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90" yWindow="465" windowWidth="15000" windowHeight="4035"/>
  </bookViews>
  <sheets>
    <sheet name="ConnectMLS_export (27).XLS" sheetId="1" r:id="rId1"/>
  </sheets>
  <calcPr calcId="125725"/>
  <fileRecoveryPr repairLoad="1"/>
</workbook>
</file>

<file path=xl/calcChain.xml><?xml version="1.0" encoding="utf-8"?>
<calcChain xmlns="http://schemas.openxmlformats.org/spreadsheetml/2006/main">
  <c r="CC2633" i="1"/>
  <c r="CB2633"/>
  <c r="BR2633"/>
  <c r="F2633"/>
  <c r="C2633"/>
  <c r="CC2632"/>
  <c r="CB2632"/>
  <c r="BR2632"/>
  <c r="F2632"/>
  <c r="C2632"/>
  <c r="CC2631"/>
  <c r="CB2631"/>
  <c r="BR2631"/>
  <c r="F2631"/>
  <c r="C2631"/>
  <c r="CC2630"/>
  <c r="CB2630"/>
  <c r="BR2630"/>
  <c r="F2630"/>
  <c r="C2630"/>
  <c r="CC2629"/>
  <c r="CB2629"/>
  <c r="BR2629"/>
  <c r="F2629"/>
  <c r="C2629"/>
  <c r="CC2628"/>
  <c r="CB2628"/>
  <c r="BR2628"/>
  <c r="F2628"/>
  <c r="C2628"/>
  <c r="CC2627"/>
  <c r="CB2627"/>
  <c r="BR2627"/>
  <c r="F2627"/>
  <c r="C2627"/>
  <c r="CC2626"/>
  <c r="CB2626"/>
  <c r="BR2626"/>
  <c r="F2626"/>
  <c r="C2626"/>
  <c r="CC2625"/>
  <c r="CB2625"/>
  <c r="BR2625"/>
  <c r="F2625"/>
  <c r="C2625"/>
  <c r="CC2624"/>
  <c r="CB2624"/>
  <c r="BR2624"/>
  <c r="F2624"/>
  <c r="C2624"/>
  <c r="CC2623"/>
  <c r="CB2623"/>
  <c r="BR2623"/>
  <c r="F2623"/>
  <c r="C2623"/>
  <c r="CC2622"/>
  <c r="CB2622"/>
  <c r="BR2622"/>
  <c r="F2622"/>
  <c r="C2622"/>
  <c r="CC2621"/>
  <c r="CB2621"/>
  <c r="BR2621"/>
  <c r="F2621"/>
  <c r="C2621"/>
  <c r="CC2620"/>
  <c r="CB2620"/>
  <c r="BR2620"/>
  <c r="F2620"/>
  <c r="C2620"/>
  <c r="CC2619"/>
  <c r="CB2619"/>
  <c r="BR2619"/>
  <c r="F2619"/>
  <c r="C2619"/>
  <c r="CC2618"/>
  <c r="CB2618"/>
  <c r="BR2618"/>
  <c r="F2618"/>
  <c r="C2618"/>
  <c r="CC2617"/>
  <c r="CB2617"/>
  <c r="BR2617"/>
  <c r="F2617"/>
  <c r="C2617"/>
  <c r="CC2616"/>
  <c r="CB2616"/>
  <c r="BR2616"/>
  <c r="F2616"/>
  <c r="C2616"/>
  <c r="CC2615"/>
  <c r="CB2615"/>
  <c r="BR2615"/>
  <c r="F2615"/>
  <c r="C2615"/>
  <c r="CC2614"/>
  <c r="CB2614"/>
  <c r="BR2614"/>
  <c r="F2614"/>
  <c r="C2614"/>
  <c r="CC2613"/>
  <c r="CB2613"/>
  <c r="BR2613"/>
  <c r="F2613"/>
  <c r="C2613"/>
  <c r="CC2612"/>
  <c r="CB2612"/>
  <c r="BR2612"/>
  <c r="F2612"/>
  <c r="C2612"/>
  <c r="CC2611"/>
  <c r="CB2611"/>
  <c r="BR2611"/>
  <c r="F2611"/>
  <c r="C2611"/>
  <c r="CC2610"/>
  <c r="CB2610"/>
  <c r="BR2610"/>
  <c r="F2610"/>
  <c r="C2610"/>
  <c r="CC2609"/>
  <c r="CB2609"/>
  <c r="BR2609"/>
  <c r="F2609"/>
  <c r="C2609"/>
  <c r="CC2608"/>
  <c r="CB2608"/>
  <c r="BR2608"/>
  <c r="F2608"/>
  <c r="C2608"/>
  <c r="CC2607"/>
  <c r="CB2607"/>
  <c r="BR2607"/>
  <c r="F2607"/>
  <c r="C2607"/>
  <c r="CC2606"/>
  <c r="CB2606"/>
  <c r="BR2606"/>
  <c r="F2606"/>
  <c r="C2606"/>
  <c r="CC2605"/>
  <c r="CB2605"/>
  <c r="BR2605"/>
  <c r="F2605"/>
  <c r="C2605"/>
  <c r="CC2604"/>
  <c r="CB2604"/>
  <c r="BR2604"/>
  <c r="F2604"/>
  <c r="C2604"/>
  <c r="CC2603"/>
  <c r="CB2603"/>
  <c r="BR2603"/>
  <c r="F2603"/>
  <c r="C2603"/>
  <c r="CC2602"/>
  <c r="CB2602"/>
  <c r="BR2602"/>
  <c r="F2602"/>
  <c r="C2602"/>
  <c r="CC2601"/>
  <c r="CB2601"/>
  <c r="BR2601"/>
  <c r="F2601"/>
  <c r="C2601"/>
  <c r="CC2600"/>
  <c r="CB2600"/>
  <c r="BR2600"/>
  <c r="F2600"/>
  <c r="C2600"/>
  <c r="CC2599"/>
  <c r="CB2599"/>
  <c r="BR2599"/>
  <c r="F2599"/>
  <c r="C2599"/>
  <c r="CC2598"/>
  <c r="CB2598"/>
  <c r="BR2598"/>
  <c r="F2598"/>
  <c r="C2598"/>
  <c r="CC2597"/>
  <c r="CB2597"/>
  <c r="BR2597"/>
  <c r="F2597"/>
  <c r="C2597"/>
  <c r="CC2596"/>
  <c r="CB2596"/>
  <c r="BR2596"/>
  <c r="F2596"/>
  <c r="C2596"/>
  <c r="CC2595"/>
  <c r="CB2595"/>
  <c r="BR2595"/>
  <c r="F2595"/>
  <c r="C2595"/>
  <c r="CC2594"/>
  <c r="CB2594"/>
  <c r="BR2594"/>
  <c r="F2594"/>
  <c r="C2594"/>
  <c r="CC2593"/>
  <c r="CB2593"/>
  <c r="BR2593"/>
  <c r="F2593"/>
  <c r="C2593"/>
  <c r="CC2592"/>
  <c r="CB2592"/>
  <c r="BR2592"/>
  <c r="F2592"/>
  <c r="C2592"/>
  <c r="CC2591"/>
  <c r="CB2591"/>
  <c r="BR2591"/>
  <c r="F2591"/>
  <c r="C2591"/>
  <c r="CC2590"/>
  <c r="CB2590"/>
  <c r="BR2590"/>
  <c r="F2590"/>
  <c r="C2590"/>
  <c r="CC2589"/>
  <c r="CB2589"/>
  <c r="BR2589"/>
  <c r="F2589"/>
  <c r="C2589"/>
  <c r="CC2588"/>
  <c r="CB2588"/>
  <c r="BR2588"/>
  <c r="F2588"/>
  <c r="C2588"/>
  <c r="CC2587"/>
  <c r="CB2587"/>
  <c r="BR2587"/>
  <c r="F2587"/>
  <c r="C2587"/>
  <c r="CC2586"/>
  <c r="CB2586"/>
  <c r="BR2586"/>
  <c r="F2586"/>
  <c r="C2586"/>
  <c r="CC2585"/>
  <c r="CB2585"/>
  <c r="BR2585"/>
  <c r="F2585"/>
  <c r="C2585"/>
  <c r="CC2584"/>
  <c r="CB2584"/>
  <c r="BR2584"/>
  <c r="F2584"/>
  <c r="C2584"/>
  <c r="CC2583"/>
  <c r="CB2583"/>
  <c r="BR2583"/>
  <c r="F2583"/>
  <c r="C2583"/>
  <c r="CC2582"/>
  <c r="CB2582"/>
  <c r="BR2582"/>
  <c r="F2582"/>
  <c r="C2582"/>
  <c r="CC2581"/>
  <c r="CB2581"/>
  <c r="BR2581"/>
  <c r="F2581"/>
  <c r="C2581"/>
  <c r="CC2580"/>
  <c r="CB2580"/>
  <c r="BR2580"/>
  <c r="F2580"/>
  <c r="C2580"/>
  <c r="CC2579"/>
  <c r="CB2579"/>
  <c r="BR2579"/>
  <c r="F2579"/>
  <c r="C2579"/>
  <c r="CC2578"/>
  <c r="CB2578"/>
  <c r="BR2578"/>
  <c r="F2578"/>
  <c r="C2578"/>
  <c r="CC2577"/>
  <c r="CB2577"/>
  <c r="BR2577"/>
  <c r="F2577"/>
  <c r="C2577"/>
  <c r="CC2576"/>
  <c r="CB2576"/>
  <c r="BR2576"/>
  <c r="F2576"/>
  <c r="C2576"/>
  <c r="CC2575"/>
  <c r="CB2575"/>
  <c r="BR2575"/>
  <c r="F2575"/>
  <c r="C2575"/>
  <c r="CC2574"/>
  <c r="CB2574"/>
  <c r="BR2574"/>
  <c r="F2574"/>
  <c r="C2574"/>
  <c r="CC2573"/>
  <c r="CB2573"/>
  <c r="BR2573"/>
  <c r="F2573"/>
  <c r="C2573"/>
  <c r="CC2572"/>
  <c r="CB2572"/>
  <c r="BR2572"/>
  <c r="F2572"/>
  <c r="C2572"/>
  <c r="CC2571"/>
  <c r="CB2571"/>
  <c r="BR2571"/>
  <c r="F2571"/>
  <c r="C2571"/>
  <c r="CC2570"/>
  <c r="CB2570"/>
  <c r="BR2570"/>
  <c r="F2570"/>
  <c r="C2570"/>
  <c r="CC2569"/>
  <c r="CB2569"/>
  <c r="BR2569"/>
  <c r="F2569"/>
  <c r="C2569"/>
  <c r="CC2568"/>
  <c r="CB2568"/>
  <c r="BR2568"/>
  <c r="F2568"/>
  <c r="C2568"/>
  <c r="CC2567"/>
  <c r="CB2567"/>
  <c r="BR2567"/>
  <c r="F2567"/>
  <c r="C2567"/>
  <c r="CC2566"/>
  <c r="CB2566"/>
  <c r="BR2566"/>
  <c r="F2566"/>
  <c r="C2566"/>
  <c r="CC2565"/>
  <c r="CB2565"/>
  <c r="BR2565"/>
  <c r="F2565"/>
  <c r="C2565"/>
  <c r="CC2564"/>
  <c r="CB2564"/>
  <c r="BR2564"/>
  <c r="F2564"/>
  <c r="C2564"/>
  <c r="CC2563"/>
  <c r="CB2563"/>
  <c r="BR2563"/>
  <c r="F2563"/>
  <c r="C2563"/>
  <c r="CC2562"/>
  <c r="CB2562"/>
  <c r="BR2562"/>
  <c r="F2562"/>
  <c r="C2562"/>
  <c r="CC2561"/>
  <c r="CB2561"/>
  <c r="BR2561"/>
  <c r="F2561"/>
  <c r="C2561"/>
  <c r="CC2560"/>
  <c r="CB2560"/>
  <c r="BR2560"/>
  <c r="F2560"/>
  <c r="C2560"/>
  <c r="CC2559"/>
  <c r="CB2559"/>
  <c r="BR2559"/>
  <c r="F2559"/>
  <c r="C2559"/>
  <c r="CC2558"/>
  <c r="CB2558"/>
  <c r="BR2558"/>
  <c r="F2558"/>
  <c r="C2558"/>
  <c r="CC2557"/>
  <c r="CB2557"/>
  <c r="BR2557"/>
  <c r="F2557"/>
  <c r="C2557"/>
  <c r="CC2556"/>
  <c r="CB2556"/>
  <c r="BR2556"/>
  <c r="F2556"/>
  <c r="C2556"/>
  <c r="CC2555"/>
  <c r="CB2555"/>
  <c r="BR2555"/>
  <c r="F2555"/>
  <c r="C2555"/>
  <c r="CC2554"/>
  <c r="CB2554"/>
  <c r="BR2554"/>
  <c r="F2554"/>
  <c r="C2554"/>
  <c r="CC2553"/>
  <c r="CB2553"/>
  <c r="BR2553"/>
  <c r="F2553"/>
  <c r="C2553"/>
  <c r="CC2552"/>
  <c r="CB2552"/>
  <c r="BR2552"/>
  <c r="F2552"/>
  <c r="C2552"/>
  <c r="CC2551"/>
  <c r="CB2551"/>
  <c r="BR2551"/>
  <c r="F2551"/>
  <c r="C2551"/>
  <c r="CC2550"/>
  <c r="CB2550"/>
  <c r="BR2550"/>
  <c r="F2550"/>
  <c r="C2550"/>
  <c r="CC2549"/>
  <c r="CB2549"/>
  <c r="BR2549"/>
  <c r="F2549"/>
  <c r="C2549"/>
  <c r="CC2548"/>
  <c r="CB2548"/>
  <c r="BR2548"/>
  <c r="F2548"/>
  <c r="C2548"/>
  <c r="CC2547"/>
  <c r="CB2547"/>
  <c r="BR2547"/>
  <c r="F2547"/>
  <c r="C2547"/>
  <c r="CC2546"/>
  <c r="CB2546"/>
  <c r="BR2546"/>
  <c r="F2546"/>
  <c r="C2546"/>
  <c r="CC2545"/>
  <c r="CB2545"/>
  <c r="BR2545"/>
  <c r="F2545"/>
  <c r="C2545"/>
  <c r="CC2544"/>
  <c r="CB2544"/>
  <c r="BR2544"/>
  <c r="F2544"/>
  <c r="C2544"/>
  <c r="CC2543"/>
  <c r="CB2543"/>
  <c r="BR2543"/>
  <c r="F2543"/>
  <c r="C2543"/>
  <c r="CC2542"/>
  <c r="CB2542"/>
  <c r="BR2542"/>
  <c r="F2542"/>
  <c r="C2542"/>
  <c r="CC2541"/>
  <c r="CB2541"/>
  <c r="BR2541"/>
  <c r="F2541"/>
  <c r="C2541"/>
  <c r="CC2540"/>
  <c r="CB2540"/>
  <c r="BR2540"/>
  <c r="F2540"/>
  <c r="C2540"/>
  <c r="CC2539"/>
  <c r="CB2539"/>
  <c r="BR2539"/>
  <c r="F2539"/>
  <c r="C2539"/>
  <c r="CC2538"/>
  <c r="CB2538"/>
  <c r="BR2538"/>
  <c r="F2538"/>
  <c r="C2538"/>
  <c r="CC2537"/>
  <c r="CB2537"/>
  <c r="BR2537"/>
  <c r="F2537"/>
  <c r="C2537"/>
  <c r="CC2536"/>
  <c r="CB2536"/>
  <c r="BR2536"/>
  <c r="F2536"/>
  <c r="C2536"/>
  <c r="CC2535"/>
  <c r="CB2535"/>
  <c r="BR2535"/>
  <c r="F2535"/>
  <c r="C2535"/>
  <c r="CC2534"/>
  <c r="CB2534"/>
  <c r="BR2534"/>
  <c r="F2534"/>
  <c r="C2534"/>
  <c r="CC2533"/>
  <c r="CB2533"/>
  <c r="BR2533"/>
  <c r="F2533"/>
  <c r="C2533"/>
  <c r="CC2532"/>
  <c r="CB2532"/>
  <c r="BR2532"/>
  <c r="F2532"/>
  <c r="C2532"/>
  <c r="CC2531"/>
  <c r="CB2531"/>
  <c r="BR2531"/>
  <c r="F2531"/>
  <c r="C2531"/>
  <c r="CC2530"/>
  <c r="CB2530"/>
  <c r="BR2530"/>
  <c r="F2530"/>
  <c r="C2530"/>
  <c r="CC2529"/>
  <c r="CB2529"/>
  <c r="BR2529"/>
  <c r="F2529"/>
  <c r="C2529"/>
  <c r="CC2528"/>
  <c r="CB2528"/>
  <c r="BR2528"/>
  <c r="F2528"/>
  <c r="C2528"/>
  <c r="CC2527"/>
  <c r="CB2527"/>
  <c r="BR2527"/>
  <c r="F2527"/>
  <c r="C2527"/>
  <c r="CC2526"/>
  <c r="CB2526"/>
  <c r="BR2526"/>
  <c r="F2526"/>
  <c r="C2526"/>
  <c r="CC2525"/>
  <c r="CB2525"/>
  <c r="BR2525"/>
  <c r="F2525"/>
  <c r="C2525"/>
  <c r="CC2524"/>
  <c r="CB2524"/>
  <c r="BR2524"/>
  <c r="F2524"/>
  <c r="C2524"/>
  <c r="CC2523"/>
  <c r="CB2523"/>
  <c r="BR2523"/>
  <c r="F2523"/>
  <c r="C2523"/>
  <c r="CC2522"/>
  <c r="CB2522"/>
  <c r="BR2522"/>
  <c r="F2522"/>
  <c r="C2522"/>
  <c r="CC2521"/>
  <c r="CB2521"/>
  <c r="BR2521"/>
  <c r="F2521"/>
  <c r="C2521"/>
  <c r="CC2520"/>
  <c r="CB2520"/>
  <c r="BR2520"/>
  <c r="F2520"/>
  <c r="C2520"/>
  <c r="CC2519"/>
  <c r="CB2519"/>
  <c r="BR2519"/>
  <c r="F2519"/>
  <c r="C2519"/>
  <c r="CC2518"/>
  <c r="CB2518"/>
  <c r="BR2518"/>
  <c r="F2518"/>
  <c r="C2518"/>
  <c r="CC2517"/>
  <c r="CB2517"/>
  <c r="BR2517"/>
  <c r="F2517"/>
  <c r="C2517"/>
  <c r="CC2516"/>
  <c r="CB2516"/>
  <c r="BR2516"/>
  <c r="F2516"/>
  <c r="C2516"/>
  <c r="CC2515"/>
  <c r="CB2515"/>
  <c r="BR2515"/>
  <c r="F2515"/>
  <c r="C2515"/>
  <c r="CC2514"/>
  <c r="CB2514"/>
  <c r="BR2514"/>
  <c r="F2514"/>
  <c r="C2514"/>
  <c r="CC2513"/>
  <c r="CB2513"/>
  <c r="BR2513"/>
  <c r="F2513"/>
  <c r="C2513"/>
  <c r="CC2512"/>
  <c r="CB2512"/>
  <c r="BR2512"/>
  <c r="F2512"/>
  <c r="C2512"/>
  <c r="CC2511"/>
  <c r="CB2511"/>
  <c r="BR2511"/>
  <c r="F2511"/>
  <c r="C2511"/>
  <c r="CC2510"/>
  <c r="CB2510"/>
  <c r="BR2510"/>
  <c r="F2510"/>
  <c r="C2510"/>
  <c r="CC2509"/>
  <c r="CB2509"/>
  <c r="BR2509"/>
  <c r="F2509"/>
  <c r="C2509"/>
  <c r="CC2508"/>
  <c r="CB2508"/>
  <c r="BR2508"/>
  <c r="F2508"/>
  <c r="C2508"/>
  <c r="CC2507"/>
  <c r="CB2507"/>
  <c r="BR2507"/>
  <c r="F2507"/>
  <c r="C2507"/>
  <c r="CC2506"/>
  <c r="CB2506"/>
  <c r="BR2506"/>
  <c r="F2506"/>
  <c r="C2506"/>
  <c r="CC2505"/>
  <c r="CB2505"/>
  <c r="BR2505"/>
  <c r="F2505"/>
  <c r="C2505"/>
  <c r="CC2504"/>
  <c r="CB2504"/>
  <c r="BR2504"/>
  <c r="F2504"/>
  <c r="C2504"/>
  <c r="CC2503"/>
  <c r="CB2503"/>
  <c r="BR2503"/>
  <c r="F2503"/>
  <c r="C2503"/>
  <c r="CC2502"/>
  <c r="CB2502"/>
  <c r="BR2502"/>
  <c r="F2502"/>
  <c r="C2502"/>
  <c r="CC2501"/>
  <c r="CB2501"/>
  <c r="BR2501"/>
  <c r="F2501"/>
  <c r="C2501"/>
  <c r="CC2500"/>
  <c r="CB2500"/>
  <c r="BR2500"/>
  <c r="F2500"/>
  <c r="C2500"/>
  <c r="CC2499"/>
  <c r="CB2499"/>
  <c r="BR2499"/>
  <c r="F2499"/>
  <c r="C2499"/>
  <c r="CC2498"/>
  <c r="CB2498"/>
  <c r="BR2498"/>
  <c r="F2498"/>
  <c r="C2498"/>
  <c r="CC2497"/>
  <c r="CB2497"/>
  <c r="BR2497"/>
  <c r="F2497"/>
  <c r="C2497"/>
  <c r="CC2496"/>
  <c r="CB2496"/>
  <c r="BR2496"/>
  <c r="F2496"/>
  <c r="C2496"/>
  <c r="CC2495"/>
  <c r="CB2495"/>
  <c r="BR2495"/>
  <c r="F2495"/>
  <c r="C2495"/>
  <c r="CC2494"/>
  <c r="CB2494"/>
  <c r="BR2494"/>
  <c r="F2494"/>
  <c r="C2494"/>
  <c r="CC2493"/>
  <c r="CB2493"/>
  <c r="BR2493"/>
  <c r="F2493"/>
  <c r="C2493"/>
  <c r="CC2492"/>
  <c r="CB2492"/>
  <c r="BR2492"/>
  <c r="F2492"/>
  <c r="C2492"/>
  <c r="CC2491"/>
  <c r="CB2491"/>
  <c r="BR2491"/>
  <c r="F2491"/>
  <c r="C2491"/>
  <c r="CC2490"/>
  <c r="CB2490"/>
  <c r="BR2490"/>
  <c r="F2490"/>
  <c r="C2490"/>
  <c r="CC2489"/>
  <c r="CB2489"/>
  <c r="BR2489"/>
  <c r="F2489"/>
  <c r="C2489"/>
  <c r="CC2488"/>
  <c r="CB2488"/>
  <c r="BR2488"/>
  <c r="F2488"/>
  <c r="C2488"/>
  <c r="CC2487"/>
  <c r="CB2487"/>
  <c r="BR2487"/>
  <c r="F2487"/>
  <c r="C2487"/>
  <c r="CC2486"/>
  <c r="CB2486"/>
  <c r="BR2486"/>
  <c r="F2486"/>
  <c r="C2486"/>
  <c r="CC2485"/>
  <c r="CB2485"/>
  <c r="BR2485"/>
  <c r="F2485"/>
  <c r="C2485"/>
  <c r="CC2484"/>
  <c r="CB2484"/>
  <c r="BR2484"/>
  <c r="F2484"/>
  <c r="C2484"/>
  <c r="CC2483"/>
  <c r="CB2483"/>
  <c r="BR2483"/>
  <c r="F2483"/>
  <c r="C2483"/>
  <c r="CC2482"/>
  <c r="CB2482"/>
  <c r="BR2482"/>
  <c r="F2482"/>
  <c r="C2482"/>
  <c r="CC2481"/>
  <c r="CB2481"/>
  <c r="BR2481"/>
  <c r="F2481"/>
  <c r="C2481"/>
  <c r="CC2480"/>
  <c r="CB2480"/>
  <c r="BR2480"/>
  <c r="F2480"/>
  <c r="C2480"/>
  <c r="CC2479"/>
  <c r="CB2479"/>
  <c r="BR2479"/>
  <c r="F2479"/>
  <c r="C2479"/>
  <c r="CC2478"/>
  <c r="CB2478"/>
  <c r="BR2478"/>
  <c r="F2478"/>
  <c r="C2478"/>
  <c r="CC2477"/>
  <c r="CB2477"/>
  <c r="BR2477"/>
  <c r="F2477"/>
  <c r="C2477"/>
  <c r="CC2476"/>
  <c r="CB2476"/>
  <c r="BR2476"/>
  <c r="F2476"/>
  <c r="C2476"/>
  <c r="CC2475"/>
  <c r="CB2475"/>
  <c r="BR2475"/>
  <c r="F2475"/>
  <c r="C2475"/>
  <c r="CC2474"/>
  <c r="CB2474"/>
  <c r="BR2474"/>
  <c r="F2474"/>
  <c r="C2474"/>
  <c r="CC2473"/>
  <c r="CB2473"/>
  <c r="BR2473"/>
  <c r="F2473"/>
  <c r="C2473"/>
  <c r="CC2472"/>
  <c r="CB2472"/>
  <c r="BR2472"/>
  <c r="F2472"/>
  <c r="C2472"/>
  <c r="CC2471"/>
  <c r="CB2471"/>
  <c r="BR2471"/>
  <c r="F2471"/>
  <c r="C2471"/>
  <c r="CC2470"/>
  <c r="CB2470"/>
  <c r="BR2470"/>
  <c r="F2470"/>
  <c r="C2470"/>
  <c r="CC2469"/>
  <c r="CB2469"/>
  <c r="BR2469"/>
  <c r="F2469"/>
  <c r="C2469"/>
  <c r="CC2468"/>
  <c r="CB2468"/>
  <c r="BR2468"/>
  <c r="F2468"/>
  <c r="C2468"/>
  <c r="CC2467"/>
  <c r="CB2467"/>
  <c r="BR2467"/>
  <c r="F2467"/>
  <c r="C2467"/>
  <c r="CC2466"/>
  <c r="CB2466"/>
  <c r="BR2466"/>
  <c r="F2466"/>
  <c r="C2466"/>
  <c r="CC2465"/>
  <c r="CB2465"/>
  <c r="BR2465"/>
  <c r="F2465"/>
  <c r="C2465"/>
  <c r="CC2464"/>
  <c r="CB2464"/>
  <c r="BR2464"/>
  <c r="F2464"/>
  <c r="C2464"/>
  <c r="CC2463"/>
  <c r="CB2463"/>
  <c r="BR2463"/>
  <c r="F2463"/>
  <c r="C2463"/>
  <c r="CC2462"/>
  <c r="CB2462"/>
  <c r="BR2462"/>
  <c r="F2462"/>
  <c r="C2462"/>
  <c r="CC2461"/>
  <c r="CB2461"/>
  <c r="BR2461"/>
  <c r="F2461"/>
  <c r="C2461"/>
  <c r="CC2460"/>
  <c r="CB2460"/>
  <c r="BR2460"/>
  <c r="F2460"/>
  <c r="C2460"/>
  <c r="CC2459"/>
  <c r="CB2459"/>
  <c r="BR2459"/>
  <c r="F2459"/>
  <c r="C2459"/>
  <c r="CC2458"/>
  <c r="CB2458"/>
  <c r="BR2458"/>
  <c r="F2458"/>
  <c r="C2458"/>
  <c r="CC2457"/>
  <c r="CB2457"/>
  <c r="BR2457"/>
  <c r="F2457"/>
  <c r="C2457"/>
  <c r="CC2456"/>
  <c r="CB2456"/>
  <c r="BR2456"/>
  <c r="F2456"/>
  <c r="C2456"/>
  <c r="CC2455"/>
  <c r="CB2455"/>
  <c r="BR2455"/>
  <c r="F2455"/>
  <c r="C2455"/>
  <c r="CC2454"/>
  <c r="CB2454"/>
  <c r="BR2454"/>
  <c r="F2454"/>
  <c r="C2454"/>
  <c r="CC2453"/>
  <c r="CB2453"/>
  <c r="BR2453"/>
  <c r="F2453"/>
  <c r="C2453"/>
  <c r="CC2452"/>
  <c r="CB2452"/>
  <c r="BR2452"/>
  <c r="F2452"/>
  <c r="C2452"/>
  <c r="CC2451"/>
  <c r="CB2451"/>
  <c r="BR2451"/>
  <c r="F2451"/>
  <c r="C2451"/>
  <c r="CC2450"/>
  <c r="CB2450"/>
  <c r="BR2450"/>
  <c r="F2450"/>
  <c r="C2450"/>
  <c r="CC2449"/>
  <c r="CB2449"/>
  <c r="BR2449"/>
  <c r="F2449"/>
  <c r="C2449"/>
  <c r="CC2448"/>
  <c r="CB2448"/>
  <c r="BR2448"/>
  <c r="F2448"/>
  <c r="C2448"/>
  <c r="CC2447"/>
  <c r="CB2447"/>
  <c r="BR2447"/>
  <c r="F2447"/>
  <c r="C2447"/>
  <c r="CC2446"/>
  <c r="CB2446"/>
  <c r="BR2446"/>
  <c r="F2446"/>
  <c r="C2446"/>
  <c r="CC2445"/>
  <c r="CB2445"/>
  <c r="BR2445"/>
  <c r="F2445"/>
  <c r="C2445"/>
  <c r="CC2444"/>
  <c r="CB2444"/>
  <c r="BR2444"/>
  <c r="F2444"/>
  <c r="C2444"/>
  <c r="CC2443"/>
  <c r="CB2443"/>
  <c r="BR2443"/>
  <c r="F2443"/>
  <c r="C2443"/>
  <c r="CC2442"/>
  <c r="CB2442"/>
  <c r="BR2442"/>
  <c r="F2442"/>
  <c r="C2442"/>
  <c r="CC2441"/>
  <c r="CB2441"/>
  <c r="BR2441"/>
  <c r="F2441"/>
  <c r="C2441"/>
  <c r="CC2440"/>
  <c r="CB2440"/>
  <c r="BR2440"/>
  <c r="F2440"/>
  <c r="C2440"/>
  <c r="CC2439"/>
  <c r="CB2439"/>
  <c r="BR2439"/>
  <c r="F2439"/>
  <c r="C2439"/>
  <c r="CC2438"/>
  <c r="CB2438"/>
  <c r="BR2438"/>
  <c r="F2438"/>
  <c r="C2438"/>
  <c r="CC2437"/>
  <c r="CB2437"/>
  <c r="BR2437"/>
  <c r="F2437"/>
  <c r="C2437"/>
  <c r="CC2436"/>
  <c r="CB2436"/>
  <c r="BR2436"/>
  <c r="F2436"/>
  <c r="C2436"/>
  <c r="CC2435"/>
  <c r="CB2435"/>
  <c r="BR2435"/>
  <c r="F2435"/>
  <c r="C2435"/>
  <c r="CC2434"/>
  <c r="CB2434"/>
  <c r="BR2434"/>
  <c r="F2434"/>
  <c r="C2434"/>
  <c r="CC2433"/>
  <c r="CB2433"/>
  <c r="BR2433"/>
  <c r="F2433"/>
  <c r="C2433"/>
  <c r="CC2432"/>
  <c r="CB2432"/>
  <c r="BR2432"/>
  <c r="F2432"/>
  <c r="C2432"/>
  <c r="CC2431"/>
  <c r="CB2431"/>
  <c r="BR2431"/>
  <c r="F2431"/>
  <c r="C2431"/>
  <c r="CC2430"/>
  <c r="CB2430"/>
  <c r="BR2430"/>
  <c r="F2430"/>
  <c r="C2430"/>
  <c r="CC2429"/>
  <c r="CB2429"/>
  <c r="BR2429"/>
  <c r="F2429"/>
  <c r="C2429"/>
  <c r="CC2428"/>
  <c r="CB2428"/>
  <c r="BR2428"/>
  <c r="F2428"/>
  <c r="C2428"/>
  <c r="CC2427"/>
  <c r="CB2427"/>
  <c r="BR2427"/>
  <c r="F2427"/>
  <c r="C2427"/>
  <c r="CC2426"/>
  <c r="CB2426"/>
  <c r="BR2426"/>
  <c r="F2426"/>
  <c r="C2426"/>
  <c r="CC2425"/>
  <c r="CB2425"/>
  <c r="BR2425"/>
  <c r="F2425"/>
  <c r="C2425"/>
  <c r="CC2424"/>
  <c r="CB2424"/>
  <c r="BR2424"/>
  <c r="F2424"/>
  <c r="C2424"/>
  <c r="CC2423"/>
  <c r="CB2423"/>
  <c r="BR2423"/>
  <c r="F2423"/>
  <c r="C2423"/>
  <c r="CC2422"/>
  <c r="CB2422"/>
  <c r="BR2422"/>
  <c r="F2422"/>
  <c r="C2422"/>
  <c r="CC2421"/>
  <c r="CB2421"/>
  <c r="BR2421"/>
  <c r="F2421"/>
  <c r="C2421"/>
  <c r="CC2420"/>
  <c r="CB2420"/>
  <c r="BR2420"/>
  <c r="F2420"/>
  <c r="C2420"/>
  <c r="CC2419"/>
  <c r="CB2419"/>
  <c r="BR2419"/>
  <c r="F2419"/>
  <c r="C2419"/>
  <c r="CC2418"/>
  <c r="CB2418"/>
  <c r="BR2418"/>
  <c r="F2418"/>
  <c r="C2418"/>
  <c r="CC2417"/>
  <c r="CB2417"/>
  <c r="BR2417"/>
  <c r="F2417"/>
  <c r="C2417"/>
  <c r="CC2416"/>
  <c r="CB2416"/>
  <c r="BR2416"/>
  <c r="F2416"/>
  <c r="C2416"/>
  <c r="CC2415"/>
  <c r="CB2415"/>
  <c r="BR2415"/>
  <c r="F2415"/>
  <c r="C2415"/>
  <c r="CC2414"/>
  <c r="CB2414"/>
  <c r="BR2414"/>
  <c r="F2414"/>
  <c r="C2414"/>
  <c r="CC2413"/>
  <c r="CB2413"/>
  <c r="BR2413"/>
  <c r="F2413"/>
  <c r="C2413"/>
  <c r="CC2412"/>
  <c r="CB2412"/>
  <c r="BR2412"/>
  <c r="F2412"/>
  <c r="C2412"/>
  <c r="CC2411"/>
  <c r="CB2411"/>
  <c r="BR2411"/>
  <c r="F2411"/>
  <c r="C2411"/>
  <c r="CC2410"/>
  <c r="CB2410"/>
  <c r="BR2410"/>
  <c r="F2410"/>
  <c r="C2410"/>
  <c r="CC2409"/>
  <c r="CB2409"/>
  <c r="BR2409"/>
  <c r="F2409"/>
  <c r="C2409"/>
  <c r="CC2408"/>
  <c r="CB2408"/>
  <c r="BR2408"/>
  <c r="F2408"/>
  <c r="C2408"/>
  <c r="CC2407"/>
  <c r="CB2407"/>
  <c r="BR2407"/>
  <c r="F2407"/>
  <c r="C2407"/>
  <c r="CC2406"/>
  <c r="CB2406"/>
  <c r="BR2406"/>
  <c r="F2406"/>
  <c r="C2406"/>
  <c r="CC2405"/>
  <c r="CB2405"/>
  <c r="BR2405"/>
  <c r="F2405"/>
  <c r="C2405"/>
  <c r="CC2404"/>
  <c r="CB2404"/>
  <c r="BR2404"/>
  <c r="F2404"/>
  <c r="C2404"/>
  <c r="CC2403"/>
  <c r="CB2403"/>
  <c r="BR2403"/>
  <c r="F2403"/>
  <c r="C2403"/>
  <c r="CC2402"/>
  <c r="CB2402"/>
  <c r="BR2402"/>
  <c r="F2402"/>
  <c r="C2402"/>
  <c r="CC2401"/>
  <c r="CB2401"/>
  <c r="BR2401"/>
  <c r="F2401"/>
  <c r="C2401"/>
  <c r="CC2400"/>
  <c r="CB2400"/>
  <c r="BR2400"/>
  <c r="F2400"/>
  <c r="C2400"/>
  <c r="CC2399"/>
  <c r="CB2399"/>
  <c r="BR2399"/>
  <c r="F2399"/>
  <c r="C2399"/>
  <c r="CC2398"/>
  <c r="CB2398"/>
  <c r="BR2398"/>
  <c r="F2398"/>
  <c r="C2398"/>
  <c r="CC2397"/>
  <c r="CB2397"/>
  <c r="BR2397"/>
  <c r="F2397"/>
  <c r="C2397"/>
  <c r="CC2396"/>
  <c r="CB2396"/>
  <c r="BR2396"/>
  <c r="F2396"/>
  <c r="C2396"/>
  <c r="CC2395"/>
  <c r="CB2395"/>
  <c r="BR2395"/>
  <c r="F2395"/>
  <c r="C2395"/>
  <c r="CC2394"/>
  <c r="CB2394"/>
  <c r="BR2394"/>
  <c r="F2394"/>
  <c r="C2394"/>
  <c r="CC2393"/>
  <c r="CB2393"/>
  <c r="BR2393"/>
  <c r="F2393"/>
  <c r="C2393"/>
  <c r="CC2392"/>
  <c r="CB2392"/>
  <c r="BR2392"/>
  <c r="F2392"/>
  <c r="C2392"/>
  <c r="CC2391"/>
  <c r="CB2391"/>
  <c r="BR2391"/>
  <c r="F2391"/>
  <c r="C2391"/>
  <c r="CC2390"/>
  <c r="CB2390"/>
  <c r="BR2390"/>
  <c r="F2390"/>
  <c r="C2390"/>
  <c r="CC2389"/>
  <c r="CB2389"/>
  <c r="BR2389"/>
  <c r="F2389"/>
  <c r="C2389"/>
  <c r="CC2388"/>
  <c r="CB2388"/>
  <c r="BR2388"/>
  <c r="F2388"/>
  <c r="C2388"/>
  <c r="CC2387"/>
  <c r="CB2387"/>
  <c r="BR2387"/>
  <c r="F2387"/>
  <c r="C2387"/>
  <c r="CC2386"/>
  <c r="CB2386"/>
  <c r="BR2386"/>
  <c r="F2386"/>
  <c r="C2386"/>
  <c r="CC2385"/>
  <c r="CB2385"/>
  <c r="BR2385"/>
  <c r="F2385"/>
  <c r="C2385"/>
  <c r="CC2384"/>
  <c r="CB2384"/>
  <c r="BR2384"/>
  <c r="F2384"/>
  <c r="C2384"/>
  <c r="CC2383"/>
  <c r="CB2383"/>
  <c r="BR2383"/>
  <c r="F2383"/>
  <c r="C2383"/>
  <c r="CC2382"/>
  <c r="CB2382"/>
  <c r="BR2382"/>
  <c r="F2382"/>
  <c r="C2382"/>
  <c r="CC2381"/>
  <c r="CB2381"/>
  <c r="BR2381"/>
  <c r="F2381"/>
  <c r="C2381"/>
  <c r="CC2380"/>
  <c r="CB2380"/>
  <c r="BR2380"/>
  <c r="F2380"/>
  <c r="C2380"/>
  <c r="CC2379"/>
  <c r="CB2379"/>
  <c r="BR2379"/>
  <c r="F2379"/>
  <c r="C2379"/>
  <c r="CC2378"/>
  <c r="CB2378"/>
  <c r="BR2378"/>
  <c r="F2378"/>
  <c r="C2378"/>
  <c r="CC2377"/>
  <c r="CB2377"/>
  <c r="BR2377"/>
  <c r="F2377"/>
  <c r="C2377"/>
  <c r="CC2376"/>
  <c r="CB2376"/>
  <c r="BR2376"/>
  <c r="F2376"/>
  <c r="C2376"/>
  <c r="CC2375"/>
  <c r="CB2375"/>
  <c r="BR2375"/>
  <c r="F2375"/>
  <c r="C2375"/>
  <c r="CC2374"/>
  <c r="CB2374"/>
  <c r="BR2374"/>
  <c r="F2374"/>
  <c r="C2374"/>
  <c r="CC2373"/>
  <c r="CB2373"/>
  <c r="BR2373"/>
  <c r="F2373"/>
  <c r="C2373"/>
  <c r="CC2372"/>
  <c r="CB2372"/>
  <c r="BR2372"/>
  <c r="F2372"/>
  <c r="C2372"/>
  <c r="CC2371"/>
  <c r="CB2371"/>
  <c r="BR2371"/>
  <c r="F2371"/>
  <c r="C2371"/>
  <c r="CC2370"/>
  <c r="CB2370"/>
  <c r="BR2370"/>
  <c r="F2370"/>
  <c r="C2370"/>
  <c r="CC2369"/>
  <c r="CB2369"/>
  <c r="BR2369"/>
  <c r="F2369"/>
  <c r="C2369"/>
  <c r="CC2368"/>
  <c r="CB2368"/>
  <c r="BR2368"/>
  <c r="F2368"/>
  <c r="C2368"/>
  <c r="CC2367"/>
  <c r="CB2367"/>
  <c r="BR2367"/>
  <c r="F2367"/>
  <c r="C2367"/>
  <c r="CC2366"/>
  <c r="CB2366"/>
  <c r="BR2366"/>
  <c r="F2366"/>
  <c r="C2366"/>
  <c r="CC2365"/>
  <c r="CB2365"/>
  <c r="BR2365"/>
  <c r="F2365"/>
  <c r="C2365"/>
  <c r="CC2364"/>
  <c r="CB2364"/>
  <c r="BR2364"/>
  <c r="F2364"/>
  <c r="C2364"/>
  <c r="CC2363"/>
  <c r="CB2363"/>
  <c r="BR2363"/>
  <c r="F2363"/>
  <c r="C2363"/>
  <c r="CC2362"/>
  <c r="CB2362"/>
  <c r="BR2362"/>
  <c r="F2362"/>
  <c r="C2362"/>
  <c r="CC2361"/>
  <c r="CB2361"/>
  <c r="BR2361"/>
  <c r="F2361"/>
  <c r="C2361"/>
  <c r="CC2360"/>
  <c r="CB2360"/>
  <c r="BR2360"/>
  <c r="F2360"/>
  <c r="C2360"/>
  <c r="CC2359"/>
  <c r="CB2359"/>
  <c r="BR2359"/>
  <c r="F2359"/>
  <c r="C2359"/>
  <c r="CC2358"/>
  <c r="CB2358"/>
  <c r="BR2358"/>
  <c r="F2358"/>
  <c r="C2358"/>
  <c r="CC2357"/>
  <c r="CB2357"/>
  <c r="BR2357"/>
  <c r="F2357"/>
  <c r="C2357"/>
  <c r="CC2356"/>
  <c r="CB2356"/>
  <c r="BR2356"/>
  <c r="F2356"/>
  <c r="C2356"/>
  <c r="CC2355"/>
  <c r="CB2355"/>
  <c r="BR2355"/>
  <c r="F2355"/>
  <c r="C2355"/>
  <c r="CC2354"/>
  <c r="CB2354"/>
  <c r="BR2354"/>
  <c r="F2354"/>
  <c r="C2354"/>
  <c r="CC2353"/>
  <c r="CB2353"/>
  <c r="BR2353"/>
  <c r="F2353"/>
  <c r="C2353"/>
  <c r="CC2352"/>
  <c r="CB2352"/>
  <c r="BR2352"/>
  <c r="F2352"/>
  <c r="C2352"/>
  <c r="CC2351"/>
  <c r="CB2351"/>
  <c r="BR2351"/>
  <c r="F2351"/>
  <c r="C2351"/>
  <c r="CC2350"/>
  <c r="CB2350"/>
  <c r="BR2350"/>
  <c r="F2350"/>
  <c r="C2350"/>
  <c r="CC2349"/>
  <c r="CB2349"/>
  <c r="BR2349"/>
  <c r="F2349"/>
  <c r="C2349"/>
  <c r="CC2348"/>
  <c r="CB2348"/>
  <c r="BR2348"/>
  <c r="F2348"/>
  <c r="C2348"/>
  <c r="CC2347"/>
  <c r="CB2347"/>
  <c r="BR2347"/>
  <c r="F2347"/>
  <c r="C2347"/>
  <c r="CC2346"/>
  <c r="CB2346"/>
  <c r="BR2346"/>
  <c r="F2346"/>
  <c r="C2346"/>
  <c r="CC2345"/>
  <c r="CB2345"/>
  <c r="BR2345"/>
  <c r="F2345"/>
  <c r="C2345"/>
  <c r="CC2344"/>
  <c r="CB2344"/>
  <c r="BR2344"/>
  <c r="F2344"/>
  <c r="C2344"/>
  <c r="CC2343"/>
  <c r="CB2343"/>
  <c r="BR2343"/>
  <c r="F2343"/>
  <c r="C2343"/>
  <c r="CC2342"/>
  <c r="CB2342"/>
  <c r="BR2342"/>
  <c r="F2342"/>
  <c r="C2342"/>
  <c r="CC2341"/>
  <c r="CB2341"/>
  <c r="BR2341"/>
  <c r="F2341"/>
  <c r="C2341"/>
  <c r="CC2340"/>
  <c r="CB2340"/>
  <c r="BR2340"/>
  <c r="F2340"/>
  <c r="C2340"/>
  <c r="CC2339"/>
  <c r="CB2339"/>
  <c r="BR2339"/>
  <c r="F2339"/>
  <c r="C2339"/>
  <c r="CC2338"/>
  <c r="CB2338"/>
  <c r="BR2338"/>
  <c r="F2338"/>
  <c r="C2338"/>
  <c r="CC2337"/>
  <c r="CB2337"/>
  <c r="BR2337"/>
  <c r="F2337"/>
  <c r="C2337"/>
  <c r="CC2336"/>
  <c r="CB2336"/>
  <c r="BR2336"/>
  <c r="F2336"/>
  <c r="C2336"/>
  <c r="CC2335"/>
  <c r="CB2335"/>
  <c r="BR2335"/>
  <c r="F2335"/>
  <c r="C2335"/>
  <c r="CC2334"/>
  <c r="CB2334"/>
  <c r="BR2334"/>
  <c r="F2334"/>
  <c r="C2334"/>
  <c r="CC2333"/>
  <c r="CB2333"/>
  <c r="BR2333"/>
  <c r="F2333"/>
  <c r="C2333"/>
  <c r="CC2332"/>
  <c r="CB2332"/>
  <c r="BR2332"/>
  <c r="F2332"/>
  <c r="C2332"/>
  <c r="CC2331"/>
  <c r="CB2331"/>
  <c r="BR2331"/>
  <c r="F2331"/>
  <c r="C2331"/>
  <c r="CC2330"/>
  <c r="CB2330"/>
  <c r="BR2330"/>
  <c r="F2330"/>
  <c r="C2330"/>
  <c r="CC2329"/>
  <c r="CB2329"/>
  <c r="BR2329"/>
  <c r="F2329"/>
  <c r="C2329"/>
  <c r="CC2328"/>
  <c r="CB2328"/>
  <c r="BR2328"/>
  <c r="F2328"/>
  <c r="C2328"/>
  <c r="CC2327"/>
  <c r="CB2327"/>
  <c r="BR2327"/>
  <c r="F2327"/>
  <c r="C2327"/>
  <c r="CC2326"/>
  <c r="CB2326"/>
  <c r="BR2326"/>
  <c r="F2326"/>
  <c r="C2326"/>
  <c r="CC2325"/>
  <c r="CB2325"/>
  <c r="BR2325"/>
  <c r="F2325"/>
  <c r="C2325"/>
  <c r="CC2324"/>
  <c r="CB2324"/>
  <c r="BR2324"/>
  <c r="F2324"/>
  <c r="C2324"/>
  <c r="CC2323"/>
  <c r="CB2323"/>
  <c r="BR2323"/>
  <c r="F2323"/>
  <c r="C2323"/>
  <c r="CC2322"/>
  <c r="CB2322"/>
  <c r="BR2322"/>
  <c r="F2322"/>
  <c r="C2322"/>
  <c r="CC2321"/>
  <c r="CB2321"/>
  <c r="BR2321"/>
  <c r="F2321"/>
  <c r="C2321"/>
  <c r="CC2320"/>
  <c r="CB2320"/>
  <c r="BR2320"/>
  <c r="F2320"/>
  <c r="C2320"/>
  <c r="CC2319"/>
  <c r="CB2319"/>
  <c r="BR2319"/>
  <c r="F2319"/>
  <c r="C2319"/>
  <c r="CC2318"/>
  <c r="CB2318"/>
  <c r="BR2318"/>
  <c r="F2318"/>
  <c r="C2318"/>
  <c r="CC2317"/>
  <c r="CB2317"/>
  <c r="BR2317"/>
  <c r="F2317"/>
  <c r="C2317"/>
  <c r="CC2316"/>
  <c r="CB2316"/>
  <c r="BR2316"/>
  <c r="F2316"/>
  <c r="C2316"/>
  <c r="CC2315"/>
  <c r="CB2315"/>
  <c r="BR2315"/>
  <c r="F2315"/>
  <c r="C2315"/>
  <c r="CC2314"/>
  <c r="CB2314"/>
  <c r="BR2314"/>
  <c r="F2314"/>
  <c r="C2314"/>
  <c r="CC2313"/>
  <c r="CB2313"/>
  <c r="BR2313"/>
  <c r="F2313"/>
  <c r="C2313"/>
  <c r="CC2312"/>
  <c r="CB2312"/>
  <c r="BR2312"/>
  <c r="F2312"/>
  <c r="C2312"/>
  <c r="CC2311"/>
  <c r="CB2311"/>
  <c r="BR2311"/>
  <c r="F2311"/>
  <c r="C2311"/>
  <c r="CC2310"/>
  <c r="CB2310"/>
  <c r="BR2310"/>
  <c r="F2310"/>
  <c r="C2310"/>
  <c r="CC2309"/>
  <c r="CB2309"/>
  <c r="BR2309"/>
  <c r="F2309"/>
  <c r="C2309"/>
  <c r="CC2308"/>
  <c r="CB2308"/>
  <c r="BR2308"/>
  <c r="F2308"/>
  <c r="C2308"/>
  <c r="CC2307"/>
  <c r="CB2307"/>
  <c r="BR2307"/>
  <c r="F2307"/>
  <c r="C2307"/>
  <c r="CC2306"/>
  <c r="CB2306"/>
  <c r="BR2306"/>
  <c r="F2306"/>
  <c r="C2306"/>
  <c r="CC2305"/>
  <c r="CB2305"/>
  <c r="BR2305"/>
  <c r="F2305"/>
  <c r="C2305"/>
  <c r="CC2304"/>
  <c r="CB2304"/>
  <c r="BR2304"/>
  <c r="F2304"/>
  <c r="C2304"/>
  <c r="CC2303"/>
  <c r="CB2303"/>
  <c r="BR2303"/>
  <c r="F2303"/>
  <c r="C2303"/>
  <c r="CC2302"/>
  <c r="CB2302"/>
  <c r="BR2302"/>
  <c r="F2302"/>
  <c r="C2302"/>
  <c r="CC2301"/>
  <c r="CB2301"/>
  <c r="BR2301"/>
  <c r="F2301"/>
  <c r="C2301"/>
  <c r="CC2300"/>
  <c r="CB2300"/>
  <c r="BR2300"/>
  <c r="F2300"/>
  <c r="C2300"/>
  <c r="CC2299"/>
  <c r="CB2299"/>
  <c r="BR2299"/>
  <c r="F2299"/>
  <c r="C2299"/>
  <c r="CC2298"/>
  <c r="CB2298"/>
  <c r="BR2298"/>
  <c r="F2298"/>
  <c r="C2298"/>
  <c r="CC2297"/>
  <c r="CB2297"/>
  <c r="BR2297"/>
  <c r="F2297"/>
  <c r="C2297"/>
  <c r="CC2296"/>
  <c r="CB2296"/>
  <c r="BR2296"/>
  <c r="F2296"/>
  <c r="C2296"/>
  <c r="CC2295"/>
  <c r="CB2295"/>
  <c r="BR2295"/>
  <c r="F2295"/>
  <c r="C2295"/>
  <c r="CC2294"/>
  <c r="CB2294"/>
  <c r="BR2294"/>
  <c r="F2294"/>
  <c r="C2294"/>
  <c r="CC2293"/>
  <c r="CB2293"/>
  <c r="BR2293"/>
  <c r="F2293"/>
  <c r="C2293"/>
  <c r="CC2292"/>
  <c r="CB2292"/>
  <c r="BR2292"/>
  <c r="F2292"/>
  <c r="C2292"/>
  <c r="CC2291"/>
  <c r="CB2291"/>
  <c r="BR2291"/>
  <c r="F2291"/>
  <c r="C2291"/>
  <c r="CC2290"/>
  <c r="CB2290"/>
  <c r="BR2290"/>
  <c r="F2290"/>
  <c r="C2290"/>
  <c r="CC2289"/>
  <c r="CB2289"/>
  <c r="BR2289"/>
  <c r="F2289"/>
  <c r="C2289"/>
  <c r="CC2288"/>
  <c r="CB2288"/>
  <c r="BR2288"/>
  <c r="F2288"/>
  <c r="C2288"/>
  <c r="CC2287"/>
  <c r="CB2287"/>
  <c r="BR2287"/>
  <c r="F2287"/>
  <c r="C2287"/>
  <c r="CC2286"/>
  <c r="CB2286"/>
  <c r="BR2286"/>
  <c r="F2286"/>
  <c r="C2286"/>
  <c r="CC2285"/>
  <c r="CB2285"/>
  <c r="BR2285"/>
  <c r="F2285"/>
  <c r="C2285"/>
  <c r="CC2284"/>
  <c r="CB2284"/>
  <c r="BR2284"/>
  <c r="F2284"/>
  <c r="C2284"/>
  <c r="CC2283"/>
  <c r="CB2283"/>
  <c r="BR2283"/>
  <c r="F2283"/>
  <c r="C2283"/>
  <c r="CC2282"/>
  <c r="CB2282"/>
  <c r="BR2282"/>
  <c r="F2282"/>
  <c r="C2282"/>
  <c r="CC2281"/>
  <c r="CB2281"/>
  <c r="BR2281"/>
  <c r="F2281"/>
  <c r="C2281"/>
  <c r="CC2280"/>
  <c r="CB2280"/>
  <c r="BR2280"/>
  <c r="F2280"/>
  <c r="C2280"/>
  <c r="CC2279"/>
  <c r="CB2279"/>
  <c r="BR2279"/>
  <c r="F2279"/>
  <c r="C2279"/>
  <c r="CC2278"/>
  <c r="CB2278"/>
  <c r="BR2278"/>
  <c r="F2278"/>
  <c r="C2278"/>
  <c r="CC2277"/>
  <c r="CB2277"/>
  <c r="BR2277"/>
  <c r="F2277"/>
  <c r="C2277"/>
  <c r="CC2276"/>
  <c r="CB2276"/>
  <c r="BR2276"/>
  <c r="F2276"/>
  <c r="C2276"/>
  <c r="CC2275"/>
  <c r="CB2275"/>
  <c r="BR2275"/>
  <c r="F2275"/>
  <c r="C2275"/>
  <c r="CC2274"/>
  <c r="CB2274"/>
  <c r="BR2274"/>
  <c r="F2274"/>
  <c r="C2274"/>
  <c r="CC2273"/>
  <c r="CB2273"/>
  <c r="BR2273"/>
  <c r="F2273"/>
  <c r="C2273"/>
  <c r="CC2272"/>
  <c r="CB2272"/>
  <c r="BR2272"/>
  <c r="F2272"/>
  <c r="C2272"/>
  <c r="CC2271"/>
  <c r="CB2271"/>
  <c r="BR2271"/>
  <c r="F2271"/>
  <c r="C2271"/>
  <c r="CC2270"/>
  <c r="CB2270"/>
  <c r="BR2270"/>
  <c r="F2270"/>
  <c r="C2270"/>
  <c r="CC2269"/>
  <c r="CB2269"/>
  <c r="BR2269"/>
  <c r="F2269"/>
  <c r="C2269"/>
  <c r="CC2268"/>
  <c r="CB2268"/>
  <c r="BR2268"/>
  <c r="F2268"/>
  <c r="C2268"/>
  <c r="CC2267"/>
  <c r="CB2267"/>
  <c r="BR2267"/>
  <c r="F2267"/>
  <c r="C2267"/>
  <c r="CC2266"/>
  <c r="CB2266"/>
  <c r="BR2266"/>
  <c r="F2266"/>
  <c r="C2266"/>
  <c r="CC2265"/>
  <c r="CB2265"/>
  <c r="BR2265"/>
  <c r="F2265"/>
  <c r="C2265"/>
  <c r="CC2264"/>
  <c r="CB2264"/>
  <c r="BR2264"/>
  <c r="F2264"/>
  <c r="C2264"/>
  <c r="CC2263"/>
  <c r="CB2263"/>
  <c r="BR2263"/>
  <c r="F2263"/>
  <c r="C2263"/>
  <c r="CC2262"/>
  <c r="CB2262"/>
  <c r="BR2262"/>
  <c r="F2262"/>
  <c r="C2262"/>
  <c r="CC2261"/>
  <c r="CB2261"/>
  <c r="BR2261"/>
  <c r="F2261"/>
  <c r="C2261"/>
  <c r="CC2260"/>
  <c r="CB2260"/>
  <c r="BR2260"/>
  <c r="F2260"/>
  <c r="C2260"/>
  <c r="CC2259"/>
  <c r="CB2259"/>
  <c r="BR2259"/>
  <c r="F2259"/>
  <c r="C2259"/>
  <c r="CC2258"/>
  <c r="CB2258"/>
  <c r="BR2258"/>
  <c r="F2258"/>
  <c r="C2258"/>
  <c r="CC2257"/>
  <c r="CB2257"/>
  <c r="BR2257"/>
  <c r="F2257"/>
  <c r="C2257"/>
  <c r="CC2256"/>
  <c r="CB2256"/>
  <c r="BR2256"/>
  <c r="F2256"/>
  <c r="C2256"/>
  <c r="CC2255"/>
  <c r="CB2255"/>
  <c r="BR2255"/>
  <c r="F2255"/>
  <c r="C2255"/>
  <c r="CC2254"/>
  <c r="CB2254"/>
  <c r="BR2254"/>
  <c r="F2254"/>
  <c r="C2254"/>
  <c r="CC2253"/>
  <c r="CB2253"/>
  <c r="BR2253"/>
  <c r="F2253"/>
  <c r="C2253"/>
  <c r="CC2252"/>
  <c r="CB2252"/>
  <c r="BR2252"/>
  <c r="F2252"/>
  <c r="C2252"/>
  <c r="CC2251"/>
  <c r="CB2251"/>
  <c r="BR2251"/>
  <c r="F2251"/>
  <c r="C2251"/>
  <c r="CC2250"/>
  <c r="CB2250"/>
  <c r="BR2250"/>
  <c r="F2250"/>
  <c r="C2250"/>
  <c r="CC2249"/>
  <c r="CB2249"/>
  <c r="BR2249"/>
  <c r="F2249"/>
  <c r="C2249"/>
  <c r="CC2248"/>
  <c r="CB2248"/>
  <c r="BR2248"/>
  <c r="F2248"/>
  <c r="C2248"/>
  <c r="CC2247"/>
  <c r="CB2247"/>
  <c r="BR2247"/>
  <c r="F2247"/>
  <c r="C2247"/>
  <c r="CC2246"/>
  <c r="CB2246"/>
  <c r="BR2246"/>
  <c r="F2246"/>
  <c r="C2246"/>
  <c r="CC2245"/>
  <c r="CB2245"/>
  <c r="BR2245"/>
  <c r="F2245"/>
  <c r="C2245"/>
  <c r="CC2244"/>
  <c r="CB2244"/>
  <c r="BR2244"/>
  <c r="F2244"/>
  <c r="C2244"/>
  <c r="CC2243"/>
  <c r="CB2243"/>
  <c r="BR2243"/>
  <c r="F2243"/>
  <c r="C2243"/>
  <c r="CC2242"/>
  <c r="CB2242"/>
  <c r="BR2242"/>
  <c r="F2242"/>
  <c r="C2242"/>
  <c r="CC2241"/>
  <c r="CB2241"/>
  <c r="BR2241"/>
  <c r="F2241"/>
  <c r="C2241"/>
  <c r="CC2240"/>
  <c r="CB2240"/>
  <c r="BR2240"/>
  <c r="F2240"/>
  <c r="C2240"/>
  <c r="CC2239"/>
  <c r="CB2239"/>
  <c r="BR2239"/>
  <c r="F2239"/>
  <c r="C2239"/>
  <c r="CC2238"/>
  <c r="CB2238"/>
  <c r="BR2238"/>
  <c r="F2238"/>
  <c r="C2238"/>
  <c r="CC2237"/>
  <c r="CB2237"/>
  <c r="BR2237"/>
  <c r="F2237"/>
  <c r="C2237"/>
  <c r="CC2236"/>
  <c r="CB2236"/>
  <c r="BR2236"/>
  <c r="F2236"/>
  <c r="C2236"/>
  <c r="CC2235"/>
  <c r="CB2235"/>
  <c r="BR2235"/>
  <c r="F2235"/>
  <c r="C2235"/>
  <c r="CC2234"/>
  <c r="CB2234"/>
  <c r="BR2234"/>
  <c r="F2234"/>
  <c r="C2234"/>
  <c r="CC2233"/>
  <c r="CB2233"/>
  <c r="BR2233"/>
  <c r="F2233"/>
  <c r="C2233"/>
  <c r="CC2232"/>
  <c r="CB2232"/>
  <c r="BR2232"/>
  <c r="F2232"/>
  <c r="C2232"/>
  <c r="CC2231"/>
  <c r="CB2231"/>
  <c r="BR2231"/>
  <c r="F2231"/>
  <c r="C2231"/>
  <c r="CC2230"/>
  <c r="CB2230"/>
  <c r="BR2230"/>
  <c r="F2230"/>
  <c r="C2230"/>
  <c r="CC2229"/>
  <c r="CB2229"/>
  <c r="BR2229"/>
  <c r="F2229"/>
  <c r="C2229"/>
  <c r="CC2228"/>
  <c r="CB2228"/>
  <c r="BR2228"/>
  <c r="F2228"/>
  <c r="C2228"/>
  <c r="CC2227"/>
  <c r="CB2227"/>
  <c r="BR2227"/>
  <c r="F2227"/>
  <c r="C2227"/>
  <c r="CC2226"/>
  <c r="CB2226"/>
  <c r="BR2226"/>
  <c r="F2226"/>
  <c r="C2226"/>
  <c r="CC2225"/>
  <c r="CB2225"/>
  <c r="BR2225"/>
  <c r="F2225"/>
  <c r="C2225"/>
  <c r="CC2224"/>
  <c r="CB2224"/>
  <c r="BR2224"/>
  <c r="F2224"/>
  <c r="C2224"/>
  <c r="CC2223"/>
  <c r="CB2223"/>
  <c r="BR2223"/>
  <c r="F2223"/>
  <c r="C2223"/>
  <c r="CC2222"/>
  <c r="CB2222"/>
  <c r="BR2222"/>
  <c r="F2222"/>
  <c r="C2222"/>
  <c r="CC2221"/>
  <c r="CB2221"/>
  <c r="BR2221"/>
  <c r="F2221"/>
  <c r="C2221"/>
  <c r="CC2220"/>
  <c r="CB2220"/>
  <c r="BR2220"/>
  <c r="F2220"/>
  <c r="C2220"/>
  <c r="CC2219"/>
  <c r="CB2219"/>
  <c r="BR2219"/>
  <c r="F2219"/>
  <c r="C2219"/>
  <c r="CC2218"/>
  <c r="CB2218"/>
  <c r="BR2218"/>
  <c r="F2218"/>
  <c r="C2218"/>
  <c r="CC2217"/>
  <c r="CB2217"/>
  <c r="BR2217"/>
  <c r="F2217"/>
  <c r="C2217"/>
  <c r="CC2216"/>
  <c r="CB2216"/>
  <c r="BR2216"/>
  <c r="F2216"/>
  <c r="C2216"/>
  <c r="CC2215"/>
  <c r="CB2215"/>
  <c r="BR2215"/>
  <c r="F2215"/>
  <c r="C2215"/>
  <c r="CC2214"/>
  <c r="CB2214"/>
  <c r="BR2214"/>
  <c r="F2214"/>
  <c r="C2214"/>
  <c r="CC2213"/>
  <c r="CB2213"/>
  <c r="BR2213"/>
  <c r="F2213"/>
  <c r="C2213"/>
  <c r="CC2212"/>
  <c r="CB2212"/>
  <c r="BR2212"/>
  <c r="F2212"/>
  <c r="C2212"/>
  <c r="CC2211"/>
  <c r="CB2211"/>
  <c r="BR2211"/>
  <c r="F2211"/>
  <c r="C2211"/>
  <c r="CC2210"/>
  <c r="CB2210"/>
  <c r="BR2210"/>
  <c r="F2210"/>
  <c r="C2210"/>
  <c r="CC2209"/>
  <c r="CB2209"/>
  <c r="BR2209"/>
  <c r="F2209"/>
  <c r="C2209"/>
  <c r="CC2208"/>
  <c r="CB2208"/>
  <c r="BR2208"/>
  <c r="F2208"/>
  <c r="C2208"/>
  <c r="CC2207"/>
  <c r="CB2207"/>
  <c r="BR2207"/>
  <c r="F2207"/>
  <c r="C2207"/>
  <c r="CC2206"/>
  <c r="CB2206"/>
  <c r="BR2206"/>
  <c r="F2206"/>
  <c r="C2206"/>
  <c r="CC2205"/>
  <c r="CB2205"/>
  <c r="BR2205"/>
  <c r="F2205"/>
  <c r="C2205"/>
  <c r="CC2204"/>
  <c r="CB2204"/>
  <c r="BR2204"/>
  <c r="F2204"/>
  <c r="C2204"/>
  <c r="CC2203"/>
  <c r="CB2203"/>
  <c r="BR2203"/>
  <c r="F2203"/>
  <c r="C2203"/>
  <c r="CC2202"/>
  <c r="CB2202"/>
  <c r="BR2202"/>
  <c r="F2202"/>
  <c r="C2202"/>
  <c r="CC2201"/>
  <c r="CB2201"/>
  <c r="BR2201"/>
  <c r="F2201"/>
  <c r="C2201"/>
  <c r="CC2200"/>
  <c r="CB2200"/>
  <c r="BR2200"/>
  <c r="F2200"/>
  <c r="C2200"/>
  <c r="CC2199"/>
  <c r="CB2199"/>
  <c r="BR2199"/>
  <c r="F2199"/>
  <c r="C2199"/>
  <c r="CC2198"/>
  <c r="CB2198"/>
  <c r="BR2198"/>
  <c r="F2198"/>
  <c r="C2198"/>
  <c r="CC2197"/>
  <c r="CB2197"/>
  <c r="BR2197"/>
  <c r="F2197"/>
  <c r="C2197"/>
  <c r="CC2196"/>
  <c r="CB2196"/>
  <c r="BR2196"/>
  <c r="F2196"/>
  <c r="C2196"/>
  <c r="CC2195"/>
  <c r="CB2195"/>
  <c r="BR2195"/>
  <c r="F2195"/>
  <c r="C2195"/>
  <c r="CC2194"/>
  <c r="CB2194"/>
  <c r="BR2194"/>
  <c r="F2194"/>
  <c r="C2194"/>
  <c r="CC2193"/>
  <c r="CB2193"/>
  <c r="BR2193"/>
  <c r="F2193"/>
  <c r="C2193"/>
  <c r="CC2192"/>
  <c r="CB2192"/>
  <c r="BR2192"/>
  <c r="F2192"/>
  <c r="C2192"/>
  <c r="CC2191"/>
  <c r="CB2191"/>
  <c r="BR2191"/>
  <c r="F2191"/>
  <c r="C2191"/>
  <c r="CC2190"/>
  <c r="CB2190"/>
  <c r="BR2190"/>
  <c r="F2190"/>
  <c r="C2190"/>
  <c r="CC2189"/>
  <c r="CB2189"/>
  <c r="BR2189"/>
  <c r="F2189"/>
  <c r="C2189"/>
  <c r="CC2188"/>
  <c r="CB2188"/>
  <c r="BR2188"/>
  <c r="F2188"/>
  <c r="C2188"/>
  <c r="CC2187"/>
  <c r="CB2187"/>
  <c r="BR2187"/>
  <c r="F2187"/>
  <c r="C2187"/>
  <c r="CC2186"/>
  <c r="CB2186"/>
  <c r="BR2186"/>
  <c r="F2186"/>
  <c r="C2186"/>
  <c r="CC2185"/>
  <c r="CB2185"/>
  <c r="BR2185"/>
  <c r="F2185"/>
  <c r="C2185"/>
  <c r="CC2184"/>
  <c r="CB2184"/>
  <c r="BR2184"/>
  <c r="F2184"/>
  <c r="C2184"/>
  <c r="CC2183"/>
  <c r="CB2183"/>
  <c r="BR2183"/>
  <c r="F2183"/>
  <c r="C2183"/>
  <c r="CC2182"/>
  <c r="CB2182"/>
  <c r="BR2182"/>
  <c r="F2182"/>
  <c r="C2182"/>
  <c r="CC2181"/>
  <c r="CB2181"/>
  <c r="BR2181"/>
  <c r="F2181"/>
  <c r="C2181"/>
  <c r="CC2180"/>
  <c r="CB2180"/>
  <c r="BR2180"/>
  <c r="F2180"/>
  <c r="C2180"/>
  <c r="CC2179"/>
  <c r="CB2179"/>
  <c r="BR2179"/>
  <c r="F2179"/>
  <c r="C2179"/>
  <c r="CC2178"/>
  <c r="CB2178"/>
  <c r="BR2178"/>
  <c r="F2178"/>
  <c r="C2178"/>
  <c r="CC2177"/>
  <c r="CB2177"/>
  <c r="BR2177"/>
  <c r="F2177"/>
  <c r="C2177"/>
  <c r="CC2176"/>
  <c r="CB2176"/>
  <c r="BR2176"/>
  <c r="F2176"/>
  <c r="C2176"/>
  <c r="CC2175"/>
  <c r="CB2175"/>
  <c r="BR2175"/>
  <c r="F2175"/>
  <c r="C2175"/>
  <c r="CC2174"/>
  <c r="CB2174"/>
  <c r="BR2174"/>
  <c r="F2174"/>
  <c r="C2174"/>
  <c r="CC2173"/>
  <c r="CB2173"/>
  <c r="BR2173"/>
  <c r="F2173"/>
  <c r="C2173"/>
  <c r="CC2172"/>
  <c r="CB2172"/>
  <c r="BR2172"/>
  <c r="F2172"/>
  <c r="C2172"/>
  <c r="CC2171"/>
  <c r="CB2171"/>
  <c r="BR2171"/>
  <c r="F2171"/>
  <c r="C2171"/>
  <c r="CC2170"/>
  <c r="CB2170"/>
  <c r="BR2170"/>
  <c r="F2170"/>
  <c r="C2170"/>
  <c r="CC2169"/>
  <c r="CB2169"/>
  <c r="BR2169"/>
  <c r="F2169"/>
  <c r="C2169"/>
  <c r="CC2168"/>
  <c r="CB2168"/>
  <c r="BR2168"/>
  <c r="F2168"/>
  <c r="C2168"/>
  <c r="CC2167"/>
  <c r="CB2167"/>
  <c r="BR2167"/>
  <c r="F2167"/>
  <c r="C2167"/>
  <c r="CC2166"/>
  <c r="CB2166"/>
  <c r="BR2166"/>
  <c r="F2166"/>
  <c r="C2166"/>
  <c r="CC2165"/>
  <c r="CB2165"/>
  <c r="BR2165"/>
  <c r="F2165"/>
  <c r="C2165"/>
  <c r="CC2164"/>
  <c r="CB2164"/>
  <c r="BR2164"/>
  <c r="F2164"/>
  <c r="C2164"/>
  <c r="CC2163"/>
  <c r="CB2163"/>
  <c r="BR2163"/>
  <c r="F2163"/>
  <c r="C2163"/>
  <c r="CC2162"/>
  <c r="CB2162"/>
  <c r="BR2162"/>
  <c r="F2162"/>
  <c r="C2162"/>
  <c r="CC2161"/>
  <c r="CB2161"/>
  <c r="BR2161"/>
  <c r="F2161"/>
  <c r="C2161"/>
  <c r="CC2160"/>
  <c r="CB2160"/>
  <c r="BR2160"/>
  <c r="F2160"/>
  <c r="C2160"/>
  <c r="CC2159"/>
  <c r="CB2159"/>
  <c r="BR2159"/>
  <c r="F2159"/>
  <c r="C2159"/>
  <c r="CC2158"/>
  <c r="CB2158"/>
  <c r="BR2158"/>
  <c r="F2158"/>
  <c r="C2158"/>
  <c r="CC2157"/>
  <c r="CB2157"/>
  <c r="BR2157"/>
  <c r="F2157"/>
  <c r="C2157"/>
  <c r="CC2156"/>
  <c r="CB2156"/>
  <c r="BR2156"/>
  <c r="F2156"/>
  <c r="C2156"/>
  <c r="CC2155"/>
  <c r="CB2155"/>
  <c r="BR2155"/>
  <c r="F2155"/>
  <c r="C2155"/>
  <c r="CC2154"/>
  <c r="CB2154"/>
  <c r="BR2154"/>
  <c r="F2154"/>
  <c r="C2154"/>
  <c r="CC2153"/>
  <c r="CB2153"/>
  <c r="BR2153"/>
  <c r="F2153"/>
  <c r="C2153"/>
  <c r="CC2152"/>
  <c r="CB2152"/>
  <c r="BR2152"/>
  <c r="F2152"/>
  <c r="C2152"/>
  <c r="CC2151"/>
  <c r="CB2151"/>
  <c r="BR2151"/>
  <c r="F2151"/>
  <c r="C2151"/>
  <c r="CC2150"/>
  <c r="CB2150"/>
  <c r="BR2150"/>
  <c r="F2150"/>
  <c r="C2150"/>
  <c r="CC2149"/>
  <c r="CB2149"/>
  <c r="BR2149"/>
  <c r="F2149"/>
  <c r="C2149"/>
  <c r="CC2148"/>
  <c r="CB2148"/>
  <c r="BR2148"/>
  <c r="F2148"/>
  <c r="C2148"/>
  <c r="CC2147"/>
  <c r="CB2147"/>
  <c r="BR2147"/>
  <c r="F2147"/>
  <c r="C2147"/>
  <c r="CC2146"/>
  <c r="CB2146"/>
  <c r="BR2146"/>
  <c r="F2146"/>
  <c r="C2146"/>
  <c r="CC2145"/>
  <c r="CB2145"/>
  <c r="BR2145"/>
  <c r="F2145"/>
  <c r="C2145"/>
  <c r="CC2144"/>
  <c r="CB2144"/>
  <c r="BR2144"/>
  <c r="F2144"/>
  <c r="C2144"/>
  <c r="CC2143"/>
  <c r="CB2143"/>
  <c r="BR2143"/>
  <c r="F2143"/>
  <c r="C2143"/>
  <c r="CC2142"/>
  <c r="CB2142"/>
  <c r="BR2142"/>
  <c r="F2142"/>
  <c r="C2142"/>
  <c r="CC2141"/>
  <c r="CB2141"/>
  <c r="BR2141"/>
  <c r="F2141"/>
  <c r="C2141"/>
  <c r="CC2140"/>
  <c r="CB2140"/>
  <c r="BR2140"/>
  <c r="F2140"/>
  <c r="C2140"/>
  <c r="CC2139"/>
  <c r="CB2139"/>
  <c r="BR2139"/>
  <c r="F2139"/>
  <c r="C2139"/>
  <c r="CC2138"/>
  <c r="CB2138"/>
  <c r="BR2138"/>
  <c r="F2138"/>
  <c r="C2138"/>
  <c r="CC2137"/>
  <c r="CB2137"/>
  <c r="BR2137"/>
  <c r="F2137"/>
  <c r="C2137"/>
  <c r="CC2136"/>
  <c r="CB2136"/>
  <c r="BR2136"/>
  <c r="F2136"/>
  <c r="C2136"/>
  <c r="CC2135"/>
  <c r="CB2135"/>
  <c r="BR2135"/>
  <c r="F2135"/>
  <c r="C2135"/>
  <c r="CC2134"/>
  <c r="CB2134"/>
  <c r="BR2134"/>
  <c r="F2134"/>
  <c r="C2134"/>
  <c r="CC2133"/>
  <c r="CB2133"/>
  <c r="BR2133"/>
  <c r="F2133"/>
  <c r="C2133"/>
  <c r="CC2132"/>
  <c r="CB2132"/>
  <c r="BR2132"/>
  <c r="F2132"/>
  <c r="C2132"/>
  <c r="CC2131"/>
  <c r="CB2131"/>
  <c r="BR2131"/>
  <c r="F2131"/>
  <c r="C2131"/>
  <c r="CC2130"/>
  <c r="CB2130"/>
  <c r="BR2130"/>
  <c r="F2130"/>
  <c r="C2130"/>
  <c r="CC2129"/>
  <c r="CB2129"/>
  <c r="BR2129"/>
  <c r="F2129"/>
  <c r="C2129"/>
  <c r="CC2128"/>
  <c r="CB2128"/>
  <c r="BR2128"/>
  <c r="F2128"/>
  <c r="C2128"/>
  <c r="CC2127"/>
  <c r="CB2127"/>
  <c r="BR2127"/>
  <c r="F2127"/>
  <c r="C2127"/>
  <c r="CC2126"/>
  <c r="CB2126"/>
  <c r="BR2126"/>
  <c r="F2126"/>
  <c r="C2126"/>
  <c r="CC2125"/>
  <c r="CB2125"/>
  <c r="BR2125"/>
  <c r="F2125"/>
  <c r="C2125"/>
  <c r="CC2124"/>
  <c r="CB2124"/>
  <c r="BR2124"/>
  <c r="F2124"/>
  <c r="C2124"/>
  <c r="CC2123"/>
  <c r="CB2123"/>
  <c r="BR2123"/>
  <c r="F2123"/>
  <c r="C2123"/>
  <c r="CC2122"/>
  <c r="CB2122"/>
  <c r="BR2122"/>
  <c r="F2122"/>
  <c r="C2122"/>
  <c r="CC2121"/>
  <c r="CB2121"/>
  <c r="BR2121"/>
  <c r="F2121"/>
  <c r="C2121"/>
  <c r="CC2120"/>
  <c r="CB2120"/>
  <c r="BR2120"/>
  <c r="F2120"/>
  <c r="C2120"/>
  <c r="CC2119"/>
  <c r="CB2119"/>
  <c r="BR2119"/>
  <c r="F2119"/>
  <c r="C2119"/>
  <c r="CC2118"/>
  <c r="CB2118"/>
  <c r="BR2118"/>
  <c r="F2118"/>
  <c r="C2118"/>
  <c r="CC2117"/>
  <c r="CB2117"/>
  <c r="BR2117"/>
  <c r="F2117"/>
  <c r="C2117"/>
  <c r="CC2116"/>
  <c r="CB2116"/>
  <c r="BR2116"/>
  <c r="F2116"/>
  <c r="C2116"/>
  <c r="CC2115"/>
  <c r="CB2115"/>
  <c r="BR2115"/>
  <c r="F2115"/>
  <c r="C2115"/>
  <c r="CC2114"/>
  <c r="CB2114"/>
  <c r="BR2114"/>
  <c r="F2114"/>
  <c r="C2114"/>
  <c r="CC2113"/>
  <c r="CB2113"/>
  <c r="BR2113"/>
  <c r="F2113"/>
  <c r="C2113"/>
  <c r="CC2112"/>
  <c r="CB2112"/>
  <c r="BR2112"/>
  <c r="F2112"/>
  <c r="C2112"/>
  <c r="CC2111"/>
  <c r="CB2111"/>
  <c r="BR2111"/>
  <c r="F2111"/>
  <c r="C2111"/>
  <c r="CC2110"/>
  <c r="CB2110"/>
  <c r="BR2110"/>
  <c r="F2110"/>
  <c r="C2110"/>
  <c r="CC2109"/>
  <c r="CB2109"/>
  <c r="BR2109"/>
  <c r="F2109"/>
  <c r="C2109"/>
  <c r="CC2108"/>
  <c r="CB2108"/>
  <c r="BR2108"/>
  <c r="F2108"/>
  <c r="C2108"/>
  <c r="CC2107"/>
  <c r="CB2107"/>
  <c r="BR2107"/>
  <c r="F2107"/>
  <c r="C2107"/>
  <c r="CC2106"/>
  <c r="CB2106"/>
  <c r="BR2106"/>
  <c r="F2106"/>
  <c r="C2106"/>
  <c r="CC2105"/>
  <c r="CB2105"/>
  <c r="BR2105"/>
  <c r="F2105"/>
  <c r="C2105"/>
  <c r="CC2104"/>
  <c r="CB2104"/>
  <c r="BR2104"/>
  <c r="F2104"/>
  <c r="C2104"/>
  <c r="CC2103"/>
  <c r="CB2103"/>
  <c r="BR2103"/>
  <c r="F2103"/>
  <c r="C2103"/>
  <c r="CC2102"/>
  <c r="CB2102"/>
  <c r="BR2102"/>
  <c r="F2102"/>
  <c r="C2102"/>
  <c r="CC2101"/>
  <c r="CB2101"/>
  <c r="BR2101"/>
  <c r="F2101"/>
  <c r="C2101"/>
  <c r="CC2100"/>
  <c r="CB2100"/>
  <c r="BR2100"/>
  <c r="F2100"/>
  <c r="C2100"/>
  <c r="CC2099"/>
  <c r="CB2099"/>
  <c r="BR2099"/>
  <c r="F2099"/>
  <c r="C2099"/>
  <c r="CC2098"/>
  <c r="CB2098"/>
  <c r="BR2098"/>
  <c r="F2098"/>
  <c r="C2098"/>
  <c r="CC2097"/>
  <c r="CB2097"/>
  <c r="BR2097"/>
  <c r="F2097"/>
  <c r="C2097"/>
  <c r="CC2096"/>
  <c r="CB2096"/>
  <c r="BR2096"/>
  <c r="F2096"/>
  <c r="C2096"/>
  <c r="CC2095"/>
  <c r="CB2095"/>
  <c r="BR2095"/>
  <c r="F2095"/>
  <c r="C2095"/>
  <c r="CC2094"/>
  <c r="CB2094"/>
  <c r="BR2094"/>
  <c r="F2094"/>
  <c r="C2094"/>
  <c r="CC2093"/>
  <c r="CB2093"/>
  <c r="BR2093"/>
  <c r="F2093"/>
  <c r="C2093"/>
  <c r="CC2092"/>
  <c r="CB2092"/>
  <c r="BR2092"/>
  <c r="F2092"/>
  <c r="C2092"/>
  <c r="CC2091"/>
  <c r="CB2091"/>
  <c r="BR2091"/>
  <c r="F2091"/>
  <c r="C2091"/>
  <c r="CC2090"/>
  <c r="CB2090"/>
  <c r="BR2090"/>
  <c r="F2090"/>
  <c r="C2090"/>
  <c r="CC2089"/>
  <c r="CB2089"/>
  <c r="BR2089"/>
  <c r="F2089"/>
  <c r="C2089"/>
  <c r="CC2088"/>
  <c r="CB2088"/>
  <c r="BR2088"/>
  <c r="F2088"/>
  <c r="C2088"/>
  <c r="CC2087"/>
  <c r="CB2087"/>
  <c r="BR2087"/>
  <c r="F2087"/>
  <c r="C2087"/>
  <c r="CC2086"/>
  <c r="CB2086"/>
  <c r="BR2086"/>
  <c r="F2086"/>
  <c r="C2086"/>
  <c r="CC2085"/>
  <c r="CB2085"/>
  <c r="BR2085"/>
  <c r="F2085"/>
  <c r="C2085"/>
  <c r="CC2084"/>
  <c r="CB2084"/>
  <c r="BR2084"/>
  <c r="F2084"/>
  <c r="C2084"/>
  <c r="CC2083"/>
  <c r="CB2083"/>
  <c r="BR2083"/>
  <c r="F2083"/>
  <c r="C2083"/>
  <c r="CC2082"/>
  <c r="CB2082"/>
  <c r="BR2082"/>
  <c r="F2082"/>
  <c r="C2082"/>
  <c r="CC2081"/>
  <c r="CB2081"/>
  <c r="BR2081"/>
  <c r="F2081"/>
  <c r="C2081"/>
  <c r="CC2080"/>
  <c r="CB2080"/>
  <c r="BR2080"/>
  <c r="F2080"/>
  <c r="C2080"/>
  <c r="CC2079"/>
  <c r="CB2079"/>
  <c r="BR2079"/>
  <c r="F2079"/>
  <c r="C2079"/>
  <c r="CC2078"/>
  <c r="CB2078"/>
  <c r="BR2078"/>
  <c r="F2078"/>
  <c r="C2078"/>
  <c r="CC2077"/>
  <c r="CB2077"/>
  <c r="BR2077"/>
  <c r="F2077"/>
  <c r="C2077"/>
  <c r="CC2076"/>
  <c r="CB2076"/>
  <c r="BR2076"/>
  <c r="F2076"/>
  <c r="C2076"/>
  <c r="CC2075"/>
  <c r="CB2075"/>
  <c r="BR2075"/>
  <c r="F2075"/>
  <c r="C2075"/>
  <c r="CC2074"/>
  <c r="CB2074"/>
  <c r="BR2074"/>
  <c r="F2074"/>
  <c r="C2074"/>
  <c r="CC2073"/>
  <c r="CB2073"/>
  <c r="BR2073"/>
  <c r="F2073"/>
  <c r="C2073"/>
  <c r="CC2072"/>
  <c r="CB2072"/>
  <c r="BR2072"/>
  <c r="F2072"/>
  <c r="C2072"/>
  <c r="CC2071"/>
  <c r="CB2071"/>
  <c r="BR2071"/>
  <c r="F2071"/>
  <c r="C2071"/>
  <c r="CC2070"/>
  <c r="CB2070"/>
  <c r="BR2070"/>
  <c r="F2070"/>
  <c r="C2070"/>
  <c r="CC2069"/>
  <c r="CB2069"/>
  <c r="BR2069"/>
  <c r="F2069"/>
  <c r="C2069"/>
  <c r="CC2068"/>
  <c r="CB2068"/>
  <c r="BR2068"/>
  <c r="F2068"/>
  <c r="C2068"/>
  <c r="CC2067"/>
  <c r="CB2067"/>
  <c r="BR2067"/>
  <c r="F2067"/>
  <c r="C2067"/>
  <c r="CC2066"/>
  <c r="CB2066"/>
  <c r="BR2066"/>
  <c r="F2066"/>
  <c r="C2066"/>
  <c r="CC2065"/>
  <c r="CB2065"/>
  <c r="BR2065"/>
  <c r="F2065"/>
  <c r="C2065"/>
  <c r="CC2064"/>
  <c r="CB2064"/>
  <c r="BR2064"/>
  <c r="F2064"/>
  <c r="C2064"/>
  <c r="CC2063"/>
  <c r="CB2063"/>
  <c r="BR2063"/>
  <c r="F2063"/>
  <c r="C2063"/>
  <c r="CC2062"/>
  <c r="CB2062"/>
  <c r="BR2062"/>
  <c r="F2062"/>
  <c r="C2062"/>
  <c r="CC2061"/>
  <c r="CB2061"/>
  <c r="BR2061"/>
  <c r="F2061"/>
  <c r="C2061"/>
  <c r="CC2060"/>
  <c r="CB2060"/>
  <c r="BR2060"/>
  <c r="F2060"/>
  <c r="C2060"/>
  <c r="CC2059"/>
  <c r="CB2059"/>
  <c r="BR2059"/>
  <c r="F2059"/>
  <c r="C2059"/>
  <c r="CC2058"/>
  <c r="CB2058"/>
  <c r="BR2058"/>
  <c r="F2058"/>
  <c r="C2058"/>
  <c r="CC2057"/>
  <c r="CB2057"/>
  <c r="BR2057"/>
  <c r="F2057"/>
  <c r="C2057"/>
  <c r="CC2056"/>
  <c r="CB2056"/>
  <c r="BR2056"/>
  <c r="F2056"/>
  <c r="C2056"/>
  <c r="CC2055"/>
  <c r="CB2055"/>
  <c r="BR2055"/>
  <c r="F2055"/>
  <c r="C2055"/>
  <c r="CC2054"/>
  <c r="CB2054"/>
  <c r="BR2054"/>
  <c r="F2054"/>
  <c r="C2054"/>
  <c r="CC2053"/>
  <c r="CB2053"/>
  <c r="BR2053"/>
  <c r="F2053"/>
  <c r="C2053"/>
  <c r="CC2052"/>
  <c r="CB2052"/>
  <c r="BR2052"/>
  <c r="F2052"/>
  <c r="C2052"/>
  <c r="CC2051"/>
  <c r="CB2051"/>
  <c r="BR2051"/>
  <c r="F2051"/>
  <c r="C2051"/>
  <c r="CC2050"/>
  <c r="CB2050"/>
  <c r="BR2050"/>
  <c r="F2050"/>
  <c r="C2050"/>
  <c r="CC2049"/>
  <c r="CB2049"/>
  <c r="BR2049"/>
  <c r="F2049"/>
  <c r="C2049"/>
  <c r="CC2048"/>
  <c r="CB2048"/>
  <c r="BR2048"/>
  <c r="F2048"/>
  <c r="C2048"/>
  <c r="CC2047"/>
  <c r="CB2047"/>
  <c r="BR2047"/>
  <c r="F2047"/>
  <c r="C2047"/>
  <c r="CC2046"/>
  <c r="CB2046"/>
  <c r="BR2046"/>
  <c r="F2046"/>
  <c r="C2046"/>
  <c r="CC2045"/>
  <c r="CB2045"/>
  <c r="BR2045"/>
  <c r="F2045"/>
  <c r="C2045"/>
  <c r="CC2044"/>
  <c r="CB2044"/>
  <c r="BR2044"/>
  <c r="F2044"/>
  <c r="C2044"/>
  <c r="CC2043"/>
  <c r="CB2043"/>
  <c r="BR2043"/>
  <c r="F2043"/>
  <c r="C2043"/>
  <c r="CC2042"/>
  <c r="CB2042"/>
  <c r="BR2042"/>
  <c r="F2042"/>
  <c r="C2042"/>
  <c r="CC2041"/>
  <c r="CB2041"/>
  <c r="BR2041"/>
  <c r="F2041"/>
  <c r="C2041"/>
  <c r="CC2040"/>
  <c r="CB2040"/>
  <c r="BR2040"/>
  <c r="F2040"/>
  <c r="C2040"/>
  <c r="CC2039"/>
  <c r="CB2039"/>
  <c r="BR2039"/>
  <c r="F2039"/>
  <c r="C2039"/>
  <c r="CC2038"/>
  <c r="CB2038"/>
  <c r="BR2038"/>
  <c r="F2038"/>
  <c r="C2038"/>
  <c r="CC2037"/>
  <c r="CB2037"/>
  <c r="BR2037"/>
  <c r="F2037"/>
  <c r="C2037"/>
  <c r="CC2036"/>
  <c r="CB2036"/>
  <c r="BR2036"/>
  <c r="F2036"/>
  <c r="C2036"/>
  <c r="CC2035"/>
  <c r="CB2035"/>
  <c r="BR2035"/>
  <c r="F2035"/>
  <c r="C2035"/>
  <c r="CC2034"/>
  <c r="CB2034"/>
  <c r="BR2034"/>
  <c r="F2034"/>
  <c r="C2034"/>
  <c r="CC2033"/>
  <c r="CB2033"/>
  <c r="BR2033"/>
  <c r="F2033"/>
  <c r="C2033"/>
  <c r="CC2032"/>
  <c r="CB2032"/>
  <c r="BR2032"/>
  <c r="F2032"/>
  <c r="C2032"/>
  <c r="CC2031"/>
  <c r="CB2031"/>
  <c r="BR2031"/>
  <c r="F2031"/>
  <c r="C2031"/>
  <c r="CC2030"/>
  <c r="CB2030"/>
  <c r="BR2030"/>
  <c r="F2030"/>
  <c r="C2030"/>
  <c r="CC2029"/>
  <c r="CB2029"/>
  <c r="BR2029"/>
  <c r="F2029"/>
  <c r="C2029"/>
  <c r="CC2028"/>
  <c r="CB2028"/>
  <c r="BR2028"/>
  <c r="F2028"/>
  <c r="C2028"/>
  <c r="CC2027"/>
  <c r="CB2027"/>
  <c r="BR2027"/>
  <c r="F2027"/>
  <c r="C2027"/>
  <c r="CC2026"/>
  <c r="CB2026"/>
  <c r="BR2026"/>
  <c r="F2026"/>
  <c r="C2026"/>
  <c r="CC2025"/>
  <c r="CB2025"/>
  <c r="BR2025"/>
  <c r="F2025"/>
  <c r="C2025"/>
  <c r="CC2024"/>
  <c r="CB2024"/>
  <c r="BR2024"/>
  <c r="F2024"/>
  <c r="C2024"/>
  <c r="CC2023"/>
  <c r="CB2023"/>
  <c r="BR2023"/>
  <c r="F2023"/>
  <c r="C2023"/>
  <c r="CC2022"/>
  <c r="CB2022"/>
  <c r="BR2022"/>
  <c r="F2022"/>
  <c r="C2022"/>
  <c r="CC2021"/>
  <c r="CB2021"/>
  <c r="BR2021"/>
  <c r="F2021"/>
  <c r="C2021"/>
  <c r="CC2020"/>
  <c r="CB2020"/>
  <c r="BR2020"/>
  <c r="F2020"/>
  <c r="C2020"/>
  <c r="CC2019"/>
  <c r="CB2019"/>
  <c r="BR2019"/>
  <c r="F2019"/>
  <c r="C2019"/>
  <c r="CC2018"/>
  <c r="CB2018"/>
  <c r="BR2018"/>
  <c r="F2018"/>
  <c r="C2018"/>
  <c r="CC2017"/>
  <c r="CB2017"/>
  <c r="BR2017"/>
  <c r="F2017"/>
  <c r="C2017"/>
  <c r="CC2016"/>
  <c r="CB2016"/>
  <c r="BR2016"/>
  <c r="F2016"/>
  <c r="C2016"/>
  <c r="CC2015"/>
  <c r="CB2015"/>
  <c r="BR2015"/>
  <c r="F2015"/>
  <c r="C2015"/>
  <c r="CC2014"/>
  <c r="CB2014"/>
  <c r="BR2014"/>
  <c r="F2014"/>
  <c r="C2014"/>
  <c r="CC2013"/>
  <c r="CB2013"/>
  <c r="BR2013"/>
  <c r="F2013"/>
  <c r="C2013"/>
  <c r="CC2012"/>
  <c r="CB2012"/>
  <c r="BR2012"/>
  <c r="F2012"/>
  <c r="C2012"/>
  <c r="CC2011"/>
  <c r="CB2011"/>
  <c r="BR2011"/>
  <c r="F2011"/>
  <c r="C2011"/>
  <c r="CC2010"/>
  <c r="CB2010"/>
  <c r="BR2010"/>
  <c r="F2010"/>
  <c r="C2010"/>
  <c r="CC2009"/>
  <c r="CB2009"/>
  <c r="BR2009"/>
  <c r="F2009"/>
  <c r="C2009"/>
  <c r="CC2008"/>
  <c r="CB2008"/>
  <c r="BR2008"/>
  <c r="F2008"/>
  <c r="C2008"/>
  <c r="CC2007"/>
  <c r="CB2007"/>
  <c r="BR2007"/>
  <c r="F2007"/>
  <c r="C2007"/>
  <c r="CC2006"/>
  <c r="CB2006"/>
  <c r="BR2006"/>
  <c r="F2006"/>
  <c r="C2006"/>
  <c r="CC2005"/>
  <c r="CB2005"/>
  <c r="BR2005"/>
  <c r="F2005"/>
  <c r="C2005"/>
  <c r="CC2004"/>
  <c r="CB2004"/>
  <c r="BR2004"/>
  <c r="F2004"/>
  <c r="C2004"/>
  <c r="CC2003"/>
  <c r="CB2003"/>
  <c r="BR2003"/>
  <c r="F2003"/>
  <c r="C2003"/>
  <c r="CC2002"/>
  <c r="CB2002"/>
  <c r="BR2002"/>
  <c r="F2002"/>
  <c r="C2002"/>
  <c r="CC2001"/>
  <c r="CB2001"/>
  <c r="BR2001"/>
  <c r="F2001"/>
  <c r="C2001"/>
  <c r="CC2000"/>
  <c r="CB2000"/>
  <c r="BR2000"/>
  <c r="F2000"/>
  <c r="C2000"/>
  <c r="CC1999"/>
  <c r="CB1999"/>
  <c r="BR1999"/>
  <c r="F1999"/>
  <c r="C1999"/>
  <c r="CC1998"/>
  <c r="CB1998"/>
  <c r="BR1998"/>
  <c r="F1998"/>
  <c r="C1998"/>
  <c r="CC1997"/>
  <c r="CB1997"/>
  <c r="BR1997"/>
  <c r="F1997"/>
  <c r="C1997"/>
  <c r="CC1996"/>
  <c r="CB1996"/>
  <c r="BR1996"/>
  <c r="F1996"/>
  <c r="C1996"/>
  <c r="CC1995"/>
  <c r="CB1995"/>
  <c r="BR1995"/>
  <c r="F1995"/>
  <c r="C1995"/>
  <c r="CC1994"/>
  <c r="CB1994"/>
  <c r="BR1994"/>
  <c r="F1994"/>
  <c r="C1994"/>
  <c r="CC1993"/>
  <c r="CB1993"/>
  <c r="BR1993"/>
  <c r="F1993"/>
  <c r="C1993"/>
  <c r="CC1992"/>
  <c r="CB1992"/>
  <c r="BR1992"/>
  <c r="F1992"/>
  <c r="C1992"/>
  <c r="CC1991"/>
  <c r="CB1991"/>
  <c r="BR1991"/>
  <c r="F1991"/>
  <c r="C1991"/>
  <c r="CC1990"/>
  <c r="CB1990"/>
  <c r="BR1990"/>
  <c r="F1990"/>
  <c r="C1990"/>
  <c r="CC1989"/>
  <c r="CB1989"/>
  <c r="BR1989"/>
  <c r="F1989"/>
  <c r="C1989"/>
  <c r="CC1988"/>
  <c r="CB1988"/>
  <c r="BR1988"/>
  <c r="F1988"/>
  <c r="C1988"/>
  <c r="CC1987"/>
  <c r="CB1987"/>
  <c r="BR1987"/>
  <c r="F1987"/>
  <c r="C1987"/>
  <c r="CC1986"/>
  <c r="CB1986"/>
  <c r="BR1986"/>
  <c r="F1986"/>
  <c r="C1986"/>
  <c r="CC1985"/>
  <c r="CB1985"/>
  <c r="BR1985"/>
  <c r="F1985"/>
  <c r="C1985"/>
  <c r="CC1984"/>
  <c r="CB1984"/>
  <c r="BR1984"/>
  <c r="F1984"/>
  <c r="C1984"/>
  <c r="CC1983"/>
  <c r="CB1983"/>
  <c r="BR1983"/>
  <c r="F1983"/>
  <c r="C1983"/>
  <c r="CC1982"/>
  <c r="CB1982"/>
  <c r="BR1982"/>
  <c r="F1982"/>
  <c r="C1982"/>
  <c r="CC1981"/>
  <c r="CB1981"/>
  <c r="BR1981"/>
  <c r="F1981"/>
  <c r="C1981"/>
  <c r="CC1980"/>
  <c r="CB1980"/>
  <c r="BR1980"/>
  <c r="F1980"/>
  <c r="C1980"/>
  <c r="CC1979"/>
  <c r="CB1979"/>
  <c r="BR1979"/>
  <c r="F1979"/>
  <c r="C1979"/>
  <c r="CC1978"/>
  <c r="CB1978"/>
  <c r="BR1978"/>
  <c r="F1978"/>
  <c r="C1978"/>
  <c r="CC1977"/>
  <c r="CB1977"/>
  <c r="BR1977"/>
  <c r="F1977"/>
  <c r="C1977"/>
  <c r="CC1976"/>
  <c r="CB1976"/>
  <c r="BR1976"/>
  <c r="F1976"/>
  <c r="C1976"/>
  <c r="CC1975"/>
  <c r="CB1975"/>
  <c r="BR1975"/>
  <c r="F1975"/>
  <c r="C1975"/>
  <c r="CC1974"/>
  <c r="CB1974"/>
  <c r="BR1974"/>
  <c r="F1974"/>
  <c r="C1974"/>
  <c r="CC1973"/>
  <c r="CB1973"/>
  <c r="BR1973"/>
  <c r="F1973"/>
  <c r="C1973"/>
  <c r="CC1972"/>
  <c r="CB1972"/>
  <c r="BR1972"/>
  <c r="F1972"/>
  <c r="C1972"/>
  <c r="CC1971"/>
  <c r="CB1971"/>
  <c r="BR1971"/>
  <c r="F1971"/>
  <c r="C1971"/>
  <c r="CC1970"/>
  <c r="CB1970"/>
  <c r="BR1970"/>
  <c r="F1970"/>
  <c r="C1970"/>
  <c r="CC1969"/>
  <c r="CB1969"/>
  <c r="BR1969"/>
  <c r="F1969"/>
  <c r="C1969"/>
  <c r="CC1968"/>
  <c r="CB1968"/>
  <c r="BR1968"/>
  <c r="F1968"/>
  <c r="C1968"/>
  <c r="CC1967"/>
  <c r="CB1967"/>
  <c r="BR1967"/>
  <c r="F1967"/>
  <c r="C1967"/>
  <c r="CC1966"/>
  <c r="CB1966"/>
  <c r="BR1966"/>
  <c r="F1966"/>
  <c r="C1966"/>
  <c r="CC1965"/>
  <c r="CB1965"/>
  <c r="BR1965"/>
  <c r="F1965"/>
  <c r="C1965"/>
  <c r="CC1964"/>
  <c r="CB1964"/>
  <c r="BR1964"/>
  <c r="F1964"/>
  <c r="C1964"/>
  <c r="CC1963"/>
  <c r="CB1963"/>
  <c r="BR1963"/>
  <c r="F1963"/>
  <c r="C1963"/>
  <c r="CC1962"/>
  <c r="CB1962"/>
  <c r="BR1962"/>
  <c r="F1962"/>
  <c r="C1962"/>
  <c r="CC1961"/>
  <c r="CB1961"/>
  <c r="BR1961"/>
  <c r="F1961"/>
  <c r="C1961"/>
  <c r="CC1960"/>
  <c r="CB1960"/>
  <c r="BR1960"/>
  <c r="F1960"/>
  <c r="C1960"/>
  <c r="CC1959"/>
  <c r="CB1959"/>
  <c r="BR1959"/>
  <c r="F1959"/>
  <c r="C1959"/>
  <c r="CC1958"/>
  <c r="CB1958"/>
  <c r="BR1958"/>
  <c r="F1958"/>
  <c r="C1958"/>
  <c r="CC1957"/>
  <c r="CB1957"/>
  <c r="BR1957"/>
  <c r="F1957"/>
  <c r="C1957"/>
  <c r="CC1956"/>
  <c r="CB1956"/>
  <c r="BR1956"/>
  <c r="F1956"/>
  <c r="C1956"/>
  <c r="CC1955"/>
  <c r="CB1955"/>
  <c r="BR1955"/>
  <c r="F1955"/>
  <c r="C1955"/>
  <c r="CC1954"/>
  <c r="CB1954"/>
  <c r="BR1954"/>
  <c r="F1954"/>
  <c r="C1954"/>
  <c r="CC1953"/>
  <c r="CB1953"/>
  <c r="BR1953"/>
  <c r="F1953"/>
  <c r="C1953"/>
  <c r="CC1952"/>
  <c r="CB1952"/>
  <c r="BR1952"/>
  <c r="F1952"/>
  <c r="C1952"/>
  <c r="CC1951"/>
  <c r="CB1951"/>
  <c r="BR1951"/>
  <c r="F1951"/>
  <c r="C1951"/>
  <c r="CC1950"/>
  <c r="CB1950"/>
  <c r="BR1950"/>
  <c r="F1950"/>
  <c r="C1950"/>
  <c r="CC1949"/>
  <c r="CB1949"/>
  <c r="BR1949"/>
  <c r="F1949"/>
  <c r="C1949"/>
  <c r="CC1948"/>
  <c r="CB1948"/>
  <c r="BR1948"/>
  <c r="F1948"/>
  <c r="C1948"/>
  <c r="CC1947"/>
  <c r="CB1947"/>
  <c r="BR1947"/>
  <c r="F1947"/>
  <c r="C1947"/>
  <c r="CC1946"/>
  <c r="CB1946"/>
  <c r="BR1946"/>
  <c r="F1946"/>
  <c r="C1946"/>
  <c r="CC1945"/>
  <c r="CB1945"/>
  <c r="BR1945"/>
  <c r="F1945"/>
  <c r="C1945"/>
  <c r="CC1944"/>
  <c r="CB1944"/>
  <c r="BR1944"/>
  <c r="F1944"/>
  <c r="C1944"/>
  <c r="CC1943"/>
  <c r="CB1943"/>
  <c r="BR1943"/>
  <c r="F1943"/>
  <c r="C1943"/>
  <c r="CC1942"/>
  <c r="CB1942"/>
  <c r="BR1942"/>
  <c r="F1942"/>
  <c r="C1942"/>
  <c r="CC1941"/>
  <c r="CB1941"/>
  <c r="BR1941"/>
  <c r="F1941"/>
  <c r="C1941"/>
  <c r="CC1940"/>
  <c r="CB1940"/>
  <c r="BR1940"/>
  <c r="F1940"/>
  <c r="C1940"/>
  <c r="CC1939"/>
  <c r="CB1939"/>
  <c r="BR1939"/>
  <c r="F1939"/>
  <c r="C1939"/>
  <c r="CC1938"/>
  <c r="CB1938"/>
  <c r="BR1938"/>
  <c r="F1938"/>
  <c r="C1938"/>
  <c r="CC1937"/>
  <c r="CB1937"/>
  <c r="BR1937"/>
  <c r="F1937"/>
  <c r="C1937"/>
  <c r="CC1936"/>
  <c r="CB1936"/>
  <c r="BR1936"/>
  <c r="F1936"/>
  <c r="C1936"/>
  <c r="CC1935"/>
  <c r="CB1935"/>
  <c r="BR1935"/>
  <c r="F1935"/>
  <c r="C1935"/>
  <c r="CC1934"/>
  <c r="CB1934"/>
  <c r="BR1934"/>
  <c r="F1934"/>
  <c r="C1934"/>
  <c r="CC1933"/>
  <c r="CB1933"/>
  <c r="BR1933"/>
  <c r="F1933"/>
  <c r="C1933"/>
  <c r="CC1932"/>
  <c r="CB1932"/>
  <c r="BR1932"/>
  <c r="F1932"/>
  <c r="C1932"/>
  <c r="CC1931"/>
  <c r="CB1931"/>
  <c r="BR1931"/>
  <c r="F1931"/>
  <c r="C1931"/>
  <c r="CC1930"/>
  <c r="CB1930"/>
  <c r="BR1930"/>
  <c r="F1930"/>
  <c r="C1930"/>
  <c r="CC1929"/>
  <c r="CB1929"/>
  <c r="BR1929"/>
  <c r="F1929"/>
  <c r="C1929"/>
  <c r="CC1928"/>
  <c r="CB1928"/>
  <c r="BR1928"/>
  <c r="F1928"/>
  <c r="C1928"/>
  <c r="CC1927"/>
  <c r="CB1927"/>
  <c r="BR1927"/>
  <c r="F1927"/>
  <c r="C1927"/>
  <c r="CC1926"/>
  <c r="CB1926"/>
  <c r="BR1926"/>
  <c r="F1926"/>
  <c r="C1926"/>
  <c r="CC1925"/>
  <c r="CB1925"/>
  <c r="BR1925"/>
  <c r="F1925"/>
  <c r="C1925"/>
  <c r="CC1924"/>
  <c r="CB1924"/>
  <c r="BR1924"/>
  <c r="F1924"/>
  <c r="C1924"/>
  <c r="CC1923"/>
  <c r="CB1923"/>
  <c r="BR1923"/>
  <c r="F1923"/>
  <c r="C1923"/>
  <c r="CC1922"/>
  <c r="CB1922"/>
  <c r="BR1922"/>
  <c r="F1922"/>
  <c r="C1922"/>
  <c r="CC1921"/>
  <c r="CB1921"/>
  <c r="BR1921"/>
  <c r="F1921"/>
  <c r="C1921"/>
  <c r="CC1920"/>
  <c r="CB1920"/>
  <c r="BR1920"/>
  <c r="F1920"/>
  <c r="C1920"/>
  <c r="CC1919"/>
  <c r="CB1919"/>
  <c r="BR1919"/>
  <c r="F1919"/>
  <c r="C1919"/>
  <c r="CC1918"/>
  <c r="CB1918"/>
  <c r="BR1918"/>
  <c r="F1918"/>
  <c r="C1918"/>
  <c r="CC1917"/>
  <c r="CB1917"/>
  <c r="BR1917"/>
  <c r="F1917"/>
  <c r="C1917"/>
  <c r="CC1916"/>
  <c r="CB1916"/>
  <c r="BR1916"/>
  <c r="F1916"/>
  <c r="C1916"/>
  <c r="CC1915"/>
  <c r="CB1915"/>
  <c r="BR1915"/>
  <c r="F1915"/>
  <c r="C1915"/>
  <c r="CC1914"/>
  <c r="CB1914"/>
  <c r="BR1914"/>
  <c r="F1914"/>
  <c r="C1914"/>
  <c r="CC1913"/>
  <c r="CB1913"/>
  <c r="BR1913"/>
  <c r="F1913"/>
  <c r="C1913"/>
  <c r="CC1912"/>
  <c r="CB1912"/>
  <c r="BR1912"/>
  <c r="F1912"/>
  <c r="C1912"/>
  <c r="CC1911"/>
  <c r="CB1911"/>
  <c r="BR1911"/>
  <c r="F1911"/>
  <c r="C1911"/>
  <c r="CC1910"/>
  <c r="CB1910"/>
  <c r="BR1910"/>
  <c r="F1910"/>
  <c r="C1910"/>
  <c r="CC1909"/>
  <c r="CB1909"/>
  <c r="BR1909"/>
  <c r="F1909"/>
  <c r="C1909"/>
  <c r="CC1908"/>
  <c r="CB1908"/>
  <c r="BR1908"/>
  <c r="F1908"/>
  <c r="C1908"/>
  <c r="CC1907"/>
  <c r="CB1907"/>
  <c r="BR1907"/>
  <c r="F1907"/>
  <c r="C1907"/>
  <c r="CC1906"/>
  <c r="CB1906"/>
  <c r="BR1906"/>
  <c r="F1906"/>
  <c r="C1906"/>
  <c r="CC1905"/>
  <c r="CB1905"/>
  <c r="BR1905"/>
  <c r="F1905"/>
  <c r="C1905"/>
  <c r="CC1904"/>
  <c r="CB1904"/>
  <c r="BR1904"/>
  <c r="F1904"/>
  <c r="C1904"/>
  <c r="CC1903"/>
  <c r="CB1903"/>
  <c r="BR1903"/>
  <c r="F1903"/>
  <c r="C1903"/>
  <c r="CC1902"/>
  <c r="CB1902"/>
  <c r="BR1902"/>
  <c r="F1902"/>
  <c r="C1902"/>
  <c r="CC1901"/>
  <c r="CB1901"/>
  <c r="BR1901"/>
  <c r="F1901"/>
  <c r="C1901"/>
  <c r="CC1900"/>
  <c r="CB1900"/>
  <c r="BR1900"/>
  <c r="F1900"/>
  <c r="C1900"/>
  <c r="CC1899"/>
  <c r="CB1899"/>
  <c r="BR1899"/>
  <c r="F1899"/>
  <c r="C1899"/>
  <c r="CC1898"/>
  <c r="CB1898"/>
  <c r="BR1898"/>
  <c r="F1898"/>
  <c r="C1898"/>
  <c r="CC1897"/>
  <c r="CB1897"/>
  <c r="BR1897"/>
  <c r="F1897"/>
  <c r="C1897"/>
  <c r="CC1896"/>
  <c r="CB1896"/>
  <c r="BR1896"/>
  <c r="F1896"/>
  <c r="C1896"/>
  <c r="CC1895"/>
  <c r="CB1895"/>
  <c r="BR1895"/>
  <c r="F1895"/>
  <c r="C1895"/>
  <c r="CC1894"/>
  <c r="CB1894"/>
  <c r="BR1894"/>
  <c r="F1894"/>
  <c r="C1894"/>
  <c r="CC1893"/>
  <c r="CB1893"/>
  <c r="BR1893"/>
  <c r="F1893"/>
  <c r="C1893"/>
  <c r="CC1892"/>
  <c r="CB1892"/>
  <c r="BR1892"/>
  <c r="F1892"/>
  <c r="C1892"/>
  <c r="CC1891"/>
  <c r="CB1891"/>
  <c r="BR1891"/>
  <c r="F1891"/>
  <c r="C1891"/>
  <c r="CC1890"/>
  <c r="CB1890"/>
  <c r="BR1890"/>
  <c r="F1890"/>
  <c r="C1890"/>
  <c r="CC1889"/>
  <c r="CB1889"/>
  <c r="BR1889"/>
  <c r="F1889"/>
  <c r="C1889"/>
  <c r="CC1888"/>
  <c r="CB1888"/>
  <c r="BR1888"/>
  <c r="F1888"/>
  <c r="C1888"/>
  <c r="CC1887"/>
  <c r="CB1887"/>
  <c r="BR1887"/>
  <c r="F1887"/>
  <c r="C1887"/>
  <c r="CC1886"/>
  <c r="CB1886"/>
  <c r="BR1886"/>
  <c r="F1886"/>
  <c r="C1886"/>
  <c r="CC1885"/>
  <c r="CB1885"/>
  <c r="BR1885"/>
  <c r="F1885"/>
  <c r="C1885"/>
  <c r="CC1884"/>
  <c r="CB1884"/>
  <c r="BR1884"/>
  <c r="F1884"/>
  <c r="C1884"/>
  <c r="CC1883"/>
  <c r="CB1883"/>
  <c r="BR1883"/>
  <c r="F1883"/>
  <c r="C1883"/>
  <c r="CC1882"/>
  <c r="CB1882"/>
  <c r="BR1882"/>
  <c r="F1882"/>
  <c r="C1882"/>
  <c r="CC1881"/>
  <c r="CB1881"/>
  <c r="BR1881"/>
  <c r="F1881"/>
  <c r="C1881"/>
  <c r="CC1880"/>
  <c r="CB1880"/>
  <c r="BR1880"/>
  <c r="F1880"/>
  <c r="C1880"/>
  <c r="CC1879"/>
  <c r="CB1879"/>
  <c r="BR1879"/>
  <c r="F1879"/>
  <c r="C1879"/>
  <c r="CC1878"/>
  <c r="CB1878"/>
  <c r="BR1878"/>
  <c r="F1878"/>
  <c r="C1878"/>
  <c r="CC1877"/>
  <c r="CB1877"/>
  <c r="BR1877"/>
  <c r="F1877"/>
  <c r="C1877"/>
  <c r="CC1876"/>
  <c r="CB1876"/>
  <c r="BR1876"/>
  <c r="F1876"/>
  <c r="C1876"/>
  <c r="CC1875"/>
  <c r="CB1875"/>
  <c r="BR1875"/>
  <c r="F1875"/>
  <c r="C1875"/>
  <c r="CC1874"/>
  <c r="CB1874"/>
  <c r="BR1874"/>
  <c r="F1874"/>
  <c r="C1874"/>
  <c r="CC1873"/>
  <c r="CB1873"/>
  <c r="BR1873"/>
  <c r="F1873"/>
  <c r="C1873"/>
  <c r="CC1872"/>
  <c r="CB1872"/>
  <c r="BR1872"/>
  <c r="F1872"/>
  <c r="C1872"/>
  <c r="CC1871"/>
  <c r="CB1871"/>
  <c r="BR1871"/>
  <c r="F1871"/>
  <c r="C1871"/>
  <c r="CC1870"/>
  <c r="CB1870"/>
  <c r="BR1870"/>
  <c r="F1870"/>
  <c r="C1870"/>
  <c r="CC1869"/>
  <c r="CB1869"/>
  <c r="BR1869"/>
  <c r="F1869"/>
  <c r="C1869"/>
  <c r="CC1868"/>
  <c r="CB1868"/>
  <c r="BR1868"/>
  <c r="F1868"/>
  <c r="C1868"/>
  <c r="CC1867"/>
  <c r="CB1867"/>
  <c r="BR1867"/>
  <c r="F1867"/>
  <c r="C1867"/>
  <c r="CC1866"/>
  <c r="CB1866"/>
  <c r="BR1866"/>
  <c r="F1866"/>
  <c r="C1866"/>
  <c r="CC1865"/>
  <c r="CB1865"/>
  <c r="BR1865"/>
  <c r="F1865"/>
  <c r="C1865"/>
  <c r="CC1864"/>
  <c r="CB1864"/>
  <c r="BR1864"/>
  <c r="F1864"/>
  <c r="C1864"/>
  <c r="CC1863"/>
  <c r="CB1863"/>
  <c r="BR1863"/>
  <c r="F1863"/>
  <c r="C1863"/>
  <c r="CC1862"/>
  <c r="CB1862"/>
  <c r="BR1862"/>
  <c r="F1862"/>
  <c r="C1862"/>
  <c r="CC1861"/>
  <c r="CB1861"/>
  <c r="BR1861"/>
  <c r="F1861"/>
  <c r="C1861"/>
  <c r="CC1860"/>
  <c r="CB1860"/>
  <c r="BR1860"/>
  <c r="F1860"/>
  <c r="C1860"/>
  <c r="CC1859"/>
  <c r="CB1859"/>
  <c r="BR1859"/>
  <c r="F1859"/>
  <c r="C1859"/>
  <c r="CC1858"/>
  <c r="CB1858"/>
  <c r="BR1858"/>
  <c r="F1858"/>
  <c r="C1858"/>
  <c r="CC1857"/>
  <c r="CB1857"/>
  <c r="BR1857"/>
  <c r="F1857"/>
  <c r="C1857"/>
  <c r="CC1856"/>
  <c r="CB1856"/>
  <c r="BR1856"/>
  <c r="F1856"/>
  <c r="C1856"/>
  <c r="CC1855"/>
  <c r="CB1855"/>
  <c r="BR1855"/>
  <c r="F1855"/>
  <c r="C1855"/>
  <c r="CC1854"/>
  <c r="CB1854"/>
  <c r="BR1854"/>
  <c r="F1854"/>
  <c r="C1854"/>
  <c r="CC1853"/>
  <c r="CB1853"/>
  <c r="BR1853"/>
  <c r="F1853"/>
  <c r="C1853"/>
  <c r="CC1852"/>
  <c r="CB1852"/>
  <c r="BR1852"/>
  <c r="F1852"/>
  <c r="C1852"/>
  <c r="CC1851"/>
  <c r="CB1851"/>
  <c r="BR1851"/>
  <c r="F1851"/>
  <c r="C1851"/>
  <c r="CC1850"/>
  <c r="CB1850"/>
  <c r="BR1850"/>
  <c r="F1850"/>
  <c r="C1850"/>
  <c r="CC1849"/>
  <c r="CB1849"/>
  <c r="BR1849"/>
  <c r="F1849"/>
  <c r="C1849"/>
  <c r="CC1848"/>
  <c r="CB1848"/>
  <c r="BR1848"/>
  <c r="F1848"/>
  <c r="C1848"/>
  <c r="CC1847"/>
  <c r="CB1847"/>
  <c r="BR1847"/>
  <c r="F1847"/>
  <c r="C1847"/>
  <c r="CC1846"/>
  <c r="CB1846"/>
  <c r="BR1846"/>
  <c r="F1846"/>
  <c r="C1846"/>
  <c r="CC1845"/>
  <c r="CB1845"/>
  <c r="BR1845"/>
  <c r="F1845"/>
  <c r="C1845"/>
  <c r="CC1844"/>
  <c r="CB1844"/>
  <c r="BR1844"/>
  <c r="F1844"/>
  <c r="C1844"/>
  <c r="CC1843"/>
  <c r="CB1843"/>
  <c r="BR1843"/>
  <c r="F1843"/>
  <c r="C1843"/>
  <c r="CC1842"/>
  <c r="CB1842"/>
  <c r="BR1842"/>
  <c r="F1842"/>
  <c r="C1842"/>
  <c r="CC1841"/>
  <c r="CB1841"/>
  <c r="BR1841"/>
  <c r="F1841"/>
  <c r="C1841"/>
  <c r="CC1840"/>
  <c r="CB1840"/>
  <c r="BR1840"/>
  <c r="F1840"/>
  <c r="C1840"/>
  <c r="CC1839"/>
  <c r="CB1839"/>
  <c r="BR1839"/>
  <c r="F1839"/>
  <c r="C1839"/>
  <c r="CC1838"/>
  <c r="CB1838"/>
  <c r="BR1838"/>
  <c r="F1838"/>
  <c r="C1838"/>
  <c r="CC1837"/>
  <c r="CB1837"/>
  <c r="BR1837"/>
  <c r="F1837"/>
  <c r="C1837"/>
  <c r="CC1836"/>
  <c r="CB1836"/>
  <c r="BR1836"/>
  <c r="F1836"/>
  <c r="C1836"/>
  <c r="CC1835"/>
  <c r="CB1835"/>
  <c r="BR1835"/>
  <c r="F1835"/>
  <c r="C1835"/>
  <c r="CC1834"/>
  <c r="CB1834"/>
  <c r="BR1834"/>
  <c r="F1834"/>
  <c r="C1834"/>
  <c r="CC1833"/>
  <c r="CB1833"/>
  <c r="BR1833"/>
  <c r="F1833"/>
  <c r="C1833"/>
  <c r="CC1832"/>
  <c r="CB1832"/>
  <c r="BR1832"/>
  <c r="F1832"/>
  <c r="C1832"/>
  <c r="CC1831"/>
  <c r="CB1831"/>
  <c r="BR1831"/>
  <c r="F1831"/>
  <c r="C1831"/>
  <c r="CC1830"/>
  <c r="CB1830"/>
  <c r="BR1830"/>
  <c r="F1830"/>
  <c r="C1830"/>
  <c r="CC1829"/>
  <c r="CB1829"/>
  <c r="BR1829"/>
  <c r="F1829"/>
  <c r="C1829"/>
  <c r="CC1828"/>
  <c r="CB1828"/>
  <c r="BR1828"/>
  <c r="F1828"/>
  <c r="C1828"/>
  <c r="CC1827"/>
  <c r="CB1827"/>
  <c r="BR1827"/>
  <c r="F1827"/>
  <c r="C1827"/>
  <c r="CC1826"/>
  <c r="CB1826"/>
  <c r="BR1826"/>
  <c r="F1826"/>
  <c r="C1826"/>
  <c r="CC1825"/>
  <c r="CB1825"/>
  <c r="BR1825"/>
  <c r="F1825"/>
  <c r="C1825"/>
  <c r="CC1824"/>
  <c r="CB1824"/>
  <c r="BR1824"/>
  <c r="F1824"/>
  <c r="C1824"/>
  <c r="CC1823"/>
  <c r="CB1823"/>
  <c r="BR1823"/>
  <c r="F1823"/>
  <c r="C1823"/>
  <c r="CC1822"/>
  <c r="CB1822"/>
  <c r="BR1822"/>
  <c r="F1822"/>
  <c r="C1822"/>
  <c r="CC1821"/>
  <c r="CB1821"/>
  <c r="BR1821"/>
  <c r="F1821"/>
  <c r="C1821"/>
  <c r="CC1820"/>
  <c r="CB1820"/>
  <c r="BR1820"/>
  <c r="F1820"/>
  <c r="C1820"/>
  <c r="CC1819"/>
  <c r="CB1819"/>
  <c r="BR1819"/>
  <c r="F1819"/>
  <c r="C1819"/>
  <c r="CC1818"/>
  <c r="CB1818"/>
  <c r="BR1818"/>
  <c r="F1818"/>
  <c r="C1818"/>
  <c r="CC1817"/>
  <c r="CB1817"/>
  <c r="BR1817"/>
  <c r="F1817"/>
  <c r="C1817"/>
  <c r="CC1816"/>
  <c r="CB1816"/>
  <c r="BR1816"/>
  <c r="F1816"/>
  <c r="C1816"/>
  <c r="CC1815"/>
  <c r="CB1815"/>
  <c r="BR1815"/>
  <c r="F1815"/>
  <c r="C1815"/>
  <c r="CC1814"/>
  <c r="CB1814"/>
  <c r="BR1814"/>
  <c r="F1814"/>
  <c r="C1814"/>
  <c r="CC1813"/>
  <c r="CB1813"/>
  <c r="BR1813"/>
  <c r="F1813"/>
  <c r="C1813"/>
  <c r="CC1812"/>
  <c r="CB1812"/>
  <c r="BR1812"/>
  <c r="F1812"/>
  <c r="C1812"/>
  <c r="CC1811"/>
  <c r="CB1811"/>
  <c r="BR1811"/>
  <c r="F1811"/>
  <c r="C1811"/>
  <c r="CC1810"/>
  <c r="CB1810"/>
  <c r="BR1810"/>
  <c r="F1810"/>
  <c r="C1810"/>
  <c r="CC1809"/>
  <c r="CB1809"/>
  <c r="BR1809"/>
  <c r="F1809"/>
  <c r="C1809"/>
  <c r="CC1808"/>
  <c r="CB1808"/>
  <c r="BR1808"/>
  <c r="F1808"/>
  <c r="C1808"/>
  <c r="CC1807"/>
  <c r="CB1807"/>
  <c r="BR1807"/>
  <c r="F1807"/>
  <c r="C1807"/>
  <c r="CC1806"/>
  <c r="CB1806"/>
  <c r="BR1806"/>
  <c r="F1806"/>
  <c r="C1806"/>
  <c r="CC1805"/>
  <c r="CB1805"/>
  <c r="BR1805"/>
  <c r="F1805"/>
  <c r="C1805"/>
  <c r="CC1804"/>
  <c r="CB1804"/>
  <c r="BR1804"/>
  <c r="F1804"/>
  <c r="C1804"/>
  <c r="CC1803"/>
  <c r="CB1803"/>
  <c r="BR1803"/>
  <c r="F1803"/>
  <c r="C1803"/>
  <c r="CC1802"/>
  <c r="CB1802"/>
  <c r="BR1802"/>
  <c r="F1802"/>
  <c r="C1802"/>
  <c r="CC1801"/>
  <c r="CB1801"/>
  <c r="BR1801"/>
  <c r="F1801"/>
  <c r="C1801"/>
  <c r="CC1800"/>
  <c r="CB1800"/>
  <c r="BR1800"/>
  <c r="F1800"/>
  <c r="C1800"/>
  <c r="CC1799"/>
  <c r="CB1799"/>
  <c r="BR1799"/>
  <c r="F1799"/>
  <c r="C1799"/>
  <c r="CC1798"/>
  <c r="CB1798"/>
  <c r="BR1798"/>
  <c r="F1798"/>
  <c r="C1798"/>
  <c r="CC1797"/>
  <c r="CB1797"/>
  <c r="BR1797"/>
  <c r="F1797"/>
  <c r="C1797"/>
  <c r="CC1796"/>
  <c r="CB1796"/>
  <c r="BR1796"/>
  <c r="F1796"/>
  <c r="C1796"/>
  <c r="CC1795"/>
  <c r="CB1795"/>
  <c r="BR1795"/>
  <c r="F1795"/>
  <c r="C1795"/>
  <c r="CC1794"/>
  <c r="CB1794"/>
  <c r="BR1794"/>
  <c r="F1794"/>
  <c r="C1794"/>
  <c r="CC1793"/>
  <c r="CB1793"/>
  <c r="BR1793"/>
  <c r="F1793"/>
  <c r="C1793"/>
  <c r="CC1792"/>
  <c r="CB1792"/>
  <c r="BR1792"/>
  <c r="F1792"/>
  <c r="C1792"/>
  <c r="CC1791"/>
  <c r="CB1791"/>
  <c r="BR1791"/>
  <c r="F1791"/>
  <c r="C1791"/>
  <c r="CC1790"/>
  <c r="CB1790"/>
  <c r="BR1790"/>
  <c r="F1790"/>
  <c r="C1790"/>
  <c r="CC1789"/>
  <c r="CB1789"/>
  <c r="BR1789"/>
  <c r="F1789"/>
  <c r="C1789"/>
  <c r="CC1788"/>
  <c r="CB1788"/>
  <c r="BR1788"/>
  <c r="F1788"/>
  <c r="C1788"/>
  <c r="CC1787"/>
  <c r="CB1787"/>
  <c r="BR1787"/>
  <c r="F1787"/>
  <c r="C1787"/>
  <c r="CC1786"/>
  <c r="CB1786"/>
  <c r="BR1786"/>
  <c r="F1786"/>
  <c r="C1786"/>
  <c r="CC1785"/>
  <c r="CB1785"/>
  <c r="BR1785"/>
  <c r="F1785"/>
  <c r="C1785"/>
  <c r="CC1784"/>
  <c r="CB1784"/>
  <c r="BR1784"/>
  <c r="F1784"/>
  <c r="C1784"/>
  <c r="CC1783"/>
  <c r="CB1783"/>
  <c r="BR1783"/>
  <c r="F1783"/>
  <c r="C1783"/>
  <c r="CC1782"/>
  <c r="CB1782"/>
  <c r="BR1782"/>
  <c r="F1782"/>
  <c r="C1782"/>
  <c r="CC1781"/>
  <c r="CB1781"/>
  <c r="BR1781"/>
  <c r="F1781"/>
  <c r="C1781"/>
  <c r="CC1780"/>
  <c r="CB1780"/>
  <c r="BR1780"/>
  <c r="F1780"/>
  <c r="C1780"/>
  <c r="CC1779"/>
  <c r="CB1779"/>
  <c r="BR1779"/>
  <c r="F1779"/>
  <c r="C1779"/>
  <c r="CC1778"/>
  <c r="CB1778"/>
  <c r="BR1778"/>
  <c r="F1778"/>
  <c r="C1778"/>
  <c r="CC1777"/>
  <c r="CB1777"/>
  <c r="BR1777"/>
  <c r="F1777"/>
  <c r="C1777"/>
  <c r="CC1776"/>
  <c r="CB1776"/>
  <c r="BR1776"/>
  <c r="F1776"/>
  <c r="C1776"/>
  <c r="CC1775"/>
  <c r="CB1775"/>
  <c r="BR1775"/>
  <c r="F1775"/>
  <c r="C1775"/>
  <c r="CC1774"/>
  <c r="CB1774"/>
  <c r="BR1774"/>
  <c r="F1774"/>
  <c r="C1774"/>
  <c r="CC1773"/>
  <c r="CB1773"/>
  <c r="BR1773"/>
  <c r="F1773"/>
  <c r="C1773"/>
  <c r="CC1772"/>
  <c r="CB1772"/>
  <c r="BR1772"/>
  <c r="F1772"/>
  <c r="C1772"/>
  <c r="CC1771"/>
  <c r="CB1771"/>
  <c r="BR1771"/>
  <c r="F1771"/>
  <c r="C1771"/>
  <c r="CC1770"/>
  <c r="CB1770"/>
  <c r="BR1770"/>
  <c r="F1770"/>
  <c r="C1770"/>
  <c r="CC1769"/>
  <c r="CB1769"/>
  <c r="BR1769"/>
  <c r="F1769"/>
  <c r="C1769"/>
  <c r="CC1768"/>
  <c r="CB1768"/>
  <c r="BR1768"/>
  <c r="F1768"/>
  <c r="C1768"/>
  <c r="CC1767"/>
  <c r="CB1767"/>
  <c r="BR1767"/>
  <c r="F1767"/>
  <c r="C1767"/>
  <c r="CC1766"/>
  <c r="CB1766"/>
  <c r="BR1766"/>
  <c r="F1766"/>
  <c r="C1766"/>
  <c r="CC1765"/>
  <c r="CB1765"/>
  <c r="BR1765"/>
  <c r="F1765"/>
  <c r="C1765"/>
  <c r="CC1764"/>
  <c r="CB1764"/>
  <c r="BR1764"/>
  <c r="F1764"/>
  <c r="C1764"/>
  <c r="CC1763"/>
  <c r="CB1763"/>
  <c r="BR1763"/>
  <c r="F1763"/>
  <c r="C1763"/>
  <c r="CC1762"/>
  <c r="CB1762"/>
  <c r="BR1762"/>
  <c r="F1762"/>
  <c r="C1762"/>
  <c r="CC1761"/>
  <c r="CB1761"/>
  <c r="BR1761"/>
  <c r="F1761"/>
  <c r="C1761"/>
  <c r="CC1760"/>
  <c r="CB1760"/>
  <c r="BR1760"/>
  <c r="F1760"/>
  <c r="C1760"/>
  <c r="CC1759"/>
  <c r="CB1759"/>
  <c r="BR1759"/>
  <c r="F1759"/>
  <c r="C1759"/>
  <c r="CC1758"/>
  <c r="CB1758"/>
  <c r="BR1758"/>
  <c r="F1758"/>
  <c r="C1758"/>
  <c r="CC1757"/>
  <c r="CB1757"/>
  <c r="BR1757"/>
  <c r="F1757"/>
  <c r="C1757"/>
  <c r="CC1756"/>
  <c r="CB1756"/>
  <c r="BR1756"/>
  <c r="F1756"/>
  <c r="C1756"/>
  <c r="CC1755"/>
  <c r="CB1755"/>
  <c r="BR1755"/>
  <c r="F1755"/>
  <c r="C1755"/>
  <c r="CC1754"/>
  <c r="CB1754"/>
  <c r="BR1754"/>
  <c r="F1754"/>
  <c r="C1754"/>
  <c r="CC1753"/>
  <c r="CB1753"/>
  <c r="BR1753"/>
  <c r="F1753"/>
  <c r="C1753"/>
  <c r="CC1752"/>
  <c r="CB1752"/>
  <c r="BR1752"/>
  <c r="F1752"/>
  <c r="C1752"/>
  <c r="CC1751"/>
  <c r="CB1751"/>
  <c r="BR1751"/>
  <c r="F1751"/>
  <c r="C1751"/>
  <c r="CC1750"/>
  <c r="CB1750"/>
  <c r="BR1750"/>
  <c r="F1750"/>
  <c r="C1750"/>
  <c r="CC1749"/>
  <c r="CB1749"/>
  <c r="BR1749"/>
  <c r="F1749"/>
  <c r="C1749"/>
  <c r="CC1748"/>
  <c r="CB1748"/>
  <c r="BR1748"/>
  <c r="F1748"/>
  <c r="C1748"/>
  <c r="CC1747"/>
  <c r="CB1747"/>
  <c r="BR1747"/>
  <c r="F1747"/>
  <c r="C1747"/>
  <c r="CC1746"/>
  <c r="CB1746"/>
  <c r="BR1746"/>
  <c r="F1746"/>
  <c r="C1746"/>
  <c r="CC1745"/>
  <c r="CB1745"/>
  <c r="BR1745"/>
  <c r="F1745"/>
  <c r="C1745"/>
  <c r="CC1744"/>
  <c r="CB1744"/>
  <c r="BR1744"/>
  <c r="F1744"/>
  <c r="C1744"/>
  <c r="CC1743"/>
  <c r="CB1743"/>
  <c r="BR1743"/>
  <c r="F1743"/>
  <c r="C1743"/>
  <c r="CC1742"/>
  <c r="CB1742"/>
  <c r="BR1742"/>
  <c r="F1742"/>
  <c r="C1742"/>
  <c r="CC1741"/>
  <c r="CB1741"/>
  <c r="BR1741"/>
  <c r="F1741"/>
  <c r="C1741"/>
  <c r="CC1740"/>
  <c r="CB1740"/>
  <c r="BR1740"/>
  <c r="F1740"/>
  <c r="C1740"/>
  <c r="CC1739"/>
  <c r="CB1739"/>
  <c r="BR1739"/>
  <c r="F1739"/>
  <c r="C1739"/>
  <c r="CC1738"/>
  <c r="CB1738"/>
  <c r="BR1738"/>
  <c r="F1738"/>
  <c r="C1738"/>
  <c r="CC1737"/>
  <c r="CB1737"/>
  <c r="BR1737"/>
  <c r="F1737"/>
  <c r="C1737"/>
  <c r="CC1736"/>
  <c r="CB1736"/>
  <c r="BR1736"/>
  <c r="F1736"/>
  <c r="C1736"/>
  <c r="CC1735"/>
  <c r="CB1735"/>
  <c r="BR1735"/>
  <c r="F1735"/>
  <c r="C1735"/>
  <c r="CC1734"/>
  <c r="CB1734"/>
  <c r="BR1734"/>
  <c r="F1734"/>
  <c r="C1734"/>
  <c r="CC1733"/>
  <c r="CB1733"/>
  <c r="BR1733"/>
  <c r="F1733"/>
  <c r="C1733"/>
  <c r="CC1732"/>
  <c r="CB1732"/>
  <c r="BR1732"/>
  <c r="F1732"/>
  <c r="C1732"/>
  <c r="CC1731"/>
  <c r="CB1731"/>
  <c r="BR1731"/>
  <c r="F1731"/>
  <c r="C1731"/>
  <c r="CC1730"/>
  <c r="CB1730"/>
  <c r="BR1730"/>
  <c r="F1730"/>
  <c r="C1730"/>
  <c r="CC1729"/>
  <c r="CB1729"/>
  <c r="BR1729"/>
  <c r="F1729"/>
  <c r="C1729"/>
  <c r="CC1728"/>
  <c r="CB1728"/>
  <c r="BR1728"/>
  <c r="F1728"/>
  <c r="C1728"/>
  <c r="CC1727"/>
  <c r="CB1727"/>
  <c r="BR1727"/>
  <c r="F1727"/>
  <c r="C1727"/>
  <c r="CC1726"/>
  <c r="CB1726"/>
  <c r="BR1726"/>
  <c r="F1726"/>
  <c r="C1726"/>
  <c r="CC1725"/>
  <c r="CB1725"/>
  <c r="BR1725"/>
  <c r="F1725"/>
  <c r="C1725"/>
  <c r="CC1724"/>
  <c r="CB1724"/>
  <c r="BR1724"/>
  <c r="F1724"/>
  <c r="C1724"/>
  <c r="CC1723"/>
  <c r="CB1723"/>
  <c r="BR1723"/>
  <c r="F1723"/>
  <c r="C1723"/>
  <c r="CC1722"/>
  <c r="CB1722"/>
  <c r="BR1722"/>
  <c r="F1722"/>
  <c r="C1722"/>
  <c r="CC1721"/>
  <c r="CB1721"/>
  <c r="BR1721"/>
  <c r="F1721"/>
  <c r="C1721"/>
  <c r="CC1720"/>
  <c r="CB1720"/>
  <c r="BR1720"/>
  <c r="F1720"/>
  <c r="C1720"/>
  <c r="CC1719"/>
  <c r="CB1719"/>
  <c r="BR1719"/>
  <c r="F1719"/>
  <c r="C1719"/>
  <c r="CC1718"/>
  <c r="CB1718"/>
  <c r="BR1718"/>
  <c r="F1718"/>
  <c r="C1718"/>
  <c r="CC1717"/>
  <c r="CB1717"/>
  <c r="BR1717"/>
  <c r="F1717"/>
  <c r="C1717"/>
  <c r="CC1716"/>
  <c r="CB1716"/>
  <c r="BR1716"/>
  <c r="F1716"/>
  <c r="C1716"/>
  <c r="CC1715"/>
  <c r="CB1715"/>
  <c r="BR1715"/>
  <c r="F1715"/>
  <c r="C1715"/>
  <c r="CC1714"/>
  <c r="CB1714"/>
  <c r="BR1714"/>
  <c r="F1714"/>
  <c r="C1714"/>
  <c r="CC1713"/>
  <c r="CB1713"/>
  <c r="BR1713"/>
  <c r="F1713"/>
  <c r="C1713"/>
  <c r="CC1712"/>
  <c r="CB1712"/>
  <c r="BR1712"/>
  <c r="F1712"/>
  <c r="C1712"/>
  <c r="CC1711"/>
  <c r="CB1711"/>
  <c r="BR1711"/>
  <c r="F1711"/>
  <c r="C1711"/>
  <c r="CC1710"/>
  <c r="CB1710"/>
  <c r="BR1710"/>
  <c r="F1710"/>
  <c r="C1710"/>
  <c r="CC1709"/>
  <c r="CB1709"/>
  <c r="BR1709"/>
  <c r="F1709"/>
  <c r="C1709"/>
  <c r="CC1708"/>
  <c r="CB1708"/>
  <c r="BR1708"/>
  <c r="F1708"/>
  <c r="C1708"/>
  <c r="CC1707"/>
  <c r="CB1707"/>
  <c r="BR1707"/>
  <c r="F1707"/>
  <c r="C1707"/>
  <c r="CC1706"/>
  <c r="CB1706"/>
  <c r="BR1706"/>
  <c r="F1706"/>
  <c r="C1706"/>
  <c r="CC1705"/>
  <c r="CB1705"/>
  <c r="BR1705"/>
  <c r="F1705"/>
  <c r="C1705"/>
  <c r="CC1704"/>
  <c r="CB1704"/>
  <c r="BR1704"/>
  <c r="F1704"/>
  <c r="C1704"/>
  <c r="CC1703"/>
  <c r="CB1703"/>
  <c r="BR1703"/>
  <c r="F1703"/>
  <c r="C1703"/>
  <c r="CC1702"/>
  <c r="CB1702"/>
  <c r="BR1702"/>
  <c r="F1702"/>
  <c r="C1702"/>
  <c r="CC1701"/>
  <c r="CB1701"/>
  <c r="BR1701"/>
  <c r="F1701"/>
  <c r="C1701"/>
  <c r="CC1700"/>
  <c r="CB1700"/>
  <c r="BR1700"/>
  <c r="F1700"/>
  <c r="C1700"/>
  <c r="CC1699"/>
  <c r="CB1699"/>
  <c r="BR1699"/>
  <c r="F1699"/>
  <c r="C1699"/>
  <c r="CC1698"/>
  <c r="CB1698"/>
  <c r="BR1698"/>
  <c r="F1698"/>
  <c r="C1698"/>
  <c r="CC1697"/>
  <c r="CB1697"/>
  <c r="BR1697"/>
  <c r="F1697"/>
  <c r="C1697"/>
  <c r="CC1696"/>
  <c r="CB1696"/>
  <c r="BR1696"/>
  <c r="F1696"/>
  <c r="C1696"/>
  <c r="CC1695"/>
  <c r="CB1695"/>
  <c r="BR1695"/>
  <c r="F1695"/>
  <c r="C1695"/>
  <c r="CC1694"/>
  <c r="CB1694"/>
  <c r="BR1694"/>
  <c r="F1694"/>
  <c r="C1694"/>
  <c r="CC1693"/>
  <c r="CB1693"/>
  <c r="BR1693"/>
  <c r="F1693"/>
  <c r="C1693"/>
  <c r="CC1692"/>
  <c r="CB1692"/>
  <c r="BR1692"/>
  <c r="F1692"/>
  <c r="C1692"/>
  <c r="CC1691"/>
  <c r="CB1691"/>
  <c r="BR1691"/>
  <c r="F1691"/>
  <c r="C1691"/>
  <c r="CC1690"/>
  <c r="CB1690"/>
  <c r="BR1690"/>
  <c r="F1690"/>
  <c r="C1690"/>
  <c r="CC1689"/>
  <c r="CB1689"/>
  <c r="BR1689"/>
  <c r="F1689"/>
  <c r="C1689"/>
  <c r="CC1688"/>
  <c r="CB1688"/>
  <c r="BR1688"/>
  <c r="F1688"/>
  <c r="C1688"/>
  <c r="CC1687"/>
  <c r="CB1687"/>
  <c r="BR1687"/>
  <c r="F1687"/>
  <c r="C1687"/>
  <c r="CC1686"/>
  <c r="CB1686"/>
  <c r="BR1686"/>
  <c r="F1686"/>
  <c r="C1686"/>
  <c r="CC1685"/>
  <c r="CB1685"/>
  <c r="BR1685"/>
  <c r="F1685"/>
  <c r="C1685"/>
  <c r="CC1684"/>
  <c r="CB1684"/>
  <c r="BR1684"/>
  <c r="F1684"/>
  <c r="C1684"/>
  <c r="CC1683"/>
  <c r="CB1683"/>
  <c r="BR1683"/>
  <c r="F1683"/>
  <c r="C1683"/>
  <c r="CC1682"/>
  <c r="CB1682"/>
  <c r="BR1682"/>
  <c r="F1682"/>
  <c r="C1682"/>
  <c r="CC1681"/>
  <c r="CB1681"/>
  <c r="BR1681"/>
  <c r="F1681"/>
  <c r="C1681"/>
  <c r="CC1680"/>
  <c r="CB1680"/>
  <c r="BR1680"/>
  <c r="F1680"/>
  <c r="C1680"/>
  <c r="CC1679"/>
  <c r="CB1679"/>
  <c r="BR1679"/>
  <c r="F1679"/>
  <c r="C1679"/>
  <c r="CC1678"/>
  <c r="CB1678"/>
  <c r="BR1678"/>
  <c r="F1678"/>
  <c r="C1678"/>
  <c r="CC1677"/>
  <c r="CB1677"/>
  <c r="BR1677"/>
  <c r="F1677"/>
  <c r="C1677"/>
  <c r="CC1676"/>
  <c r="CB1676"/>
  <c r="BR1676"/>
  <c r="F1676"/>
  <c r="C1676"/>
  <c r="CC1675"/>
  <c r="CB1675"/>
  <c r="BR1675"/>
  <c r="F1675"/>
  <c r="C1675"/>
  <c r="CC1674"/>
  <c r="CB1674"/>
  <c r="BR1674"/>
  <c r="F1674"/>
  <c r="C1674"/>
  <c r="CC1673"/>
  <c r="CB1673"/>
  <c r="BR1673"/>
  <c r="F1673"/>
  <c r="C1673"/>
  <c r="CC1672"/>
  <c r="CB1672"/>
  <c r="BR1672"/>
  <c r="F1672"/>
  <c r="C1672"/>
  <c r="CC1671"/>
  <c r="CB1671"/>
  <c r="BR1671"/>
  <c r="F1671"/>
  <c r="C1671"/>
  <c r="CC1670"/>
  <c r="CB1670"/>
  <c r="BR1670"/>
  <c r="F1670"/>
  <c r="C1670"/>
  <c r="CC1669"/>
  <c r="CB1669"/>
  <c r="BR1669"/>
  <c r="F1669"/>
  <c r="C1669"/>
  <c r="CC1668"/>
  <c r="CB1668"/>
  <c r="BR1668"/>
  <c r="F1668"/>
  <c r="C1668"/>
  <c r="CC1667"/>
  <c r="CB1667"/>
  <c r="BR1667"/>
  <c r="F1667"/>
  <c r="C1667"/>
  <c r="CC1666"/>
  <c r="CB1666"/>
  <c r="BR1666"/>
  <c r="F1666"/>
  <c r="C1666"/>
  <c r="CC1665"/>
  <c r="CB1665"/>
  <c r="BR1665"/>
  <c r="F1665"/>
  <c r="C1665"/>
  <c r="CC1664"/>
  <c r="CB1664"/>
  <c r="BR1664"/>
  <c r="F1664"/>
  <c r="C1664"/>
  <c r="CC1663"/>
  <c r="CB1663"/>
  <c r="BR1663"/>
  <c r="F1663"/>
  <c r="C1663"/>
  <c r="CC1662"/>
  <c r="CB1662"/>
  <c r="BR1662"/>
  <c r="F1662"/>
  <c r="C1662"/>
  <c r="CC1661"/>
  <c r="CB1661"/>
  <c r="BR1661"/>
  <c r="F1661"/>
  <c r="C1661"/>
  <c r="CC1660"/>
  <c r="CB1660"/>
  <c r="BR1660"/>
  <c r="F1660"/>
  <c r="C1660"/>
  <c r="CC1659"/>
  <c r="CB1659"/>
  <c r="BR1659"/>
  <c r="F1659"/>
  <c r="C1659"/>
  <c r="CC1658"/>
  <c r="CB1658"/>
  <c r="BR1658"/>
  <c r="F1658"/>
  <c r="C1658"/>
  <c r="CC1657"/>
  <c r="CB1657"/>
  <c r="BR1657"/>
  <c r="F1657"/>
  <c r="C1657"/>
  <c r="CC1656"/>
  <c r="CB1656"/>
  <c r="BR1656"/>
  <c r="F1656"/>
  <c r="C1656"/>
  <c r="CC1655"/>
  <c r="CB1655"/>
  <c r="BR1655"/>
  <c r="F1655"/>
  <c r="C1655"/>
  <c r="CC1654"/>
  <c r="CB1654"/>
  <c r="BR1654"/>
  <c r="F1654"/>
  <c r="C1654"/>
  <c r="CC1653"/>
  <c r="CB1653"/>
  <c r="BR1653"/>
  <c r="F1653"/>
  <c r="C1653"/>
  <c r="CC1652"/>
  <c r="CB1652"/>
  <c r="BR1652"/>
  <c r="F1652"/>
  <c r="C1652"/>
  <c r="CC1651"/>
  <c r="CB1651"/>
  <c r="BR1651"/>
  <c r="F1651"/>
  <c r="C1651"/>
  <c r="CC1650"/>
  <c r="CB1650"/>
  <c r="BR1650"/>
  <c r="F1650"/>
  <c r="C1650"/>
  <c r="CC1649"/>
  <c r="CB1649"/>
  <c r="BR1649"/>
  <c r="F1649"/>
  <c r="C1649"/>
  <c r="CC1648"/>
  <c r="CB1648"/>
  <c r="BR1648"/>
  <c r="F1648"/>
  <c r="C1648"/>
  <c r="CC1647"/>
  <c r="CB1647"/>
  <c r="BR1647"/>
  <c r="F1647"/>
  <c r="C1647"/>
  <c r="CC1646"/>
  <c r="CB1646"/>
  <c r="BR1646"/>
  <c r="F1646"/>
  <c r="C1646"/>
  <c r="CC1645"/>
  <c r="CB1645"/>
  <c r="BR1645"/>
  <c r="F1645"/>
  <c r="C1645"/>
  <c r="CC1644"/>
  <c r="CB1644"/>
  <c r="BR1644"/>
  <c r="F1644"/>
  <c r="C1644"/>
  <c r="CC1643"/>
  <c r="CB1643"/>
  <c r="BR1643"/>
  <c r="F1643"/>
  <c r="C1643"/>
  <c r="CC1642"/>
  <c r="CB1642"/>
  <c r="BR1642"/>
  <c r="F1642"/>
  <c r="C1642"/>
  <c r="CC1641"/>
  <c r="CB1641"/>
  <c r="BR1641"/>
  <c r="F1641"/>
  <c r="C1641"/>
  <c r="CC1640"/>
  <c r="CB1640"/>
  <c r="BR1640"/>
  <c r="F1640"/>
  <c r="C1640"/>
  <c r="CC1639"/>
  <c r="CB1639"/>
  <c r="BR1639"/>
  <c r="F1639"/>
  <c r="C1639"/>
  <c r="CC1638"/>
  <c r="CB1638"/>
  <c r="BR1638"/>
  <c r="F1638"/>
  <c r="C1638"/>
  <c r="CC1637"/>
  <c r="CB1637"/>
  <c r="BR1637"/>
  <c r="F1637"/>
  <c r="C1637"/>
  <c r="CC1636"/>
  <c r="CB1636"/>
  <c r="BR1636"/>
  <c r="F1636"/>
  <c r="C1636"/>
  <c r="CC1635"/>
  <c r="CB1635"/>
  <c r="BR1635"/>
  <c r="F1635"/>
  <c r="C1635"/>
  <c r="CC1634"/>
  <c r="CB1634"/>
  <c r="BR1634"/>
  <c r="F1634"/>
  <c r="C1634"/>
  <c r="CC1633"/>
  <c r="CB1633"/>
  <c r="BR1633"/>
  <c r="F1633"/>
  <c r="C1633"/>
  <c r="CC1632"/>
  <c r="CB1632"/>
  <c r="BR1632"/>
  <c r="F1632"/>
  <c r="C1632"/>
  <c r="CC1631"/>
  <c r="CB1631"/>
  <c r="BR1631"/>
  <c r="F1631"/>
  <c r="C1631"/>
  <c r="CC1630"/>
  <c r="CB1630"/>
  <c r="BR1630"/>
  <c r="F1630"/>
  <c r="C1630"/>
  <c r="CC1629"/>
  <c r="CB1629"/>
  <c r="BR1629"/>
  <c r="F1629"/>
  <c r="C1629"/>
  <c r="CC1628"/>
  <c r="CB1628"/>
  <c r="BR1628"/>
  <c r="F1628"/>
  <c r="C1628"/>
  <c r="CC1627"/>
  <c r="CB1627"/>
  <c r="BR1627"/>
  <c r="F1627"/>
  <c r="C1627"/>
  <c r="CC1626"/>
  <c r="CB1626"/>
  <c r="BR1626"/>
  <c r="F1626"/>
  <c r="C1626"/>
  <c r="CC1625"/>
  <c r="CB1625"/>
  <c r="BR1625"/>
  <c r="F1625"/>
  <c r="C1625"/>
  <c r="CC1624"/>
  <c r="CB1624"/>
  <c r="BR1624"/>
  <c r="F1624"/>
  <c r="C1624"/>
  <c r="CC1623"/>
  <c r="CB1623"/>
  <c r="BR1623"/>
  <c r="F1623"/>
  <c r="C1623"/>
  <c r="CC1622"/>
  <c r="CB1622"/>
  <c r="BR1622"/>
  <c r="F1622"/>
  <c r="C1622"/>
  <c r="CC1621"/>
  <c r="CB1621"/>
  <c r="BR1621"/>
  <c r="F1621"/>
  <c r="C1621"/>
  <c r="CC1620"/>
  <c r="CB1620"/>
  <c r="BR1620"/>
  <c r="F1620"/>
  <c r="C1620"/>
  <c r="CC1619"/>
  <c r="CB1619"/>
  <c r="BR1619"/>
  <c r="F1619"/>
  <c r="C1619"/>
  <c r="CC1618"/>
  <c r="CB1618"/>
  <c r="BR1618"/>
  <c r="F1618"/>
  <c r="C1618"/>
  <c r="CC1617"/>
  <c r="CB1617"/>
  <c r="BR1617"/>
  <c r="F1617"/>
  <c r="C1617"/>
  <c r="CC1616"/>
  <c r="CB1616"/>
  <c r="BR1616"/>
  <c r="F1616"/>
  <c r="C1616"/>
  <c r="CC1615"/>
  <c r="CB1615"/>
  <c r="BR1615"/>
  <c r="F1615"/>
  <c r="C1615"/>
  <c r="CC1614"/>
  <c r="CB1614"/>
  <c r="BR1614"/>
  <c r="F1614"/>
  <c r="C1614"/>
  <c r="CC1613"/>
  <c r="CB1613"/>
  <c r="BR1613"/>
  <c r="F1613"/>
  <c r="C1613"/>
  <c r="CC1612"/>
  <c r="CB1612"/>
  <c r="BR1612"/>
  <c r="F1612"/>
  <c r="C1612"/>
  <c r="CC1611"/>
  <c r="CB1611"/>
  <c r="BR1611"/>
  <c r="F1611"/>
  <c r="C1611"/>
  <c r="CC1610"/>
  <c r="CB1610"/>
  <c r="BR1610"/>
  <c r="F1610"/>
  <c r="C1610"/>
  <c r="CC1609"/>
  <c r="CB1609"/>
  <c r="BR1609"/>
  <c r="F1609"/>
  <c r="C1609"/>
  <c r="CC1608"/>
  <c r="CB1608"/>
  <c r="BR1608"/>
  <c r="F1608"/>
  <c r="C1608"/>
  <c r="CC1607"/>
  <c r="CB1607"/>
  <c r="BR1607"/>
  <c r="F1607"/>
  <c r="C1607"/>
  <c r="CC1606"/>
  <c r="CB1606"/>
  <c r="BR1606"/>
  <c r="F1606"/>
  <c r="C1606"/>
  <c r="CC1605"/>
  <c r="CB1605"/>
  <c r="BR1605"/>
  <c r="F1605"/>
  <c r="C1605"/>
  <c r="CC1604"/>
  <c r="CB1604"/>
  <c r="BR1604"/>
  <c r="F1604"/>
  <c r="C1604"/>
  <c r="CC1603"/>
  <c r="CB1603"/>
  <c r="BR1603"/>
  <c r="F1603"/>
  <c r="C1603"/>
  <c r="CC1602"/>
  <c r="CB1602"/>
  <c r="BR1602"/>
  <c r="F1602"/>
  <c r="C1602"/>
  <c r="CC1601"/>
  <c r="CB1601"/>
  <c r="BR1601"/>
  <c r="F1601"/>
  <c r="C1601"/>
  <c r="CC1600"/>
  <c r="CB1600"/>
  <c r="BR1600"/>
  <c r="F1600"/>
  <c r="C1600"/>
  <c r="CC1599"/>
  <c r="CB1599"/>
  <c r="BR1599"/>
  <c r="F1599"/>
  <c r="C1599"/>
  <c r="CC1598"/>
  <c r="CB1598"/>
  <c r="BR1598"/>
  <c r="F1598"/>
  <c r="C1598"/>
  <c r="CC1597"/>
  <c r="CB1597"/>
  <c r="BR1597"/>
  <c r="F1597"/>
  <c r="C1597"/>
  <c r="CC1596"/>
  <c r="CB1596"/>
  <c r="BR1596"/>
  <c r="F1596"/>
  <c r="C1596"/>
  <c r="CC1595"/>
  <c r="CB1595"/>
  <c r="BR1595"/>
  <c r="F1595"/>
  <c r="C1595"/>
  <c r="CC1594"/>
  <c r="CB1594"/>
  <c r="BR1594"/>
  <c r="F1594"/>
  <c r="C1594"/>
  <c r="CC1593"/>
  <c r="CB1593"/>
  <c r="BR1593"/>
  <c r="F1593"/>
  <c r="C1593"/>
  <c r="CC1592"/>
  <c r="CB1592"/>
  <c r="BR1592"/>
  <c r="F1592"/>
  <c r="C1592"/>
  <c r="CC1591"/>
  <c r="CB1591"/>
  <c r="BR1591"/>
  <c r="F1591"/>
  <c r="C1591"/>
  <c r="CC1590"/>
  <c r="CB1590"/>
  <c r="BR1590"/>
  <c r="F1590"/>
  <c r="C1590"/>
  <c r="CC1589"/>
  <c r="CB1589"/>
  <c r="BR1589"/>
  <c r="F1589"/>
  <c r="C1589"/>
  <c r="CC1588"/>
  <c r="CB1588"/>
  <c r="BR1588"/>
  <c r="F1588"/>
  <c r="C1588"/>
  <c r="CC1587"/>
  <c r="CB1587"/>
  <c r="BR1587"/>
  <c r="F1587"/>
  <c r="C1587"/>
  <c r="CC1586"/>
  <c r="CB1586"/>
  <c r="BR1586"/>
  <c r="F1586"/>
  <c r="C1586"/>
  <c r="CC1585"/>
  <c r="CB1585"/>
  <c r="BR1585"/>
  <c r="F1585"/>
  <c r="C1585"/>
  <c r="CC1584"/>
  <c r="CB1584"/>
  <c r="BR1584"/>
  <c r="F1584"/>
  <c r="C1584"/>
  <c r="CC1583"/>
  <c r="CB1583"/>
  <c r="BR1583"/>
  <c r="F1583"/>
  <c r="C1583"/>
  <c r="CC1582"/>
  <c r="CB1582"/>
  <c r="BR1582"/>
  <c r="F1582"/>
  <c r="C1582"/>
  <c r="CC1581"/>
  <c r="CB1581"/>
  <c r="BR1581"/>
  <c r="F1581"/>
  <c r="C1581"/>
  <c r="CC1580"/>
  <c r="CB1580"/>
  <c r="BR1580"/>
  <c r="F1580"/>
  <c r="C1580"/>
  <c r="CC1579"/>
  <c r="CB1579"/>
  <c r="BR1579"/>
  <c r="F1579"/>
  <c r="C1579"/>
  <c r="CC1578"/>
  <c r="CB1578"/>
  <c r="BR1578"/>
  <c r="F1578"/>
  <c r="C1578"/>
  <c r="CC1577"/>
  <c r="CB1577"/>
  <c r="BR1577"/>
  <c r="F1577"/>
  <c r="C1577"/>
  <c r="CC1576"/>
  <c r="CB1576"/>
  <c r="BR1576"/>
  <c r="F1576"/>
  <c r="C1576"/>
  <c r="CC1575"/>
  <c r="CB1575"/>
  <c r="BR1575"/>
  <c r="F1575"/>
  <c r="C1575"/>
  <c r="CC1574"/>
  <c r="CB1574"/>
  <c r="BR1574"/>
  <c r="F1574"/>
  <c r="C1574"/>
  <c r="CC1573"/>
  <c r="CB1573"/>
  <c r="BR1573"/>
  <c r="F1573"/>
  <c r="C1573"/>
  <c r="CC1572"/>
  <c r="CB1572"/>
  <c r="BR1572"/>
  <c r="F1572"/>
  <c r="C1572"/>
  <c r="CC1571"/>
  <c r="CB1571"/>
  <c r="BR1571"/>
  <c r="F1571"/>
  <c r="C1571"/>
  <c r="CC1570"/>
  <c r="CB1570"/>
  <c r="BR1570"/>
  <c r="F1570"/>
  <c r="C1570"/>
  <c r="CC1569"/>
  <c r="CB1569"/>
  <c r="BR1569"/>
  <c r="F1569"/>
  <c r="C1569"/>
  <c r="CC1568"/>
  <c r="CB1568"/>
  <c r="BR1568"/>
  <c r="F1568"/>
  <c r="C1568"/>
  <c r="CC1567"/>
  <c r="CB1567"/>
  <c r="BR1567"/>
  <c r="F1567"/>
  <c r="C1567"/>
  <c r="CC1566"/>
  <c r="CB1566"/>
  <c r="BR1566"/>
  <c r="F1566"/>
  <c r="C1566"/>
  <c r="CC1565"/>
  <c r="CB1565"/>
  <c r="BR1565"/>
  <c r="F1565"/>
  <c r="C1565"/>
  <c r="CC1564"/>
  <c r="CB1564"/>
  <c r="BR1564"/>
  <c r="F1564"/>
  <c r="C1564"/>
  <c r="CC1563"/>
  <c r="CB1563"/>
  <c r="BR1563"/>
  <c r="F1563"/>
  <c r="C1563"/>
  <c r="CC1562"/>
  <c r="CB1562"/>
  <c r="BR1562"/>
  <c r="F1562"/>
  <c r="C1562"/>
  <c r="CC1561"/>
  <c r="CB1561"/>
  <c r="BR1561"/>
  <c r="F1561"/>
  <c r="C1561"/>
  <c r="CC1560"/>
  <c r="CB1560"/>
  <c r="BR1560"/>
  <c r="F1560"/>
  <c r="C1560"/>
  <c r="CC1559"/>
  <c r="CB1559"/>
  <c r="BR1559"/>
  <c r="F1559"/>
  <c r="C1559"/>
  <c r="CC1558"/>
  <c r="CB1558"/>
  <c r="BR1558"/>
  <c r="F1558"/>
  <c r="C1558"/>
  <c r="CC1557"/>
  <c r="CB1557"/>
  <c r="BR1557"/>
  <c r="F1557"/>
  <c r="C1557"/>
  <c r="CC1556"/>
  <c r="CB1556"/>
  <c r="BR1556"/>
  <c r="F1556"/>
  <c r="C1556"/>
  <c r="CC1555"/>
  <c r="CB1555"/>
  <c r="BR1555"/>
  <c r="F1555"/>
  <c r="C1555"/>
  <c r="CC1554"/>
  <c r="CB1554"/>
  <c r="BR1554"/>
  <c r="F1554"/>
  <c r="C1554"/>
  <c r="CC1553"/>
  <c r="CB1553"/>
  <c r="BR1553"/>
  <c r="F1553"/>
  <c r="C1553"/>
  <c r="CC1552"/>
  <c r="CB1552"/>
  <c r="BR1552"/>
  <c r="F1552"/>
  <c r="C1552"/>
  <c r="CC1551"/>
  <c r="CB1551"/>
  <c r="BR1551"/>
  <c r="F1551"/>
  <c r="C1551"/>
  <c r="CC1550"/>
  <c r="CB1550"/>
  <c r="BR1550"/>
  <c r="F1550"/>
  <c r="C1550"/>
  <c r="CC1549"/>
  <c r="CB1549"/>
  <c r="BR1549"/>
  <c r="F1549"/>
  <c r="C1549"/>
  <c r="CC1548"/>
  <c r="CB1548"/>
  <c r="BR1548"/>
  <c r="F1548"/>
  <c r="C1548"/>
  <c r="CC1547"/>
  <c r="CB1547"/>
  <c r="BR1547"/>
  <c r="F1547"/>
  <c r="C1547"/>
  <c r="CC1546"/>
  <c r="CB1546"/>
  <c r="BR1546"/>
  <c r="F1546"/>
  <c r="C1546"/>
  <c r="CC1545"/>
  <c r="CB1545"/>
  <c r="BR1545"/>
  <c r="F1545"/>
  <c r="C1545"/>
  <c r="CC1544"/>
  <c r="CB1544"/>
  <c r="BR1544"/>
  <c r="F1544"/>
  <c r="C1544"/>
  <c r="CC1543"/>
  <c r="CB1543"/>
  <c r="BR1543"/>
  <c r="F1543"/>
  <c r="C1543"/>
  <c r="CC1542"/>
  <c r="CB1542"/>
  <c r="BR1542"/>
  <c r="F1542"/>
  <c r="C1542"/>
  <c r="CC1541"/>
  <c r="CB1541"/>
  <c r="BR1541"/>
  <c r="F1541"/>
  <c r="C1541"/>
  <c r="CC1540"/>
  <c r="CB1540"/>
  <c r="BR1540"/>
  <c r="F1540"/>
  <c r="C1540"/>
  <c r="CC1539"/>
  <c r="CB1539"/>
  <c r="BR1539"/>
  <c r="F1539"/>
  <c r="C1539"/>
  <c r="CC1538"/>
  <c r="CB1538"/>
  <c r="BR1538"/>
  <c r="F1538"/>
  <c r="C1538"/>
  <c r="CC1537"/>
  <c r="CB1537"/>
  <c r="BR1537"/>
  <c r="F1537"/>
  <c r="C1537"/>
  <c r="CC1536"/>
  <c r="CB1536"/>
  <c r="BR1536"/>
  <c r="F1536"/>
  <c r="C1536"/>
  <c r="CC1535"/>
  <c r="CB1535"/>
  <c r="BR1535"/>
  <c r="F1535"/>
  <c r="C1535"/>
  <c r="CC1534"/>
  <c r="CB1534"/>
  <c r="BR1534"/>
  <c r="F1534"/>
  <c r="C1534"/>
  <c r="CC1533"/>
  <c r="CB1533"/>
  <c r="BR1533"/>
  <c r="F1533"/>
  <c r="C1533"/>
  <c r="CC1532"/>
  <c r="CB1532"/>
  <c r="BR1532"/>
  <c r="F1532"/>
  <c r="C1532"/>
  <c r="CC1531"/>
  <c r="CB1531"/>
  <c r="BR1531"/>
  <c r="F1531"/>
  <c r="C1531"/>
  <c r="CC1530"/>
  <c r="CB1530"/>
  <c r="BR1530"/>
  <c r="F1530"/>
  <c r="C1530"/>
  <c r="CC1529"/>
  <c r="CB1529"/>
  <c r="BR1529"/>
  <c r="F1529"/>
  <c r="C1529"/>
  <c r="CC1528"/>
  <c r="CB1528"/>
  <c r="BR1528"/>
  <c r="F1528"/>
  <c r="C1528"/>
  <c r="CC1527"/>
  <c r="CB1527"/>
  <c r="BR1527"/>
  <c r="F1527"/>
  <c r="C1527"/>
  <c r="CC1526"/>
  <c r="CB1526"/>
  <c r="BR1526"/>
  <c r="F1526"/>
  <c r="C1526"/>
  <c r="CC1525"/>
  <c r="CB1525"/>
  <c r="BR1525"/>
  <c r="F1525"/>
  <c r="C1525"/>
  <c r="CC1524"/>
  <c r="CB1524"/>
  <c r="BR1524"/>
  <c r="F1524"/>
  <c r="C1524"/>
  <c r="CC1523"/>
  <c r="CB1523"/>
  <c r="BR1523"/>
  <c r="F1523"/>
  <c r="C1523"/>
  <c r="CC1522"/>
  <c r="CB1522"/>
  <c r="BR1522"/>
  <c r="F1522"/>
  <c r="C1522"/>
  <c r="CC1521"/>
  <c r="CB1521"/>
  <c r="BR1521"/>
  <c r="F1521"/>
  <c r="C1521"/>
  <c r="CC1520"/>
  <c r="CB1520"/>
  <c r="BR1520"/>
  <c r="F1520"/>
  <c r="C1520"/>
  <c r="CC1519"/>
  <c r="CB1519"/>
  <c r="BR1519"/>
  <c r="F1519"/>
  <c r="C1519"/>
  <c r="CC1518"/>
  <c r="CB1518"/>
  <c r="BR1518"/>
  <c r="F1518"/>
  <c r="C1518"/>
  <c r="CC1517"/>
  <c r="CB1517"/>
  <c r="BR1517"/>
  <c r="F1517"/>
  <c r="C1517"/>
  <c r="CC1516"/>
  <c r="CB1516"/>
  <c r="BR1516"/>
  <c r="F1516"/>
  <c r="C1516"/>
  <c r="CC1515"/>
  <c r="CB1515"/>
  <c r="BR1515"/>
  <c r="F1515"/>
  <c r="C1515"/>
  <c r="CC1514"/>
  <c r="CB1514"/>
  <c r="BR1514"/>
  <c r="F1514"/>
  <c r="C1514"/>
  <c r="CC1513"/>
  <c r="CB1513"/>
  <c r="BR1513"/>
  <c r="F1513"/>
  <c r="C1513"/>
  <c r="CC1512"/>
  <c r="CB1512"/>
  <c r="BR1512"/>
  <c r="F1512"/>
  <c r="C1512"/>
  <c r="CC1511"/>
  <c r="CB1511"/>
  <c r="BR1511"/>
  <c r="F1511"/>
  <c r="C1511"/>
  <c r="CC1510"/>
  <c r="CB1510"/>
  <c r="BR1510"/>
  <c r="F1510"/>
  <c r="C1510"/>
  <c r="CC1509"/>
  <c r="CB1509"/>
  <c r="BR1509"/>
  <c r="F1509"/>
  <c r="C1509"/>
  <c r="CC1508"/>
  <c r="CB1508"/>
  <c r="BR1508"/>
  <c r="F1508"/>
  <c r="C1508"/>
  <c r="CC1507"/>
  <c r="CB1507"/>
  <c r="BR1507"/>
  <c r="F1507"/>
  <c r="C1507"/>
  <c r="CC1506"/>
  <c r="CB1506"/>
  <c r="BR1506"/>
  <c r="F1506"/>
  <c r="C1506"/>
  <c r="CC1505"/>
  <c r="CB1505"/>
  <c r="BR1505"/>
  <c r="F1505"/>
  <c r="C1505"/>
  <c r="CC1504"/>
  <c r="CB1504"/>
  <c r="BR1504"/>
  <c r="F1504"/>
  <c r="C1504"/>
  <c r="CC1503"/>
  <c r="CB1503"/>
  <c r="BR1503"/>
  <c r="F1503"/>
  <c r="C1503"/>
  <c r="CC1502"/>
  <c r="CB1502"/>
  <c r="BR1502"/>
  <c r="F1502"/>
  <c r="C1502"/>
  <c r="CC1501"/>
  <c r="CB1501"/>
  <c r="BR1501"/>
  <c r="F1501"/>
  <c r="C1501"/>
  <c r="CC1500"/>
  <c r="CB1500"/>
  <c r="BR1500"/>
  <c r="F1500"/>
  <c r="C1500"/>
  <c r="CC1499"/>
  <c r="CB1499"/>
  <c r="BR1499"/>
  <c r="F1499"/>
  <c r="C1499"/>
  <c r="CC1498"/>
  <c r="CB1498"/>
  <c r="BR1498"/>
  <c r="F1498"/>
  <c r="C1498"/>
  <c r="CC1497"/>
  <c r="CB1497"/>
  <c r="BR1497"/>
  <c r="F1497"/>
  <c r="C1497"/>
  <c r="CC1496"/>
  <c r="CB1496"/>
  <c r="BR1496"/>
  <c r="F1496"/>
  <c r="C1496"/>
  <c r="CC1495"/>
  <c r="CB1495"/>
  <c r="BR1495"/>
  <c r="F1495"/>
  <c r="C1495"/>
  <c r="CC1494"/>
  <c r="CB1494"/>
  <c r="BR1494"/>
  <c r="F1494"/>
  <c r="C1494"/>
  <c r="CC1493"/>
  <c r="CB1493"/>
  <c r="BR1493"/>
  <c r="F1493"/>
  <c r="C1493"/>
  <c r="CC1492"/>
  <c r="CB1492"/>
  <c r="BR1492"/>
  <c r="F1492"/>
  <c r="C1492"/>
  <c r="CC1491"/>
  <c r="CB1491"/>
  <c r="BR1491"/>
  <c r="F1491"/>
  <c r="C1491"/>
  <c r="CC1490"/>
  <c r="CB1490"/>
  <c r="BR1490"/>
  <c r="F1490"/>
  <c r="C1490"/>
  <c r="CC1489"/>
  <c r="CB1489"/>
  <c r="BR1489"/>
  <c r="F1489"/>
  <c r="C1489"/>
  <c r="CC1488"/>
  <c r="CB1488"/>
  <c r="BR1488"/>
  <c r="F1488"/>
  <c r="C1488"/>
  <c r="CC1487"/>
  <c r="CB1487"/>
  <c r="BR1487"/>
  <c r="F1487"/>
  <c r="C1487"/>
  <c r="CC1486"/>
  <c r="CB1486"/>
  <c r="BR1486"/>
  <c r="F1486"/>
  <c r="C1486"/>
  <c r="CC1485"/>
  <c r="CB1485"/>
  <c r="BR1485"/>
  <c r="F1485"/>
  <c r="C1485"/>
  <c r="CC1484"/>
  <c r="CB1484"/>
  <c r="BR1484"/>
  <c r="F1484"/>
  <c r="C1484"/>
  <c r="CC1483"/>
  <c r="CB1483"/>
  <c r="BR1483"/>
  <c r="F1483"/>
  <c r="C1483"/>
  <c r="CC1482"/>
  <c r="CB1482"/>
  <c r="BR1482"/>
  <c r="F1482"/>
  <c r="C1482"/>
  <c r="CC1481"/>
  <c r="CB1481"/>
  <c r="BR1481"/>
  <c r="F1481"/>
  <c r="C1481"/>
  <c r="CC1480"/>
  <c r="CB1480"/>
  <c r="BR1480"/>
  <c r="F1480"/>
  <c r="C1480"/>
  <c r="CC1479"/>
  <c r="CB1479"/>
  <c r="BR1479"/>
  <c r="F1479"/>
  <c r="C1479"/>
  <c r="CC1478"/>
  <c r="CB1478"/>
  <c r="BR1478"/>
  <c r="F1478"/>
  <c r="C1478"/>
  <c r="CC1477"/>
  <c r="CB1477"/>
  <c r="BR1477"/>
  <c r="F1477"/>
  <c r="C1477"/>
  <c r="CC1476"/>
  <c r="CB1476"/>
  <c r="BR1476"/>
  <c r="F1476"/>
  <c r="C1476"/>
  <c r="CC1475"/>
  <c r="CB1475"/>
  <c r="BR1475"/>
  <c r="F1475"/>
  <c r="C1475"/>
  <c r="CC1474"/>
  <c r="CB1474"/>
  <c r="BR1474"/>
  <c r="F1474"/>
  <c r="C1474"/>
  <c r="CC1473"/>
  <c r="CB1473"/>
  <c r="BR1473"/>
  <c r="F1473"/>
  <c r="C1473"/>
  <c r="CC1472"/>
  <c r="CB1472"/>
  <c r="BR1472"/>
  <c r="F1472"/>
  <c r="C1472"/>
  <c r="CC1471"/>
  <c r="CB1471"/>
  <c r="BR1471"/>
  <c r="F1471"/>
  <c r="C1471"/>
  <c r="CC1470"/>
  <c r="CB1470"/>
  <c r="BR1470"/>
  <c r="F1470"/>
  <c r="C1470"/>
  <c r="CC1469"/>
  <c r="CB1469"/>
  <c r="BR1469"/>
  <c r="F1469"/>
  <c r="C1469"/>
  <c r="CC1468"/>
  <c r="CB1468"/>
  <c r="BR1468"/>
  <c r="F1468"/>
  <c r="C1468"/>
  <c r="CC1467"/>
  <c r="CB1467"/>
  <c r="BR1467"/>
  <c r="F1467"/>
  <c r="C1467"/>
  <c r="CC1466"/>
  <c r="CB1466"/>
  <c r="BR1466"/>
  <c r="F1466"/>
  <c r="C1466"/>
  <c r="CC1465"/>
  <c r="CB1465"/>
  <c r="BR1465"/>
  <c r="F1465"/>
  <c r="C1465"/>
  <c r="CC1464"/>
  <c r="CB1464"/>
  <c r="BR1464"/>
  <c r="F1464"/>
  <c r="C1464"/>
  <c r="CC1463"/>
  <c r="CB1463"/>
  <c r="BR1463"/>
  <c r="F1463"/>
  <c r="C1463"/>
  <c r="CC1462"/>
  <c r="CB1462"/>
  <c r="BR1462"/>
  <c r="F1462"/>
  <c r="C1462"/>
  <c r="CC1461"/>
  <c r="CB1461"/>
  <c r="BR1461"/>
  <c r="F1461"/>
  <c r="C1461"/>
  <c r="CC1460"/>
  <c r="CB1460"/>
  <c r="BR1460"/>
  <c r="F1460"/>
  <c r="C1460"/>
  <c r="CC1459"/>
  <c r="CB1459"/>
  <c r="BR1459"/>
  <c r="F1459"/>
  <c r="C1459"/>
  <c r="CC1458"/>
  <c r="CB1458"/>
  <c r="BR1458"/>
  <c r="F1458"/>
  <c r="C1458"/>
  <c r="CC1457"/>
  <c r="CB1457"/>
  <c r="BR1457"/>
  <c r="F1457"/>
  <c r="C1457"/>
  <c r="CC1456"/>
  <c r="CB1456"/>
  <c r="BR1456"/>
  <c r="F1456"/>
  <c r="C1456"/>
  <c r="CC1455"/>
  <c r="CB1455"/>
  <c r="BR1455"/>
  <c r="F1455"/>
  <c r="C1455"/>
  <c r="CC1454"/>
  <c r="CB1454"/>
  <c r="BR1454"/>
  <c r="F1454"/>
  <c r="C1454"/>
  <c r="CC1453"/>
  <c r="CB1453"/>
  <c r="BR1453"/>
  <c r="F1453"/>
  <c r="C1453"/>
  <c r="CC1452"/>
  <c r="CB1452"/>
  <c r="BR1452"/>
  <c r="F1452"/>
  <c r="C1452"/>
  <c r="CC1451"/>
  <c r="CB1451"/>
  <c r="BR1451"/>
  <c r="F1451"/>
  <c r="C1451"/>
  <c r="CC1450"/>
  <c r="CB1450"/>
  <c r="BR1450"/>
  <c r="F1450"/>
  <c r="C1450"/>
  <c r="CC1449"/>
  <c r="CB1449"/>
  <c r="BR1449"/>
  <c r="F1449"/>
  <c r="C1449"/>
  <c r="CC1448"/>
  <c r="CB1448"/>
  <c r="BR1448"/>
  <c r="F1448"/>
  <c r="C1448"/>
  <c r="CC1447"/>
  <c r="CB1447"/>
  <c r="BR1447"/>
  <c r="F1447"/>
  <c r="C1447"/>
  <c r="CC1446"/>
  <c r="CB1446"/>
  <c r="BR1446"/>
  <c r="F1446"/>
  <c r="C1446"/>
  <c r="CC1445"/>
  <c r="CB1445"/>
  <c r="BR1445"/>
  <c r="F1445"/>
  <c r="C1445"/>
  <c r="CC1444"/>
  <c r="CB1444"/>
  <c r="BR1444"/>
  <c r="F1444"/>
  <c r="C1444"/>
  <c r="CC1443"/>
  <c r="CB1443"/>
  <c r="BR1443"/>
  <c r="F1443"/>
  <c r="C1443"/>
  <c r="CC1442"/>
  <c r="CB1442"/>
  <c r="BR1442"/>
  <c r="F1442"/>
  <c r="C1442"/>
  <c r="CC1441"/>
  <c r="CB1441"/>
  <c r="BR1441"/>
  <c r="F1441"/>
  <c r="C1441"/>
  <c r="CC1440"/>
  <c r="CB1440"/>
  <c r="BR1440"/>
  <c r="F1440"/>
  <c r="C1440"/>
  <c r="CC1439"/>
  <c r="CB1439"/>
  <c r="BR1439"/>
  <c r="F1439"/>
  <c r="C1439"/>
  <c r="CC1438"/>
  <c r="CB1438"/>
  <c r="BR1438"/>
  <c r="F1438"/>
  <c r="C1438"/>
  <c r="CC1437"/>
  <c r="CB1437"/>
  <c r="BR1437"/>
  <c r="F1437"/>
  <c r="C1437"/>
  <c r="CC1436"/>
  <c r="CB1436"/>
  <c r="BR1436"/>
  <c r="F1436"/>
  <c r="C1436"/>
  <c r="CC1435"/>
  <c r="CB1435"/>
  <c r="BR1435"/>
  <c r="F1435"/>
  <c r="C1435"/>
  <c r="CC1434"/>
  <c r="CB1434"/>
  <c r="BR1434"/>
  <c r="F1434"/>
  <c r="C1434"/>
  <c r="CC1433"/>
  <c r="CB1433"/>
  <c r="BR1433"/>
  <c r="F1433"/>
  <c r="C1433"/>
  <c r="CC1432"/>
  <c r="CB1432"/>
  <c r="BR1432"/>
  <c r="F1432"/>
  <c r="C1432"/>
  <c r="CC1431"/>
  <c r="CB1431"/>
  <c r="BR1431"/>
  <c r="F1431"/>
  <c r="C1431"/>
  <c r="CC1430"/>
  <c r="CB1430"/>
  <c r="BR1430"/>
  <c r="F1430"/>
  <c r="C1430"/>
  <c r="CC1429"/>
  <c r="CB1429"/>
  <c r="BR1429"/>
  <c r="F1429"/>
  <c r="C1429"/>
  <c r="CC1428"/>
  <c r="CB1428"/>
  <c r="BR1428"/>
  <c r="F1428"/>
  <c r="C1428"/>
  <c r="CC1427"/>
  <c r="CB1427"/>
  <c r="BR1427"/>
  <c r="F1427"/>
  <c r="C1427"/>
  <c r="CC1426"/>
  <c r="CB1426"/>
  <c r="BR1426"/>
  <c r="F1426"/>
  <c r="C1426"/>
  <c r="CC1425"/>
  <c r="CB1425"/>
  <c r="BR1425"/>
  <c r="F1425"/>
  <c r="C1425"/>
  <c r="CC1424"/>
  <c r="CB1424"/>
  <c r="BR1424"/>
  <c r="F1424"/>
  <c r="C1424"/>
  <c r="CC1423"/>
  <c r="CB1423"/>
  <c r="BR1423"/>
  <c r="F1423"/>
  <c r="C1423"/>
  <c r="CC1422"/>
  <c r="CB1422"/>
  <c r="BR1422"/>
  <c r="F1422"/>
  <c r="C1422"/>
  <c r="CC1421"/>
  <c r="CB1421"/>
  <c r="BR1421"/>
  <c r="F1421"/>
  <c r="C1421"/>
  <c r="CC1420"/>
  <c r="CB1420"/>
  <c r="BR1420"/>
  <c r="F1420"/>
  <c r="C1420"/>
  <c r="CC1419"/>
  <c r="CB1419"/>
  <c r="BR1419"/>
  <c r="F1419"/>
  <c r="C1419"/>
  <c r="CC1418"/>
  <c r="CB1418"/>
  <c r="BR1418"/>
  <c r="F1418"/>
  <c r="C1418"/>
  <c r="CC1417"/>
  <c r="CB1417"/>
  <c r="BR1417"/>
  <c r="F1417"/>
  <c r="C1417"/>
  <c r="CC1416"/>
  <c r="CB1416"/>
  <c r="BR1416"/>
  <c r="F1416"/>
  <c r="C1416"/>
  <c r="CC1415"/>
  <c r="CB1415"/>
  <c r="BR1415"/>
  <c r="F1415"/>
  <c r="C1415"/>
  <c r="CC1414"/>
  <c r="CB1414"/>
  <c r="BR1414"/>
  <c r="F1414"/>
  <c r="C1414"/>
  <c r="CC1413"/>
  <c r="CB1413"/>
  <c r="BR1413"/>
  <c r="F1413"/>
  <c r="C1413"/>
  <c r="CC1412"/>
  <c r="CB1412"/>
  <c r="BR1412"/>
  <c r="F1412"/>
  <c r="C1412"/>
  <c r="CC1411"/>
  <c r="CB1411"/>
  <c r="BR1411"/>
  <c r="F1411"/>
  <c r="C1411"/>
  <c r="CC1410"/>
  <c r="CB1410"/>
  <c r="BR1410"/>
  <c r="F1410"/>
  <c r="C1410"/>
  <c r="CC1409"/>
  <c r="CB1409"/>
  <c r="BR1409"/>
  <c r="F1409"/>
  <c r="C1409"/>
  <c r="CC1408"/>
  <c r="CB1408"/>
  <c r="BR1408"/>
  <c r="F1408"/>
  <c r="C1408"/>
  <c r="CC1407"/>
  <c r="CB1407"/>
  <c r="BR1407"/>
  <c r="F1407"/>
  <c r="C1407"/>
  <c r="CC1406"/>
  <c r="CB1406"/>
  <c r="BR1406"/>
  <c r="F1406"/>
  <c r="C1406"/>
  <c r="CC1405"/>
  <c r="CB1405"/>
  <c r="BR1405"/>
  <c r="F1405"/>
  <c r="C1405"/>
  <c r="CC1404"/>
  <c r="CB1404"/>
  <c r="BR1404"/>
  <c r="F1404"/>
  <c r="C1404"/>
  <c r="CC1403"/>
  <c r="CB1403"/>
  <c r="BR1403"/>
  <c r="F1403"/>
  <c r="C1403"/>
  <c r="CC1402"/>
  <c r="CB1402"/>
  <c r="BR1402"/>
  <c r="F1402"/>
  <c r="C1402"/>
  <c r="CC1401"/>
  <c r="CB1401"/>
  <c r="BR1401"/>
  <c r="F1401"/>
  <c r="C1401"/>
  <c r="CC1400"/>
  <c r="CB1400"/>
  <c r="BR1400"/>
  <c r="F1400"/>
  <c r="C1400"/>
  <c r="CC1399"/>
  <c r="CB1399"/>
  <c r="BR1399"/>
  <c r="F1399"/>
  <c r="C1399"/>
  <c r="CC1398"/>
  <c r="CB1398"/>
  <c r="BR1398"/>
  <c r="F1398"/>
  <c r="C1398"/>
  <c r="CC1397"/>
  <c r="CB1397"/>
  <c r="BR1397"/>
  <c r="F1397"/>
  <c r="C1397"/>
  <c r="CC1396"/>
  <c r="CB1396"/>
  <c r="BR1396"/>
  <c r="F1396"/>
  <c r="C1396"/>
  <c r="CC1395"/>
  <c r="CB1395"/>
  <c r="BR1395"/>
  <c r="F1395"/>
  <c r="C1395"/>
  <c r="CC1394"/>
  <c r="CB1394"/>
  <c r="BR1394"/>
  <c r="F1394"/>
  <c r="C1394"/>
  <c r="CC1393"/>
  <c r="CB1393"/>
  <c r="BR1393"/>
  <c r="F1393"/>
  <c r="C1393"/>
  <c r="CC1392"/>
  <c r="CB1392"/>
  <c r="BR1392"/>
  <c r="F1392"/>
  <c r="C1392"/>
  <c r="CC1391"/>
  <c r="CB1391"/>
  <c r="BR1391"/>
  <c r="F1391"/>
  <c r="C1391"/>
  <c r="CC1390"/>
  <c r="CB1390"/>
  <c r="BR1390"/>
  <c r="F1390"/>
  <c r="C1390"/>
  <c r="CC1389"/>
  <c r="CB1389"/>
  <c r="BR1389"/>
  <c r="F1389"/>
  <c r="C1389"/>
  <c r="CC1388"/>
  <c r="CB1388"/>
  <c r="BR1388"/>
  <c r="F1388"/>
  <c r="C1388"/>
  <c r="CC1387"/>
  <c r="CB1387"/>
  <c r="BR1387"/>
  <c r="F1387"/>
  <c r="C1387"/>
  <c r="CC1386"/>
  <c r="CB1386"/>
  <c r="BR1386"/>
  <c r="F1386"/>
  <c r="C1386"/>
  <c r="CC1385"/>
  <c r="CB1385"/>
  <c r="BR1385"/>
  <c r="F1385"/>
  <c r="C1385"/>
  <c r="CC1384"/>
  <c r="CB1384"/>
  <c r="BR1384"/>
  <c r="F1384"/>
  <c r="C1384"/>
  <c r="CC1383"/>
  <c r="CB1383"/>
  <c r="BR1383"/>
  <c r="F1383"/>
  <c r="C1383"/>
  <c r="CC1382"/>
  <c r="CB1382"/>
  <c r="BR1382"/>
  <c r="F1382"/>
  <c r="C1382"/>
  <c r="CC1381"/>
  <c r="CB1381"/>
  <c r="BR1381"/>
  <c r="F1381"/>
  <c r="C1381"/>
  <c r="CC1380"/>
  <c r="CB1380"/>
  <c r="BR1380"/>
  <c r="F1380"/>
  <c r="C1380"/>
  <c r="CC1379"/>
  <c r="CB1379"/>
  <c r="BR1379"/>
  <c r="F1379"/>
  <c r="C1379"/>
  <c r="CC1378"/>
  <c r="CB1378"/>
  <c r="BR1378"/>
  <c r="F1378"/>
  <c r="C1378"/>
  <c r="CC1377"/>
  <c r="CB1377"/>
  <c r="BR1377"/>
  <c r="F1377"/>
  <c r="C1377"/>
  <c r="CC1376"/>
  <c r="CB1376"/>
  <c r="BR1376"/>
  <c r="F1376"/>
  <c r="C1376"/>
  <c r="CC1375"/>
  <c r="CB1375"/>
  <c r="BR1375"/>
  <c r="F1375"/>
  <c r="C1375"/>
  <c r="CC1374"/>
  <c r="CB1374"/>
  <c r="BR1374"/>
  <c r="F1374"/>
  <c r="C1374"/>
  <c r="CC1373"/>
  <c r="CB1373"/>
  <c r="BR1373"/>
  <c r="F1373"/>
  <c r="C1373"/>
  <c r="CC1372"/>
  <c r="CB1372"/>
  <c r="BR1372"/>
  <c r="F1372"/>
  <c r="C1372"/>
  <c r="CC1371"/>
  <c r="CB1371"/>
  <c r="BR1371"/>
  <c r="F1371"/>
  <c r="C1371"/>
  <c r="CC1370"/>
  <c r="CB1370"/>
  <c r="BR1370"/>
  <c r="F1370"/>
  <c r="C1370"/>
  <c r="CC1369"/>
  <c r="CB1369"/>
  <c r="BR1369"/>
  <c r="F1369"/>
  <c r="C1369"/>
  <c r="CC1368"/>
  <c r="CB1368"/>
  <c r="BR1368"/>
  <c r="F1368"/>
  <c r="C1368"/>
  <c r="CC1367"/>
  <c r="CB1367"/>
  <c r="BR1367"/>
  <c r="F1367"/>
  <c r="C1367"/>
  <c r="CC1366"/>
  <c r="CB1366"/>
  <c r="BR1366"/>
  <c r="F1366"/>
  <c r="C1366"/>
  <c r="CC1365"/>
  <c r="CB1365"/>
  <c r="BR1365"/>
  <c r="F1365"/>
  <c r="C1365"/>
  <c r="CC1364"/>
  <c r="CB1364"/>
  <c r="BR1364"/>
  <c r="F1364"/>
  <c r="C1364"/>
  <c r="CC1363"/>
  <c r="CB1363"/>
  <c r="BR1363"/>
  <c r="F1363"/>
  <c r="C1363"/>
  <c r="CC1362"/>
  <c r="CB1362"/>
  <c r="BR1362"/>
  <c r="F1362"/>
  <c r="C1362"/>
  <c r="CC1361"/>
  <c r="CB1361"/>
  <c r="BR1361"/>
  <c r="F1361"/>
  <c r="C1361"/>
  <c r="CC1360"/>
  <c r="CB1360"/>
  <c r="BR1360"/>
  <c r="F1360"/>
  <c r="C1360"/>
  <c r="CC1359"/>
  <c r="CB1359"/>
  <c r="BR1359"/>
  <c r="F1359"/>
  <c r="C1359"/>
  <c r="CC1358"/>
  <c r="CB1358"/>
  <c r="BR1358"/>
  <c r="F1358"/>
  <c r="C1358"/>
  <c r="CC1357"/>
  <c r="CB1357"/>
  <c r="BR1357"/>
  <c r="F1357"/>
  <c r="C1357"/>
  <c r="CC1356"/>
  <c r="CB1356"/>
  <c r="BR1356"/>
  <c r="F1356"/>
  <c r="C1356"/>
  <c r="CC1355"/>
  <c r="CB1355"/>
  <c r="BR1355"/>
  <c r="F1355"/>
  <c r="C1355"/>
  <c r="CC1354"/>
  <c r="CB1354"/>
  <c r="BR1354"/>
  <c r="F1354"/>
  <c r="C1354"/>
  <c r="CC1353"/>
  <c r="CB1353"/>
  <c r="BR1353"/>
  <c r="F1353"/>
  <c r="C1353"/>
  <c r="CC1352"/>
  <c r="CB1352"/>
  <c r="BR1352"/>
  <c r="F1352"/>
  <c r="C1352"/>
  <c r="CC1351"/>
  <c r="CB1351"/>
  <c r="BR1351"/>
  <c r="F1351"/>
  <c r="C1351"/>
  <c r="CC1350"/>
  <c r="CB1350"/>
  <c r="BR1350"/>
  <c r="F1350"/>
  <c r="C1350"/>
  <c r="CC1349"/>
  <c r="CB1349"/>
  <c r="BR1349"/>
  <c r="F1349"/>
  <c r="C1349"/>
  <c r="CC1348"/>
  <c r="CB1348"/>
  <c r="BR1348"/>
  <c r="F1348"/>
  <c r="C1348"/>
  <c r="CC1347"/>
  <c r="CB1347"/>
  <c r="BR1347"/>
  <c r="F1347"/>
  <c r="C1347"/>
  <c r="CC1346"/>
  <c r="CB1346"/>
  <c r="BR1346"/>
  <c r="F1346"/>
  <c r="C1346"/>
  <c r="CC1345"/>
  <c r="CB1345"/>
  <c r="BR1345"/>
  <c r="F1345"/>
  <c r="C1345"/>
  <c r="CC1344"/>
  <c r="CB1344"/>
  <c r="BR1344"/>
  <c r="F1344"/>
  <c r="C1344"/>
  <c r="CC1343"/>
  <c r="CB1343"/>
  <c r="BR1343"/>
  <c r="F1343"/>
  <c r="C1343"/>
  <c r="CC1342"/>
  <c r="CB1342"/>
  <c r="BR1342"/>
  <c r="F1342"/>
  <c r="C1342"/>
  <c r="CC1341"/>
  <c r="CB1341"/>
  <c r="BR1341"/>
  <c r="F1341"/>
  <c r="C1341"/>
  <c r="CC1340"/>
  <c r="CB1340"/>
  <c r="BR1340"/>
  <c r="F1340"/>
  <c r="C1340"/>
  <c r="CC1339"/>
  <c r="CB1339"/>
  <c r="BR1339"/>
  <c r="F1339"/>
  <c r="C1339"/>
  <c r="CC1338"/>
  <c r="CB1338"/>
  <c r="BR1338"/>
  <c r="F1338"/>
  <c r="C1338"/>
  <c r="CC1337"/>
  <c r="CB1337"/>
  <c r="BR1337"/>
  <c r="F1337"/>
  <c r="C1337"/>
  <c r="CC1336"/>
  <c r="CB1336"/>
  <c r="BR1336"/>
  <c r="F1336"/>
  <c r="C1336"/>
  <c r="CC1335"/>
  <c r="CB1335"/>
  <c r="BR1335"/>
  <c r="F1335"/>
  <c r="C1335"/>
  <c r="CC1334"/>
  <c r="CB1334"/>
  <c r="BR1334"/>
  <c r="F1334"/>
  <c r="C1334"/>
  <c r="CC1333"/>
  <c r="CB1333"/>
  <c r="BR1333"/>
  <c r="F1333"/>
  <c r="C1333"/>
  <c r="CC1332"/>
  <c r="CB1332"/>
  <c r="BR1332"/>
  <c r="F1332"/>
  <c r="C1332"/>
  <c r="CC1331"/>
  <c r="CB1331"/>
  <c r="BR1331"/>
  <c r="F1331"/>
  <c r="C1331"/>
  <c r="CC1330"/>
  <c r="CB1330"/>
  <c r="BR1330"/>
  <c r="F1330"/>
  <c r="C1330"/>
  <c r="CC1329"/>
  <c r="CB1329"/>
  <c r="BR1329"/>
  <c r="F1329"/>
  <c r="C1329"/>
  <c r="CC1328"/>
  <c r="CB1328"/>
  <c r="BR1328"/>
  <c r="F1328"/>
  <c r="C1328"/>
  <c r="CC1327"/>
  <c r="CB1327"/>
  <c r="BR1327"/>
  <c r="F1327"/>
  <c r="C1327"/>
  <c r="CC1326"/>
  <c r="CB1326"/>
  <c r="BR1326"/>
  <c r="F1326"/>
  <c r="C1326"/>
  <c r="CC1325"/>
  <c r="CB1325"/>
  <c r="BR1325"/>
  <c r="F1325"/>
  <c r="C1325"/>
  <c r="CC1324"/>
  <c r="CB1324"/>
  <c r="BR1324"/>
  <c r="F1324"/>
  <c r="C1324"/>
  <c r="CC1323"/>
  <c r="CB1323"/>
  <c r="BR1323"/>
  <c r="F1323"/>
  <c r="C1323"/>
  <c r="CC1322"/>
  <c r="CB1322"/>
  <c r="BR1322"/>
  <c r="F1322"/>
  <c r="C1322"/>
  <c r="CC1321"/>
  <c r="CB1321"/>
  <c r="BR1321"/>
  <c r="F1321"/>
  <c r="C1321"/>
  <c r="CC1320"/>
  <c r="CB1320"/>
  <c r="BR1320"/>
  <c r="F1320"/>
  <c r="C1320"/>
  <c r="CC1319"/>
  <c r="CB1319"/>
  <c r="BR1319"/>
  <c r="F1319"/>
  <c r="C1319"/>
  <c r="CC1318"/>
  <c r="CB1318"/>
  <c r="BR1318"/>
  <c r="F1318"/>
  <c r="C1318"/>
  <c r="CC1317"/>
  <c r="CB1317"/>
  <c r="BR1317"/>
  <c r="F1317"/>
  <c r="C1317"/>
  <c r="CC1316"/>
  <c r="CB1316"/>
  <c r="BR1316"/>
  <c r="F1316"/>
  <c r="C1316"/>
  <c r="CC1315"/>
  <c r="CB1315"/>
  <c r="BR1315"/>
  <c r="F1315"/>
  <c r="C1315"/>
  <c r="CC1314"/>
  <c r="CB1314"/>
  <c r="BR1314"/>
  <c r="F1314"/>
  <c r="C1314"/>
  <c r="CC1313"/>
  <c r="CB1313"/>
  <c r="BR1313"/>
  <c r="F1313"/>
  <c r="C1313"/>
  <c r="CC1312"/>
  <c r="CB1312"/>
  <c r="BR1312"/>
  <c r="F1312"/>
  <c r="C1312"/>
  <c r="CC1311"/>
  <c r="CB1311"/>
  <c r="BR1311"/>
  <c r="F1311"/>
  <c r="C1311"/>
  <c r="CC1310"/>
  <c r="CB1310"/>
  <c r="BR1310"/>
  <c r="F1310"/>
  <c r="C1310"/>
  <c r="CC1309"/>
  <c r="CB1309"/>
  <c r="BR1309"/>
  <c r="F1309"/>
  <c r="C1309"/>
  <c r="CC1308"/>
  <c r="CB1308"/>
  <c r="BR1308"/>
  <c r="F1308"/>
  <c r="C1308"/>
  <c r="CC1307"/>
  <c r="CB1307"/>
  <c r="BR1307"/>
  <c r="F1307"/>
  <c r="C1307"/>
  <c r="CC1306"/>
  <c r="CB1306"/>
  <c r="BR1306"/>
  <c r="F1306"/>
  <c r="C1306"/>
  <c r="CC1305"/>
  <c r="CB1305"/>
  <c r="BR1305"/>
  <c r="F1305"/>
  <c r="C1305"/>
  <c r="CC1304"/>
  <c r="CB1304"/>
  <c r="BR1304"/>
  <c r="F1304"/>
  <c r="C1304"/>
  <c r="CC1303"/>
  <c r="CB1303"/>
  <c r="BR1303"/>
  <c r="F1303"/>
  <c r="C1303"/>
  <c r="CC1302"/>
  <c r="CB1302"/>
  <c r="BR1302"/>
  <c r="F1302"/>
  <c r="C1302"/>
  <c r="CC1301"/>
  <c r="CB1301"/>
  <c r="BR1301"/>
  <c r="F1301"/>
  <c r="C1301"/>
  <c r="CC1300"/>
  <c r="CB1300"/>
  <c r="BR1300"/>
  <c r="F1300"/>
  <c r="C1300"/>
  <c r="CC1299"/>
  <c r="CB1299"/>
  <c r="BR1299"/>
  <c r="F1299"/>
  <c r="C1299"/>
  <c r="CC1298"/>
  <c r="CB1298"/>
  <c r="BR1298"/>
  <c r="F1298"/>
  <c r="C1298"/>
  <c r="CC1297"/>
  <c r="CB1297"/>
  <c r="BR1297"/>
  <c r="F1297"/>
  <c r="C1297"/>
  <c r="CC1296"/>
  <c r="CB1296"/>
  <c r="BR1296"/>
  <c r="F1296"/>
  <c r="C1296"/>
  <c r="CC1295"/>
  <c r="CB1295"/>
  <c r="BR1295"/>
  <c r="F1295"/>
  <c r="C1295"/>
  <c r="CC1294"/>
  <c r="CB1294"/>
  <c r="BR1294"/>
  <c r="F1294"/>
  <c r="C1294"/>
  <c r="CC1293"/>
  <c r="CB1293"/>
  <c r="BR1293"/>
  <c r="F1293"/>
  <c r="C1293"/>
  <c r="CC1292"/>
  <c r="CB1292"/>
  <c r="BR1292"/>
  <c r="F1292"/>
  <c r="C1292"/>
  <c r="CC1291"/>
  <c r="CB1291"/>
  <c r="BR1291"/>
  <c r="F1291"/>
  <c r="C1291"/>
  <c r="CC1290"/>
  <c r="CB1290"/>
  <c r="BR1290"/>
  <c r="F1290"/>
  <c r="C1290"/>
  <c r="CC1289"/>
  <c r="CB1289"/>
  <c r="BR1289"/>
  <c r="F1289"/>
  <c r="C1289"/>
  <c r="CC1288"/>
  <c r="CB1288"/>
  <c r="BR1288"/>
  <c r="F1288"/>
  <c r="C1288"/>
  <c r="CC1287"/>
  <c r="CB1287"/>
  <c r="BR1287"/>
  <c r="F1287"/>
  <c r="C1287"/>
  <c r="CC1286"/>
  <c r="CB1286"/>
  <c r="BR1286"/>
  <c r="F1286"/>
  <c r="C1286"/>
  <c r="CC1285"/>
  <c r="CB1285"/>
  <c r="BR1285"/>
  <c r="F1285"/>
  <c r="C1285"/>
  <c r="CC1284"/>
  <c r="CB1284"/>
  <c r="BR1284"/>
  <c r="F1284"/>
  <c r="C1284"/>
  <c r="CC1283"/>
  <c r="CB1283"/>
  <c r="BR1283"/>
  <c r="F1283"/>
  <c r="C1283"/>
  <c r="CC1282"/>
  <c r="CB1282"/>
  <c r="BR1282"/>
  <c r="F1282"/>
  <c r="C1282"/>
  <c r="CC1281"/>
  <c r="CB1281"/>
  <c r="BR1281"/>
  <c r="F1281"/>
  <c r="C1281"/>
  <c r="CC1280"/>
  <c r="CB1280"/>
  <c r="BR1280"/>
  <c r="F1280"/>
  <c r="C1280"/>
  <c r="CC1279"/>
  <c r="CB1279"/>
  <c r="BR1279"/>
  <c r="F1279"/>
  <c r="C1279"/>
  <c r="CC1278"/>
  <c r="CB1278"/>
  <c r="BR1278"/>
  <c r="F1278"/>
  <c r="C1278"/>
  <c r="CC1277"/>
  <c r="CB1277"/>
  <c r="BR1277"/>
  <c r="F1277"/>
  <c r="C1277"/>
  <c r="CC1276"/>
  <c r="CB1276"/>
  <c r="BR1276"/>
  <c r="F1276"/>
  <c r="C1276"/>
  <c r="CC1275"/>
  <c r="CB1275"/>
  <c r="BR1275"/>
  <c r="F1275"/>
  <c r="C1275"/>
  <c r="CC1274"/>
  <c r="CB1274"/>
  <c r="BR1274"/>
  <c r="F1274"/>
  <c r="C1274"/>
  <c r="CC1273"/>
  <c r="CB1273"/>
  <c r="BR1273"/>
  <c r="F1273"/>
  <c r="C1273"/>
  <c r="CC1272"/>
  <c r="CB1272"/>
  <c r="BR1272"/>
  <c r="F1272"/>
  <c r="C1272"/>
  <c r="CC1271"/>
  <c r="CB1271"/>
  <c r="BR1271"/>
  <c r="F1271"/>
  <c r="C1271"/>
  <c r="CC1270"/>
  <c r="CB1270"/>
  <c r="BR1270"/>
  <c r="F1270"/>
  <c r="C1270"/>
  <c r="CC1269"/>
  <c r="CB1269"/>
  <c r="BR1269"/>
  <c r="F1269"/>
  <c r="C1269"/>
  <c r="CC1268"/>
  <c r="CB1268"/>
  <c r="BR1268"/>
  <c r="F1268"/>
  <c r="C1268"/>
  <c r="CC1267"/>
  <c r="CB1267"/>
  <c r="BR1267"/>
  <c r="F1267"/>
  <c r="C1267"/>
  <c r="CC1266"/>
  <c r="CB1266"/>
  <c r="BR1266"/>
  <c r="F1266"/>
  <c r="C1266"/>
  <c r="CC1265"/>
  <c r="CB1265"/>
  <c r="BR1265"/>
  <c r="F1265"/>
  <c r="C1265"/>
  <c r="CC1264"/>
  <c r="CB1264"/>
  <c r="BR1264"/>
  <c r="F1264"/>
  <c r="C1264"/>
  <c r="CC1263"/>
  <c r="CB1263"/>
  <c r="BR1263"/>
  <c r="F1263"/>
  <c r="C1263"/>
  <c r="CC1262"/>
  <c r="CB1262"/>
  <c r="BR1262"/>
  <c r="F1262"/>
  <c r="C1262"/>
  <c r="CC1261"/>
  <c r="CB1261"/>
  <c r="BR1261"/>
  <c r="F1261"/>
  <c r="C1261"/>
  <c r="CC1260"/>
  <c r="CB1260"/>
  <c r="BR1260"/>
  <c r="F1260"/>
  <c r="C1260"/>
  <c r="CC1259"/>
  <c r="CB1259"/>
  <c r="BR1259"/>
  <c r="F1259"/>
  <c r="C1259"/>
  <c r="CC1258"/>
  <c r="CB1258"/>
  <c r="BR1258"/>
  <c r="F1258"/>
  <c r="C1258"/>
  <c r="CC1257"/>
  <c r="CB1257"/>
  <c r="BR1257"/>
  <c r="F1257"/>
  <c r="C1257"/>
  <c r="CC1256"/>
  <c r="CB1256"/>
  <c r="BR1256"/>
  <c r="F1256"/>
  <c r="C1256"/>
  <c r="CC1255"/>
  <c r="CB1255"/>
  <c r="BR1255"/>
  <c r="F1255"/>
  <c r="C1255"/>
  <c r="CC1254"/>
  <c r="CB1254"/>
  <c r="BR1254"/>
  <c r="F1254"/>
  <c r="C1254"/>
  <c r="CC1253"/>
  <c r="CB1253"/>
  <c r="BR1253"/>
  <c r="F1253"/>
  <c r="C1253"/>
  <c r="CC1252"/>
  <c r="CB1252"/>
  <c r="BR1252"/>
  <c r="F1252"/>
  <c r="C1252"/>
  <c r="CC1251"/>
  <c r="CB1251"/>
  <c r="BR1251"/>
  <c r="F1251"/>
  <c r="C1251"/>
  <c r="CC1250"/>
  <c r="CB1250"/>
  <c r="BR1250"/>
  <c r="F1250"/>
  <c r="C1250"/>
  <c r="CC1249"/>
  <c r="CB1249"/>
  <c r="BR1249"/>
  <c r="F1249"/>
  <c r="C1249"/>
  <c r="CC1248"/>
  <c r="CB1248"/>
  <c r="BR1248"/>
  <c r="F1248"/>
  <c r="C1248"/>
  <c r="CC1247"/>
  <c r="CB1247"/>
  <c r="BR1247"/>
  <c r="F1247"/>
  <c r="C1247"/>
  <c r="CC1246"/>
  <c r="CB1246"/>
  <c r="BR1246"/>
  <c r="F1246"/>
  <c r="C1246"/>
  <c r="CC1245"/>
  <c r="CB1245"/>
  <c r="BR1245"/>
  <c r="F1245"/>
  <c r="C1245"/>
  <c r="CC1244"/>
  <c r="CB1244"/>
  <c r="BR1244"/>
  <c r="F1244"/>
  <c r="C1244"/>
  <c r="CC1243"/>
  <c r="CB1243"/>
  <c r="BR1243"/>
  <c r="F1243"/>
  <c r="C1243"/>
  <c r="CC1242"/>
  <c r="CB1242"/>
  <c r="BR1242"/>
  <c r="F1242"/>
  <c r="C1242"/>
  <c r="CC1241"/>
  <c r="CB1241"/>
  <c r="BR1241"/>
  <c r="F1241"/>
  <c r="C1241"/>
  <c r="CC1240"/>
  <c r="CB1240"/>
  <c r="BR1240"/>
  <c r="F1240"/>
  <c r="C1240"/>
  <c r="CC1239"/>
  <c r="CB1239"/>
  <c r="BR1239"/>
  <c r="F1239"/>
  <c r="C1239"/>
  <c r="CC1238"/>
  <c r="CB1238"/>
  <c r="BR1238"/>
  <c r="F1238"/>
  <c r="C1238"/>
  <c r="CC1237"/>
  <c r="CB1237"/>
  <c r="BR1237"/>
  <c r="F1237"/>
  <c r="C1237"/>
  <c r="CC1236"/>
  <c r="CB1236"/>
  <c r="BR1236"/>
  <c r="F1236"/>
  <c r="C1236"/>
  <c r="CC1235"/>
  <c r="CB1235"/>
  <c r="BR1235"/>
  <c r="F1235"/>
  <c r="C1235"/>
  <c r="CC1234"/>
  <c r="CB1234"/>
  <c r="BR1234"/>
  <c r="F1234"/>
  <c r="C1234"/>
  <c r="CC1233"/>
  <c r="CB1233"/>
  <c r="BR1233"/>
  <c r="F1233"/>
  <c r="C1233"/>
  <c r="CC1232"/>
  <c r="CB1232"/>
  <c r="BR1232"/>
  <c r="F1232"/>
  <c r="C1232"/>
  <c r="CC1231"/>
  <c r="CB1231"/>
  <c r="BR1231"/>
  <c r="F1231"/>
  <c r="C1231"/>
  <c r="CC1230"/>
  <c r="CB1230"/>
  <c r="BR1230"/>
  <c r="F1230"/>
  <c r="C1230"/>
  <c r="CC1229"/>
  <c r="CB1229"/>
  <c r="BR1229"/>
  <c r="F1229"/>
  <c r="C1229"/>
  <c r="CC1228"/>
  <c r="CB1228"/>
  <c r="BR1228"/>
  <c r="F1228"/>
  <c r="C1228"/>
  <c r="CC1227"/>
  <c r="CB1227"/>
  <c r="BR1227"/>
  <c r="F1227"/>
  <c r="C1227"/>
  <c r="CC1226"/>
  <c r="CB1226"/>
  <c r="BR1226"/>
  <c r="F1226"/>
  <c r="C1226"/>
  <c r="CC1225"/>
  <c r="CB1225"/>
  <c r="BR1225"/>
  <c r="F1225"/>
  <c r="C1225"/>
  <c r="CC1224"/>
  <c r="CB1224"/>
  <c r="BR1224"/>
  <c r="F1224"/>
  <c r="C1224"/>
  <c r="CC1223"/>
  <c r="CB1223"/>
  <c r="BR1223"/>
  <c r="F1223"/>
  <c r="C1223"/>
  <c r="CC1222"/>
  <c r="CB1222"/>
  <c r="BR1222"/>
  <c r="F1222"/>
  <c r="C1222"/>
  <c r="CC1221"/>
  <c r="CB1221"/>
  <c r="BR1221"/>
  <c r="F1221"/>
  <c r="C1221"/>
  <c r="CC1220"/>
  <c r="CB1220"/>
  <c r="BR1220"/>
  <c r="F1220"/>
  <c r="C1220"/>
  <c r="CC1219"/>
  <c r="CB1219"/>
  <c r="BR1219"/>
  <c r="F1219"/>
  <c r="C1219"/>
  <c r="CC1218"/>
  <c r="CB1218"/>
  <c r="BR1218"/>
  <c r="F1218"/>
  <c r="C1218"/>
  <c r="CC1217"/>
  <c r="CB1217"/>
  <c r="BR1217"/>
  <c r="F1217"/>
  <c r="C1217"/>
  <c r="CC1216"/>
  <c r="CB1216"/>
  <c r="BR1216"/>
  <c r="F1216"/>
  <c r="C1216"/>
  <c r="CC1215"/>
  <c r="CB1215"/>
  <c r="BR1215"/>
  <c r="F1215"/>
  <c r="C1215"/>
  <c r="CC1214"/>
  <c r="CB1214"/>
  <c r="BR1214"/>
  <c r="F1214"/>
  <c r="C1214"/>
  <c r="CC1213"/>
  <c r="CB1213"/>
  <c r="BR1213"/>
  <c r="F1213"/>
  <c r="C1213"/>
  <c r="CC1212"/>
  <c r="CB1212"/>
  <c r="BR1212"/>
  <c r="F1212"/>
  <c r="C1212"/>
  <c r="CC1211"/>
  <c r="CB1211"/>
  <c r="BR1211"/>
  <c r="F1211"/>
  <c r="C1211"/>
  <c r="CC1210"/>
  <c r="CB1210"/>
  <c r="BR1210"/>
  <c r="F1210"/>
  <c r="C1210"/>
  <c r="CC1209"/>
  <c r="CB1209"/>
  <c r="BR1209"/>
  <c r="F1209"/>
  <c r="C1209"/>
  <c r="CC1208"/>
  <c r="CB1208"/>
  <c r="BR1208"/>
  <c r="F1208"/>
  <c r="C1208"/>
  <c r="CC1207"/>
  <c r="CB1207"/>
  <c r="BR1207"/>
  <c r="F1207"/>
  <c r="C1207"/>
  <c r="CC1206"/>
  <c r="CB1206"/>
  <c r="BR1206"/>
  <c r="F1206"/>
  <c r="C1206"/>
  <c r="CC1205"/>
  <c r="CB1205"/>
  <c r="BR1205"/>
  <c r="F1205"/>
  <c r="C1205"/>
  <c r="CC1204"/>
  <c r="CB1204"/>
  <c r="BR1204"/>
  <c r="F1204"/>
  <c r="C1204"/>
  <c r="CC1203"/>
  <c r="CB1203"/>
  <c r="BR1203"/>
  <c r="F1203"/>
  <c r="C1203"/>
  <c r="CC1202"/>
  <c r="CB1202"/>
  <c r="BR1202"/>
  <c r="F1202"/>
  <c r="C1202"/>
  <c r="CC1201"/>
  <c r="CB1201"/>
  <c r="BR1201"/>
  <c r="F1201"/>
  <c r="C1201"/>
  <c r="CC1200"/>
  <c r="CB1200"/>
  <c r="BR1200"/>
  <c r="F1200"/>
  <c r="C1200"/>
  <c r="CC1199"/>
  <c r="CB1199"/>
  <c r="BR1199"/>
  <c r="F1199"/>
  <c r="C1199"/>
  <c r="CC1198"/>
  <c r="CB1198"/>
  <c r="BR1198"/>
  <c r="F1198"/>
  <c r="C1198"/>
  <c r="CC1197"/>
  <c r="CB1197"/>
  <c r="BR1197"/>
  <c r="F1197"/>
  <c r="C1197"/>
  <c r="CC1196"/>
  <c r="CB1196"/>
  <c r="BR1196"/>
  <c r="F1196"/>
  <c r="C1196"/>
  <c r="CC1195"/>
  <c r="CB1195"/>
  <c r="BR1195"/>
  <c r="F1195"/>
  <c r="C1195"/>
  <c r="CC1194"/>
  <c r="CB1194"/>
  <c r="BR1194"/>
  <c r="F1194"/>
  <c r="C1194"/>
  <c r="CC1193"/>
  <c r="CB1193"/>
  <c r="BR1193"/>
  <c r="F1193"/>
  <c r="C1193"/>
  <c r="CC1192"/>
  <c r="CB1192"/>
  <c r="BR1192"/>
  <c r="F1192"/>
  <c r="C1192"/>
  <c r="CC1191"/>
  <c r="CB1191"/>
  <c r="BR1191"/>
  <c r="F1191"/>
  <c r="C1191"/>
  <c r="CC1190"/>
  <c r="CB1190"/>
  <c r="BR1190"/>
  <c r="F1190"/>
  <c r="C1190"/>
  <c r="CC1189"/>
  <c r="CB1189"/>
  <c r="BR1189"/>
  <c r="F1189"/>
  <c r="C1189"/>
  <c r="CC1188"/>
  <c r="CB1188"/>
  <c r="BR1188"/>
  <c r="F1188"/>
  <c r="C1188"/>
  <c r="CC1187"/>
  <c r="CB1187"/>
  <c r="BR1187"/>
  <c r="F1187"/>
  <c r="C1187"/>
  <c r="CC1186"/>
  <c r="CB1186"/>
  <c r="BR1186"/>
  <c r="F1186"/>
  <c r="C1186"/>
  <c r="CC1185"/>
  <c r="CB1185"/>
  <c r="BR1185"/>
  <c r="F1185"/>
  <c r="C1185"/>
  <c r="CC1184"/>
  <c r="CB1184"/>
  <c r="BR1184"/>
  <c r="F1184"/>
  <c r="C1184"/>
  <c r="CC1183"/>
  <c r="CB1183"/>
  <c r="BR1183"/>
  <c r="F1183"/>
  <c r="C1183"/>
  <c r="CC1182"/>
  <c r="CB1182"/>
  <c r="BR1182"/>
  <c r="F1182"/>
  <c r="C1182"/>
  <c r="CC1181"/>
  <c r="CB1181"/>
  <c r="BR1181"/>
  <c r="F1181"/>
  <c r="C1181"/>
  <c r="CC1180"/>
  <c r="CB1180"/>
  <c r="BR1180"/>
  <c r="F1180"/>
  <c r="C1180"/>
  <c r="CC1179"/>
  <c r="CB1179"/>
  <c r="BR1179"/>
  <c r="F1179"/>
  <c r="C1179"/>
  <c r="CC1178"/>
  <c r="CB1178"/>
  <c r="BR1178"/>
  <c r="F1178"/>
  <c r="C1178"/>
  <c r="CC1177"/>
  <c r="CB1177"/>
  <c r="BR1177"/>
  <c r="F1177"/>
  <c r="C1177"/>
  <c r="CC1176"/>
  <c r="CB1176"/>
  <c r="BR1176"/>
  <c r="F1176"/>
  <c r="C1176"/>
  <c r="CC1175"/>
  <c r="CB1175"/>
  <c r="BR1175"/>
  <c r="F1175"/>
  <c r="C1175"/>
  <c r="CC1174"/>
  <c r="CB1174"/>
  <c r="BR1174"/>
  <c r="F1174"/>
  <c r="C1174"/>
  <c r="CC1173"/>
  <c r="CB1173"/>
  <c r="BR1173"/>
  <c r="F1173"/>
  <c r="C1173"/>
  <c r="CC1172"/>
  <c r="CB1172"/>
  <c r="BR1172"/>
  <c r="F1172"/>
  <c r="C1172"/>
  <c r="CC1171"/>
  <c r="CB1171"/>
  <c r="BR1171"/>
  <c r="F1171"/>
  <c r="C1171"/>
  <c r="CC1170"/>
  <c r="CB1170"/>
  <c r="BR1170"/>
  <c r="F1170"/>
  <c r="C1170"/>
  <c r="CC1169"/>
  <c r="CB1169"/>
  <c r="BR1169"/>
  <c r="F1169"/>
  <c r="C1169"/>
  <c r="CC1168"/>
  <c r="CB1168"/>
  <c r="BR1168"/>
  <c r="F1168"/>
  <c r="C1168"/>
  <c r="CC1167"/>
  <c r="CB1167"/>
  <c r="BR1167"/>
  <c r="F1167"/>
  <c r="C1167"/>
  <c r="CC1166"/>
  <c r="CB1166"/>
  <c r="BR1166"/>
  <c r="F1166"/>
  <c r="C1166"/>
  <c r="CC1165"/>
  <c r="CB1165"/>
  <c r="BR1165"/>
  <c r="F1165"/>
  <c r="C1165"/>
  <c r="CC1164"/>
  <c r="CB1164"/>
  <c r="BR1164"/>
  <c r="F1164"/>
  <c r="C1164"/>
  <c r="CC1163"/>
  <c r="CB1163"/>
  <c r="BR1163"/>
  <c r="F1163"/>
  <c r="C1163"/>
  <c r="CC1162"/>
  <c r="CB1162"/>
  <c r="BR1162"/>
  <c r="F1162"/>
  <c r="C1162"/>
  <c r="CC1161"/>
  <c r="CB1161"/>
  <c r="BR1161"/>
  <c r="F1161"/>
  <c r="C1161"/>
  <c r="CC1160"/>
  <c r="CB1160"/>
  <c r="BR1160"/>
  <c r="F1160"/>
  <c r="C1160"/>
  <c r="CC1159"/>
  <c r="CB1159"/>
  <c r="BR1159"/>
  <c r="F1159"/>
  <c r="C1159"/>
  <c r="CC1158"/>
  <c r="CB1158"/>
  <c r="BR1158"/>
  <c r="F1158"/>
  <c r="C1158"/>
  <c r="CC1157"/>
  <c r="CB1157"/>
  <c r="BR1157"/>
  <c r="F1157"/>
  <c r="C1157"/>
  <c r="CC1156"/>
  <c r="CB1156"/>
  <c r="BR1156"/>
  <c r="F1156"/>
  <c r="C1156"/>
  <c r="CC1155"/>
  <c r="CB1155"/>
  <c r="BR1155"/>
  <c r="F1155"/>
  <c r="C1155"/>
  <c r="CC1154"/>
  <c r="CB1154"/>
  <c r="BR1154"/>
  <c r="F1154"/>
  <c r="C1154"/>
  <c r="CC1153"/>
  <c r="CB1153"/>
  <c r="BR1153"/>
  <c r="F1153"/>
  <c r="C1153"/>
  <c r="CC1152"/>
  <c r="CB1152"/>
  <c r="BR1152"/>
  <c r="F1152"/>
  <c r="C1152"/>
  <c r="CC1151"/>
  <c r="CB1151"/>
  <c r="BR1151"/>
  <c r="F1151"/>
  <c r="C1151"/>
  <c r="CC1150"/>
  <c r="CB1150"/>
  <c r="BR1150"/>
  <c r="F1150"/>
  <c r="C1150"/>
  <c r="CC1149"/>
  <c r="CB1149"/>
  <c r="BR1149"/>
  <c r="F1149"/>
  <c r="C1149"/>
  <c r="CC1148"/>
  <c r="CB1148"/>
  <c r="BR1148"/>
  <c r="F1148"/>
  <c r="C1148"/>
  <c r="CC1147"/>
  <c r="CB1147"/>
  <c r="BR1147"/>
  <c r="F1147"/>
  <c r="C1147"/>
  <c r="CC1146"/>
  <c r="CB1146"/>
  <c r="BR1146"/>
  <c r="F1146"/>
  <c r="C1146"/>
  <c r="CC1145"/>
  <c r="CB1145"/>
  <c r="BR1145"/>
  <c r="F1145"/>
  <c r="C1145"/>
  <c r="CC1144"/>
  <c r="CB1144"/>
  <c r="BR1144"/>
  <c r="F1144"/>
  <c r="C1144"/>
  <c r="CC1143"/>
  <c r="CB1143"/>
  <c r="BR1143"/>
  <c r="F1143"/>
  <c r="C1143"/>
  <c r="CC1142"/>
  <c r="CB1142"/>
  <c r="BR1142"/>
  <c r="F1142"/>
  <c r="C1142"/>
  <c r="CC1141"/>
  <c r="CB1141"/>
  <c r="BR1141"/>
  <c r="F1141"/>
  <c r="C1141"/>
  <c r="CC1140"/>
  <c r="CB1140"/>
  <c r="BR1140"/>
  <c r="F1140"/>
  <c r="C1140"/>
  <c r="CC1139"/>
  <c r="CB1139"/>
  <c r="BR1139"/>
  <c r="F1139"/>
  <c r="C1139"/>
  <c r="CC1138"/>
  <c r="CB1138"/>
  <c r="BR1138"/>
  <c r="F1138"/>
  <c r="C1138"/>
  <c r="CC1137"/>
  <c r="CB1137"/>
  <c r="BR1137"/>
  <c r="F1137"/>
  <c r="C1137"/>
  <c r="CC1136"/>
  <c r="CB1136"/>
  <c r="BR1136"/>
  <c r="F1136"/>
  <c r="C1136"/>
  <c r="CC1135"/>
  <c r="CB1135"/>
  <c r="BR1135"/>
  <c r="F1135"/>
  <c r="C1135"/>
  <c r="CC1134"/>
  <c r="CB1134"/>
  <c r="BR1134"/>
  <c r="F1134"/>
  <c r="C1134"/>
  <c r="CC1133"/>
  <c r="CB1133"/>
  <c r="BR1133"/>
  <c r="F1133"/>
  <c r="C1133"/>
  <c r="CC1132"/>
  <c r="CB1132"/>
  <c r="BR1132"/>
  <c r="F1132"/>
  <c r="C1132"/>
  <c r="CC1131"/>
  <c r="CB1131"/>
  <c r="BR1131"/>
  <c r="F1131"/>
  <c r="C1131"/>
  <c r="CC1130"/>
  <c r="CB1130"/>
  <c r="BR1130"/>
  <c r="F1130"/>
  <c r="C1130"/>
  <c r="CC1129"/>
  <c r="CB1129"/>
  <c r="BR1129"/>
  <c r="F1129"/>
  <c r="C1129"/>
  <c r="CC1128"/>
  <c r="CB1128"/>
  <c r="BR1128"/>
  <c r="F1128"/>
  <c r="C1128"/>
  <c r="CC1127"/>
  <c r="CB1127"/>
  <c r="BR1127"/>
  <c r="F1127"/>
  <c r="C1127"/>
  <c r="CC1126"/>
  <c r="CB1126"/>
  <c r="BR1126"/>
  <c r="F1126"/>
  <c r="C1126"/>
  <c r="CC1125"/>
  <c r="CB1125"/>
  <c r="BR1125"/>
  <c r="F1125"/>
  <c r="C1125"/>
  <c r="CC1124"/>
  <c r="CB1124"/>
  <c r="BR1124"/>
  <c r="F1124"/>
  <c r="C1124"/>
  <c r="CC1123"/>
  <c r="CB1123"/>
  <c r="BR1123"/>
  <c r="F1123"/>
  <c r="C1123"/>
  <c r="CC1122"/>
  <c r="CB1122"/>
  <c r="BR1122"/>
  <c r="F1122"/>
  <c r="C1122"/>
  <c r="CC1121"/>
  <c r="CB1121"/>
  <c r="BR1121"/>
  <c r="F1121"/>
  <c r="C1121"/>
  <c r="CC1120"/>
  <c r="CB1120"/>
  <c r="BR1120"/>
  <c r="F1120"/>
  <c r="C1120"/>
  <c r="CC1119"/>
  <c r="CB1119"/>
  <c r="BR1119"/>
  <c r="F1119"/>
  <c r="C1119"/>
  <c r="CC1118"/>
  <c r="CB1118"/>
  <c r="BR1118"/>
  <c r="F1118"/>
  <c r="C1118"/>
  <c r="CC1117"/>
  <c r="CB1117"/>
  <c r="BR1117"/>
  <c r="F1117"/>
  <c r="C1117"/>
  <c r="CC1116"/>
  <c r="CB1116"/>
  <c r="BR1116"/>
  <c r="F1116"/>
  <c r="C1116"/>
  <c r="CC1115"/>
  <c r="CB1115"/>
  <c r="BR1115"/>
  <c r="F1115"/>
  <c r="C1115"/>
  <c r="CC1114"/>
  <c r="CB1114"/>
  <c r="BR1114"/>
  <c r="F1114"/>
  <c r="C1114"/>
  <c r="CC1113"/>
  <c r="CB1113"/>
  <c r="BR1113"/>
  <c r="F1113"/>
  <c r="C1113"/>
  <c r="CC1112"/>
  <c r="CB1112"/>
  <c r="BR1112"/>
  <c r="F1112"/>
  <c r="C1112"/>
  <c r="CC1111"/>
  <c r="CB1111"/>
  <c r="BR1111"/>
  <c r="F1111"/>
  <c r="C1111"/>
  <c r="CC1110"/>
  <c r="CB1110"/>
  <c r="BR1110"/>
  <c r="F1110"/>
  <c r="C1110"/>
  <c r="CC1109"/>
  <c r="CB1109"/>
  <c r="BR1109"/>
  <c r="F1109"/>
  <c r="C1109"/>
  <c r="CC1108"/>
  <c r="CB1108"/>
  <c r="BR1108"/>
  <c r="F1108"/>
  <c r="C1108"/>
  <c r="CC1107"/>
  <c r="CB1107"/>
  <c r="BR1107"/>
  <c r="F1107"/>
  <c r="C1107"/>
  <c r="CC1106"/>
  <c r="CB1106"/>
  <c r="BR1106"/>
  <c r="F1106"/>
  <c r="C1106"/>
  <c r="CC1105"/>
  <c r="CB1105"/>
  <c r="BR1105"/>
  <c r="F1105"/>
  <c r="C1105"/>
  <c r="CC1104"/>
  <c r="CB1104"/>
  <c r="BR1104"/>
  <c r="F1104"/>
  <c r="C1104"/>
  <c r="CC1103"/>
  <c r="CB1103"/>
  <c r="BR1103"/>
  <c r="F1103"/>
  <c r="C1103"/>
  <c r="CC1102"/>
  <c r="CB1102"/>
  <c r="BR1102"/>
  <c r="F1102"/>
  <c r="C1102"/>
  <c r="CC1101"/>
  <c r="CB1101"/>
  <c r="BR1101"/>
  <c r="F1101"/>
  <c r="C1101"/>
  <c r="CC1100"/>
  <c r="CB1100"/>
  <c r="BR1100"/>
  <c r="F1100"/>
  <c r="C1100"/>
  <c r="CC1099"/>
  <c r="CB1099"/>
  <c r="BR1099"/>
  <c r="F1099"/>
  <c r="C1099"/>
  <c r="CC1098"/>
  <c r="CB1098"/>
  <c r="BR1098"/>
  <c r="F1098"/>
  <c r="C1098"/>
  <c r="CC1097"/>
  <c r="CB1097"/>
  <c r="BR1097"/>
  <c r="F1097"/>
  <c r="C1097"/>
  <c r="CC1096"/>
  <c r="CB1096"/>
  <c r="BR1096"/>
  <c r="F1096"/>
  <c r="C1096"/>
  <c r="CC1095"/>
  <c r="CB1095"/>
  <c r="BR1095"/>
  <c r="F1095"/>
  <c r="C1095"/>
  <c r="CC1094"/>
  <c r="CB1094"/>
  <c r="BR1094"/>
  <c r="F1094"/>
  <c r="C1094"/>
  <c r="CC1093"/>
  <c r="CB1093"/>
  <c r="BR1093"/>
  <c r="F1093"/>
  <c r="C1093"/>
  <c r="CC1092"/>
  <c r="CB1092"/>
  <c r="BR1092"/>
  <c r="F1092"/>
  <c r="C1092"/>
  <c r="CC1091"/>
  <c r="CB1091"/>
  <c r="BR1091"/>
  <c r="F1091"/>
  <c r="C1091"/>
  <c r="CC1090"/>
  <c r="CB1090"/>
  <c r="BR1090"/>
  <c r="F1090"/>
  <c r="C1090"/>
  <c r="CC1089"/>
  <c r="CB1089"/>
  <c r="BR1089"/>
  <c r="F1089"/>
  <c r="C1089"/>
  <c r="CC1088"/>
  <c r="CB1088"/>
  <c r="BR1088"/>
  <c r="F1088"/>
  <c r="C1088"/>
  <c r="CC1087"/>
  <c r="CB1087"/>
  <c r="BR1087"/>
  <c r="F1087"/>
  <c r="C1087"/>
  <c r="CC1086"/>
  <c r="CB1086"/>
  <c r="BR1086"/>
  <c r="F1086"/>
  <c r="C1086"/>
  <c r="CC1085"/>
  <c r="CB1085"/>
  <c r="BR1085"/>
  <c r="F1085"/>
  <c r="C1085"/>
  <c r="CC1084"/>
  <c r="CB1084"/>
  <c r="BR1084"/>
  <c r="F1084"/>
  <c r="C1084"/>
  <c r="CC1083"/>
  <c r="CB1083"/>
  <c r="BR1083"/>
  <c r="F1083"/>
  <c r="C1083"/>
  <c r="CC1082"/>
  <c r="CB1082"/>
  <c r="BR1082"/>
  <c r="F1082"/>
  <c r="C1082"/>
  <c r="CC1081"/>
  <c r="CB1081"/>
  <c r="BR1081"/>
  <c r="F1081"/>
  <c r="C1081"/>
  <c r="CC1080"/>
  <c r="CB1080"/>
  <c r="BR1080"/>
  <c r="F1080"/>
  <c r="C1080"/>
  <c r="CC1079"/>
  <c r="CB1079"/>
  <c r="BR1079"/>
  <c r="F1079"/>
  <c r="C1079"/>
  <c r="CC1078"/>
  <c r="CB1078"/>
  <c r="BR1078"/>
  <c r="F1078"/>
  <c r="C1078"/>
  <c r="CC1077"/>
  <c r="CB1077"/>
  <c r="BR1077"/>
  <c r="F1077"/>
  <c r="C1077"/>
  <c r="CC1076"/>
  <c r="CB1076"/>
  <c r="BR1076"/>
  <c r="F1076"/>
  <c r="C1076"/>
  <c r="CC1075"/>
  <c r="CB1075"/>
  <c r="BR1075"/>
  <c r="F1075"/>
  <c r="C1075"/>
  <c r="CC1074"/>
  <c r="CB1074"/>
  <c r="BR1074"/>
  <c r="F1074"/>
  <c r="C1074"/>
  <c r="CC1073"/>
  <c r="CB1073"/>
  <c r="BR1073"/>
  <c r="F1073"/>
  <c r="C1073"/>
  <c r="CC1072"/>
  <c r="CB1072"/>
  <c r="BR1072"/>
  <c r="F1072"/>
  <c r="C1072"/>
  <c r="CC1071"/>
  <c r="CB1071"/>
  <c r="BR1071"/>
  <c r="F1071"/>
  <c r="C1071"/>
  <c r="CC1070"/>
  <c r="CB1070"/>
  <c r="BR1070"/>
  <c r="F1070"/>
  <c r="C1070"/>
  <c r="CC1069"/>
  <c r="CB1069"/>
  <c r="BR1069"/>
  <c r="F1069"/>
  <c r="C1069"/>
  <c r="CC1068"/>
  <c r="CB1068"/>
  <c r="BR1068"/>
  <c r="F1068"/>
  <c r="C1068"/>
  <c r="CC1067"/>
  <c r="CB1067"/>
  <c r="BR1067"/>
  <c r="F1067"/>
  <c r="C1067"/>
  <c r="CC1066"/>
  <c r="CB1066"/>
  <c r="BR1066"/>
  <c r="F1066"/>
  <c r="C1066"/>
  <c r="CC1065"/>
  <c r="CB1065"/>
  <c r="BR1065"/>
  <c r="F1065"/>
  <c r="C1065"/>
  <c r="CC1064"/>
  <c r="CB1064"/>
  <c r="BR1064"/>
  <c r="F1064"/>
  <c r="C1064"/>
  <c r="CC1063"/>
  <c r="CB1063"/>
  <c r="BR1063"/>
  <c r="F1063"/>
  <c r="C1063"/>
  <c r="CC1062"/>
  <c r="CB1062"/>
  <c r="BR1062"/>
  <c r="F1062"/>
  <c r="C1062"/>
  <c r="CC1061"/>
  <c r="CB1061"/>
  <c r="BR1061"/>
  <c r="F1061"/>
  <c r="C1061"/>
  <c r="CC1060"/>
  <c r="CB1060"/>
  <c r="BR1060"/>
  <c r="F1060"/>
  <c r="C1060"/>
  <c r="CC1059"/>
  <c r="CB1059"/>
  <c r="BR1059"/>
  <c r="F1059"/>
  <c r="C1059"/>
  <c r="CC1058"/>
  <c r="CB1058"/>
  <c r="BR1058"/>
  <c r="F1058"/>
  <c r="C1058"/>
  <c r="CC1057"/>
  <c r="CB1057"/>
  <c r="BR1057"/>
  <c r="F1057"/>
  <c r="C1057"/>
  <c r="CC1056"/>
  <c r="CB1056"/>
  <c r="BR1056"/>
  <c r="F1056"/>
  <c r="C1056"/>
  <c r="CC1055"/>
  <c r="CB1055"/>
  <c r="BR1055"/>
  <c r="F1055"/>
  <c r="C1055"/>
  <c r="CC1054"/>
  <c r="CB1054"/>
  <c r="BR1054"/>
  <c r="F1054"/>
  <c r="C1054"/>
  <c r="CC1053"/>
  <c r="CB1053"/>
  <c r="BR1053"/>
  <c r="F1053"/>
  <c r="C1053"/>
  <c r="CC1052"/>
  <c r="CB1052"/>
  <c r="BR1052"/>
  <c r="F1052"/>
  <c r="C1052"/>
  <c r="CC1051"/>
  <c r="CB1051"/>
  <c r="BR1051"/>
  <c r="F1051"/>
  <c r="C1051"/>
  <c r="CC1050"/>
  <c r="CB1050"/>
  <c r="BR1050"/>
  <c r="F1050"/>
  <c r="C1050"/>
  <c r="CC1049"/>
  <c r="CB1049"/>
  <c r="BR1049"/>
  <c r="F1049"/>
  <c r="C1049"/>
  <c r="CC1048"/>
  <c r="CB1048"/>
  <c r="BR1048"/>
  <c r="F1048"/>
  <c r="C1048"/>
  <c r="CC1047"/>
  <c r="CB1047"/>
  <c r="BR1047"/>
  <c r="F1047"/>
  <c r="C1047"/>
  <c r="CC1046"/>
  <c r="CB1046"/>
  <c r="BR1046"/>
  <c r="F1046"/>
  <c r="C1046"/>
  <c r="CC1045"/>
  <c r="CB1045"/>
  <c r="BR1045"/>
  <c r="F1045"/>
  <c r="C1045"/>
  <c r="CC1044"/>
  <c r="CB1044"/>
  <c r="BR1044"/>
  <c r="F1044"/>
  <c r="C1044"/>
  <c r="CC1043"/>
  <c r="CB1043"/>
  <c r="BR1043"/>
  <c r="F1043"/>
  <c r="C1043"/>
  <c r="CC1042"/>
  <c r="CB1042"/>
  <c r="BR1042"/>
  <c r="F1042"/>
  <c r="C1042"/>
  <c r="CC1041"/>
  <c r="CB1041"/>
  <c r="BR1041"/>
  <c r="F1041"/>
  <c r="C1041"/>
  <c r="CC1040"/>
  <c r="CB1040"/>
  <c r="BR1040"/>
  <c r="F1040"/>
  <c r="C1040"/>
  <c r="CC1039"/>
  <c r="CB1039"/>
  <c r="BR1039"/>
  <c r="F1039"/>
  <c r="C1039"/>
  <c r="CC1038"/>
  <c r="CB1038"/>
  <c r="BR1038"/>
  <c r="F1038"/>
  <c r="C1038"/>
  <c r="CC1037"/>
  <c r="CB1037"/>
  <c r="BR1037"/>
  <c r="F1037"/>
  <c r="C1037"/>
  <c r="CC1036"/>
  <c r="CB1036"/>
  <c r="BR1036"/>
  <c r="F1036"/>
  <c r="C1036"/>
  <c r="CC1035"/>
  <c r="CB1035"/>
  <c r="BR1035"/>
  <c r="F1035"/>
  <c r="C1035"/>
  <c r="CC1034"/>
  <c r="CB1034"/>
  <c r="BR1034"/>
  <c r="F1034"/>
  <c r="C1034"/>
  <c r="CC1033"/>
  <c r="CB1033"/>
  <c r="BR1033"/>
  <c r="F1033"/>
  <c r="C1033"/>
  <c r="CC1032"/>
  <c r="CB1032"/>
  <c r="BR1032"/>
  <c r="F1032"/>
  <c r="C1032"/>
  <c r="CC1031"/>
  <c r="CB1031"/>
  <c r="BR1031"/>
  <c r="F1031"/>
  <c r="C1031"/>
  <c r="CC1030"/>
  <c r="CB1030"/>
  <c r="BR1030"/>
  <c r="F1030"/>
  <c r="C1030"/>
  <c r="CC1029"/>
  <c r="CB1029"/>
  <c r="BR1029"/>
  <c r="F1029"/>
  <c r="C1029"/>
  <c r="CC1028"/>
  <c r="CB1028"/>
  <c r="BR1028"/>
  <c r="F1028"/>
  <c r="C1028"/>
  <c r="CC1027"/>
  <c r="CB1027"/>
  <c r="BR1027"/>
  <c r="F1027"/>
  <c r="C1027"/>
  <c r="CC1026"/>
  <c r="CB1026"/>
  <c r="BR1026"/>
  <c r="F1026"/>
  <c r="C1026"/>
  <c r="CC1025"/>
  <c r="CB1025"/>
  <c r="BR1025"/>
  <c r="F1025"/>
  <c r="C1025"/>
  <c r="CC1024"/>
  <c r="CB1024"/>
  <c r="BR1024"/>
  <c r="F1024"/>
  <c r="C1024"/>
  <c r="CC1023"/>
  <c r="CB1023"/>
  <c r="BR1023"/>
  <c r="F1023"/>
  <c r="C1023"/>
  <c r="CC1022"/>
  <c r="CB1022"/>
  <c r="BR1022"/>
  <c r="F1022"/>
  <c r="C1022"/>
  <c r="CC1021"/>
  <c r="CB1021"/>
  <c r="BR1021"/>
  <c r="F1021"/>
  <c r="C1021"/>
  <c r="CC1020"/>
  <c r="CB1020"/>
  <c r="BR1020"/>
  <c r="F1020"/>
  <c r="C1020"/>
  <c r="CC1019"/>
  <c r="CB1019"/>
  <c r="BR1019"/>
  <c r="F1019"/>
  <c r="C1019"/>
  <c r="CC1018"/>
  <c r="CB1018"/>
  <c r="BR1018"/>
  <c r="F1018"/>
  <c r="C1018"/>
  <c r="CC1017"/>
  <c r="CB1017"/>
  <c r="BR1017"/>
  <c r="F1017"/>
  <c r="C1017"/>
  <c r="CC1016"/>
  <c r="CB1016"/>
  <c r="BR1016"/>
  <c r="F1016"/>
  <c r="C1016"/>
  <c r="CC1015"/>
  <c r="CB1015"/>
  <c r="BR1015"/>
  <c r="F1015"/>
  <c r="C1015"/>
  <c r="CC1014"/>
  <c r="CB1014"/>
  <c r="BR1014"/>
  <c r="F1014"/>
  <c r="C1014"/>
  <c r="CC1013"/>
  <c r="CB1013"/>
  <c r="BR1013"/>
  <c r="F1013"/>
  <c r="C1013"/>
  <c r="CC1012"/>
  <c r="CB1012"/>
  <c r="BR1012"/>
  <c r="F1012"/>
  <c r="C1012"/>
  <c r="CC1011"/>
  <c r="CB1011"/>
  <c r="BR1011"/>
  <c r="F1011"/>
  <c r="C1011"/>
  <c r="CC1010"/>
  <c r="CB1010"/>
  <c r="BR1010"/>
  <c r="F1010"/>
  <c r="C1010"/>
  <c r="CC1009"/>
  <c r="CB1009"/>
  <c r="BR1009"/>
  <c r="F1009"/>
  <c r="C1009"/>
  <c r="CC1008"/>
  <c r="CB1008"/>
  <c r="BR1008"/>
  <c r="F1008"/>
  <c r="C1008"/>
  <c r="CC1007"/>
  <c r="CB1007"/>
  <c r="BR1007"/>
  <c r="F1007"/>
  <c r="C1007"/>
  <c r="CC1006"/>
  <c r="CB1006"/>
  <c r="BR1006"/>
  <c r="F1006"/>
  <c r="C1006"/>
  <c r="CC1005"/>
  <c r="CB1005"/>
  <c r="BR1005"/>
  <c r="F1005"/>
  <c r="C1005"/>
  <c r="CC1004"/>
  <c r="CB1004"/>
  <c r="BR1004"/>
  <c r="F1004"/>
  <c r="C1004"/>
  <c r="CC1003"/>
  <c r="CB1003"/>
  <c r="BR1003"/>
  <c r="F1003"/>
  <c r="C1003"/>
  <c r="CC1002"/>
  <c r="CB1002"/>
  <c r="BR1002"/>
  <c r="F1002"/>
  <c r="C1002"/>
  <c r="CC1001"/>
  <c r="CB1001"/>
  <c r="BR1001"/>
  <c r="F1001"/>
  <c r="C1001"/>
  <c r="CC1000"/>
  <c r="CB1000"/>
  <c r="BR1000"/>
  <c r="F1000"/>
  <c r="C1000"/>
  <c r="CC999"/>
  <c r="CB999"/>
  <c r="BR999"/>
  <c r="F999"/>
  <c r="C999"/>
  <c r="CC998"/>
  <c r="CB998"/>
  <c r="BR998"/>
  <c r="F998"/>
  <c r="C998"/>
  <c r="CC997"/>
  <c r="CB997"/>
  <c r="BR997"/>
  <c r="F997"/>
  <c r="C997"/>
  <c r="CC996"/>
  <c r="CB996"/>
  <c r="BR996"/>
  <c r="F996"/>
  <c r="C996"/>
  <c r="CC995"/>
  <c r="CB995"/>
  <c r="BR995"/>
  <c r="F995"/>
  <c r="C995"/>
  <c r="CC994"/>
  <c r="CB994"/>
  <c r="BR994"/>
  <c r="F994"/>
  <c r="C994"/>
  <c r="CC993"/>
  <c r="CB993"/>
  <c r="BR993"/>
  <c r="F993"/>
  <c r="C993"/>
  <c r="CC992"/>
  <c r="CB992"/>
  <c r="BR992"/>
  <c r="F992"/>
  <c r="C992"/>
  <c r="CC991"/>
  <c r="CB991"/>
  <c r="BR991"/>
  <c r="F991"/>
  <c r="C991"/>
  <c r="CC990"/>
  <c r="CB990"/>
  <c r="BR990"/>
  <c r="F990"/>
  <c r="C990"/>
  <c r="CC989"/>
  <c r="CB989"/>
  <c r="BR989"/>
  <c r="F989"/>
  <c r="C989"/>
  <c r="CC988"/>
  <c r="CB988"/>
  <c r="BR988"/>
  <c r="F988"/>
  <c r="C988"/>
  <c r="CC987"/>
  <c r="CB987"/>
  <c r="BR987"/>
  <c r="F987"/>
  <c r="C987"/>
  <c r="CC986"/>
  <c r="CB986"/>
  <c r="BR986"/>
  <c r="F986"/>
  <c r="C986"/>
  <c r="CC985"/>
  <c r="CB985"/>
  <c r="BR985"/>
  <c r="F985"/>
  <c r="C985"/>
  <c r="CC984"/>
  <c r="CB984"/>
  <c r="BR984"/>
  <c r="F984"/>
  <c r="C984"/>
  <c r="CC983"/>
  <c r="CB983"/>
  <c r="BR983"/>
  <c r="F983"/>
  <c r="C983"/>
  <c r="CC982"/>
  <c r="CB982"/>
  <c r="BR982"/>
  <c r="F982"/>
  <c r="C982"/>
  <c r="CC981"/>
  <c r="CB981"/>
  <c r="BR981"/>
  <c r="F981"/>
  <c r="C981"/>
  <c r="CC980"/>
  <c r="CB980"/>
  <c r="BR980"/>
  <c r="F980"/>
  <c r="C980"/>
  <c r="CC979"/>
  <c r="CB979"/>
  <c r="BR979"/>
  <c r="F979"/>
  <c r="C979"/>
  <c r="CC978"/>
  <c r="CB978"/>
  <c r="BR978"/>
  <c r="F978"/>
  <c r="C978"/>
  <c r="CC977"/>
  <c r="CB977"/>
  <c r="BR977"/>
  <c r="F977"/>
  <c r="C977"/>
  <c r="CC976"/>
  <c r="CB976"/>
  <c r="BR976"/>
  <c r="F976"/>
  <c r="C976"/>
  <c r="CC975"/>
  <c r="CB975"/>
  <c r="BR975"/>
  <c r="F975"/>
  <c r="C975"/>
  <c r="CC974"/>
  <c r="CB974"/>
  <c r="BR974"/>
  <c r="F974"/>
  <c r="C974"/>
  <c r="CC973"/>
  <c r="CB973"/>
  <c r="BR973"/>
  <c r="F973"/>
  <c r="C973"/>
  <c r="CC972"/>
  <c r="CB972"/>
  <c r="BR972"/>
  <c r="F972"/>
  <c r="C972"/>
  <c r="CC971"/>
  <c r="CB971"/>
  <c r="BR971"/>
  <c r="F971"/>
  <c r="C971"/>
  <c r="CC970"/>
  <c r="CB970"/>
  <c r="BR970"/>
  <c r="F970"/>
  <c r="C970"/>
  <c r="CC969"/>
  <c r="CB969"/>
  <c r="BR969"/>
  <c r="F969"/>
  <c r="C969"/>
  <c r="CC968"/>
  <c r="CB968"/>
  <c r="BR968"/>
  <c r="F968"/>
  <c r="C968"/>
  <c r="CC967"/>
  <c r="CB967"/>
  <c r="BR967"/>
  <c r="F967"/>
  <c r="C967"/>
  <c r="CC966"/>
  <c r="CB966"/>
  <c r="BR966"/>
  <c r="F966"/>
  <c r="C966"/>
  <c r="CC965"/>
  <c r="CB965"/>
  <c r="BR965"/>
  <c r="F965"/>
  <c r="C965"/>
  <c r="CC964"/>
  <c r="CB964"/>
  <c r="BR964"/>
  <c r="F964"/>
  <c r="C964"/>
  <c r="CC963"/>
  <c r="CB963"/>
  <c r="BR963"/>
  <c r="F963"/>
  <c r="C963"/>
  <c r="CC962"/>
  <c r="CB962"/>
  <c r="BR962"/>
  <c r="F962"/>
  <c r="C962"/>
  <c r="CC961"/>
  <c r="CB961"/>
  <c r="BR961"/>
  <c r="F961"/>
  <c r="C961"/>
  <c r="CC960"/>
  <c r="CB960"/>
  <c r="BR960"/>
  <c r="F960"/>
  <c r="C960"/>
  <c r="CC959"/>
  <c r="CB959"/>
  <c r="BR959"/>
  <c r="F959"/>
  <c r="C959"/>
  <c r="CC958"/>
  <c r="CB958"/>
  <c r="BR958"/>
  <c r="F958"/>
  <c r="C958"/>
  <c r="CC957"/>
  <c r="CB957"/>
  <c r="BR957"/>
  <c r="F957"/>
  <c r="C957"/>
  <c r="CC956"/>
  <c r="CB956"/>
  <c r="BR956"/>
  <c r="F956"/>
  <c r="C956"/>
  <c r="CC955"/>
  <c r="CB955"/>
  <c r="BR955"/>
  <c r="F955"/>
  <c r="C955"/>
  <c r="CC954"/>
  <c r="CB954"/>
  <c r="BR954"/>
  <c r="F954"/>
  <c r="C954"/>
  <c r="CC953"/>
  <c r="CB953"/>
  <c r="BR953"/>
  <c r="F953"/>
  <c r="C953"/>
  <c r="CC952"/>
  <c r="CB952"/>
  <c r="BR952"/>
  <c r="F952"/>
  <c r="C952"/>
  <c r="CC951"/>
  <c r="CB951"/>
  <c r="BR951"/>
  <c r="F951"/>
  <c r="C951"/>
  <c r="CC950"/>
  <c r="CB950"/>
  <c r="BR950"/>
  <c r="F950"/>
  <c r="C950"/>
  <c r="CC949"/>
  <c r="CB949"/>
  <c r="BR949"/>
  <c r="F949"/>
  <c r="C949"/>
  <c r="CC948"/>
  <c r="CB948"/>
  <c r="BR948"/>
  <c r="F948"/>
  <c r="C948"/>
  <c r="CC947"/>
  <c r="CB947"/>
  <c r="BR947"/>
  <c r="F947"/>
  <c r="C947"/>
  <c r="CC946"/>
  <c r="CB946"/>
  <c r="BR946"/>
  <c r="F946"/>
  <c r="C946"/>
  <c r="CC945"/>
  <c r="CB945"/>
  <c r="BR945"/>
  <c r="F945"/>
  <c r="C945"/>
  <c r="CC944"/>
  <c r="CB944"/>
  <c r="BR944"/>
  <c r="F944"/>
  <c r="C944"/>
  <c r="CC943"/>
  <c r="CB943"/>
  <c r="BR943"/>
  <c r="F943"/>
  <c r="C943"/>
  <c r="CC942"/>
  <c r="CB942"/>
  <c r="BR942"/>
  <c r="F942"/>
  <c r="C942"/>
  <c r="CC941"/>
  <c r="CB941"/>
  <c r="BR941"/>
  <c r="F941"/>
  <c r="C941"/>
  <c r="CC940"/>
  <c r="CB940"/>
  <c r="BR940"/>
  <c r="F940"/>
  <c r="C940"/>
  <c r="CC939"/>
  <c r="CB939"/>
  <c r="BR939"/>
  <c r="F939"/>
  <c r="C939"/>
  <c r="CC938"/>
  <c r="CB938"/>
  <c r="BR938"/>
  <c r="F938"/>
  <c r="C938"/>
  <c r="CC937"/>
  <c r="CB937"/>
  <c r="BR937"/>
  <c r="F937"/>
  <c r="C937"/>
  <c r="CC936"/>
  <c r="CB936"/>
  <c r="BR936"/>
  <c r="F936"/>
  <c r="C936"/>
  <c r="CC935"/>
  <c r="CB935"/>
  <c r="BR935"/>
  <c r="F935"/>
  <c r="C935"/>
  <c r="CC934"/>
  <c r="CB934"/>
  <c r="BR934"/>
  <c r="F934"/>
  <c r="C934"/>
  <c r="CC933"/>
  <c r="CB933"/>
  <c r="BR933"/>
  <c r="F933"/>
  <c r="C933"/>
  <c r="CC932"/>
  <c r="CB932"/>
  <c r="BR932"/>
  <c r="F932"/>
  <c r="C932"/>
  <c r="CC931"/>
  <c r="CB931"/>
  <c r="BR931"/>
  <c r="F931"/>
  <c r="C931"/>
  <c r="CC930"/>
  <c r="CB930"/>
  <c r="BR930"/>
  <c r="F930"/>
  <c r="C930"/>
  <c r="CC929"/>
  <c r="CB929"/>
  <c r="BR929"/>
  <c r="F929"/>
  <c r="C929"/>
  <c r="CC928"/>
  <c r="CB928"/>
  <c r="BR928"/>
  <c r="F928"/>
  <c r="C928"/>
  <c r="CC927"/>
  <c r="CB927"/>
  <c r="BR927"/>
  <c r="F927"/>
  <c r="C927"/>
  <c r="CC926"/>
  <c r="CB926"/>
  <c r="BR926"/>
  <c r="F926"/>
  <c r="C926"/>
  <c r="CC925"/>
  <c r="CB925"/>
  <c r="BR925"/>
  <c r="F925"/>
  <c r="C925"/>
  <c r="CC924"/>
  <c r="CB924"/>
  <c r="BR924"/>
  <c r="F924"/>
  <c r="C924"/>
  <c r="CC923"/>
  <c r="CB923"/>
  <c r="BR923"/>
  <c r="F923"/>
  <c r="C923"/>
  <c r="CC922"/>
  <c r="CB922"/>
  <c r="BR922"/>
  <c r="F922"/>
  <c r="C922"/>
  <c r="CC921"/>
  <c r="CB921"/>
  <c r="BR921"/>
  <c r="F921"/>
  <c r="C921"/>
  <c r="CC920"/>
  <c r="CB920"/>
  <c r="BR920"/>
  <c r="F920"/>
  <c r="C920"/>
  <c r="CC919"/>
  <c r="CB919"/>
  <c r="BR919"/>
  <c r="F919"/>
  <c r="C919"/>
  <c r="CC918"/>
  <c r="CB918"/>
  <c r="BR918"/>
  <c r="F918"/>
  <c r="C918"/>
  <c r="CC917"/>
  <c r="CB917"/>
  <c r="BR917"/>
  <c r="F917"/>
  <c r="C917"/>
  <c r="CC916"/>
  <c r="CB916"/>
  <c r="BR916"/>
  <c r="F916"/>
  <c r="C916"/>
  <c r="CC915"/>
  <c r="CB915"/>
  <c r="BR915"/>
  <c r="F915"/>
  <c r="C915"/>
  <c r="CC914"/>
  <c r="CB914"/>
  <c r="BR914"/>
  <c r="F914"/>
  <c r="C914"/>
  <c r="CC913"/>
  <c r="CB913"/>
  <c r="BR913"/>
  <c r="F913"/>
  <c r="C913"/>
  <c r="CC912"/>
  <c r="CB912"/>
  <c r="BR912"/>
  <c r="F912"/>
  <c r="C912"/>
  <c r="CC911"/>
  <c r="CB911"/>
  <c r="BR911"/>
  <c r="F911"/>
  <c r="C911"/>
  <c r="CC910"/>
  <c r="CB910"/>
  <c r="BR910"/>
  <c r="F910"/>
  <c r="C910"/>
  <c r="CC909"/>
  <c r="CB909"/>
  <c r="BR909"/>
  <c r="F909"/>
  <c r="C909"/>
  <c r="CC908"/>
  <c r="CB908"/>
  <c r="BR908"/>
  <c r="F908"/>
  <c r="C908"/>
  <c r="CC907"/>
  <c r="CB907"/>
  <c r="BR907"/>
  <c r="F907"/>
  <c r="C907"/>
  <c r="CC906"/>
  <c r="CB906"/>
  <c r="BR906"/>
  <c r="F906"/>
  <c r="C906"/>
  <c r="CC905"/>
  <c r="CB905"/>
  <c r="BR905"/>
  <c r="F905"/>
  <c r="C905"/>
  <c r="CC904"/>
  <c r="CB904"/>
  <c r="BR904"/>
  <c r="F904"/>
  <c r="C904"/>
  <c r="CC903"/>
  <c r="CB903"/>
  <c r="BR903"/>
  <c r="F903"/>
  <c r="C903"/>
  <c r="CC902"/>
  <c r="CB902"/>
  <c r="BR902"/>
  <c r="F902"/>
  <c r="C902"/>
  <c r="CC901"/>
  <c r="CB901"/>
  <c r="BR901"/>
  <c r="F901"/>
  <c r="C901"/>
  <c r="CC900"/>
  <c r="CB900"/>
  <c r="BR900"/>
  <c r="F900"/>
  <c r="C900"/>
  <c r="CC899"/>
  <c r="CB899"/>
  <c r="BR899"/>
  <c r="F899"/>
  <c r="C899"/>
  <c r="CC898"/>
  <c r="CB898"/>
  <c r="BR898"/>
  <c r="F898"/>
  <c r="C898"/>
  <c r="CC897"/>
  <c r="CB897"/>
  <c r="BR897"/>
  <c r="F897"/>
  <c r="C897"/>
  <c r="CC896"/>
  <c r="CB896"/>
  <c r="BR896"/>
  <c r="F896"/>
  <c r="C896"/>
  <c r="CC895"/>
  <c r="CB895"/>
  <c r="BR895"/>
  <c r="F895"/>
  <c r="C895"/>
  <c r="CC894"/>
  <c r="CB894"/>
  <c r="BR894"/>
  <c r="F894"/>
  <c r="C894"/>
  <c r="CC893"/>
  <c r="CB893"/>
  <c r="BR893"/>
  <c r="F893"/>
  <c r="C893"/>
  <c r="CC892"/>
  <c r="CB892"/>
  <c r="BR892"/>
  <c r="F892"/>
  <c r="C892"/>
  <c r="CC891"/>
  <c r="CB891"/>
  <c r="BR891"/>
  <c r="F891"/>
  <c r="C891"/>
  <c r="CC890"/>
  <c r="CB890"/>
  <c r="BR890"/>
  <c r="F890"/>
  <c r="C890"/>
  <c r="CC889"/>
  <c r="CB889"/>
  <c r="BR889"/>
  <c r="F889"/>
  <c r="C889"/>
  <c r="CC888"/>
  <c r="CB888"/>
  <c r="BR888"/>
  <c r="F888"/>
  <c r="C888"/>
  <c r="CC887"/>
  <c r="CB887"/>
  <c r="BR887"/>
  <c r="F887"/>
  <c r="C887"/>
  <c r="CC886"/>
  <c r="CB886"/>
  <c r="BR886"/>
  <c r="F886"/>
  <c r="C886"/>
  <c r="CC885"/>
  <c r="CB885"/>
  <c r="BR885"/>
  <c r="F885"/>
  <c r="C885"/>
  <c r="CC884"/>
  <c r="CB884"/>
  <c r="BR884"/>
  <c r="F884"/>
  <c r="C884"/>
  <c r="CC883"/>
  <c r="CB883"/>
  <c r="BR883"/>
  <c r="F883"/>
  <c r="C883"/>
  <c r="CC882"/>
  <c r="CB882"/>
  <c r="BR882"/>
  <c r="F882"/>
  <c r="C882"/>
  <c r="CC881"/>
  <c r="CB881"/>
  <c r="BR881"/>
  <c r="F881"/>
  <c r="C881"/>
  <c r="CC880"/>
  <c r="CB880"/>
  <c r="BR880"/>
  <c r="F880"/>
  <c r="C880"/>
  <c r="CC879"/>
  <c r="CB879"/>
  <c r="BR879"/>
  <c r="F879"/>
  <c r="C879"/>
  <c r="CC878"/>
  <c r="CB878"/>
  <c r="BR878"/>
  <c r="F878"/>
  <c r="C878"/>
  <c r="CC877"/>
  <c r="CB877"/>
  <c r="BR877"/>
  <c r="F877"/>
  <c r="C877"/>
  <c r="CC876"/>
  <c r="CB876"/>
  <c r="BR876"/>
  <c r="F876"/>
  <c r="C876"/>
  <c r="CC875"/>
  <c r="CB875"/>
  <c r="BR875"/>
  <c r="F875"/>
  <c r="C875"/>
  <c r="CC874"/>
  <c r="CB874"/>
  <c r="BR874"/>
  <c r="F874"/>
  <c r="C874"/>
  <c r="CC873"/>
  <c r="CB873"/>
  <c r="BR873"/>
  <c r="F873"/>
  <c r="C873"/>
  <c r="CC872"/>
  <c r="CB872"/>
  <c r="BR872"/>
  <c r="F872"/>
  <c r="C872"/>
  <c r="CC871"/>
  <c r="CB871"/>
  <c r="BR871"/>
  <c r="F871"/>
  <c r="C871"/>
  <c r="CC870"/>
  <c r="CB870"/>
  <c r="BR870"/>
  <c r="F870"/>
  <c r="C870"/>
  <c r="CC869"/>
  <c r="CB869"/>
  <c r="BR869"/>
  <c r="F869"/>
  <c r="C869"/>
  <c r="CC868"/>
  <c r="CB868"/>
  <c r="BR868"/>
  <c r="F868"/>
  <c r="C868"/>
  <c r="CC867"/>
  <c r="CB867"/>
  <c r="BR867"/>
  <c r="F867"/>
  <c r="C867"/>
  <c r="CC866"/>
  <c r="CB866"/>
  <c r="BR866"/>
  <c r="F866"/>
  <c r="C866"/>
  <c r="CC865"/>
  <c r="CB865"/>
  <c r="BR865"/>
  <c r="F865"/>
  <c r="C865"/>
  <c r="CC864"/>
  <c r="CB864"/>
  <c r="BR864"/>
  <c r="F864"/>
  <c r="C864"/>
  <c r="CC863"/>
  <c r="CB863"/>
  <c r="BR863"/>
  <c r="F863"/>
  <c r="C863"/>
  <c r="CC862"/>
  <c r="CB862"/>
  <c r="BR862"/>
  <c r="F862"/>
  <c r="C862"/>
  <c r="CC861"/>
  <c r="CB861"/>
  <c r="BR861"/>
  <c r="F861"/>
  <c r="C861"/>
  <c r="CC860"/>
  <c r="CB860"/>
  <c r="BR860"/>
  <c r="F860"/>
  <c r="C860"/>
  <c r="CC859"/>
  <c r="CB859"/>
  <c r="BR859"/>
  <c r="F859"/>
  <c r="C859"/>
  <c r="CC858"/>
  <c r="CB858"/>
  <c r="BR858"/>
  <c r="F858"/>
  <c r="C858"/>
  <c r="CC857"/>
  <c r="CB857"/>
  <c r="BR857"/>
  <c r="F857"/>
  <c r="C857"/>
  <c r="CC856"/>
  <c r="CB856"/>
  <c r="BR856"/>
  <c r="F856"/>
  <c r="C856"/>
  <c r="CC855"/>
  <c r="CB855"/>
  <c r="BR855"/>
  <c r="F855"/>
  <c r="C855"/>
  <c r="CC854"/>
  <c r="CB854"/>
  <c r="BR854"/>
  <c r="F854"/>
  <c r="C854"/>
  <c r="CC853"/>
  <c r="CB853"/>
  <c r="BR853"/>
  <c r="F853"/>
  <c r="C853"/>
  <c r="CC852"/>
  <c r="CB852"/>
  <c r="BR852"/>
  <c r="F852"/>
  <c r="C852"/>
  <c r="CC851"/>
  <c r="CB851"/>
  <c r="BR851"/>
  <c r="F851"/>
  <c r="C851"/>
  <c r="CC850"/>
  <c r="CB850"/>
  <c r="BR850"/>
  <c r="F850"/>
  <c r="C850"/>
  <c r="CC849"/>
  <c r="CB849"/>
  <c r="BR849"/>
  <c r="F849"/>
  <c r="C849"/>
  <c r="CC848"/>
  <c r="CB848"/>
  <c r="BR848"/>
  <c r="F848"/>
  <c r="C848"/>
  <c r="CC847"/>
  <c r="CB847"/>
  <c r="BR847"/>
  <c r="F847"/>
  <c r="C847"/>
  <c r="CC846"/>
  <c r="CB846"/>
  <c r="BR846"/>
  <c r="F846"/>
  <c r="C846"/>
  <c r="CC845"/>
  <c r="CB845"/>
  <c r="BR845"/>
  <c r="F845"/>
  <c r="C845"/>
  <c r="CC844"/>
  <c r="CB844"/>
  <c r="BR844"/>
  <c r="F844"/>
  <c r="C844"/>
  <c r="CC843"/>
  <c r="CB843"/>
  <c r="BR843"/>
  <c r="F843"/>
  <c r="C843"/>
  <c r="CC842"/>
  <c r="CB842"/>
  <c r="BR842"/>
  <c r="F842"/>
  <c r="C842"/>
  <c r="CC841"/>
  <c r="CB841"/>
  <c r="BR841"/>
  <c r="F841"/>
  <c r="C841"/>
  <c r="CC840"/>
  <c r="CB840"/>
  <c r="BR840"/>
  <c r="F840"/>
  <c r="C840"/>
  <c r="CC839"/>
  <c r="CB839"/>
  <c r="BR839"/>
  <c r="F839"/>
  <c r="C839"/>
  <c r="CC838"/>
  <c r="CB838"/>
  <c r="BR838"/>
  <c r="F838"/>
  <c r="C838"/>
  <c r="CC837"/>
  <c r="CB837"/>
  <c r="BR837"/>
  <c r="F837"/>
  <c r="C837"/>
  <c r="CC836"/>
  <c r="CB836"/>
  <c r="BR836"/>
  <c r="F836"/>
  <c r="C836"/>
  <c r="CC835"/>
  <c r="CB835"/>
  <c r="BR835"/>
  <c r="F835"/>
  <c r="C835"/>
  <c r="CC834"/>
  <c r="CB834"/>
  <c r="BR834"/>
  <c r="F834"/>
  <c r="C834"/>
  <c r="CC833"/>
  <c r="CB833"/>
  <c r="BR833"/>
  <c r="F833"/>
  <c r="C833"/>
  <c r="CC832"/>
  <c r="CB832"/>
  <c r="BR832"/>
  <c r="F832"/>
  <c r="C832"/>
  <c r="CC831"/>
  <c r="CB831"/>
  <c r="BR831"/>
  <c r="F831"/>
  <c r="C831"/>
  <c r="CC830"/>
  <c r="CB830"/>
  <c r="BR830"/>
  <c r="F830"/>
  <c r="C830"/>
  <c r="CC829"/>
  <c r="CB829"/>
  <c r="BR829"/>
  <c r="F829"/>
  <c r="C829"/>
  <c r="CC828"/>
  <c r="CB828"/>
  <c r="BR828"/>
  <c r="F828"/>
  <c r="C828"/>
  <c r="CC827"/>
  <c r="CB827"/>
  <c r="BR827"/>
  <c r="F827"/>
  <c r="C827"/>
  <c r="CC826"/>
  <c r="CB826"/>
  <c r="BR826"/>
  <c r="F826"/>
  <c r="C826"/>
  <c r="CC825"/>
  <c r="CB825"/>
  <c r="BR825"/>
  <c r="F825"/>
  <c r="C825"/>
  <c r="CC824"/>
  <c r="CB824"/>
  <c r="BR824"/>
  <c r="F824"/>
  <c r="C824"/>
  <c r="CC823"/>
  <c r="CB823"/>
  <c r="BR823"/>
  <c r="F823"/>
  <c r="C823"/>
  <c r="CC822"/>
  <c r="CB822"/>
  <c r="BR822"/>
  <c r="F822"/>
  <c r="C822"/>
  <c r="CC821"/>
  <c r="CB821"/>
  <c r="BR821"/>
  <c r="F821"/>
  <c r="C821"/>
  <c r="CC820"/>
  <c r="CB820"/>
  <c r="BR820"/>
  <c r="F820"/>
  <c r="C820"/>
  <c r="CC819"/>
  <c r="CB819"/>
  <c r="BR819"/>
  <c r="F819"/>
  <c r="C819"/>
  <c r="CC818"/>
  <c r="CB818"/>
  <c r="BR818"/>
  <c r="F818"/>
  <c r="C818"/>
  <c r="CC817"/>
  <c r="CB817"/>
  <c r="BR817"/>
  <c r="F817"/>
  <c r="C817"/>
  <c r="CC816"/>
  <c r="CB816"/>
  <c r="BR816"/>
  <c r="F816"/>
  <c r="C816"/>
  <c r="CC815"/>
  <c r="CB815"/>
  <c r="BR815"/>
  <c r="F815"/>
  <c r="C815"/>
  <c r="CC814"/>
  <c r="CB814"/>
  <c r="BR814"/>
  <c r="F814"/>
  <c r="C814"/>
  <c r="CC813"/>
  <c r="CB813"/>
  <c r="BR813"/>
  <c r="F813"/>
  <c r="C813"/>
  <c r="CC812"/>
  <c r="CB812"/>
  <c r="BR812"/>
  <c r="F812"/>
  <c r="C812"/>
  <c r="CC811"/>
  <c r="CB811"/>
  <c r="BR811"/>
  <c r="F811"/>
  <c r="C811"/>
  <c r="CC810"/>
  <c r="CB810"/>
  <c r="BR810"/>
  <c r="F810"/>
  <c r="C810"/>
  <c r="CC809"/>
  <c r="CB809"/>
  <c r="BR809"/>
  <c r="F809"/>
  <c r="C809"/>
  <c r="CC808"/>
  <c r="CB808"/>
  <c r="BR808"/>
  <c r="F808"/>
  <c r="C808"/>
  <c r="CC807"/>
  <c r="CB807"/>
  <c r="BR807"/>
  <c r="F807"/>
  <c r="C807"/>
  <c r="CC806"/>
  <c r="CB806"/>
  <c r="BR806"/>
  <c r="F806"/>
  <c r="C806"/>
  <c r="CC805"/>
  <c r="CB805"/>
  <c r="BR805"/>
  <c r="F805"/>
  <c r="C805"/>
  <c r="CC804"/>
  <c r="CB804"/>
  <c r="BR804"/>
  <c r="F804"/>
  <c r="C804"/>
  <c r="CC803"/>
  <c r="CB803"/>
  <c r="BR803"/>
  <c r="F803"/>
  <c r="C803"/>
  <c r="CC802"/>
  <c r="CB802"/>
  <c r="BR802"/>
  <c r="F802"/>
  <c r="C802"/>
  <c r="CC801"/>
  <c r="CB801"/>
  <c r="BR801"/>
  <c r="F801"/>
  <c r="C801"/>
  <c r="CC800"/>
  <c r="CB800"/>
  <c r="BR800"/>
  <c r="F800"/>
  <c r="C800"/>
  <c r="CC799"/>
  <c r="CB799"/>
  <c r="BR799"/>
  <c r="F799"/>
  <c r="C799"/>
  <c r="CC798"/>
  <c r="CB798"/>
  <c r="BR798"/>
  <c r="F798"/>
  <c r="C798"/>
  <c r="CC797"/>
  <c r="CB797"/>
  <c r="BR797"/>
  <c r="F797"/>
  <c r="C797"/>
  <c r="CC796"/>
  <c r="CB796"/>
  <c r="BR796"/>
  <c r="F796"/>
  <c r="C796"/>
  <c r="CC795"/>
  <c r="CB795"/>
  <c r="BR795"/>
  <c r="F795"/>
  <c r="C795"/>
  <c r="CC794"/>
  <c r="CB794"/>
  <c r="BR794"/>
  <c r="F794"/>
  <c r="C794"/>
  <c r="CC793"/>
  <c r="CB793"/>
  <c r="BR793"/>
  <c r="F793"/>
  <c r="C793"/>
  <c r="CC792"/>
  <c r="CB792"/>
  <c r="BR792"/>
  <c r="F792"/>
  <c r="C792"/>
  <c r="CC791"/>
  <c r="CB791"/>
  <c r="BR791"/>
  <c r="F791"/>
  <c r="C791"/>
  <c r="CC790"/>
  <c r="CB790"/>
  <c r="BR790"/>
  <c r="F790"/>
  <c r="C790"/>
  <c r="CC789"/>
  <c r="CB789"/>
  <c r="BR789"/>
  <c r="F789"/>
  <c r="C789"/>
  <c r="CC788"/>
  <c r="CB788"/>
  <c r="BR788"/>
  <c r="F788"/>
  <c r="C788"/>
  <c r="CC787"/>
  <c r="CB787"/>
  <c r="BR787"/>
  <c r="F787"/>
  <c r="C787"/>
  <c r="CC786"/>
  <c r="CB786"/>
  <c r="BR786"/>
  <c r="F786"/>
  <c r="C786"/>
  <c r="CC785"/>
  <c r="CB785"/>
  <c r="BR785"/>
  <c r="F785"/>
  <c r="C785"/>
  <c r="CC784"/>
  <c r="CB784"/>
  <c r="BR784"/>
  <c r="F784"/>
  <c r="C784"/>
  <c r="CC783"/>
  <c r="CB783"/>
  <c r="BR783"/>
  <c r="F783"/>
  <c r="C783"/>
  <c r="CC782"/>
  <c r="CB782"/>
  <c r="BR782"/>
  <c r="F782"/>
  <c r="C782"/>
  <c r="CC781"/>
  <c r="CB781"/>
  <c r="BR781"/>
  <c r="F781"/>
  <c r="C781"/>
  <c r="CC780"/>
  <c r="CB780"/>
  <c r="BR780"/>
  <c r="F780"/>
  <c r="C780"/>
  <c r="CC779"/>
  <c r="CB779"/>
  <c r="BR779"/>
  <c r="F779"/>
  <c r="C779"/>
  <c r="CC778"/>
  <c r="CB778"/>
  <c r="BR778"/>
  <c r="F778"/>
  <c r="C778"/>
  <c r="CC777"/>
  <c r="CB777"/>
  <c r="BR777"/>
  <c r="F777"/>
  <c r="C777"/>
  <c r="CC776"/>
  <c r="CB776"/>
  <c r="BR776"/>
  <c r="F776"/>
  <c r="C776"/>
  <c r="CC775"/>
  <c r="CB775"/>
  <c r="BR775"/>
  <c r="F775"/>
  <c r="C775"/>
  <c r="CC774"/>
  <c r="CB774"/>
  <c r="BR774"/>
  <c r="F774"/>
  <c r="C774"/>
  <c r="CC773"/>
  <c r="CB773"/>
  <c r="BR773"/>
  <c r="F773"/>
  <c r="C773"/>
  <c r="CC772"/>
  <c r="CB772"/>
  <c r="BR772"/>
  <c r="F772"/>
  <c r="C772"/>
  <c r="CC771"/>
  <c r="CB771"/>
  <c r="BR771"/>
  <c r="F771"/>
  <c r="C771"/>
  <c r="CC770"/>
  <c r="CB770"/>
  <c r="BR770"/>
  <c r="F770"/>
  <c r="C770"/>
  <c r="CC769"/>
  <c r="CB769"/>
  <c r="BR769"/>
  <c r="F769"/>
  <c r="C769"/>
  <c r="CC768"/>
  <c r="CB768"/>
  <c r="BR768"/>
  <c r="F768"/>
  <c r="C768"/>
  <c r="CC767"/>
  <c r="CB767"/>
  <c r="BR767"/>
  <c r="F767"/>
  <c r="C767"/>
  <c r="CC766"/>
  <c r="CB766"/>
  <c r="BR766"/>
  <c r="F766"/>
  <c r="C766"/>
  <c r="CC765"/>
  <c r="CB765"/>
  <c r="BR765"/>
  <c r="F765"/>
  <c r="C765"/>
  <c r="CC764"/>
  <c r="CB764"/>
  <c r="BR764"/>
  <c r="F764"/>
  <c r="C764"/>
  <c r="CC763"/>
  <c r="CB763"/>
  <c r="BR763"/>
  <c r="F763"/>
  <c r="C763"/>
  <c r="CC762"/>
  <c r="CB762"/>
  <c r="BR762"/>
  <c r="F762"/>
  <c r="C762"/>
  <c r="CC761"/>
  <c r="CB761"/>
  <c r="BR761"/>
  <c r="F761"/>
  <c r="C761"/>
  <c r="CC760"/>
  <c r="CB760"/>
  <c r="BR760"/>
  <c r="F760"/>
  <c r="C760"/>
  <c r="CC759"/>
  <c r="CB759"/>
  <c r="BR759"/>
  <c r="F759"/>
  <c r="C759"/>
  <c r="CC758"/>
  <c r="CB758"/>
  <c r="BR758"/>
  <c r="F758"/>
  <c r="C758"/>
  <c r="CC757"/>
  <c r="CB757"/>
  <c r="BR757"/>
  <c r="F757"/>
  <c r="C757"/>
  <c r="CC756"/>
  <c r="CB756"/>
  <c r="BR756"/>
  <c r="F756"/>
  <c r="C756"/>
  <c r="CC755"/>
  <c r="CB755"/>
  <c r="BR755"/>
  <c r="F755"/>
  <c r="C755"/>
  <c r="CC754"/>
  <c r="CB754"/>
  <c r="BR754"/>
  <c r="F754"/>
  <c r="C754"/>
  <c r="CC753"/>
  <c r="CB753"/>
  <c r="BR753"/>
  <c r="F753"/>
  <c r="C753"/>
  <c r="CC752"/>
  <c r="CB752"/>
  <c r="BR752"/>
  <c r="F752"/>
  <c r="C752"/>
  <c r="CC751"/>
  <c r="CB751"/>
  <c r="BR751"/>
  <c r="F751"/>
  <c r="C751"/>
  <c r="CC750"/>
  <c r="CB750"/>
  <c r="BR750"/>
  <c r="F750"/>
  <c r="C750"/>
  <c r="CC749"/>
  <c r="CB749"/>
  <c r="BR749"/>
  <c r="F749"/>
  <c r="C749"/>
  <c r="CC748"/>
  <c r="CB748"/>
  <c r="BR748"/>
  <c r="F748"/>
  <c r="C748"/>
  <c r="CC747"/>
  <c r="CB747"/>
  <c r="BR747"/>
  <c r="F747"/>
  <c r="C747"/>
  <c r="CC746"/>
  <c r="CB746"/>
  <c r="BR746"/>
  <c r="F746"/>
  <c r="C746"/>
  <c r="CC745"/>
  <c r="CB745"/>
  <c r="BR745"/>
  <c r="F745"/>
  <c r="C745"/>
  <c r="CC744"/>
  <c r="CB744"/>
  <c r="BR744"/>
  <c r="F744"/>
  <c r="C744"/>
  <c r="CC743"/>
  <c r="CB743"/>
  <c r="BR743"/>
  <c r="F743"/>
  <c r="C743"/>
  <c r="CC742"/>
  <c r="CB742"/>
  <c r="BR742"/>
  <c r="F742"/>
  <c r="C742"/>
  <c r="CC741"/>
  <c r="CB741"/>
  <c r="BR741"/>
  <c r="F741"/>
  <c r="C741"/>
  <c r="CC740"/>
  <c r="CB740"/>
  <c r="BR740"/>
  <c r="F740"/>
  <c r="C740"/>
  <c r="CC739"/>
  <c r="CB739"/>
  <c r="BR739"/>
  <c r="F739"/>
  <c r="C739"/>
  <c r="CC738"/>
  <c r="CB738"/>
  <c r="BR738"/>
  <c r="F738"/>
  <c r="C738"/>
  <c r="CC737"/>
  <c r="CB737"/>
  <c r="BR737"/>
  <c r="F737"/>
  <c r="C737"/>
  <c r="CC736"/>
  <c r="CB736"/>
  <c r="BR736"/>
  <c r="F736"/>
  <c r="C736"/>
  <c r="CC735"/>
  <c r="CB735"/>
  <c r="BR735"/>
  <c r="F735"/>
  <c r="C735"/>
  <c r="CC734"/>
  <c r="CB734"/>
  <c r="BR734"/>
  <c r="F734"/>
  <c r="C734"/>
  <c r="CC733"/>
  <c r="CB733"/>
  <c r="BR733"/>
  <c r="F733"/>
  <c r="C733"/>
  <c r="CC732"/>
  <c r="CB732"/>
  <c r="BR732"/>
  <c r="F732"/>
  <c r="C732"/>
  <c r="CC731"/>
  <c r="CB731"/>
  <c r="BR731"/>
  <c r="F731"/>
  <c r="C731"/>
  <c r="CC730"/>
  <c r="CB730"/>
  <c r="BR730"/>
  <c r="F730"/>
  <c r="C730"/>
  <c r="CC729"/>
  <c r="CB729"/>
  <c r="BR729"/>
  <c r="F729"/>
  <c r="C729"/>
  <c r="CC728"/>
  <c r="CB728"/>
  <c r="BR728"/>
  <c r="F728"/>
  <c r="C728"/>
  <c r="CC727"/>
  <c r="CB727"/>
  <c r="BR727"/>
  <c r="F727"/>
  <c r="C727"/>
  <c r="CC726"/>
  <c r="CB726"/>
  <c r="BR726"/>
  <c r="F726"/>
  <c r="C726"/>
  <c r="CC725"/>
  <c r="CB725"/>
  <c r="BR725"/>
  <c r="F725"/>
  <c r="C725"/>
  <c r="CC724"/>
  <c r="CB724"/>
  <c r="BR724"/>
  <c r="F724"/>
  <c r="C724"/>
  <c r="CC723"/>
  <c r="CB723"/>
  <c r="BR723"/>
  <c r="F723"/>
  <c r="C723"/>
  <c r="CC722"/>
  <c r="CB722"/>
  <c r="BR722"/>
  <c r="F722"/>
  <c r="C722"/>
  <c r="CC721"/>
  <c r="CB721"/>
  <c r="BR721"/>
  <c r="F721"/>
  <c r="C721"/>
  <c r="CC720"/>
  <c r="CB720"/>
  <c r="BR720"/>
  <c r="F720"/>
  <c r="C720"/>
  <c r="CC719"/>
  <c r="CB719"/>
  <c r="BR719"/>
  <c r="F719"/>
  <c r="C719"/>
  <c r="CC718"/>
  <c r="CB718"/>
  <c r="BR718"/>
  <c r="F718"/>
  <c r="C718"/>
  <c r="CC717"/>
  <c r="CB717"/>
  <c r="BR717"/>
  <c r="F717"/>
  <c r="C717"/>
  <c r="CC716"/>
  <c r="CB716"/>
  <c r="BR716"/>
  <c r="F716"/>
  <c r="C716"/>
  <c r="CC715"/>
  <c r="CB715"/>
  <c r="BR715"/>
  <c r="F715"/>
  <c r="C715"/>
  <c r="CC714"/>
  <c r="CB714"/>
  <c r="BR714"/>
  <c r="F714"/>
  <c r="C714"/>
  <c r="CC713"/>
  <c r="CB713"/>
  <c r="BR713"/>
  <c r="F713"/>
  <c r="C713"/>
  <c r="CC712"/>
  <c r="CB712"/>
  <c r="BR712"/>
  <c r="F712"/>
  <c r="C712"/>
  <c r="CC711"/>
  <c r="CB711"/>
  <c r="BR711"/>
  <c r="F711"/>
  <c r="C711"/>
  <c r="CC710"/>
  <c r="CB710"/>
  <c r="BR710"/>
  <c r="F710"/>
  <c r="C710"/>
  <c r="CC709"/>
  <c r="CB709"/>
  <c r="BR709"/>
  <c r="F709"/>
  <c r="C709"/>
  <c r="CC708"/>
  <c r="CB708"/>
  <c r="BR708"/>
  <c r="F708"/>
  <c r="C708"/>
  <c r="CC707"/>
  <c r="CB707"/>
  <c r="BR707"/>
  <c r="F707"/>
  <c r="C707"/>
  <c r="CC706"/>
  <c r="CB706"/>
  <c r="BR706"/>
  <c r="F706"/>
  <c r="C706"/>
  <c r="CC705"/>
  <c r="CB705"/>
  <c r="BR705"/>
  <c r="F705"/>
  <c r="C705"/>
  <c r="CC704"/>
  <c r="CB704"/>
  <c r="BR704"/>
  <c r="F704"/>
  <c r="C704"/>
  <c r="CC703"/>
  <c r="CB703"/>
  <c r="BR703"/>
  <c r="F703"/>
  <c r="C703"/>
  <c r="CC702"/>
  <c r="CB702"/>
  <c r="BR702"/>
  <c r="F702"/>
  <c r="C702"/>
  <c r="CC701"/>
  <c r="CB701"/>
  <c r="BR701"/>
  <c r="F701"/>
  <c r="C701"/>
  <c r="CC700"/>
  <c r="CB700"/>
  <c r="BR700"/>
  <c r="F700"/>
  <c r="C700"/>
  <c r="CC699"/>
  <c r="CB699"/>
  <c r="BR699"/>
  <c r="F699"/>
  <c r="C699"/>
  <c r="CC698"/>
  <c r="CB698"/>
  <c r="BR698"/>
  <c r="F698"/>
  <c r="C698"/>
  <c r="CC697"/>
  <c r="CB697"/>
  <c r="BR697"/>
  <c r="F697"/>
  <c r="C697"/>
  <c r="CC696"/>
  <c r="CB696"/>
  <c r="BR696"/>
  <c r="F696"/>
  <c r="C696"/>
  <c r="CC695"/>
  <c r="CB695"/>
  <c r="BR695"/>
  <c r="F695"/>
  <c r="C695"/>
  <c r="CC694"/>
  <c r="CB694"/>
  <c r="BR694"/>
  <c r="F694"/>
  <c r="C694"/>
  <c r="CC693"/>
  <c r="CB693"/>
  <c r="BR693"/>
  <c r="F693"/>
  <c r="C693"/>
  <c r="CC692"/>
  <c r="CB692"/>
  <c r="BR692"/>
  <c r="F692"/>
  <c r="C692"/>
  <c r="CC691"/>
  <c r="CB691"/>
  <c r="BR691"/>
  <c r="F691"/>
  <c r="C691"/>
  <c r="CC690"/>
  <c r="CB690"/>
  <c r="BR690"/>
  <c r="F690"/>
  <c r="C690"/>
  <c r="CC689"/>
  <c r="CB689"/>
  <c r="BR689"/>
  <c r="F689"/>
  <c r="C689"/>
  <c r="CC688"/>
  <c r="CB688"/>
  <c r="BR688"/>
  <c r="F688"/>
  <c r="C688"/>
  <c r="CC687"/>
  <c r="CB687"/>
  <c r="BR687"/>
  <c r="F687"/>
  <c r="C687"/>
  <c r="CC686"/>
  <c r="CB686"/>
  <c r="BR686"/>
  <c r="F686"/>
  <c r="C686"/>
  <c r="CC685"/>
  <c r="CB685"/>
  <c r="BR685"/>
  <c r="F685"/>
  <c r="C685"/>
  <c r="CC684"/>
  <c r="CB684"/>
  <c r="BR684"/>
  <c r="F684"/>
  <c r="C684"/>
  <c r="CC683"/>
  <c r="CB683"/>
  <c r="BR683"/>
  <c r="F683"/>
  <c r="C683"/>
  <c r="CC682"/>
  <c r="CB682"/>
  <c r="BR682"/>
  <c r="F682"/>
  <c r="C682"/>
  <c r="CC681"/>
  <c r="CB681"/>
  <c r="BR681"/>
  <c r="F681"/>
  <c r="C681"/>
  <c r="CC680"/>
  <c r="CB680"/>
  <c r="BR680"/>
  <c r="F680"/>
  <c r="C680"/>
  <c r="CC679"/>
  <c r="CB679"/>
  <c r="BR679"/>
  <c r="F679"/>
  <c r="C679"/>
  <c r="CC678"/>
  <c r="CB678"/>
  <c r="BR678"/>
  <c r="F678"/>
  <c r="C678"/>
  <c r="CC677"/>
  <c r="CB677"/>
  <c r="BR677"/>
  <c r="F677"/>
  <c r="C677"/>
  <c r="CC676"/>
  <c r="CB676"/>
  <c r="BR676"/>
  <c r="F676"/>
  <c r="C676"/>
  <c r="CC675"/>
  <c r="CB675"/>
  <c r="BR675"/>
  <c r="F675"/>
  <c r="C675"/>
  <c r="CC674"/>
  <c r="CB674"/>
  <c r="BR674"/>
  <c r="F674"/>
  <c r="C674"/>
  <c r="CC673"/>
  <c r="CB673"/>
  <c r="BR673"/>
  <c r="F673"/>
  <c r="C673"/>
  <c r="CC672"/>
  <c r="CB672"/>
  <c r="BR672"/>
  <c r="F672"/>
  <c r="C672"/>
  <c r="CC671"/>
  <c r="CB671"/>
  <c r="BR671"/>
  <c r="F671"/>
  <c r="C671"/>
  <c r="CC670"/>
  <c r="CB670"/>
  <c r="BR670"/>
  <c r="F670"/>
  <c r="C670"/>
  <c r="CC669"/>
  <c r="CB669"/>
  <c r="BR669"/>
  <c r="F669"/>
  <c r="C669"/>
  <c r="CC668"/>
  <c r="CB668"/>
  <c r="BR668"/>
  <c r="F668"/>
  <c r="C668"/>
  <c r="CC667"/>
  <c r="CB667"/>
  <c r="BR667"/>
  <c r="F667"/>
  <c r="C667"/>
  <c r="CC666"/>
  <c r="CB666"/>
  <c r="BR666"/>
  <c r="F666"/>
  <c r="C666"/>
  <c r="CC665"/>
  <c r="CB665"/>
  <c r="BR665"/>
  <c r="F665"/>
  <c r="C665"/>
  <c r="CC664"/>
  <c r="CB664"/>
  <c r="BR664"/>
  <c r="F664"/>
  <c r="C664"/>
  <c r="CC663"/>
  <c r="CB663"/>
  <c r="BR663"/>
  <c r="F663"/>
  <c r="C663"/>
  <c r="CC662"/>
  <c r="CB662"/>
  <c r="BR662"/>
  <c r="F662"/>
  <c r="C662"/>
  <c r="CC661"/>
  <c r="CB661"/>
  <c r="BR661"/>
  <c r="F661"/>
  <c r="C661"/>
  <c r="CC660"/>
  <c r="CB660"/>
  <c r="BR660"/>
  <c r="F660"/>
  <c r="C660"/>
  <c r="CC659"/>
  <c r="CB659"/>
  <c r="BR659"/>
  <c r="F659"/>
  <c r="C659"/>
  <c r="CC658"/>
  <c r="CB658"/>
  <c r="BR658"/>
  <c r="F658"/>
  <c r="C658"/>
  <c r="CC657"/>
  <c r="CB657"/>
  <c r="BR657"/>
  <c r="F657"/>
  <c r="C657"/>
  <c r="CC656"/>
  <c r="CB656"/>
  <c r="BR656"/>
  <c r="F656"/>
  <c r="C656"/>
  <c r="CC655"/>
  <c r="CB655"/>
  <c r="BR655"/>
  <c r="F655"/>
  <c r="C655"/>
  <c r="CC654"/>
  <c r="CB654"/>
  <c r="BR654"/>
  <c r="F654"/>
  <c r="C654"/>
  <c r="CC653"/>
  <c r="CB653"/>
  <c r="BR653"/>
  <c r="F653"/>
  <c r="C653"/>
  <c r="CC652"/>
  <c r="CB652"/>
  <c r="BR652"/>
  <c r="F652"/>
  <c r="C652"/>
  <c r="CC651"/>
  <c r="CB651"/>
  <c r="BR651"/>
  <c r="F651"/>
  <c r="C651"/>
  <c r="CC650"/>
  <c r="CB650"/>
  <c r="BR650"/>
  <c r="F650"/>
  <c r="C650"/>
  <c r="CC649"/>
  <c r="CB649"/>
  <c r="BR649"/>
  <c r="F649"/>
  <c r="C649"/>
  <c r="CC648"/>
  <c r="CB648"/>
  <c r="BR648"/>
  <c r="F648"/>
  <c r="C648"/>
  <c r="CC647"/>
  <c r="CB647"/>
  <c r="BR647"/>
  <c r="F647"/>
  <c r="C647"/>
  <c r="CC646"/>
  <c r="CB646"/>
  <c r="BR646"/>
  <c r="F646"/>
  <c r="C646"/>
  <c r="CC645"/>
  <c r="CB645"/>
  <c r="BR645"/>
  <c r="F645"/>
  <c r="C645"/>
  <c r="CC644"/>
  <c r="CB644"/>
  <c r="BR644"/>
  <c r="F644"/>
  <c r="C644"/>
  <c r="CC643"/>
  <c r="CB643"/>
  <c r="BR643"/>
  <c r="F643"/>
  <c r="C643"/>
  <c r="CC642"/>
  <c r="CB642"/>
  <c r="BR642"/>
  <c r="F642"/>
  <c r="C642"/>
  <c r="CC641"/>
  <c r="CB641"/>
  <c r="BR641"/>
  <c r="F641"/>
  <c r="C641"/>
  <c r="CC640"/>
  <c r="CB640"/>
  <c r="BR640"/>
  <c r="F640"/>
  <c r="C640"/>
  <c r="CC639"/>
  <c r="CB639"/>
  <c r="BR639"/>
  <c r="F639"/>
  <c r="C639"/>
  <c r="CC638"/>
  <c r="CB638"/>
  <c r="BR638"/>
  <c r="F638"/>
  <c r="C638"/>
  <c r="CC637"/>
  <c r="CB637"/>
  <c r="BR637"/>
  <c r="F637"/>
  <c r="C637"/>
  <c r="CC636"/>
  <c r="CB636"/>
  <c r="BR636"/>
  <c r="F636"/>
  <c r="C636"/>
  <c r="CC635"/>
  <c r="CB635"/>
  <c r="BR635"/>
  <c r="F635"/>
  <c r="C635"/>
  <c r="CC634"/>
  <c r="CB634"/>
  <c r="BR634"/>
  <c r="F634"/>
  <c r="C634"/>
  <c r="CC633"/>
  <c r="CB633"/>
  <c r="BR633"/>
  <c r="F633"/>
  <c r="C633"/>
  <c r="CC632"/>
  <c r="CB632"/>
  <c r="BR632"/>
  <c r="F632"/>
  <c r="C632"/>
  <c r="CC631"/>
  <c r="CB631"/>
  <c r="BR631"/>
  <c r="F631"/>
  <c r="C631"/>
  <c r="CC630"/>
  <c r="CB630"/>
  <c r="BR630"/>
  <c r="F630"/>
  <c r="C630"/>
  <c r="CC629"/>
  <c r="CB629"/>
  <c r="BR629"/>
  <c r="F629"/>
  <c r="C629"/>
  <c r="CC628"/>
  <c r="CB628"/>
  <c r="BR628"/>
  <c r="F628"/>
  <c r="C628"/>
  <c r="CC627"/>
  <c r="CB627"/>
  <c r="BR627"/>
  <c r="F627"/>
  <c r="C627"/>
  <c r="CC626"/>
  <c r="CB626"/>
  <c r="BR626"/>
  <c r="F626"/>
  <c r="C626"/>
  <c r="CC625"/>
  <c r="CB625"/>
  <c r="BR625"/>
  <c r="F625"/>
  <c r="C625"/>
  <c r="CC624"/>
  <c r="CB624"/>
  <c r="BR624"/>
  <c r="F624"/>
  <c r="C624"/>
  <c r="CC623"/>
  <c r="CB623"/>
  <c r="BR623"/>
  <c r="F623"/>
  <c r="C623"/>
  <c r="CC622"/>
  <c r="CB622"/>
  <c r="BR622"/>
  <c r="F622"/>
  <c r="C622"/>
  <c r="CC621"/>
  <c r="CB621"/>
  <c r="BR621"/>
  <c r="F621"/>
  <c r="C621"/>
  <c r="CC620"/>
  <c r="CB620"/>
  <c r="BR620"/>
  <c r="F620"/>
  <c r="C620"/>
  <c r="CC619"/>
  <c r="CB619"/>
  <c r="BR619"/>
  <c r="F619"/>
  <c r="C619"/>
  <c r="CC618"/>
  <c r="CB618"/>
  <c r="BR618"/>
  <c r="F618"/>
  <c r="C618"/>
  <c r="CC617"/>
  <c r="CB617"/>
  <c r="BR617"/>
  <c r="F617"/>
  <c r="C617"/>
  <c r="CC616"/>
  <c r="CB616"/>
  <c r="BR616"/>
  <c r="F616"/>
  <c r="C616"/>
  <c r="CC615"/>
  <c r="CB615"/>
  <c r="BR615"/>
  <c r="F615"/>
  <c r="C615"/>
  <c r="CC614"/>
  <c r="CB614"/>
  <c r="BR614"/>
  <c r="F614"/>
  <c r="C614"/>
  <c r="CC613"/>
  <c r="CB613"/>
  <c r="BR613"/>
  <c r="F613"/>
  <c r="C613"/>
  <c r="CC612"/>
  <c r="CB612"/>
  <c r="BR612"/>
  <c r="F612"/>
  <c r="C612"/>
  <c r="CC611"/>
  <c r="CB611"/>
  <c r="BR611"/>
  <c r="F611"/>
  <c r="C611"/>
  <c r="CC610"/>
  <c r="CB610"/>
  <c r="BR610"/>
  <c r="F610"/>
  <c r="C610"/>
  <c r="CC609"/>
  <c r="CB609"/>
  <c r="BR609"/>
  <c r="F609"/>
  <c r="C609"/>
  <c r="CC608"/>
  <c r="CB608"/>
  <c r="BR608"/>
  <c r="F608"/>
  <c r="C608"/>
  <c r="CC607"/>
  <c r="CB607"/>
  <c r="BR607"/>
  <c r="F607"/>
  <c r="C607"/>
  <c r="CC606"/>
  <c r="CB606"/>
  <c r="BR606"/>
  <c r="F606"/>
  <c r="C606"/>
  <c r="CC605"/>
  <c r="CB605"/>
  <c r="BR605"/>
  <c r="F605"/>
  <c r="C605"/>
  <c r="CC604"/>
  <c r="CB604"/>
  <c r="BR604"/>
  <c r="F604"/>
  <c r="C604"/>
  <c r="CC603"/>
  <c r="CB603"/>
  <c r="BR603"/>
  <c r="F603"/>
  <c r="C603"/>
  <c r="CC602"/>
  <c r="CB602"/>
  <c r="BR602"/>
  <c r="F602"/>
  <c r="C602"/>
  <c r="CC601"/>
  <c r="CB601"/>
  <c r="BR601"/>
  <c r="F601"/>
  <c r="C601"/>
  <c r="CC600"/>
  <c r="CB600"/>
  <c r="BR600"/>
  <c r="F600"/>
  <c r="C600"/>
  <c r="CC599"/>
  <c r="CB599"/>
  <c r="BR599"/>
  <c r="F599"/>
  <c r="C599"/>
  <c r="CC598"/>
  <c r="CB598"/>
  <c r="BR598"/>
  <c r="F598"/>
  <c r="C598"/>
  <c r="CC597"/>
  <c r="CB597"/>
  <c r="BR597"/>
  <c r="F597"/>
  <c r="C597"/>
  <c r="CC596"/>
  <c r="CB596"/>
  <c r="BR596"/>
  <c r="F596"/>
  <c r="C596"/>
  <c r="CC595"/>
  <c r="CB595"/>
  <c r="BR595"/>
  <c r="F595"/>
  <c r="C595"/>
  <c r="CC594"/>
  <c r="CB594"/>
  <c r="BR594"/>
  <c r="F594"/>
  <c r="C594"/>
  <c r="CC593"/>
  <c r="CB593"/>
  <c r="BR593"/>
  <c r="F593"/>
  <c r="C593"/>
  <c r="CC592"/>
  <c r="CB592"/>
  <c r="BR592"/>
  <c r="F592"/>
  <c r="C592"/>
  <c r="CC591"/>
  <c r="CB591"/>
  <c r="BR591"/>
  <c r="F591"/>
  <c r="C591"/>
  <c r="CC590"/>
  <c r="CB590"/>
  <c r="BR590"/>
  <c r="F590"/>
  <c r="C590"/>
  <c r="CC589"/>
  <c r="CB589"/>
  <c r="BR589"/>
  <c r="F589"/>
  <c r="C589"/>
  <c r="CC588"/>
  <c r="CB588"/>
  <c r="BR588"/>
  <c r="F588"/>
  <c r="C588"/>
  <c r="CC587"/>
  <c r="CB587"/>
  <c r="BR587"/>
  <c r="F587"/>
  <c r="C587"/>
  <c r="CC586"/>
  <c r="CB586"/>
  <c r="BR586"/>
  <c r="F586"/>
  <c r="C586"/>
  <c r="CC585"/>
  <c r="CB585"/>
  <c r="BR585"/>
  <c r="F585"/>
  <c r="C585"/>
  <c r="CC584"/>
  <c r="CB584"/>
  <c r="BR584"/>
  <c r="F584"/>
  <c r="C584"/>
  <c r="CC583"/>
  <c r="CB583"/>
  <c r="BR583"/>
  <c r="F583"/>
  <c r="C583"/>
  <c r="CC582"/>
  <c r="CB582"/>
  <c r="BR582"/>
  <c r="F582"/>
  <c r="C582"/>
  <c r="CC581"/>
  <c r="CB581"/>
  <c r="BR581"/>
  <c r="F581"/>
  <c r="C581"/>
  <c r="CC580"/>
  <c r="CB580"/>
  <c r="BR580"/>
  <c r="F580"/>
  <c r="C580"/>
  <c r="CC579"/>
  <c r="CB579"/>
  <c r="BR579"/>
  <c r="F579"/>
  <c r="C579"/>
  <c r="CC578"/>
  <c r="CB578"/>
  <c r="BR578"/>
  <c r="F578"/>
  <c r="C578"/>
  <c r="CC577"/>
  <c r="CB577"/>
  <c r="BR577"/>
  <c r="F577"/>
  <c r="C577"/>
  <c r="CC576"/>
  <c r="CB576"/>
  <c r="BR576"/>
  <c r="F576"/>
  <c r="C576"/>
  <c r="CC575"/>
  <c r="CB575"/>
  <c r="BR575"/>
  <c r="F575"/>
  <c r="C575"/>
  <c r="CC574"/>
  <c r="CB574"/>
  <c r="BR574"/>
  <c r="F574"/>
  <c r="C574"/>
  <c r="CC573"/>
  <c r="CB573"/>
  <c r="BR573"/>
  <c r="F573"/>
  <c r="C573"/>
  <c r="CC572"/>
  <c r="CB572"/>
  <c r="BR572"/>
  <c r="F572"/>
  <c r="C572"/>
  <c r="CC571"/>
  <c r="CB571"/>
  <c r="BR571"/>
  <c r="F571"/>
  <c r="C571"/>
  <c r="CC570"/>
  <c r="CB570"/>
  <c r="BR570"/>
  <c r="F570"/>
  <c r="C570"/>
  <c r="CC569"/>
  <c r="CB569"/>
  <c r="BR569"/>
  <c r="F569"/>
  <c r="C569"/>
  <c r="CC568"/>
  <c r="CB568"/>
  <c r="BR568"/>
  <c r="F568"/>
  <c r="C568"/>
  <c r="CC567"/>
  <c r="CB567"/>
  <c r="BR567"/>
  <c r="F567"/>
  <c r="C567"/>
  <c r="CC566"/>
  <c r="CB566"/>
  <c r="BR566"/>
  <c r="F566"/>
  <c r="C566"/>
  <c r="CC565"/>
  <c r="CB565"/>
  <c r="BR565"/>
  <c r="F565"/>
  <c r="C565"/>
  <c r="CC564"/>
  <c r="CB564"/>
  <c r="BR564"/>
  <c r="F564"/>
  <c r="C564"/>
  <c r="CC563"/>
  <c r="CB563"/>
  <c r="BR563"/>
  <c r="F563"/>
  <c r="C563"/>
  <c r="CC562"/>
  <c r="CB562"/>
  <c r="BR562"/>
  <c r="F562"/>
  <c r="C562"/>
  <c r="CC561"/>
  <c r="CB561"/>
  <c r="BR561"/>
  <c r="F561"/>
  <c r="C561"/>
  <c r="CC560"/>
  <c r="CB560"/>
  <c r="BR560"/>
  <c r="F560"/>
  <c r="C560"/>
  <c r="CC559"/>
  <c r="CB559"/>
  <c r="BR559"/>
  <c r="F559"/>
  <c r="C559"/>
  <c r="CC558"/>
  <c r="CB558"/>
  <c r="BR558"/>
  <c r="F558"/>
  <c r="C558"/>
  <c r="CC557"/>
  <c r="CB557"/>
  <c r="BR557"/>
  <c r="F557"/>
  <c r="C557"/>
  <c r="CC556"/>
  <c r="CB556"/>
  <c r="BR556"/>
  <c r="F556"/>
  <c r="C556"/>
  <c r="CC555"/>
  <c r="CB555"/>
  <c r="BR555"/>
  <c r="F555"/>
  <c r="C555"/>
  <c r="CC554"/>
  <c r="CB554"/>
  <c r="BR554"/>
  <c r="F554"/>
  <c r="C554"/>
  <c r="CC553"/>
  <c r="CB553"/>
  <c r="BR553"/>
  <c r="F553"/>
  <c r="C553"/>
  <c r="CC552"/>
  <c r="CB552"/>
  <c r="BR552"/>
  <c r="F552"/>
  <c r="C552"/>
  <c r="CC551"/>
  <c r="CB551"/>
  <c r="BR551"/>
  <c r="F551"/>
  <c r="C551"/>
  <c r="CC550"/>
  <c r="CB550"/>
  <c r="BR550"/>
  <c r="F550"/>
  <c r="C550"/>
  <c r="CC549"/>
  <c r="CB549"/>
  <c r="BR549"/>
  <c r="F549"/>
  <c r="C549"/>
  <c r="CC548"/>
  <c r="CB548"/>
  <c r="BR548"/>
  <c r="F548"/>
  <c r="C548"/>
  <c r="CC547"/>
  <c r="CB547"/>
  <c r="BR547"/>
  <c r="F547"/>
  <c r="C547"/>
  <c r="CC546"/>
  <c r="CB546"/>
  <c r="BR546"/>
  <c r="F546"/>
  <c r="C546"/>
  <c r="CC545"/>
  <c r="CB545"/>
  <c r="BR545"/>
  <c r="F545"/>
  <c r="C545"/>
  <c r="CC544"/>
  <c r="CB544"/>
  <c r="BR544"/>
  <c r="F544"/>
  <c r="C544"/>
  <c r="CC543"/>
  <c r="CB543"/>
  <c r="BR543"/>
  <c r="F543"/>
  <c r="C543"/>
  <c r="CC542"/>
  <c r="CB542"/>
  <c r="BR542"/>
  <c r="F542"/>
  <c r="C542"/>
  <c r="CC541"/>
  <c r="CB541"/>
  <c r="BR541"/>
  <c r="F541"/>
  <c r="C541"/>
  <c r="CC540"/>
  <c r="CB540"/>
  <c r="BR540"/>
  <c r="F540"/>
  <c r="C540"/>
  <c r="CC539"/>
  <c r="CB539"/>
  <c r="BR539"/>
  <c r="F539"/>
  <c r="C539"/>
  <c r="CC538"/>
  <c r="CB538"/>
  <c r="BR538"/>
  <c r="F538"/>
  <c r="C538"/>
  <c r="CC537"/>
  <c r="CB537"/>
  <c r="BR537"/>
  <c r="F537"/>
  <c r="C537"/>
  <c r="CC536"/>
  <c r="CB536"/>
  <c r="BR536"/>
  <c r="F536"/>
  <c r="C536"/>
  <c r="CC535"/>
  <c r="CB535"/>
  <c r="BR535"/>
  <c r="F535"/>
  <c r="C535"/>
  <c r="CC534"/>
  <c r="CB534"/>
  <c r="BR534"/>
  <c r="F534"/>
  <c r="C534"/>
  <c r="CC533"/>
  <c r="CB533"/>
  <c r="BR533"/>
  <c r="F533"/>
  <c r="C533"/>
  <c r="CC532"/>
  <c r="CB532"/>
  <c r="BR532"/>
  <c r="F532"/>
  <c r="C532"/>
  <c r="CC531"/>
  <c r="CB531"/>
  <c r="BR531"/>
  <c r="F531"/>
  <c r="C531"/>
  <c r="CC530"/>
  <c r="CB530"/>
  <c r="BR530"/>
  <c r="F530"/>
  <c r="C530"/>
  <c r="CC529"/>
  <c r="CB529"/>
  <c r="BR529"/>
  <c r="F529"/>
  <c r="C529"/>
  <c r="CC528"/>
  <c r="CB528"/>
  <c r="BR528"/>
  <c r="F528"/>
  <c r="C528"/>
  <c r="CC527"/>
  <c r="CB527"/>
  <c r="BR527"/>
  <c r="F527"/>
  <c r="C527"/>
  <c r="CC526"/>
  <c r="CB526"/>
  <c r="BR526"/>
  <c r="F526"/>
  <c r="C526"/>
  <c r="CC525"/>
  <c r="CB525"/>
  <c r="BR525"/>
  <c r="F525"/>
  <c r="C525"/>
  <c r="CC524"/>
  <c r="CB524"/>
  <c r="BR524"/>
  <c r="F524"/>
  <c r="C524"/>
  <c r="CC523"/>
  <c r="CB523"/>
  <c r="BR523"/>
  <c r="F523"/>
  <c r="C523"/>
  <c r="CC522"/>
  <c r="CB522"/>
  <c r="BR522"/>
  <c r="F522"/>
  <c r="C522"/>
  <c r="CC521"/>
  <c r="CB521"/>
  <c r="BR521"/>
  <c r="F521"/>
  <c r="C521"/>
  <c r="CC520"/>
  <c r="CB520"/>
  <c r="BR520"/>
  <c r="F520"/>
  <c r="C520"/>
  <c r="CC519"/>
  <c r="CB519"/>
  <c r="BR519"/>
  <c r="F519"/>
  <c r="C519"/>
  <c r="CC518"/>
  <c r="CB518"/>
  <c r="BR518"/>
  <c r="F518"/>
  <c r="C518"/>
  <c r="CC517"/>
  <c r="CB517"/>
  <c r="BR517"/>
  <c r="F517"/>
  <c r="C517"/>
  <c r="CC516"/>
  <c r="CB516"/>
  <c r="BR516"/>
  <c r="F516"/>
  <c r="C516"/>
  <c r="CC515"/>
  <c r="CB515"/>
  <c r="BR515"/>
  <c r="F515"/>
  <c r="C515"/>
  <c r="CC514"/>
  <c r="CB514"/>
  <c r="BR514"/>
  <c r="F514"/>
  <c r="C514"/>
  <c r="CC513"/>
  <c r="CB513"/>
  <c r="BR513"/>
  <c r="F513"/>
  <c r="C513"/>
  <c r="CC512"/>
  <c r="CB512"/>
  <c r="BR512"/>
  <c r="F512"/>
  <c r="C512"/>
  <c r="CC511"/>
  <c r="CB511"/>
  <c r="BR511"/>
  <c r="F511"/>
  <c r="C511"/>
  <c r="CC510"/>
  <c r="CB510"/>
  <c r="BR510"/>
  <c r="F510"/>
  <c r="C510"/>
  <c r="CC509"/>
  <c r="CB509"/>
  <c r="BR509"/>
  <c r="F509"/>
  <c r="C509"/>
  <c r="CC508"/>
  <c r="CB508"/>
  <c r="BR508"/>
  <c r="F508"/>
  <c r="C508"/>
  <c r="CC507"/>
  <c r="CB507"/>
  <c r="BR507"/>
  <c r="F507"/>
  <c r="C507"/>
  <c r="CC506"/>
  <c r="CB506"/>
  <c r="BR506"/>
  <c r="F506"/>
  <c r="C506"/>
  <c r="CC505"/>
  <c r="CB505"/>
  <c r="BR505"/>
  <c r="F505"/>
  <c r="C505"/>
  <c r="CC504"/>
  <c r="CB504"/>
  <c r="BR504"/>
  <c r="F504"/>
  <c r="C504"/>
  <c r="CC503"/>
  <c r="CB503"/>
  <c r="BR503"/>
  <c r="F503"/>
  <c r="C503"/>
  <c r="CC502"/>
  <c r="CB502"/>
  <c r="BR502"/>
  <c r="F502"/>
  <c r="C502"/>
  <c r="CC501"/>
  <c r="CB501"/>
  <c r="BR501"/>
  <c r="F501"/>
  <c r="C501"/>
  <c r="CC500"/>
  <c r="CB500"/>
  <c r="BR500"/>
  <c r="F500"/>
  <c r="C500"/>
  <c r="CC499"/>
  <c r="CB499"/>
  <c r="BR499"/>
  <c r="F499"/>
  <c r="C499"/>
  <c r="CC498"/>
  <c r="CB498"/>
  <c r="BR498"/>
  <c r="F498"/>
  <c r="C498"/>
  <c r="CC497"/>
  <c r="CB497"/>
  <c r="BR497"/>
  <c r="F497"/>
  <c r="C497"/>
  <c r="CC496"/>
  <c r="CB496"/>
  <c r="BR496"/>
  <c r="F496"/>
  <c r="C496"/>
  <c r="CC495"/>
  <c r="CB495"/>
  <c r="BR495"/>
  <c r="F495"/>
  <c r="C495"/>
  <c r="CC494"/>
  <c r="CB494"/>
  <c r="BR494"/>
  <c r="F494"/>
  <c r="C494"/>
  <c r="CC493"/>
  <c r="CB493"/>
  <c r="BR493"/>
  <c r="F493"/>
  <c r="C493"/>
  <c r="CC492"/>
  <c r="CB492"/>
  <c r="BR492"/>
  <c r="F492"/>
  <c r="C492"/>
  <c r="CC491"/>
  <c r="CB491"/>
  <c r="BR491"/>
  <c r="F491"/>
  <c r="C491"/>
  <c r="CC490"/>
  <c r="CB490"/>
  <c r="BR490"/>
  <c r="F490"/>
  <c r="C490"/>
  <c r="CC489"/>
  <c r="CB489"/>
  <c r="BR489"/>
  <c r="F489"/>
  <c r="C489"/>
  <c r="CC488"/>
  <c r="CB488"/>
  <c r="BR488"/>
  <c r="F488"/>
  <c r="C488"/>
  <c r="CC487"/>
  <c r="CB487"/>
  <c r="BR487"/>
  <c r="F487"/>
  <c r="C487"/>
  <c r="CC486"/>
  <c r="CB486"/>
  <c r="BR486"/>
  <c r="F486"/>
  <c r="C486"/>
  <c r="CC485"/>
  <c r="CB485"/>
  <c r="BR485"/>
  <c r="F485"/>
  <c r="C485"/>
  <c r="CC484"/>
  <c r="CB484"/>
  <c r="BR484"/>
  <c r="F484"/>
  <c r="C484"/>
  <c r="CC483"/>
  <c r="CB483"/>
  <c r="BR483"/>
  <c r="F483"/>
  <c r="C483"/>
  <c r="CC482"/>
  <c r="CB482"/>
  <c r="BR482"/>
  <c r="F482"/>
  <c r="C482"/>
  <c r="CC481"/>
  <c r="CB481"/>
  <c r="BR481"/>
  <c r="F481"/>
  <c r="C481"/>
  <c r="CC480"/>
  <c r="CB480"/>
  <c r="BR480"/>
  <c r="F480"/>
  <c r="C480"/>
  <c r="CC479"/>
  <c r="CB479"/>
  <c r="BR479"/>
  <c r="F479"/>
  <c r="C479"/>
  <c r="CC478"/>
  <c r="CB478"/>
  <c r="BR478"/>
  <c r="F478"/>
  <c r="C478"/>
  <c r="CC477"/>
  <c r="CB477"/>
  <c r="BR477"/>
  <c r="F477"/>
  <c r="C477"/>
  <c r="CC476"/>
  <c r="CB476"/>
  <c r="BR476"/>
  <c r="F476"/>
  <c r="C476"/>
  <c r="CC475"/>
  <c r="CB475"/>
  <c r="BR475"/>
  <c r="F475"/>
  <c r="C475"/>
  <c r="CC474"/>
  <c r="CB474"/>
  <c r="BR474"/>
  <c r="F474"/>
  <c r="C474"/>
  <c r="CC473"/>
  <c r="CB473"/>
  <c r="BR473"/>
  <c r="F473"/>
  <c r="C473"/>
  <c r="CC472"/>
  <c r="CB472"/>
  <c r="BR472"/>
  <c r="F472"/>
  <c r="C472"/>
  <c r="CC471"/>
  <c r="CB471"/>
  <c r="BR471"/>
  <c r="F471"/>
  <c r="C471"/>
  <c r="CC470"/>
  <c r="CB470"/>
  <c r="BR470"/>
  <c r="F470"/>
  <c r="C470"/>
  <c r="CC469"/>
  <c r="CB469"/>
  <c r="BR469"/>
  <c r="F469"/>
  <c r="C469"/>
  <c r="CC468"/>
  <c r="CB468"/>
  <c r="BR468"/>
  <c r="F468"/>
  <c r="C468"/>
  <c r="CC467"/>
  <c r="CB467"/>
  <c r="BR467"/>
  <c r="F467"/>
  <c r="C467"/>
  <c r="CC466"/>
  <c r="CB466"/>
  <c r="BR466"/>
  <c r="F466"/>
  <c r="C466"/>
  <c r="CC465"/>
  <c r="CB465"/>
  <c r="BR465"/>
  <c r="F465"/>
  <c r="C465"/>
  <c r="CC464"/>
  <c r="CB464"/>
  <c r="BR464"/>
  <c r="F464"/>
  <c r="C464"/>
  <c r="CC463"/>
  <c r="CB463"/>
  <c r="BR463"/>
  <c r="F463"/>
  <c r="C463"/>
  <c r="CC462"/>
  <c r="CB462"/>
  <c r="BR462"/>
  <c r="F462"/>
  <c r="C462"/>
  <c r="CC461"/>
  <c r="CB461"/>
  <c r="BR461"/>
  <c r="F461"/>
  <c r="C461"/>
  <c r="CC460"/>
  <c r="CB460"/>
  <c r="BR460"/>
  <c r="F460"/>
  <c r="C460"/>
  <c r="CC459"/>
  <c r="CB459"/>
  <c r="BR459"/>
  <c r="F459"/>
  <c r="C459"/>
  <c r="CC458"/>
  <c r="CB458"/>
  <c r="BR458"/>
  <c r="F458"/>
  <c r="C458"/>
  <c r="CC457"/>
  <c r="CB457"/>
  <c r="BR457"/>
  <c r="F457"/>
  <c r="C457"/>
  <c r="CC456"/>
  <c r="CB456"/>
  <c r="BR456"/>
  <c r="F456"/>
  <c r="C456"/>
  <c r="CC455"/>
  <c r="CB455"/>
  <c r="BR455"/>
  <c r="F455"/>
  <c r="C455"/>
  <c r="CC454"/>
  <c r="CB454"/>
  <c r="BR454"/>
  <c r="F454"/>
  <c r="C454"/>
  <c r="CC453"/>
  <c r="CB453"/>
  <c r="BR453"/>
  <c r="F453"/>
  <c r="C453"/>
  <c r="CC452"/>
  <c r="CB452"/>
  <c r="BR452"/>
  <c r="F452"/>
  <c r="C452"/>
  <c r="CC451"/>
  <c r="CB451"/>
  <c r="BR451"/>
  <c r="F451"/>
  <c r="C451"/>
  <c r="CC450"/>
  <c r="CB450"/>
  <c r="BR450"/>
  <c r="F450"/>
  <c r="C450"/>
  <c r="CC449"/>
  <c r="CB449"/>
  <c r="BR449"/>
  <c r="F449"/>
  <c r="C449"/>
  <c r="CC448"/>
  <c r="CB448"/>
  <c r="BR448"/>
  <c r="F448"/>
  <c r="C448"/>
  <c r="CC447"/>
  <c r="CB447"/>
  <c r="BR447"/>
  <c r="F447"/>
  <c r="C447"/>
  <c r="CC446"/>
  <c r="CB446"/>
  <c r="BR446"/>
  <c r="F446"/>
  <c r="C446"/>
  <c r="CC445"/>
  <c r="CB445"/>
  <c r="BR445"/>
  <c r="F445"/>
  <c r="C445"/>
  <c r="CC444"/>
  <c r="CB444"/>
  <c r="BR444"/>
  <c r="F444"/>
  <c r="C444"/>
  <c r="CC443"/>
  <c r="CB443"/>
  <c r="BR443"/>
  <c r="F443"/>
  <c r="C443"/>
  <c r="CC442"/>
  <c r="CB442"/>
  <c r="BR442"/>
  <c r="F442"/>
  <c r="C442"/>
  <c r="CC441"/>
  <c r="CB441"/>
  <c r="BR441"/>
  <c r="F441"/>
  <c r="C441"/>
  <c r="CC440"/>
  <c r="CB440"/>
  <c r="BR440"/>
  <c r="F440"/>
  <c r="C440"/>
  <c r="CC439"/>
  <c r="CB439"/>
  <c r="BR439"/>
  <c r="F439"/>
  <c r="C439"/>
  <c r="CC438"/>
  <c r="CB438"/>
  <c r="BR438"/>
  <c r="F438"/>
  <c r="C438"/>
  <c r="CC437"/>
  <c r="CB437"/>
  <c r="BR437"/>
  <c r="F437"/>
  <c r="C437"/>
  <c r="CC436"/>
  <c r="CB436"/>
  <c r="BR436"/>
  <c r="F436"/>
  <c r="C436"/>
  <c r="CC435"/>
  <c r="CB435"/>
  <c r="BR435"/>
  <c r="F435"/>
  <c r="C435"/>
  <c r="CC434"/>
  <c r="CB434"/>
  <c r="BR434"/>
  <c r="F434"/>
  <c r="C434"/>
  <c r="CC433"/>
  <c r="CB433"/>
  <c r="BR433"/>
  <c r="F433"/>
  <c r="C433"/>
  <c r="CC432"/>
  <c r="CB432"/>
  <c r="BR432"/>
  <c r="F432"/>
  <c r="C432"/>
  <c r="CC431"/>
  <c r="CB431"/>
  <c r="BR431"/>
  <c r="F431"/>
  <c r="C431"/>
  <c r="CC430"/>
  <c r="CB430"/>
  <c r="BR430"/>
  <c r="F430"/>
  <c r="C430"/>
  <c r="CC429"/>
  <c r="CB429"/>
  <c r="BR429"/>
  <c r="F429"/>
  <c r="C429"/>
  <c r="CC428"/>
  <c r="CB428"/>
  <c r="BR428"/>
  <c r="F428"/>
  <c r="C428"/>
  <c r="CC427"/>
  <c r="CB427"/>
  <c r="BR427"/>
  <c r="F427"/>
  <c r="C427"/>
  <c r="CC426"/>
  <c r="CB426"/>
  <c r="BR426"/>
  <c r="F426"/>
  <c r="C426"/>
  <c r="CC425"/>
  <c r="CB425"/>
  <c r="BR425"/>
  <c r="F425"/>
  <c r="C425"/>
  <c r="CC424"/>
  <c r="CB424"/>
  <c r="BR424"/>
  <c r="F424"/>
  <c r="C424"/>
  <c r="CC423"/>
  <c r="CB423"/>
  <c r="BR423"/>
  <c r="F423"/>
  <c r="C423"/>
  <c r="CC422"/>
  <c r="CB422"/>
  <c r="BR422"/>
  <c r="F422"/>
  <c r="C422"/>
  <c r="CC421"/>
  <c r="CB421"/>
  <c r="BR421"/>
  <c r="F421"/>
  <c r="C421"/>
  <c r="CC420"/>
  <c r="CB420"/>
  <c r="BR420"/>
  <c r="F420"/>
  <c r="C420"/>
  <c r="CC419"/>
  <c r="CB419"/>
  <c r="BR419"/>
  <c r="F419"/>
  <c r="C419"/>
  <c r="CC418"/>
  <c r="CB418"/>
  <c r="BR418"/>
  <c r="F418"/>
  <c r="C418"/>
  <c r="CC417"/>
  <c r="CB417"/>
  <c r="BR417"/>
  <c r="F417"/>
  <c r="C417"/>
  <c r="CC416"/>
  <c r="CB416"/>
  <c r="BR416"/>
  <c r="F416"/>
  <c r="C416"/>
  <c r="CC415"/>
  <c r="CB415"/>
  <c r="BR415"/>
  <c r="F415"/>
  <c r="C415"/>
  <c r="CC414"/>
  <c r="CB414"/>
  <c r="BR414"/>
  <c r="F414"/>
  <c r="C414"/>
  <c r="CC413"/>
  <c r="CB413"/>
  <c r="BR413"/>
  <c r="F413"/>
  <c r="C413"/>
  <c r="CC412"/>
  <c r="CB412"/>
  <c r="BR412"/>
  <c r="F412"/>
  <c r="C412"/>
  <c r="CC411"/>
  <c r="CB411"/>
  <c r="BR411"/>
  <c r="F411"/>
  <c r="C411"/>
  <c r="CC410"/>
  <c r="CB410"/>
  <c r="BR410"/>
  <c r="F410"/>
  <c r="C410"/>
  <c r="CC409"/>
  <c r="CB409"/>
  <c r="BR409"/>
  <c r="F409"/>
  <c r="C409"/>
  <c r="CC408"/>
  <c r="CB408"/>
  <c r="BR408"/>
  <c r="F408"/>
  <c r="C408"/>
  <c r="CC407"/>
  <c r="CB407"/>
  <c r="BR407"/>
  <c r="F407"/>
  <c r="C407"/>
  <c r="CC406"/>
  <c r="CB406"/>
  <c r="BR406"/>
  <c r="F406"/>
  <c r="C406"/>
  <c r="CC405"/>
  <c r="CB405"/>
  <c r="BR405"/>
  <c r="F405"/>
  <c r="C405"/>
  <c r="CC404"/>
  <c r="CB404"/>
  <c r="BR404"/>
  <c r="F404"/>
  <c r="C404"/>
  <c r="CC403"/>
  <c r="CB403"/>
  <c r="BR403"/>
  <c r="F403"/>
  <c r="C403"/>
  <c r="CC402"/>
  <c r="CB402"/>
  <c r="BR402"/>
  <c r="F402"/>
  <c r="C402"/>
  <c r="CC401"/>
  <c r="CB401"/>
  <c r="BR401"/>
  <c r="F401"/>
  <c r="C401"/>
  <c r="CC400"/>
  <c r="CB400"/>
  <c r="BR400"/>
  <c r="F400"/>
  <c r="C400"/>
  <c r="CC399"/>
  <c r="CB399"/>
  <c r="BR399"/>
  <c r="F399"/>
  <c r="C399"/>
  <c r="CC398"/>
  <c r="CB398"/>
  <c r="BR398"/>
  <c r="F398"/>
  <c r="C398"/>
  <c r="CC397"/>
  <c r="CB397"/>
  <c r="BR397"/>
  <c r="F397"/>
  <c r="C397"/>
  <c r="CC396"/>
  <c r="CB396"/>
  <c r="BR396"/>
  <c r="F396"/>
  <c r="C396"/>
  <c r="CC395"/>
  <c r="CB395"/>
  <c r="BR395"/>
  <c r="F395"/>
  <c r="C395"/>
  <c r="CC394"/>
  <c r="CB394"/>
  <c r="BR394"/>
  <c r="F394"/>
  <c r="C394"/>
  <c r="CC393"/>
  <c r="CB393"/>
  <c r="BR393"/>
  <c r="F393"/>
  <c r="C393"/>
  <c r="CC392"/>
  <c r="CB392"/>
  <c r="BR392"/>
  <c r="F392"/>
  <c r="C392"/>
  <c r="CC391"/>
  <c r="CB391"/>
  <c r="BR391"/>
  <c r="F391"/>
  <c r="C391"/>
  <c r="CC390"/>
  <c r="CB390"/>
  <c r="BR390"/>
  <c r="F390"/>
  <c r="C390"/>
  <c r="CC389"/>
  <c r="CB389"/>
  <c r="BR389"/>
  <c r="F389"/>
  <c r="C389"/>
  <c r="CC388"/>
  <c r="CB388"/>
  <c r="BR388"/>
  <c r="F388"/>
  <c r="C388"/>
  <c r="CC387"/>
  <c r="CB387"/>
  <c r="BR387"/>
  <c r="F387"/>
  <c r="C387"/>
  <c r="CC386"/>
  <c r="CB386"/>
  <c r="BR386"/>
  <c r="F386"/>
  <c r="C386"/>
  <c r="CC385"/>
  <c r="CB385"/>
  <c r="BR385"/>
  <c r="F385"/>
  <c r="C385"/>
  <c r="CC384"/>
  <c r="CB384"/>
  <c r="BR384"/>
  <c r="F384"/>
  <c r="C384"/>
  <c r="CC383"/>
  <c r="CB383"/>
  <c r="BR383"/>
  <c r="F383"/>
  <c r="C383"/>
  <c r="CC382"/>
  <c r="CB382"/>
  <c r="BR382"/>
  <c r="F382"/>
  <c r="C382"/>
  <c r="CC381"/>
  <c r="CB381"/>
  <c r="BR381"/>
  <c r="F381"/>
  <c r="C381"/>
  <c r="CC380"/>
  <c r="CB380"/>
  <c r="BR380"/>
  <c r="F380"/>
  <c r="C380"/>
  <c r="CC379"/>
  <c r="CB379"/>
  <c r="BR379"/>
  <c r="F379"/>
  <c r="C379"/>
  <c r="CC378"/>
  <c r="CB378"/>
  <c r="BR378"/>
  <c r="F378"/>
  <c r="C378"/>
  <c r="CC377"/>
  <c r="CB377"/>
  <c r="BR377"/>
  <c r="F377"/>
  <c r="C377"/>
  <c r="CC376"/>
  <c r="CB376"/>
  <c r="BR376"/>
  <c r="F376"/>
  <c r="C376"/>
  <c r="CC375"/>
  <c r="CB375"/>
  <c r="BR375"/>
  <c r="F375"/>
  <c r="C375"/>
  <c r="CC374"/>
  <c r="CB374"/>
  <c r="BR374"/>
  <c r="F374"/>
  <c r="C374"/>
  <c r="CC373"/>
  <c r="CB373"/>
  <c r="BR373"/>
  <c r="F373"/>
  <c r="C373"/>
  <c r="CC372"/>
  <c r="CB372"/>
  <c r="BR372"/>
  <c r="F372"/>
  <c r="C372"/>
  <c r="CC371"/>
  <c r="CB371"/>
  <c r="BR371"/>
  <c r="F371"/>
  <c r="C371"/>
  <c r="CC370"/>
  <c r="CB370"/>
  <c r="BR370"/>
  <c r="F370"/>
  <c r="C370"/>
  <c r="CC369"/>
  <c r="CB369"/>
  <c r="BR369"/>
  <c r="F369"/>
  <c r="C369"/>
  <c r="CC368"/>
  <c r="CB368"/>
  <c r="BR368"/>
  <c r="F368"/>
  <c r="C368"/>
  <c r="CC367"/>
  <c r="CB367"/>
  <c r="BR367"/>
  <c r="F367"/>
  <c r="C367"/>
  <c r="CC366"/>
  <c r="CB366"/>
  <c r="BR366"/>
  <c r="F366"/>
  <c r="C366"/>
  <c r="CC365"/>
  <c r="CB365"/>
  <c r="BR365"/>
  <c r="F365"/>
  <c r="C365"/>
  <c r="CC364"/>
  <c r="CB364"/>
  <c r="BR364"/>
  <c r="F364"/>
  <c r="C364"/>
  <c r="CC363"/>
  <c r="CB363"/>
  <c r="BR363"/>
  <c r="F363"/>
  <c r="C363"/>
  <c r="CC362"/>
  <c r="CB362"/>
  <c r="BR362"/>
  <c r="F362"/>
  <c r="C362"/>
  <c r="CC361"/>
  <c r="CB361"/>
  <c r="BR361"/>
  <c r="F361"/>
  <c r="C361"/>
  <c r="CC360"/>
  <c r="CB360"/>
  <c r="BR360"/>
  <c r="F360"/>
  <c r="C360"/>
  <c r="CC359"/>
  <c r="CB359"/>
  <c r="BR359"/>
  <c r="F359"/>
  <c r="C359"/>
  <c r="CC358"/>
  <c r="CB358"/>
  <c r="BR358"/>
  <c r="F358"/>
  <c r="C358"/>
  <c r="CC357"/>
  <c r="CB357"/>
  <c r="BR357"/>
  <c r="F357"/>
  <c r="C357"/>
  <c r="CC356"/>
  <c r="CB356"/>
  <c r="BR356"/>
  <c r="F356"/>
  <c r="C356"/>
  <c r="CC355"/>
  <c r="CB355"/>
  <c r="BR355"/>
  <c r="F355"/>
  <c r="C355"/>
  <c r="CC354"/>
  <c r="CB354"/>
  <c r="BR354"/>
  <c r="F354"/>
  <c r="C354"/>
  <c r="CC353"/>
  <c r="CB353"/>
  <c r="BR353"/>
  <c r="F353"/>
  <c r="C353"/>
  <c r="CC352"/>
  <c r="CB352"/>
  <c r="BR352"/>
  <c r="F352"/>
  <c r="C352"/>
  <c r="CC351"/>
  <c r="CB351"/>
  <c r="BR351"/>
  <c r="F351"/>
  <c r="C351"/>
  <c r="CC350"/>
  <c r="CB350"/>
  <c r="BR350"/>
  <c r="F350"/>
  <c r="C350"/>
  <c r="CC349"/>
  <c r="CB349"/>
  <c r="BR349"/>
  <c r="F349"/>
  <c r="C349"/>
  <c r="CC348"/>
  <c r="CB348"/>
  <c r="BR348"/>
  <c r="F348"/>
  <c r="C348"/>
  <c r="CC347"/>
  <c r="CB347"/>
  <c r="BR347"/>
  <c r="F347"/>
  <c r="C347"/>
  <c r="CC346"/>
  <c r="CB346"/>
  <c r="BR346"/>
  <c r="F346"/>
  <c r="C346"/>
  <c r="CC345"/>
  <c r="CB345"/>
  <c r="BR345"/>
  <c r="F345"/>
  <c r="C345"/>
  <c r="CC344"/>
  <c r="CB344"/>
  <c r="BR344"/>
  <c r="F344"/>
  <c r="C344"/>
  <c r="CC343"/>
  <c r="CB343"/>
  <c r="BR343"/>
  <c r="F343"/>
  <c r="C343"/>
  <c r="CC342"/>
  <c r="CB342"/>
  <c r="BR342"/>
  <c r="F342"/>
  <c r="C342"/>
  <c r="CC341"/>
  <c r="CB341"/>
  <c r="BR341"/>
  <c r="F341"/>
  <c r="C341"/>
  <c r="CC340"/>
  <c r="CB340"/>
  <c r="BR340"/>
  <c r="F340"/>
  <c r="C340"/>
  <c r="CC339"/>
  <c r="CB339"/>
  <c r="BR339"/>
  <c r="F339"/>
  <c r="C339"/>
  <c r="CC338"/>
  <c r="CB338"/>
  <c r="BR338"/>
  <c r="F338"/>
  <c r="C338"/>
  <c r="CC337"/>
  <c r="CB337"/>
  <c r="BR337"/>
  <c r="F337"/>
  <c r="C337"/>
  <c r="CC336"/>
  <c r="CB336"/>
  <c r="BR336"/>
  <c r="F336"/>
  <c r="C336"/>
  <c r="CC335"/>
  <c r="CB335"/>
  <c r="BR335"/>
  <c r="F335"/>
  <c r="C335"/>
  <c r="CC334"/>
  <c r="CB334"/>
  <c r="BR334"/>
  <c r="F334"/>
  <c r="C334"/>
  <c r="CC333"/>
  <c r="CB333"/>
  <c r="BR333"/>
  <c r="F333"/>
  <c r="C333"/>
  <c r="CC332"/>
  <c r="CB332"/>
  <c r="BR332"/>
  <c r="F332"/>
  <c r="C332"/>
  <c r="CC331"/>
  <c r="CB331"/>
  <c r="BR331"/>
  <c r="F331"/>
  <c r="C331"/>
  <c r="CC330"/>
  <c r="CB330"/>
  <c r="BR330"/>
  <c r="F330"/>
  <c r="C330"/>
  <c r="CC329"/>
  <c r="CB329"/>
  <c r="BR329"/>
  <c r="F329"/>
  <c r="C329"/>
  <c r="CC328"/>
  <c r="CB328"/>
  <c r="BR328"/>
  <c r="F328"/>
  <c r="C328"/>
  <c r="CC327"/>
  <c r="CB327"/>
  <c r="BR327"/>
  <c r="F327"/>
  <c r="C327"/>
  <c r="CC326"/>
  <c r="CB326"/>
  <c r="BR326"/>
  <c r="F326"/>
  <c r="C326"/>
  <c r="CC325"/>
  <c r="CB325"/>
  <c r="BR325"/>
  <c r="F325"/>
  <c r="C325"/>
  <c r="CC324"/>
  <c r="CB324"/>
  <c r="BR324"/>
  <c r="F324"/>
  <c r="C324"/>
  <c r="CC323"/>
  <c r="CB323"/>
  <c r="BR323"/>
  <c r="F323"/>
  <c r="C323"/>
  <c r="CC322"/>
  <c r="CB322"/>
  <c r="BR322"/>
  <c r="F322"/>
  <c r="C322"/>
  <c r="CC321"/>
  <c r="CB321"/>
  <c r="BR321"/>
  <c r="F321"/>
  <c r="C321"/>
  <c r="CC320"/>
  <c r="CB320"/>
  <c r="BR320"/>
  <c r="F320"/>
  <c r="C320"/>
  <c r="CC319"/>
  <c r="CB319"/>
  <c r="BR319"/>
  <c r="F319"/>
  <c r="C319"/>
  <c r="CC318"/>
  <c r="CB318"/>
  <c r="BR318"/>
  <c r="F318"/>
  <c r="C318"/>
  <c r="CC317"/>
  <c r="CB317"/>
  <c r="BR317"/>
  <c r="F317"/>
  <c r="C317"/>
  <c r="CC316"/>
  <c r="CB316"/>
  <c r="BR316"/>
  <c r="F316"/>
  <c r="C316"/>
  <c r="CC315"/>
  <c r="CB315"/>
  <c r="BR315"/>
  <c r="F315"/>
  <c r="C315"/>
  <c r="CC314"/>
  <c r="CB314"/>
  <c r="BR314"/>
  <c r="F314"/>
  <c r="C314"/>
  <c r="CC313"/>
  <c r="CB313"/>
  <c r="BR313"/>
  <c r="F313"/>
  <c r="C313"/>
  <c r="CC312"/>
  <c r="CB312"/>
  <c r="BR312"/>
  <c r="F312"/>
  <c r="C312"/>
  <c r="CC311"/>
  <c r="CB311"/>
  <c r="BR311"/>
  <c r="F311"/>
  <c r="C311"/>
  <c r="CC310"/>
  <c r="CB310"/>
  <c r="BR310"/>
  <c r="F310"/>
  <c r="C310"/>
  <c r="CC309"/>
  <c r="CB309"/>
  <c r="BR309"/>
  <c r="F309"/>
  <c r="C309"/>
  <c r="CC308"/>
  <c r="CB308"/>
  <c r="BR308"/>
  <c r="F308"/>
  <c r="C308"/>
  <c r="CC307"/>
  <c r="CB307"/>
  <c r="BR307"/>
  <c r="F307"/>
  <c r="C307"/>
  <c r="CC306"/>
  <c r="CB306"/>
  <c r="BR306"/>
  <c r="F306"/>
  <c r="C306"/>
  <c r="CC305"/>
  <c r="CB305"/>
  <c r="BR305"/>
  <c r="F305"/>
  <c r="C305"/>
  <c r="CC304"/>
  <c r="CB304"/>
  <c r="BR304"/>
  <c r="F304"/>
  <c r="C304"/>
  <c r="CC303"/>
  <c r="CB303"/>
  <c r="BR303"/>
  <c r="F303"/>
  <c r="C303"/>
  <c r="CC302"/>
  <c r="CB302"/>
  <c r="BR302"/>
  <c r="F302"/>
  <c r="C302"/>
  <c r="CC301"/>
  <c r="CB301"/>
  <c r="BR301"/>
  <c r="F301"/>
  <c r="C301"/>
  <c r="CC300"/>
  <c r="CB300"/>
  <c r="BR300"/>
  <c r="F300"/>
  <c r="C300"/>
  <c r="CC299"/>
  <c r="CB299"/>
  <c r="BR299"/>
  <c r="F299"/>
  <c r="C299"/>
  <c r="CC298"/>
  <c r="CB298"/>
  <c r="BR298"/>
  <c r="F298"/>
  <c r="C298"/>
  <c r="CC297"/>
  <c r="CB297"/>
  <c r="BR297"/>
  <c r="F297"/>
  <c r="C297"/>
  <c r="CC296"/>
  <c r="CB296"/>
  <c r="BR296"/>
  <c r="F296"/>
  <c r="C296"/>
  <c r="CC295"/>
  <c r="CB295"/>
  <c r="BR295"/>
  <c r="F295"/>
  <c r="C295"/>
  <c r="CC294"/>
  <c r="CB294"/>
  <c r="BR294"/>
  <c r="F294"/>
  <c r="C294"/>
  <c r="CC293"/>
  <c r="CB293"/>
  <c r="BR293"/>
  <c r="F293"/>
  <c r="C293"/>
  <c r="CC292"/>
  <c r="CB292"/>
  <c r="BR292"/>
  <c r="F292"/>
  <c r="C292"/>
  <c r="CC291"/>
  <c r="CB291"/>
  <c r="BR291"/>
  <c r="F291"/>
  <c r="C291"/>
  <c r="CC290"/>
  <c r="CB290"/>
  <c r="BR290"/>
  <c r="F290"/>
  <c r="C290"/>
  <c r="CC289"/>
  <c r="CB289"/>
  <c r="BR289"/>
  <c r="F289"/>
  <c r="C289"/>
  <c r="CC288"/>
  <c r="CB288"/>
  <c r="BR288"/>
  <c r="F288"/>
  <c r="C288"/>
  <c r="CC287"/>
  <c r="CB287"/>
  <c r="BR287"/>
  <c r="F287"/>
  <c r="C287"/>
  <c r="CC286"/>
  <c r="CB286"/>
  <c r="BR286"/>
  <c r="F286"/>
  <c r="C286"/>
  <c r="CC285"/>
  <c r="CB285"/>
  <c r="BR285"/>
  <c r="F285"/>
  <c r="C285"/>
  <c r="CC284"/>
  <c r="CB284"/>
  <c r="BR284"/>
  <c r="F284"/>
  <c r="C284"/>
  <c r="CC283"/>
  <c r="CB283"/>
  <c r="BR283"/>
  <c r="F283"/>
  <c r="C283"/>
  <c r="CC282"/>
  <c r="CB282"/>
  <c r="BR282"/>
  <c r="F282"/>
  <c r="C282"/>
  <c r="CC281"/>
  <c r="CB281"/>
  <c r="BR281"/>
  <c r="F281"/>
  <c r="C281"/>
  <c r="CC280"/>
  <c r="CB280"/>
  <c r="BR280"/>
  <c r="F280"/>
  <c r="C280"/>
  <c r="CC279"/>
  <c r="CB279"/>
  <c r="BR279"/>
  <c r="F279"/>
  <c r="C279"/>
  <c r="CC278"/>
  <c r="CB278"/>
  <c r="BR278"/>
  <c r="F278"/>
  <c r="C278"/>
  <c r="CC277"/>
  <c r="CB277"/>
  <c r="BR277"/>
  <c r="F277"/>
  <c r="C277"/>
  <c r="CC276"/>
  <c r="CB276"/>
  <c r="BR276"/>
  <c r="F276"/>
  <c r="C276"/>
  <c r="CC275"/>
  <c r="CB275"/>
  <c r="BR275"/>
  <c r="F275"/>
  <c r="C275"/>
  <c r="CC274"/>
  <c r="CB274"/>
  <c r="BR274"/>
  <c r="F274"/>
  <c r="C274"/>
  <c r="CC273"/>
  <c r="CB273"/>
  <c r="BR273"/>
  <c r="F273"/>
  <c r="C273"/>
  <c r="CC272"/>
  <c r="CB272"/>
  <c r="BR272"/>
  <c r="F272"/>
  <c r="C272"/>
  <c r="CC271"/>
  <c r="CB271"/>
  <c r="BR271"/>
  <c r="F271"/>
  <c r="C271"/>
  <c r="CC270"/>
  <c r="CB270"/>
  <c r="BR270"/>
  <c r="F270"/>
  <c r="C270"/>
  <c r="CC269"/>
  <c r="CB269"/>
  <c r="BR269"/>
  <c r="F269"/>
  <c r="C269"/>
  <c r="CC268"/>
  <c r="CB268"/>
  <c r="BR268"/>
  <c r="F268"/>
  <c r="C268"/>
  <c r="CC267"/>
  <c r="CB267"/>
  <c r="BR267"/>
  <c r="F267"/>
  <c r="C267"/>
  <c r="CC266"/>
  <c r="CB266"/>
  <c r="BR266"/>
  <c r="F266"/>
  <c r="C266"/>
  <c r="CC265"/>
  <c r="CB265"/>
  <c r="BR265"/>
  <c r="F265"/>
  <c r="C265"/>
  <c r="CC264"/>
  <c r="CB264"/>
  <c r="BR264"/>
  <c r="F264"/>
  <c r="C264"/>
  <c r="CC263"/>
  <c r="CB263"/>
  <c r="BR263"/>
  <c r="F263"/>
  <c r="C263"/>
  <c r="CC262"/>
  <c r="CB262"/>
  <c r="BR262"/>
  <c r="F262"/>
  <c r="C262"/>
  <c r="CC261"/>
  <c r="CB261"/>
  <c r="BR261"/>
  <c r="F261"/>
  <c r="C261"/>
  <c r="CC260"/>
  <c r="CB260"/>
  <c r="BR260"/>
  <c r="F260"/>
  <c r="C260"/>
  <c r="CC259"/>
  <c r="CB259"/>
  <c r="BR259"/>
  <c r="F259"/>
  <c r="C259"/>
  <c r="CC258"/>
  <c r="CB258"/>
  <c r="BR258"/>
  <c r="F258"/>
  <c r="C258"/>
  <c r="CC257"/>
  <c r="CB257"/>
  <c r="BR257"/>
  <c r="F257"/>
  <c r="C257"/>
  <c r="CC256"/>
  <c r="CB256"/>
  <c r="BR256"/>
  <c r="F256"/>
  <c r="C256"/>
  <c r="CC255"/>
  <c r="CB255"/>
  <c r="BR255"/>
  <c r="F255"/>
  <c r="C255"/>
  <c r="CC254"/>
  <c r="CB254"/>
  <c r="BR254"/>
  <c r="F254"/>
  <c r="C254"/>
  <c r="CC253"/>
  <c r="CB253"/>
  <c r="BR253"/>
  <c r="F253"/>
  <c r="C253"/>
  <c r="CC252"/>
  <c r="CB252"/>
  <c r="BR252"/>
  <c r="F252"/>
  <c r="C252"/>
  <c r="CC251"/>
  <c r="CB251"/>
  <c r="BR251"/>
  <c r="F251"/>
  <c r="C251"/>
  <c r="CC250"/>
  <c r="CB250"/>
  <c r="BR250"/>
  <c r="F250"/>
  <c r="C250"/>
  <c r="CC249"/>
  <c r="CB249"/>
  <c r="BR249"/>
  <c r="F249"/>
  <c r="C249"/>
  <c r="CC248"/>
  <c r="CB248"/>
  <c r="BR248"/>
  <c r="F248"/>
  <c r="C248"/>
  <c r="CC247"/>
  <c r="CB247"/>
  <c r="BR247"/>
  <c r="F247"/>
  <c r="C247"/>
  <c r="CC246"/>
  <c r="CB246"/>
  <c r="BR246"/>
  <c r="F246"/>
  <c r="C246"/>
  <c r="CC245"/>
  <c r="CB245"/>
  <c r="BR245"/>
  <c r="F245"/>
  <c r="C245"/>
  <c r="CC244"/>
  <c r="CB244"/>
  <c r="BR244"/>
  <c r="F244"/>
  <c r="C244"/>
  <c r="CC243"/>
  <c r="CB243"/>
  <c r="BR243"/>
  <c r="F243"/>
  <c r="C243"/>
  <c r="CC242"/>
  <c r="CB242"/>
  <c r="BR242"/>
  <c r="F242"/>
  <c r="C242"/>
  <c r="CC241"/>
  <c r="CB241"/>
  <c r="BR241"/>
  <c r="F241"/>
  <c r="C241"/>
  <c r="CC240"/>
  <c r="CB240"/>
  <c r="BR240"/>
  <c r="F240"/>
  <c r="C240"/>
  <c r="CC239"/>
  <c r="CB239"/>
  <c r="BR239"/>
  <c r="F239"/>
  <c r="C239"/>
  <c r="CC238"/>
  <c r="CB238"/>
  <c r="BR238"/>
  <c r="F238"/>
  <c r="C238"/>
  <c r="CC237"/>
  <c r="CB237"/>
  <c r="BR237"/>
  <c r="F237"/>
  <c r="C237"/>
  <c r="CC236"/>
  <c r="CB236"/>
  <c r="BR236"/>
  <c r="F236"/>
  <c r="C236"/>
  <c r="CC235"/>
  <c r="CB235"/>
  <c r="BR235"/>
  <c r="F235"/>
  <c r="C235"/>
  <c r="CC234"/>
  <c r="CB234"/>
  <c r="BR234"/>
  <c r="F234"/>
  <c r="C234"/>
  <c r="CC233"/>
  <c r="CB233"/>
  <c r="BR233"/>
  <c r="F233"/>
  <c r="C233"/>
  <c r="CC232"/>
  <c r="CB232"/>
  <c r="BR232"/>
  <c r="F232"/>
  <c r="C232"/>
  <c r="CC231"/>
  <c r="CB231"/>
  <c r="BR231"/>
  <c r="F231"/>
  <c r="C231"/>
  <c r="CC230"/>
  <c r="CB230"/>
  <c r="BR230"/>
  <c r="F230"/>
  <c r="C230"/>
  <c r="CC229"/>
  <c r="CB229"/>
  <c r="BR229"/>
  <c r="F229"/>
  <c r="C229"/>
  <c r="CC228"/>
  <c r="CB228"/>
  <c r="BR228"/>
  <c r="F228"/>
  <c r="C228"/>
  <c r="CC227"/>
  <c r="CB227"/>
  <c r="BR227"/>
  <c r="F227"/>
  <c r="C227"/>
  <c r="CC226"/>
  <c r="CB226"/>
  <c r="BR226"/>
  <c r="F226"/>
  <c r="C226"/>
  <c r="CC225"/>
  <c r="CB225"/>
  <c r="BR225"/>
  <c r="F225"/>
  <c r="C225"/>
  <c r="CC224"/>
  <c r="CB224"/>
  <c r="BR224"/>
  <c r="F224"/>
  <c r="C224"/>
  <c r="CC223"/>
  <c r="CB223"/>
  <c r="BR223"/>
  <c r="F223"/>
  <c r="C223"/>
  <c r="CC222"/>
  <c r="CB222"/>
  <c r="BR222"/>
  <c r="F222"/>
  <c r="C222"/>
  <c r="CC221"/>
  <c r="CB221"/>
  <c r="BR221"/>
  <c r="F221"/>
  <c r="C221"/>
  <c r="CC220"/>
  <c r="CB220"/>
  <c r="BR220"/>
  <c r="F220"/>
  <c r="C220"/>
  <c r="CC219"/>
  <c r="CB219"/>
  <c r="BR219"/>
  <c r="F219"/>
  <c r="C219"/>
  <c r="CC218"/>
  <c r="CB218"/>
  <c r="BR218"/>
  <c r="F218"/>
  <c r="C218"/>
  <c r="CC217"/>
  <c r="CB217"/>
  <c r="BR217"/>
  <c r="F217"/>
  <c r="C217"/>
  <c r="CC216"/>
  <c r="CB216"/>
  <c r="BR216"/>
  <c r="F216"/>
  <c r="C216"/>
  <c r="CC215"/>
  <c r="CB215"/>
  <c r="BR215"/>
  <c r="F215"/>
  <c r="C215"/>
  <c r="CC214"/>
  <c r="CB214"/>
  <c r="BR214"/>
  <c r="F214"/>
  <c r="C214"/>
  <c r="CC213"/>
  <c r="CB213"/>
  <c r="BR213"/>
  <c r="F213"/>
  <c r="C213"/>
  <c r="CC212"/>
  <c r="CB212"/>
  <c r="BR212"/>
  <c r="F212"/>
  <c r="C212"/>
  <c r="CC211"/>
  <c r="CB211"/>
  <c r="BR211"/>
  <c r="F211"/>
  <c r="C211"/>
  <c r="CC210"/>
  <c r="CB210"/>
  <c r="BR210"/>
  <c r="F210"/>
  <c r="C210"/>
  <c r="CC209"/>
  <c r="CB209"/>
  <c r="BR209"/>
  <c r="F209"/>
  <c r="C209"/>
  <c r="CC208"/>
  <c r="CB208"/>
  <c r="BR208"/>
  <c r="F208"/>
  <c r="C208"/>
  <c r="CC207"/>
  <c r="CB207"/>
  <c r="BR207"/>
  <c r="F207"/>
  <c r="C207"/>
  <c r="CC206"/>
  <c r="CB206"/>
  <c r="BR206"/>
  <c r="F206"/>
  <c r="C206"/>
  <c r="CC205"/>
  <c r="CB205"/>
  <c r="BR205"/>
  <c r="F205"/>
  <c r="C205"/>
  <c r="CC204"/>
  <c r="CB204"/>
  <c r="BR204"/>
  <c r="F204"/>
  <c r="C204"/>
  <c r="CC203"/>
  <c r="CB203"/>
  <c r="BR203"/>
  <c r="F203"/>
  <c r="C203"/>
  <c r="CC202"/>
  <c r="CB202"/>
  <c r="BR202"/>
  <c r="F202"/>
  <c r="C202"/>
  <c r="CC201"/>
  <c r="CB201"/>
  <c r="BR201"/>
  <c r="F201"/>
  <c r="C201"/>
  <c r="CC200"/>
  <c r="CB200"/>
  <c r="BR200"/>
  <c r="F200"/>
  <c r="C200"/>
  <c r="CC199"/>
  <c r="CB199"/>
  <c r="BR199"/>
  <c r="F199"/>
  <c r="C199"/>
  <c r="CC198"/>
  <c r="CB198"/>
  <c r="BR198"/>
  <c r="F198"/>
  <c r="C198"/>
  <c r="CC197"/>
  <c r="CB197"/>
  <c r="BR197"/>
  <c r="F197"/>
  <c r="C197"/>
  <c r="CC196"/>
  <c r="CB196"/>
  <c r="BR196"/>
  <c r="F196"/>
  <c r="C196"/>
  <c r="CC195"/>
  <c r="CB195"/>
  <c r="BR195"/>
  <c r="F195"/>
  <c r="C195"/>
  <c r="CC194"/>
  <c r="CB194"/>
  <c r="BR194"/>
  <c r="F194"/>
  <c r="C194"/>
  <c r="CC193"/>
  <c r="CB193"/>
  <c r="BR193"/>
  <c r="F193"/>
  <c r="C193"/>
  <c r="CC192"/>
  <c r="CB192"/>
  <c r="BR192"/>
  <c r="F192"/>
  <c r="C192"/>
  <c r="CC191"/>
  <c r="CB191"/>
  <c r="BR191"/>
  <c r="F191"/>
  <c r="C191"/>
  <c r="CC190"/>
  <c r="CB190"/>
  <c r="BR190"/>
  <c r="F190"/>
  <c r="C190"/>
  <c r="CC189"/>
  <c r="CB189"/>
  <c r="BR189"/>
  <c r="F189"/>
  <c r="C189"/>
  <c r="CC188"/>
  <c r="CB188"/>
  <c r="BR188"/>
  <c r="F188"/>
  <c r="C188"/>
  <c r="CC187"/>
  <c r="CB187"/>
  <c r="BR187"/>
  <c r="F187"/>
  <c r="C187"/>
  <c r="CC186"/>
  <c r="CB186"/>
  <c r="BR186"/>
  <c r="F186"/>
  <c r="C186"/>
  <c r="CC185"/>
  <c r="CB185"/>
  <c r="BR185"/>
  <c r="F185"/>
  <c r="C185"/>
  <c r="CC184"/>
  <c r="CB184"/>
  <c r="BR184"/>
  <c r="F184"/>
  <c r="C184"/>
  <c r="CC183"/>
  <c r="CB183"/>
  <c r="BR183"/>
  <c r="F183"/>
  <c r="C183"/>
  <c r="CC182"/>
  <c r="CB182"/>
  <c r="BR182"/>
  <c r="F182"/>
  <c r="C182"/>
  <c r="CC181"/>
  <c r="CB181"/>
  <c r="BR181"/>
  <c r="F181"/>
  <c r="C181"/>
  <c r="CC180"/>
  <c r="CB180"/>
  <c r="BR180"/>
  <c r="F180"/>
  <c r="C180"/>
  <c r="CC179"/>
  <c r="CB179"/>
  <c r="BR179"/>
  <c r="F179"/>
  <c r="C179"/>
  <c r="CC178"/>
  <c r="CB178"/>
  <c r="BR178"/>
  <c r="F178"/>
  <c r="C178"/>
  <c r="CC177"/>
  <c r="CB177"/>
  <c r="BR177"/>
  <c r="F177"/>
  <c r="C177"/>
  <c r="CC176"/>
  <c r="CB176"/>
  <c r="BR176"/>
  <c r="F176"/>
  <c r="C176"/>
  <c r="CC175"/>
  <c r="CB175"/>
  <c r="BR175"/>
  <c r="F175"/>
  <c r="C175"/>
  <c r="CC174"/>
  <c r="CB174"/>
  <c r="BR174"/>
  <c r="F174"/>
  <c r="C174"/>
  <c r="CC173"/>
  <c r="CB173"/>
  <c r="BR173"/>
  <c r="F173"/>
  <c r="C173"/>
  <c r="CC172"/>
  <c r="CB172"/>
  <c r="BR172"/>
  <c r="F172"/>
  <c r="C172"/>
  <c r="CC171"/>
  <c r="CB171"/>
  <c r="BR171"/>
  <c r="F171"/>
  <c r="C171"/>
  <c r="CC170"/>
  <c r="CB170"/>
  <c r="BR170"/>
  <c r="F170"/>
  <c r="C170"/>
  <c r="CC169"/>
  <c r="CB169"/>
  <c r="BR169"/>
  <c r="F169"/>
  <c r="C169"/>
  <c r="CC168"/>
  <c r="CB168"/>
  <c r="BR168"/>
  <c r="F168"/>
  <c r="C168"/>
  <c r="CC167"/>
  <c r="CB167"/>
  <c r="BR167"/>
  <c r="F167"/>
  <c r="C167"/>
  <c r="CC166"/>
  <c r="CB166"/>
  <c r="BR166"/>
  <c r="F166"/>
  <c r="C166"/>
  <c r="CC165"/>
  <c r="CB165"/>
  <c r="BR165"/>
  <c r="F165"/>
  <c r="C165"/>
  <c r="CC164"/>
  <c r="CB164"/>
  <c r="BR164"/>
  <c r="F164"/>
  <c r="C164"/>
  <c r="CC163"/>
  <c r="CB163"/>
  <c r="BR163"/>
  <c r="F163"/>
  <c r="C163"/>
  <c r="CC162"/>
  <c r="CB162"/>
  <c r="BR162"/>
  <c r="F162"/>
  <c r="C162"/>
  <c r="CC161"/>
  <c r="CB161"/>
  <c r="BR161"/>
  <c r="F161"/>
  <c r="C161"/>
  <c r="CC160"/>
  <c r="CB160"/>
  <c r="BR160"/>
  <c r="F160"/>
  <c r="C160"/>
  <c r="CC159"/>
  <c r="CB159"/>
  <c r="BR159"/>
  <c r="F159"/>
  <c r="C159"/>
  <c r="CC158"/>
  <c r="CB158"/>
  <c r="BR158"/>
  <c r="F158"/>
  <c r="C158"/>
  <c r="CC157"/>
  <c r="CB157"/>
  <c r="BR157"/>
  <c r="F157"/>
  <c r="C157"/>
  <c r="CC156"/>
  <c r="CB156"/>
  <c r="BR156"/>
  <c r="F156"/>
  <c r="C156"/>
  <c r="CC155"/>
  <c r="CB155"/>
  <c r="BR155"/>
  <c r="F155"/>
  <c r="C155"/>
  <c r="CC154"/>
  <c r="CB154"/>
  <c r="BR154"/>
  <c r="F154"/>
  <c r="C154"/>
  <c r="CC153"/>
  <c r="CB153"/>
  <c r="BR153"/>
  <c r="F153"/>
  <c r="C153"/>
  <c r="CC152"/>
  <c r="CB152"/>
  <c r="BR152"/>
  <c r="F152"/>
  <c r="C152"/>
  <c r="CC151"/>
  <c r="CB151"/>
  <c r="BR151"/>
  <c r="F151"/>
  <c r="C151"/>
  <c r="CC150"/>
  <c r="CB150"/>
  <c r="BR150"/>
  <c r="F150"/>
  <c r="C150"/>
  <c r="CC149"/>
  <c r="CB149"/>
  <c r="BR149"/>
  <c r="F149"/>
  <c r="C149"/>
  <c r="CC148"/>
  <c r="CB148"/>
  <c r="BR148"/>
  <c r="F148"/>
  <c r="C148"/>
  <c r="CC147"/>
  <c r="CB147"/>
  <c r="BR147"/>
  <c r="F147"/>
  <c r="C147"/>
  <c r="CC146"/>
  <c r="CB146"/>
  <c r="BR146"/>
  <c r="F146"/>
  <c r="C146"/>
  <c r="CC145"/>
  <c r="CB145"/>
  <c r="BR145"/>
  <c r="F145"/>
  <c r="C145"/>
  <c r="CC144"/>
  <c r="CB144"/>
  <c r="BR144"/>
  <c r="F144"/>
  <c r="C144"/>
  <c r="CC143"/>
  <c r="CB143"/>
  <c r="BR143"/>
  <c r="F143"/>
  <c r="C143"/>
  <c r="CC142"/>
  <c r="CB142"/>
  <c r="BR142"/>
  <c r="F142"/>
  <c r="C142"/>
  <c r="CC141"/>
  <c r="CB141"/>
  <c r="BR141"/>
  <c r="F141"/>
  <c r="C141"/>
  <c r="CC140"/>
  <c r="CB140"/>
  <c r="BR140"/>
  <c r="F140"/>
  <c r="C140"/>
  <c r="CC139"/>
  <c r="CB139"/>
  <c r="BR139"/>
  <c r="F139"/>
  <c r="C139"/>
  <c r="CC138"/>
  <c r="CB138"/>
  <c r="BR138"/>
  <c r="F138"/>
  <c r="C138"/>
  <c r="CC137"/>
  <c r="CB137"/>
  <c r="BR137"/>
  <c r="F137"/>
  <c r="C137"/>
  <c r="CC136"/>
  <c r="CB136"/>
  <c r="BR136"/>
  <c r="F136"/>
  <c r="C136"/>
  <c r="CC135"/>
  <c r="CB135"/>
  <c r="BR135"/>
  <c r="F135"/>
  <c r="C135"/>
  <c r="CC134"/>
  <c r="CB134"/>
  <c r="BR134"/>
  <c r="F134"/>
  <c r="C134"/>
  <c r="CC133"/>
  <c r="CB133"/>
  <c r="BR133"/>
  <c r="F133"/>
  <c r="C133"/>
  <c r="CC132"/>
  <c r="CB132"/>
  <c r="BR132"/>
  <c r="F132"/>
  <c r="C132"/>
  <c r="CC131"/>
  <c r="CB131"/>
  <c r="BR131"/>
  <c r="F131"/>
  <c r="C131"/>
  <c r="CC130"/>
  <c r="CB130"/>
  <c r="BR130"/>
  <c r="F130"/>
  <c r="C130"/>
  <c r="CC129"/>
  <c r="CB129"/>
  <c r="BR129"/>
  <c r="F129"/>
  <c r="C129"/>
  <c r="CC128"/>
  <c r="CB128"/>
  <c r="BR128"/>
  <c r="F128"/>
  <c r="C128"/>
  <c r="CC127"/>
  <c r="CB127"/>
  <c r="BR127"/>
  <c r="F127"/>
  <c r="C127"/>
  <c r="CC126"/>
  <c r="CB126"/>
  <c r="BR126"/>
  <c r="F126"/>
  <c r="C126"/>
  <c r="CC125"/>
  <c r="CB125"/>
  <c r="BR125"/>
  <c r="F125"/>
  <c r="C125"/>
  <c r="CC124"/>
  <c r="CB124"/>
  <c r="BR124"/>
  <c r="F124"/>
  <c r="C124"/>
  <c r="CC123"/>
  <c r="CB123"/>
  <c r="BR123"/>
  <c r="F123"/>
  <c r="C123"/>
  <c r="CC122"/>
  <c r="CB122"/>
  <c r="BR122"/>
  <c r="F122"/>
  <c r="C122"/>
  <c r="CC121"/>
  <c r="CB121"/>
  <c r="BR121"/>
  <c r="F121"/>
  <c r="C121"/>
  <c r="CC120"/>
  <c r="CB120"/>
  <c r="BR120"/>
  <c r="F120"/>
  <c r="C120"/>
  <c r="CC119"/>
  <c r="CB119"/>
  <c r="BR119"/>
  <c r="F119"/>
  <c r="C119"/>
  <c r="CC118"/>
  <c r="CB118"/>
  <c r="BR118"/>
  <c r="F118"/>
  <c r="C118"/>
  <c r="CC117"/>
  <c r="CB117"/>
  <c r="BR117"/>
  <c r="F117"/>
  <c r="C117"/>
  <c r="CC116"/>
  <c r="CB116"/>
  <c r="BR116"/>
  <c r="F116"/>
  <c r="C116"/>
  <c r="CC115"/>
  <c r="CB115"/>
  <c r="BR115"/>
  <c r="F115"/>
  <c r="C115"/>
  <c r="CC114"/>
  <c r="CB114"/>
  <c r="BR114"/>
  <c r="F114"/>
  <c r="C114"/>
  <c r="CC113"/>
  <c r="CB113"/>
  <c r="BR113"/>
  <c r="F113"/>
  <c r="C113"/>
  <c r="CC112"/>
  <c r="CB112"/>
  <c r="BR112"/>
  <c r="F112"/>
  <c r="C112"/>
  <c r="CC111"/>
  <c r="CB111"/>
  <c r="BR111"/>
  <c r="F111"/>
  <c r="C111"/>
  <c r="CC110"/>
  <c r="CB110"/>
  <c r="BR110"/>
  <c r="F110"/>
  <c r="C110"/>
  <c r="CC109"/>
  <c r="CB109"/>
  <c r="BR109"/>
  <c r="F109"/>
  <c r="C109"/>
  <c r="CC108"/>
  <c r="CB108"/>
  <c r="BR108"/>
  <c r="F108"/>
  <c r="C108"/>
  <c r="CC107"/>
  <c r="CB107"/>
  <c r="BR107"/>
  <c r="F107"/>
  <c r="C107"/>
  <c r="CC106"/>
  <c r="CB106"/>
  <c r="BR106"/>
  <c r="F106"/>
  <c r="C106"/>
  <c r="CC105"/>
  <c r="CB105"/>
  <c r="BR105"/>
  <c r="F105"/>
  <c r="C105"/>
  <c r="CC104"/>
  <c r="CB104"/>
  <c r="BR104"/>
  <c r="F104"/>
  <c r="C104"/>
  <c r="CC103"/>
  <c r="CB103"/>
  <c r="BR103"/>
  <c r="F103"/>
  <c r="C103"/>
  <c r="CC102"/>
  <c r="CB102"/>
  <c r="BR102"/>
  <c r="F102"/>
  <c r="C102"/>
  <c r="CC101"/>
  <c r="CB101"/>
  <c r="BR101"/>
  <c r="F101"/>
  <c r="C101"/>
  <c r="CC100"/>
  <c r="CB100"/>
  <c r="BR100"/>
  <c r="F100"/>
  <c r="C100"/>
  <c r="CC99"/>
  <c r="CB99"/>
  <c r="BR99"/>
  <c r="F99"/>
  <c r="C99"/>
  <c r="CC98"/>
  <c r="CB98"/>
  <c r="BR98"/>
  <c r="F98"/>
  <c r="C98"/>
  <c r="CC97"/>
  <c r="CB97"/>
  <c r="BR97"/>
  <c r="F97"/>
  <c r="C97"/>
  <c r="CC96"/>
  <c r="CB96"/>
  <c r="BR96"/>
  <c r="F96"/>
  <c r="C96"/>
  <c r="CC95"/>
  <c r="CB95"/>
  <c r="BR95"/>
  <c r="F95"/>
  <c r="C95"/>
  <c r="CC94"/>
  <c r="CB94"/>
  <c r="BR94"/>
  <c r="F94"/>
  <c r="C94"/>
  <c r="CC93"/>
  <c r="CB93"/>
  <c r="BR93"/>
  <c r="F93"/>
  <c r="C93"/>
  <c r="CC92"/>
  <c r="CB92"/>
  <c r="BR92"/>
  <c r="F92"/>
  <c r="C92"/>
  <c r="CC91"/>
  <c r="CB91"/>
  <c r="BR91"/>
  <c r="F91"/>
  <c r="C91"/>
  <c r="CC90"/>
  <c r="CB90"/>
  <c r="BR90"/>
  <c r="F90"/>
  <c r="C90"/>
  <c r="CC89"/>
  <c r="CB89"/>
  <c r="BR89"/>
  <c r="F89"/>
  <c r="C89"/>
  <c r="CC88"/>
  <c r="CB88"/>
  <c r="BR88"/>
  <c r="F88"/>
  <c r="C88"/>
  <c r="CC87"/>
  <c r="CB87"/>
  <c r="BR87"/>
  <c r="F87"/>
  <c r="C87"/>
  <c r="CC86"/>
  <c r="CB86"/>
  <c r="BR86"/>
  <c r="F86"/>
  <c r="C86"/>
  <c r="CC85"/>
  <c r="CB85"/>
  <c r="BR85"/>
  <c r="F85"/>
  <c r="C85"/>
  <c r="CC84"/>
  <c r="CB84"/>
  <c r="BR84"/>
  <c r="F84"/>
  <c r="C84"/>
  <c r="CC83"/>
  <c r="CB83"/>
  <c r="BR83"/>
  <c r="F83"/>
  <c r="C83"/>
  <c r="CC82"/>
  <c r="CB82"/>
  <c r="BR82"/>
  <c r="F82"/>
  <c r="C82"/>
  <c r="CC81"/>
  <c r="CB81"/>
  <c r="BR81"/>
  <c r="F81"/>
  <c r="C81"/>
  <c r="CC80"/>
  <c r="CB80"/>
  <c r="BR80"/>
  <c r="F80"/>
  <c r="C80"/>
  <c r="CC79"/>
  <c r="CB79"/>
  <c r="BR79"/>
  <c r="F79"/>
  <c r="C79"/>
  <c r="CC78"/>
  <c r="CB78"/>
  <c r="BR78"/>
  <c r="F78"/>
  <c r="C78"/>
  <c r="CC77"/>
  <c r="CB77"/>
  <c r="BR77"/>
  <c r="F77"/>
  <c r="C77"/>
  <c r="CC76"/>
  <c r="CB76"/>
  <c r="BR76"/>
  <c r="F76"/>
  <c r="C76"/>
  <c r="CC75"/>
  <c r="CB75"/>
  <c r="BR75"/>
  <c r="F75"/>
  <c r="C75"/>
  <c r="CC74"/>
  <c r="CB74"/>
  <c r="BR74"/>
  <c r="F74"/>
  <c r="C74"/>
  <c r="CC73"/>
  <c r="CB73"/>
  <c r="BR73"/>
  <c r="F73"/>
  <c r="C73"/>
  <c r="CC72"/>
  <c r="CB72"/>
  <c r="BR72"/>
  <c r="F72"/>
  <c r="C72"/>
  <c r="CC71"/>
  <c r="CB71"/>
  <c r="BR71"/>
  <c r="F71"/>
  <c r="C71"/>
  <c r="CC70"/>
  <c r="CB70"/>
  <c r="BR70"/>
  <c r="F70"/>
  <c r="C70"/>
  <c r="CC69"/>
  <c r="CB69"/>
  <c r="BR69"/>
  <c r="F69"/>
  <c r="C69"/>
  <c r="CC68"/>
  <c r="CB68"/>
  <c r="BR68"/>
  <c r="F68"/>
  <c r="C68"/>
  <c r="CC67"/>
  <c r="CB67"/>
  <c r="BR67"/>
  <c r="F67"/>
  <c r="C67"/>
  <c r="CC66"/>
  <c r="CB66"/>
  <c r="BR66"/>
  <c r="F66"/>
  <c r="C66"/>
  <c r="CC65"/>
  <c r="CB65"/>
  <c r="BR65"/>
  <c r="F65"/>
  <c r="C65"/>
  <c r="CC64"/>
  <c r="CB64"/>
  <c r="BR64"/>
  <c r="F64"/>
  <c r="C64"/>
  <c r="CC63"/>
  <c r="CB63"/>
  <c r="BR63"/>
  <c r="F63"/>
  <c r="C63"/>
  <c r="CC62"/>
  <c r="CB62"/>
  <c r="BR62"/>
  <c r="F62"/>
  <c r="C62"/>
  <c r="CC61"/>
  <c r="CB61"/>
  <c r="BR61"/>
  <c r="F61"/>
  <c r="C61"/>
  <c r="CC60"/>
  <c r="CB60"/>
  <c r="BR60"/>
  <c r="F60"/>
  <c r="C60"/>
  <c r="CC59"/>
  <c r="CB59"/>
  <c r="BR59"/>
  <c r="F59"/>
  <c r="C59"/>
  <c r="CC58"/>
  <c r="CB58"/>
  <c r="BR58"/>
  <c r="F58"/>
  <c r="C58"/>
  <c r="CC57"/>
  <c r="CB57"/>
  <c r="BR57"/>
  <c r="F57"/>
  <c r="C57"/>
  <c r="CC56"/>
  <c r="CB56"/>
  <c r="BR56"/>
  <c r="F56"/>
  <c r="C56"/>
  <c r="CC55"/>
  <c r="CB55"/>
  <c r="BR55"/>
  <c r="F55"/>
  <c r="C55"/>
  <c r="CC54"/>
  <c r="CB54"/>
  <c r="BR54"/>
  <c r="F54"/>
  <c r="C54"/>
  <c r="CC53"/>
  <c r="CB53"/>
  <c r="BR53"/>
  <c r="F53"/>
  <c r="C53"/>
  <c r="CC52"/>
  <c r="CB52"/>
  <c r="BR52"/>
  <c r="F52"/>
  <c r="C52"/>
  <c r="CC51"/>
  <c r="CB51"/>
  <c r="BR51"/>
  <c r="F51"/>
  <c r="C51"/>
  <c r="CC50"/>
  <c r="CB50"/>
  <c r="BR50"/>
  <c r="F50"/>
  <c r="C50"/>
  <c r="CC49"/>
  <c r="CB49"/>
  <c r="BR49"/>
  <c r="F49"/>
  <c r="C49"/>
  <c r="CC48"/>
  <c r="CB48"/>
  <c r="BR48"/>
  <c r="F48"/>
  <c r="C48"/>
  <c r="CC47"/>
  <c r="CB47"/>
  <c r="BR47"/>
  <c r="F47"/>
  <c r="C47"/>
  <c r="CC46"/>
  <c r="CB46"/>
  <c r="BR46"/>
  <c r="F46"/>
  <c r="C46"/>
  <c r="CC45"/>
  <c r="CB45"/>
  <c r="BR45"/>
  <c r="F45"/>
  <c r="C45"/>
  <c r="CC44"/>
  <c r="CB44"/>
  <c r="BR44"/>
  <c r="F44"/>
  <c r="C44"/>
  <c r="CC43"/>
  <c r="CB43"/>
  <c r="BR43"/>
  <c r="F43"/>
  <c r="C43"/>
  <c r="CC42"/>
  <c r="CB42"/>
  <c r="BR42"/>
  <c r="F42"/>
  <c r="C42"/>
  <c r="CC41"/>
  <c r="CB41"/>
  <c r="BR41"/>
  <c r="F41"/>
  <c r="C41"/>
  <c r="CC40"/>
  <c r="CB40"/>
  <c r="BR40"/>
  <c r="F40"/>
  <c r="C40"/>
  <c r="CC39"/>
  <c r="CB39"/>
  <c r="BR39"/>
  <c r="F39"/>
  <c r="C39"/>
  <c r="CC38"/>
  <c r="CB38"/>
  <c r="BR38"/>
  <c r="F38"/>
  <c r="C38"/>
  <c r="CC37"/>
  <c r="CB37"/>
  <c r="BR37"/>
  <c r="F37"/>
  <c r="C37"/>
  <c r="CC36"/>
  <c r="CB36"/>
  <c r="BR36"/>
  <c r="F36"/>
  <c r="C36"/>
  <c r="BU35"/>
  <c r="BR35"/>
  <c r="F35"/>
  <c r="C35"/>
  <c r="CC34"/>
  <c r="CB34"/>
  <c r="BR34"/>
  <c r="F34"/>
  <c r="C34"/>
  <c r="CC33"/>
  <c r="CB33"/>
  <c r="BR33"/>
  <c r="F33"/>
  <c r="C33"/>
  <c r="CC32"/>
  <c r="CB32"/>
  <c r="BR32"/>
  <c r="F32"/>
  <c r="C32"/>
  <c r="CC31"/>
  <c r="CB31"/>
  <c r="BR31"/>
  <c r="F31"/>
  <c r="C31"/>
  <c r="CC30"/>
  <c r="CB30"/>
  <c r="BR30"/>
  <c r="F30"/>
  <c r="C30"/>
  <c r="CC29"/>
  <c r="CB29"/>
  <c r="BR29"/>
  <c r="F29"/>
  <c r="C29"/>
  <c r="CC28"/>
  <c r="CB28"/>
  <c r="BR28"/>
  <c r="F28"/>
  <c r="C28"/>
  <c r="CC27"/>
  <c r="CB27"/>
  <c r="BR27"/>
  <c r="F27"/>
  <c r="C27"/>
  <c r="CC26"/>
  <c r="CB26"/>
  <c r="BR26"/>
  <c r="F26"/>
  <c r="C26"/>
  <c r="CC25"/>
  <c r="CB25"/>
  <c r="BR25"/>
  <c r="F25"/>
  <c r="C25"/>
  <c r="CC24"/>
  <c r="CB24"/>
  <c r="BR24"/>
  <c r="F24"/>
  <c r="C24"/>
  <c r="CC23"/>
  <c r="CB23"/>
  <c r="BR23"/>
  <c r="F23"/>
  <c r="C23"/>
  <c r="CC22"/>
  <c r="CB22"/>
  <c r="BR22"/>
  <c r="F22"/>
  <c r="C22"/>
  <c r="CC21"/>
  <c r="CB21"/>
  <c r="BR21"/>
  <c r="F21"/>
  <c r="C21"/>
  <c r="CC20"/>
  <c r="CB20"/>
  <c r="BR20"/>
  <c r="F20"/>
  <c r="C20"/>
  <c r="CC19"/>
  <c r="CB19"/>
  <c r="BR19"/>
  <c r="F19"/>
  <c r="C19"/>
  <c r="CC18"/>
  <c r="CB18"/>
  <c r="BR18"/>
  <c r="F18"/>
  <c r="C18"/>
  <c r="CC17"/>
  <c r="CB17"/>
  <c r="BR17"/>
  <c r="F17"/>
  <c r="C17"/>
  <c r="CC16"/>
  <c r="CB16"/>
  <c r="BR16"/>
  <c r="F16"/>
  <c r="C16"/>
  <c r="CC15"/>
  <c r="CB15"/>
  <c r="BR15"/>
  <c r="F15"/>
  <c r="C15"/>
  <c r="CC14"/>
  <c r="CB14"/>
  <c r="BR14"/>
  <c r="F14"/>
  <c r="C14"/>
  <c r="CC13"/>
  <c r="CB13"/>
  <c r="BR13"/>
  <c r="F13"/>
  <c r="C13"/>
  <c r="CC12"/>
  <c r="CB12"/>
  <c r="BR12"/>
  <c r="F12"/>
  <c r="C12"/>
  <c r="CC11"/>
  <c r="CB11"/>
  <c r="BR11"/>
  <c r="F11"/>
  <c r="C11"/>
  <c r="CC10"/>
  <c r="CB10"/>
  <c r="BR10"/>
  <c r="F10"/>
  <c r="C10"/>
  <c r="CC9"/>
  <c r="CB9"/>
  <c r="BR9"/>
  <c r="F9"/>
  <c r="C9"/>
  <c r="CC8"/>
  <c r="CB8"/>
  <c r="BR8"/>
  <c r="F8"/>
  <c r="C8"/>
  <c r="CC7"/>
  <c r="CB7"/>
  <c r="BR7"/>
  <c r="F7"/>
  <c r="C7"/>
  <c r="CC6"/>
  <c r="CB6"/>
  <c r="BR6"/>
  <c r="F6"/>
  <c r="C6"/>
  <c r="CC5"/>
  <c r="CB5"/>
  <c r="BR5"/>
  <c r="F5"/>
  <c r="C5"/>
  <c r="CC4"/>
  <c r="CB4"/>
  <c r="BR4"/>
  <c r="F4"/>
  <c r="C4"/>
  <c r="CC3"/>
  <c r="CB3"/>
  <c r="BR3"/>
  <c r="F3"/>
  <c r="C3"/>
  <c r="CC2"/>
  <c r="CB2"/>
  <c r="BR2"/>
  <c r="F2"/>
  <c r="C2"/>
</calcChain>
</file>

<file path=xl/sharedStrings.xml><?xml version="1.0" encoding="utf-8"?>
<sst xmlns="http://schemas.openxmlformats.org/spreadsheetml/2006/main" count="228643" uniqueCount="22408">
  <si>
    <t>Search Price</t>
  </si>
  <si>
    <t>Property Type</t>
  </si>
  <si>
    <t>MLS #</t>
  </si>
  <si>
    <t>Status</t>
  </si>
  <si>
    <t>Contingency Flag</t>
  </si>
  <si>
    <t>Area</t>
  </si>
  <si>
    <t>List Date Received</t>
  </si>
  <si>
    <t>Original List Price</t>
  </si>
  <si>
    <t>List Price</t>
  </si>
  <si>
    <t>Sold Price</t>
  </si>
  <si>
    <t>List Date</t>
  </si>
  <si>
    <t>Market Time</t>
  </si>
  <si>
    <t>Off-Market Date</t>
  </si>
  <si>
    <t>Listing Market Time</t>
  </si>
  <si>
    <t>Contract Date</t>
  </si>
  <si>
    <t>Selling Office ID</t>
  </si>
  <si>
    <t>Finance Code</t>
  </si>
  <si>
    <t>Closed Date</t>
  </si>
  <si>
    <t>Selling Agent ID</t>
  </si>
  <si>
    <t>Seller Concessions Amount/Points</t>
  </si>
  <si>
    <t>Street Number</t>
  </si>
  <si>
    <t>Street Name</t>
  </si>
  <si>
    <t>Street Suffix</t>
  </si>
  <si>
    <t>Unit Number</t>
  </si>
  <si>
    <t>Total # Units in Building</t>
  </si>
  <si>
    <t>Ownership</t>
  </si>
  <si>
    <t>City</t>
  </si>
  <si>
    <t>Zip Code</t>
  </si>
  <si>
    <t>Additional Zip</t>
  </si>
  <si>
    <t>Subdivision</t>
  </si>
  <si>
    <t>Directions</t>
  </si>
  <si>
    <t>Approx Year Built</t>
  </si>
  <si>
    <t>Built Before 1978 (Y/N)</t>
  </si>
  <si>
    <t>Corporate Limits</t>
  </si>
  <si>
    <t>County</t>
  </si>
  <si>
    <t>Township</t>
  </si>
  <si>
    <t>Model</t>
  </si>
  <si>
    <t># Rooms</t>
  </si>
  <si>
    <t># Bedrooms</t>
  </si>
  <si>
    <t># Full Baths</t>
  </si>
  <si>
    <t># Half Baths</t>
  </si>
  <si>
    <t>Master Bedroom Bath</t>
  </si>
  <si>
    <t># Interior Fireplaces</t>
  </si>
  <si>
    <t>Basement</t>
  </si>
  <si>
    <t>Basement Bathrooms (Y/N)</t>
  </si>
  <si>
    <t>Parking</t>
  </si>
  <si>
    <t># Garage Spaces</t>
  </si>
  <si>
    <t># Parking Spaces</t>
  </si>
  <si>
    <t>Waterfront (Y/N)</t>
  </si>
  <si>
    <t>Lot Dimensions</t>
  </si>
  <si>
    <t>Ownership Type</t>
  </si>
  <si>
    <t>Taxes</t>
  </si>
  <si>
    <t>Tax Year</t>
  </si>
  <si>
    <t>Tax Exemptions</t>
  </si>
  <si>
    <t>Coop Annual Tax Deduction</t>
  </si>
  <si>
    <t>Coop Tax Deduction Year</t>
  </si>
  <si>
    <t>Approx Sq Ft</t>
  </si>
  <si>
    <t>Unit Floor Level</t>
  </si>
  <si>
    <t># Of Days For Bd Apprvl</t>
  </si>
  <si>
    <t>Lowest Parking Fee</t>
  </si>
  <si>
    <t>Highest Parking Fee</t>
  </si>
  <si>
    <t>% Owner Occupied</t>
  </si>
  <si>
    <t>% Common Area/Coop/Condo Ownership</t>
  </si>
  <si>
    <t>Assessment/Association Dues $</t>
  </si>
  <si>
    <t>Special Assessments</t>
  </si>
  <si>
    <t>Pets Allowed (Y/N)</t>
  </si>
  <si>
    <t>Max Pet Weight</t>
  </si>
  <si>
    <t>New Construction (Y/N)</t>
  </si>
  <si>
    <t>Estimated Occupancy Date</t>
  </si>
  <si>
    <t>Parcel Identification Number</t>
  </si>
  <si>
    <t>Multiple Pin Numbers (Y/N)</t>
  </si>
  <si>
    <t>Remarks</t>
  </si>
  <si>
    <t>Elementary School</t>
  </si>
  <si>
    <t>Jr High/Middle School</t>
  </si>
  <si>
    <t>High School</t>
  </si>
  <si>
    <t>Elementary Sch Dist</t>
  </si>
  <si>
    <t>Jr High/Middle Dist</t>
  </si>
  <si>
    <t>High Sch Dist</t>
  </si>
  <si>
    <t>Other Public Sch Dist</t>
  </si>
  <si>
    <t>North</t>
  </si>
  <si>
    <t>East</t>
  </si>
  <si>
    <t>West</t>
  </si>
  <si>
    <t>South</t>
  </si>
  <si>
    <t>Othr Public Sch</t>
  </si>
  <si>
    <t>Living Room Size</t>
  </si>
  <si>
    <t>Living Room Level</t>
  </si>
  <si>
    <t>Living Room Flooring</t>
  </si>
  <si>
    <t>Living Room Window Treatments</t>
  </si>
  <si>
    <t>Master Bedroom Size</t>
  </si>
  <si>
    <t>Master Bedroom Level</t>
  </si>
  <si>
    <t>Master Bedroom Flooring</t>
  </si>
  <si>
    <t>Master Bedroom Window Treatments</t>
  </si>
  <si>
    <t>Dining Room Size</t>
  </si>
  <si>
    <t>Dining Room Level</t>
  </si>
  <si>
    <t>Dining Room Flooring</t>
  </si>
  <si>
    <t>Dining Room Window Treatments</t>
  </si>
  <si>
    <t>2nd Bedroom Size</t>
  </si>
  <si>
    <t>2nd Bedroom Level</t>
  </si>
  <si>
    <t>2nd Bedroom Flooring</t>
  </si>
  <si>
    <t>2nd Bedroom Window Treatments</t>
  </si>
  <si>
    <t>3rd Bedroom Size</t>
  </si>
  <si>
    <t>3rd Bedroom Level</t>
  </si>
  <si>
    <t>3rd Bedroom Flooring</t>
  </si>
  <si>
    <t>3rd Bedroom Window Treatments</t>
  </si>
  <si>
    <t>4th Bedroom Size</t>
  </si>
  <si>
    <t>4th Bedroom Level</t>
  </si>
  <si>
    <t>4th Bedroom Flooring</t>
  </si>
  <si>
    <t>4th Bedroom Window Treatments</t>
  </si>
  <si>
    <t>Kitchen Size</t>
  </si>
  <si>
    <t>Kitchen Level</t>
  </si>
  <si>
    <t>Kitchen Flooring</t>
  </si>
  <si>
    <t>Kitchen Window Treatments</t>
  </si>
  <si>
    <t>Family Room Size</t>
  </si>
  <si>
    <t>Family Room Level</t>
  </si>
  <si>
    <t>Family Room Flooring</t>
  </si>
  <si>
    <t>Family Room Window Treatments</t>
  </si>
  <si>
    <t>Additional Room 1 Name</t>
  </si>
  <si>
    <t>Additional Room 2 Name</t>
  </si>
  <si>
    <t>Additional Room 3 Name</t>
  </si>
  <si>
    <t>Additional Room 4 Name</t>
  </si>
  <si>
    <t>Additional Room 5 Name</t>
  </si>
  <si>
    <t>Additional Room 1 Size</t>
  </si>
  <si>
    <t>Additional Room 1 Level</t>
  </si>
  <si>
    <t>Additional Room 1 Flooring</t>
  </si>
  <si>
    <t>Additional Room 1 Window Treatments</t>
  </si>
  <si>
    <t>Additional Room 2 Size</t>
  </si>
  <si>
    <t>Additional Room 2 Level</t>
  </si>
  <si>
    <t>Additional Room 2 Flooring</t>
  </si>
  <si>
    <t>Additional Room 2 Window Treatments</t>
  </si>
  <si>
    <t>Additional Room 3 Size</t>
  </si>
  <si>
    <t>Additional Room 3 Level</t>
  </si>
  <si>
    <t>Additional Room 3 Flooring</t>
  </si>
  <si>
    <t>Additional Room 3 Window Treatments</t>
  </si>
  <si>
    <t>Additional Room 4 Size</t>
  </si>
  <si>
    <t>Additional Room 4 Level</t>
  </si>
  <si>
    <t>Additional Room 4 Flooring</t>
  </si>
  <si>
    <t>Additional Room 4 Window Treatments</t>
  </si>
  <si>
    <t>Additional Room 5 Size</t>
  </si>
  <si>
    <t>Additional Room 5 Level</t>
  </si>
  <si>
    <t>Additional Room 5 Flooring</t>
  </si>
  <si>
    <t>Additional Room 5 Window Treatments</t>
  </si>
  <si>
    <t>Age</t>
  </si>
  <si>
    <t>Water</t>
  </si>
  <si>
    <t>Air Conditioning</t>
  </si>
  <si>
    <t>Sewer</t>
  </si>
  <si>
    <t>Common Area Amenities</t>
  </si>
  <si>
    <t>Appliances</t>
  </si>
  <si>
    <t>Basement Description</t>
  </si>
  <si>
    <t>Kitchen Type</t>
  </si>
  <si>
    <t>Bath Amenities</t>
  </si>
  <si>
    <t>Lot Description</t>
  </si>
  <si>
    <t>Dining Room</t>
  </si>
  <si>
    <t>Assessment Includes</t>
  </si>
  <si>
    <t>New/Proposed Construction Options</t>
  </si>
  <si>
    <t>Electricity</t>
  </si>
  <si>
    <t>Additional Rooms</t>
  </si>
  <si>
    <t>Equipment</t>
  </si>
  <si>
    <t>Management</t>
  </si>
  <si>
    <t>Exposure</t>
  </si>
  <si>
    <t>Pet Information</t>
  </si>
  <si>
    <t>Exterior Building Type</t>
  </si>
  <si>
    <t>Possession</t>
  </si>
  <si>
    <t>Fireplace Details</t>
  </si>
  <si>
    <t>Type Attached</t>
  </si>
  <si>
    <t>Garage Details</t>
  </si>
  <si>
    <t>Sale Terms</t>
  </si>
  <si>
    <t>Parking Details</t>
  </si>
  <si>
    <t>Heat/Fuel</t>
  </si>
  <si>
    <t>Internet Listing</t>
  </si>
  <si>
    <t>Property Address On Internet? (Y/N)</t>
  </si>
  <si>
    <t>Remarks On Internet? (Y/N)</t>
  </si>
  <si>
    <t>Full Data On mredllc.com (Y/N)</t>
  </si>
  <si>
    <t>Cooperative  Compensation</t>
  </si>
  <si>
    <t>Special Compensation Info.</t>
  </si>
  <si>
    <t>Showing Instructions</t>
  </si>
  <si>
    <t>Owner's Name</t>
  </si>
  <si>
    <t>Agent Owned/Interest (Y/N)</t>
  </si>
  <si>
    <t>Owner's Phone</t>
  </si>
  <si>
    <t>List Office Name</t>
  </si>
  <si>
    <t>List Office ID</t>
  </si>
  <si>
    <t>List Office Phone</t>
  </si>
  <si>
    <t>List Agent Name</t>
  </si>
  <si>
    <t>List Agent ID</t>
  </si>
  <si>
    <t>List Agent Phone Number</t>
  </si>
  <si>
    <t>Co-Lister ID</t>
  </si>
  <si>
    <t>Listing Agent Additional Info</t>
  </si>
  <si>
    <t>General Information</t>
  </si>
  <si>
    <t>Area Amenities</t>
  </si>
  <si>
    <t>Expiration Date</t>
  </si>
  <si>
    <t>Compass Point</t>
  </si>
  <si>
    <t>Holds Earnest Money</t>
  </si>
  <si>
    <t>Listing Type</t>
  </si>
  <si>
    <t>Virtual Tour</t>
  </si>
  <si>
    <t>Status Date</t>
  </si>
  <si>
    <t>Agent Remarks</t>
  </si>
  <si>
    <t>AT</t>
  </si>
  <si>
    <t>CLSD</t>
  </si>
  <si>
    <t>Conventional</t>
  </si>
  <si>
    <t>FAWELL</t>
  </si>
  <si>
    <t>BLVD</t>
  </si>
  <si>
    <t>Fee Simple</t>
  </si>
  <si>
    <t>Glen Ellyn</t>
  </si>
  <si>
    <t>Greenbriar Place</t>
  </si>
  <si>
    <t>Roosevelt to Park,S to Fawell(22nd), W to Building</t>
  </si>
  <si>
    <t>No</t>
  </si>
  <si>
    <t>GLEN ELLYN</t>
  </si>
  <si>
    <t>DuPage</t>
  </si>
  <si>
    <t>MILTON</t>
  </si>
  <si>
    <t>FIRST FLOOR TERRACE</t>
  </si>
  <si>
    <t>Full</t>
  </si>
  <si>
    <t>None</t>
  </si>
  <si>
    <t>Garage</t>
  </si>
  <si>
    <t>COMMON</t>
  </si>
  <si>
    <t>Yes</t>
  </si>
  <si>
    <t>Motivated Seller!  Fantastic First Floor Condo W/Terrace In A Great Glen Ellyn Location.  Newer Granite Counters, Maple Cabinets, GE Profile Appls, Laundry Room &amp; 2 Separate Bedroom Suites.  Huge Bonus Room (18X14)Off The MBR Is Perfect For Home Office, Game Room, Craft Center,Home Theater Or Nursery.  Huge Great Room W/Bay Window Overlooks The Wonderful Patio. Just Steps To The Pool. Exercise Room &amp; Garage.</t>
  </si>
  <si>
    <t>PARK VIEW ELEMENTARY SCHOOL</t>
  </si>
  <si>
    <t>GLEN CREST MIDDLE SCHOOL</t>
  </si>
  <si>
    <t>GLENBARD SOUTH HIGH SCHOOL</t>
  </si>
  <si>
    <t>20X13</t>
  </si>
  <si>
    <t>Main Level</t>
  </si>
  <si>
    <t>Carpet</t>
  </si>
  <si>
    <t>15X13</t>
  </si>
  <si>
    <t>12X7</t>
  </si>
  <si>
    <t>15X10</t>
  </si>
  <si>
    <t>Not Applicable</t>
  </si>
  <si>
    <t>14X7</t>
  </si>
  <si>
    <t>Ceramic Tile</t>
  </si>
  <si>
    <t>Office</t>
  </si>
  <si>
    <t>16X14</t>
  </si>
  <si>
    <t>Wood Laminate</t>
  </si>
  <si>
    <t>N</t>
  </si>
  <si>
    <t>31-40 Years</t>
  </si>
  <si>
    <t>Lake Michigan</t>
  </si>
  <si>
    <t>3+ (Window/Wall Unit)</t>
  </si>
  <si>
    <t>Sewer-Public</t>
  </si>
  <si>
    <t>Bike Room/Bike Trails, Elevator, Exercise Room, Storage, On Site Manager/Engineer, Pool-Outdoors, Curbs/Gutters, Sidewalks, Street Lights, Street Paved</t>
  </si>
  <si>
    <t>Oven/Range, Microwave, Dishwasher, Refrigerator, Washer, Dryer, Disposal</t>
  </si>
  <si>
    <t>Eating Area-Breakfast Bar, Galley, Pantry-Closet</t>
  </si>
  <si>
    <t>Separate Shower, Double Sink</t>
  </si>
  <si>
    <t>Common Grounds</t>
  </si>
  <si>
    <t>Combined w/ LivRm</t>
  </si>
  <si>
    <t>Water, Common Insurance, Exercise Facilities, Pool, Exterior Maintenance, Lawn Care, Scavenger, Snow Removal</t>
  </si>
  <si>
    <t>Circuit Breakers</t>
  </si>
  <si>
    <t>TV-Cable, Intercom, Ceiling Fan</t>
  </si>
  <si>
    <t>Manager On-site</t>
  </si>
  <si>
    <t>N (North), W (West)</t>
  </si>
  <si>
    <t>Cats OK, Dogs OK</t>
  </si>
  <si>
    <t>Brick</t>
  </si>
  <si>
    <t>Closing</t>
  </si>
  <si>
    <t>Condo</t>
  </si>
  <si>
    <t>Garage Door Opener(s), Transmitter(s), Heated</t>
  </si>
  <si>
    <t>Electric, Indv Controls</t>
  </si>
  <si>
    <t>All</t>
  </si>
  <si>
    <t>2.5% - $225 (on Net SP)</t>
  </si>
  <si>
    <t>CALL LISTING AGENT  630-247-0767</t>
  </si>
  <si>
    <t>OWNER OF RECORD</t>
  </si>
  <si>
    <t>RE/MAX Suburban</t>
  </si>
  <si>
    <t>(630) 653-1900</t>
  </si>
  <si>
    <t>Sherwood Kraemer</t>
  </si>
  <si>
    <t>(630) 247-0767</t>
  </si>
  <si>
    <t>Exclusive Right to Sell</t>
  </si>
  <si>
    <t>Circlepix</t>
  </si>
  <si>
    <t>Motivated Seller!  SENIOR TAX EXEMPTION.  This Unit Is Across The Street From The College Of DuPage. Storage Room, Exercise Room, Outdoor Pool &amp; Gated Patio.  One Of Only 3 Units In This Building With Outdoor Access.  Very Nice Condition.</t>
  </si>
  <si>
    <t>Prescott</t>
  </si>
  <si>
    <t>DR</t>
  </si>
  <si>
    <t>2D</t>
  </si>
  <si>
    <t>Roselle</t>
  </si>
  <si>
    <t>WATERBURY</t>
  </si>
  <si>
    <t>LAKE ST W OF BLOOM/ROSELLE TO RODENBURG N TO PRESCOTT W.</t>
  </si>
  <si>
    <t>BLOOMINGDALE</t>
  </si>
  <si>
    <t>CONDO</t>
  </si>
  <si>
    <t>Exterior Space(s)</t>
  </si>
  <si>
    <t>SPACIOUS CONDO W LARGE LR&amp;DR W/ CATHEDRAL CEILINGS,NEW UPDATED KITCHEN, 2 LARGE MASTER BEDROOMS, WOOD BURNING FIRE PLACE &amp; WET BAR, SLIDING PATIO DOOR TO PRIVATE ROOFED BALCONY OVER-LOOKING POND, FRESHLY PAINTED THROUGHOUT, HUGE ATTIC STORAGE SPACE, IN-UNIT LAUNDRY, NEW HOT WATER HEATER &amp; 2 ASSIGNED PARKING SPACES, SECURED BUILDING, A MUST SEE!!!!</t>
  </si>
  <si>
    <t>WATERBURY ELEMENTARY SCHOOL</t>
  </si>
  <si>
    <t>SPRING WOOD MIDDLE SCHOOL</t>
  </si>
  <si>
    <t>LAKE PARK HIGH SCHOOL</t>
  </si>
  <si>
    <t>22X16</t>
  </si>
  <si>
    <t>2nd Level</t>
  </si>
  <si>
    <t>16X11</t>
  </si>
  <si>
    <t>9X16</t>
  </si>
  <si>
    <t>12X15</t>
  </si>
  <si>
    <t>12X9</t>
  </si>
  <si>
    <t>Central Air</t>
  </si>
  <si>
    <t>Street Lights, Street Paved</t>
  </si>
  <si>
    <t>Oven/Range, Dishwasher, Refrigerator, Disposal</t>
  </si>
  <si>
    <t>Pond</t>
  </si>
  <si>
    <t>Water, Parking, Common Insurance, Exterior Maintenance, Lawn Care, Scavenger, Snow Removal</t>
  </si>
  <si>
    <t>No additional rooms</t>
  </si>
  <si>
    <t>TV-Cable, Security System, Intercom, Ceiling Fan</t>
  </si>
  <si>
    <t>Manager Off-site</t>
  </si>
  <si>
    <t>Cats OK, Dogs OK, Pet Count Limitation, Pet Weight Limitation</t>
  </si>
  <si>
    <t>Assigned Spaces</t>
  </si>
  <si>
    <t>Electric</t>
  </si>
  <si>
    <t>2.5% - $250 (on Net SP)</t>
  </si>
  <si>
    <t>CALL LISTING AGENT @ 630-712-2300</t>
  </si>
  <si>
    <t>OOR</t>
  </si>
  <si>
    <t>Fathom Realty IL LLC</t>
  </si>
  <si>
    <t>(630) 479-8664</t>
  </si>
  <si>
    <t>Caitlin Curiale</t>
  </si>
  <si>
    <t>(630) 712-2300</t>
  </si>
  <si>
    <t>Exclusive Agency</t>
  </si>
  <si>
    <t>VERY NICE SPACIOUS UNIT.  EASY TO SHOW.  LOCK BOX LOCATED ON TREE BRANCH TO THE RIGHT OF FRONT ENTRY.  RESTRICTED DOG BREEDS: PITT BULLS, ROTTWILERS, OR MIXES OF EITHER BREED.</t>
  </si>
  <si>
    <t>Cash</t>
  </si>
  <si>
    <t>Lawrence</t>
  </si>
  <si>
    <t>CT</t>
  </si>
  <si>
    <t>3B</t>
  </si>
  <si>
    <t>Schiller Park</t>
  </si>
  <si>
    <t>LAWRENCE COURT CONDOS</t>
  </si>
  <si>
    <t>LAWRENCE TO 25TH TO LAWRENCE COURT</t>
  </si>
  <si>
    <t>SCHILLER PARK</t>
  </si>
  <si>
    <t>Cook</t>
  </si>
  <si>
    <t>LEYDEN</t>
  </si>
  <si>
    <t>BRAND NEW CARPETING &amp; LAMINATE FLOORS.  JUST PAINTED THRU-OUT AND READY TO MOVE IN!!  END UNIT WITH 2 BALCONIES.  MASTER BEDROOM BATH &amp; DUAL CLOSETS.  CENTRAL AIR, LAUNDRY ON SAME FLOOR, ELEVATOR BUILDING, COVERED PARKING.  UNITS IN THIS BUILDING ARE RARELY AVAILABLE.</t>
  </si>
  <si>
    <t>EAST LEYDEN HIGH SCHOOL</t>
  </si>
  <si>
    <t>21X12</t>
  </si>
  <si>
    <t>16X12</t>
  </si>
  <si>
    <t>10X8</t>
  </si>
  <si>
    <t>13X11</t>
  </si>
  <si>
    <t>10X10</t>
  </si>
  <si>
    <t>Public</t>
  </si>
  <si>
    <t>Elevator, Sidewalks, Street Lights, Street Paved</t>
  </si>
  <si>
    <t>Oven/Range, Dishwasher</t>
  </si>
  <si>
    <t>Eating Area-Table Space</t>
  </si>
  <si>
    <t>Separate Shower</t>
  </si>
  <si>
    <t>Separate</t>
  </si>
  <si>
    <t>Water, Common Insurance</t>
  </si>
  <si>
    <t>N (North)</t>
  </si>
  <si>
    <t>Assigned Spaces, Underground/Covered</t>
  </si>
  <si>
    <t>Baseboard</t>
  </si>
  <si>
    <t>2.5%-$250 (on Net SP)</t>
  </si>
  <si>
    <t>CALL MARGIE AT 708-296-7719</t>
  </si>
  <si>
    <t>Realty World All Pro, Inc.</t>
  </si>
  <si>
    <t>(708) 452-7653</t>
  </si>
  <si>
    <t>Margie Izban</t>
  </si>
  <si>
    <t>(708) 296-7719</t>
  </si>
  <si>
    <t>School Bus Service, Commuter Bus</t>
  </si>
  <si>
    <t>Sacramento</t>
  </si>
  <si>
    <t>Hanover Park</t>
  </si>
  <si>
    <t>Lake St to Bear Flag N, to Fremont W, to Sacramento. Park in front of 1381.  Unit is on the side.</t>
  </si>
  <si>
    <t>HANOVER PARK</t>
  </si>
  <si>
    <t>Great opportunity for first time home buyers and investors to renovate.  2 bedrooms, 1-1/2 baths.  Attached garage with direct access to unit.   Basement is partially finished and has laundry hook ups.  Close to expressway, train and shopping.</t>
  </si>
  <si>
    <t>GREENBROOK ELEMENTARY SCHOOL</t>
  </si>
  <si>
    <t>Vinyl</t>
  </si>
  <si>
    <t>Blinds</t>
  </si>
  <si>
    <t>15X11</t>
  </si>
  <si>
    <t>8X9</t>
  </si>
  <si>
    <t>11X10</t>
  </si>
  <si>
    <t>Other</t>
  </si>
  <si>
    <t>9X9</t>
  </si>
  <si>
    <t>Sidewalks, Street Paved</t>
  </si>
  <si>
    <t>Oven/Range, Dishwasher, Refrigerator</t>
  </si>
  <si>
    <t>Partially Finished</t>
  </si>
  <si>
    <t>L-shaped</t>
  </si>
  <si>
    <t>Common Insurance, Exterior Maintenance, Lawn Care, Snow Removal</t>
  </si>
  <si>
    <t>Ceiling Fan, Sump Pump</t>
  </si>
  <si>
    <t>Aluminum Siding</t>
  </si>
  <si>
    <t>Quad-2 Story</t>
  </si>
  <si>
    <t>Garage Door Opener(s)</t>
  </si>
  <si>
    <t>Gas, Forced Air</t>
  </si>
  <si>
    <t>2.5%-$225 (on Net SP)</t>
  </si>
  <si>
    <t>Short Sale</t>
  </si>
  <si>
    <t>Call Listing Agent 630-235-4084</t>
  </si>
  <si>
    <t>Owner of Record</t>
  </si>
  <si>
    <t>Berkshire Hathaway HomeServices American Heritage</t>
  </si>
  <si>
    <t>(847) 364-6030</t>
  </si>
  <si>
    <t>Karen Napolitano</t>
  </si>
  <si>
    <t>630-235-4084</t>
  </si>
  <si>
    <t>CC: Pursuant to Short Sale. Sold "AS IS", without repair.  Taxes pro-rated at 100%.  No Seller concessions. Coop. Comm. based on bank approval.  Any reduction in comm., required by lender, will be shared equally by listing and selling broker.</t>
  </si>
  <si>
    <t>Mulberry</t>
  </si>
  <si>
    <t>2B</t>
  </si>
  <si>
    <t>Fee Simple w/ HO Assn.</t>
  </si>
  <si>
    <t>Bartlett</t>
  </si>
  <si>
    <t>South of Lake st., West of County Farm, East of Prospect, Devon to Newport North to Mulberry Left</t>
  </si>
  <si>
    <t>BARTLETT</t>
  </si>
  <si>
    <t>HANOVER</t>
  </si>
  <si>
    <t>Garage, Exterior Space(s)</t>
  </si>
  <si>
    <t>Short Sale Quad in Bartlett Unit sold As-is,  Newer stove, refridgerator and micro, neutral colors. Bank has approved the short sale for $80,000.00.  It would be appreciated if all showing are to be made after 6:30 pm on the week days.</t>
  </si>
  <si>
    <t>15X15</t>
  </si>
  <si>
    <t>12X12</t>
  </si>
  <si>
    <t>12X10</t>
  </si>
  <si>
    <t>12X8</t>
  </si>
  <si>
    <t>Eating Area</t>
  </si>
  <si>
    <t>21-25 Years</t>
  </si>
  <si>
    <t>Slab</t>
  </si>
  <si>
    <t>Parking, Common Insurance, Exterior Maintenance, Lawn Care, Scavenger, Snow Removal</t>
  </si>
  <si>
    <t>Pet Weight Limitation</t>
  </si>
  <si>
    <t>Aluminum Siding, Brick</t>
  </si>
  <si>
    <t>Closing, Immediate</t>
  </si>
  <si>
    <t>Manor Home/Coach House/Villa</t>
  </si>
  <si>
    <t>Assigned Spaces, Visitor Parking</t>
  </si>
  <si>
    <t>2.5% LESS $200.00 (on Net SP)</t>
  </si>
  <si>
    <t>text listign agent at 630-330-8540</t>
  </si>
  <si>
    <t>Legal Owner of record</t>
  </si>
  <si>
    <t>PreferredCo Realty &amp; Investments</t>
  </si>
  <si>
    <t>(630) 628-9200</t>
  </si>
  <si>
    <t>Peter Dravilas</t>
  </si>
  <si>
    <t>(630) 330-8540</t>
  </si>
  <si>
    <t xml:space="preserve">CC: Pursuant to Short Sale. </t>
  </si>
  <si>
    <t>Dr Martin L King Jr</t>
  </si>
  <si>
    <t>2F</t>
  </si>
  <si>
    <t>Chicago</t>
  </si>
  <si>
    <t>Martin Luther King Drive North or South to property.</t>
  </si>
  <si>
    <t>UNK</t>
  </si>
  <si>
    <t>CHICAGO</t>
  </si>
  <si>
    <t>SOUTH CHICAGO</t>
  </si>
  <si>
    <t>Homeowner</t>
  </si>
  <si>
    <t>Cute 2 bedroom condo just minutes away from HYDE PARK!  Bedrooms are large and separated from each other.  Spacious full bathroom with upgraded vanity.  Separate kitchen.   Unit has been painted and there is a new stove.  Beautiful common courtyard.  Make your showing appointment today!  This is a Fannie Mae property.</t>
  </si>
  <si>
    <t>9X12</t>
  </si>
  <si>
    <t>10X11</t>
  </si>
  <si>
    <t>10X9</t>
  </si>
  <si>
    <t>5X8</t>
  </si>
  <si>
    <t>Bonus</t>
  </si>
  <si>
    <t>5X6</t>
  </si>
  <si>
    <t>Unknown</t>
  </si>
  <si>
    <t>Gas</t>
  </si>
  <si>
    <t>3% OR $1,000 MIN (on Net SP)</t>
  </si>
  <si>
    <t>Please email matt@thesokolgroup.com for showing instructions. Please include agent ID and day.</t>
  </si>
  <si>
    <t>The Sokol Group</t>
  </si>
  <si>
    <t>(312) 421-2525</t>
  </si>
  <si>
    <t>Andy Sokol</t>
  </si>
  <si>
    <t>(312) 404-2639</t>
  </si>
  <si>
    <t>S</t>
  </si>
  <si>
    <t>Please use offer package under additional information &amp; upload on homepath.com. It is strongly encouraged that an offer includes proof of funds (if cash offer), or pre-approval (if financing) and is a requirement for sellerâ€™s final accept.</t>
  </si>
  <si>
    <t>FHA</t>
  </si>
  <si>
    <t>20th</t>
  </si>
  <si>
    <t>AVE</t>
  </si>
  <si>
    <t>Melrose Park</t>
  </si>
  <si>
    <t>Division St to 20th Ave, north to property</t>
  </si>
  <si>
    <t>MELROSE PARK</t>
  </si>
  <si>
    <t>PROVISO</t>
  </si>
  <si>
    <t>DUPLEX</t>
  </si>
  <si>
    <t>26X100</t>
  </si>
  <si>
    <t>N/A</t>
  </si>
  <si>
    <t>Estate sale sold "AS IS" but in very good condition. Bring your decorating ideas. Buyer is responsible for village required repairs. See report in drop down. Roof, A/C and furnace in 2010. Nice yard, excellent location, quiet neighborhood. Taxes do not reflect any exemptions.</t>
  </si>
  <si>
    <t>JANE ADDAMS ELEMENTARY SCHOOL</t>
  </si>
  <si>
    <t>STEVENSON ELEMENTARY SCHOOL</t>
  </si>
  <si>
    <t>PROVISO EAST HIGH SCHOOL</t>
  </si>
  <si>
    <t>15X12</t>
  </si>
  <si>
    <t>Hardwood</t>
  </si>
  <si>
    <t>Shades</t>
  </si>
  <si>
    <t>71-80 Years</t>
  </si>
  <si>
    <t>100 Amp Service</t>
  </si>
  <si>
    <t>1/2 Duplex</t>
  </si>
  <si>
    <t>Call Listing Office</t>
  </si>
  <si>
    <t>Gagliardo Realty Associates LLC</t>
  </si>
  <si>
    <t>(708) 771-8040</t>
  </si>
  <si>
    <t>Rosa Pitassi</t>
  </si>
  <si>
    <t>*****AGENTS - PLEASE  NOTE:****   Turn off all lights and pull shades down after showing.   TAXES DO NOT REFLECT HOMEOWNERS EXEMPTION</t>
  </si>
  <si>
    <t>Rebecca</t>
  </si>
  <si>
    <t>CIR</t>
  </si>
  <si>
    <t>Montgomery</t>
  </si>
  <si>
    <t>Orchard to Rte 30 W to Lakewood S to Troon W to Rebecca N to home</t>
  </si>
  <si>
    <t>MONTGOMERY</t>
  </si>
  <si>
    <t>Kendall</t>
  </si>
  <si>
    <t>BRISTOL</t>
  </si>
  <si>
    <t>Full,Shared</t>
  </si>
  <si>
    <t>35X110</t>
  </si>
  <si>
    <t>2story duplex in Oswego schools.Area offers clubhouse, pool, tennis, volleyball, walking paths, park nearby.Close to mall,I-88 corridor.Walk your child to elem school around the corner.Duplex features upstairs laundry, pantry in kitchen, master walkin.Add ons-Expanded patio, ceiling fans, custom blinds,and oak stair and landing rails.Neutral colors makes it move in ready.EZ to show.Buy now and get in by school start</t>
  </si>
  <si>
    <t>LAKEWOOD CREEK ELEMENTARY SCHOOL</t>
  </si>
  <si>
    <t>TRAUGHBER JUNIOR HIGH SCHOOL</t>
  </si>
  <si>
    <t>OSWEGO HIGH SCHOOL</t>
  </si>
  <si>
    <t>13X12</t>
  </si>
  <si>
    <t>13X15</t>
  </si>
  <si>
    <t>Curtains/Drapes</t>
  </si>
  <si>
    <t>Loft</t>
  </si>
  <si>
    <t>12X11</t>
  </si>
  <si>
    <t>11-15 Years</t>
  </si>
  <si>
    <t>Bike Room/Bike Trails, Park/Playground, Pool-Outdoors, Tennis Court/s, Curbs/Gutters, Sidewalks, Street Lights, Street Paved</t>
  </si>
  <si>
    <t>Oven/Range, Dishwasher, Refrigerator, Washer, Dryer</t>
  </si>
  <si>
    <t>Island</t>
  </si>
  <si>
    <t>Common Insurance, Clubhouse, Pool, Lawn Care</t>
  </si>
  <si>
    <t>Ceiling Fan</t>
  </si>
  <si>
    <t>Vinyl Siding</t>
  </si>
  <si>
    <t>Garage Door Opener(s), Transmitter(s)</t>
  </si>
  <si>
    <t>2,5-$175 (on Net SP)</t>
  </si>
  <si>
    <t>Call LA</t>
  </si>
  <si>
    <t>Advantage Realty, Inc</t>
  </si>
  <si>
    <t>(815) 942-5252</t>
  </si>
  <si>
    <t>Stephen Stangland</t>
  </si>
  <si>
    <t>(815) 922-1269</t>
  </si>
  <si>
    <t>School Bus Service</t>
  </si>
  <si>
    <t>Call La Community clubhouse and pool EZ Show</t>
  </si>
  <si>
    <t>Bertram</t>
  </si>
  <si>
    <t>D</t>
  </si>
  <si>
    <t>Yorkville</t>
  </si>
  <si>
    <t>BRISTOL BAY</t>
  </si>
  <si>
    <t>Rte 47 to Galena (E) to ROSEWINKLE, 2ND L ON BERTRAM, 1ST L STAY ON BERTRAM.</t>
  </si>
  <si>
    <t>YORKVILLE</t>
  </si>
  <si>
    <t>Nice 1st floor corner condo in Bristol Bay subdivision.  2 bedrooms, 2 baths, Open floor plan! Kitchen w/ breakfast bar and ample cabinet space fully applianced plus W&amp;D! Patio outside of dining room with storage room. 1 car detached garage.  Taxes 100% This is a Short Sale. Easy to show. Email all offers to L.A. with buyers pre-approval and/or proof of funds. E.M. held by Sellers attorney (Angileri &amp; Associates).</t>
  </si>
  <si>
    <t>10X08</t>
  </si>
  <si>
    <t>13X14</t>
  </si>
  <si>
    <t>6-10 Years</t>
  </si>
  <si>
    <t>Oven/Range, Microwave, Dishwasher, Refrigerator, Washer, Dryer</t>
  </si>
  <si>
    <t>Eating Area-Breakfast Bar</t>
  </si>
  <si>
    <t>Water, Common Insurance, Clubhouse, Exercise Facilities, Pool, Exterior Maintenance, Lawn Care, Scavenger, Snow Removal</t>
  </si>
  <si>
    <t>Cats OK, Dogs OK, Pet Count Limitation</t>
  </si>
  <si>
    <t>Frame</t>
  </si>
  <si>
    <t>2.5% -$150.00 SUBJECT TO SHORT SALE (on Net SP)</t>
  </si>
  <si>
    <t>Email or text and call L.A. Easy to show! This is occupied.</t>
  </si>
  <si>
    <t>Broker Pro Realty Inc</t>
  </si>
  <si>
    <t>(630) 235-3383</t>
  </si>
  <si>
    <t>Bruce Patterson</t>
  </si>
  <si>
    <t>CC: Pursuant to Short Sale. CC:Pursuant to Short Sale. Subject to Lender Approval. Any Lender reduction in compensation to be shared 50/50 between listing and buyer broker. Condo is located in Special Service Area which is included in tax bill.</t>
  </si>
  <si>
    <t>Somerset</t>
  </si>
  <si>
    <t>LN</t>
  </si>
  <si>
    <t>Vernon Hills</t>
  </si>
  <si>
    <t>Plymouth Farms</t>
  </si>
  <si>
    <t>Butterfield S Of 60 to Plymouth Farms to Russett S to Somerset</t>
  </si>
  <si>
    <t>VERNON HILLS</t>
  </si>
  <si>
    <t>Lake</t>
  </si>
  <si>
    <t>VERNON</t>
  </si>
  <si>
    <t>2 BEDROOM 1.5 BATH TOWNHOME IN PLYMOUTH FARMS. WASHER DRYER IN UNIT. ATTACHED GARAGE.CLOSE TO METRA AND HAWTHORN SHOPPING CENTER. LOW ASSESMENTS. COMPLEX HAS A POOL. EVERYTHING NEW.</t>
  </si>
  <si>
    <t>HAWTHORN ELEMENTARY SCHOOL (SOUTH)</t>
  </si>
  <si>
    <t>HAWTHORN MIDDLE SCHOOL SOUTH</t>
  </si>
  <si>
    <t>VERNON HILLS HIGH SCHOOL</t>
  </si>
  <si>
    <t>22X12</t>
  </si>
  <si>
    <t>9X8</t>
  </si>
  <si>
    <t>Common Insurance, Pool, Exterior Maintenance, Lawn Care, Snow Removal</t>
  </si>
  <si>
    <t>Conventional, FHA, VA</t>
  </si>
  <si>
    <t>.5% (on Net SP)</t>
  </si>
  <si>
    <t>OF RECORD</t>
  </si>
  <si>
    <t>United Real Estate - Chicago</t>
  </si>
  <si>
    <t>(630) 748-4660</t>
  </si>
  <si>
    <t>Neal Metts</t>
  </si>
  <si>
    <t>847-219-2577</t>
  </si>
  <si>
    <t>Potawatomi</t>
  </si>
  <si>
    <t>TRL</t>
  </si>
  <si>
    <t>A</t>
  </si>
  <si>
    <t>Lake Zurich</t>
  </si>
  <si>
    <t>Mohawk Trails</t>
  </si>
  <si>
    <t>Old Rand South of 22 to Mhohawk Trail (behind Ela Library) to Potawatomi, 2nd street on left</t>
  </si>
  <si>
    <t>LAKE ZURICH</t>
  </si>
  <si>
    <t>ELA</t>
  </si>
  <si>
    <t>36X51X35X50</t>
  </si>
  <si>
    <t>Be in your new house before the holidays! Seller has even started deocorating for you! You'll love the feel of this sharp end unit with volume ceiling! Super clean and neutral!   Enjoy newer HVAC (2008)  Washer &amp; Dryer (2007) Water Heater &amp; Sump Pump (2014). Some newer windows &amp; carpet. Living Room window "as is".  Finished Basement with great storage! Spacious private patio for all your outdoor needs! Walk to town!</t>
  </si>
  <si>
    <t>MAY WHITNEY ELEMENTARY SCHOOL</t>
  </si>
  <si>
    <t>LAKE ZURICH MIDDLE - N CAMPUS</t>
  </si>
  <si>
    <t>LAKE ZURICH HIGH SCHOOL</t>
  </si>
  <si>
    <t>19X12</t>
  </si>
  <si>
    <t>14X11</t>
  </si>
  <si>
    <t>15X8</t>
  </si>
  <si>
    <t>28X12</t>
  </si>
  <si>
    <t>26-30 Years</t>
  </si>
  <si>
    <t>Sidewalks, Street Lights, Street Paved</t>
  </si>
  <si>
    <t>Finished</t>
  </si>
  <si>
    <t>Galley</t>
  </si>
  <si>
    <t>Fenced Yard</t>
  </si>
  <si>
    <t>Lawn Care, Snow Removal</t>
  </si>
  <si>
    <t>S (South)</t>
  </si>
  <si>
    <t>Brick, Cedar</t>
  </si>
  <si>
    <t>Townhouse-2 Story</t>
  </si>
  <si>
    <t>2.5% - 275 (on Net SP)</t>
  </si>
  <si>
    <t>Use showing assist</t>
  </si>
  <si>
    <t>Janet Sims Knighting</t>
  </si>
  <si>
    <t>RE/MAX Unlimited Northwest</t>
  </si>
  <si>
    <t>(847) 438-6200</t>
  </si>
  <si>
    <t>Patricia Hupperich, SRES</t>
  </si>
  <si>
    <t>(847) 865-5162</t>
  </si>
  <si>
    <t>Pete Hupperich</t>
  </si>
  <si>
    <t>Under contract, but can still show. Shows great!  Rentals are allowed!</t>
  </si>
  <si>
    <t>Harper</t>
  </si>
  <si>
    <t>53rd E/W to Harper. South to Building</t>
  </si>
  <si>
    <t>HYDE PARK</t>
  </si>
  <si>
    <t>Penthouse 2 bedroom condo with amazing Chicago skyline and lake views.  Bright open corner unit, freshly painted, new carpeting, and beautiful cherry floors. Updated eat-in kitchen, with washer/dryer combo, dishwasher, granite counters and cherry cabinets. 1 block away from Starbucks, restaurants, and shopping. Whole Foods coming in 2016. Easy access to 53rd and 57th street shops and restaurants, Metra, public transp</t>
  </si>
  <si>
    <t>17X11</t>
  </si>
  <si>
    <t>15X7</t>
  </si>
  <si>
    <t>Stone</t>
  </si>
  <si>
    <t>Bike Room/Bike Trails, Coin Laundry, Elevator, Exercise Room</t>
  </si>
  <si>
    <t>Water, Common Insurance, Exercise Facilities, Lawn Care, Scavenger, Snow Removal</t>
  </si>
  <si>
    <t>2.5% - $325 (on Net SP)</t>
  </si>
  <si>
    <t>Call/Text Terri 312-208-5166; Molly 312-772-3112</t>
  </si>
  <si>
    <t>RE/MAX Premier Properties</t>
  </si>
  <si>
    <t>(312) 475-1717</t>
  </si>
  <si>
    <t>Terri Buseman, BPOR,e-PRO,GRI</t>
  </si>
  <si>
    <t>(312) 208-5166</t>
  </si>
  <si>
    <t>Previous Special Assessment paid in full  Reserves $37,423  Some pictures are virtually staged.</t>
  </si>
  <si>
    <t>COURT OF SHOREWOOD</t>
  </si>
  <si>
    <t>2A</t>
  </si>
  <si>
    <t>Oakwood &amp; Rt 45.  South to Cherry Valley. West to Court of Shorewood.</t>
  </si>
  <si>
    <t>COMMON GROUNDS</t>
  </si>
  <si>
    <t>Fannie Mae HomePath property. Home located in highly desirable Court of Shorewood subdivision of Vernon Hills. Home features 2 bedrooms &amp; 2 baths. All new paint and carpeting throughout. Stevenson School District.  Close to shopping, entertainment &amp; commuter routes. Detailed offer instructions attached in MLS. Buyer responsible for IL Condo Act 94-1049 per IL Statute.</t>
  </si>
  <si>
    <t>18X12</t>
  </si>
  <si>
    <t>3% (on Net SP)</t>
  </si>
  <si>
    <t>Call 855-746-9100</t>
  </si>
  <si>
    <t>Fannie Mae</t>
  </si>
  <si>
    <t>Baird &amp; Warner</t>
  </si>
  <si>
    <t>(847) 392-1855</t>
  </si>
  <si>
    <t>Gary Willis, GRI,SFR</t>
  </si>
  <si>
    <t>(847) 970-8121</t>
  </si>
  <si>
    <t>W</t>
  </si>
  <si>
    <t>See Additional Info for offer requirements.Seller has directed all offers to be made using HomPath Online Offer system at homepath.com. Required documents attached.  IL Condo Act 94-1049 applies. Verbally accepted offer-paperwork pending.</t>
  </si>
  <si>
    <t>Lexington</t>
  </si>
  <si>
    <t>Fox Lake</t>
  </si>
  <si>
    <t>Leisure Village</t>
  </si>
  <si>
    <t>State Park Rd and Grass Lk, E2 Leisure Village Gate, R2 Lexington veer L2#</t>
  </si>
  <si>
    <t>FOX LAKE</t>
  </si>
  <si>
    <t>ANTIOCH</t>
  </si>
  <si>
    <t>EXPANDED BARONET</t>
  </si>
  <si>
    <t>1308.81`</t>
  </si>
  <si>
    <t>Homeowner, Senior</t>
  </si>
  <si>
    <t>Lots of sunny windows &amp; newer skylight in this open concept expanded Baronet. Sun room overlooking professionally manicured lawn with a private setting. Recently painted, newer skylight. Kitchen has had some updating.  55+ Gated Community with golf course, rec center, auditorium, 2 lakes, greenhouse, swimming pool, tennis courts, shuffle board, library, bus service. Live the Leisure Village country club style life!</t>
  </si>
  <si>
    <t>18X15</t>
  </si>
  <si>
    <t>13X13</t>
  </si>
  <si>
    <t>Sun/Florida Room</t>
  </si>
  <si>
    <t>16X08</t>
  </si>
  <si>
    <t>41-50 Years</t>
  </si>
  <si>
    <t>Exercise Room, Golf Course, Pool-Outdoors</t>
  </si>
  <si>
    <t>Oven/Range, Dishwasher, Washer, Dryer, Disposal</t>
  </si>
  <si>
    <t>Eating Area-Breakfast Bar, Pantry-Closet</t>
  </si>
  <si>
    <t>Handicap Shower</t>
  </si>
  <si>
    <t>Landscaped Professionally</t>
  </si>
  <si>
    <t>Common Insurance, Clubhouse, Exercise Facilities, Pool, Exterior Maintenance, Lawn Care, Scavenger, Snow Removal, Lake Rights, Other</t>
  </si>
  <si>
    <t>Circuit Breakers, 150 Amp Service</t>
  </si>
  <si>
    <t>Manager On-site, Monday through Saturday</t>
  </si>
  <si>
    <t>Electric, Baseboard</t>
  </si>
  <si>
    <t>2.5%-$200 (on Gross SP)</t>
  </si>
  <si>
    <t>Easy to show but must contact owner so give some notice</t>
  </si>
  <si>
    <t>Of record</t>
  </si>
  <si>
    <t>RE/MAX Advantage Realty</t>
  </si>
  <si>
    <t>(847) 395-3000</t>
  </si>
  <si>
    <t>Kim Schnoor, ABR,SFR</t>
  </si>
  <si>
    <t>(847) 973-0700</t>
  </si>
  <si>
    <t>847-973-0700</t>
  </si>
  <si>
    <t>Adult Community</t>
  </si>
  <si>
    <t>Contact Diane Perry at 847-508-8649 with any questions. Easy and a pleasure to show</t>
  </si>
  <si>
    <t>Riverwoods</t>
  </si>
  <si>
    <t>North Ave between Thatcher and 1st Ave, south on Riverwoods Dr. all the way to the back.</t>
  </si>
  <si>
    <t>Fresh and clean 2 bedroom and two bath condo.  All hardwood floors and in unit laundry.  Granite counters in kitchen.  Large closets in a lovely building with great party room, exercise facility and roof top hot tub. Excellently managed and strong reserves. Building is 55 and older, although 20% can be under 55.  Must see you won't be disappointed.</t>
  </si>
  <si>
    <t>21X13</t>
  </si>
  <si>
    <t>COMBO</t>
  </si>
  <si>
    <t>10X09</t>
  </si>
  <si>
    <t>Forest Preserve Adjacent, Wooded</t>
  </si>
  <si>
    <t>Water, Parking, Common Insurance, TV/Cable, Clubhouse, Exercise Facilities, Exterior Maintenance, Lawn Care, Scavenger, Snow Removal</t>
  </si>
  <si>
    <t>W (West)</t>
  </si>
  <si>
    <t>Garage Door Opener(s), Transmitter(s), Heated, 7 Foot or more high garage door</t>
  </si>
  <si>
    <t>2.5% - $300 (on Net SP)</t>
  </si>
  <si>
    <t>Call listing office</t>
  </si>
  <si>
    <t>Weichert Realtors-Nickel Group</t>
  </si>
  <si>
    <t>(708) 848-5550</t>
  </si>
  <si>
    <t>Donna Serpico</t>
  </si>
  <si>
    <t>(708) 565-5262</t>
  </si>
  <si>
    <t>708-565-5262</t>
  </si>
  <si>
    <t>This is a nice unit in great building.</t>
  </si>
  <si>
    <t>BURLINGTON</t>
  </si>
  <si>
    <t>Brookfield</t>
  </si>
  <si>
    <t>South of Tracks between Maple and Prairie</t>
  </si>
  <si>
    <t>BROOKFIELD</t>
  </si>
  <si>
    <t>2 Bedroom, 1 Bath Brick and Sided Townhouse with Hardwood Floors, an Eat-In Kitchen and a Fenced Yard. Close to Schools, Dining, Shopping and Transportation. Hud owned Property. Sold "AS IS". Case #137-571067. Insured Status: IE (Insured with Escrow) Escrow amount $220. Eligible for 203K Financing.</t>
  </si>
  <si>
    <t>19X15</t>
  </si>
  <si>
    <t>51-60 Years</t>
  </si>
  <si>
    <t>Curbs/Gutters, Sidewalks, Street Lights, Street Paved</t>
  </si>
  <si>
    <t>Brick, Frame</t>
  </si>
  <si>
    <t>Variable</t>
  </si>
  <si>
    <t>Showing Assistant Service</t>
  </si>
  <si>
    <t>HUD</t>
  </si>
  <si>
    <t>Chicago Realty Partners, Ltd</t>
  </si>
  <si>
    <t>(312) 575-0100</t>
  </si>
  <si>
    <t>Arthur Cirignani, CCIM</t>
  </si>
  <si>
    <t>School Bus Service, Commuter Bus, Commuter Train</t>
  </si>
  <si>
    <t>For more Information go to www.hudpemco.com and To place Bid go to www.HUDHomestore.com.</t>
  </si>
  <si>
    <t>Caldwell</t>
  </si>
  <si>
    <t>Geneva</t>
  </si>
  <si>
    <t>STERLING MANOR</t>
  </si>
  <si>
    <t>Fargo to Lewis to Caldwell</t>
  </si>
  <si>
    <t>GENEVA</t>
  </si>
  <si>
    <t>Kane</t>
  </si>
  <si>
    <t>HAMPTON</t>
  </si>
  <si>
    <t>Shared</t>
  </si>
  <si>
    <t>Move in ready! New paint, new carpet, new granite, new ss appliances, new lighting! Immaculate townhome with spacious loft for an office or easy conversion to a 3rd bedroom. Also easy conversion for an additional bath.  Buy now, expand later. Great maintenance free deck off back with nice views. 2 car attached garage--keep those cars warm and ice and snow free in the winter.  Quick close is ok.</t>
  </si>
  <si>
    <t>15X14</t>
  </si>
  <si>
    <t>16-20 Years</t>
  </si>
  <si>
    <t>Oven/Range, Microwave, Dishwasher, Refrigerator, Disposal, All Stainless Steel Kitchen Appliances</t>
  </si>
  <si>
    <t>TV-Cable, Ceiling Fan</t>
  </si>
  <si>
    <t>2.5% (on Gross SP)</t>
  </si>
  <si>
    <t>Call 1-855-746-9093 Easy to show</t>
  </si>
  <si>
    <t>oor</t>
  </si>
  <si>
    <t>RE/MAX Excels</t>
  </si>
  <si>
    <t>(630) 208-7400</t>
  </si>
  <si>
    <t>Wayne Reuter</t>
  </si>
  <si>
    <t>(630) 513-3174</t>
  </si>
  <si>
    <t>Updated townhome! Shows great! Does not back to railroad tracks or roads.</t>
  </si>
  <si>
    <t>Western</t>
  </si>
  <si>
    <t>Pershing to Western South</t>
  </si>
  <si>
    <t>LAKE</t>
  </si>
  <si>
    <t>Newer built building, much potential in this 2 bedroom, 2 bath condo. Unit needs repairs. Building is not FHA approved.</t>
  </si>
  <si>
    <t>4th Level</t>
  </si>
  <si>
    <t>18X10</t>
  </si>
  <si>
    <t>13X09</t>
  </si>
  <si>
    <t>Assigned Spaces, Off Alley</t>
  </si>
  <si>
    <t>3% (on Gross SP)</t>
  </si>
  <si>
    <t>Use Showing Assist Link Below</t>
  </si>
  <si>
    <t>Owner Of Record</t>
  </si>
  <si>
    <t>Goldtree Realty, Inc</t>
  </si>
  <si>
    <t>(847) 674-4445</t>
  </si>
  <si>
    <t>Ira Mizell</t>
  </si>
  <si>
    <t>Seller has directed all offers be presented on HomePath.com. Download Contract Package from MLS under Additional Information. Real Estate Purchase addendum must accompany all offers. No Personal Property Included.</t>
  </si>
  <si>
    <t>Carriage Way</t>
  </si>
  <si>
    <t>C-220</t>
  </si>
  <si>
    <t>Burr Ridge</t>
  </si>
  <si>
    <t>CARRIAGE WAY</t>
  </si>
  <si>
    <t>COUNTY LINE RD NORTH OF I55 TO EAST ON CARRIAGE WAY TO PROPERTY</t>
  </si>
  <si>
    <t>BURR RIDGE</t>
  </si>
  <si>
    <t>LYONS</t>
  </si>
  <si>
    <t>Rare split bedroom floor plan (2 masters). Granite counters in kitchen  &amp; bathrooms. Beautiful bright 2nd fl w/ FP &amp; new balcony overlooking a gorgeous courtyard. Enjoy quiet location, newer dishwasher, in-unit laundry, heated indoor parking &amp; free self-wash car wash in garage plus private extra storage. Mins from the new Burr Ridge town center w/ great restaurants &amp; shopping. Walking path to Lake Carriage Way Lake.</t>
  </si>
  <si>
    <t>PLEASANTDALE ELEMENTARY SCHOOL</t>
  </si>
  <si>
    <t>PLEASANTDALE MIDDLE SCHOOL</t>
  </si>
  <si>
    <t>LYONS TWP HIGH SCHOOL</t>
  </si>
  <si>
    <t>19X18</t>
  </si>
  <si>
    <t>19X11</t>
  </si>
  <si>
    <t>Foyer</t>
  </si>
  <si>
    <t>10X4</t>
  </si>
  <si>
    <t>Elevator, Storage, Security Door Locks, Curbs/Gutters, Sidewalks, Street Paved</t>
  </si>
  <si>
    <t>Common Grounds, Landscaped Professionally</t>
  </si>
  <si>
    <t>Heat, Water, Common Insurance, Lawn Care, Scavenger, Snow Removal</t>
  </si>
  <si>
    <t>TV-Cable, CO Detectors, Ceiling Fan</t>
  </si>
  <si>
    <t>Wood Burning, Attached Fireplace Doors/Screen</t>
  </si>
  <si>
    <t>Condo, Low Rise (1-3 Stories)</t>
  </si>
  <si>
    <t>2.5%-200 (on Gross SP)</t>
  </si>
  <si>
    <t>Click on Showing Assist below. Some notice required.</t>
  </si>
  <si>
    <t>Charles Rutenberg Realty of IL</t>
  </si>
  <si>
    <t>(630) 929-1100</t>
  </si>
  <si>
    <t>Brian Thompson, SRS</t>
  </si>
  <si>
    <t>(630) 816-5485</t>
  </si>
  <si>
    <t>The underground garage parking space is #66. When exiting the unit go right and down the hall. Stay right and you'll come to the elevator and stairs. The parking space is 10 feet from the elevator.</t>
  </si>
  <si>
    <t>Ruby</t>
  </si>
  <si>
    <t>ST</t>
  </si>
  <si>
    <t>2E</t>
  </si>
  <si>
    <t>Irving Park Road to 25th Street then south to Ruby then south to subject building</t>
  </si>
  <si>
    <t>This is a beautiful, 2-bedroom, 1-bathroom unit in move-in condition! Enter into a large LR/DR area just a few steps away from a nicely updated kitchen. Enjoy an updated bathroom too! All bedrooms are spacious with ample closet space. Close to schools, shopping and transportation. A must see. A 10! Show and sell.</t>
  </si>
  <si>
    <t>16X13</t>
  </si>
  <si>
    <t>Lake Michigan, Public</t>
  </si>
  <si>
    <t>1 (Window/Wall Unit)</t>
  </si>
  <si>
    <t>Storage, Curbs/Gutters, Sidewalks, Street Lights, Street Paved</t>
  </si>
  <si>
    <t>Heat, Water, Gas, Parking, Common Insurance, Security System, Exterior Maintenance, Lawn Care, Scavenger, Snow Removal</t>
  </si>
  <si>
    <t>Self-Management</t>
  </si>
  <si>
    <t>S (South), E (East)</t>
  </si>
  <si>
    <t>Cats OK</t>
  </si>
  <si>
    <t>Click below on "Schedule a Showing."</t>
  </si>
  <si>
    <t>Keller Williams Realty Ptnr,LL</t>
  </si>
  <si>
    <t>(847) 685-8300</t>
  </si>
  <si>
    <t>Peter Drossos</t>
  </si>
  <si>
    <t>(773) 593-5626</t>
  </si>
  <si>
    <t>All offers must be made using the HomePath Online Offer system at www.HomePath.com; all forms are on-line. Call 1-866-218-4446 for help. Questions? Email or text. Transfer stamps are a buyer charge.  Public Act 94-1049 APPLIES.</t>
  </si>
  <si>
    <t>Bar Harbor</t>
  </si>
  <si>
    <t>Pingree Grove</t>
  </si>
  <si>
    <t>CAMBRIDGE LAKES</t>
  </si>
  <si>
    <t>take rt. 72 W to Richard Brown Blvd. right to wester to lighthouse lane turn left to Newport circle</t>
  </si>
  <si>
    <t>PINGREE GROVE</t>
  </si>
  <si>
    <t>RUTLAND</t>
  </si>
  <si>
    <t>BUTTERFIELD</t>
  </si>
  <si>
    <t>50 X 100</t>
  </si>
  <si>
    <t>NEW</t>
  </si>
  <si>
    <t>Opening new Bldg. Beautiful 2 bd. rm. w/loft - 2.5 bath-lux. bath-A/C-stainless appliances-LVT flooring- in kit. and foyer-dark cabinets are beautiful against the stainless app. package-staggered cabinets-we offer $3500 toward closing cost by using DHI mortgage- offered are VA-FHA-Conv. First time buyers programs.</t>
  </si>
  <si>
    <t>GARY WRIGHT ELEMENTARY SCHOOL</t>
  </si>
  <si>
    <t>HAMPSHIRE MIDDLE SCHOOL</t>
  </si>
  <si>
    <t>HAMPSHIRE HIGH SCHOOL</t>
  </si>
  <si>
    <t>Cambridge Lakes Learning Center</t>
  </si>
  <si>
    <t>14X12</t>
  </si>
  <si>
    <t>14X8</t>
  </si>
  <si>
    <t>11X19</t>
  </si>
  <si>
    <t>NEW Under Construction</t>
  </si>
  <si>
    <t>Well-Community</t>
  </si>
  <si>
    <t>Bike Room/Bike Trails</t>
  </si>
  <si>
    <t>Common Insurance, Clubhouse, Exercise Facilities, Pool, Exterior Maintenance, Lawn Care, Snow Removal, Lake Rights</t>
  </si>
  <si>
    <t>Central Air, Energy Efficient Package</t>
  </si>
  <si>
    <t>Vinyl Siding, Stone</t>
  </si>
  <si>
    <t>Cluster</t>
  </si>
  <si>
    <t>7 Foot or more high garage door</t>
  </si>
  <si>
    <t>Driveway</t>
  </si>
  <si>
    <t>Realtor.com</t>
  </si>
  <si>
    <t>call 847-984-4883 for appointment</t>
  </si>
  <si>
    <t>DR Horton</t>
  </si>
  <si>
    <t>Chris Naatz</t>
  </si>
  <si>
    <t>(847) 521-6251</t>
  </si>
  <si>
    <t>Christopher Naatz</t>
  </si>
  <si>
    <t>(847) 984-4523</t>
  </si>
  <si>
    <t>School Bus Service, Interstate Access</t>
  </si>
  <si>
    <t>Must be with client on 1st visit-or call 847-984-4883 to set appointment- or visit 1331 Newport Circle, Pingree Grove, IL.</t>
  </si>
  <si>
    <t>65th</t>
  </si>
  <si>
    <t>PL</t>
  </si>
  <si>
    <t>LSD to 57th Street, east to Stony, south to 65th place</t>
  </si>
  <si>
    <t>SCANDINAVIAN</t>
  </si>
  <si>
    <t>50X150</t>
  </si>
  <si>
    <t>Bright and beautiful 2 bedroom resale at the Scandinavian. Spacious living room with sunporch, great big eat in kitchen, terra-cotta tiled bath, washer/ dryer in unit, separate office/ den area and best of all - private garage parking. Don't miss it. This is a BofA approved short sale. Seller has retained experienced short sale attorney.</t>
  </si>
  <si>
    <t>3rd Level</t>
  </si>
  <si>
    <t>9X7</t>
  </si>
  <si>
    <t>14X9</t>
  </si>
  <si>
    <t>100+ Years</t>
  </si>
  <si>
    <t>Curbs/Gutters, Gated Entry, Sidewalks, Street Lights, Street Paved</t>
  </si>
  <si>
    <t>Unfinished, Exterior Access</t>
  </si>
  <si>
    <t>Circuit Breakers, 100 Amp Service</t>
  </si>
  <si>
    <t>Security System, Intercom, CO Detectors, Ceiling Fan</t>
  </si>
  <si>
    <t>N (North), S (South), E (East), Park</t>
  </si>
  <si>
    <t>2.5%-$200 (on Net SP)</t>
  </si>
  <si>
    <t>Text Madelaine 773 818 6318</t>
  </si>
  <si>
    <t>MetroPro Realty LLC</t>
  </si>
  <si>
    <t>(773) 667-1000</t>
  </si>
  <si>
    <t>Madelaine Gerbaulet-Vanasse</t>
  </si>
  <si>
    <t>(773) 818-6318</t>
  </si>
  <si>
    <t>773 818 6318</t>
  </si>
  <si>
    <t>E</t>
  </si>
  <si>
    <t>CC: Pursuant to Short Sale. Adorable unit, spacious, bright, well managed association. Price approved by BofA. Seller has retained experienced short sale attorney.</t>
  </si>
  <si>
    <t>Limestone</t>
  </si>
  <si>
    <t>Carpentersville</t>
  </si>
  <si>
    <t>rt 25 to Silverstone W to Limestone S</t>
  </si>
  <si>
    <t>DUNDEE</t>
  </si>
  <si>
    <t>2 STORY END UNIT TOWNHOUSE WITH 2 BEDROOM AND LOFT, PERFECT FOR OFFICE. ATTACHED 1 CAR GARAGE. GREAT FOR FIRST TIME BUYERS. AMAZING INVESTMENT OPPORTUNITY!</t>
  </si>
  <si>
    <t>ALGONQUIN LAKE ELEMENTARY SCHOOL</t>
  </si>
  <si>
    <t>ALGONQUIN MIDDLE SCHOOL</t>
  </si>
  <si>
    <t>DUNDEE-CROWN HIGH SCHOOL</t>
  </si>
  <si>
    <t>Forced Air</t>
  </si>
  <si>
    <t>2.5% - 250 (on Net SP)</t>
  </si>
  <si>
    <t>CSS 877-977-1010</t>
  </si>
  <si>
    <t>Coldwell Banker Honig-Bell</t>
  </si>
  <si>
    <t>(847) 658-5000</t>
  </si>
  <si>
    <t>Dominque Kay</t>
  </si>
  <si>
    <t>CC: Pursuant to Short Sale. Short sale and any lender reduction in commission will be split 50/50. Sold as-Is.</t>
  </si>
  <si>
    <t>PEORIA</t>
  </si>
  <si>
    <t>MORGAN TO 116TH, E TO PEORIA, N TO ADDRESS</t>
  </si>
  <si>
    <t>26X102</t>
  </si>
  <si>
    <t>2 Bedroom, 1.5 Bath Brick and Frame Duplexed Townhouse with an Eat-In Kitchen. Close to Shopping, Schools and Park. This is a Fannie Mae HomePath Property.</t>
  </si>
  <si>
    <t>11X09</t>
  </si>
  <si>
    <t>Lower</t>
  </si>
  <si>
    <t>Finished, Exterior Access</t>
  </si>
  <si>
    <t>Eating Area-Table Space, Pantry-Closet</t>
  </si>
  <si>
    <t>Townhouse-Ranch</t>
  </si>
  <si>
    <t>$1,000 (on Gross SP)</t>
  </si>
  <si>
    <t>â€œThe Seller has directed that all offers on this listing be made using the HomePath Online Offer System at www.Homepath.comâ€. Also fax offers to 312-454-4465.</t>
  </si>
  <si>
    <t>Lakeview</t>
  </si>
  <si>
    <t>Bloomingdale</t>
  </si>
  <si>
    <t>Medinah on the Lake</t>
  </si>
  <si>
    <t>LAKE STREET E OF BLOOMINDALE TO LAKEVIEW, NORTH</t>
  </si>
  <si>
    <t>FHA and VA Approved!!! "We offer the combination of Newer Construction and Gorgeous Nature Views that no one else has in the area to offer." Slightly used new spacious condo for sale, serene private lake setting, tremendous value, in unit laundry, gas cooking, indoor parking and storage included.    Community Features: Club House, Heatd Outdoor PL, Fitness Center, Beach and Fire Pit.</t>
  </si>
  <si>
    <t>DUJARDIN ELEMENTARY SCHOOL</t>
  </si>
  <si>
    <t>WESTFIELD MIDDLE SCHOOL</t>
  </si>
  <si>
    <t>13X19</t>
  </si>
  <si>
    <t>10X12</t>
  </si>
  <si>
    <t>11X9</t>
  </si>
  <si>
    <t>Balcony</t>
  </si>
  <si>
    <t>5X10</t>
  </si>
  <si>
    <t>Sewer-Public, Sewer-Storm</t>
  </si>
  <si>
    <t>Bike Room/Bike Trails, Elevator, Exercise Room, Storage, Party Room, Pool-Outdoors, Sauna, Tennis Court/s, Curbs/Gutters, Sidewalks, Street Lights, Street Paved</t>
  </si>
  <si>
    <t>Double Sink</t>
  </si>
  <si>
    <t>Common Grounds, Landscaped Professionally, Wooded</t>
  </si>
  <si>
    <t>Heat, Water, Gas, Parking, Common Insurance, Clubhouse, Pool, Exterior Maintenance, Lawn Care, Scavenger, Snow Removal</t>
  </si>
  <si>
    <t>TV-Cable, Fire Sprinklers</t>
  </si>
  <si>
    <t>Developer Controls</t>
  </si>
  <si>
    <t>Brick, Stone</t>
  </si>
  <si>
    <t>Heated</t>
  </si>
  <si>
    <t>2.5% (on Net SP)</t>
  </si>
  <si>
    <t>Contact Sales Office 1.630.980.7300 mhollman@medinahonthelake.com Mon, Wed, Fri 9-6 Sat &amp; Sun 11-5</t>
  </si>
  <si>
    <t>Bloomingdale72</t>
  </si>
  <si>
    <t>BJP Real Estate LLC</t>
  </si>
  <si>
    <t>(630) 887-1705</t>
  </si>
  <si>
    <t>Matthew Hollman</t>
  </si>
  <si>
    <t>FHA Approved!!!  Please note that we own units in 105 Lakeview Drive and 125 Lakeview Drive.  We are currently pay 3.5% co-op at closing on all three bedrooms only, through the end of the year.</t>
  </si>
  <si>
    <t>Karswell</t>
  </si>
  <si>
    <t>SPRINGBROOK VILLAS</t>
  </si>
  <si>
    <t>Fairfield (S) of Lake St to Springbrook (W) to Karswell (N)</t>
  </si>
  <si>
    <t>ABERDEEN</t>
  </si>
  <si>
    <t>IMPECCABLY MAINTAINED TOWNHOME! 2 STY LIV RM BOAST HRDWD FLR, GAS FP*LARGE MASTER SUITE W/PRIV UPDATED BTH INCLUDES DBL SINK, SOAK TUB, NEW SHWR, PORCELAIN TILE*HUGE EAT-IN KIT, 42" CABS, RECESSED LGHTS, ISLAND, GRANITE, NEWER FRIDGE &amp; DISHWSHR, DBL PANTRY*FULL FIN BSMNT W/FULL BATH*LOFT COULD BE 3RD BDRM*DIN RM W/SGD TO PATIO*NEWER WINDOWS T/O, NEWER LG WASHER/DRYER*BRAND NEW FURNACE &amp; A/C*GREAT SCHOOLS &amp; LOCATION!</t>
  </si>
  <si>
    <t>18X13</t>
  </si>
  <si>
    <t>17X15</t>
  </si>
  <si>
    <t>21X18</t>
  </si>
  <si>
    <t>10X06</t>
  </si>
  <si>
    <t>Eating Area-Table Space, Island, Pantry-Closet</t>
  </si>
  <si>
    <t>Separate Shower, Double Sink, Soaking Tub</t>
  </si>
  <si>
    <t>Exterior Maintenance, Lawn Care, Snow Removal</t>
  </si>
  <si>
    <t>Eating Area, Foyer, Loft</t>
  </si>
  <si>
    <t>Humidifier, Ceiling Fan, Sump Pump</t>
  </si>
  <si>
    <t>Aluminum Siding, Vinyl Siding, Steel Siding</t>
  </si>
  <si>
    <t>Gas Logs, Gas Starter</t>
  </si>
  <si>
    <t>2 HOUR NOTICE, USE SHOWING ASSIST OR CALL 855-919-0376</t>
  </si>
  <si>
    <t>RE/MAX All Pro</t>
  </si>
  <si>
    <t>(630) 980-4000</t>
  </si>
  <si>
    <t>Tim Binning</t>
  </si>
  <si>
    <t>(630) 339-4011</t>
  </si>
  <si>
    <t>34W951</t>
  </si>
  <si>
    <t>Stanton</t>
  </si>
  <si>
    <t>St. Charles</t>
  </si>
  <si>
    <t>STANTON SQUARE</t>
  </si>
  <si>
    <t>RT 25 (N OF ARMY TRAIL) 2 MAY ST N2 STANTON RIGHT &amp; PARK IN FRONT OF E GARAGE &amp; WALK AROUND ON LEFT.</t>
  </si>
  <si>
    <t>UNINCORPORATED</t>
  </si>
  <si>
    <t>ST. CHARLES</t>
  </si>
  <si>
    <t>RARE OPPORTUNITY FOR AFFORDABILITY &amp; EXCELLENT MOVE IN CONDITION IN BEAUTIFUL ST. CHARLES! End Unit location in back provides spacious private yard! Lite &amp; brite KIT includes appl's. Good size MBR. Full size washer &amp; dryer.  Newer roof and furnace. 1 block to Fox River Bike Path and awesome River Bend Park. Walk to Anderson Elementary, Fox River &amp; Tekakwitha Woods. EZ access to Red Gate and Stearns Rd bridges.</t>
  </si>
  <si>
    <t>17X13</t>
  </si>
  <si>
    <t>17X9</t>
  </si>
  <si>
    <t>Common Insurance, Exterior Maintenance, Lawn Care, Scavenger, Snow Removal</t>
  </si>
  <si>
    <t>Cats OK, Dogs OK, Pet Weight Limitation</t>
  </si>
  <si>
    <t>Cedar</t>
  </si>
  <si>
    <t>Condo, Quad-Ranch, Townhouse-Ranch</t>
  </si>
  <si>
    <t>Unassigned</t>
  </si>
  <si>
    <t>3%-$200 (on Net SP)</t>
  </si>
  <si>
    <t>Call CSS 855.746.9093</t>
  </si>
  <si>
    <t>Janice Cordova</t>
  </si>
  <si>
    <t>Brian Henry</t>
  </si>
  <si>
    <t>(630) 513-3162</t>
  </si>
  <si>
    <t>Conventional &amp; cash.  Cannot be rented.</t>
  </si>
  <si>
    <t>Sweetwater</t>
  </si>
  <si>
    <t>Darien</t>
  </si>
  <si>
    <t>REFLECTIONS</t>
  </si>
  <si>
    <t>Cass to Hinswood Dr. East to Sweetwater Ct.</t>
  </si>
  <si>
    <t>DARIEN</t>
  </si>
  <si>
    <t>DOWNERS GROVE</t>
  </si>
  <si>
    <t>MORNING STAR</t>
  </si>
  <si>
    <t>AS PER SURVEY</t>
  </si>
  <si>
    <t>This is a perfect home in a great location. Quiet cul-de-sac with a beautiful backyard. Updated kitchen, hardwood flooring, newer plush carpeting. Huge Master suite with vaulted ceiling and vanity area. 2nd Bd w/wic and full bath. Extra insulation for lower utility bills. Light and bright beautiful home close to shopping, expressways, parks and downtown.</t>
  </si>
  <si>
    <t>HINSDALE SOUTH HIGH SCHOOL</t>
  </si>
  <si>
    <t>20X14</t>
  </si>
  <si>
    <t>Blinds, Curtains/Drapes</t>
  </si>
  <si>
    <t>10X6</t>
  </si>
  <si>
    <t>Parking, Common Insurance, Exterior Maintenance, Lawn Care, Snow Removal</t>
  </si>
  <si>
    <t>Gas Logs</t>
  </si>
  <si>
    <t>2.5% - $200 (on Net SP)</t>
  </si>
  <si>
    <t>Must call listing agent to show Jane Eaton 630 235 0936</t>
  </si>
  <si>
    <t>Coldwell Banker Residential</t>
  </si>
  <si>
    <t>(630) 954-4600</t>
  </si>
  <si>
    <t>Jane Eaton</t>
  </si>
  <si>
    <t>(630) 928-8894</t>
  </si>
  <si>
    <t>Please call Listing agent to show at least 2 hour notice Jane Eaton (630) 235-0936</t>
  </si>
  <si>
    <t>ORCHARD</t>
  </si>
  <si>
    <t>Naperville</t>
  </si>
  <si>
    <t>BAILEYWOOD</t>
  </si>
  <si>
    <t>NAPER S. OF 75TH TO HARLOWE W. TO ORCHARD</t>
  </si>
  <si>
    <t>NAPERVILLE</t>
  </si>
  <si>
    <t>LISLE</t>
  </si>
  <si>
    <t>SHERWOOD</t>
  </si>
  <si>
    <t>BEAUTIFULLY MAINTAINED * OPEN FLOOR PLAN - GREAT FOR ENTERTAINING * NICE VIEWS * SPACIOUS KITCHEN WITH CORIAN, STAINLESS STEEL APPLIANCES, CERAMIC TILE, BREAKFAST AREA WITH A VIEW * VAULTED MASTER BEDROOM W/WALK-IN CLOSET, CEILING FAN, PRIVATE BATH * HUGE LOWER LEVEL FINISHED REC ROOM PLUS FULL BATH * 2 CAR GARAGE WITH LOTS OF CABINETS FOR STORAGE * GREAT LOCATION * NEW FURNACE 2014 * NEW ROOF 2013</t>
  </si>
  <si>
    <t>ELMWOOD ELEMENTARY SCHOOL</t>
  </si>
  <si>
    <t>LINCOLN JUNIOR HIGH SCHOOL</t>
  </si>
  <si>
    <t>NAPERVILLE CENTRAL HIGH SCHOOL</t>
  </si>
  <si>
    <t>19X13</t>
  </si>
  <si>
    <t>14X13</t>
  </si>
  <si>
    <t>19X10</t>
  </si>
  <si>
    <t>Recreation Room</t>
  </si>
  <si>
    <t>30X24</t>
  </si>
  <si>
    <t>Park/Playground</t>
  </si>
  <si>
    <t>Water, Common Insurance, Exterior Maintenance, Lawn Care, Scavenger, Snow Removal</t>
  </si>
  <si>
    <t>Security System, Ceiling Fan</t>
  </si>
  <si>
    <t>Wood Burning</t>
  </si>
  <si>
    <t>Condo, Townhouse-2 Story</t>
  </si>
  <si>
    <t>see showing request</t>
  </si>
  <si>
    <t>Watson</t>
  </si>
  <si>
    <t>john greene, Realtor</t>
  </si>
  <si>
    <t>(630) 820-6500</t>
  </si>
  <si>
    <t>Liz Neilson, ABR</t>
  </si>
  <si>
    <t>Barton</t>
  </si>
  <si>
    <t>Batavia</t>
  </si>
  <si>
    <t>Randall Rd West on Wilson, South on Barton to Barton Trail</t>
  </si>
  <si>
    <t>BATAVIA</t>
  </si>
  <si>
    <t>Well Maintained Two Story Townhome with upgraded flooring, Fireplace, Vaulted Ceiling, Patio, Master Suite, Loft, First Floor Laundry, Eat In Kitchen, Family Room and Dining Room, 2 Car Garage and Private Entrance.  Move In Ready!</t>
  </si>
  <si>
    <t>11X8</t>
  </si>
  <si>
    <t>19X9</t>
  </si>
  <si>
    <t>Oven/Range, Microwave, Dishwasher, Refrigerator, Disposal</t>
  </si>
  <si>
    <t>Eating Area-Breakfast Bar, Eating Area-Table Space</t>
  </si>
  <si>
    <t>Water-Softener Owned, CO Detectors</t>
  </si>
  <si>
    <t>2.5% - $200 (on Gross SP)</t>
  </si>
  <si>
    <t>Call Listing Office or Agent</t>
  </si>
  <si>
    <t>Signature Real Estate</t>
  </si>
  <si>
    <t>(815) 754-5050</t>
  </si>
  <si>
    <t>Carrie Ottum</t>
  </si>
  <si>
    <t>(815) 739-1275</t>
  </si>
  <si>
    <t>CC: Pursuant to Short Sale. Property sold "as is". Bank approval needed. 100% tax proration, no survey. NO SHOWINGS UNTIL NOV. 1ST</t>
  </si>
  <si>
    <t>Williamsburg</t>
  </si>
  <si>
    <t>Wheaton</t>
  </si>
  <si>
    <t>Hollybrook</t>
  </si>
  <si>
    <t>ROOSEVELT RD. TO BLANCHARD SOUTH TO HERITAGE LAKE DR. EAST TO WILLIAMSBURG NORTH</t>
  </si>
  <si>
    <t>WHEATON</t>
  </si>
  <si>
    <t>Gorgeous 2nd floor unit. Updated kitchen w/glass minion cabinetry,bathroom w/solid surface vanity,windows replaced 2004, driveway 2003, roof 2004. Updated lighting &amp; decor.  Large master bedroom w/ walk-in closet. Enjoy the clubhouse, pool, &amp; tennis court in the complex.   Quiet and peaceful.  Easy access to I-88  &amp;  the train. Nearby shopping, restaurants &amp; College of Dupage. Just move in &amp; enjoy.  Can not be leased</t>
  </si>
  <si>
    <t>LINCOLN ELEMENTARY SCHOOL</t>
  </si>
  <si>
    <t>EDISON MIDDLE SCHOOL</t>
  </si>
  <si>
    <t>WHEATON WARRENVILLE SOUTH H S</t>
  </si>
  <si>
    <t>16X10</t>
  </si>
  <si>
    <t>09X07</t>
  </si>
  <si>
    <t>Storage, Park/Playground, Party Room, Sundeck, Pool-Outdoors</t>
  </si>
  <si>
    <t>Vinyl Siding, Brick</t>
  </si>
  <si>
    <t>Please call 1.855.746.9608 or showingtime.com</t>
  </si>
  <si>
    <t>RE/MAX Cornerstone</t>
  </si>
  <si>
    <t>(630) 686-7900</t>
  </si>
  <si>
    <t>Cindy Banks, CRS</t>
  </si>
  <si>
    <t>(630) 533-5900</t>
  </si>
  <si>
    <t>School Bus Service, Commuter Bus, Commuter Train, None</t>
  </si>
  <si>
    <t>29W529</t>
  </si>
  <si>
    <t>WINCHESTER</t>
  </si>
  <si>
    <t>Warrenville</t>
  </si>
  <si>
    <t>RT 59 TO WINCHESTER CIR E TO STOP SIGN TURN RIGHT</t>
  </si>
  <si>
    <t>WARRENVILLE</t>
  </si>
  <si>
    <t>WINFIELD</t>
  </si>
  <si>
    <t>Great location! This 2-story townhome is close to dining, shopping, and many parks. The home has 2 bedrooms, 1 bathroom, and 966 square feet of living space, as well as an attached 1-car garage. The kitchen includes a double sink, and the living room has a ceiling fan for added comfort. About 7 miles from downtown Naperville, and 33 miles from downtown Chicago.</t>
  </si>
  <si>
    <t>JOHNSON ELEMENTARY SCHOOL</t>
  </si>
  <si>
    <t>HUBBLE MIDDLE SCHOOL</t>
  </si>
  <si>
    <t>Common Insurance, Pool, Exterior Maintenance, Lawn Care, Scavenger, Snow Removal</t>
  </si>
  <si>
    <t>Condo, Courtyard</t>
  </si>
  <si>
    <t>Please, use SHOWING ASSIST or Email the agent</t>
  </si>
  <si>
    <t>AVS Prime Realty Corporation</t>
  </si>
  <si>
    <t>(630) 626-9858</t>
  </si>
  <si>
    <t>Vytautas Sruoga</t>
  </si>
  <si>
    <t>(773) 983-4544</t>
  </si>
  <si>
    <t>PLEASE, PLACE YOUR BID ON HUBZU.COM *** TECHNOLOGY FEE OF 299.00 APPLIES.</t>
  </si>
  <si>
    <t>Northwestern</t>
  </si>
  <si>
    <t>C</t>
  </si>
  <si>
    <t>COUNTRY FOURS</t>
  </si>
  <si>
    <t>Bloomingdale Rd to Greenway E to Northwestern Court</t>
  </si>
  <si>
    <t>Remarkably updated and rarely available "C" unit in Country Fours.  Tons of space in this townhome with the two large bedrooms and  the full finished basement.  Some of the great updates include a newer kitchen and bath, beautiful laminate floors, freshly painted.  Great court with extra parking spots and easy access to Greenway.  Incredible location close to schools, shopping and expressways.  Don't miss this one!</t>
  </si>
  <si>
    <t>20X12</t>
  </si>
  <si>
    <t>Den</t>
  </si>
  <si>
    <t>Aluminum Siding, Vinyl Siding, Brick</t>
  </si>
  <si>
    <t>2 1/2% - $200 (on Gross SP)</t>
  </si>
  <si>
    <t>Please use Showing Assist</t>
  </si>
  <si>
    <t>Shane Halleman</t>
  </si>
  <si>
    <t>(630) 417-4037</t>
  </si>
  <si>
    <t>Water softener as-is.</t>
  </si>
  <si>
    <t>Terra Springs</t>
  </si>
  <si>
    <t>Volo</t>
  </si>
  <si>
    <t>Rt. 12, right on Hartigan Rd, right on Terra Springs Drive, right on Terra Springs Cir to #</t>
  </si>
  <si>
    <t>VOLO</t>
  </si>
  <si>
    <t>GRANT</t>
  </si>
  <si>
    <t>ALAMEDA</t>
  </si>
  <si>
    <t>20X77</t>
  </si>
  <si>
    <t>Outstanding renovated of 1144+sq ft two-story in charming Terra Springs. Close proximity to Route 12 and Route 120.  Light bright and airy feeling with all new tiles in kitchen and new carpet throughout. Freshly repainted. Move in condition. Fully applianced as well.  Property sold in as-is condition. See attachment for PAS requirements and WFHM offer submittal information in MLS document section	BIG HOLLOW ELEMENTARY SCHOOL	EDMOND H TAVEIRNE MIDDLE SCHOOL	GRANT COMMUNITY HIGH SCHOOL	38	38	124		=34"</t>
  </si>
  <si>
    <t>Sewer-Storm</t>
  </si>
  <si>
    <t>Parking, Lawn Care</t>
  </si>
  <si>
    <t>(847) 367-8686</t>
  </si>
  <si>
    <t>Leslie McDonnell, CRS,e-PRO</t>
  </si>
  <si>
    <t>(847) 367-5861</t>
  </si>
  <si>
    <t>See Additional Info for offer presentation guidelines, send to REO@ListingsByLeslie.com.</t>
  </si>
  <si>
    <t>Rosewood</t>
  </si>
  <si>
    <t>Round Lake Beach</t>
  </si>
  <si>
    <t>Rollins and Orchard north to Rosewood left to #.</t>
  </si>
  <si>
    <t>ROUND LAKE BEACH</t>
  </si>
  <si>
    <t>Flowing floor plan with vaulted ceiling, lots of natural light throughout and neutral decor boasts two bedrooms upstairs and great working kitchen with island.  Sliders open out to the great outdoors and private yard.  A must see!  See attachment for PAS requirements and WFHM offer submittal information in MLS document section.  Owner occupants must sign the owner occupant certification.</t>
  </si>
  <si>
    <t>Aluminum Siding, Vinyl Siding</t>
  </si>
  <si>
    <t>2.5% - $150 (on Net SP)</t>
  </si>
  <si>
    <t>CLICK ON SHOWING INSTRUCTIONS</t>
  </si>
  <si>
    <t>Real Estate One LTD</t>
  </si>
  <si>
    <t>(847) 367-7653</t>
  </si>
  <si>
    <t>Cynthia Klassman</t>
  </si>
  <si>
    <t>(847) 877-7799</t>
  </si>
  <si>
    <t>To report any concerns with listing broker/agent or to report any property condition or other concern needing escalation including concerns related to a previously submitted offer or info on how to place an offer, please call 877-617-5274.</t>
  </si>
  <si>
    <t>NONMEMBER</t>
  </si>
  <si>
    <t>Stonebridge</t>
  </si>
  <si>
    <t>E5</t>
  </si>
  <si>
    <t>Drake Terrace</t>
  </si>
  <si>
    <t>RT 38 TO SHAFFNER S2 COUNTY FARM E2 STONEBRIDGE</t>
  </si>
  <si>
    <t>DESIRABLE 2ND FLOOR, 2 BEDROOM, 2 BATH UNIT.  BRAND NEW CARPETING THROUGHOUT AND FRESH PAINT.  ALL DOORS, TRIM AND MOLDING ARE OAK.  CLOSE TO SCHOOLS, SHOPPING AND CATIGNY GOLF COURSE. THIS IS A FANNIE MAE HOMEPATH PROPERTY.</t>
  </si>
  <si>
    <t>17X12</t>
  </si>
  <si>
    <t>11X11</t>
  </si>
  <si>
    <t>Security Door Locks, Curbs/Gutters, Sidewalks, Street Lights, Street Paved</t>
  </si>
  <si>
    <t>Intercom</t>
  </si>
  <si>
    <t>CLICK "BELOW" TO SCHEDULE A SHOWING.</t>
  </si>
  <si>
    <t>BerkshireHathaway HomeService Starck Naperville</t>
  </si>
  <si>
    <t>(630) 505-0008</t>
  </si>
  <si>
    <t>Todd Gilson</t>
  </si>
  <si>
    <t>(630) 505-1057</t>
  </si>
  <si>
    <t>ALL OFFERS MUST BE SUBMITED ON HOMEPATH.COM. NO PERSONAL PROPERTY INCLUDED ON THIS SALE.</t>
  </si>
  <si>
    <t>Chandler</t>
  </si>
  <si>
    <t>RD</t>
  </si>
  <si>
    <t>Gurnee</t>
  </si>
  <si>
    <t>Heather Ridge</t>
  </si>
  <si>
    <t>Milwaukee &amp; Rt. 120 N2 Heather Ridge Entrance; W2 Manchester; N2 to Shepard; W2 Chandler</t>
  </si>
  <si>
    <t>GURNEE</t>
  </si>
  <si>
    <t>WARREN</t>
  </si>
  <si>
    <t>EXPANDED LINDEN</t>
  </si>
  <si>
    <t>Expanded Model backs to 100% Golf Course * Updated Kitchen w/granite &amp; Baths w/jetted tub &amp; shower, all w/ceramic tile floors * Windows 6-8 yrs new * Extensively updated from floor plan to fixtures * Laundry rm area includes cabinetry * Extra 2nd level rm w/huge skylight &amp; 2 attic cubbies * Dry crawl space good storage also *Private concrete patio! Very Close to I94. Centrally located btwn Chicgo/Milwa</t>
  </si>
  <si>
    <t>WOODLAND ELEMENTARY SCHOOL</t>
  </si>
  <si>
    <t>WOODLAND MIDDLE SCHOOL</t>
  </si>
  <si>
    <t>WARREN TOWNSHIP HIGH SCHOOL</t>
  </si>
  <si>
    <t>College of Lake County</t>
  </si>
  <si>
    <t>Golf Course, Pool-Outdoors, Tennis Court/s, Curbs/Gutters, Sidewalks, Street Lights</t>
  </si>
  <si>
    <t>Crawl</t>
  </si>
  <si>
    <t>Golf Course Lot, Water View</t>
  </si>
  <si>
    <t>Water, Common Insurance, Security, Clubhouse, Pool, Exterior Maintenance, Scavenger, Snow Removal</t>
  </si>
  <si>
    <t>CO Detectors, Ceiling Fan</t>
  </si>
  <si>
    <t>Electric, Forced Air</t>
  </si>
  <si>
    <t>2.5% - $235 (on Gross SP)</t>
  </si>
  <si>
    <t>Use Showing Assist or Call Office EZ to Show</t>
  </si>
  <si>
    <t>OWR</t>
  </si>
  <si>
    <t>Century 21 Kreuser &amp; Seiler</t>
  </si>
  <si>
    <t>(847) 367-1171</t>
  </si>
  <si>
    <t>Kathleen Morrissey</t>
  </si>
  <si>
    <t>(847) 220-0162</t>
  </si>
  <si>
    <t>847-220-0162</t>
  </si>
  <si>
    <t>Golf Balls are not hit in the direction of unit. Owner to replace crystal light fixture in loft unless buyer loves it. www.HeatherRidge.org for bylaws and docs; 2013 Tax Rate only 9.756%.</t>
  </si>
  <si>
    <t>Kildare</t>
  </si>
  <si>
    <t>Carol Stream</t>
  </si>
  <si>
    <t>STEEPLECHASE</t>
  </si>
  <si>
    <t>Army Trail to Merbach South to Stonewood West to Kildare</t>
  </si>
  <si>
    <t>CAROL STREAM</t>
  </si>
  <si>
    <t>RANCH</t>
  </si>
  <si>
    <t>Great Ranch Unit, Vaulted Ceiling in Living Room, New Carpeting, Garage Door, Washer, Faucets and Disposal. Furnace 2013, Large Master Bedroom with Walk-In Closet, Extra Parking Near Unit. Close to Shopping and Access to Highway.</t>
  </si>
  <si>
    <t>CLOVERDALE  ELEMENTARY SCHOOL</t>
  </si>
  <si>
    <t>STRATFORD MIDDLE SCHOOL</t>
  </si>
  <si>
    <t>GLENBARD NORTH HIGH SCHOOL</t>
  </si>
  <si>
    <t>Street Paved</t>
  </si>
  <si>
    <t>Oven/Range, Dishwasher, Refrigerator, Washer, Dryer, Disposal</t>
  </si>
  <si>
    <t>2.5% -$250. (on Net SP)</t>
  </si>
  <si>
    <t>Call Showing Desk @ 888.362.3222</t>
  </si>
  <si>
    <t>Berkshire Hathaway HomeServices Starck Real Estate</t>
  </si>
  <si>
    <t>(630) 894-1900</t>
  </si>
  <si>
    <t>Patricia LaDeur</t>
  </si>
  <si>
    <t>(630) 669-2011</t>
  </si>
  <si>
    <t>Raintree</t>
  </si>
  <si>
    <t>5M</t>
  </si>
  <si>
    <t>Roosevelt Rd. (RT.38) to Park St. Glen Ellyn. South to Raintree Ln. Right (West) to 448 Bldg.</t>
  </si>
  <si>
    <t>Beautiful top floor condo features new hardwood floors, doors, and professional paint job. Upgraded kitchen cabinets and appliances from 2012. Spectacular tree top views. Watch the sunset from your 5th floor balcony overlooking College of DuPage. Main entrance monitored by security camera. Heated parking garage. Secure storage. Stellar school ratings of 9 / 10 by Great Schools . org!!</t>
  </si>
  <si>
    <t>13X25</t>
  </si>
  <si>
    <t>12X20</t>
  </si>
  <si>
    <t>10X13</t>
  </si>
  <si>
    <t>Coin Laundry, Elevator</t>
  </si>
  <si>
    <t>Oven/Range, Microwave, Dishwasher, Refrigerator</t>
  </si>
  <si>
    <t>Cul-de-sac</t>
  </si>
  <si>
    <t>Water, Parking, Common Insurance, Security System, Exterior Maintenance, Lawn Care, Scavenger, Snow Removal</t>
  </si>
  <si>
    <t>No Pets</t>
  </si>
  <si>
    <t>Negotiable</t>
  </si>
  <si>
    <t>Garage Door Opener(s), Heated</t>
  </si>
  <si>
    <t>2.5%-$100 (on Net SP)</t>
  </si>
  <si>
    <t>Use "Schedule a Showing" link.    Unit currently occupied and requires 24 hour notice.</t>
  </si>
  <si>
    <t>United Realty Partners LTD</t>
  </si>
  <si>
    <t>(708) 448-2900</t>
  </si>
  <si>
    <t>Abdul Suleiman</t>
  </si>
  <si>
    <t>School Bus Service, Commuter Bus, Interstate Access</t>
  </si>
  <si>
    <t>Please note that building management policy does not allow renting out of units.</t>
  </si>
  <si>
    <t>Reflections</t>
  </si>
  <si>
    <t>Aurora</t>
  </si>
  <si>
    <t>reflections</t>
  </si>
  <si>
    <t>Eola to Liberty(W) to Reflections(N)</t>
  </si>
  <si>
    <t>AURORA</t>
  </si>
  <si>
    <t>NORTHSTAR</t>
  </si>
  <si>
    <t>Lovely 2 story townhome with 2 bedrooms and 2 1/2 baths.  Large master with full bath and seperate vanity.  Large living room has high ceilings and neutral decor. Eat in kitchen with lots of cabinet and counter space.  Private entrance. Walk to schools &amp; parks.  Nothing to do but move-in!  Great opportunity for 1st time homebuyer ! All appliances included! Motivated Seller. Quick close possible.</t>
  </si>
  <si>
    <t>YOUNG ELEMENTARY SCHOOL</t>
  </si>
  <si>
    <t>GRANGER MIDDLE SCHOOL</t>
  </si>
  <si>
    <t>METEA VALLEY HIGH SCHOOL</t>
  </si>
  <si>
    <t>22X14</t>
  </si>
  <si>
    <t>13X8</t>
  </si>
  <si>
    <t>Water, Exterior Maintenance, Lawn Care, Scavenger, Snow Removal</t>
  </si>
  <si>
    <t>Conventional, FHA, VA, Owner May Help/Assist</t>
  </si>
  <si>
    <t>Off Street, Driveway</t>
  </si>
  <si>
    <t>2.5-$100 (on Gross SP)</t>
  </si>
  <si>
    <t>Call CSS  1-877-977-1010</t>
  </si>
  <si>
    <t>owner of record</t>
  </si>
  <si>
    <t>Realstar Realty, Inc</t>
  </si>
  <si>
    <t>(630) 420-7400</t>
  </si>
  <si>
    <t>Christine Evensen</t>
  </si>
  <si>
    <t>(630) 399-2696</t>
  </si>
  <si>
    <t>630-399-2696</t>
  </si>
  <si>
    <t>Interstate Access</t>
  </si>
  <si>
    <t>Call CSS  Box on lantern. Attention Investors,   Property available to rent.</t>
  </si>
  <si>
    <t>6th</t>
  </si>
  <si>
    <t>La Grange</t>
  </si>
  <si>
    <t>One block East of LaGrange between Cossitt and Harris on East Side of street</t>
  </si>
  <si>
    <t>LA GRANGE</t>
  </si>
  <si>
    <t>2 BEDROOM</t>
  </si>
  <si>
    <t>RARE... 2 bedroom/1 bath condo with In-Unit Laundry &amp; 2 Parking Spcs (#9 &amp; 10 ) in beautiful Historic LaGrange. Steps from everything: Terrific restaurants, library, movic theater, shops, public transit and train - 20 minutes to Chicago. Unit feature hardwood floors, washer, dryer, west facing balcony, easy access to elevator and Assessment that includes: heat, water, gas, parking and more.</t>
  </si>
  <si>
    <t>COSSITT AVE ELEMENTARY SCHOOL</t>
  </si>
  <si>
    <t>PARK JUNIOR HIGH SCHOOL</t>
  </si>
  <si>
    <t>18X14</t>
  </si>
  <si>
    <t>12X07</t>
  </si>
  <si>
    <t>16X07</t>
  </si>
  <si>
    <t>2 (Window/Wall Unit)</t>
  </si>
  <si>
    <t>Coin Laundry, Elevator, Storage, Security Door Locks, Curbs/Gutters, Sidewalks, Street Lights, Street Paved</t>
  </si>
  <si>
    <t>Eating Area-Table Space, Galley</t>
  </si>
  <si>
    <t>Soaking Tub</t>
  </si>
  <si>
    <t>Heat, Water, Electric, Gas, Parking, Common Insurance, Security System, Exterior Maintenance, Lawn Care, Scavenger, Snow Removal</t>
  </si>
  <si>
    <t>TV-Cable, Security System, Intercom, Fire Sprinklers, CO Detectors, Ceiling Fan</t>
  </si>
  <si>
    <t>Gas, Baseboard</t>
  </si>
  <si>
    <t>Call BW Showing Service 855-746-9100 1 hr confirm notice required</t>
  </si>
  <si>
    <t>(708) 491-4155</t>
  </si>
  <si>
    <t>Catherine LaBelle, CNC,CSC,GRI,SRES</t>
  </si>
  <si>
    <t>(708) 491-4122</t>
  </si>
  <si>
    <t>224-558-2043</t>
  </si>
  <si>
    <t>School Bus Service, Commuter Bus, Commuter Train, Interstate Access, Historical District</t>
  </si>
  <si>
    <t>Very nice unit with great west light. Two parking spaces 9 &amp; 10. In-unit laundry. Elevator building. Conveyed in "as-is". So much potential here.</t>
  </si>
  <si>
    <t>Matthew</t>
  </si>
  <si>
    <t>Elgin</t>
  </si>
  <si>
    <t>Big Timber to Lyle head North to Matthew Ct to property.</t>
  </si>
  <si>
    <t>ELGIN</t>
  </si>
  <si>
    <t>An amazing value!This pristine condition first floor unit has a peaceful view with a large deck. Newer Pella Sliding doors,new water heater, new blower in furnace 2014. All appliance stay. Walk to Metra train! Great location easy access to I90. The taxes do not reflect home owner exemption. Ready to move in. This is a regular sale quick close possible.</t>
  </si>
  <si>
    <t>14X16</t>
  </si>
  <si>
    <t>18X11</t>
  </si>
  <si>
    <t>Conventional, VA</t>
  </si>
  <si>
    <t>3%-200 (on Net SP)</t>
  </si>
  <si>
    <t>Use showing solutions. Easy to show. Sentrilock on garage door</t>
  </si>
  <si>
    <t>Owner of record</t>
  </si>
  <si>
    <t>Providence Residential Brokerage LLC</t>
  </si>
  <si>
    <t>(847) 742-0434</t>
  </si>
  <si>
    <t>Tamara Srdanovich</t>
  </si>
  <si>
    <t>(847) 717-4663</t>
  </si>
  <si>
    <t>Commuter Train, Interstate Access</t>
  </si>
  <si>
    <t>3% CO-OP   This is a regular sale not a short sale   Please call or text with any questions  847-717-4663</t>
  </si>
  <si>
    <t>Kings</t>
  </si>
  <si>
    <t>Westchester</t>
  </si>
  <si>
    <t>COURTYARDS OF WESTCHESTER</t>
  </si>
  <si>
    <t>Wolf Rd, between Cermak (22nd) and 31st, east on Regency Dr, left onto Kings Ct</t>
  </si>
  <si>
    <t>WESTCHESTER</t>
  </si>
  <si>
    <t>Exceptionally maintained 1st floor ranch in wonderful subdivision. Fresh paint, newer neutral carpet &amp; plantation shutters thruout. Spacious LR w/gas fireplace. Eat-in kitchen w/breakfast nook overlooking patio &amp; greenspace. Immense master suite w/WIC and private bath w/double sink, whirlpool tub &amp; sep shower. 2nd bdrm has floor to ceiling bay. Furnace 2011 maintained annually &amp; newer appliances. Move right in!</t>
  </si>
  <si>
    <t>WESTCHESTER INTERMEDIATE SCHOOL</t>
  </si>
  <si>
    <t>WESTCHESTER MIDDLE SCHOOL</t>
  </si>
  <si>
    <t>PROVISO WEST HIGH SCHOOL</t>
  </si>
  <si>
    <t>WESTCHESTER PRIMARY SCHOOL</t>
  </si>
  <si>
    <t>Plantation Shutters</t>
  </si>
  <si>
    <t>17X16</t>
  </si>
  <si>
    <t>Whirlpool, Separate Shower, Double Sink</t>
  </si>
  <si>
    <t>Common Grounds, Cul-de-sac, Landscaped Professionally</t>
  </si>
  <si>
    <t>Humidifier, Intercom, CO Detectors, Ceiling Fan</t>
  </si>
  <si>
    <t>Attached Fireplace Doors/Screen, Gas Logs, Gas Starter</t>
  </si>
  <si>
    <t>Townhouse-Ranch, Ground Level Ranch</t>
  </si>
  <si>
    <t>Schedule appointment and show.</t>
  </si>
  <si>
    <t>Susanne Guthrie</t>
  </si>
  <si>
    <t>(630) 532-9391</t>
  </si>
  <si>
    <t>Humidifier and garbage disposal do not work &amp; conveyed as-is.</t>
  </si>
  <si>
    <t>Cambridge</t>
  </si>
  <si>
    <t>Streamwood</t>
  </si>
  <si>
    <t>Sherwood Forest</t>
  </si>
  <si>
    <t>Bartlett Rd, south of Irving Park Rd (North of Lake St) to Cambridge, to home</t>
  </si>
  <si>
    <t>STREAMWOOD</t>
  </si>
  <si>
    <t>Beautifully maintained two story town home.  Two story family room, large eat in kitchen with first floor laundry. Sliding doors lead to private patio backing to trees. Large master with vaulted ceilings and huge walk in closet + large private bath, 2nd bedroom with full bath next to. New carpet and just painted throughout. Attached 2 car garage with extra storage.  Regular sale, can close quickly</t>
  </si>
  <si>
    <t>HERITAGE ELEMENTARY SCHOOL</t>
  </si>
  <si>
    <t>STREAMWOOD HIGH SCHOOL</t>
  </si>
  <si>
    <t>Curbs/Gutters, Sidewalks</t>
  </si>
  <si>
    <t>Exterior Maintenance, Lawn Care, Scavenger, Snow Removal</t>
  </si>
  <si>
    <t>Aluminum Siding, Stone</t>
  </si>
  <si>
    <t>2.5% - 295 (on Net SP)</t>
  </si>
  <si>
    <t>Call 1 855 746 9100 please 24 hour notice/tenant must confirm.  Tenants leaves Nov 30.</t>
  </si>
  <si>
    <t>(847) 381-1855</t>
  </si>
  <si>
    <t>Liz Mundy</t>
  </si>
  <si>
    <t>(847) 809-6255</t>
  </si>
  <si>
    <t>School Bus Service, Commuter Train, Interstate Access</t>
  </si>
  <si>
    <t>This is a clean, well maintained home, regular sale. Carpet will be cleaned prior to close.  Tenants are in the process of moving out.  Lease ends Nov 30.</t>
  </si>
  <si>
    <t>Irving Park</t>
  </si>
  <si>
    <t>Bensenville</t>
  </si>
  <si>
    <t>BENSENVILLE TERRACE</t>
  </si>
  <si>
    <t>Irving Park Rd West of Church Rd and East of Route 83</t>
  </si>
  <si>
    <t>BENSENVILLE</t>
  </si>
  <si>
    <t>ADDISON</t>
  </si>
  <si>
    <t>Half</t>
  </si>
  <si>
    <t>Beautiful! Completely remodeled spatial 2 bedroom condo with balcony. Wonderful kitchen with island and granite counter tops, ss appliances. New wooden flooring throughout, new one &amp; half bath. Washer and dryer in unit. 2 new wall AC. Currently scheduled for all new windows from O'Hare. All tastefully painted and decorated.</t>
  </si>
  <si>
    <t>Parquet</t>
  </si>
  <si>
    <t>Heat, Water, Gas, Parking, Common Insurance, Scavenger, Snow Removal</t>
  </si>
  <si>
    <t>Text listing agent 773.502.7550  -  24 hrs notice please!</t>
  </si>
  <si>
    <t>American Realty &amp; Associates Inc</t>
  </si>
  <si>
    <t>(773) 775-5500</t>
  </si>
  <si>
    <t>Malgorzata Wasik</t>
  </si>
  <si>
    <t>Regular sale - not FHA Approved. Verify rent ability with association at 630.808.7930</t>
  </si>
  <si>
    <t>Waterview</t>
  </si>
  <si>
    <t>BRIDGEWATER</t>
  </si>
  <si>
    <t>Rt. 59 to North Aurora Rd. East to Golden Gate North to Waterview Ct.</t>
  </si>
  <si>
    <t>North Naperville, east of Rt. 59, walk to train and minutes to I-88!*Hardwood flooring on first floor*New carpeting with upgraded padding on second floor*Master with vaulted ceiling and separate tub and shower, dual sinks and huge walk in closet*Large second bedroom and loft is perfect for an office*Full basement with ample room for great storage*Open backyard with patio and mature trees*Quick close possible.</t>
  </si>
  <si>
    <t>BROOKDALE ELEMENTARY SCHOOL</t>
  </si>
  <si>
    <t>HILL MIDDLE SCHOOL</t>
  </si>
  <si>
    <t>Unfinished</t>
  </si>
  <si>
    <t>Common Insurance, Lawn Care, Snow Removal</t>
  </si>
  <si>
    <t>Conventional, FHA</t>
  </si>
  <si>
    <t>Please call LA at 630-292-5975. Must receive confirmation to show</t>
  </si>
  <si>
    <t>(630) 778-1855</t>
  </si>
  <si>
    <t>Wayne Lorenz</t>
  </si>
  <si>
    <t>(630) 292-5975</t>
  </si>
  <si>
    <t>School Bus Service, Commuter Train</t>
  </si>
  <si>
    <t>FHA approved. No rentals.</t>
  </si>
  <si>
    <t>Oriole</t>
  </si>
  <si>
    <t>Round Lake</t>
  </si>
  <si>
    <t>FAIRFIELD LAKES</t>
  </si>
  <si>
    <t>Fairfield &amp; 134 S to Falcon W to Red Deer, S to Oriole Ct</t>
  </si>
  <si>
    <t>ROUND LAKE</t>
  </si>
  <si>
    <t>AVON</t>
  </si>
  <si>
    <t>ALBANY II</t>
  </si>
  <si>
    <t>COMMON AREA</t>
  </si>
  <si>
    <t>IMPECCABLE CONDITION AND DECOR  This rare ranch townhouse is like new. End unit with southern exposure, makes it bright and sunny. Upgrades include 9' ceilings, 42" cabinets in open eat in kitchen, fireplace with media center, walk in closet and master bath, patio and 2 car garage. Hardwood floor in kitchen and entryway, ceramic tiles in baths, plush carpet is like new.  Close to train station. "Shows like a model"</t>
  </si>
  <si>
    <t>16X15</t>
  </si>
  <si>
    <t>Park/Playground, Curbs/Gutters, Sidewalks, Street Lights, Street Paved</t>
  </si>
  <si>
    <t>Slab, None</t>
  </si>
  <si>
    <t>CO Detectors</t>
  </si>
  <si>
    <t>Wood Burning, Gas Logs, Gas Starter</t>
  </si>
  <si>
    <t>2-1/2 - $175 (on Net SP)</t>
  </si>
  <si>
    <t>Call listing office for appointment.</t>
  </si>
  <si>
    <t>Duskey</t>
  </si>
  <si>
    <t>RE/MAX Showcase</t>
  </si>
  <si>
    <t>(847) 596-6100</t>
  </si>
  <si>
    <t>Domenica Koch, ABR,GRI</t>
  </si>
  <si>
    <t>Beatutiful ranch end unit.  Low Association fees. Wired for surround sound and TV access in every room. Closet door is in the attic.</t>
  </si>
  <si>
    <t>Cossitt</t>
  </si>
  <si>
    <t>1-A</t>
  </si>
  <si>
    <t>Brainard to Cossitt, West to address (across street from Lyons Township soccer &amp; track fields)</t>
  </si>
  <si>
    <t>EZ walk to train locale &amp; across from park/track area this lovely 2BR condo is beautifully updtd w/lots of today's finishes &amp; stylish decor. Huge, nicely updtd, eat-in KIT w/table area &amp; brkfst bar. Wall opens up to connect huge LR-perfect for parties/family get togethers. Conveniently only a 1/2 flight of stairs up plus EZ LDY Rm access. Reserved prkg incl along w/heat,water, garbage &amp; gas. Hrdwd flrs, great storage</t>
  </si>
  <si>
    <t>Coin Laundry, Curbs/Gutters, Sidewalks, Street Lights, Street Paved</t>
  </si>
  <si>
    <t>Heat, Water, Gas, Parking, Common Insurance, Lawn Care, Scavenger, Snow Removal</t>
  </si>
  <si>
    <t>Baseboard, Radiant</t>
  </si>
  <si>
    <t>2.5%-$275 (on Net SP)</t>
  </si>
  <si>
    <t>Prior day notice - dogs. Use showing assist.</t>
  </si>
  <si>
    <t>RE/MAX Properties</t>
  </si>
  <si>
    <t>(708) 246-6300</t>
  </si>
  <si>
    <t>Gary Barnes, CNC,CRS,GRI,SRES</t>
  </si>
  <si>
    <t>(708) 497-6326</t>
  </si>
  <si>
    <t>Must have prior day notice due to removal of dogs. Unit is located a few steps up from ground level. Please check your email for showing instructions and building access code. Move-in fee of $250.</t>
  </si>
  <si>
    <t>Arbor</t>
  </si>
  <si>
    <t>Downers Grove</t>
  </si>
  <si>
    <t>OGDEN TO BELMONT SOUTH TO ARBOR CIRCLE</t>
  </si>
  <si>
    <t>THIS IS A MUST SEE SPACIOUS 2 BEDROOM, 1 BATH CONDO IN WEST SUBURBAN DOWNERS GROVE. THE PROPERTY HAS A GOOD FLOOR PLAN AND GOOD "BONES" JUST NEEDS FINISHING TOUCHES BUT POTENTIAL IS THERE. PROPERTY IS CLOSE TO MAJOR EXPRESSWAYS. THIS IS A FANNIE MAE HOME PATH PROPERTY, ALL INFORMATION IS ESTIMATED. TAXES PRO RATED AT 100%</t>
  </si>
  <si>
    <t>13X10</t>
  </si>
  <si>
    <t>Water, Parking, Common Insurance, Exterior Maintenance, Scavenger, Snow Removal</t>
  </si>
  <si>
    <t>Electric, Radiant</t>
  </si>
  <si>
    <t>3.0% (on Gross SP)</t>
  </si>
  <si>
    <t>Exception(s)</t>
  </si>
  <si>
    <t>PLEASE USE CONNECT MLS SHOWING ASSIST</t>
  </si>
  <si>
    <t>Smith Partners &amp; Associates Inc</t>
  </si>
  <si>
    <t>(630) 810-9260</t>
  </si>
  <si>
    <t>Coya Smith</t>
  </si>
  <si>
    <t>SELLER HAS VERBALLY ACCEPTED AN OFFER 11/10/2014.   PLEASE SUBMIT OFFERS ON HOMEPATH.COM</t>
  </si>
  <si>
    <t>METROPOLITAN</t>
  </si>
  <si>
    <t>MADISON PARK</t>
  </si>
  <si>
    <t>RT 59 TO NEW YORK (W) TO BELVEDERE (N) TO METROPOLITAN</t>
  </si>
  <si>
    <t>ALCOTT</t>
  </si>
  <si>
    <t>Madison Park 2 bedroom ranch end unit. New wood laminate floors &amp; interior just repainted in neutral colors. Open floor plan boasts amazing natural light, upgraded 42" maple kitchen cabinetry with pantry &amp; large master suite with big walk in closet. Enjoy lovely views of pond from dining area, master bedroom &amp; private patio. Attached 2 car garage. Superb location, close to I-88, shopping, restaurants &amp; Metra train.</t>
  </si>
  <si>
    <t>WAUBONSIE VALLEY HIGH SCHOOL</t>
  </si>
  <si>
    <t>4X4</t>
  </si>
  <si>
    <t>Water View</t>
  </si>
  <si>
    <t>200+ Amp Service</t>
  </si>
  <si>
    <t>Condo, Ground Level Ranch</t>
  </si>
  <si>
    <t>2.5 - $250 (on Net SP)</t>
  </si>
  <si>
    <t>Call 877-977-1010</t>
  </si>
  <si>
    <t>630.479.8664</t>
  </si>
  <si>
    <t>Beth Lindner</t>
  </si>
  <si>
    <t>630-479-8664 cell</t>
  </si>
  <si>
    <t>Home also for rent.</t>
  </si>
  <si>
    <t>Kilkenny</t>
  </si>
  <si>
    <t>Adare Farms</t>
  </si>
  <si>
    <t>Roosevelt Road to Adare Drive S to Kilkenny E to Unit</t>
  </si>
  <si>
    <t>Fantastic 2nd floor Adare Farms condo with updates galore! Features include newer gleaming hardwood floors throughout, updated kitchen with maple cabinets &amp; GE appliances, updated baths, recessed lighting, newer windows, central air (2014), furnace (2007) and ceiling fans. This open floor plan with gas fireplace, in-unit laundry room, 2 car attached garage w private entrance &amp; large balcony will not disappoint you!</t>
  </si>
  <si>
    <t>MADISON ELEMENTARY SCHOOL</t>
  </si>
  <si>
    <t>7X14</t>
  </si>
  <si>
    <t>call showing time  855-746-9100</t>
  </si>
  <si>
    <t>(630) 469-1855</t>
  </si>
  <si>
    <t>Renee Hughes</t>
  </si>
  <si>
    <t>(630) 292-8147</t>
  </si>
  <si>
    <t>Commuter Train</t>
  </si>
  <si>
    <t>CLIFFE</t>
  </si>
  <si>
    <t>Plano</t>
  </si>
  <si>
    <t>Lakewood Springs</t>
  </si>
  <si>
    <t>Eldamain to Hoffman to Boyer to Home</t>
  </si>
  <si>
    <t>PLANO</t>
  </si>
  <si>
    <t>LITTLE ROCK</t>
  </si>
  <si>
    <t>CAMDEN</t>
  </si>
  <si>
    <t>64X114</t>
  </si>
  <si>
    <t>Nice 2 Bedroom PLUS Loft, and 2 Full and 1/2 Bath Camden Model.  Excellent Cul-de-sac Location with Great Fully Fenced Yard! Formal Living Room  Bright Eat In Kitchen that Opens to Family Room, Upstairs offers Huge Master Suite w/ Full Prvt Bath and Walk-in Closet,  2nd Generous Bedroom and Full Guest Bath Plus Spacious Sunny Loft! Attached Garage!  Make and Offer - Great Deal Here!  Sold as-is.  No Disclosures.</t>
  </si>
  <si>
    <t>Space Pac</t>
  </si>
  <si>
    <t>Dishwasher</t>
  </si>
  <si>
    <t>Corner, Cul-de-sac, Fenced Yard</t>
  </si>
  <si>
    <t>Clubhouse, Pool, Other</t>
  </si>
  <si>
    <t>USE SHOWING ASSIST BELOW</t>
  </si>
  <si>
    <t>Kettley &amp; Co. Inc.</t>
  </si>
  <si>
    <t>(815) 786-3200</t>
  </si>
  <si>
    <t>Doug Bright, CRB</t>
  </si>
  <si>
    <t>(815) 276-8031</t>
  </si>
  <si>
    <t>Please email all offers in pdf format along with a pre-approval or proof of funds.  Earnest money must be in the form of a cashiers check.</t>
  </si>
  <si>
    <t>Courtenay</t>
  </si>
  <si>
    <t>ADARE FARMS</t>
  </si>
  <si>
    <t>Roosevelt West, to Westhaven South, to Courtenay West.</t>
  </si>
  <si>
    <t>Lovely TH with a fabulous floor plan - lives like a single family home! Gracious Foyer Entry w/Powder Rm. 1st flr FR &amp; Sunny Kitchen with beautiful hardwood flrs, white cabinetry &amp; applcs! Huge formal LR &amp; DR with fireplace! French doors lead to a grand sized deck &amp; beautiful backyard! Beautiful millwork on stairs! Master Suite has 4 CLOSETS! There are walk-in's everywhere! Finished Bsmt! Attached 2car garage. Lovely</t>
  </si>
  <si>
    <t>23X12</t>
  </si>
  <si>
    <t>14X10</t>
  </si>
  <si>
    <t>Deck</t>
  </si>
  <si>
    <t>9X13</t>
  </si>
  <si>
    <t>Deck, Foyer</t>
  </si>
  <si>
    <t>N (North), S (South)</t>
  </si>
  <si>
    <t>2.5% -$225. (on Net SP)</t>
  </si>
  <si>
    <t>Call LO during office hours/Cindy after hours.</t>
  </si>
  <si>
    <t>(630) 790-1776</t>
  </si>
  <si>
    <t>Cynthia Voss</t>
  </si>
  <si>
    <t>(630) 408-4085</t>
  </si>
  <si>
    <t>Easy to show.  Please remove shoes and turn off all lights, lock all doors.</t>
  </si>
  <si>
    <t>MAPQUEST</t>
  </si>
  <si>
    <t>SIGNIFICANT CONDITION ISSUES AND NEEDS TOTAL REHAB. NON SOLVENT ASSOCIATION AND SIGNIFICANT SPECIAL ASSESMENTS SO CALL FOR DETAILS. DUE TO THE POOR CONDITIONS WE CANT SHOW UNIT. CASH BUYERS ONLY AND SUBJECT TO SHORT SALE.</t>
  </si>
  <si>
    <t>22X31</t>
  </si>
  <si>
    <t>Common Insurance, Exterior Maintenance, Lawn Care</t>
  </si>
  <si>
    <t>Garden Unit</t>
  </si>
  <si>
    <t>CALL LISTING AGENT</t>
  </si>
  <si>
    <t>VILLAGE Realty Shoppe</t>
  </si>
  <si>
    <t>(708) 342-1212</t>
  </si>
  <si>
    <t>George Wyatt</t>
  </si>
  <si>
    <t>(708) 828-6120</t>
  </si>
  <si>
    <t>Commuter Bus, Commuter Train, Interstate Access</t>
  </si>
  <si>
    <t>CC: Pursuant to Short Sale. SUBJUCT TO SUCCESSFULL SHORT SALE. UNITS ARE IN DISREPAIR AND HAVE A VERY HIGH ASSESMENT. PLEASE CALL FOR DETAILS.</t>
  </si>
  <si>
    <t>Stoneybrook</t>
  </si>
  <si>
    <t>1C</t>
  </si>
  <si>
    <t>Willow Bridge</t>
  </si>
  <si>
    <t>Glen Ellyn Rd North of Army Trail Rd to Deer Glen Way East to Willow Bridge Way North to Property</t>
  </si>
  <si>
    <t>Hurry To Grab First Floor Unit In A Secluded Subdivision Near Bloomingdale Golf Course~Remodeled Kitchen &amp; Bath~Indoor Parking Garage~Washer &amp; Dryer In Unit~Master Suite Has Walk In Closet~Covered Patio~Guest Parking~Close to I355~Soon To Be New &amp; Improved Stratford Mall~This Is A Fannie Mae Home Path Property</t>
  </si>
  <si>
    <t>E (East)</t>
  </si>
  <si>
    <t>Condo, Manor Home/Coach House/Villa</t>
  </si>
  <si>
    <t>GMC Realty LTD</t>
  </si>
  <si>
    <t>(630) 994-3200</t>
  </si>
  <si>
    <t>Gloria Tomaras, ABR,CNC,SFR</t>
  </si>
  <si>
    <t>(630) 878-4407</t>
  </si>
  <si>
    <t>All offers must be made on HomePath. Please download pg  8 of the 6.0 along w/instructions prior to submitting offers. No survey.  Buyer responsible for 6 months HOA per Illinois State Statue. No Personal Property</t>
  </si>
  <si>
    <t>VA</t>
  </si>
  <si>
    <t>Wisteria</t>
  </si>
  <si>
    <t>MISTY CREEK</t>
  </si>
  <si>
    <t>From Eola, West on Keating, South on Wisteria</t>
  </si>
  <si>
    <t>OSWEGO</t>
  </si>
  <si>
    <t>ASTER</t>
  </si>
  <si>
    <t>Step into a beautiful home with a two-story foyer &amp; LR with skylights.  Eat-in kitchen with plenty of cabinet space &amp; all appliances stay. Tons of light in the family room!  Master bedroom has cathedral ceilings &amp; two WICs.  Concrete patio &amp; backs to a larger open area offering more outdoor space!</t>
  </si>
  <si>
    <t>THE WHEATLANDS ELEMENTARY SCHOOL</t>
  </si>
  <si>
    <t>OSWEGO EAST HIGH SCHOOL</t>
  </si>
  <si>
    <t>14X15</t>
  </si>
  <si>
    <t>12X14</t>
  </si>
  <si>
    <t>Whirlpool, Separate Shower</t>
  </si>
  <si>
    <t>E (East), W (West)</t>
  </si>
  <si>
    <t>2.5%MINUS $200 ON NP (on Net SP)</t>
  </si>
  <si>
    <t>Please call 800-746-9464</t>
  </si>
  <si>
    <t>of record</t>
  </si>
  <si>
    <t>Wheatland Realty</t>
  </si>
  <si>
    <t>(630) 898-1388</t>
  </si>
  <si>
    <t>Nicole Tudisco, CNC,CSC,SFR</t>
  </si>
  <si>
    <t>(630) 973-8932</t>
  </si>
  <si>
    <t>Imagemaker 360 + Realtor.com</t>
  </si>
  <si>
    <t>Seller's atty to hold earnest money.  This is NOT a short sale.  Not FHA approved.</t>
  </si>
  <si>
    <t>11S506</t>
  </si>
  <si>
    <t>Rachael</t>
  </si>
  <si>
    <t>Willowbrook</t>
  </si>
  <si>
    <t>Rte 83 to Bluff Rd (west) to Rachael Ct (South) to end of Development.</t>
  </si>
  <si>
    <t>WILLOWBROOK</t>
  </si>
  <si>
    <t>RUBY</t>
  </si>
  <si>
    <t>English</t>
  </si>
  <si>
    <t>Spacious &amp; bright eat-in kitchen w/hardwood floors. Ruby Model!  Newer carpet &amp; decorated w/style. Recessed lighting, formal dining area, finished English basement can serve as office/family room. The huge master bedroom offers a walk-in closet &amp; full bath. Laundry  on same level as beds.  Overlooks a peaceful wooded setting. Located near Waterfall Glen Forest Preserve w/11miles of trails!</t>
  </si>
  <si>
    <t>ANNE M JEANS ELEMENTARY SCHOOL</t>
  </si>
  <si>
    <t>BURR RIDGE MIDDLE SCHOOL</t>
  </si>
  <si>
    <t>20X11</t>
  </si>
  <si>
    <t>Common Insurance, Lawn Care, Scavenger, Snow Removal</t>
  </si>
  <si>
    <t>TV-Cable</t>
  </si>
  <si>
    <t>Townhouse 3+ Stories</t>
  </si>
  <si>
    <t>USE SHOWING ASSIST</t>
  </si>
  <si>
    <t>Century 21 Pride Realty</t>
  </si>
  <si>
    <t>(815) 469-4700</t>
  </si>
  <si>
    <t>Nicholas Garcia, ABR</t>
  </si>
  <si>
    <t>(630) 269-0851</t>
  </si>
  <si>
    <t>630-269-0851</t>
  </si>
  <si>
    <t>Carlisle</t>
  </si>
  <si>
    <t>Point lakes blvd to Carlisle court, home on left</t>
  </si>
  <si>
    <t>LAKE VILLA</t>
  </si>
  <si>
    <t>BANK APPROVED LIST PRICE!!! HURRY!!~ what a remarkable 2 bedroom 2.5 bath with loft space home!! Full master bathroom in a vaulted ceiling master bedroom. SS appliances in Kitchen, a 2 Car garage and a Mud room with Washer dryer in unit! This is a great quiet neighborhood and the home resides at the edge of a cul-de-sac. Don't let this opportunity pass you by! Round lake beach welcomes you home!</t>
  </si>
  <si>
    <t>Oven/Range, Microwave, Refrigerator, Washer, Dryer</t>
  </si>
  <si>
    <t>Common Insurance, Snow Removal</t>
  </si>
  <si>
    <t>2.5% - $250 (on Gross SP)</t>
  </si>
  <si>
    <t>Email or Text Listing Agent: Chris @ 630-745-1593</t>
  </si>
  <si>
    <t>Exit Realty Redefined</t>
  </si>
  <si>
    <t>(630) 480-4555</t>
  </si>
  <si>
    <t>Chris Yonke</t>
  </si>
  <si>
    <t>email: yonke.exitrealty@gmail.com</t>
  </si>
  <si>
    <t>CC: Pursuant to Short Sale. Leases must be minimum 1 year Bylaws / rules and regs are online at Valley lakes association website.</t>
  </si>
  <si>
    <t>Kelley</t>
  </si>
  <si>
    <t>CARILLON AT CAMBRIDGE LAKES</t>
  </si>
  <si>
    <t>Rt 72 E of rt 47 to Reinking Rd. N to 1920 Andrew Blvd. to sales office.</t>
  </si>
  <si>
    <t>BACH</t>
  </si>
  <si>
    <t>81 X 41</t>
  </si>
  <si>
    <t>ACTIVE ADULT COMMUNITY - OUR POPULAR BACH RANCH TOWNHOME FEATURES AN OPEN FLOORPLAN WITH SPACIOUS GREAT ROOM COMPLETE WITH BEAUTIFUL HARDWOOD FLOORS. THE GORGEOUS EAT-IN KITCHEN FEATURES GRANITE, 42" MAPLE CABINETS WITH CROWN MOLDING &amp; UPGRADED APPLIANCES, WASHER/DRYER &amp; BLINDS. 2 LARGE BEDROOMS, 2 BATHS, &amp; 2 CAR GARAGE. THIS GATED COMMUNITY OFFERS CLUBHOUSE W/ INDOOR &amp; OUTDOOR POOL. IMMEDIATE DELIVERY!!</t>
  </si>
  <si>
    <t>17X10</t>
  </si>
  <si>
    <t>NEW Ready for Occupancy</t>
  </si>
  <si>
    <t>Exercise Room, Health Club, Pool-Indoors, Pool-Outdoors, Curbs/Gutters, Gated Entry, Street Lights, Street Paved</t>
  </si>
  <si>
    <t>Common Insurance, Security, Clubhouse, Pool, Exterior Maintenance, Lawn Care</t>
  </si>
  <si>
    <t>Please call to schedule an appointment 847-984-4872</t>
  </si>
  <si>
    <t>Agent must accompany client on first visit. Please call Sales Office for appointment at 847-984-4872. Hours daily from 10-6, Sunday from 11-6, Monday from 1-6</t>
  </si>
  <si>
    <t>WINDSOR</t>
  </si>
  <si>
    <t>South Elgin</t>
  </si>
  <si>
    <t>CONCORD WOODS</t>
  </si>
  <si>
    <t>31 &amp; CONCORD - W ON CONCORD S ON WINDSOR CIR.</t>
  </si>
  <si>
    <t>SOUTH ELGIN</t>
  </si>
  <si>
    <t>ATTENTION  INVESTORS!!! APPROVED SHORT SALE. CASH FLOW OPPORTUNITY - TENANT CAN STAY!!! LENDER APPROVED.  QUICK CLOSE!!! WELL KEPT TWO STORY CONDO WITH FULL BASEMENT. TWO BEDROOMS PLUS LOFT.  HARDWOOD FLOORS IN LIVING ROOM &amp; DINING ROOM.  END UNIT. BUILT-IN WALL NICHE FOR ENTERTAINMENT CENTER. SOLD AS-IS. TAX PRORATION 100%.  NO SURVEY PROVIDED.  NOT FHA APPROVED.</t>
  </si>
  <si>
    <t>CLINTON ELEMENTARY SCHOOL</t>
  </si>
  <si>
    <t>KENYON WOODS MIDDLE SCHOOL</t>
  </si>
  <si>
    <t>SOUTH ELGIN HIGH SCHOOL</t>
  </si>
  <si>
    <t>11X13</t>
  </si>
  <si>
    <t>9X10</t>
  </si>
  <si>
    <t>Exterior Maintenance, Lawn Care, Scavenger</t>
  </si>
  <si>
    <t>Conventional, Cash Only</t>
  </si>
  <si>
    <t>2.5%-250 (on Net SP)</t>
  </si>
  <si>
    <t>CALL AGENT 630-542-3652</t>
  </si>
  <si>
    <t>RE/MAX Professionals Select</t>
  </si>
  <si>
    <t>(630) 904-6400</t>
  </si>
  <si>
    <t>Jeanne DeLaFuente</t>
  </si>
  <si>
    <t>(630) 542-3652</t>
  </si>
  <si>
    <t>CC: Pursuant to Short Sale. QUICK APPROVAL AT $110,000.  ANY COMMISSION REDUCTION WILL BE SPLIT EQUALLY.  SELLER WON'T PROVIDE SURVEY. TAXES PRORATED 100%.  SOLD AS-IS.  PLEASE USE SHORT SALE ADDEND WITH OFFER.  EARNEST MONEY DEPOSIT REQUIRED WITH SIGNED CONTRACT.</t>
  </si>
  <si>
    <t>PRINCETON</t>
  </si>
  <si>
    <t>COLLEGE PARK</t>
  </si>
  <si>
    <t>RANDALL/ SOUTH STREET E/GALE S/ PRINCETON TO HOME.</t>
  </si>
  <si>
    <t>Full, English</t>
  </si>
  <si>
    <t>44X95X54X110</t>
  </si>
  <si>
    <t>COLLEGE PARK 2 BEDROOM DUPLEX WITH 2 FULL BATHS.  HUD OWNED HOME! CASE #137-392815. SOLD "AS IS"INSURED STATUS: IE (INSURED WITH ESCROW). ESCROW AMOUNT $1,210.00. PROPERTY IS ELIGIBLE FOR FHA 203K FINANCING.</t>
  </si>
  <si>
    <t>HILLCREST ELEMENTARY SCHOOL</t>
  </si>
  <si>
    <t>KIMBALL MIDDLE SCHOOL</t>
  </si>
  <si>
    <t>LARKIN HIGH SCHOOL</t>
  </si>
  <si>
    <t>Curbs/Gutters, Street Lights, Street Paved</t>
  </si>
  <si>
    <t>Oven/Range, Disposal</t>
  </si>
  <si>
    <t>Irregular</t>
  </si>
  <si>
    <t>SEE MLS SHOWING ASSIST FOR COMBINATION.</t>
  </si>
  <si>
    <t>RE/MAX Realty of Joliet</t>
  </si>
  <si>
    <t>(815) 741-3100</t>
  </si>
  <si>
    <t>Ryan Behrens, BPOR,e-PRO,SFR</t>
  </si>
  <si>
    <t>(815) 741-5658</t>
  </si>
  <si>
    <t>FOR MORE INFORMATION GO TO WWW.HUDPEMCO.COM OR WWW.HUDHOMESTORE.COM.  AGENTS WITH ACTIVE NAID # CAN SUBMIT OFFERS AT WWW.HUDHOMESTORE.COM   BUYER SELECTS CLOSING AGENT/FIRM.</t>
  </si>
  <si>
    <t>Klein Creek</t>
  </si>
  <si>
    <t>Gary Ave s of Lies to Klein Creek North</t>
  </si>
  <si>
    <t>3rd flr unit with updated cabinets. Baths have been upated with newer floors, sinks, faucets. dryer in unit. Newer windows in both bedrooms and newer SGD off living room to balcony. Extra storage, Close to schools, shopping and all major expressways. Steps to NEW Carol Stream Park District Building and Ross Ferraro Town Center. SS close to approval but may get listed on HUBZU</t>
  </si>
  <si>
    <t>WESTERN TRAILS ELEMENTARY SCHOOL</t>
  </si>
  <si>
    <t>JAY STREAM MIDDLE SCHOOL</t>
  </si>
  <si>
    <t>Storage, Pool-Outdoors, Sidewalks, Street Lights, Street Paved</t>
  </si>
  <si>
    <t>Parking, Common Insurance, Pool, Exterior Maintenance, Lawn Care, Scavenger, Snow Removal</t>
  </si>
  <si>
    <t>Manager Off-site, Monday through Friday</t>
  </si>
  <si>
    <t>2.5% - 75 (on Net SP)</t>
  </si>
  <si>
    <t>CALL LISTING OFFICE W/24HR NOTICE REQUIRED  TENANT IN PROPERTY</t>
  </si>
  <si>
    <t>(630) 830-9100</t>
  </si>
  <si>
    <t>Laura Resnick, CNC</t>
  </si>
  <si>
    <t>(630) 975-0615</t>
  </si>
  <si>
    <t>630-975-0615</t>
  </si>
  <si>
    <t>CC: Pursuant to Short Sale. 24 HR NOTICE IS REQUIRED.</t>
  </si>
  <si>
    <t>Rodenburg</t>
  </si>
  <si>
    <t>Central or Bryn Mawr to Rodenburg</t>
  </si>
  <si>
    <t>18 * 58</t>
  </si>
  <si>
    <t>Completely remodeled 2 story Townhome with Low property taxes, updated bathrooms, new stainless,steel apps &amp; granite tops,new carpet, large master bedroom, detached garage, nice view &amp; open back yard, washer &amp; dryer</t>
  </si>
  <si>
    <t>Park Adjacent</t>
  </si>
  <si>
    <t>3% - $250 (on Net SP)</t>
  </si>
  <si>
    <t>Contact owner at 630-327-7007 for showings.</t>
  </si>
  <si>
    <t>630-327-7007</t>
  </si>
  <si>
    <t>Berg Properties</t>
  </si>
  <si>
    <t>(888) 276-9959</t>
  </si>
  <si>
    <t>Michael Berg</t>
  </si>
  <si>
    <t>Contact owner at 630-327-7007 for showings. Email offers to email sales@bergproperties.com or Fax offers to (888) 615-0169.</t>
  </si>
  <si>
    <t>Ann Arbor</t>
  </si>
  <si>
    <t>Carriages of Grosse Pointe</t>
  </si>
  <si>
    <t>45 to Grosse Pointe Circle N to Ann Arbor L to home</t>
  </si>
  <si>
    <t>COMMON GROUND</t>
  </si>
  <si>
    <t>Great Opportunity!  Fabulous second floor end unit offering you vaulted ceilings, open floor plan, attached garage and more! Living room open to dining room and kitchen. Eat-in kitchen w/sparkling appliances &amp; window seat. Master includes walk-in closet and private bathroom. Additional bedroom, full bath and laundry complete the unit.</t>
  </si>
  <si>
    <t>DIAMOND LAKE ELEMENTARY SCHOOL</t>
  </si>
  <si>
    <t>WEST OAK MIDDLE SCHOOL</t>
  </si>
  <si>
    <t>ADLAI E STEVENSON HIGH SCHOOL</t>
  </si>
  <si>
    <t>14X14</t>
  </si>
  <si>
    <t>12X08</t>
  </si>
  <si>
    <t>Call Listing Office 847-367-8686 Dial "0"</t>
  </si>
  <si>
    <t>CC: Pursuant to Short Sale. Sale requires lender approval. Co-op commission percentage also subject to lender approval.</t>
  </si>
  <si>
    <t>KENNEDY</t>
  </si>
  <si>
    <t>Hinsdale</t>
  </si>
  <si>
    <t>HAMPTONS OF HINSDALE</t>
  </si>
  <si>
    <t>GRANT ST SOUTH OF 55TH TO KENNEDY LANE / HAMPTONS ENTRANCE EAST TO CONDO BUILDING</t>
  </si>
  <si>
    <t>HINSDALE</t>
  </si>
  <si>
    <t>OXFORD</t>
  </si>
  <si>
    <t>THE OXFORD HAS 2BD/2.5 BTH + 13X11 BREAKFAST ROOM W/OVER 1833 SQFT OF LUXURY LIVING. GRANITE, SS APPLS, HDWD FLRS &amp; 1 CAR HEATED GARAGE SPACE. W/12 ACRES Of LUXURY LIVING, THE HAMPTONS OF HINSDALE IS THE NEWEST &amp; MOST LUXURIOUS SUBDIVISION BUILT TODAY! OUR CUSTOM DESIGNED/DECORATED CONDOS RANGE FROM 1300-2300 SQFT, TO OUR ULTRA LUXURIOUS 3+STORY TOWNHOMES. THERE IS TRULY SOMETHING FOR EVERYONE. DELIVERY MAY/JUNE 2014</t>
  </si>
  <si>
    <t>ELM ELEMENTARY SCHOOL</t>
  </si>
  <si>
    <t>HINSDALE MIDDLE SCHOOL</t>
  </si>
  <si>
    <t>HINSDALE CENTRAL HIGH SCHOOL</t>
  </si>
  <si>
    <t>23X15</t>
  </si>
  <si>
    <t>Breakfast Room</t>
  </si>
  <si>
    <t>1-5 Years</t>
  </si>
  <si>
    <t>Elevator, Storage, Party Room, Curbs/Gutters, Sidewalks, Street Paved</t>
  </si>
  <si>
    <t>Oven/Range, Microwave, Dishwasher, Refrigerator, Washer, Dryer, All Stainless Steel Kitchen Appliances</t>
  </si>
  <si>
    <t>Pantry-Closet</t>
  </si>
  <si>
    <t>Combined w/ FamRm</t>
  </si>
  <si>
    <t>TV-Cable, CO Detectors</t>
  </si>
  <si>
    <t>N (North), E (East)</t>
  </si>
  <si>
    <t>Brick, Shakes</t>
  </si>
  <si>
    <t>2.5% - $275 (SEE AGENT REMARKS) (on Net SP)</t>
  </si>
  <si>
    <t>CLOSED 12/23-12/27 &amp; 12/30-1/1 CALL SALES CENTER 630.384.6480 T-F 12-5PM SAT-SUN 11-4PM</t>
  </si>
  <si>
    <t>Berkshire Hathaway HomeServices KoenigRubloff</t>
  </si>
  <si>
    <t>(312) 642-1400</t>
  </si>
  <si>
    <t>Sam Tarara</t>
  </si>
  <si>
    <t>(312) 475-4520</t>
  </si>
  <si>
    <t>FOR SHOWINGS OR APPOINTMENTS PLEASE ONLY CALL SALES CENTER 630.384.6480. * COMMISSION BASED ON BASE SALE PRICE.*** FLOOR PLANS UNDER ADDITIONAL INFO ***</t>
  </si>
  <si>
    <t>HILLCREST</t>
  </si>
  <si>
    <t>1M</t>
  </si>
  <si>
    <t>Lisle</t>
  </si>
  <si>
    <t>FOUR LAKES</t>
  </si>
  <si>
    <t>Maple to Burr Oak - Fast R on Maple Terrace to Lakeside - - Left on Hillcrest to 5700 (on right)</t>
  </si>
  <si>
    <t>Its A Lifestyle At Four Lakes~~Something For Everyone~This Condo Offers A Scenic View From The Private Patio~Great Room Sizes~Bright White Kitchen~Brick FP~Laundry Rm~New Carpet &amp; Paint~This is a Fannie Mae Home Path Property.~Enjoy Area Pools, Tennis, Volleyball, Ski Hill &amp; Clubhouse with Restaurant/Pub~It's Home!</t>
  </si>
  <si>
    <t>22X13</t>
  </si>
  <si>
    <t>10X7</t>
  </si>
  <si>
    <t>Bike Room/Bike Trails, Elevator, Storage, Park/Playground, Party Room, Pool-Outdoors, Restaurant, Security Door Locks, Tennis Court/s, Street Paved</t>
  </si>
  <si>
    <t>Wooded</t>
  </si>
  <si>
    <t>Water, Gas, Parking, Common Insurance, Pool, Exterior Maintenance, Lawn Care, Scavenger, Snow Removal</t>
  </si>
  <si>
    <t>use showing assist</t>
  </si>
  <si>
    <t>Commuter Bus</t>
  </si>
  <si>
    <t>All offers must be made on HomePath. Please download pg  8 of the 6.0 along w/instructions prior to submitting offers. No survey.   Buyer responsible for 6 months HOA per Illinois State Statue. No Personal Property. Sold as is.</t>
  </si>
  <si>
    <t>Mclean</t>
  </si>
  <si>
    <t>The Greens of Elgin</t>
  </si>
  <si>
    <t>Randall Rd to Royal Blvd E to N McLean Blvd, S to The Greens of Elgin</t>
  </si>
  <si>
    <t>COMMON AREAS</t>
  </si>
  <si>
    <t>Att'n seniors! Spacious condo located on lst flr of the senior indep living ctr of The Greens of Elgin! Brand new carpeting and freshly painted with southern exposure from priv patio-fully applianced kitchen with washer/dryer in unit-baths have step-in shower &amp; tub. . Mo serv fee pays all utilities,20 dinner meals/mo., hskpg ,linen changes &amp; more! Van for transp/garage for fee/dogs allowed on lst floor units only!</t>
  </si>
  <si>
    <t>Commissary, Elevator, Exercise Room, Storage, On Site Manager/Engineer, Party Room, Street Lights, Other</t>
  </si>
  <si>
    <t>Separate Shower, Handicap Shower</t>
  </si>
  <si>
    <t>Heat, Air Conditioning, Water, Electric, Tax, Common Insurance, TV/Cable, Exercise Facilities, Exterior Maintenance, Lawn Care, Scavenger, Snow Removal, Other</t>
  </si>
  <si>
    <t>TV-Cable, Fire Sprinklers, CO Detectors</t>
  </si>
  <si>
    <t>Use Showing Assist or call LO</t>
  </si>
  <si>
    <t>Trust</t>
  </si>
  <si>
    <t>847-428-5525</t>
  </si>
  <si>
    <t>(815) 459-5900</t>
  </si>
  <si>
    <t>Dee Toberman</t>
  </si>
  <si>
    <t>(847) 428-5525</t>
  </si>
  <si>
    <t>847-322-7929</t>
  </si>
  <si>
    <t>2 BR  with 2 full BAs on the lst floor!</t>
  </si>
  <si>
    <t>Creekside</t>
  </si>
  <si>
    <t>Turn Right onto Big Timber Rd. Turn Right onto N. Lyle Ave. Turn right onto Creekside Cir.</t>
  </si>
  <si>
    <t>2 bedroom 2 bathroom Condo features large living room and fireplace. Walk-In Closet in the Master Bedroom. Close to Metra and Fine Shopping places.  Do Not Pass this one up!!! ....Short Sale Subject to Bank Approval....NO RENTALS ALLOWED</t>
  </si>
  <si>
    <t>16X9</t>
  </si>
  <si>
    <t>2.5%-$295 (on Net SP)</t>
  </si>
  <si>
    <t>Contact Centralized Showing (877)-977-1010</t>
  </si>
  <si>
    <t>RE/MAX House of Real Estate</t>
  </si>
  <si>
    <t>(773) 253-4950</t>
  </si>
  <si>
    <t>Ivana Shudnow</t>
  </si>
  <si>
    <t>CC: Pursuant to Short Sale. ..........LENDER REQUIRES ALL OFFER SUBMISSIONS TO BE PLACED AT WWW.HUBZU.COM..............</t>
  </si>
  <si>
    <t>LYNWOOD</t>
  </si>
  <si>
    <t>BLOOMFIELD CLUB</t>
  </si>
  <si>
    <t>SCHICK TO BLOOMFIELD PARKWAY, RIGHT TO LYNWOOD CIRCLE</t>
  </si>
  <si>
    <t>YORK</t>
  </si>
  <si>
    <t>26X104X28X103</t>
  </si>
  <si>
    <t>1ST FLOOR MASTER SUITE in exclusive Bloomfield Club*Home is immaculate with many upgrades*Freshly painted in today's warm colors*FULL FINISHED BASEMENT w/HUGE rec room, storage and bar*2nd story offers addtl  bedroom w/ private bath and loft overlooking vaulted living room w/fp*Deck w/built-in seating in private backyard area*Enjoy indoor/outdoor pools, exercise, tennis and clubhouse*Schools 13 and 108* SHORT SALE!</t>
  </si>
  <si>
    <t>ERICKSON ELEMENTARY SCHOOL</t>
  </si>
  <si>
    <t>15X9</t>
  </si>
  <si>
    <t>28X13</t>
  </si>
  <si>
    <t>Storage</t>
  </si>
  <si>
    <t>24X12</t>
  </si>
  <si>
    <t>Party Room, Sundeck, Pool-Indoors, Pool-Outdoors, Tennis Court/s, Whirlpool, Curbs/Gutters, Sidewalks, Street Paved</t>
  </si>
  <si>
    <t>Common Insurance, Clubhouse, Exercise Facilities, Pool, Exterior Maintenance, Lawn Care, Scavenger, Snow Removal</t>
  </si>
  <si>
    <t>Loft, Recreation Room, Storage</t>
  </si>
  <si>
    <t>Humidifier, Sump Pump, Air Cleaner</t>
  </si>
  <si>
    <t>Conventional, FHA, VA, Cash Only</t>
  </si>
  <si>
    <t>2.5% - $250.00 (on Gross SP)</t>
  </si>
  <si>
    <t>Call APPT. CENTER 855-919-0376</t>
  </si>
  <si>
    <t>Kathy Maykut, CNC,CSC</t>
  </si>
  <si>
    <t>(630) 339-4051</t>
  </si>
  <si>
    <t>708-473-6967</t>
  </si>
  <si>
    <t>CC: Pursuant to Short Sale. Lender requires all offer submissions to be placed on www.hubzu.com   PURSUANT TO SHORT SALE ANY LENDER REDUCTION IN COMPENSATION WILL BE SHARED EQUALLY BETWEEN LISTING AND SELLING OFFICES.  NO CLOSE, NO COMPENSATION - SOLD AS IS!!!!</t>
  </si>
  <si>
    <t>Holiday</t>
  </si>
  <si>
    <t>Hainesville</t>
  </si>
  <si>
    <t>83 N to 120 W to 134 then veer right. 1st subdivision on Right</t>
  </si>
  <si>
    <t>HAINESVILLE</t>
  </si>
  <si>
    <t>Partial</t>
  </si>
  <si>
    <t>60X130</t>
  </si>
  <si>
    <t>Spacious floor plan townhome. Many updates have been done. Carpet freshly cleaned.Chalet model with eat in kitchen &amp; spacious pantry.All appliances included ( washer &amp; dryer too!) Remodeled baths, laundry room conveniently located on the 2nd floor.Finished LL great for guest room/office. Oak railing throughout. Close to public transportation &amp; shopping. Short sale, allow time for 3rd party approval. Sold As-IS</t>
  </si>
  <si>
    <t>Townhouse-2 Story, Townhouse 3+ Stories</t>
  </si>
  <si>
    <t>2.5% -$225 (on Gross SP)</t>
  </si>
  <si>
    <t>Please call show assist at 855-746-9200</t>
  </si>
  <si>
    <t>Coldwell Banker Residential Brokerage</t>
  </si>
  <si>
    <t>(847) 362-7300</t>
  </si>
  <si>
    <t>Barbara Kuebler-Noote</t>
  </si>
  <si>
    <t>(224) 280-9025</t>
  </si>
  <si>
    <t>CC: Pursuant to Short Sale. short sale, allow time for 3rd party approval. All reductions in commission will be split 50/50 between listing and selling offices. No survey 100 tax credit sold as -is</t>
  </si>
  <si>
    <t>BRAXTON</t>
  </si>
  <si>
    <t>HEATHER GLEN</t>
  </si>
  <si>
    <t>MCCOY EAST OF EOLA TO OAKHURST NORTH TO HEATHER GLEN TO BRAXTON</t>
  </si>
  <si>
    <t>CARRINGTON</t>
  </si>
  <si>
    <t>LIGHT &amp; BRIGHT WESTERN EXPOSURE END UNIT,HARDWOOD FLOOR IN KITCHEN &amp; POWDER ROOM,COZY LIVING ROOM GAS FIREPLACE,BIG VAULTED MASTER SUITE W PRIVATE FULL BATH &amp; WALK IN CLOSET,ALL KITCHEN APPLIANCES &amp; WASHER DRYER STAY,ALL WINDOW CUSTOM TREATS INCLUDED,FIRST FLOOR LAUNDRY,CERAMIC TILE FLOOR IN FULL BATHS,ESTABLISHED MATURE LANDSCAPE,NAPERVILLE 204 SCHOOLS,PRIVATE SIDE PATIO,WATER INCLUDED IN HOA FEE</t>
  </si>
  <si>
    <t>MCCARTY ELEMENTARY SCHOOL</t>
  </si>
  <si>
    <t>FISCHER MIDDLE SCHOOL</t>
  </si>
  <si>
    <t>Pet Count Limitation, Pet Weight Limitation</t>
  </si>
  <si>
    <t>2.5% MINUS $150 (on Gross SP)</t>
  </si>
  <si>
    <t>EASY CALL CS 877-977-1010 CLOSE FRONT DOOR FIRMLY &amp; DOUBLE CHECK DEADBOLT</t>
  </si>
  <si>
    <t>Century 21 Affiliated</t>
  </si>
  <si>
    <t>(815) 436-4416</t>
  </si>
  <si>
    <t>Kenneth Thomson</t>
  </si>
  <si>
    <t>(815) 325-9918</t>
  </si>
  <si>
    <t>CC: Pursuant to Short Sale. VA COMPROMISE SALE,ASSOCIATION DUES BEING PAID THROUGH CLOSE,NO SURVEY,SELLS AS IS,USE 5.0 W SHORT RIDER MINIMUM 90 DAY PERIOD,OFFER MUST INCLUDE "OFFER CONTINGENT UPON APPROVAL OF VA COMPROMISE SALE" LNS 308-309,MASTER BR DOOR DAMAGED</t>
  </si>
  <si>
    <t>Cesario</t>
  </si>
  <si>
    <t>Hampshire</t>
  </si>
  <si>
    <t>Route 47 to Big Timber Road R on Ridgecrest R on Hearthstone</t>
  </si>
  <si>
    <t>HAMPSHIRE</t>
  </si>
  <si>
    <t>MOVE IN READY townhouse in great neighborhood w/ MANY UPDATES. One story living features fresh paint &amp; new flooring throughout. Master suite features vaulted ceiling &amp; full bath. Kitchen boasts NEW apps. Dining room has sliding glass doors opening to large backyard. Enjoy the subdivision's clubhouse and pool.  AGENTS: SEE AGENT REMARKS FOR MORE INFO</t>
  </si>
  <si>
    <t>Clubhouse, Pool</t>
  </si>
  <si>
    <t>VERBALLY ACCEPTED OFFER. Use showing assist.</t>
  </si>
  <si>
    <t>Expect Realty</t>
  </si>
  <si>
    <t>(630) 545-0414</t>
  </si>
  <si>
    <t>John Monino</t>
  </si>
  <si>
    <t>VERBALLY ACCEPTED OFFER. MAIL offers/ pre-appr/ POF to BPO@expectre.com (Fax 630-480-0921 if no email). Please allow 2-3 days for seller response. SELLER SHALL NOT PROVIDE A SURVEY.</t>
  </si>
  <si>
    <t>30W088</t>
  </si>
  <si>
    <t>Penny</t>
  </si>
  <si>
    <t>Maple Hill</t>
  </si>
  <si>
    <t>Route 59 south of Route 38 and North of Mack to Willow Lane west to Penny Lane left to home</t>
  </si>
  <si>
    <t>Located on a quiet cul-de-sac this bright and spacious townhome features an open floor plan.  Two story great room has soaring windows and fireplace.  Separate dining room overlooks treed back yard.  Second floor has loft overlooking great room.  Loft has a closet and could easily be converted to third bedroom. Newer windows.  Bike path, community pool are part of this community.  Quick close possible.</t>
  </si>
  <si>
    <t>CURRIER ELEMENTARY SCHOOL</t>
  </si>
  <si>
    <t>LEMAN MIDDLE SCHOOL</t>
  </si>
  <si>
    <t>COMMUNITY HIGH SCHOOL</t>
  </si>
  <si>
    <t>Great Room</t>
  </si>
  <si>
    <t>Park/Playground, Pool-Outdoors, Sidewalks, Street Paved</t>
  </si>
  <si>
    <t>Separate Shower, Double Sink, No Tub</t>
  </si>
  <si>
    <t>Common Insurance, Clubhouse, Pool, Exterior Maintenance, Lawn Care, Scavenger, Snow Removal</t>
  </si>
  <si>
    <t>Great Room, Loft</t>
  </si>
  <si>
    <t>Water-Softener Owned, CO Detectors, Ceiling Fan</t>
  </si>
  <si>
    <t>Wood Burning, Gas Starter</t>
  </si>
  <si>
    <t>2.5 - $150 (on Net SP)</t>
  </si>
  <si>
    <t>Call B&amp;W showing desk 1-855-746-9100 1 hr notice</t>
  </si>
  <si>
    <t>Julie Brown</t>
  </si>
  <si>
    <t>(630) 648-2042</t>
  </si>
  <si>
    <t>Ballantrae</t>
  </si>
  <si>
    <t>B</t>
  </si>
  <si>
    <t>Mundelein</t>
  </si>
  <si>
    <t>Cambridge Chase</t>
  </si>
  <si>
    <t>RT.60 &amp; BUTTERFIELD, N2 HUNTINGTON, W2 BALLANTRAE S2#</t>
  </si>
  <si>
    <t>MUNDELEIN</t>
  </si>
  <si>
    <t>LIBERTYVILLE</t>
  </si>
  <si>
    <t>SUTTON</t>
  </si>
  <si>
    <t>SHORT SALE BANK MUST APPROVE ..  Premium courtyard location surrounded by mature landscaping is close to pool and clubhouse.  Cozy Living Room with easy entertainment flows to Dining Room boasts sliding door to patio. Centrally located Kitchen with Euro cabinetry, all appliances and pantry closet.</t>
  </si>
  <si>
    <t>LIBERTYVILLE HIGH SCHOOL</t>
  </si>
  <si>
    <t>Party Room, Pool-Outdoors, Security Door Locks, Curbs/Gutters, Street Lights, Street Paved</t>
  </si>
  <si>
    <t>Water, Common Insurance, Clubhouse, Pool, Exterior Maintenance, Lawn Care, Scavenger, Snow Removal</t>
  </si>
  <si>
    <t>2.5%-120 (on Net SP)</t>
  </si>
  <si>
    <t>CALL LISTING OFFICE. SHOWINGS ONLY MON-FRI AFTER 1PM, NO WEEKENDS.</t>
  </si>
  <si>
    <t>OFF RECORD</t>
  </si>
  <si>
    <t>RE/MAX City</t>
  </si>
  <si>
    <t>(773) 775-0600</t>
  </si>
  <si>
    <t>Lydia Memeti</t>
  </si>
  <si>
    <t>(708) 267-0971</t>
  </si>
  <si>
    <t>Manchester</t>
  </si>
  <si>
    <t>Mclean Blvd. South of 20 to Kane; East to Manchester; condo on left</t>
  </si>
  <si>
    <t>Condo close to Rte 20 and Shopping.  Being sold "As Is".  This 2nd floor unit has a wood burning fireplace, balcony off dining room, and laundry in the unit.  Lots of closet space, central air conditioning.  Needs some work; mostly cosmetic.  Low association fee.  Great for an investor!</t>
  </si>
  <si>
    <t>Use Showing Assist</t>
  </si>
  <si>
    <t>(630) 377-1771</t>
  </si>
  <si>
    <t>Edie Glenn</t>
  </si>
  <si>
    <t>(630) 587-4614</t>
  </si>
  <si>
    <t>WATER OFF. Unit upstairs &amp; left. Turn off lights &amp; make sure door is locked. Owner had locks changed but did not install new deadbolt thinking new owner would change locks. NOT A SHORT SALE OR FORECLOSURE-JUST A REGULAR SALE!</t>
  </si>
  <si>
    <t>MANCHESTER MANOR</t>
  </si>
  <si>
    <t>OLDE SALEM</t>
  </si>
  <si>
    <t>Irving Park, East of Barrington Rd. to Old Salem Road, North to Manchester Manor, North</t>
  </si>
  <si>
    <t>SCHAUMBURG</t>
  </si>
  <si>
    <t>71 X 29</t>
  </si>
  <si>
    <t>Priced to sell! Freshly painted, new carpet and hardwood floors! This end unit is priced for updating and TLC. Features bright open floor plan. 2 parking spaces included both #37. Home sold as-is. Great location! Close to everything. Home warranty included! Don't let this opportunity pass you by. Must see it.</t>
  </si>
  <si>
    <t>ANNE FOX ELEMENTARY SCHOOL</t>
  </si>
  <si>
    <t>JANE ADDAMS JUNIOR HIGH SCHOOL</t>
  </si>
  <si>
    <t>SCHAUMBURG HIGH SCHOOL</t>
  </si>
  <si>
    <t>20X15</t>
  </si>
  <si>
    <t>1X1</t>
  </si>
  <si>
    <t>Common Grounds, Corner, Cul-de-sac</t>
  </si>
  <si>
    <t>Humidifier, Ceiling Fan</t>
  </si>
  <si>
    <t>Call (855) SHOW-200, (855) 746-9200 or click the online schedule a showing icon</t>
  </si>
  <si>
    <t>(847) 222-5000</t>
  </si>
  <si>
    <t>Steven Cohen, ABR,CRS,GRI</t>
  </si>
  <si>
    <t>(847) 222-8686</t>
  </si>
  <si>
    <t>Lake Ridge</t>
  </si>
  <si>
    <t>Glendale Heights</t>
  </si>
  <si>
    <t>HIDDEN GLEN</t>
  </si>
  <si>
    <t>ARMY TRAIL RD W OF BLOOMINGALE RD TO GLADSTONE N TO LAKE RIDGE. HOME ON NE CORNER</t>
  </si>
  <si>
    <t>GLENDALE HEIGHTS</t>
  </si>
  <si>
    <t>H&amp;B DEADLINE 11AM CST ON 12.24.2014.  CLEAN AND COMFORTABLE 2ND FLR COACH/MANOR HOME IN HIDDEN GLEN. CLOSE TO SHOPPING, AMENITIES, AND PUBLIC TRANSPORTATION.  2BR/1BA / LARGE EAT IN KITCHEN / VAULTED CEILINGS / FIREPLACE/ WASHER-DRYER IN UNIT. CONVENTIONAL LOANS OR CASH ONLY. ASSOCIATION IS NOT FHA APPROVED</t>
  </si>
  <si>
    <t>17X14</t>
  </si>
  <si>
    <t>Oven/Range, Washer, Dryer</t>
  </si>
  <si>
    <t>S (South), W (West)</t>
  </si>
  <si>
    <t>CALL 855-957-1408 OR CLICK BELOW TO SCHEDULE SHOWING</t>
  </si>
  <si>
    <t>OWNER OF RECORRD</t>
  </si>
  <si>
    <t>Weichert, Realtors-Kingsland Properties</t>
  </si>
  <si>
    <t>(630) 665-1000</t>
  </si>
  <si>
    <t>John Wright</t>
  </si>
  <si>
    <t>REO@WR-KP.COM / FAX 630-658-0546</t>
  </si>
  <si>
    <t>H&amp;B 11AMCST 122414. SOLD AS-IS.TAXES 100%. PURSUANT TO IL CONDO ACT,BUYER RESP FOR UP TO 6 MONTHS HOA DUES+HOA ATTY FEES.BUYER MUST SIGN/SUBMIT REO PRCHSR ACKNWLDGMNT W/ OFFER OR SELLER WILL NOT CONSIDER.SEND 2 REO@WR-KP.COM OR 630-658-0546</t>
  </si>
  <si>
    <t>3A</t>
  </si>
  <si>
    <t>Park between Roosevelt &amp; Butterfield Roads to Raintree West to Raintree Court and North</t>
  </si>
  <si>
    <t>Enjoy the good life in this 3rd floor corner unit-views of  Village Links Golf Course. Laundry in unit &amp; coin lndry. Raintree has clubhouse, 3 pools, tennis courts, exercise room, party room, sidewalks. Elevator, garage &amp; storage. Large entry and living room has newer Pergo type flooring.  Separate dining room off kitchen. 2 carpeted bedrooms, 2 full baths, storage closet. Property being sold "as-is".</t>
  </si>
  <si>
    <t>5X4</t>
  </si>
  <si>
    <t>Coin Laundry, Elevator, Storage, On Site Manager/Engineer, Park/Playground, Party Room, Sundeck, Pool-Outdoors, Receiving Room, Tennis Court/s, Curbs/Gutters, Sidewalks, Street Lights, Street Paved</t>
  </si>
  <si>
    <t>Whirlpool</t>
  </si>
  <si>
    <t>Heat, Water, Parking, Common Insurance, Clubhouse, Exercise Facilities, Pool, Exterior Maintenance, Lawn Care, Scavenger, Snow Removal</t>
  </si>
  <si>
    <t>TV-Cable, Intercom, CO Detectors</t>
  </si>
  <si>
    <t>Manager On-site, Monday through Friday</t>
  </si>
  <si>
    <t>Low Rise (1-3 Stories)</t>
  </si>
  <si>
    <t>Unassigned, Off Street</t>
  </si>
  <si>
    <t>2.5% -$200 (on Net SP)</t>
  </si>
  <si>
    <t>Call agent Becky Wells at: 630-253-4295. Leave message &amp; show. Sentrilock. Turn off lights &amp; lv card</t>
  </si>
  <si>
    <t>Owner 0f Record</t>
  </si>
  <si>
    <t>(630) 752-2900</t>
  </si>
  <si>
    <t>Rebecca Wells, GRI,SFR</t>
  </si>
  <si>
    <t>(630) 253-4295</t>
  </si>
  <si>
    <t>School Bus Service, Commuter Bus, Commuter Train, Interstate Access</t>
  </si>
  <si>
    <t>Garage Space #15, storage locker #23. Prime corner unit &amp; golf course views. Newer items: wood laminate flooring, balcony floor, furnace &amp; central air. New furnace room door &amp; oven/range. Dryer as-is. Property also sold as-is.</t>
  </si>
  <si>
    <t>Mallard</t>
  </si>
  <si>
    <t>D2</t>
  </si>
  <si>
    <t>Newport North of Devon to Mallard</t>
  </si>
  <si>
    <t>Great opportunity to own this ready to move-in gorgeous end unit on the 2nd floor, an awesome kitchen with ss appliances, 2 large bedrooms, 2 baths, master bedroom with walk in closet, balcony with beautiful view, laundry in the unit, garage parking included. Clubhouse with swimming pool. Great school district. Building well maintained. Close to transportation, metra and shopping. Come &amp; see this one! Remarkable unit</t>
  </si>
  <si>
    <t>Utility Room-2nd Floor</t>
  </si>
  <si>
    <t>Walk In Closet</t>
  </si>
  <si>
    <t>8X3</t>
  </si>
  <si>
    <t>8X4</t>
  </si>
  <si>
    <t>6X6</t>
  </si>
  <si>
    <t>Balcony, Foyer, Utility Room-2nd Floor, Walk In Closet</t>
  </si>
  <si>
    <t>2.25%-$275 (on Gross SP)</t>
  </si>
  <si>
    <t>Please text listing agent: 773-510-8236</t>
  </si>
  <si>
    <t>of Record</t>
  </si>
  <si>
    <t>Chicagoland Brokers, Inc.</t>
  </si>
  <si>
    <t>(773) 745-1000</t>
  </si>
  <si>
    <t>Renata Ponikiewska</t>
  </si>
  <si>
    <t>(773) 510-8236</t>
  </si>
  <si>
    <t>Easy to show. This is a condo you been waiting for. Show with confidence.</t>
  </si>
  <si>
    <t>Falls</t>
  </si>
  <si>
    <t>Rt 72 E of Rt 47 to Reinking N to Andrew E. to Sales Office</t>
  </si>
  <si>
    <t>BEETHOVEN</t>
  </si>
  <si>
    <t>Gorgeous Beethoven ranch plan is spacious &amp; open with dramatic volume ceilings, &amp; stunning architectural details. Beautifully appointed with upgraded cabinets, quartz counters, stainless steel appliances wood floors. The bright sunroom offers a fabulous view with patio.Come enjoy Active Adult living at its finest, fabulous clubhouse with indoor/outdoor pool, fitness center and so much more!!</t>
  </si>
  <si>
    <t>12X16</t>
  </si>
  <si>
    <t>Sun/Florida Room Heated</t>
  </si>
  <si>
    <t>Bike Room/Bike Trails, Exercise Room, Golf Course, Party Room, Sundeck, Pool-Indoors, Pool-Outdoors, Tennis Court/s, Whirlpool</t>
  </si>
  <si>
    <t>Eating Area-Breakfast Bar, Island, Pantry-Closet</t>
  </si>
  <si>
    <t>Common Insurance, Clubhouse, Exercise Facilities, Pool, Lawn Care, Snow Removal</t>
  </si>
  <si>
    <t>Central Air, Energy Efficient Package, Hardwood/Ceramic Floors, Vaulted/Cathedral Ceiling, Vinyl Clad Windows, Upgraded Insulation</t>
  </si>
  <si>
    <t>Den, Sun/Florida Room Heated</t>
  </si>
  <si>
    <t>Please call the Sales Office at 847-984-4872 to schedule an appointment</t>
  </si>
  <si>
    <t>Commuter Train, Interstate Access, Adult Community</t>
  </si>
  <si>
    <t>Agent must accompany client on the first visit. Please call the Sales Office at 847-984-4872 to schedule a showing. Hours Daily from 10-5, Mondays from 1-5, Sundays 11-5. Please ask about builders lender (DHI Mortgage) financing rewards</t>
  </si>
  <si>
    <t>Middlebury</t>
  </si>
  <si>
    <t>59 S to Montgomery W To Middlebury</t>
  </si>
  <si>
    <t>Will</t>
  </si>
  <si>
    <t>WHEATLAND</t>
  </si>
  <si>
    <t>End unit home on the Naperville/Aurora border!  Home has cathedral ceilings throughout main floor and master bedroom.  Huge family room with fireplace.  Huge balcony.  Extra storage space.  This is a Fannie Mae HomePath property.</t>
  </si>
  <si>
    <t>21X16</t>
  </si>
  <si>
    <t>Water, Common Insurance, Exterior Maintenance, Lawn Care, Snow Removal</t>
  </si>
  <si>
    <t>CALL 800-746-9464</t>
  </si>
  <si>
    <t>Ryan Hill Realty, LLC</t>
  </si>
  <si>
    <t>(630) 276-7572</t>
  </si>
  <si>
    <t>Teresa Ryan, ABR,SFR</t>
  </si>
  <si>
    <t>â€œThe seller has directed that all offers on this listing be made using the HomePath Online Offer system at HomePath.com website.â€   For a One Day Code please call ShowingAssist.  The Sentrilock app does not work with our Sentrilocks.</t>
  </si>
  <si>
    <t>MAIN</t>
  </si>
  <si>
    <t>BARTLETT TOWN CENTER</t>
  </si>
  <si>
    <t>Rte 59 S to West Bartlett Rd East to Main St. Park in rear of BLDG.</t>
  </si>
  <si>
    <t>PER SURVEY</t>
  </si>
  <si>
    <t>Gorgeous 2 bedroom 2 bath loft located in the heart of Bartlett, within walking distance to the train and restaurants. This property features hardwood floors, in unit laundry, vaulted ceilings, granite counter tops and stainless steel appliances. TAXES 100%, This is a homepath property please submit through homepath website BUYER IS RESPONSIBLE FOR PREVIOUS 6 MONTHS HOA FEES,</t>
  </si>
  <si>
    <t>BARTLETT ELEMENTARY SCHOOL</t>
  </si>
  <si>
    <t>EASTVIEW MIDDLE SCHOOL</t>
  </si>
  <si>
    <t>18X21</t>
  </si>
  <si>
    <t>Elevator, Exercise Room, Security Door Locks, Curbs/Gutters, Sidewalks, Street Lights, Street Paved</t>
  </si>
  <si>
    <t>Oven-Double, Microwave, Dishwasher, Refrigerator, Washer, Dryer, Disposal</t>
  </si>
  <si>
    <t>Corner</t>
  </si>
  <si>
    <t>Water, Common Insurance, Security, Security System, Exterior Maintenance, Lawn Care, Scavenger, Snow Removal</t>
  </si>
  <si>
    <t>Humidifier, TV-Cable, Security System, Intercom, Sprinkler-Lawn</t>
  </si>
  <si>
    <t>Brick, Cedar, Stone</t>
  </si>
  <si>
    <t>Condo, Condo-Loft</t>
  </si>
  <si>
    <t>Assigned Spaces, Off Street, Visitor Parking</t>
  </si>
  <si>
    <t>Gas, Forced Air, Indv Controls</t>
  </si>
  <si>
    <t>Please call the showing desk at 888.362.3222 or LO after hours, thanks</t>
  </si>
  <si>
    <t>FANNIE MAE</t>
  </si>
  <si>
    <t>(847) 310-1886</t>
  </si>
  <si>
    <t>Scott Schilaci</t>
  </si>
  <si>
    <t>(630) 379-3511</t>
  </si>
  <si>
    <t>TAXES 100%, This is a homepath property please submit through homepath.com  BUYER IS RESPONSIBLE FOR PREVIOUS 6 MONTHS HOA FEES,</t>
  </si>
  <si>
    <t>Doolittle</t>
  </si>
  <si>
    <t>Grayslake</t>
  </si>
  <si>
    <t>Briargate</t>
  </si>
  <si>
    <t>83 N of Lake to Lexington W to Stockton S to Doolittle</t>
  </si>
  <si>
    <t>GRAYSLAKE</t>
  </si>
  <si>
    <t>GLENMORE</t>
  </si>
  <si>
    <t>18X72</t>
  </si>
  <si>
    <t>Well-maintained townhome in desirable Briargate subdivision. Lower level features newer hdwd flrs ('12) throughout. Kitchen has 42" cab., newer oven ('12), and eating area. Sep. dining and living rms. Upstairs has newer ('12) carpet, laundry rm (washer/dryer ('10) both stay), master bdrm with huge walk-in, upstairs bath has newer ceramic tile ('12) and brand new faucet. Metra 5 min. Original owner. Shows great!</t>
  </si>
  <si>
    <t>MEADOWVIEW SCHOOL</t>
  </si>
  <si>
    <t>GRAYSLAKE MIDDLE SCHOOL</t>
  </si>
  <si>
    <t>GRAYSLAKE NORTH HIGH SCHOOL</t>
  </si>
  <si>
    <t>Call 1-855-746-9100 Mon-Sun 8AM-10PM or click below. No one day codes!!!</t>
  </si>
  <si>
    <t>Patt</t>
  </si>
  <si>
    <t>Robert C Homa, SRS</t>
  </si>
  <si>
    <t>(847) 277-8507</t>
  </si>
  <si>
    <t>Driveways sealcoated 10/10/14. NO special assessments. Property taxes were successfully appealed and are much lower than almost all other homes in this community. Feedback welcome.</t>
  </si>
  <si>
    <t>Kit Carson</t>
  </si>
  <si>
    <t>FREMONT JUNCTION</t>
  </si>
  <si>
    <t>20 &amp; Bear Flag East to Fremont South becomes Kit Carson to Address</t>
  </si>
  <si>
    <t>Hanover Park//Fremont Junction Subdivision//Brick &amp; Vinyl-Sided Ranch//2 Bedroom//1 Bathroom//Living Room with Slider to Fenced Patio//Dining Room//Galley Kitchen//Bedroom 2 with Ceiling Fan &amp; Wood Laminate Flooring//In-Unit Laundry Hook-Up//1-Car Detached Garage//Park Across the Street//Pool//Special Assessment $97.54/month thru 7/16//HUD Owned //Ask About FHA $100 Down Payment Program//For Properties: (IN) or (IE)</t>
  </si>
  <si>
    <t>12X19</t>
  </si>
  <si>
    <t>11X12</t>
  </si>
  <si>
    <t>7X10</t>
  </si>
  <si>
    <t>Call 877-977-1010 for Easy Show</t>
  </si>
  <si>
    <t>Chase Real Estate, LLC</t>
  </si>
  <si>
    <t>(630) 527-0095</t>
  </si>
  <si>
    <t>Christian Chase</t>
  </si>
  <si>
    <t>FAX 630-701-1030</t>
  </si>
  <si>
    <t>BID GO TO HUDPemco.com NAID# REGISTRATION HUDHomeStore.com FHA Insured w/ escrow (ie) HUD HOME SOLD AS-IS CASE 137-311152 HOTLINE 630-236-1050 UP TO 3% CC. $100.00 DWN PYMT (See Over Bidding Rules)Keybox on front door -Special Assessment</t>
  </si>
  <si>
    <t>MILFORD</t>
  </si>
  <si>
    <t>LEHIGH STATION</t>
  </si>
  <si>
    <t>ROUTE 59 TO LIBERTY (WEST) TO STATION BLVD (SOUTH) TO MILFORD.</t>
  </si>
  <si>
    <t>AMHERST</t>
  </si>
  <si>
    <t>School District 204, Lehigh Station on the courtyard, hardwood floors, freshly painted, new carpet, kitchen w/island, pantry &amp; lots of counter space. Master w/full private bath &amp; wic. Loft, balcony, finished lower level w/fam rm. Close to Metra train, shopping, I-88 &amp; schools.  . This is a Fannie Mae Home Path Property.</t>
  </si>
  <si>
    <t>Oven/Range, Microwave, Dishwasher, Disposal</t>
  </si>
  <si>
    <t>Island, Pantry-Closet</t>
  </si>
  <si>
    <t>Separate Shower, Double Sink, Garden Tub</t>
  </si>
  <si>
    <t>Schedule unsing Showing Assist</t>
  </si>
  <si>
    <t>555-555-5555</t>
  </si>
  <si>
    <t>Kevin Rampersad</t>
  </si>
  <si>
    <t>(630) 632-0050</t>
  </si>
  <si>
    <t>LA Cell 630-632-0050</t>
  </si>
  <si>
    <t>Submit offers on HomePath.com website-For help call 866.218.4446. Email POF/pre-app to Broker. Buyer responsible for inspections, survey, 6 mts past due HOA &amp; Trans stamps if applicable. 100% tax pro-rations.</t>
  </si>
  <si>
    <t>Coventry</t>
  </si>
  <si>
    <t>Rt. 60 &amp; Lakeview Pkwy North to Coventry Circle (cul-de-sac)</t>
  </si>
  <si>
    <t>Must See!! Perfect Cul-de-sac location for this 2 Bedroom, 2 Bath Lake Park Manor 2nd Floor Unit. NEW Windows in 2013. In-unit Laundry. Sunny Eat-in Kitchen features NEW Sliding Glass Doors that open to Large Balcony. Living Rm features surround speakers and modern lighting. Neutral Carpet throughout. Attached Garage for parking and storage. Conveniently located to shopping, train and tollway. Priced to Sell!!!</t>
  </si>
  <si>
    <t>HAWTHORN ELEMENTARY SCHOOL  (NORTH)</t>
  </si>
  <si>
    <t>HAWTHORN MIDDLE SCHOOL NORTH</t>
  </si>
  <si>
    <t>Pool-Outdoors, Tennis Court/s, Curbs/Gutters, Street Lights, Street Paved</t>
  </si>
  <si>
    <t>Common Insurance, Clubhouse, Exterior Maintenance, Scavenger, Snow Removal</t>
  </si>
  <si>
    <t>Brick, Cedar, Stucco</t>
  </si>
  <si>
    <t>2.5% -200 (on Net SP)</t>
  </si>
  <si>
    <t>Please use Showing Assist - Confirmation Needed</t>
  </si>
  <si>
    <t>Elizabeth Gigler, CSC</t>
  </si>
  <si>
    <t>Taxes Do Not Reflect Home Owners Exemption</t>
  </si>
  <si>
    <t>101B</t>
  </si>
  <si>
    <t>WINCHESTER PLACE</t>
  </si>
  <si>
    <t>WASHINGTON (S OF 87TH), W ON WORTHING TO HAMPSHIRE</t>
  </si>
  <si>
    <t>DESIRABLE INTERIOR CUL-DE-SAC * NEARBY PARK &amp; WALKING PATH * UP-TO-DATE LIGHT FRESH DECOR * NEW FLOORING 2010: TOP-OF-LINE WIDE-PLANK LAMINATE * REMODELED CERAMIC BATH * TONS OF STORAGE &amp; WORKSPACE IN KIT * IN-UNIT LAUNDRY * WHITE TRIM * 6-PNL COLONIST DRS *** SPECIAL NOTE: ADDITIONAL WALK-UP STORAGE AREA IN GARAGE! *** PRIVATE PATIO * 1ST FLR UNIT IN SECURE BUILDING * OK FOR A QUICK CLOSE *</t>
  </si>
  <si>
    <t>KINGSLEY ELEMENTARY SCHOOL</t>
  </si>
  <si>
    <t>Storage, Park/Playground, Curbs/Gutters, Street Lights, Street Paved</t>
  </si>
  <si>
    <t>Common Grounds, Cul-de-sac</t>
  </si>
  <si>
    <t>Common Insurance, Clubhouse, Exterior Maintenance, Lawn Care, Snow Removal</t>
  </si>
  <si>
    <t>2.5%-150 (on Net SP)</t>
  </si>
  <si>
    <t>PLS USE SHOWING ASSIST - KB ON BAR AT CLUBHOUSE</t>
  </si>
  <si>
    <t>RE/MAX of Naperville</t>
  </si>
  <si>
    <t>(630) 420-1220</t>
  </si>
  <si>
    <t>Bill TeVogt, AHWD</t>
  </si>
  <si>
    <t>(630) 357-3795</t>
  </si>
  <si>
    <t>DON'T OVERLOOK THE GARAGE W/AMAZING BUILT-IN STORAGE!! (ACCESS THRU INTERIOR HALLWAY, 1ST DR ON THE RIGHT) ** OWNER CAN RENT UNIT TO ONLY IMMEDIATE FAMILY FOR MAX OF ONE YEAR. APPROVAL OF BOARD REQUIRED.</t>
  </si>
  <si>
    <t>BAILEY</t>
  </si>
  <si>
    <t>NAPER BLVD S TO BAILEY W TO ISHLANA S QUICK R TO 528</t>
  </si>
  <si>
    <t>Move in ready 2 bedroom, 2nd floor condo featuring 1 car garage, balcony and conveniently located near transportation, shopping and river walk trail!  Home has a nice kitchen with a pantry, tiled floors and large eating area, walk-in closet in master bedroom and has been freshly painted with new carpet.   This is a Fannie Mae HomePath property.</t>
  </si>
  <si>
    <t>Heat, Water, Gas, Parking, Common Insurance, Exterior Maintenance, Lawn Care, Scavenger, Snow Removal, Other</t>
  </si>
  <si>
    <t>Radiant</t>
  </si>
  <si>
    <t>Please Use Showing Time in MLS</t>
  </si>
  <si>
    <t>(630) 369-9000</t>
  </si>
  <si>
    <t>Laurie McPhillips-Weglarz</t>
  </si>
  <si>
    <t>(708) 436-3354</t>
  </si>
  <si>
    <t>Seller requires offers submitted via www.homepath.com; PLEASE USE ALL ATTACHED DOCUMENTS FOR OFFERS; 100% tax prorations, no personal property/disclosures or survey; 10% EM for cash offers; PLEASE INDICATE ON OFFER IF USING PUBLIC FUNDS</t>
  </si>
  <si>
    <t>0N158</t>
  </si>
  <si>
    <t>Windermere</t>
  </si>
  <si>
    <t>Winfield</t>
  </si>
  <si>
    <t>HIGHLAKE</t>
  </si>
  <si>
    <t>Winfield Road North to High Lake Road to Windermere North to house.</t>
  </si>
  <si>
    <t>Spectacular Lakeview! Cathedral Ceilings in Living room and dining room.  Woodburning fire place.  Fully applianced eat-in kitchen.  Large master bedroom.  Two full Baths.  Large Balcony.  Access to one car garage.  Near downtown, train and Central DuPage Hospital.</t>
  </si>
  <si>
    <t>9X5</t>
  </si>
  <si>
    <t>Common Insurance, Exterior Maintenance</t>
  </si>
  <si>
    <t>Please call Jessica Kolschowsky at 630 292 0239</t>
  </si>
  <si>
    <t>Stahelin Properties</t>
  </si>
  <si>
    <t>(630) 469-3331</t>
  </si>
  <si>
    <t>Mark L. Wilson</t>
  </si>
  <si>
    <t>Please call Jessica Kolschowsky at 630 292 0239 for showing instructions, not the listing agent.</t>
  </si>
  <si>
    <t>Saint Regis</t>
  </si>
  <si>
    <t>Lombard</t>
  </si>
  <si>
    <t>YORK BROOK</t>
  </si>
  <si>
    <t>22nd E of Highland to NorthLake (Stoplight), N to Models</t>
  </si>
  <si>
    <t>LOMBARD</t>
  </si>
  <si>
    <t>DUNBAR</t>
  </si>
  <si>
    <t>This Lombard, IL condo's the opportunity you've been waiting for! You'll be astounded walking into this sunny, move-in ready 2bdrm/2ba spacious unit w/ cherry cabinets, granite counters, ss appls. Large mstr bdrm has a walk-in clst &amp; full bath. Access the balcony where you'll enjoy grilling &amp; R&amp;R through the abundant lvg rm. In-unit laundry hook-up, club house, pool, storage, near shopping, restaurants &amp; expressways!</t>
  </si>
  <si>
    <t>MANOR HILL ELEMENTARY SCHOOL</t>
  </si>
  <si>
    <t>GLENN WESTLAKE MIDDLE SCHOOL</t>
  </si>
  <si>
    <t>GLENBARD EAST HIGH SCHOOL</t>
  </si>
  <si>
    <t>19X14</t>
  </si>
  <si>
    <t>5X9</t>
  </si>
  <si>
    <t>6X12</t>
  </si>
  <si>
    <t>Elevator, Storage, Pool-Outdoors, Curbs/Gutters, Sidewalks, Street Lights, Street Paved</t>
  </si>
  <si>
    <t>Water, Parking, Common Insurance, Clubhouse, Pool, Exterior Maintenance, Lawn Care, Scavenger, Snow Removal</t>
  </si>
  <si>
    <t>Balcony, Walk In Closet</t>
  </si>
  <si>
    <t>Condo, Mid Rise (4-6 Stories)</t>
  </si>
  <si>
    <t>Call CSS for showing instructions 1-877-977-1010</t>
  </si>
  <si>
    <t>(630) 964-9696</t>
  </si>
  <si>
    <t>Slav Polinski, CNC</t>
  </si>
  <si>
    <t>(630) 624-9615</t>
  </si>
  <si>
    <t>Please Remove Shoes turn off lights and leave a business card. Garage space is #63. Previous deal fell through because of buyer's inability to obtain financing.</t>
  </si>
  <si>
    <t>Cass</t>
  </si>
  <si>
    <t>3C</t>
  </si>
  <si>
    <t>Westmont</t>
  </si>
  <si>
    <t>OGDEN AVE TO CASS AVE-S, TO 511 N (NORTH OF TOWN)  WESTBROOK CLUB CONDOS</t>
  </si>
  <si>
    <t>WESTMONT</t>
  </si>
  <si>
    <t>3RD FLOOR WESTBROOK CLUB CONDO IN BRICK ELEVATOR BUILDING.   PRETTY KITCHEN W/GRANITE COUNTERS &amp; UPGRADED CABINETS.   1 GARAGE &amp; 1 PARKING SPACE.  IN TOWN W/EASY ACCESS TO METRA TRAIN. PRICED GREAT-NEEDS DECORATING &amp; REHAB.  ADDENDUM, DISCLOSURES, &amp; REO SALES HELP SHEET -IN ADD'L INFO. PUBLIC ACT 94-1049 MAY APPLY.  TAXES AT 100%. AS IS ONLY.  CASH=ALL FUNDS TO CLOSE.  REHAB LOAN-PRE-APPROVAL W/DOWN PAYMENT VERIFIED.</t>
  </si>
  <si>
    <t>J T MANNING ELEMENTARY SCHOOL</t>
  </si>
  <si>
    <t>WESTMONT JUNIOR HIGH SCHOOL</t>
  </si>
  <si>
    <t>WESTMONT HIGH SCHOOL</t>
  </si>
  <si>
    <t>21X17</t>
  </si>
  <si>
    <t>PLEASE READ ALL OF SHOWING ASSIST-EASY TO SHOW</t>
  </si>
  <si>
    <t>SPS FOR JPMORGAN CHASE</t>
  </si>
  <si>
    <t>630-964-3000</t>
  </si>
  <si>
    <t>RE/MAX Enterprises</t>
  </si>
  <si>
    <t>(630) 964-3000</t>
  </si>
  <si>
    <t>Marge Pawlak, ABR,CRS,GRI,SFR</t>
  </si>
  <si>
    <t>(630) 971-7654</t>
  </si>
  <si>
    <t>Employees and family members residing with employees of JPMorgan Chase Bank, N.A, its affiliates or subsidiaries are strictly prohibited from directly or indirectly purchasing any property owned by JPMorgan Chase Bank, N.A.</t>
  </si>
  <si>
    <t>Wood Dale</t>
  </si>
  <si>
    <t>BROOKWOOD ON THE GREENS</t>
  </si>
  <si>
    <t>Irving Park Rd to Wood Dale Rd S to Brookwood on the Greens entrance W</t>
  </si>
  <si>
    <t>WOOD DALE</t>
  </si>
  <si>
    <t>Great Opportunity to own the largest unit, actually a 3 bedroom, 3rd bdrm being used as a den.  Needs updating and decorating, but what a fabulous view of the golf course, 2 balconies, eat in kitchen, 2 full baths, 2 bedrooms plus a den, storage and TWO garage spaces, plus plenty of guest parking. Great secure elevator bldg w/ pool, sundeck, soc rm, garage pkg 37 &amp; 38 LLE, sep strge. Lovely location!</t>
  </si>
  <si>
    <t>OAKBROOK ELEMENTARY SCHOOL</t>
  </si>
  <si>
    <t>WOOD DALE JUNIOR HIGH SCHOOL</t>
  </si>
  <si>
    <t>FENTON HIGH SCHOOL</t>
  </si>
  <si>
    <t>22X8</t>
  </si>
  <si>
    <t>Coin Laundry, Elevator, Storage, On Site Manager/Engineer, Party Room, Sundeck, Pool-Outdoors, Security Door Locks, Street Lights, Street Paved</t>
  </si>
  <si>
    <t>Air Conditioning, Water, Parking, Common Insurance, Security System, TV/Cable, Pool, Exterior Maintenance, Lawn Care, Scavenger, Snow Removal</t>
  </si>
  <si>
    <t>Den, Foyer</t>
  </si>
  <si>
    <t>Calll Showing Time to schedule an appointment: 855-746-9100</t>
  </si>
  <si>
    <t>(773) 775-1855</t>
  </si>
  <si>
    <t>Donna Bolas</t>
  </si>
  <si>
    <t>(630) 251-4327</t>
  </si>
  <si>
    <t>Owner must live in unit for 2 years before it can be rented.</t>
  </si>
  <si>
    <t>MALLARD</t>
  </si>
  <si>
    <t>PT</t>
  </si>
  <si>
    <t>Lake Barrington</t>
  </si>
  <si>
    <t>LAKE BARRINGTON SHORES</t>
  </si>
  <si>
    <t>59 NORTH OF MILLER TO LBS GATE, ASK GUARD FOR DIRECTIONS</t>
  </si>
  <si>
    <t>LAKE BARRINGTON</t>
  </si>
  <si>
    <t>CUBA</t>
  </si>
  <si>
    <t>BARRETT</t>
  </si>
  <si>
    <t>Tranquil lakefront Barrett ranch in Lake Barrington Shores.  Gorgeous, unobstructed views of lake w/mature trees surrounding pvt deck. Main level features LR w/FP, sliders to deck; eat-in kitchen and separate DR. Master bedrm w/full bath &amp; W/I closet.  Full Finished English Lower Level w/office nook, FR, 3rd full bathroom &amp; large laundry/storage area. Neutral dÃ©cor throughout.  Enjoy all the amenities LBS offers!</t>
  </si>
  <si>
    <t>NORTH BARRINGTON ELEMENTARY SCHOOL</t>
  </si>
  <si>
    <t>BARRINGTON MIDDLE SCHOOL-PRAIRIE</t>
  </si>
  <si>
    <t>BARRINGTON HIGH SCHOOL</t>
  </si>
  <si>
    <t>14X18</t>
  </si>
  <si>
    <t>21X20</t>
  </si>
  <si>
    <t>Bike Room/Bike Trails, Exercise Room, On Site Manager/Engineer, Park/Playground, Party Room, Sundeck, Pool-Indoors, Pool-Outdoors, Sauna, Tennis Court/s, Whirlpool, Gated Entry, Street Lights, Street Paved</t>
  </si>
  <si>
    <t>Lake Front</t>
  </si>
  <si>
    <t>Combined w/ LivRm, L-shaped</t>
  </si>
  <si>
    <t>Water, Parking, Common Insurance, TV/Cable, Clubhouse, Exercise Facilities, Pool, Exterior Maintenance, Lawn Care, Scavenger, Snow Removal, Lake Rights, Other</t>
  </si>
  <si>
    <t>Humidifier, Water-Softener Owned, TV-Cable, Sump Pump</t>
  </si>
  <si>
    <t>Lake/Water</t>
  </si>
  <si>
    <t>Wood Burning, Includes Accessories</t>
  </si>
  <si>
    <t>2.5% - $295 (on Net SP)</t>
  </si>
  <si>
    <t>Call Showing Time for appt 855.746.9020</t>
  </si>
  <si>
    <t>@properties</t>
  </si>
  <si>
    <t>(847) 381-0300</t>
  </si>
  <si>
    <t>John Morrison, SFR</t>
  </si>
  <si>
    <t>(847) 409-0297</t>
  </si>
  <si>
    <t>1A</t>
  </si>
  <si>
    <t>MALLARD LAKE ESTATES</t>
  </si>
  <si>
    <t>Glen Ellyn Rd to Deer Glen East to Stoneybrook Ln North to unit.</t>
  </si>
  <si>
    <t>: This 1st floor 2 bedroom, 2 full bath unit has everything that you need to make this your new home.  Master bedroom w/ master bath, eat in kitchen, big living room, separate dining room , laundry room, private patio in nature like setting. Furnace,  A/C, H2O new as 2013.  Newer windows &amp; lots of natural light. Oversized garage with plenty of storage.  Close to shopping, golf course, expressway &amp; entertainment.</t>
  </si>
  <si>
    <t>WINNEBAGO ELEMENTARY SCHOOL</t>
  </si>
  <si>
    <t>MARQUARDT MIDDLE SCHOOL</t>
  </si>
  <si>
    <t>Brick, Stucco</t>
  </si>
  <si>
    <t>2.5%-$245 (on Net SP)</t>
  </si>
  <si>
    <t>call office 630-543-5640</t>
  </si>
  <si>
    <t>Century 21 Lullo</t>
  </si>
  <si>
    <t>(630) 543-5640</t>
  </si>
  <si>
    <t>Michael Provinzino, CNC</t>
  </si>
  <si>
    <t>(630) 728-6786</t>
  </si>
  <si>
    <t>Unit is very well maintained and move in ready.  Can be a fast close.</t>
  </si>
  <si>
    <t>Kingsbury</t>
  </si>
  <si>
    <t>Larkspur</t>
  </si>
  <si>
    <t>Irving Park Rd. east of Barrington Rd. to Kingsbury Dr. north to cul de sac of 1330, west to 1330.</t>
  </si>
  <si>
    <t>BRIARCLIFF</t>
  </si>
  <si>
    <t>Fantastic kitchen with recent granite counter tops, tile floor &amp; back splashes, cabinets, &amp; upgraded SS appliances. Living room with solid 3/4" Oak flooring. Bedrooms have free standing clothing storage cabinets in the closet alcoves. Relaxing pond view from the dining room balcony. Convenient location with shopping, dining, commuter train, &amp; expressway nearby.</t>
  </si>
  <si>
    <t>ALBERT EINSTEIN ELEMENTARY SCHOOL</t>
  </si>
  <si>
    <t>HOFFMAN ESTATES HIGH SCHOOL</t>
  </si>
  <si>
    <t>8X8</t>
  </si>
  <si>
    <t>Common Grounds, Cul-de-sac, Pond</t>
  </si>
  <si>
    <t>Call Showing Desk 855-746-9200. Day sleeper. 2 hr. notice required.</t>
  </si>
  <si>
    <t>(847) 301-3100</t>
  </si>
  <si>
    <t>David Erickson</t>
  </si>
  <si>
    <t>(847) 274-4008</t>
  </si>
  <si>
    <t>Night worker, sleeps days. Minimum 2 hour notice to remove dog. Please knock, doorbell does not work.</t>
  </si>
  <si>
    <t>Wing</t>
  </si>
  <si>
    <t>4B</t>
  </si>
  <si>
    <t>MCLEAN N TO WING ST NORTH, ENTRANCE TO COMPLEX IS ON RIGHT IF HEADING NORTH ON WING</t>
  </si>
  <si>
    <t>HIDDEN GEM  IN NW ELGIN. 2BR/1.5BA CONDO HAS FIRST FLOOR ENTRANCE IN FRONT BUT BALCONY OVERLOOKING CREEK AND WOODS IN BACK. BAMBOO HW FLOORS, GRANITE COUNTERS/SS APPLIANCES. TRULY UPSCALE UNIT - BY THE FAR THE BEST YOU WILL FIND ON ELGIN'S WEST SIDE. 1  PARKING SPACE IN GARAGE. THIS CONDO IS A 11 ON A 10 SCALE. Property is lender owned, is being sold as-is, and U.S. Bank is making no representations or warranties</t>
  </si>
  <si>
    <t>18X16</t>
  </si>
  <si>
    <t>Sustainable</t>
  </si>
  <si>
    <t>Coin Laundry, Storage, On Site Manager/Engineer</t>
  </si>
  <si>
    <t>Common Grounds, Stream, Water View</t>
  </si>
  <si>
    <t>Cash Only</t>
  </si>
  <si>
    <t>CALL 855-957-1408 OR CLICK BELOW FOR SHOWING</t>
  </si>
  <si>
    <t>U.S. BANK</t>
  </si>
  <si>
    <t>SOLD AS-IS. TAXES 100%. CASH ONLY DUE TO HIGH % OF RENTALS IN COMPLEX.  FAX OFFERS TO 630-658-0546 OR EMAIL TO REO@WR-KP.COM.  Property is lender owned, is being sold as-is, and U.S. Bank is making no representation or warrantie</t>
  </si>
  <si>
    <t>Renovation Loan</t>
  </si>
  <si>
    <t>Grove</t>
  </si>
  <si>
    <t>RIVER PARK PLACE</t>
  </si>
  <si>
    <t>Grove just north of National to 181</t>
  </si>
  <si>
    <t>916 SF</t>
  </si>
  <si>
    <t>Attention investors! Absolutely beautiful 3 story townhome in sought after River Park Place on Grove! Overlooks park! Needs counters &amp; mechanicals but has many upgrades! Gleaming hardwood flrs, 42" cabinets, fireplace. Private rooftop deck! 2 car garage! Cash only due to repairs needed. Close to amenities, .5 block to Victoria. Sold as is.</t>
  </si>
  <si>
    <t>CHANNING MEMORIAL ELEMENTARY SCHOOL</t>
  </si>
  <si>
    <t>ELLIS MIDDLE SCHOOL</t>
  </si>
  <si>
    <t>ELGIN HIGH SCHOOL</t>
  </si>
  <si>
    <t>Landscaped Professionally, Park Adjacent, Water View</t>
  </si>
  <si>
    <t>Attached Fireplace Doors/Screen</t>
  </si>
  <si>
    <t>2.5% OF NET - $250 (on Net SP)</t>
  </si>
  <si>
    <t>call 1-855-746-9100 Mon - Sun 8am - 10pm</t>
  </si>
  <si>
    <t>BSI Financial Services</t>
  </si>
  <si>
    <t>Holly Wyckoff, ABR,SFR</t>
  </si>
  <si>
    <t>(847) 284-9209</t>
  </si>
  <si>
    <t>Wayne's cell: 847-284-9205</t>
  </si>
  <si>
    <t>Sold "As Is". No survey. Taxes prorated 100%. EM = 10%. Certified funds. Seller's addendum to follow accepted offer.</t>
  </si>
  <si>
    <t>Butterfield &amp; Rte 60 south to Creekside, East 2 Winfield</t>
  </si>
  <si>
    <t>WELL MAINTAINED END UNIT, 2BEDRM/1 BATH RANCH TOWNHOME.  BONUS ROOM, W/ CONVERTED GARAGE SPACE: USE FOR DINING OR FAMILY OR 3RD BEDROOM. NEW WINDOWS, NICE &amp; BRIGHT, GENEROUS ROOM SIZES. CENTRAL AIR,WASHER/DRYER IN-UNIT, MOVE IN CONDITION, LOTS OF STORAGE. CONVENIENTLY LOCATED CLOSE TO SHOPPING,PARKS,SCHOOL, MUST SEE!</t>
  </si>
  <si>
    <t>10X16</t>
  </si>
  <si>
    <t>21X10</t>
  </si>
  <si>
    <t>Bike Room/Bike Trails, On Site Manager/Engineer, Pool-Outdoors, Curbs/Gutters, Sidewalks, Street Lights, Street Paved</t>
  </si>
  <si>
    <t>S (South), E (East), W (West)</t>
  </si>
  <si>
    <t>Vinyl Siding, Frame</t>
  </si>
  <si>
    <t>Quad-Ranch, Townhouse-Ranch</t>
  </si>
  <si>
    <t>Off Street</t>
  </si>
  <si>
    <t>EASY TO SHOW CALL LA 773-807-8444</t>
  </si>
  <si>
    <t>Timenet Real Estate. Inc.</t>
  </si>
  <si>
    <t>(847) 459-7030</t>
  </si>
  <si>
    <t>Kathy Yunhee Yim An, GRI</t>
  </si>
  <si>
    <t>(773) 807-8444</t>
  </si>
  <si>
    <t>Shandrew</t>
  </si>
  <si>
    <t>VINTAGE CLUB</t>
  </si>
  <si>
    <t>Rt. 59 to Ogden ( Rt.34) East to Shandrew</t>
  </si>
  <si>
    <t>BELDEN</t>
  </si>
  <si>
    <t>EXQUISITE BELDEN MODEL IN VINTAGE CLUB OF NAPERVILLE. If you are looking for a home that is as close to perfection as it gets..step inside!  So much to love about 934 Shandrew!  Awesome kitchen (appliances less than 1 year old) with 42 in cabinets and granite.  WOW fr with fireplace and Stunning paladian windows. Flawlessly decorated. Overlooks wooded area!  Lots of parking.  Great Naperville location, super conv!</t>
  </si>
  <si>
    <t>COWLISHAW ELEMENTARY SCHOOL</t>
  </si>
  <si>
    <t>Wooded, Fenced Yard</t>
  </si>
  <si>
    <t>Water, Common Insurance, Exterior Maintenance, Lawn Care, Snow Removal, Other</t>
  </si>
  <si>
    <t>See through/Multi Sided, Gas Starter</t>
  </si>
  <si>
    <t>2.5%-$150 (on Net SP)</t>
  </si>
  <si>
    <t>Please call 877-977-1010</t>
  </si>
  <si>
    <t>RE/MAX TOWN &amp; COUNTRY</t>
  </si>
  <si>
    <t>(630) 844-2100</t>
  </si>
  <si>
    <t>Kathy Brothers, ABR</t>
  </si>
  <si>
    <t>(630) 201-4664</t>
  </si>
  <si>
    <t>18W155</t>
  </si>
  <si>
    <t>14th</t>
  </si>
  <si>
    <t>Villa Park</t>
  </si>
  <si>
    <t>Roosevelt to Ardmore, South to 14th West to home</t>
  </si>
  <si>
    <t>VILLA PARK</t>
  </si>
  <si>
    <t>HURRY ON OVER ...... Nice 2 bedroom 1.5 bath 2 story townhome with a partially finished basement.  New appliances being installed . The Freddie Mac townhome is being sold as is where is . Taxes are being pro rated at 100 % This home is under the Freddie mac 1 st look initiave thru 11/21/2014</t>
  </si>
  <si>
    <t>07X07</t>
  </si>
  <si>
    <t>10X07</t>
  </si>
  <si>
    <t>Common Insurance, Clubhouse, Exterior Maintenance, Lawn Care, Scavenger, Snow Removal</t>
  </si>
  <si>
    <t>Please call centralized showing desk at 877-977-1010 for showing instructions</t>
  </si>
  <si>
    <t>Freddie Mac/ Home Steps</t>
  </si>
  <si>
    <t>Partners Real Estate of IL</t>
  </si>
  <si>
    <t>(847) 301-0300</t>
  </si>
  <si>
    <t>Cathy Lee  Barbaccia</t>
  </si>
  <si>
    <t>Please email or fax all offers to Domenic at dom1@partnersinre.com or 847-301-0999. any questions on this property to ask if there are other offers e mail dom or call him at 847-301-0300 X11 Proof of funds must accompany all cash offers .</t>
  </si>
  <si>
    <t>Renard</t>
  </si>
  <si>
    <t>RENAUX MANOR</t>
  </si>
  <si>
    <t>Rt 64 West of Randall to Peck South to Renard Lane East</t>
  </si>
  <si>
    <t>CAMPTON</t>
  </si>
  <si>
    <t>CARDAMON</t>
  </si>
  <si>
    <t>Light bright well maintained home it's all here. 2 Stry liv rm w/firepl. Lg eat in kit w/ceramic flrâ€™s &amp; 42' cherry wd cabinets, all appliances. Separate din rm.1st flr den w/French drs. Crown molding, 6 pnl drs. Mstr bdrm w/vaulted ceiling, lg walk in closet. Mstr bath shwr &amp; whirlpl tub, chair rail &amp; ceramic flrâ€™s. Loft, 2nd flr laundry rm. Full finished bsmt w/wet bar &amp; powder rm. Exclude shelves in garage.</t>
  </si>
  <si>
    <t>WREDLING MIDDLE SCHOOL</t>
  </si>
  <si>
    <t>ST CHARLES EAST HIGH SCHOOL</t>
  </si>
  <si>
    <t>13X20</t>
  </si>
  <si>
    <t>13X17</t>
  </si>
  <si>
    <t>12X13</t>
  </si>
  <si>
    <t>7X8</t>
  </si>
  <si>
    <t>30X25</t>
  </si>
  <si>
    <t>Den, Foyer, Loft, Recreation Room</t>
  </si>
  <si>
    <t>Water-Softener Owned, TV-Cable, Ceiling Fan, Sump Pump, Radon Mitigation System(s)</t>
  </si>
  <si>
    <t>See through/Multi Sided, Wood Burning, Attached Fireplace Doors/Screen, Gas Starter</t>
  </si>
  <si>
    <t>Secure ShowingAssist</t>
  </si>
  <si>
    <t>Stauber</t>
  </si>
  <si>
    <t>Heather Guthrie</t>
  </si>
  <si>
    <t>(847) 845-8086</t>
  </si>
  <si>
    <t>Agent related to seller</t>
  </si>
  <si>
    <t>2s750</t>
  </si>
  <si>
    <t>Winchester</t>
  </si>
  <si>
    <t>WINCHESTER SQUARE</t>
  </si>
  <si>
    <t>Rt 59 to Winchester Circle east. Take first right and follow road around to the left behind garages.</t>
  </si>
  <si>
    <t>This affordable home is a must see and offers a care-free style of living with  NEW laminate flooring in kitchen and dining room.  Kitchen features a NEW refrigerator, gas range, dishwasher, and microwave. Finished basement includes a laundry room with NEW washer and dryer and powder room with utility closet.  Attached garage with access from unit. Subdivision has pool and easy access to highways,shopping and parks!</t>
  </si>
  <si>
    <t>13X9</t>
  </si>
  <si>
    <t>Park/Playground, Pool-Outdoors, Curbs/Gutters, Sidewalks, Street Lights, Street Paved</t>
  </si>
  <si>
    <t>No Tub</t>
  </si>
  <si>
    <t>Water-Softener Owned, Ceiling Fan, Sump Pump</t>
  </si>
  <si>
    <t>2.5% -$250 (on Net SP)</t>
  </si>
  <si>
    <t>Click showing assist or Call showingtime 800-746-9464</t>
  </si>
  <si>
    <t>Realty Executives Premiere</t>
  </si>
  <si>
    <t>(630) 668-1199</t>
  </si>
  <si>
    <t>Becky Chase VanderVeen, GRI</t>
  </si>
  <si>
    <t>(630) 260-2838</t>
  </si>
  <si>
    <t>630-220-1447</t>
  </si>
  <si>
    <t>Brand new appliances</t>
  </si>
  <si>
    <t>71st</t>
  </si>
  <si>
    <t>2S</t>
  </si>
  <si>
    <t>71st st west of Stoney Island a few blocks, south on Dorchester to 71st place, west to building</t>
  </si>
  <si>
    <t>Nice condo GREAT price! Hardwood floors. Marble bath.  Kitchen appliances included. Plenty of Street parking available.  Coin laundry in building basement with individual storage area for each unit.  short sale. sold as-is, buyer responsible for  inspections, repairs, municipal or condo association requirements.  seller will not pay for survey, inspections, etc. Investors, please note, rentals allowed.</t>
  </si>
  <si>
    <t>81-90 Years</t>
  </si>
  <si>
    <t>2%-$175 (on Gross SP)</t>
  </si>
  <si>
    <t>call listing office 24 hour notice required 708-672-4700 combo LB, Knock first!</t>
  </si>
  <si>
    <t>RE/MAX 2000</t>
  </si>
  <si>
    <t>(708) 672-4700</t>
  </si>
  <si>
    <t>Synthia Noble</t>
  </si>
  <si>
    <t>(312) 399-6729</t>
  </si>
  <si>
    <t>Kenilworth</t>
  </si>
  <si>
    <t>COURTYARDS OF GLEN ELLYN</t>
  </si>
  <si>
    <t>Main St. North to Pennsylvania, West to Kenilworth, corner of Pennsylvania and Kenilworth</t>
  </si>
  <si>
    <t>BRYN MAWR</t>
  </si>
  <si>
    <t>Partial, English</t>
  </si>
  <si>
    <t>Elegant, new construction, end-unit townhome! A commuter's dream w/prime, in-town, steps-to-train location! 1800+ sq. ft. Hardwood flrs thruout main level. Huge kitchen w/granite cntrtops, ss appl's &amp; 42" cabinets. LR w/cozy fireplace. Dual master suites. Stunning bathrms. Oak railings at main stair. Oversized balcony. Finished lower level. 2-car attached garage. Nothing to do but move in, relax &amp; enjoy!</t>
  </si>
  <si>
    <t>CHURCHILL ELEMENTARY SCHOOL</t>
  </si>
  <si>
    <t>HADLEY JUNIOR HIGH SCHOOL</t>
  </si>
  <si>
    <t>GLENBARD WEST HIGH SCHOOL</t>
  </si>
  <si>
    <t>11X14</t>
  </si>
  <si>
    <t>16X05</t>
  </si>
  <si>
    <t>Sidewalks</t>
  </si>
  <si>
    <t>Humidifier, Sump Pump</t>
  </si>
  <si>
    <t>Attached Fireplace Doors/Screen, Gas Logs, Heatilator Type System</t>
  </si>
  <si>
    <t>Townhouse-TriLevel</t>
  </si>
  <si>
    <t>3% - $295 (on Net SP)</t>
  </si>
  <si>
    <t>Please call Showing Time at 1-855-230-7416. Please remove shoes or wear booties and leave card.</t>
  </si>
  <si>
    <t>Orleans Homes</t>
  </si>
  <si>
    <t>Keller Williams Premiere Properties</t>
  </si>
  <si>
    <t>(630) 545-9860</t>
  </si>
  <si>
    <t>Joseph Champagne</t>
  </si>
  <si>
    <t>(630) 947-4424</t>
  </si>
  <si>
    <t>3% Co-Op + $2,000 Bonus if under contract by November 30, 2014 and close by December 31, 2014.</t>
  </si>
  <si>
    <t>WENTWORTH</t>
  </si>
  <si>
    <t>LAKE PARK MANOR</t>
  </si>
  <si>
    <t>LAKEVIEW PARKWAY TO COVENTRY, WEST TO WENTWORTH</t>
  </si>
  <si>
    <t>Maintenance Free Living*Light &amp; Bright Open Floor Plan*Wood Laminate Entry*Totally Updated-Remodeled Bathrooms*Eat-in Kitchen w/Closet Pantry, New Flooring, Stainless Steel Appliances, Including BRAND NEW STOVE &amp; Disposal*In Unit Laundry w/NEW Washer &amp; Dryer*New HWH*Attached Garage*Secure Building*Freshly Painted Exterior*Newer Driveways*Enjoy The Pool &amp; Tennis Courts*Close to Pond, Walking Trails, Schools &amp; Shopping</t>
  </si>
  <si>
    <t>Oven/Range, Microwave, Dishwasher, Refrigerator, Washer, Dryer, Disposal, All Stainless Steel Kitchen Appliances</t>
  </si>
  <si>
    <t>Humidifier, Intercom, CO Detectors</t>
  </si>
  <si>
    <t>Off Street, Visitor Parking</t>
  </si>
  <si>
    <t>CALL SHOWING TIME - 855-919-0376</t>
  </si>
  <si>
    <t>MUST CONFIRM, DOG (WILL NOT BE PRESENT DURING SHOWINGS) * FEEDBACK IS GREATLY APPRECIATED!!!</t>
  </si>
  <si>
    <t>1S159</t>
  </si>
  <si>
    <t>Eliot</t>
  </si>
  <si>
    <t>BRANDYWINE</t>
  </si>
  <si>
    <t>Roosevelt to Summit, South to 14th Street, East to Eliot Lane</t>
  </si>
  <si>
    <t>43 X 40</t>
  </si>
  <si>
    <t>Bring your decorating ideas.  End-unit ranch-style townhouse with full basement.  One exterior spot included (Parking Lot #7, Space #159).  Needs TLC. Explore the possibilities! Sold in "as-is" condition.</t>
  </si>
  <si>
    <t>YORK CENTER ELEMENTARY SCHOOL</t>
  </si>
  <si>
    <t>JACKSON MIDDLE SCHOOL</t>
  </si>
  <si>
    <t>WILLOWBROOK HIGH SCHOOL</t>
  </si>
  <si>
    <t>COLLEGE OF DUPAGE</t>
  </si>
  <si>
    <t>17X8</t>
  </si>
  <si>
    <t>Park/Playground, Party Room, Pool-Outdoors, Curbs/Gutters, Sidewalks, Street Lights, Street Paved</t>
  </si>
  <si>
    <t>Parking, Common Insurance, Clubhouse, Pool, Exterior Maintenance, Lawn Care, Scavenger, Snow Removal</t>
  </si>
  <si>
    <t>Use Showing Assist or Call Showing Time at 855-746-9200</t>
  </si>
  <si>
    <t>Nagel</t>
  </si>
  <si>
    <t>(630) 495-3500</t>
  </si>
  <si>
    <t>Joanne McInerney, ABR,BPOR,CNC,CRS,GRI,SRES,SRS</t>
  </si>
  <si>
    <t>(630) 561-5698</t>
  </si>
  <si>
    <t>The monthly HOA will be raised to $194.00/month beginning January 1, 2015.</t>
  </si>
  <si>
    <t>Rutland</t>
  </si>
  <si>
    <t>WINDRIDGE</t>
  </si>
  <si>
    <t>RT59 TO 87TH ST E TO SHEEHAN S TO RUTLAND. North end of 2835 Bldg. Pass unit 201,  down walk.</t>
  </si>
  <si>
    <t>Sought-after first floor end unit in flawless condition. Eat in kitchen comes complete with newer appliances. In home laundryâ€¦ washer and dryer included!  Unit has been well maintained, home features newer carpet and neutral dÃ©cor. Private Entrance facing tree line. Located near, shopping, restaurants, transportation, and entertainment. Great location and schools.</t>
  </si>
  <si>
    <t>WELCH ELEMENTARY SCHOOL</t>
  </si>
  <si>
    <t>SCULLEN MIDDLE SCHOOL</t>
  </si>
  <si>
    <t>NEUQUA VALLEY HIGH SCHOOL</t>
  </si>
  <si>
    <t>10X05</t>
  </si>
  <si>
    <t>Humidifier, TV-Cable</t>
  </si>
  <si>
    <t>Condo, Townhouse-Ranch</t>
  </si>
  <si>
    <t>2.5%-$199 (on Gross SP)</t>
  </si>
  <si>
    <t>Adam Stary</t>
  </si>
  <si>
    <t>(630) 615-2881</t>
  </si>
  <si>
    <t>Monthly Association Fee Includes Unit Water, Exterior Maintenance, Lawn Care, Snow Removal, and Fire Alarm.</t>
  </si>
  <si>
    <t>Finley</t>
  </si>
  <si>
    <t>POINT WEST</t>
  </si>
  <si>
    <t>ROOSEVELT RD. TO FINLEY, SOUTH TO POINT WEST</t>
  </si>
  <si>
    <t>25#</t>
  </si>
  <si>
    <t>NEWLY UPDATED &amp; MOVE IN READY! NEW CARPET THROUGHOUT (2014). NEW CEILING LIGHT FIXTURES IN ENTRY, HALL &amp; KITCHEN. REMODELED EAT-IN KITCHEN W/NEW MAPLE CABINETS, NEW GRANITE COUNTERS, NEW DW &amp; MICROWAVE. HALL BATH W/NEW PORCELAIN TILE FLOOR. COMPLETELY REMODELED 1/2 BATH IN MBR. NEW CLOSET DOORS IN BOTH BEDROOMS. FRONT ENTRY FEATURES TWO GUEST CLOSETS. COIN LAUNDRY &amp; STORAGE IN BLDG. PLUS OUTDOOR POOL AND TENNIS COURT</t>
  </si>
  <si>
    <t>12X09</t>
  </si>
  <si>
    <t>Heat, Water, Gas, Parking, Common Insurance, Pool, Exterior Maintenance, Lawn Care, Scavenger, Snow Removal</t>
  </si>
  <si>
    <t>Hot Water/Steam, Baseboard</t>
  </si>
  <si>
    <t>SENTRILOCK ON SHORT WALL SOUTH OF ENTRY DOOR-SHOW ANYTIME</t>
  </si>
  <si>
    <t>RE/MAX Achievers</t>
  </si>
  <si>
    <t>(630) 678-0300</t>
  </si>
  <si>
    <t>Randall Stob, CRS,GRI</t>
  </si>
  <si>
    <t>(630) 202-7487</t>
  </si>
  <si>
    <t>630-202-7487</t>
  </si>
  <si>
    <t>UNITS CAN BE RENTED. ONE CAT OR DOG UP TO 25 LBS.</t>
  </si>
  <si>
    <t>Autumn</t>
  </si>
  <si>
    <t>DeKalb</t>
  </si>
  <si>
    <t>FAIRVIEW SOUTH</t>
  </si>
  <si>
    <t>Hwy 23 South to Manning Dr. turn right then left to Autumn</t>
  </si>
  <si>
    <t>DEKALB</t>
  </si>
  <si>
    <t>De Kalb</t>
  </si>
  <si>
    <t>2 STORY</t>
  </si>
  <si>
    <t>18X70</t>
  </si>
  <si>
    <t>Pride of ownership throughout in this warm inviting townhome! Many upgrades including 36" oak cabinets with crown molding, ceiling fans in each room, cozy gas fireplace with blower, 6-panel solid core doors, 9-ft ceilings, extra large 16'X12' patio with semi private backyard, new siding and roof in 2014....... too many to list come and take a look for yourself!!</t>
  </si>
  <si>
    <t>17X21</t>
  </si>
  <si>
    <t>Water-Softener Owned, CO Detectors, Ceiling Fan, Sump Pump</t>
  </si>
  <si>
    <t>Dogs OK</t>
  </si>
  <si>
    <t>2.5-$150 (on Net SP)</t>
  </si>
  <si>
    <t>Easy to show, please click below on "Schedule Showing" or call CSS to schedule 877-977-1010</t>
  </si>
  <si>
    <t>(815) 756-2557</t>
  </si>
  <si>
    <t>Laura Boyer</t>
  </si>
  <si>
    <t>(815) 761-6989</t>
  </si>
  <si>
    <t>Note: secondary fridge in basement and deep freezer in garage are not included. Vacant but furnished and easy to show!</t>
  </si>
  <si>
    <t>Maude</t>
  </si>
  <si>
    <t>Grand to Forrest, right on Maude, right into first lot. Park in space "77c"</t>
  </si>
  <si>
    <t>3-STORY 2BR 2.5BA CONDO IN THE HEART OF THE CHAIN Oâ€™LAKES. THIS UNIQUE UNIT FEATURES LIVING ROOM WITH PATIO, FULLY APPLIANCED KITCHEN AND MAIN LEVEL POWDER ROOM WITH WASHER &amp; DRYER IN LAUNDRY CLOSET. SECOND LEVEL OFFERS BEDROOM WITH BALCONY, DEN AND A SECOND LEVEL FULL BATHROOM! THIRD LEVEL WITH LOFT BEDROOM &amp; FULL BATH. ENJOY THE SWIMMING POOL &amp; LAKESIDE DECK. WALK TO METRA, RESTAURANTS, THEATERS &amp; SHOPPING</t>
  </si>
  <si>
    <t>LOTUS SCHOOL</t>
  </si>
  <si>
    <t>STANTON SCHOOL</t>
  </si>
  <si>
    <t>GRANT COMMUNITY HIGH SCHOOL</t>
  </si>
  <si>
    <t>Park/Playground, Sundeck, Pool-Outdoors, Curbs/Gutters, Sidewalks, Street Lights, Street Paved</t>
  </si>
  <si>
    <t>Parking, Common Insurance, Pool, Exterior Maintenance, Lawn Care, Scavenger, Snow Removal, Lake Rights</t>
  </si>
  <si>
    <t>2.5% -$200.00 (on Gross SP)</t>
  </si>
  <si>
    <t>Call or Text LA Jeff Karnes - 630-774-8926 (6 Hour Notice Required)</t>
  </si>
  <si>
    <t>All Waterfront Real Estate Plus</t>
  </si>
  <si>
    <t>(847) 395-2300</t>
  </si>
  <si>
    <t>Jeffrey Karnes</t>
  </si>
  <si>
    <t>(630) 774-8926</t>
  </si>
  <si>
    <t>Long</t>
  </si>
  <si>
    <t>63RD STREET TO LONG AV SOUTH TO #6429</t>
  </si>
  <si>
    <t>Full, Walkout</t>
  </si>
  <si>
    <t>Luxury living on each of the 3 remodeled floors. You name it-it's new.Kitchen w/ SS appliances, granite top,white cabinets,1.5 bath w/ceramic tile,new windows &amp; more.Professionally rehabbed .Full fin.basement -walk out .Open floor plan leading to  deck &amp; privacy fence.No assoc or mang fee!!. Washer As Is</t>
  </si>
  <si>
    <t>09X09</t>
  </si>
  <si>
    <t>Utility Room-Lower Level</t>
  </si>
  <si>
    <t>5X7</t>
  </si>
  <si>
    <t>Oven/Range, Microwave, Refrigerator, Washer, All Stainless Steel Kitchen Appliances</t>
  </si>
  <si>
    <t>Call Listing agent</t>
  </si>
  <si>
    <t>Home Market Realty Inc.</t>
  </si>
  <si>
    <t>(773) 788-9999</t>
  </si>
  <si>
    <t>John Capiak, ABR,CRS,GRI,SFR</t>
  </si>
  <si>
    <t>(773) 418-0127</t>
  </si>
  <si>
    <t>ROOSEVELT TO ADARE DRIVE, SOUTH TO CREEKSIDE, EAST  2nd 6 pack on the left</t>
  </si>
  <si>
    <t>ST. MARTYN</t>
  </si>
  <si>
    <t>Desirable Adare Farm St. Martyn with first floor master bedroom and walk in closet. You will love the dramatic 2 story living room plus family room with vault ceiling, fireplace and access to a wonderful patio. An eat in kitchen plus formal dining room add to the value. There is a loft and bedroom on the 2nd floor w/full bath too. Large laundry room and 2 car garage complete picture.  This unit backs to   wooded area</t>
  </si>
  <si>
    <t>Tennis Court/s, Curbs/Gutters, Sidewalks, Street Lights, Street Paved</t>
  </si>
  <si>
    <t>Oven-Double, Microwave, Dishwasher, Disposal</t>
  </si>
  <si>
    <t>TV-Cable, Ceiling Fan, Sump Pump</t>
  </si>
  <si>
    <t>Attached Fireplace Doors/Screen, Gas Starter</t>
  </si>
  <si>
    <t>2.5%-$325 (on Net SP)</t>
  </si>
  <si>
    <t>call showing time 800-379-0057 or click on link</t>
  </si>
  <si>
    <t>John and Irene Zelis</t>
  </si>
  <si>
    <t>(630) 682-8222</t>
  </si>
  <si>
    <t>Mary Bahry, CRS</t>
  </si>
  <si>
    <t>(630) 217-8233</t>
  </si>
  <si>
    <t>cell-630-217-8233</t>
  </si>
  <si>
    <t>desirable floor plan needs some updating seller home most of the time due to illness have to look past alot of stuff</t>
  </si>
  <si>
    <t>RIVER</t>
  </si>
  <si>
    <t>LAWRENCE AVENUE TO RIVER ROAD, SOUTH TO 4616</t>
  </si>
  <si>
    <t>2-BEDROOM</t>
  </si>
  <si>
    <t>LIGHT AND BRIGHT TWO BEDROOM CONDO. NEUTRAL PAINT COLORS THROUGHOUT. CERAMIC TILE IN KITCHEN, DINING, AND LIVING ROOM. HARDWOOD FLOORS IN BEDROOMS. NEAR I294, I90/94 AND METRA. CLOSE TO SCHOOLS AND SHOPPING. Property Being Sold AS-IS</t>
  </si>
  <si>
    <t>WASHINGTON ELEMENTARY SCHOOL</t>
  </si>
  <si>
    <t>LINCOLN MIDDLE SCHOOL</t>
  </si>
  <si>
    <t>26X12</t>
  </si>
  <si>
    <t>8X7</t>
  </si>
  <si>
    <t>Assigned Spaces, Off Street</t>
  </si>
  <si>
    <t>Call Showingtime 855-746-9200</t>
  </si>
  <si>
    <t>Frank DeNovi</t>
  </si>
  <si>
    <t>(847) 222-0008</t>
  </si>
  <si>
    <t>Email offers to jeff@dkhometeam.com or fax to 781-609-9008  Any questions call Jeff on cell 847-651-9195 Lock Box On Railing.  Highest and best offers due my 11/06/14 by 5:00 pm</t>
  </si>
  <si>
    <t>18W018</t>
  </si>
  <si>
    <t>Lowell</t>
  </si>
  <si>
    <t>Roosevelt to Ardmore south to Lowell</t>
  </si>
  <si>
    <t>22X55</t>
  </si>
  <si>
    <t>Newly remodeled 2\ br end unit. Hardwood flrs throughout. All new baths including new tub, tile, fixtures cabinets, etc.. Kitchen has quartz countertops and stainless steel app., glass backsplash. New windows front of house. Crown molding living,dining ,kitchen &amp; master br. Large master br. Remodeled basement with large extra private room with closet.. Great location  w/ extra parking. Owner still making fin touches</t>
  </si>
  <si>
    <t>Oven/Range, Microwave, Refrigerator, Washer, Dryer, All Stainless Steel Kitchen Appliances</t>
  </si>
  <si>
    <t>see showing assist</t>
  </si>
  <si>
    <t>Lukasik Realty Group</t>
  </si>
  <si>
    <t>(630) 290-2247</t>
  </si>
  <si>
    <t>Diane Lukasik, ABR,GRI,SFR</t>
  </si>
  <si>
    <t>Low, low taxes</t>
  </si>
  <si>
    <t>Flagg Creek</t>
  </si>
  <si>
    <t>Indian Head Park</t>
  </si>
  <si>
    <t>Chestnut On The Green</t>
  </si>
  <si>
    <t>Wolf Rd. N or S to 72nd St. E to Flagg Creek Dr.</t>
  </si>
  <si>
    <t>INDIAN HEAD PARK</t>
  </si>
  <si>
    <t>Estate sale in move-in condition in highly desirable Chestnut On The Green subdivision. Located just off of I-294 and I-55. Raised ranch style with cathedral ceilings and a full finished lower level with a bathroom and a beautiful family room. Highly rated school district minutes from park  and golf course. Quick close O.K.</t>
  </si>
  <si>
    <t>Golf Course, Park/Playground, Curbs/Gutters, Sidewalks, Street Lights, Street Paved</t>
  </si>
  <si>
    <t>Separate, Combined w/ LivRm, L-shaped</t>
  </si>
  <si>
    <t>TV-Cable, Security System, Ceiling Fan</t>
  </si>
  <si>
    <t>2.50% MINUS $295.00 (on Net SP)</t>
  </si>
  <si>
    <t>Email Listing Agent. Some notice needed. Occupied by relative.</t>
  </si>
  <si>
    <t>(708) 444-1199</t>
  </si>
  <si>
    <t>Joseph DeSantis</t>
  </si>
  <si>
    <t>(708) 983-5785</t>
  </si>
  <si>
    <t>708-983-5785</t>
  </si>
  <si>
    <t>Hardwood in entry. There MAY be hardwood floors under carpeting. Estate is not sure, owner is deceased. Condo docs can be viewed &amp; printed at www.chestnutonthegreen1.com   Well kept, move-in condition but being sold in "AS-IS" condition.</t>
  </si>
  <si>
    <t>Woodglen</t>
  </si>
  <si>
    <t>LEMONT TO PLAINFIELD, EAST TO WOODGLEN, NORTH THEN WEST</t>
  </si>
  <si>
    <t>WOW! GREAT OPPORTUNITY TO STOP RENTING AND OWN! THIS UNIT OFFERS 2 GRAT SIZED BEDROOMS, 1.1 BATHS, AND A LARGE LIVING ROOM! COME TAKE A LOOK AND BRING THOSE GREAT DECORATING IDEAS!</t>
  </si>
  <si>
    <t>Heat, Water, Parking, Common Insurance, Exterior Maintenance, Lawn Care, Scavenger, Snow Removal</t>
  </si>
  <si>
    <t>3% OR $1000 WHICHEVER IS GREATER (on Net SP)</t>
  </si>
  <si>
    <t>CLICK SHOWING ASSIST</t>
  </si>
  <si>
    <t>Right Pro Realty LLC</t>
  </si>
  <si>
    <t>(630) 910-4116</t>
  </si>
  <si>
    <t>Patricia Spano</t>
  </si>
  <si>
    <t>fax 630 910-5116</t>
  </si>
  <si>
    <t>MULTIPLE OFFERS HIGHEST AND BEST DUE 12/10/14 BY 3PM. NO EXCEPTIONS*PLEASE SEE *ADDITIONAL INFORMATION* FOR OFFER SUBMISSION FORM WHICH MUST BE SUBMITTED* Balance due of $4606.72 for HOA charges 6 months prior to foreclosure</t>
  </si>
  <si>
    <t>Ashwood</t>
  </si>
  <si>
    <t>WESTWOOD</t>
  </si>
  <si>
    <t>Half Day Rd West to Olde Half Day Rd, Rt on 45 North to Sullivan Dr, Rt to Maplewood, L to 384</t>
  </si>
  <si>
    <t>Lovely 2 BR Townhouse. Hardwood floors thru out, newly refinished, freshly painted, plantation shutters. Move-in ready. Across the street from pool and tennis courts.</t>
  </si>
  <si>
    <t>9X18</t>
  </si>
  <si>
    <t>Parking, Common Insurance, Clubhouse, Pool, Exterior Maintenance, Lawn Care, Snow Removal, Other</t>
  </si>
  <si>
    <t>TV-Cable, CO Detectors, Ceiling Fan, Sump Pump</t>
  </si>
  <si>
    <t>2.5% -$295 (on Gross SP)</t>
  </si>
  <si>
    <t>Call Appointment Center 855-746-9200</t>
  </si>
  <si>
    <t>(847) 835-6000</t>
  </si>
  <si>
    <t>Elizabeth Seno</t>
  </si>
  <si>
    <t>This lovely 2 bedroom condo has been recently finished to perfection. Beautiful hardwood floors throughout, plantation shutters, newer windows and paint. Just move right in!   The pool and tennis courts are just across the street.</t>
  </si>
  <si>
    <t>Paris</t>
  </si>
  <si>
    <t>River Grove</t>
  </si>
  <si>
    <t>CUMBERLAND S OF BELMONT TO O'CONNOR N TO PARIS</t>
  </si>
  <si>
    <t>RIVER GROVE</t>
  </si>
  <si>
    <t>Sunny, 2nd floor 2 bedroom with private balcony, lots of closets, eat-in kitchen, hardwood floors throughout, updated in 2004, short sale.</t>
  </si>
  <si>
    <t>Coin Laundry, Storage, Curbs/Gutters, Gated Entry, Sidewalks, Street Lights, Street Paved</t>
  </si>
  <si>
    <t>Hot Water/Steam</t>
  </si>
  <si>
    <t>2.5% -$225 (on Net SP)</t>
  </si>
  <si>
    <t>Text or Email LA- Gregory Zajdel - 847-660-8424</t>
  </si>
  <si>
    <t>Gregory Zajdel</t>
  </si>
  <si>
    <t>(847) 660-8424</t>
  </si>
  <si>
    <t>CC: Pursuant to Short Sale. Sold as-is, short sale process started, lender says bring the offer. ANY LENDER REDUCTION IN COMMISSION PAID SHALL BE SHARED EQUALLLY BY LIST COMPANY &amp; COOP COMPANY.</t>
  </si>
  <si>
    <t>306W</t>
  </si>
  <si>
    <t>Elmwood Park</t>
  </si>
  <si>
    <t>NORTH AVENUE WEST TO CONDO COMPLEX (BEFORE THATCHER)</t>
  </si>
  <si>
    <t>25X125</t>
  </si>
  <si>
    <t>BRING YOUR BUYERS TO SEE THIS SHARP CONDO IN MOVE IN CONDITION.  VERY CLEAN AND WELL MAINTAINED; CONDO IS LOCATED IN A SECURE COMPLEX.  2 BED, 2 BATH, BALCONY, COIN LAUNDRY AND STORAGE.  ONE PARKING SPACE INCLUDED IN THE PRICE.  THIS IS A FANNIE MAE HOMEPATH PROPERTY.</t>
  </si>
  <si>
    <t>Exterior Maintenance, Lawn Care</t>
  </si>
  <si>
    <t>CALL CO-LISTER FOR SHOWING INSTRUCTIONS (773) 930-7068</t>
  </si>
  <si>
    <t>Chicago Premier Realty, Inc.</t>
  </si>
  <si>
    <t>(773) 395-8230</t>
  </si>
  <si>
    <t>Teresa Ramirez</t>
  </si>
  <si>
    <t>(312) 524-7734</t>
  </si>
  <si>
    <t>SELLER HAS DIRECTED ALL OFFERS BE SUBMITTED THROUGH HOMEPATH WEBSITE.  PLEASE USE PACKAGE UNDER ADDITIONAL INFO FOR PROPER SUBMISSION.</t>
  </si>
  <si>
    <t>30W083</t>
  </si>
  <si>
    <t>PENNY</t>
  </si>
  <si>
    <t>Rt 59 (N of Mack Rd) west on Willow to Penny to Home</t>
  </si>
  <si>
    <t>BRADFORD</t>
  </si>
  <si>
    <t>COMPLETELY RENOVATED 2 STORY, 2 BEDROOM, 2.5 BATHROOM TOWNHOUSE WITH 2 STORY LIVING ROOM, LOFT (Could be made into 3rd bedroom), MASTER BEDROOM SUITE AND 2 CAR ATTACHED GARAGE. ALL NEW KITCHEN APPLIANCES AND WASHER DRYER. BOTH BATHROOMS ARE RENOVATED TOO. EXCELLENT LOCATION BACKING TO A FOREST PRESERVE AND POND IN A COMPLEX THAT FEATURES A POOL AND CLUBHOUSE.           No rentals allowed.</t>
  </si>
  <si>
    <t>Clubhouse, Pool, Exterior Maintenance, Lawn Care, Snow Removal, None</t>
  </si>
  <si>
    <t>Use showing asst. Sentrilock on front door-- or call Tonia 630-306-5219</t>
  </si>
  <si>
    <t>(630) 718-0424</t>
  </si>
  <si>
    <t>Tonia DeWaele</t>
  </si>
  <si>
    <t>(630) 306-5219</t>
  </si>
  <si>
    <t>Salem</t>
  </si>
  <si>
    <t>chesapeake commons</t>
  </si>
  <si>
    <t>Kirk to (W) on Geneva Dr., (S) Chesapeake, (R) on Salem</t>
  </si>
  <si>
    <t>Move right in to the spacious &amp; bright Geneva TH. Eat in kit w/tons of cabinets. Great room w/gas burning fireplace. New paint &amp; flooring thru out. Large master bedroom w/his &amp; hers closets &amp; master bath. 2nd bed has wall to wall closet. Finished basement offers add'l living space and full bath. All of this AND a clubhouse community w/pool, tennis courts, exercise room. Easy access to shopping and transportation! WOW</t>
  </si>
  <si>
    <t>20X16</t>
  </si>
  <si>
    <t>Exercise Room, Park/Playground, Pool-Outdoors, Tennis Court/s, Sidewalks, Street Lights, Street Paved</t>
  </si>
  <si>
    <t>Separate Shower, Soaking Tub</t>
  </si>
  <si>
    <t>Common Insurance, Clubhouse, Exercise Facilities, Pool</t>
  </si>
  <si>
    <t>Gas Starter</t>
  </si>
  <si>
    <t>855-746-9100 - easy show</t>
  </si>
  <si>
    <t>(630) 377-1855</t>
  </si>
  <si>
    <t>Carrie Sebold, CSC,SFR</t>
  </si>
  <si>
    <t>(630) 234-7722</t>
  </si>
  <si>
    <t>Carrie cell - 630-234-7722</t>
  </si>
  <si>
    <t>PLEASE remove shoes, turn off all lights and make sure doors are locked! Thank you for your cooperation. Please use 6.0 Contract - HOA website is:  http://www.chesapeakecommonshoa.com/default.html</t>
  </si>
  <si>
    <t>Sandhurst</t>
  </si>
  <si>
    <t>Randall Rd to Hopps turn left to Sandhurst turn left to home on right</t>
  </si>
  <si>
    <t>Fannie Mae Homepath Property! 2 bedroom, 1 bath condo w/vaulted ceilings. Fresh Paint! New Carpet! Eat in area w/SGD to balcony. 1 car attached garage. Pre-approval or proof of funds required on all offers.  See attached docs prior to submitting an offer on Homepath.</t>
  </si>
  <si>
    <t>Oven/Range, Microwave, Dishwasher</t>
  </si>
  <si>
    <t>3.0% (on Net SP)</t>
  </si>
  <si>
    <t>PLEASE CALL CENTRALIZED SHOWING AT 877-977-1010</t>
  </si>
  <si>
    <t>630-369-4508</t>
  </si>
  <si>
    <t>Keller Williams Fox Valley</t>
  </si>
  <si>
    <t>(630) 377-6200</t>
  </si>
  <si>
    <t>Kim DeVincentis</t>
  </si>
  <si>
    <t>(630) 369-4508</t>
  </si>
  <si>
    <t>Capital Asset Group 630-369-4508</t>
  </si>
  <si>
    <t>Please see the attached docs. The seller has directed that all offers be made on Homepath.com.  Please also send the same docs to kim@cag-reos.com and we will confirm receipt.</t>
  </si>
  <si>
    <t>4K</t>
  </si>
  <si>
    <t>ST REGIS</t>
  </si>
  <si>
    <t>22nd St east of Highland, north on Fairfield to St Regis</t>
  </si>
  <si>
    <t>Beautiful and spacious condo in a great building. Large room sizes, master bedroom with WIC and private bath, full kitchen, separate dining room, and big living room with sliders to balcony. Great view from the 4th floor. Underground parking space assigned in heated garage. This building has parking, elevators, and a pool. Great location near Yorktown Shopping Center and I-88. Must Sell! Will consider all offers!</t>
  </si>
  <si>
    <t>Coin Laundry, Elevator, Storage, Party Room, Pool-Outdoors, Security Door Locks</t>
  </si>
  <si>
    <t>Water, Parking, Common Insurance, TV/Cable, Clubhouse, Pool, Exterior Maintenance, Lawn Care, Scavenger, Snow Removal</t>
  </si>
  <si>
    <t>Condo, High Rise (7+ Stories)</t>
  </si>
  <si>
    <t>$1 C AGT RMKS (on Gross SP)</t>
  </si>
  <si>
    <t>Schedule through Showing Assist</t>
  </si>
  <si>
    <t>Anthony J.Trotto Real Estate</t>
  </si>
  <si>
    <t>(630) 521-0298</t>
  </si>
  <si>
    <t>Anthony J Trotto</t>
  </si>
  <si>
    <t>Case#137-490790 IE. Enter offers on hudhomestore.com. Up to 3% broker commission. Addt info on hometelosfirst.com. Sold AS-IS, buyer responsible for inspections. $304.86+$39+$69 assmts = $412.86/m plus spec assmt $236.68 to go to 1/31/18</t>
  </si>
  <si>
    <t>39W373</t>
  </si>
  <si>
    <t>HERRINGTON</t>
  </si>
  <si>
    <t>Mill Creek</t>
  </si>
  <si>
    <t>FABYAN W OF RANDALL TO N MILL CREEK TO HERRINGTON</t>
  </si>
  <si>
    <t>BLACKBERRY</t>
  </si>
  <si>
    <t>DENVER IV</t>
  </si>
  <si>
    <t>A TOUCH OF CLASS! 1966 SQ FT OF UPGRADES! HARDWOOD FLOORS IN FOYER, KITCHEN, BREAKFAST NOOK, LIVING RM, DINING RM, POWDER RM &amp; FAMILY RM. FULLY APPLIANCED KITCHEN INCL WASHER/DRYER. OAK CABINETS &amp; CENTER ISLAND. COZY FIREPLACE IN FAMILY RM. OAK BOX STAIRCASE. MASTER SUITE HAS TRAY CEILING, WALK-IN CLOSET. LUXURY BATH WITH TUB &amp; SEPARATE SHOWER.</t>
  </si>
  <si>
    <t>MILL CREEK ELEMENTARY SCHOOL</t>
  </si>
  <si>
    <t>GENEVA MIDDLE SCHOOL</t>
  </si>
  <si>
    <t>GENEVA COMMUNITY HIGH SCHOOL</t>
  </si>
  <si>
    <t>Curtains/Drapes, Shades</t>
  </si>
  <si>
    <t>Mud Room</t>
  </si>
  <si>
    <t>6X4</t>
  </si>
  <si>
    <t>Bike Room/Bike Trails, Golf Course, Park/Playground, Pool-Outdoors, Curbs/Gutters, Sidewalks, Street Lights, Street Paved</t>
  </si>
  <si>
    <t>Unfinished, Bathroom Rough-In</t>
  </si>
  <si>
    <t>Eating Area-Table Space, Island, Pantry-Butler, Pantry-Closet</t>
  </si>
  <si>
    <t>Circuit Breakers, 200+ Amp Service</t>
  </si>
  <si>
    <t>Eating Area, Loft, Mud Room</t>
  </si>
  <si>
    <t>CO Detectors, Ceiling Fan, Sump Pump, Radon Mitigation System(s)</t>
  </si>
  <si>
    <t>1/2 Duplex, Townhouse-2 Story</t>
  </si>
  <si>
    <t>Book through schedule a showing</t>
  </si>
  <si>
    <t>Renae Macrito Broker</t>
  </si>
  <si>
    <t>(630) 802-3361</t>
  </si>
  <si>
    <t>Renae Macrito</t>
  </si>
  <si>
    <t>62nd</t>
  </si>
  <si>
    <t>LSD to 63rd, W to Ellis, N to 62nd, W to property</t>
  </si>
  <si>
    <t>What a price! Why rent! 2 Bedroom condo and one bath in good overall condition ready for you now! WALK to school!Garage Parking/Large private deck and In unit W/D hookup! Near U of C for easy rental.List Broker/Seller make no guarantees/rep to accuracy of info in MLS.No Survey-100% tax prorate.Buyer to research-verify IF any city violations exist or if rentable. This is a Fannie Mae HomePath property</t>
  </si>
  <si>
    <t>10X14</t>
  </si>
  <si>
    <t>09X14</t>
  </si>
  <si>
    <t>6X10</t>
  </si>
  <si>
    <t>Water, Parking, Common Insurance</t>
  </si>
  <si>
    <t>N (North), E (East), W (West)</t>
  </si>
  <si>
    <t>3.00% (on Gross SP)</t>
  </si>
  <si>
    <t>Use Show Assist to register OR DO not call LA. Email request to:  RoyalServiceFANNIEMae@Gmail.com</t>
  </si>
  <si>
    <t>Royal Service Realty Chicago Metro Properties</t>
  </si>
  <si>
    <t>(773) 769-2210</t>
  </si>
  <si>
    <t>Stanislaw Krozel, CSC</t>
  </si>
  <si>
    <t>630-820-9400</t>
  </si>
  <si>
    <t>See uploaded Docs for HELP-The seller has directed that all offers on this listing be made using the HomePath Online Offer system at www.homepath.com. No offers reviewed intial 48 hours, and donâ€™t forget 1st look period (shown on HomePath.c</t>
  </si>
  <si>
    <t>Anton</t>
  </si>
  <si>
    <t>TOWNES OF OAKHURST</t>
  </si>
  <si>
    <t>McCoy to Oakhurst Dr to Anton Drive</t>
  </si>
  <si>
    <t>HARRISBURG 2</t>
  </si>
  <si>
    <t>LARGEST MODEL, 1833 SQ. FT.,  IN  THE TOWNES OF OAKHURST, WITH 2 BEDROOMS, 2.1 BATHS &amp; LOFT EASILY CONVERTED TO BEDROOM! 2 STORY BRICK FIREPLACE, MASTER WITH VAULTED CEILING, AND JACUZZI TUB IN BATH! CEILING FANS IN BEDROOMS! SPACIOUS KITCHEN W/ ALL APPLIANCES! WASHER AND DRYER REMAIN IN LAUNDRY ROOM ON 2ND LEVEL! 2 CAR GARAGE! PRIVACY PATIO! EASTERN EXPOSURE! MINUTES TO METRA &amp; I-88! NAPERVILLE 204! PARK A WALK AWAY</t>
  </si>
  <si>
    <t>CALL CSS 877-977-1010</t>
  </si>
  <si>
    <t>(630) 789-8280</t>
  </si>
  <si>
    <t>Edward Hall, CRB,CRS</t>
  </si>
  <si>
    <t>(630) 205-4700</t>
  </si>
  <si>
    <t>CELL 630-205-4700</t>
  </si>
  <si>
    <t>Association Fees are $219.53/month, AND MASTER OAKHURST $250A YEAR! GREAT LOCATION, GREAT SIZE UNIT!</t>
  </si>
  <si>
    <t>WOLF</t>
  </si>
  <si>
    <t>Western Springs</t>
  </si>
  <si>
    <t>SPRINGWOOD MANOR</t>
  </si>
  <si>
    <t>SOUTH OF 55TH STREET WEST SIDE OF STREET</t>
  </si>
  <si>
    <t>WESTERN SPRINGS</t>
  </si>
  <si>
    <t>NICE 2 BED , 2 BATH CONDO W/1 CAR DETACHED GARAGE/ PARKING SPACE - NEARBY, PRIVATE. BALCONY FACES WEST, IN UNIT LAUNDRY HOOK UP, GAS FIREPLACE. NEW A/C NEVER USED AND FURNACE NEW LESS THAN 6 MONTHS USE. WELL MAINTAINED ELEVATED BUILDING.  SEPARATE PIN # FOR GARAGE, TAXES ARE $177.83 / 2013. COMMUTER BUS TO METRA. TAXES DO NOT REFLECT HO EXEMTION! CONDO BEING SOLD AS-IS!</t>
  </si>
  <si>
    <t>HIGHLANDS ELEMENTARY SCHOOL</t>
  </si>
  <si>
    <t>HIGHLANDS MIDDLE SCHOOL</t>
  </si>
  <si>
    <t>Elevator, Storage, Security Door Locks</t>
  </si>
  <si>
    <t>Water, Gas, Common Insurance, Lawn Care, Scavenger, Snow Removal</t>
  </si>
  <si>
    <t>Humidifier, TV-Cable, Intercom</t>
  </si>
  <si>
    <t>2.5 % -$150 (on Net SP)</t>
  </si>
  <si>
    <t>Call Showing Time (855) 746-9100</t>
  </si>
  <si>
    <t>(708) 460-1400</t>
  </si>
  <si>
    <t>Ray Jones, ABR,CSC,e-PRO,SFR</t>
  </si>
  <si>
    <t>Commuter Bus, Commuter Train</t>
  </si>
  <si>
    <t>2 ND PIN # 18-18-200-033-1043 GARAGE ($178) TAXES REFLECT BOTH PINS, NO HO EXEMPTION. SOLD AS-IS!</t>
  </si>
  <si>
    <t>Quill</t>
  </si>
  <si>
    <t>Waukegan</t>
  </si>
  <si>
    <t>120 and O'Plaines S 2 McGraw E2 Candlestick S 2 Quill</t>
  </si>
  <si>
    <t>WAUKEGAN</t>
  </si>
  <si>
    <t>**Gurnee schools!Great condition ready now-no wait!Upgraded main level flooring.Nice upgraded kitchen with built-in desk top area.Fireplace in spacious living room, master bedroom with vaulted ceiling.Attached one car garage with opener.Close to shopping, parks and nature trails. GURNEE SCHOOLS</t>
  </si>
  <si>
    <t>19X16</t>
  </si>
  <si>
    <t>2.5%-175 (on Net SP)</t>
  </si>
  <si>
    <t>call list office</t>
  </si>
  <si>
    <t>Christopher Hoelz, CRS,GRI</t>
  </si>
  <si>
    <t>(847) 596-6150</t>
  </si>
  <si>
    <t>regular sale-close fast</t>
  </si>
  <si>
    <t>46th</t>
  </si>
  <si>
    <t>2W</t>
  </si>
  <si>
    <t>47th St. to on St. Lawrence Ave, west to property</t>
  </si>
  <si>
    <t>45000 PRICE REDUCTION! Spacious 2 bedroom, 1 bathroom condo located in 3-story walk-up building located in Bronzeville/Grand Boulevard neighborhood. Condo is located on the 2nd level and features hardwood floors, carpet and ceramic tile floors. Bring your decorating ideas and create a wonderful unit! Close to schools, "L", shopping, highway (I-94), Lake Michigan and parks!</t>
  </si>
  <si>
    <t>91-100 Years</t>
  </si>
  <si>
    <t>Off Alley</t>
  </si>
  <si>
    <t>$1125 FLAT (on Gross SP)</t>
  </si>
  <si>
    <t>PLEASE CONTACT CENTRALIZED SHOWING SERVICE AT (877) 977-1010 TO SCHEDULE AN APPOINTMENT</t>
  </si>
  <si>
    <t>JP MORGAN CHASE</t>
  </si>
  <si>
    <t>RLB Realty Group, Inc.</t>
  </si>
  <si>
    <t>(773) 268-2000</t>
  </si>
  <si>
    <t>Ronald Branch</t>
  </si>
  <si>
    <t>See forms) Please submit offers with the pre-offer Questionnaire, owner OCC, current POF/pre-approval VIA FAX 773-632-2032 or E-mail sales@rlbrealtygroup.com</t>
  </si>
  <si>
    <t>Aberdeen</t>
  </si>
  <si>
    <t>White Eagle</t>
  </si>
  <si>
    <t>Rt 59 to 87th/White Eagle Drive to Aberdeen Court</t>
  </si>
  <si>
    <t>Golf Villa boasts 2400 sq. ft. finished~hardwood on 1st floor~2 story living room w/fireplace &amp; beautiful views of the golf course &amp; pond~kitchen w/large dining area~master bedroom w/private spa bath &amp; walk-in closet~bedroom two w/private bath &amp; walk-in closet~first floor den~finished lower level w/full bath~plenty of storage~private entrance~two car garage~private deck overlooking pond &amp; golf course~Swim &amp; tennis</t>
  </si>
  <si>
    <t>WHITE EAGLE ELEMENTARY SCHOOL</t>
  </si>
  <si>
    <t>STILL MIDDLE SCHOOL</t>
  </si>
  <si>
    <t>Golf Course, Park/Playground, Party Room, Pool-Outdoors, Tennis Court/s</t>
  </si>
  <si>
    <t>Cul-de-sac, Golf Course Lot, Pond</t>
  </si>
  <si>
    <t>Water, Common Insurance, Security, Security System, Clubhouse, Pool, Exterior Maintenance, Lawn Care, Snow Removal</t>
  </si>
  <si>
    <t>Den, Recreation Room</t>
  </si>
  <si>
    <t>See through/Multi Sided, Gas Logs, Gas Starter</t>
  </si>
  <si>
    <t>Showing Assist</t>
  </si>
  <si>
    <t>Donna Rudd</t>
  </si>
  <si>
    <t>(630) 533-7468</t>
  </si>
  <si>
    <t>RENARD</t>
  </si>
  <si>
    <t>Route 64/North Ave to Peck S to Renard E</t>
  </si>
  <si>
    <t>Beautiful END-UNIT Bayberry model with first floor master. Bright, light and spacious rooms. Very lightly lived-in home with remodeled bathrooms, new paint and new stainless appliances. Spacious loft is great for office or family room. Two and a half baths. Management company does a great job with landscaping and maintenance. This home does not back to Route 64! Quick possession - seller moving 11/28.</t>
  </si>
  <si>
    <t>11X7</t>
  </si>
  <si>
    <t>Corner, Landscaped Professionally</t>
  </si>
  <si>
    <t>Foyer, Loft</t>
  </si>
  <si>
    <t>Call 855-746-9100. 2 hour notice, must confirm.</t>
  </si>
  <si>
    <t>Leslie Ebersole, BPOR,SFR</t>
  </si>
  <si>
    <t>(630) 945-7935</t>
  </si>
  <si>
    <t>Seller privately purchased home this summer but decided to move south to be near family. Extensive investment-wallpaper removal, paint, appliances-makes their loss your client's gain. Contact management company to see if rentals allowed.</t>
  </si>
  <si>
    <t>Grandview</t>
  </si>
  <si>
    <t>KIMBALL FARMS</t>
  </si>
  <si>
    <t>RANDALL N OF HUNTLEY TO GRANDVIEW E TO GRANDVIEW CT</t>
  </si>
  <si>
    <t>CARPENTERSVILLE</t>
  </si>
  <si>
    <t>APPLETON</t>
  </si>
  <si>
    <t>Wake up to beautiful views of the water.  Ranch style end unit.  2 bedroom/1 bath.  Separate living and dining room, FP and nice kitchen.  Must be owner occupied.   Financed deals must be preapproved by Greenlight Loans before submitted. Property is sold "As Is." Taxes prorated at 100%. NO FHA.  See agent remarks.</t>
  </si>
  <si>
    <t>14X19</t>
  </si>
  <si>
    <t>Brick, Clad Trim</t>
  </si>
  <si>
    <t>1% (on Net SP)</t>
  </si>
  <si>
    <t>Carrington R E Services LLC</t>
  </si>
  <si>
    <t>(773) 935-6450</t>
  </si>
  <si>
    <t>Melanie Croft, SFR</t>
  </si>
  <si>
    <t>(847) 778-7412</t>
  </si>
  <si>
    <t>All bids should be submitted at www.homesearch.com. Submit any offers received pre-event to sales@homesearch.com. All properties are subject to a 5% buyerâ€™s premium. Contact Greenlight loans @ 866-250-7143.</t>
  </si>
  <si>
    <t>REBECCA</t>
  </si>
  <si>
    <t>LAKEWOOD CREEK</t>
  </si>
  <si>
    <t>RT 30 W OF ORCHARD 2 LAKEWOOD CREEK TO OAKMONT 2 REBECCA</t>
  </si>
  <si>
    <t>AUSTIN</t>
  </si>
  <si>
    <t>35 X 110</t>
  </si>
  <si>
    <t>Freshly painted and new carpet throughout! This 1/2 Duplex offers 2 BR/s, 1.1 baths. Kitchen w/ new whirlpool stove and dishwasher. Laundry hook up in the unit. Dining rm w/ sliding door to large fenced yard. This is a Fannie Mae HomePath property. NO PERSONAL PROPERTY INCLUDED.</t>
  </si>
  <si>
    <t>THOMPSON JUNIOR HIGH SCHOOL</t>
  </si>
  <si>
    <t>Common Insurance, Clubhouse, Pool, Exterior Maintenance, Snow Removal</t>
  </si>
  <si>
    <t>Use Showing Assist or Call 800-746-9464</t>
  </si>
  <si>
    <t>LABRA GROUP REALTORS</t>
  </si>
  <si>
    <t>(630) 264-1800</t>
  </si>
  <si>
    <t>Larry Shakman</t>
  </si>
  <si>
    <t>(630) 921-0611</t>
  </si>
  <si>
    <t>All offers are to be submitted on HomePath.com **BUYER RESPONSIBLE FOR TRANSFER STAMPS IF APPLICABLE</t>
  </si>
  <si>
    <t>VOSE</t>
  </si>
  <si>
    <t>Rt 21 to main entrance, w to stop. left over covered bridge to Vose</t>
  </si>
  <si>
    <t>SPRUCE</t>
  </si>
  <si>
    <t>FHA financing is fine. Beautiful second floor condo features a large balcony that presides over a magnificent view of golf course &amp; pond. You'll love the kitchen with updated cabinets, ceramic backsplash &amp; laminate flooring. Remodeled bath with new cabinet &amp; granite countertop. Light and neutral interior. Washer &amp; dryer in unit. Complex features on-site security, golf course, beautiful grounds and more!</t>
  </si>
  <si>
    <t>Elevator, Storage, Golf Course, Park/Playground, Party Room, Pool-Outdoors, Security Door Locks, Tennis Court/s</t>
  </si>
  <si>
    <t>Water, Parking, Common Insurance, Security, Clubhouse, Pool, Exterior Maintenance, Lawn Care, Scavenger, Snow Removal</t>
  </si>
  <si>
    <t>Use ShowingTime or Call Listing Office</t>
  </si>
  <si>
    <t>Of Record</t>
  </si>
  <si>
    <t>RE/MAX Center</t>
  </si>
  <si>
    <t>(847) 223-7878</t>
  </si>
  <si>
    <t>Scott Paul</t>
  </si>
  <si>
    <t>(847) 274-3591</t>
  </si>
  <si>
    <t>Fax: 847-816-7168</t>
  </si>
  <si>
    <t>Disclosures on ConnectMLS. Investors may not rent this condo out. Parking space &amp; storage space #11.</t>
  </si>
  <si>
    <t>TIMPANI</t>
  </si>
  <si>
    <t>SYMPHONY MEADOWS</t>
  </si>
  <si>
    <t>RT 120 &amp; 12; E2 TO GILMER; SE2 TO ELLIS NE2 NIAGRA  SE2 to TIMPANI N2 665 ON RIGHT</t>
  </si>
  <si>
    <t>WAUCONDA</t>
  </si>
  <si>
    <t>VIOLET</t>
  </si>
  <si>
    <t>50 X 110</t>
  </si>
  <si>
    <t>Freddie Mac duplex priced to sell!   Gorgeous w/fresh paint &amp; new carpet t/o!  LR, DR &amp; kitchen offers cer tile. 42" cabinets in kitchen w/black appliances.  Back staircase leads to loft + 2 bedrooms.  Mstr offers vaulted ceiling w/fan &amp; walk in closet.  New A/C just installed. Fannie Mae 1st look thru 11/16/2014. See info on MLS for forms &amp; addendums.  Earnest money must be cashiers check w/buyers name on check</t>
  </si>
  <si>
    <t>WAUCONDA ELEMENTARY SCHOOL</t>
  </si>
  <si>
    <t>WAUCONDA MIDDLE SCHOOL</t>
  </si>
  <si>
    <t>WAUCONDA COMM HIGH SCHOOL</t>
  </si>
  <si>
    <t>12X28</t>
  </si>
  <si>
    <t>2.5 % (on Gross SP)</t>
  </si>
  <si>
    <t>Please Use Showing Assist</t>
  </si>
  <si>
    <t>Freddie Mac</t>
  </si>
  <si>
    <t>847-208-9192</t>
  </si>
  <si>
    <t>(847) 658-3100</t>
  </si>
  <si>
    <t>Karen Goins</t>
  </si>
  <si>
    <t>(847) 208-9192</t>
  </si>
  <si>
    <t>GARDEN</t>
  </si>
  <si>
    <t>BOULDER HILL</t>
  </si>
  <si>
    <t>RT. 25 S, L/BOULDER HILL PASS, R/GARDEN DRIVE</t>
  </si>
  <si>
    <t>GARDENS OF BOULDER HILL-55 &amp; OLDER COMMUNITY. IMMACULATE RANCH TOWNHOME OFFERS FULL FINISHED BASEMENT W/LL 3RD BR, FAMILY RM W/WET BAR &amp; BATH. 1ST FLR INCL LIVING RM, OFFICE AREA 9X9, KITCHEN,  BRKFST RM., MBR W/FULL BATH &amp; 2ND BR SHARED BATH OFF HALL. OTHER FEAT INCL HARDWOOD/CERAMIC FLRS, 1ST FLR LAUNDRY &amp; 2 CAR ATT GAR. REC/BIKE PATH ALONG FOX RIVER, SHOP/RESTRNT NEARBY.  A PLEASURE TO SHOW! QUICK POSSESSION POS</t>
  </si>
  <si>
    <t>BOULDER HILL ELEMENTARY SCHOOL</t>
  </si>
  <si>
    <t>18X20</t>
  </si>
  <si>
    <t>19X20</t>
  </si>
  <si>
    <t>Eating Area, Office</t>
  </si>
  <si>
    <t>Water-Softener Owned, Ceiling Fan</t>
  </si>
  <si>
    <t>Aluminum Siding, Frame</t>
  </si>
  <si>
    <t>Call Centralized Showing 877-977-1010</t>
  </si>
  <si>
    <t>877-977-1010</t>
  </si>
  <si>
    <t>David Chally</t>
  </si>
  <si>
    <t>(630) 554-0002</t>
  </si>
  <si>
    <t>Chally 630-554-0002</t>
  </si>
  <si>
    <t>discls attached to this listing</t>
  </si>
  <si>
    <t>Natalie</t>
  </si>
  <si>
    <t>Addison</t>
  </si>
  <si>
    <t>Aragon</t>
  </si>
  <si>
    <t>Army Trail Road to Mill Road south to Natalie West to property</t>
  </si>
  <si>
    <t>Picture perfect Townhome. Large 2 bedroom, 3.1 bath home with finished basement with full bath and 2 car garage. 2 full baths and laundry on the 2nd floor. Half bath on the first floor. This corner unit is the largest model.  Very tastefully updated and decorated. This is a must see!</t>
  </si>
  <si>
    <t>27X22</t>
  </si>
  <si>
    <t>David McIntosh</t>
  </si>
  <si>
    <t>(847) 899-5626</t>
  </si>
  <si>
    <t>Waterbury</t>
  </si>
  <si>
    <t>Oswego</t>
  </si>
  <si>
    <t>Ogden Falls</t>
  </si>
  <si>
    <t>RT 34 TO OGDEN FALLS BLVD EAST TO WATERBURY CIRCLE</t>
  </si>
  <si>
    <t>End Unit, light &amp; bright!  Move in ready!  Open living room, formal dining room, eat in kitchen w/ pantry, sliding glass door leads to private patio. Loads of storage space, good sized rooms, over sized garage, New Water Heater, New stove, New washer. Wow! Close to shopping~ Normal Sale, priced to sell!</t>
  </si>
  <si>
    <t>Park/Playground, Curbs/Gutters, Street Lights, Street Paved</t>
  </si>
  <si>
    <t>150 Amp Service</t>
  </si>
  <si>
    <t>Vinyl Siding, Cedar</t>
  </si>
  <si>
    <t>24HR Notice Required. CALL B&amp;W APT. CENTER 855-746-9100</t>
  </si>
  <si>
    <t>00R</t>
  </si>
  <si>
    <t>Kimberly Lerner, CNC</t>
  </si>
  <si>
    <t>(630) 718-3439</t>
  </si>
  <si>
    <t>630-636-8618</t>
  </si>
  <si>
    <t>This is a NORMAL Sale! ~  Seller will address windows with broken seals.</t>
  </si>
  <si>
    <t>Camberley</t>
  </si>
  <si>
    <t>Schick to Mayflower to Camberley</t>
  </si>
  <si>
    <t>WAYNE</t>
  </si>
  <si>
    <t>UPDATED 2BR 2BA PLUS DEN,  NEW CABINETS AND GRANITE IN KITCHEN AND BATH, NEW APPLIANCES FULL SIZE W/D IN LAUNDRY ROOM, FIREPLACE, HARD WOOD FLOORS AND NEW CARPET. NEW LIGHTING, FRESH PAINT,BLINDS,LARGE MASTER BR W/ WALK IN CLOSET AND SHOWER, NEW MIRRORS, CEILING FANS,NEW SLIDING GLASS DOORS, 2 CAR GARAGE, LARGE BALCONY..</t>
  </si>
  <si>
    <t>Parking, Common Insurance, Snow Removal</t>
  </si>
  <si>
    <t>NO SHOWINGS</t>
  </si>
  <si>
    <t>American Dream House Realty LLC</t>
  </si>
  <si>
    <t>(708) 507-3532</t>
  </si>
  <si>
    <t>Mary Fallon</t>
  </si>
  <si>
    <t>THIS PROPERTY IS UNDER CONTRACT. NO SHOWINGS AT THIS TIME.</t>
  </si>
  <si>
    <t>Lincoln</t>
  </si>
  <si>
    <t>RT. 31 to Huntley Rd. East on Huntley 1 bk, North on Lincoln Ave.</t>
  </si>
  <si>
    <t>41X262</t>
  </si>
  <si>
    <t>Completely remodeled 7 room 1/2 duplex on 1/4 acre wooded lot. 2BR2BA; finished English bsmt (possible 3rd BR); 2 fireplaces; new SS appliances w/5 yr warranty; new plush carpet; new CA, newer hot water heater and roof; 2 car garage w/extra large drive, 22" x 19' deck w/benches, lites, gas hook-up for grill; no HOA fees.</t>
  </si>
  <si>
    <t>DUNDEE HIGHLANDS ELEMENTARY SCHOOL</t>
  </si>
  <si>
    <t>DUNDEE MIDDLE SCHOOL</t>
  </si>
  <si>
    <t>H D JACOBS HIGH SCHOOL</t>
  </si>
  <si>
    <t>26X15</t>
  </si>
  <si>
    <t>10X5</t>
  </si>
  <si>
    <t>Full Body Spray Shower</t>
  </si>
  <si>
    <t>TV-Dish, Security System, CO Detectors, Ceiling Fan, Sump Pump</t>
  </si>
  <si>
    <t>1/2 Duplex, Quad-Split Level</t>
  </si>
  <si>
    <t>Contact owner at 847-844-8264 for showings, appraisals, inspections, and all access requests.</t>
  </si>
  <si>
    <t>847-224-3135</t>
  </si>
  <si>
    <t>Contact owner at 847-844-8264 for showings. Email offers to email sales@bergproperties.com or Fax offers to (888) 615-0169.</t>
  </si>
  <si>
    <t>Cottonwood</t>
  </si>
  <si>
    <t>Fox Hill</t>
  </si>
  <si>
    <t>RT 34 W of 47-Left on Diehl Farm-Left on Cottonwood Trail to home</t>
  </si>
  <si>
    <t>27X78</t>
  </si>
  <si>
    <t>Low taxes &amp; HOA fees. Owners have lovingly cared for this home &amp; it shows. Newer wood laminate floors,carpet, kitchen cabinets, counter tops &amp; driveway.The roof was replaced this summer! Family room offers wood burning/gas fireplace, perfect for those chilly evenings. Both upstairs bedrooms have their own full bathrooms.All appliances included. Full basement &amp; 2nd floor laundry. One block from park &amp; ball field. WOW!</t>
  </si>
  <si>
    <t>Bike Room/Bike Trails, Park/Playground, Curbs/Gutters, Sidewalks, Street Lights, Street Paved</t>
  </si>
  <si>
    <t>Water-Softener Owned, Sump Pump</t>
  </si>
  <si>
    <t>Please call 1-877-977-1010 to schedule showing</t>
  </si>
  <si>
    <t>(630) 553-9000</t>
  </si>
  <si>
    <t>Kristin Cyko, CSC</t>
  </si>
  <si>
    <t>(630) 730-9476</t>
  </si>
  <si>
    <t>630-730-9476</t>
  </si>
  <si>
    <t>Low taxes!! Home warranty included.  All appliances stay along with free-standing kitchen cabinet.</t>
  </si>
  <si>
    <t>Park</t>
  </si>
  <si>
    <t>Clarendon Hills</t>
  </si>
  <si>
    <t>East of Prospect on Park.</t>
  </si>
  <si>
    <t>CLARENDON HILLS</t>
  </si>
  <si>
    <t>Senior</t>
  </si>
  <si>
    <t>Lovely 2b/2bth light and neutral condo in premier Clarendon Hills in-town location.  Tons of closets and built-in book cases.  In unit laundry, eat-in kitchen with bay window.  Friendly community.</t>
  </si>
  <si>
    <t>WALKER ELEMENTARY SCHOOL</t>
  </si>
  <si>
    <t>CLARENDON HILLS MIDDLE SCHOOL</t>
  </si>
  <si>
    <t>Elevator, Park/Playground, Security Door Locks, Curbs/Gutters, Sidewalks, Street Lights, Street Paved</t>
  </si>
  <si>
    <t>Water, Parking, Common Insurance, Security, Exterior Maintenance, Lawn Care, Scavenger, Snow Removal</t>
  </si>
  <si>
    <t>2.5-$200 (on Net SP)</t>
  </si>
  <si>
    <t>Call/text Listing Agent show 630-302-0329</t>
  </si>
  <si>
    <t>Coldwell Banker Residential RE</t>
  </si>
  <si>
    <t>(630) 325-2800</t>
  </si>
  <si>
    <t>Mary Williams</t>
  </si>
  <si>
    <t>(630) 302-0329</t>
  </si>
  <si>
    <t>Mary S. Williams</t>
  </si>
  <si>
    <t>To show, please contact LA Mary Williams at 630-302-0329-call or text</t>
  </si>
  <si>
    <t>Cherry Creek</t>
  </si>
  <si>
    <t>45 &amp; Washington W2 Atkinson S2 Cherry Creek</t>
  </si>
  <si>
    <t>Includes new wall mounted 51 inch HDTV!Bright 2 Bed plus loft, 2 1/2 baths Attached 2 car garage, all appliances included! Lower level family/bonus room. Enjoy desirable Cherry Creek, close to CLC, easy Metra parking and access! Just across from Rollins Savanna forest preserve! Clubhouse and fitness area with key.First floor laundry in unit, kitchen balcony &amp; more!</t>
  </si>
  <si>
    <t>2.5%-170 (on Net SP)</t>
  </si>
  <si>
    <t>Call list office</t>
  </si>
  <si>
    <t>Please allow notice to show as itr is occupied till 11/30</t>
  </si>
  <si>
    <t>Catherine</t>
  </si>
  <si>
    <t>29-A-R</t>
  </si>
  <si>
    <t>Elizabeth Park</t>
  </si>
  <si>
    <t>Addison Rd S of Iriving to Elizabeth W to Catherine Ct to unit on the cul de sac. Dead end street.</t>
  </si>
  <si>
    <t>Well cared for desirable First floor end unit with one level living!! No steps anywhere, newer microwave, furnace and extra deep garage. Master bdrm with nice walk in closet and walk in shower, higher commodes in both bthrms with grab bars. Private patio with green space and guest parking adjacent to unit. Light, bright and move in ready. Great location close to stores,restaurants and major hwys. Come see today!!</t>
  </si>
  <si>
    <t>FULLERTON ELEMENTARY SCHOOL</t>
  </si>
  <si>
    <t>INDIAN TRAIL JUNIOR HIGH SCHOOL</t>
  </si>
  <si>
    <t>ADDISON TRAIL HIGH SCHOOL</t>
  </si>
  <si>
    <t>Common Grounds, Corner, Cul-de-sac, Forest Preserve Adjacent, Landscaped Professionally</t>
  </si>
  <si>
    <t>TV-Cable, Intercom</t>
  </si>
  <si>
    <t>Unassigned, Off Street, Visitor Parking, Driveway</t>
  </si>
  <si>
    <t>Call Showing Time at 800-746-9464 for appt. Call Dina with questions.</t>
  </si>
  <si>
    <t>RE/MAX Destiny</t>
  </si>
  <si>
    <t>(847) 352-5200</t>
  </si>
  <si>
    <t>Dina Florina</t>
  </si>
  <si>
    <t>(630) 280-9183</t>
  </si>
  <si>
    <t>First floor unit, unit door first on the right side. Unit is move in ready everything is gently used. Garage is all the way to the right on the end. Please leave card and turn off all lights and lock doors. Show with confidence. Thank you.</t>
  </si>
  <si>
    <t>Providence</t>
  </si>
  <si>
    <t>MADRONA VILLAGE</t>
  </si>
  <si>
    <t>Rt 83 &amp; 120 W to Wildspring S to Providence E to 172</t>
  </si>
  <si>
    <t>37X115</t>
  </si>
  <si>
    <t>BUYER FINANCE FELL THROUGH.  CALL TODAY  RARE RANCH-STYLE living at its finest! Private End-unit, completely fenced yard, upscale amenities include fireplace with gas logs, ceramic tiled baths, volume ceilings, custom blinds, and open floor plan!  Large master bedroom with walk in closet and private bath.  Ready to move into.  Come take a look.</t>
  </si>
  <si>
    <t>PARK SCHOOL EAST</t>
  </si>
  <si>
    <t>GRAYSLAKE CENTRAL HIGH SCHOOL</t>
  </si>
  <si>
    <t>Park/Playground, Sidewalks, Street Lights, Street Paved</t>
  </si>
  <si>
    <t>Attached Fireplace Doors/Screen, Gas Logs</t>
  </si>
  <si>
    <t>2.5% -$100 (on Net SP)</t>
  </si>
  <si>
    <t>Mike Culat, ABR,CRS,GREEN,GRI</t>
  </si>
  <si>
    <t>(847) 514-9590</t>
  </si>
  <si>
    <t>Rockefeller</t>
  </si>
  <si>
    <t>GREENWICH SQUARE</t>
  </si>
  <si>
    <t>Randall, (E) Bricher, (R) Vanderbilt, (L) Rockefeller</t>
  </si>
  <si>
    <t>Great first floor master end unit that is ready to move right in! Open concept in the great room / combined dining area.  Large kitchen with eat-in space and tons of cobinets.  Two bedrooms &amp; two baths.  GREAT location with shopping within walking distance. Geneva schools. Immediate possession available.</t>
  </si>
  <si>
    <t>17X17</t>
  </si>
  <si>
    <t>Please use 6.0 &amp; monthly SSA is $37.16 a month; fixing foundation issues.  Set to expire in a few years.</t>
  </si>
  <si>
    <t>Normantown</t>
  </si>
  <si>
    <t>EAGLE POINTE</t>
  </si>
  <si>
    <t>87TH ST TO NORMANTOWN RD</t>
  </si>
  <si>
    <t>ENJOY THIS 2 BEDROOM 1.5 BATHROOM HOME LOCATED NEAR ANDOVER PARK.  SPACIOUS ROOMS AND GREAT FLOOR PLAN ALL AWAITING YOUR FINISHING TOUCHES! ALL INFO IS APPROX AND ESTIMATED.  SOLD AS IS. TAXES ARE PRORATED AT 100%. BUYER RESPONSIBLE FOR SURVEY, TRANSFER STAMPS, INSPECTIONS, UTILITIES AND ESCROWS. ADDENDUMS TO FOLLOW ACCEPTANCE OF OFFER.</t>
  </si>
  <si>
    <t>PLEASE USE SHOWING ASSIST</t>
  </si>
  <si>
    <t>FAX 630-810-9782</t>
  </si>
  <si>
    <t>SELLER HAS VERBALLY ACCEPTED AN OFFER 11/26/2014.   PLEASE SUBMIT ALL OFFERS TO OFFERS@SMITHREO.COM / MUST INCLUDE UPDATED PROOF OF FUNDS AND/OR PRE APPROVAL LETTER</t>
  </si>
  <si>
    <t>Burlington</t>
  </si>
  <si>
    <t>ACADIA ON THE GREEN</t>
  </si>
  <si>
    <t>Washington to Burlington (south of train tracks) west to 935 Burlington.</t>
  </si>
  <si>
    <t>WONDERFUL LOCATION IN THE HEART OF DOWNERS GROVE! OPEN FLOOR PLAN.  GORMET KITCHEN WITH ALL STAINLESS APPLIANCES OPENS TO SPACIOUS LIVING ROOM AND DINING ROOM. TWO BEDROOM SUITES PLUS A HALF BTH OFF OF LIVING AREA. IN UNIT LAUNDRY, BALCONY, HEATED PARKING SPACE AND STORAGE UNIT. SECURE ELEVATOR BUILDING. ENJOY WALKING TO TRAIN, SHOPS &amp; RESTAURANTS.</t>
  </si>
  <si>
    <t>WHITTIER ELEMENTARY SCHOOL</t>
  </si>
  <si>
    <t>HERRICK MIDDLE SCHOOL</t>
  </si>
  <si>
    <t>NORTH HIGH SCHOOL</t>
  </si>
  <si>
    <t>25X22</t>
  </si>
  <si>
    <t>Elevator, Storage, Security Door Locks, Curbs/Gutters, Sidewalks, Street Lights, Street Paved</t>
  </si>
  <si>
    <t>Heat, Water, Gas, Parking, Common Insurance, Exterior Maintenance, Lawn Care, Scavenger, Snow Removal</t>
  </si>
  <si>
    <t>TV-Cable, Intercom, Fire Sprinklers, CO Detectors</t>
  </si>
  <si>
    <t>PLEASE USE SHOWING ASSIST TO SCHEDULE APPOINTMENTS. SHORT NOTICE OK.</t>
  </si>
  <si>
    <t>Louise Reiss, ABR,CSC,SRES</t>
  </si>
  <si>
    <t>(630) 430-6364</t>
  </si>
  <si>
    <t>Note Co-Op is 3%!! Parking Spot 80 &amp; Storage locker. MM.RELO Addendims Apply. TAKE ELEVATOR OR STAIRS UP TO UNIT 106.  Please us 6.0 Contract.  Must include Relocation Addendums.</t>
  </si>
  <si>
    <t>Falling Waters</t>
  </si>
  <si>
    <t>Lindenhurst</t>
  </si>
  <si>
    <t>FALLING WATERS</t>
  </si>
  <si>
    <t>From Rt 132 &amp; 45, go N to Falling Waters, W to Falling Waters Drive, West to Home</t>
  </si>
  <si>
    <t>LINDENHURST</t>
  </si>
  <si>
    <t>RIBBON FAL</t>
  </si>
  <si>
    <t>**AWESOME OPPORTUNITY ** TERRIFIC TOWNHOME IN LINDENHURST! SPACIOUS ROOMS AND A COZY FIREPLACE ! NICE KITCHEN AND DECK FOR ENTERTAINING! SOLD AS- IS  - ALL INFORMATION DEEMED RELIABLE BUT NOT GARANTEED - INSURED</t>
  </si>
  <si>
    <t>Common Insurance, Exterior Maintenance, Snow Removal</t>
  </si>
  <si>
    <t>CALL 800-746-9464 - FOR 1 DAY CODE</t>
  </si>
  <si>
    <t>Owner Occupts, NPOs &amp; Gov't Agencies bidding @ www.hudhomestore.com ref. 137-473645. Up to 3% CC. NAID# needed to bid. Exclusive bidding thru 11/11/2014. Daily after if available. More info @ www.hudpemco.com. ALL BIDDERS</t>
  </si>
  <si>
    <t>TER</t>
  </si>
  <si>
    <t>TOWNHOMES OF LOMBARD</t>
  </si>
  <si>
    <t>ST CHARLES WEST OF MAIN TO PARK NORTH TO TOWNHOMES</t>
  </si>
  <si>
    <t>BEAUTIFULLY SUNNY AND UPDATED, TOP FLOOR CONDO W/ EVERYTHING YOU ARE LOOKING FOR.  2 BED, 2 BATH. IN UNIT WASHER DRYER. GALLEY KIT WITH LARGE DINING AREA.  LIVING LEADS TO SLIDER AND DECK.  JUST BLOCKS FROM METRA STATION TO CITY AND ALL KINDS OF RESTAURANTS,SHOPPING, BUTCHER SHOP. GREAT PLACE FOR CITY GOERS TO CALL HOME.</t>
  </si>
  <si>
    <t>2.5%  - $200 (on Net SP)</t>
  </si>
  <si>
    <t>Michael Devine, SFR</t>
  </si>
  <si>
    <t>(630) 788-8151</t>
  </si>
  <si>
    <t>GREAT CONDO, VERY LIGHT AND BRIGHT IN A QUIET BUILDING. NEW AC SUMR 14',NEW FURN FALL 13', NEW ROOF SUMR 13', NEW SEALD LOT SUMR 13', NEW EXT PAINT SUMR 14' - WELL MANAGED HOA! NOT FHA APPROVED.</t>
  </si>
  <si>
    <t>THE STREAMS</t>
  </si>
  <si>
    <t>Weisbrook to Stonebridge W to home</t>
  </si>
  <si>
    <t>Spacious, light bright 1st floor condo with large patio area, fireplace and convenient to everything. Spacious kitchen, dining area with sliding glass door to patio. Large open living room with corner fireplace and sliding glass door to patio. 2 large bedrooms, master with walk in closet and full master bathroom. Unit has storage space and 1 car garage. Why rent when you can own your own place? 1 Year AHS warranty.</t>
  </si>
  <si>
    <t>Heat, Water, Gas, Common Insurance, Exterior Maintenance, Lawn Care, Scavenger, Snow Removal</t>
  </si>
  <si>
    <t>3% -$200 (on Net SP)</t>
  </si>
  <si>
    <t>Must have confirmed appointment -  Click below</t>
  </si>
  <si>
    <t>Karen Parent, CRS,SRES,SRS</t>
  </si>
  <si>
    <t>(630) 690-5811</t>
  </si>
  <si>
    <t>Transferred owner hates to leave this great unit and location! Show and sell.</t>
  </si>
  <si>
    <t>3W</t>
  </si>
  <si>
    <t>25TH S OF IRVING PARK TO RUBY STREET TO 3800</t>
  </si>
  <si>
    <t>GORGEOUS RECENTLY  REMODELED UNIT WITH UPGRADES. NEW BATHROOM WITH WHIRLPOOL  AND KITCHEN WITH SS APPLIANCES. HARDWOOD FLOORS THROUGHOUT. SURROUND SYSTEM WITH SPEAKERS,DIMMED RECESSED LIGHTING IN EVERY ROOM, COVE LIGHTNING IN THE LIVING ROOM, NEW WINDOWS,NEW BALCONY DOORS,NEW WIRING,NEW ELECTRIC PANEL,WATER FILTRATION SYSTEM, LOTS OF STORAGE SPACE.  2 PARKING SPACES + SIDE STREET.  PLEASE NOTE THAT  PRE-WIRED SURROUN</t>
  </si>
  <si>
    <t>JOHN F KENNEDY ELEMENTARY SCHOOL</t>
  </si>
  <si>
    <t>Bike Room/Bike Trails, Coin Laundry, Storage, Sundeck, Curbs/Gutters, Gated Entry, Sidewalks, Street Lights, Street Paved</t>
  </si>
  <si>
    <t>Corner, Irregular</t>
  </si>
  <si>
    <t>Heat, Water, Gas, Parking, Common Insurance, Lawn Care</t>
  </si>
  <si>
    <t>TV-Cable, TV-Dish, TV Antenna, Intercom</t>
  </si>
  <si>
    <t>Assigned Spaces, Unassigned</t>
  </si>
  <si>
    <t>2.50% - 255 (on Net SP)</t>
  </si>
  <si>
    <t>TEXT OR EMAIL GREGORY ZAJDEL AT 847-660-8424 , SHOWINGS Sat-Sun only</t>
  </si>
  <si>
    <t>PLEASE NOTE THAT  PRE-WIRED SURROUND SYSTEM, HDTV,BBQ GRILL INCLUDED IN THE PRICE,</t>
  </si>
  <si>
    <t>RIPPLE RIDGE</t>
  </si>
  <si>
    <t>Co-op</t>
  </si>
  <si>
    <t>CASS N OF I-55 TO HINSWOOD E TO RIPPLE RIDGE S TO HOMES</t>
  </si>
  <si>
    <t>NIGHTFALL</t>
  </si>
  <si>
    <t>Spacious end unit professionally remodeled and decorated. Beautiful kitchen with granite and breakfast bar that opens to dining room and 2 story family room. High end SS applian  and laminate flooring throughout! Beautiful master bath with whirlpool tub and walk in closet. Loft overlooks family room! Backs up to an open area...Just beautiful!</t>
  </si>
  <si>
    <t>Breakfast Room, Foyer, Loft</t>
  </si>
  <si>
    <t>Danada Real Estate Group Inc</t>
  </si>
  <si>
    <t>(312) 404-4887</t>
  </si>
  <si>
    <t>Zilvija Gonzales</t>
  </si>
  <si>
    <t>Beautiful unit. Furniture can be for sale. Fireplace stays.</t>
  </si>
  <si>
    <t>Chalet</t>
  </si>
  <si>
    <t>Ogden to River Rd SOUTH to Chalet go EAST to building #1233 on left</t>
  </si>
  <si>
    <t>Remodeled &amp; Very Bright 2br/2bath on 2nd floor w/central heat &amp; A/C, low taxes, Kitchen has new granite &amp; backsplash w/eat-in-table space, new hrdwd flrs &amp; ceramic tile flooring, Updated bathrooms, Walk-in closet in master, balcony, storage room, 1Car garage, 2min to Metra &amp; downtown Naperville.</t>
  </si>
  <si>
    <t>MILL STREET ELEMENTARY SCHOOL</t>
  </si>
  <si>
    <t>JEFFERSON JUNIOR HIGH SCHOOL</t>
  </si>
  <si>
    <t>NAPERVILLE NORTH HIGH SCHOOL</t>
  </si>
  <si>
    <t>TV-Cable, TV Antenna, Intercom, CO Detectors</t>
  </si>
  <si>
    <t>None/NA</t>
  </si>
  <si>
    <t>Contact owner/Steve at 630-327-7007 for showings, appraisals, inspections and all access requests.</t>
  </si>
  <si>
    <t>630-730-4934</t>
  </si>
  <si>
    <t>Contact owner/Steve at 630-327-7007 for showings and all access requests. Email offers to email sales@bergproperties.com or Fax offers to (888) 615-0169.</t>
  </si>
  <si>
    <t>Waters Edge</t>
  </si>
  <si>
    <t>BLOOMINGDALE RD 2 DUNTEMAN W 2 1ST ENTRANCE  LEFT TO UNI</t>
  </si>
  <si>
    <t>GREAT WATERS EDGE LOCATION WITH POND VIEWS, LOWER LEVEL UNIT,  FRESHLY PAINTED INTERIOR AND NEW FLOORING THROUGHOUT, 2 BED, 2 BATHS CONDO MASTER BEDROOM BATH &amp; 2 WALL A/C UNITS. SGD FROM KITCHEN TO PRIVATE PATIO &amp; STORAGE SPACE OVERLOOKING THE PEACEFUL POND. CLOSE TO SHOPPING, SCHOOLS, &amp; TRANSPORTATION. TAXES 100% THIS IS A FANNIE MAE HOMEPATH PROPERTY. SUBMIT OFFERS THROUGH HOMEPATH.</t>
  </si>
  <si>
    <t>Sewer-Public, Other</t>
  </si>
  <si>
    <t>Please call the Showing Desk @ 888.362.3222 or LO after hours, thanks.</t>
  </si>
  <si>
    <t>TAXES 100%, Submit offers to homepath website BUYER IS RESPONSIBLE FOR PREVIOUS 6 MONTHS HOA FEES.</t>
  </si>
  <si>
    <t>Kenneth</t>
  </si>
  <si>
    <t>Kennington Square</t>
  </si>
  <si>
    <t>RT. 58 W OF RT. 59 TO KENNETH CR N TO 1601.</t>
  </si>
  <si>
    <t>Well desired townhome in Kennington Square! You can make this your own great living quarters! Gorgeous rustic beamed ceiling &amp; brick fireplace in kitchen combined with living Room! Home opens to huge front patio/balcony! Possible family room plus plenty of storage space in full unfinished basement. End unit with front patio!Sold As-Is. No seller disclosures. Equal Housing Opportunity.</t>
  </si>
  <si>
    <t>14X08</t>
  </si>
  <si>
    <t>15X08</t>
  </si>
  <si>
    <t>TV-Dish</t>
  </si>
  <si>
    <t>CALL CENTRALIZED SHOWING 877-977-1010</t>
  </si>
  <si>
    <t>Tanis Group Realty</t>
  </si>
  <si>
    <t>(847) 594-4215</t>
  </si>
  <si>
    <t>Joseph Mueller</t>
  </si>
  <si>
    <t>Case #137-355228. Insured Status:UI. Up to 3% Co-op. Offers submitted on-line. Office must be HUD registered. See attached HUD Guidelines. Go to HUDhomestore.com and oforireo.com. Questions? HUD@tanisgroupllc.com.</t>
  </si>
  <si>
    <t>Roberts</t>
  </si>
  <si>
    <t>Woodridge</t>
  </si>
  <si>
    <t>WINSTON HILLS</t>
  </si>
  <si>
    <t>Rt. 53 to Hobson E to Woodridge Dr S to Roberts W 2.5blks</t>
  </si>
  <si>
    <t>WOODRIDGE</t>
  </si>
  <si>
    <t>Spacious and well maintained 2nd floor 2 bedroom, 2 full bath in Winston Hills overlooking bike trails. Recently repainted, additional cabinets and counter in dining room, lots of closet space. Beautiful ceramic tile in the kitchen. This is a must see to appreciate the value. Downers North High School.</t>
  </si>
  <si>
    <t>MEADOWVIEW ELEMENTARY SCHOOL</t>
  </si>
  <si>
    <t>THOMAS JEFFERSON JUNIOR HIGH SCHOOL</t>
  </si>
  <si>
    <t>Bike Room/Bike Trails, Coin Laundry, Storage</t>
  </si>
  <si>
    <t>Vinyl Siding, Brick, Cedar</t>
  </si>
  <si>
    <t>USE SHOWING ASSIST 24 HOUR NOTICE APPRECIATED</t>
  </si>
  <si>
    <t>Sonia Mansour</t>
  </si>
  <si>
    <t>CC: Pursuant to Short Sale. Short Sale.  EXPERIENCED SHORT SALE TEAM. LOOKING FOR HIGHEST &amp; BEST OFFER TO BRING TO THE BANK.</t>
  </si>
  <si>
    <t>Nassau</t>
  </si>
  <si>
    <t>E on Grass Lake from State or W from 59 -2 Leisure Village 2 Arlington 2 Nassau right 2 # on left</t>
  </si>
  <si>
    <t>REDUCED! RELAXED COUNTRY CLUB LIVING IN THIS POPULAR LAKE COMMUNITY! AMENITIES INCL. GATED ENTRY, GOLF, TENNIS, POOL, REC CNTR, EXERCISE FACILITIES, WD SHOP, BUS SERVICE &amp; MUCH MORE! BEAUTIFUL END UNIT BOASTS LARGE GREAT ROOM W/DINING ROOM, PLUS AN EAT IN KITCHEN W/NEW MAPLE CABINETS. UPDATED THRU-OUT, NEUTRAL DECOR, NEWER PAINT, APPLIANCES, CARPET, COME QUICK &amp; ENJOY A MAINTENANCE FREE LIFESTYLE TODAY! MOTVTD! 10++</t>
  </si>
  <si>
    <t>Exercise Room, Golf Course, Health Club, On Site Manager/Engineer, Park/Playground, Party Room, Pool-Indoors, Pool-Outdoors, Restaurant, Sauna, Steam Room, Tennis Court/s, Curbs/Gutters, Gated Entry, Sidewalks, Street Lights, Street Paved, Other</t>
  </si>
  <si>
    <t>Parking, Common Insurance, Clubhouse, Exercise Facilities, Pool, Exterior Maintenance, Lawn Care, Snow Removal, Lake Rights, Other</t>
  </si>
  <si>
    <t>Additional Pet Rent, Cats OK, Deposit Required, Dogs OK, Neutered and/or Declawed Only, Pet Count Limitation, Pet Weight Limitation</t>
  </si>
  <si>
    <t>Closing, Immediate, Negotiable, Prior to Closing</t>
  </si>
  <si>
    <t>Forced Air, Baseboard</t>
  </si>
  <si>
    <t>2.5%-$300 (on Net SP)</t>
  </si>
  <si>
    <t>CALL L.O.</t>
  </si>
  <si>
    <t>Stewart Ramirez</t>
  </si>
  <si>
    <t>(773) 988-1710</t>
  </si>
  <si>
    <t>(847) 231-7674(EFAX)</t>
  </si>
  <si>
    <t>School Bus Service, Adult Community</t>
  </si>
  <si>
    <t>THIS IS AN ACTIVE ADULT COMMUNITY ONLY! BUYER MUST BE AT LEAST 55.</t>
  </si>
  <si>
    <t>Royal Oak</t>
  </si>
  <si>
    <t>CARRIAGE GREEN</t>
  </si>
  <si>
    <t>CASS TO NO. FRONTAGE RD to Carriage Green Drive (R) to Old Oak Place (L) to 1640 Royal Oak</t>
  </si>
  <si>
    <t>2 BDRM</t>
  </si>
  <si>
    <t>A Rare Find! Second floor, end unit. Unique 12 unit Brick Building nestled on Carriage Greens Golf Course/gorgeous wooded views.1.5 car heated, underground garage+storage. Balcony totally refurbished this year, new oven, microwave, refrigerator, and dryer in 2014. New furnace and dishwasher in 2013. Custom stone fireplace in Family room. Granite counter tops in Kitchen.  1 mile from Argonne Labs. Secured entrance.</t>
  </si>
  <si>
    <t>CONCORD ELEMENTARY SCHOOL</t>
  </si>
  <si>
    <t>CASS JUNIOR HIGH SCHOOL</t>
  </si>
  <si>
    <t>28X15</t>
  </si>
  <si>
    <t>24X4</t>
  </si>
  <si>
    <t>Storage, Golf Course, On Site Manager/Engineer, Security Door Locks, Curbs/Gutters, Sidewalks, Street Paved</t>
  </si>
  <si>
    <t>Common Grounds, Cul-de-sac, Golf Course Lot, Landscaped Professionally, Wooded</t>
  </si>
  <si>
    <t>Manager On-site, Self-Management</t>
  </si>
  <si>
    <t>Garage Door Opener(s), Transmitter(s), Tandem</t>
  </si>
  <si>
    <t>Text or call Tracey @ 630-363-2220</t>
  </si>
  <si>
    <t>Option Realty Group LTD</t>
  </si>
  <si>
    <t>(630) 281-2474</t>
  </si>
  <si>
    <t>Tracey Stoffer</t>
  </si>
  <si>
    <t>(630) 363-2220</t>
  </si>
  <si>
    <t>Great end unit, adjacent to upscale single family homes, furthest unit from I 55.</t>
  </si>
  <si>
    <t>77TH</t>
  </si>
  <si>
    <t>pulaski to 76st turn west to gated entrance and proceed to building # 4248</t>
  </si>
  <si>
    <t>NOT FHA APPROVED. BEAUTIFUL CONDO IN QUIET FLEXICORE BLDG. RECENTLY REMODELED. FRESHLY PAINTED, BEAUTIFUL FLOORS. WELL KEPT, SUPER CLEAN, BRIGHT AIRY 1ST FLOOR UNIT. PRIDE OF OWNERSHIP THROUGHOUT. LARGE OAK KITCHEN WITH ROOM FOR TABLE. GOOD SIZE BEDROOMS WITH WALK- IN CLOSETS.  MAIN BATHROOM WITH INTRICATE SLATE TILE DESIGN AND LARGE VANITY, NEW STAINLESS STEEL APPLIANCES.IN UNIT LAUNDRY&amp;BALCONY. UNIT HAS GARAGE</t>
  </si>
  <si>
    <t>16X8</t>
  </si>
  <si>
    <t>None, Other</t>
  </si>
  <si>
    <t>Oven/Range, Microwave, Dishwasher, Washer, Dryer</t>
  </si>
  <si>
    <t>Click on Showing Assist</t>
  </si>
  <si>
    <t>Corner Stone Properties, LLC</t>
  </si>
  <si>
    <t>Remar Realty Group Inc</t>
  </si>
  <si>
    <t>(708) 691-9582</t>
  </si>
  <si>
    <t>Ioana Juravle</t>
  </si>
  <si>
    <t>Garage PIN #19-27-401-058-1083,taxes $181.12. Listing office doesn't hold earnest money.Make certified funds payable to Law Offices of Margaret Las (7630 S County Line Rd Ste 3A,Willowbrook 60527)Broker owned</t>
  </si>
  <si>
    <t>Four Lakes</t>
  </si>
  <si>
    <t>2L</t>
  </si>
  <si>
    <t>Maple W. of 53 to Abbey Dr. to Oakwood to 4 Lakes Ave</t>
  </si>
  <si>
    <t>Freshly painted and nice 2 bedroom unit in great, quiet building.  Wonderful Four Lakes Location.  Enjoy year-round activities in the scenic, wooded setting.  Balcony overlooks trees. Wood burning fireplace for those cold winter evenings.  Won't last at this price!</t>
  </si>
  <si>
    <t>Bike Room/Bike Trails, Elevator, Pool-Outdoors, Restaurant, Tennis Court/s</t>
  </si>
  <si>
    <t>Dishwasher, Refrigerator, Washer, Dryer, Disposal</t>
  </si>
  <si>
    <t>Cats OK, Deposit Required, Dogs OK, Pet Count Limitation</t>
  </si>
  <si>
    <t>2.5%-100 (on Gross SP)</t>
  </si>
  <si>
    <t>Blue Key Realty, Inc.</t>
  </si>
  <si>
    <t>(630) 493-4221</t>
  </si>
  <si>
    <t>Michaelene Tracey</t>
  </si>
  <si>
    <t>(708) 217-1638</t>
  </si>
  <si>
    <t>Parking Space #F9.  Also available for rent.  Refrigerator will be replaced.</t>
  </si>
  <si>
    <t>KINGSBRIDGE</t>
  </si>
  <si>
    <t>Cambridge Pointe</t>
  </si>
  <si>
    <t>COUNTY FARM S OF ARMY TRAIL TO WOODHILL EAST TO KINGSBRIDGE</t>
  </si>
  <si>
    <t>NICE END UNIT ACROSS FROM CAMBRIDGE PARK. 2 STORY FAMILY &amp; DINING ROOMS. SLIDING GLASS DOOR TO PATIO OFF DINING ROOM. BREAKFAST AREA IN KITCHEN. PARTIALLY FINISHED BASEMENT. 2 BEDS UPSTAIRS. POSSIBLE DEN/OFFICE IN PARTIALLY FINISHED BASEMENT. AS IS TAXES 100%. CASH-FUNDS TO CLOSE VERIFIED. FINANCED OFFERS MUST HAVE PREAPPRV. PUBLIC ACT 94-1049 MAY APPLY. SIGN ADDNDM, DISCLS, &amp; REO SALES HELP SHEET IN ADD'L. 6.0 CNTRT</t>
  </si>
  <si>
    <t>23X19</t>
  </si>
  <si>
    <t>Den, Eating Area, Recreation Room</t>
  </si>
  <si>
    <t>PLEASE FOLLOW ALL INSTRUCTIONS IN SHOWING ASSIST</t>
  </si>
  <si>
    <t>WKWENDYKOZAK@GMAIL.COM</t>
  </si>
  <si>
    <t>Employees and family members residing with employees of JPMorgan Chase Bank, N.A, its affiliates or subsidiaries are strictly prohibited from directly or indirectly purchasing any property owned by JPMorgan Chase Bank, N.A. AS IS NO SURVEY</t>
  </si>
  <si>
    <t>GLENGARRY</t>
  </si>
  <si>
    <t>Kirk to Rt. 38 (State St). West to Glengarry to Hill. West to Aberdeen Ct.</t>
  </si>
  <si>
    <t>NA</t>
  </si>
  <si>
    <t>Much bigger than it looks! High, recently remodeled kitchen which includes beautiful maple cabinets, newer appliances and solid surface counter space, all upgraded 2010.  Vaulted ceiling living room. Slider to large, 13 x 18 deck. 2 bedrooms main floor plus 3rd lower level.   Very large, partially finished basement w/extra storage. Full bath redone 2010. Furnace and AC 2010. Sold AS IS.</t>
  </si>
  <si>
    <t>13X16</t>
  </si>
  <si>
    <t>12X17</t>
  </si>
  <si>
    <t>Pool-Outdoors, Curbs/Gutters, Street Paved</t>
  </si>
  <si>
    <t>3% - $150.00 (on Net SP)</t>
  </si>
  <si>
    <t>Call Showing Time 800-746-9464. 12 hour notice. Confirmed appointments only.</t>
  </si>
  <si>
    <t>Chris Hansen</t>
  </si>
  <si>
    <t>(630) 262-6543</t>
  </si>
  <si>
    <t>CC: Pursuant to Short Sale. Any reduction in commission will be shared equally. The $100.00 Master Association Fee is annual.</t>
  </si>
  <si>
    <t>WOODCUTTER</t>
  </si>
  <si>
    <t>TREES OF WHEATON</t>
  </si>
  <si>
    <t>Roosevelt Rd to Timber Trail S, turn right on Woodcutter (Northwest corner Roosevelt &amp; Westhaven)</t>
  </si>
  <si>
    <t>TOTALLY REMODELED, BEAUTIFUL UPDATES * MOVE-IN READY * RANCH CONDO/TOWNHOME WITH IN-UNIT LAUNDRY &amp; OWN GARAGE * NEWER KITCHEN CABINETS, GRANITE COUNTERS, TILE * NEWER BATHROOM W/ GRANITE COUNTER, TILE, WHIRLPOOL TUB * NEWER PAINT, FLOORS, APPLIANCES, DOORS &amp; TRIM * FENCED YARD SPACE * SOUGHT-AFTER SUBDIVISION W/ POOL &amp; LAKE * CLOSE TO DOWNTOWN, TRAIN, SHOPPING, SCHOOLS, PARKS, &amp; MORE * NOTHING TO DO BUT MOVE IN!</t>
  </si>
  <si>
    <t>Sundeck, Pool-Outdoors</t>
  </si>
  <si>
    <t>Water, Parking, Common Insurance, Pool, Exterior Maintenance, Lawn Care, Scavenger, Snow Removal</t>
  </si>
  <si>
    <t>Foyer, Walk In Closet</t>
  </si>
  <si>
    <t>Assigned Spaces, Driveway</t>
  </si>
  <si>
    <t>USE SHOWING ASSIST BELOW OR TEXT AGENT AT (630) 346-3272; MUST CONFIRM</t>
  </si>
  <si>
    <t>Christine Groves</t>
  </si>
  <si>
    <t>(630) 346-3272</t>
  </si>
  <si>
    <t>(630) 346-3272 mobile</t>
  </si>
  <si>
    <t>TV MOUNTS STAY; NO FHA OR RENTALS ALLOWED BY ASSOCIATION; SEE ASSOCIATION DOCS AT www.treesofwheaton.org</t>
  </si>
  <si>
    <t>95TH</t>
  </si>
  <si>
    <t>WEST OF HALSTED, EAST EDGE OF THE PARK,SOUTH SIDE OF 95</t>
  </si>
  <si>
    <t>LUXURY, LIKE NEW CONDO UNIT IS IN A GORGEOUS BUILDING AND IT IS LOCATED NEAR GREAT SHOPPING AND TRANSPORATION. THE UNIT FEATURES TWO LARGE BEDROOMS, AN UPGARDED KITCHEN WITH APPLIANCES, HARDWOOD FLOORS AND MORE. THIS UNIT IS PRICED TO SELL AND WON'T LAST!! LOT/ROOM SIZES ESTIMATED. PUBLIC ACT 94-1049 MAY APPLY AND BUYER MAY BE LIABLE FOR 6 MO BACK HOA DUES.</t>
  </si>
  <si>
    <t>Electric, Baseboard, Indv Controls</t>
  </si>
  <si>
    <t>$1000 FLAT FEE (on Net SP)</t>
  </si>
  <si>
    <t>SEE SHOWING ASSISTANT</t>
  </si>
  <si>
    <t>Applebrook Realty, Inc.</t>
  </si>
  <si>
    <t>(773) 779-8500</t>
  </si>
  <si>
    <t>Gary Weglarz</t>
  </si>
  <si>
    <t>Timber Ridge</t>
  </si>
  <si>
    <t>302A</t>
  </si>
  <si>
    <t>Geneva W of Bloomingdale Rd. to Timber Ridge Dr. N</t>
  </si>
  <si>
    <t>SOUGHT-AFTER 2 BR/2BA UNIT W/ULTRA-CONVENIENT PRIVATE GARAGE &amp; ADDITIONAL ASSIGNED PARKING SPACE~ROOMY LIVING RM W/GAS FIREPLACE &amp; BALCONY~FULLY APPLIANCED KITCHEN~MASTER W/PRIVATE BATH &amp; WALK-IN CLOSET~IN-UNIT LAUNDRY W/WASHER &amp; DRYER~IN-UNIT STORAGE~GARAGE STORAGE~FRESH PAINT~NEWER CARPETING, A/C, FURNACE &amp; WATER HEATER~DESIRABLE 3RD FLR LOCATION~COURTYARD VIEW~TENNIS COURTS, CLUBHOUSE &amp; POOL~WALK TO PARK &amp; SHOPS!</t>
  </si>
  <si>
    <t>7X4</t>
  </si>
  <si>
    <t>Party Room, Pool-Outdoors, Tennis Court/s, Curbs/Gutters, Sidewalks, Street Lights, Street Paved</t>
  </si>
  <si>
    <t>Brick, Cedar, Frame</t>
  </si>
  <si>
    <t>Use showing assist.</t>
  </si>
  <si>
    <t>Sevenoaks Realty</t>
  </si>
  <si>
    <t>(630) 377-4333</t>
  </si>
  <si>
    <t>Peggy Brown, SFR</t>
  </si>
  <si>
    <t>Investors can rent after 1 year.  Plenty of parking when showing!  Sentrilock on railing.   Reserved parking spot is $60/year (N9).  Private garage maintenance fee is $240/year.  Garage is door closest to refuse area (I12).</t>
  </si>
  <si>
    <t>PIER</t>
  </si>
  <si>
    <t>PIERS</t>
  </si>
  <si>
    <t>Cass Ave. South of 63rd to Piers Dr. go all the way around the complex to 47 Piers.</t>
  </si>
  <si>
    <t>Beautiful 1st floor 2 Bedrooms 2 Baths condo with a single car detached garage. Property features corner fireplace in Living Room, mirrored Master Bath. Large Master Bedroom with Walk in Closet. Laundry in unit. Kitchen w /breakfast bar and pantry. Separate dining room Excellent school district. Commuter bus available to Train. See it today! This is Fannie Mae Homepath property. Rentals are not permitted.</t>
  </si>
  <si>
    <t>MAERCKER ELEMENTARY SCHOOL</t>
  </si>
  <si>
    <t>WESTVIEW HILLS MIDDLE SCHOOL</t>
  </si>
  <si>
    <t>9X11</t>
  </si>
  <si>
    <t>Pool-Outdoors, Curbs/Gutters, Sidewalks, Street Lights, Street Paved</t>
  </si>
  <si>
    <t>PLEASE, CLICK BELOW TO SCHEDULE A SHOWING</t>
  </si>
  <si>
    <t>Goodwill Realty Group, Inc</t>
  </si>
  <si>
    <t>(630) 530-9800</t>
  </si>
  <si>
    <t>Saul Zenkevicius</t>
  </si>
  <si>
    <t>THE SELLER HAS DIRECTED THAT ALL OFFERS MUST BE SUBMITTED ONLINE. TO SUBMIT AN OFFER YOU CAN GO TO WWW.HOMEPATH.COM. No rentals or investors. Building not FHA approved. Submit POF and pre-qual with offer.</t>
  </si>
  <si>
    <t>Lake Park</t>
  </si>
  <si>
    <t>TRAVEL N/S ON LAKE SHORE DRIVE, EXIT 47TH STREET. PROCEED TO ADDRESS.</t>
  </si>
  <si>
    <t>HYDE PARK BEAUTIFUL COOP BEING OFFERED. LARGE SIZE BEDROOMS MODERN KITCHEN. ASSESSMENTS INCLUDE ALL UTILITIES AND AMENITIES SUCH AS DOOR MAN, EXERCISE FACILITY AND SECURITY. BEAUTIFUL VIEWS, NEAR SHOPPING, DINING AND ENTERTAINMENT. SELLER MOTIVATED. CALL FOR YOUR PRIVATE SHOWING.</t>
  </si>
  <si>
    <t>18X17</t>
  </si>
  <si>
    <t>Coin Laundry, Elevator, Exercise Room, Storage, On Site Manager/Engineer, Party Room, Security Door Locks</t>
  </si>
  <si>
    <t>Oven/Range, Refrigerator</t>
  </si>
  <si>
    <t>Heat, Air Conditioning, Water, Gas, Tax, Common Insurance, Security, Doorman, TV/Cable, Exercise Facilities, Exterior Maintenance, Lawn Care, Scavenger, Snow Removal, Other</t>
  </si>
  <si>
    <t>S (South), E (East), City, Lake/Water</t>
  </si>
  <si>
    <t>EIFS (e.g. Dryvit), Concrete</t>
  </si>
  <si>
    <t>Closing, Negotiable</t>
  </si>
  <si>
    <t>$1125.00 MINUS $125.00 (on Gross SP)</t>
  </si>
  <si>
    <t>CALL LISTING OFFICE OR TEXT AGENT WITH INFO. SHOWINGS AFTER 5:00 PM ON WEEKDAYS, ANYTIME WEEKENDS</t>
  </si>
  <si>
    <t>K &amp; J Realty</t>
  </si>
  <si>
    <t>(773) 873-9000</t>
  </si>
  <si>
    <t>Kimberly Patton</t>
  </si>
  <si>
    <t>Buyers must pay $4000.00 deposit for shares.</t>
  </si>
  <si>
    <t>Valentine</t>
  </si>
  <si>
    <t>WAY</t>
  </si>
  <si>
    <t>PRESCOTT MILL</t>
  </si>
  <si>
    <t>Rt 30 to Wolf's Crossing, W to Devoe Dr, R to Valentine Way</t>
  </si>
  <si>
    <t>Move Right In! Brand new carpet! Fresh Paint! Desirable ranch end unit! 2 Spacious Bedrooms, 1.5 Bath Prescott Mill Town Home! This is a Fannie Mae HomePath property. ***NO PERSONAL PROPERTY INCLUDED***</t>
  </si>
  <si>
    <t>PLANK JUNIOR HIGH SCHOOL</t>
  </si>
  <si>
    <t>Utility Room-1st Floor</t>
  </si>
  <si>
    <t>Bike Room/Bike Trails, Curbs/Gutters, Sidewalks, Street Lights, Street Paved</t>
  </si>
  <si>
    <t>Ground Level Ranch</t>
  </si>
  <si>
    <t>Please click schedule a showing</t>
  </si>
  <si>
    <t>Woodhall Midwest Properties LTD</t>
  </si>
  <si>
    <t>(630) 219-0181</t>
  </si>
  <si>
    <t>Roseanna Gomer</t>
  </si>
  <si>
    <t>(630) 301-9688</t>
  </si>
  <si>
    <t>***OFFER VERBALLY ACCEPTED*** Submit offer to HomePath.com. Please Email POF/preapproval to Broker. For assistance w/ offer call 866.218.4446. No survey provided.Earnest Money in Cert Funds to: Codilis and Associates, 10% EM on cash buy.</t>
  </si>
  <si>
    <t>Cummins</t>
  </si>
  <si>
    <t>Rt 34 to Eldamain, South to Cummins to 4212 on left (cul-de-sac.)</t>
  </si>
  <si>
    <t>70 X 130</t>
  </si>
  <si>
    <t>Beautiful well kept updated duplex...Cul-De-Sac Location! 2 Bedrooms/2.1 Baths! Large Loft that can easily be converted to a 3rd bedroom! One of the largest lots in subdivsion with fence, shed and 24 x 16 concrete patio....2nd Floor Laundry!  All Applicances Stay!  Clean &amp; Ready To Move In! Enjoy Clubhouse, Pool and Parks!  Close To Shopping! Traditional sale, quick close. ..WOW must see!</t>
  </si>
  <si>
    <t>Park/Playground, Party Room, Pool-Outdoors</t>
  </si>
  <si>
    <t>Cul-de-sac, Fenced Yard</t>
  </si>
  <si>
    <t>Call or Text agent at 630-546-0219</t>
  </si>
  <si>
    <t>Kelly-Anne Gallo</t>
  </si>
  <si>
    <t>(630) 546-0219</t>
  </si>
  <si>
    <t>Bellwood</t>
  </si>
  <si>
    <t>Mannheim to St Charles rd west to Geneva</t>
  </si>
  <si>
    <t>BELLWOOD</t>
  </si>
  <si>
    <t>25 X 125</t>
  </si>
  <si>
    <t>Remodeled duplex with granite counter top and stainless steel appliances.  Walkout basement.large yard and garage.</t>
  </si>
  <si>
    <t>11X08</t>
  </si>
  <si>
    <t>21X14</t>
  </si>
  <si>
    <t>2.5%-195 (on Net SP)</t>
  </si>
  <si>
    <t>Book thru schedule a showing</t>
  </si>
  <si>
    <t>Achieve Real Estate Group Inc</t>
  </si>
  <si>
    <t>(847) 687-5100</t>
  </si>
  <si>
    <t>Sabu Achettu</t>
  </si>
  <si>
    <t>remodeled home ready for a quick close.seller will provide survey and may assist with closing cost.</t>
  </si>
  <si>
    <t>30W017</t>
  </si>
  <si>
    <t>Redwood</t>
  </si>
  <si>
    <t>Rt 59 To Willow 2 Redwood</t>
  </si>
  <si>
    <t>Needs TLC</t>
  </si>
  <si>
    <t>4X5</t>
  </si>
  <si>
    <t>Pool, Lawn Care, Snow Removal</t>
  </si>
  <si>
    <t>call8007469464</t>
  </si>
  <si>
    <t>Randy Rieser</t>
  </si>
  <si>
    <t>Pam Miller</t>
  </si>
  <si>
    <t>(630) 377-8384</t>
  </si>
  <si>
    <t>CC: Pursuant to Short Sale. Needs TLC</t>
  </si>
  <si>
    <t>Oakmont</t>
  </si>
  <si>
    <t>WATERFALL GLEN</t>
  </si>
  <si>
    <t>CASS OR LEMONT TO S FRONTAGE TO WATERFALL GLEN</t>
  </si>
  <si>
    <t>Luxurious and expansive end unit in elevator building. Top of the line upgrades include granite floors, stainless steel appliances, granite countertops, and double balconies.  Master bedroom features walk-in closet, double bowl sinks and separate shower &amp; tub. In-unit washer and dryer with heated garage parking.</t>
  </si>
  <si>
    <t>14X22</t>
  </si>
  <si>
    <t>Granite</t>
  </si>
  <si>
    <t>10X19</t>
  </si>
  <si>
    <t>Heat, Water, Gas, Parking, Exterior Maintenance, Lawn Care, Scavenger, Snow Removal</t>
  </si>
  <si>
    <t>See Showing Assist</t>
  </si>
  <si>
    <t>Courtney Monaco, CSC</t>
  </si>
  <si>
    <t>630-421-9900</t>
  </si>
  <si>
    <t>Lancaster</t>
  </si>
  <si>
    <t>KENSINGTON</t>
  </si>
  <si>
    <t>WASHINGTON &amp; OPLAINE E ON WASHINGTON TO BUCKINGHAM N TO LANCASTER CIRCLE RIGHT TO #</t>
  </si>
  <si>
    <t>ESSEX</t>
  </si>
  <si>
    <t>LIGHT &amp; BRIGHT 2 BEDROOM + LOFT TOWNHOME WITH UPDATED MASTER BATH! HIGH CEILING LIVING ROOM WITH COZY FIREPLACE, LARGE EAT IN KITCHEN WITH STAINLESS STEEL APPLIANCES, NEUTRAL DECOR, AND FRESHLY PAINTED THROUGHOUT. WOOD DECK OVERLOOKS OPEN AREA. VERY CONVENIENT LOCATION NEAR SCHOOLS, LIBRARY, AND INTERSTATE.</t>
  </si>
  <si>
    <t>PRAIRIE TRAIL SCHOOL</t>
  </si>
  <si>
    <t>VIKING MIDDLE SCHOOL</t>
  </si>
  <si>
    <t>15X18</t>
  </si>
  <si>
    <t>19X8</t>
  </si>
  <si>
    <t>Common Insurance, Exterior Maintenance, Scavenger, Snow Removal</t>
  </si>
  <si>
    <t>CALL CENTRALIZED SHOWINGS AT 877-977-1010</t>
  </si>
  <si>
    <t>Swanson Realty</t>
  </si>
  <si>
    <t>(888) 832-2004</t>
  </si>
  <si>
    <t>Cheryl Swanson, GRI</t>
  </si>
  <si>
    <t>(847) 830-2004</t>
  </si>
  <si>
    <t>QUICK SALE POSSIBLE....AND PREFERRED!  Verbal offer accepted.</t>
  </si>
  <si>
    <t>Taylor</t>
  </si>
  <si>
    <t>Route 21 to Heather Ridge Drive, left thru bridge to Taylor</t>
  </si>
  <si>
    <t>Employees and family members residing with employees of JPMorgan Chase Bank, N,A, its affiliates or subsidiaries are strictly prohibited from directly or indirectly purchasing any property owned by JPMorgan Chase Bank, N.A. BANK OWNED, SOLD "AS IS ", CASH ONLY, no disclosure or survey, EM certified funds, must have POF, utilities won't be turned on, buyer responsible for all repairs, pipes don't hold pressure.</t>
  </si>
  <si>
    <t>11X16</t>
  </si>
  <si>
    <t>3% OR $1,250 (on Gross SP)</t>
  </si>
  <si>
    <t>showing assistance</t>
  </si>
  <si>
    <t>Couvall Real Estate</t>
  </si>
  <si>
    <t>(847) 599-0000</t>
  </si>
  <si>
    <t>George Couvall</t>
  </si>
  <si>
    <t>(847) 910-2308</t>
  </si>
  <si>
    <t>847-910-2308</t>
  </si>
  <si>
    <t>Mold present, agent &amp; customer must sign waiver before showing, email offers to couvallre@aol.com, (see attachment's, Buyer &amp; Office Info must be sent with offer) Sold "as is", buyer responsible for all city inspection</t>
  </si>
  <si>
    <t>Darien Lake</t>
  </si>
  <si>
    <t>DARIEN LAKE</t>
  </si>
  <si>
    <t>Plainfield Rd West of Cass to Darien Lake South (left) to 1564</t>
  </si>
  <si>
    <t>18 X 137</t>
  </si>
  <si>
    <t>Desirable Darien Location! 2 Story Town Home Freshly painted ~ New Carpeting &amp; Flooring in 2 Full Baths ~ New Roof &amp; Patio (2013)~ Newer Windows, Patio Door &amp; Storm Door. 1st Floor Utility Rm with Washer &amp; Dryer ~ Fireplace ~ 1 Car attached Garage ~ Pool ~ Tennis Courts ~ Ponds! ~ Close to Newly Re-built Down Town. Great Location backs to tree line ~ Close to all Major Shopping and minutes to I88.  Can Close Quickly!</t>
  </si>
  <si>
    <t>LACE ELEMENTARY SCHOOL</t>
  </si>
  <si>
    <t>EISENHOWER JUNIOR HIGH SCHOOL</t>
  </si>
  <si>
    <t>SOUTH HIGH SCHOOL</t>
  </si>
  <si>
    <t>16X16</t>
  </si>
  <si>
    <t>Pool-Outdoors, Tennis Court/s, Curbs/Gutters, Street Paved</t>
  </si>
  <si>
    <t>Humidifier, TV-Cable, Security System, CO Detectors, Ceiling Fan</t>
  </si>
  <si>
    <t>Immediate</t>
  </si>
  <si>
    <t>Click Showing Assist ~ Easy to show!</t>
  </si>
  <si>
    <t>(630) 391-4800</t>
  </si>
  <si>
    <t>Carla Heitz</t>
  </si>
  <si>
    <t>630-306-3745</t>
  </si>
  <si>
    <t>Immediate Possession ~ Please make sure Patio and front door are locked and Lights off.</t>
  </si>
  <si>
    <t>79th</t>
  </si>
  <si>
    <t>Clarendon Hills Rd. south of 75th to 79 west to building.</t>
  </si>
  <si>
    <t>Check out the amazing view from this top floor unit - large balcony faces south to green space.  Spacious condo in quiet neighborhood boasts neutral dÃ©cor, new furnace and a/c, master suite, eat-in kitchen, in-unit laundry, plenty of storage, heated underground garage, elevator building, AND a pool for summer enjoyment.  What's not to like?</t>
  </si>
  <si>
    <t>Elevator, Pool-Outdoors, Security Door Locks</t>
  </si>
  <si>
    <t>Water, Common Insurance, Pool, Exterior Maintenance, Lawn Care, Scavenger, Snow Removal</t>
  </si>
  <si>
    <t>Call CSS at 877.977.1010 for appointment - short notice usually ok.</t>
  </si>
  <si>
    <t>Austin</t>
  </si>
  <si>
    <t>Platinum Partners Realtors</t>
  </si>
  <si>
    <t>(630) 435-3500</t>
  </si>
  <si>
    <t>Cindy Mottl, ABR,CSC,BPOR,GRI</t>
  </si>
  <si>
    <t>(630) 272-3636</t>
  </si>
  <si>
    <t>Use 6.0 contract. BUYERS AGENT MUST ACCOMPANY ALL BUYERS TO APPOINTMENT.</t>
  </si>
  <si>
    <t>Silverstone</t>
  </si>
  <si>
    <t>Silverstone Lake</t>
  </si>
  <si>
    <t>Rt 25 south of Rt 62 to Silverstone; west to Flagstone/Silverstone - south to stop west</t>
  </si>
  <si>
    <t>DEERBROOK</t>
  </si>
  <si>
    <t>Exceptionally clean and in great condition. 2nd floor unit offers 2 large bedrooms with Walk-in closets, 2 baths and cathedral ceilings.  Heat &amp; Air units - LivRm  Oct 2014 &amp; MBR Jan 2012; DW Sept 2014. Newer hot water heater. Plenty of storage.  Garage with built-in shelves.  Electric bill ranges from $30/Summer to $120/winter per month.</t>
  </si>
  <si>
    <t>7X5</t>
  </si>
  <si>
    <t>6X3</t>
  </si>
  <si>
    <t>Foyer, Storage, Walk In Closet</t>
  </si>
  <si>
    <t>Electric, Zoned</t>
  </si>
  <si>
    <t>Call 866-852-8313 for appointment.</t>
  </si>
  <si>
    <t>Edson, Pete and Kelly</t>
  </si>
  <si>
    <t>Keller Williams Success Realty</t>
  </si>
  <si>
    <t>(847) 381-9500</t>
  </si>
  <si>
    <t>Jerry Hoffman</t>
  </si>
  <si>
    <t>(847) 922-8446</t>
  </si>
  <si>
    <t>847-922-8446</t>
  </si>
  <si>
    <t>No Show as of 11-3-14   Lock Doors, turn off lights, remove shoes.</t>
  </si>
  <si>
    <t>Sanctuary</t>
  </si>
  <si>
    <t>Rt 20 west of Randall rd Right on West Ridge Dr to Sanctuary</t>
  </si>
  <si>
    <t>Charming and very spacious condo. 2 Large bedrooms.2.5 bathrooms. Bonus family room in lower level. very nice area.</t>
  </si>
  <si>
    <t>Specialized Asset Management LLC</t>
  </si>
  <si>
    <t>Steve Wiskerchen</t>
  </si>
  <si>
    <t>seller requirement, offers subject to financing must be accompanied by a lender pre-approval letter dated within thirty (30) calendar days of the date of an offer.</t>
  </si>
  <si>
    <t>Archer</t>
  </si>
  <si>
    <t>Willow Springs</t>
  </si>
  <si>
    <t>Archer Avenue west of Willow Springs Rd/Flavin Rd, to Willows Edge Court, north. 1st bldg on left.</t>
  </si>
  <si>
    <t>WILLOW SPRINGS</t>
  </si>
  <si>
    <t>PALOS</t>
  </si>
  <si>
    <t>2-STORY</t>
  </si>
  <si>
    <t>Affordable 2-Story, 2-Bedroom Condo with close proximity to expswy/tollway. Separate Dining Area. In-Unit Laundry hookup. Perfect for the investor or rehabber! Property is being sold in "AS-IS" condition. Seller makes no warranties, will not provide a survey, reserves the right to approve or reject any required repairs.</t>
  </si>
  <si>
    <t>11X17</t>
  </si>
  <si>
    <t>Water, Parking, Common Insurance, TV/Cable, Exterior Maintenance, Lawn Care, Scavenger, Snow Removal</t>
  </si>
  <si>
    <t>3% OF NET SALE PRICE, OR MINIMUM OF $1000.00 (on Net SP)</t>
  </si>
  <si>
    <t>(708) 460-4900</t>
  </si>
  <si>
    <t>Marta Januchta, SFR</t>
  </si>
  <si>
    <t>(312) 402-4568</t>
  </si>
  <si>
    <t>Bldg not FHA apprvd. Basic cable included in Monthly Assmt Fee. Per Seller: 5 Day Mrktg B4 Reply To Offers. EM: greater of 2% or $1000. Conveyed by Spec Warr Deed or local equiv. No survey, cond insp, warranty or Occ Cert. 100% TaxProration</t>
  </si>
  <si>
    <t>0N065</t>
  </si>
  <si>
    <t>Coniston</t>
  </si>
  <si>
    <t>Winfield Road to Highlake West to Windermere.</t>
  </si>
  <si>
    <t>First Floor out of a Magazine Beautiful.  Incredible View of the River and Gardens.  Very Private and Quiet! Cozy Brick Wood Burning Fireplace.  Master Bedroom has Walk-In Closet.  New Kitchen with Great Pantry.  Washer and Dryer Room in Condo.  Close to Restaurants, Hospital, and Commuter Train.</t>
  </si>
  <si>
    <t>WINFIELD ELEMENTARY SCHOOL</t>
  </si>
  <si>
    <t>WINFIELD MIDDLE SCHOOL</t>
  </si>
  <si>
    <t>2.5% -$150 (on Gross SP)</t>
  </si>
  <si>
    <t>Call Listing Agent at 630-918-2648 or call Listing Office at 630-668-1199.</t>
  </si>
  <si>
    <t>Sheryl Duncan</t>
  </si>
  <si>
    <t>(630) 918-2648</t>
  </si>
  <si>
    <t>York</t>
  </si>
  <si>
    <t>Elmhurst</t>
  </si>
  <si>
    <t>CRESCENT COURT</t>
  </si>
  <si>
    <t>St Charles to York and North to home</t>
  </si>
  <si>
    <t>ELMHURST</t>
  </si>
  <si>
    <t>THIS CLASSY CONDO IS READY TO BE YOUR NEW HOME. STEPS TO IT ALL - TOWN, TRAIN, LIBRARY &amp; PARKS. ORIGINAL OWNER HAS KEPT IT IN PERFECT SHAPE. TILED FOYER ENTRANCE. UPGRADED CARPET THRU-OUT. TILED KIT. FLOOR &amp; BACK SPLASH. THE BREAKFAST RM AS BUILT-IN CABINETRY.  FORMAL LR &amp; DR. WRAP AROUND PATIO FROM THE DINING ROOM. MASTER BR W/WALK-IN &amp; PRVT BATH W/SOAKER TUB, 2 SINKS &amp; SEP. SHOWER. 2ND BR &amp; BATH. TANDEM PARK.</t>
  </si>
  <si>
    <t>HAWTHORNE ELEMENTARY SCHOOL</t>
  </si>
  <si>
    <t>SANDBURG MIDDLE  SCHOOL</t>
  </si>
  <si>
    <t>YORK COMMUNITY HIGH SCHOOL</t>
  </si>
  <si>
    <t>Elevator, Exercise Room, Storage, Security Door Locks, Sidewalks, Street Lights, Street Paved</t>
  </si>
  <si>
    <t>Heat, Water, Gas, Parking, Common Insurance, Exercise Facilities, Exterior Maintenance, Lawn Care, Scavenger, Snow Removal</t>
  </si>
  <si>
    <t>Gas, Forced Air, Radiant</t>
  </si>
  <si>
    <t>SHOWINGTIME  855-746-9020</t>
  </si>
  <si>
    <t>(630) 530-0900</t>
  </si>
  <si>
    <t>Tim Schiller</t>
  </si>
  <si>
    <t>(630) 992-0582</t>
  </si>
  <si>
    <t>Possible 5% increase of assessments Jan 1, 2015 is being voted on currently.  Parking is 2 spots (tandem) #41 with storage in front Taxes for the parking is $254 a year (0601326234)</t>
  </si>
  <si>
    <t>Ironwood</t>
  </si>
  <si>
    <t>River Bend</t>
  </si>
  <si>
    <t>RT.53 S OF MAPLE TO 59th/FOUR LAKES DRIVE W/TO RIVERBEND S.TO IRONWOOD. HOME ON EAST SIDE OF SUB.</t>
  </si>
  <si>
    <t>CYPRESS</t>
  </si>
  <si>
    <t>A beautiful 2 bedroom town home in River Bend. Open kitchen with Stainless GE Profile appliances, Granite, and Hardwood. 2 nice sized bedrooms. Master bath features double vanity and large shower w/ body sprays. Kohler products throughout. 3rd floor laundry. Large Closets and storage.  Just minutes from downtown Naperville and downtown Downers Grove. Close to shopping, golf, expressways.  A very nice unit.</t>
  </si>
  <si>
    <t>GOODRICH ELEMENTARY SCHOOL</t>
  </si>
  <si>
    <t>Double Sink, Full Body Spray Shower</t>
  </si>
  <si>
    <t>Colleen</t>
  </si>
  <si>
    <t>Kenneth Tracy</t>
  </si>
  <si>
    <t>(630) 697-0536</t>
  </si>
  <si>
    <t>Very nice unit.  Please remove shoes and leave card.  Turn off lights.</t>
  </si>
  <si>
    <t>NEVA</t>
  </si>
  <si>
    <t>Norridge</t>
  </si>
  <si>
    <t>MONTROSE 1 BLK E OF HARLEM TO NEVA S TO 4330</t>
  </si>
  <si>
    <t>NORRIDGE</t>
  </si>
  <si>
    <t>NORWOOD PARK</t>
  </si>
  <si>
    <t>HARRINGTON</t>
  </si>
  <si>
    <t>Fannie Mae HomePath/Property. Welcome Home! You must  see it to appreciate!!! Condo unit, 2 beds/2 baths, it features hardwood floors, maple kitchen cabinets, granite tops, lots of closet space, balcony and  elevator in building. The unit is located in well managed building, desired area, close to shops and public transportation! A must see!!</t>
  </si>
  <si>
    <t>Elevator, Curbs/Gutters, Sidewalks, Street Lights, Street Paved</t>
  </si>
  <si>
    <t>Water, TV/Cable, Exterior Maintenance, Lawn Care, Scavenger, Snow Removal, Other</t>
  </si>
  <si>
    <t>Brick, Limestone</t>
  </si>
  <si>
    <t>RE/MAX Fidelity</t>
  </si>
  <si>
    <t>(773) 524-2545</t>
  </si>
  <si>
    <t>Angel Aguilar</t>
  </si>
  <si>
    <t>(773) 968-4686</t>
  </si>
  <si>
    <t>Sellers have directed that all offers are to be made on their online offer system at homepath.com. Download offer pack from the mls and include with your offer. Building not FHA approved.</t>
  </si>
  <si>
    <t>Sunderland</t>
  </si>
  <si>
    <t>102-B</t>
  </si>
  <si>
    <t>Old Sawmill</t>
  </si>
  <si>
    <t>Washington to 87th West to 2nd Lancaster, 1st Court Rt.</t>
  </si>
  <si>
    <t>TBD</t>
  </si>
  <si>
    <t>Delightful Bright 1st floor unit with premium Location in the complex--on the park &amp; quiet cul de sac in much sought after Old Sawmill. Living Room &amp; Dining Room combo offer lots of living space with a beautiful view out double sliding glass doors.  Well maintained unit let's you move right in. Newer furnace &amp; central air. 13-month HWA warranty included.</t>
  </si>
  <si>
    <t>Pool-Outdoors, Security Door Locks, Curbs/Gutters, Sidewalks, Street Lights, Street Paved</t>
  </si>
  <si>
    <t>Eating Area-Table Space, Pantry-Walk-in</t>
  </si>
  <si>
    <t>Brick, Masonite</t>
  </si>
  <si>
    <t>3%-250 (on Net SP)</t>
  </si>
  <si>
    <t>Call Baird &amp; Warner appointment desk 855-746-9100</t>
  </si>
  <si>
    <t>Thomas Passaro, CRB,CRS,GRI</t>
  </si>
  <si>
    <t>(630) 718-7527</t>
  </si>
  <si>
    <t>Carpenter</t>
  </si>
  <si>
    <t>CANTERA VILLAGE</t>
  </si>
  <si>
    <t>Winfield Rd. south of Warrenville Rd to Torch Parkway west to Kline north to Carpenter</t>
  </si>
  <si>
    <t>Conveniently located, maintenance-free 2-story townhouse with vaulted ceilings, ceiling fans, and no neighbors behind. Freshly painted interior and brand new roof, gutters, and front porch. Open floor plan w/ 3-sided gas fireplace that faces Family room and Dining room. Two bedrooms plus 2nd floor loft (for use as office or 3rd bedroom). Close to I-88, shopping &amp; amenities, nature trails.</t>
  </si>
  <si>
    <t>BOWER ELEMENTARY SCHOOL</t>
  </si>
  <si>
    <t>Call owner directly for showings, Joe: 630.346.3941</t>
  </si>
  <si>
    <t>Joe &amp; Kimm Svoboda</t>
  </si>
  <si>
    <t>4 Sale Realty, Inc.</t>
  </si>
  <si>
    <t>(847) 298-4663</t>
  </si>
  <si>
    <t>Daniel Nierman</t>
  </si>
  <si>
    <t>(847) 601-9359</t>
  </si>
  <si>
    <t>847-231-5945 - Fax</t>
  </si>
  <si>
    <t>Call owner directly for showings, Joe: 630.346.3941. Fax or Email offers to listing agent. Listing company DOES NOT hold earnest money.</t>
  </si>
  <si>
    <t>WAVERLY</t>
  </si>
  <si>
    <t>Foxmoor</t>
  </si>
  <si>
    <t>Rte 30 W of Orchard to Gordon N to Simpson E to Waverly</t>
  </si>
  <si>
    <t>SUGAR GROVE</t>
  </si>
  <si>
    <t>Bank owned, as is. Bank financing available for qualified buyers!</t>
  </si>
  <si>
    <t>Call Appt. Center 855.919.0377</t>
  </si>
  <si>
    <t>RE/MAX Great American North</t>
  </si>
  <si>
    <t>(630) 513-6100</t>
  </si>
  <si>
    <t>Matthew Kombrink, SFR</t>
  </si>
  <si>
    <t>(630) 488-3300</t>
  </si>
  <si>
    <t>BANK WILL RESPOND SAME DAY. AGENT COMMISSION GUARANTEED. BUYER RESPONSIBLE FOR ANY FEES INCURRED FOR INSPECTIONS/WINTERIZING/DE-WINTERIZING.  SEND ALL OFFERS TO LOBRILLO@KOMBRINK.COM</t>
  </si>
  <si>
    <t>Avondale</t>
  </si>
  <si>
    <t>Carillon Club</t>
  </si>
  <si>
    <t>Route 59 south of I-88 to 95th St. Turn right (west) on 95th St. 3/4 mile to Carillon Club-3rd light</t>
  </si>
  <si>
    <t>NICKLAUS</t>
  </si>
  <si>
    <t>3094 SQ FT</t>
  </si>
  <si>
    <t>UNDER CONSTRUCTION, BRAND NEW, ENERGY SMART HOME.  Beautiful Nicklaus Ranch town home with 2 bedrooms, 2 baths, spacious kitchen with SS appliances, Granite Countertops and Maple Cabinets.  Custom paint throughout and wood floors in kitchen, living/dining, and 2nd bedroom.  2 car garage.  55+ community with clubhouse.  Photos may be of model.  Only (4) Nicklaus homes left to sell</t>
  </si>
  <si>
    <t>Exercise Room, Golf Course, Park/Playground, Sundeck, Pool-Indoors, Pool-Outdoors, Tennis Court/s, Gated Entry</t>
  </si>
  <si>
    <t>Common Insurance, Clubhouse, Exercise Facilities, Pool, Exterior Maintenance, Lawn Care, Snow Removal</t>
  </si>
  <si>
    <t>Call the sales center to schedule a showing at 847-984-4857.  Open daily.</t>
  </si>
  <si>
    <t>847-984-4857</t>
  </si>
  <si>
    <t>Must bring client on first visit and register for agent to receive commission.  Call the sales center to schedule a showing.  Open Tue - Sat 10 am - 5 pm; Sun 11 am - 5 pm and Mon 1 pm - 5 pm.</t>
  </si>
  <si>
    <t>Thornwood</t>
  </si>
  <si>
    <t>Randall to McDonald west, Thornwood Way north</t>
  </si>
  <si>
    <t>ASHLEY</t>
  </si>
  <si>
    <t>Homeowner, Senior, Other</t>
  </si>
  <si>
    <t>Beautiful 1st floor ranch across from kids park. Fresh paint, new carpet and a neutral decor await you in this turnkey property. Bike/jogging path and wetlands are outside your front door. Come see this awesome property today!</t>
  </si>
  <si>
    <t>14X09</t>
  </si>
  <si>
    <t>CSS 1(877)977-1010</t>
  </si>
  <si>
    <t>Greg Purcell</t>
  </si>
  <si>
    <t>(630) 400-2637</t>
  </si>
  <si>
    <t>Please remove shoes, turn off lights, lock doors and leave business card</t>
  </si>
  <si>
    <t>22nd</t>
  </si>
  <si>
    <t>BUTTERFIELD TO MEYERS N TO 22ND ST. WEST TO 845</t>
  </si>
  <si>
    <t>LUXURIOUS END UNIT WITH LOTS OF WINDOWS, GREAT VIEW OF WETLANDS FROM BALCONY AND LIVING ROOM, HARDWOOD FLOORS THROUGHOUT, EAT-IN KITCHEN WITH ISLAND, SILESTONE KITCHEN COUNTERTOPS, FULL SIZED LAUNDRY, MASTER BEDROOM WITH WALK -IN CLOSET WITH WINDOW, HEATED GARAGE, MINUTES, FROM OAKBROOK MALL AND METRA, ALARM SYSTEM , DOORBELL, MOVE RIGHT IN.</t>
  </si>
  <si>
    <t>2.5% - 50 (on Gross SP)</t>
  </si>
  <si>
    <t>CALL 773-425-7284</t>
  </si>
  <si>
    <t>Helen Phillips Realty</t>
  </si>
  <si>
    <t>(773) 665-7464</t>
  </si>
  <si>
    <t>Elaine Phillips</t>
  </si>
  <si>
    <t>Muirfield</t>
  </si>
  <si>
    <t>College Green</t>
  </si>
  <si>
    <t>McLean Blvd. S.2 College Green Dr;  W.on College Green to Muirfield; N.on Muirfield to property;</t>
  </si>
  <si>
    <t>JADE</t>
  </si>
  <si>
    <t>Lovely 2 BR, 2 1/2Bath unit; Has been well maintained and some upgrades;  Dishwasher--3yrs; Newer water heater; Stair and hall carpet-5yrs; Main floor carpet--4 months; First floor walls repainted in recent past; Kept in mint condition by a single person who takes great pride in this home; All rooms have blinds and they stay;  Walking path directly behind home for convenience.  Move-in ready!</t>
  </si>
  <si>
    <t>OTTER CREEK ELEMENTARY SCHOOL</t>
  </si>
  <si>
    <t>ABBOTT MIDDLE SCHOOL</t>
  </si>
  <si>
    <t>09X08</t>
  </si>
  <si>
    <t>Galley, Pantry-Closet</t>
  </si>
  <si>
    <t>Double Sink, Garden Tub, Soaking Tub</t>
  </si>
  <si>
    <t>Pet Count Limitation</t>
  </si>
  <si>
    <t>2.5% LESS $200 (on Gross SP)</t>
  </si>
  <si>
    <t>Appt. thru L.O.;  Prefer at least a half day notice;</t>
  </si>
  <si>
    <t>(WITHHELD)</t>
  </si>
  <si>
    <t>RE/MAX Horizon</t>
  </si>
  <si>
    <t>(847) 931-7500</t>
  </si>
  <si>
    <t>Richard Grieger</t>
  </si>
  <si>
    <t>(847) 338-0506</t>
  </si>
  <si>
    <t>Really nice  property which as been beautifully kept up over the years of this ownership;</t>
  </si>
  <si>
    <t>Grand</t>
  </si>
  <si>
    <t>SUMMIT ENCLAVE</t>
  </si>
  <si>
    <t>SYCAMORE RD. TO GREENWOOD ACRES LEFT, RIGHT ON SUMMIT ENCLAVE, LEFT ON GRAND.</t>
  </si>
  <si>
    <t>Wonderful end unit with open floor plan. Two bedrooms and 2.5 baths, and loft. Vaulted ceiling in living room, with an abundance of natural light. Eat in kitchen, with glass sliding door leading out to patio with open view. All appliances stay including washer &amp; dryer. Second floor laundry room. large master bedroom with bath, dual sinks, walk in closet.  Great location!  Minutes from shopping and major highways.</t>
  </si>
  <si>
    <t>Transmitter(s)</t>
  </si>
  <si>
    <t>please call Centralized Showing Service 877-977-1010</t>
  </si>
  <si>
    <t>Sirva Relocation</t>
  </si>
  <si>
    <t>Jean Brunett</t>
  </si>
  <si>
    <t>(630) 209-6357</t>
  </si>
  <si>
    <t>630-209-6357</t>
  </si>
  <si>
    <t>Special Financing incentives available on this property from SIRVA's preferred lender. Purchase contract must show Sirva Relocation as seller.Please see additional addendum that must accompany purchase contract.</t>
  </si>
  <si>
    <t>1S045</t>
  </si>
  <si>
    <t>Spring</t>
  </si>
  <si>
    <t>1H</t>
  </si>
  <si>
    <t>Oakbrook Terrace</t>
  </si>
  <si>
    <t>SPRING CLUB</t>
  </si>
  <si>
    <t>Rt.83 to 16th E. TO SPRING RD N. TO COMPLEX ACROSS FROM HILTON GARDEN IN &amp; DRURY LANE (RED BRICK BLD</t>
  </si>
  <si>
    <t>HIGHLY DESIRABLE "SPRING CLUB" OF OAKBROOK TERRACE. SPACIOUS 2 BEDROOMS,2 BATHS,HARDWOOD FLOORS  EAT IN KITCHEN W/GRANITE COUNTER TOPS, ADJACENT TO FAMILY ROOM, LIVING ROOM &amp; DINING ROOM W/2 SIDED FIREPLACE + ATRIUM W/BALCONY W/EASTERN EXP.IN UNIT LAUNDRY, HEATED INDOOR POOL &amp; GARAGE. MINUTES TO OAK BROOK SHOPPING, FINE DINNING, ELMHURST HOSP.,HWYS &amp; O'HARE. JUST STEPS TO DRURY LANE. WELL MAINT. BUILDING WELCOME HOME</t>
  </si>
  <si>
    <t>STELLA MAY SWARTZ ELEMENTARY SCHOOL</t>
  </si>
  <si>
    <t>JOHN E ALBRIGHT MIDDLE SCHOOL</t>
  </si>
  <si>
    <t>12X18</t>
  </si>
  <si>
    <t>Atrium</t>
  </si>
  <si>
    <t>8X12</t>
  </si>
  <si>
    <t>8X15</t>
  </si>
  <si>
    <t>4X8</t>
  </si>
  <si>
    <t>Bike Room/Bike Trails, Elevator, Exercise Room, Storage, Party Room, Pool-Indoors, Security Door Locks, Service Elevator, Curbs/Gutters, Street Lights, Street Paved</t>
  </si>
  <si>
    <t>Water, Common Insurance, Security System, TV/Cable, Pool, Exterior Maintenance, Lawn Care, Scavenger, Snow Removal</t>
  </si>
  <si>
    <t>Atrium, Balcony, Utility Room-1st Floor</t>
  </si>
  <si>
    <t>See through/Multi Sided, Attached Fireplace Doors/Screen, Gas Logs</t>
  </si>
  <si>
    <t>2.5%-$250. (on Net SP)</t>
  </si>
  <si>
    <t>CALL BUZZ 630.833.1977 HM OR 630.833.1700 OFFICE</t>
  </si>
  <si>
    <t>630.833.1977</t>
  </si>
  <si>
    <t>L.W. Reedy Real Estate</t>
  </si>
  <si>
    <t>(630) 833-1700</t>
  </si>
  <si>
    <t>Hubert Myszkowski</t>
  </si>
  <si>
    <t>(630) 833-1977</t>
  </si>
  <si>
    <t>School Bus Service, Commuter Bus, Interstate Access, Flood Zone, Non-Smoking Building</t>
  </si>
  <si>
    <t>FURNACE '08, A/C COMPRESSOR '08, H2O '12, DRYER '12, TINT ON SLIDING GLASS DRS IN ATRIUM (WARRANTY TRANSFERRAB LE) , CONDO FRESHLY PAINTED. WELL KEPT FLEXICORE BLDG. CONV. LOCATION TO OAKBROOK MALL SHOPPING, DINNING,THEATERS &amp; HWYS WELCOME!</t>
  </si>
  <si>
    <t>Sycamore</t>
  </si>
  <si>
    <t>Somonauk Rd to Arbor</t>
  </si>
  <si>
    <t>SYCAMORE</t>
  </si>
  <si>
    <t>CORTLAND</t>
  </si>
  <si>
    <t>40X55</t>
  </si>
  <si>
    <t>Lovely Ranch Townhome with 2 bedrooms, 2 Full baths, plus third bath in Full finished Basement. Main floor has no steps and a First Floor Laundry.  Hardwood Floors, Gas Direct Vent Fireplace, Pantry in Kitchen, All appliances stay, Vaulted Ceiling, Open Floor Plan, Deck and Patio. Full Finished basement gives lots of room for whatever you need, plus the third bathroom. Ash tree is being replaced with a red maple.</t>
  </si>
  <si>
    <t>Bonus, Recreation Room</t>
  </si>
  <si>
    <t>Water-Softener Owned, CO Detectors, Sump Pump, Air Cleaner</t>
  </si>
  <si>
    <t>2.5% -$200 (on Gross SP)</t>
  </si>
  <si>
    <t>RE/MAX Experience</t>
  </si>
  <si>
    <t>(815) 895-8900</t>
  </si>
  <si>
    <t>Patty Hamer</t>
  </si>
  <si>
    <t>(815) 757-1900</t>
  </si>
  <si>
    <t>815-757-1900</t>
  </si>
  <si>
    <t>Nice and clean Ranch Unit on Arbor Lane. Very Convenient location. Just Minutes to downtown, shopping, medical offices, restaurants. NOT A SHORT SALE OR FORECLOSURE  QUICK CLOSE POSSIBLE.</t>
  </si>
  <si>
    <t>F</t>
  </si>
  <si>
    <t>EOLA RD TO MCCOY EAST TO AUTUM LAKES NORTH TO WATERS EDGE</t>
  </si>
  <si>
    <t>AWESOME TOWNHOUSE STYLE CONDO IN AUTUMN LAKES / 2 BEDROOM 2.1 BATHROOM / SEND OFFERS WITH PROOF OF FUNDS / PRE-APPROVAL / 100% TAX PRORATION / NO SURVEY NOR DISCLOSURES / FAX OFFERS TO OFFICE</t>
  </si>
  <si>
    <t>USE SHOW ASSIST</t>
  </si>
  <si>
    <t>Area Wide Realty</t>
  </si>
  <si>
    <t>(708) 656-3333</t>
  </si>
  <si>
    <t>Michael Olszewski</t>
  </si>
  <si>
    <t>708-656-4444 FAX</t>
  </si>
  <si>
    <t>CHECK WITH CITY REGARDING RENTAL REGISTRATION WITH THE CITY</t>
  </si>
  <si>
    <t>Queens</t>
  </si>
  <si>
    <t>Courtyards of Westchester</t>
  </si>
  <si>
    <t>Wolf Rd. N to Regency Dr., E to Queens Court, N to Home</t>
  </si>
  <si>
    <t>DEVONSHIRE</t>
  </si>
  <si>
    <t>Spacious, sought after first floor condo.  Brand new carpeting and all freshly painted! Wood burning fireplace.  Eat in kitchen with lots of cabinet space.  In unit laundry.  Master bedroom suite with jacuzzi tub and separate shower. Meticulously maintained. Great subdivision, close to shopping, restaurants and public transportation.</t>
  </si>
  <si>
    <t>20X10</t>
  </si>
  <si>
    <t>2.5% -$250 (ON NET SP) (on Net SP)</t>
  </si>
  <si>
    <t>Home is Vacant  Go and Show  Showing Assist</t>
  </si>
  <si>
    <t>Laughlin Properties LLC</t>
  </si>
  <si>
    <t>(847) 550-0330</t>
  </si>
  <si>
    <t>Adrienne L Virgilio</t>
  </si>
  <si>
    <t>Agent is relative of Owner.  Unit is easy to show and in terrific condition.</t>
  </si>
  <si>
    <t>Augusta</t>
  </si>
  <si>
    <t>Wadsworth</t>
  </si>
  <si>
    <t>Cambridge at Midlane</t>
  </si>
  <si>
    <t>Delany &amp; Yorkhouse W2 Southern Hills S2 Augusta, Left to townhome.  (End unit by GC)</t>
  </si>
  <si>
    <t>DARTON</t>
  </si>
  <si>
    <t>Stunning 2 bedroom, 2.5 bath end-unit townhome with golf course views.  Private deck with an excellent view of the fairway. Beautiful fireplace and bay windows in living room.  Generous master bedroom with vaulted ceilings. Remodeled master bathroom with oversized whirlpool tub. Kitchen has hardwood floors. 2nd-floor enclosed loft could be 3rd bedroom or great for nursery/office.  Finished downstairs den/English base</t>
  </si>
  <si>
    <t>SPAULDING SCHOOL</t>
  </si>
  <si>
    <t>Golf Course Lot</t>
  </si>
  <si>
    <t>2.5%  -$325 (on Net SP)</t>
  </si>
  <si>
    <t>Use Showing Assist or call the Listing Office</t>
  </si>
  <si>
    <t>(847) 362-6200</t>
  </si>
  <si>
    <t>Jackson Sanderson</t>
  </si>
  <si>
    <t>(847) 557-1720</t>
  </si>
  <si>
    <t>847-373-9153</t>
  </si>
  <si>
    <t>Genoa</t>
  </si>
  <si>
    <t>IL-23 S/IL-72 west of Sycamore to Madison St South to 2nd left onto Redwood Ct</t>
  </si>
  <si>
    <t>GENOA</t>
  </si>
  <si>
    <t>50X125</t>
  </si>
  <si>
    <t>Great opportunity!  2 bedroom 2 bath duplex with eat in kitchen, 1st floor laundry, and spacious living room with sliding glass doors out to the back yard.  Master bedroom has double closets and private bath.  Full basement and attached 2 car garage.</t>
  </si>
  <si>
    <t>16X21</t>
  </si>
  <si>
    <t>2.5% -150 (on Net SP)</t>
  </si>
  <si>
    <t>Call CCS 877-977-1010</t>
  </si>
  <si>
    <t>GITH</t>
  </si>
  <si>
    <t>RE/MAX Classic</t>
  </si>
  <si>
    <t>(815) 784-2800</t>
  </si>
  <si>
    <t>Tammy Engel</t>
  </si>
  <si>
    <t>Please email all offers to eshometeam@gmail.com, Property currently has tenants until 11/30</t>
  </si>
  <si>
    <t>Canterbury</t>
  </si>
  <si>
    <t>KINGSBROOK CROSSING</t>
  </si>
  <si>
    <t>By-pass Rt 30 (E of Douglas) to 5th St S to Wiesbrook W to Canterbury N to home</t>
  </si>
  <si>
    <t>STRATFORD</t>
  </si>
  <si>
    <t>18X101X18X104</t>
  </si>
  <si>
    <t>Great 2 Bedroom, 2-1/2 Bath Starter Home That Is Completely Open To Your Decorating Ideas! Kitchen with Breakfast Bar. Large Living Room/Dining Room. Vaulted Ceiling In Master Bedroom With Private Bath! Newer Appliances Through-out And Access To A Large Play Area In Back. Close To Shopping, Restaurants &amp; Movies! **Motivated Seller says, Sell this thing Now! Bring all offers, Being Sold "AS IS**</t>
  </si>
  <si>
    <t>LONG BEACH ELEMENTARY SCHOOL</t>
  </si>
  <si>
    <t>Clubhouse, Exterior Maintenance, Lawn Care, Snow Removal</t>
  </si>
  <si>
    <t>2.5%-$200**IF BANK REDUCES COMMISSION, IT WILL BE ADJUSTED ACCORDINGLY** (on Net SP)</t>
  </si>
  <si>
    <t>Text LA @630-774-8778</t>
  </si>
  <si>
    <t>Century 21 Affiliated - Naperville</t>
  </si>
  <si>
    <t>(630) 369-2000</t>
  </si>
  <si>
    <t>John L Green</t>
  </si>
  <si>
    <t>(630) 708-2211</t>
  </si>
  <si>
    <t>CC: Pursuant to Short Sale. Great starter home - Only needs a little cosmetic work **Seller had to relocate quickly, so it is being sold "AS IS"** Seller will NOT provide a survey. Taxes pro-rated 100%.</t>
  </si>
  <si>
    <t>34W939</t>
  </si>
  <si>
    <t>RT 64 TO RT 25 NORTH TO MAY LEFT TO STANTON GO RIGHT</t>
  </si>
  <si>
    <t>EVERYTHING IS BRAND NEW!! LARGE 2 BEDROOM WITH ATTACHED GARAGE,NEW KITCHEN WITH STAINLESS APPLIANCES,NEW CABINETS &amp; C-TOPS,LAMINATE FLOORING,NEW TRIM &amp; DOORS,BATHROOM FEATURES NEW FLOORING,VANITY &amp; NEW BATH TUB,ALL NEW PLUMBING FIXTURES,ENTIRE UNIT PAINTED,NEW CARPET IN BEDROOMS &amp; NEW LIGHT FIXTURES THROUGHOUT,NEW FURNACE, AC &amp; HOT WATER TANK,LAUNDRY IN UNIT, LOW ASSESSMENTS,OWNER WILL FINANCE,MUST SEE!!</t>
  </si>
  <si>
    <t>2.5%-199 (on Net SP)</t>
  </si>
  <si>
    <t>Century 21 Rainbo Realty, Inc</t>
  </si>
  <si>
    <t>(773) 631-2400</t>
  </si>
  <si>
    <t>Keith Daniel</t>
  </si>
  <si>
    <t>(847) 840-6584</t>
  </si>
  <si>
    <t>OWNER WILL FINANCE.</t>
  </si>
  <si>
    <t>Collen</t>
  </si>
  <si>
    <t>COLLEN COURT</t>
  </si>
  <si>
    <t>MAIN ST SOUTH OF 38 TO COLLEN , WEST TO REBECCA AND COLLEN</t>
  </si>
  <si>
    <t>SECOND FLOOR CONDO UNIT WITH NEW CARPET AND FRESH PAINT. UNIT ALSO HAS A PRIVATE BALCONY.COMPLEX IS LOCATED NOT TO FAR FROM SHOPPING MALL AND EXPRESSWAY. PROPERTY IS BEING SOLD IN "AS-IS" CONDITION, NO SURVEY, TAXES PRO-RATED 100%, **MULT offers due by Monday 1/19/2015 10:00 am deadline**</t>
  </si>
  <si>
    <t>25X11</t>
  </si>
  <si>
    <t>**MULT offers due by Monday 1/19/2015 10:00 am deadline**PLEASE CALL 877-977-1010</t>
  </si>
  <si>
    <t>FMAC / Homesteps</t>
  </si>
  <si>
    <t>Crosstown Realty</t>
  </si>
  <si>
    <t>(847) 640-9530</t>
  </si>
  <si>
    <t>Arcenio Salinas</t>
  </si>
  <si>
    <t>SELLER HAS VERBALLY APPROVED OFFER.  Please to include FMAC forms in additional info  property disclosure tab  Please send al offers to arcenio@crosstown-realty.com  SUBJECT IS A FREDDIE MAC / HOMESTEPS PROPERTY.</t>
  </si>
  <si>
    <t>Gary between North Ave &amp; Army Trail to Klein Creek W to Building</t>
  </si>
  <si>
    <t>Great 2 BR Condo. Laundry hook up in unit. Kitchen offers new stove and dishwasher. New flooring throughout and freshly painted! This is a Fannie Mae HomePath property.</t>
  </si>
  <si>
    <t>Water, Pool, Lawn Care, Scavenger, Snow Removal, Other</t>
  </si>
  <si>
    <t>Ridgefield</t>
  </si>
  <si>
    <t>93ARMY TRAIL WEST OF COUNTYFARM TO BENINGTON SOUTH TO ROCKPORT RIGHT TO RIDGEFIELD CIR RIGHT</t>
  </si>
  <si>
    <t>HUD OWNED , CASE # 137-459026, SOLD AS-IS CODE (IE) INSURED WITH ESCRROW  ESCROW 550.00, ELIGIBLE FOR 203K,Open to all buyers,. BUYER RESPONSIBLE FOR VILLAGE INSPECTIONS, PICKING UP TRANSFER STAMPS AND UP TO 6 MONTH HOA DUES &amp; FEES "EQUAL HOUSING OPPORTUNITY"</t>
  </si>
  <si>
    <t>HERITAGE LAKES ELEMENTARY SCHOOL</t>
  </si>
  <si>
    <t>3% SEE AGENT REMARKS (on Net SP)</t>
  </si>
  <si>
    <t>HUD OWNED</t>
  </si>
  <si>
    <t>Enter Cooperative Compensation amount when placing BID. HUD case# 137-4590262 SOLD AS-IS , Go to HUDHOMESTORE.COM To BID.  BUYER  RESPON. FOR VILLAGE INSPECTIONS , PICKING UP TRANSFER STAMPS AND UP TO 6 MONTHS HOA DUES AND FEES.* RENTABLE*</t>
  </si>
  <si>
    <t>Meadows</t>
  </si>
  <si>
    <t>Sugar Grove</t>
  </si>
  <si>
    <t>Sugar Creek</t>
  </si>
  <si>
    <t>S RT 47 R2 CROSS ST R2 MAIN ST L2 MEADOWS R2 HOME</t>
  </si>
  <si>
    <t>40X181</t>
  </si>
  <si>
    <t>Roomy Duplex That Looks Deceiving From Street! Large Family Room With Vaulted Ceilings &amp; Hardwood Floors. Cute Kitchen With Deck Access That Overlooks Fenced In Backyard. Partially Finished Basement With Hardwood Floors and Recessed Lighting. Den in Basement Could Also be Third Bedroom. Close to Interstate and Shopping! NO PERSONAL PROPERTY INCLUDED. THIS IS A FANNIE MAE HOMEPATH PROPERTY.</t>
  </si>
  <si>
    <t>CLICK ON "SCHEDULE A SHOWING" FOR INSTRUCTIONS</t>
  </si>
  <si>
    <t>Whyrent Real Estate Company</t>
  </si>
  <si>
    <t>(630) 608-4777</t>
  </si>
  <si>
    <t>John Hoffman</t>
  </si>
  <si>
    <t>FAX: 888-465-1411</t>
  </si>
  <si>
    <t>**Call 630-608-4777 if questions  **Keybox on front door.  **Please lock all doors &amp; turn off lights. SELLER REQUESTS ALL OFFERS SUBMITTED THRU HOMEPATH.COM  **WRITING OFFER? REFER TO INSTRUCTIONS FOUND UNDER ADDITIONAL INFORMATION TAB.  **</t>
  </si>
  <si>
    <t>Longwood</t>
  </si>
  <si>
    <t>P3</t>
  </si>
  <si>
    <t>JUST SOUTH OF 103RD STREET ON LONGWOOD DRIVE.</t>
  </si>
  <si>
    <t>Beautifully updated condo in Historic Church conversion.    Unit features 2 bedrooms, 2 1/2 baths. Main level offers contemporary living, dining, fabulous redone kitchen, half bath &amp; a spacious new deck. Loft area with custom storage overlooks main floor perfect for office or family area. Two bedrooms each with private bath &amp; in-unit Laundry on 1st level. Located in the Heart of Beverly, steps from Metra and shopping</t>
  </si>
  <si>
    <t>SUTHERLAND ELEMENTARY SCHOOL</t>
  </si>
  <si>
    <t>MORGAN PARK HIGH SCHOOL</t>
  </si>
  <si>
    <t>10X18</t>
  </si>
  <si>
    <t>Elevator, Party Room, Curbs/Gutters, Sidewalks, Street Lights</t>
  </si>
  <si>
    <t>TV-Cable, Intercom, CO Detectors, Ceiling Fan</t>
  </si>
  <si>
    <t>Call listing Office</t>
  </si>
  <si>
    <t>Molloy &amp; Associates, Inc.</t>
  </si>
  <si>
    <t>(773) 779-9898</t>
  </si>
  <si>
    <t>Bernadette Molloy</t>
  </si>
  <si>
    <t>Kenton</t>
  </si>
  <si>
    <t>3N</t>
  </si>
  <si>
    <t>SOUTH ON KENTON, TO 57TH STREET</t>
  </si>
  <si>
    <t>This is a  nice 2 bedrooms, 1 full bath  condo in move-in condition, just waiting for you. This a Fannie Mae Homepath Property. Proof of Funds with all offers.</t>
  </si>
  <si>
    <t>Common Insurance</t>
  </si>
  <si>
    <t>Cats OK, Deposit Required, Dogs OK</t>
  </si>
  <si>
    <t>Call Css for access &amp; Code 877-977-1010.</t>
  </si>
  <si>
    <t>Better Homes For America, LLC</t>
  </si>
  <si>
    <t>(773) 572-9550</t>
  </si>
  <si>
    <t>Gerard Lewis</t>
  </si>
  <si>
    <t>The seller has directed that all offers on this listing be made using the HomePath Online Offer system at the HomePath website www.homepath.com. Please download Owner Occupancy Cert.</t>
  </si>
  <si>
    <t>111th</t>
  </si>
  <si>
    <t>111th and Pulaski east to 3730</t>
  </si>
  <si>
    <t>Motivated seller! Condo comes with one parking space in indoor heated garage! 2 bedroom 2 bathroom 2nd floor condo with balcony overlooking Mt Greenwood Park in the heart of Mt Greenwood. parking plus additional storage in heated garage Hardwood floor in living room and kitchen. Gas fireplace in living room. In Unit Laundry.</t>
  </si>
  <si>
    <t>7X13</t>
  </si>
  <si>
    <t>Garage Door Opener(s), Transmitter(s), Heated, Tandem</t>
  </si>
  <si>
    <t>Gas, Electric</t>
  </si>
  <si>
    <t>Please contact listing office to schedule all showings</t>
  </si>
  <si>
    <t>O'Shaughnessy, Realtors,Inc</t>
  </si>
  <si>
    <t>(773) 233-4200</t>
  </si>
  <si>
    <t>Karen Healy</t>
  </si>
  <si>
    <t>After hours please contact agent directly to arrange all appointments.  Karen Healy 773-370-1252</t>
  </si>
  <si>
    <t>Curtiss</t>
  </si>
  <si>
    <t>Main or Washington to Curtiss (Between Maple &amp; Tracks) - East to 907.</t>
  </si>
  <si>
    <t>Swanky Two Bedroom/Two Bath Spotless Sunny End Unit w/Balcony. Brand New Kitchen w/ Granite Counters, Recessed Lighting &amp; S/S Appliances. All Freshly Painted Walls, Trim &amp; 6 Panel Doors throughout. New Subway Tiled Bathrooms with New Vanities, Lighting, Flooring &amp; Hardware. New Nickel Hardware, Hot Water, Heater &amp; Flooring. 1 Outdoor Parking Spot. 2 Blks 2 Downtown &amp; Metra Express. Pack your bags &amp; Move In!</t>
  </si>
  <si>
    <t>8X5</t>
  </si>
  <si>
    <t>Coin Laundry, Elevator, Storage, Party Room, Security Door Locks, Curbs/Gutters, Sidewalks, Street Lights, Street Paved, Other</t>
  </si>
  <si>
    <t>Oven/Range, Dishwasher, Refrigerator, All Stainless Steel Kitchen Appliances</t>
  </si>
  <si>
    <t>Brush Hill, Inc., REALTORS</t>
  </si>
  <si>
    <t>(630) 920-0666</t>
  </si>
  <si>
    <t>Joan McInerney, ABR,CRS,GRI</t>
  </si>
  <si>
    <t>(630) 561-6728</t>
  </si>
  <si>
    <t>Perfect Inside.....Just Move-In!  Indoor Pool is currently not operational and Condo Board is exploring options.</t>
  </si>
  <si>
    <t>Coles</t>
  </si>
  <si>
    <t>SOUTH SHORE TO 73TH HEAD WEST TO COLES, THEN SOUTH</t>
  </si>
  <si>
    <t>SUPERB CRAFTSMANSHIP, OUTSTANDING DESIGN! LUXURIOUS SOUTHSHORE LIVING WITH SPACIOUS FLOORPLANS:HARDWOOD FLOORS, 42" CABINETS WITH GRANITE COUNTERS,IN-UNIT W/D HOOK UPS, STAINLESS STEEL APPL., WHIRLPOOL TUBS,SECURITY SYSTEM AND DECK.GORGEOUS FINISHES TO CHOOSE FROM!! MUST SEE!</t>
  </si>
  <si>
    <t>Water, Common Insurance, Exterior Maintenance, Scavenger, Snow Removal, Other</t>
  </si>
  <si>
    <t>Security System, Intercom</t>
  </si>
  <si>
    <t>Condo, Flat</t>
  </si>
  <si>
    <t>1% OR $400 (on Gross SP)</t>
  </si>
  <si>
    <t>Call listing agent</t>
  </si>
  <si>
    <t>Owner Of record</t>
  </si>
  <si>
    <t>Carrington Real Estate Services(US) LLC</t>
  </si>
  <si>
    <t>Victor Vita</t>
  </si>
  <si>
    <t>(312) 476-0078</t>
  </si>
  <si>
    <t>Go to Homesearch.com 11/22/2014 to 11/25/2014</t>
  </si>
  <si>
    <t>Mayfield</t>
  </si>
  <si>
    <t>ORCHARD RD TO GALENA RD W TO CONCORD NOT TO MAYFIELD DR</t>
  </si>
  <si>
    <t>GORGOEUS 1/2 DUPLEX IN GREAT LOCATION/THIS GREAT  UNIT FEATURES BRAND NEW CARPETING AND FRESH PAINT THROUGHOUT/OFFERS A SPACIOUS FLOOR PLAN/2 CAR TANDEM GARAGE/LARGE BEDROOM SIZES-MASTER HAS VALUTED CEILINGS AND WLAK IN CLOSET/LARGE BACKYARD WITH PRIVATE CONCRETE PATIO/1ST FLOOR LAUNDRY ROOM/NOTHING TO DO BUT MOVE IN/</t>
  </si>
  <si>
    <t>CALL SHOWING TIME 800-746-9464</t>
  </si>
  <si>
    <t>RE/MAX Professionals</t>
  </si>
  <si>
    <t>(630) 759-2850</t>
  </si>
  <si>
    <t>Edward Lukasik Jr</t>
  </si>
  <si>
    <t>(630) 679-5417</t>
  </si>
  <si>
    <t>CELL 630-768-5175</t>
  </si>
  <si>
    <t>All offers must be submitted by the buyers agent via offersubmission.com ID# 1003631.  Buyer pays $300 fee at closing.   No paperwork required until offer accepted.</t>
  </si>
  <si>
    <t>Route 23 or Peace Rd to Greenwood Acres Dr. to Summit Enclave left on Grand</t>
  </si>
  <si>
    <t>Well maintained 2 bedroom, 2.5 bath, 2 car garage end unit is a must see! Large living room opens to dining area. Kitchen offers plenty of cabinet space including pantry.  Large master suite with vaulted ceiling, walk-in closet &amp; master bath. Master bath features double sinks. Convenient 2nd floor laundry. End unit lets in lots of light. Move in-never cut grass or remove snow again! Easy access to tollway &amp; shopping.</t>
  </si>
  <si>
    <t>17X19</t>
  </si>
  <si>
    <t>Bike Room/Bike Trails, Sundeck</t>
  </si>
  <si>
    <t>Water-Softener Rented</t>
  </si>
  <si>
    <t>Sullivan</t>
  </si>
  <si>
    <t>Jennifer Daring</t>
  </si>
  <si>
    <t>815-761-6592</t>
  </si>
  <si>
    <t>Kelly</t>
  </si>
  <si>
    <t>RIVER EDGE</t>
  </si>
  <si>
    <t>River Edge Subdivision-Route 23/Main Street to Mount Hunger East to Kelly Lane South. Home on left</t>
  </si>
  <si>
    <t>Great 2 bdr 2 bath unit with new carpet and paint. upgraded tile floors in kitchen, bathrooms, laundry  &amp; foyer,  ss appliances, granite quartz counter tops, gas fireplace with ceramic surround &amp; oak mantel, master suite with bath &amp; walk in closet, pantry, &amp; laundry Nice deck and attached garage.</t>
  </si>
  <si>
    <t>Bike Room/Bike Trails, Park/Playground, Curbs/Gutters, Street Lights, Street Paved</t>
  </si>
  <si>
    <t>Common Grounds, Landscaped Professionally, Park Adjacent</t>
  </si>
  <si>
    <t>ILLINOIS HOUSING DEV AUTHORITY</t>
  </si>
  <si>
    <t>Please email offers to eshometeam@gmail.com</t>
  </si>
  <si>
    <t>Townes of Oakhurst</t>
  </si>
  <si>
    <t>McCoy to Oakhurst S. to Anton Dr. to Anton Circle</t>
  </si>
  <si>
    <t>WILLIAMSBURG</t>
  </si>
  <si>
    <t>COMMOM</t>
  </si>
  <si>
    <t>Nothing to do but move in!  2 story LR &amp; FP. Vaulted ceilings &amp; built-in office space in loft. Large master w/wic, separate vanity.  Granite &amp; ss appliance, glass backsplash, undercounter lighting. New, upgraded oak doors, 2nd fl.  Windows &amp; patio door, 2009.  New a/c &amp; 2nd fl carpet 2014. h20 htr 2015.    Quick close possible.</t>
  </si>
  <si>
    <t>Breakfast Room, Loft</t>
  </si>
  <si>
    <t>2.5%-200 (on Net SP)</t>
  </si>
  <si>
    <t>Keller Williams Infinity</t>
  </si>
  <si>
    <t>(630) 778-5800</t>
  </si>
  <si>
    <t>Deborah Mohr, CNC</t>
  </si>
  <si>
    <t>(630) 290-2727</t>
  </si>
  <si>
    <t>Oakhurst master assoc fee is $250/yr</t>
  </si>
  <si>
    <t>TYLER</t>
  </si>
  <si>
    <t>MANORS OF OAK KNOLL</t>
  </si>
  <si>
    <t>Irving Park Rd East of Rt 59 to Madison, North to Tyler</t>
  </si>
  <si>
    <t>GLENGARY</t>
  </si>
  <si>
    <t>WELCOME HOME! FABULOUS GLENGARRY WITH WONDERFUL VIEW OF OPEN COURTYARD AREA! DRAMATIC VAULTED CEILING IN LIVING &amp; DINING ROOM AREAS! SPACIOUS 14X15 KITCHEN, LOADED WITH PLENTY OF COUNTERTOP &amp; CAB. STORAGE SPACES + NEWER SS APPLIANCES! OVERSIZED MASTER BDRM WITH FULL BATH + WALK IN CLOSET! WHITE 6-PANELED DOORS/TRIM! NEWER FURNACE! EASY DISTANCE TO TRAIN DEPOT, EXPRESS RTS, SHOPPING &amp; BUSINESS PARK!</t>
  </si>
  <si>
    <t>HANOVER COUNTRYSIDE ELEMENTARY SCHOOL</t>
  </si>
  <si>
    <t>CANTON MIDDLE SCHOOL</t>
  </si>
  <si>
    <t>25X16</t>
  </si>
  <si>
    <t>Septic-Private</t>
  </si>
  <si>
    <t>2.5% -250 (on Net SP)</t>
  </si>
  <si>
    <t>CALL SHOWING DESK 888-362-3222 OR LA AFTER 6 PM</t>
  </si>
  <si>
    <t>SCHMIDT</t>
  </si>
  <si>
    <t>630-674-6379</t>
  </si>
  <si>
    <t>Carol Doerr</t>
  </si>
  <si>
    <t>(630) 674-6379</t>
  </si>
  <si>
    <t>Dunteman</t>
  </si>
  <si>
    <t>WILLOW CREST</t>
  </si>
  <si>
    <t>I355 west on Army Trail Rd to Bloomingdale Rd right, first left onto Dunteman Dr, building on right.</t>
  </si>
  <si>
    <t>Great location for  freshly painted,new flooring remodelled bathroom first floor 2 bedroom,1 bath. Maple cabinets, big bedrooms with new closet doors &amp; lots of storage &amp; sliding doors to patio. Located close to transportation, schools &amp; parking!- Well maintained complex Not foreclosure or short sale!! Close quick E.M. WILL BE HELD BY ED KUSTA , SELLER'S ATTORNEY,vacant, rentable, good for investors or home buyers</t>
  </si>
  <si>
    <t>BLACK HAWK ELEMENTARY SCHOOL</t>
  </si>
  <si>
    <t>Coin Laundry, Storage, Curbs/Gutters, Sidewalks, Street Lights</t>
  </si>
  <si>
    <t>Oven/Range, Microwave, Refrigerator</t>
  </si>
  <si>
    <t>Intercom, CO Detectors</t>
  </si>
  <si>
    <t>Closing, Immediate, Negotiable</t>
  </si>
  <si>
    <t>Assigned Spaces, Unassigned, Off Street, Visitor Parking</t>
  </si>
  <si>
    <t>call la</t>
  </si>
  <si>
    <t>847 361 8836</t>
  </si>
  <si>
    <t>KMS Realty, Inc.</t>
  </si>
  <si>
    <t>(224) 356-0657</t>
  </si>
  <si>
    <t>Hasmukh Kothari</t>
  </si>
  <si>
    <t>(847) 361-8836</t>
  </si>
  <si>
    <t>847 275 4771</t>
  </si>
  <si>
    <t>occupied till 11-30-14.pl. knock first if no ans. then use lockbox</t>
  </si>
  <si>
    <t>Dixon</t>
  </si>
  <si>
    <t>HIDDEN LAKE</t>
  </si>
  <si>
    <t>College Rd South of Maple Ave, turn East at Abbeywood Dr to Brookwood, turn Left to Dixon Dr</t>
  </si>
  <si>
    <t>FAIRFAX</t>
  </si>
  <si>
    <t>35X69</t>
  </si>
  <si>
    <t>Outstanding home with upgrades in kitchen, vaulted ceiling on first floor, 1st floor master, 2nd flr bedroom suite with sitting room and separate loft, finished bsmnt with FULL kitchen; room darkening shades on all windows, epoxy floor in garage, deck view is woodland, adjacent to 7 Bridges golf course &amp; large Lisle Park District lake. Original owner. Total of 2736 sqft of living space.</t>
  </si>
  <si>
    <t>Blinds, Shades</t>
  </si>
  <si>
    <t>11X15</t>
  </si>
  <si>
    <t>Sitting Room</t>
  </si>
  <si>
    <t>Loft, Sitting Room</t>
  </si>
  <si>
    <t>Gas, Forced Air, Space Heater/s</t>
  </si>
  <si>
    <t>Call Showing Desk 866.571.7181</t>
  </si>
  <si>
    <t>(630) 548-1800</t>
  </si>
  <si>
    <t>Daniel DeBoo, GRI</t>
  </si>
  <si>
    <t>(630) 580-7335</t>
  </si>
  <si>
    <t>Green key in lock box is for top dead bolt.</t>
  </si>
  <si>
    <t>Stillwater</t>
  </si>
  <si>
    <t>COBBLERS CROSSING</t>
  </si>
  <si>
    <t>58 to N Shady Oaks Dr (N) to Stillwater (E)</t>
  </si>
  <si>
    <t>Opportunity!  Pergo flooring in this 2 Bedroom unit welcome you home. Property features peek thru kitchen with tile floor, a main floor bathroom, fireplace in main Living area and sliding door to patio.  Volume ceilings in bedrooms.  Drywalled Garage. Unit can be rented.   Close to shopping and easy access to expressway.</t>
  </si>
  <si>
    <t>LARSEN MIDDLE SCHOOL</t>
  </si>
  <si>
    <t>Call CSS 877-977-1010</t>
  </si>
  <si>
    <t>Scott Gerami, ABR,CSC,e-PRO,GRI</t>
  </si>
  <si>
    <t>(630) 357-8200</t>
  </si>
  <si>
    <t>CC: Pursuant to Short Sale. Persuant to Short Sale.  If reduction to commission, reduced amount will be split 50/50</t>
  </si>
  <si>
    <t>ST CHARLES</t>
  </si>
  <si>
    <t>Lincoln Terrace</t>
  </si>
  <si>
    <t>St. Charles West on Main to Lincoln (NW Corner)</t>
  </si>
  <si>
    <t>BEAUTIFULLY UPDATED 2 BR 2 BA CONDO. NEW CABINETS AND GRANITE IN KITCHEN AND BATH, EAT IN KITCHEN, NEW HARDWOOD FLOORS AND NEW CARPET,NEW APPLIANCES,NEW LIGHTING, NEW FULL SIZE W/D IN UNIT, NEW MIRRORS AND BLINDS, LARGE BALCONY,INDOOR GARAGE PARKING. GREAT LOCATION CLOSE TO METRA TRAIN STATION AND RESTAURANTS.PARKING SPACE 24</t>
  </si>
  <si>
    <t>Elevator, Storage, Curbs/Gutters, Sidewalks, Street Lights, Street Paved</t>
  </si>
  <si>
    <t>Water, Parking, Common Insurance, Exterior Maintenance, Lawn Care, Snow Removal</t>
  </si>
  <si>
    <t>Intercom, Fire Sprinklers, CO Detectors</t>
  </si>
  <si>
    <t>2.5%-$250 (on Gross SP)</t>
  </si>
  <si>
    <t>THIS PROPERTY HAS A CONTRACT. NO SHOWINGS AT THIS TIME.</t>
  </si>
  <si>
    <t>Innsbrook</t>
  </si>
  <si>
    <t>BELAIRE MANOR</t>
  </si>
  <si>
    <t>Bartlett Rd N of Lake or S of Irving Pk to Innsbrook, W to 105</t>
  </si>
  <si>
    <t>35 X 91</t>
  </si>
  <si>
    <t>No association here! Nice duplex w/lots of improvements. Roof &amp; gutters 5 yrs, remodeled kitchen &amp; new appliances in 2012, wood laminiate throughout, ceiling fans in both BRs &amp; kitchen, remodeled baths. Fenced yard, too. Convenient location - close to shopping, restaurants, parks, x-ways and commuter station Great for 1st home buyers, downsizers (no stairs) or investors. This home has 2 PIN numbers for taxes</t>
  </si>
  <si>
    <t>TEFFT MIDDLE SCHOOL</t>
  </si>
  <si>
    <t>Humidifier, TV-Cable, CO Detectors, Ceiling Fan</t>
  </si>
  <si>
    <t>(847) 985-7050</t>
  </si>
  <si>
    <t>Lynn Stone, e-PRO,SFR</t>
  </si>
  <si>
    <t>(847) 230-7327</t>
  </si>
  <si>
    <t>847-217-9749</t>
  </si>
  <si>
    <t>No exemptions have been taken on taxes.  There are 2 PIN numbers - the tax bill includes both.</t>
  </si>
  <si>
    <t>Twilight</t>
  </si>
  <si>
    <t>Ogden to Eola Road to Daylight to Twilight</t>
  </si>
  <si>
    <t>170X112X72X84</t>
  </si>
  <si>
    <t>Cute Townhome in Wheatland! 2 Bedrooms each with private baths, an additional half bathroom on the main level. Large Living Room/Dining Room combo with nice sized kitchen. Finished lower level walks out to 2 car garage. Close to schools, shopping, highway and more. Move in ready! Can close quickly!</t>
  </si>
  <si>
    <t>13X23</t>
  </si>
  <si>
    <t>2% -$200 (on Gross SP)</t>
  </si>
  <si>
    <t>(630) 554-4400</t>
  </si>
  <si>
    <t>Katie Leiva</t>
  </si>
  <si>
    <t>Small amount of non-toxic mold found above light in dining room, estimate in additional info. Buyer to receive $750 credit or will be cleaned prior to closing.</t>
  </si>
  <si>
    <t>Concord</t>
  </si>
  <si>
    <t>Polo Club</t>
  </si>
  <si>
    <t>Bloomingdale South of Army Trail to Windy PK East to Whirlaway to Concord</t>
  </si>
  <si>
    <t>CLARIDGE</t>
  </si>
  <si>
    <t>JUST MOVE IN!  THIS BEAUTIFUL TOWNHOME FEATURES 2 BEDROOMS+LOFT, VAULTED CEILINGS, FIREPLACE, UPGRADED 42" CABINETS IN KITCHEN WITH CERAMIC TILE AND STAINLESS STEEL APPLIANCES.  2 FULL BATHS, UPDATED LIGHT FIXTURES.  BALCONY OFF DINING ROOM.  KITCHEN IS OPEN TO LIVING ROOM AND DINING ROOM.  ENJOY ENTERTAINING IN THE LOWER LEVEL FAMILY ROOM.  LISTING AGENT RELATED TO SELLER.</t>
  </si>
  <si>
    <t>GLEN HILL PRIMARY SCHOOL</t>
  </si>
  <si>
    <t>GLENSIDE MIDDLE SCHOOL</t>
  </si>
  <si>
    <t>N (North), S (South), E (East)</t>
  </si>
  <si>
    <t>Specific Date</t>
  </si>
  <si>
    <t>PLEASE CALL LISTING AGENT AT 630-918-9098</t>
  </si>
  <si>
    <t>Lighthouse Realtors LLC</t>
  </si>
  <si>
    <t>(630) 918-9098</t>
  </si>
  <si>
    <t>Bobbi-Jo Assmann</t>
  </si>
  <si>
    <t>LISTING AGENT RELATED TO SELLERS.</t>
  </si>
  <si>
    <t>Liam</t>
  </si>
  <si>
    <t>Randall Rd to Granview, East to Westwood, left to Liam Ct</t>
  </si>
  <si>
    <t>Beautiful 2 story townhome with 2 large bedrooms and a finish basement. Excellent location near Algonquin commons and Randall Rd corridor. Wood floors in all first floor and Ceramic tile in both bathrooms. Open floor plan in Cul de sac location. Excellent neighborhood with easy accesability to shopping and restaurants. Move in condition !</t>
  </si>
  <si>
    <t>15X16</t>
  </si>
  <si>
    <t>8X10</t>
  </si>
  <si>
    <t>Exterior Maintenance, Snow Removal, Other</t>
  </si>
  <si>
    <t>3%- $200 (ON NET SP) (on Net SP)</t>
  </si>
  <si>
    <t>Call Showing desk 855-746-9100</t>
  </si>
  <si>
    <t>(815) 459-1855</t>
  </si>
  <si>
    <t>Maria Ruiz</t>
  </si>
  <si>
    <t>815-236-1543</t>
  </si>
  <si>
    <t>CC: Pursuant to Short Sale. Unit in great condition but sold "AS IS"   Short Sale experience lawyer allow time for processing. Refrigerator not included.</t>
  </si>
  <si>
    <t>Countryfield</t>
  </si>
  <si>
    <t>COUNTRYFIELD TOWNES</t>
  </si>
  <si>
    <t>19 TO SHALES PKWY NORTH TO COUNTRYFIELD</t>
  </si>
  <si>
    <t>2600 SQ.FT.</t>
  </si>
  <si>
    <t>Stunning townhome with nice wooded view and walking path to rear of home! Living room with 2-story volume ceiling &amp; gas fireplace! New carpeting throughout! Spacious kitchen with ample cabinetry! Large loft area overlooking living room (could be converted to 3rd bedroom)! Master bedroom with vaulted ceiling and large walking closet! Master bath with double-bowl sink &amp; oversized sit-down shower! FHA APPROVED!</t>
  </si>
  <si>
    <t>Landscaped Professionally, Wooded</t>
  </si>
  <si>
    <t>Foyer, Loft, Walk In Closet</t>
  </si>
  <si>
    <t>use show assist link or call 800-showing - if you need a one-day code call 800-showing.</t>
  </si>
  <si>
    <t>Residential Real Estate Svcs</t>
  </si>
  <si>
    <t>(630) 830-8160</t>
  </si>
  <si>
    <t>Lori Cromie</t>
  </si>
  <si>
    <t>(312) 848-8191</t>
  </si>
  <si>
    <t>fax:  224-238-7498</t>
  </si>
  <si>
    <t>vacant - easy to show - please remove shoes or wear booties - new carpet throughout! if you need a 1-day code, call 800-showing - LA does NOT have 1-day codes - thanks for showing!!!!</t>
  </si>
  <si>
    <t>Town Center</t>
  </si>
  <si>
    <t>Gilberts</t>
  </si>
  <si>
    <t>72 TO TYRELL TO TOWN CENTER BLVD TO HOUSE</t>
  </si>
  <si>
    <t>GILBERTS</t>
  </si>
  <si>
    <t>Beautiful 2 story townhouse with 2 beds + loft and 2.5 baths. Unit offers wood laminate flooring, fireplace, 2nd story deck, 2 car attached garage, stainless steel appliances, granite counter tops and so much more! This is a Fannie Mae HomePath property. Sold as-is. Taxes 100%. Seller does not provide survey.</t>
  </si>
  <si>
    <t>23X13</t>
  </si>
  <si>
    <t>See through/Multi Sided</t>
  </si>
  <si>
    <t>Please go to www.homepath.com to submit offers. The attached Fannie Mae Addendum and 6.0 contract must be included with your offer.  HIGHEST AND BEST DUE 11/20 BY NOON SEE MO FORM IN CONTRACT PKG THIS IS REQUIRED</t>
  </si>
  <si>
    <t>LAKE ST TO WILLIAM WAY TO SCENIC DR TO ROYAL LN TO BUILDING</t>
  </si>
  <si>
    <t>BEAUTIFULLY MAINTAINED BUILDING. END UNIT WITH NICE VIEW OFF PRIVATE BALCONY. LOTS OF WINDOWS. KITCHEN OPEN TO DINING/FAMILY ROOM W/BREAKFAST BAR. NEEDS SOME TLC. SOLD AS IS ONLY. TAXES @ 100%. CASH-FUNDS TO CLOSE VERIFIED. PUBLIC ACT 94-1049 MAY APPLY. SIGN ADDNDM, DISCLS, &amp; REO SALES HELP SHEET IN ADD'L INFO; NO RENTALS ALLOWED. ADDITIONAL STORAGE IN BASEMENT; INDOOR POOL; EXERCISE ROOM; HEATED GARAGE #38</t>
  </si>
  <si>
    <t>Water, Parking, Common Insurance, Security System, Exercise Facilities, Pool, Exterior Maintenance, Lawn Care, Scavenger, Snow Removal</t>
  </si>
  <si>
    <t>Fire Sprinklers</t>
  </si>
  <si>
    <t>PLEASE FOLLOW ALL INSTRUCTIONS IN SHOWING ASSSIST</t>
  </si>
  <si>
    <t>Division</t>
  </si>
  <si>
    <t>Tanglewood</t>
  </si>
  <si>
    <t>7TH AVE SOUTH TO DIVISION EAST TO DIVISION CT.</t>
  </si>
  <si>
    <t>Wonderfully maintained 2-story town home on east side of St. Charles! Light &amp; bright &amp; incredibly clean! 2 bedroom, 2.5 bath &amp; 2nd floor laundry. New carpeting &amp; paint throughout, new flooring in foyer, kitchen &amp; all baths. New stainless steel stove and kitchen faucet too! The home features an outdoor patio and is just walking distance to parks, bike paths &amp; Fox River. Great location &amp; move-in ready! Such a DEAL..!!</t>
  </si>
  <si>
    <t>Please book showing appointment online. Please turn off lights and lock door upon leaving.</t>
  </si>
  <si>
    <t>Debora McKay</t>
  </si>
  <si>
    <t>(630) 587-4672</t>
  </si>
  <si>
    <t>Cumberland</t>
  </si>
  <si>
    <t>North of Montrose, south of Lawrence.</t>
  </si>
  <si>
    <t>Beautiful bright 2 bedroom 2 bathroom TOP FLOOR unit in one of Norridgeâ€™s most desirable complexes!! Granite counters throughout, eat in kitchen with table space, master bath with jet tub, separate shower, &amp; double sinks! Tons and tons of closet space!! Finished dry walled ceilings! Beautiful 6-panel doors &amp; wood trim throughout!! Heated garage parking!! Private balcony!! Will not last long!!!</t>
  </si>
  <si>
    <t>Storage, Security Door Locks, Curbs/Gutters, Street Lights, Street Paved</t>
  </si>
  <si>
    <t>Common Grounds, Fenced Yard, Landscaped Professionally</t>
  </si>
  <si>
    <t>Heat, Water, Gas, Common Insurance, Security, Exterior Maintenance, Lawn Care, Scavenger, Snow Removal</t>
  </si>
  <si>
    <t>2.0%-$200 (on Gross SP)</t>
  </si>
  <si>
    <t>use showing solutions or email listing agent</t>
  </si>
  <si>
    <t>Zerillo Realty Inc.</t>
  </si>
  <si>
    <t>(847) 292-4700</t>
  </si>
  <si>
    <t>Giuseppe Zerillo</t>
  </si>
  <si>
    <t>(773) 407-8800</t>
  </si>
  <si>
    <t>Owner is willing to negotiate on the furniture inside the unit as well.</t>
  </si>
  <si>
    <t>Franklin Park</t>
  </si>
  <si>
    <t>GRAND AVE WEST OF ROSE (25TH) (9600 WEST) TO 9823</t>
  </si>
  <si>
    <t>FRANKLIN PARK</t>
  </si>
  <si>
    <t>Move in before the holidays! Bright 2bd 1ba nice floor plan. Brick Georgian Duplex,Recently tuck pointed,insulated windows,hardwood floors, full basement, deck, fenced in yard. Conveniently located to schools, shopping and transportation.</t>
  </si>
  <si>
    <t>10X15</t>
  </si>
  <si>
    <t>61-70 Years</t>
  </si>
  <si>
    <t>Oven/Range, Refrigerator, Washer, Dryer</t>
  </si>
  <si>
    <t>Eating Area-Breakfast Bar, Galley</t>
  </si>
  <si>
    <t>Off Alley, Side Apron</t>
  </si>
  <si>
    <t>Julie Cliggett</t>
  </si>
  <si>
    <t>Downsizing or just starting out, add your personal touch and move right in.</t>
  </si>
  <si>
    <t>DREXEL</t>
  </si>
  <si>
    <t>Take 47th Street to Drexel.  South on Drexel to address.</t>
  </si>
  <si>
    <t>15X50</t>
  </si>
  <si>
    <t>Great Location! Right on the Drexel Boulevard! Unit had extensive water damage. Selling in As-Is Condition. Offers Must Have Proof Of Funds.</t>
  </si>
  <si>
    <t>$1,500.00 (on Gross SP)</t>
  </si>
  <si>
    <t>Email Signed H Harmless Letter from Addnl Info Tab To: gflores.sfr@gmail.com Then we will send code.</t>
  </si>
  <si>
    <t>Freddie Mac/HomeSteps</t>
  </si>
  <si>
    <t>Su Familia Real Estate</t>
  </si>
  <si>
    <t>(773) 581-9600</t>
  </si>
  <si>
    <t>Gaspar Flores</t>
  </si>
  <si>
    <t>(773) 581-9600x112</t>
  </si>
  <si>
    <t>Agent Remarks:  THIS PROPERTY IS ELIGIBLE UNDER FREDDIE MAC'S 1ST LOOK INITIATIVE THRU 11/29/2014 (Owner Occupant Priority). PLEASE FIND REQUIRED OFFER FORMS UNDER ADDITIONAL INFO TAB. Email OFFER &amp; SHOWINGS to: gflores.sfr@gmail.com.</t>
  </si>
  <si>
    <t>Station Park</t>
  </si>
  <si>
    <t>Village Station</t>
  </si>
  <si>
    <t>Rt. 83 W2 Lake S2 Village Station Circle</t>
  </si>
  <si>
    <t>Property sold AS-IS! Seller is exempt from disclosures and will not provide termite or survey.Taxes prorated @ 100%. Buyer responsible for all inspections, repairs or fees. Buyer's prequalification &amp; proof of funds must accompany all offers. Add'l disclosures to follow accepted contract. SELLER REQUIRES MINIMUM 10 DOM FOR RESPONSE.</t>
  </si>
  <si>
    <t>Call 877.977.1010 to Show / Fax Offers to 847.245.7066, NO EMAILS!</t>
  </si>
  <si>
    <t>Lake Shore Drive Realty, Inc.</t>
  </si>
  <si>
    <t>(847) 245-7000</t>
  </si>
  <si>
    <t>William Knapp</t>
  </si>
  <si>
    <t>WILLOW</t>
  </si>
  <si>
    <t>1E</t>
  </si>
  <si>
    <t>Willow West</t>
  </si>
  <si>
    <t>West of Cass -- South of 63rd</t>
  </si>
  <si>
    <t>GIGANTIC CONDO W/FULL FINISHED BASEMENT! OVERSIZED FAMILY ROOM W/ LOADS OF NATURAL LIGHT! UPDATED KITCHEN FEATS; ESPRESSO CABINETS, NATURAL LAMINATE FLOORS, GLASS FRONT DISPLAY CABINET &amp; TRACK LIGHTING. FULL FINISHED BASEMENT W/ BAR &amp; FULL BATHROOM!! LOADS OF STORAGE AND LARGE BALCONY. CLOSE TO RETAIL, DINING &amp; ENTERTAINMENT. **FANNIE MAE HOMEPATH PROPERTY~NO PERSONAL PROPERTY CONVEYED~BUYER PAYS ANY TRANSFER FEES**</t>
  </si>
  <si>
    <t>11X18</t>
  </si>
  <si>
    <t>20X21</t>
  </si>
  <si>
    <t>Water, Gas, Parking, Common Insurance, Exterior Maintenance, Lawn Care, Scavenger, Snow Removal</t>
  </si>
  <si>
    <t>CLICK OR CALL SHOWING TIME 877-402-2373</t>
  </si>
  <si>
    <t>Field Street Properties, LLC</t>
  </si>
  <si>
    <t>(630) 613-9390</t>
  </si>
  <si>
    <t>Mia Micaletti</t>
  </si>
  <si>
    <t>INFO NOT GUARANTEED. Upload Offers &amp; Check Property Status, www.homepath.com. If property states UNDER CONTRACT, website will not allow uploads. Need help? 866.218.4446. Contract Package Attached. OWNER OCCUPANTS 1ST 20 DAYS. Atty Holds EM.</t>
  </si>
  <si>
    <t>18W220</t>
  </si>
  <si>
    <t>Roosevelt to Summit South to 14th St West to Danby to Lowell</t>
  </si>
  <si>
    <t>Spacious 2 bedroom, 1.1 bathroom Townhome that has been freshly painted, new carpeting installed on the 2nd flr and gleaming hardwood floors. Includes a finished basement and a rear patio. Well maintained and in move in condition. A must see!</t>
  </si>
  <si>
    <t>Bromley</t>
  </si>
  <si>
    <t>ASHTON POINTE</t>
  </si>
  <si>
    <t>59 to North Aurora Rd., west to Pennsbury, south to Bromley.</t>
  </si>
  <si>
    <t>TWO BEDROOM, LOFT, HIGHLY UPGRADED END UNIT TOWN HOME  LOCATION IN THE ASHTON POINTE SUBDIVISION. FINISHES INCLUDE WOOD LAMINATE FLOORS, STAINLESS FRIDGE, MAPLE CABINETS, HIGHLY UPGRADED BATHS &amp; LARGE PATIO FOR OUTDOOR ENTERTAINMENT. DISTRICT 204 SCHOOLS! CLOSE TO 88, 59, TRAIN, DINING, ENTERTAINMENT, &amp; SHOPPING. 2 CAR ATTACHED GARAGE INCLUDED. CARPETS JUST PROFESSIONALLY CLEANED!</t>
  </si>
  <si>
    <t>Pantry-Walk-in</t>
  </si>
  <si>
    <t>Call CSS for all showings 877-977-1010</t>
  </si>
  <si>
    <t>Jed Parish</t>
  </si>
  <si>
    <t>630-688-6672</t>
  </si>
  <si>
    <t>Nice clean end unit home. Vacant and easy to show</t>
  </si>
  <si>
    <t>Woodview</t>
  </si>
  <si>
    <t>RT 19 W OF SHALES PKWY TO WOODVIEW CIRCLE SOUTH.</t>
  </si>
  <si>
    <t>REO - BANK OWNED.PROPERTY SOLD â€œAS ISâ€ WITHOUT REPAIR, WARRANTY OR SELLER DISCLOSURE. â€œSELLER WILL NOT ACTIVATE ANY UTILTIESâ€ Listing Broker &amp; Seller assume no responsibility &amp; make no guarantees/warranties or representations as to the availability or accuracy of the property information, photographs or other information depicted/described herein.. CASH &amp; CONVENTIONAL OFFERS</t>
  </si>
  <si>
    <t>Brick, Other</t>
  </si>
  <si>
    <t>See Secure Showing Assist Instructions for LB Code</t>
  </si>
  <si>
    <t>Ocwen</t>
  </si>
  <si>
    <t>RealHome Services &amp; Solutions Inc.</t>
  </si>
  <si>
    <t>(888) 876-3372</t>
  </si>
  <si>
    <t>Cheryl Rabin</t>
  </si>
  <si>
    <t>www.hubzu.com4 start &amp; end times Bank owned AS IS Offers MUST submit www.hubzu.com SELLER WONT ACTIVATE UTILITY 4 inspection.NO FAX/EMAIL OFFER PER SELLER,  View b4 bidding... Fee of $299.00&amp; 4.5%Buyer prem pd@ close by buyer</t>
  </si>
  <si>
    <t>Salisbury</t>
  </si>
  <si>
    <t>Bridlewood</t>
  </si>
  <si>
    <t>Grand Ave (Rt 132) W of Hunt Club 2 Bridlewood N2 Salisbury E2#</t>
  </si>
  <si>
    <t>Luxury town-home! Pristine condition with many upgrades. All Stainless Steel appliances, wood floors &amp; carpet 1 year new. Tile back splash,ceramic floors! Master bedroom features full bath &amp; lots of closets. Enjoy fireplace, vaulted ceilings. 2nd floor laundry. All baths remodeled with travertine, tile accent and granite tops. large living room with fireplace &amp; built-in bookcases. Private patio, attached 1 car garage</t>
  </si>
  <si>
    <t>None, Curbs/Gutters, Sidewalks, Street Lights, Street Paved</t>
  </si>
  <si>
    <t>Aluminum Siding, Vinyl Siding, Frame</t>
  </si>
  <si>
    <t>2.5% - $175 (on Net SP)</t>
  </si>
  <si>
    <t>Pls. Call Listing Office - Must Confirm 4 hrs. notice required</t>
  </si>
  <si>
    <t>Felicia Ballenger-Jordan</t>
  </si>
  <si>
    <t>(847) 530-1271</t>
  </si>
  <si>
    <t>$169 monthly assessment plus annual $140 for pond maintenance. NO FHA.  Conventional, VA and Cash only.</t>
  </si>
  <si>
    <t>69TH</t>
  </si>
  <si>
    <t>take Jeffery south to 69th St, take 69th St east to 2322 E. 69th St.</t>
  </si>
  <si>
    <t>Newly updated 2 bedroom condo with ceramic kitchen and bath. Spacious rooms with hardwood and ceramic flooring. Close to lake, parks and Metra.  This unit is eligible for Freddie Mac's First Look Initiative thru Nov. 28. Sold as-is. Buyer responsible for any compliances or escrows. Seller does not provide survey/survey affidavit. Real estate taxes are prorated at 100% of the most recent full year tax bill.</t>
  </si>
  <si>
    <t>Heat, Water, Common Insurance, Exterior Maintenance, Scavenger, Snow Removal</t>
  </si>
  <si>
    <t>Hot Water/Steam, Radiators</t>
  </si>
  <si>
    <t>$1500 (on Gross SP)</t>
  </si>
  <si>
    <t>CALL AGENT 773-575-5537 24 HR NOTICE A MUST-NO SUNDAYS</t>
  </si>
  <si>
    <t>Freddie Mac/Homesteps</t>
  </si>
  <si>
    <t>Chicago Realty &amp; Asset Mgmt</t>
  </si>
  <si>
    <t>(708) 529-7258</t>
  </si>
  <si>
    <t>Donna Adkins</t>
  </si>
  <si>
    <t>(773) 575-5537</t>
  </si>
  <si>
    <t>FAX 773-303-8824</t>
  </si>
  <si>
    <t>Fax offers to 773-303-8824 or email to dadkinsrealtor@aol.com. Preapproval or POF must accompany all offers along with OFFER SUBMISSION FORM in MLS. DO NOT SEND ADDENDUM. Cashier's check for EM.</t>
  </si>
  <si>
    <t>5s044</t>
  </si>
  <si>
    <t>Firestone</t>
  </si>
  <si>
    <t>From Route 59 and Diehl, go west to Country Lakes, R on Fairway, R on Oakmont, R on Firestone</t>
  </si>
  <si>
    <t>24X83</t>
  </si>
  <si>
    <t>Stylish and Trendy...with a basement! Mahogany floors on first floor, including kitchen. Soaring ceiling, MBR open to Great Room creates resort feel every day. Private deck built in 2013, newer powder room. Original second vanity removed from nook in MBR but plumbing remains. Basement unfinished, approx 1/3 has built in shelves for storage. Sep laundry room. Clubhouse, pool, tennis. Tranquil pond, plus golf course.</t>
  </si>
  <si>
    <t>23X11</t>
  </si>
  <si>
    <t>Golf Course, Pool-Outdoors, Tennis Court/s, Curbs/Gutters, Sidewalks, Street Lights, Street Paved</t>
  </si>
  <si>
    <t>Parking, Common Insurance, Clubhouse, Pool, Lawn Care, Scavenger, Snow Removal</t>
  </si>
  <si>
    <t>Recreation Room, Storage</t>
  </si>
  <si>
    <t>Call showing time 855-746-9100</t>
  </si>
  <si>
    <t>Susan Bragg</t>
  </si>
  <si>
    <t>(847) 962-9116</t>
  </si>
  <si>
    <t>The bachelor got married! Two combined households...a little crowded...but very good space! Notice floor plan.</t>
  </si>
  <si>
    <t>Oak Brook Club</t>
  </si>
  <si>
    <t>B202</t>
  </si>
  <si>
    <t>Oak Brook</t>
  </si>
  <si>
    <t>Route 83 to 16th St, East to Oak Brook Club, North to Condo</t>
  </si>
  <si>
    <t>OAK BROOK</t>
  </si>
  <si>
    <t>Lovely view. Wonderful floor plan â€“ no stairs in this condo, close to elevator. Formal living room with fireplace and balcony. Kitchen open to living room and dining room. Spacious master bedroom with 3 closets. Indoor parking spaces are very close to the elevator. Storage on same floor. Enjoy this gated community on 25 acres of park like grounds, swimming pool and exercise room. Easy access to I88 &amp; I294.</t>
  </si>
  <si>
    <t>SALT CREEK ELEMENTARY SCHOOL</t>
  </si>
  <si>
    <t>14X5</t>
  </si>
  <si>
    <t>6X18</t>
  </si>
  <si>
    <t>Water, Gas, Parking, Common Insurance, Security, Security System, TV/Cable, Clubhouse, Exercise Facilities, Pool, Exterior Maintenance, Lawn Care, Scavenger, Snow Removal, Internet Access</t>
  </si>
  <si>
    <t>Balcony, Foyer</t>
  </si>
  <si>
    <t>Dogs OK, Pet Count Limitation, Pet Weight Limitation</t>
  </si>
  <si>
    <t>24 hour notice. Text or call Beverly Lannon 708-705-8472</t>
  </si>
  <si>
    <t>Beverly Lannon</t>
  </si>
  <si>
    <t>(708) 705-8472</t>
  </si>
  <si>
    <t>Parking spaces next to elevator B54 &amp; B55. Same floor storage B21-2. Listing agent shows unit.</t>
  </si>
  <si>
    <t>HARLOWE</t>
  </si>
  <si>
    <t>Naper S of 75th to Harlowe Lane West to home</t>
  </si>
  <si>
    <t>WALDEN</t>
  </si>
  <si>
    <t>ALL NEW LOOK! FRESHLY PAINTED, NEW CARPET, NEW LIGHTING, GORGEOUS! Desirable first floor with NO STEPS, features sunny Breakfast Room with built-in shelves, Kitchen with oak cabinets and under cabinet lighting,crown molding and chair rails throughout, vaulted Living Rm, large Master Suite, tons of closet space, bonus of finished basement, drywalled and heated garage with new garage door, new roof! Close to shopping!</t>
  </si>
  <si>
    <t>Den, Office, Recreation Room, Other</t>
  </si>
  <si>
    <t>Humidifier, CO Detectors, Ceiling Fan, Sump Pump</t>
  </si>
  <si>
    <t>Condo, Townhouse-Ranch, Ground Level Ranch</t>
  </si>
  <si>
    <t>TEXT (STRONGLY PREFERRED) or call LA cell 630-710-7374 w Agent ID, date and time of show, get combo</t>
  </si>
  <si>
    <t>Sue Hedlund, CSC</t>
  </si>
  <si>
    <t>(630) 710-7374</t>
  </si>
  <si>
    <t>TEXT (STRONGLY PREFERRED) or call LA cell 630-710-7374 w Agent ID, date and time of showing, get quick confirmation (if texted) and combo, PLEASE REMOVE SHOES, turn off all lights and lock all doors, show anytime!</t>
  </si>
  <si>
    <t>Henley Lot#0504</t>
  </si>
  <si>
    <t>Mayfair</t>
  </si>
  <si>
    <t>Rt.59 North of 75th St. to Audrey E. Left on Blakely r. on Dunraven on your right.</t>
  </si>
  <si>
    <t>CLARK-A</t>
  </si>
  <si>
    <t>Brand NEW "Mayfair" Extension Of Naperville!  READY FOR OCCUPANCY!  Kitchen Ftrs 42" Cabs, Granite Counters, Plus SS Appl's. Volume Ceiling  Master/Br w/Pvt Bath. Second Br w/ Luxury Bath.  Stained Rails &amp; Spindles! 9' Ceils On 1st Floor! 204 School District/Close To Shopping &amp; Restaurants.  30 Year Transferrable Structural Warranty.  Photo's of subject home.  Hurry........READY NOW!</t>
  </si>
  <si>
    <t>07X06</t>
  </si>
  <si>
    <t>Oven/Range, Microwave, Dishwasher, Disposal, All Stainless Steel Kitchen Appliances</t>
  </si>
  <si>
    <t>Eating Area-Table Space, Island</t>
  </si>
  <si>
    <t>Water, Exterior Maintenance, Lawn Care, Snow Removal</t>
  </si>
  <si>
    <t>Eating Area, Great Room, Loft, Utility Room-2nd Floor</t>
  </si>
  <si>
    <t>3%-$200 ON BASE PRICE (on Net SP)</t>
  </si>
  <si>
    <t>Call the Community 630-416-7100 or use Showing Assist</t>
  </si>
  <si>
    <t>M/I Homes of Chicago, LLC</t>
  </si>
  <si>
    <t>630-416-7100</t>
  </si>
  <si>
    <t>Little Realty</t>
  </si>
  <si>
    <t>(630) 416-9000</t>
  </si>
  <si>
    <t>Cheryl Bonk</t>
  </si>
  <si>
    <t>Agents must accompany buyers on first visit. Please register with Marty. 11-6 any questions call Marty's cell 847-338-9635. Commission paid on base price.</t>
  </si>
  <si>
    <t>Old York</t>
  </si>
  <si>
    <t>YORK S OF BUTTERFLD E ON LEXINGTON S OLD YORK RD 2 CONDO</t>
  </si>
  <si>
    <t>GREAT 2 BEDROOM 1 BATH WAITING FOR YOUR UPDATES / TAXES PRORATED AT 100% / SOLD AS IS NO SURVEY NOR DISCLOSURES / FAX OFFERS TO OFFICE WITH PRE-APPROVAL OR PROOF OF FUNDS</t>
  </si>
  <si>
    <t>Storage, Security Door Locks</t>
  </si>
  <si>
    <t>Hot Water/Steam, Indv Controls</t>
  </si>
  <si>
    <t>RENTALS ALLOWED AFTER 1 YAR OF OWNER OCCUPANCY    Highest best and final offers due by 11/24/14 at 10:00 am</t>
  </si>
  <si>
    <t>0S768</t>
  </si>
  <si>
    <t>Jefferson</t>
  </si>
  <si>
    <t>HARPER WOODS</t>
  </si>
  <si>
    <t>ROOSEVELT TO EAST NORTH TO NICKELSON WEST TO Jefferson Ct</t>
  </si>
  <si>
    <t>Builder's model in Harper's Woods. 2012 remodel includes new carpet, granite, furnace, paint, garage door opener, dishwasher, microwave &amp; refinished hardwood floors.  Ample 2 Car Garage &amp; Full finished basement.  Loft overlooking grand, 2-Story Living Room.  Huge master bath &amp; finished basement.</t>
  </si>
  <si>
    <t>15X09</t>
  </si>
  <si>
    <t>26X17</t>
  </si>
  <si>
    <t>None, Curbs/Gutters, Street Lights, Street Paved</t>
  </si>
  <si>
    <t>Loft, Recreation Room</t>
  </si>
  <si>
    <t>Humidifier, TV-Cable, TV Antenna, CO Detectors, Ceiling Fan, Sump Pump</t>
  </si>
  <si>
    <t>Conventional, FHA, VA, Contract (Articles) for Deed, Lease/Purchase, Rent w/ Option</t>
  </si>
  <si>
    <t>2.5% - $75 (on Net SP)</t>
  </si>
  <si>
    <t>Call/text Tony 630-476-4291 for appt. 24 hour notice preferred as owner works nights.</t>
  </si>
  <si>
    <t>Acorn Realty, Inc.</t>
  </si>
  <si>
    <t>(630) 926-5644</t>
  </si>
  <si>
    <t>Joseph Ambrose</t>
  </si>
  <si>
    <t>Hillsboro</t>
  </si>
  <si>
    <t>WASHINGTON SQUARE</t>
  </si>
  <si>
    <t>Eola to Hafenrichter, south to Barrington, west to Hillsboro.</t>
  </si>
  <si>
    <t>GARFIELD</t>
  </si>
  <si>
    <t>***AWESOME, RENOVATED TOWNHOME IN A GREAT LOCATION*** FEATURES GLEAMING, HARDWOOD FOORS GRANITE CONVERSION COUNTERTOPS, ALL NEW APPLIANCES, GRAND 2-STORY LIVING/ENTRY, NEW RUBBED OIL BRONZE LIGHTING, FRESH PAINT T/O, PREMIUM UPGRADED CARPET, 2ND FLOOR LAUNDRY, VAULTED MASTER SUITE W/ WALK-IN CLOSET, SPACIOUS LOFT AREA - COULD BE 3RD BEDROOM. COME CHECK IT OUT TODAY BEFORE ITS GONE!!!</t>
  </si>
  <si>
    <t>18X9</t>
  </si>
  <si>
    <t>Easy show - Use Showing Assist</t>
  </si>
  <si>
    <t>HomeLITE Real Estate Services</t>
  </si>
  <si>
    <t>(630) 385-8929</t>
  </si>
  <si>
    <t>Jeremy McCalmont</t>
  </si>
  <si>
    <t>(630) 479-1346</t>
  </si>
  <si>
    <t>***Not a short sale or foreclosure*** FHA approved complex!</t>
  </si>
  <si>
    <t>SHADOW CREEK</t>
  </si>
  <si>
    <t>BUTTERFIELD/60 N2 HUNTINGTON E2 HAZELTIME N TO SHADOW CR</t>
  </si>
  <si>
    <t>ASTOR</t>
  </si>
  <si>
    <t>XXX</t>
  </si>
  <si>
    <t>HUGE PRICE REDUCTION!FIRST FLOOR LIVING,NO STAIRS,END UNIT 2 BEDRM,2 FULL BATH,2 CAR GARAGE.OPEN FLOOR PLAN,NEW FLOOR IN LIVING AREA,NEW CARPET IN BEDROOMS,FRESHLY PAINTED.  KITCHEN UPDATED WITH NEW DISHWASHER,SINK, FAUCET,SS APPLIANCES,GRANITE COUNTERTOPS,ISLAND, PANTRY.MASTER BDR W/WALKING CLOSET,NEW SHOWER,DOUBLE SINK.FIREPLACE,PATIO.NEAR PARKS,GOLF COURSE, SHOPPING.TAXES DO NOT REFLECT H/OWNER EXMPTN.MOTIV SELLER</t>
  </si>
  <si>
    <t>23X17</t>
  </si>
  <si>
    <t>Golf Course, Park/Playground, Sidewalks, Street Lights, Street Paved</t>
  </si>
  <si>
    <t>USE SHOWINGASSIST</t>
  </si>
  <si>
    <t>SMY Realty Group Inc.</t>
  </si>
  <si>
    <t>(847) 877-5582</t>
  </si>
  <si>
    <t>Maria Noudel, BPOR,SFR</t>
  </si>
  <si>
    <t>Riverside</t>
  </si>
  <si>
    <t>Harlem Avenue to Burlington, west to 241, unit D</t>
  </si>
  <si>
    <t>RIVERSIDE</t>
  </si>
  <si>
    <t>Close to downtown Riverside and Metra! Modern open floor plan with a 22 ft height skylight open atrium plan with a large master bdrm, lofted second bdrm, 2 full baths, updated kitchen. 2nd level laundry!  Plenty of storage. Attached garage. Heat pump &amp; C/A with a special recirculating system - green technology. Owner loves the space, needs to relocate.  Ready to move in! You'll be wow'd. Can hardly hear the train!</t>
  </si>
  <si>
    <t>CENTRAL ELEMENTARY SCHOOL</t>
  </si>
  <si>
    <t>L J HAUSER JUNIOR HIGH SCHOOL</t>
  </si>
  <si>
    <t>RIVERSIDE BROOKFIELD TWP SENIOR HIGH SCHOOL</t>
  </si>
  <si>
    <t>16X18</t>
  </si>
  <si>
    <t>Eating Area-Breakfast Bar, Island</t>
  </si>
  <si>
    <t>Intercom, Ceiling Fan</t>
  </si>
  <si>
    <t>Stucco, Concrete</t>
  </si>
  <si>
    <t>Condo-Loft, Townhouse-2 Story</t>
  </si>
  <si>
    <t>Heat Pump</t>
  </si>
  <si>
    <t>Call LO</t>
  </si>
  <si>
    <t>Pauline Sharpe, ABR,GREEN,GRI,SFR,SRES</t>
  </si>
  <si>
    <t>(708) 785-1895</t>
  </si>
  <si>
    <t>708-785-1895</t>
  </si>
  <si>
    <t>show and sell.  2nd bedroom is lofted with a closet.  don't let the train stop your buyers, the place is pretty much sound proof. photos of loft were before closet being built.</t>
  </si>
  <si>
    <t>Courtyard</t>
  </si>
  <si>
    <t>COURTYARDS OF ORCHARD VALLEY</t>
  </si>
  <si>
    <t>ORCHARD RD TO INDIAN TRAIL W 1 BLK TO VILLAGE CENTER S TO 2445</t>
  </si>
  <si>
    <t>Incredible property with gorgeous views of the pond right out your front door. Largest 2BR/2.5BA unit in the subdivision.  Finished LL for office/den, double sided gas fireplace in FR/LR, table area in kitchen, breakfast bar, 2 car attached garage, 2nd floor laundry room with washer &amp; dryer, whirlpool tub in MBR bath. Conv access to I88. Golf Course subdivision with restaurant, Shopping and restaurants nearby.</t>
  </si>
  <si>
    <t>HALL ELEMENTARY SCHOOL</t>
  </si>
  <si>
    <t>JEFFERSON MIDDLE SCHOOL</t>
  </si>
  <si>
    <t>WEST AURORA HIGH SCHOOL</t>
  </si>
  <si>
    <t>Oven/Range, Microwave, Dishwasher, Refrigerator, Freezer, Washer, Dryer, Disposal</t>
  </si>
  <si>
    <t>Eating Area-Breakfast Bar, Eating Area-Table Space, Pantry-Closet</t>
  </si>
  <si>
    <t>See through/Multi Sided, Gas Logs</t>
  </si>
  <si>
    <t>Online or call 855-746-9093. 4 hour notice is appreciated.</t>
  </si>
  <si>
    <t>Michael Cluck, ABR,SFR</t>
  </si>
  <si>
    <t>(630) 262-4341</t>
  </si>
  <si>
    <t>NOT A SHORT SALE. Can close quickly. One of the best locations in subdivision overlooking the pond, street parking in front of home, large front yards. Submit your offer via email to MikeCluck@remax.net with pre-approval letter or POF.</t>
  </si>
  <si>
    <t>Fawell</t>
  </si>
  <si>
    <t>GREENBRIAR PLACE</t>
  </si>
  <si>
    <t>Park to Fawell Go west to building</t>
  </si>
  <si>
    <t>2BR/2BA condo close to College of Dupage Campus. * End Unit*. To be sold strictly in AS-IS condition. special addendum on final sales contract. pre/approved buyers only, cash offers must be verified. Condo needs work. taxes pro rated 100%.</t>
  </si>
  <si>
    <t>Coin Laundry, Elevator, Exercise Room, Pool-Outdoors, Security Door Locks, Curbs/Gutters, Sidewalks, Street Lights, Street Paved</t>
  </si>
  <si>
    <t>Conventional, Cash Only, Other</t>
  </si>
  <si>
    <t>Use Showing Assist:</t>
  </si>
  <si>
    <t>Steve Bihun, e-PRO,SFR</t>
  </si>
  <si>
    <t>(630) 632-1968</t>
  </si>
  <si>
    <t>Please submit all offers to stevebihun@gmail.com</t>
  </si>
  <si>
    <t>Yosemite</t>
  </si>
  <si>
    <t>C7</t>
  </si>
  <si>
    <t>TRAILS VILLAGE</t>
  </si>
  <si>
    <t>PLUM GROVE SOUTH OF NERGE TO YOSEMITE</t>
  </si>
  <si>
    <t>ROSELLE</t>
  </si>
  <si>
    <t>Second floor unit with wood floors, fireplace, sliding doors to balcony, in-unit laundry! AS IS. Information not guaranteed. No disclosures. EM must be CERTIFIED funds.</t>
  </si>
  <si>
    <t>FREDRICK NERGE ELEMENTARY SCHOOL</t>
  </si>
  <si>
    <t>MARGARET MEAD JUNIOR HIGH SCHOOL</t>
  </si>
  <si>
    <t>J B CONANT HIGH SCHOOL</t>
  </si>
  <si>
    <t>Vinyl Siding, Brick, Frame</t>
  </si>
  <si>
    <t>Use Showing Assist or Call 855-746-9200</t>
  </si>
  <si>
    <t>(847) 724-5800</t>
  </si>
  <si>
    <t>Patti Furman</t>
  </si>
  <si>
    <t>(847) 729-7261</t>
  </si>
  <si>
    <t>Email offer, offer form in additional information, proof of funds/prequal to patti@pattifurman.com.</t>
  </si>
  <si>
    <t>Maple</t>
  </si>
  <si>
    <t>12C</t>
  </si>
  <si>
    <t>I-355 TO MAPLE AVE, EAST ON MAPLE AVE</t>
  </si>
  <si>
    <t>ENJOY THIS 2 BED 1 BATH CONDO LOCATED RIGHT OFF OF I-355. AGE RESTRICTION -  55+ TO OWN THIS SPACIOUS CONDO WITH A GREAT FLOOR PLAN AND ROOM SIZES. ALL INFO IS APPROX AND ESTIMATED.  SOLD AS IS. TAXES ARE PRORATED AT 100%. BUYER RESPONSIBLE FOR SURVEY, TRANSFER STAMPS, INSPECTIONS, UTILITIES AND ESCROWS. ADDENDUMS TO FOLLOW ACCEPTANCE OF OFFER. Subject to HUD Guidelines 24 CFR 206.125.â€‹ Public Act 94-1049 May Apply</t>
  </si>
  <si>
    <t>Water, Scavenger, Snow Removal</t>
  </si>
  <si>
    <t>SELLER HAS VERBALLY ACCEPTED AN OFFER 11/13/2014.  PLEASE SUBMIT ALL OFFERS TO OFFERS@SMITHREO.COM / ALL OFFERS MUST INCLUDE UPDATED PROOF OF FUNDS LETTER AND REPA DISCLOSURE FORM (ATTACHED IN MLS)</t>
  </si>
  <si>
    <t>Fairview</t>
  </si>
  <si>
    <t>FARMINGDALE NORTH</t>
  </si>
  <si>
    <t>75th Street to Fairview, Then North to Entrance. Turn Right after you enter the complex.</t>
  </si>
  <si>
    <t>Nice 2nd floor condo with a courtyard/pond view. New Carpeting,brand new furnace. Neutral decor. Just Painted. Range hood just replaced. Stove and refrig 3 yrs old. Sliding glass door and windows replaced in 2008. Pet friendly building.Coin laundry in the building. Well run complex w/Club House and Pool. Excellent schools. Pace bus to METRA train from shopping cntr at 75th/Fairview. Owner can rent. FHA Approved!</t>
  </si>
  <si>
    <t>MULTIPLE SELECTION</t>
  </si>
  <si>
    <t>Coin Laundry, Party Room, Pool-Outdoors, Tennis Court/s, Sidewalks, Street Lights, Street Paved</t>
  </si>
  <si>
    <t>Heat, Water, Parking, Common Insurance, Clubhouse, Pool, Exterior Maintenance, Lawn Care, Scavenger, Snow Removal</t>
  </si>
  <si>
    <t>S (South), Lake/Water</t>
  </si>
  <si>
    <t>2.5%-$150.00 (on Net SP)</t>
  </si>
  <si>
    <t>Use Showing Assist or Call 800 746-9464 easy show</t>
  </si>
  <si>
    <t>Mary Braatz, ABR,CRS,GRI</t>
  </si>
  <si>
    <t>(630) 258-7677</t>
  </si>
  <si>
    <t>630 258-7677</t>
  </si>
  <si>
    <t>Investors welcome! 2nd Floor Unit, no elevator. Parking Space 58.  **FHA Approved** Storage Locker on same floor.</t>
  </si>
  <si>
    <t>Heathrow</t>
  </si>
  <si>
    <t>The Fields</t>
  </si>
  <si>
    <t>75th to Rickert north to West Street turn right to Pl/Naper to 944 Heathrow.</t>
  </si>
  <si>
    <t>52X120X116X54</t>
  </si>
  <si>
    <t>This Home will immediately say to you WELL CARED FOR IN EVERY WAY! You will be proud to show it and excited for your buyers. Much sought after ranch in The Fields this home is ready NOW.   Going room to room will be a pleasure as everything is SPOTLESS!  There is so much room for a family or a buyer downsizing but still needs room. Full Finished basement with a bedroom and Full Bath has many options. Great location!!</t>
  </si>
  <si>
    <t>MAY WATTS ELEMENTARY SCHOOL</t>
  </si>
  <si>
    <t>32X24</t>
  </si>
  <si>
    <t>4C Realty</t>
  </si>
  <si>
    <t>(630) 290-5239</t>
  </si>
  <si>
    <t>Kathy Nosek, ABR</t>
  </si>
  <si>
    <t>PLEASE HAVE EVERYONE REMOVE SHOES OR WEAR BOOTIES. THE CARPETS WERE JUST PROFESSIONALLY CLEANED TODAY. LEAVE OUTSIDE LIGHT ON AND HALLWAY LIGHT ON. PLEASE MAKE SURE ALL DOORS ARE LOCKED AND OTHER LIGHTS ARE OFF.</t>
  </si>
  <si>
    <t>Lake in the Woods</t>
  </si>
  <si>
    <t>Plainfield Road, west to Woodglen. Right (north) on Woodglen to bldg on right.</t>
  </si>
  <si>
    <t>Homeowner, Senior, Senior Freeze</t>
  </si>
  <si>
    <t>Fantastic top floor unit nestled in peaceful wooded surroundings! Gorgeous new Kit. w/Hampton Bay cabs., new gas range, micro, dishwasher, deep stainless sink, granite counters, recessed lights. Beaut. hdwd floors thru-out. 30 ft. balcony! Updated Bath w/stacked W&amp;D. Walk-In MBR closet, heated garage space w/large storage unit. GFA furnace 1 yr old. CAC. Assessment includes heat, gas,water!  Note: Sliding doors As Is</t>
  </si>
  <si>
    <t>ELIZABETH IDE ELEMENTARY SCHOOL</t>
  </si>
  <si>
    <t>LAKEVIEW JUNIOR HIGH SCHOOL</t>
  </si>
  <si>
    <t>Elevator, Storage, On Site Manager/Engineer, Receiving Room, Security Door Locks, Street Lights, Street Paved</t>
  </si>
  <si>
    <t>Common Grounds, Landscaped Professionally, Pond, Wooded</t>
  </si>
  <si>
    <t>Heat, Water, Gas, Parking, Common Insurance, Security, Exterior Maintenance, Lawn Care, Scavenger, Snow Removal</t>
  </si>
  <si>
    <t>Cats OK, Pet Count Limitation</t>
  </si>
  <si>
    <t>Transmitter(s), Heated</t>
  </si>
  <si>
    <t>2.5% - $200.00 (on Net SP)</t>
  </si>
  <si>
    <t>Call LA to schedule.  Seller will let you in &amp; leave while you show. As much notice as possible, pls</t>
  </si>
  <si>
    <t>Real Living Gobber Realty</t>
  </si>
  <si>
    <t>(708) 531-0800</t>
  </si>
  <si>
    <t>Deborah Toscano, CSC</t>
  </si>
  <si>
    <t>815-474-4984</t>
  </si>
  <si>
    <t>Great unit &amp; area.  Highly-desirable "Lake in the Woods" has it all  (that few others do):  Heated garage parking, Central Air, Large outside space--30' balcony, Washer &amp; Dryer in unit.</t>
  </si>
  <si>
    <t>76th</t>
  </si>
  <si>
    <t>Pulaski N or South to 76th St. west to address</t>
  </si>
  <si>
    <t>BEAUTIFUL, MOVE-IN READY 2 BED, 2 BATH CONDO THAT'S FRESHLY PAINTED THROUGH OUT IS LOOKING FOR A NEW OWNER. THE SUN DRENCHED MASTER SUITE HAS A LARGE WALK-IN CLOSET AND ATTACHED FULL BATHROOM. ALL APPLIANCES STAY INCLUDING IN-UNIT WASHER &amp; DRYER INSIDE THE UNITS LAUNDRY ROOM. RELAX ON THE LARGE BALCONY THAT'S PERFECT FOR GRILLING AS WELL! WELL MAINTAINED AND QUIET CONDO BUILDING. 1 CAR GARAGE! ESTATE SALE</t>
  </si>
  <si>
    <t>2.5% ON NET (on Net SP)</t>
  </si>
  <si>
    <t>TEXT L/A ESTHER 773.220.4574 15 MIN SHOWING WINDOW, SOME NOTICE REQ'D</t>
  </si>
  <si>
    <t>Ultimate Real Estate Group LLC</t>
  </si>
  <si>
    <t>(773) 924-5545</t>
  </si>
  <si>
    <t>Esther Williams</t>
  </si>
  <si>
    <t>(773) 220-4574</t>
  </si>
  <si>
    <t>Commuter Bus, Interstate Access</t>
  </si>
  <si>
    <t>Village</t>
  </si>
  <si>
    <t>FAIRFIELD N OF RT 134 TO MAYFIELD ,W TO VILLAGE TO #</t>
  </si>
  <si>
    <t>Spacious open floor plan townhouse. Some updating needed, but the value is great! Sold in "as-is" condition. Nice neighborhood.</t>
  </si>
  <si>
    <t>JOHN T MAGEE MIDDLE SCHOOL</t>
  </si>
  <si>
    <t>ROUND LAKE SENIOR HIGH SCHOOL</t>
  </si>
  <si>
    <t>Monday through Friday</t>
  </si>
  <si>
    <t>Please call showing service at 877-977-1010</t>
  </si>
  <si>
    <t>Amber Realty Inc.</t>
  </si>
  <si>
    <t>(847) 660-6020</t>
  </si>
  <si>
    <t>Egle Vasiliauskiene, GRI</t>
  </si>
  <si>
    <t>Please email offers to amberrealty@gmail.com or fax 847 660 6023. Pre-approval letter or proof of funds should accompany all offers;  Earnest money must be certified funds. 100% tax proration. No survey provided. H&amp;B 01-07-15 at 10AM</t>
  </si>
  <si>
    <t>Commonwealth</t>
  </si>
  <si>
    <t>New Century Town</t>
  </si>
  <si>
    <t>Rt 60 &amp; Lakeview N to Hawthorn Pkwy W to Commonwealth</t>
  </si>
  <si>
    <t>1ST FLOOR</t>
  </si>
  <si>
    <t>Wow! Donâ€™t pass this one by! 2 spacious bedrooms, 2 baths in this 1st floor unit. New updated kitchen boasts granite counters, oak cabinets, stainless steel appls, new garbage disposal &amp; light fixture.  Large living room with fireplace &amp; built-in shelves. Large master with double closet. Updated baths with tile flooring. Freshly painted and has new carpet thru-out! Large deck with access from living room &amp; kitchen.</t>
  </si>
  <si>
    <t>21X07</t>
  </si>
  <si>
    <t>Storage, Park/Playground, Pool-Outdoors, Security Door Locks, Curbs/Gutters, Sidewalks, Street Lights, Street Paved</t>
  </si>
  <si>
    <t>USE SHOWING ASSIST OR CALL THE LISTING OFFICE</t>
  </si>
  <si>
    <t>Dee Wagner, ABR,GRI</t>
  </si>
  <si>
    <t>(847) 980-4014</t>
  </si>
  <si>
    <t>847-980-4014</t>
  </si>
  <si>
    <t>Beautiful!  Your buyer will not be disappointed!  Additional PIN: 11-32-414-197. 2013 taxes reflected in total amount.</t>
  </si>
  <si>
    <t>Village Center</t>
  </si>
  <si>
    <t>PKWY</t>
  </si>
  <si>
    <t>Orchard Valley</t>
  </si>
  <si>
    <t>Orchard Rd, West on Indian Trail, south on Village Center, right into parking lot</t>
  </si>
  <si>
    <t>AUGUSTA</t>
  </si>
  <si>
    <t>Spacious, 3bed, 2.1 bath townhome close to it all! Separate living and dining room, with SGD to balcony. Master has private bath. Lower level is finished with an additional room which could be a bedroom, den, or office. Close to schools, shopping, dining, and easy access to I-88.</t>
  </si>
  <si>
    <t>(708) 590-2423</t>
  </si>
  <si>
    <t>Amie Langus</t>
  </si>
  <si>
    <t>(630) 649-3349</t>
  </si>
  <si>
    <t>Property to be sold at online auction. Pease see homesearch.com for details. Buyer to pay 5% premium. Financed offers MUST be prequaled through Greenlight loans 866-250-7143 sales@homesearch.com to bid before auction</t>
  </si>
  <si>
    <t>REGENT</t>
  </si>
  <si>
    <t>TIMBER TRAILS</t>
  </si>
  <si>
    <t>RANDAL S OF I90-BIG TIMBER,W-MEADOW,N-REGENT</t>
  </si>
  <si>
    <t>BISCAYNE</t>
  </si>
  <si>
    <t>35 X 95</t>
  </si>
  <si>
    <t>HUD FORECLOSURE CASE #137-291389, SOLD "AS-IS", CODE "IN" (SUBJECT TO FHA APPRAISAL) 203K ELIGIBLE. OWNER OCCUPANTS, NONPROFITS &amp; GOVERNMENT AGENCIES ONLY THRU 11/24/14.  ALL BIDS SEALED THRU 11/19/24. SPACIOUS 2 BED/2.5 BATH WITH CONVERTABLE LOFT FOR POSSIBLE 3RD BEDROOM. FULL FINISHED BASEMENT. BACKS UP TO OPEN SPACE. 2 CAR GARAGE. ****EQUAL HOLUSING OPPORTUNITY****</t>
  </si>
  <si>
    <t>GILBERTS ELEMENTARY SCHOOL</t>
  </si>
  <si>
    <t>20X20</t>
  </si>
  <si>
    <t>Microwave, Disposal</t>
  </si>
  <si>
    <t>CLICK BELOW FOR EASY SHOW INSTRUCTIONS</t>
  </si>
  <si>
    <t>ENTER COOPERATIVE COMPENSATION AMOUNT WHEN PLACING BID. HUD CASE #137-291389, SOLD "AS-IS", GOTO HUDHOMESTORE.COM OR OFORIREO.COM FOR BIDDING INFO.</t>
  </si>
  <si>
    <t>Yellowstone</t>
  </si>
  <si>
    <t>Forest Ridge</t>
  </si>
  <si>
    <t>Lake St. (Route 20) west of Rte. 59 to Elizabeth North to Yellowstone</t>
  </si>
  <si>
    <t>Short Sale APPROVED for $185,100 .SPACIOUS 2 BEDROOM,2.5 BATH TOWN HOME .NICE SIZE LOFT PERFECT  FOR USE AS A HOME OFFICE * FINISHED BASEMENT*FIREPLACE*  2 CAR GARAGE*HARDWOOD FLOOR THROUGHOUT*HOME BACKS TO WOODED AREA. PURSUANT TO SHORT SALE SUBJECT TO LENDER APPROVAL.</t>
  </si>
  <si>
    <t>19X19</t>
  </si>
  <si>
    <t>2.5%- $275 IF COMMISSION IS REDUCED ON OR BEFORE CLOSING IT WILL BE SPLIT EQUALLY (on Gross SP)</t>
  </si>
  <si>
    <t>CALL LA 847-287-4874</t>
  </si>
  <si>
    <t>OWNER OF RECORDS</t>
  </si>
  <si>
    <t>Plus Real Estate Services, Inc.</t>
  </si>
  <si>
    <t>(708) 867-0600</t>
  </si>
  <si>
    <t>Peter Twardowski</t>
  </si>
  <si>
    <t>(708) 867-0600x108</t>
  </si>
  <si>
    <t>King</t>
  </si>
  <si>
    <t>East Dundee</t>
  </si>
  <si>
    <t>RTE</t>
  </si>
  <si>
    <t>* INCREDIBLE 2 STORY * 18 FT CEILINGS IN LIVING ROOM W/ SKY LIGHTS &amp; FIRE PLACE * BEAUTIFUL KITCHEN WITH GRANITE COUNTERS * HARDWOOD FLOORING THROUGH OUT ENTIRE MAIN FLOOR AND UPSTAIRS * FULL FINISHED BASEMENT W/ NEW CARPETING * FAM RM / LOFT UPSTAIRS * FRESHLY PAINTED * PRIVATE MASTER BEDROOM BATH * 2 CAR GARAGE * HOME BACKS UP TO OPEN SPACE * FANTASTIC LOCATION * ALL APPLIANCES STAY * HOME IN IN PRISTINE CONDITION</t>
  </si>
  <si>
    <t>22X20</t>
  </si>
  <si>
    <t>Workroom</t>
  </si>
  <si>
    <t>08X07</t>
  </si>
  <si>
    <t>22X06</t>
  </si>
  <si>
    <t>Parking, Common Insurance, Exterior Maintenance, Lawn Care, Scavenger</t>
  </si>
  <si>
    <t>Foyer, Loft, Storage, Workroom</t>
  </si>
  <si>
    <t>2.5%-150 (on Gross SP)</t>
  </si>
  <si>
    <t>WITHELD</t>
  </si>
  <si>
    <t>Dick West Real Estate</t>
  </si>
  <si>
    <t>(847) 426-6800</t>
  </si>
  <si>
    <t>Patrick West</t>
  </si>
  <si>
    <t>(847) 809-8734</t>
  </si>
  <si>
    <t>* PERFECT 10 2 STORY * HARDWOOD FLOORING EVERYWHERE * 18 FT CEILING IN LIVING ROOM W/ FIRE PLACE * FINISHED BASEMENT * MASTER BEDROOM BATH * HOME BACKS UP TO OPEN SPACE *</t>
  </si>
  <si>
    <t>Orchard Road south of I88 to Indian Trail west to Village Center Parkway turn left to end.</t>
  </si>
  <si>
    <t>Super Clean! Move in ready 2 BR town home in golf course community of Orchard Valley. 2 car attached garage. Lower level offers finished room great for home office. Conveniently located less than 1 mile from I88 access. Several Health clubs with 1 mile including the Vaughan Athletic Center. Orchard Valley is a top 10 Illinois public golf course with practice facility, clubhouse and restaurant. Property can be rented!</t>
  </si>
  <si>
    <t>HERGET MIDDLE SCHOOL</t>
  </si>
  <si>
    <t>7X11</t>
  </si>
  <si>
    <t>Golf Course</t>
  </si>
  <si>
    <t>Please call CSS: 1-877-977-1010</t>
  </si>
  <si>
    <t>Joe Kelly, ABR,GRI</t>
  </si>
  <si>
    <t>(630) 408-4400</t>
  </si>
  <si>
    <t>Investors CAN rent!  FHA/VA approved.  Traditional Sale</t>
  </si>
  <si>
    <t>Ardmore</t>
  </si>
  <si>
    <t>Roosevelt to Adare Farms, to Ardmore (Right)</t>
  </si>
  <si>
    <t>HUNTINGTON</t>
  </si>
  <si>
    <t>Outstanding value, plus a $2500 new carpet/paint allowance to help the buyer make the personalized updates they desire.  First-floor condo end-unit on 1 level with 2 bedrooms and 2 baths. Great backyard view to open greenbelt vista.  Convenient location to shopping, train station and hospital.</t>
  </si>
  <si>
    <t>Common Insurance, Security System, Exterior Maintenance, Lawn Care, Snow Removal</t>
  </si>
  <si>
    <t>Call 1.866.571.7181</t>
  </si>
  <si>
    <t>(630) 469-7000</t>
  </si>
  <si>
    <t>Dale Houston</t>
  </si>
  <si>
    <t>(630) 235-3928</t>
  </si>
  <si>
    <t>One floor living, great location.</t>
  </si>
  <si>
    <t>COBBLER</t>
  </si>
  <si>
    <t>FAIRFAX COMMONS</t>
  </si>
  <si>
    <t>Army Trail Road to Fairfax, North to Cromwell, East to Home</t>
  </si>
  <si>
    <t>DOVER</t>
  </si>
  <si>
    <t>Light &amp; Bright OPEN FLOOR PLAN*Two story foyer, living room &amp; dining room opens to your private deck*Sun filled Eat-in Kitchen*Big master suite w/vaulted ceiling, ceiling fan and huge walk in closet*Good sized 2nd bedroom*Big loft overlooking foyer*Convenient to shopping, major highways and the Metra in town!!</t>
  </si>
  <si>
    <t>PRAIRIEVIEW ELEMENTARY SCHOOL</t>
  </si>
  <si>
    <t>EAST VIEW MIDDLE SCHOOL</t>
  </si>
  <si>
    <t>BARTLETT HIGH SCHOOL</t>
  </si>
  <si>
    <t>Eating Area-Table Space, Pantry-Butler</t>
  </si>
  <si>
    <t>2.5%-100 (on Net SP)</t>
  </si>
  <si>
    <t>CALL LISTING OFFICE</t>
  </si>
  <si>
    <t>RE/MAX Central Inc.</t>
  </si>
  <si>
    <t>(630) 980-4440</t>
  </si>
  <si>
    <t>Mary McFarland</t>
  </si>
  <si>
    <t>(630) 632-7753</t>
  </si>
  <si>
    <t>KANE</t>
  </si>
  <si>
    <t>MCLEAN BLVD SOUTH OF BOWES EAST ON KANE STREET</t>
  </si>
  <si>
    <t>2 BEDROOMS AND 2 FULL BATHS!! DETACHED 1 CAR GARAGE.  LAUNDRY IN UNIT. LARGE KITCHEN W/ISLAND.  DINING AREA WITH  SLIDING DOORS THAT LEAD TO A BALCONY. INSURED - SOLD AS- IS ALL INFORMATION DEEMED RELIABLE BUT NOT GUARANTEED</t>
  </si>
  <si>
    <t>Owner Occupts, NPOs &amp; Gov't Agencies bidding @ www.hudhomestore.com ref. 137-215972. Up to 3% CC. NAID# needed to bid. Exclusive bidding thru 11/16/2014 . Daily after if available. More info @ www.hudpemco.com. 203k eligible</t>
  </si>
  <si>
    <t>MCLEAN</t>
  </si>
  <si>
    <t>NORTH MCLEAN BLVD. (N OF WING ST.) TO THE GREENS ON EAST SIDE OF STREET</t>
  </si>
  <si>
    <t>DELUXE AGE RESTRICTED SENIOR CONDO BUILDING WITH SPACIOUS GROUNDS, BEAUTIFUL AMENITIES, LOTS OF PLANNED ACTIVITIES IN A CONVENIENT LOCATION! 2 BEDROOMS, SPACIOUS FULLY APPLIANCED KITCHEN, PRIVATE BALCONY OVERLOOKING LAWN AND TREES. MONTHLY ASSESSMENT PAYS ALL UTILITIES, PROVIDES 20 DELICIOUS DINNER MEALS, TWICE MONTHLY HOUSEKEEPING INCLUDING LINEN CHANGES AND MORE! SCHEDULED VAN TRIPS FOR SHOPPING AND ENTERTAINMENT</t>
  </si>
  <si>
    <t>Commissary, Elevator, Exercise Room, Storage, On Site Manager/Engineer, Party Room, Security Door Locks, Service Elevator, Curbs/Gutters, Sidewalks, Street Lights, Street Paved</t>
  </si>
  <si>
    <t>Heat, Air Conditioning, Water, Electric, Gas, Common Insurance, TV/Cable, Clubhouse, Exercise Facilities, Exterior Maintenance, Lawn Care, Scavenger, Snow Removal</t>
  </si>
  <si>
    <t>CLO</t>
  </si>
  <si>
    <t>Gordon Gromer</t>
  </si>
  <si>
    <t>(847) 812-6468</t>
  </si>
  <si>
    <t>REAL ESTATE TAXES HAVE NO EXEMPTIONS...WILL BE LOWER WITH SALE.  MOTIVATED SELLER</t>
  </si>
  <si>
    <t>29W431</t>
  </si>
  <si>
    <t>Emerald Green</t>
  </si>
  <si>
    <t>24-A</t>
  </si>
  <si>
    <t>Butterfield E of Rt 59 to Batavia Rd N to Emerald Green rt to stop sign-turn left.</t>
  </si>
  <si>
    <t>Perfect 2br,2bth 1st flr location offering complete remodel. Ocean blue granite island kit opens to living rm. New stainless appls,dk maple 42"cabs, mini mosaic bksplsh, recessed &amp; stage pendant lighting. Zero radius under mt ss sink w/Giagni faucet. SS range hood over slide in range. New 4" maple flrs &amp; carpeting throughout. New ceramic bths w/floating vanitys.  Pool, tennis with clubhouse. Steps to Blackwell F.P.</t>
  </si>
  <si>
    <t>16X09</t>
  </si>
  <si>
    <t>08X08</t>
  </si>
  <si>
    <t>Park/Playground, Pool-Outdoors, Security Door Locks, Tennis Court/s, Curbs/Gutters, Street Lights, Street Paved</t>
  </si>
  <si>
    <t>Oven/Range, Dishwasher, High End Refrigerator, Disposal, All Stainless Steel Kitchen Appliances</t>
  </si>
  <si>
    <t>Parking, Common Insurance, Clubhouse, Exercise Facilities, Pool, Exterior Maintenance, Lawn Care, Scavenger, Snow Removal</t>
  </si>
  <si>
    <t>N (North), S (South), W (West)</t>
  </si>
  <si>
    <t>Arbor Enterprises LLC</t>
  </si>
  <si>
    <t>Dixon REALTORS</t>
  </si>
  <si>
    <t>(708) 784-1000</t>
  </si>
  <si>
    <t>Charles Dixon</t>
  </si>
  <si>
    <t>(708) 717-4469</t>
  </si>
  <si>
    <t>708-717-4469</t>
  </si>
  <si>
    <t>Must see this chic condo. Open flr plan with wall between kitchen and living replaced w/ granite island. Every switch &amp; outlet has been replaced. All new doors. Entire condo painted.</t>
  </si>
  <si>
    <t>Victoria Park</t>
  </si>
  <si>
    <t>Simms to four seasons to Victoria Park</t>
  </si>
  <si>
    <t>Buy Now 2 story 2 bedroom in Hometown. Needs complete rehab. SOLD AS IS , 100% TAX PRO/NO SURVEY/POF WITH ALL OFFERS. MOLD TAKE PRECAUTIONS ENTER AT OWN RISK</t>
  </si>
  <si>
    <t>Water, Common Insurance, Lawn Care, Snow Removal</t>
  </si>
  <si>
    <t>CLICK BELOW</t>
  </si>
  <si>
    <t>BAYVIEW LOANS</t>
  </si>
  <si>
    <t>LOMITAS REAL ESTATE</t>
  </si>
  <si>
    <t>(630) 851-9595</t>
  </si>
  <si>
    <t>Malanie Moreno</t>
  </si>
  <si>
    <t>(630) 669-4344</t>
  </si>
  <si>
    <t>MOLD TAKE PRECAUTIONS ENTER AT OWN RISK</t>
  </si>
  <si>
    <t>Raleigh</t>
  </si>
  <si>
    <t>Springbrook Villas</t>
  </si>
  <si>
    <t>(S) on Barrington Rd, (E) on Lake St, (S) on Fairfield Way, (W) on Schick Rd, (R) on Raleigh</t>
  </si>
  <si>
    <t>895 SQ FT</t>
  </si>
  <si>
    <t>Taking meticulous to a whole new level!Featuring a grand entry unfolding to an expansive 2-stry living rm w/incredible oak trim finishes &amp; FP,remarkable new kit overlooking breakfast area w/42â€cherry cab, granite,SS appl,ceramic tile &amp; hrdwd flrs T/O,2BR,1.1BA,loft,mastr ste w/fabulous WIC &amp; blt-ins,shared BA w/dble vanity &amp; shower/soaking tub,1-car garage &amp; a private patio.Near restaurants,shopping &amp; forest preserve</t>
  </si>
  <si>
    <t>15X4</t>
  </si>
  <si>
    <t>Double Sink, Soaking Tub</t>
  </si>
  <si>
    <t>Visitor Parking, Driveway</t>
  </si>
  <si>
    <t>Easy, please call Showing Times at 855-746-9200 to schedule an appt.</t>
  </si>
  <si>
    <t>(847) 382-3600</t>
  </si>
  <si>
    <t>Robbie Morrison, SFR</t>
  </si>
  <si>
    <t>(847) 212-0966</t>
  </si>
  <si>
    <t>For more information please feel free to visit www.149Raleigh.CanBYours.com</t>
  </si>
  <si>
    <t>From Holmes Ave towards 58th St Turn right onto 58th St</t>
  </si>
  <si>
    <t>See secure showing assist instructions for LB Code</t>
  </si>
  <si>
    <t>ocwen</t>
  </si>
  <si>
    <t>1S219</t>
  </si>
  <si>
    <t>ARDMORE</t>
  </si>
  <si>
    <t>ROOSEVELT TO ARDMORE S TO HOME</t>
  </si>
  <si>
    <t>32 X 74</t>
  </si>
  <si>
    <t>RARELY AVAILABLE, MAINTENANCE-FREE TOWNHOME w/ great floorplan beautiful parquet hardwood floors &amp; 2 spacious bedrooms + a loft that can be used for office! Great outdoor entertainment space w/ newly restored deck plus a concrete patio all in a fenced-in/private yard, newer roof, newer appliances, 2 full baths, + finished basement! Enjoy &amp; relax at the clubhouse &amp; pool instead of mowing the lawn &amp; shoveling the snow</t>
  </si>
  <si>
    <t>On Site Manager/Engineer, Park/Playground, Party Room, Pool-Outdoors, Curbs/Gutters, Sidewalks, Street Lights, Street Paved</t>
  </si>
  <si>
    <t>2.5% - $300 (on Gross SP)</t>
  </si>
  <si>
    <t>EASY TO SHOW - USE SHOWING ASSIST</t>
  </si>
  <si>
    <t>Berkshire Hathaway HomeServices Prairie Path REALTORS</t>
  </si>
  <si>
    <t>(630) 279-9500</t>
  </si>
  <si>
    <t>Michelle Muisenga</t>
  </si>
  <si>
    <t>(630) 290-6774</t>
  </si>
  <si>
    <t>CHEAPER THAN RENTING, MAKE US AN OFFER!</t>
  </si>
  <si>
    <t>HEATHER RIDGE</t>
  </si>
  <si>
    <t>Gages LkRd to Colby S To Manchester L to Water Tower,LB on side of Security Bldg, Manchester to Vose</t>
  </si>
  <si>
    <t>Fantastic Location! Bright &amp; Cheery unit freshly painted &amp; new carpet coming soon.  Kitchen opens to spacious living room w/patio door leading to huge private balcony for outdoor enjoyment. King size master has walk-in closet. Heated underground parking. Unit is only steps to the elevator, mailbox, garbage chute, lobby &amp; storage rm. Bldg is right next door to clubhouse &amp; pool. 24 hr on-site security. FHA Approved!</t>
  </si>
  <si>
    <t>COLLEGE OF LAKE COUNTY</t>
  </si>
  <si>
    <t>Elevator, Exercise Room, Storage, Golf Course, Health Club, Party Room, Pool-Outdoors, Restaurant, Security Door Locks, Tennis Court/s, Curbs/Gutters, Street Lights, Street Paved</t>
  </si>
  <si>
    <t>2.5% -$200. (on Net SP)</t>
  </si>
  <si>
    <t>Call BW Showing Desk at 855-746-9100. LB rail at Security Bldg 5864 Manchester by Water Tower</t>
  </si>
  <si>
    <t>(847) 367-1855</t>
  </si>
  <si>
    <t>Robin Schoonhoven</t>
  </si>
  <si>
    <t>(847) 767-7878</t>
  </si>
  <si>
    <t>Not a foreclosure or short sale.  Parking Space is #55. New carpet being installed soon. Lock Box's are located at the Maintenance/Security Bldg at 5801 Manchester Dr. (by the water tower)  Lock box rail on east side of bldg. FHA approved!</t>
  </si>
  <si>
    <t>RT.60 &amp; BUTTERFIELD, N2 HUNTINGTON, W2 BALLANTRAE</t>
  </si>
  <si>
    <t>Complete Rehab! New Kitchen w/  SS Appliances,  Granite Countertops, and Cherry Cabinets!  Master Bath Features Double Sinks, Granite Counters, Tile Surround Tub w/Rain Shower Head, New Vanities, Mirrors and Lighting. Hall Bath W/Granite/New Vanity/New Lights. Kitchen and Baths have Stone Finish Tile Floors. LR, DR,Bedrooms Newly Carpeted. New Furnace. Freshly Painted. Vaulted LR,  Balcony, Pool and Clubhouse, WOW!!</t>
  </si>
  <si>
    <t>9X6</t>
  </si>
  <si>
    <t>14X6</t>
  </si>
  <si>
    <t>Gas, Electric, Forced Air</t>
  </si>
  <si>
    <t>2.5%-250 (on Gross SP)</t>
  </si>
  <si>
    <t>Use Showing Assist or Call Office</t>
  </si>
  <si>
    <t>(847) 991-5100</t>
  </si>
  <si>
    <t>Richard Rashman, SFR</t>
  </si>
  <si>
    <t>(847) 254-7905</t>
  </si>
  <si>
    <t>Shows Great!</t>
  </si>
  <si>
    <t>Indiana</t>
  </si>
  <si>
    <t>Bloomingdale Rd. north of Army Trail to Greenway, east to College, right on College to Indiana,right</t>
  </si>
  <si>
    <t>2 Bed, 1 Bath, 1 Car garage with finished basement. Seller can close early.</t>
  </si>
  <si>
    <t>13X18</t>
  </si>
  <si>
    <t>Call LA at 224 402 - 3570</t>
  </si>
  <si>
    <t>Charles Rutenberg Realty</t>
  </si>
  <si>
    <t>Dilip Shinde</t>
  </si>
  <si>
    <t>(224) 402-3570</t>
  </si>
  <si>
    <t>For showing call LA at 224 402 - 3570 Regular Sell.</t>
  </si>
  <si>
    <t>TIMBER RIDGE</t>
  </si>
  <si>
    <t>103-B</t>
  </si>
  <si>
    <t>Bloomingdale Rd. to W on E. Geneva, to N on E. President.  R into Timber Ridge, L to 500 Building.</t>
  </si>
  <si>
    <t>Main flr unit offers 2 bdrms &amp; 2 baths &amp; sliding glass doors to a concrete patio w/view overlooking pool &amp; tennis courts.  Set in a quiet area near parks &amp; short distance to Metra. Glen Ellyn school &amp; park district. Located near stores/school/transportation. Sold AS-IS, Taxes Prorated @ 100%, no survey. Bank of america, n.a. employees &amp; employees' household members, its business partners of the bank are prohibited.</t>
  </si>
  <si>
    <t>Park/Playground, Pool-Outdoors, Security Door Locks, Tennis Court/s, Street Lights, Street Paved</t>
  </si>
  <si>
    <t>Clubhouse, Pool, Exterior Maintenance, Lawn Care, Scavenger, Snow Removal</t>
  </si>
  <si>
    <t>3% OR $1500.00 WHICHEVER IS GREATER (on Gross SP)</t>
  </si>
  <si>
    <t>Please Use Showing Assist Link</t>
  </si>
  <si>
    <t>Steve Malik</t>
  </si>
  <si>
    <t>(630) 369-3000</t>
  </si>
  <si>
    <t>fax # 214-716-1094</t>
  </si>
  <si>
    <t>MULTIPLE OFFERS RECV'D - H&amp;B OFFERS DUE 11-25-14 BY 3 PM - SEE ADDT'L DOCS. Submit offers to offers@themalikteam.com or fax to 214-716-1094 along w/POF's.  Buyer responsible for HOA fees according to IL Condo Foreclosure Act if applicable.</t>
  </si>
  <si>
    <t>18W230</t>
  </si>
  <si>
    <t>16th</t>
  </si>
  <si>
    <t>LOWELL LANE TO 16TH TO ADDRESS</t>
  </si>
  <si>
    <t>2 BEDROOMS 1 BATH / SOLD AS IS NO SURVEY NOR DISCLOSURES  / 100% TAX PRORATION / SEND OFFER VIA FAX WITH PROOF OF FUNDS OR PRE-APPROVAL / SOLD AS IS</t>
  </si>
  <si>
    <t>MUNSON</t>
  </si>
  <si>
    <t>RT 34 (W OF ELDAMAIN) TO MITCHELL 2, TO KLATT LEFT, TO MUNSON LEFT-FIRST UNIT RIGHT SIDE OF BLDG</t>
  </si>
  <si>
    <t>**REALLY TERRIFIC HOME *** AWESOME FLOORPLAN *** END UNIT*** SUPER DESIRABLE** HURRY ON THIS ONE!SOLD AS-IS ALL INFORMATION DEEMED RELIABLE BUT NOT GUARANTEED.SOLD AS-IS ALL INFORMATION DEEMED RELIABLE BUT NOT GUARANTEED.</t>
  </si>
  <si>
    <t>Clubhouse, Pool, Exterior Maintenance, Lawn Care, Snow Removal</t>
  </si>
  <si>
    <t>UNKNOWN</t>
  </si>
  <si>
    <t>Owner Occupts, NPOs &amp; Gov't Agencies bidding @ www.hudhomestore.com ref. 137-644795. Up to 3% CC. NAID# needed to bid. Exclu bid through 11/30. Daily after if available. More info @ www.hudpemco.com.  Verbally accepted offer as of 3/09.</t>
  </si>
  <si>
    <t>Main</t>
  </si>
  <si>
    <t>KENSINGTON COURTS</t>
  </si>
  <si>
    <t>63rd Main Street south to Kensington Court east to 6585</t>
  </si>
  <si>
    <t>Sophisticated Updated Condo, fantastic location. Warm, inviting new open floor plan. Over $43,000 in improvements.New Vermont pine wide plank floors throughout.Updated kitchen and baths. Open kitchen, soapstone countertops and breakfast bar. All work done by professional craftsman. Crown molding, six panel doors, in unit laundry.Too many high end upgrades to list here. Views of pool &amp; courtyard.Commuter bus to train.</t>
  </si>
  <si>
    <t>EL SIERRA ELEMENTARY SCHOOL</t>
  </si>
  <si>
    <t>O NEILL MIDDLE SCHOOL</t>
  </si>
  <si>
    <t>20X4</t>
  </si>
  <si>
    <t>6X5</t>
  </si>
  <si>
    <t>Bike Room/Bike Trails, Elevator, Park/Playground, Party Room, Sundeck, Pool-Outdoors, Security Door Locks, Curbs/Gutters, Sidewalks, Street Lights, Street Paved</t>
  </si>
  <si>
    <t>Common Grounds, Landscaped Professionally, Park Adjacent, Wooded, Rear of Lot</t>
  </si>
  <si>
    <t>Balcony, Foyer, Storage</t>
  </si>
  <si>
    <t>2.5% - $250. (on Gross SP)</t>
  </si>
  <si>
    <t>Call LA 630-963-0000   MUST HAVE APPOINTMENT</t>
  </si>
  <si>
    <t>630-963-0000</t>
  </si>
  <si>
    <t>Megan Schroeder</t>
  </si>
  <si>
    <t>(630) 963-0000</t>
  </si>
  <si>
    <t>Buyers Agent must accompany on all showings. Two hours notice.Owner occupied, must have confirmed appointment.</t>
  </si>
  <si>
    <t>CONCORD POINTE</t>
  </si>
  <si>
    <t>North Ave west Bloomingdale Rd to Concord south to Home</t>
  </si>
  <si>
    <t>Ranch style condo with 2 bedrooms, 1 bath ~ Private location ~ End unit ~ Backs to wooded area ~ One car attached garage ~ NEW carpeting throughout unit ~ NEW kitchen flooring ~ Lots of cabinets and counter space in kitchen~ Vaulted ceiling in Living Room ~ Double vanity in bath ~ Laundry room with washer and dryer staying ~  Plenty of storage space/closets throughout.</t>
  </si>
  <si>
    <t>Use ShowingAssist</t>
  </si>
  <si>
    <t>Stellar Properties, Inc.</t>
  </si>
  <si>
    <t>(630) 876-5328</t>
  </si>
  <si>
    <t>Diane Quattrochi, CSC,GRI</t>
  </si>
  <si>
    <t>(630) 272-2748</t>
  </si>
  <si>
    <t>Unit is rentable</t>
  </si>
  <si>
    <t>CAMBRIAN</t>
  </si>
  <si>
    <t>PEMBROKE ESTATES</t>
  </si>
  <si>
    <t>Travis to Brittania S to Cambrian Ct.</t>
  </si>
  <si>
    <t>LINCOLNSHIRE</t>
  </si>
  <si>
    <t>WOW, FANTASTIC OPPORTUNITY TO OWN THIS BEAUTIFUL TOWNHOME W/CUL-DE-SAC LOCATION, NOTHING TO DO BUT MOVE RIGHT IN. COMPLETELY UPDATED THROUGHOUT, NO EXPENSE SPARED: BRAND NEW KITCHEN W/GRANITE, SS APPLIANCES &amp; GLASS BACKSPLASH, BEAUTIFUL HARDWOOD FLOORS, HIGH END CARPETING ON 2ND FLOOR AND COMPLETELY REHABBED JACK AND JILL BATH. ROOF &amp; DRIVEWAY WERE REPLACED THIS SUMMER. CLOSE TO METRA, PARK &amp; ELGIN OHARE EXPRESSWAY!</t>
  </si>
  <si>
    <t>Eating Area, Loft</t>
  </si>
  <si>
    <t>Security System, CO Detectors, Ceiling Fan</t>
  </si>
  <si>
    <t>USE SCHEDULE A SHOWING LINK BELOW, NEED 2 HOUR NOTICE</t>
  </si>
  <si>
    <t>630-992-5477</t>
  </si>
  <si>
    <t>Garry Real Estate</t>
  </si>
  <si>
    <t>(630) 893-2600</t>
  </si>
  <si>
    <t>David Goddard</t>
  </si>
  <si>
    <t>(630) 992-3283</t>
  </si>
  <si>
    <t>Cell# (630) 992-3283</t>
  </si>
  <si>
    <t>TRADITIONAL SALE, RENTALS ALLOWED HOWEVER THERE ARE RESTRICTIONS, SEE PAGES 18 &amp; 19 OF RULES/REG UNDER ADDITIONAL INFORMATION. NO LONGER FHA APPROVED COMPLEX. PLEASE SEND OFFERS TO CANDIGODDARD@HOTMAIL.COM</t>
  </si>
  <si>
    <t>63rd</t>
  </si>
  <si>
    <t>204B</t>
  </si>
  <si>
    <t>SUFFIELD GARDENS</t>
  </si>
  <si>
    <t>63RD ST (WEST OF CASS) TO SUFFIELD GARDENS ,south to address</t>
  </si>
  <si>
    <t>GORGEOUS  2BR ,2/ND FLOOR UNIT , NEW UPGRADES! LIGHT/ MAPLE KITCHEN CABINETS,NEW COUNTERS,UPGRADED CARPET FLOORS ,PLUMBING &amp; LIGHT FIXTURES , FRESHLY PAINTED , UPGRADED MOLDING/WOODWORK.  NEW AC UNIT, PATIO DOOR, + INTERCOM,  NEW INTERIOR ARCH DOORS THROUGH /OUT ,NEW APPLIANCES,  OVERSIZE MASTER/BATH ,FLOOR TO CEILING CERAMIC TILE ,  CLEAN &amp;READY TO MOVE IN .</t>
  </si>
  <si>
    <t>7X7</t>
  </si>
  <si>
    <t>Storage, Pool-Outdoors, Security Door Locks, Sidewalks, Street Lights</t>
  </si>
  <si>
    <t>Heat, Water, Parking, Common Insurance, Pool, Exterior Maintenance, Lawn Care, Scavenger, Snow Removal</t>
  </si>
  <si>
    <t>2.5 % -200 $. (on Gross SP)</t>
  </si>
  <si>
    <t>CALL ANDY AT 630-673-7531 TO CONFIRM</t>
  </si>
  <si>
    <t>SIAVELIS &amp; KOHLS</t>
  </si>
  <si>
    <t>Tylka Realty LLC</t>
  </si>
  <si>
    <t>(630) 673-7531</t>
  </si>
  <si>
    <t>Andy Tylka</t>
  </si>
  <si>
    <t>(630) 321-0841</t>
  </si>
  <si>
    <t>accepted offer/no more showingsMOVING OUT  THERE IS NO RENTAL.....AT THIS TIME.FOR DETAILS PLEASE CONTACT  NORRIDA AT 630-627-3303 .</t>
  </si>
  <si>
    <t>Mc Dowell</t>
  </si>
  <si>
    <t>Diehl to Raymond to McDowell</t>
  </si>
  <si>
    <t>Charming 2 bedroom 1 bath condo located in a tranquil setting.  Large living room, eat in kitchen and spacious bedrooms.  Great amenities on property- clubhouse and swimming pool.  Home has been repaired with new flooring, paint and more.  This is a Fannie Mae HomePath Property</t>
  </si>
  <si>
    <t>Water, Parking, Common Insurance, Clubhouse, Exercise Facilities, Pool, Exterior Maintenance, Lawn Care, Snow Removal</t>
  </si>
  <si>
    <t>SHOWING ASSIST</t>
  </si>
  <si>
    <t>(630) 236-6500</t>
  </si>
  <si>
    <t>Shirley Guercio, BPOR,CNC</t>
  </si>
  <si>
    <t>(630) 302-2371</t>
  </si>
  <si>
    <t>The seller has directed that all offers on this listing be made using the HomePath Online Offer System @ the HomePath.com website." Please see attachment-MUST USE PG 8-NO PERSONAL PROPERTY INCL.ON CONTRACT - EM MUST BE CERTIFIED FUNDS</t>
  </si>
  <si>
    <t>Crandon</t>
  </si>
  <si>
    <t>North on Crandon to address</t>
  </si>
  <si>
    <t>Not a foreclosure or Short Sale. This spacious 2 bedroom 2 bathroom condo is truly a gem. Located in the heart of the South Shore, this beauty is conveniently located near the Jackson Park Golf course and Lake Shore Dr. There is space galore, just awaiting your personal touch.</t>
  </si>
  <si>
    <t>22X18</t>
  </si>
  <si>
    <t>Coin Laundry</t>
  </si>
  <si>
    <t>Heat, Water, Common Insurance, Exterior Maintenance, Snow Removal</t>
  </si>
  <si>
    <t>Please use showing assist</t>
  </si>
  <si>
    <t>Chicago Homes Realty Group</t>
  </si>
  <si>
    <t>(877) 445-4192</t>
  </si>
  <si>
    <t>Sanina Ellison</t>
  </si>
  <si>
    <t>(773) 495-2144</t>
  </si>
  <si>
    <t>Not a short sale or foreclosure. This is a huge unit with tons of opportunity. Would make a great roommate living arrangement. In-unit washer dryer and tons of natural light. Have your clients bring their ideas. Rental cap has been met.</t>
  </si>
  <si>
    <t>6C</t>
  </si>
  <si>
    <t>CAMEO</t>
  </si>
  <si>
    <t>Maple to Walnut to parking lot...</t>
  </si>
  <si>
    <t>Third floor condo, Unit faces North (not facing maple avenue)   Air conditioner and gas forced unit was brand new 5 years ago. The carpet is Brand new and it is freshly painted....Layout is bedroom then living room and then bedroom for privacy and space..... The roof of the building was replaced about 4 years ago.  Garage #7 Included......CAN BE PURCHASED WITHOUT GARAGE ALSO</t>
  </si>
  <si>
    <t>Water, Parking, Common Insurance, Security, Security System, Clubhouse, Exercise Facilities, Exterior Maintenance, Lawn Care, Scavenger, Snow Removal</t>
  </si>
  <si>
    <t>Enter KLobby and there is a lockbox to the left of the door.  Call listing agent for code</t>
  </si>
  <si>
    <t>Chicago Apartment Solution LLC</t>
  </si>
  <si>
    <t>(773) 975-2700</t>
  </si>
  <si>
    <t>Jeffrey Fender</t>
  </si>
  <si>
    <t>(630) 508-7355</t>
  </si>
  <si>
    <t>Call Listing agent for appointment 630-508-7355</t>
  </si>
  <si>
    <t>Grosse Pointe</t>
  </si>
  <si>
    <t>If coming SE on 45 left onto Grosse Pointe / if coming NW on 45 right onto Grosse Pointe to property</t>
  </si>
  <si>
    <t>Immaculate 1st floor unit with upgrades galore - the Unbelievable bathrooms are just the start of countless custom touches throughout. Fireplace in Living Room (never used!), Quiet low traffic location! Attached two (2) car garage w/built in storage and included freezer.  Huge crawl space to store all of your seasonal items. Priced to sell - Stevenson HS District, shows like new and will absolutely NOT last long!</t>
  </si>
  <si>
    <t>Oven/Range, Microwave, Dishwasher, Refrigerator, Freezer, Washer, Dryer</t>
  </si>
  <si>
    <t>Text &amp;/or Email List agent with Agent ID, Office Info, Contact Info, &amp; Time &amp; Date of showing req.</t>
  </si>
  <si>
    <t>Oracle Realty</t>
  </si>
  <si>
    <t>(847) 845-3472</t>
  </si>
  <si>
    <t>Noah Thompson, SFR</t>
  </si>
  <si>
    <t>There is a rental cap - Unknown if this unit could be purchased and rented.  Info is: The Carriage at Grosse Pointe Village Condo Assoc. / Management Co. Association Parteners, Inc. (630) 653-7782</t>
  </si>
  <si>
    <t>GEORGETOWN</t>
  </si>
  <si>
    <t>EOLA/HAFTENRICHTER (E)/BARRINGTON (S)/HILLSBORO (E)/GEORGETOWN</t>
  </si>
  <si>
    <t>4984.79*</t>
  </si>
  <si>
    <t>ANY</t>
  </si>
  <si>
    <t>Immaculate 2-Story, 2 bedroom Condo.  Kitchen features new Brazilian Granite counter-tops, all new stainless steel appliances.  Custom Trim package.  Professional paint throughout, neutral colors.  All new frieze carpet.  New lighting / ceiling fans.  Loft could be used as office or sitting area.  Move in ready !  You won't be disappointed!   Previous listing canceled due to error on Tax Assessment.</t>
  </si>
  <si>
    <t>Oven/Range, Microwave, Dishwasher, Refrigerator, All Stainless Steel Kitchen Appliances</t>
  </si>
  <si>
    <t>Water, Common Insurance, Exterior Maintenance, Lawn Care</t>
  </si>
  <si>
    <t>Garage Door Opener(s), Transmitter(s), 7 Foot or more high garage door</t>
  </si>
  <si>
    <t>3% - $150 (on Net SP)</t>
  </si>
  <si>
    <t>use showing assist or call LA</t>
  </si>
  <si>
    <t>O O R</t>
  </si>
  <si>
    <t>Kwebb Realty</t>
  </si>
  <si>
    <t>(815) 744-9420</t>
  </si>
  <si>
    <t>Susan Galarza</t>
  </si>
  <si>
    <t>(815) 354-7701</t>
  </si>
  <si>
    <t>*THIS IS A RE-LIST.  HAVE CERTIFICATE OF ERROR, PROPERTY TAXES WERE ASSESSED INCORRECTLY.  **2013 Taxes corrected/revised taxes 4,984/which does not include homestead exemption. Property in a landTurst.  Contract Accepted /Paperwork pending</t>
  </si>
  <si>
    <t>FORD CITY</t>
  </si>
  <si>
    <t>PULASKI TO FORD CITY DR, WEST TO BUILDING</t>
  </si>
  <si>
    <t>Highest &amp; Best due 04/01/2015 By 4pm. Form under additional forms on mls. FREDDIE MAC OWNED PROPERTY. GREAT OPPORTUNITY TO OWN THIS TWO BEDROOM AND 1.5 BATH CONDO THAT IS LOCATED NEAR FORD CITY MALL. BUYER RESPONSIBLE FOR PAST DUE ASSESSMENTS AND REQUIREMENTS. THIS PROPERTY IS ELIGIBLE UNDER FREDDIE MAC FIRST LOOK INITIATIVE THRU 12/5/2014.</t>
  </si>
  <si>
    <t>SEND AN EMAIL TO NUVISIONREFAX@GMAIL.COM</t>
  </si>
  <si>
    <t>FREDDIE MAC</t>
  </si>
  <si>
    <t>NuVision Real Estate</t>
  </si>
  <si>
    <t>(773) 229-9006</t>
  </si>
  <si>
    <t>Edgardo Diaz</t>
  </si>
  <si>
    <t>DOWNLOAD FORMS FROM ADDITIONAL INFO TAB, SEND ALL CONTRACTS TO NUVISIONRE@GMAIL.COM. EARNEST MONEY MUST BE IN THE FORM OF CERTIFIED CHECK ONLY.</t>
  </si>
  <si>
    <t>3S</t>
  </si>
  <si>
    <t>Archer Ave to address</t>
  </si>
  <si>
    <t>Well kept 2 bedroom condo offers spacious living area, large kitchen/dinette, 2 good size bedrooms, ceramic bathroom. Balcony. Bright unit, close to all conveniences including transportation, shopping and restaurants.  Easy to show. Call for appointment today. Not a short sale or foreclosure.</t>
  </si>
  <si>
    <t>Coin Laundry, Storage, Security Door Locks, Curbs/Gutters, Sidewalks, Street Lights</t>
  </si>
  <si>
    <t>Call LA 708-642-6375</t>
  </si>
  <si>
    <t>(773) 847-5100</t>
  </si>
  <si>
    <t>Bogumila Hejna</t>
  </si>
  <si>
    <t>(708) 642-6375</t>
  </si>
  <si>
    <t>Earnest Money Certified Funds Only payable to Century 21 Affiliated</t>
  </si>
  <si>
    <t>Beach Park</t>
  </si>
  <si>
    <t>CAMBRIDGE AT HEATHERSTONE</t>
  </si>
  <si>
    <t>GREENBAY RD N OR TO STAFFORD W2 WAREFIELD S2 ABERDEEN</t>
  </si>
  <si>
    <t>BEACH PARK</t>
  </si>
  <si>
    <t>BENTON</t>
  </si>
  <si>
    <t>This is a Fannie Mae HomePath property. Two bedroom 2 1/2 bath, end unit, 2 story townhome. One car attached garage. Near open land, close to new school and shopping. Built in 2003 with 1318 square feet and a nice floor plan. This unit has a loft, which many of the units have as a 3rd bedroom. This conversion is easily accomplished. Gas forced air with central air conditioning.</t>
  </si>
  <si>
    <t>Century 21 Affiliated Maki</t>
  </si>
  <si>
    <t>(847) 336-7333</t>
  </si>
  <si>
    <t>John Dulek</t>
  </si>
  <si>
    <t>(847) 800-3737</t>
  </si>
  <si>
    <t>Plymouth</t>
  </si>
  <si>
    <t>102D</t>
  </si>
  <si>
    <t>Washington, 87th St. West, 2nd Lancaster South, To Plymouth</t>
  </si>
  <si>
    <t>A must see! Great 2 bedrooms/2 bathroom home in a great location! Spacious rooms, well maintained, nice patio plus a fireplace! Priced to sell, this one won't last! Choose FHA financing to qualify for $100 down payment. Ask your Agent for details. Sold as-is. Equal Housing Opportunity</t>
  </si>
  <si>
    <t>Four Seasons Realty, Inc.</t>
  </si>
  <si>
    <t>(847) 934-9100</t>
  </si>
  <si>
    <t>Frank Rusin</t>
  </si>
  <si>
    <t>Case#137-511470.INS.STATUS:IE.Up to 3% co-op Offers 2B submitted on-line Off.must be registered &amp; have a NAID# Go to hudhomestore.com 4 online bidding SEE PCR UNDER ADDENDUMâ€™S TAB.?â€™s to fsrhomes@aol.com.SOLD AS-IS.www.hometelosfirst.com</t>
  </si>
  <si>
    <t>Sunflower</t>
  </si>
  <si>
    <t>REVA BAY</t>
  </si>
  <si>
    <t>Rt.12 to State Parkway N to Grasslake Rd E to Lakeshore N to Sunflower Ct W.</t>
  </si>
  <si>
    <t>This easy living ranch unit is located in the popular Reva Bay Waterfront Community! The open floor plan boasts 9' ceilings, hardwood flooring and a gas fireplace! The kitchen amenities include 42" cabinetry,  a center island and upgraded counter tops! Other perks-large master bedroom closet, private entrance, slider to patio off the living room and a 2 car garage! All appliances are included plus water softener!</t>
  </si>
  <si>
    <t>13X05</t>
  </si>
  <si>
    <t>09X06</t>
  </si>
  <si>
    <t>Landscaped Professionally, Water Rights</t>
  </si>
  <si>
    <t>Common Insurance, Exterior Maintenance, Lawn Care, Snow Removal, Lake Rights</t>
  </si>
  <si>
    <t>Water-Softener Owned</t>
  </si>
  <si>
    <t>Vinyl Siding, Brick, Stucco</t>
  </si>
  <si>
    <t>2.5% - $195 (on Net SP)</t>
  </si>
  <si>
    <t>Estate of Ilona Sebestyen</t>
  </si>
  <si>
    <t>RE/MAX of Barrington</t>
  </si>
  <si>
    <t>(847) 381-8800</t>
  </si>
  <si>
    <t>Keith Schauer, SFR</t>
  </si>
  <si>
    <t>(847) 217-8049</t>
  </si>
  <si>
    <t>OAKWOOD HILLS</t>
  </si>
  <si>
    <t>Irving Park (west of Shales pkwy) to Woodview S to Stratford Ct</t>
  </si>
  <si>
    <t>D-LARGEST 2ND FLR</t>
  </si>
  <si>
    <t>Cathedral ceilings add an open feel to this spacious home. Freshly painted liv rm, dining rm &amp; kitchen! Huge walk-in closet in foyer &amp; in Master bedroom! You'll love the spacious master bedroom suite w/large private bath! Enjoy the serene setting from your private balcony-great for barbecues!  Secure 2nd flr location! Quiet location at the end of a cul-de-sac. Largest unit in Oakwood Hills! NORMAL SALE! NOW RENTABLE!</t>
  </si>
  <si>
    <t>HUFF ELEMENTARY SCHOOL</t>
  </si>
  <si>
    <t>TV-Cable, TV-Dish, Intercom, CO Detectors, Ceiling Fan</t>
  </si>
  <si>
    <t>2.5%-$100 (on Gross SP)</t>
  </si>
  <si>
    <t>CALL CENTRALIZED SHOWING SERVICE:877-977-1010.EZ TO SHOW</t>
  </si>
  <si>
    <t>Century 21 ABC Schiro</t>
  </si>
  <si>
    <t>(847) 985-9700</t>
  </si>
  <si>
    <t>Mary B Stevens</t>
  </si>
  <si>
    <t>(847) 910-4890</t>
  </si>
  <si>
    <t>847-910-4890</t>
  </si>
  <si>
    <t>B206</t>
  </si>
  <si>
    <t>16th Street between RT 83 and Spring Road</t>
  </si>
  <si>
    <t>Bright end unit in gated community with lovely grounds &amp; pool in the heart of Oak Brook. Formal LR with fireplace. Eat-in kitchen and formal dining room. Master bedroom has lovely views, terrific closet space &amp; ensuite bath. Ample 2nd bedroom &amp; closet space. This unit also features a large den for flex space, 2nd full bath, in unit laundry, lovely balcony, 2 indoor parking spaces (B20 &amp; 21) Storage (B22). Nice.</t>
  </si>
  <si>
    <t>8X19</t>
  </si>
  <si>
    <t>Elevator, Exercise Room, Storage, On Site Manager/Engineer, Party Room, Sundeck, Pool-Outdoors, Gated Entry, Sidewalks, Street Paved</t>
  </si>
  <si>
    <t>Eating Area-Table Space, Galley, Pantry-Closet</t>
  </si>
  <si>
    <t>Water, Parking, Common Insurance, Security, Doorman, TV/Cable, Clubhouse, Exercise Facilities, Pool, Exterior Maintenance, Lawn Care, Scavenger, Snow Removal</t>
  </si>
  <si>
    <t>Security System</t>
  </si>
  <si>
    <t>2.5% -$250.00 (on Net SP)</t>
  </si>
  <si>
    <t>LA must accompany</t>
  </si>
  <si>
    <t>Greer Haseman, ABR,e-PRO</t>
  </si>
  <si>
    <t>708-606-8896</t>
  </si>
  <si>
    <t>Side by side parking #B20 &amp; #B21  Storage #B22  Easy to show, call or text listing agent or co-lister</t>
  </si>
  <si>
    <t>JEFFREY</t>
  </si>
  <si>
    <t>WYNSTONE OF CENTURY OAKS</t>
  </si>
  <si>
    <t>BIG TIMBER W OF MCLEAN E OF RANDALL TO LYLE NORTH TO JEFFREY WEST TO END ON LEFT</t>
  </si>
  <si>
    <t>Walkout</t>
  </si>
  <si>
    <t>SPACIOUS END UNIT BACKING TO TREES IN CUL DE SAC IS PERFECT LOCATION FOR COMMUTER W/EASY ACCESS TO RANDALL RD CORRIDOR &amp; I90. GREAT SET UP FOR ROOMMATE/INLAW,W/BEDROOM, FULL BATH &amp; FAMILY ROOM W/SLIDER TO PATIO IN LOWER LEVEL WHILE UPPER LEVELS OFFER MASTER, LOFT, LIVING ROOM W/GAS FP, KITCHEN W/PLENTY OF CABINETS, DECK W/GAS LINE FOR GRILL OVERLOOKING GREAT BACK YARD.FRESHLY PAINTED THRU OUT. QUICK WALK TO METRA</t>
  </si>
  <si>
    <t>Walkout Basement</t>
  </si>
  <si>
    <t>Loft, Walk In Closet</t>
  </si>
  <si>
    <t>USE SHOWING ASSIST OR CALL LO</t>
  </si>
  <si>
    <t>Karen Conley</t>
  </si>
  <si>
    <t>(847) 910-7515</t>
  </si>
  <si>
    <t>CELL 847-910-7515</t>
  </si>
  <si>
    <t>PLEASE REMOVE SHOES, LEAVE CARD AND BE SURE LIGHTS ARE TURNED OFF. THANK YOU</t>
  </si>
  <si>
    <t>Vose</t>
  </si>
  <si>
    <t>ROUTE 21 &amp; HEATHER RIDGE, LEFT ON LEONARD TO VOSE</t>
  </si>
  <si>
    <t>Spacious condo completely updated for the buyer looking for quality throughout. Nothing left to do but move in and enjoy the view of the woods, ponds and golf course. Wood burning fireplace and heated parking and double set of doors and windows, and energy efficient A/C provide comfort year round. HeatherRidge resort community provides 24 security patrol, walking and biking path, pool, tennis, clubhouse, and golf (re</t>
  </si>
  <si>
    <t>22X17</t>
  </si>
  <si>
    <t>Elevator, Pool-Outdoors, Security Door Locks, Tennis Court/s, Curbs/Gutters, Sidewalks, Street Lights, Street Paved</t>
  </si>
  <si>
    <t>Oven/Range, Dishwasher, Refrigerator, Washer, Dryer, All Stainless Steel Kitchen Appliances</t>
  </si>
  <si>
    <t>CLICK 'SCHEDULE A SHOWING' BELOW</t>
  </si>
  <si>
    <t>000-000-0000</t>
  </si>
  <si>
    <t>New Century Real Estate</t>
  </si>
  <si>
    <t>(847) 543-8300</t>
  </si>
  <si>
    <t>Michael Jenkins</t>
  </si>
  <si>
    <t>(708) 601-2984</t>
  </si>
  <si>
    <t>EASY TO SHOW! *KEYBOX IS LOCATED ON RAIL AT SECURITY OFFICE, 5801 MANCHESTER DR. ON SIDE NEXT TO WATERTOWER  **MULTIPLE OFFERS RECEIVED, HIGHEST AND BEST CALLED FOR.</t>
  </si>
  <si>
    <t>PRATT</t>
  </si>
  <si>
    <t>RT. 34 to Mitchell Dr, to Klatt, to Pratt.</t>
  </si>
  <si>
    <t>Property is a 2 stories townhome with 2 bedroom, 2.1 bath, loft, 2 car attached garage, 2nd floor laundry, high ceilings in living room, patio and central air. Property is in good condition, new carpet and paint Seller does not provide survey, termite or disclosures. Tax proration 100%. It is strongly encouraged that an offer includes Pre-qual or proof of funds. Addendum's to follow accepted offer. Buyer to verify al</t>
  </si>
  <si>
    <t>PLEASE EMAIL ALL OFFERS ALONG WITH PROOF OF FUNDS/PRE-APPROVAL IN PDF FORMAT.  EARNEST MONEY MUST BE IN THE FORM OF A CASHIERS CHECK.</t>
  </si>
  <si>
    <t>64th</t>
  </si>
  <si>
    <t>piers</t>
  </si>
  <si>
    <t>CASS AVE/S63RD TO PIERS DRIVE W</t>
  </si>
  <si>
    <t>This ground level condo is gorgeous! 2 bedrooms, master bath,new carpet and paint! The property offers in-unit laundry! Private patio off the living room is perfect for entertaining.  Clubhouse, pool, lake with walking path make this a special place to call home.  This is a Fannie Mae HomePath property. No personal property transfers with the sale.</t>
  </si>
  <si>
    <t>Storage, Party Room, Sundeck, Pool-Outdoors, Security Door Locks, Curbs/Gutters, Sidewalks, Street Lights, Street Paved</t>
  </si>
  <si>
    <t>Common Insurance, Security System, Clubhouse, Exterior Maintenance, Lawn Care, Scavenger, Snow Removal</t>
  </si>
  <si>
    <t>SENTRILLOCK ON BACK DOOR. ACCESS ISSUES CALL 630-560-1001 OR EMAIL CARMEN@ILREP.COM</t>
  </si>
  <si>
    <t>Illinois Real Estate Partners</t>
  </si>
  <si>
    <t>(630) 560-1001</t>
  </si>
  <si>
    <t>Frankie Scibior</t>
  </si>
  <si>
    <t>Fax 630-242-1655</t>
  </si>
  <si>
    <t>NO RENTALS PER HOA. The seller has directed that all offers be made at homepath.com.</t>
  </si>
  <si>
    <t>RIVERPLACE</t>
  </si>
  <si>
    <t>WASHINGTON TO AURORA W TO PROPERTY ON RIGHT</t>
  </si>
  <si>
    <t>I</t>
  </si>
  <si>
    <t>Former builder model*1st floor but elevated with great Quarry and Carillon view*Two bedrooms two bathrooms*Second bedroom currently used as den*Marble flooring*Cork flooring*Crown molding*Corian counter tops*Includes underground parking*Amenities-shuttle to trains and shopping~24 hr fit ctr~Cont breakfast. Assessments Include: Gas~Electric~Water~Cable TV~Internet and all amenities.</t>
  </si>
  <si>
    <t>Bike Room/Bike Trails, Elevator, Exercise Room, Storage, Health Club, On Site Manager/Engineer, Party Room, Sundeck, Security Door Locks, Whirlpool, Curbs/Gutters, Sidewalks, Street Lights, Street Paved</t>
  </si>
  <si>
    <t>Common Grounds, Corner, Landscaped Professionally, Park Adjacent, Water View, Wooded</t>
  </si>
  <si>
    <t>Heat, Air Conditioning, Water, Electric, Gas, Parking, Common Insurance, TV/Cable, Exercise Facilities, Exterior Maintenance, Lawn Care, Snow Removal</t>
  </si>
  <si>
    <t>TV-Cable, Intercom, Fire Sprinklers, Sprinkler-Lawn</t>
  </si>
  <si>
    <t>Manager Off-site, Manager On-site, Monday through Saturday</t>
  </si>
  <si>
    <t>Call Centralized Showings at 1-877-977-1010</t>
  </si>
  <si>
    <t>630.430.7871</t>
  </si>
  <si>
    <t>Mike Loewer, ABR,e-PRO,SRES</t>
  </si>
  <si>
    <t>(630) 430-7871</t>
  </si>
  <si>
    <t>Arboretum</t>
  </si>
  <si>
    <t>ARBORETUM PARK</t>
  </si>
  <si>
    <t>22nd to Edson, South to Arboretum, West to home</t>
  </si>
  <si>
    <t>Gorgeous 2 Bed w/loft, 2.1 Bath townhome. New appliances, new carpet, freshly painted throughout! Granite counters, mosaic backsplash, hardwood floors on 1st floor. 9ft ceilings! Newer A/C and furnace. Close to all major highways - Move right in!!</t>
  </si>
  <si>
    <t>Pat Murray, ABR,CNC,GRI,SFR</t>
  </si>
  <si>
    <t>See attachment for PAS requirements and WFHM offer submittal information in MLS document section. ALL OFFERS MUST INCL-CONTRACT/PRE-APPR/POF IF CASH-COPY EARNEST.*OFFER RQ.UNDER DISCS* E-MAIL jparas@koenigrubloff.com or FAX TO 630.580.7476</t>
  </si>
  <si>
    <t>5B</t>
  </si>
  <si>
    <t>KINGERY QTR</t>
  </si>
  <si>
    <t>RT83S TO 91ST W 2 CLARENDON H LEFT 2 KINGERY Q</t>
  </si>
  <si>
    <t>2ND FLR UNIT W/ A COURTYARD VIEW! BATHROOM COMPLETEY REMODELED, KITCHEN OFFERS NEW CABINETS, BREAKFAST BAR &amp; ALL NEW APPLIANCES!! PAINTED THRU OUT AND READY TO MOVE IN!! A MUST SEE!! Bank owned property.</t>
  </si>
  <si>
    <t>Bike Room/Bike Trails, Coin Laundry, Exercise Room, Storage, Party Room, Pool-Outdoors, Sauna</t>
  </si>
  <si>
    <t>Heat, Water, Gas, Parking, Common Insurance, Clubhouse, Exercise Facilities, Pool, Exterior Maintenance, Lawn Care, Scavenger, Snow Removal</t>
  </si>
  <si>
    <t>Bayview</t>
  </si>
  <si>
    <t>Nikko Estates Inc</t>
  </si>
  <si>
    <t>(630) 915-1465</t>
  </si>
  <si>
    <t>Donka Simova</t>
  </si>
  <si>
    <t>REO/Lender owned! Please, use the link provided for all offers submission: https://agent.res.net/Offers.aspx?-966115</t>
  </si>
  <si>
    <t>Bristlecone</t>
  </si>
  <si>
    <t>WOODLANDS</t>
  </si>
  <si>
    <t>Cass Ave to Woodland Dr go left on Tall Pine to Bristlecone Ct</t>
  </si>
  <si>
    <t>ASPEN</t>
  </si>
  <si>
    <t>Ranch Villa Available!  Bright unit with eat in kitchen facing trees and nature.  Bedrooms, Baths, Washer, and Dryer on 1st floor.  Walkin shower in master bath updated in 2008, A/C and Furnace 5 yrs young.  Huge basement with sump pump and backup battery.  Lovely large deck for relaxing and easy living.</t>
  </si>
  <si>
    <t>MARK DELAY SCHOOL</t>
  </si>
  <si>
    <t>22X10</t>
  </si>
  <si>
    <t>Whirlpool, Double Sink</t>
  </si>
  <si>
    <t>Common Grounds, Cul-de-sac, Landscaped Professionally, Wooded</t>
  </si>
  <si>
    <t>Cedar, Stone</t>
  </si>
  <si>
    <t>Easy to show call LA 630-234-3358.  On Sentrilock</t>
  </si>
  <si>
    <t>Arlene Kubasek</t>
  </si>
  <si>
    <t>(630) 234-3358</t>
  </si>
  <si>
    <t>630/234-3358</t>
  </si>
  <si>
    <t>RIVER SHORES</t>
  </si>
  <si>
    <t>River Road South of Ogden avenue to Chalet East.  North of tracks.</t>
  </si>
  <si>
    <t>Great condition 2 bedroom, 2 bath condo in conveniently located North Naperville | New Carpet, paint &amp; bath improvements 2014 | Furnace 2012 | Stainless appliances | Large Closets | Laundry in unit include full size Washer &amp; Dryer | Southern Exposure balcony w storage | 1 Block to DuPage River Trail, shopping, restaurants &amp; more | Easy access to both Metra stops, I88, Downtown Naperville | Naperville 203 schools</t>
  </si>
  <si>
    <t>Water, Common Insurance, Security, Exterior Maintenance, Lawn Care, Snow Removal</t>
  </si>
  <si>
    <t>Assigned Spaces, Off Street, Driveway</t>
  </si>
  <si>
    <t>2.5 MINUS $200 (on Gross SP)</t>
  </si>
  <si>
    <t>Use showing assist on line please</t>
  </si>
  <si>
    <t>Gibson</t>
  </si>
  <si>
    <t>630.276.7661</t>
  </si>
  <si>
    <t>Carolyn Duffy</t>
  </si>
  <si>
    <t>(630) 605-3500</t>
  </si>
  <si>
    <t>This is a fresh, clean unit with new carpet, paint.  Window panes and patio door glass replaced.  Vacant and ready for a quick sale.</t>
  </si>
  <si>
    <t>Gazebo</t>
  </si>
  <si>
    <t>334C</t>
  </si>
  <si>
    <t>W 22nd St to S Lincoln Ave to Gazebo Ln</t>
  </si>
  <si>
    <t>Very attractive 2 bedrooms 2.1 baths Townhome with a single car attached garage. Built in 1995 home is approx 1280 sq.ft. located in nice suburban neighborhood with parks, schools and shopping near by! Must see it! Proof of funds required on cash transactions; Lender PreÂApproval letter for financed offers (dated within last 30 days). H&amp;B deadline 11/12 at 9:00 AM. Cash only offers.</t>
  </si>
  <si>
    <t>14X20</t>
  </si>
  <si>
    <t>PLEASE, CLICK BELOW TO SCHEDULE</t>
  </si>
  <si>
    <t>Sellerâ€™s name is Secretary of Veterans Affairs. Seller does not pay customary closing costs: including title policy, escrow fees, survey or transfer fees. To submit an offer: http://www.callzteam.net/property_n/237_GAZEBO_LN_UNIT_334_C</t>
  </si>
  <si>
    <t>Shoreline</t>
  </si>
  <si>
    <t>Rt 59 North of Miller to LBS Entrance Left to Shoreline Road and Unit 723B</t>
  </si>
  <si>
    <t>CARMEL</t>
  </si>
  <si>
    <t>COMON</t>
  </si>
  <si>
    <t>STUNNING, OPEN LAKE VIEWS from a lovely 2-bed, 2-bath condo with a large kitchen and a 2-car garage -A HARD TO FIND COMBINATION - in a modified  Carmel model w/ skylights, vaulted ceilings; Newer roof; new washer &amp; dryer; Sun Room and balcony with panoramic lake views; tile in the bathrooms; a whole lot to like in resort style community W/ 100A lake, in&amp;out door pools, tennis, fitness, boci, and much more.</t>
  </si>
  <si>
    <t>15X20</t>
  </si>
  <si>
    <t>Blinds, Plantation Shutters</t>
  </si>
  <si>
    <t>15X19</t>
  </si>
  <si>
    <t>Bike Room/Bike Trails, Boat Dock, Exercise Room, Golf Course, Health Club, Park/Playground, Party Room, Sundeck, Pool-Indoors, Pool-Outdoors, Restaurant, Tennis Court/s, Curbs/Gutters, Gated Entry, Street Lights, Street Paved</t>
  </si>
  <si>
    <t>Microwave, Dishwasher, Refrigerator, Washer, Dryer, Disposal</t>
  </si>
  <si>
    <t>Lake Front, Landscaped Professionally, Water View, Wooded</t>
  </si>
  <si>
    <t>Security, TV/Cable, Clubhouse, Exercise Facilities, Pool, Exterior Maintenance, Lawn Care, Scavenger, Snow Removal, Lake Rights</t>
  </si>
  <si>
    <t>Humidifier, Water-Softener Owned, TV-Cable, Ceiling Fan</t>
  </si>
  <si>
    <t>2.5% LESS $175 (on Gross SP)</t>
  </si>
  <si>
    <t>RE/MAX Now</t>
  </si>
  <si>
    <t>(847) 381-5555</t>
  </si>
  <si>
    <t>Jeffrey Taylor</t>
  </si>
  <si>
    <t>Wonderful Waterfront Condo w/2-car garage at very fair price; See down the lake in 2 directions; Buyer pays 3 MO surcharge; Agent should ask about the Community Center renovation; 18 hole golf course on grounds is a membership club</t>
  </si>
  <si>
    <t>Ogden</t>
  </si>
  <si>
    <t>Cress Creek</t>
  </si>
  <si>
    <t>OGDEN AVENUE ONE BLOCK WEST OF ROYAL ST GEORGE</t>
  </si>
  <si>
    <t>FABULOUS MOVE IN READY CONDO CLOSE TO EVERYTHING! NEUTRAL CARPET AND PAINT/FIRST FLOOR CONDO CLOSE TO TENNIS AND POOL!  TWO BEDROOMS AND TWO BATHS WITH OPEN FAMILY ROOM! CLOSE TO METRA AND DOWNTOWN NAPERVILLE!ONE CAR GARAGE INCLUDED IN PRICE! STOP BY TODAY!  BUYER'S FINANCING FELL THRU! GREAT CONDO TO CALL HOME! CONVENTIONAL LOANS OR CASH ONLY....NO RENTALS ALLOWED.</t>
  </si>
  <si>
    <t>20X18</t>
  </si>
  <si>
    <t>Coin Laundry, Elevator, Party Room, Pool-Outdoors, Security Door Locks, Tennis Court/s</t>
  </si>
  <si>
    <t>Heat, Air Conditioning, Water, Electric, Gas, Parking, Common Insurance, Security System, Clubhouse, Exercise Facilities, Pool, Exterior Maintenance, Lawn Care, Scavenger, Snow Removal</t>
  </si>
  <si>
    <t>CALL/TEXT LA AT 630-988-3062/LEAVE MESSAGE AND ID AND SHOW AND SELL! SENTRILOCK AT TOP RIGHT</t>
  </si>
  <si>
    <t>Karen Trabert-Vala</t>
  </si>
  <si>
    <t>(630) 428-5545</t>
  </si>
  <si>
    <t>GREAT CONDO! NO FHA, VA OR RENTALS ALLOWED.  LOST TWO DEALS BECAUSE OF FINANCING. PLEASE SHOW AND SELL! THANKS!</t>
  </si>
  <si>
    <t>Napa</t>
  </si>
  <si>
    <t>Bethany Rd (west of N. 1st st) then North on Sangamon, West on Cutler, and left on Napa</t>
  </si>
  <si>
    <t>30.5X88</t>
  </si>
  <si>
    <t>Cozy 2BR- 1BA Ranch end-unit townhome.  Eat in kitchen. Living room overlooks the yard. Fresh carpet and paint throughout. Full Basement  Attached 2 car garage. Close to elementary school. This is a Fannie Mae HomePath property.   See â€œAdditional Informationâ€ for documents needed to submit offer.</t>
  </si>
  <si>
    <t>Use show assist</t>
  </si>
  <si>
    <t>Elm Street, REALTORS</t>
  </si>
  <si>
    <t>(815) 895-2789</t>
  </si>
  <si>
    <t>Nancy Edwards, GRI</t>
  </si>
  <si>
    <t>Submit offers though Homepath.com</t>
  </si>
  <si>
    <t>Walnut</t>
  </si>
  <si>
    <t>Army Trail to Fair Oaks S to Big Horn E to Walnut S to home</t>
  </si>
  <si>
    <t>31 X 88 X 30 X 94</t>
  </si>
  <si>
    <t>Great value! Roof (05), furnace (08), central air (10), downstairs windows (13), upstairs windows (03), disposal (12), refrigerator (12), dishwasher (10), dryer (09), water heater (11), humidifier (08). Well maintained home with maintenance free exterior, fenced yard &amp; private patio. Gorgeous view - backs to forest preserve. ** $1000 Carpet allowance **</t>
  </si>
  <si>
    <t>SPRING TRAIL ELEMENTARY SCHOOL</t>
  </si>
  <si>
    <t>Oven-Double, Dishwasher, Refrigerator, Washer, Dryer, Disposal</t>
  </si>
  <si>
    <t>Humidifier, TV Antenna, Ceiling Fan</t>
  </si>
  <si>
    <t>2.5% -$150 (on Net SP)</t>
  </si>
  <si>
    <t>Easy to show.  Call L.A. for instructions</t>
  </si>
  <si>
    <t>N. W. Village Realty, Inc.</t>
  </si>
  <si>
    <t>(847) 956-0660</t>
  </si>
  <si>
    <t>Lori Christensen, ABR,CRS,GRI,SRES</t>
  </si>
  <si>
    <t>(847) 956-0660x25</t>
  </si>
  <si>
    <t>Easy to Show.  Call L.A. for instructions</t>
  </si>
  <si>
    <t>Roosevelt to Ardmore, north to home.</t>
  </si>
  <si>
    <t>Immaculate Condo flooded with natural light. Freshly painted with all new carpet. Great open layout, kitchen has eating are plus a breakfast bar. 2 spacious bedrooms. Huge living room with sliding doors to balcony Oak 6 panel doors throughout, crown mouldings, laundry room with newer washer &amp; dryer. Equipped with Indoor Pool, exercise room, storage room, underground pk. Low Assessments. Close to restaurants and shop</t>
  </si>
  <si>
    <t>WESTMORE ELEMENTARY SCHOOL</t>
  </si>
  <si>
    <t>16X5</t>
  </si>
  <si>
    <t>27X3</t>
  </si>
  <si>
    <t>Elevator, Exercise Room, Storage, Pool-Indoors, Receiving Room, Security Door Locks, Service Elevator, Curbs/Gutters</t>
  </si>
  <si>
    <t>Water, Parking, Common Insurance, Exercise Facilities, Pool, Exterior Maintenance, Lawn Care, Scavenger, Snow Removal</t>
  </si>
  <si>
    <t>Call or Text LA 630-841-2612</t>
  </si>
  <si>
    <t>Diane Howarth, ABR,GRI</t>
  </si>
  <si>
    <t>(630) 841-2612</t>
  </si>
  <si>
    <t>Freshly Painted, new carpet Estate sold as-is. Priced to Sell! Immaculate!</t>
  </si>
  <si>
    <t>SUDBURY</t>
  </si>
  <si>
    <t>Deerpath Creek</t>
  </si>
  <si>
    <t>RT34W, L/Plainfield, immediate right/Grove, R/Collins, R/Blue Heron, L/Sudbury</t>
  </si>
  <si>
    <t>NORMANDY</t>
  </si>
  <si>
    <t>45X120</t>
  </si>
  <si>
    <t>PRIVACY/VIEW TO OPEN AREA-QUICK POSSESSION!  1/2 DUPLEX-AMENITIES INCL GRANITE, ALL APPL + BOSH DW, HRDWD, VLTD CEIL, UPGRD LGHTNG, OPEN LIVING RM W/FP &amp; ADJOINING DR. LL PLUMBED BATH/LOOK OUT BASEMENT, 2 CAR, ALARM SYSTM. LUX MASTER BATH W/WIC, SEP SHWR &amp; WHRLPL. SPACIOUS LOFT OVRLKS 1ST FLR. DECK, LANDSCAPED PRIVATE BACKYARD W/VIEW TO NATURAL OPEN AREA.  MOVE-IN READY!  REC/BIKE PATH &amp; PLYGRND NEARBY.</t>
  </si>
  <si>
    <t>PRAIRIE POINT ELEMENTARY SCHOOL</t>
  </si>
  <si>
    <t>Curbs/Gutters, Sidewalks, Street Paved</t>
  </si>
  <si>
    <t>Unfinished, Exterior Access, Bathroom Rough-In</t>
  </si>
  <si>
    <t>Eating Area-Breakfast Bar, Eating Area-Table Space, Island, Pantry-Closet</t>
  </si>
  <si>
    <t>Separate, Combined w/ LivRm</t>
  </si>
  <si>
    <t>Humidifier, Security System, Ceiling Fan, Sump Pump</t>
  </si>
  <si>
    <t>Note!!  NO TAX EXEMPTIONS AT THIS TIME    Disclosures attached to this listing</t>
  </si>
  <si>
    <t>2S641</t>
  </si>
  <si>
    <t>ENRICO FERMI</t>
  </si>
  <si>
    <t>H</t>
  </si>
  <si>
    <t>EMERALD GREEN</t>
  </si>
  <si>
    <t>Rt 56/Batavia Rd-NW/ENRICO FERMI-N</t>
  </si>
  <si>
    <t>?</t>
  </si>
  <si>
    <t>Clean &amp; Upgraded 2BR/2Ba Condo w/Neutral  Decor! Large LR w/BRICK FP. Formal DR . Eat-in Kit w/Pantry &amp; ALL Appliances (Newer Oven Range) Sliding Glass Doors to 25' BALCONY. Master Br/Bath Suite w/Walk-in Closet &amp; NEWER LG SHOWER. LAUNDRY ROOM w /Full-Size Washer &amp; Dryer. 1Car Garage w/AMPLE STORAGE! Newer CAC &amp; Furnace. Humidifier-as is. Super Clean</t>
  </si>
  <si>
    <t>Exercise Room, Party Room, Sundeck, Pool-Outdoors, Sauna, Tennis Court/s, Curbs/Gutters, Street Lights, Street Paved</t>
  </si>
  <si>
    <t>Double Shower</t>
  </si>
  <si>
    <t>Humidifier, Water-Softener Owned, TV-Cable, TV-Dish, Intercom, CO Detectors</t>
  </si>
  <si>
    <t>See through/Multi Sided, Wood Burning, Gas Logs, Gas Starter</t>
  </si>
  <si>
    <t>2.5% -200 (on Gross SP)</t>
  </si>
  <si>
    <t>Call Agent; Rick 708-268-1770 For showing Instructions.</t>
  </si>
  <si>
    <t>Kings Express, Inc.</t>
  </si>
  <si>
    <t>Real People Realty, Inc.</t>
  </si>
  <si>
    <t>(815) 469-7449</t>
  </si>
  <si>
    <t>Richard Salinas</t>
  </si>
  <si>
    <t>(708) 268-1770</t>
  </si>
  <si>
    <t>Call Agent For Showing Instructions. Rick  708-268-1770 / 3-4 Hour Notice. No FHA &amp; No Rentals.</t>
  </si>
  <si>
    <t>Baker Hill</t>
  </si>
  <si>
    <t>Roosevelt to Baker Hill, (N) to Woodview, to Tanglewood</t>
  </si>
  <si>
    <t>WYSTERIA</t>
  </si>
  <si>
    <t>This is it! Freshly painted! Brand new carpeting! Sought after interior with dramatic two story living room with fireplace opens to dining room with swank new light fixture! Crisp white kitchen with hardwood floors. Convenient laundry/mudroom. Foyer w/wood floors. Sunny stairwell opens up to Loft area perfect for home office. Master bedroom with vaulted ceiling. Many updates. Walkout lower level ripe for finishing!</t>
  </si>
  <si>
    <t>11X07</t>
  </si>
  <si>
    <t>24X22</t>
  </si>
  <si>
    <t>Fuses</t>
  </si>
  <si>
    <t>Loft, Storage</t>
  </si>
  <si>
    <t>2.5% (-325) (on Net SP)</t>
  </si>
  <si>
    <t>Call Showing Desk *866-571-7181</t>
  </si>
  <si>
    <t>Amy Bendigkeit</t>
  </si>
  <si>
    <t>(630) 545-5042</t>
  </si>
  <si>
    <t>This is a GEM!</t>
  </si>
  <si>
    <t>Mill</t>
  </si>
  <si>
    <t>MILL CROSSING</t>
  </si>
  <si>
    <t>Ogden to Mill St., north to 1st Mill Crossing driveway &amp; right (east) (Driveway is south of building</t>
  </si>
  <si>
    <t>Newly rehabilitated. Almost everything new.  New paint through out, new floors, new SS appliances, new cabinets, new counter top, new vanities, walk in closet, new closet doors, new six panel doors, many more new features.  Quiet building &amp; great location. Enjoy outdoor pool, tennis court &amp; walking trails. Minutes to downtown Naperville, Riverwalk, shopping &amp; Metra Secured elevator building. you will love this unit.</t>
  </si>
  <si>
    <t>Bike Room/Bike Trails, Coin Laundry, Elevator, Storage, On Site Manager/Engineer, Park/Playground, Pool-Outdoors, Security Door Locks, Tennis Court/s, Curbs/Gutters, Sidewalks, Street Lights, Street Paved</t>
  </si>
  <si>
    <t>Heat, Water, Gas, Parking, Common Insurance, Security System, Pool, Exterior Maintenance, Lawn Care, Scavenger, Snow Removal</t>
  </si>
  <si>
    <t>Unassigned, Off Street, Visitor Parking</t>
  </si>
  <si>
    <t>2.5% -199 (on Net SP)</t>
  </si>
  <si>
    <t>call or text listing agent 773-936-0706</t>
  </si>
  <si>
    <t>Kale Realty</t>
  </si>
  <si>
    <t>(630) 225-2117</t>
  </si>
  <si>
    <t>Desalegn Kassa</t>
  </si>
  <si>
    <t>regular sale, not foreclosure, not short sale.  can close quick, agent owned</t>
  </si>
  <si>
    <t>THE GREENS OF ELGIN</t>
  </si>
  <si>
    <t>McLean Blvd. S of Big Timber - driveway on E side of street</t>
  </si>
  <si>
    <t>Att'n Seniors! 2nd flr condo located close to elevator in 55+ community of The Greens of Elgin! Features incl fully applianced kit, w/d in unit, nice courtyard view from priv patio. MB suite w/ step-in shower/powder rm for guests. Mo serv fee pays all utilities, provides 20 dinner meals/mo, housekpg &amp; more! Med'l serv avail on site/gar for add'l fee/extra storage in basemt/ van for transportation!</t>
  </si>
  <si>
    <t>Commissary, Elevator, Exercise Room, Storage, On Site Manager/Engineer, Party Room, Receiving Room, Curbs/Gutters, Sidewalks, Street Lights, Street Paved, Other</t>
  </si>
  <si>
    <t>Heat, Air Conditioning, Water, Electric, Common Insurance, TV/Cable, Exercise Facilities, Exterior Maintenance, Lawn Care, Scavenger, Snow Removal, Other</t>
  </si>
  <si>
    <t>Fire Sprinklers, CO Detectors</t>
  </si>
  <si>
    <t>Cats OK, Pet Count Limitation, Pet Weight Limitation</t>
  </si>
  <si>
    <t>Nice 2 BR condo on 2nd floor close to elevator</t>
  </si>
  <si>
    <t>Trinity</t>
  </si>
  <si>
    <t>County Farm S of Army Trail to Woodhill E to Trinity N</t>
  </si>
  <si>
    <t>44 X 112</t>
  </si>
  <si>
    <t>2 BR (half) Duplex featuring new carpet, laminate flooring &amp; fresh paint + NO ASSOCIATION DUES! Large LR w/sunny bay window, eat-in kit w/bfst bar opens into vaulted FR. 1st floor ldy. SGD from kit leads to patio that overlooks deep, fenced backyard. The 2nd floor boasts lrg vaulted loft with skylights &amp; 2 spacious BRs. MBR features WIC &amp; private entrance to shared full bath. Ideally located close to pool park, shops</t>
  </si>
  <si>
    <t>3% - $225.00 (on Net SP)</t>
  </si>
  <si>
    <t>Call Listing Office 630-653-1900 ext 0</t>
  </si>
  <si>
    <t>Lance Kammes</t>
  </si>
  <si>
    <t>(630) 868-6300</t>
  </si>
  <si>
    <t>Fell through due to Buyer's financing. NO HOME INSPECTION ISSUES. NO APPRAISAL ISSUES.</t>
  </si>
  <si>
    <t>Ripple Ridge</t>
  </si>
  <si>
    <t>1048 RIPPLE RIDGE</t>
  </si>
  <si>
    <t>Come check out this professional gut rehab with amazing updates.  Quartz counters in kitchen/baths, engineered hardwood floors, Legacy full plywood cabinets (USA made) w/soft closers, breakfast bar, ceramic tile foyer, full master bath w/ walk in shower, new appliances. Backyard patio opens up to pond view. No expense spared. You will enjoy living in Reflections Subdivision, great schools, private off road location.</t>
  </si>
  <si>
    <t>14X24</t>
  </si>
  <si>
    <t>Oven/Range, Microwave, Dishwasher, High End Refrigerator, Disposal, Compactor-Trash, All Stainless Steel Kitchen Appliances</t>
  </si>
  <si>
    <t>Common Grounds, Pond</t>
  </si>
  <si>
    <t>(312) 266-7000</t>
  </si>
  <si>
    <t>Margaret Miedlar</t>
  </si>
  <si>
    <t>(708) 770-6791</t>
  </si>
  <si>
    <t>Rt. 64 to Main st. (23) North to Mt. Hunger east to Penny Ln.</t>
  </si>
  <si>
    <t>Upper unit.  Backs to water.  Kitchen boasts stainless appliances, solid surface counters and ceramic floors.   Freshly painted interior.  Great location.  Breakfast bar.  Full master bath, walk-in closet, cathedral ceilings.  Gas fireplace, balcony.  Great property and move in ready.</t>
  </si>
  <si>
    <t>Water-Softener Rented, CO Detectors, Ceiling Fan</t>
  </si>
  <si>
    <t>2.5%- $150 (on Net SP)</t>
  </si>
  <si>
    <t>James DuMont</t>
  </si>
  <si>
    <t>(815) 762-0085</t>
  </si>
  <si>
    <t>Fresh Paint.  Great unit ready to sell now!!!!  Backs to water, stainless appliances, solid surface counters! Please use 6.0 Contract</t>
  </si>
  <si>
    <t>Summit Enclave</t>
  </si>
  <si>
    <t>Route 23 or Peace to Greenwood Acres to Summit Enclave/unit in the first building on the right.</t>
  </si>
  <si>
    <t>IMAGINE NO SHOVELING OR LAWN MOWING in this well maintained unit featuring spacious living/dining area, impressive kitchen including all black appliances/pantry. Double sinks in master bath plus large walk in closet.  Second floor laundry w washer/dryer. 2 car garage leads into the utility room which could be great for storage or possible computer/office area. Fresh new paint/window blinds. Unit for Rent.</t>
  </si>
  <si>
    <t>19X22</t>
  </si>
  <si>
    <t>Parking, Lawn Care, Snow Removal</t>
  </si>
  <si>
    <t>2.5-$150 (on Gross SP)</t>
  </si>
  <si>
    <t>please call CSS 877-977-1010 to schedule</t>
  </si>
  <si>
    <t>Jasinowski</t>
  </si>
  <si>
    <t>Linda Smith</t>
  </si>
  <si>
    <t>(815) 751-2937</t>
  </si>
  <si>
    <t>Easy to show/vacant/sentrilock/available for rent.</t>
  </si>
  <si>
    <t>AUBURN</t>
  </si>
  <si>
    <t>TIMBERS</t>
  </si>
  <si>
    <t>Rt 31 North of Rt 64 to Timber Trail W to Millington to Auburn Ct</t>
  </si>
  <si>
    <t>********SOLD DURING PROCESSING ********</t>
  </si>
  <si>
    <t>WILD ROSE ELEMENTARY SCHOOL</t>
  </si>
  <si>
    <t>ST CHARLES NORTH HIGH SCHOOL</t>
  </si>
  <si>
    <t>CALL LA</t>
  </si>
  <si>
    <t>Karen Douglas Realty</t>
  </si>
  <si>
    <t>(630) 232-1234</t>
  </si>
  <si>
    <t>Susan Kalina</t>
  </si>
  <si>
    <t>(630) 673-7741</t>
  </si>
  <si>
    <t>630-673-7741</t>
  </si>
  <si>
    <t>Brighton</t>
  </si>
  <si>
    <t>WESTCHESTER PLACE</t>
  </si>
  <si>
    <t>31st to Westminster to Brighton Ct. right</t>
  </si>
  <si>
    <t>EATON</t>
  </si>
  <si>
    <t>2 story townhouse.  Beautiful hardwood floors.  Living room with fireplace, vaulted ceiling and sliding glass door to back patio. Formal dining room with accent wall.  Newer appliances. 2nd floor hall overlooks 1st floor.  Spacious bedrooms. 2nd floor laundry.  Cemented crawl provides tons of storage options. 2 car attached garage.</t>
  </si>
  <si>
    <t>(708) 352-4840</t>
  </si>
  <si>
    <t>Joe Thorne</t>
  </si>
  <si>
    <t>(708) 205-9028</t>
  </si>
  <si>
    <t>708-205-9028</t>
  </si>
  <si>
    <t>Contracts written on 6.0 forms only.</t>
  </si>
  <si>
    <t>Auburn</t>
  </si>
  <si>
    <t>STONEBROOK</t>
  </si>
  <si>
    <t>RT 132 to Stonebrook S 2 Camden W 2 Hamilton to Stratton W to Auburn</t>
  </si>
  <si>
    <t>BROOKDALE</t>
  </si>
  <si>
    <t>INTEGRAL</t>
  </si>
  <si>
    <t>Open concept floorplan made move-in ready 2013 with NEW: laminate floors &amp; carpet thru out, KIT w/39" custom cabinets &amp; SS APPLS, 2 panel doors &amp; 5 1/2" baseboards, crown &amp; window moldings, staircase wainscoting, bathroom vanities, decorative mirrors &amp; Corian tub surround-shows like a model! French door to lovely patio-1st FLR laundry off epoxied garage. Upscale area with trails near I-94, schools, shops &amp; eateries!</t>
  </si>
  <si>
    <t>Humidifier, TV-Cable, Ceiling Fan</t>
  </si>
  <si>
    <t>2.5% -$295 (on Net SP)</t>
  </si>
  <si>
    <t>Call Showingtime @ 855-746-9020. Friendly dog may be on premises. Please remove shoes &amp; leave card.</t>
  </si>
  <si>
    <t>(847) 367-0500</t>
  </si>
  <si>
    <t>Cynthia Nash-Frye, ABR,CRS,CSC,e-PRO,GRI,SFR</t>
  </si>
  <si>
    <t>(847) 602-0760</t>
  </si>
  <si>
    <t>847-602-0760</t>
  </si>
  <si>
    <t>Please exclude BR2 drapes: washer &amp; dryer negotiable.</t>
  </si>
  <si>
    <t>Pineridge</t>
  </si>
  <si>
    <t>C2</t>
  </si>
  <si>
    <t>Pine Ridge Club</t>
  </si>
  <si>
    <t>Orchard south of Rt. 30 to Mill, west to Pineridge Drive, north to 604 unit C2</t>
  </si>
  <si>
    <t>Bright open updated townhouse! Minutes from Park &amp; Ride for commuter train! Hardwood floors flow from L/R, D/R thru kitchen w/maple cabinets, solid surface c-tops &amp; SS appliances! Master suite w/vaulted ceiling, walk-in closet and private bath. Convenient laundry room off kitchen. 1 car detached garage. Plenty of visitor parking. Front of unit faces center open area beautiful views! Super clean, quick close MOTIVATED</t>
  </si>
  <si>
    <t>Exercise Room, Party Room, Sundeck, Pool-Indoors, Curbs/Gutters, Sidewalks, Street Lights, Street Paved</t>
  </si>
  <si>
    <t>2.5% MINUS $200 (on Gross SP)</t>
  </si>
  <si>
    <t>Call Showing Time 1~855~746~9093</t>
  </si>
  <si>
    <t>Robert Nosalik, ABR</t>
  </si>
  <si>
    <t>(630) 262-6512</t>
  </si>
  <si>
    <t>Very Clean, not a short sale, quick close possible. Great feature for commuters. Area has (Park and Ride) super convenient for access to train, shopping etc. Beautiful clubhouse with indoor pool. Quiet area.</t>
  </si>
  <si>
    <t>92ND</t>
  </si>
  <si>
    <t>95TH TO INDIANA NORTH TO 92ND AND EAST TO ADDRESS</t>
  </si>
  <si>
    <t>A wonderful opportunity to be a homeowner!  2 bedroom town-home with 1.5 baths on a corner lot.  Large yard for outdoor activities.  Home can be updated to your liking with minor expense.  This is a Fannie Mae Homepath property.</t>
  </si>
  <si>
    <t>Central Air, None</t>
  </si>
  <si>
    <t>3% - $1000 MINIMUM (on Net SP)</t>
  </si>
  <si>
    <t>see schedule a showing tab</t>
  </si>
  <si>
    <t>REO Plus LLC</t>
  </si>
  <si>
    <t>(312) 559-5555</t>
  </si>
  <si>
    <t>Thomas Kraley</t>
  </si>
  <si>
    <t>Direct all offers to www.HOMEPATH.COM - as is sale - email agent with questions</t>
  </si>
  <si>
    <t>Bennett Lot#2604</t>
  </si>
  <si>
    <t>Easton Park</t>
  </si>
  <si>
    <t>Rt. 64 (North Avenue) West of Gary, North side of Street</t>
  </si>
  <si>
    <t>CARDIFF-2</t>
  </si>
  <si>
    <t>Exciting "Easton Park" Presents the "Cardiff" 9 Ft. Ceilings Main Level! Hardwood Flooring on 1st Floor, Kitchen Features 42" Cabinetry w/Granite Counters + SS Appl's. Master Br Suite w/Tray Ceiling &amp; Private Lux Bath! Stained Rails &amp; Spindles! 2Brs + Loft, Powder Room w/Closest! "WHOLE HOME"  30 Year Structural Transferable Builder Warranty. Photos are of Subject Home! Ready For Immediate Delivery!</t>
  </si>
  <si>
    <t>CAROL STREAM ELEMENTARY SCHOOL</t>
  </si>
  <si>
    <t>Please Call Kris Shannon @ 630-631-6550 Or Use Showing Assist</t>
  </si>
  <si>
    <t>M/I Homes of Chicago</t>
  </si>
  <si>
    <t>630-631-6550</t>
  </si>
  <si>
    <t>Agent Must Accompany Buyers on 1st Visit! Please Register with Kris Shannon @ 630-631-6550 Call Her with Any Questions. Subject Home Ready Late December/Early Jan</t>
  </si>
  <si>
    <t>Chatham</t>
  </si>
  <si>
    <t>BRADFORD PLACE TOWNES</t>
  </si>
  <si>
    <t>Rt 120 South on Curran to Chatham to #</t>
  </si>
  <si>
    <t>Grayslake schools!! Spacious Ranch Townhome Backing to park and Gazebo lots of open space with trails. Large living room W/Picture Window. master suite with Walk-in Closet. High Efficiency furnace and hot water heater. Ready for fast closing.</t>
  </si>
  <si>
    <t>1/2 Duplex, Townhouse-Ranch</t>
  </si>
  <si>
    <t>Gas, Propane</t>
  </si>
  <si>
    <t>Call Listing office</t>
  </si>
  <si>
    <t>James Smith, SFR,SRES</t>
  </si>
  <si>
    <t>(847) 274-8301</t>
  </si>
  <si>
    <t>Shepard</t>
  </si>
  <si>
    <t>Rt. 21/120 north to Heather Ridge entrance to Manchester, Manchester to Shepard Ct. Rt. to home</t>
  </si>
  <si>
    <t>MAPLE</t>
  </si>
  <si>
    <t>0.02 ACRES</t>
  </si>
  <si>
    <t>Country Club like living, immediate possession available.  Two Bedroom, Two Bath with Loft/ Bedroom.  Sunny open concept Great Room with a floor to ceiling natural stone wood-burning fireplace and built in bookshelves. Other features include large closets, balcony and Patio, one car detached garage.  Amenities include; Golf Course, Tennis Courts, Outdoor Pool, Clubhouse,24 Hour Security w/easy access to Tollway. WOW!</t>
  </si>
  <si>
    <t>14X21</t>
  </si>
  <si>
    <t>Golf Course, Party Room, Pool-Outdoors, Tennis Court/s, Curbs/Gutters, Street Lights, Street Paved</t>
  </si>
  <si>
    <t>Call Showing Desk 855-746-9200</t>
  </si>
  <si>
    <t>(847) 433-5400</t>
  </si>
  <si>
    <t>Marsha Icko Paris, CRS,SFR</t>
  </si>
  <si>
    <t>(847) 681-4127</t>
  </si>
  <si>
    <t>cell: 847-909-8404</t>
  </si>
  <si>
    <t>Townhouse can be purchased with all furniture at no additional cost to buyer.   Carpet credit for living room carpet negotiable.</t>
  </si>
  <si>
    <t>Michigan</t>
  </si>
  <si>
    <t>GS</t>
  </si>
  <si>
    <t>One way going south,49th street to Michigan Avenue</t>
  </si>
  <si>
    <t>G</t>
  </si>
  <si>
    <t>This is a Fannie Mae HomePath property.  2 bed 1 bath garden unit ready for a new buyer.  Tasteful upgrades include stainless appliances, wood colored living/kitchen flooring, and smart looking cabinets and counter tops.  Nice gas log fireplace in the living room for warm and cozy nights.  This property is priced to sell fast so do not delay!</t>
  </si>
  <si>
    <t>25X19</t>
  </si>
  <si>
    <t>Water, Parking, Exterior Maintenance, Scavenger, Snow Removal</t>
  </si>
  <si>
    <t>3% - $1000.00 MINIMUM (on Net SP)</t>
  </si>
  <si>
    <t>Please direct all offers to WWW.HOMEPATH.COM - email agent with questions for fastest response - discoloration present in the unit - no reps or warranties from seller - as is sale no survey or repairs</t>
  </si>
  <si>
    <t>County Line Rd N or S-E on Burr Ridge Pkwy. Left onto Bridewell Ave turn right into Burr Ridge Cente</t>
  </si>
  <si>
    <t>WOW $15,000 Price Reduction. No other 2 bed available at this price! Will not Last.  See it now before its too late.  Luxurious Top floor unit w/balcony Northern Exposure  Enter Foyer to open floor plan &amp; vaulted ceilings. Gourmet kitchen w/real hardwood cherry cabinets, stainless steel appliances &amp; granite counters.  Radiant heat-floors. Beds-both w/walk in closets &amp; 2 full baths. Heated parking &amp; in unit laundry</t>
  </si>
  <si>
    <t>Elevator, Storage, Security Door Locks, Sidewalks, Street Lights</t>
  </si>
  <si>
    <t>Heat, Water, Common Insurance, Exterior Maintenance, Lawn Care, Scavenger, Snow Removal</t>
  </si>
  <si>
    <t>Owner Occupied.  Please allow one hour.</t>
  </si>
  <si>
    <t>Christopher Neely</t>
  </si>
  <si>
    <t>(630) 553-9989</t>
  </si>
  <si>
    <t>Deanna Mihalek</t>
  </si>
  <si>
    <t>(630) 362-0264</t>
  </si>
  <si>
    <t>Corporate Relocation.  Please use attached Purchase &amp; Sale Agreement &amp; Standard Addendum. Washer and dryer stay 2 years old with warranty.</t>
  </si>
  <si>
    <t>Marywood</t>
  </si>
  <si>
    <t>Farnsworth to molitor w to marywood</t>
  </si>
  <si>
    <t>first floor spacious unit. sold as is 100% tax pro, preapproval pof with all offers</t>
  </si>
  <si>
    <t>Block</t>
  </si>
  <si>
    <t>MEASUREMENTS ARE ESTIMATED POF WITH ALL OFFERS</t>
  </si>
  <si>
    <t>RT. 23 N. OF 64 TO MT. HUNGER RD E TO PENNY LN SOUTH</t>
  </si>
  <si>
    <t>This move in ready 1st floor ranch unit offers easy living, w/its large living room w/corner gas FP &amp; slider doors patio.  The kitchen offers granite counters and stainless appliances, and the large master suite offers a walk in closet and private bath.  First floor laundry/mud room is fully equipped and conveniently located off attached 2 car garage.</t>
  </si>
  <si>
    <t>6X8</t>
  </si>
  <si>
    <t>Curbs/Gutters, Sidewalks, Street Lights</t>
  </si>
  <si>
    <t>Water-Softener Owned, TV-Cable, Ceiling Fan</t>
  </si>
  <si>
    <t>IDHA</t>
  </si>
  <si>
    <t>39W363</t>
  </si>
  <si>
    <t>Baker</t>
  </si>
  <si>
    <t>Fabyan to Mill Creek Dr N to Baker S to house</t>
  </si>
  <si>
    <t>POTOMAC</t>
  </si>
  <si>
    <t>End unit townhouse w/impressive brick front, 2-car rear garage &amp; Trex deck. 9' ceilings, crown molding, hardwood floors &amp; more. Large living/dining area w/bayed window w/seat. Built-in book cases. Family room w/brick gas log fp. Huge kitchen boasts solid surface countertops, ample cabinetry &amp; vaulted eating area w/skylights. Vaulted master. Both bedrooms w/walk-in closets &amp; private baths. New HVAC &amp; most appliances.</t>
  </si>
  <si>
    <t>24X10</t>
  </si>
  <si>
    <t>Bike Room/Bike Trails, Golf Course, Curbs/Gutters, Sidewalks, Street Lights, Street Paved</t>
  </si>
  <si>
    <t>Eating Area-Breakfast Bar, Eating Area-Table Space, Island</t>
  </si>
  <si>
    <t>Humidifier, Water-Softener Owned, CO Detectors, Ceiling Fan</t>
  </si>
  <si>
    <t>Call Showing Time 855-919-0377 *MUST CONFIRM</t>
  </si>
  <si>
    <t>miles@kombrink.com</t>
  </si>
  <si>
    <t>Contact co-lister Miles Tischhauser with questions/offers at 815-739-3458.</t>
  </si>
  <si>
    <t>EOLA WEST TO LIBERTY, NORTH TO REFLECTIONS</t>
  </si>
  <si>
    <t>Charming 2 bedroom 2.5 bath home.  Home has spacious living room, nice kitchen, master bedroom with sitting area, large bedrooms and great community.  Close to schools, transit, interstate, restaurants and shopping.  Home has been repaired - waiting on flooring to be installed.  This is a Fannie Mae HomePath Property</t>
  </si>
  <si>
    <t>The seller has directed that all offers on this listing be made using the HomePath Online Offer System @ the HomePath.com website." Please see attachment-MUST USE PG 8-NO PERSONAL PROPERTY INCL. EM MUST BE CERTIFIED FUNDS (10% for cash).</t>
  </si>
  <si>
    <t>Newland</t>
  </si>
  <si>
    <t>2N</t>
  </si>
  <si>
    <t>63RD ST EAST OR WEST TO NEWLAND NORTH TO ADDRESS</t>
  </si>
  <si>
    <t>........BANK OWNED SOLD AS-IS . BUYER RESPONSIBLE FOR TERMITE AND SURVEY. TAXES PRORATED AT 100% . PROOF OF FUNDS OR PRE-APPROVAL REQUIRED WITH ALL OFFERS . E.M. MUST BE CERTIFIED FUNDS.</t>
  </si>
  <si>
    <t>17X7</t>
  </si>
  <si>
    <t>2.5% - $100 (on Net SP)</t>
  </si>
  <si>
    <t>PLEASE USE "SCHEDULE A SHOWING", CLICK BELOW</t>
  </si>
  <si>
    <t>TCF NATIONAL BANK</t>
  </si>
  <si>
    <t>Citywide Realty LLC</t>
  </si>
  <si>
    <t>(773) 498-2524</t>
  </si>
  <si>
    <t>Mauricio Gonzalez</t>
  </si>
  <si>
    <t>Email Offers to mauricio@citywide-realty.com..... Minimum EM for financed deals is $2500 and $5000 on CASH deals. NOT FHA APPROVED,,RENT-ABLE MANAGEMENT SCREENING REQUIRED</t>
  </si>
  <si>
    <t>Sheehan</t>
  </si>
  <si>
    <t>RT 59 East on 91ST St (Leverenz Rd) to Sheehan Dr. Left (North) to property.</t>
  </si>
  <si>
    <t>Freshly painted, 2 bedroom, 2 bath unit with balcony overlooking the pond, new carpet, new vanity, new fixtures, new stove and micro-hood, new hardwired smoke alarms, fireplace, and attached 1 car garage. This is a Fannie Mae HomePath property. **Highest and best offer due by 10am on 1/29**</t>
  </si>
  <si>
    <t>09X15</t>
  </si>
  <si>
    <t>â€œThe seller has directed that all offers on this listing be made using the HomePath Online Offer system at HomePath.com website.â€.</t>
  </si>
  <si>
    <t>Tinnerella</t>
  </si>
  <si>
    <t>Woodland Heights</t>
  </si>
  <si>
    <t>Irving Park Rd, South on McKool to Tinnerella to Property</t>
  </si>
  <si>
    <t>20X56</t>
  </si>
  <si>
    <t>Look no further this is the one. If you are looking for a move in ready home well this is it. Completely remodeled from head to toe. All new windows, electrical panel, carpert, paint, trim molding and granite counter tops. This home is a must see with 2 baths and 1 and half bathrooms. Schedule your showing today...</t>
  </si>
  <si>
    <t>Use ShowingTime</t>
  </si>
  <si>
    <t>Infiniti Real Estate Grp, Inc.</t>
  </si>
  <si>
    <t>(630) 782-9601</t>
  </si>
  <si>
    <t>Francesco Cacucciolo</t>
  </si>
  <si>
    <t>(630) 935-6985</t>
  </si>
  <si>
    <t>HAROLD</t>
  </si>
  <si>
    <t>W ON LAWRENCE TO MICHIGAN NORTH TO HAROLD TO #</t>
  </si>
  <si>
    <t>Sold as -is.</t>
  </si>
  <si>
    <t>Chicago Area Realty Inc</t>
  </si>
  <si>
    <t>(773) 545-5300</t>
  </si>
  <si>
    <t>Grazyna Przybysz</t>
  </si>
  <si>
    <t>(773) 343-2551</t>
  </si>
  <si>
    <t>MASON</t>
  </si>
  <si>
    <t>1D</t>
  </si>
  <si>
    <t>CICERO TO 63RD ST WEST TO MASON</t>
  </si>
  <si>
    <t>Two bedrooms, one bathroom unit. In-unit washer/dryer hookups. Maple kitchen cabinets, granite counter tops. Large patio. Storage. Parking space.  Property shall be conveyed by Quit Claim Deed or its local equivalent without exception. Sold as is.Tax proration 100%. No disclosure, no survey, no warranties, provided by the seller. Addendum after offer acceptance.</t>
  </si>
  <si>
    <t>Click Schedule a Showing</t>
  </si>
  <si>
    <t>Offer, please email to reochicagoarea@comcast.net</t>
  </si>
  <si>
    <t>York road north of robert palmer drive &amp; south of tracks</t>
  </si>
  <si>
    <t>DORCHESTER</t>
  </si>
  <si>
    <t>UPSCALE LUXURY LIVING in Downtown Elmhurst. Condo features Gourmet Kitchen w/ BRAND NEW High-End Stainless Steel Appliances, Maple Cabinetry and Granite Countertops. Beautiful WALNUT HARDWOOD FLOORS. Master Suite w/ Walk in Closet, Master Bath w/ SPA TUB and Separate Shower. All Brushed Nickel Faucets and Handles. Custom Frameless Glass Shower Doors. Living and Bed Rooms Pre-Wired for Wall-Mount HD Flat Panel TVs. Ba</t>
  </si>
  <si>
    <t>16X19</t>
  </si>
  <si>
    <t>Elevator, Exercise Room</t>
  </si>
  <si>
    <t>Water, Gas, Parking, Common Insurance, Security, Exercise Facilities, Exterior Maintenance, Lawn Care, Snow Removal</t>
  </si>
  <si>
    <t>Heated, Tandem</t>
  </si>
  <si>
    <t>Forced Air, Radiant</t>
  </si>
  <si>
    <t>2.5 %  -$250 (on Net SP)</t>
  </si>
  <si>
    <t>call listing agent 708-296-2343</t>
  </si>
  <si>
    <t>Jax Realtors</t>
  </si>
  <si>
    <t>(630) 250-4513</t>
  </si>
  <si>
    <t>Pedro Alarcon</t>
  </si>
  <si>
    <t>(708) 749-4422</t>
  </si>
  <si>
    <t>Low HOA Dues ($266/month) Gas and Water Included. Responsibly Managed Condo Board w/Surplus Reserves. Very Friendly and Helpful Building Maintenance Staff On-Site.</t>
  </si>
  <si>
    <t>LAKE ST EAST OF 53 TO ITASCA RD SOUTH TO PROPERTY</t>
  </si>
  <si>
    <t>CARLYSLE 2</t>
  </si>
  <si>
    <t>BEAUTIFUL 2BR, 2BA CONDO WITH POND VIEW, 9 FT CEILINGS, GAS FIREPLACE, HARDWOOD FLOORS, NEW CARPET BRS, FRESH PAINT, MAPLE CABINETS AND GRANITE IN KITCHEN AND BATH, NEW FAUCETS, NEW MIRRORS, NEW LIGHTING, NEW S/S APPLIANCES IN UNIT FULL SIZE W/D, LARGE WALK IN CLOSETS, NEW BLINDS, INDOOR HEATED PARKING SPACE #204, EXTRA STORAGE ON BALCONY, CLOSE TO HIGHWAY.</t>
  </si>
  <si>
    <t>Common Grounds, Landscaped Professionally, Pond, Water View</t>
  </si>
  <si>
    <t>Parking, Common Insurance, TV/Cable, Exterior Maintenance, Lawn Care, Scavenger, Snow Removal</t>
  </si>
  <si>
    <t>USE SHOWING ASSIST BELOW TO SCHEDULE AN APPOINTMENT</t>
  </si>
  <si>
    <t>ILLINOIS LIC BROKER</t>
  </si>
  <si>
    <t>NOT FHA APPROVED</t>
  </si>
  <si>
    <t>TEMP NO SHOWINGS..PROPERTY UNDER CONTRACT. CTG TO FIN.. SELLER STILL ACCEPTING BACK UP OFFERS. THANK YOU</t>
  </si>
  <si>
    <t>Croatian</t>
  </si>
  <si>
    <t>Route 23 (Sycamore Rd/DeKalb Ave) to Coltonville Rd. Turn right on Croatian. Property on right.</t>
  </si>
  <si>
    <t>40 X 82</t>
  </si>
  <si>
    <t>Pride of ownership shows in this well maintained end unit ranch townhome.  Krpan built quality with Pella windows, rich hardwood flooring, neutral dÃ©cor &amp; solid oak trim. Living room with floor to ceiling masonry gas fireplace &amp; skylights. Eat in kitchen with oak cabinetry includes appliances &amp; built in desk. Move in &amp; enjoy carefree living in this splendid 1 owner home! Quick close possible. Home warranty included.</t>
  </si>
  <si>
    <t>29X14</t>
  </si>
  <si>
    <t>Humidifier, Water-Softener Owned, CO Detectors, Ceiling Fan, Sump Pump</t>
  </si>
  <si>
    <t>Brenda Henke</t>
  </si>
  <si>
    <t>(815) 739-5222</t>
  </si>
  <si>
    <t>Imagemaker 360</t>
  </si>
  <si>
    <t>Beautiful clean unit.  Quick close.  Vacant, easy to show.</t>
  </si>
  <si>
    <t>Narragansett</t>
  </si>
  <si>
    <t>3E</t>
  </si>
  <si>
    <t>HARLEM TO 63RD, EAST TO NARRAGANSETT</t>
  </si>
  <si>
    <t>PROPERTY IS OCCUPIED AND OCCUPANTS ARE NOT TO BE DISTURBED OR CONTACTED UNDER ANY CIRCUMSTANCES. INTERIOR INSPECTIONS ARE NOT AVAILABLE AND PROPERTY IS BEING SOLD AS IS. PROPERTY IS SOLD THROUGH AUCTION. SEE AGENT REMARKS FOR AUCTION INFO.</t>
  </si>
  <si>
    <t>08X09</t>
  </si>
  <si>
    <t>Tenant's Rights</t>
  </si>
  <si>
    <t>1.0% (on Net SP)</t>
  </si>
  <si>
    <t>NO ACCESS - OCCUPIED</t>
  </si>
  <si>
    <t>ONLINE AUCTION. HOMESEARCH.COM</t>
  </si>
  <si>
    <t>Weeping Willow</t>
  </si>
  <si>
    <t>6D</t>
  </si>
  <si>
    <t>HIGHPOINT</t>
  </si>
  <si>
    <t>Maple Ave W of College to Benedictine S to Weeping Willow W to 2748 (across from pool)</t>
  </si>
  <si>
    <t>Bright/cheerful condo in lovely Highpoint of Green Trails w/separate entrance &amp; across from pool for Summertime fun. Enjoy beautiful new carpet &amp; wood laminate flooring, brush nickel light fixtures, freshly painted interior, newer kitchen appliances &amp; W/D in separate laundry rm. Generous Liv &amp; Din rms have newer windows &amp; SGD to cozy deck. Huge Mbr w/walk-in closet &amp; access to bath. Attached end garage-203 schools!</t>
  </si>
  <si>
    <t>STEEPLE RUN ELEMENTARY SCHOOL</t>
  </si>
  <si>
    <t>KENNEDY JUNIOR HIGH SCHOOL</t>
  </si>
  <si>
    <t>Pool-Outdoors</t>
  </si>
  <si>
    <t>Water, Common Insurance, Pool, Exterior Maintenance, Lawn Care, Snow Removal</t>
  </si>
  <si>
    <t>Aluminum Siding, Brick, Masonite</t>
  </si>
  <si>
    <t>Call CSS 877 977-1010, leave day &amp; time, then use Sentrilock KB</t>
  </si>
  <si>
    <t>Jon Svitak</t>
  </si>
  <si>
    <t>(630) 712-8002</t>
  </si>
  <si>
    <t>Seller transferred! Bright clean spacious condo w/sep entrance (no common areas) &amp; attached garage across from pool. Low taxes &amp; assessmt includes water. Master Association-$180/Yr for Green Trails amenities.All agents must show all buyers.</t>
  </si>
  <si>
    <t>Memory</t>
  </si>
  <si>
    <t>WILLIAMSPORT VILLAGE</t>
  </si>
  <si>
    <t>63rd Street west of Cass and east of Fairview to Williams, south to Memory Lane, east to unit.</t>
  </si>
  <si>
    <t>Beautiful, spacious move-in condition unit, balcony with golf course views, in-unit full size washer/dryer, updated baths, six panel wood doors, crown molding, full master bath and walk-in closet. Light, bright south facing unit. Garage space included, great location near shopping and transportation. Rentals allowed.</t>
  </si>
  <si>
    <t>Security Door Locks, Curbs/Gutters, Street Lights, Street Paved</t>
  </si>
  <si>
    <t>CALL THE B&amp;W APPOINTMENT CENTER @ 855-746-9100</t>
  </si>
  <si>
    <t>Kathy McVeigh, CNC,CSC</t>
  </si>
  <si>
    <t>(708) 337-8088</t>
  </si>
  <si>
    <t>Estate sale, unit is in very good condition. Lockbox is on garage light fixture. Buyer's agent must accompany all showings. Rentable, but not FHA approved at this time.</t>
  </si>
  <si>
    <t>Vernon</t>
  </si>
  <si>
    <t>NEW CENTURY TOWN</t>
  </si>
  <si>
    <t>Rt.60 East of Butterfield Rd to Aspen North to Vernon Ct</t>
  </si>
  <si>
    <t>Recently renovated with new carpet, fresh paint &amp; new tiled floor in kitchen&amp;foyer this 2 story townhome is in perfect location minutes to expressways &amp; shopping. Open floor plan w/ cathedral ceilings. Walk to school, pool, tennis, fishing pond, trails and restaurants.  * All offers must be submitted by buyer's agent via offersubmission. Prop. ID # 1016769. Buyer pays $300 at closing only if closed.</t>
  </si>
  <si>
    <t>Porcelain Tile</t>
  </si>
  <si>
    <t>Parking, Common Insurance, Pool, Exterior Maintenance, Lawn Care, Snow Removal</t>
  </si>
  <si>
    <t>Townhouse-2 Story, Townhouse 3+ Stories, Townhouse-TriLevel</t>
  </si>
  <si>
    <t>Call listing office or use showing assist</t>
  </si>
  <si>
    <t>(847) 790-8400</t>
  </si>
  <si>
    <t>Teresa Sterna, e-PRO,GRI,SRES,SRS</t>
  </si>
  <si>
    <t>(847) 778-7358</t>
  </si>
  <si>
    <t>847-778-7358</t>
  </si>
  <si>
    <t>ALL OFFERS MUST BE SUBMITTED BY BUYER"S AGENT via WWW.OFFERSUBMISSION.COM. Property ID#1016769. Buyer pays $300 at closing. Confirm room sizes &amp; HOA info. Sold "as is". Seller will not respond to offers within the 10 days of market time</t>
  </si>
  <si>
    <t>N AURORA 1 BLK E OF EOLA2 PENNSBURY S 2 BROMLEY</t>
  </si>
  <si>
    <t>BEAUTIFUL 2 STORY TOWNHOME IN ASHTON POINTE SUBDIVISION WITH 2 BEDRMS &amp; LOFT CAN BE USED AS DEN. HUGE MASTER SUITE W/WALK-IN CLOSET &amp; LUXURY BATH. AMPLE STORAGE PLUS 2 CAR GARAGE. SCHOOL DIST #204.GREAT LOCATION FOR COMMUTERS, ABOUT MILE AWAY FROM METRA TRAIN STATION &amp; MINUTES AWAY FROM 1-88 &amp; SHOPPING.</t>
  </si>
  <si>
    <t>See Secure Showing</t>
  </si>
  <si>
    <t>Exit Elite Realty</t>
  </si>
  <si>
    <t>(630) 596-5600</t>
  </si>
  <si>
    <t>Anita Saggar</t>
  </si>
  <si>
    <t>(630) 430-5955</t>
  </si>
  <si>
    <t>630-430-5955</t>
  </si>
  <si>
    <t>1667-3</t>
  </si>
  <si>
    <t>CHELMSFORD</t>
  </si>
  <si>
    <t>FAIRFAX COMMONS SILVERCREST</t>
  </si>
  <si>
    <t>MAYFLOWER NORTH OF SCHICK TO COLUMBIA W TO CHELMSFORD COURT</t>
  </si>
  <si>
    <t>VAULTED CEILINGS, OPEN FLOOR PLAN, NEUTRAL INTERIOR. LARGE LIVING ROOM WITH DOUBLE SLIDING PATIO DOORS TO BALCONY. EAT IN KITCHEN WITH PANTRY AND PASS THROUGH. LARGE MASTER BEDROOM WITH WALK-IN CLOSET AND PRIVATE BATH. DEN OR 3RD BEDROOM WITH VOLUME CEILING AND DOUBLE DOOR ENTRY. 2 CAR ATTACHED GARAGE. PRIVATE ENTRANCE. BACKS TO OPEN AREA. EXEMPLARY CONDITION. BARTLETT HIGH SCHOOL.  CLOSE TO SHOPPING.</t>
  </si>
  <si>
    <t>Fire Sprinklers, CO Detectors, Ceiling Fan</t>
  </si>
  <si>
    <t>CALL LISTING OFFICE 630 830 9100 MUST BE CONFIRMED. 2 HOUR MINIMUM NOTICE REQUIRED.</t>
  </si>
  <si>
    <t>630 417 6800</t>
  </si>
  <si>
    <t>Deborah Battersby</t>
  </si>
  <si>
    <t>(630) 417-6800</t>
  </si>
  <si>
    <t>2S760</t>
  </si>
  <si>
    <t>Timber</t>
  </si>
  <si>
    <t>Warrenville Lakes</t>
  </si>
  <si>
    <t>Rt. 59 to Batavia Rd., East to Timber South to home</t>
  </si>
  <si>
    <t>Cute end unit.  Lots of space, closets, storage!  Ceramic flooring on first level. Living room has fireplace. Large eat in kitchen, two bedrooms both with walk-in closets plus large loft which has a wet bar vaulted ceiling and skyligh that overlooks on to living rooom. Second floor laundry, 2 1/2 baths, 2 car garage. Recent updates include: patio door, garage door, roof, water heater. So much for the money.</t>
  </si>
  <si>
    <t>Please call CSS @ 877977-1010 for appointment.</t>
  </si>
  <si>
    <t>Susan Baltaragis, CNC,CRS,GRI</t>
  </si>
  <si>
    <t>(630) 637-2523</t>
  </si>
  <si>
    <t>Nice unit. Regular sale.</t>
  </si>
  <si>
    <t>Apple Grove</t>
  </si>
  <si>
    <t>Orchard Gate</t>
  </si>
  <si>
    <t>Cass Ave. to 67th St. west to Apple Grove and north to home.</t>
  </si>
  <si>
    <t>24X92</t>
  </si>
  <si>
    <t>Beautiful Orchard Gate town home in ideal location backing to golf course. Bright and spacious rooms, freshly painted , recently refinished hardwood floors. Gas fireplace, newer windows and sliding glass door. Furnace and hot water heater 2013, newer washer and dryer. Updated kitchen and full bath. Incredibly maintained and move in ready! Lowest price town home in the complex!</t>
  </si>
  <si>
    <t>8X11</t>
  </si>
  <si>
    <t>2.5% MINUS $295 (on Net SP)</t>
  </si>
  <si>
    <t>Call 1-855-746-9100 or use showing assist</t>
  </si>
  <si>
    <t>(630) 964-1855</t>
  </si>
  <si>
    <t>Kim Schultz Moustis, CNC,GRI</t>
  </si>
  <si>
    <t>(630) 964-4226</t>
  </si>
  <si>
    <t>Lowest priced town home in Orchard Gate. Occupied but easy to show. Buyers agent must accompany all showings.</t>
  </si>
  <si>
    <t>Littleton</t>
  </si>
  <si>
    <t>FIELDSTONE</t>
  </si>
  <si>
    <t>Route 19 W of Route 59 to Littleton trail S to home</t>
  </si>
  <si>
    <t>New paint and carpet in this open and airy end unit!  Spacious master bedroom with walk in closet and private bath. Partial basement off the 2 car garage, balcony off eat in kitchen with breakfast bar, second floor laundry.  Nice courtyard is in the front of the home. Local bank owned, easy to deal with.</t>
  </si>
  <si>
    <t>HILLTOP ELEMENTARY SCHOOL</t>
  </si>
  <si>
    <t>2.5% - $195.00 (on Net SP)</t>
  </si>
  <si>
    <t>American community Bank, NA</t>
  </si>
  <si>
    <t>(815) 455-5700</t>
  </si>
  <si>
    <t>Richard Toepper, GRI</t>
  </si>
  <si>
    <t>(815) 338-9900</t>
  </si>
  <si>
    <t>Rt. 12 &amp; State Park N2 Grasslake E2 Leisure Vlg. 2 1st right on Lexington S2 #</t>
  </si>
  <si>
    <t>REGENCY</t>
  </si>
  <si>
    <t>Come home to a life style change in this popular 55+ community! Golf, tennis, swimming pool, club house w/many activity rooms, fishing, plus many more activities! Ranch home w/new roof, paint, &amp; carpet! Huge master suite w/walk-in shower!  W/burning fireplace! 4 season/Florida room with wall of windows! Newer air conditioner &amp; dishwasher! garage w/pull down attic steps! Lots of closets &amp; storage space! Great location</t>
  </si>
  <si>
    <t>Exercise Room, Golf Course, On Site Manager/Engineer, Party Room, Pool-Outdoors, Tennis Court/s, Curbs/Gutters, Gated Entry, Sidewalks, Street Lights, Street Paved</t>
  </si>
  <si>
    <t>Oven/Range, Dishwasher, Washer, Dryer</t>
  </si>
  <si>
    <t>Common Insurance, Security, Clubhouse, Exercise Facilities, Pool, Exterior Maintenance, Lawn Care, Snow Removal</t>
  </si>
  <si>
    <t>2.5% - $ 100 (on Net SP)</t>
  </si>
  <si>
    <t>Call Listing realtor at 847-989-9936</t>
  </si>
  <si>
    <t>Results Realty USA</t>
  </si>
  <si>
    <t>(847) 395-2333</t>
  </si>
  <si>
    <t>Donna Crivello</t>
  </si>
  <si>
    <t>(847) 989-9936</t>
  </si>
  <si>
    <t>Commuter Train, Adult Community</t>
  </si>
  <si>
    <t>Great location-close to entry gate &amp; clubhouse. Bay window in dining room. One of the largest models.</t>
  </si>
  <si>
    <t>ON N ADDISON RD NORTH OF FULLERTON AVE TO E LAKE ST. HEAD EAST ON LAKE ST TO PROPERTY.</t>
  </si>
  <si>
    <t>Move-in ready 2 bed, 2.5 bath townhouse with attached 1 car garage. Features new interior paint, new carpeted stairs, hardwood floors &amp; powder room. Kitchen has breakfast bar, eat-in area &amp; pantry. Both beds have ample closet while master bed has full master bath with dual sink. Full, finished basement has family room, kitchen &amp; laundry hook-up in units. Well-maintained exterior has lovely deck. Come and see today!</t>
  </si>
  <si>
    <t>28X10</t>
  </si>
  <si>
    <t>For Appointments Call Showingtime at 800-746-9464</t>
  </si>
  <si>
    <t>Keller Williams Realty Partners, LLC</t>
  </si>
  <si>
    <t>Helen Oliveri</t>
  </si>
  <si>
    <t>(847) 967-0022</t>
  </si>
  <si>
    <t>DOWNLOAD contract and email to Helen. Questions? Email Helen. Possible home warranty incentive 4 owner occupied buyers on INITIAL Offer only. See additional info tab for details. FINAL &amp; BEST DUE 12/15/2014 at 8:00 AM.</t>
  </si>
  <si>
    <t>MUSKEGAN</t>
  </si>
  <si>
    <t>40-6</t>
  </si>
  <si>
    <t>CARRIAGES OF GROSSE POINTE</t>
  </si>
  <si>
    <t>RT 45 E OF RT 83 TO GROSSE POINTE CIR N TO MUSKEGAN</t>
  </si>
  <si>
    <t>WELL MAINTAINED 2BR/2BA HOME W/PREMIUM CUL-DE-SAC LOCATION! NEUTRAL DECOR &amp; RECENTLY PAINTED T-OUT.MOVE-IN READY! SUN-DRENCHED LIVING ROOM W/FLOOR TO CEILING WINDOW &amp; MARBLE FIREPLACE. BAY WINDOW BRIGHTENING THE DINING ROOM. SPACIOUS KITCHEN W/OAK CABINETRY, HUGE EATING AREA &amp; SLIDERS TO BALCONY. OPEN MASETER BR W/VAULTED CEILING &amp; PRIVATE BATH. NEW FURNACE &amp; A/C IN 2013. 2 CAR ATTACHED GARAGE. PETS OK</t>
  </si>
  <si>
    <t>Cul-de-sac, Landscaped Professionally</t>
  </si>
  <si>
    <t>Humidifier, CO Detectors</t>
  </si>
  <si>
    <t>CALL LO FOR INSTRUCTIONS AT 847-295-0800. REMOVE SHOES/LEAVE CARD.</t>
  </si>
  <si>
    <t>RE/MAX Top Performers</t>
  </si>
  <si>
    <t>(847) 295-0800</t>
  </si>
  <si>
    <t>Jane Lee, ABR,CRS,GRI</t>
  </si>
  <si>
    <t>(847) 668-3294</t>
  </si>
  <si>
    <t>847-668-3294 DIRECT</t>
  </si>
  <si>
    <t>DISCLOSURES IN MLS</t>
  </si>
  <si>
    <t>Karen</t>
  </si>
  <si>
    <t>Hampshire Highlands</t>
  </si>
  <si>
    <t>Rt 72 East of State to Runge N to Jake L to Karen L to property</t>
  </si>
  <si>
    <t>50 X 133</t>
  </si>
  <si>
    <t>Incredible Value for this Upgraded Duplex! Gorgeous Kitchen Offers HW Flooring, Brand-New Stainless Steel Appliances, Maple Cabinetry, &amp; Opens to Bright, Airy 3-Season Room! Huge Living Room is Perfect for Entertaining! Large Master features Tray Ceiling &amp; Private Bath w/ Jacuzzi Tub! Features Incl Upgraded Lighting, Neutral Paint, &amp; White Trim &amp; 6-Panel Doors T/O! Full, Deep-Pour Basement w/ Rough-In for Full Bath!</t>
  </si>
  <si>
    <t>HAMPSHIRE ELEMENTARY SCHOOL</t>
  </si>
  <si>
    <t>34X15</t>
  </si>
  <si>
    <t>CO Detectors, Ceiling Fan, Sump Pump</t>
  </si>
  <si>
    <t>2.5% - $275 (on Net SP)</t>
  </si>
  <si>
    <t>Call LO 847-985-7050</t>
  </si>
  <si>
    <t>Sarah Leonard, e-PRO</t>
  </si>
  <si>
    <t>(224) 239-3966</t>
  </si>
  <si>
    <t>Seller is related to LA</t>
  </si>
  <si>
    <t>Lakewood Creek</t>
  </si>
  <si>
    <t>Route 30 to Lakewood Creek Dr. south,right on Troon, left on Rebecca to property on southwest corner</t>
  </si>
  <si>
    <t>Half,Shared</t>
  </si>
  <si>
    <t>110 X 40 X 110 X 4.86 X 34.37</t>
  </si>
  <si>
    <t>Charming 2 bedroom with new entryway flooring and new carpeting through out.  Open concept with lots of light.  Kitchen with appliances and food pantry offers lots of storage.  Dinning area opens to patio and fenced yard, great for cooking out and entertaining.  Spacious bedrooms with plenty of closet space.  Laundry room with hookups and attached garage with more built in storage.  15 minutes to I-88.</t>
  </si>
  <si>
    <t>Clubhouse</t>
  </si>
  <si>
    <t>2.5% ON NET SP (on Net SP)</t>
  </si>
  <si>
    <t>Please remove/cover shoes(covers box @ front door).  Make sure all doors closed/locked &amp; lights off.</t>
  </si>
  <si>
    <t>Sherry Pierce</t>
  </si>
  <si>
    <t>Property sold "as is" with no warranty or disclosure.  Bank owned.</t>
  </si>
  <si>
    <t>Crab Tree</t>
  </si>
  <si>
    <t>CASS TO 67TH TO ORCHARD GATE R TO CRAB TREE L TO HM</t>
  </si>
  <si>
    <t>SHOWS LIKE A MODEL! PRIDE OF OWNERSHIP SHINES THROUHOUT THIS 2-STORY BEAUTY.  NEWER FURNACE, AC, APPLICANCES. HUGE BEDROOMS. MASTER W/VALUTED CEILINGS. BEAUTIFUL LG MASTER BATH W/SOAKING TUB. 1ST FL. LAUNDRY. ATTACHED GARAGE. GREAT LOCATION. ASK ABOUT DOWNPAYMENT ASSISTANCE.</t>
  </si>
  <si>
    <t>FAST CLOSE. VACANT.</t>
  </si>
  <si>
    <t>45 to Grosse Pointe Circle to Ann Arbor L to home</t>
  </si>
  <si>
    <t>Fabulous bright, sunny  townhouse with a nice open floor plan. Large living room features vaulted ceiling and a wood burning  fireplace.  Nice kitchen with plenty of room for a table and a balcony to enjoy the outdoors.  Master bedroom has large walk in closet and private bath. Nicely sized 2nd bedroom and second bath. Two car garage for your storage needs.  This unit is in award winning STEVENSON school district!!!</t>
  </si>
  <si>
    <t>call showingtime 800-746-9464 or use the icon</t>
  </si>
  <si>
    <t>Kurman Realty Group</t>
  </si>
  <si>
    <t>(847) 566-7411</t>
  </si>
  <si>
    <t>Rozanne Kurman, GRI</t>
  </si>
  <si>
    <t>include Seller disc. form, in mls, when writing an offer.  Seller requires disclosure  with offer in order to be considered. Submit offer https://amp.res.net/Offers.aspx?-101764</t>
  </si>
  <si>
    <t>Roosevelt Rd. to Finley South to Point West just before Collen Dr.</t>
  </si>
  <si>
    <t>Bright &amp; clean end unit. Bedrooms freshly painted.  Three new air conditioners in unit.  New carpet being installed, sample in unit.   Master bath w/seperate dressing area.  Balcony faces west.  Great for container gardening!  Great complex, security building w/elevator, handicapped entry, plenty of open &amp; handicapped parking.  Pool, picnic area and tennis courts.  Pets allowed, assess include heat.  Rentals allowed.</t>
  </si>
  <si>
    <t>Coin Laundry, Elevator, Storage, Pool-Outdoors, Tennis Court/s, Curbs/Gutters, Sidewalks, Street Lights</t>
  </si>
  <si>
    <t>Heat, Water, Gas, Parking, Common Insurance, Security, Pool, Exterior Maintenance, Lawn Care, Scavenger, Snow Removal</t>
  </si>
  <si>
    <t>Gas, Hot Water/Steam</t>
  </si>
  <si>
    <t>Kathy Volpe, ABR,CRS,GRI</t>
  </si>
  <si>
    <t>(630) 330-5555</t>
  </si>
  <si>
    <t>630-330-5555</t>
  </si>
  <si>
    <t>MOHAWK</t>
  </si>
  <si>
    <t>MOHAWK POINT</t>
  </si>
  <si>
    <t>Rt 22 to Old Rand S TO Mohawk E (past Ela library)</t>
  </si>
  <si>
    <t>CONTEMPORA</t>
  </si>
  <si>
    <t>Beautiful, Upgraded Townhome w/ Full, Finished Basement! Features Include Upgraded Light Fixtures Throughout, White, Paneled Doors &amp; Woodwork, Spacious Bedrooms, &amp; Attached Garage! Enter to the Soaring 2-Story Living Room w/ Hardwood Flooring &amp; Cozy Fireplace! Eat-In Kitchen Offers Granite Countertops w/ Breakfast Bar, Stainless Appliances, &amp; Sliding Glass Door to Private Deck! Short Sale</t>
  </si>
  <si>
    <t>Oven/Range, Dishwasher, Refrigerator, Disposal, All Stainless Steel Kitchen Appliances</t>
  </si>
  <si>
    <t>Lawn Care</t>
  </si>
  <si>
    <t>CC: Pursuant to Short Sale. APPROVED. SUPPOSED TO CLOSE BY 2/20.</t>
  </si>
  <si>
    <t>Wiltshire</t>
  </si>
  <si>
    <t>Washington to Buckingham to Wiltshire</t>
  </si>
  <si>
    <t>This town house is a great deal for the price!! 2 bedrooms, 2 1/2 bathrooms, and a full, unfinished basement for added storage. Both of the bedrooms are a great size and the master bedrooms includes the private master suite. The second floor loft adds to the home, offering the option for an open office, an extra family room, or a perfect place for a child's playroom!</t>
  </si>
  <si>
    <t>20X9</t>
  </si>
  <si>
    <t>Ceiling Fan, Sump Pump, Backup Sump Pump</t>
  </si>
  <si>
    <t>2.5% MINUS $250 (on Gross SP)</t>
  </si>
  <si>
    <t>D &amp; R Property Mgt and Realty</t>
  </si>
  <si>
    <t>(847) 221-0058</t>
  </si>
  <si>
    <t>Matthew Bonnes</t>
  </si>
  <si>
    <t>PLEASE SUBMIT ALL OFFERS TO LISTING AGENT, mbonnes@drpropmgt.com</t>
  </si>
  <si>
    <t>Alta Vista</t>
  </si>
  <si>
    <t>ASTOR PLACE</t>
  </si>
  <si>
    <t>From Route 59 take Diehl West, make 1st Left onto Pebblewood then Right onto Alta Vista</t>
  </si>
  <si>
    <t>CHESTNUT</t>
  </si>
  <si>
    <t>REDUCED! Premium quality dual master bedroom townhome in Astor Place! 1st floor has 9.5 foot coffered ceilings, hardwood floors, fireplace, kitchen w/ Jenn-Air appliances &amp; oversized balcony. Both large bedrooms feature vaulted ceilings &amp; walk-in closets w/ laundry on same level. Finished basement walks out to beautiful private outdoor patio. Tons of extra storage. Quick access to I-88 &amp; 3 minutes from train station.</t>
  </si>
  <si>
    <t>Eating Area-Breakfast Bar, Eating Area-Table Space, Pantry-Walk-in</t>
  </si>
  <si>
    <t>Separate Shower, Garden Tub</t>
  </si>
  <si>
    <t>Eating Area, Recreation Room</t>
  </si>
  <si>
    <t>Brick, Block, Stucco</t>
  </si>
  <si>
    <t>Wood Burning, Attached Fireplace Doors/Screen, Gas Starter</t>
  </si>
  <si>
    <t>Hot Water/Steam, Forced Air</t>
  </si>
  <si>
    <t>E-mail Stephanie at SEAparo22@yahoo.com. If it is a last minute showing, text her at 630.532.4658.</t>
  </si>
  <si>
    <t>Artizen Realty LLC</t>
  </si>
  <si>
    <t>(847) 630-3555</t>
  </si>
  <si>
    <t>Stephanie Aparo</t>
  </si>
  <si>
    <t>(630) 532-4658</t>
  </si>
  <si>
    <t>Stephanie's Fax: 773.527.7898</t>
  </si>
  <si>
    <t>All disclosures &amp; pertinent contract details are located in the Additional Information section.</t>
  </si>
  <si>
    <t>STONEGATE</t>
  </si>
  <si>
    <t>Schick Road to Somerset Drive</t>
  </si>
  <si>
    <t>Brand New ceramic tile throughout.  New oak kitchen cabinets.  New granite counters in kitchen,  Lower Level Garden Unit.  Close to I-355 and shopping.  You'll love the Community Pool, Exercise Facilities and Clubhouse!</t>
  </si>
  <si>
    <t>CHARLES G RESKIN ELEMENTARY SCHOOL</t>
  </si>
  <si>
    <t>Wes Bauer</t>
  </si>
  <si>
    <t>(630) 770-9551</t>
  </si>
  <si>
    <t>Acorn</t>
  </si>
  <si>
    <t>SOUTHGATE MANOR</t>
  </si>
  <si>
    <t>SCHAUMBURG RD W OF BARRINGTON RD TO EAST AVE S TO HOUSE</t>
  </si>
  <si>
    <t>Nice 2 bedroom 1.5 bathroom 2 story townhome. Skylights and cathedral ceilings are lovely. Bedrooms are spacious. Very nice location.</t>
  </si>
  <si>
    <t>Per Seller, offer to be submitted @Hubzu.com.</t>
  </si>
  <si>
    <t>Elk</t>
  </si>
  <si>
    <t>Gary Avenue to Elk Trail west to property.</t>
  </si>
  <si>
    <t>what a great time to own your own condo cheaper than rent! Nicely renovated  first floor unit with 2 bedrooms and 1.1 baths. Located near parks, schools and shopping. This is a Fannie Mae HomePath property.</t>
  </si>
  <si>
    <t>Heat, Water, Lawn Care, Scavenger, Snow Removal</t>
  </si>
  <si>
    <t>Click Link Below "Schedule A Showing"</t>
  </si>
  <si>
    <t>ALL OFFERS MUST BE SENT TO HOMEPATH.COM - AGENTS - PLEASE SEE HOA DISCLSURE WHICH MUST BE SIGNED PRIOR TO ALL OFFERS AND DISCLOSED TO YOUR BUYERS - NO PERSONAL PROPERTY INCLUDED ON THIS SALE</t>
  </si>
  <si>
    <t>Route 53</t>
  </si>
  <si>
    <t>B16</t>
  </si>
  <si>
    <t>River Crossing</t>
  </si>
  <si>
    <t>Rt. 53 to 83rd St. E to 1st driveway on right, to last building</t>
  </si>
  <si>
    <t>SECOND FLOOR, TWO BEDROOM CONDO WITH BALCONY, HUGE LIVING ROOM AND OPEN FLOOR PLAN IN RIVER CROSSING - GREAT LOCATION, NEAR EXPRESSWAY.  SOLD AS-IS, NO SURVEY PROVIDED, 100% TAX PRORATION. RENOVATIONS STARTED BUT NEVER COMPLETED - UNIT NEEDS DRYWALL AND UPDATING READY TO BE FINISHED. TONS OF POTENTIAL!</t>
  </si>
  <si>
    <t>Heat, Water, Gas, Parking, Common Insurance, Clubhouse, Exterior Maintenance, Lawn Care, Scavenger, Snow Removal</t>
  </si>
  <si>
    <t>Use Showing Assist Link</t>
  </si>
  <si>
    <t>Submit offers to: offers@themalikteam.com or fax: 214-716-1094 along w/pre-approval or POF. EM must be certified funds payable to Slomka Law.  BUYER IS RESPONSIBLE FOR ANY HOA FEES BASED ON IL CONDO FORECLOSURE ACT** NO RENTALS*</t>
  </si>
  <si>
    <t>east end</t>
  </si>
  <si>
    <t>take 69th off stoney island e to east end south to address or 67th south streets cul de sac off 71st</t>
  </si>
  <si>
    <t>25X120</t>
  </si>
  <si>
    <t>Great investment next to Jackson park highlands new homes on 68th, 69th east end Move in condition no work needed  new laminate floors throughout, new baseboard heat,new hot water tank,all new copper piping and electrical, finished basement, ceiling fans in bdrms property is sold as-is cash only close to school, parks, golf course,transportation and the lake</t>
  </si>
  <si>
    <t>$1250-125 (on Gross SP)</t>
  </si>
  <si>
    <t>24hrs call charmin 773 991-4225</t>
  </si>
  <si>
    <t>Black Acre Realty Group Inc</t>
  </si>
  <si>
    <t>(312) 326-9600</t>
  </si>
  <si>
    <t>Charmin Jones</t>
  </si>
  <si>
    <t>UNDER CONSTRUCTION, BRAND NEW, ENERGY SMART HOME.  Beautiful Nicklaus Ranch town home with private front exposure, 2 bedrooms, 2 baths, Sunroom, spacious kitchen with SS appliances, Quartz Countertops and Maple Kona Cabinets.  Custom paint throughout and beautiful floors in kitchen, living/dining &amp; sunroom.  2 car garage.  55+ community with clubhouse.  Photos may be of model.  Only a few left to sell! Ready Spring</t>
  </si>
  <si>
    <t>Call Sales Office to schedule a showing 847-984-4857, must bring client on first visit. open till 5</t>
  </si>
  <si>
    <t>D.R. Horton</t>
  </si>
  <si>
    <t>Must bring client on first visit &amp; register for agent to receive commission. Call sales center 847-984-4857 to make appt. Models open Sun 11-6, Mon 1-6, T-Sat 10-6. no lockboxes</t>
  </si>
  <si>
    <t>Bennett Lot# 2505</t>
  </si>
  <si>
    <t>EASTON PARK</t>
  </si>
  <si>
    <t>Route 64 (North Ave) West of Gary, North Side of Street</t>
  </si>
  <si>
    <t>BAINBRIDGE II</t>
  </si>
  <si>
    <t>End UNIT, "Bainbridge" at Easton Park Open Floor Plan, 9Ft Ceilings on 1st Floor, Kitchen w/Upgraded 42" Cabinetry, Granite &amp; Stainless Steel Appl's. Master Br Ftrs Pvt Luxury Bth w/Sep Tub n Shwr, Stained Rails &amp; Spindles, Wood Flooring in Kitchen &amp; Fam Rm! Tiled Baths, 100% Energy Star Home. 30 yr. Transferable Structural Builders Warranty. Photo's Are of a Model/Subject Home NOT Ready Until January 2015</t>
  </si>
  <si>
    <t>Eating Area, Great Room</t>
  </si>
  <si>
    <t>Call Rhonda @ the Sales Office 630-244-8082</t>
  </si>
  <si>
    <t>630-665-5500</t>
  </si>
  <si>
    <t>Agent Must Accompany Buyer on 1st Visit Please Register Your Clients with Rhonda Gehr Call Her Cell @ 630-244-8082</t>
  </si>
  <si>
    <t>Waterleaf</t>
  </si>
  <si>
    <t>Windridge</t>
  </si>
  <si>
    <t>Rt 59 to 87th street (e) to Waterleaf R to home.</t>
  </si>
  <si>
    <t>COVENTRY</t>
  </si>
  <si>
    <t>Ranch walk up, Perfect starter home, 1st time buyer. Kitchen host, Oak cabinets, breakfast Bar, ample counter space, all appliances stay + washer / dryer. Dining room w/ vaulted Clg,  SGD open to Private deck, backs to green belt. Spacious Living room, Vltd Clg, transom windows let in loads of light. Master suite offers Vaulted Clg, walk in closet, Clg Fan full private bath.  2nd Bedrm, Vltd Clg, Glass Frch Drs.SHARP</t>
  </si>
  <si>
    <t>call CCS 877-977-1010 to confirm Show anytime</t>
  </si>
  <si>
    <t>630-781-5019</t>
  </si>
  <si>
    <t>Michael Lenz</t>
  </si>
  <si>
    <t>(630) 778-3728</t>
  </si>
  <si>
    <t>Very Clean, show well, earth tones, custom window treatments,   Vaulted Clgs, Full bath in Master, Walk in closet. Show with confidence.</t>
  </si>
  <si>
    <t>Gregory</t>
  </si>
  <si>
    <t>RT 59 TO MCCOY WEST TO GREGORY NORTH</t>
  </si>
  <si>
    <t>3rd floor condo. Selling strictly in AS-IS condition. Pre/approved buyers only. Cash Offers must be verified. Special addendum required on final sales contract. taxes pro rated 100%. Great for investor/Investor/handyman.</t>
  </si>
  <si>
    <t>INDIAN PLAINS ALTERNATIVE H S</t>
  </si>
  <si>
    <t>29X13</t>
  </si>
  <si>
    <t>Party Room, Pool-Outdoors, Curbs/Gutters, Sidewalks, Street Lights, Street Paved</t>
  </si>
  <si>
    <t>COUNTRY CLUB</t>
  </si>
  <si>
    <t>WOODRIDGE CLUB</t>
  </si>
  <si>
    <t>75TH TO WOODWARD, SOUTH TO COUNTRY CLUB, WEST TO ADDRESS</t>
  </si>
  <si>
    <t>2 story townhome in good condition. Brand new carpet in dining area. Kitchen with maple cabinets. Interior all freshly painted. MUST SEE! This is a FANNIE MAE HOMEPATH PROPERTY. NO PERSONAL PROPERTY INLCUDED.</t>
  </si>
  <si>
    <t>Central Air, 1 (Window/Wall Unit)</t>
  </si>
  <si>
    <t>Coin Laundry, Pool-Outdoors</t>
  </si>
  <si>
    <t>Heat, Water, Gas, Common Insurance, Clubhouse, Pool, Lawn Care, Scavenger, Snow Removal</t>
  </si>
  <si>
    <t>3% OR MIN. $1,000 WHICH EVER IS GREATER (on Net SP)</t>
  </si>
  <si>
    <t>Email ID date and time to homes@selectrealtyusa.com   VACANT OK TO SHOW</t>
  </si>
  <si>
    <t>Select Realty INC</t>
  </si>
  <si>
    <t>(630) 985-8540</t>
  </si>
  <si>
    <t>Barbara Roginski</t>
  </si>
  <si>
    <t>SUBMIT OFFERS ONLINE VIA HOMEPATH.COM. REQUIRED DOCS UNDER ADDITIONAL INFO IN MLS. PROPERTY SOLD AS IS. TAX PRORATION 100%. BUYER RESPONSIBLE FOR.. SURVERY, TRANSFER STAMPS, CITY INSPECTIONS.</t>
  </si>
  <si>
    <t>Gypsum</t>
  </si>
  <si>
    <t>87TH (E OF 59) TO SHEEHAN(S) TO GYPSUM(E)</t>
  </si>
  <si>
    <t>Move right in! Beautiful end-unit, 2 story living room, hardwood floors and ceramic tile! 42" Kitchen Cabinets with ample counter space in the Kitchen! Fresh paint and brand new carpet, all the way from the finished basement to the second floor! This is a Fannie Mae HomePath Property!</t>
  </si>
  <si>
    <t>Click "Schedule a Showing"</t>
  </si>
  <si>
    <t>Submit offer HomePath.com. Please Email POF/preapproval to Broker. For assistance w/ offer call 866.218.4446. No survey provided. Earnest Money in Certified Funds to  Central IL Title Co., 10% on cash purchase.</t>
  </si>
  <si>
    <t>105th</t>
  </si>
  <si>
    <t>Cottage Grove to 105th Pl, east to property</t>
  </si>
  <si>
    <t>Brick 2 story townhome features living room, kitchen, 2 bedrooms and 2 baths. Sold as is.</t>
  </si>
  <si>
    <t>$1000 (on Net SP)</t>
  </si>
  <si>
    <t>Meeker Real Estate Inc</t>
  </si>
  <si>
    <t>(708) 418-5908</t>
  </si>
  <si>
    <t>Steve Meeker</t>
  </si>
  <si>
    <t>Subj to HUD Guidelines 24 CFR 206.125.EMD to be held at Sellers Title Co in 48hrs.Sold as is.Buyer responsible for additional closing costs to include but not unlimited to Doc Prep &amp; Title Curative Fee. Email offers to reooffers10@gmail.com</t>
  </si>
  <si>
    <t>SE Corner of Burlington Ave. &amp; Main St. in Downtown Downers Grove entry on side facing train</t>
  </si>
  <si>
    <t>DWNTN DWNRS GRVE!FLR PLAN CUSTOM-DES BY OWNER NOT ACADIAONTHEGREEN!IMMACULATE 2 BD/2 BTH W/OFF!2 HTD-GRGE SPCS!WNDWS&amp;BLCNY VIEWS:DG TRAIN,FOUNTAIN,MAIN SQRE!CULNRY KITCH:BRICK FLR,GRANIT,BCKSPLSH,SSAPP,BRKFTBAR,PNTRY!HRDWD FLRS!CRWN-MLDING/TRIM/TRAY!LAUNDRY!LRG MSTRBD&amp;CSTM MSTRBTH W/MRBLE FLR/OVERSZD SHWR!FULL2ND BTH!WLKIN CLSTS!FRCH DRS!ELVTR BLDING!STPS FRM TRAIN STATION,GRCRY,SHPS,RSTURNTS,LIBRY,PRKS!MINS FRM HGHW</t>
  </si>
  <si>
    <t>15X28</t>
  </si>
  <si>
    <t>4X7</t>
  </si>
  <si>
    <t>Heat, Water, Gas, Parking, Common Insurance, Security, Exterior Maintenance, Scavenger, Snow Removal</t>
  </si>
  <si>
    <t>877.977.1010 APPT NO SHOES/HIGH HEELS NO LOCKBX KEY @ OFFCE CALL CSS 4ENTRY CODE CALL AGNT AFTER-HRS</t>
  </si>
  <si>
    <t>630.363.0054</t>
  </si>
  <si>
    <t>Paul Titterington</t>
  </si>
  <si>
    <t>(630) 363-0054</t>
  </si>
  <si>
    <t>School Bus Service, Commuter Train, Interstate Access, Historical District</t>
  </si>
  <si>
    <t>BUYERS AGNT MUST ACCMPNY,NO SHOES/HGH HEELS,NO LCKBX,KEY AT MY OFFICE 5200 MAIN ST DG ABOVE EMMETTâ€™S 2 BLCKS SOUTH OF 945 BURLINGTON RGHTSDE,OFFC HRS:9AM-5PM MON-SAT;SUN 10AM-4PM CALL CSS 4ENTRY CODE,RETRNKEY,GVCARDTOSEC,630.363.0054 AFTHRS</t>
  </si>
  <si>
    <t>Knoll Way</t>
  </si>
  <si>
    <t>Clarendon Hills RD west off 63rd to Knoll Wood RD. Go to stop sign make left, building by pool.</t>
  </si>
  <si>
    <t>HUD CASE #137-344705.  ALL HUD ACQUIRED PROPERTIES ARE SOLD â€AS ISâ€.  An Equal Housing Opportunity. ALL INFORMATION DEEMED RELIABLE BUT NOT GUARANTEED. INSURED STATUS:IN, REPAIR ESCROW $0.  203K ELIGIBLE. HUD ELECTRONIC AUCTION. USE HUD KEY. DISCLOSURES, LBP, PROPERTY CONDITION REPORT, HOW TO BID PROCEDURE PLEASE SEE SHOWING INSTRUCTIONS &amp; AGENT REMARKS. BUYER RESPONSIBLE FOR CITY INSPECTIONS, UTILITY TURN-ONS.</t>
  </si>
  <si>
    <t>6X9</t>
  </si>
  <si>
    <t>Kuno Real Estate</t>
  </si>
  <si>
    <t>(630) 936-3904</t>
  </si>
  <si>
    <t>Dave Kunovski</t>
  </si>
  <si>
    <t>Contact LA to set up showing. Read â€œShowing Assistâ€ for detailed instructions. Agents with a valid NAID # can submit offer at www.hudhomestore.com, read bidding info, HELP. Verify listing information, listing broker not responsible.</t>
  </si>
  <si>
    <t>CLUBHOUSE</t>
  </si>
  <si>
    <t>KNOLLWOOD</t>
  </si>
  <si>
    <t>RAND RD (RTE 12) NORTH OF RTE 22 TO HONEY LAKE  (W) TO CLUBHOUSE</t>
  </si>
  <si>
    <t>FRESHLY PAINTED 2 BEDROOM &amp; 2 BATH UNIT W/ BALCONY HAS NEWER CARPET THROUGHOUT! GRANITE KITCHEN FEATURES EATING AREA, LARGE PANTRY &amp; ALL APPLIANCES. MASTER BEDROOM HAS FULL BATH &amp; WALK IN CLOSET. LAUNDRY IN UNIT! TONS OF CLOSET SPACE &amp; EXTRA STORAGE AREA. ELEVATOR IN THE BUILDING. ONE OUTSIDE PARKING SPACE INCLUDED AND LOTS OF VISITOR PARKING AVAILABLE. ENJOY THE POOL, PLAYGROUND AND CLUBHOUSE! MOVE IN CONDITION!</t>
  </si>
  <si>
    <t>2.5%- $295 (on Net SP)</t>
  </si>
  <si>
    <t>Call Showing Time 855-746-9020</t>
  </si>
  <si>
    <t>(847) 295-0700</t>
  </si>
  <si>
    <t>Julie Pawl</t>
  </si>
  <si>
    <t>(847) 845-9348</t>
  </si>
  <si>
    <t>Assessment includes $257.40 for condo and $72 for pool.</t>
  </si>
  <si>
    <t>LOOKING GLASS</t>
  </si>
  <si>
    <t>EOLA RD TO LIBERTY W TO REFLECTIONS TO LOOKING GLASS</t>
  </si>
  <si>
    <t>Just Like New Construction, the Razzle Dazzle Starts Here!  Updated Throughout, This End Unit Features New Hardwood Grain Tile Flooring, New Carpet, New Granite Counters &amp; Fresh Paint! Grand Entry w/ Vaulted Ceiling has Lots of Natural Light! Fam Rm with Fireplace, Upgraded Oak Balusters! Mstr Suite has Skylight, Oversized Closet, Separate Tub/Shower. Spacious Loft &amp; 2nd Fl Laundry! Large Side Yard &amp; Private Entry!</t>
  </si>
  <si>
    <t>Common Insurance, Exterior Maintenance, Lawn Care, Snow Removal, Other</t>
  </si>
  <si>
    <t>Call CSS 1-877-977-1010</t>
  </si>
  <si>
    <t>Heide Fralic, ABR,CNC,CSC,e-PRO,GRI</t>
  </si>
  <si>
    <t>(630) 788-7093</t>
  </si>
  <si>
    <t>OGDEN TO RIVER RD SOUTH TO CHALET</t>
  </si>
  <si>
    <t>MOVE IN READY 2nd FLOOR NORTH NAPERVILLE CONDO PRICED TO SELL! ULTRA CLEAN &amp; PERFECTLY MAINTAINED! NEW BACKSPLASH IN KITCHEN, NEWER CARPET AND FRESHLY PAINTED THROUGHOUT! NEWER STOVE &amp; DISHWASHER! IN-UNIT LAUNDRY &amp; NEWER GARAGE DOOR W/OPENER! 2ND ROOM WITH NEW IKEA BLT IN CLOSET. MASTER WITH WALK-IN CLOSET/BATH. CLOSE TO EVERYTHING. PACE BUS SERVICE TO METRA. BALCONY W/STORAGE CLOSET.  MUST SEE! !</t>
  </si>
  <si>
    <t>TV Antenna, Intercom</t>
  </si>
  <si>
    <t>(630) 904-4334</t>
  </si>
  <si>
    <t>Bhuvana Nair, CNC</t>
  </si>
  <si>
    <t>(630) 486-4369</t>
  </si>
  <si>
    <t>EASY TO SHOW. SELLERS ARE VERY ACOMODATING.  GREAT UNIT. MOVE IN READY. BRING YOUR FUSSY BUYERS. SUPER MOTIVATED SELLERS.</t>
  </si>
  <si>
    <t>RIVER BLUFF</t>
  </si>
  <si>
    <t>RIVER BEND</t>
  </si>
  <si>
    <t>AURORA AVE TO  RIVER BEND RD TO RIVER BLUFF</t>
  </si>
  <si>
    <t>6400 SQ FT</t>
  </si>
  <si>
    <t>Best Kept Secret in Naperville. Only 32 single family homes Close to downtown Naperville. Walk the riverwalk to restaurants, rib fest, last fling, great shopping and coffee shops.  Ranch with open floor plan and fin basement. Newer kitchen and master bath. Hardwood floor.  Low HOA of $85/mo for lawn maintenance and snow removal. Great opportunity. Low turnover area.</t>
  </si>
  <si>
    <t>13X21</t>
  </si>
  <si>
    <t>15X24</t>
  </si>
  <si>
    <t>15X27</t>
  </si>
  <si>
    <t>Separate Shower, Double Sink, Full Body Spray Shower</t>
  </si>
  <si>
    <t>Foyer, Recreation Room, Workroom</t>
  </si>
  <si>
    <t>EASY TO SHOW - COURTESY CALL TO HELEN 630-975-5484</t>
  </si>
  <si>
    <t>DUPASQUIER</t>
  </si>
  <si>
    <t>Helen Wolfe</t>
  </si>
  <si>
    <t>(630) 975-5484</t>
  </si>
  <si>
    <t>CELL 630-975-5484</t>
  </si>
  <si>
    <t>Exceptional value for this area.  Seldom on the market. Tired of racking leaves and don't want to shovel the snow, this is for your client.  Please call with any questions re the area.</t>
  </si>
  <si>
    <t>5S040</t>
  </si>
  <si>
    <t>Pebblewood</t>
  </si>
  <si>
    <t>E508</t>
  </si>
  <si>
    <t>PEBBLEWOOD</t>
  </si>
  <si>
    <t>Rt 59 So. of Interstate 88 to Pebblewood W to N.E. Bldg.</t>
  </si>
  <si>
    <t>Close to everything, commuter train and interstate access within miles. Sharp two bedroom 1.5 bath condo on top floor of this elevator building. The entry welcomes to to a large living room. The dining room has sliding doors out to a big balcony. The kitchen has lots of cabinets and counter space. The bedrooms are large with good closet space. In-unit laundry hook-up. This home qualifies for FHA financing!</t>
  </si>
  <si>
    <t>Water, Gas, Common Insurance, Exterior Maintenance, Lawn Care, Scavenger, Snow Removal</t>
  </si>
  <si>
    <t>SHOWINGS CALL 1-877-977-1010</t>
  </si>
  <si>
    <t>BIDDING GO TO HUDPemco.com NAID# REGISTRATION  HUDHomeStore.com FHA Insured w/ Escrow (IE) HUD HOMES SOLD AS-IS  CASE# 137-300885 HOTLINE 630-236-1050 UP TO 3% CC. $100.00 DOWN PYMT (See Over Bidding Rules) Lockbox on front door. No rentals</t>
  </si>
  <si>
    <t>Billings</t>
  </si>
  <si>
    <t>LAKE ST TO FAIRFIELD (S) TO SPRINGBOOK (W) TO BILLINGS</t>
  </si>
  <si>
    <t>Oven-Double, Oven/Range, Dishwasher, Refrigerator, Washer, Dryer, Disposal</t>
  </si>
  <si>
    <t>YATES</t>
  </si>
  <si>
    <t>95th Street to Yates - S. to 9822</t>
  </si>
  <si>
    <t>25 X 126</t>
  </si>
  <si>
    <t>2 Bedroom, 1 Bath Brick 2 story Townhouse with many nice features. Hardwood Floors, separate Dining Area and a full partially finished Basement. Near Dining, Shopping and Schools. This is a Fannie Mae HomePath Property.</t>
  </si>
  <si>
    <t>â€œThe Seller has directed that all offers on this listing be made using the HomePath Online Offer System at www.Homepath.comâ€. All Owner Occupants must complete attached Owner Occupant Cert. See Attachments.</t>
  </si>
  <si>
    <t>River</t>
  </si>
  <si>
    <t>River North</t>
  </si>
  <si>
    <t>Rt. 38to River Lane, North to Bldg. Parking North of Bldg.</t>
  </si>
  <si>
    <t>Luxury Penthouse in Downtown Geneva.  "Move-in" condition Gourmet kitchen w/cherry cabinets and soaring vaulted ceiling in liv.rm./din.rm., great room effect.  Master suite has sep. shower + tub. Private balcony and secured bldg.w/coded entry and parking.  Walk to river paths, train, bike trails, shopping restaurants and parks.  $285.HOA includes Heat.  Great location.</t>
  </si>
  <si>
    <t>Bike Room/Bike Trails, Elevator, Storage, Security Door Locks, Curbs/Gutters, Sidewalks, Street Lights</t>
  </si>
  <si>
    <t>Common Grounds, Landscaped Professionally, River Front</t>
  </si>
  <si>
    <t>Heat</t>
  </si>
  <si>
    <t>Security System, Intercom, Ceiling Fan</t>
  </si>
  <si>
    <t>Condo, Penthouse</t>
  </si>
  <si>
    <t>Gas, Radiant</t>
  </si>
  <si>
    <t>2.5% -$100. (on Net SP)</t>
  </si>
  <si>
    <t>(630) 232-6900</t>
  </si>
  <si>
    <t>Marce VanGlabek, CRS,GRI</t>
  </si>
  <si>
    <t>(630) 584-8847</t>
  </si>
  <si>
    <t>630=234-3944</t>
  </si>
  <si>
    <t>Beautiful vista of the City and Fox River.  Great quality and location.  Ready and waiting.</t>
  </si>
  <si>
    <t>Captiva</t>
  </si>
  <si>
    <t>Chatham Grove</t>
  </si>
  <si>
    <t>Ogden west to Farnsworth North to Sedona east to Delray</t>
  </si>
  <si>
    <t>36X77</t>
  </si>
  <si>
    <t>Spectacular town home w/upgrades! Gleaming HDWD flrs thru entry, kit, DR and LR. Vol ceils &amp; crown molding thru 1st flr. Kit w/ custom backsplash, oak cabs with under &amp; over cabinet lighting, brk bar and all appl. Open DR w/ custom lighting, LR with cathedral  ceiling, electric start gas frpl, 1st flr MBR with private bath, 2nd BR, Full hall bath, 1st flr ldy, full fin bmt w/fam rm, bar, rec rm, BR and full bath.</t>
  </si>
  <si>
    <t>OLNEY C ALLEN ELEMENTARY SCHOOL</t>
  </si>
  <si>
    <t>HENRY W COWHERD MIDDLE SCHOOL</t>
  </si>
  <si>
    <t>EAST HIGH SCHOOL</t>
  </si>
  <si>
    <t>16X17</t>
  </si>
  <si>
    <t>2nd Kitchen</t>
  </si>
  <si>
    <t>30X18</t>
  </si>
  <si>
    <t>2nd Kitchen, Recreation Room, Storage, Utility Room-1st Floor</t>
  </si>
  <si>
    <t>Use Show Assist</t>
  </si>
  <si>
    <t>Weichert Realtors Advantage</t>
  </si>
  <si>
    <t>(630) 219-2400</t>
  </si>
  <si>
    <t>Julie Dunn</t>
  </si>
  <si>
    <t>(630) 770-1680</t>
  </si>
  <si>
    <t>CURRAN</t>
  </si>
  <si>
    <t>BRADFORD PLACE</t>
  </si>
  <si>
    <t>RT. 120 W OF HAINESVILLE RD, TO CURRAN</t>
  </si>
  <si>
    <t>MOVE-IN READY BEAUTIFUL RANCH TOWNHOME IN BRADFORD PLACE; A 55+ COMMUNITY. GREAT NEIGHBORHOOD WITH MAINTANENCE FREE LIVING! NEUTRAL DECOR T-OUT. OPEN LIVING &amp; DINING ROOM COMBO W/TALL VAULTED CEILINGS &amp; GAS LOG FP. SPACIOUS KITCHEN &amp; EATING AREA. 1ST FLOOR LAUNDRY. FRESHLY PAINTED 4 SEASONS ROOM W/ACCESS TO PATIO. MASTER BR W/HUGE WIC &amp; PRIVATE BATH. +1 FAM/GUEST BR &amp; FULL HALL BATH. OVERSIZED 2 CAR GARAGE.</t>
  </si>
  <si>
    <t>PRAIRIEVIEW SCHOOL</t>
  </si>
  <si>
    <t>FREDERICK SCHOOL</t>
  </si>
  <si>
    <t>CALL LO FOR INSTRUCTIONS 847-295-0800. REMOVE SHOES/LEAVE CARD.</t>
  </si>
  <si>
    <t>PROFESSIONALLY DEEP CLEANED &amp; CARPET CLEANED. DISCLOSURES IN MLS</t>
  </si>
  <si>
    <t>Ogden pointe</t>
  </si>
  <si>
    <t>Eola - Hafenrichter - Barrington - Daybreak - Twilight</t>
  </si>
  <si>
    <t>Charming two bedroom 2 bath town home.  Great end unit that has been repaired and ready to move in.  Spacious living room with fireplace, separate eating area, vaulted ceilings, large bedrooms and great community.  This is a Fannie Mae HomePath Property</t>
  </si>
  <si>
    <t>KENSINGTON COURT</t>
  </si>
  <si>
    <t>OGDEN AVE TO MILL N TO KENSINGTON W</t>
  </si>
  <si>
    <t>LARGEST MODEL SELDOM AVAIL! ATTACHED GAR! GORGEOUS END-UNIT IN N. NAPERVILLE! FABULOUS NEW CUSTOM KITCHEN W/QUALITY WHITE CABINETRY, WHITE GRANITE C-TOPS, NEW S/S APPL FRENCH DR  REFRIG, TILED BKSPLSH, DEEP S/S SINK, NEW DISPOSAL. SOLID OAK WOOD FLRS 1ST FLR. ALL NEW BASEBOARDS &amp; TRIM! HUGE LIV RM W/FRPL. NEWER CARPET.LG MBR W/WIC &amp; 2ND CLOSET. WALK TO TRAIN, TOWN. 5 MIN TO I-88! #203 SCHOOL DIST</t>
  </si>
  <si>
    <t>Common Grounds, Cul-de-sac, Wooded</t>
  </si>
  <si>
    <t>Cats OK, Deposit Required</t>
  </si>
  <si>
    <t>CALL BW LISTING SERVICE 855-746-9100 TO SHOW</t>
  </si>
  <si>
    <t>Sandy Hunter</t>
  </si>
  <si>
    <t>(630) 248-4524</t>
  </si>
  <si>
    <t>Fax (630) 388-0077</t>
  </si>
  <si>
    <t>RARE FIND ON KENSINGTON CT. ONE OF THE FEW TOWNHOMES THAT HAVE AN ATTACHED GARAGE ON THIS COURT.</t>
  </si>
  <si>
    <t>Nicklaus</t>
  </si>
  <si>
    <t>Yorkhouse Rd. to Monterey Ln. to Newport, rt to Sawgrass, rt. to Nicklaus, L to 3050.</t>
  </si>
  <si>
    <t>WADSWORTH</t>
  </si>
  <si>
    <t>End unit with private driveway,two-car attached garage, three full bathrooms and deck off dining room, neutral decor, all new carpeting, paint throughout. Square footage incl. 482 sq. ft. finished lower level/rec room. Full bath in lower level. Sold "as is", 100% tax proration.  Freddie Mac First Look Initiative gives priority to owner-occupant offers until January 2. Seller provides no survey.</t>
  </si>
  <si>
    <t>15X22</t>
  </si>
  <si>
    <t>Call CSS 1-877-977-1010.</t>
  </si>
  <si>
    <t>(815) 385-6990</t>
  </si>
  <si>
    <t>Mary Ellen Shine</t>
  </si>
  <si>
    <t>(815) 861-0099</t>
  </si>
  <si>
    <t>Include cashier's check or proof of funds with contract. Check Additional Information for Freddie Mac forms. Forms marked Sample are FYI until offer is accepted. Management contact: Braeside Condo/Judy Howells 847-504-8006.</t>
  </si>
  <si>
    <t>80th</t>
  </si>
  <si>
    <t>637 W 80th</t>
  </si>
  <si>
    <t>12X125</t>
  </si>
  <si>
    <t>Townhouse that need some rehabbing with large rooms, could be used as great income property.</t>
  </si>
  <si>
    <t>$1000 (on Gross SP)</t>
  </si>
  <si>
    <t>Use showing assist or call 1-877-871-9754</t>
  </si>
  <si>
    <t>Jeff BV- SFH, LLC</t>
  </si>
  <si>
    <t>Realty Plus Chicago Inc.</t>
  </si>
  <si>
    <t>(773) 785-1400</t>
  </si>
  <si>
    <t>Richard Thomas</t>
  </si>
  <si>
    <t>(312) 810-3897</t>
  </si>
  <si>
    <t>Provide proof of funds with cash offers. Email offers @ rpchicago453@gmail.com or fax 773-785-5579. ALL OFFERS MUST BE SUBMITTED ON ATTACHED SELLERâ€™S CONTRACT/ADDENDUM</t>
  </si>
  <si>
    <t>St Tropez</t>
  </si>
  <si>
    <t>LEISURE VILLAGE</t>
  </si>
  <si>
    <t>State Park  and Grass Lake E to Leisure Village, L to Arlington R to Nassau R to St. Tropez R to #</t>
  </si>
  <si>
    <t>THE GRANADA</t>
  </si>
  <si>
    <t>Adult community with swimming pool, club house, golf course, tennis courts and much more.  Ranch style unit with updated kitchen, new carpet and fresh paint ready to move in.</t>
  </si>
  <si>
    <t>Common Insurance, Security, Clubhouse, Pool, Lawn Care, Snow Removal, Lake Rights</t>
  </si>
  <si>
    <t>Cats OK, Deposit Required, Dogs OK, Pet Count Limitation, Pet Weight Limitation</t>
  </si>
  <si>
    <t>Call List Office</t>
  </si>
  <si>
    <t>Century 21 Roberts &amp; Andrews</t>
  </si>
  <si>
    <t>(847) 356-3400</t>
  </si>
  <si>
    <t>Terry Amanti</t>
  </si>
  <si>
    <t>(847) 209-8326</t>
  </si>
  <si>
    <t>THE OAKS</t>
  </si>
  <si>
    <t>LAKE E OF BARTLETT RD 2 CLUBTREE 2 VALLEY E 2 PRINCETON</t>
  </si>
  <si>
    <t>DANVERS</t>
  </si>
  <si>
    <t>THIS 2 STORY END UNIT HAS LARGE BEDROOMS WITH PLENTY OF CLOSET SPACE. FULL FINISHED BASEMENT. NEW FLOORING THROUGHOUT, UPDATED LIGHT FIXTURES AND FINISHES. UPDATED BATHROOMS WITH NEW FIXTURES, CUSTOM TILE DESIGNS, AND CUSTOM PAINT. UPDATED KITCHEN, GRANITE COUNTERTOPS WITH MARBLE BACKSPLASH, NEW FLOORING AND STAINLESS STEEL APPLIANCES. WASHER AND DRYER INCLUDED,  FENCED BACKYARD FOR ENTERTAINING. READY TO MOVE IN.</t>
  </si>
  <si>
    <t>Common Grounds, Fenced Yard</t>
  </si>
  <si>
    <t>Aluminum Siding, Steel Siding, Brick</t>
  </si>
  <si>
    <t>Call Listing agent 630-656-2853</t>
  </si>
  <si>
    <t>New Hope Realty Group, Inc.</t>
  </si>
  <si>
    <t>(773) 581-8600</t>
  </si>
  <si>
    <t>Corina Popitan</t>
  </si>
  <si>
    <t>CALL LISTING AGENT TO SHOW 630-656-2853, LISTING OFFICE DOES NOT HOLD EARNEST MONEY, IT WILL BE HELD BY SELLERS ATTORNEY. $500 BONUS TO BUYERS AGENT IF CLOSE IN 45DAYS. AGENT INTEREST.</t>
  </si>
  <si>
    <t>PARKWOOD</t>
  </si>
  <si>
    <t>Cass Ave. S. of Ogden to 475 Cass. Complex on east side of Cass.</t>
  </si>
  <si>
    <t>Very nice 2 bedrooms 2 baths Condo unit! Property is just updated and ready to move in. New carpet, freshly painted interior. Big living rooms with a sliding doors leading to patio. Home built in 1974 unit is approx 1058 sq.ft. located in nice suburban neighborhood, with parks, schools and shopping close. Submit all disclosures with offer. Buyer balance of $7,548.98 due at closing. Rentals not allowed.</t>
  </si>
  <si>
    <t>Water, Parking, Common Insurance, Security, Exterior Maintenance, Lawn Care, Scavenger</t>
  </si>
  <si>
    <t>There is a special assessment amount of $136.93 being charged for a re-roofing project until 7/1/17. No rentals or FHA. TO SUBMIT AN OFFER, PLEASE, COPY AND PASTE THIS LINK: www.callzteam.net/property_fm/475_N_CASS_AVE_UNIT_110</t>
  </si>
  <si>
    <t>Tyler</t>
  </si>
  <si>
    <t>Irving Park Road East of Route 59, to Madison, North 2 Tyler 2 home</t>
  </si>
  <si>
    <t>Fabulous townhome! Backs to single family homes on a quiet cul-de-sac! Beautifully decorated and ready to move in! All new siding, new roof in past two years.  Washer/Dryer new in 2012, DW and Water Heater in 2010. 2BRs/2BTHs offer great privacy. Spacious room sizes, great floor plan. Huge eat-in kitchen. Extra parking available. Why rent anymore? This is a great place to start homeownership!</t>
  </si>
  <si>
    <t>Fire Sprinklers, Ceiling Fan</t>
  </si>
  <si>
    <t>Call 1.866.571.7181, 1 hour notice - DOG</t>
  </si>
  <si>
    <t>Elegant, new construction, end-unit townhome. Hurry! Only 2 units still available in Courtyards of Glen Ellyn. A commuter's dream w/prime, in-town, steps-to-train location! 1800+ sq. ft. Hrdwd flrs thruout main level. Huge kitchen w/granite cntrtops, ss appls &amp; 42" cabnts. LR w/cozy fireplace. Dual master suites. Stunning bathrms. Oversized balcony. Finished lower level. 2-car attached garage. Move in, relax &amp; enjoy!</t>
  </si>
  <si>
    <t>Sump Pump</t>
  </si>
  <si>
    <t>3%-$295 (on Net SP)</t>
  </si>
  <si>
    <t>3% Co-Op plus $1,000 Bonus if Closed by March 31, 2015.</t>
  </si>
  <si>
    <t>OAKHURST</t>
  </si>
  <si>
    <t>EOLA TO MCCOY,E ON MCCOY TO OAKHURST, OAKHURST N TO 169</t>
  </si>
  <si>
    <t>A must see! Great 2 bedroom/2 bathroom home in a great location! Spacious rooms, nice patio, PLUS a 1 car garage! Priced to sell, this one has it all! Choose FHA financing to qualify for $100 down payment. Ask your Agent for details. Sold as-is. Equal Housing Opportunity</t>
  </si>
  <si>
    <t>Case#137-326076.INS.STATUS:IE.Up to 3% co-op Offers 2B submitted on-line Off.must be registered &amp; have a NAID# Go to hudhomestore.com 4 online bidding SEE PCR UNDER ADDENDUMâ€™S TAB.?â€™s to fsrhomes@aol.com.SOLD AS-IS.www.hometelosfirst.com</t>
  </si>
  <si>
    <t>Swift</t>
  </si>
  <si>
    <t>2C</t>
  </si>
  <si>
    <t>North Ave W of 355 to Swift S to one street south of Lynn on West side of Swift</t>
  </si>
  <si>
    <t>Gorgeous Sought after 2nd floor End unit, Largest Floor Plan in the Complex, Upgraded throughout, In unit laundry on 2nd flr, Garage included. Hardwood Floors in living room, Dinette &amp; Hallway. Beautiful Kitchen w/ Stainless Steal Appliances, Granite Counter Tops &amp; Over-sized Cabinets. Custom sized Levolor cellular shades. Large balcony great for grilling. Just minutes form shopping &amp; 355 No FHA or Rentals</t>
  </si>
  <si>
    <t>17X08</t>
  </si>
  <si>
    <t>Cul-de-sac, Wooded</t>
  </si>
  <si>
    <t>Use showing Assist</t>
  </si>
  <si>
    <t>Bert Gor</t>
  </si>
  <si>
    <t>(630) 615-2897</t>
  </si>
  <si>
    <t>FAX 630-206-0694</t>
  </si>
  <si>
    <t>CC: Pursuant to Short Sale. Show &amp; Bid w/confidence! LA has closed 100â€™s of short sales to date*CC will NOT be reduced*sold as-is due to SS w/all clean disclosures from seller*100%-taxes*buyer pays survey*90 days for appl*MUST use 6.0 contract for offer*No Docusign</t>
  </si>
  <si>
    <t>ALTA VISTA</t>
  </si>
  <si>
    <t>Route 59 South of Diehl Road to Pebblewood Lane.  West and then North on Pebblewood to Alta Vista.</t>
  </si>
  <si>
    <t>Stunning town home in Astor Place, Private &amp; Quite Location (not facing Diehl). Unit features a front brick paver veranda, Kitchen w/professional SS appliances, granite counters &amp; balcony. Family room opens to large living/dining room areas. Second level has master suite with deluxe spa bath, 2nd level has a loft area (perfect for an office). Fantastic lower level family room, attached 2.5-car garage. Close to train!</t>
  </si>
  <si>
    <t>LONGWOOD ELEMENTARY SCHOOL</t>
  </si>
  <si>
    <t>17X18</t>
  </si>
  <si>
    <t>Brick, Stucco, Stone</t>
  </si>
  <si>
    <t>Daniel Firks</t>
  </si>
  <si>
    <t>(630) 637-9009</t>
  </si>
  <si>
    <t>Traditional Sale, Remove Shoes, Wear Booties, Turn off Lights, Leave Card and Give Feedback Please!</t>
  </si>
  <si>
    <t>2s622</t>
  </si>
  <si>
    <t>Pierre Curie</t>
  </si>
  <si>
    <t>Batavia Rd east to Enrico Fermi to Al Enstein to Pierre Curie.</t>
  </si>
  <si>
    <t>37 X 67</t>
  </si>
  <si>
    <t>Move in condition Ranch Villa, 2 bedrooms, wood burning fire place to keep you warm this winter, large finished basement with new laminated floor.  Enjoy the amenities it has to offer such as clubhouse, outdoor pool, exercise room.  Great location near shopping and I88. This is a Must See!</t>
  </si>
  <si>
    <t>Exercise Room, Park/Playground, Pool-Outdoors, Curbs/Gutters, Sidewalks, Street Lights, Street Paved</t>
  </si>
  <si>
    <t>--3%-$199---- (on Gross SP)</t>
  </si>
  <si>
    <t>O.O.R.</t>
  </si>
  <si>
    <t>Daniel &amp; Associates Real Estate</t>
  </si>
  <si>
    <t>(630) 393-1700</t>
  </si>
  <si>
    <t>Daniel Czuba</t>
  </si>
  <si>
    <t>(630) 918-6129</t>
  </si>
  <si>
    <t>Hillside</t>
  </si>
  <si>
    <t>IRVING PK W. OF YORK TO WALNUT N. TO HILLSIDE E</t>
  </si>
  <si>
    <t>Great townhome with 2 bedrooms and 1.2 bathrooms. Full basement. Convenient location. Sold as is. All room sizes are approximate, please verify for yourself when at the property.</t>
  </si>
  <si>
    <t>Water, Parking, Common Insurance, Exterior Maintenance</t>
  </si>
  <si>
    <t>(847) 870-1155</t>
  </si>
  <si>
    <t>Paul Ambrogio, GRI</t>
  </si>
  <si>
    <t>Please see sample contract and guidelines form attached. Contact office with any questions. Email offers to offers@tcr123.com. Do not send to any other location.</t>
  </si>
  <si>
    <t>294 to 120 west to RT 21 North to Heather Ridge Ent. w to Manchester N to Shepard w to Chandler</t>
  </si>
  <si>
    <t>LINDEN</t>
  </si>
  <si>
    <t>THIS IS HEATHER RIDGE! OPEN FLOOR PLAN WITH WOOD CATHEDRAL CEILINGS. COMPLETELY REDESIGNED. ALL NEW CABINETS, GRANITE TOPS IN ALL RMS, NEW OVEN, MICROWAVE, RANGE, DW, SINKS, FAUCETS, CARPET, LIGHT FIXTURES, SPECTACULAR MIRRORING AND MORE! A CORNER UNIT FOR PRIVACY, GARAGE WITH STORAGE. GREAT 8TH HOLE GOLF COURSE, VIEWS. ENJOY THE FREEDOM OF HOA MAINTENANCE! A MUST SEE! WHY RENT? 5% DOWN=$900 PER MONTH. OWN YOUR HOME!</t>
  </si>
  <si>
    <t>Golf Course, On Site Manager/Engineer, Party Room, Pool-Outdoors, Restaurant, Tennis Court/s, Street Paved</t>
  </si>
  <si>
    <t>Oven/Range, Microwave, Dishwasher, Refrigerator, High End Refrigerator, Washer, Dryer, Disposal, All Stainless Steel Kitchen Appliances</t>
  </si>
  <si>
    <t>Cellar</t>
  </si>
  <si>
    <t>Golf Course Lot, Landscaped Professionally, Rear of Lot</t>
  </si>
  <si>
    <t>Parking, Common Insurance, Security, Clubhouse, Pool, Exterior Maintenance, Lawn Care, Scavenger, Snow Removal</t>
  </si>
  <si>
    <t>Tandem</t>
  </si>
  <si>
    <t>Conventional, Contract (Articles) for Deed</t>
  </si>
  <si>
    <t>CALL 847-514-7879 FOR LOCK BOX WITH KEYS</t>
  </si>
  <si>
    <t>Home Owners Realty, Inc.</t>
  </si>
  <si>
    <t>(773) 851-2180</t>
  </si>
  <si>
    <t>Santos Velazquez</t>
  </si>
  <si>
    <t>CALL 847-767-5213 FOR INQUIRES OR SHOWINGS. FAX OFFERS TO 888-900-0131 OR EMAIL TO INFO@HOMEOWNERSREALTY.COM. TIME CONTRACT W FINANCING AVAILABLE - ASK FOR DETAILS.</t>
  </si>
  <si>
    <t>18W034</t>
  </si>
  <si>
    <t>Standish</t>
  </si>
  <si>
    <t>ROOSEVELT RD TO ARDMORE AVE TO 14TH ST TO STANDISH LN</t>
  </si>
  <si>
    <t>ENJOY THIS 2 BEDROOM 2 BATHROOM BRANDYWINE GEM! END UNIT WITH BASEMENT - THE LIST GOES ON! WAITING FOR YOUR PERSONAL UPDATES AND FNIISHING TOUCHES! ALL INFO IS APPROX AND ESTIMATED.  SOLD AS IS. TAXES ARE PRORATED AT 100%. BUYER RESPONSIBLE FOR SURVEY, TRANSFER STAMPS, INSPECTIONS, UTILITIES AND ESCROWS. ADDENDUMS TO FOLLOW ACCEPTANCE OF OFFER. subject to HUD Guidelines 24 CFR 206.125.â€‹ Public Act 94-1049 May Apply</t>
  </si>
  <si>
    <t>11X23</t>
  </si>
  <si>
    <t>Parking, Common Insurance, Clubhouse, Pool, Exterior Maintenance, Lawn Care</t>
  </si>
  <si>
    <t>Robert Findlay</t>
  </si>
  <si>
    <t>SELLER HAS VERBALLY ACCEPTED AN OFFER 12/2/2014.   PLEASE SUBMIT ALL OFFERS TO OFFERS@SMITHREO.COM / MUST INCLUDE PROOF OF FUNDS AS WELL AS THE SELLERS DICLOSURE FORM ATTACHED IN MLS / MUST BE SIGNED OFF ON BY BUYERS AND BUYERS AGENT</t>
  </si>
  <si>
    <t>Bellevue</t>
  </si>
  <si>
    <t>RT 34 TO KENDALL POINTE DR. S TO BELLEVUE</t>
  </si>
  <si>
    <t>TALLOW</t>
  </si>
  <si>
    <t>Charming 2BR/2BA Duplex in Active Adult Community.  Steeplechase at Churchill Club!  This Tallow model features 9' ceilings throughout, new carpet, fresh paint, laminate flooring in family room &amp; dining areas, kitchen with eating area, large master suite w/private bath &amp; rear yard with patio.  Clubhouse, exercise facility, outdoor pool and much more!  This is a Fannie Mae Homepath property.</t>
  </si>
  <si>
    <t>Common Insurance, Clubhouse, Pool</t>
  </si>
  <si>
    <t>1/2 Duplex, Ground Level Ranch</t>
  </si>
  <si>
    <t>**OFFER ACCEPTED - PAPERWORK PENDING**Use Showing Assist</t>
  </si>
  <si>
    <t>Your Place Realty,  Inc.</t>
  </si>
  <si>
    <t>(630) 554-5700</t>
  </si>
  <si>
    <t>Craig Caffarello, BPOR,CNC,e-PRO,SFR</t>
  </si>
  <si>
    <t>(630) 898-8500</t>
  </si>
  <si>
    <t>SUBMIT OFFERS @ HOMEPATH.COM USING ONLINE OFFER SYSTEM*USE ATTACHED CONTRACTS TO SUBMIT OFFERS*NO SURVEY*NO PERSONAL PROPERTY*TAXES PRO-RATED @ 100%*BUYER PAYS TRANSFER STAMPS*SELLER'S ATTORNEY HOLDS EARNEST MONEY*</t>
  </si>
  <si>
    <t>2 blocks South of Grand Ave, East side of York Rd</t>
  </si>
  <si>
    <t>Fabulous condo in move-in Condition in great location. Rooms freshly painted. New carpeting in bedrooms. Walk-in closet in Master bdrm. In-unit full-size washer and dryer. Full balcony off living room. Juliet balcony off breakfast room with fabulous light and bright South Exposure. One car garage #20 plus one exterior space.  Fabulous location. Just 2 and a half blocks to Mariano's market.</t>
  </si>
  <si>
    <t>Use Showing Assist or Call  855-746-9100</t>
  </si>
  <si>
    <t>Trust of Jane E. Sorensen</t>
  </si>
  <si>
    <t>Baird &amp; Warner, Inc.</t>
  </si>
  <si>
    <t>(708) 697-5900</t>
  </si>
  <si>
    <t>John Gasa</t>
  </si>
  <si>
    <t>(708) 697-5907</t>
  </si>
  <si>
    <t>Seller will furnish a 1 year American Home Shield policy.   Purchaser must reside in the unit a minimum of two years before it can be rented.</t>
  </si>
  <si>
    <t>CHELSEA</t>
  </si>
  <si>
    <t>COUNTRY CLUB ESTATES</t>
  </si>
  <si>
    <t>Schick Road West of Bloomingdale Road, to Castle Rock, North then right on Chelsea.  Home on Left</t>
  </si>
  <si>
    <t>VILLA DRAKE</t>
  </si>
  <si>
    <t>42X73X43X73</t>
  </si>
  <si>
    <t>Ideal End Unit*Professionally Cleaned &amp; Ready to Go*Light &amp; Bright Living Room w/Vaulted Ceiling, Floor to Ceiling Stone Fireplace &amp; SGD to Concrete Patio*Eat-In Kitchen w/Double Oven &amp; Closet Pantry*Large Master w/Private Bath w/Double Bowl Vanity &amp; Double Closets*First Floor Laundry w/Built-in Cabinets*Finished Basement w/Family Room, 3rd Bedroom &amp; Full Bath*NEW Furnace and central air*Great Schools, #13 &amp; 108!!</t>
  </si>
  <si>
    <t>24X20</t>
  </si>
  <si>
    <t>21X21</t>
  </si>
  <si>
    <t>Common Grounds, Corner</t>
  </si>
  <si>
    <t>630-577-7929</t>
  </si>
  <si>
    <t>Estate Sale  Sold AS-IS     FEEDBACK IS GREATLY APPRECIATED!</t>
  </si>
  <si>
    <t>Shorewood</t>
  </si>
  <si>
    <t>North Ave. to BLoomingdale Rd, South to Shorewood, East</t>
  </si>
  <si>
    <t>www.hubzu.com4 start &amp; end times Bank owned AS IS Offers MUST submit www.hubzu.com SELLER WONT ACTIVATE UTILITY 4 inspection.NO FAX/EMAIL OFFER PER SELLER,  View b4 bidding... Fee of $299.00&amp; 4.5%Buyer prem pd@ close by buyer NO RENTALS</t>
  </si>
  <si>
    <t>Foster</t>
  </si>
  <si>
    <t>FOSTER WEST OF CUMBERLAND TO 8540</t>
  </si>
  <si>
    <t>GORGEOUS UNIT ON THE TOP FLOOR WITH A DOWNTOWN VIEW FROM YOUR HUGE BALCONY! SPACIOUS ROOMS WITH ALOT OF LIGHT, KITCHEN WITH SKYLIGHT,WASHER AND DRYER IN UNIT, HEATED GARAGE, STORAGE. PLENTY OF GUEST PARKING. CONVIENT TO ALL TRANSPORTATION. NO PETS FHA OR RENTALS. GREAT SCHOOLS-MAIN SOUTH. GREAT VIEWS, ELEVATOR BUILDING.</t>
  </si>
  <si>
    <t>CALL EWA-773-490-6668</t>
  </si>
  <si>
    <t>Century 21 Grande Realty</t>
  </si>
  <si>
    <t>(708) 867-5454</t>
  </si>
  <si>
    <t>Ewa Kocoj</t>
  </si>
  <si>
    <t>(773) 490-6668</t>
  </si>
  <si>
    <t>60 &amp; BUTTERFIELD N TO GREENLEAF E TO FRANKLIN N 2 TYLER</t>
  </si>
  <si>
    <t>***MOTIVATED SELLER*** IMMACULATE COMPLETELY UPDATED 2 STORY TOWNHOME. EVERYTHING NEW: STOVE, DISHWASHER, WASHER/DRYER, MOHAWK LAMINATE FLOORS ON 1ST FLOOR, CERAMIC TILE, NEW CARPET ON 2ND FLOOR. BRAND NEW WINDOWS! EXTRA STORAGE IN GARAGE. SLIDES OUT TO PATIO $ PROF LANDSCAPED GROUNDS. CONV 2ND FL LAUNDRY. ATT GARAGE. WALK TO PARK &amp; POOL. CLOSE PROXIMITY TO SCHOOLS</t>
  </si>
  <si>
    <t>13X08</t>
  </si>
  <si>
    <t>3X2</t>
  </si>
  <si>
    <t>Call/Text agent- 312.320.5527</t>
  </si>
  <si>
    <t>Julie Johnson</t>
  </si>
  <si>
    <t>Maplewood</t>
  </si>
  <si>
    <t>MAPLEWOOD COURT</t>
  </si>
  <si>
    <t>Washington and 83 N to Shorewood to Maplewood, R to #</t>
  </si>
  <si>
    <t>Nestled in the heart of charm in Grayslake. this end unit townhome for owner occupants only offers an open &amp;airy floor plan. the new home owner will be impressed w/ the home being freshly painted, a new furnace, brand new wood flooring on 1st floor, kitchen is neutral &amp; new stainless steel appliances.  The 2nd level has brand new carpet.  The master bedroom offers 2 W/I closets  &amp; vaulted ceiling ready to call home</t>
  </si>
  <si>
    <t>AVON CENTER ELEMENTARY SCHOOL</t>
  </si>
  <si>
    <t>CALL SHOWINGTIME 855-746-9200</t>
  </si>
  <si>
    <t>NAOMI CAMPBELL</t>
  </si>
  <si>
    <t>Naomi Campbell</t>
  </si>
  <si>
    <t>(847) 370-5065</t>
  </si>
  <si>
    <t>AGENT OWNED THIS COMPLEX IS FOR OWNER OCUPANTS ONLY...  AGENT OWNED</t>
  </si>
  <si>
    <t>Grand Ave to Lawson (north), to Coventry (right) to #</t>
  </si>
  <si>
    <t>Beautiful 2 bedroom, 2 bath condo, freshly painted, and brand new carpet. Bank owned, being sold "AS-IS". Association fee amount is effective Jan 1, 2015. No Rentals allowed.</t>
  </si>
  <si>
    <t>2.75% - $200 (on Net SP)</t>
  </si>
  <si>
    <t>Crichton Realty Group, LTD</t>
  </si>
  <si>
    <t>(847) 395-3100</t>
  </si>
  <si>
    <t>Thomas Crichton</t>
  </si>
  <si>
    <t>(847) 772-5885</t>
  </si>
  <si>
    <t>Buyer to confirm all room dimensions.</t>
  </si>
  <si>
    <t>Springlake</t>
  </si>
  <si>
    <t>SPRINGLAKE</t>
  </si>
  <si>
    <t>NEW YORK JUST WEST OF MALL TO FRONTENAC TO GREGORY TO SPRINGLAKE</t>
  </si>
  <si>
    <t>Located just minutes to Westfield mall, I-88, Metra, Naperville schools, and restaurants!  Quiet 2nd floor unit with fresh paint, updated kitchen counters, and light fixtures!  Unit has a 1 car garage with a private storage area!  2 generous sized bedrooms with 2 full bathrooms in the unit!  Huge family room has a gas log fireplace and SGD to balcony!  Great unit at a great price!  Why rent when you can buy this!!</t>
  </si>
  <si>
    <t>Bike Room/Bike Trails, Park/Playground, Pool-Outdoors, Security Door Locks, Tennis Court/s, Curbs/Gutters, Sidewalks, Street Lights, Street Paved</t>
  </si>
  <si>
    <t>Water, Common Insurance, Pool, Exterior Maintenance, Lawn Care, Scavenger, Snow Removal, Lake Rights</t>
  </si>
  <si>
    <t>Intercom, CO Detectors, Ceiling Fan</t>
  </si>
  <si>
    <t>Use Showing assist</t>
  </si>
  <si>
    <t>Sprovieri</t>
  </si>
  <si>
    <t>Chip Haines</t>
  </si>
  <si>
    <t>(630) 816-3906</t>
  </si>
  <si>
    <t>Windsor</t>
  </si>
  <si>
    <t>Rt.31 south of Spring 2 Concord N. 2 Windsor East</t>
  </si>
  <si>
    <t>GREAT PRICE FOR THIS TOWNHOME W/Private Location! 2 Bedroom, 1.1 Baths! Ceramic Tile entry leads you to large Great Room.  Kitchen has eating area.   Sliding Glass door off Living Room lead to private yard.  Large Loft on upper level great for office. Full Basement.</t>
  </si>
  <si>
    <t>SEE SHOW ASSIST</t>
  </si>
  <si>
    <t>Results Realty Illinois, Inc</t>
  </si>
  <si>
    <t>(630) 377-5500</t>
  </si>
  <si>
    <t>Judy Cox, ABR,CNC,CRS,GRI,PMN,SFR,SRES</t>
  </si>
  <si>
    <t>(630) 546-7276</t>
  </si>
  <si>
    <t>Home is sold "AS IS".  Taxes prorated at 100%. No plat of survey provided. To submit an offer on the property for consideration, copy and paste the following link to submit through RES.NET: https://agent.res.net/submitoffer/?returnurl=%2</t>
  </si>
  <si>
    <t>Joliet</t>
  </si>
  <si>
    <t>Indian Ridge Lakes</t>
  </si>
  <si>
    <t>JOLIET RD EAST OF WOLF TO COMPLEX-RIGHT TO BLDG</t>
  </si>
  <si>
    <t>'MULTIPLE OFFERS HAVE BEEN RECEIVED"! Highest &amp; Best due 12/3/14 by 3 P.M. See Additional Info for Highest &amp; Best Form. This 2 Bedroom, 1.5 Bath 1st Flr Corner Unit has Lots of Natural Light &amp; View of Forest Preserve, Bay Window in Kitchen, 2 WIC's, Sold AS-IS, Taxes Prorated @ 100%, no survey. Bank of America, N.A. employees &amp; employees' household members, its business partners of the bank are prohibited.</t>
  </si>
  <si>
    <t>Storage, Security Door Locks, Curbs/Gutters, Sidewalks, Street Lights, Street Paved</t>
  </si>
  <si>
    <t>Oven/Range</t>
  </si>
  <si>
    <t>Submit offers with POF or Pre-Qual to Offers@themalikteam.com or fax to 214.716.1094 (Not Both).  See additional docs for sellers addendum to follow after contract acceptance. Buyer responsible for HOA fees based on Condo Foreclosure Act.</t>
  </si>
  <si>
    <t>LOREL</t>
  </si>
  <si>
    <t>65TH STREET TO LOREL. NORTH TO PROPERTY.</t>
  </si>
  <si>
    <t>17X27</t>
  </si>
  <si>
    <t>BEAUTIFUL 2-STORY TOWNHOUSE COMPLETELY REHABBED TO ENTICE THE FUSSIEST BUYERS! IMMACULATE FINISHES THAT INCLUDE NEW KITCHEN CABINETS, SS APPLIANCES, AND GRANITE COUNTER-TOPS. PROPERTY ALSO BOASTS REFINISHED HARDWOOD FLOORING, BATHROOM CERAMIC TILES, LIGHT FIXTURES, AND VANITY. FINISHED BASEMENT WILL ENTERTAIN THE EXTENDED FAMILY WITH THE COZY FEELING OF HOME AND SPACIOUS YARD FOR THE SUMMER ENTERTAINMENT! CALL NOW!!</t>
  </si>
  <si>
    <t>14X25</t>
  </si>
  <si>
    <t>Septic-Mechanical</t>
  </si>
  <si>
    <t>Sidewalks, Street Lights</t>
  </si>
  <si>
    <t>CALL LISTING OFFICE. EASY TO SHOW</t>
  </si>
  <si>
    <t>RE/MAX 10</t>
  </si>
  <si>
    <t>(708) 857-1500</t>
  </si>
  <si>
    <t>Pablo Galarza</t>
  </si>
  <si>
    <t>773-367-0788</t>
  </si>
  <si>
    <t>BUYER AGENT BONUS OF $2,000 IF CLOSED BY JAN. 30, 2015</t>
  </si>
  <si>
    <t>York Rd. South of Grand Ave. York Meadows Complex</t>
  </si>
  <si>
    <t>Top floor 2 bedroom, 2 bath corner unit is light and bright! One of the larger floor plans. Many tastefully done upgrades. Secured elevator building with plenty of parking. Low assoc. dues include heat, water, gas, pool and exercise room. Laundry on same floor as unit. Walk to Churchville middle school and new Mariano's!</t>
  </si>
  <si>
    <t>FISCHER ELEMENTARY SCHOOL</t>
  </si>
  <si>
    <t>CHURCHVILLE MIDDLE SCHOOL</t>
  </si>
  <si>
    <t>Heat, Water, Gas, Parking, Common Insurance, Security, Exercise Facilities, Pool, Exterior Maintenance, Lawn Care, Scavenger, Snow Removal</t>
  </si>
  <si>
    <t>Use Secure Showing Assist</t>
  </si>
  <si>
    <t>Jeanne Nelson, CSC,GRI,SRES</t>
  </si>
  <si>
    <t>(630) 408-7808</t>
  </si>
  <si>
    <t>PRIMROSE</t>
  </si>
  <si>
    <t>-</t>
  </si>
  <si>
    <t>NEW YORK ST OR MCOY TO FRONTENAC RD TO SANDPEBBLE LN TO PRIMROSE CT</t>
  </si>
  <si>
    <t>1ST FLOOR UNIT- LIVING ROOM, FORMAL DINING, 2 BEDROOMS, KITCHEN WITH TABLE SPACE &amp; PANTRY CABINET, LAUNDRY ROOM, PATIO, ATTACHED GARAGE WITH ATTIC STORAGE ABOVE. CLOSE TO SHOPPING, RESTAURANTS, RT 59 COMMUTER STATION. SUBDIVISION HAS PARKS, POOL, TENNIS COURT &amp; WALKING PATHS AROUND LAKE. SOLD AS IS CONDITION. SELLER REVIEWS OFFERS AFTER 10 DAYS ON MARKET.</t>
  </si>
  <si>
    <t>Pool-Outdoors, Curbs/Gutters, Street Lights, Street Paved</t>
  </si>
  <si>
    <t>Corner, Cul-de-sac</t>
  </si>
  <si>
    <t>USE SHOWING ASSIST- CLICK SCHEDULE A SHOWING</t>
  </si>
  <si>
    <t>Richard Conte</t>
  </si>
  <si>
    <t>(630) 615-2800</t>
  </si>
  <si>
    <t>630-615-2895</t>
  </si>
  <si>
    <t>CALL CO-LIST WITH QUESTIONS. SUBMIT ALL OFFERS TO OFFERSUBMISSION.COM -PROPERTY ID#1011135. NO PAPERWORK REQUIRED UNTIL TERMS ACCEPTED. BUYER PAYS $300 TRANSACTION FEE AT CLOSING, SELLER RESPONDS TO OFFERS AFTER 1ST 10 DAYS.</t>
  </si>
  <si>
    <t>63RD ST TO LONG SOUTH TO PROPERTY</t>
  </si>
  <si>
    <t>22X125</t>
  </si>
  <si>
    <t>WELL MAITAIN TOWN HOME. PROPERTY FEATURES LIVING ROOM, 2 BEDROOMS AND A KITCHEN. CLOSE TO SCHOOLS AND TRANSPORTATION. SHORT SALE SOLD AS-IS CONDITION.</t>
  </si>
  <si>
    <t>2%-$150 (on Net SP)</t>
  </si>
  <si>
    <t>HOLDER OF RECORD</t>
  </si>
  <si>
    <t>ERA Mi Casa Real Estate</t>
  </si>
  <si>
    <t>(773) 767-1616</t>
  </si>
  <si>
    <t>Jenny Lima</t>
  </si>
  <si>
    <t>CC: Pursuant to Short Sale. Earnest Money in CERTIFIED FUNDS only made payable to Chicago SHORT SALE. SOLD AS-IS</t>
  </si>
  <si>
    <t>HOLIDAY</t>
  </si>
  <si>
    <t>CRANBERRY LAKE</t>
  </si>
  <si>
    <t>RT 120 &amp; RT 134 N TO CRANBERRY ENTRANCE, R ON HOLIDAY TO HOME.</t>
  </si>
  <si>
    <t>DANBERRY</t>
  </si>
  <si>
    <t>OPEN&amp;AIRY 3-LVL TWNHM BOASTS SKYLTS,LAM WD PLANK FLRS, NEW FURN&amp;HWH,2-CAR GAR, VOLUME CLGS!SUNNY KIT W/WHITE CABTS, ISLD W/BRKFST BAR, DRUM SHADE LT FIXTS,SS RANGE,MO,DW&amp;BLACK REF ALL LESS THAN 2 YRS OLD. DBL DRS TO BALC OFF ROOMY EA.HUGE VOL MBR W/SITTING AREA, WALK-IN CLOSET&amp;WALK-THRU BATH W/ SEP SHOWER&amp;TUB, SKYLT&amp; DBL VANITY.LOFT W/SKYLT. LWR LVL FAM RM/DEN.WALK TO PARK.ENJOY QUIET COURTYD OUTSIDE YOUR FRONT DR!</t>
  </si>
  <si>
    <t>W J MURPHY ELEMENTARY SCHOOL</t>
  </si>
  <si>
    <t>Park/Playground, Sidewalks, Street Lights</t>
  </si>
  <si>
    <t>PLEASE CALL 855-746-9200 OR CLICK THE SCHEDULE A SHOWING ICON.</t>
  </si>
  <si>
    <t>(847) 541-5000</t>
  </si>
  <si>
    <t>Lori Rowe</t>
  </si>
  <si>
    <t>(847) 774-7464</t>
  </si>
  <si>
    <t>UNIT IS NOT FHA APPROVED. Please contact Peter Martino at Guaranteed Rate (847) 274-5560 to see if a loan program would work for your client.  EXTRA INSULATION IN ATTIC SAVES ENERGY. PLEASE DO NOT DISTURB BUNNY AND HAMSTER.</t>
  </si>
  <si>
    <t>GREGORY</t>
  </si>
  <si>
    <t>RT 59 S TO MCCOY (W) TO GREGORY (N)</t>
  </si>
  <si>
    <t>Quiet top floor unit NEWER  carpet and fresh paint. Move in condition. Dist 204 school. 1/4 Mile from Fox Valley Mall. Not A Short Sale/Foreclosure. Can close fast!!! Assessments include Heat, Water, Gas, Common Insurance, Pool, Exterior Maintenance, Lawn Care, Scavenger, Snow Removal, Shows Beautifully!!!E.M. WILL BE HELD BY ED KUSTA , SELLER'S  ATTORNEY</t>
  </si>
  <si>
    <t>Storage, On Site Manager/Engineer, Pool-Outdoors, Security Door Locks, Curbs/Gutters, Sidewalks, Street Lights, Street Paved</t>
  </si>
  <si>
    <t>Heat, Water, Gas, Common Insurance, Pool, Exterior Maintenance, Lawn Care, Scavenger, Snow Removal</t>
  </si>
  <si>
    <t>CALL LA,LO LOCK BOX</t>
  </si>
  <si>
    <t>847 770 3039</t>
  </si>
  <si>
    <t>8447 275 4771</t>
  </si>
  <si>
    <t>VACANT, EASY SHOW EASY SELL</t>
  </si>
  <si>
    <t>LAKEVIEW PLACE</t>
  </si>
  <si>
    <t>Take I355 Exit on Lake Street. Subject is located off of lake street.</t>
  </si>
  <si>
    <t>This condo has been rehabbed from the top down, painted with beautiful neutral colors throughout.  If a gleaming new SS stove and granite kitchen and bathroom countertops is right up your alley, then this 3 bedroom 2 bath condo is a must see.  This is a Fannie Mae homepath property.</t>
  </si>
  <si>
    <t>Please use the link below to schedule a showing</t>
  </si>
  <si>
    <t>All offers must be uploaded to homepath.com - no personal property included on this sale. buyer responsible for 6 month HOA dues at closing. Please see the additional information link for a PDF of the buyers responsibility.</t>
  </si>
  <si>
    <t>Valley Falls</t>
  </si>
  <si>
    <t>Rt. 20 west of Randall to Nessler, left to Gansett Pkwy left to Valley Falls left</t>
  </si>
  <si>
    <t>Fannie Mae Homepath Property! 3 Story Townhouse w/2 bdrms, 2.5 bths. Lower level family room. Beautiful cherry cabinets in kitchen. All appliances.  SGD to balcony. 2 car attached garage.    See attached docs prior to submitting an offer on Homepath.</t>
  </si>
  <si>
    <t>AMERICANA</t>
  </si>
  <si>
    <t>LAKE HINSDALE TOWERS</t>
  </si>
  <si>
    <t>63rd St west of 83 turn in before whole foods look for Condo Tower behind whole foods</t>
  </si>
  <si>
    <t>WELCOME HOME TO THIS LARGE AND BEAUTIFUl 2ND FLOOR CONDO. FEATURES: 2 FULL BATHS AND 2 BEDROOMS, WOOD LAMINATE FLOORS, NEWER MAPLE KITCHEN CABINETS,COUNTERTOPS AND BACKSPLASH. WALK-IN CLOSET,SWIMMING POOL, TENNIS COURTS, PARK AND NICELY OUTFITTED FITNESS ROOM. LAUNDRY HOOK UP IN UNIT AND COIN LAUNDRY ACROSS THE HALL. LOCATED RIGHT BEHIND WHOLE FOODS ON 63RD NEAR 83. GREAT LOCATION FOR WALKING TO SHOPS AND RESTAURANTS</t>
  </si>
  <si>
    <t>12X23</t>
  </si>
  <si>
    <t>8X14</t>
  </si>
  <si>
    <t>Coin Laundry, Elevator, Exercise Room, Storage, On Site Manager/Engineer, Park/Playground, Party Room, Sundeck, Pool-Outdoors, Sauna, Security Door Locks, Service Elevator, Tennis Court/s, Curbs/Gutters</t>
  </si>
  <si>
    <t>Heat, Air Conditioning, Water, Gas, Parking, Common Insurance, TV/Cable, Clubhouse, Exercise Facilities, Pool, Exterior Maintenance, Lawn Care, Scavenger, Snow Removal</t>
  </si>
  <si>
    <t>verbally accepted offer</t>
  </si>
  <si>
    <t>OOr</t>
  </si>
  <si>
    <t>RE/MAX Action</t>
  </si>
  <si>
    <t>(630) 968-2600</t>
  </si>
  <si>
    <t>Lee Ernst, CNC,CSC,e-PRO</t>
  </si>
  <si>
    <t>(630) 514-4306</t>
  </si>
  <si>
    <t>sentrilock on chain link fence in back corner of Park. straight out the main entrance until you hit the fence then go right to corner for all lockboxes. Park near there for ease of finding. look for 210 on cover. Seller Occupied</t>
  </si>
  <si>
    <t>CENTURY OAKS WEST</t>
  </si>
  <si>
    <t>RANDALL TO BIG TIMBER EAST TO CREEKSIDE, LEFT TO HOME</t>
  </si>
  <si>
    <t>THE SEARCH IS OVER!! AMAZING UPPER LEVEL CONDO W/BEAUTIFUL VIEWS!  NEWLY REMODELED BATHS, LIVING &amp; BEDROOMS!  KITCHEN W/EATING AREA, SERVING STATION &amp; SLIDERS TO THE BALCONY!  LIV ROOM W/BIG WINDOWS &amp; DESIGNER FIREPLACE! SEP DINING AREA W/PERGO FLOOR! 2 FULL BATHS - FULLY REMODELED W/DESIGNER FINISHES! FRESHLY PAINTED &amp; NEW CARPET T/O!WALK-IN CLOSETS IN BOTH BEDROOMS!  SECURE BUILDING NEAR TRAIN, I-90, PARKS &amp; SCHOOL</t>
  </si>
  <si>
    <t>CENTURY OAKS ELEMENTARY SCHOOL</t>
  </si>
  <si>
    <t>2.5% - 150 (on Net SP)</t>
  </si>
  <si>
    <t>Angela Bjork</t>
  </si>
  <si>
    <t>(847) 845-4974</t>
  </si>
  <si>
    <t>847-845-4974</t>
  </si>
  <si>
    <t>FIN FELL THROUGH ON BUYERS - SHOWS VERY, VERY WELL - YOU WON'T BE DISAPPOINTED!  BE AWARE OF CAT.   LOTS NEW: APPS-09/ CARPET, PAINT, WATER HEATER-2014 /FURNACE -09/W/D-2011/ROOF, DISPOSAL-2012/A/C MOTOR-2013!  NOT FHA APPROVED - NO RENTALS</t>
  </si>
  <si>
    <t>Pistakee Lake</t>
  </si>
  <si>
    <t>ROUTE 12 TO GRAND AVE WEST TO PISTAKEE LAKE RD RIGHT TO SHOREWOOD MANOR</t>
  </si>
  <si>
    <t>IF YOU LIKE RETRO YOUâ€™LL LOVE THIS CONDO! ONE OWNER, RARELY USED 2BR 2BA CHAIN Oâ€™LAKES CONDO, MOSTLY ORIGINAL AND IN EXCELLENT CONDITION. EAT-IN KITCHEN IS OPEN TO LIVING ROOM W/SLIDING GLASS DOOR TO BALCONY OFFERING SUNSET PISTAKEE LAKE VIEW. MASTER BEDROOM HAS LARGE CLOSETS &amp; PRIVATE MASTER BATH. NEW FURNACE W/CENTRAL AIR. UPDATED MARBLE TILE FLOOR IN KITCHEN &amp; ENTRY. AVAILABLE BOAT SLIPS &amp; PRIVATE LAKEFRONT POOL.</t>
  </si>
  <si>
    <t>Marble</t>
  </si>
  <si>
    <t>7X3</t>
  </si>
  <si>
    <t>Boat Dock, Coin Laundry, Pool-Outdoors, Street Lights, Street Paved</t>
  </si>
  <si>
    <t>Chain of Lakes Frontage, Common Grounds, Lake Front, Water Rights, Water View</t>
  </si>
  <si>
    <t>Heat, Water, Gas, Common Insurance, Pool, Exterior Maintenance, Lawn Care, Scavenger, Snow Removal, Lake Rights</t>
  </si>
  <si>
    <t>CALL LO 847-395-2300</t>
  </si>
  <si>
    <t>Pete Eichler, GRI,SFR</t>
  </si>
  <si>
    <t>847-533-9955</t>
  </si>
  <si>
    <t>Bennett</t>
  </si>
  <si>
    <t>North Ave West of Gary to Bennett Dr, North then 3rd right turn on Bennett</t>
  </si>
  <si>
    <t>CARDIFF</t>
  </si>
  <si>
    <t>58X27X58X26</t>
  </si>
  <si>
    <t>1 Year New-Better Location &amp; Views:Green Space, Pergola, End Unit-Lots of Natural Light!Not your builder standard-Many Upgrades Include:Granite,42"Maple Cabinets,SS Appliances,Richmond Oak Wood Plank Floors on main level, 2" Custom Levolor blinds,upgraded lighting,recessed can lighting,dimmer switch,Iron spindle Staircases,Master tray ceiling,Upgraded tiles in bathrooms,master soaker tub,garage opener. QUICK MOVE IN!</t>
  </si>
  <si>
    <t>21X15</t>
  </si>
  <si>
    <t>3.0%-$225 (on Net SP)</t>
  </si>
  <si>
    <t>Call 855-746-9200</t>
  </si>
  <si>
    <t>Karen Ringquist, ABR</t>
  </si>
  <si>
    <t>(847) 204-6273</t>
  </si>
  <si>
    <t>Absolutely Beautiful Unit-- A Must Show!! Upgrades not your standard builder finishes. NO FHA APPROVAL NEEDED!!</t>
  </si>
  <si>
    <t>72nd</t>
  </si>
  <si>
    <t>HARLEM TO SCHUBERT W TO 72ND TO 2711</t>
  </si>
  <si>
    <t>ELMWOOD PARK</t>
  </si>
  <si>
    <t>3RD Level completely updated 2 bed 1 bath condo unit.  Spacious condo with large rooms and a lot of sunlight. Neutral colors, oak cabinets , stainless steel appliances,  wood floors thru-out.  Well kept building, ready to move in.  Back yard and  1 CAR GARAGE SPACE. Great location.   MUST SEE!</t>
  </si>
  <si>
    <t>Oven-Double, Microwave, Dishwasher, Refrigerator</t>
  </si>
  <si>
    <t>2.5%-225 (on Net SP)</t>
  </si>
  <si>
    <t>Call listing agent 630-204-8370</t>
  </si>
  <si>
    <t>Jolanta Kielar</t>
  </si>
  <si>
    <t>(630) 204-8370</t>
  </si>
  <si>
    <t>GROSVENOR</t>
  </si>
  <si>
    <t>Roosevelt 2 Adare S2 Kilkenny E2 Grosvenor</t>
  </si>
  <si>
    <t>Beautiful Adare Farms!Remodeled 1st flr ranch features kit/w eating area,garden window &amp; sliding glass door that leads to private patio.Spacious living room,dining room &amp; bedrooms.Washer and dryer in unit. Attached 1 car garage w/extra storage space.Remodel inclds-floors/carpet,kit cabs/counters,crown mld,int doors,lights,furnace,H2O heater the list goes on.Gorgeous landscaping!Close to Metra Train &amp; Downtown Wheaton</t>
  </si>
  <si>
    <t>9X17</t>
  </si>
  <si>
    <t>Humidifier, TV-Cable, Intercom, CO Detectors, Ceiling Fan</t>
  </si>
  <si>
    <t>Schedule using ShowingAssist (click below) 1 hr notice required Must confirm</t>
  </si>
  <si>
    <t>Laurie Murphy</t>
  </si>
  <si>
    <t>(630) 790-6376</t>
  </si>
  <si>
    <t>630-807-4079</t>
  </si>
  <si>
    <t>Disclosures and HOA Rules &amp; Regs located under additional information. Seller does not use central humidifier so it is being conveyed As-Is</t>
  </si>
  <si>
    <t>Fountainview</t>
  </si>
  <si>
    <t>HIGHLAND LAKES</t>
  </si>
  <si>
    <t>22 St to Main St(Lombard); South on Main to Entrance of Highland Lakes; South to Fountainview.</t>
  </si>
  <si>
    <t>Move right in! Not a Short Sale! Not a Foreclosure! Great Shape, newer washer and dryer in unit, clean, newer-cabinets, windows and slider door. Newer appliances, walk in pantry. Great view of Pond &amp; Fountain. Location, Location. Ample parking. NOW FHA Approved! No rentals.</t>
  </si>
  <si>
    <t>Eating Area-Breakfast Bar, Pantry-Walk-in</t>
  </si>
  <si>
    <t>Please call Showing Time 855-746-9200 or use Showing Assist</t>
  </si>
  <si>
    <t>Michael Wagner</t>
  </si>
  <si>
    <t>(708) 638-1559</t>
  </si>
  <si>
    <t>Easy Show! Call Listing Agent for key. NOW FHA APPROVED. No rentals.</t>
  </si>
  <si>
    <t>Golf</t>
  </si>
  <si>
    <t>Antioch</t>
  </si>
  <si>
    <t>HARBOR RIDGE</t>
  </si>
  <si>
    <t>From Grass Lake and 59, S on 59.  W (right) on Stonebridge.  S (left) on Golf to last unit on left.</t>
  </si>
  <si>
    <t>2 bedroom, 1 1/2 bath *END UNIT* RANCH* overlooking Antioch Golf Course's 13th fairway.  Best unit on the street - private, pond views, with extra parking spots close by!  Open floor plan with fireplace.  Vaulted ceilings.  Each bedroom has 2 closets!  2 hall closets &amp; an additional coat closet at the entry.  FULL BASEMENT!  Wheelchair ramp in garage.  Unit needs cosmetic updating, but the potential here is huge!</t>
  </si>
  <si>
    <t>5X5</t>
  </si>
  <si>
    <t>Cul-de-sac, Golf Course Lot, Pond, Water View</t>
  </si>
  <si>
    <t>Use Showing Assist Link Below or Call/Text Tina @ 414-322-1557.</t>
  </si>
  <si>
    <t>Coldwell Banker Hometrust, R.E</t>
  </si>
  <si>
    <t>(847) 395-7575</t>
  </si>
  <si>
    <t>Tina Lutzke</t>
  </si>
  <si>
    <t>(414) 322-1557</t>
  </si>
  <si>
    <t>Dishwasher does not work.  Furniture negotiable.  Per office policy, EM must be certified funds.</t>
  </si>
  <si>
    <t>55th</t>
  </si>
  <si>
    <t>CORNER OF HOMAN &amp; 55TH STREET</t>
  </si>
  <si>
    <t>$1250 (on Net SP)</t>
  </si>
  <si>
    <t>Tim Litchford</t>
  </si>
  <si>
    <t>(770) 933-6671</t>
  </si>
  <si>
    <t>Wharf</t>
  </si>
  <si>
    <t>PIERS II</t>
  </si>
  <si>
    <t>Janes to 83rd St.  East to Piers Drive. North on Piers to Wharf Drive.</t>
  </si>
  <si>
    <t>EXTRAORDINARY OPPORTUNITY FOR REHABBERS AND INVESTORS. DESIRABLE 1ST FLOOR 2BED/2BATH UNIT W/ONE CAR GARAGE. THIS IS A FIXER UPPER AND PRICED ACCORDINGLY. SPACIOUS LIVING RM WITH CORNER FIREPLACE. L-SHAPED ATTACHED DINING RM.  PRIVATE PATIO. MASTER BDRM W/ATTACHED FULL BATH AND WIC.   IN-UNIT FULL SIZE LAUNDRY ROOM. LOW TAXES &amp; ASSMNTS. ENJOY THE OUTDOOR POOL AND CLUBHOUSE. SCHOOL/ PACE BUS. CLOSE TO SHOPPING &amp; I-355</t>
  </si>
  <si>
    <t>WILLIAM F MURPHY ELEMENTARY SCHOOL</t>
  </si>
  <si>
    <t>Party Room, Pool-Outdoors, Security Door Locks, Curbs/Gutters, Sidewalks, Street Lights, Street Paved</t>
  </si>
  <si>
    <t>3%-$195 (on Net SP)</t>
  </si>
  <si>
    <t>EZ SHOW. SHORT NOTICE OK. CALL KATHY AT 630 202-5260 TO CONFIRM.</t>
  </si>
  <si>
    <t>Realty Executives Ambassador</t>
  </si>
  <si>
    <t>(708) 349-1111</t>
  </si>
  <si>
    <t>Kathy Meyer</t>
  </si>
  <si>
    <t>(630) 202-5260</t>
  </si>
  <si>
    <t>GREAT LOCATION. JUST MINUTES FROM I-355, PROMENADE, BURR RIDGE VILLAGE CENTER, YORKTOWN AND OAK BROOK MALLS. QUICK CLOSE POSSIBLE. CYPRESS COVE WATER PARK RIGHT DOWN THE STREET. CONVEYED "AS IS".</t>
  </si>
  <si>
    <t>Brunswick</t>
  </si>
  <si>
    <t>Cobblers Crossing</t>
  </si>
  <si>
    <t>SHOE FACTORY RD - W OF BEVERLY - TOASTMASTER N - TO BRUNSWICK CT.</t>
  </si>
  <si>
    <t>PRISTINE, CONVENIENT 1ST FLOOR END UNIT  -  UPGRADED WOOD LAMINATE IN KITCHEN, LIV &amp; DIN RMS  -  GAS FIREPLACE W/TILE SURROUND IN LIV RM  -TASTEFULLY PAINTED THRU-OUT  -  LARGE BATH W/DUAL SINKS AND CONNECTS TO DRESSING AREA IN MSTR BDRM  -  ALL APPLIANCES (NEWER DISHWASHER &amp; DISPOSAL)  -  NEWER CEN AIR  -  QUICK CLOSING  - MOVE IN READY  -  ESTATE "AS IS"  -</t>
  </si>
  <si>
    <t>Please Use Showing Assist.</t>
  </si>
  <si>
    <t>Karen Stubler, ABR,GRI</t>
  </si>
  <si>
    <t>(847) 494-5044</t>
  </si>
  <si>
    <t>YOU WILL BE IMPRESSED WHEN YOU SHOW THIS CONDO</t>
  </si>
  <si>
    <t>Saratoga</t>
  </si>
  <si>
    <t>115A</t>
  </si>
  <si>
    <t>WESTBROOK SOUTH</t>
  </si>
  <si>
    <t>Ogden West Of Main St. to Saratoga.</t>
  </si>
  <si>
    <t>CONMON</t>
  </si>
  <si>
    <t>Welcome home to this ideally located 2 Bed/2 Bath Condo with a Walk-Out Patio and view of the grassy grounds and nearby park. Unit enjoys an Eat-In Kitchen as well as a Dining Area. Cozy up this winter with the Wood Burning Fireplace. Large Master Suite has plenty of room for king bed. Heated Garage parking! Amenities incl a game rm, party lounge, new laund rm, exercise rm, and a gorgeous court yard. Asmt incl Heat!</t>
  </si>
  <si>
    <t>HIGHLAND ELEMENTARY SCHOOL</t>
  </si>
  <si>
    <t>16X6</t>
  </si>
  <si>
    <t>Heat, Water, Parking, Common Insurance, Security System, Clubhouse, Exercise Facilities, Pool, Exterior Maintenance, Lawn Care, Scavenger, Snow Removal</t>
  </si>
  <si>
    <t>Garage Door Opener(s), Heated, 7 Foot or more high garage door</t>
  </si>
  <si>
    <t>Use Showing Asssist</t>
  </si>
  <si>
    <t>Steve Siciliano</t>
  </si>
  <si>
    <t>BENTLEY</t>
  </si>
  <si>
    <t>RT120 2 WILSON N, R ON PRAIRIE, L ON CARLISLE, R ON BENT</t>
  </si>
  <si>
    <t>Spacious 2bed/2.5bath 2-story townhome in the Remington Trail complex.   Home features Fresh paint and new carpet. Hardwood flooring.Fireplace in living room. Large, open kitchen great for entertaining! This is a Fannie Mae/Homepath property.</t>
  </si>
  <si>
    <t>Basilio Jimenez</t>
  </si>
  <si>
    <t>(847) 602-5280</t>
  </si>
  <si>
    <t>847-602-5280</t>
  </si>
  <si>
    <t>Per HOA not FHA approved.Seller has directed all offers be made using the HomePath Online Offers system at HomePath.com. See Additional Info for docs.</t>
  </si>
  <si>
    <t>Wolf</t>
  </si>
  <si>
    <t>Northlake</t>
  </si>
  <si>
    <t>1 block north of North Ave.</t>
  </si>
  <si>
    <t>NORTHLAKE</t>
  </si>
  <si>
    <t>New construction - 2BR/2Bath!  Bright west facing unit with 1240 sf and popular split bedroom plan - never occupied - all new! Eat in kitchen and large in unit laundry room.  Price includes two parking spots - 1 inside heated garage and 1 outdoors! Low assessments include all utilities except electric! Building is FHA approved!</t>
  </si>
  <si>
    <t>NORTHLAKE MIDDLE SCHOOL</t>
  </si>
  <si>
    <t>WEST LEYDEN HIGH SCHOOL</t>
  </si>
  <si>
    <t>Brick, Block</t>
  </si>
  <si>
    <t>Mid Rise (4-6 Stories)</t>
  </si>
  <si>
    <t>Use Show Assist - LA must accompany</t>
  </si>
  <si>
    <t>Chicagoland Realty Services LLC</t>
  </si>
  <si>
    <t>(312) 733-1300</t>
  </si>
  <si>
    <t>Terrie Whittaker</t>
  </si>
  <si>
    <t>(312) 209-4010</t>
  </si>
  <si>
    <t>Well managed building with healthy reserves!  Great location convenient to shopping and expressways. See floor plan under 'additional information'.</t>
  </si>
  <si>
    <t>BEAU MONDE</t>
  </si>
  <si>
    <t>LISLE PLACE</t>
  </si>
  <si>
    <t>OGDEN AVE (WEST OF OLD TAVERN RD) NORTH</t>
  </si>
  <si>
    <t>HIGHEST AND BEST BY 11/29/14 12 NOON. FORM UNDER ADDL INFORMATION. 1ST FLOOR UNIT IN LISLE PLACE WITH 2 BEDROOMS AND 2 BATHS.  SOLD AS IS, TAXES AT 100%. BUYERS NEED GOOD PRE-APPROVAL WITH DOWN PAYMENT VERIFIED FOR OFFERS PER SELLER. CASH BUYERS NEED ALL FUNDS VERIFIED. SIGN ADDENDUM, DISCLOSURES, &amp; REO SALES HELP SHEET- IN ADDITIONAL INFORMATION. PUBLIC ACT 94-1049 MAY APPLY.</t>
  </si>
  <si>
    <t>SCHIESHER/TATE WOODS ELEMENTARY SCHOOL</t>
  </si>
  <si>
    <t>LISLE JUNIOR HIGH SCHOOL</t>
  </si>
  <si>
    <t>LISLE HIGH SCHOOL</t>
  </si>
  <si>
    <t>Water, Parking, Common Insurance, Clubhouse, Pool, Exterior Maintenance, Scavenger, Snow Removal</t>
  </si>
  <si>
    <t>PLEASE SEE SHOWING ASSIST-EASY TO SHOW</t>
  </si>
  <si>
    <t>SPS FOR BANK OF AMERICA</t>
  </si>
  <si>
    <t>Employees of Bank of America or its affiliates or subsidiaries are strictly prohibited from directly or indirectly purchasing any property owned by Bank of America. CARUSO MANAGEMENT GROUP HAS NOT CONFIRMED HOA INFORMATION TO DATE.</t>
  </si>
  <si>
    <t>Bond</t>
  </si>
  <si>
    <t>HAMPTON PARK</t>
  </si>
  <si>
    <t>Ogden to North Aurora Rd (W) to Tudor (N) to Gowdy (W) to Bond (S) -left to 2855</t>
  </si>
  <si>
    <t>SOMERSET</t>
  </si>
  <si>
    <t>This meticulously maintained, private end unit, backs to a pond &amp; offers quality living in Hampton Park- a 55+ active community w/ a clubhouse &amp; exercise room. Enjoy a custom field stone fireplace, built-in's, new carpet, corian counters, prof painted, wired for surround sound, upgraded blinds &amp; lighting, ceiling fans w/ remote controls, custom shelving, vaulted ceilings &amp;  more! Minutes from I-88, train &amp; shopping.</t>
  </si>
  <si>
    <t>24X16</t>
  </si>
  <si>
    <t>18X22</t>
  </si>
  <si>
    <t>Exercise Room, Party Room, Curbs/Gutters, Sidewalks, Street Lights, Street Paved</t>
  </si>
  <si>
    <t>Partially Finished, Crawl</t>
  </si>
  <si>
    <t>Corner, Landscaped Professionally, Pond</t>
  </si>
  <si>
    <t>Common Insurance, Clubhouse, Exercise Facilities, Exterior Maintenance, Lawn Care, Snow Removal</t>
  </si>
  <si>
    <t>Carol Guist</t>
  </si>
  <si>
    <t>(630) 244-6808</t>
  </si>
  <si>
    <t>630-244-6808</t>
  </si>
  <si>
    <t>Please check under additional info. for the documents regarding the reduction in the tax assessment for 2014. Also look for a features sheet and  upgrades. Short notice usually o.k.</t>
  </si>
  <si>
    <t>Greenbrook</t>
  </si>
  <si>
    <t>Eola to Stonebridge Blvd, west to Woodglen, south to Greenbrook</t>
  </si>
  <si>
    <t>42X105</t>
  </si>
  <si>
    <t>NON</t>
  </si>
  <si>
    <t>Extensively upgraded and beautifully maintained duplex with full, finished look-out basement in prestigious Stonebridge Country Club! This home features a wide open floor plan with soaring ceilings, hardwood floors &amp; oak railings, beautiful trim work, large loft, granite kitchen, luxury master suite, 9ft lookout basement w/bedroom, full bath, wet bar, theater pre-wire and more. Minutes to train &amp; expressway. Hurry!</t>
  </si>
  <si>
    <t>BROOKS ELEMENTARY SCHOOL</t>
  </si>
  <si>
    <t>28X22</t>
  </si>
  <si>
    <t>3% -150 (on Gross SP)</t>
  </si>
  <si>
    <t>Call BW appointment desk 855-7469100</t>
  </si>
  <si>
    <t>Cornerstone relo</t>
  </si>
  <si>
    <t>Jeffrey Coros</t>
  </si>
  <si>
    <t>(630) 718-2334</t>
  </si>
  <si>
    <t>630-853-0691</t>
  </si>
  <si>
    <t>SUNRISE</t>
  </si>
  <si>
    <t>SUMMIT FIELDS</t>
  </si>
  <si>
    <t>S EOLA RD TO W ON SUNRISE CIR TO PROPERTY ON R</t>
  </si>
  <si>
    <t>This unique end-unit was previously a builder's model and it shows! Walk in and be taken aback by the incredibly high ceilings in the main living space, with the massive loft area overlooking the grand fireplace from above. Take note of the nearly fully applianced kitchen and laundry room! Unit features wood laminate/ceramic throughout main level, oak cabinetry, generously sized master suite and more. Show &amp; sell! :)</t>
  </si>
  <si>
    <t>CLICK SCHEDULE SHOWING BELOW FOR ACCESS INFORMATION</t>
  </si>
  <si>
    <t>Providence Realty Group</t>
  </si>
  <si>
    <t>(630) 853-3804</t>
  </si>
  <si>
    <t>Anthony Lilja, ABR</t>
  </si>
  <si>
    <t>Please call/text/e-mail listing broker with any questions/concerns. Thank you for your interest!</t>
  </si>
  <si>
    <t>Woodhaven</t>
  </si>
  <si>
    <t>WOODHAVEN</t>
  </si>
  <si>
    <t>Midlothian &amp; Hawley; West to Woodhaven; North to Address</t>
  </si>
  <si>
    <t>FREEMONT</t>
  </si>
  <si>
    <t>Amazing water view in Woodhaven! Enjoy the nature trail &amp; pond with this 2 BR, 2.1 BA townhouse with brand new wood-laminate floors! Eat-in Kitchen includes pantry &amp; all appliances. Open-space design with 9 ft ceilings. Living &amp; Dining room with fireplace &amp; slider to patio. Brand new carpet on 2nd floor. Two master bedroom suites with full baths.  2nd flr laundry room. One-car garage. Quick close possible!</t>
  </si>
  <si>
    <t>MECHANICS GROVE ELEMENTARY SCHOOL</t>
  </si>
  <si>
    <t>CARL SANDBURG MIDDLE SCHOOL</t>
  </si>
  <si>
    <t>MUNDELEIN CONS HIGH SCHOOL</t>
  </si>
  <si>
    <t>Water View, Wooded</t>
  </si>
  <si>
    <t>(847) 998-0200</t>
  </si>
  <si>
    <t>Kelli Ward</t>
  </si>
  <si>
    <t>(847) 732-5770</t>
  </si>
  <si>
    <t>847-732-5770</t>
  </si>
  <si>
    <t>Freedom</t>
  </si>
  <si>
    <t>Zion</t>
  </si>
  <si>
    <t>Shepherds Point</t>
  </si>
  <si>
    <t>41&amp;173 E2 Kenosha Rd S2 Sales Entrance</t>
  </si>
  <si>
    <t>ZION</t>
  </si>
  <si>
    <t>BEAUTIFUL CONDO TOWNHOUSE 6 ROOMS. EXTRA LARGE LIVING ROOM OVERLOOKING WETLANDS, KITCHEN AND DINING ROOM, TWO BEDROOMS EACH WITH FULL BATHS. COMPUTER AREA ON SECOND FLOOR LANDING. FAMILY ROOM AND TWO CAR GARAGE. SOLD IN AS-0S CONDITION AND WILL PASS INSPECTIONS.</t>
  </si>
  <si>
    <t>Exterior Access</t>
  </si>
  <si>
    <t>SECRETART OF VETERANS AFFAIRS</t>
  </si>
  <si>
    <t>Island Real Estate Corp.</t>
  </si>
  <si>
    <t>(312) 405-1512</t>
  </si>
  <si>
    <t>Victor Ponto</t>
  </si>
  <si>
    <t>SELLERS NAME IS SECRETARY OF VETERANS AFFAIRS. SELLER DOES NOT PAY CUSTOMARY CLOSING COST INCLUDING ECROW FEES SURVEY OR TRANSFER FEES. PROOF OF FUNDS REQUIRED ON CASH TRANSACTION AND PRE APPROVAL ON FINANCED OFFER DTD 30 DAYS</t>
  </si>
  <si>
    <t>Brookdale</t>
  </si>
  <si>
    <t>BROOKDALE AT DARIEN CONDOMINIUMS</t>
  </si>
  <si>
    <t>Access from 75th St. Westbound OR from Plainfield Rd. East OR Westbound.</t>
  </si>
  <si>
    <t>Priced to sell end unit with only 1 shared wall!  2nd floor w/ view of grassy area + wooded area. IN UNIT LAUNDRY! Lots of closet space and room in kitchen for a FULL size table + newer kitchen cabinets AND pantry! **Roofs were just recently replaced and there is NO special assessment for this!**   Storage in building is approximately 4x6.  Outdoor pool/playground on site. Minutes to expressways/shopping!  MUST SEE!</t>
  </si>
  <si>
    <t>3X3</t>
  </si>
  <si>
    <t>Coin Laundry, Storage, Pool-Outdoors</t>
  </si>
  <si>
    <t>Storage, Walk In Closet</t>
  </si>
  <si>
    <t>No appt. needed.  Unit is vacant.  Please provide feedback even if it's a text to LA @ 630.240.9184.</t>
  </si>
  <si>
    <t>Jill Petranek</t>
  </si>
  <si>
    <t>(630) 240-9184</t>
  </si>
  <si>
    <t>LA's cell #630.240.9184</t>
  </si>
  <si>
    <t>1/26:  CONTINUE TO SHOW!! Sentrilock @ front entrance w/ serial #01000905 tag on top of lockbox. Keys open lobby door which needs to be pulled toward you to unlock. PLEASE lock deadbolt &amp; door handle of unit + close blinds.</t>
  </si>
  <si>
    <t>Vista View</t>
  </si>
  <si>
    <t>Wauconda</t>
  </si>
  <si>
    <t>LIBRARY HILL</t>
  </si>
  <si>
    <t>176 &amp; MAIN, NORTH TO PARKVIEW, RIGHT AND RIGHT TO VISTA VIEW GO LEFT TO 1ST ST ON LEFT TO HOME</t>
  </si>
  <si>
    <t>Dramatic end unit, bright and open. 2 bedrooms + loft, with 2 Â½ baths. Features soaring 2 story living room w/fireplace. Kitchen w/breakfast bar &amp; NEW GE SS appliances, kitchen counters, sink, faucet &amp; disposal. 2015 New Carrier furnace.Master has large walk-in closet. 2nd floor laundry. New flooring, washer and dryer. Updated baths, lighting, crown molding.Great location walking distance to lake, schools &amp; downtown.</t>
  </si>
  <si>
    <t>12X05</t>
  </si>
  <si>
    <t>Oven/Range, Dishwasher, Refrigerator, Washer, Dryer, Disposal, All Stainless Steel Kitchen Appliances</t>
  </si>
  <si>
    <t>Showing Assist or Call Listing Office</t>
  </si>
  <si>
    <t>Lauren Buchel</t>
  </si>
  <si>
    <t>(847) 367-6574</t>
  </si>
  <si>
    <t>847-366-6011 Cell</t>
  </si>
  <si>
    <t>Special Assessment for this unit has been paid.  Monthly association dues are stable due to adequate reserves.    Water softener as is-condition unknown.</t>
  </si>
  <si>
    <t>Shagbark</t>
  </si>
  <si>
    <t>VICTORIAN PARK</t>
  </si>
  <si>
    <t>Schaumburg Rd West of Barrington Rd 2 Park N 2 Shagbark W</t>
  </si>
  <si>
    <t>Ready to move in, 2 bedroom/2 bath unit on 2nd floor with private balcony. Laundry in unit. Attached garage w/storage.Very convinient location, across from park, close to shoppings, I90 and Barrington Rd. Perfect startup, Home Warranty Included, Must see to appreciate!</t>
  </si>
  <si>
    <t>GLENBROOK ELEMENTARY SCHOOL</t>
  </si>
  <si>
    <t>Storage, Park/Playground, Sidewalks, Street Lights</t>
  </si>
  <si>
    <t>Water, Parking, Common Insurance, Lawn Care, Scavenger, Snow Removal</t>
  </si>
  <si>
    <t>Call/Text LA @ 8478526569,24h notice preferred, Tenant has a dog,Tenant moving out in Dec.</t>
  </si>
  <si>
    <t>Darek Homel, CNC,SRS</t>
  </si>
  <si>
    <t>Not a Short Sale or Foreclosure, Quick Closing Possible, Great Startup place or for investment, Show with confidence, Tenant moving out in December. Seller offers Home warranty to new qualified buyer.</t>
  </si>
  <si>
    <t>Waverly</t>
  </si>
  <si>
    <t>TOWNES OF FOX CHASE</t>
  </si>
  <si>
    <t>Dunham to Fox Chase, west to Waverly Circle</t>
  </si>
  <si>
    <t>42X138X40X140</t>
  </si>
  <si>
    <t>Rare, spacious ranch duplex townhome...over 1800 SF! Great condition, neutral decor. Kitchen with loads of maple cabinets and hardwood floors. Big living room/dining room combo with french doors opening to den. Master bedroom with large master bath and two closets; guest room. Huge partially finished basement with rec room, hobby/work room, bedroom and full bath. Laundry both floors. Handicapped accessible. Nice!</t>
  </si>
  <si>
    <t>25X13</t>
  </si>
  <si>
    <t>21X11</t>
  </si>
  <si>
    <t>25X14</t>
  </si>
  <si>
    <t>Den, Recreation Room, Workroom</t>
  </si>
  <si>
    <t>Humidifier, Water-Softener Owned, TV-Cable, Ceiling Fan, Sump Pump</t>
  </si>
  <si>
    <t>2.5 -$150 (on Net SP)</t>
  </si>
  <si>
    <t>call 855-746-9100 for appt.</t>
  </si>
  <si>
    <t>Jeri Skelton</t>
  </si>
  <si>
    <t>(630) 262-7143</t>
  </si>
  <si>
    <t>Agent is related to POA for the seller. Please use 6.0 Contract</t>
  </si>
  <si>
    <t>Route 59 south of I-88 to 95th St.  Turn right (west) on 95th.  3rd light turn right into Carillon.</t>
  </si>
  <si>
    <t>NORMAN</t>
  </si>
  <si>
    <t>2496 SQ FT</t>
  </si>
  <si>
    <t>UNDER CONSTRUCTION, BRAND NEW, ENERGY SMART HOME.  Beautiful Norman ranch town home with 2 bedrooms, 2 baths, island kitchen, granite countertops,  and SS appliances.  Seat in master shower.  55+ community with clubhouse.  Photos may be of model home.  Only 4 left!</t>
  </si>
  <si>
    <t>17X25</t>
  </si>
  <si>
    <t>Exercise Room, Golf Course, Park/Playground, Party Room, Pool-Indoors, Pool-Outdoors, Tennis Court/s, Gated Entry</t>
  </si>
  <si>
    <t>Security, Clubhouse, Exercise Facilities, Pool, Lawn Care, Snow Removal</t>
  </si>
  <si>
    <t>Please visit the sales office at 4027 Idlewild Lane, #847-984-4857</t>
  </si>
  <si>
    <t>Must bring client on first visit and register for agent to receive commission.  Call the sales center to schedule a showing.  Open Tue-Sat 10-6; Sun 11 - 6; Mon 1 -6.</t>
  </si>
  <si>
    <t>Marquette</t>
  </si>
  <si>
    <t>1W</t>
  </si>
  <si>
    <t>THE MARQUIS</t>
  </si>
  <si>
    <t>STONY ISLAND  TO MARQUETTE W TO PROPERTY</t>
  </si>
  <si>
    <t>OCCUPIED property do NOT disturb or approach occupants, do NOT enter property. Drive by ONLY, AS IS WHERE IS, MLS info estimated buyer to verify all info. Bank of America, N.A. (the â€œBankâ€) associates and/or Bank associates, household members, HTS business partners of the Bank, are prohibited from purchasing REO properties, either owned or serviced by the Bank, whether directly or indirectly.</t>
  </si>
  <si>
    <t>3% OR $1500 (WHICHEVER HIGHER) (on Net SP)</t>
  </si>
  <si>
    <t>click on show assist</t>
  </si>
  <si>
    <t>Jack Kosycarz</t>
  </si>
  <si>
    <t>(773) 616-5225</t>
  </si>
  <si>
    <t>email agent with questions, OCCUPIED listing do NOT disturb occupants</t>
  </si>
  <si>
    <t>CASCADE</t>
  </si>
  <si>
    <t>WINDING WATERS</t>
  </si>
  <si>
    <t>Rt. 34 to Pearces Ford N. to Cascade W to home on the left.</t>
  </si>
  <si>
    <t>BROOKSIDE</t>
  </si>
  <si>
    <t>First Floor Ranch Style Townhome that Shows Like a Model !! Move-In Condition with New Wood Laminate Flooring,Fresh Paint,Huge Great Room w/ Sliding Glass Doors to Patio. Sep Din. Room,Fully Applianced Eat-In Kitchen w/ 42" cabinets, Ceramic Floor, 2 Good-Size BR's, Master w/ Huge Walk-In Closet, Dual Sink Vanity, Whirlpool Tub, Sep. Shower &amp; 7x7 Dressing Area.Ideal Location, close to Shopping, Restaurants, Golf!!</t>
  </si>
  <si>
    <t>15X21</t>
  </si>
  <si>
    <t>2.5% -$100 (on Gross SP)</t>
  </si>
  <si>
    <t>CALL CSS - 877-977-1010- EZ TO SHOW</t>
  </si>
  <si>
    <t>(815) 744-1000</t>
  </si>
  <si>
    <t>Frances Hondros</t>
  </si>
  <si>
    <t>(815) 715-1235</t>
  </si>
  <si>
    <t>EXCEPTIONAL UNIT. NOTHING TO DO BUT MOVE-IN. ESTATE SALE SOLD "AS IS" BUT IN EXCELLENT CONDITION.</t>
  </si>
  <si>
    <t>0N037</t>
  </si>
  <si>
    <t>CONISTON</t>
  </si>
  <si>
    <t>Winfield Rd to Highlake W, Windermere N to Coniston (1st street on R)</t>
  </si>
  <si>
    <t>Wonderful neutrally decorated 1st floor condo overlooking pond - great views in all seasons. Spacious rooms, living room with fireplace, wood laminate floors, eat-in kitchen with an abundance of cabinets, all appliances included, 2 baths, laundry/pantry. Garage access from entry. Walk to town, commuter train, hospital, restaurants. Complex has walking path &amp; private lake (w/ fishing &amp; swimming)</t>
  </si>
  <si>
    <t>Security Door Locks, Street Lights, Street Paved</t>
  </si>
  <si>
    <t>Common Grounds, Pond, Water View</t>
  </si>
  <si>
    <t>2 hr notice, small children. See Showing Assist</t>
  </si>
  <si>
    <t>Karen Blum, GRI</t>
  </si>
  <si>
    <t>(630) 484-5535</t>
  </si>
  <si>
    <t>Commuter Train, None</t>
  </si>
  <si>
    <t>Owner can rent after occupying unit for a year.</t>
  </si>
  <si>
    <t>Genesee</t>
  </si>
  <si>
    <t>ENCLAVE AT COUNTRY LAKES</t>
  </si>
  <si>
    <t>Rte 59 west on North Aurora to Genesee</t>
  </si>
  <si>
    <t>ST CROIX</t>
  </si>
  <si>
    <t>FINISHED ENGLISH BASEMENT OVERLOOKING THE GOLF COURSE!  Rare light filled 2 BR end unit townhome. Highlights include; 9ft ceilings, hardwood floors, stainless steel appliances, master suite with private bath, computer nook, 2nd floor laundry room, finished English basement with 30x16 rec room and storage room. Balcony, 1 car garage. Walk to train, THIS ONE HAS IT ALL!</t>
  </si>
  <si>
    <t>7X6</t>
  </si>
  <si>
    <t>16X30</t>
  </si>
  <si>
    <t>2.5%-$150. (on Net SP)</t>
  </si>
  <si>
    <t>Use Showing Assist or call 855-919-0376</t>
  </si>
  <si>
    <t>Sheila Zisk</t>
  </si>
  <si>
    <t>(630) 204-8546</t>
  </si>
  <si>
    <t>630-204-8546</t>
  </si>
  <si>
    <t>SHOWS BEAUTIFULLY.</t>
  </si>
  <si>
    <t>Countryside</t>
  </si>
  <si>
    <t>La Grange Rd to 56th Street, East to 6th, South to Home</t>
  </si>
  <si>
    <t>COUNTRYSIDE</t>
  </si>
  <si>
    <t>Nicely upgraded condo with modified open living area.  This unit has been updated with great kitchen and bath and crown moldings. Sliding glass doors to the balcony overlooking lush front yard.  Located in a quiet cul-de-sac setting with walk to shopping and restaurants.  Great location for an easy commute.  This is a great place to live! Laundry Rm just outside back door.  Wine fridge relayed AS-IS.</t>
  </si>
  <si>
    <t>Agnes Halmon, CSC</t>
  </si>
  <si>
    <t>(708) 209-6246</t>
  </si>
  <si>
    <t>Rental not allowed.  Laundry Room is located just outside the units back door.  Each level has a laundry room.  Private storage area on 3rd floor.</t>
  </si>
  <si>
    <t>Wilmington</t>
  </si>
  <si>
    <t>A2</t>
  </si>
  <si>
    <t>HEARTHWOOD FARMS</t>
  </si>
  <si>
    <t>Devon east of Prospect north to Wilmington</t>
  </si>
  <si>
    <t>Light filled and immaculate unit with many upgrades, including plumbing in bath and kitchen. Appliances look like new.  Updated fixtures and window treatments. Close to train and downtown Bartlett.  New decks and beautiful view from every room.  Traditional sale.  Ready for move in and call it yours.</t>
  </si>
  <si>
    <t>7X9</t>
  </si>
  <si>
    <t>Parking, Common Insurance, Pool, Exterior Maintenance, Lawn Care, Scavenger, Snow Removal, Other</t>
  </si>
  <si>
    <t>Foyer, Utility Room-2nd Floor</t>
  </si>
  <si>
    <t>call 855 746 9843</t>
  </si>
  <si>
    <t>Laube</t>
  </si>
  <si>
    <t>Keller Williams TEAM Realty</t>
  </si>
  <si>
    <t>(847) 241-2200</t>
  </si>
  <si>
    <t>Nancy Doherty, AHWD,SFR</t>
  </si>
  <si>
    <t>630-973-7072</t>
  </si>
  <si>
    <t>Beautiful unit, show with confidence.</t>
  </si>
  <si>
    <t>83rd</t>
  </si>
  <si>
    <t>E-17</t>
  </si>
  <si>
    <t>RIVER CROSSING</t>
  </si>
  <si>
    <t>RT 53 TO 83RD GO EAST</t>
  </si>
  <si>
    <t>NEWLY PAINTED AND CARPETED CONDO! FEATURES; LARGE KITCHEN WITH APPLIANCES, DINING AREA, 1.1 BATHS, BALCONY.  SELLER DISCLOSURES AVAILABLE AS A DOWNLOAD AT MLS</t>
  </si>
  <si>
    <t>SEE SECURE SHOWING ASSIST</t>
  </si>
  <si>
    <t>Regional Realty Group</t>
  </si>
  <si>
    <t>(815) 744-6565</t>
  </si>
  <si>
    <t>James Conway, GRI</t>
  </si>
  <si>
    <t>EMAIL OFFERS TO CONWAYRRG@GMAIL.COM</t>
  </si>
  <si>
    <t>Sunset</t>
  </si>
  <si>
    <t>Butterfield Rd and Creekside Dr. East to Sunset Ct. North (Left) to property.</t>
  </si>
  <si>
    <t>2 bedroom, 1. bathroom townhouse with new carpeting, new paint, and attached 1 car garage. Great location, and near everything. Sold-As-Is</t>
  </si>
  <si>
    <t>12X22</t>
  </si>
  <si>
    <t>Constitution</t>
  </si>
  <si>
    <t>WOODBRIDGE NORTH</t>
  </si>
  <si>
    <t>Randell S of I-90 to College Green, East to Constitution</t>
  </si>
  <si>
    <t>DAVENPORT</t>
  </si>
  <si>
    <t>Desirable End-Unit Townhome in Woodbridge! Soaring 2-Story Family Room has Sliding Glass Door to Private Patio and Opens to Spacious Kitchen with All Appliances! Seller Recently Replaced Flooring, Windows, Patio Door, &amp; Water Heater! Huge Master Bedroom w/ Walk-In Closet &amp; Private Bathroom! Open &amp; Airy Loft is Perfect Den or 3rd Bedroom! Attached 2-Car Garage w/ Built-in Shelving &amp; Work Bench!</t>
  </si>
  <si>
    <t>FOX MEADOW ELEMENTARY SCHOOL</t>
  </si>
  <si>
    <t>Ashford</t>
  </si>
  <si>
    <t>ARMY TRAIL TO FAIRFAX, NORTH TO ASHFORD WEST</t>
  </si>
  <si>
    <t>CAMBRIDGE</t>
  </si>
  <si>
    <t>FIRST FLOOR END UNIT RANCH. 2 BEDROOM, 2 BATHS, LIVING/DINING COMBO W/ CATHEDRAL CEILING. MASTER BEDROOM W/ WALK IN CLOSET &amp; PRIVATE BATHROOM. PRIVATE PATIO OFF LIVING ROOM.  COZY FIREPLACE W/REMOTE CONTROL. 2 CAR GARAGE. CLOSE TO PARK, SHOPPING.</t>
  </si>
  <si>
    <t>Den, Eating Area</t>
  </si>
  <si>
    <t>Vacant Property.  Text LA 630-745-8862. Lock up and turn off lights.</t>
  </si>
  <si>
    <t>630-745-8862</t>
  </si>
  <si>
    <t>(630) 790-1000</t>
  </si>
  <si>
    <t>Fabi Gibson</t>
  </si>
  <si>
    <t>Slight water stains from previous skylight windows.  Skylight and roof replaced.</t>
  </si>
  <si>
    <t>PLEASANT HILL</t>
  </si>
  <si>
    <t>120 &amp; O'PLAINES, S2 MCGAW, E2 CANDLESTICK, S2 QUILL, E2#</t>
  </si>
  <si>
    <t>THIS HOME IS GORGEOUS! BRAND NEW UPDATES FOR THE LUCKY NEW OWNER! BRIGHT KITCHEN WITH NEW SS APPL, GRANITE COUNTERS &amp; MARBLE BACKSPLASH! LR/DR WITH FIREPLACE! NEW LAMINATE FLOORING THRU-OUT 1ST FLOOR! NEW CARPET UPSTAIRS! UPDATED BATHS! NEW LIGHT FIXTURES! VERY NEUTRAL &amp; VERY TRENDY! GREAT LOCATION WITH EASY ACCESS TO 294 &amp; RT 41! GURNEE SCHOOLS: WOODLAND &amp; WARREN! LOW ASSOC FEE &amp; REASONABLE TAXES! RENTALS ALLOWED!</t>
  </si>
  <si>
    <t>2.5%- $225 (on Net SP)</t>
  </si>
  <si>
    <t>CALL 855-746-9200</t>
  </si>
  <si>
    <t>Audrey Tuohy</t>
  </si>
  <si>
    <t>AUDREY CELL: 847-420-6864</t>
  </si>
  <si>
    <t>TRADITIONAL SALE! ABSOLUTELY GORGEOUS! PERFECT FOR 1ST TIME BUYER OR INVESTOR!</t>
  </si>
  <si>
    <t>KLEIN CREEK</t>
  </si>
  <si>
    <t>Gary South From Army Trail to Klein Creek Condo's</t>
  </si>
  <si>
    <t>Professionally Done complete Rehabbed,New Kitchen Oak Cabinets with SS Appliances,In unit Laundry,Master Bed with 1/2 Bath, Ceramic &amp; Laminate Floors, Continental Style Doors &amp; Matching Closet Doors,both bed rooms with Ceiling Fans,Storage is on the 1st Floor.Don't let this one go by,Hurry won't Last.</t>
  </si>
  <si>
    <t>Storage, Park/Playground, Pool-Outdoors, Tennis Court/s, Sidewalks, Street Lights</t>
  </si>
  <si>
    <t>2.5%- $200 (on Net SP)</t>
  </si>
  <si>
    <t>Book Thru Schedule A Showing.</t>
  </si>
  <si>
    <t>Titan Realty</t>
  </si>
  <si>
    <t>(847) 983-8745</t>
  </si>
  <si>
    <t>Asim Qureshi</t>
  </si>
  <si>
    <t>(773) 297-9210</t>
  </si>
  <si>
    <t>Rentable for Investors, 2nd Bed room AC missing Knobs will give Credit at Closing.Special Runs Thru feb 2016 of $64 .All Offer in PDF to Asimq2000@Hotmail.com</t>
  </si>
  <si>
    <t>KENTSHIRE</t>
  </si>
  <si>
    <t>Rt 59 S of 83rd to 87th St E to Fulham N to Kentshire W</t>
  </si>
  <si>
    <t>SUNDROP</t>
  </si>
  <si>
    <t>Water, Common Insurance, Exterior Maintenance, Lawn Care, Scavenger, Snow Removal, Other</t>
  </si>
  <si>
    <t>HSBC</t>
  </si>
  <si>
    <t>www.hubzu.com start &amp; end times Bank owned AS IS Offers MUST submit www.hubzu.com SELLER WONT ACTIVATE UTILITY 4 inspection.NO FAX/EMAIL OFFER PER SELLER,  View b4 bidding... Fee of $299.00&amp; 4.5%Buyer prem pd@ close by buyer</t>
  </si>
  <si>
    <t>Redondo</t>
  </si>
  <si>
    <t>LAKE IN THE WOODS</t>
  </si>
  <si>
    <t>Cass or Lemont Rd to Plainfield Rd to Redondo Dr</t>
  </si>
  <si>
    <t>Honey stop the car&amp;be impressed! Absolutely move in ready, just plug in your TV! New carpet thru out&amp;freshly painted! Laminate flrg in kit&amp;foyer! 30' balcony features new carpeting!Light&amp;bright southern exposure! Extremely well maintained!In unit W/D plus heated gar space!Close to shopping&amp;easy access to expressways!Wrap up this beauty w/a quick close today!Dining rm furniture&amp;accessories are your house warming gift!</t>
  </si>
  <si>
    <t>Elevator, Storage, Street Lights, Street Paved</t>
  </si>
  <si>
    <t>Call Showing Assist 1-855-746-9100</t>
  </si>
  <si>
    <t>John Arnieri</t>
  </si>
  <si>
    <t>630-362-1136</t>
  </si>
  <si>
    <t>No need to preview! Absolutely move in ready! Southern Exposure! New carpet &amp; paint! This is a 10! Buyers agent must accompany all showings</t>
  </si>
  <si>
    <t>County Line Rd, just South of I55 to Burr Ridge PKWY, East to Village Center, left into town center.</t>
  </si>
  <si>
    <t>SHORT SALE! SPACIOUS END UNIT WITH OPEN FLOOR PLAN &amp; PLENTY OF NATURAL LIGHT THRU-OUT. FOYER, LR &amp; KIT HAVE HW FLOORS. KIT HAS GRANITE COUNTERS &amp; BACKSPLASH, PANTRY CLOSET &amp; EAT AREA. DINING ROOM W/ CARPET. MASTER HAS  LG W/I CLOSET, BATH W/HIS &amp; HER SINKS, TUB &amp; SEP SHOWER. BEDROOM 2 HAS DOUBLE DOOR CLOSET &amp; SLIDING DOOR TO BALCONY.LAUNDRY/UTILITY CLOSET W/STACKING WASHER &amp; DRYER. PARKING SPACE &amp; STORAGE.MAGNIFICO!</t>
  </si>
  <si>
    <t>Bike Room/Bike Trails, Elevator, Storage, Security Door Locks, Sidewalks, Street Lights, Street Paved</t>
  </si>
  <si>
    <t>Brick, Concrete</t>
  </si>
  <si>
    <t>2.5% (-$200) (on Net SP)</t>
  </si>
  <si>
    <t>Variable, Short Sale</t>
  </si>
  <si>
    <t>Dave Ricordati</t>
  </si>
  <si>
    <t>(630) 854-7676</t>
  </si>
  <si>
    <t>CC: Pursuant to Short Sale. ANY REDUCTION IN COMMISSION WILL BE SPLIT 50/50 BETWEEN BROKERS.</t>
  </si>
  <si>
    <t>BRENTWOOD CONDOS</t>
  </si>
  <si>
    <t>Grand Avenue just East of York Road</t>
  </si>
  <si>
    <t>1,000 sq. ft. of living space in this 2nd floor condo. Open Floor Plan! Eat-in kitchen &amp; dining room. Spacious bedrooms. Lots of closet space &amp; 2 storage areas. Newer carpeting &amp; pergo floor. Large balcony. Coin laundry just steps away. 1 car space in heated underground parking &amp; plenty of unassigned outdoor parking. Unbelievably convenient location. Shopping across the street. Metra Train &amp; I-355 just minutes away!</t>
  </si>
  <si>
    <t>Coin Laundry, Elevator, Storage, Security Door Locks, Street Lights, Street Paved</t>
  </si>
  <si>
    <t>Underground/Covered</t>
  </si>
  <si>
    <t>6302052452 agizzo@koenigrubloff.com</t>
  </si>
  <si>
    <t>RT53 TO 59TH W,L ON RIVER BEND,SE CORNER OF SUBDIVISION,{ ENTRANCE TO FOUR LAKES}</t>
  </si>
  <si>
    <t>FABULOUS TOWNHOME W/ 3 PRIVATE ENSUITES, YES 3! THIS HOME SHOWS LIKE A MODEL! SUNNY &amp; BRIGHT OPEN FLOOR PLAN W/ HDWD FLRS, FPLC &amp; SS KIT W/42" CABS. 3RD FLR LAUNDRY &amp; GREAT CLOSET SPACE. TASTEFUL DECOR- PAINTED IN 2013 W/ CUSTOM WINDOW TRMTS &amp; LIGHT FIXTURES THRUOUT. PRIVATE LOCATION W/LOTS OF GREEN SPACE-FRONT PORCH &amp; BACK DECK. CLOSE TO SHOPPING, GOLF &amp; XPRESSWAYS. LL BDRM COULD ALSO BE USED AS REC. RM.GREAT PRICE!</t>
  </si>
  <si>
    <t>CALL 800-746-9464 FOR APPT. EASY TO SHOW</t>
  </si>
  <si>
    <t>(708) 246-9900</t>
  </si>
  <si>
    <t>Connie Tomlinson</t>
  </si>
  <si>
    <t>(708) 246-9902</t>
  </si>
  <si>
    <t>SHOWS EXTREMELY WELL! LOWER LEVEL IS PRESENTLY USED AS A BEDROOM WITH ITS OWN BATH-VERY NICE &amp; PRIVATE-CAN EASILY BE A REC RM IF YOU PREFER.</t>
  </si>
  <si>
    <t>Victoria</t>
  </si>
  <si>
    <t>North Aurora</t>
  </si>
  <si>
    <t>SUMMERWIND</t>
  </si>
  <si>
    <t>Randall to Oak, W to Hidden Creek, Victoria East (Left) to Home!</t>
  </si>
  <si>
    <t>NORTH AURORA</t>
  </si>
  <si>
    <t>Total Rehab, ready to live in NOW! Hardwood floors, granite kitchen, new EVERYTHING! Large closets, new appliances, oversized 2 car garage! Upstairs laundry area. Large balcony off kitchen. Only minutes from I-88, shopping and restaurants. THIS WON'T LAST! Hurry!</t>
  </si>
  <si>
    <t>Park/Playground, Curbs/Gutters, Sidewalks, Street Lights</t>
  </si>
  <si>
    <t>Forced Air, Heat Pump</t>
  </si>
  <si>
    <t>Call 877-977-1010 for easy show</t>
  </si>
  <si>
    <t>Katie Podl</t>
  </si>
  <si>
    <t>(847) 560-3474</t>
  </si>
  <si>
    <t>Totally updated!</t>
  </si>
  <si>
    <t>N RT 31 L2 CONCORD R2 WINDSOR R2 HOME</t>
  </si>
  <si>
    <t>UKN</t>
  </si>
  <si>
    <t>Roomy End Unit Condo Overlooks Open Space! Family Room &amp; Dining Room Have Hardwood Floors. Partially Finished Basement Has Living Room. New Carpet Throughout! Large Master With Vaulted Ceilings &amp; Separate Vanity. Lots of Closet Space. Covered Porch. Attached Garage. Close to Downtown South Elgin and Shopping. THIS IS A FANNIE MAE HOMEPATH PROPERTY.</t>
  </si>
  <si>
    <t>22X11</t>
  </si>
  <si>
    <t>Aluminum Siding, Steel Siding</t>
  </si>
  <si>
    <t>CALL 630-608-4777 IF QUESTIONS AFTER SHOWING PROPERTY. *NEW CARPET PLEASE REMOVE SHOES* *PLEASE TURN OFF ALL LIGHTS &amp; LOCK DOORS BEFORE LEAVING* SELLER REQUIRES ALL OFFERS SUBMITTED THRU HOMEPATH.COM.</t>
  </si>
  <si>
    <t>Big Horn</t>
  </si>
  <si>
    <t>Cranberry Lake</t>
  </si>
  <si>
    <t>Washington to Hainesviille Rd South to Big Horn</t>
  </si>
  <si>
    <t>Spacious townhome with great location across from tennis   courts. Raised ranch style home provides for English lower level. 2 big bedrooms and an updated bath. Large kitchen includes all appliances.  Laundry room with washer and dryer.  2 car garage w/agdo and finished walls. Jack and Jill bath. Blinds thruout.. walk in kitchen pantry and oak cabinets.  End unit w/lake and walking path.Short sale. As-is.</t>
  </si>
  <si>
    <t>Common Grounds, Landscaped Professionally, Pond</t>
  </si>
  <si>
    <t>Call L.O. @ 847-367-8686</t>
  </si>
  <si>
    <t>Eric Egeland, e-PRO,SFR</t>
  </si>
  <si>
    <t>(847) 557-8552</t>
  </si>
  <si>
    <t>CC: Pursuant to Short Sale. 100% tax proration.  Sold as is.  Short sale.  Please direct all questions and offers to sunnie@egelandgroup.com or call 847-338-4900.</t>
  </si>
  <si>
    <t>4A</t>
  </si>
  <si>
    <t>WATERGATE EAST</t>
  </si>
  <si>
    <t>Lake Shore Drive exit E 53rd Street, go west one block to Hyde Park Blvd go south to address.</t>
  </si>
  <si>
    <t>LOCATION!! 2BR/2BTH PLUS DEN. ELEGANT DESIGN WITH CONVENIENT STEP DOWN TO THE LIVING/DINING ROOM. THE D/R HAS A SLIDING DOOR LEADING TO A PRIVATE FRONT BALCONY FOR YOUR ENJOYMENT. NEWER WINDOWS. FABULOUS PARQUET FLOORING IS JUST SIMPLY BEAUTIFUL. ALL UNITS  HAS PLENTY OF SHELVES AND DRAWERS ELEVATOR BUILDING WITH FRIENDLY DOORMAN +AN ASSIGNED GARAGE SPACE. METRO,SHOPS,MUSEUM, PARK &amp; SCHOOL ARE NEARBY.</t>
  </si>
  <si>
    <t>8X17</t>
  </si>
  <si>
    <t>Bike Room/Bike Trails, Door Person, Coin Laundry, Elevator, Storage, Curbs/Gutters, Sidewalks, Street Lights, Street Paved</t>
  </si>
  <si>
    <t>Parking, Common Insurance, TV/Cable, Exterior Maintenance, Lawn Care, Scavenger, Snow Removal, Other</t>
  </si>
  <si>
    <t>Concrete</t>
  </si>
  <si>
    <t>2.50% - 350 (on Net SP)</t>
  </si>
  <si>
    <t>call listing agent only. is easy to show.</t>
  </si>
  <si>
    <t>(773) 667-6666</t>
  </si>
  <si>
    <t>Sok EI Chua</t>
  </si>
  <si>
    <t>(773) 320-7064</t>
  </si>
  <si>
    <t>Call 773-320-7064</t>
  </si>
  <si>
    <t>if your client needs a place near public transport,park,museum,shop,restaurant, doorman who provide excellent service,garage,hospitality room, bike storage &amp; a storage4x4  Open floor plan with step /d Living &amp; dinning &amp; tons of closet.   ca</t>
  </si>
  <si>
    <t>ALLSPICE</t>
  </si>
  <si>
    <t>RT 34 TO LONG GROVE SOUTH TO FOX HILL EAST TO ALLSPICE.</t>
  </si>
  <si>
    <t>24 X 120 X 76 X 120</t>
  </si>
  <si>
    <t>. DYNAMITE DUPLEX! NO ASSOCIATION DUES. THIS 2 STORY DUPLEX OFFERS VAULTED CEILINGS, SPACIOUS LIVING AND DINING ROOM, BUILT-IN ENTERTAINMENT CENTER, 1ST FLOOR LAUNDRY ROOM, LARGE MASTER BEDROOM, SLIDING GLASS DOORS TO DECK AND ENORMOUS YARD BACKING TO OPEN AREA, CUL-DE-SAC LOCATION.SOLD AS IS 100% TAX PRO NO SURVEY</t>
  </si>
  <si>
    <t>SELLER ACCEPTED OFFER VERBALLY WAITING FOR SIGNED DOCS</t>
  </si>
  <si>
    <t>Wexford</t>
  </si>
  <si>
    <t>Army Trail West of Gary to Merbach, South to Stonewood to Wexford Court on right</t>
  </si>
  <si>
    <t>2 bedroom end-unit townhouse featuring soaring cathedral ceilings, large open kitchen,new fridge and new carpeting, private balcony off bedroom, in-unit laundry and attached garage. Also for rent $1100 and rent to own.</t>
  </si>
  <si>
    <t>Slate</t>
  </si>
  <si>
    <t>Vinyl Siding, Clad Trim</t>
  </si>
  <si>
    <t>Closing, Negotiable, Prior to Closing</t>
  </si>
  <si>
    <t>Conventional, FHA, VA, Lease/Purchase, Owner May Help/Assist, Rent w/ Option</t>
  </si>
  <si>
    <t>2.5%-$299 (on Net SP)</t>
  </si>
  <si>
    <t>click on showing asst</t>
  </si>
  <si>
    <t>Selective Realty Services Inc</t>
  </si>
  <si>
    <t>(847) 456-4059</t>
  </si>
  <si>
    <t>Farhan Siddique</t>
  </si>
  <si>
    <t>(847) 361-5803</t>
  </si>
  <si>
    <t>FAX 847-600-4056</t>
  </si>
  <si>
    <t>Daisy</t>
  </si>
  <si>
    <t>GARDEN TERRACE</t>
  </si>
  <si>
    <t>LAKE STREET TO GARDEN , NORTH TO DAISY, ON CORNER, RIGHT SIDE OF STREET</t>
  </si>
  <si>
    <t>FANTASTIC!  2 BED &amp; 2 FULL BATH 2ND FLOOR CONDO IN THE GARDEN TERRACE SUBDIVISION! 2 PARKING PLACES INCLUDED!  LAUNDRY IN UNIT! GOURMET KITCHEN W/MAPLE CABINETS W/ UNDER CABINET LIGHTING, GRANITE COUNTERS,GLASS TILE BACK SPLASH,  TILE FLOORS &amp; BALCONY! LIVING ROOM W/BALCONY! EXTRA STORAGE ROOM INCLUDED! NEWER WINDOWS! BASEBOARD HEAT! FRESHLY PAINTED! CARPETS NEWLY CLEANED! DISTRICT # 13 SCHOOLS! A MUST SEE!</t>
  </si>
  <si>
    <t>2.50% (on Gross SP)</t>
  </si>
  <si>
    <t>CALL CSS 1-877-977-1010, EASY SHOW!</t>
  </si>
  <si>
    <t>Jeff Stainer</t>
  </si>
  <si>
    <t>(630) 865-8530</t>
  </si>
  <si>
    <t>READY NOW! QUICK CLOSE POSSIBLE!</t>
  </si>
  <si>
    <t>6N295</t>
  </si>
  <si>
    <t>Whitmore</t>
  </si>
  <si>
    <t>Whitmore Place</t>
  </si>
  <si>
    <t>25 N to Carl Lee to Whitmore. L at the stop sign. 2nd drive on the left. Home on Right -2nd from end</t>
  </si>
  <si>
    <t>Like new 2 bedroom townhome.  Open floor plan with many upgrades.  Stainless Steel Appliances.  Second floor laundry with loft perfect for additional living space, office, etc.  Master bedroom has beautiful vaulted ceilings and the tasteful decor continues.  Walk in Closet in Master Bedroom also.  Master bath has double sinks.  This homes shows impeccably well and is the definition of turn key ready.  Come see it!</t>
  </si>
  <si>
    <t>ANDERSON ELEMENTARY SCHOOL</t>
  </si>
  <si>
    <t>24 hour notice preferred - Use showing assist</t>
  </si>
  <si>
    <t>Katie Skomorowski</t>
  </si>
  <si>
    <t>(630) 723-7999</t>
  </si>
  <si>
    <t>FOX RIDGE</t>
  </si>
  <si>
    <t>RT 12 N OF RT 59 split 2 NEXT FRONTAGE RD E &amp; S to Foxridge E2 home</t>
  </si>
  <si>
    <t>BRIGHTON</t>
  </si>
  <si>
    <t>Views of nature preserve and trails are yours from this gorgeous home with a walk out finished basement! Step into a cherry front foyer w/ceramic tile floors. Kitchen will please w/oversize raised panel oak cabinets &amp; pantry.Living room walks out to a deck overlooking preserve. Master bedroom has great view, volume ceiling, plant shelf and spacious closet! Great location close to Metra station, town and chain o lakes</t>
  </si>
  <si>
    <t>BIG HOLLOW ELEMENTARY SCHOOL</t>
  </si>
  <si>
    <t>EDMOND H TAVEIRNE MIDDLE SCHOOL</t>
  </si>
  <si>
    <t>Common Grounds, Corner, Landscaped Professionally, Wooded</t>
  </si>
  <si>
    <t>TV-Cable, Fire Sprinklers, Ceiling Fan, Sump Pump</t>
  </si>
  <si>
    <t>Call 9847-367-8686 ext 0 notice needed</t>
  </si>
  <si>
    <t>Lynn Fairfield, ABR,CNC,CRS,GRI</t>
  </si>
  <si>
    <t>(847) 557-8542</t>
  </si>
  <si>
    <t>School Bus Service, Commuter Train, None</t>
  </si>
  <si>
    <t>Fresh Paint and clean pristine condition make this a great buy! Move in now and enjoy!</t>
  </si>
  <si>
    <t>K</t>
  </si>
  <si>
    <t>Rare "K" model with spacious kitchen and closets. Fresh paint. New carpeting. New blinds. Neutral dÃ©cor. Bright and sunny. Full size W/D. Additional storage. Amenities-shuttle to trains and shopping~24 hr fit ctr~Cont breakfast. Assessments Include: Gas~Electric~Water~Cable TV~Internet and all amenities. Just minutes walk thru the River Walk to DT Naperville shops and rest.</t>
  </si>
  <si>
    <t>Call Centralized Showings 1.877.977.1010</t>
  </si>
  <si>
    <t>Cell 630-430-7871</t>
  </si>
  <si>
    <t>Garage space 91</t>
  </si>
  <si>
    <t>DENTON</t>
  </si>
  <si>
    <t>Westchester Place</t>
  </si>
  <si>
    <t>31st St East of Wolf to Westminster to 3rd Ashton Court turn right to Denton Court turn left to 2812</t>
  </si>
  <si>
    <t>CARLTON</t>
  </si>
  <si>
    <t>41 X 94</t>
  </si>
  <si>
    <t>PERFECT IN EVERY WAY!  UPDATED  POPULAR CARLTON W/VLTED LIV RM/DIN RM &amp; 2ND LVL LOFT OVERLOOKING LR. 1ST &amp; 2ND FLR BRS &amp; BATHS FOR EASY ONE LVL LIVING/PRIVATE GUEST RM. OAK HW FLRING THROUGHOUT 1ST FLR, OAK TRIM &amp; DOORS, NEW EAT IN KIT W/MAPLE CAB, STONE  COUNTERS &amp; TRAVERTINE BACKSPSH. 2ND FLR W/PLUSH CARPET. 1ST FLR LNDRY &amp; ATT GAR W/NEW DOOR &amp; OPENER, NEW WINDOWS &amp; FURN/AC/WTR HEATER, GREAT LOCATION! MOVE IN NOW!!</t>
  </si>
  <si>
    <t>PROVISO MATHEMATICS AND SCIENCE ACADEMY</t>
  </si>
  <si>
    <t>8X6</t>
  </si>
  <si>
    <t>TV-Cable, Security System, CO Detectors, Ceiling Fan, Sump Pump</t>
  </si>
  <si>
    <t>2.50-$325 (on Net SP)</t>
  </si>
  <si>
    <t>PLEASE USE SHOWING ASSIST - EASY TO SHOW</t>
  </si>
  <si>
    <t>708 846-0409</t>
  </si>
  <si>
    <t>(630) 325-7500</t>
  </si>
  <si>
    <t>Nancy Carrino</t>
  </si>
  <si>
    <t>(708) 846-0409</t>
  </si>
  <si>
    <t>UPDATED CLEAN UNIT IN GREAT LOCATION.  NEW FEATURES, HW FLRS THROUGHOUT 1ST LEVEL, KITCHEN, APPLIANCES, COUNTERS &amp; BACKSPLASH, WINDOWS, SGD, GARAGE DOOR &amp; OPENER, FURNACE/AC &amp; HOT WATER HEATER</t>
  </si>
  <si>
    <t>MARYLAND</t>
  </si>
  <si>
    <t>N/S TO MARQUETTE, E/W TO MARYLAND, SOUTH TO PROPERTY</t>
  </si>
  <si>
    <t>50X115</t>
  </si>
  <si>
    <t>TOP FLOOR CONDO 2 BED 2 BATHS, HUGE WINDOWS, HIGH CEILINGS, PRIVATE DECK, KITCHEN W/GRANITE STAINLESS STEEL APPLIANCES, MASTER BATH, CROWN MOLDING, FIREPLACE, HARDWOOD FLRS, CENTRAL AIR, STORAGE, 1 CAR PARKING INCLUDED. YOU WILL NOT BE DISAPPOINTED!!!</t>
  </si>
  <si>
    <t>2.5-$200.00 (on Gross SP)</t>
  </si>
  <si>
    <t>24 HR NOTICE...EMAIL L/A</t>
  </si>
  <si>
    <t>Universal Holdings &amp; Exclusive Brokerage Inc.</t>
  </si>
  <si>
    <t>(773) 233-6100</t>
  </si>
  <si>
    <t>Chareda Carter</t>
  </si>
  <si>
    <t>24 HR NOTICE ~ TENANT OCCUPIED...</t>
  </si>
  <si>
    <t>Mariner</t>
  </si>
  <si>
    <t>WOODHILLS BAY COLONY</t>
  </si>
  <si>
    <t>RT 12 &amp; GRAND, east to FOREST N TO NORTH AVE. E TO WOODHILLS N.  MARINER</t>
  </si>
  <si>
    <t>Resort Living in this Ranch Townhome on Mineola Bay in Fox Lake. This End Unit offers 2 Bedrooms, 1 and 1/2 baths, Living Room accented with Wood burning Fire Place, Dining Room, Partial Basement has finished Rec Room and Crawl Space for Storage. Private Patio with Brick Fire Pit. PLUS Water Rights, Beach, Outdoor Pool, Tennis Courts, Clubhouse, Boat Slips &amp; Launch....Vacation All Year right at HOME!</t>
  </si>
  <si>
    <t>24X13</t>
  </si>
  <si>
    <t>Boat Dock, Park/Playground, Party Room, Pool-Outdoors, Tennis Court/s, Sidewalks, Street Lights, Street Paved, Other</t>
  </si>
  <si>
    <t>Beach, Chain of Lakes Frontage, Common Grounds, Corner, Cul-de-sac, Water Rights</t>
  </si>
  <si>
    <t>Common Insurance, Clubhouse, Pool, Exterior Maintenance, Lawn Care, Snow Removal, Lake Rights, Other</t>
  </si>
  <si>
    <t>Humidifier, Water-Softener Owned, Ceiling Fan</t>
  </si>
  <si>
    <t>2.4% (on Gross SP)</t>
  </si>
  <si>
    <t>Use Showing Assist or Call Listing Agent 847-344-9447</t>
  </si>
  <si>
    <t>Lynn Haag</t>
  </si>
  <si>
    <t>(847) 344-9447</t>
  </si>
  <si>
    <t>Fast Response &amp; Close. Local Lender owned. 100% tax proration. Seller Addendum to be made part of contract. Sold As-Is.</t>
  </si>
  <si>
    <t>HAINSVILLE RD TO BIG HORN W TO ADD</t>
  </si>
  <si>
    <t>Show Stopper! Look no further! Upgrades galore! Gleaming hardwood floors on mail level! 3 sided Fireplace in Living and dining Rooms! Large kitchen with all new appliances, center island and more room for breakfast table! Family room/flex space in lower level! Master Bedroom with private bath! 2nd bedroom and bonus loft space share full bath! 2 car garage! Immediate occupancy!Close to shopping,parks &amp; transportation!</t>
  </si>
  <si>
    <t>9X19</t>
  </si>
  <si>
    <t>Oven/Range, Microwave, Dishwasher, Refrigerator, Washer</t>
  </si>
  <si>
    <t>See through/Multi Sided, Attached Fireplace Doors/Screen, Gas Logs, Gas Starter</t>
  </si>
  <si>
    <t>Showing time 800-746-9464</t>
  </si>
  <si>
    <t>Amy Kite, ABR,CRS,e-PRO,SRES,TRC</t>
  </si>
  <si>
    <t>(847) 877-9881</t>
  </si>
  <si>
    <t>847-877-9881</t>
  </si>
  <si>
    <t>RENT CAP 24 Units - Currently filled.   Please use 6.0  contract for all offers.</t>
  </si>
  <si>
    <t>RT 21 TO HEATHER RIDGE TO LEONARD LEFT TO VOSE TO 920</t>
  </si>
  <si>
    <t>ELM</t>
  </si>
  <si>
    <t>FHA Financing is Fine! This move-in ready clean &amp; neutral 2 bedroom 2 bath 4th floor Elm model condo features a large balcony with a beautiful view of the HeatherRidge complex. Remodeled kitchen. Berber carpet throughout. Underground parking. Clubhouse &amp; swimming pool just steps away. Complex features 24 hour on-site security, golf course, tennis courts, and more. An exceptional value--see this terrific condo today!</t>
  </si>
  <si>
    <t>Disclosures on ConnectMLS. Condo building on FHA approved list. For investors, rentals are restricted. Taxes do not reflect homeowner exemption.</t>
  </si>
  <si>
    <t>Olcott</t>
  </si>
  <si>
    <t>Harwood Heights</t>
  </si>
  <si>
    <t>North of Lawrence West of Harlem Ave</t>
  </si>
  <si>
    <t>HARWOOD HEIGHTS</t>
  </si>
  <si>
    <t>Spacious 2 bedroom/2 bath unit within the Clock Tower Pointe Complex! Kitchen has 42" cabinets, granite countertops/backsplash, huge breakfast bar, &amp; stainless steel appliances!! Master bedroom has master bath with Jacuzzi tub along with 3 large closets!! Gorgeous hardwood floors throughout!! In unit laundry!!! Balcony with beautiful views of the area! Underground heated parking!!</t>
  </si>
  <si>
    <t>12X6</t>
  </si>
  <si>
    <t>Common Grounds, Corner, Landscaped Professionally</t>
  </si>
  <si>
    <t>Heat, Water, Gas, Parking, Common Insurance, Security, Exercise Facilities, Exterior Maintenance, Lawn Care, Scavenger, Snow Removal</t>
  </si>
  <si>
    <t>TV-Dish, Fire Sprinklers, CO Detectors, Ceiling Fan</t>
  </si>
  <si>
    <t>2.0%-$200 (on Net SP)</t>
  </si>
  <si>
    <t>Call listing office or use showing solutions. Notice required.</t>
  </si>
  <si>
    <t>WALNUT</t>
  </si>
  <si>
    <t>24C</t>
  </si>
  <si>
    <t>MAPLE TO WALNUT N TO 3RD DRIVEWAY</t>
  </si>
  <si>
    <t>DUCHESS</t>
  </si>
  <si>
    <t>A RARE DUCHESS (END UNIT) WITH A GARAGE IN AN OVER 55+ COMMUNITY...FRESHLY PAINTED...NEW CARPET, NEWER WINDOWS &amp; SLG.DOOR...OVERLOOKS TREES &amp; GRASSY AREA...NEUTRAL DECOR READY TO MOVE INTO. THE STORAGE AND LAUNDRY ROOM ARE JUST DOWN THE HALL...IF YOU'RE LOOKING FOR THINGS TO DO THERE'S A CARD, EXERCISE &amp; LIBRARY ROOM OR JUST SIT BY THE FIREPLACE WITH YOUR FRIENDS &amp; RELAX. GARAGE #64 &amp; PLENTY OF EXTRA PARKING.....</t>
  </si>
  <si>
    <t>Coin Laundry, Elevator, Exercise Room, Storage, Party Room, Security Door Locks, Street Lights, Street Paved</t>
  </si>
  <si>
    <t>Water, Parking, Common Insurance, Security System, Exercise Facilities, Exterior Maintenance, Lawn Care, Scavenger, Snow Removal</t>
  </si>
  <si>
    <t>TV-Cable, TV Antenna, Ceiling Fan</t>
  </si>
  <si>
    <t>Unassigned, Visitor Parking</t>
  </si>
  <si>
    <t>CALL ED FOR LOCKBOX CODE 630-640-2208</t>
  </si>
  <si>
    <t>Ed Chapman</t>
  </si>
  <si>
    <t>THIS IS A 55+ BUILDING WITH NO PETS...MANY NEWS INCLUDING CARPET,PAINT, BATHROOM FIXTURES...NEWER WINDOWS &amp; SLIDERS...VACANT WITH QUICK CLOSE...</t>
  </si>
  <si>
    <t>WILLOW POINTE</t>
  </si>
  <si>
    <t>Roosevelt to Ardmore North 1/2 block to drive on West side of street.</t>
  </si>
  <si>
    <t>YALE</t>
  </si>
  <si>
    <t>Welcome to this open floor plan with Sunny Southern Exposure!  Freshly painted and truly move in ready. Over 1600 sq.ft.  + 140sq.ft. balcony. Formal living and dining rooms. 2 BR, 2BA  Master suite w/ large walk in closet. Spacious eat in kitchen with a breakfast bar too!  Building has an indoor pool,  hot tub,  fitness center, party room, heated garage and each unit has its own oversized prvt storage!  WOW!</t>
  </si>
  <si>
    <t>22X15</t>
  </si>
  <si>
    <t>24X6</t>
  </si>
  <si>
    <t>Elevator, Exercise Room, Storage, On Site Manager/Engineer, Sidewalks, Street Lights, Street Paved</t>
  </si>
  <si>
    <t>Water, Parking, Common Insurance, Clubhouse, Exercise Facilities, Pool, Exterior Maintenance, Lawn Care, Scavenger, Snow Removal, Other</t>
  </si>
  <si>
    <t>Call or Text LA then show!</t>
  </si>
  <si>
    <t>Truly Move in Ready!</t>
  </si>
  <si>
    <t>Stoughton</t>
  </si>
  <si>
    <t>Park Avenue</t>
  </si>
  <si>
    <t>Route 59 to New York Street west to Stoughton Circle (right after entrance) to home</t>
  </si>
  <si>
    <t>CHARLESTON</t>
  </si>
  <si>
    <t>Rare find w/ finished basement w/bedroom &amp; full bath plus a 2 car garage!  Kitchen w/HUGE walk-in pantry, backsplash &amp; breakfast bar.  Eating area w/ slider to patio.  2 story living room w/ lots of natural light.  Upstairs laundry.  Master suite w/vaulted ceiling &amp; 2 walk in closets &amp; private bath. Upstairs laundry room.   Award winning district 204 schools.  Close to Metra, highways, shopping &amp; entertainment.</t>
  </si>
  <si>
    <t>STECK ELEMENTARY SCHOOL</t>
  </si>
  <si>
    <t>Finished, Partially Finished</t>
  </si>
  <si>
    <t>Eating Area-Breakfast Bar, Galley, Pantry-Walk-in</t>
  </si>
  <si>
    <t>Condo, Townhouse-2 Story, Townhouse 3+ Stories</t>
  </si>
  <si>
    <t>Julie Tobolski, CSC</t>
  </si>
  <si>
    <t>630-699-6340</t>
  </si>
  <si>
    <t>Easy to show.  Some notice appreciated.</t>
  </si>
  <si>
    <t>11S454</t>
  </si>
  <si>
    <t>EMERALD RIDGE</t>
  </si>
  <si>
    <t>Route 83 to Bluff Road turn west to rachael</t>
  </si>
  <si>
    <t>TOPAZ</t>
  </si>
  <si>
    <t>Best buy for this beautiful large corner unit southern exposure.Lower level has large family room +1/2 bath.HDWD flooring on the entire 1st &amp; 2nd floor include stairs, nice separate eating area open to balcony. Huge master bedroom w/2 closets, one walk-in, double sink w/jacuzzi, separate shower.Bright loft area for office.Newer doors, trim all painted in lovely colors. Long 2 car garage.Owner will look at all offers.</t>
  </si>
  <si>
    <t>20X25</t>
  </si>
  <si>
    <t>Condo, Townhouse-TriLevel</t>
  </si>
  <si>
    <t>Ynes Kalache</t>
  </si>
  <si>
    <t>(630) 964-4059</t>
  </si>
  <si>
    <t>This home shows great-Don't miss it! Buyers agent must accompany all showings</t>
  </si>
  <si>
    <t>L</t>
  </si>
  <si>
    <t>Rt 47 to Galena Rd E to Rosenwinkel N to Bertram W Take 1st entrance on Bertram into condos go left</t>
  </si>
  <si>
    <t>Multiple offer deadline has ended! Very nice end unit, 2 bedrms &amp; 2 baths. Kitchen, dining room &amp; living room are an open concept. New carpet &amp; paint! Bristol Bay community has a club house, pool &amp; park. Great location, easy access to I-88 for commuting. 1 Car detached garage &amp; laundry hook up. Conventional &amp; cash offers only. This is a Fannie Mae HomePath property. Property sold as-is no personal property included</t>
  </si>
  <si>
    <t>Exercise Room, Park/Playground, Pool-Outdoors, Sidewalks, Street Lights, Street Paved</t>
  </si>
  <si>
    <t>Water, Parking, Common Insurance, Clubhouse, Exercise Facilities, Pool, Exterior Maintenance, Lawn Care, Scavenger, Snow Removal</t>
  </si>
  <si>
    <t>Call centralized showings 877-977-1010</t>
  </si>
  <si>
    <t>Sandra Ledesma</t>
  </si>
  <si>
    <t>(815) 970-0985</t>
  </si>
  <si>
    <t>815-970-0985</t>
  </si>
  <si>
    <t>ALL OFFERS MUST BE SUBMITTED USING HOMEPATH ONLINE OFFER SYSTEM- SEE WWW.HOMEPATH.COM. PAPERWORK FOUND IN ADDTL INFO TO SUBMIT OFFER.</t>
  </si>
  <si>
    <t>Old Barn</t>
  </si>
  <si>
    <t>276-B</t>
  </si>
  <si>
    <t>Barrington</t>
  </si>
  <si>
    <t>RT 59 NORTH OF MILLER TO LAKE BARRINGTON SHORES TO GATE</t>
  </si>
  <si>
    <t>BANCROFT</t>
  </si>
  <si>
    <t>Enjoy Lake Barrington Shores and everything it has to offer in this upgraded 2 bedroom 2 bath unit with water views in a beautiful setting. Updated kitchen and baths, large cedar-lined closet, washer and dryer in unit. Easy in and out of the subdivision. Newly painted and brand new carpet throughout!</t>
  </si>
  <si>
    <t>Pool-Outdoors, Gated Entry, Street Lights, Street Paved</t>
  </si>
  <si>
    <t>Water, Common Insurance, Security, TV/Cable, Clubhouse, Exercise Facilities, Pool, Exterior Maintenance, Lawn Care, Scavenger, Snow Removal, Lake Rights</t>
  </si>
  <si>
    <t>2.5%-$175 (on Net SP)</t>
  </si>
  <si>
    <t>email assistant@propertyup.com or call 847-847-4711</t>
  </si>
  <si>
    <t>Property Up Inc.</t>
  </si>
  <si>
    <t>(847) 847-4711</t>
  </si>
  <si>
    <t>John Herman</t>
  </si>
  <si>
    <t>cable, water, landscape, snow removal, gym, indoor, outdoor pools, lake, boat usage, tennis, paddle tennis, basketball, discount golf membership, 24 hour security OFFERS submitted here: https://my.brokermint.com/offers/50a6ed20ab/new</t>
  </si>
  <si>
    <t>THE KNOLLS</t>
  </si>
  <si>
    <t>RTE 83 JUST NORTH OF 63RD TO ENTRANCE EAST TO KNOLLWOOD</t>
  </si>
  <si>
    <t>EXCEPTIONAL VALUE. TOTALLY REMODELED BEAUTIFUL KIT W/ GORGEOUS CABINETRY, GRANITE, TILE FLR &amp; SS APPL. LIV RM W/ FIREPLACE &amp; PRIV BALCONY. MASTER W/ FULL BATH. NEW VANITY, GRANITE, SINK, TOILET, FAUCETS &amp; TILE FLR. LG WALK IN CLOS. 2ND BED W/2 CLOS. NEW HALL BATH.  NEW LIGHTING &amp; NEUTRAL CARPET. QUIET LOCATION. 2 POOLS &amp; TENNIS COURTS. COMMUTER BUS TO TRAIN. CLOSE TO XPRESSWAYS. HINSDALE CENTRAL HS.</t>
  </si>
  <si>
    <t>Coin Laundry, Exercise Room, Storage, On Site Manager/Engineer, Party Room, Pool-Outdoors, Tennis Court/s, Curbs/Gutters, Street Lights</t>
  </si>
  <si>
    <t>PLEASE CALL CENTRALIZED SHOWING SERVICE 877-977-1010</t>
  </si>
  <si>
    <t>Kim Lotka</t>
  </si>
  <si>
    <t>(630) 533-8800</t>
  </si>
  <si>
    <t>JIM@KIMLOTKA.COM 630-776-2354</t>
  </si>
  <si>
    <t>PLEASE CALL CENTRALIZED SHOWINGS FOR APPOINTMENTS 877-977-1010. ALL BUYERS AGENTS MUST ACCOMPANY SHOWINGS. IF YOU HAVE ANY QUESTIONS PLEASE CALL JIM LOTKA 630-776-2354</t>
  </si>
  <si>
    <t>Oakwood</t>
  </si>
  <si>
    <t>53 north of Hobson to four lakes drive west to oakwood right  to 5900</t>
  </si>
  <si>
    <t>Wonderful Lisle Location! Spacious, 2 Bed, 1.5 Bath, Prime Unit W/Panoramic Forest Views. Custom Touches.Impressive Brick Wall in Living Rm,Plus Lrg Balcony. Resort Like Comm W/Pool, ClbHse,Skiing.Fannie Mae Homepath Property.All MLS/Homepath Details Are Estimated &amp; Not Guaranteed. Buyer Must Verify All Details</t>
  </si>
  <si>
    <t>all 1-877-977-1010 For  Showing Instructions.  Remax office does NOT  have Showing  Instructions.</t>
  </si>
  <si>
    <t>Laurie Kaiser</t>
  </si>
  <si>
    <t>(708) 415-1960</t>
  </si>
  <si>
    <t>All MLS details are Estimated&amp;buyer Responsibility To Verify.SellerDoesNotPayForSurvey.Seller Requires all Offers Be Submitted on HomePath Website. Offer Instructs &amp; Docs Should be downloaded from MLS.Any HOA ?'s should be asked to HOA.</t>
  </si>
  <si>
    <t>Club</t>
  </si>
  <si>
    <t>Schmale N of North Ave. to Golfview E to Club Dr N</t>
  </si>
  <si>
    <t>Newly Vacant!!!  Unit is move in ready with an open floor plan, neutral decor, hw flooring on main level &amp; a kitchen equipped with SS applâ€™s. LR features stone fireplace and sliding doors open to a patio overlooking a private courtyard. The 2nd level includes 2 spacious bedrooms, 2 full baths and loft. Built-in book shelve in loft is unique to this unit providing additional storage. Attached 2 car garage.</t>
  </si>
  <si>
    <t>AMERICANA INTERMEDIATE SCHOOL</t>
  </si>
  <si>
    <t>Golf Course, Pool-Outdoors, Restaurant, Curbs/Gutters, Sidewalks, Street Lights, Street Paved</t>
  </si>
  <si>
    <t>Use showing assist or call showing desk at 855-746-9100.   VACANT</t>
  </si>
  <si>
    <t>(815) 556-3333</t>
  </si>
  <si>
    <t>Laith Kubba, SFR</t>
  </si>
  <si>
    <t>(312) 371-2383</t>
  </si>
  <si>
    <t>Regular  sale!!</t>
  </si>
  <si>
    <t>Prescott Woods</t>
  </si>
  <si>
    <t>Ogden Avenue to Prescott Ct (North) into Prescott Woods. Building is on West side facing the woods.</t>
  </si>
  <si>
    <t>Fabulous totally updated town home in desirable Prescott Woods in North Naperville. Professionally decorated high end updates with brand new HW floors, new stair runner, new brushed nickel lighting &amp; door HW, updated baths w/ granite countertops &amp; new fixtures. Beautiful eat-in kitchen with granite, high end SS appliances &amp; breakfast bar. DR has 3 sided gas fireplace. FR has bar &amp; entry to patio.  Dist. 203 Schools!</t>
  </si>
  <si>
    <t>Oven-Double, Oven/Range, Microwave, Dishwasher, Refrigerator, High End Refrigerator, Refrigerator-Bar, Washer, Dryer, Disposal, All Stainless Steel Kitchen Appliances</t>
  </si>
  <si>
    <t>Common Grounds, Cul-de-sac, Forest Preserve Adjacent, Landscaped Professionally, Wooded</t>
  </si>
  <si>
    <t>TV-Cable, Security System, Fire Sprinklers, CO Detectors, Ceiling Fan</t>
  </si>
  <si>
    <t>2.5%-$200.00 (on Net SP)</t>
  </si>
  <si>
    <t>Call Listing Agent for information. (630-886-6195)</t>
  </si>
  <si>
    <t>Steve Hequembourg</t>
  </si>
  <si>
    <t>(630) 886-6105</t>
  </si>
  <si>
    <t>This home is immaculate &amp; totally move-in ready. Owner is a professional interior designer. Many great features that are too numerous to mention. Peaceful, private location with wonderful view of wooded area.  No sign on home.</t>
  </si>
  <si>
    <t>MARION</t>
  </si>
  <si>
    <t>TIFFANY PLACE</t>
  </si>
  <si>
    <t>Schaumburg Rd to Oltendorf then North to Marion</t>
  </si>
  <si>
    <t>50X100</t>
  </si>
  <si>
    <t>Outstanding 2 bedroom 1.1 bath two story unit that features an open layout, 1 car garage, private patio, new carpet and has been freshly painted throughout. Just minutes from public transportation, expressways and shopping. TAXES 100%, This is a homepath property please submit through homepath website  BUYER IS RESPONSIBLE FOR PREVIOUS 6 MONTHS HOA FEES</t>
  </si>
  <si>
    <t>13X7</t>
  </si>
  <si>
    <t>11X6</t>
  </si>
  <si>
    <t>please call the showing desk at 888.362.3222 or LO after hours, thanks.</t>
  </si>
  <si>
    <t>TAXES 100%, This is a homepath property please submit through homepath.com  BUYER IS RESPONSIBLE FOR PREVIOUS 6 MONTHS HOA FEES</t>
  </si>
  <si>
    <t>Richard</t>
  </si>
  <si>
    <t>INDIAN TRAIL W TO N. ELMWOOD DRIVE, SOUTH TO ROBERTS, NORTH ON MORTON, EAST ON RICH (NO SIGN)</t>
  </si>
  <si>
    <t>ADORABLE TOWNHOME IN MOVE IN CONDITION! LIGHT &amp; BRIGHT LR W/CARPET, LARGE ENTRY, NEWER WINDOWS. SPACIOUS EAT-IN KIT W/PLENTY OF WHITE CABINETS, CT FL, &amp; ALL APPL INCLUDING WASHER/DRYER. 2 NICE SIZED BR'S ON SECOND FL &amp; UPDATED BATH. FRESHLY PAINTED &amp; READY TO GO. POWDER ROOM ON 1ST FL. DEEDED GARAGE ($35.44 TAXES). WHY RENT WHEN YOU CAN OWN FOR SO MUCH LESS? CLOSE TO EXPRESSWAYS/SHOPPING. NO EXEMPTIONS ON TAXES.</t>
  </si>
  <si>
    <t>CALL 1-877-977-1010; SHORT NOTICE OK</t>
  </si>
  <si>
    <t>Wezeman</t>
  </si>
  <si>
    <t>Myslicki Real Estate</t>
  </si>
  <si>
    <t>(708) 354-4978</t>
  </si>
  <si>
    <t>Debra Myslicki, CNC</t>
  </si>
  <si>
    <t>Debi 708.574.5599</t>
  </si>
  <si>
    <t>NOT A SHORT SALE OR FORECLOSURE.  VERY NICE UNIT - NEUTRAL AND MOVE IN CONDITION. QUICK CLOSE POSSIBLE.</t>
  </si>
  <si>
    <t>Frontenac</t>
  </si>
  <si>
    <t>EMERALD SHORES</t>
  </si>
  <si>
    <t>McCoy W of Rt 59 to Frontenac Left (south) to 2nd street Left on Frontenac Ct.</t>
  </si>
  <si>
    <t>2 STORY - CELTIC</t>
  </si>
  <si>
    <t>NO</t>
  </si>
  <si>
    <t>Just move in!  NEW Kitchen with Granite &amp; Stainless Appli- NEW Bathrooms with Granite, NEW lighting fixtures -NEW Hardwood flooring &amp; carpet.  Fireplace is focal point of Liv Rm.  Space galore, Vaulted ceilings with 2nd Fl Loft and 5 X 11 Balcony redone with Trek flooring. Quiet location with large yard, neighbors are single family homes, close to Mall, Rt 59 Train and shopping. CALL to see</t>
  </si>
  <si>
    <t>11X5</t>
  </si>
  <si>
    <t>Parking, Common Insurance, Exterior Maintenance, Lawn Care, Snow Removal, Internet Access</t>
  </si>
  <si>
    <t>Balcony, Breakfast Room, Loft, Walk In Closet</t>
  </si>
  <si>
    <t>Off Street, Visitor Parking, Driveway</t>
  </si>
  <si>
    <t>2.5% - $120 (ON GROSS SP) (on Gross SP)</t>
  </si>
  <si>
    <t>Please click on showing assist.  Young family has small toddler so time to pick up toys is necessary</t>
  </si>
  <si>
    <t>Donna Skrypek, GRI</t>
  </si>
  <si>
    <t>(630) 212-4663</t>
  </si>
  <si>
    <t>Sellers are ready to move, bring offers.   Show with confidence, nicely updated with granite</t>
  </si>
  <si>
    <t>Hannah</t>
  </si>
  <si>
    <t>Carillon at Cambridge Lakes</t>
  </si>
  <si>
    <t>Rt 72 E of Rt 47 to Reinking Rd N to 1920 Andrew Blvd to Sales Center</t>
  </si>
  <si>
    <t>TH BUILDING 90X132</t>
  </si>
  <si>
    <t>Gorgeous ranch townhome is ready to call your own! Enjoy a relaxing evening on the patio or entertain in your large kitchen and great room! The gourmet kitchen features a breakfast bar with quartz countertops, custom cabinets, Stainless Steel GE appliances, beautiful wood floors throughout. Just a short walk to the 18,000 sq. ft. clubhouse with indoor &amp; outdoor pools, jacuzzi, fitness center &amp; so much more.</t>
  </si>
  <si>
    <t>Exercise Room, Golf Course, Pool-Indoors, Pool-Outdoors, Tennis Court/s, Whirlpool, Sidewalks, Street Lights</t>
  </si>
  <si>
    <t>Clubhouse, Exercise Facilities, Pool, Lawn Care, Snow Removal</t>
  </si>
  <si>
    <t>Quad-Ranch</t>
  </si>
  <si>
    <t>Please contact Michele or Gabrielle at 847-984-4872 to schedule an appointment</t>
  </si>
  <si>
    <t>Agent must accompany client on initial visit to qualify for compensation. Please call the Sales office at 847-984-4872. Hours Daily 10-5, Sunday 11-5, Monday 1-5 "Ask about builders lender DHI Mortgage financing rewards</t>
  </si>
  <si>
    <t>Victorian Park</t>
  </si>
  <si>
    <t>Schaumburg Rd W of Barrington Rd to Park Blvd N to Victoria Ln</t>
  </si>
  <si>
    <t>Beautiful 2 bedrooms condo unit with a single car attached garage. Laundry room within the unit. Bright kitchen! Balcony with nice views! Unit is aprrox 880 sq.ft. Property located in great neighborhood with parks and schools near by! See it today! Highest and best deadline 12/15 at 9:00 AM. Submit disclosure with offer. Not FHA approved. Rentals allowed. Buyer to be prepared to follow IL condo act statute.</t>
  </si>
  <si>
    <t>Streamwood High School</t>
  </si>
  <si>
    <t>Water, Lawn Care, Scavenger, Snow Removal</t>
  </si>
  <si>
    <t>Dustin Mayes</t>
  </si>
  <si>
    <t>H&amp;B due 12/15 @ 9AM. Property is lender owned, is being sold as-is, and U.S. Bank is making no representation or warranties. To submit an offer, please, copy and paste this link: http://www.callzteam.net/property_n/63_N_VICTORIA_LANE_UNIT_D</t>
  </si>
  <si>
    <t>WOODLAKE</t>
  </si>
  <si>
    <t>SPINNAKER COVE</t>
  </si>
  <si>
    <t>ARMY TRAIL WEST OF COUNTY FARM TO WOODLAKE, SOUTH TO UNIT ON LEFT</t>
  </si>
  <si>
    <t>40X96</t>
  </si>
  <si>
    <t>An end unit TH. Just finished a total upscale remodel. All new open concept kitchen. New cabinets, SS appliances, granite. NO UPSTAIRS NEIGHBORS. Designer lighting throughout. A first floor master and full bath. Main level has all new porcelain tile floors. 2nd bedroom is an open loft w half bath, closet &amp; office area. New fans, Baths remodeled. In unit laundry, attached garage. Newer windows &amp; sliding door.</t>
  </si>
  <si>
    <t>Townhouse-Ranch, Townhouse-2 Story</t>
  </si>
  <si>
    <t>Conventional, FHA, Lease/Purchase, Rent w/ Option</t>
  </si>
  <si>
    <t>USE SHOWING ASSIST,</t>
  </si>
  <si>
    <t>Felix Mozockie</t>
  </si>
  <si>
    <t>Pre approved. or POF only. Quick close possible. Second bedroom is open loft area. Extra Storage area over garage and through loft access hatch.</t>
  </si>
  <si>
    <t>Lot # 0605 Church</t>
  </si>
  <si>
    <t>SAVANNAH CROSSING</t>
  </si>
  <si>
    <t>Butterfield Rd West, Past Farnsworth/Kirk to Church Road and turn North (right), continue 2 Models</t>
  </si>
  <si>
    <t>AINSLIE-A</t>
  </si>
  <si>
    <t>Exciting "Savannah Crossing" By M/I Homes Of Chicago Spacious Grt Rm w/9' Ft Ceilings on Main Level! Kit Ftrs Brkf Bay, Volume Ceiling Master Bedroom Ftrs Pvt Bth w/Dble Bowl Vanity! Upper Hall w/Tech Room &amp; 2nd Bath! Stained Rails + Spindles!  30 Yr. Transferable Builder Warranty! Photos Are Of A MODEL Home!  Awesome Batavia Dist 101 Schools! Ready Spring 2015 Still Time to Make Selection</t>
  </si>
  <si>
    <t>J B NELSON ELEMENTARY SCHOOL</t>
  </si>
  <si>
    <t>SAM ROTOLO MIDDLE SCHOOL  OF BATAVIA</t>
  </si>
  <si>
    <t>BATAVIA SR HIGH SCHOOL</t>
  </si>
  <si>
    <t>13X27</t>
  </si>
  <si>
    <t>06X06</t>
  </si>
  <si>
    <t>Breakfast Room, Great Room, Utility Room-2nd Floor, Other</t>
  </si>
  <si>
    <t>3% - $200 ON BASE PRICE (on Net SP)</t>
  </si>
  <si>
    <t>Please Call Sue Avicola 847-323-1897 or use Showing Assist</t>
  </si>
  <si>
    <t>847-323-1897</t>
  </si>
  <si>
    <t>Agent Must Accompany Buyers on 1st Visit Please Register Your Clients with Sue Avicola Call Her Cell 847-323-1897 Commission is Paid on Base Price. Contract Written On Builders Form</t>
  </si>
  <si>
    <t>Merrion</t>
  </si>
  <si>
    <t>9700 and merrion then south</t>
  </si>
  <si>
    <t>20X99</t>
  </si>
  <si>
    <t>BRICK SINGLE FAMILY TOWNHOME FOR SALE AT A DISCOUNTED PRICE.  THIS HOME NEEDS A LOT OF WORK BUT IS PRICED TO SELL. SELLER IS OFFERING IT AS-IS, WITH NO INSPECTION CONTINGENCY.  WE ASK YOU INSPECT PRIOR TO MAKING AN OFFER. NOT BANK OWNED OR A FORECLOSURE, SELLER DOES NOT PLAN TO CLEAN OUT THE UNIT, SEE PHOTOS.  SHOW AT OWN RISK.  NO SURVEY ISSUED BY SELLER CASH DEALS ONLY</t>
  </si>
  <si>
    <t>The Chicagoland RE Auction Co.</t>
  </si>
  <si>
    <t>(312) 334-1307</t>
  </si>
  <si>
    <t>Timothy Gray</t>
  </si>
  <si>
    <t>no survey, no clean out make your best offer and lets sell this</t>
  </si>
  <si>
    <t>Oak Hill</t>
  </si>
  <si>
    <t>RT 59 North of Miller to LBS gate entrance</t>
  </si>
  <si>
    <t>Updated large ranch model with full finished basement combines for over 3000 sf of living space. Possible 3rd and 4th bedrooms in lower level. Golf course fairway views. Enjoy all the LBS amenities. See addl. info for specific rules</t>
  </si>
  <si>
    <t>Bike Room/Bike Trails, Boat Dock, Exercise Room, Golf Course, On Site Manager/Engineer, Pool-Indoors, Restaurant, Tennis Court/s, Curbs/Gutters, Gated Entry, Street Lights, Street Paved</t>
  </si>
  <si>
    <t>Separate, L-shaped</t>
  </si>
  <si>
    <t>Parking, Common Insurance, Security, TV/Cable, Clubhouse, Pool, Exterior Maintenance, Lawn Care, Snow Removal</t>
  </si>
  <si>
    <t>(847) 639-2000</t>
  </si>
  <si>
    <t>John Trandel, SFR</t>
  </si>
  <si>
    <t>(847) 650-1552</t>
  </si>
  <si>
    <t>847-650-1552</t>
  </si>
  <si>
    <t>Elizabeth</t>
  </si>
  <si>
    <t>17-A-R</t>
  </si>
  <si>
    <t>Addison Rd south of Irving or north of Lake. To Elizabeth</t>
  </si>
  <si>
    <t>BALMORAL</t>
  </si>
  <si>
    <t>Bright &amp; Crisp ground-level unit overlooking lush greens &amp; golf course in sought after Elizabeth Park. All appliances are stainless steel. Eat-in kitchen, formal dining area w/Swarovski chandelier, master bedroom w/ private bath &amp; huge walk-in closet. New bathroom vanities w/ granite. Newer front loading washer &amp; dryer come with unit! Freshly painted &amp; very well maintained. Largest garage in building! Move right in!!</t>
  </si>
  <si>
    <t>Common Grounds, Golf Course Lot</t>
  </si>
  <si>
    <t>Condo, Manor Home/Coach House/Villa, Quad-Ranch</t>
  </si>
  <si>
    <t>Call Showing Time 855-746-9093 1 hour notice please.</t>
  </si>
  <si>
    <t>Tom Gancer, ABR,CSC,GRI,SFR</t>
  </si>
  <si>
    <t>(630) 943-2212</t>
  </si>
  <si>
    <t>630-430-5162</t>
  </si>
  <si>
    <t>Princeton</t>
  </si>
  <si>
    <t>BRIARCLIFFE KNOLLS</t>
  </si>
  <si>
    <t>Start at President St, W on Farnham Ln, N on Johnstown Ct, R on Princeton Ct, first building on left</t>
  </si>
  <si>
    <t>Why Rent When You Can Own? Sun-Drenched 1st Floor Unit Available in Desirable Briarcliffe Knolls. Updated Kitchen with Open Living Room with 2 Large Bedrooms and Full Bathroom.  Laundry in Unit.  Steps to Lincoln Park and Lincoln Elementary.  All Major Mechanicals Updated Recently. Have an Attached Garage. Investors Looking For Income, One of the Last Assoc That Allow You to Rent Out Unit. This One Won't Last!!</t>
  </si>
  <si>
    <t>Storage, Curbs/Gutters, Street Lights, Street Paved</t>
  </si>
  <si>
    <t>Use Showing Assist or Call Showing Desk 855-746-9100</t>
  </si>
  <si>
    <t>Caitlin Spencer</t>
  </si>
  <si>
    <t>(630) 942-6907</t>
  </si>
  <si>
    <t>Buyer Financing Fell Through Twice.  Condo Appraised Out and Passed Inspection Twice.  Please Only Bring Ready, Willing, &amp; Able Buyers Who are Pre-Approved.  Submit Pre-Approval With Offer.  Not FHA Approved.  Thank You.</t>
  </si>
  <si>
    <t>Wesley</t>
  </si>
  <si>
    <t>Main St. to Wesley, West to Townhome. Parking in Front. Just east of West St.</t>
  </si>
  <si>
    <t>Stunning TH in the heart of Wheaton. Easy walk to train, shops and restaurants. Freshly painted with lots of HW floors Beautifully appointed kitchen with laundry adjacent. Balcony perfect for grilling. Plantation shutters enhance most windows.  FP w/gas logs. Master w/2 large closets, room for king size bed and bath w/double sinks, whirlpool tub and separate shower. Room to park 2nd car in front of Garage.</t>
  </si>
  <si>
    <t>LONGFELLOW ELEMENTARY SCHOOL</t>
  </si>
  <si>
    <t>FRANKLIN MIDDLE SCHOOL</t>
  </si>
  <si>
    <t>WHEATON NORTH HIGH SCHOOL</t>
  </si>
  <si>
    <t>Call 855-746-9100 for appt.</t>
  </si>
  <si>
    <t>Barbara Mashburn, CSC</t>
  </si>
  <si>
    <t>(630) 240-2478</t>
  </si>
  <si>
    <t>Golfview</t>
  </si>
  <si>
    <t>Glendale Lakes</t>
  </si>
  <si>
    <t>24 W to north Schmale to Golfiew</t>
  </si>
  <si>
    <t>BACKING TO THE GOLF COURSE. MOVE RIGHT INTO THIS SPACIOUS TOWNHOME. 2 BDRM, 2.5 BATHS W/ 1 CAR ATTACHED GARAGE. VAULTED CEILINGS IN THE MASTER. SLIDING GLASS DOORS LEADING TO THE PATIO. IN UNIT LAUNDRY. EAT IN KITCHEN W/BREAKFAST COUNTER. SOLD "AS IS" NO CREDITS/REPAIRS WILL BE MADE. TAXES 100%</t>
  </si>
  <si>
    <t>Pool, Exterior Maintenance</t>
  </si>
  <si>
    <t>PLEASE SEE SHOWING ASSIST</t>
  </si>
  <si>
    <t>Gail Manion, CSC</t>
  </si>
  <si>
    <t>(630) 885-1998</t>
  </si>
  <si>
    <t>gail.manion@carringtonres.com</t>
  </si>
  <si>
    <t>Please upload your 6.0 contract at www.CarringtonOffers.com</t>
  </si>
  <si>
    <t>JOHNSON</t>
  </si>
  <si>
    <t>CHESTERFIELD</t>
  </si>
  <si>
    <t>Butterfield Rd, S/Mitchell, W/Stuart, N/Johnson Ct</t>
  </si>
  <si>
    <t>IMPRESSIVE end unit!  Open and airy loft feel!  Lots of "NEWER" updates in this home!  Windows &amp; furnace 2014! H20 Heater 2013! Stainless Steel kit appliances, flooring and upright washer and dryer 2008!  Everything is on the MAIN floor making this home easy living!  Centrally located to all major interstates, parks and shopping!  2C garage!  Lots of storage!  Quiet area!  Wow, low taxes!</t>
  </si>
  <si>
    <t>Condo-Loft</t>
  </si>
  <si>
    <t>Use Show Assist!  Easy to show.</t>
  </si>
  <si>
    <t>Tammy Sartain</t>
  </si>
  <si>
    <t>(630) 774-5317</t>
  </si>
  <si>
    <t>Conventional or Cash Buyers only.  Great House in a great location</t>
  </si>
  <si>
    <t>PORTSMOUTH</t>
  </si>
  <si>
    <t>CASS AVE (SOUTH OF 75TH, NORTH OF I55) TO FRONTAGE RD-E, TO PORTSMOUTH-L</t>
  </si>
  <si>
    <t>2 BR UNIT WITH ATTACHED GARAGE IN PORTSMOUTH DRIVE CONDOS.  SMALL COMPLEX WITH GREAT SCHOOL DISTRICTS 63 AND 86 PLUS DARIEN PARK DISTRICT.  EASY ACCESS TO I55, SHORT DRIVE TO SHOPPING.  PACE BUS SERVICE FROM PORTSMOUTH TO WESTMONT METRA STATION #665.  NO RENTALS ALLOWED.  SOLD AS IS ONLY, TAXES @ 100%.  FINANCED BUYERS=PRE-APPROVAL WITH DOWN PAYMENT VERIFIED.  CASH=ALL FUNDS TO CLOSE.  PUBLIC ACT 94-1049 MAY APPLY.</t>
  </si>
  <si>
    <t>SELECT PORTFOLIO SERVICING</t>
  </si>
  <si>
    <t>TAXES AT 100%, SOLD AS IS ONLY.  SIGN ADDENDUM, DISCLOSURES, SEE REO SALES HELP SHEET FOR OFFERS.</t>
  </si>
  <si>
    <t>Jade</t>
  </si>
  <si>
    <t>EMERALD BAY</t>
  </si>
  <si>
    <t>FAIRFIELD &amp; RT 120 W TO EMERALD BAY ENTRANCE / JADE LANE NORTH TO HOME.</t>
  </si>
  <si>
    <t>Spectacular and amazing model townhouse for sale, loaded with options! Smartly designed and decorated. Vaulted 2 story ceiling in foyer &amp; LR. Gourmet kitchen w/stainless steel appliances, granite counters. Tile flooring on main level. Family room fireplace. Master bedroom has huge walk in closet with elegant garden master bath. Special pricing includes builder incentive, must use preferred lender. Furniture excluded</t>
  </si>
  <si>
    <t>BIG HOLLOW SCHOOL</t>
  </si>
  <si>
    <t>3% - $150 OF BASE PRICE (on Net SP)</t>
  </si>
  <si>
    <t>CALL LO FOR APPT AT 847-223-7878</t>
  </si>
  <si>
    <t>RYLAND HOMES</t>
  </si>
  <si>
    <t>Jim Starwalt, ABR,CNC,CRS,GRI</t>
  </si>
  <si>
    <t>(847) 548-2625</t>
  </si>
  <si>
    <t>Price includes builder incentive, must use Ryland's Preferred Lender. Agent must accompany client on 1st visit. HOA: 2 pet max.</t>
  </si>
  <si>
    <t>Gary</t>
  </si>
  <si>
    <t>LEGENDS</t>
  </si>
  <si>
    <t>GARY 2 ELK TRL WEST 2 BLUFF SOUTH 2 2ND DRIVE ON LEFT THEN QUICK RIGHT &amp; FOLLOW DRIVE BY GARAGES</t>
  </si>
  <si>
    <t>IMMACULATE 1ST FLOOR CONDO WITH POND VIEW! OPEN AIRY FLOOR PLAN! BAMBOO FLOORS THROUGHOUT LIVING AREA. KITCHEN HAS CERAMIC TILE &amp; STAINLESS APPLIANCES. WASHER/DRYER INCLUDED! PLENTY OF LARGE CLOSETs. LAUNDRY ROOM HAS MORE STORAGE PLUS THERE IS A STORAGE ROOM OFF PATIO. STEPS AWAY FROM CLUBHOUSE, EXERCISE ROOM, PARTY ROOM, INDOOR POOL, &amp; HOT TUB. ASSESSMENT INCLUDES WATER &amp; GARBAGE. LOW TAXES! ABSOLUTELY A MUST SEE!</t>
  </si>
  <si>
    <t>21X19</t>
  </si>
  <si>
    <t>Health Club, Pool-Indoors, Curbs/Gutters, Sidewalks, Street Lights, Street Paved</t>
  </si>
  <si>
    <t>TV-Cable, TV Antenna</t>
  </si>
  <si>
    <t>Unassigned, Zoned Permit</t>
  </si>
  <si>
    <t>TEXT L/A WITH ID#, DATE &amp; TIME. MUST HAVE PRIOR DAY NOTICE Mon-Sat</t>
  </si>
  <si>
    <t>Susan Scurto</t>
  </si>
  <si>
    <t>(630) 542-4606</t>
  </si>
  <si>
    <t>Show with confidence! HOA replaced roofs in 2011. Home warranty included. No FHA. Keybox located on patio railing to right as you walk up to entryway.</t>
  </si>
  <si>
    <t>1B</t>
  </si>
  <si>
    <t>63rd Street East of Harlem to 6519</t>
  </si>
  <si>
    <t>COMMON WALLS</t>
  </si>
  <si>
    <t>This condo is ready to move right in.  Hardwood floors. Gas burning fireplace for a cozy evening.  Seller will leave to TV with an acceptable offer.  Come out and take a look today.  Very convenient to shopping and transportation.</t>
  </si>
  <si>
    <t>Water, Common Insurance, Lawn Care, Scavenger</t>
  </si>
  <si>
    <t>Call listing agent Kathy @ 708-207-3443</t>
  </si>
  <si>
    <t>Professional Brokers Realty</t>
  </si>
  <si>
    <t>(708) 633-6333</t>
  </si>
  <si>
    <t>Kathy Batterman</t>
  </si>
  <si>
    <t>(708) 207-3443</t>
  </si>
  <si>
    <t>KING DRIVE NORTH OR SOUTH TO PROPERTY</t>
  </si>
  <si>
    <t>Perfect condo for the urban professional convenient to Hyde Park and downtown. Priced for a quick sell move in condition. SOLD AS IS, NO SURVEY,TAXES PRORATED AT 100%.  BUYER COULD BE RESPONSIBLE FOR 6 MONTHS OF ASSESSMENTS PER ILLINOIS STATUTE</t>
  </si>
  <si>
    <t>Water, Parking, Exterior Maintenance, Lawn Care, Scavenger</t>
  </si>
  <si>
    <t>CALL SHOWING ASSIST 800746 9464</t>
  </si>
  <si>
    <t>BAYVIEW LOAN SERVICING</t>
  </si>
  <si>
    <t>Allpoints Realty Group Inc</t>
  </si>
  <si>
    <t>(773) 846-9394</t>
  </si>
  <si>
    <t>Gerald Williams</t>
  </si>
  <si>
    <t>(708) 372-6605</t>
  </si>
  <si>
    <t>NO RENTALS ALLOWED.  ONLY OWNER OCCUPIED BUYERS.</t>
  </si>
  <si>
    <t>SPRING</t>
  </si>
  <si>
    <t>HWY 83 TO 16TH EAST TO SPRING RD AND NORTH.LAST DRIVEWAY ON RIGHT SIDE. ACROSS FROM DRURY LANE</t>
  </si>
  <si>
    <t>OAKBROOK TERRACE</t>
  </si>
  <si>
    <t>2558 SQ.FT. TOTALLY REMODELED PENTHOUSE CONDO 4 BLOCKS TO OAK BROOK MALL! BEAUTIFUL TREE-TOP VIEW, 3 SKYLIGHTS, LARGE BALCONY.  22-UNIT SOLID BRICK, FLEXICORE BUILDING WITH INDOOR POOL. 2 INDOOR PARKING SPACES, 3 BATHS, BUBBLE TUB, 3 SIDED GAS FPL, IN-UNIT FURNACE, WATER HEATER, LAUNDRY. GORGEOUS KIT, TONS OF STORAGE. CULTURED MARBLE SHOWER AND TUB SURROUNDS. LIFE IN THE HEART OF OAK BROOK BUT NOT AT OAK BROOK PRICES</t>
  </si>
  <si>
    <t>24X14</t>
  </si>
  <si>
    <t>Elevator, Storage, Pool-Indoors, Sidewalks, Street Lights</t>
  </si>
  <si>
    <t>Separate Shower, Double Sink, Double Shower, Soaking Tub</t>
  </si>
  <si>
    <t>Water, Parking, Common Insurance, Security System, TV/Cable, Pool, Exterior Maintenance, Lawn Care, Scavenger, Snow Removal</t>
  </si>
  <si>
    <t>TV-Cable, Security System, Intercom, CO Detectors, Ceiling Fan</t>
  </si>
  <si>
    <t>2.5-$245 (on Net SP)</t>
  </si>
  <si>
    <t>CALL LO AFTER HRS CALL BRANKA 630-918-3439</t>
  </si>
  <si>
    <t>Branka Poplonski, CIPS,CNC,TRC</t>
  </si>
  <si>
    <t>(630) 918-3439</t>
  </si>
  <si>
    <t>630-237-2222 E-FAX</t>
  </si>
  <si>
    <t>PLEASE SEE ADDITIONAL INFORMATION IN PULL DOWN BOX. NOTE THAT THE CRYSTAL CHANDELIER IN DINING RM IS EXCLUDED-FAMILY HEIRLOOM. CALL BRANKA FOR DETAILS. * ALL THE FANS WITH LIGHTS ARE OPERATED BY REMOTE CONTROL.</t>
  </si>
  <si>
    <t>RT.59 TO NORTH AURORA ROAD (WEST) TO GENESEE (NORTH) TO HOME.</t>
  </si>
  <si>
    <t>CLEARWATER</t>
  </si>
  <si>
    <t>Beautiful 2 bedroom, 2 Â½ bath, huge finished basement townhome that backs to golf course! Almost 2400 sq ft of living space! Close to Metra, I88, Rt.59, park &amp; playground! Master bedroom w/great views, large closet space &amp; private bath! Granite counters! Wood balcony overlooks Country Lakes Golf Course! Professionally landscaped yard! All appliances included! Water included in assessment! Acclaimed Dist 204 schools!</t>
  </si>
  <si>
    <t>32X21</t>
  </si>
  <si>
    <t>Common Grounds, Golf Course Lot, Landscaped Professionally</t>
  </si>
  <si>
    <t>Office, Recreation Room</t>
  </si>
  <si>
    <t>CO Detectors, Sump Pump</t>
  </si>
  <si>
    <t>Portable/Ventless</t>
  </si>
  <si>
    <t>Call 800-SHOWING (800-746-9464) or click on 'Schedule a Showing'.</t>
  </si>
  <si>
    <t>Brian Ernst</t>
  </si>
  <si>
    <t>(630) 730-0838</t>
  </si>
  <si>
    <t>Woodmere</t>
  </si>
  <si>
    <t>WOODMERE</t>
  </si>
  <si>
    <t>75th St to Lemont Rd;S to Woodmere Entrance (just N of Plainfield) to Woodmere Dr; to 2761</t>
  </si>
  <si>
    <t>EVERGOLD</t>
  </si>
  <si>
    <t>RARELY AVAILABLE....Large End Unit!  VERY CURRENT!!Freshly Painted &amp; NEW carpet thru-out! Dramatic finishes w/volume ceilings in LR/DR, Brush-Nickel  fixtures, kitch w/granite cntrs &amp; granite brkfst bar;stone flooring. Large mstr suite w/WIC, bath w/double sinks, O/S soaking tub/shower. LL English Fam Rm w/fpl, wired for surround sound, full bath &amp; landry rm. Att 2-car gar w/ultra-quiet overhead door~Great extra pkg!</t>
  </si>
  <si>
    <t>23X18</t>
  </si>
  <si>
    <t>Humidifier, CO Detectors, Ceiling Fan</t>
  </si>
  <si>
    <t>Call or text LA w/info &amp; ID; Sentrilock</t>
  </si>
  <si>
    <t>630-319-5006</t>
  </si>
  <si>
    <t>Linda Ryan, ABR,CNC,CSC</t>
  </si>
  <si>
    <t>(630) 319-5006</t>
  </si>
  <si>
    <t>Great Location - Pristine Condition!!!</t>
  </si>
  <si>
    <t>PHEASANT RUN</t>
  </si>
  <si>
    <t>RT 34 TO LONG GROVE S TO FOX HILL E TO PHEASANT RUN LANE</t>
  </si>
  <si>
    <t>30X109X50X111</t>
  </si>
  <si>
    <t>NEW CARPET AND FRESH PAINT THRU-OUT! BACKS TO OPEN AREA W/DECK! 1ST FLOOR LAUNDRY)! GREAT 2-STORY, 2 BEDROOM DUPLEX WITH SPACIOUS LIVING ROOM FEATURING VAULTED CEILING &amp; FIREPLACE.  EAT-IN KITCHEN WITH NEW FLOORING &amp; SLIDING GLASS DOOR TO BACK YARD DECK.  NEW FRONT DOOR, BRAND NEW FURNACE &amp; WATER HEATER.  MOVE RIGHT INTO THIS NEUTRAL DECOR HOME!   FANNIE MAE HOMEPATH PROPERTY.</t>
  </si>
  <si>
    <t>CALL CSS: 877-977-1010 OR WWW.SHOWINGS.COM</t>
  </si>
  <si>
    <t>Berkshire Hathaway HomeServices Elite Realtors</t>
  </si>
  <si>
    <t>(630) 388-2000</t>
  </si>
  <si>
    <t>Sue Vidmar</t>
  </si>
  <si>
    <t>(630) 388-0144</t>
  </si>
  <si>
    <t>NO PERSONAL PROP INC, NO TERMITE, SURVEY, WARRANTIES. VISIT HOMEPATH.COM FOR INCENTIVES &amp; BONUSES. SEE OFFER BINDER IN ADD INFO. ALL OFFERS MUST BE MADE ONLINE AT HOMEPATH.COM QUESTIONS PLEASE E-MAIL REO@BHHSELITEREALTORS.COM</t>
  </si>
  <si>
    <t>76TH</t>
  </si>
  <si>
    <t>SOUTH SHORE DR TO 76TH ST EAST TO ADDRESS</t>
  </si>
  <si>
    <t>Vintage 2 bedroom lakside condo.  Why pay rent when you can own this 2 bedroom unit on the 3rd floor.</t>
  </si>
  <si>
    <t>$1500 (on Net SP)</t>
  </si>
  <si>
    <t>Joe Castillo, SFR</t>
  </si>
  <si>
    <t>CERTIFIED EARNEST MONEY ONLY WITH THE BUYER'S NAME ON IT. EMAIL OFFERS WITH DOCUMENTS IN ADDICITONAL INFORMATION TO REO@MICASAREALTORS.COM.This property is eligible under the Freddie Mac First Look Initiative through 12/28/2014.</t>
  </si>
  <si>
    <t>ridgeland</t>
  </si>
  <si>
    <t>Stony Island to 67th street east to Ridgeland south</t>
  </si>
  <si>
    <t>Nice 2 bedroom condo near Jackson Park, just a short walk to the lake. Features a huge living room, bedroom with a private bath, formal dining room and a good sized kitchen. Sold as-is, proof of funds (if cash) or letter from bank/mortgage company reflecting mortgage commitment a must.</t>
  </si>
  <si>
    <t>Call CSS for all showings @877-977-1010</t>
  </si>
  <si>
    <t>(708) 424-1199</t>
  </si>
  <si>
    <t>William Murray</t>
  </si>
  <si>
    <t>(773) 330-2984</t>
  </si>
  <si>
    <t>773-330-2984</t>
  </si>
  <si>
    <t>IL Condo act applies NO SURVEY, TERMITE, ESCROW, TAXES @100%,Buyer responsible for village inspection, stamps, room sizes est.  HOA monthly need verification</t>
  </si>
  <si>
    <t>LAKE STREET (RD 80) TO RODENBURG NORTH TO PRESCOTT</t>
  </si>
  <si>
    <t>THIS IS A 2BR/1BATH HOME AT THE WATERBURY. THE UNIT WAS BEAUTIFULLY REMODELED! FEATURES GREAT CLOSET SPACE, LIGHTING, KITCHEN W/GRANITE COUNTERS AND S.S APPLIANCES, BREAKFAST BAR, HARDWOOD FLOOR THROUGHOUT, CERAMIC TILE IN THE KITCHEN AND BATH, IN-UNIT WASHER/DRYER AND MUCH MORE. THIS HOME BRINGS ITS OWNER A TERRIFIC INVESTMENT!</t>
  </si>
  <si>
    <t>Coin Laundry, On Site Manager/Engineer, Curbs/Gutters, Sidewalks, Street Lights</t>
  </si>
  <si>
    <t>Water, Parking, Common Insurance, Exterior Maintenance, Lawn Care, Scavenger, Snow Removal, Lake Rights</t>
  </si>
  <si>
    <t>(312) 939-5253</t>
  </si>
  <si>
    <t>David Itah</t>
  </si>
  <si>
    <t>(702) 372-9707</t>
  </si>
  <si>
    <t>unit is occupied. 24-48 hour notice is required</t>
  </si>
  <si>
    <t>Garfield</t>
  </si>
  <si>
    <t>BRAEMOOR</t>
  </si>
  <si>
    <t>COUNTY LINE ROAD TO 79TH WEST TO GARFIELD ,SOUTH TO ADDRESS</t>
  </si>
  <si>
    <t>UPSCALE ,REMODELED 2BR/2BATH/2CAR ATTACHED  ,ENGINEERING WOOD FLOOR, MAPLE KITCHEN CAB.ALL GRANITE COUNTERS &amp; SS/ APPLIANCES. MASTER SUITE  BATH W/ DBL. SHOWER .THE WHIRLPOOL TUB IN THE GUEST'S BATH.NEW LIGHT&amp;PLUMBING FIXTURES,NEW INTERIOR DOORS&amp; TRIM. FLOOR&amp;WALL TILE"VENETIAN" PAINT&amp;MORE  .NEWER FURN./ AIR CLEANER&amp;HUMIDIFIER,FRONT PATIO,REAR BALCONY,IN/UNIT LAUNDRY ,FLEXICORE CONSTR. ,SWIMMING POOL</t>
  </si>
  <si>
    <t>GOWER WEST ELEMENTARY SCHOOL</t>
  </si>
  <si>
    <t>GOWER MIDDLE SCHOOL</t>
  </si>
  <si>
    <t>Pool-Outdoors, Security Door Locks, Curbs/Gutters, Sidewalks, Street Lights</t>
  </si>
  <si>
    <t>Whirlpool, Separate Shower, Double Shower</t>
  </si>
  <si>
    <t>Water, Parking, Common Insurance, Pool, Lawn Care, Scavenger, Snow Removal</t>
  </si>
  <si>
    <t>Humidifier, Intercom, Air Cleaner</t>
  </si>
  <si>
    <t>Garage Door Opener(s), Heated, Tandem</t>
  </si>
  <si>
    <t>PLEASE CONFIRM YOUR SHOWING WITH ANDY AT 630-673-7531</t>
  </si>
  <si>
    <t>NO RENTALS IN THE "BRAEMOOR",THE UNIT TOTALLY REMODELED IN 2006.    HIGH EFF.HEATING SYSTEM. THE BRAEMOOR COMPLEX IS NOT THE FHA APPROVED.</t>
  </si>
  <si>
    <t>Fairway</t>
  </si>
  <si>
    <t>Schmale N of North Ave. To Golfview east to Fairway east to home</t>
  </si>
  <si>
    <t>This is truly the best location!  Open golf course views that seem to go on forever! Light &amp; bright home for you to enjoy w/ fresh paint and a brand new skylight in December '14. All newer windows, patio &amp; inside laundry room door.  Newer Pergo &amp; carpeting. Kitchen w/newer stove &amp; DW.  Master bedroom w/private bath &amp; a vaulted ceiling.  2nd BR w/full bath. Newer furnace + central air.  1 car garage. OWR occupied only</t>
  </si>
  <si>
    <t>Golf Course Lot, Landscaped Professionally, Pond</t>
  </si>
  <si>
    <t>TOWNSHOMES OF WOODBRIDGE</t>
  </si>
  <si>
    <t>Randall or McLean to College Green Drive to Lancaster Circle</t>
  </si>
  <si>
    <t>Lovely first floor unit with newer carpet, vaulted living room ceiling, living room fireplace, large master bedroom with walk-in closet, 2 car garage and cement patio.</t>
  </si>
  <si>
    <t>Closing, Tenant's Rights</t>
  </si>
  <si>
    <t>Call CSS at 877-977-1010 1 day in advance-Tenant</t>
  </si>
  <si>
    <t>Marion R Brown Revo Trust</t>
  </si>
  <si>
    <t>Preferred Homes Realty</t>
  </si>
  <si>
    <t>(847) 695-6040</t>
  </si>
  <si>
    <t>Kirk Schambach</t>
  </si>
  <si>
    <t>The tenant would like a 60 day notice to find a new rental. This is an estate sale, only disclosure is the radon.</t>
  </si>
  <si>
    <t>REDONDO</t>
  </si>
  <si>
    <t>PLAINFIELD RD. WEST OF CASS TO REDONDO</t>
  </si>
  <si>
    <t>THIS IS ONE OF THE MOST DESIRABLE UNITS IN THE BUILDING, END UNIT WITH WATERFRONT VIEWS FROM BALCONY, 2 LARGE BEDROOMS, 1 1/2 BATH, NEW CARPET, FRESH PAINT, PARKING, THE LIST GOES ON. THIS UNIT HAS IT ALL AND IS MOVE IN READY. THIS IS A FANNIE MAE HOMEPATH PROPERTY, ALL INFORMATION IS ESTIMATED, TAXES PRO RATED AT 100%. Public Act 94-1049 May Apply</t>
  </si>
  <si>
    <t>13X22</t>
  </si>
  <si>
    <t>please use connect mls showing assist</t>
  </si>
  <si>
    <t>SELLER HAS VERBALLY ACCEPTED AN OFFER 2-19-2015.  PLEASE SUBMIT OFFERS ON HOMEPATH.COM</t>
  </si>
  <si>
    <t>Paige</t>
  </si>
  <si>
    <t>Rt 34 &amp; Mitchell Dr // Mitchell Dr (South) to Edward St (West) to Paige St (North) to home</t>
  </si>
  <si>
    <t>Beautiful home on spacious lot. Desirable, open layout throughout. Fantastic kitchen with lots of cabinet space and quick access to the powder room. Incredible, sun-drenched living/dining room with hardwood floors. Spacious master bedroom with walk-in closet and private access to the master bathroom. This home qualifies for FHA Financing! EQUAL HOUSING OPPORTUNITY.</t>
  </si>
  <si>
    <t>CALL 877-977-1010</t>
  </si>
  <si>
    <t>Lockbox on front door. BID GO TO www.OforiREO.com NAID# REGISTRATION  www.HUDHomeStore.com  FHA Insured (IN) SOLD AS-IS CASE# 137-441229 892 SQ FT HUD HOTLINE 630-701-1798 UP TO 3% CC. $100.00 DOWN PYMT (See Over Bid Rules)</t>
  </si>
  <si>
    <t>Court H</t>
  </si>
  <si>
    <t>LAKE ST TO ARLINGTON TO CATALINA TO COURT G TO COURT H</t>
  </si>
  <si>
    <t>Excellent investment opportunity to own this 2 bedroom 1 bath unit that features an open layout, private patio and good potential. Just minutes from public transportation, expressways and shopping. TAXES 100%, This is a homepath property please submit through homepath WEBSITE, BUYER IS RESPONSIBLE FOR PREVIOUS 6 MONTHS HOA FEES,</t>
  </si>
  <si>
    <t>24X11</t>
  </si>
  <si>
    <t>PLEASE CALL THE SHOWING DESK AT 888.362.3222 OR LO AFTER HOURS, THANKS</t>
  </si>
  <si>
    <t>TAXES 100%, This is a homepath property please submit through homepath.com  BUYER IS RESPONSIBLE FOR PREVIOUS 6 MONTHS HOA FEES, buyer is responsible for survey</t>
  </si>
  <si>
    <t>Wedgewood</t>
  </si>
  <si>
    <t>SPRINGINSGUTH TO HARTMANN W 2 FARMSTEAD S TO WEDGEWOOD</t>
  </si>
  <si>
    <t>Good Opportunity to own this 2 bedroom 1.1 bath unit that features an open layout, pergo flooring and a 1 car garage. Just minutes from public transportation. Bank of America, N.A. (the "Bank") associates and/or Bank associates, household members, and HTS business partners of the Bank, are prohibited from purchasing REO and auctioned REO properties, either owned or serviced by the Bank, whether directly or indirectly</t>
  </si>
  <si>
    <t>Common Insurance, Clubhouse, Pool, Exterior Maintenance, Lawn Care, Snow Removal</t>
  </si>
  <si>
    <t>TAXES 100% BUYER IS RESPONSIBLE FOR 6 MONTHS HOA DUES PER THE CONDO ACT.</t>
  </si>
  <si>
    <t>60/Butterfield Rd N, 2 Greenleaf E, 2 Franklin S, 2 Tyler. Park on Right in guest.Unit faces Courtyd</t>
  </si>
  <si>
    <t>Welcome Home to this BEAUTIFUL~UPDATED~IKEA LOOK 2 Stry Twnhm.NEW Carpet &amp; Paint,NEW white Colonist Doors,trim,NEW Weathered laminate Floors.Bright White Kitch w/Tile Backsplash,Bevel Counters,SS appl.MSTR Bdrm w/His &amp; Hers Closets.Attached Garage.PRIVATE patio overlooks PRIIME location on courtyard &amp; walking path.Close to POOL,PARK,SHOPPING,LAKE.Rentals allowed, FHA approved. SEE this READY TO MOVE INTO  HOME TODAY!</t>
  </si>
  <si>
    <t>Park/Playground, Pool-Outdoors</t>
  </si>
  <si>
    <t>Call office - Advance Notice required and appreciated-small children and small dog</t>
  </si>
  <si>
    <t>Jennifer and Milos Sotirovic and</t>
  </si>
  <si>
    <t>Kevin Walsh</t>
  </si>
  <si>
    <t>(847) 566-8188</t>
  </si>
  <si>
    <t>Thousands of upgrades have been put into this lovely townhome - you won't be disappointed!</t>
  </si>
  <si>
    <t>Head west on 83rd then north (right) on Janes Avenue and then west (left) on Spring Street to unit</t>
  </si>
  <si>
    <t>This is a beautiful, 2-bedroom, 1-bathroom unit in move-in condition! Freshly painted! Newly carpeted! Hang your coat up, take off your shoes and then enter a large LR/DR area just a few steps away from a nicely updated kitchen with an eat-in nook! Enjoy an updated bathroom too! All bedrooms are very spacious with ample closet space. Close to schools, shopping and transportation. A must see. A 10! Rentals OK!</t>
  </si>
  <si>
    <t>Coin Laundry, Park/Playground, Pool-Outdoors, Sidewalks, Street Lights, Street Paved, Other</t>
  </si>
  <si>
    <t>Heat, Water, Gas, Parking, Common Insurance, Pool, Exterior Maintenance, Lawn Care, Snow Removal</t>
  </si>
  <si>
    <t>Gas, Baseboard, Radiant</t>
  </si>
  <si>
    <t>2.5%-$30 (on Net SP)</t>
  </si>
  <si>
    <t>Text the listing agent at 773-593-5626 for the lock box code. You will get a reply very quickly.</t>
  </si>
  <si>
    <t>Agent owed. Co-owner is also a managing broker. This is an excellent investment opportunity! Market rent is $1,100 per month per comparable MLS listing number 08654846. NOTE: All best offers are due by noon on 12/09/2014.</t>
  </si>
  <si>
    <t>59 North of Miller to Lake Barrington Shores main gate see guard</t>
  </si>
  <si>
    <t>COMMEN</t>
  </si>
  <si>
    <t>completly redone. Everything is brand new . new win. new deck. Enter to marble foyer. Breathtaking view of fairway &amp; pond from kitchen and den. Custom maple 42"cabs.Granite counters and sills. cer.floor. Top of line SS appls. LR boasts vaulted cel with skylite, Cozy fp. marble hearth. cust bath with full body shower maple van granite top. Mast bed has his her sink &amp; closet full body shower cer tile,glass door &amp; More</t>
  </si>
  <si>
    <t>Boat Dock, Exercise Room, Golf Course, On Site Manager/Engineer, Park/Playground, Party Room, Sundeck, Pool-Outdoors, Sauna, Steam Room, Tennis Court/s, Gated Entry, Street Lights, Street Paved</t>
  </si>
  <si>
    <t>Water, Parking, Common Insurance, Security, TV/Cable, Clubhouse, Exercise Facilities, Pool, Exterior Maintenance, Lawn Care, Scavenger, Snow Removal, Lake Rights</t>
  </si>
  <si>
    <t>2.5%-300 (on Net SP)</t>
  </si>
  <si>
    <t>Call 1-800-746-9464</t>
  </si>
  <si>
    <t>John Campobasso</t>
  </si>
  <si>
    <t>(847) 241-2217</t>
  </si>
  <si>
    <t>Must See This Beauty. Breath taking view of golf course Too much to list. Everything is brand new Buyer has choice of carpet color Please email all offers to: info@kwnwonline.com</t>
  </si>
  <si>
    <t>Milwaukee</t>
  </si>
  <si>
    <t>Libertyville</t>
  </si>
  <si>
    <t>WELLINGTON AT ADLER PARK</t>
  </si>
  <si>
    <t>MILWAUKEE AVE S OF RT137-ACROSS FROM ADLER PARK</t>
  </si>
  <si>
    <t>INVERNESS</t>
  </si>
  <si>
    <t>What a Find! Delightful open floor plan in Wellington at Adler Park.  This rarely available 2 bedroom unit features the kitchen with upgraded maple cabinets, granite counters, stainless steel appliances &amp; ceramic floors.Upgraded carpeting &amp; in unit laundry.  Storage space,heated indoor parking plus a reserved space outside.Association fee includes heat, water, gas, sewer &amp; refuse. Super location close to xpressway.</t>
  </si>
  <si>
    <t>ADLER PARK SCHOOL</t>
  </si>
  <si>
    <t>HIGHLAND MIDDLE SCHOOL</t>
  </si>
  <si>
    <t>Elevator, Storage, Security Door Locks, Sidewalks, Street Lights, Street Paved</t>
  </si>
  <si>
    <t>TV Antenna, Security System, Intercom, Fire Sprinklers</t>
  </si>
  <si>
    <t>CALL Baird &amp; Warner showing desk at 855-746-9100</t>
  </si>
  <si>
    <t>Denise Nelson, GRI,SFR</t>
  </si>
  <si>
    <t>(847) 431-0122</t>
  </si>
  <si>
    <t>847-431-0122 cell</t>
  </si>
  <si>
    <t>Stoneridge</t>
  </si>
  <si>
    <t>Route 47, turn left on route 34, then turn left on Sycamore Rd turn right on John St to the condo</t>
  </si>
  <si>
    <t>3% MINIMUM COMMISSION $1,500 (on Gross SP)</t>
  </si>
  <si>
    <t>Use online</t>
  </si>
  <si>
    <t>Lender Owned</t>
  </si>
  <si>
    <t>Key Realty Inc</t>
  </si>
  <si>
    <t>(630) 229-0289</t>
  </si>
  <si>
    <t>Shelly Colletti</t>
  </si>
  <si>
    <t>Vacant. Sold As Is.</t>
  </si>
  <si>
    <t>IRVING PARK WEST OF YORK TO WALNUT NORTH TO HILLSIDE EAST TO PROPERTY</t>
  </si>
  <si>
    <t>Must See- JUST REMODELED UNIT Like NEW! Great 2 Bedroom/1.5 Bathroom home in a Great Location! SPACIOUS Room Sizes, MODERN Kitchen with Stainless Steel Appliances w/Dining area leading to Patio,LARGE Family Room, NEW Can Lighting/Doors &amp; Trim/Boiler,Plenty of Closets &amp; Storage space,New Carpet &amp; Flooring,Laundry &amp; Utility area,Nice Patio &amp; 2 Parking Spaces (#P7 &amp; P8)! Close to Shopping, Xway, Schools &amp; Park.</t>
  </si>
  <si>
    <t>Water, Parking, Lawn Care, Snow Removal</t>
  </si>
  <si>
    <t>Gas, Hot Water/Steam, Baseboard</t>
  </si>
  <si>
    <t>EZ- Call CSS desk 877-977-1010</t>
  </si>
  <si>
    <t>iBid Realty, LLC.</t>
  </si>
  <si>
    <t>(847) 715-9544</t>
  </si>
  <si>
    <t>Joseph Harris</t>
  </si>
  <si>
    <t>(312) 401-6100</t>
  </si>
  <si>
    <t>joeh.ibid@gmail.com</t>
  </si>
  <si>
    <t>Please email all questions &amp; offers to Listing Agent &amp; copy Jackie.ibid@gmail.com. All Info Deemed Reliable But Not Guaranteed. Realtor Related to Seller. Disclosures saved in Additional Info section.</t>
  </si>
  <si>
    <t>LAMBERT</t>
  </si>
  <si>
    <t>CASTLE CREEK</t>
  </si>
  <si>
    <t>LAKE STREET W OF 59 TO LAMBERT S TO HOME</t>
  </si>
  <si>
    <t>SHARP CLEAN HOME W/NOTHING TO DO BUT MOVE IN. EXECUTIVE TH OFFERING 2 BEDRMS PLUS LOFT. MASTER BR SUITE/WIC, WHIRLPL TUB, SEPERATE SHOWER AND DOUBLE BOWL SINK. UPGRADED KITCHEN WITH 42" CHERRY CABINETS, CENTER ISLAND, GRANITE COUNTERS, SS APPLIANCES, W/PLENTY OF SHELVING IN PANTRY!! FRESHLY PAINTED THRU OUT! NICE SIZE DECK OFF KITCHEN, FIRST FLR FAMILY ROOM &amp; DEN/BONUS ROOM IN LOWER LEVEL. NICE SIZE LAUNDRY RM!</t>
  </si>
  <si>
    <t>LIBERTY ELEMENTARY SCHOOL</t>
  </si>
  <si>
    <t>Den, Loft</t>
  </si>
  <si>
    <t>CALL OFFICE-EASY TO SHOW</t>
  </si>
  <si>
    <t>Kenneth Lemberger</t>
  </si>
  <si>
    <t>(630) 205-8340</t>
  </si>
  <si>
    <t>YOU CAN PARK ON LAMBERT OUT FRONT OF UNIT.</t>
  </si>
  <si>
    <t>29W523</t>
  </si>
  <si>
    <t>RT 59 N, R ON WINCHESTER CIR(B4 BATAVIA RD)SE CORNER</t>
  </si>
  <si>
    <t>Must see this completely remodeled unit!  New: carpet, ceramic tile, wood laminate floor, paint, trim, balcony door, railing. In kitchen NEW: cherry color cabinets, granite counter tops, stainless steel sink. New "Frigidaire": stove, microwave, dishwasher, refrigerator. ALL NEW in bathroom.   NEW "Maytag"washer and dryer. Large master bedroom with walkâ€“in closet. Extended balcony off of living room. Ready for living!</t>
  </si>
  <si>
    <t>2,5%-$250 (on Gross SP)</t>
  </si>
  <si>
    <t>Core Realty &amp; Investments, Inc</t>
  </si>
  <si>
    <t>(224) 235-4336</t>
  </si>
  <si>
    <t>Irina Borovitskaya</t>
  </si>
  <si>
    <t>(847) 987-6622</t>
  </si>
  <si>
    <t>NOT FHA approved.  Email offer to irina.borovitskaya@yahoo.com.</t>
  </si>
  <si>
    <t>RUSSELL</t>
  </si>
  <si>
    <t>ARBORS AT BARRINGTON</t>
  </si>
  <si>
    <t>Route 59 South of Lake-Cook to Russell, West to Lageschulte</t>
  </si>
  <si>
    <t>BARRINGTON</t>
  </si>
  <si>
    <t>FHA / VA Approved! South facing sun filled condo.  Unit features exposed brick wall in living room, new hardwood flooring thruout, custom cabinets, granite counter tops, stainless steel appliances, in-unit washer / dryer, storage and underground garage parking.  Fitness center &amp; social room on site.  Luxury living in the heart of downtown; steps to the Metra and local shopping.</t>
  </si>
  <si>
    <t>HOUGH STREET ELEMENTARY SCHOOL</t>
  </si>
  <si>
    <t>BARRINGTON MIDDLE SCHOOL PRAIRIE</t>
  </si>
  <si>
    <t>Elevator, Exercise Room, Storage, On Site Manager/Engineer, Party Room, Street Paved</t>
  </si>
  <si>
    <t>Common Grounds, Pond, Wooded</t>
  </si>
  <si>
    <t>2.5%-$325 ON NET PRICE (on Net SP)</t>
  </si>
  <si>
    <t>Call Jon (773) 307-9175 or jmillikin@jameson.com</t>
  </si>
  <si>
    <t>Jameson Sotheby's Intl Realty</t>
  </si>
  <si>
    <t>(312) 751-0300</t>
  </si>
  <si>
    <t>Jon Millikin</t>
  </si>
  <si>
    <t>(312) 867-2094</t>
  </si>
  <si>
    <t>Photos reflect previous model unit (cabinet color is different); 5 units to choose from.  Hardwood floors to be installed once under contract.</t>
  </si>
  <si>
    <t>GREENS OF GLENDALE LAKES</t>
  </si>
  <si>
    <t>Schmale to Golfview Dr east to Club north to Home.</t>
  </si>
  <si>
    <t>Sensational golf course townhome style condo with stunning water views!  Rarely available first floor ranch unit with a ceramic tiled eat-in kitchen, spacious living &amp; dining room with vaulted ceilings, fireplace, sliding glass door leading to patio, luxurious master suite with double door entry, its own private bath, 2nd BR &amp; full hall bath, large laundry room &amp; 2 car garage.  This unit also has newer carpet.</t>
  </si>
  <si>
    <t>Golf Course, Pool-Outdoors, Curbs/Gutters, Sidewalks, Street Lights, Street Paved</t>
  </si>
  <si>
    <t>Cul-de-sac, Golf Course Lot, Landscaped Professionally, Water View</t>
  </si>
  <si>
    <t>Use showing assist or appointment center at 855 746-9100.  Showings between 11 AM to 8 PM only.</t>
  </si>
  <si>
    <t>regular sale.   showings between 11 am and 8 pm only.   2 hr notice please.</t>
  </si>
  <si>
    <t>Stonewater</t>
  </si>
  <si>
    <t>stonewater</t>
  </si>
  <si>
    <t>Rte. 59- 2 95th E 1 block 2 Cedar Glade - N  2 Rockport, E-2  Stonewater</t>
  </si>
  <si>
    <t>FAIRMONT</t>
  </si>
  <si>
    <t>Truly stunning townhome!!  Freshly painted with updates. Newer appliances all stay!!ceramic, lots of oak cabinets, breakfast bar,large living room, fireplace, loads of storage, roomy bedrooms walk in closet, ceiling fans, each bedroom has it's  own bath. loft area, great for office.  Close to everything...library, shopping, metra, and more.  Great location!!!Fantastic unit  ....  Look no further!!!</t>
  </si>
  <si>
    <t>GREGORY MIDDLE SCHOOL</t>
  </si>
  <si>
    <t>Vinyl Siding, Brick, Clad Trim</t>
  </si>
  <si>
    <t>Call BW appointment desk 855-746 9100</t>
  </si>
  <si>
    <t>ramsier</t>
  </si>
  <si>
    <t>Cedar Glade</t>
  </si>
  <si>
    <t>RT 59 TO 95TH ST EAST TO CEDAR GLADE DR.NORTH TO 2611</t>
  </si>
  <si>
    <t>Great Opportunity to Own a Freshly Updated Naperville Condo w/ Attached Garage! 204 Schools! Move Right In! Desirable 2nd Floor Unit, Private Entrance! Tall Cathedral Ceilings With Skylights That Provide Ample Natural Lighting! Walk-out Balcony! Fireplace! Fresh Paint Floor To Ceiling! New Carpet And Vinyl Flooring! This is a Fannie Mae HomePath Property!</t>
  </si>
  <si>
    <t>Please click "Schedule a Showing"</t>
  </si>
  <si>
    <t>EM in cert. funds to Pierce &amp; Assoc. Offers to HomePath.com. FNMA Add. req./For assist w/ offers call 866.218.4446. Seller makes no guarantee/warr. rm. size approx. Buyer responsible for transfer fees</t>
  </si>
  <si>
    <t>15th</t>
  </si>
  <si>
    <t>On 15th Ave Just south of Division Just north of Lake Street</t>
  </si>
  <si>
    <t>SPACIOUS SECOND FLOOR UNIT.NEWER BUILDING.ALL HARDWOOD, GRANITE COUNTERS,STAINLESS STEEL APPLIANCES.CUSTOM CLOSETS, PANTRY CLOSET,WASHER,DRYER LESS THAN A YEAR OLD.HIGH CELEINGS, FRONT BALCONY, AND A DECKED&amp;FENCED  20X20 TERRACE OFF MASTER BEDROOM.THIS IS A MUST SEE AND PRICE TO MOVE!!!!</t>
  </si>
  <si>
    <t>Pantry</t>
  </si>
  <si>
    <t>Terrace</t>
  </si>
  <si>
    <t>3X5</t>
  </si>
  <si>
    <t>5X17</t>
  </si>
  <si>
    <t>Balcony, Pantry, Terrace</t>
  </si>
  <si>
    <t>2.5% $-250 (on Gross SP)</t>
  </si>
  <si>
    <t>Use Showing Time.  Owner is Agent and will show.</t>
  </si>
  <si>
    <t>River Elm Properties</t>
  </si>
  <si>
    <t>(708) 456-9200</t>
  </si>
  <si>
    <t>Ricardo Braglia</t>
  </si>
  <si>
    <t>(773) 369-6766</t>
  </si>
  <si>
    <t>Building is Not FHA Approved. Owner is a Licensed Real Estate Broker.  Come See.  Unit won't be around long. Building is 100% owner occupied.  No rent Policy - No Pets  Open HOUSE SUNDAY DECEMBER 14 1pm to 3PM</t>
  </si>
  <si>
    <t>Rainwood</t>
  </si>
  <si>
    <t>TIMBERLAKE</t>
  </si>
  <si>
    <t>Indian Tr- Edgelawn south-Colorado east to Rainwood right, unit is first unit on the court to right.</t>
  </si>
  <si>
    <t>24.21X87.83</t>
  </si>
  <si>
    <t>Ranch style end unit. New vinyl siding being done and new fencing. Garage will be vinyl sided in the spring. Great unit with full finished basement and second bath. Parking available for second car. Pool and clubhouse in the complex.</t>
  </si>
  <si>
    <t>22X22</t>
  </si>
  <si>
    <t>Charles B. Doss &amp; Co.</t>
  </si>
  <si>
    <t>(630) 898-8008</t>
  </si>
  <si>
    <t>Mike Drews, CNC,GRI</t>
  </si>
  <si>
    <t>(630) 762-6764</t>
  </si>
  <si>
    <t>Owner Occupied only</t>
  </si>
  <si>
    <t>BIRCHWOOD</t>
  </si>
  <si>
    <t>LAKE WILLOW WAY</t>
  </si>
  <si>
    <t>ROUTE 83 SOUTH OF PLAINFIELD TO 72ND CT TO STOP SIGN GO LEFT TO BIRCHWOOD CT.</t>
  </si>
  <si>
    <t>FIRST FLOOR</t>
  </si>
  <si>
    <t>You won't believe the value in this comfortable home with lots of extras! Tons of room in this 1st floor freshly painted and carpeted unit.  There are 2 large bedrooms and 2  bathrooms.  Master bath is spacious, storage galore, laundry in the unit , a beautiful fireplace and new appliances are also included. This location has excellent schools, easy access to interstate, close to the Hot Willowbrook Shopping area</t>
  </si>
  <si>
    <t>Village Sotheby's International Realty</t>
  </si>
  <si>
    <t>(630) 323-4800</t>
  </si>
  <si>
    <t>Dina Howell</t>
  </si>
  <si>
    <t>(630) 992-0553</t>
  </si>
  <si>
    <t>dina3894@gmail.com</t>
  </si>
  <si>
    <t>Great place! There are one or two extra assessment payments due in the summer. This depends on needs.  This year there was only one.</t>
  </si>
  <si>
    <t>RT. 12 TO ELA RD. N TO TERRACE E TO HOME</t>
  </si>
  <si>
    <t>Beautiful home features 2 bedrooms, 2.5 bathrooms, a 1 car garage, and a rear patio! This one is priced to sell. Come and take a look today! Choose FHA financing to qualify for $100 down payment. Ask your Agent for details. Sold as-is. Equal Housing Opportunity.</t>
  </si>
  <si>
    <t>Case#137-330480.INS.STATUS:IE. Up to 3% co-op Offers 2B submitted on-line Off.must be registered &amp; have a NAID# Go to hudhomestore.com 4 online bidding SEE PCR UNDER ADDENDUMâ€™S TAB.?â€™s to fsrhomes@aol.com.SOLD AS-IS.www.hometelosfirst.com</t>
  </si>
  <si>
    <t>Greenbriar</t>
  </si>
  <si>
    <t>Park Blvd South of Roosevelt Rd to Raintree Dr West to Greenbriar (at stop sign) North to 310 bldg</t>
  </si>
  <si>
    <t>2 BR, 2 bath condo, located in Raintree subdivision. New HVAC. The carpeting in both bedrooms is new &amp; both bedrooms &amp; Private Master Bath freshly painted. Master BR has Walk-In Closet. Laundry and storage room are on the same floor as the unit. Balcony off living room. Beautifully landscaped. Overlooks the Village Links Golf Course. Close to I-355, I-88, METRA, College of DuPage, schools and shopping.</t>
  </si>
  <si>
    <t>Coin Laundry, Exercise Room, Storage, On Site Manager/Engineer, Pool-Outdoors, Tennis Court/s, Curbs/Gutters, Sidewalks, Street Lights, Street Paved</t>
  </si>
  <si>
    <t>Common Grounds, Cul-de-sac, Golf Course Lot</t>
  </si>
  <si>
    <t>Water, Parking, Common Insurance, Clubhouse, Exercise Facilities, Pool, Scavenger, Snow Removal</t>
  </si>
  <si>
    <t>Sentrilock - Call LA at 630-803-3649</t>
  </si>
  <si>
    <t>James Cannon</t>
  </si>
  <si>
    <t>(630) 803-3649</t>
  </si>
  <si>
    <t>Price reduced to sell.</t>
  </si>
  <si>
    <t>82nd</t>
  </si>
  <si>
    <t>South on Stony Island Ave left to 82nd street L on Woodlawn Ave R to East 82nd place  to property</t>
  </si>
  <si>
    <t>Charming 2 bedroom 1 bathroom  Townhome with full basement.  This townhome is awaiting for you  to make it you own . Bidding  1/24-27</t>
  </si>
  <si>
    <t>1% OR $400 WHICHEVER IS GREATER (on Net SP)</t>
  </si>
  <si>
    <t>MLS</t>
  </si>
  <si>
    <t>Angela L Johnson, BPOR,CSC,SFR</t>
  </si>
  <si>
    <t>Property is under auction terms at (www.homesearch.com or www.auction.com) 5% Buyers  Premium applies. Green light Loans Prequalification (888-668-5832 is required at time  of offer submiss</t>
  </si>
  <si>
    <t>Pier</t>
  </si>
  <si>
    <t>CASS S OF 63RD TO PIERS DR, W, FOLLOW AROUND TO #60</t>
  </si>
  <si>
    <t>***Fannie Mae HomePath Property*** First Floor Unit! Brand New Carpet and Fresh Paint! Brand New Microwave, Dishwasher and Range! 2 Bedroom 2 Bath Unit!  No personal property included.</t>
  </si>
  <si>
    <t>Storage, Pool-Outdoors, Security Door Locks</t>
  </si>
  <si>
    <t>EM in certified funds to Hauselman ,Rappin &amp; Olswang, 10% on cash purchase. Submit offer to HomePath.com. Please Email POF/preapproval to Broker. Fannie Mae Addendum required/For assistance w/ offers call 866.218.4446. NO SURVEY</t>
  </si>
  <si>
    <t>3 Units sold in December! Quiet North facing condo in elevator building features new hardwood flooring thruout, custom cabinets, granite counter tops, stainless steel appliances, in-unit washer / dryer, storage and underground garage parking.  Fitness center &amp; social room on site.  Luxury living in the heart of downtown; steps to the Metra and local shopping.</t>
  </si>
  <si>
    <t>Hardwood flooring to be installed once under contract; completed prior to closing.</t>
  </si>
  <si>
    <t>Bloomingdale Rd S from Army Trail Rd W On Gregory to Sommerset</t>
  </si>
  <si>
    <t>Best buy currently available in Stone Gate.  Property features 2 bedrooms, 1 bath, Many Amenities available through HOA, Great Investment property.  TAXES 100%, This is a homepath property please submit through homepath WEBSITE, BUYER IS RESPONSIBLE FOR PREVIOUS 6 MONTHS HOA FEES,</t>
  </si>
  <si>
    <t>Coin Laundry, Exercise Room, Health Club, On Site Manager/Engineer, Park/Playground, Pool-Outdoors, Tennis Court/s</t>
  </si>
  <si>
    <t>Radiators</t>
  </si>
  <si>
    <t>Joren</t>
  </si>
  <si>
    <t>83 to North West to Johelia North to Joren East</t>
  </si>
  <si>
    <t>Freshly painted and new carpet in this roomy 2 bedroom, 1.5 bath townhome. 1 Car garage, rear patio. Move in condition.</t>
  </si>
  <si>
    <t>Carol Reinwald</t>
  </si>
  <si>
    <t>MORGAN'S GATE</t>
  </si>
  <si>
    <t>RT. 83 TO MONTROSE W. TO MORGAN'S GATE N.</t>
  </si>
  <si>
    <t>ATWOOD</t>
  </si>
  <si>
    <t>BUILT IN 2007, THIS 3 STORY TOWNHOME HAS A KITCHEN W/MAPLE CAB'S &amp; GRANITE. ALL SS APPLIANCES GE WASHER &amp; DRYER. LOWER LEVEL IS A NICELY FINISHED FAMILY RM W/GAR ACCESS. UPSTAIRS HAS 2 BEDROOMS EACH W/A PRIVATE BATH. TRULY A GREAT PLACE TO CALL HOME.</t>
  </si>
  <si>
    <t>CHIPPEWA ELEMENTARY SCHOOL</t>
  </si>
  <si>
    <t>BLACKHAWK MIDDLE SCHOOL</t>
  </si>
  <si>
    <t>click on schedule a showing below</t>
  </si>
  <si>
    <t>Michael Fields</t>
  </si>
  <si>
    <t>THIS IS A FANNIE MAE HOMEPATH PROPERTY. SELLER DOES NOT PROVIDE SURVEY NOR DISCLOSURES. TAXES PRORATED 100%. SELLER INSTRUCTS ALL OFFERS TO BE SUBMITTED @ WWW.HOMEPATH.COM</t>
  </si>
  <si>
    <t>South on Bellwood Avenue</t>
  </si>
  <si>
    <t>4000 SQ.FT.</t>
  </si>
  <si>
    <t>Attractive 2 bedrooms 1 bath Townhome with a full finished basement. Built is 1961 Brick home is approx 1042 sq.ft. Conveniently located near parks, schools and shopping. See it today. Waiting for your offers! Will not pass FHA financing. POF must be for at least full offer amount and match the name on the contract exactly. No HOA to our knowledge.</t>
  </si>
  <si>
    <t>2.75% (on Net SP)</t>
  </si>
  <si>
    <t>Submit disclosure with offer. Won't pass FHA guidelines. No HOA to our knowledge. To submit an offer, please, copy and paste this link: http://www.callzteam.net/property_n/1105_BELLWOOD_AVE_UNIT_F</t>
  </si>
  <si>
    <t>Shelly</t>
  </si>
  <si>
    <t>LONG GROVE S OF OGDEN TO VILLAGE GREEN N TO SHELLY W TO PROPERTY</t>
  </si>
  <si>
    <t>PRAIRIE VILLAGE 2 BEDROOM, 2 BATH END UNIT TOWNHOME WITH FULL FINISHED BASEMENT AND INCLUDES 2 CAR ATTACHED GARAGE. HARDWOOD FLOORS IN MAIN LEVEL INCLUDING BEDROMS. 16X12 MASTER W/SHARED BATH AND W-I-C. LOWER LEVEL INCLUDES FAMILY ROOM, 3RD BEDROOM/OFFICE, 2ND BATHROOM AND LAUNDRY ROOM.</t>
  </si>
  <si>
    <t>CALL CSS AT 877-977-1010</t>
  </si>
  <si>
    <t>Wilk Real Estate</t>
  </si>
  <si>
    <t>(815) 230-5356</t>
  </si>
  <si>
    <t>Brent Wilk</t>
  </si>
  <si>
    <t>815-230-5356</t>
  </si>
  <si>
    <t>10 DAY MARKET TIME REQUIRED PRIOR TO OFFER REVIEW. PAPERLESS OFFER UNTIL ACCEPTANCE. SUBMIT OFFERS ON WWW.OFFERSUBMISSION.COM. USE ID#922987. BUYE RESPONSIBLE FOR $300 FEE AT CLOSING</t>
  </si>
  <si>
    <t>Woodhill</t>
  </si>
  <si>
    <t>CENTRAL PARK</t>
  </si>
  <si>
    <t>Army Trail to Kuhn South to Woodhill East</t>
  </si>
  <si>
    <t>Beautiful Easy Ranch Living in Popular "Central Park" (55+ Adult Community) Huge Great RM w/gleaming HWF &amp; Spacious Kitchen w/Island Featuring Lots of Cabinets &amp; Workspace. This Bloomingdale Model Offers a Den which can be Office, LR, Hobby RM. 2 Lg BR's &amp; 2 Lg BA's.  Master BR has Large WIC. First Floor Laundry RM &amp; Full Basement.  All Appliances Stay.  All This &amp; More.  Clean &amp; Ready for Your Easy Living Lifestyle!</t>
  </si>
  <si>
    <t>23X16</t>
  </si>
  <si>
    <t>Cul-de-sac, Wetlands Adjacent, Landscaped Professionally, Pond</t>
  </si>
  <si>
    <t>Common Insurance, Clubhouse, Exercise Facilities, Lawn Care, Scavenger, Snow Removal</t>
  </si>
  <si>
    <t>Den, Great Room</t>
  </si>
  <si>
    <t>Humidifier, TV-Cable, TV-Dish, CO Detectors, Ceiling Fan, Sump Pump</t>
  </si>
  <si>
    <t>1/2 Duplex, Townhouse-Ranch, Ground Level Ranch</t>
  </si>
  <si>
    <t>Call Showing Desk @ 888-362-3222.</t>
  </si>
  <si>
    <t>Gloria Santaniello</t>
  </si>
  <si>
    <t>(630) 546-1697</t>
  </si>
  <si>
    <t>GRAND</t>
  </si>
  <si>
    <t>FAIRVIEW COMMONS</t>
  </si>
  <si>
    <t>75TH TO FAIRVIEW N TO 73RD TO GRAND Follow around to unit</t>
  </si>
  <si>
    <t>Homeowner, Other</t>
  </si>
  <si>
    <t>Updated and upgraded unit. Freshly painted, kitchen hosts all newer appliances, updated cabinetry, tile back splash, granite look counters and eat in breakfast bar. Two updated bathrooms with oversized white vanities, granite composite counters, new nickel faucets and fixtures. Sunny unit with walk out balcony overlooking tennis courts and green space.  Furnace 2012, new windows 2014. Parking included</t>
  </si>
  <si>
    <t>Storage, Party Room, Pool-Outdoors, Security Door Locks, Tennis Court/s</t>
  </si>
  <si>
    <t>Heat, Water, Gas, Parking, Common Insurance, Security, Clubhouse, Pool, Exterior Maintenance, Lawn Care, Scavenger, Snow Removal</t>
  </si>
  <si>
    <t>call or text Dmitriy 630-338-9866</t>
  </si>
  <si>
    <t>Dmitriy Zakharchenko</t>
  </si>
  <si>
    <t>BENNETT</t>
  </si>
  <si>
    <t>83RD STREET TO BENNETT COMING FROM WEST GOING EAST</t>
  </si>
  <si>
    <t>20X125</t>
  </si>
  <si>
    <t>GREAT HOME BRING YOUR IDEAS FOR DECORATIONS.  HOME JUST NEEDS PAINT.  IDEAL FOR SMALL BUDGET. SEE THIS AND GRAB IT. 2 BEDROOM WITH REMODELED KITCHEN AND BATH.</t>
  </si>
  <si>
    <t>Lois White Realty</t>
  </si>
  <si>
    <t>(773) 995-5999</t>
  </si>
  <si>
    <t>Lois White, CRS,GRI</t>
  </si>
  <si>
    <t>Lake Villa</t>
  </si>
  <si>
    <t>PAINTED LAKES</t>
  </si>
  <si>
    <t>GRASS LK &amp; DEEP LK W2 PAINTED LK BLVD,S/BENTN,E/WINCHTER</t>
  </si>
  <si>
    <t>** BEAUTIFUL TOWN HOUSE**VERY RARE END UNIT** ONLY ONE IN THE AREA** COMPLETELY UPDATED* 20 FT CEILINGS** BAMBOO FLOORING THROUGH OUT THE FIRST LEVEL** NICE PATIO TO GRILL AND HANG OUT ON** HUGE MASTER WITH HUGE MASTER BATH** WALK IN CLOSETS** REAL NICE PARK 1 BLOCK AWAY** GREAT SCHOOL DISTRICT** 2.5 CAR GARAGE**FIRE PLACE** CLOSE TO TOWN** THIS ONE HAS IT ALL AND WILL NOT LAST** MOTIVATED SELLERS**</t>
  </si>
  <si>
    <t>OAKLAND ELEMENTARY SCHOOL</t>
  </si>
  <si>
    <t>ANTIOCH UPPER GRADE SCHOOL</t>
  </si>
  <si>
    <t>LAKES COMMUNITY HIGH SCHOOL</t>
  </si>
  <si>
    <t>18X31</t>
  </si>
  <si>
    <t>Great Room, Utility Room-1st Floor</t>
  </si>
  <si>
    <t>TV-Cable, TV-Dish</t>
  </si>
  <si>
    <t>Townhouse-2 Story, Other</t>
  </si>
  <si>
    <t>Call listing Agent 847 561 8101</t>
  </si>
  <si>
    <t>Casey Cybul</t>
  </si>
  <si>
    <t>(847) 561-8101</t>
  </si>
  <si>
    <t>Williamsport</t>
  </si>
  <si>
    <t>WILLIAMSPORT</t>
  </si>
  <si>
    <t>63rd to Williams to Williamsport</t>
  </si>
  <si>
    <t>Lovely 1st floor end unit with peaceful water views.Cheerful kitchen and hallways with Pergo floors. Sliding doors to patio with full water view. Spacious bedrooms with Hunter ceiling fans and lights. Plush neutral carpeting, master with private bathroom and walk in closet, laundry room with washer and dryer. Extra deep attached garage offers room for storage. Move in condition, great location! Appliances included.</t>
  </si>
  <si>
    <t>2.5%-350 (on Gross SP)</t>
  </si>
  <si>
    <t>Call LA at 630-542-2986</t>
  </si>
  <si>
    <t>Re/Max Signature Homes</t>
  </si>
  <si>
    <t>(630) 325-4343</t>
  </si>
  <si>
    <t>Deborah Porcelli</t>
  </si>
  <si>
    <t>(630) 542-2986</t>
  </si>
  <si>
    <t>Rentals are allowed.</t>
  </si>
  <si>
    <t>VALLEY VIEW</t>
  </si>
  <si>
    <t>Rt. 59 North of Miller to LBS, ask Guard for Directions</t>
  </si>
  <si>
    <t>LOCATED IN LOVELY LBS! 3 LEVELS WITH A WALKOUT LOWER LEVEL!  LARGE DECKED, GATED COURTYARD ENTRY. BALCONIES OFF LIVING ROOM AND MASTER BEDROOM, LOWER LEVEL HAS FAMILY ROOM W/CORNER FIREPLACE AND WALKOUT TO PATIO. OVERLOOKS 6TH HOLE OF GOLF COURSE. This is a Fannie Mae Homepath Property.</t>
  </si>
  <si>
    <t>Water, Common Insurance, Security, Clubhouse, Exterior Maintenance, Lawn Care, Scavenger, Snow Removal, Lake Rights, Other</t>
  </si>
  <si>
    <t>USE SHOWASSIST</t>
  </si>
  <si>
    <t>Cornerstone Realty, Inc.</t>
  </si>
  <si>
    <t>(847) 398-3900</t>
  </si>
  <si>
    <t>Dennis Rusin</t>
  </si>
  <si>
    <t>All offers for this property must use the HomePath Online Offer system. Please do not email offers. See "OFFER INSTRUCTIONS" document attached on MLS. For assistance call 1-866-218-4446. Public Act 94-1049 WILL APPLY.</t>
  </si>
  <si>
    <t>Yorkshire</t>
  </si>
  <si>
    <t>OPLAINE AND BROOKHAVEN EAST TO YORKSHIRE NORTH TO #265</t>
  </si>
  <si>
    <t>Quick Close on this One!! Desirable End Unit in a Great Location. Recently Updated Kitchen, Open Floor Plan w/Two Story Living Room w/Gas Start Fire Place &amp; Sliders to Patio. Loft w/Skylights (could be converted to a 3rd bedroom), Master w/Walk-in Closet &amp; Dressing Area. Second Floor Laundry, Furnace, A/C, &amp; Water Heater All New 2014. Easy access to tollway and very convenient to shopping, library, schools.</t>
  </si>
  <si>
    <t>Loft, Utility Room-2nd Floor</t>
  </si>
  <si>
    <t>2.5% (-$250) (on Net SP)</t>
  </si>
  <si>
    <t>Call Showing Assist (855) 746-9100</t>
  </si>
  <si>
    <t>Community Saving Trust LT-2093</t>
  </si>
  <si>
    <t>Theresa Hannah</t>
  </si>
  <si>
    <t>(847) 772-8959</t>
  </si>
  <si>
    <t>SOLD AS IS - Quick close on this one. Bring your offers. Per Lieberman Management there are no restrictions for FHA on this property.</t>
  </si>
  <si>
    <t>White Oak</t>
  </si>
  <si>
    <t>WOODLAND HILLS</t>
  </si>
  <si>
    <t>Hunt Club and Washington West to White Oak south</t>
  </si>
  <si>
    <t>TOWNHOME</t>
  </si>
  <si>
    <t>Great Woodland Hills location, Just a few minutes from Warren Township parks, Middle, High and Grades schools, Lots of shopping and Major roads. Home offers Skylights, 2 Bedrooms, Loft, Large kitchen and Dining Family room. Back yard large open space area. 2 Car garage.</t>
  </si>
  <si>
    <t>Jack Wanger</t>
  </si>
  <si>
    <t>Acacia</t>
  </si>
  <si>
    <t>Wilshire Green</t>
  </si>
  <si>
    <t>Wolf Road North of Joliet Road to Acacia entrance, east to Acacia Circle</t>
  </si>
  <si>
    <t>Enjoy a maintenance free, resort lifestyle in this prestigious &amp; desirable community. ID/OD pools, exercise rm, gorgeous clubhouse w/flr to clg frplc, mtg rooms, library, billiards, walking paths....You'll love this spacious, freshly painted 2BR 2BTh model w/new carpet, new fridge &amp; d/w, matching O/R micro, neutral decor &amp; priv patio w/scenic views. Conveniently just steps to storage area, pkg spot &amp; elevator.</t>
  </si>
  <si>
    <t>21X8</t>
  </si>
  <si>
    <t>20X7</t>
  </si>
  <si>
    <t>Exercise Room, Storage, Park/Playground, Pool-Indoors, Pool-Outdoors, Security Door Locks, Tennis Court/s, Curbs/Gutters, Street Lights, Street Paved</t>
  </si>
  <si>
    <t>Assigned Parking Space #14 w/separate PIN #18-20-100-074-1118.  Taxes reflect both PIN's combined.  No dogs allowed.  Up to 2 cats are okay.</t>
  </si>
  <si>
    <t>SOUTH SHORE</t>
  </si>
  <si>
    <t>14F</t>
  </si>
  <si>
    <t>EXIT LSD AT 53RD ST. LEFT ONTO SOUTH SHORE DRIVE. SOUTH 3 BLOCKS TO 5330-5532 STREET/LOT PKG.</t>
  </si>
  <si>
    <t>MIES VAN DER ROHE'S PROMONTORY POINT, NAT'L REGISTER OF HISTORIC PLACES LISTED, FACES THE LAKE A BLOCK FROM THE BEACH AND MUSEUM OF SCIENCE &amp; INDUSTRY. 14F IS A SW FULLY AIR-CONDITIONED, 2BD W/LARGE CLOSETS, SPACIOUS UPDATED 2 FULL BATHS, KITCHEN W/BUTCHER BLOCK COUNTER &amp; MARBLE WINDOW SILLS. EASY ACCESS METRA OR CTA; 1 BLOCK FROM UofC BUS STOP TO CAMPUS. MONTHLY ASSMNT, LESS THAN RENT, COVERS ALL EXCEPT TELEPHONE!</t>
  </si>
  <si>
    <t>22X26</t>
  </si>
  <si>
    <t>Bike Room/Bike Trails, Door Person, Coin Laundry, Elevator, Exercise Room, Storage, Park/Playground, Service Elevator</t>
  </si>
  <si>
    <t>Heat, Air Conditioning, Water, Electric, Common Insurance, Tax, Doorman, TV/Cable, Exercise Facilities, Exterior Maintenance, Lawn Care, Scavenger, Snow Removal, Wi-Fi</t>
  </si>
  <si>
    <t>Glass, Concrete</t>
  </si>
  <si>
    <t>CALL OR EMAIL AGENT; AGENT MUST ACCOMPANY</t>
  </si>
  <si>
    <t>(312) 944-8900</t>
  </si>
  <si>
    <t>Susan O'Connor</t>
  </si>
  <si>
    <t>(312) 893-8144</t>
  </si>
  <si>
    <t>ASSESSMENT INCLUDES TAXES. BUILDING ALLOWS 80% FINANCING.</t>
  </si>
  <si>
    <t>Mckool</t>
  </si>
  <si>
    <t>WOODLAND HEIGHTS</t>
  </si>
  <si>
    <t>Barrington Rd to Irving Park Rd, W to McKool, S to property</t>
  </si>
  <si>
    <t>PRICED TO SELL,SPACIOUS TOWNHOME, PRIVATE YARD, CLOSE TO EVERYTHING, INVESTORS WELCOME, SO STEAL THIS DEAL! NO SURVEY, NO DISCLOSURES,HOME SOLD "AS IS", TAXES PRORATED AT 100%, PROOF OF FUNDS REQUIRED, SEE ADDITIONAL INFO FOR OFFER INSTRUCTIONS, ALL OFFERS WILL NOT BE RESPONDED TOO FOR 7 BUSINESS DAYS, PLEASE FEEL TO FORWARD OFFERS IN ADVANCE.</t>
  </si>
  <si>
    <t>PARKWOOD ELEMENTARY SCHOOL</t>
  </si>
  <si>
    <t>CALL 866-571-7181</t>
  </si>
  <si>
    <t>(847) 874-6800</t>
  </si>
  <si>
    <t>Cris Sallmen</t>
  </si>
  <si>
    <t>(847) 650-5352</t>
  </si>
  <si>
    <t>PROPERTY BEING TRASHED OUT THIS WEEKEND, PLEASE WATCH YOUR STEP AROUND THE DEBRIS!!</t>
  </si>
  <si>
    <t>Garritano</t>
  </si>
  <si>
    <t>Bristol Bay</t>
  </si>
  <si>
    <t>47 N,Galena E,Rosenwinkle N, Bristol Bay W, Garritano S</t>
  </si>
  <si>
    <t>***EQUAL HOUSING OPPORTUNITY*** Great Potential in This Spacious Town-Home! 2 Bedrooms and Huge Loft! Ample Natural Light! Fireplace in Living Room! Property listed IN, HOA $ 172/M.  Property Sold As-Is. ***Fifteen Day Owner Occupant Bid Period***</t>
  </si>
  <si>
    <t>Bike Room/Bike Trails, Park/Playground, Pool-Outdoors</t>
  </si>
  <si>
    <t>Owner Occ only 1st 15 days, see Add. info.OFFER submission: HudHomestore.com, Case# 137-581439. Broker must have active NAID # to place BID electronically. Sold as-is. Property listed IN. HOA $172 Month</t>
  </si>
  <si>
    <t>WATERS EDGE</t>
  </si>
  <si>
    <t>WATERSEDGE</t>
  </si>
  <si>
    <t>Bloomingdale Rd N of Army Tr to Dunteman, Left to Complx</t>
  </si>
  <si>
    <t>Two Bedroom, Two bath condo with 1 car garage. Unit has own washer/dryer. Just needs your finishing touches to make it your own. Excellent location near shopping and main highways.</t>
  </si>
  <si>
    <t>Storage, Security Door Locks, Sidewalks, Street Lights, Street Paved</t>
  </si>
  <si>
    <t>CLICK ON SCHEUDLE A SHOWING BELOW</t>
  </si>
  <si>
    <t>THIS IS A FANNIE MAE HOMEPATH PROPERTY. SELLER DOES NOT PROVIDE SURVEY NOR DISCLOSURES. TAXES ARE PRORATED 100%. SELLER INSTRUCTS ALL OFFERS ARE TO BE SUBMITTED @ WWW.HOMEPATH.COM</t>
  </si>
  <si>
    <t>GLENEAGLE FARMS</t>
  </si>
  <si>
    <t>RANDALL RD SOUTH TO BINNIE RD WEST TO ORCHARD NORTH (RANDALL OAKS COUNTRY CLUB ON THE LEFT)</t>
  </si>
  <si>
    <t>HARD TO FIND 1ST FLOOR CONDO WITH GLEAMING HARDWOOD FLOORS, BRICK FIREPLACE AND PATIO. AREA IN THE BACK LOTS OF GREEN SPACE.  OPEN FLOORPLAN FOR EASE OF ENTERTAINING, SPACIOUS BEDROOMS, MASTER WITH W/I CLOSET, &amp; 1 1/2 BATHS.  VERY PRIVATE ACCESS AS WELL AS FROM YOUR GARAGE. THIS IS A LOVELY COMMUNITY VERY CLOSE TO SHOPPING, COUNTRY CLUB &amp; EASE TO THE EXPRESSWAY.  BEAUTIFULLY MAINTAINED.</t>
  </si>
  <si>
    <t>Gas Logs, Includes Accessories</t>
  </si>
  <si>
    <t>USE SHOWING ASSIST OR CALL LIST OFFICE</t>
  </si>
  <si>
    <t>Deborah Currey</t>
  </si>
  <si>
    <t>(815) 245-9811</t>
  </si>
  <si>
    <t>EASY TO SHOW, 2nd BEDROOM CURRENTLY USED AS DEN, VERY NICELY MAINTAINED, ONLY 2 PETS AND ONLY 1 CAN BE A DOG</t>
  </si>
  <si>
    <t>Henley Lot#410.03</t>
  </si>
  <si>
    <t>MAYFAIR</t>
  </si>
  <si>
    <t>Rt 59 North of 75th St. to Audrey E. Left on Blakely R. on Dunraven on your right.</t>
  </si>
  <si>
    <t>BELMONT-A</t>
  </si>
  <si>
    <t>Brand New Mayfair Extension is NOW READY! This "Belmont" Features 2 Bedrooms, Loft, Bonus Room and 2.5 baths! Kit w/Granite Counter, Island, 42" Cabs, SS Appliances, &amp; Hardwood Floors! 9 Ft. Ceilings on Main level. Stained Railings &amp; Spindles, Awesome 204 School District, Close to Shops + Restaurants. 30 Yr. Transferable Builder Warranty.  Photo's are of Subject Home. Ready For Immediate Delivery</t>
  </si>
  <si>
    <t>Eating Area, Great Room, Loft</t>
  </si>
  <si>
    <t>Call Community @ 630-857-9180 Or Use Showing Assist</t>
  </si>
  <si>
    <t>630-857-9180</t>
  </si>
  <si>
    <t>Agent Must Accompany Buyers on 1st Visit/Please Register with Mary &amp; Call Her Cell @ 847-338-9635 Commission is Paid on Base Price</t>
  </si>
  <si>
    <t>Lawrence Ave West of Harlem. North side of st. across from Norridge Park District</t>
  </si>
  <si>
    <t>MAINE</t>
  </si>
  <si>
    <t>BEAUTIFUL,  UPDATED 2 BEDROOM, 2 BATHS CONDO. RECENTLY REMODELED.MODERN, BRIGHT  KITCHEN WITH GRANITE COUNTER  TOPS. NICE HARDWOOD FLOORS. LARGE WALK-IN CLOSET. CENTRAL AIR. LARGE BALCONY OVERLOOKS ON BEAUTIFULLY LANDSCAPED COURTYARD. ASSIGNED PARKING SPACE. LOTS OF ADDITIONAL OFF STREET PARKING AND PLENTY OF GUEST PARKING. GREAT LOCATION- CLOSE TO SHOPPING, TRANSPORTATION, HIGHWAY, AIRPORT. GREAT SCHOOLS.</t>
  </si>
  <si>
    <t>JAMES GILES ELEMENTARY SCHOOL</t>
  </si>
  <si>
    <t>RIDGEWOOD COMM HIGH SCHOOL</t>
  </si>
  <si>
    <t>Overhead Sewers</t>
  </si>
  <si>
    <t>2.5%- $275 (on Net SP)</t>
  </si>
  <si>
    <t>24 HRS A MUST- CALL L.O OR E-MAIL L.A</t>
  </si>
  <si>
    <t>Re/Max Landmark</t>
  </si>
  <si>
    <t>(773) 467-8500</t>
  </si>
  <si>
    <t>Elzbieta Zajac</t>
  </si>
  <si>
    <t>(773) 750-5651</t>
  </si>
  <si>
    <t>NO FHA APPROVED</t>
  </si>
  <si>
    <t>Lake In The Woods</t>
  </si>
  <si>
    <t>Plaifield Rd east of Lemont Rd to Woodglen Ln North to Bldg.</t>
  </si>
  <si>
    <t>One look and you'll fall in love! kitchen with custom maple cabinets, granite counter tops &amp; full back splash, Pantry, &amp;double sink. 6 panel doors throughout. Master bedroom with private half bath. Laundry in unit. Second bedroom w/ large walk in closet. Tons of storage! Secure heated garage spot - with storage in garage. Enjoy the park-like setting just outside your sliding glass door.</t>
  </si>
  <si>
    <t>Street Lights</t>
  </si>
  <si>
    <t>Heat, Water, Gas, Parking, Common Insurance, Exterior Maintenance, Lawn Care, Snow Removal</t>
  </si>
  <si>
    <t>See Secure Showing Assist</t>
  </si>
  <si>
    <t>Donna Glazer</t>
  </si>
  <si>
    <t>(630) 971-7675</t>
  </si>
  <si>
    <t>2015 budget calls for no increase in regular assessments - but payment will increase $43.88 due to necessary association reimbursement.</t>
  </si>
  <si>
    <t>WASHINGTON/HUNT CLUB W2 WHITE OAK S2 WALNUT E2 ADDR</t>
  </si>
  <si>
    <t>End unit with fireplace. Needs carpet and paint. Sold as is where is, taxes prorated at 100% no survey provided. Multiple offers highest and best due by 5:00 PM 12/23/2014</t>
  </si>
  <si>
    <t>Call 800-746-9464</t>
  </si>
  <si>
    <t>Secretary of Veterans Affairs</t>
  </si>
  <si>
    <t>Brokerocity Inc</t>
  </si>
  <si>
    <t>(847) 984-9500</t>
  </si>
  <si>
    <t>Frank Richier</t>
  </si>
  <si>
    <t>(847) 909-0332</t>
  </si>
  <si>
    <t>Use attached contract only Buyer responsible for $2,918.94 in HOA fees, legal fees and late fees. No rentals allowed. Potential breach in plumbing.</t>
  </si>
  <si>
    <t>Briar Hill</t>
  </si>
  <si>
    <t>BRIAR HILL</t>
  </si>
  <si>
    <t>West of Mill Rd on Lake to Briar Hill then go South</t>
  </si>
  <si>
    <t>SUPER SHARP 2 BEDROOMS 1.1 BATH 3RD FLOOR UNIT WITH LARGE LR/DR COMBO.  NICE OPEN FLOOR PLAN WITH LARGE DECK OVERLOOKING LOVELY POND. WASHER AND DRYER IN UNIT.  UPDATED KITCHEN WITH BACK SPLASH PLUS ALL APPLIANCES INCLUDED.  MASTER BEDROOM WITH FULL BATH.  BEAUTIFUL DECOR TROUGH OUT.  MUST SEE TO APPRECIATE.</t>
  </si>
  <si>
    <t>WESLEY ELEMENTARY SCHOOL</t>
  </si>
  <si>
    <t>Water, Common Insurance, Lawn Care, Scavenger, Snow Removal</t>
  </si>
  <si>
    <t>Call listing agent for appointment</t>
  </si>
  <si>
    <t>Coldwell Banker Gladstone</t>
  </si>
  <si>
    <t>(708) 544-6800</t>
  </si>
  <si>
    <t>Ruby Ivancevich</t>
  </si>
  <si>
    <t>(708) 738-1211</t>
  </si>
  <si>
    <t>BEAUTIFUL UNIT-MUST SEE!!    MGMNT CO;  630-787-0305X300</t>
  </si>
  <si>
    <t>HORIZON</t>
  </si>
  <si>
    <t>EAGLES RIDGE</t>
  </si>
  <si>
    <t>Naperville Rd TO Spaulding E TO Horizon to PIQ</t>
  </si>
  <si>
    <t>TAHOE</t>
  </si>
  <si>
    <t>Stunning, 2 bed, 1.5 bath home w/ loft in sought-after Eagles Ridge! Lovely, open kitchen lined w/ refurbished cabinets, new stainless steel appliances &amp; glass tile backsplash! Large Dining Rm and Living Rm w/ 2 story ceiling! Designer palette! Smart featuresâ€¦built-in USB plugs &amp; NEST Smart Thermostat! Spacious Master Suite w/ 2 closets &amp; Master Bath! Gorgeous curb appeal! Convenient locale! Backs to nature preserve!</t>
  </si>
  <si>
    <t>Forest Preserve Adjacent</t>
  </si>
  <si>
    <t>Humidifier, TV-Cable, CO Detectors, Ceiling Fan, Sump Pump</t>
  </si>
  <si>
    <t>Baird &amp; Warner Real Estate</t>
  </si>
  <si>
    <t>(847) 426-7510</t>
  </si>
  <si>
    <t>Amy Foote, ABR,GRI,SFR</t>
  </si>
  <si>
    <t>(847) 602-9979</t>
  </si>
  <si>
    <t>Amazing home!  Agents, please use Agent Presentation Guidelines to show house and answer any questions.  You will NOT be disappointed!  No FHAâ€¦assn not FHA approved.</t>
  </si>
  <si>
    <t>LIGHTHOUSE</t>
  </si>
  <si>
    <t>WATERFRONT ESTATES</t>
  </si>
  <si>
    <t>WASHINGTON ST S2 BAILEY RD, L2 LIGHTHOUSE DR</t>
  </si>
  <si>
    <t>RARELY AVAILABLE RANCH Â½ DUPLEX!  LARGE YARD &amp; GREAT VIEWS, COVERED PORCH &amp; ATTACHED GARAGE.  COMPLETELY RENOVATED IN 2011 W/NEW FLOORS THROUGHOUT, GOURMET KITCHEN &amp; UPDATED BATH,  CUSTOM FIREPLACE W/BUILT IN SHELVES.  WINDOWS, SLIDING GLASS DOOR, A/C &amp; FURNACE, &amp; WASHER/DRYER ALL REPLACED IN 2012.  LOW ASSESSMENTS, CONVENIENT LOCATION.</t>
  </si>
  <si>
    <t>2.5% LESS $250 (on Net SP)</t>
  </si>
  <si>
    <t>Rita Raden, GRI</t>
  </si>
  <si>
    <t>(630) 881-2894</t>
  </si>
  <si>
    <t>Buyers agent must accompany all showings.</t>
  </si>
  <si>
    <t>Eola to Liberty w. to Reflections north</t>
  </si>
  <si>
    <t>Tons of upgrades: Granite counter top and stainless steel appliances in kitchen. Hardwood floor thro 1st floor, fireplace and 2 story ceiling in family room.  Spacious master bd with walk in closet and french door.  Loft can be converted into 3rd bd. 2nd floor laundry.   Finished basement. New water heater.  Great location closed to schools and expressway.  Don't need to look further.   nothing to do but just move in</t>
  </si>
  <si>
    <t>Oven/Range, Dishwasher, Dishwasher-Portable, Refrigerator, Washer, Dryer, Disposal, All Stainless Steel Kitchen Appliances</t>
  </si>
  <si>
    <t>2.5%-$295 (on Gross SP)</t>
  </si>
  <si>
    <t>please call or text the listing agent and show.  6306975296</t>
  </si>
  <si>
    <t>Kwijung Ryu</t>
  </si>
  <si>
    <t>(630) 697-5296</t>
  </si>
  <si>
    <t>Please see *work list*</t>
  </si>
  <si>
    <t>RT. 31 S OF RT. 62 TO SILVERSTONE WEST TO LIMESTONE NORTH TO ADDRESS ON RIGHT SIDE</t>
  </si>
  <si>
    <t>OPEN, BRIGHT, NEAUTRAL TOWNHOME W/2 BEDROOMS AND A LOFT, BACKS TO OPEN AREA, ALMOST 1100 SQ. FT. WITH LOW HOAs. *** REGULAR SALE ***</t>
  </si>
  <si>
    <t>CALL 888 362-3222</t>
  </si>
  <si>
    <t>(847) 931-4663</t>
  </si>
  <si>
    <t>Joy Drwal, CSC,e-PRO</t>
  </si>
  <si>
    <t>(847) 529-5015</t>
  </si>
  <si>
    <t>OGDEN TO RIVER ROAD, SOUTH TO CHALET</t>
  </si>
  <si>
    <t>FABULOUS 2 BEDROOM CONDO IN GREAT NAPERVILLE LOCATION!  CLOSE TO EVERYTHING; TRANSPORTATION, SHOPPING, SCHOOLS &amp; MORE!  SPACIOUS UNIT WITH FIREPLACE IN LIVING ROOM!  NICELY UPGRADED UNIT IN SMALL CONDO BUILDING.  LARGE COVERED BALCONY.  GREAT OPPORTUNITY!  FANNIE MAE HOMEPATH PROPERTY.</t>
  </si>
  <si>
    <t>BAMBERG</t>
  </si>
  <si>
    <t>SIERRA BLANCA</t>
  </si>
  <si>
    <t>LAKE 2 GREENBROOK S2 MADERA W TO BAMBERG CT S</t>
  </si>
  <si>
    <t>***NO STEPS*** SPACIOUS 1ST FLOOR CONDO WITH PRIVATE ENTRANCE! HUGE LIVING RM/DINING RM WITH FULL WALL OF PATIO DOORS. MAKE THIS YOURS TODAY!  CONVENIENT LOCATION:  2 MINUTES TO TRAIN AND EXPY! SOLD AS-IS - ALL INFORMATIOON DEEMED RELIABLE BUT NOT GUARANTEED -  INSURED ESCROW 3740.00</t>
  </si>
  <si>
    <t>CALL  800-746-9464</t>
  </si>
  <si>
    <t>Owner Occupts, NPOs &amp; Gov't Agencies bidding @ www.hudhomestore.com ref. 137-383385 Up to 3% CC. NAID# needed to bid. Exclusive bidding thru 12/28 Daily after if available. More info @ www.hudpemco.com. ALL BIDDERS AFTER</t>
  </si>
  <si>
    <t>Glacier</t>
  </si>
  <si>
    <t>Route 25 to Silverstone to Glacier turn right to home</t>
  </si>
  <si>
    <t>Fannie Mae Homepath property!  Bright and open 2 Story end unit condo with a big kitchen &amp; eating area, 2 bedrooms, 2.5 baths, 2nd floor laundry, 2 Car attached garage, patio &amp; more.  Fresh paint &amp; new carpet!   See attached docs prior to submitting an offer on Homepath.</t>
  </si>
  <si>
    <t>Microwave, Refrigerator, Dryer</t>
  </si>
  <si>
    <t>PLEASE CALL CENTRALIZED SHOWINGS 877-977-1010</t>
  </si>
  <si>
    <t>Restrictions on investors renting 6 month minimum.  Please see the attached docs. The seller has directed that all offers be made on Homepath.com.  Please also send the same docs to kim@cag-reos.com and we will confirm receipt.</t>
  </si>
  <si>
    <t>SHOREWOOD</t>
  </si>
  <si>
    <t>GB</t>
  </si>
  <si>
    <t>NORTH AV.(RT.64 ) TO BLOOMINGDALE SOUTH TO SHOREWOOD DR.EAST TO 270 SECOND ENTRANCE LEFT.</t>
  </si>
  <si>
    <t>Heat, Water, Gas, Parking, Pool, Exterior Maintenance, Lawn Care, Scavenger, Snow Removal</t>
  </si>
  <si>
    <t>2.5 - $ 150 (on Gross SP)</t>
  </si>
  <si>
    <t>CALL L.A .LEAVE MESSAGE,SENTRILOCK,SWIMING  POOL DOOR BLD.-255 # 2 LOCK</t>
  </si>
  <si>
    <t>Good Luck Properties Inc.</t>
  </si>
  <si>
    <t>(630) 650-0936</t>
  </si>
  <si>
    <t>Bob Oza</t>
  </si>
  <si>
    <t>Good  CONDITION,NEWER CARPET,PAINT, CABINETS ,APPLIANCES,UPDATED KITCHEN.BATH IN LAST 2 YEARS.CLOSE TO I-355,SHOPPING.MOVE IN CONDITION.ASSOCIATION INCLUDES HEAT,WATER,EXT.MAINTENANCE,.SHOW AND SELL.Prop.tax reflect senior citizen Discount.</t>
  </si>
  <si>
    <t>ROUTE 59, 2 BLOCKS SOUTH OF LAKE-COOK TO RUSSELL,  2 BLOCKS WEST OF HOUGH</t>
  </si>
  <si>
    <t>Top floor 2 bed / 1 bath condo with garage and storage unit.  Unit features brick wall, wood burning fire place, granite counter tops and updated bathroom.</t>
  </si>
  <si>
    <t>08X11</t>
  </si>
  <si>
    <t>05X10</t>
  </si>
  <si>
    <t>Elevator, On Site Manager/Engineer, Street Lights, Street Paved</t>
  </si>
  <si>
    <t>Call Jon Millikin (773) 307-9175 or jmillikin@jameson.com</t>
  </si>
  <si>
    <t>COLLEGE TRAIL</t>
  </si>
  <si>
    <t>Rt. 120 to Atkinson.  N. on Atkinson to Brae Loch.  E. on Brae Loch to Cambridge. S. to property.</t>
  </si>
  <si>
    <t>APROX. 25 X 110</t>
  </si>
  <si>
    <t>Please be sure to take off shoes; brand new carpet installed.</t>
  </si>
  <si>
    <t>19X21</t>
  </si>
  <si>
    <t>Separate Shower, No Tub</t>
  </si>
  <si>
    <t>Humidifier</t>
  </si>
  <si>
    <t>2.5 PERCENT - $200.00 (on Gross SP)</t>
  </si>
  <si>
    <t>Book through Showing Assist or call listing Agent at 847-502-6917</t>
  </si>
  <si>
    <t>Countywide Real Estate</t>
  </si>
  <si>
    <t>(847) 223-4800</t>
  </si>
  <si>
    <t>David McNamara</t>
  </si>
  <si>
    <t>(847) 502-6917</t>
  </si>
  <si>
    <t>Move-in-ready ranch town home with no association fees!  Freshly painted and new carpet throughout.  Close to downtown Grayslake, train, and walking distance to parks.  New roof and new tile/shower in bath.  Master also has walk-in closet.</t>
  </si>
  <si>
    <t>CLEAR WATER</t>
  </si>
  <si>
    <t>Rte 134 to Fairfield Rd, north to Long Lake Dr, west to Clear water....Building on right</t>
  </si>
  <si>
    <t>BE IMPRESSED! STOP PAYING RENT! THIS AFFORDABLE CONDO INCLUDES ALL UTIL EXCEPT ELEC*COMFORTABLE RM SIZES*GOOD STORAGE* ALL APPL*SPOTLES KITCHEN*MASTER BEDRM W/WALK IN CLOSET*ENYOY NATURE AS ITS BEST*LAKE COUNTY HAS A LOT TO OFFER FROM LAKES TO GREAT FOREST PRESERVES*CLOSE TO TRANSPORTATION WITH TWO TRAIN STATIONS NEAR BY*</t>
  </si>
  <si>
    <t>Exterior Maintenance, Snow Removal</t>
  </si>
  <si>
    <t>Of Records</t>
  </si>
  <si>
    <t>Jorge Trujillo, e-PRO</t>
  </si>
  <si>
    <t>(847) 990-3156</t>
  </si>
  <si>
    <t>Great place for your clients, can close very fast, regular sale, motivated seller.</t>
  </si>
  <si>
    <t>BERESFORD</t>
  </si>
  <si>
    <t>MILL CROSSING AT GRANDE RESERVE</t>
  </si>
  <si>
    <t>I-88 TO ORCHARD-S TO GALENA ROAD, W TO KENNEDY S TO MILL E TO BIG ROCK S TO 2245 BERESFORD DR.</t>
  </si>
  <si>
    <t>FOXBOROUGH</t>
  </si>
  <si>
    <t>Great town home in Grande Reserve. Everything is like new! Updated flooring throughout.  Large, sunny eat-in kitchen with new granite, SS appliances and a pantry. 3 levels of living space. 2 large bedrooms plus a loft. 2.5 baths, large living room. Finished lower level family room could be a 3rd bedroom. Master bedroom has a walk-in closet and a master bath. 2 car attached garage. Across the street from a new park!</t>
  </si>
  <si>
    <t>2.5%- 150.00 (on Gross SP)</t>
  </si>
  <si>
    <t>Call Mike the Owner at 773-505-5845</t>
  </si>
  <si>
    <t>773-505-5845</t>
  </si>
  <si>
    <t>Windsor Real Estate Services, Inc.</t>
  </si>
  <si>
    <t>(630) 267-5047</t>
  </si>
  <si>
    <t>John Cartina</t>
  </si>
  <si>
    <t>Very nice unit.</t>
  </si>
  <si>
    <t>5th</t>
  </si>
  <si>
    <t>Willow springs road to 5th avenue cut-off.  East to Condo.</t>
  </si>
  <si>
    <t>Buy the perfect Holiday Gift! Highly sought after 1st floor w/very close parking space. New carpet in the master bdrm, large eat-in kitchen area. Lots of potential, like the make-up area can be converted to a walk-in closet. Includes outdoor swimming pool. Located near 294 &amp; I-55.  Across from golf club, just minutes for all major shopping. Nice ride to downtown Chicago.</t>
  </si>
  <si>
    <t>9X15</t>
  </si>
  <si>
    <t>Water, Parking, Common Insurance, Clubhouse, Pool, Exterior Maintenance, Lawn Care, Snow Removal</t>
  </si>
  <si>
    <t>2% (on Gross SP)</t>
  </si>
  <si>
    <t>Contact Waller Realty 24 hours prior to showing for lockbox combination.</t>
  </si>
  <si>
    <t>Waller Realty, Inc.</t>
  </si>
  <si>
    <t>(312) 606-0540</t>
  </si>
  <si>
    <t>Elizabeth Cain Waller</t>
  </si>
  <si>
    <t>CELL 708-476-0267</t>
  </si>
  <si>
    <t>Please remove shoes...this could be your future home.  Again, please keep shoes off while view the condo.</t>
  </si>
  <si>
    <t>McDowell</t>
  </si>
  <si>
    <t>CHANTECLEER LAKES</t>
  </si>
  <si>
    <t>Raymond Dr. to McDowell west, to 2nd entrance on left, unit will be on your left</t>
  </si>
  <si>
    <t>STERLING</t>
  </si>
  <si>
    <t>Sun drenched 2 bedroom 2 full bath condo. 2nd floor Corner unit w/ 2 patios. cherry cabinets. Laundry in unit. Desirable North Naperville location! Minutes from I-88, Rt 59 train station, and Cantera! Assigned parking &amp; guest area. Monthly Assessment includes water, pool, exercise room, sauna and Club House.</t>
  </si>
  <si>
    <t>Exercise Room, Health Club, Party Room, Pool-Outdoors, Sauna, Sidewalks, Street Paved</t>
  </si>
  <si>
    <t>Water, Common Insurance, Clubhouse, Exercise Facilities, Pool, Lawn Care, Scavenger, Snow Removal</t>
  </si>
  <si>
    <t>Trevor Pauling</t>
  </si>
  <si>
    <t>Parking Space - C108 (right in front of the building, very convenient)</t>
  </si>
  <si>
    <t>Stockley</t>
  </si>
  <si>
    <t>FAIRMOUNT VILLAGE</t>
  </si>
  <si>
    <t>75TH TO FAIRMOUNT N TO 73RD W TO YORK  S TO STOCKLEY RD</t>
  </si>
  <si>
    <t>END UNIT WITH OPEN STAIRWAY TO LOFT W/WB FPL OVERLOOKING VAULTED LR (ADD FUTON  FOR OCCASIONAL GUEST ROOM)! MBR HAS DBL CLOSETS, PLUS 6X11 WIC, ACCESS TO ATTIC. RECENT UPDATES INCLUDE: BOTH BATHS, APPLS, LIGHT FIXTURES &amp; DOWNLIGHTS, WINDOWS, SOFFIT &amp; FACIA, FRONT DR, SHUTTERS, FURNACE, A/C, PATIO SGD, CARPETING, WASHER &amp; DRYER, HW HEATER, DRIVEWAY. FENCED AREA FOR KIDS/PETS PLUS OPEN GREEN SPACE. QUIET, WALK TO MALL!</t>
  </si>
  <si>
    <t>4X6</t>
  </si>
  <si>
    <t>Loft, Utility Room-1st Floor</t>
  </si>
  <si>
    <t>Click on "Schedule a Showing"</t>
  </si>
  <si>
    <t>Papadopoulos</t>
  </si>
  <si>
    <t>Lee Jepsen, CSC</t>
  </si>
  <si>
    <t>(630) 985-3396</t>
  </si>
  <si>
    <t>C:630-697-2533  Karen:630-401-5824</t>
  </si>
  <si>
    <t>Quaint "New England village" appeal with quiet streets, yet walk to shopping mall &amp; restaurants.  Single-family style living, with low assessment that covers lawn mowing.</t>
  </si>
  <si>
    <t>Redbridge</t>
  </si>
  <si>
    <t>BRIARGATE</t>
  </si>
  <si>
    <t>RT 83 N OF LAKE STREET TO LEXINGTON L2 STOCKTON L2 REDBRIDGE L2 HOME</t>
  </si>
  <si>
    <t>SOLD BEFORE PROCESSING</t>
  </si>
  <si>
    <t>CALL 866-852-8313. NOTICE PREFERRED</t>
  </si>
  <si>
    <t>Elizabeth Splitt, e-PRO</t>
  </si>
  <si>
    <t>(847) 987-4941</t>
  </si>
  <si>
    <t>RT 31 S OF 20 2 CONCORD W 2 WINDSOR N 2 340B</t>
  </si>
  <si>
    <t>HOME SWEET HOME ! FABULOUS END UNIT TOWNHOME STYLE CONDO IN CONCORD WOODS! 9' CEILINGS 1ST FLR. FULL FIN BASEMENT WITH WET BAR &amp; LAUNDRY ROOM. OVERSIZED 1 CAR ATTACHED GARAGE. NEUTRALLY DECORATED ,VAULTED CEILINGS , 2 HUGE BEDROOMS WITH VAULTED CEILINGS , SUNNY KITCHEN WITH WHITE CABINETS. THIS HOME IS BEING SOLD AS IS WHERE IS. TAXES BEING PRORATED AT 100% THIS HOME IS UNDER THE 1ST LOOK INITIATIVE THRU 12/28/2014.</t>
  </si>
  <si>
    <t>Main to Curtiss E to Mochel Dr. N to Burlington W.</t>
  </si>
  <si>
    <t>Location, style, upgrades, east view, proximity to everything, top floor, hardwood, gorgeous cabinets, granite accents, stainless steel appliances...  just a few of the great amenities this 2008 condo offers!  Two full baths, 2 bedrooms, storage and 2 prime location deeded garage spaces! Move in relax and enjoy this clean neat place with balcony for warm nights or morning coffee... perfect space for your new place!</t>
  </si>
  <si>
    <t>TV-Cable, Security System, Intercom, Fire Sprinklers</t>
  </si>
  <si>
    <t>2.5% -225 (on Net SP)</t>
  </si>
  <si>
    <t>Prior Day Notice, click on Showing Assist or Call Showing Time 800-746-9464</t>
  </si>
  <si>
    <t>Eric Logan</t>
  </si>
  <si>
    <t>(630) 675-1737</t>
  </si>
  <si>
    <t>Prior day notice please</t>
  </si>
  <si>
    <t>SHENSTONE</t>
  </si>
  <si>
    <t>HARLEM AVENUE TO SHENSTONE- PROCEED WEST TO PROPERTY!</t>
  </si>
  <si>
    <t>VERY NICE CONDO - THIRD FLOOR END UNIT IN ELEVATOR BUILDING.WELCOME FAMILY AND FRIENDS INTO AN INVITING DOUBLE DOORED FOYER AREA.  SPACIOUS LIVING ROOM FLOWS NICELY WITH DINING ROOM, CABARET SEATING IN THE KITCHEN, 2 BEDROOMS, 2 BATHS WITH THE MBR HAS LARGE WALK-IN-CLOSET. CARPET ALLOWANCE AVAILABLE. PARTY ROOM ALSO AVAILABLE FOR ENTERTAINING.  SHOPPING &amp; TRAIN CLOSE BY! COME TAKE A LOOK!!!!! FANTASTIC PRICE!!</t>
  </si>
  <si>
    <t>08X05</t>
  </si>
  <si>
    <t>Elevator</t>
  </si>
  <si>
    <t>Water, Common Insurance, Clubhouse, Exterior Maintenance, Lawn Care, Scavenger, Snow Removal</t>
  </si>
  <si>
    <t>2.5%-$150 (ON GROSS SP) (on Gross SP)</t>
  </si>
  <si>
    <t>CALL LO APPT DESK #708-482-6170</t>
  </si>
  <si>
    <t>708-642-4663</t>
  </si>
  <si>
    <t>(708) 482-6170</t>
  </si>
  <si>
    <t>Terry Booth</t>
  </si>
  <si>
    <t>www.TerrenceBooth.com</t>
  </si>
  <si>
    <t>107 A</t>
  </si>
  <si>
    <t>Foxwood</t>
  </si>
  <si>
    <t>M161</t>
  </si>
  <si>
    <t>Lake Barrington Shores</t>
  </si>
  <si>
    <t>From County Line Road and Route 59 proceed north just past Miller Rd. to LBS. Ask directions to unit</t>
  </si>
  <si>
    <t>THIS IS THE HOME YOU HAVE BEEN WAITING FOR.  Private entrance. Beautifully update throughout.  New kitchen - stainless steel appliances, maple cabinets, granite, &amp; breakfast area. Vaulted ceilings, California master walk-in closet, large rooms plus a rare main level interior 9' x 12' STORAGE ROOM &amp; deck storage closet.  Perfect location - walk to rec center, indoor &amp; outdoor pools, tennis courts, lake, beach and more</t>
  </si>
  <si>
    <t>Bike Room/Bike Trails, Boat Dock, Exercise Room, Health Club, On Site Manager/Engineer, Park/Playground, Party Room, Pool-Indoors, Pool-Outdoors, Restaurant, Sauna, Tennis Court/s, Whirlpool, Gated Entry, Street Paved</t>
  </si>
  <si>
    <t>Oven/Range, Microwave, Dishwasher, Washer, Dryer, Disposal, All Stainless Steel Kitchen Appliances</t>
  </si>
  <si>
    <t>Foyer, Storage, Workroom</t>
  </si>
  <si>
    <t>Humidifier, Water-Softener Owned, TV-Cable, CO Detectors, Ceiling Fan</t>
  </si>
  <si>
    <t>Manager On-site, Monday through Sunday</t>
  </si>
  <si>
    <t>Call Showing Desk 855-746-9100</t>
  </si>
  <si>
    <t>Johathon DeFlorio</t>
  </si>
  <si>
    <t>847-269-2389</t>
  </si>
  <si>
    <t>Marian Malmborg, GRI</t>
  </si>
  <si>
    <t>(847) 269-1855</t>
  </si>
  <si>
    <t>The association fee for $2015 includes an monthly amount paid toward the remodeling of recreation building.  To pay off the total fee to remodel the rec center is $1,500.</t>
  </si>
  <si>
    <t>Jenna</t>
  </si>
  <si>
    <t>HEARTLAND MEADOWS</t>
  </si>
  <si>
    <t>McLean S of Lake St to Jenna W to Home</t>
  </si>
  <si>
    <t>Remodeled kitchen with Maple cabinets, granite countertops, ceramic back splash &amp; all stainless steel kitchen appliances. Hardwood flooring in the foyer and Kitchen, Powder room with newer vanity, sink, faucet &amp; light fixture. Newer full bath with custom ceramic wall &amp; floor, new vanity &amp; granite counter. All newer light fixtures. Brand new furnace and hot water heater too!  Newer washer and dryer as well.  Nice!</t>
  </si>
  <si>
    <t>3%-225 (on Net SP)</t>
  </si>
  <si>
    <t>Call 1-855-746-9100 for an appointment</t>
  </si>
  <si>
    <t>James and Nicole Partin</t>
  </si>
  <si>
    <t>(847) 524-4444</t>
  </si>
  <si>
    <t>Susan Hendricks</t>
  </si>
  <si>
    <t>(847) 951-4172</t>
  </si>
  <si>
    <t>Camden Bay</t>
  </si>
  <si>
    <t>Willow Bay</t>
  </si>
  <si>
    <t>Bowes Road to Umbdenstock to Camden Bay</t>
  </si>
  <si>
    <t>Great townhome close to tons of shopping and restaurants!!  *REGULAR SALE*  2 over-sized bedrooms with 2.5 baths!  Nothing to do but move right in.  All appliances stay including washer/dryer!!  Great quiet cul-de-sac location with 2 car garage!!  Must see!</t>
  </si>
  <si>
    <t>Whirlpool, Separate Shower, Soaking Tub</t>
  </si>
  <si>
    <t>2.5% MINUS $199 (on Net SP)</t>
  </si>
  <si>
    <t>Select "Showing Assist"</t>
  </si>
  <si>
    <t>Priced 2 Sell Realty, Inc</t>
  </si>
  <si>
    <t>(630) 805-0077</t>
  </si>
  <si>
    <t>Asif Mohammed</t>
  </si>
  <si>
    <t>(630) 849-1953</t>
  </si>
  <si>
    <t>Don't waste time with short sales!!  Earnest money held by seller's attorney Edward Kusta.  Please email questions or offers to asifsells@yahoo.com.  No sign at property.  LA is related to seller.</t>
  </si>
  <si>
    <t>Echo</t>
  </si>
  <si>
    <t>Head right onto Indianwood Dr,Turn right onto Echo Ct,Slight left to stay on Echo Ct.</t>
  </si>
  <si>
    <t>Plainfield Rd. to Woodglen, north.  Lake in the Woods.</t>
  </si>
  <si>
    <t>THIS IS A MUST SEE LARGE 2 BEDROOM, 1 1/2 BATH UNIT ON THE FIRST FLOOR OF A GREAT BUILDING. THE UNIT HAS BEEN UPDATED AND IS IN AMAZING CONDITION, NEW CARPET, FRESH PAINT, GALLEY STYLE KITCHEN, THE LIST GOES ON. THE UNIT IS MOVE IN READY. THIS IS A FANNIE MAE HOMEPATH PROPERTY, ALL INFORMATION IS ESTIMATED, TAXES PRO RATED AT 100% Public Act 94-1049 May Apply</t>
  </si>
  <si>
    <t>SELLER HAS VERBALLY ACCEPTED AN OFFER 3-3-2015.  PLEASE SUBMIT OFFERS TO HOMEPATH.COM, email offers@smithreo.com for offer questions</t>
  </si>
  <si>
    <t>RTE 59 TO 87TH STREET EAST TO SHEEHAN RIGHT TO RUTLAND N2 HOME.</t>
  </si>
  <si>
    <t>FABULOUS CHIC, CITY STYLE 2ND FLR HOME W/VAULTED CEILINGS, LARGE SUNNY WINDOWS &amp; DRAMATIC OPEN FEEL. PROF DESIGNED DECOR &amp; UPDATES INCLUDE PREMIUM HIGH PERFORMANCE WOOD FLOORS/CUSTOM LIGHTING &amp; STYLISH COLORS. SGD'S LEAD TO SPACIOUS BALCONY OVERLOOKING MATURE TREES &amp; POND. ALL JUST MINUTES TO VIBRANT DOWNTOWN NAPERVILLE SHOPPING DISTRICT &amp; TRAIN STATION.  EASY COMMUTE TO CHICAGO LOOP. TRULY A GEM!</t>
  </si>
  <si>
    <t>E (East), W (West), Lake/Water</t>
  </si>
  <si>
    <t>2.5 - $150.00 (on Net SP)</t>
  </si>
  <si>
    <t>4 hours notice. Appt must be confirmed.</t>
  </si>
  <si>
    <t>Suzanne Treudt, CNC,GRI,SFR,SRES</t>
  </si>
  <si>
    <t>(630) 335-5881</t>
  </si>
  <si>
    <t>Professionally decorated with open floor plan backing to pond. Shows beautifully. Wired with ADT alarm system.</t>
  </si>
  <si>
    <t>BOX CAR</t>
  </si>
  <si>
    <t>NAPERVILLE STATION</t>
  </si>
  <si>
    <t>WASHINGTON S, TO SPRING W TO WEBSTER N TO BOX CAR</t>
  </si>
  <si>
    <t>19X95</t>
  </si>
  <si>
    <t>SPACIOUS TOWNHOME IN UPSCALE NAPERVILLE STATION. LOCATED 1 BLOCKS FROM METRA TRAIN,3 BLOCKS FROM DOWNTOWN NAPERVILLE AND CLOSE TO THE RIVERWALK.  GOURMET KITCHEN WITH UPGRADED CABINETS AND GRANITE COUNTERTOPS. OTHER UPGRADES INCLUDE HARDWOOD FLOORS, FIREPLACE, CROWN MOLDINGS, AND MASTER BATH WITH LARGE SHOWER AND BODY SPRAYS. TRANSOM WINDOWS, 2ND FLOOR LAUNDRY. FINISHED BASEMENT. WALK TO ALL 203 SCHOOLS</t>
  </si>
  <si>
    <t>NAPER ELEMENTARY SCHOOL</t>
  </si>
  <si>
    <t>WASHINGTON JUNIOR HIGH SCHOOL</t>
  </si>
  <si>
    <t>Humidifier, TV-Cable, Ceiling Fan, Sump Pump, Air Cleaner</t>
  </si>
  <si>
    <t>CALL CO-LAG 630-248-5318</t>
  </si>
  <si>
    <t>Julie Kaczor, ABR</t>
  </si>
  <si>
    <t>(630) 718-3508</t>
  </si>
  <si>
    <t>630 399-9399</t>
  </si>
  <si>
    <t>RIPPLE BROOK</t>
  </si>
  <si>
    <t>Golf Rd East of 25 to Shady Oaks North to Ripplebrook N 2 Ripplebrook Ct</t>
  </si>
  <si>
    <t>JUST REMODELED! This townhome has been beautifully updated w/a modern flare. Features RARE two master suites, updated kitchen w/granite cntrs, ss fridge &amp; extra storage(2014). Master bath remodeled in 2014 with a spa like quality. Cathedral ceilings &amp; gorgeous hardwood floors on the upper level. *Quiet Cul de sac Location*Lake view*Walking Paths* Close to Shopping &amp; Tollway. Rentals allowed-You won't be disappointed!</t>
  </si>
  <si>
    <t>CALL SHOWING COORDINATOR 888-362-3222</t>
  </si>
  <si>
    <t>(847) 255-3900</t>
  </si>
  <si>
    <t>Lisa Nowogurski</t>
  </si>
  <si>
    <t>(847) 858-5399</t>
  </si>
  <si>
    <t>Rentals allowed without any limitation per HOA.</t>
  </si>
  <si>
    <t>Windstream</t>
  </si>
  <si>
    <t>New York W of Rt 59 to Frontenac S to Sandpebble to Prim</t>
  </si>
  <si>
    <t>Lovely second-floor condo featuring two large bedrooms, vaulted ceilings, balcony, one-car attached garage, laundry in-unit, fresh paint, and new carpet.  This is a Fannie Mae HomePath property.</t>
  </si>
  <si>
    <t>North Ave to Schmale</t>
  </si>
  <si>
    <t>Great space for the $$.  Spacious 2 bedroom 2 bath town home in Glendale Lakes subdivision. Kitchen w/table space overlooking living room w/fireplace. 2 good sized bedrooms upstairs. Sliding glass doors leading to patio.  Walk to pool.  Convenient 2nd floor laundry. Newer furnace. Near shopping, restaurants, and golf course.</t>
  </si>
  <si>
    <t>Rosemary Joyce Real Estate, In</t>
  </si>
  <si>
    <t>(708) 562-0600</t>
  </si>
  <si>
    <t>Dan Joyce</t>
  </si>
  <si>
    <t>CC: Pursuant to Short Sale. Subject to short sale. Any reduction in commission will be split 50/50. Short sale process already begun and being handled by experienced short sale attorney.</t>
  </si>
  <si>
    <t>OLESEN</t>
  </si>
  <si>
    <t>Chicago Ave to Olesen Dr (south) to Condo complex</t>
  </si>
  <si>
    <t>Large 3rd floor unit with private balcony. Great location, eat in kitchen, 2 bedroom 2 full bathrooms, corner fireplace, built-in cocktail station, modern kitchen, modern cook top, oven,  one car garage plus assigned parking space, and close to Downtown Naperville. This is a Fannie Mae Homepath property.</t>
  </si>
  <si>
    <t>Cats OK, Deposit Required, Dogs OK, Neutered and/or Declawed Only</t>
  </si>
  <si>
    <t>Randall to Hopps E to Sandhurst Ln, north to R on Lowell.</t>
  </si>
  <si>
    <t>You will not want to miss out on this newly renovated pond-front townhouse! Full finished basement, SS apps, and recently updated bathrooms add luxe to this cozy space. MB features high ceilings and jack and jill sink. Private back porch offers pond views and privacy of mature landscaping. Located just minutes from Randall Road shopping and dining.</t>
  </si>
  <si>
    <t>27X21</t>
  </si>
  <si>
    <t>Oven/Range, Microwave, Dishwasher, Refrigerator, Freezer</t>
  </si>
  <si>
    <t>Call Centralized Showings 877-977-1010</t>
  </si>
  <si>
    <t>Roman Realty Group</t>
  </si>
  <si>
    <t>(773) 278-3030</t>
  </si>
  <si>
    <t>Robert Kopp</t>
  </si>
  <si>
    <t>(630) 651-3722</t>
  </si>
  <si>
    <t>Prairie</t>
  </si>
  <si>
    <t>RT. 64 TO GLEN ELLYN RD,N TO SIDNEY,W TO PRAIRIE,SOUTH</t>
  </si>
  <si>
    <t>Beautiful 2 story townhouse! Property features a total of 2 bedrooms, 1 bathroom, patio, and 1 car detached garage. Close proximity to parks and shopping. Public Act 94-1049 may apply. HOA to be verified. Owner Occupants eligible for home warranty incentive; must request on initial offer.</t>
  </si>
  <si>
    <t>2.5% OR $1500 (on Gross SP)</t>
  </si>
  <si>
    <t>CLICK ON "SCHEDULE A SHOWING"</t>
  </si>
  <si>
    <t>Great Street Properties, Inc.</t>
  </si>
  <si>
    <t>(312) 733-9100</t>
  </si>
  <si>
    <t>Souhad Rabah</t>
  </si>
  <si>
    <t>This property is eligible under the Freddie Mac First Look Initiative through 02/25/15. For details, visit www.homesteps.com. As Is. No disclosures provided. Submit offers on www.offerpresentation.com. Addenda apply upon acceptance.</t>
  </si>
  <si>
    <t>Wolf Road between Plainfield &amp; Joliet to Acacia. East on Acacia to Building 123</t>
  </si>
  <si>
    <t>BEAUTIFUL TWO BEDROOM,TWO BATH WITH FAMILY ROOM CONDO IN WILSHIRE GREEN. REMODELED KITCHEN WITH GRANITE COUNTER TOPS AND NEW CABINETRY. SOUTH AND WEST EXPOSURE WITH VIEWS OF PRISTINE MANICURED GROUNDS THAT INCLUDE POOLS,SAUNA,TENNIS COURTS,EXERCISE ROOM AND CLUBHOUSE. SITUATED NEAR TRANSPORTATION AND EXPRESSWAYS. DON'T MISS THIS ONE.</t>
  </si>
  <si>
    <t>Elevator, Exercise Room, Storage, On Site Manager/Engineer, Party Room, Sundeck, Pool-Indoors, Pool-Outdoors, Security Door Locks, Tennis Court/s, Business Center, Curbs/Gutters, Sidewalks, Street Lights, Street Paved</t>
  </si>
  <si>
    <t>2.5% MINUS $295.00 (on Gross SP)</t>
  </si>
  <si>
    <t>CALL L/A 708-420-4177</t>
  </si>
  <si>
    <t>Steven Rostan, ABR</t>
  </si>
  <si>
    <t>(708) 420-4177</t>
  </si>
  <si>
    <t>708-420-4177</t>
  </si>
  <si>
    <t>LIBERTY LAKES</t>
  </si>
  <si>
    <t>120 E OF 12/59 2 GILMER 2 LIBERTY LKS-W OF FAIRFIELD</t>
  </si>
  <si>
    <t>RARE 2 BDRM W/ 3 &amp; 1/2 BATH TOWNHOUSE W/FULL FINISHED BASEMENT W/ MANY UPGRADES,FULL DECK AND PATIO! Modern full bath w/ceramic walkin shower in bsmt.2 story family rm w/crown. 42" cabinets.Crown molding also in master. Backsplash in kitchen &amp; baths, elegant chair railings in dining room. 2nd story laundry rm! Built in shelving in garage &amp; basement closet. Several pieces of furniture also available. Must see!!!</t>
  </si>
  <si>
    <t>ROBERT CROWN ELEMENTARY SCHOOL</t>
  </si>
  <si>
    <t>All, Blinds</t>
  </si>
  <si>
    <t>19X17</t>
  </si>
  <si>
    <t>Common Grounds, Wetlands Adjacent</t>
  </si>
  <si>
    <t>Humidifier, Water-Softener Owned, TV-Cable, Security System, CO Detectors, Ceiling Fan, Sump Pump</t>
  </si>
  <si>
    <t>2.5 - $225 NET (on Net SP)</t>
  </si>
  <si>
    <t>Call show assist 855-746-9200. Turn off lights. Lock doors &amp; storm door. Remove shoes.</t>
  </si>
  <si>
    <t>3 hour notice required. 2014: H2O, Ejector pump, garage door spring.  Also water softener, dw/stove 5.5 years, fridge 5 years. Osmosis filtration under kitchen sink. a/c 5 years. All 4 baths upgraded. Kitchen &amp; 3 baths backsplash</t>
  </si>
  <si>
    <t>70th</t>
  </si>
  <si>
    <t>south on s. shore drive, west on 70th place to property</t>
  </si>
  <si>
    <t>Large and bright circular unit in excellent condition. If you need lots of light, this is the condo for you!************SOLD "AS-IS" NO SURVEY OR TERMITE INSPECTION PROVIDED. PROOF OF FUNDS OR PRE-APPROVAL A MUST. EARNEST MONEY TO BE IN CASHIERS CHECK.TAXES PRORATED AT 100%. DWNLD ALL FORMS FROM ADDITIONAL INFO TAB. * Multiple offers,  best is due by 3-11-15 use form.</t>
  </si>
  <si>
    <t>4X10</t>
  </si>
  <si>
    <t>Water, Common Insurance, Exterior Maintenance, Scavenger, Snow Removal</t>
  </si>
  <si>
    <t>Please Use 'Schedule A Showing", click Below</t>
  </si>
  <si>
    <t>FREDDIE MAC / HomeSteps</t>
  </si>
  <si>
    <t>THIS PROPERTY IS ELIGIBLE UNDER FREDDIE MAC'S FIRST LOOK INITIATIVE THROUGH 1-3-14. PLEASE FIND REQUIRED OFFER FORMS UNDER ADD. INFO ICON. EMAIL OFFERS TO mauricio@citywide-realty.com.</t>
  </si>
  <si>
    <t>Dawn</t>
  </si>
  <si>
    <t>E Army Trail Rd to Brookdale Dr to Dawn Ct</t>
  </si>
  <si>
    <t>6319 SQ.FT.</t>
  </si>
  <si>
    <t>Beautiful duplex in Bloomingdale! 3 bedrooms 1.1. baths with a single car attached garage. Full finished basement, hardwood floors. Private back yard with a wood deck. Built in 1985 home is approx 1834 sq.ft. located in nice suburban neighborhood with parks, schools, shopping and dining close. This property is eligible under the Freddie Mac First Look Initiative through 12/30/2014. See it today!</t>
  </si>
  <si>
    <t>17X20</t>
  </si>
  <si>
    <t>28X14</t>
  </si>
  <si>
    <t>To submit an offer, please, copy and paste this link: http://www.callzteam.net/property_fm/305_DAWN_CT_UNIT_A</t>
  </si>
  <si>
    <t>Kenwood</t>
  </si>
  <si>
    <t>E or W on 67th, North on Kenwood to Property</t>
  </si>
  <si>
    <t>Nice condo with a loft style feeling. This home has plenty of features. Condo has had flooring throughout. Living room has exposed brick and a fireplace. Kitchen has SS appliance and granite countertops. Split bedroom floor plan gives an illusion that you're in a home! Master bedroom is spacious with it's own master bath! In-unit washer/dryer. This is a great unit. Schedule your appointment today.</t>
  </si>
  <si>
    <t>(312) 751-9100</t>
  </si>
  <si>
    <t>Victoria Perryman</t>
  </si>
  <si>
    <t>(312) 654-4223</t>
  </si>
  <si>
    <t>CC: Pursuant to Short Sale. Please put key back in the lockbox.</t>
  </si>
  <si>
    <t>PARK AVENUE</t>
  </si>
  <si>
    <t>NEW YORK TO STOUGHTON CIRCLE, W OF EOLA</t>
  </si>
  <si>
    <t>Great Opportunity to Own a Freshly Updated Aurora TownHome! 204 Schools! Move Right In! Desirable 2nd Floor Unit, Private Entrance! Tall Vaulted Ceilings! Walk-out Balcony! Fresh Paint Floor To Ceiling! New Carpet! This is a Fannie Mae HomePath Property!</t>
  </si>
  <si>
    <t>EM in cert. funds to Johnson, Blumberg. Offers to HomePath.com. Please Email POF/preapproval to Broker. FNMA Add. req./For assist w/ offers call 866.218.4446. Seller makes no guarantee/warr. rm. size approx. Buyer responsible for transfer</t>
  </si>
  <si>
    <t>CUMNOR</t>
  </si>
  <si>
    <t>208-E</t>
  </si>
  <si>
    <t>BIRCH POINT</t>
  </si>
  <si>
    <t>OGDEN TO CUMNOR (2 BLOCK EAST OF FAIRVIEW) to 527 BUILDING E527</t>
  </si>
  <si>
    <t>IMPECCABLE CONDO WITH VIEWS OF WATER! NEW LAMINATE FLOORING! OPEN FLOOR PLAN! LIVING ROOM W/CORNER FIREPLACE (AS IS) AND BALCONY! KITCHEN W/STAINLESS APPLIANCES! NICE SIZED MASTER BEDROOM W/MASTER BATH AND GREAT CLOSET! IN UNIT LAUNDRY ROOM W/WASHER/DRYER INCLUDED! ONE CAR GARAGE DIRECTLY ACROSS UNIT (#35). CONVENIENT LOCATION NEAR EXPRESSWAY SHOPPING.</t>
  </si>
  <si>
    <t>LESTER ELEMENTARY SCHOOL</t>
  </si>
  <si>
    <t>9X14</t>
  </si>
  <si>
    <t>4X9</t>
  </si>
  <si>
    <t>Common Grounds, Water View, Wooded</t>
  </si>
  <si>
    <t>Circuit Breakers, Fuses</t>
  </si>
  <si>
    <t>CLICK "SCHEDULE SHOWING" BELOW-</t>
  </si>
  <si>
    <t>Rose Pagonis, CRS,GRI</t>
  </si>
  <si>
    <t>(630) 904-4519</t>
  </si>
  <si>
    <t>CELL 630-248-5475</t>
  </si>
  <si>
    <t>THANK YOU FOR SHOWING OUR LISTING. EFAX 630-206-0909 OR EMAIL SALES@PAGONISGROUP.COM WITH OFFER. DISCLOSURES ONLINE IN ADDITIONAL ITEMS.</t>
  </si>
  <si>
    <t>1S157</t>
  </si>
  <si>
    <t>Ingersoll</t>
  </si>
  <si>
    <t>Roosevelt to Michigan (w. of Ardmore) S to Canterbury, Canterbury to Ingersoll Lane, Park lot #28</t>
  </si>
  <si>
    <t>18 X 63</t>
  </si>
  <si>
    <t>Exceptionally Updated, Kitchen w/New Cherry cabinets, w/easy close drawers &amp; doors, sandstone back splash,Granite Counter Tops,  Large porcelain tile, New SS appliances, All New windows, New central air, both bathrooms completely updated, newly finished basement (+ 438 sq ft) w/porcelain tile,Home offers beautiful hardwood flrs, freshly painted throughout, Great Location Too! FHA IS OK!  The attention to detail, WOW!</t>
  </si>
  <si>
    <t>Pool, Exterior Maintenance, Lawn Care, Scavenger, Snow Removal</t>
  </si>
  <si>
    <t>Please call Showing Time 855-746-9200 or Use Showing Assist</t>
  </si>
  <si>
    <t>Orico Inc.</t>
  </si>
  <si>
    <t>Christina Becker, CNC,CSC,GRI,SFR</t>
  </si>
  <si>
    <t>(630) 632-2064</t>
  </si>
  <si>
    <t>Parking lot #28, entrance on Canterbury parking space # 157, or 00 for visitors, or street parking</t>
  </si>
  <si>
    <t>NORMANTOWN</t>
  </si>
  <si>
    <t>RT 59 TO 83RD/MONTGOMERY RD-WEST TO NORMANTOWN-SOUTH</t>
  </si>
  <si>
    <t>Charming 2 bedroom 1.5 townhome.  Home has been repaired and ready to move in.  Spacious living room/dining room combo, large bedrooms and great community.  This is a Fannie Mae HomePath Property.</t>
  </si>
  <si>
    <t>Ogden (34) to Mill St, North to property.</t>
  </si>
  <si>
    <t>Freshly painted 2 bedroom, 1.5 bath, in a brick elevator building, brand new carpet, full private master bath, 2 parking spaces, and balcony with sliding glass patio door. Just a couple of blocks from Naperville North HS. Ogden Ave, and so close to everything including Cress Creek Country Club.</t>
  </si>
  <si>
    <t>18X18</t>
  </si>
  <si>
    <t>FRANKLIN</t>
  </si>
  <si>
    <t>25TH AVE SOUTH OF BELMONT TO FRANKLIN AVE., WEST TO FRONT ENTRANCE</t>
  </si>
  <si>
    <t>PER INTEGRAL</t>
  </si>
  <si>
    <t>40#</t>
  </si>
  <si>
    <t>COMEAND FALL IN LOVE WITH THIS SPACIOUS TWO BEDROOM, TWO FULL BATHROOM CONDOMINIUM! NEWER BUILDING IN DOWNTOWN FRANKLIN PARK RIGHT BY METRA TRAIN.  BALCONY FACES FRANKLIN AVE.  IN UNIT WASHER/DRYER HOOK UP.  CLEAN, WELL MAINTAINED. SECURITY BUILDING.  1 UNDERGROUND HEATED INSIDE PARKING SPACE #6.  AMPLE OUTSIDE PARKING FRONT AND BACK.  1 PET ALLOWED 40# MAX.    ASSESSMENT INCLUDES HEAT, NEW CARPET AND FRESHLY PAINT</t>
  </si>
  <si>
    <t>Heat, Water, Gas, Parking, Common Insurance, Security, Security System, Exterior Maintenance, Lawn Care, Scavenger, Snow Removal</t>
  </si>
  <si>
    <t>Richard Babula</t>
  </si>
  <si>
    <t>(847) 366-7559</t>
  </si>
  <si>
    <t>All offers must be submitted by the buyersâ€™ agent via offersubmission.com, id# 990617.  Buyer pays $300 offersubmission transaction fee at closing</t>
  </si>
  <si>
    <t>Rt. 60 &amp; Lakeview N to Hawthorn Parkway, W to Commonwealth</t>
  </si>
  <si>
    <t>2ND FLOOR</t>
  </si>
  <si>
    <t>COMON GROUND</t>
  </si>
  <si>
    <t>Beautiful second floor condo in great location and great condition.  Gleaming cherrywood floors, gorgeous updated kitchen, all stainless steel appliances plus washer and dryer stay, spacious rooms, private master suite with two double closets and updated dressing area.  Freshly painted.  Two glass sliding doors to your deck overlooking courtyard. Close to schools. Easy access to tollway and lots of shopping.</t>
  </si>
  <si>
    <t>USE SHOWING ASsIST OR CALL LISTING OFFICE</t>
  </si>
  <si>
    <t>MAIN ST TO JEFFERSON TO ELM</t>
  </si>
  <si>
    <t>30 X 150</t>
  </si>
  <si>
    <t>CALL AGENT</t>
  </si>
  <si>
    <t>RUTH</t>
  </si>
  <si>
    <t>Vanessa Martinez</t>
  </si>
  <si>
    <t>502B</t>
  </si>
  <si>
    <t>OAKVIEW ESTATES</t>
  </si>
  <si>
    <t>ST CHARLES RD JUST EAST OF GRACE AND ACROSS FROM PARK</t>
  </si>
  <si>
    <t>UPDATED 2BR 2BA PENTHOUSE UNIT. 9FT CEILINGS,SURROUND SOUND, NEW CABINETS, NEW GRANITE IN KITCHEN AND BATHS,NEW S/S APPLIANCES, UNDERCABINET LIGHTING,  NEW HARDWOOD FLOOR, NEW CARPET BRS, NEW LIGHTING, NEW FANS, W/D IN LAUNDRY ROOM, MASTER BA W/SHOWER AND TUB, BLINDS EVERY ROOM, 1 HEATED GARAGE SPACE #29 WITH EXTRA STORAGE. CLOSE TO DOWNTOWN LOMBARD AND TRAIN. LOCATED ON GREAT WESTERN TRAIL ACROSS FROM WATERPARK.</t>
  </si>
  <si>
    <t>SCHAFER ELEMENTARY SCHOOL</t>
  </si>
  <si>
    <t>Elevator, Storage, Party Room, Security Door Locks, Service Elevator, Curbs/Gutters, Sidewalks, Street Lights, Street Paved</t>
  </si>
  <si>
    <t>Heat, Water, Gas, Exterior Maintenance, Scavenger, Snow Removal</t>
  </si>
  <si>
    <t>TV-Cable, Fire Sprinklers, Ceiling Fan</t>
  </si>
  <si>
    <t>Closing, Specific Date</t>
  </si>
  <si>
    <t>USE SCHEDULE A SHOWING BELOW TO SCHEDULE AN APPOINTMENT</t>
  </si>
  <si>
    <t>ILLINOIS AGENT OWNED</t>
  </si>
  <si>
    <t>GENESEE</t>
  </si>
  <si>
    <t>RT 59 to N. Aurora Rd. West to Genesee Dr</t>
  </si>
  <si>
    <t>ST. CROIX</t>
  </si>
  <si>
    <t>Charming 2 story - 2 bedroom 1.5 bath Condo.  Great floorplan with spacious living room with fireplace, large kitchen, bedrooms and private patio great for entertaining.  Home has been repaired with fresh paint, flooring and more- ready to move in.  This is a Fannie Mae HomePath Property</t>
  </si>
  <si>
    <t>The seller has directed that all offers on this listing be made using the HomePath Online Offer System @ the HomePath.com website. Please see attachment-MUST USE PG 8-NO PERSONAL PROPERTY INCL. EM MUST BE CERTIFIED FUNDS (10% for cash).</t>
  </si>
  <si>
    <t>Ogden Ave and Washington St // Ogden Ave (West) to Cress Creek Condos (on North Side of street)</t>
  </si>
  <si>
    <t>1st floor condo in fantastic location in Naperville //Spacious bedrooms with large closets //Master bedroom offers walk-in closet and private access to the master bath //Large living room with gorgeous hardwood floor // fantastic view of the walk-out patio //Conveniently located near food, shopping, schools, highway &amp; all conveniences Ogden offers //Priced to sell quick and won't last long//Equal Housing Opportunity.</t>
  </si>
  <si>
    <t>Elevator, Security Door Locks, Curbs/Gutters, Sidewalks, Street Lights, Street Paved</t>
  </si>
  <si>
    <t>BID GO TO OforiREO.com NAID# REGISTRATION HUDHomeStore.com  FHA Uninsured (UI) SOLD AS-IS CASE#137-321030 SQ FT 1050 HUD HOTLINE 630-701-1798 UP TO 3% CC. $100.00 DOWN PYMT (See Over Bid Rules) Lockbox in wood box on left side of door.</t>
  </si>
  <si>
    <t>Charlemagne</t>
  </si>
  <si>
    <t>VILLAS ON THE POND</t>
  </si>
  <si>
    <t>Roselle Road North of Lake Street to Charlemagne Circle</t>
  </si>
  <si>
    <t>4120 SQ. FT.,</t>
  </si>
  <si>
    <t>Updated End Unit Location! 2 story foyer. open concept design. Beautiful new kitchen w/ KitchenAid appliances, Granite counters. New 3/4 inch hardwood floor 1st level. New carpeting on 2nd floor. Large Office Loft. Additional 2 bedrooms 3 full baths and 1 half bath. M/B walk in w/orgiz. 2 car garage. Fire place on 1st fl lvg room. Whirlpool Duet Washer and Dryer. Basmt 9' ceiling....Great Value</t>
  </si>
  <si>
    <t>25X12</t>
  </si>
  <si>
    <t>2.5% - $200 (ON NET SP) (on Net SP)</t>
  </si>
  <si>
    <t>Text Owner (James) at 708-203-8100</t>
  </si>
  <si>
    <t>James Sedlacek</t>
  </si>
  <si>
    <t>(708) 203-8100</t>
  </si>
  <si>
    <t>Owner is Illinois licensed Real Estate broker. Priced to Sell!!</t>
  </si>
  <si>
    <t>Wolf Rd. , South of 55th Street</t>
  </si>
  <si>
    <t>Great opportunity to live in a beautiful Springwood Manor condo, freshly painted with brand new carpeting throughout. This elevator building offers a private setting and lovely balcony. Enjoy the spacious rooms, eat-in kitchen with newer appliances, full laundry room and generous closet space.  Garage (separate PIN) with storage conveniently located near unit. Immediate possession</t>
  </si>
  <si>
    <t>08X04</t>
  </si>
  <si>
    <t>Anne W. Kowalik Trust</t>
  </si>
  <si>
    <t>Douglas Hanscom, CNC,CRS,SRES</t>
  </si>
  <si>
    <t>(708) 497-6322</t>
  </si>
  <si>
    <t>Very clean unit. Bathrooms have grab bars in tubs. Garage PIN #18-18-200-033-1039 Taxes $172/year</t>
  </si>
  <si>
    <t>Farmingdale</t>
  </si>
  <si>
    <t>45 OR 60 TO BUTTERFIELD TO PLYMOUTH FARMS, E TO FARMINGDALE</t>
  </si>
  <si>
    <t>THIS LOVELY BANK OWNED END UNIT 1ST FLOOR RANCH WITH ATTACHED GARAGE IS IN NEED OF A NEW OWNER.... SOLD AS IS ....  HOME OFFERS 2 BEDROOMS ONE BATH AND LAUNDRY IN UNIT PLUS LARGE LIVING ROOM KITCHEN AND SEPERATE DINING ROOM ...HURRY BEFORE IT SELLS AS FAST AS A CHEETAH!....</t>
  </si>
  <si>
    <t>call showing time 855 746 9200</t>
  </si>
  <si>
    <t>bank owned</t>
  </si>
  <si>
    <t>this is a bank owned property please be patient for a response from the bank they do not respond over weekends..</t>
  </si>
  <si>
    <t>53RD TO HARPER SOUTH TO ADDRESS</t>
  </si>
  <si>
    <t>SPACIOUS BRICK  CONDO UNIT THAT FEATURES 2 BEDROOMS, 1 BATHS, HARDWOOD FLOORS THROUGHOUT. LOCATED CLOSE TO COMMERCE, LAKE MICHIGAN AND THE UNIVERSITY OF CHICAGO. SOLD AS IS. BUYER TO TAKE ON CITY REPAIRS &amp; PUT UP ESCROW IF REQUIRED. NO DISCLOSURES, NO SURVEY OR TERMITE PROVIDED. PRESENT DETAILED PRE-QUAL OR PROOF OF FUNDS WITH OFFER. EM CERTIFIED FUNDS ONLY. Buyer responsible for 6 months assoc dues prior to f/c date</t>
  </si>
  <si>
    <t>Crosstown Realtors, Inc.</t>
  </si>
  <si>
    <t>(708) 889-1500</t>
  </si>
  <si>
    <t>Jeff Mrozek</t>
  </si>
  <si>
    <t>FAX 708-418-8269</t>
  </si>
  <si>
    <t>Buyer responsible for 6 months assoc dues prior to f/c date. DO NOT EMAIL OFFERS, FAX OVER ALL OFFERS.</t>
  </si>
  <si>
    <t>Tall Oaks</t>
  </si>
  <si>
    <t>WALDEN WOODS</t>
  </si>
  <si>
    <t>Farnsworth to Molitor East to Tall Oaks Drive to unit</t>
  </si>
  <si>
    <t>PERFECT 2 BED, 2 BATH CONDO ADJACENT TO I88, AND OUTLET MALL. BEAUTIFUL HARDWOOD, AND CERAMIC TILE FLOORS THROUGHOUT. FRESHLY PAINTED INTERIOR, REMOTE LIGHTING W/ FAN SYSTEMS. 2 WALKOUT PATIOS W/ QUIET VIEWS, AND EXTRA STORAGE OFF BACK PATIO. JACUZZI TUB IN MAIN BATH, WALK IN TILE SHOWER IN MASTER BATH. OUTDOOR GRILL, AND INDOOR GAS FIRE PLACE. ALL APPLIANCES STAY! ALSO GREAT FOR INVESTORS- UNIT CAN BE RENTED</t>
  </si>
  <si>
    <t>Oven/Range, Microwave, Dishwasher, Refrigerator, Refrigerator-Bar, Freezer, Washer, Dryer, Disposal</t>
  </si>
  <si>
    <t>Heat, Water, Gas, Parking, Security, Exterior Maintenance, Lawn Care, Snow Removal</t>
  </si>
  <si>
    <t>Call/Text LA for lockbox code @ 815-970-4873</t>
  </si>
  <si>
    <t>Chris McGary</t>
  </si>
  <si>
    <t>bbcmrealestate@gmail.com</t>
  </si>
  <si>
    <t>Please email all offers to bbcmrealestate@gmail.com. TRADITIONAL SALE, NOT A SHORT SALE OR FORECLOSURE</t>
  </si>
  <si>
    <t>19th</t>
  </si>
  <si>
    <t>Maywood</t>
  </si>
  <si>
    <t>NORTH AVE TO 19TH (BROADWAY) SOUTH PAST ST. CHARLES  RD TO 30 SOUTH.</t>
  </si>
  <si>
    <t>MAYWOOD</t>
  </si>
  <si>
    <t>A must see! Great 2 bedroom/1 bathroom home in a great location! Well maintained, spacious rooms, PLUS great amenities! Priced to sell, this one has it all and won't last! Choose FHA financing to qualify for $100 down payment. Ask your Agent for details. Sold as-is. Equal Housing Opportunity</t>
  </si>
  <si>
    <t>09X10</t>
  </si>
  <si>
    <t>Case#137-274938.INS.STATUS:Insured.Up to 3% co-op Offers 2B put on-line Off.must be registered &amp; have a NAID# Go to hudhomestore.com 4 online bidding SEE PCR UNDER ADDENDUMâ€™S TAB.?â€™s to fsrhomes@aol.com.SOLD AS-IS.www.hometelosfirst.com</t>
  </si>
  <si>
    <t>G-115</t>
  </si>
  <si>
    <t>Westbrook West</t>
  </si>
  <si>
    <t>Ogden West of Main, N to Saratoga - follow signs showing bldg #s to unit on NE corner of complex</t>
  </si>
  <si>
    <t>B-1</t>
  </si>
  <si>
    <t>Bright Sunny East facing 1st floor unit.  Newer windows &amp; sliding glass door. Perfect financing for 1st time buyers using IDHA. Elevator Building. Laundry in building. Close to Jewel/Osco, Chase Bank, I-88 &amp; 355, train, Yorktown Shopping Center, Good Samaritan Hospital. Pace Bus Service nearby to Train .</t>
  </si>
  <si>
    <t>Bike Room/Bike Trails, Coin Laundry, Elevator, Storage, Party Room, Pool-Outdoors</t>
  </si>
  <si>
    <t>4%-$250 (on Net SP)</t>
  </si>
  <si>
    <t>UNOCCUPIED BUT FURNITURE IN UNIT.  Buyers must interview w/on-site manager prior to closing in order to obtain pd assessment letter. Also $250 move-in refundable damage deposit is required. NOTE "CC". Special financing - call LA for details</t>
  </si>
  <si>
    <t>Barrington Rd to Bristol-E to Kingsbury-N to 1340</t>
  </si>
  <si>
    <t>Delightful end unit overlooks courtyard setting. Laminate wood flooring throughout most of unit.  Very nice floor plan. Close to shopping, schools and transportation.  This is a Fannie Mae HomePath property. Buyer responsible for all permits, inspections, stamps. Seller does not provide survey/disclosures. Taxes prorated at 100%</t>
  </si>
  <si>
    <t>Common Insurance, Exterior Maintenance, Lawn Care, Scavenger</t>
  </si>
  <si>
    <t>3% OR MINIMUM $1000 (on Gross SP)</t>
  </si>
  <si>
    <t>Showing desk 866-852-8313</t>
  </si>
  <si>
    <t>Beth Colen, SFR</t>
  </si>
  <si>
    <t>(847) 804-3828</t>
  </si>
  <si>
    <t>U/C, no more showings...Complex is not FHA approved. All offers must submitted on the HomePath website. BUYER IS RESPONSIBLE FOR PREVIOUS 6 MONTHS HOA FEES, rentals are allowed. There are 2 assoc. $99 mo &amp; $126 mo</t>
  </si>
  <si>
    <t>Lorel</t>
  </si>
  <si>
    <t>Take 65th street to Lorel (one way south)</t>
  </si>
  <si>
    <t>Great townhouse near MIDWAY!! Bring your decorating ideas and MAKE it your home or RENT it out. Prev/tenant paid $1100/month. Good size LR;  kitchen needs TLC but does offer an OPEN FLOOR plan to DR &amp; LR. Wood laminate flooring/2nd fl, fresh paint; newer windows;  C/A, 6yrs.  Full bath on 2nd FL;walkout basement has family room and  full bath. Sold "AS IS". Come See it!</t>
  </si>
  <si>
    <t>6X11</t>
  </si>
  <si>
    <t>Call Centralized Showings 877.977.1010. Showings start Wed, Jan 7th.  Agents must accompany clients.</t>
  </si>
  <si>
    <t>Rosa Terrazas</t>
  </si>
  <si>
    <t>(773) 456-0436</t>
  </si>
  <si>
    <t>CELL 773 456-0436</t>
  </si>
  <si>
    <t>Great Location!!  EXCELLENT investment opportunity for any buyer!! Prev tenant paid $1100/mo. SELLER wants to sell QUICKLY!!  FAST Response on all offers!!!    (Note:  RE taxes s/b less since no homeowner exemption)</t>
  </si>
  <si>
    <t>Talman</t>
  </si>
  <si>
    <t>111th Street to Talman ,  On SE Corner</t>
  </si>
  <si>
    <t>Fannie Mae 2 bedroom condo.  Great location .  Transportation steps away.  Close to stores.  In unit laundry  Live cheaper than renting.</t>
  </si>
  <si>
    <t>Heat, Water, Parking, Common Insurance, Lawn Care, Scavenger, Snow Removal</t>
  </si>
  <si>
    <t>Call listing Agent</t>
  </si>
  <si>
    <t>Elite Executives Real Estate</t>
  </si>
  <si>
    <t>(773) 892-1740</t>
  </si>
  <si>
    <t>Dianne Davidson</t>
  </si>
  <si>
    <t>(773) 543-0496</t>
  </si>
  <si>
    <t>Seller Request all offers be submitted through HomePath.com  Go to HomePath.com to submit your offer.</t>
  </si>
  <si>
    <t>Fulham</t>
  </si>
  <si>
    <t>CROSSWINDS</t>
  </si>
  <si>
    <t>Route 59 to 87th East to Fulham</t>
  </si>
  <si>
    <t>BLUESTEM</t>
  </si>
  <si>
    <t>Perfect location! Backs to single family homes! 9ft ceilings, new flooring in foyer, kitchen, laundry &amp; bathrooms.  Newer hot water heater &amp; furnace. New Gas Stove, Refrigerator &amp; Microwave. Updated Master Bath.  Attached Garage opens to laundry room.  Freshly painted &amp; neutrally decorated. This home is move-in ready! Walk to schools - 204 schools!  13-month HWA Home Warranty for buyer!</t>
  </si>
  <si>
    <t>Frank Passaro, ABR,GRI</t>
  </si>
  <si>
    <t>(630) 718-7526</t>
  </si>
  <si>
    <t>Immaculate Ranch Home. Perfect location for EZ access to stores.  Peaceful view of professionally landscaped common areas with mature trees.  Bring your pickiest buyers!</t>
  </si>
  <si>
    <t>Schmale to Golfview to Fairway</t>
  </si>
  <si>
    <t>Spotless townhome backing to golf course with a beautiful view of the 9th hole!!! Nothing to do but unpack your belongings..... fresh paint, new wood laminate and carpet throughout. Refinished cabinets/counters, recent stainless appliances, new furnace and water heater 2012. Recent roof/siding on exterior of building. Master bed has private baths, plenty of closets and vaulted ceilings!! Welcome Home!!!</t>
  </si>
  <si>
    <t>PHEASANT RIDGE PRIMARY SCHOOL</t>
  </si>
  <si>
    <t>Call listing broker at 630-235-1869, must confirm.</t>
  </si>
  <si>
    <t>Fox Hollow Properties</t>
  </si>
  <si>
    <t>(630) 557-6166</t>
  </si>
  <si>
    <t>Michael Kennedy</t>
  </si>
  <si>
    <t>(630) 235-1869</t>
  </si>
  <si>
    <t>Squeaky clean unit sure to impress a picky buyer</t>
  </si>
  <si>
    <t>S RT 59 W FERRY R2 RAYMOND L2 RIVER L2 CHALET L2 HOME</t>
  </si>
  <si>
    <t>Cozy First Floor Condo With Lots of Privacy! Spacious Rooms With New Paint &amp; Carpet. Sliding Glass Door Opens Onto Roomy Balcony With Attached Storage Closet. Master Bedroom Has Attached Bath &amp; Walk-In Closet. Detached Garage and One Parking Space Included. Close to Shopping, Interstate and Downtown Naperville. THIS IS A FANNIE MAE HOMEPATH PROPERTY.</t>
  </si>
  <si>
    <t>NEW PAINT &amp; CARPET-REMOVE SHOES!! IF QUESTIONS CALL 630-608-4777 AFTER SHOWING PROPERTY. **NO RENTALS PER HOA. SELLER REQUESTS ALL OFFERS SUBMITTED THRU HOMEPATH.COM.</t>
  </si>
  <si>
    <t>SHANNON</t>
  </si>
  <si>
    <t>CARILLON AT HEATHERSTONE</t>
  </si>
  <si>
    <t>WADSWORTH RD &amp; GREENBAY, W2 CAMBRIDGE, N2 SHANNON L2 #</t>
  </si>
  <si>
    <t>NEWPORT</t>
  </si>
  <si>
    <t>NEWER RANCH IN 55+ GATED COMMUNITY W/CLUBHOUSE AND POOL! ***FRESH PAINT AND CARPET*** 2 BEDROOMS. 2 BATH. GREAT OPEN FLOOR PLAN. LARGE LIVING ROOM W/ACCESS TO PATIO. KITCHEN OPENS TO DINETTE AREA W/BREAKFAST BAR. LARGE MASTER BEDROOM W/MASTER BATH + TWO LARGE CLOSETS. ATTACHED 2 CAR GARAGE. SHOW &amp; SELL! THIS ONE IS MOVE-IN READY!!! THIS IS A FANNIE MAE HOMEPATH PROPERTY!</t>
  </si>
  <si>
    <t>NEWPORT ELEMENTARY SCHOOL</t>
  </si>
  <si>
    <t>BEACH PARK MIDDLE SCHOOL</t>
  </si>
  <si>
    <t>ZION-BENTON TWNSHP HI SCHOOL</t>
  </si>
  <si>
    <t>Variet</t>
  </si>
  <si>
    <t>On Site Manager/Engineer, Sundeck, Pool-Outdoors, Gated Entry, Street Lights, Street Paved</t>
  </si>
  <si>
    <t>Common Insurance, Clubhouse, Pool, Lawn Care, Snow Removal</t>
  </si>
  <si>
    <t>Easy! Call CS @ 877.977.1010</t>
  </si>
  <si>
    <t>Elite Properties Chicago</t>
  </si>
  <si>
    <t>(847) 574-7195</t>
  </si>
  <si>
    <t>Angela Robinson</t>
  </si>
  <si>
    <t>Subject To IL "Condo Property Act". Offers Via HomePath.com ONLY. Verify ALL.</t>
  </si>
  <si>
    <t>LAFAYETTE</t>
  </si>
  <si>
    <t>GEORGETOWN STREET</t>
  </si>
  <si>
    <t>Irving Park Rd to Station Dr to Park Ln to Lafayette ST</t>
  </si>
  <si>
    <t>END UNIT-TOTALLY REHABBED-RANCH STYLE WITH FULL FINISHED BASEMENT, FRESHLY PAINTED, NEW CARPET IN LIVING RM &amp; BEDROOMS, NEW KIT CABINETS+GRANITE COUNTER-TOPS+NEW STAINLESS STEEL APPLS(STOVE,MICRO,DISHWASHER,WR/DR) ALL NEW DOORS, ALL NEW LIGHT FIXTURES, NEW WINDOWS, NEWER FURNACE &amp; NEW WATER HEATER. BOTH BATHS REDONE/UPDATED. PROFESSIONALLY FINISHED BSMT W/3RD BEDROOM &amp; BIG FAMILY ROOM..FENCED-IN BACK YARD.</t>
  </si>
  <si>
    <t>Park/Playground, Party Room, Pool-Outdoors, Tennis Court/s, Curbs/Gutters, Sidewalks, Street Lights, Street Paved</t>
  </si>
  <si>
    <t>Corner, Fenced Yard</t>
  </si>
  <si>
    <t>Parking, Clubhouse, Pool, Exterior Maintenance, Lawn Care, Scavenger, Snow Removal</t>
  </si>
  <si>
    <t>Conventional, Other</t>
  </si>
  <si>
    <t>CALL LISTING OFFICE. TAKE SHOES OFF OR WEAR BOOTIES. NEW CARPET.   SHORT NOTICE OK.</t>
  </si>
  <si>
    <t>Victor Pelayo</t>
  </si>
  <si>
    <t>(630) 539-1855</t>
  </si>
  <si>
    <t>1-630-202-4191 victorpelayo53@hotma</t>
  </si>
  <si>
    <t>PARK ON THE STREET OR BEHIND THE UNIT, 2 PARKING SPOTS TOWARDS THE SIDE WALK FOR SHOWING. NO FHA DUE TO ASSOCIATION..SHOW AND SELL..</t>
  </si>
  <si>
    <t>June</t>
  </si>
  <si>
    <t>CONCORD VILLAGE</t>
  </si>
  <si>
    <t>S OF 22 ON RAND TO JUNE TERRACE TO UNIT</t>
  </si>
  <si>
    <t>HANBURY</t>
  </si>
  <si>
    <t>Wow! 3 floors of living! Lovely townhome featuring 2 bedrooms each with their own private bath. Large kitchen with maple cabinets leading to private deck. Main floor also includes living room, dining room, laundry room and powder room. Lower level can be an office or family room. 2 car garage. Amenities include pool and clubhouse. This is a Fannie Mae Homepath Property.**OFFER VERBALLY ACCEPTED**</t>
  </si>
  <si>
    <t>Call listing agent at 847-975-1514</t>
  </si>
  <si>
    <t>AMR Properties INC</t>
  </si>
  <si>
    <t>(847) 975-1514</t>
  </si>
  <si>
    <t>Mary Schorr</t>
  </si>
  <si>
    <t>Selling agent bonus $1000  Offer to be made on homepath</t>
  </si>
  <si>
    <t>LITTLETON</t>
  </si>
  <si>
    <t>IRVING PARK (RT.19) west of Rt. 59 to LITTLETON TRL south to Unit 476</t>
  </si>
  <si>
    <t>Stunning, meticulously maintained townhome w/ many recent updates.  Hardwood floors &amp; 6-panel doors on 1st floor,  spacious kitchen w/ new cabinets &amp; countertops.  Upgraded lighting &amp; fresh neutral-color paint throughout.  Master bedroom w/ large WIC, dual entry bathroom w/ new vanity, mirror &amp; lighting.  NEW HWH, &amp; 2nd floor laundry w/ new dryer.  Low Cook county taxes. Close to I-90 &amp; The Arboretum. Move in ready!!</t>
  </si>
  <si>
    <t>Curbs/Gutters, Sidewalks, Street Lights, Street Paved, Other</t>
  </si>
  <si>
    <t>2.5% -$175 (on Net SP)</t>
  </si>
  <si>
    <t>Call Listing Office 847-847-4711</t>
  </si>
  <si>
    <t>Michael Kurowski</t>
  </si>
  <si>
    <t>(847) 804-7350</t>
  </si>
  <si>
    <t>Marcello</t>
  </si>
  <si>
    <t>Torino at Tuscany Woods</t>
  </si>
  <si>
    <t>Rt 72 West of 47 to north on Romke -Left on Tuscany Terrace to Left Marcello Dr.</t>
  </si>
  <si>
    <t>Very clean 2BR-2BA raised ranch style condo with attached 2 car garage. Spacious eat-in kitchen w/island breakfast bar and opens to balcony. Fresh paint throughout. Carpets prof cleaned. Loft on main level &amp; family room on lower level that opens to private patio. First Look Initiative through 12/30/2014. Sold "AS-IS". No survey or disclosures. Taxes prorated at 100%. Pre-Approval/POF &amp; copy of EM required with offer.</t>
  </si>
  <si>
    <t>Only CONV buyers with 10-20% down MAY qualify otherwise CASH offers only due to subdivision not fully developed and HOA restrictions. Contract docs in "Additional Information".</t>
  </si>
  <si>
    <t>68th</t>
  </si>
  <si>
    <t>3F</t>
  </si>
  <si>
    <t>South Shore to 67th west to Oglesby South to 68th west</t>
  </si>
  <si>
    <t>SPACIOUS CONDO NEAR LAKE. THIS 2 BEDROOM, 2 BATH HAS LARGE LIVING ROOM WITH FIREPLACE, SEPARATE FORMAL DINING ROOM, AND KITCHEN. MASTER BEDROOM DOES HAVE IT'S OWN BATH. THIS CONDO HAS HARDWOOD FLOORS THROUGHOUT AND IT WAITING IT'S NEW OWNER.  THIS IS A FANNIE HOMEPATH PROPERTY.</t>
  </si>
  <si>
    <t>Please contact Naomi Nelson @ 708-289-4533 for all showings.  Listing Agent must accompany.</t>
  </si>
  <si>
    <t>Naomi Brownlow-Nelson</t>
  </si>
  <si>
    <t>(708) 289-4533</t>
  </si>
  <si>
    <t>ALL OFFERS MUST BE SUBMITTED ON HOMEPATH.COM.</t>
  </si>
  <si>
    <t>SPRINGBROOK</t>
  </si>
  <si>
    <t>Springbrook Trails</t>
  </si>
  <si>
    <t>RT 34 TO DOUGLAS RD-NORTH TO FARMINGTON LAKES- EAST TO SPRINGBROOK TRL- SOUTH</t>
  </si>
  <si>
    <t>22 X 73</t>
  </si>
  <si>
    <t>INTERIOR UNIT FACING THE STREET, LIVING ROOM &amp; DINING ROOM OPEN TO KITCHEN W/BREAKFAST BAR, MASTER SHARED BATH. LARGE L-SHAPED LOFT FOR 2ND FLOOR FAMILY ROOM, ATTACHED 2-CAR GARAGE.</t>
  </si>
  <si>
    <t>OLD POST ELEMENTARY SCHOOL</t>
  </si>
  <si>
    <t>3.00% (on Net SP)</t>
  </si>
  <si>
    <t>Call CSS at 877-977-1010</t>
  </si>
  <si>
    <t>Matt Grander</t>
  </si>
  <si>
    <t>(630) 470-3800</t>
  </si>
  <si>
    <t>Call CSS at 877-977-1010 for showing instructions.</t>
  </si>
  <si>
    <t>Cool Springs</t>
  </si>
  <si>
    <t>SIGNATURE CLUB</t>
  </si>
  <si>
    <t>RT 59 SOUTH OF 95TH STREET TO CRYSTAL ROCK WEST TO COOL SPRINGS SOUTH TO HOME</t>
  </si>
  <si>
    <t>DUPONT</t>
  </si>
  <si>
    <t>STUNNING END UNIT PRIVATE &amp; SERENE TOWN HOME BACKS TO POND. METICULOUSLY MAINTAINED. CHEF'S KITCHEN FEATURES CORIAN COUNTERS &amp; ALL APPLIANCES WHICH OPENS TO LIVING ROOM FEATURING FIREPLACE.  LARGE WINDOWS BRING IN PLENTY OF SUNSHINE!  DINING ROOM COMBINES WITH FAMILY ROOM AREA. TWO LARGE MASTER RETREATS ON SECOND FLOOR.  LARGE MASTER BATH WITH TUB, HIS-N-HERS SINKS, LARGE SHOWER. SECOND FLOOR CONVENIENT LAUNDRY ROOM.</t>
  </si>
  <si>
    <t>FRY ELEMENTARY SCHOOL</t>
  </si>
  <si>
    <t>25X15</t>
  </si>
  <si>
    <t>Pond, Water View</t>
  </si>
  <si>
    <t>PLEASE CALL B&amp;W1-855-746-9100 2 HOUR NOTICE PREFERRED</t>
  </si>
  <si>
    <t>Jill Clark, CSC</t>
  </si>
  <si>
    <t>(630) 853-4467</t>
  </si>
  <si>
    <t>PRICED TO SELL! HURRY! AMAZING VALUE FOR THIS LARGE UNIT. IF YOUR BUYER IS SEARCHING FOR A BRIGHT, PRIVATE AND SERENE LOCATION EASY ACCESS TO SHOPPING, RESTAURANTS, AND SCHOOLS THEN PLEASE BRING YOUR BUYER TO THIS PROPERTY!</t>
  </si>
  <si>
    <t>SHAWFORD</t>
  </si>
  <si>
    <t>SHOEFACTORY TO TOASTMASTER TO SHAWFORD WAY LEFT TO HOME.</t>
  </si>
  <si>
    <t>QUEENSBURY</t>
  </si>
  <si>
    <t>CHARMING TOWNHOME. STUNNING 2 STORY LIVING &amp; DINING ROOM W/ A SKYLITE.  NEWER WINDOWS &amp;  DOORS &amp; PRIVATE PATIO. KITCHEN UPGRADED WITH NEW QUARTZ COUNTERS, BACKSPALSH, APPLIANCES &amp;  PORCELEIN FLOORS THRU-OUT FOYER &amp; BATH TOO.  MASTER SUITE HAS VOLUME CEILINGS &amp; WALK-IN  DOUBLE CLOSETS.  LIGHT FIXTURES  REPLACED, FRESHLY PAINTED &amp; NEWER CARPETING. GARAGE INSULATED AND DRYWALLED &amp; EPOXY FLOOR.</t>
  </si>
  <si>
    <t>13X6</t>
  </si>
  <si>
    <t>CALL 855-746-9200/2 HOUR NOTICE</t>
  </si>
  <si>
    <t>PIGNONE</t>
  </si>
  <si>
    <t>Janet Sasso, CRS</t>
  </si>
  <si>
    <t>(847) 417-3886</t>
  </si>
  <si>
    <t>Queensgreen</t>
  </si>
  <si>
    <t>TERRACES OF BROOKDALE</t>
  </si>
  <si>
    <t>RIVER ROAD NORTH OF OGDEN TO THE 2ND QUEESNGREEN LEFT (WEST) TO HOME ON LEFT SIDE CORNER LOT</t>
  </si>
  <si>
    <t>NORTH NAPERVILLE, BEAUTIFUL SPACIOUS AND CLEAN END UNIT WITH  RECENT UPGRADES. NEW KITCHEN CABS.&amp; GRANITE COUNTER TOPS, FRESH PAINT THRU OUT, 6-PANEL CLOSET DOORS, REMODELED MASTER BATH WITH CERAMIC FLOORS AND  FURNITURE QUALITY VANITY. VAULTED CEILINGS, SKYLIGHTS, MASTER HAS WALK-IN CLOSET. IN UNIT LAUNDRY ON 2ND FLOOR. PANTRY/ STORAGE OFF KITCHEN AND DIRECT ACCESS TO GARAGE. EASY ACCESS TO I-88</t>
  </si>
  <si>
    <t>Call or Text LA- vacant easy to show, please secure storm door</t>
  </si>
  <si>
    <t>Patricia Lynn Green</t>
  </si>
  <si>
    <t>Cookie Hanson</t>
  </si>
  <si>
    <t>(630) 272-9321</t>
  </si>
  <si>
    <t>Beautiful end unit with huge side yard, Brand new Cabinets and Granite in Kitchen</t>
  </si>
  <si>
    <t>President</t>
  </si>
  <si>
    <t>Roosevelt Road E to President St N</t>
  </si>
  <si>
    <t>Incredible opportunity to live within walking distance to train, Wheaton College, and town! This unit offers nice sized bedrooms, kitchen w/loads of counter space, separate dining room for entertaining, and large living room for special gatherings. Other special features include: private balcony, full bathroom, and a front row parking space in the rear of the complex. All appliances are included.An excellent value!!</t>
  </si>
  <si>
    <t>LOWELL ELEMENTARY SCHOOL</t>
  </si>
  <si>
    <t>Go and Show, Click on Showing Assist to Schedule</t>
  </si>
  <si>
    <t>9S125</t>
  </si>
  <si>
    <t>RT 83 TO MIDWAY TO ELEANOR S TO LAKE BLDNG</t>
  </si>
  <si>
    <t>MUST SEE AFFORDABLE  2 BDR, 1 BATH CONDO ON THE SECOND FLOOR. THIS IS A MARVELOUS OPPORTUNITY TO FIX UP FOR A INVESTOR OR OWNER OCCUPIED. THE UNIT FEATURES A NICE FLOOR PLAN AND SPACIOUS ROOMS. PROPERTY SOLD IN AS IS CONDITION. SELLER DOES NOT PROVIDE SURVEY OR DISCLOSURES. A MUST SEE!!</t>
  </si>
  <si>
    <t>Heat, Water, Gas, Parking, Common Insurance</t>
  </si>
  <si>
    <t>USE SHOWING ASSIT</t>
  </si>
  <si>
    <t>Multiple offers. Highest and best due date is 01/06/2015 at noon. Please download cover sheet and email along with your offer.</t>
  </si>
  <si>
    <t>MERRILL</t>
  </si>
  <si>
    <t>STONEY ISLAND TO 71ST, E ON 71ST TO MERRILL, N TO ADD</t>
  </si>
  <si>
    <t>NORTH CHICAGO</t>
  </si>
  <si>
    <t>Beautiful 2 Bedrooms 2 Baths unit! Highlights include: hardwood floors, granite counters and custom wood flooring in kitchen. Bright and spacious! See it today! Will not pass FHA guidelines.</t>
  </si>
  <si>
    <t>Gated Entry, Sidewalks, Street Lights</t>
  </si>
  <si>
    <t>Will not pass FHA guidelines. To submit an offer, please, copy and paste this link: http://www.callzteam.net/property_n/7008_S_MERRILL_AVE_UNIT_3</t>
  </si>
  <si>
    <t>Peregrine</t>
  </si>
  <si>
    <t>Eagles Ridge</t>
  </si>
  <si>
    <t>W.Bartlett Rd. W OF 59 TO NAPERVILLE S TO SPAULDING E TO Peregrine</t>
  </si>
  <si>
    <t>Dramatic 2 Story Living Room welcomes you. Sq. ft. does not include fin. bmt. Designer Kitchen w/42" Oak Cabinets and all SS Appliances, a sliding glass door opens to deck. Entire 1st level has newer flooring 2nd level and stair carpet were replaced in 2014.   Enjoy entertaining in your huge finished walk-out basement, complete with a second deck and a full bath. Water heater 2012. 2nd floor loft makes a great office</t>
  </si>
  <si>
    <t>Rendall</t>
  </si>
  <si>
    <t>630 830-9100</t>
  </si>
  <si>
    <t>Mary C Olson, CNC,GRI</t>
  </si>
  <si>
    <t>(630) 550-5023</t>
  </si>
  <si>
    <t>Cell - 630 918-3758</t>
  </si>
  <si>
    <t>Great subdivision. Please note: the sq. ft. from builder does not include the finished walk-out basement.</t>
  </si>
  <si>
    <t>Brittany</t>
  </si>
  <si>
    <t>ARMY TRAIL, S ON CARDINAL 1ST R ON BRITTANY</t>
  </si>
  <si>
    <t>38X154</t>
  </si>
  <si>
    <t>RARELY FOUND 2 BEDROOM RANCH UNIT, HAS ONE AND A HALF BATHS.  FRESHLY PAINTED AND CARPETED THROUGHOUT.  LIGHT AND BRIGHT AND READY TO CALL HOME.  ATTACHED ONE CAR GARAGE, STACKED WASHER AND DRYER, NEW REFRIGERATOR, FENCED BACK YARD WITH NO HOA!  PRICED TO SELL!</t>
  </si>
  <si>
    <t>CALL SHOWINGTIME 800-746-9464</t>
  </si>
  <si>
    <t>Lisa Stover, SRES</t>
  </si>
  <si>
    <t>(630) 336-1820</t>
  </si>
  <si>
    <t>PLEASE REMOVE YOUR SHOES, LIGHTS OFF AND LOCK UP, THANKS</t>
  </si>
  <si>
    <t>47 South to 72 West to Aurora Drive North</t>
  </si>
  <si>
    <t>THE ROBIN</t>
  </si>
  <si>
    <t>6 YEARS NEW! OUR LOSS IS YOUR GAIN!! 2ND LEVEL UNIT. SEPARATE DINING AREA. SLIDERS TO BALCONY. STACKABLE WASHER/DRYER IN UNIT. WALK IN CLOSET. 1 CAR GARAGE PLUS ADDITIONAL ASSIGNED PARKING SPACE. YOU CAN'T RENT FOR THIS PRICE!!</t>
  </si>
  <si>
    <t>Common Insurance, TV/Cable, Clubhouse, Exercise Facilities, Pool, Exterior Maintenance, Lawn Care, Snow Removal</t>
  </si>
  <si>
    <t>3% -$225 (on Net SP)</t>
  </si>
  <si>
    <t>CALL 855-746-9200 OR CLICK THE SCHEDULE A SHOWING ICON</t>
  </si>
  <si>
    <t>Kathy Diegel, GRI</t>
  </si>
  <si>
    <t>(847) 707-8907</t>
  </si>
  <si>
    <t>CC: Pursuant to Short Sale. ****Must use contract in addtl info tab of MLS**** SALE IS CONTINGENT UPON THE SELLER OBTAINING THE PRIOR WRITTEN APPROVAL OF BANK OF AMERICA.</t>
  </si>
  <si>
    <t>VILLAGE</t>
  </si>
  <si>
    <t>FAIRFIELD VILLAGE</t>
  </si>
  <si>
    <t>RT 134 &amp; FAIRFIELD, N2 LONG LAKE DR, W TO VILLAGE DR</t>
  </si>
  <si>
    <t>Updated 2 bed, 2 bth 1st floor unit in move in condition! Spacious &amp; bright throughout! Liv rm features fireplace &amp; hwood flrs! Kitch w/breakfast bar &amp; sunny eat area! Mstr offers lrg walk in closet &amp; priv full bth w/dual sinks! 2nd bdrm w/built ins &amp; laminate wood flr! In unit laundry, patio, attached garage! NOT a short sale or foreclosure, just a great price! All furniture can stay at no extra cost if buyer wants!</t>
  </si>
  <si>
    <t>INDIAN HILL ELEMENTARY SCHOOL</t>
  </si>
  <si>
    <t>ROUND LAKE MIDDLE SCHOOL</t>
  </si>
  <si>
    <t>CALL L/O 847-367-8686</t>
  </si>
  <si>
    <t>Marco Amidei</t>
  </si>
  <si>
    <t>(847) 367-4886</t>
  </si>
  <si>
    <t>Chicky@HomesByMarco.com</t>
  </si>
  <si>
    <t>Seller can leave all furniture &amp; TVs, except large TV in living rm, at no extra cost to buyer! Please note taxes do not reflect any exemptions. FHA Approved! Rentals allowed! Direct all inquiries to co-list, Chicky Johnson, 847-602-8600</t>
  </si>
  <si>
    <t>HANNAH</t>
  </si>
  <si>
    <t>WHITNEY</t>
  </si>
  <si>
    <t>TH BUILDING 90 X 132</t>
  </si>
  <si>
    <t>ACTIVE ADULT COMMUNITY - POPULAR WHITNEY RANCH TOWNHOME WITH OPEN FLOORPLAN, A GREAT ROOM THAT OPENS TO A COMMAND CENTER KITCHEN WITH ANGLED BAR, HARDWOOD FLOORS, CUSTOM CABINETS, QUARTZ COUNTER TOPS, &amp; STAINLESS STEEL APPLIANCE PACKAGE! 2 LARGE BEDROOMS, 2 BATHS, 2 CAR GARAGE. THIS GATED COMMUNITY OFFERS CLUBHOUSE W/ INDOOR &amp; OUTDOOR POOL, EXERCISE ROOM, BILLARDS ROOM,TENNIS COURTS, GOLF AND MUCH MORE!</t>
  </si>
  <si>
    <t>Exercise Room, Health Club, Pool-Indoors, Pool-Outdoors, Whirlpool, Gated Entry, Street Lights, Street Paved</t>
  </si>
  <si>
    <t>Call 847-984-4872 to schedule an appointment</t>
  </si>
  <si>
    <t>DR HORTON</t>
  </si>
  <si>
    <t>Agents must accompany client on initial visit to qualify for compensation. Please call the Sales Office at 847-984-4872. Hours Daily 10-5, Sundays 11-5, Monday 1-5. "Ask about builders lender DHI Mortgage financing rewards".</t>
  </si>
  <si>
    <t>56th</t>
  </si>
  <si>
    <t>LSD to 57th, west to Hyde Park Blvd, north 1 block to 56th, east to 1700, 1st building on left</t>
  </si>
  <si>
    <t>Price to Sell! This high floor 2BR 2BTH condo, in a prestigious Hyde Park full-service building, has gorgeous unobstructed views of the lake, city, Museum of Science &amp; Industry and Jackson Park.  Close to the U of Chicago and downtown transportation, its features include extensive closet space, central A/C, and indoor parking.  Building amenities include doorman, exercise room, roof-top deck and party room.</t>
  </si>
  <si>
    <t>Bike Room/Bike Trails, Door Person, Coin Laundry, Elevator, Exercise Room, Storage, On Site Manager/Engineer, Party Room, Sundeck, Receiving Room, Service Elevator</t>
  </si>
  <si>
    <t>Heat, Air Conditioning, Water, Parking, Common Insurance, Doorman, TV/Cable, Exercise Facilities, Exterior Maintenance, Lawn Care, Scavenger, Snow Removal</t>
  </si>
  <si>
    <t>2.5 % MINUS $325 (on Net SP)</t>
  </si>
  <si>
    <t>24-hour notice with confirmation</t>
  </si>
  <si>
    <t>(312) 368-5300</t>
  </si>
  <si>
    <t>Robert Sullivan</t>
  </si>
  <si>
    <t>(312) 268-0719</t>
  </si>
  <si>
    <t>Glenwood</t>
  </si>
  <si>
    <t>Golfview to Hankes to Norris to Glenwood</t>
  </si>
  <si>
    <t>1st Time on The Market - Stunning Meadowridge Villas Adult 55+ Community Ranch - Backs to Open Greenspace! Absolutely Lovely... 2 Bedrms, 2 Full Bath w/ 1st Floor Den &amp; Sunroom! Gorgeous Kitchen w/ Upgraded Cabinetry, Granite Countertops, SS Appls  &amp; Delightful Adjacent Sunroom - Opens to Spacious Family Rm,  Master Ste w W/I/C and Private Bath... 10 ft Ceilings, 1st Fl Utl Rm, Huge Bsmt &amp; 2 Car Garage! Immaculate!</t>
  </si>
  <si>
    <t>Unfinished, Crawl</t>
  </si>
  <si>
    <t>Den, Eating Area, Sun/Florida Room Heated</t>
  </si>
  <si>
    <t>Call Showing Time Please at 855-919-0376</t>
  </si>
  <si>
    <t>Melissa Garcia</t>
  </si>
  <si>
    <t>(630) 391-4830</t>
  </si>
  <si>
    <t>Interstate Access, Adult Community</t>
  </si>
  <si>
    <t>Truly Lovely!  Why wait for New? Can't build it for this price! Home in immaculate condition seller prefers to sell as-is home is in estate.  New Roof!</t>
  </si>
  <si>
    <t>Piers</t>
  </si>
  <si>
    <t>Cass to Pier Dr., west to the unit.</t>
  </si>
  <si>
    <t>835 X 634</t>
  </si>
  <si>
    <t>Great, 1st floor, condo located in the Piers. 2bd/2ba condo with in-unit laundry. Freshly painted with fireplace. Large Master Suite. Detached garage close to unit. Professionally maintained grounds with walking/bike trails, party room and outdoor pool. Don't miss this condo close to everything including restaurants, shopping, schools, park district facilities, METRA and I-55.</t>
  </si>
  <si>
    <t>Bike Room/Bike Trails, Storage, Park/Playground, Party Room, Pool-Outdoors, Curbs/Gutters, Sidewalks, Street Lights, Street Paved</t>
  </si>
  <si>
    <t>Landscaped Professionally, Pond</t>
  </si>
  <si>
    <t>Parking, Clubhouse, Pool, Exterior Maintenance, Scavenger, Snow Removal, Lake Rights</t>
  </si>
  <si>
    <t>Martin King, ABR</t>
  </si>
  <si>
    <t>(708) 533-0687</t>
  </si>
  <si>
    <t>Nice unit. Quick close.</t>
  </si>
  <si>
    <t>KENSTON</t>
  </si>
  <si>
    <t>RT 38 TO EIGHTH STREET, SOUTH TO KENSTON COURT</t>
  </si>
  <si>
    <t>Fantastic Golf Course View; Walk-out first floor.  Updated condo with full wall white brick fireplace, newer widows, ss doors and updated kitchen with stacked washer &amp; dryer.  Near downtown Geneva and train station. Neutral decor. Walk-in closet. Storage locker and another washer &amp; dryer set in shared basement. Garage #3 goes with unit.</t>
  </si>
  <si>
    <t>Coin Laundry, Storage, Curbs/Gutters, Sidewalks, Street Lights, Street Paved</t>
  </si>
  <si>
    <t>Oven/Range, Microwave, Dishwasher, Refrigerator, High End Refrigerator, Washer, Dryer, Disposal</t>
  </si>
  <si>
    <t>Golf Course Lot, Stream, Wooded</t>
  </si>
  <si>
    <t>Water, Gas, Parking, Common Insurance, Exterior Maintenance, Lawn Care, Scavenger, Snow Removal, Other</t>
  </si>
  <si>
    <t>Wood Burning, Attached Fireplace Doors/Screen, Gas Logs</t>
  </si>
  <si>
    <t>Coleman Land Company</t>
  </si>
  <si>
    <t>(630) 377-1600</t>
  </si>
  <si>
    <t>James Coleman</t>
  </si>
  <si>
    <t>(630) 610-9221</t>
  </si>
  <si>
    <t>CP looks good</t>
  </si>
  <si>
    <t>Dover</t>
  </si>
  <si>
    <t>BRIARCLIFFE LAKES</t>
  </si>
  <si>
    <t>BRIARCLIFFE TO LAKECLIFFE TO DOVER COURT</t>
  </si>
  <si>
    <t>Nice, spacious 2 bedroom condo with private, large balcony on 2nd floor. Newer kitchen cabinets, separate dining room, washer and dryer in the unit. 1 car attached garage with storage. Ready to move in. This is a place you can call home where you will enjoy to live. Close to College of DuPage, Town Square shopping center, new Mariano's grocery store, Whole Foods and many more. Great location!</t>
  </si>
  <si>
    <t>BRIAR GLEN ELEMENTARY SCHOOL</t>
  </si>
  <si>
    <t>Storage, Park/Playground, Security Door Locks, Curbs/Gutters, Sidewalks, Street Paved</t>
  </si>
  <si>
    <t>Parking, Common Insurance, Security System, TV/Cable, Exterior Maintenance, Lawn Care, Snow Removal</t>
  </si>
  <si>
    <t>2.5%-299 (on Net SP)</t>
  </si>
  <si>
    <t>Please call 1-855-746-9100</t>
  </si>
  <si>
    <t>Barbara Moniuszko</t>
  </si>
  <si>
    <t>(708) 650-6665</t>
  </si>
  <si>
    <t>(708) 650-6665 Cell</t>
  </si>
  <si>
    <t>Remove shoes,turn off lights and lock the doors.Quick closing possible.Buyers agent must accompany all shows and keep the key when in garage.Room sizes are estimated-buyer to verify. IMPORTANT from owner:Great/easy to work with assoc.</t>
  </si>
  <si>
    <t>County Line S to Burr Ridge Pkwy East to Village Green</t>
  </si>
  <si>
    <t>Corner unit with double exposure, Beautifully designed 2 bedroom, 2 bath condo with extra large master suite, closet space galore, formal dining, great room, spacious gourmet kitchen, granite counters, stainless Bosch appliances and hardwood floors. 2 interior parking. East side building, 1st floor, pond view. Never occupied. Special offering for investment minded buyer. Extra incentive will apply. Sold "As Is".</t>
  </si>
  <si>
    <t>Corner, Pond</t>
  </si>
  <si>
    <t>Call for showing 630-506-5060/24 hour notice please. Listing agent on site Mon, Wed, Sat.</t>
  </si>
  <si>
    <t>Burr Deed</t>
  </si>
  <si>
    <t>Kinzie Brokerage LLC</t>
  </si>
  <si>
    <t>(312) 464-8800</t>
  </si>
  <si>
    <t>Marie Jungles</t>
  </si>
  <si>
    <t>(630) 506-5060</t>
  </si>
  <si>
    <t>Special circumstances with unit. Repairable issues with radiant heat affecting upper floor unit will require Contractor to access through 113 removing portion of ceiling at some point. Adtl. incentive for inconvenience, Est. 1 wk time frame</t>
  </si>
  <si>
    <t>1S254</t>
  </si>
  <si>
    <t>Michigan Ave to Lowell Ave to Ingersoll Ln</t>
  </si>
  <si>
    <t>Very nice 2 Bedrooms 1.1 bath 2 stories Townhome with parking space! Full finished basement! Built in 1968 brick home is approx 1054 sq.ft. Nice, quite neighborhood. Conveniently located near parks, schools and shopping. Waiting for your offers! Highest and best deadline 1/6 at 1:00 PM. HOA does not allow rentals.</t>
  </si>
  <si>
    <t>Highest and best deadline 1/6 at 1:00 PM. HOA does not allow rentals. TO SUBMIT AN OFFER, PLEASE, COPY AND PASTE THIS LINK: http://www.callzteam.net/property_n/1S254_INGERSOLL_LN</t>
  </si>
  <si>
    <t>Rt-59 to 87th {E} Sheehan {S} Gypsum {E} to home</t>
  </si>
  <si>
    <t>2 story townhome in Windridge of Naperville. Tenant occupied, month to month lease. Comfortable floor plan with eat in kitchen with Oak cabinets, LR/DR combo, patio off the LR. Nice size master with vaulted ceilings, WIC, and shared spacious bathroom. 2nd Fl. laundry, plenty of closet space throughout. Award winning school Dist. #204! Great investment opportunity, in a great area</t>
  </si>
  <si>
    <t>*Call Centralized Showing @ 877-977-1010 *24 hour notice Preferred , tenant occupied</t>
  </si>
  <si>
    <t>ACM Realty Services LLC</t>
  </si>
  <si>
    <t>(630) 737-9590</t>
  </si>
  <si>
    <t>Sarah Krause, CSC</t>
  </si>
  <si>
    <t>(708) 263-9462</t>
  </si>
  <si>
    <t>-Association is FHA approved until 7/18/15</t>
  </si>
  <si>
    <t>Citadel</t>
  </si>
  <si>
    <t>CITADEL ON THE POND</t>
  </si>
  <si>
    <t>Ogden west of Rt. 83 to Oakwood Dr. North to Citadel.</t>
  </si>
  <si>
    <t>SOMMERSET</t>
  </si>
  <si>
    <t>1183 SQ FT</t>
  </si>
  <si>
    <t>Location, location, location! Spacious end unit on the pond! HW floors throughout! LR with vaulted ceilings and fireplace. Dining room has access to deck and pond views.  Kitchen with SS appliances, granite counters and breakfast area.  Finished walk-out lower level features rec room, study and full bath. Master BR with vaulted ceiling, WIC closet, full bath with whirlpool and separate shower.</t>
  </si>
  <si>
    <t>Study</t>
  </si>
  <si>
    <t>Breakfast Room, Loft, Recreation Room, Study</t>
  </si>
  <si>
    <t>3%-$200 (ON GROSS SP) (on Gross SP)</t>
  </si>
  <si>
    <t>Call Don 630-915-2647 for Appointment. On Sentrilock</t>
  </si>
  <si>
    <t>630-887-0222</t>
  </si>
  <si>
    <t>Long Realty</t>
  </si>
  <si>
    <t>(630) 887-0222</t>
  </si>
  <si>
    <t>Jim Long</t>
  </si>
  <si>
    <t>(630) 638-0222</t>
  </si>
  <si>
    <t>Prospect</t>
  </si>
  <si>
    <t>Irving Park to Prospect-south to 223</t>
  </si>
  <si>
    <t>00X00</t>
  </si>
  <si>
    <t>Just like a home without the exterior maintenance. Property is in need of updating-mostly paint and carpet. Full basement finished.</t>
  </si>
  <si>
    <t>MRL Realty</t>
  </si>
  <si>
    <t>(773) 792-2477</t>
  </si>
  <si>
    <t>Gerry Seiwert</t>
  </si>
  <si>
    <t>(708) 268-5504</t>
  </si>
  <si>
    <t>FOXCROFT</t>
  </si>
  <si>
    <t>FOXCROFT CONDOS</t>
  </si>
  <si>
    <t>75TH W TO WASHINGTON, S TO FOXCROFT, W- 1ST RIGHT</t>
  </si>
  <si>
    <t>**BEAUTIFUL 2 BEDROOM, 1.1 BATH REMODELED IN '08 - TOP TO BOTTOM**GOURMET KITCH W CHERRY CAB'S, GRANITE CTRS, SS APP'S, HW FLOOR**PLUSH FRIESE CARPET**W &amp; D IN UNIT-FIRST FLOOR**WB GAS LIGHT FP**WHITE 6 PANEL DOORS AND WOOD TRIM - UPGRADED BASE BOARDS**OPEN FLOOR PLAN**HUGE HIS/HERS WIC IN MASTER**DUAL SINKS, SOAK TUB, SEP SHOWER**BAX TO GREEN SPACE, NEAR RIVERWALK**2 STORY**DIST 203**2 SPACES**10++</t>
  </si>
  <si>
    <t>Party Room, Pool-Outdoors</t>
  </si>
  <si>
    <t>Parking, Common Insurance, Clubhouse, Pool, Exterior Maintenance, Lawn Care, Snow Removal</t>
  </si>
  <si>
    <t>CLICK BELOW TO SCHEDULE A SHOWING</t>
  </si>
  <si>
    <t>KYLE</t>
  </si>
  <si>
    <t>Craig Doherty</t>
  </si>
  <si>
    <t>(630) 670-8334</t>
  </si>
  <si>
    <t>UNITS CAN BE RENTED!</t>
  </si>
  <si>
    <t>6S110</t>
  </si>
  <si>
    <t>PARK MEADOW</t>
  </si>
  <si>
    <t>9D</t>
  </si>
  <si>
    <t>STEEPLE RUN</t>
  </si>
  <si>
    <t>Maple Ave (E of Naper) to Steeple Run, N to Park Meadow, E to 6S110 (2d condo bldg on left)</t>
  </si>
  <si>
    <t>Completely updated 2br 2ba*Colonial base boards,window casings,crown molding,white 6 panel doors*Wood Laminate flooring throughout*Plush new carpet in mbr*Kit has maple cabs,corian counter top,ceramic back splash,all SS Frigidaire apps,track lighting*Caned lighting*Baths have gorgeous vanities,granite,tile showers and large tile floors*In unit laundry w/Whirlpool W/D*Much More!Owner occupied only.No pets allowed.</t>
  </si>
  <si>
    <t>2.5% -$200.00 (on Net SP)</t>
  </si>
  <si>
    <t>630-430-7871</t>
  </si>
  <si>
    <t>Owner occupied only.No pets allowed. See additional feature sheet (from seller) in additional information.</t>
  </si>
  <si>
    <t>Capitol</t>
  </si>
  <si>
    <t>Rt 47 to Bliss Rd East to Capitol to home</t>
  </si>
  <si>
    <t>34X61X34X60</t>
  </si>
  <si>
    <t>Beautiful ranch townhome in quiet setting that shows like new, stainless steel Maytag appliances, granite, back splash, hardwood floors. Open floor plan that is great for entertaining. Large vaulted living room w/hardwoods &amp; exterior patio. Master suite w/large walk-in closet, double sinks. 2nd bedroom at other end of townhome so very private w/full bath. Backs to woods, additional parking right outside your door.</t>
  </si>
  <si>
    <t>12X5</t>
  </si>
  <si>
    <t>Forest Preserve Adjacent, Landscaped Professionally</t>
  </si>
  <si>
    <t>Humidifier, TV-Dish, Security System, Ceiling Fan</t>
  </si>
  <si>
    <t>Chris Kohlhagen</t>
  </si>
  <si>
    <t>(630) 768-8317</t>
  </si>
  <si>
    <t>Very nice unit that backs to forest preserve. Could be handicap because openings are 32". Roofs were replaced 2 months ago.</t>
  </si>
  <si>
    <t>Fairway Oaks</t>
  </si>
  <si>
    <t>North First Street to Bethany, east to Fairway Oaks Drive, east to property.</t>
  </si>
  <si>
    <t>Great location in superb golf course neighborhood. This 2 bedroom, 2 bathroom condo has a spacious great room, brick fireplace with gas logs, inviting sunroom, and master suite with adjoining bath and walk-in closet. Kitchen features oak cabinets and floor, all appliances, and bay window. Newer deck off sunroom, finished lower level, and oversize 2-car garage. Available for quick closing and occupancy.</t>
  </si>
  <si>
    <t>18X26</t>
  </si>
  <si>
    <t>36X18</t>
  </si>
  <si>
    <t>Call listing office or listing agent</t>
  </si>
  <si>
    <t>Deprin</t>
  </si>
  <si>
    <t>McCabe REALTORS</t>
  </si>
  <si>
    <t>(815) 756-8505</t>
  </si>
  <si>
    <t>Charles Lindhart</t>
  </si>
  <si>
    <t>Sellers are offering to buyers a credit of 3 months of condo association fees for a sale closing by February 28, 2015.</t>
  </si>
  <si>
    <t>ASHTON</t>
  </si>
  <si>
    <t>31ST EAST OF WOLF TO WESTMINISTER N TO ASHTON CT EAST TO YOUR NEW HOME</t>
  </si>
  <si>
    <t>30X91</t>
  </si>
  <si>
    <t>SUNNY AND SPACIOUS 2 BEDROOM 1.5 BATH TOWNHOME IN WESTCHESTER PLACE.  WELL MAINTAINED WITH NEUTRAL DECOR, NEWER CARPET, AND ALL APPLIANCES. LOTS OF STORAGE, PRIVATE PATIO AND TWO CAR GARAGE.  JUST STEPS TO THE NEW MARIANO'S.  ALSO CLOSE TO MAJOR EXPRESSWAYS.  EASY TO SHOW.</t>
  </si>
  <si>
    <t>CALL OR TEXT LA - LEAVE MESSAGE AND SHOW</t>
  </si>
  <si>
    <t>MARGARET M GRUBER TRUST</t>
  </si>
  <si>
    <t>708-860-1429</t>
  </si>
  <si>
    <t>Lee Bence, CRS,CSC,GRI</t>
  </si>
  <si>
    <t>(708) 860-1429</t>
  </si>
  <si>
    <t>BUYER MUST BE ACCOMPANIED BY LICENSED REAL ESTATE AGENT FOR ALL SHOWINGS --  USE MULTI-BOARD 6.0 CONTRACT  --  LOT DIMENSIONS PER REALIST</t>
  </si>
  <si>
    <t>ORLEANS</t>
  </si>
  <si>
    <t>LAKEWOOD VILLAGE</t>
  </si>
  <si>
    <t>60 &amp; BUTTERFIELD SOUTH TO ORLEANS W TO  HOME</t>
  </si>
  <si>
    <t>Lakewood Village townhouse including attached garage (extra long), second floor laundry, cedar closets throughout and more! Formal dining area. Living room with cozy brick fireplace &amp; surround sound. Eat-in kitchen with stainless steel refrigerator and stove, pantry and slider leading to extended patio. Large master bedroom with walk-in closet and private bathroom. Additional bedroom &amp; full bath on second floor.</t>
  </si>
  <si>
    <t>Humidifier, Fire Sprinklers</t>
  </si>
  <si>
    <t>Call Listing Office 847-367-8686 Dial "0" or use showing assist</t>
  </si>
  <si>
    <t>18th</t>
  </si>
  <si>
    <t>North Avenue East or West to 19th Ave, South to Hirsch, East to 18th, South to property.</t>
  </si>
  <si>
    <t>Amazing opportunity to own this ATTACHED TOWNHOUSE!  Great space!  New carpet and paint.  Detached garage.  Partially finished basement with extra bathroom.  Easy access to North Avenue and shopping.  This is a Fannie Mae Homepath property.</t>
  </si>
  <si>
    <t>7X12</t>
  </si>
  <si>
    <t>3% OR $1000 MIN (on Net SP)</t>
  </si>
  <si>
    <t>KNOTTINGHAM</t>
  </si>
  <si>
    <t>Devonshire</t>
  </si>
  <si>
    <t>CASS TO PLAINFIELD WEST TO KNOTTINGHAM CIRCLE SOUTH</t>
  </si>
  <si>
    <t>BEAUTIFUL TOWNHOME/CONDO W ATTACHED GARAGE, SECOND FLOOR UNIT, RELAX &amp; ENJOY THE OPEN FLOOR PLAN AND MANY NEW FEATURES.... WOOD LAMINATE FLOORS, ALL SS APPLAINCES, COMPLETE REMODEL OF FULL BATH &amp; DRESSING AREA W 2ND VANITY IN 2011, TRANE FURNACE 2012,TRANE A/C 2010, HW HEATER 2010, CEILING FANS 2012,GAS LOG FP WITH SHELF FOR FLAT SCREEN TV, BUILT-IN BOOKCASES, BALCONY. THIS IS MOVE IN READY.. PRISTINE CONDITION!</t>
  </si>
  <si>
    <t>Condo, Manor Home/Coach House/Villa, Townhouse-2 Story</t>
  </si>
  <si>
    <t>2.5-$200 (on Gross SP)</t>
  </si>
  <si>
    <t>call 800-746-9464 to schedule a showing</t>
  </si>
  <si>
    <t>Sheila Henning, ABR,CNC</t>
  </si>
  <si>
    <t>(708) 246-9912</t>
  </si>
  <si>
    <t>Gas log fireplace working when purchased but has never been used so "as-is"</t>
  </si>
  <si>
    <t>I-90 to 25N, to Higgins, West to King</t>
  </si>
  <si>
    <t>EAST DUNDEE</t>
  </si>
  <si>
    <t>WOW-PRICE REDUCTION!!Beautiful 2 bedroom/2 bathroom home in an excellent location! Well Maintained, spacious rooms, fireplace, PLUS a 2 car garage! Priced to sell, this one has it all and won't last! Sold as is Taxes prorated at 100% Preapproval &amp; Copy of EM required W all offers EM MUST BE CERTIFIED FUNDS / info not guaranteed seller does not provide survey. HOMESTEPS FINANCING</t>
  </si>
  <si>
    <t>Email 1 PDF FILE fsrhomes@aol.com. C add. Info in MLS Contract/Off WS ON OWNR OCC HOMES ONLY-UP to 3% BUYER CLSG COSTS SPECIAL INCENTIVES 4 OWNER OCC. BUYERS. PLS C www.homesteps.com.</t>
  </si>
  <si>
    <t>N. on Lakeview Drive from Lake St. between Glen Ellyn Road and Circle St.</t>
  </si>
  <si>
    <t>Investor Closeout!!! FHA, VA &amp; Fannie Freddy Approved! "We offer the combination of Newer Construction and Gorgeous Views that no one else in the area has to offer." Slightly used spacious condo for sale, huge private balcony, serene private lake setting, tremendous value, in unit laundry, gas cooking, indoor parking and storage included. Community Features: Club, heated outdoor pool, fitness center, saunas, beach</t>
  </si>
  <si>
    <t>Water, Gas, Common Insurance, Clubhouse, Pool</t>
  </si>
  <si>
    <t>medinahonthelake@gmail.com APPOINTMENT RECOMMENDED Agent on site Fri &amp; Sat and by appointment.</t>
  </si>
  <si>
    <t>Bloomingdale72, LLC</t>
  </si>
  <si>
    <t>Investor Closeout!!! FHA, VA &amp; Fannie Freddie Approved!!! Totally Warrantable for all loan types and all Lenders!!! APPOINTMENT RECOMMENDED Agent on site Fri, Sat and by appointment.</t>
  </si>
  <si>
    <t>PIERCE</t>
  </si>
  <si>
    <t>Itasca</t>
  </si>
  <si>
    <t>THORNDALE TO PARK (N) TO PIERCE (E) TO PIERCE PLACE COND</t>
  </si>
  <si>
    <t>ITASCA</t>
  </si>
  <si>
    <t>CUSTOM</t>
  </si>
  <si>
    <t>Open layout luxury all brick 2br 2 bth condo. almost brand new. Stainless steel appls, granite counter tops, hard wood floors. Master suite with full bath. Color video monitored building. Heated garage parking, elevator, fireplace, wet bar, balcony,in unit laundry, extra storage. This is a beauty! easy to show.</t>
  </si>
  <si>
    <t>RAYMOND BENSON PRIMARY SCHOOL</t>
  </si>
  <si>
    <t>F E PEACOCK MIDDLE SCHOOL</t>
  </si>
  <si>
    <t>Elevator, Storage, Curbs/Gutters, Street Lights, Street Paved</t>
  </si>
  <si>
    <t>Parking, Common Insurance, Security, Exterior Maintenance, Lawn Care, Scavenger, Snow Removal</t>
  </si>
  <si>
    <t>Balcony, Utility Room-2nd Floor</t>
  </si>
  <si>
    <t>easy to show, must confirm/Alarm call 855 746-9843</t>
  </si>
  <si>
    <t>Keller Williams Team Realty</t>
  </si>
  <si>
    <t>Daniela Solimano</t>
  </si>
  <si>
    <t>(773) 474-4137</t>
  </si>
  <si>
    <t>Gullikson</t>
  </si>
  <si>
    <t>Harlem to 63rd Street, East 1 Block to Gullikson</t>
  </si>
  <si>
    <t>**TAKE A LOOK AT THIS FRESHLY PAINTED &amp; EXTRA CLEAN READY TO "MOVE IN" 2ND FLOOR CONDO**UNIT FEATURES 2 BEDS AND 2 FULL BATHS** LARGE KITCHEN WITH TABLE SPACE**NEW HOT WATER TANK**ALL ROOMS WITH HARDWOOD/LAMINATE FLOORS**ELEVATOR BUILDING**ATTACHED HEATED GARAGE SPACE PLUS 1 ASSIGNED PARKING SPACE**PLENTY OF VISITOR PARKING** DON'T DELAY CHECK IT OUT TODAY**</t>
  </si>
  <si>
    <t>Common Insurance, Security System, Exterior Maintenance, Lawn Care, Scavenger, Snow Removal</t>
  </si>
  <si>
    <t>PLEASE USE SHOWINGS ASSIST</t>
  </si>
  <si>
    <t>Solution Key Realty LLC</t>
  </si>
  <si>
    <t>(708) 598-1144</t>
  </si>
  <si>
    <t>Kamil Nowakowski</t>
  </si>
  <si>
    <t>(708) 351-4981</t>
  </si>
  <si>
    <t>PLEASE EMAIL ALL OFFERS TO KAMIL@SOLUTIONKEYREALTY.COM, SEPARATE DEEDED GARAGE SPACE PIN 19-18-312-052-1038, TOTAL TAX ON BOTH PINS UNIT &amp; GARAGE $1643.92=(1528.05 + 115.87)</t>
  </si>
  <si>
    <t>Pulaski Rd. to 76th St--West to 4261</t>
  </si>
  <si>
    <t>This Freddie Mac owned condo offers 2 bedrooms, 2 baths, a dining room and unassigned exterior parking. This ground level unit does not have interior or exterior steps.  Unit can be rented. Home warranty allowance is available for owner occupied buyer. Located near shopping and schools.  Sold as-is.</t>
  </si>
  <si>
    <t>Water, Parking, Exterior Maintenance, Lawn Care, Scavenger, Snow Removal</t>
  </si>
  <si>
    <t>2.5% OR $1,500 MINIMUM (on Gross SP)</t>
  </si>
  <si>
    <t>Freddie Mac / Homesteps</t>
  </si>
  <si>
    <t>Betts Realty Group, P.C.</t>
  </si>
  <si>
    <t>(708) 229-8570</t>
  </si>
  <si>
    <t>Chuck Betts</t>
  </si>
  <si>
    <t>Submit offer to co-lister at mmehood@cs.com or fax to 312-278-0156. See MLS additional info. to be submitted with offer. EM in cashier's check only. IL Condo Property Act may apply.</t>
  </si>
  <si>
    <t>Patriot</t>
  </si>
  <si>
    <t>UNION SQUARE</t>
  </si>
  <si>
    <t>Washington &amp; Hainesville Rd, S2 Patriot, E2 Patriot Drive, Second cul-de-sac on the right at the end</t>
  </si>
  <si>
    <t>EVERTON</t>
  </si>
  <si>
    <t>Coveted end unit &amp; private pond view. Enjoy many upgrades to this model with loft that is easily converted into a third bedroom, now with a murphy bed. Buyer with flair will enjoy the art deco design here. Notice the cherry 42" upgraded cabinets, brand new wood laminate flooring, neutral carpeting, blinds, and drapes all stay with sale. All black appliances are upgraded. Under the snow is a paver brick private patio</t>
  </si>
  <si>
    <t>PRI</t>
  </si>
  <si>
    <t>Bike Room/Bike Trails, Storage, Park/Playground, Curbs/Gutters, Sidewalks, Street Lights, Street Paved</t>
  </si>
  <si>
    <t>Cul-de-sac, Landscaped Professionally, Pond, Water Rights, Water View</t>
  </si>
  <si>
    <t>Manager Off-site, Monday through Saturday</t>
  </si>
  <si>
    <t>Call list office or use Showing Assist</t>
  </si>
  <si>
    <t>Laura Swinden, ABR,CRS,GRI,SFR</t>
  </si>
  <si>
    <t>(847) 557-8540</t>
  </si>
  <si>
    <t>This is a beautiful unit, well worth viewing in a prime location. Investors are welcome.</t>
  </si>
  <si>
    <t>Whitchurch</t>
  </si>
  <si>
    <t>Roosevelt Rd. S on President to Whitchurch Ct. East</t>
  </si>
  <si>
    <t>Spacious End Unit Townhouse with a partially finished basement. Living Room with Gas Logs/ Starter Fireplace.  1st Floor Brazilian Cherry Wood Floors. Generous Room sizes. Kitchen has New Backsplash and Counters.  Newer Sliding Glass door in Dining Room leading to Wood Deck. Updated Bathrooms! Whole House Fan.  Recreation Room in the Basement. Excellent location- Close to College of Dupage, Shopping &amp; Expressways.</t>
  </si>
  <si>
    <t>2.5-$250 (on Net SP)</t>
  </si>
  <si>
    <t>NEED NOTICE [Baby] Call Showing Time 1-855-746-9100</t>
  </si>
  <si>
    <t>Tina White, CSC</t>
  </si>
  <si>
    <t>(630) 363-0594</t>
  </si>
  <si>
    <t>Sentrilock on Light Fixture near Front Door, Notice Please we have a small baby, If you need to cancel or are running late please call showtime so they can let my sellers know.</t>
  </si>
  <si>
    <t>WEST ON SCHAUMBURG RD AT BARRINGTON RD TO NRTH PARK BLVD</t>
  </si>
  <si>
    <t>2 bedroom 2 bath condo w/1 car attached garage on 2nd Floor. Freshly painted &amp; new carpet throughout. Ready for buyer to move right in. Oak Cabinet Kitchen with SGD to Balcony. Master Bedroom with Private Bath. In Unit Laundry Room. Please Note Home is Being Sold As-Is, Seller NO Survey &amp; Taxes at 100%. Buyer to be responsible for HOA fees per the IL Condo Foreclosure Act if applicable. Buyer to Due their Diligence.</t>
  </si>
  <si>
    <t>Manager Off-site, Monday through Sunday</t>
  </si>
  <si>
    <t>Send offers to offers@themalikteam.com or fax to 214-716-1094 - EMD must be min of $2000.00(cashier's check) payable to Larson &amp; Associates. Buyers agent will pay $150 closing fee to Pyramid Platform at closing. NOT FHA Approved.</t>
  </si>
  <si>
    <t>RT 25 to Congdon E to Toastmaster N to Shawford W to Providence Cr. on your left.</t>
  </si>
  <si>
    <t>BAYBERRY</t>
  </si>
  <si>
    <t>Currently rented, lease expires 7/31/15. Great 2 bedroom 1 bath townhome, attached garage, beautiful open kitchen, living, and dining room layout. Newer appliances in the kitchen, with eat in area. Laundry room right off of the bedrooms.</t>
  </si>
  <si>
    <t>17X09</t>
  </si>
  <si>
    <t>Call Centralized Showing 877-977-1010. 24 hour notice please!</t>
  </si>
  <si>
    <t>Owner on Record</t>
  </si>
  <si>
    <t>Lucy Mullarkey</t>
  </si>
  <si>
    <t>(331) 202-9098</t>
  </si>
  <si>
    <t>Please allow 24 hour notice for showing requests. Thank you!</t>
  </si>
  <si>
    <t>220N</t>
  </si>
  <si>
    <t>UNIVERSITY PARK CONDOS</t>
  </si>
  <si>
    <t>LAKE PARK TO 55TH STREET W. TO PROPERTY</t>
  </si>
  <si>
    <t>CON</t>
  </si>
  <si>
    <t>Location and convenience.  Quiet, courtyard facing two bedroom/two bath in University Park, designed by famed architect I.M. Pei.  Estate sale, unit is in good condition, but sold as-is.  Great Two Bedroom Value for location.  Steps to U of C, 53rd Street shopping &amp; entertainment, Metra and Lakefront.  One Garage Space included.  Excellent opportunity in central Hyde Park.  Building features doorman and pool.</t>
  </si>
  <si>
    <t>Bike Room/Bike Trails, Door Person, Coin Laundry, Elevator, Pool-Outdoors, Gated Entry, Sidewalks, Street Lights, Street Paved</t>
  </si>
  <si>
    <t>Heat, Air Conditioning, Water, Parking, Common Insurance, Security, Doorman, TV/Cable, Exercise Facilities, Pool, Exterior Maintenance, Lawn Care, Scavenger, Snow Removal</t>
  </si>
  <si>
    <t>Use Showing Assit</t>
  </si>
  <si>
    <t>Beals Verdin &amp; Company LTD</t>
  </si>
  <si>
    <t>(708) 433-0300</t>
  </si>
  <si>
    <t>Wayne Beals</t>
  </si>
  <si>
    <t>(312) 772-3257</t>
  </si>
  <si>
    <t>Great unit.  Showing agent is related to seller.  Agent must accompany.</t>
  </si>
  <si>
    <t>OGDEN POINTE</t>
  </si>
  <si>
    <t>Ogden to Eola S. to Hafenrichter rt. to 1st stop left to Daybreak &amp; left to Twilight</t>
  </si>
  <si>
    <t>EXCEPTIONL VALUE ON THIS GREAT LOOKING 2 STORY TOWNHOUSE. HOME FEATURES LARGE BEDROOMS, EAT IN KITCHEN, FAMILY ROOM BALCONY AND 2 CAR ATTACHED GARAGE.</t>
  </si>
  <si>
    <t>BEDNARCIK JUNIOR HIGH SCHOOL</t>
  </si>
  <si>
    <t>Condo, Townhouse 3+ Stories</t>
  </si>
  <si>
    <t>Ownwer of Record</t>
  </si>
  <si>
    <t>Russell Weglarz</t>
  </si>
  <si>
    <t>(630) 400-6440</t>
  </si>
  <si>
    <t>No disclosures, survey or personal property **OFFER ACCEPTED AWAITING PAPERWORK</t>
  </si>
  <si>
    <t>Country Club</t>
  </si>
  <si>
    <t>Woodridge Club</t>
  </si>
  <si>
    <t>75th Street to Woodward, South to Country Club Drive, to Building 2222</t>
  </si>
  <si>
    <t>Very affordable &amp; move-in-ready! Spacious 2BR, 1BA Condo newly painted in todayâ€™s modern designer colors. New windows, carpet, bathroom tile, laminate flooring &amp; lighting. Open floor plan with tons of closet space. Spacious LR, DR, galley kitchen &amp; balcony with gas grill included. Assessments include heat, water, gas, common insurance, parking, pool &amp; clubhouse. Plenty of parking. Close to I-355, shopping &amp; dining.</t>
  </si>
  <si>
    <t>Easy to Show! Call Showing Desk 866-571-7181 for appointment.</t>
  </si>
  <si>
    <t>Joseph Eriser</t>
  </si>
  <si>
    <t>(630) 580-7311</t>
  </si>
  <si>
    <t>cell: 630-217-1438</t>
  </si>
  <si>
    <t>Easy to Show. Call Showing Desk for appointment 866-571-7181. New Gas Barbecue on balcony is included. Unit must be occupied by owner or relative. Sorry... No rentals allowed.</t>
  </si>
  <si>
    <t>29W380</t>
  </si>
  <si>
    <t>Rte 59, East on Batavia Rd, North on Emerald Green Dr to home.</t>
  </si>
  <si>
    <t>1024 SQ FT</t>
  </si>
  <si>
    <t>Very quaint Aspen model, well maintained home in a great location. Patio looks out to open common area great for picnics, very private. Brick Fireplace, Tiled kitchen floor, Plush carpeting, very secure, Utility Room with W&amp;D, Wonderful community with Clubhouse &amp; Pool, Great management who maintain the property very well.</t>
  </si>
  <si>
    <t>Septic-Shared</t>
  </si>
  <si>
    <t>Exercise Room, Pool-Outdoors, Tennis Court/s, Street Paved</t>
  </si>
  <si>
    <t>Clubhouse, Exercise Facilities, Pool, Exterior Maintenance, Lawn Care, Snow Removal</t>
  </si>
  <si>
    <t>Cluster, Condo, Corridor</t>
  </si>
  <si>
    <t>Sentrilock on Mailbox.  Buyers agent must accompany buyer, text 630.639.8406 or email LA to show</t>
  </si>
  <si>
    <t>Alan Lennon, CNC,CSC</t>
  </si>
  <si>
    <t>630.639.8406</t>
  </si>
  <si>
    <t>Priced to sell quickly. Sentrilock on mailbox, 3 keys, (1) building entrance, (2) unit deadbolt and lock.  Text or email LA, Vacant, easy to show.  All units owner occupied.</t>
  </si>
  <si>
    <t>Milford</t>
  </si>
  <si>
    <t>Rt 59 to Liberty (West) to Station Blvd (South) to Milford (Right)</t>
  </si>
  <si>
    <t>Meticulously maintained &amp; decorated 3 bedroom + loft, 2 1/2 bath, finished basement townhome w/almost 2000 sq ft of space w/pond view! Close to Metra, I88, Rt 59 &amp; shopping! Upgraded cabinets, stainless steel appliances &amp; hardwood floors! Professionally painted! Luxury master bath w/double sinks, separate shower &amp; tub! Huge wood deck! Professionally landscaped! Acclaimed District 204 schools! Move in ready!</t>
  </si>
  <si>
    <t>WATTS ELEMENTARY SCHOOL</t>
  </si>
  <si>
    <t>Common Grounds, Landscaped Professionally, Water View</t>
  </si>
  <si>
    <t>PULASKI  TO 76TH . WEST TO 4281</t>
  </si>
  <si>
    <t>3RD FL</t>
  </si>
  <si>
    <t>SPACIOUS 2 BEDROOM CONDO IN HIGH RISE AT FORD CITY. UNIT HAS 1.5 BATHS. ELEVATOR BUILDING . LARGE LIVING ROOM OPEN TO THE DINING ROOM. NICE SIZED CLOSETS INCLUDING 2 WALK INS. THE WINDOWS ARE NEWER IN THE UNIT. THERE IS COMMON LAUNDRY &amp; BIKE STORAGE. THE UNIT IS ALL ELECTRIC. CARPETED THROUGH OUT. GREAT SCHOOL CHOICES. WALK TO SHOPPING. UNIT IN DECENT SHAPE BUT SOLD IN AS-IS CONDITION. RENTALS ARE SUPPOSEDLY ALLOWED.</t>
  </si>
  <si>
    <t>BOGAN HIGH SCHOOL</t>
  </si>
  <si>
    <t>Bike Room/Bike Trails, Coin Laundry, Elevator, Storage, On Site Manager/Engineer, Party Room, Curbs/Gutters</t>
  </si>
  <si>
    <t>Circuit Breakers, 60 Amp Service</t>
  </si>
  <si>
    <t>E (East), City</t>
  </si>
  <si>
    <t>Electric, Other</t>
  </si>
  <si>
    <t>$1,125 (on Gross SP)</t>
  </si>
  <si>
    <t>USE SHOW ASSIST OR CALL LO. EZ TO SHOW</t>
  </si>
  <si>
    <t>(708) 424-4000</t>
  </si>
  <si>
    <t>John Nugent</t>
  </si>
  <si>
    <t>(708) 364-8322</t>
  </si>
  <si>
    <t>FAX:781-609-1496</t>
  </si>
  <si>
    <t>SELLER ADDENDUM ON CONTRACT ACCEPTANCE. 100% TAX PRORATION. NO SURVEY. NO TERMITE. $1500EM. PROOF OF FUNDS OR PREQUAL LETTER. SELLER ATTY TO HOLD EM. SOLD AS-IS CONDITION.</t>
  </si>
  <si>
    <t>EDGEBROOK</t>
  </si>
  <si>
    <t>ASHBROOK</t>
  </si>
  <si>
    <t>WOLF RD SOUTH OF PLAINFIELD TO ASHBROOK</t>
  </si>
  <si>
    <t>DUNHAVEN TOWNHOME</t>
  </si>
  <si>
    <t>BEAUTIFUL TWO STORY TOWNHOME IN ASHBROOK. OPEN FLOOR PLAN LIVING RM WITH VOLUME CEILING, PLUS DINING RM, DEN, KITCHEN AND BREAKFAST RM WITH SLIDING GLASS DOORS TO PATIO AND LARGE OPEN LANDSCAPED AREA.   MAPLE FLOORING ON 1ST FLOOR.   TWO BEDRMS PLUS LOFT OVERLOOKING LIVING RM ON SECOND FLOOR. MASTER BATH WITH SEP. SHOWER. 1ST FLOOR LAUNDRY RM. ATTACHED TWO CAR GARAGE. **Townhome**</t>
  </si>
  <si>
    <t>Humidifier, TV-Cable, Ceiling Fan, Sump Pump, Sprinkler-Lawn</t>
  </si>
  <si>
    <t>See through/Multi Sided, Gas Logs, Gas Starter, Includes Accessories</t>
  </si>
  <si>
    <t>Patricia Lehman, CRS,GRI</t>
  </si>
  <si>
    <t>(708) 507-0162</t>
  </si>
  <si>
    <t>Wonderful property and well maintained</t>
  </si>
  <si>
    <t>BLUE SPRINGS</t>
  </si>
  <si>
    <t>HOLIDAY PARK</t>
  </si>
  <si>
    <t>EAST ON 134 FROM RT 12 TO CAMBRIDGE R2 BLUE SPRINGS R2 475</t>
  </si>
  <si>
    <t>MCCORMICK</t>
  </si>
  <si>
    <t>Area amenities include use of lake and beach on wooster lake.  2nd story Ranch with Open Floor Plan! Features, Nice Kichen, Deck with storage room, Cozy Fireplace, Large Greatroom &amp; 2 Full Baths! Master Suite Bedroom w/walk-in Closet, Water softener inc.! Kitchen w/ breakfast bar. Attached 1.5 Car Garage includes workbench and liftmaster opener! Water Rights.!Short Sale allow time for approv.Experienced atty and agen</t>
  </si>
  <si>
    <t>Bike Room/Bike Trails, Park/Playground, Curbs/Gutters, Sidewalks, Street Lights, Street Paved, Other</t>
  </si>
  <si>
    <t>Microwave, Dishwasher</t>
  </si>
  <si>
    <t>Common Grounds, Water Rights</t>
  </si>
  <si>
    <t>Eating Area, Foyer</t>
  </si>
  <si>
    <t>Use Showing Assist (Click Below)</t>
  </si>
  <si>
    <t>Berkshire Hathaway HomeServices Visions Realty</t>
  </si>
  <si>
    <t>(847) 806-8440</t>
  </si>
  <si>
    <t>Jean Carlson</t>
  </si>
  <si>
    <t>(815) 560-1320</t>
  </si>
  <si>
    <t>CC: Pursuant to Short Sale. Short sale with experienced atty and agent.  Process is started. *** Any reduction in commission will be shared equally by the real estate brokers.***</t>
  </si>
  <si>
    <t>Knottingham</t>
  </si>
  <si>
    <t>Cass to Plainfield Rd. West to Knottingham Circle</t>
  </si>
  <si>
    <t>Terrific town home with cozy, gas fireplace in family room with sliding glass doors that open to patio. Features include a remodeled kitchen with stainless appliances, Corian counters &amp; raised panel cabinets.  Master bedroom boasts 3 large closets with custom organizers. Newer carpet, furnace, solid oak doors and so much more!. Same square footage as 3 bedroom, just larger rooms &amp; more closet space.</t>
  </si>
  <si>
    <t>Email, text or call Maureen at 630-248-0652 for an appt. Easy to Show!</t>
  </si>
  <si>
    <t>Maureen Aylward</t>
  </si>
  <si>
    <t>(630) 248-0652</t>
  </si>
  <si>
    <t>Three keys in sentrilock.  Please turn off all lights and make sure you lock both doors.  The screened door blows open if it's windy!!!!!!! Jiggle the dead bolt too. Thank you!</t>
  </si>
  <si>
    <t>21st</t>
  </si>
  <si>
    <t>25TH AVE NORTH TO HIRSCH AVE W TO 21ST AVE N</t>
  </si>
  <si>
    <t>26X125</t>
  </si>
  <si>
    <t>ENJOY THIS 2 BEDROOM 1 BATHROOM DUPLEX LOCATED CLOSE TO STEVENSON ELEMENTARY SCHOOL.  GREAT FLOOR PLAN, SPACIOUS ROOMS, 2 CAR DETACHED GARAGE, AND MUCH MORE! ALL INFO IS APPROX AND ESTIMATED.  SOLD AS IS. TAXES ARE PRORATED AT 100%. BUYER RESPONSIBLE FOR SURVEY, MELROSE PARK TRANSFER STAMPS, MELROSE PARK INSPECTIONS AND FEES, UTILITIES AND ESCROWS. ADDENDUMS TO FOLLOW ACCEPTANCE OF OFFER. Public Act 94-1049 May Apply</t>
  </si>
  <si>
    <t>SELLER HAS VERBALLY ACCEPTED AN OFFER 2/7/2015.   PLEASE SUBMIT ALL OFFERS TO OFFERS@SMITHREO.COM / MUST INCLUDE PROOF OF FUNDS</t>
  </si>
  <si>
    <t>CUMBERLAND TO FOSTER, WEST TO PROPERTY</t>
  </si>
  <si>
    <t>Good size 2bd/2bt condo with 1 heated garage space in beautiful condo complex. Very quiet and cozy unit face to park!Fresh paint through out and carpet shampooed.Full size in unit washer/dryer in master bath. Nice lay out- dining area open to living room, wide kitchen with eating area. Gorgeous balcony face to park! All bed rooms face to park! Enjoy the quiet with greens!Very motivated seller!AS-IS!</t>
  </si>
  <si>
    <t>7X24</t>
  </si>
  <si>
    <t>Bike Room/Bike Trails, Elevator, Storage, Party Room, Street Paved</t>
  </si>
  <si>
    <t>2.5  %-150 (on Net SP)</t>
  </si>
  <si>
    <t>Call Listing Agent@ 630-602-9517</t>
  </si>
  <si>
    <t>Spartan Real Estate &amp; Dev.</t>
  </si>
  <si>
    <t>(630) 545-1111</t>
  </si>
  <si>
    <t>Louis Papadakos, GRI</t>
  </si>
  <si>
    <t>(630) 602-9517</t>
  </si>
  <si>
    <t>This unit was Rented. Sold As Is.Motivated Seller.</t>
  </si>
  <si>
    <t>St Charles</t>
  </si>
  <si>
    <t>St Charles Road East of 53 West of Main. The northwest corner of St Charles and Lincoln</t>
  </si>
  <si>
    <t>Downtown Lombard Condo! Close to the train, restaurants, and shopping!  This 2 bedroom, 2 bath is move in ready. Sliding glass doors off the LR, nice formal DR that opens to the kitchen. Appliances stay. Washer and Dryer are in unit.</t>
  </si>
  <si>
    <t>Call Showing Time Appt. Center: 855-746-9200</t>
  </si>
  <si>
    <t>Amy Pecoraro</t>
  </si>
  <si>
    <t>(630) 886-5343</t>
  </si>
  <si>
    <t>Underground parking spot #56 and storage is # S-6</t>
  </si>
  <si>
    <t>Garden</t>
  </si>
  <si>
    <t>THE GARDENS</t>
  </si>
  <si>
    <t>Route 30 to Briarcliff Road, south to Boulder Hill Pass, right on Garden Drive to property</t>
  </si>
  <si>
    <t>Ranch home with full lower level for twice as much living.  55 and Older community.  Front porch. 2 spacious bedrooms on the main level with private baths.  Laundry on first level.  Chair lift installed for ease of access to lower level and garage area.  2 car garage.  Add. full kitchen w/stove &amp; frig on lower level, and bonus room w/patio doors to the rear of the unit.  Own your own home with no outside work.</t>
  </si>
  <si>
    <t>29X19</t>
  </si>
  <si>
    <t>2.5 % -  100 (on Gross SP)</t>
  </si>
  <si>
    <t>Call Showing Time  800-746-9464</t>
  </si>
  <si>
    <t>(630) 264-7444</t>
  </si>
  <si>
    <t>H. Sue Wiskowski-Fair, CRB,CRS,GRI</t>
  </si>
  <si>
    <t>630-235-4861</t>
  </si>
  <si>
    <t>Please use lower gold lock only.  Leave lights on in basement for ease of showings.  Easy to show.</t>
  </si>
  <si>
    <t>Dominion</t>
  </si>
  <si>
    <t>Dominion Tower</t>
  </si>
  <si>
    <t>ADDISON RD NORTH OF LAKE ST TO DOMINION DR W</t>
  </si>
  <si>
    <t>Beautiful 10th floor corner location with lots of windows and sunlight. Spacious condo with large living room/dining room area, two full baths, master bedroom suite with dressing vanity and walk in closet. Kitchen remodeling in progress. Golf course views, quiet private community, outdoor pool and tennis court, underground garage parking, exercise room. Ready for your decorating skills.</t>
  </si>
  <si>
    <t>Bike Room/Bike Trails, Elevator, Exercise Room, Storage, Golf Course, On Site Manager/Engineer, Party Room, Pool-Outdoors, Receiving Room, Security Door Locks, Tennis Court/s, Curbs/Gutters, Sidewalks, Street Lights, Street Paved</t>
  </si>
  <si>
    <t>Common Grounds, Forest Preserve Adjacent, Golf Course Lot, Nature Preserve Adjacent, Pond</t>
  </si>
  <si>
    <t>Water, Common Insurance, Security System, TV/Cable, Exercise Facilities, Pool, Exterior Maintenance, Lawn Care, Scavenger, Snow Removal</t>
  </si>
  <si>
    <t>Cats OK, Neutered and/or Declawed Only</t>
  </si>
  <si>
    <t>High Rise (7+ Stories)</t>
  </si>
  <si>
    <t>3.0%-$245 (on Net SP)</t>
  </si>
  <si>
    <t>Call office 630-543-5640.</t>
  </si>
  <si>
    <t>Dorothy Loy</t>
  </si>
  <si>
    <t>(630) 886-5929</t>
  </si>
  <si>
    <t>Unit is in great location, in great building.  Good opportunity for someone who wants to put a little work in.</t>
  </si>
  <si>
    <t>Vanderbilt</t>
  </si>
  <si>
    <t>N RANDALL R2 BEITH R2 VANDERBILT R2 HOME</t>
  </si>
  <si>
    <t>Roomy End Unit Condo. Tons of Windows For Natural Light. Large Kitchen With Island and Sliding Glass Door Onto Private Patio. Laundry on 1st Floor. Spacious Bedrooms With Loft as a Bonus. Master Has Vaulted Ceilings &amp; Walk-In Closet. Walking Distance To Park and Shopping. Close To Randall and Downtown Geneva. THIS IS A FANNIE MAE HOMEPATH PROPERTY.</t>
  </si>
  <si>
    <t>Exterior Maintenance</t>
  </si>
  <si>
    <t>**Call 630-608-4777 if questions  **Keybox on front door.  **Please lock all doors &amp; turn off lights.  **SELLER REQUESTS ALL OFFERS SUBMITTED THRU HOMEPATH.COM  **WRITING OFFER? REFER TO INSTRUCTIONS FOUND UNDER ADDITIONAL INFORMATION TAB.</t>
  </si>
  <si>
    <t>ROOSEVELT RD TO S FINLEY RD</t>
  </si>
  <si>
    <t>END UNIT</t>
  </si>
  <si>
    <t>ENJOY THIS SPACIOUS 2 BEDROOM 1.5 BATHROOM CONDO LOCATED IN POINT WEST SUBDIVISION.  OPEN FLOOR PLAN, LARGE ROOMS, GREAT LOCATION - THE LIST GOES ON! ALL INFO IS APPROX AND ESTIMATED.  SOLD AS IS. TAXES ARE PRORATED AT 100%. BUYER RESPONSIBLE FOR SURVEY, TRANSFER STAMPS, INSPECTIONS, UTILITIES AND ESCROWS. ADDENDUMS TO FOLLOW ACCEPTANCE OF OFFER. Subject to HUD Guidelines 24 CFR 206.125.â€‹ Public Act 94-1049 May Apply</t>
  </si>
  <si>
    <t>14X17</t>
  </si>
  <si>
    <t>Heat, Water, Common Insurance, Pool, Exterior Maintenance, Lawn Care, Scavenger, Snow Removal</t>
  </si>
  <si>
    <t>VERBALLY ACCEPTED OFFER 2-12-2015.   PLEASE SUBMIT ALL OFFERS TO OFFERS@SMITHREO.COM / MUST INCLUDE PROOF OF FUNDS AND/OR PRE APPROVAL LETTER. ALL OFFERS MUST INCLUDE THE SIGNED REPA DISCLOSURE FORM THAT IS ALSO ATTACHED IN THE MLS</t>
  </si>
  <si>
    <t>Georgetown</t>
  </si>
  <si>
    <t>From Eola, East on Hafenrichter, South on Barrington Drive, West on Hillsboro, Left on Georgetown Ci</t>
  </si>
  <si>
    <t>Beautiful home with loads of upgrades. Bamboo flooring in the living &amp; dining rooms, ceramic tile in the kitchen &amp; baths, six panel doors, and solid surface counters in the kitchen.  Both full baths feature quartz counters &amp; updated vanities.  Updated lighting throughout the home and tons of little touches the owners lovingly added.  2nd floor laundry off of HUGE 15x18 loft.  2 car garage &amp; more, don't miss it!</t>
  </si>
  <si>
    <t>Please contact Centralized Showing at 877-977-1010 to schedule a showing.</t>
  </si>
  <si>
    <t>Cell 630-947-2502</t>
  </si>
  <si>
    <t>Contact co list, Jen, with any questions or offers!  630.947.2502  jenvonesh@gmail.com</t>
  </si>
  <si>
    <t>78th</t>
  </si>
  <si>
    <t>ON FULLERTON AVE WEST OF HARLEM AVE TO 78th AVE. HEAD NORTH ON 78th AVE TO PROPERTY.</t>
  </si>
  <si>
    <t>Lovely 2 bedroom, 1 bathroom brick condo unit. This 3rd level condo unit features combined living and dining room with hardwood floors and new interior paint throughout. Large u-shaped kitchen has backsplash, ample counter and storage space, eating area and tile flooring. Both bedrooms have neutral finish and generously-sized closets while bathroom has Jetted tub. Just move-in and enjoy!</t>
  </si>
  <si>
    <t>ELM MIDDLE SCHOOL</t>
  </si>
  <si>
    <t>ELMWOOD PARK HIGH SCHOOL</t>
  </si>
  <si>
    <t>DOWNLOAD contract and email to Helen. Questions? Email Helen. Possible home warranty incentive 4 owner occupied buyers on INITIAL Offer only. Property under First Look until 9/28/2014.</t>
  </si>
  <si>
    <t>Pheasant</t>
  </si>
  <si>
    <t>RT 64 to Smith N to Pheasant Trail  E to Pheasant Ct</t>
  </si>
  <si>
    <t>108X52X99X13X39</t>
  </si>
  <si>
    <t>Rare All Brick Ranch townhome on East side St.Charles~End unit~Wide open floorplan~Two master suites~ Both have walkin closets and private baths(The larger bdrm bath has double basin/shower/soaker tub)~Spacious 23x13 Vaulted Great rm~Large eat in Kitchen w/42"maple cabinets~All appliances stay~2 car gar~few minutes to mall/grocery</t>
  </si>
  <si>
    <t>23X10</t>
  </si>
  <si>
    <t>Book thru MLS</t>
  </si>
  <si>
    <t>Stephanie Doherty</t>
  </si>
  <si>
    <t>(630) 587-4656</t>
  </si>
  <si>
    <t>Cell: 630.643.3602</t>
  </si>
  <si>
    <t>Home sold as is.</t>
  </si>
  <si>
    <t>Banyon</t>
  </si>
  <si>
    <t>47TH STREET TO BANYON COVE, SOUTH TO PROPERTY</t>
  </si>
  <si>
    <t>Rare Condo in Banyon Cove.  Top floor with vaulted ceilings and tons of room.  Remodelled Kitchen and baths.  Meticulously maintained and upgraded in last 5 years.  New windows Breakfast area leads to the screened in Porch for those leisurely summer evenings.  Large Master with oversized closet for extra storage.  Immaculate grounds and centrally located for commuting.  Just a great place to live.</t>
  </si>
  <si>
    <t>Electric, Portable/Ventless</t>
  </si>
  <si>
    <t>2.5% MINUS 200.00 (on Net SP)</t>
  </si>
  <si>
    <t>Call 855-746-9100 or use ShowingAssist</t>
  </si>
  <si>
    <t>Diana Backinoff</t>
  </si>
  <si>
    <t>(312) 758-3330</t>
  </si>
  <si>
    <t>Wonderful top floor unit.  Many upgrades to show off.  Don't miss this gem in sought after Banyon Cove.</t>
  </si>
  <si>
    <t>Olesen</t>
  </si>
  <si>
    <t>1F</t>
  </si>
  <si>
    <t>CHICAGO AVE TO OLESEN SOUTH TO COMPLEX - ENTER THRU COURTYARD</t>
  </si>
  <si>
    <t>1ST FLOOR UNIT WITH COURTYARD VIEWS - LARGE STORAGE UNIT OFF COURTYARD PATIO PLUS 1 CAR GARAGE - 2 SIDED FIREPLACE - SEPARATE BACK ENTRANCE FOR EASY ACCESS TO GARAGE.  BANK OWNED SOLD "AS IS". 100% TAX PRORATION--PRE-APPROVAL OR POF REQUIRED FOR CASH    ASSOCIATION DOES NOT ALLOW RENTERS/INVESTORS!!!!!</t>
  </si>
  <si>
    <t>2.5%  -250 (on Net SP)</t>
  </si>
  <si>
    <t>CALL SHOWING DESK AT 888-362-3222 AFTER 5PM CALL LA</t>
  </si>
  <si>
    <t>Kathy Wood</t>
  </si>
  <si>
    <t>(847) 502-0275</t>
  </si>
  <si>
    <t>BANK OWNED SOLD "AS IS". 100% TAX PRORATION--PRE-APPROVAL OR POF REQUIRED FOR CASH ---- pROPERTY IS WINTERIZED BUYER TO PAY $300.00 TO DEWINTERIZE AND REWINTERIZE FOR INSPECTION AND APPRAISAL</t>
  </si>
  <si>
    <t>75TH TO WOODWARD,S2 COUNTRY CLUB DR.,WEST TO BUILDING</t>
  </si>
  <si>
    <t>THIS IS A ONE ! COMPLETELY REMODELED &amp; JUST GORGEOUS! NEWER CERAMIC IN ENTRY, KIT &amp; DR.NEWER KIT W/CANNED LIGHTING,CHERRY CABINETRY,CERAMIC BACK SPLASH &amp; BREAKFAST BAR.ALL BATHS REDONE.2ND FLR MAPLE CABINETRY,CERAMIC TILE &amp; MODERN VANITY.1ST FLR STAINLESS SINK.</t>
  </si>
  <si>
    <t>Coin Laundry, On Site Manager/Engineer, Pool-Outdoors</t>
  </si>
  <si>
    <t>Oven-Double, Oven/Range, Dishwasher, Refrigerator</t>
  </si>
  <si>
    <t>Heat, Gas, Parking, Clubhouse, Pool</t>
  </si>
  <si>
    <t>3%-$250 (on Net SP)</t>
  </si>
  <si>
    <t>Call LA at 630-901-8988</t>
  </si>
  <si>
    <t>American Brokers Real Estate</t>
  </si>
  <si>
    <t>(630) 901-8988</t>
  </si>
  <si>
    <t>Neringa Koller</t>
  </si>
  <si>
    <t>Please log in to the showing instructions and then call LA 630-901-8988 or email  neringakoller@gmail.com</t>
  </si>
  <si>
    <t>TENNYSON</t>
  </si>
  <si>
    <t>Rickert 2 River N 2 Rhodes E 2 Tennyson</t>
  </si>
  <si>
    <t>Perfect location! Close to downtown Naperville, dining and shopping! Dist 204 schools! Gorgeous and recently updated. New carpet and paint. Large living room with fireplace. Kitchen with beautiful cabinetry, corian counters and stainless steel appliances. Huge master suite with cathedral ceiling and bath with new tile, double sinks and soaker tub. Huge second bedroom. Bonus loft space. Patio off living room.</t>
  </si>
  <si>
    <t>18X8</t>
  </si>
  <si>
    <t>Centralized Showings Ph 877-977-1010</t>
  </si>
  <si>
    <t>Cristy Trepachko</t>
  </si>
  <si>
    <t>(630) 248-3702</t>
  </si>
  <si>
    <t>Please remove shoes. Easy to show and sell. Not a short sale or foreclosure. Text co lister with questions 630-334-5355.</t>
  </si>
  <si>
    <t>Coldspring</t>
  </si>
  <si>
    <t>Golf 58/Summit to Shady Oaks (North) to Coldspring</t>
  </si>
  <si>
    <t>PERFECT CONDITION! A+ CONDITION! PRIDE OF OWNERSHIP!  OPEN FLOOR PLAN! 2 STORY ENTRY! LIVING ROOM WITH GAS LOG FIREPLACE! DINING ROOM FLOWS INTO  UPDATED KITCHEN! OAK CABINETS! NEW STAINLESS APPLIANCES! NEW QUARTZ COUNTERS! SEPERTATE FAMILY ROOM! 1ST FLOOR LAUNDRY! 2ND FLOOR LOFT! SPECTACULAR MASTER SUITE! PRIVATE BATH! 2X CLOSETS! NEW FURNACE &amp; A/C 2011. PREMIUM LOT BACKS TO CONSERVATION AREA! 5 MIN TO I-90 EXPRESS!</t>
  </si>
  <si>
    <t>LORDS PARK ELEMENTARY SCHOOL</t>
  </si>
  <si>
    <t>2.5-$300 (on Net SP)</t>
  </si>
  <si>
    <t>CALL 1-877-977-1010. BUYER'S AGENT MUST ACCOMPANY SHOWING</t>
  </si>
  <si>
    <t>Bernard Cobb</t>
  </si>
  <si>
    <t>(630) 305-3334</t>
  </si>
  <si>
    <t>630-305-3334</t>
  </si>
  <si>
    <t>PLEASE REMOVE SHOES OR WEAR FOOT COVERS</t>
  </si>
  <si>
    <t>Brainard</t>
  </si>
  <si>
    <t>FOREST VILLA CONDOMINIUM</t>
  </si>
  <si>
    <t>Joliet Road to Brainard Avenue South to Forest Villa Condos</t>
  </si>
  <si>
    <t>short  sale bank must approve 2 bdr 2 floor needs work . great location</t>
  </si>
  <si>
    <t>IDEAL ELEMENTARY SCHOOL</t>
  </si>
  <si>
    <t>WM F GURRIE MIDDLE SCHOOL</t>
  </si>
  <si>
    <t>Coin Laundry, Elevator, Exercise Room, Pool-Outdoors</t>
  </si>
  <si>
    <t>24 hr Notice to show.</t>
  </si>
  <si>
    <t>off record</t>
  </si>
  <si>
    <t>ARBORETUM</t>
  </si>
  <si>
    <t>22ND STREET TO EDSON, SOUTH TO ARBORETUM TO ADDRESS</t>
  </si>
  <si>
    <t>GORGEOUS FRESHLY PAINTED TOWNHOME W/ 2 LARGE BEDROOMS WITH THEIR OWN FULL BATHS. PLENTY OF CLOSETS AND A LOFT.NEW STAINLESS APPLIANCES WERE JUST INSTALLED IN KITCHEN.2ND FLOOR LAUNDRY (WASHER AND DRYER) INCLUDED. GAS FIRPLACE IN LIVING ROOM. SLIDING DOORS LEAD TO PRIVATE PATIO AND YARD. 1 CAR ATTACHED GARAGE. FULL UNFINISHED BASEMENT.PETS ALLOWED. PARK AND WALKING TRAIL NEARBY.IMMEDIATE POSSESION.</t>
  </si>
  <si>
    <t>CALL SHOWINGTIME 855-746-9100</t>
  </si>
  <si>
    <t>John Schober</t>
  </si>
  <si>
    <t>(708) 705-8898</t>
  </si>
  <si>
    <t>CORNELL</t>
  </si>
  <si>
    <t>8D</t>
  </si>
  <si>
    <t>51ST ST TO CORNELL - N TO PROPERTY</t>
  </si>
  <si>
    <t>Great opportunity to purchase this Fannie Mae/Homepath property.  This vintage condo has tons of space.  Unlimited potential.  Steps to the beach, Lake Michigan and lakefront parks.  Schedule your showing before its gone!  All information estimated â€“ buyer to verify.</t>
  </si>
  <si>
    <t>Heat, Water, Common Insurance, Doorman, Exterior Maintenance, Scavenger</t>
  </si>
  <si>
    <t>Benjamin Beaty</t>
  </si>
  <si>
    <t>(312) 867-2193</t>
  </si>
  <si>
    <t>REO ID: C140F5B See additional information for contract package and instructions. All offers must be submitted on Homepath.com. Email all questions to JAMESONREO@GMAIL.COM. Use showing assist to schedule showings.</t>
  </si>
  <si>
    <t>1446-48</t>
  </si>
  <si>
    <t>MARQUETTE</t>
  </si>
  <si>
    <t>STONEY ISLAND TO MARQUETTE W TO PROPERTY</t>
  </si>
  <si>
    <t>Spacious gem ready &amp; waiting for your renovation touches! 2BDR/1.5BTH. Near to Jackson Park Golf course &amp; lake!Property sold "as-is". Seller does not provide survey or disclosures. Taxes prorated at 100%. Lot &amp; room sizes are estimated. Please submit P.O.F funds or pre-approval w/all offers.</t>
  </si>
  <si>
    <t>Common Insurance, Lawn Care, Scavenger</t>
  </si>
  <si>
    <t>2.5% OR MINIMUM $1,500 (on Gross SP)</t>
  </si>
  <si>
    <t>CALL CENTRALIZED SHOWING FOR APPT 877-977-1010</t>
  </si>
  <si>
    <t>FREDDIE MAC/HOMESTEPS</t>
  </si>
  <si>
    <t>RE/MAX Signature</t>
  </si>
  <si>
    <t>(773) 348-8500</t>
  </si>
  <si>
    <t>Linda O'Donnell</t>
  </si>
  <si>
    <t>Please see Addtâ€™l Info for sample addendums &amp; affidavit of owner-occupancy attached for buyer review. Seller's payment of IL Condo Act 94-1049 dues is negotiable. Submit offers THRU www.illinoisforeclosureproperties.com website.</t>
  </si>
  <si>
    <t>Stevenson</t>
  </si>
  <si>
    <t>Schmale to Stevenson east to home</t>
  </si>
  <si>
    <t>DUPLEX WITH NO ASSOCIATION FEES. FINISHED BASEMENT INCLUDING 3RD BEDROOM. NEW KITCHEN CABINETS/GRANITE TOPS AND SS APPLAINCES.NEW PAINT. ATTACHED 1 CAR GARAGE. HUGE FENCED IN PRIVATE BACKYARD. PLENTY OF STORAGE AND CLOSETS. LAUNDRY HOOKUP IN 1ST FLOOR. CLOSE TO SHOPPING AND MAJOR ROADS.</t>
  </si>
  <si>
    <t>CLICK ON LINK BELOW</t>
  </si>
  <si>
    <t>Jorge Rodriguez, Broker</t>
  </si>
  <si>
    <t>(630) 730-0003</t>
  </si>
  <si>
    <t>Jorge Rodriguez</t>
  </si>
  <si>
    <t>CAN CLOSE QUICKLY. NO THIRD PARTY APPROVAL NEEDED. LISTING OFFICE DOES NOT HOLD EARNEST MONEY. MAKE EM PAYABLE TO BUYER'S BROKER LISTING OFFICE OR ATTORNEY.EMAIL OFFERS TO JORGERODRIGUEZBROKER@GMAIL.COM</t>
  </si>
  <si>
    <t>BAKER HILL</t>
  </si>
  <si>
    <t>Roosevelt Road to Baker Hill Dr North to Tanglewood Left of Woodview to 136</t>
  </si>
  <si>
    <t>Urban Chic is this 2 Story townhouse  situated on a cul- de -sac....Upgrades include wide plank hardwood floors throughout 1st level, granite counter tops, SS appliances, fireplace, 6 panel colonist doors, finished lower walkout rec room with full bathroom and loft that overlooks the living area. Agent will give new owners 3 months of paid assessments credit.</t>
  </si>
  <si>
    <t>WESTFIELD ELEMENTARY SCHOOL</t>
  </si>
  <si>
    <t>Oven/Range, Microwave, Dishwasher, High End Refrigerator, Disposal, All Stainless Steel Kitchen Appliances</t>
  </si>
  <si>
    <t>2-5%-$295 (on Net SP)</t>
  </si>
  <si>
    <t>Call Agent</t>
  </si>
  <si>
    <t>Schmitt</t>
  </si>
  <si>
    <t>Denise Headrick, CSC</t>
  </si>
  <si>
    <t>(630) 926-0003</t>
  </si>
  <si>
    <t>Bristol</t>
  </si>
  <si>
    <t>barrington rd south of schaumburg to bristol east to bristol north</t>
  </si>
  <si>
    <t>Terrific chance to own this 2 bedroom 1 bath unit that features an open layout, private balcony, 1 car garage and is just minutes from public transportation, expressways and shopping. TAXES 100%, This is a homepath property please submit through homepath website  BUYER IS RESPONSIBLE FOR PREVIOUS 6 MONTHS HOA FEES,buyer responsible for survey</t>
  </si>
  <si>
    <t>TAXES 100%, This is a homepath property please submit through homepath.com  BUYER IS RESPONSIBLE FOR PREVIOUS 6 MONTHS HOA FEES, rentals are allowed no FHA</t>
  </si>
  <si>
    <t>Nicole</t>
  </si>
  <si>
    <t>Randall to McDonald, W to Thornwood Way N to Nicole</t>
  </si>
  <si>
    <t>**</t>
  </si>
  <si>
    <t>FANTASTIC End Unit Ranch Townhome with 2 bedrooms/2 baths!  This light and bright unit has hardwood throughout, vaulted living room, generous dinette area, large white kitchen and a 2 car garage. All windows have Hunter Douglas Silhouette shades. Washer, Dryer and all kitchen appliances included.  Located in St. Charles 303 school district.  Access to Thornwood's pool, trails and clubhouse.</t>
  </si>
  <si>
    <t>CORRON ELEMENTARY SCHOOL</t>
  </si>
  <si>
    <t>Exercise Room, Park/Playground, Pool-Outdoors</t>
  </si>
  <si>
    <t>Call or text Ruta at 630-862-7058</t>
  </si>
  <si>
    <t>Ruta 630-862-7058/rutab@comcast.net</t>
  </si>
  <si>
    <t>Quick close possible!!  Call or email co-list, Ruta, with questions and offers -- 630-862-7058/ruta.baran@cbexchange.com.  All kitchen appliances and washer/dryer are included.  Note:  Master association is $94 quarterly for pool/clubhouse</t>
  </si>
  <si>
    <t>FILLY</t>
  </si>
  <si>
    <t>Rt 59 to Woodland Hills Blvd Left to Appaloosa-W-Filly</t>
  </si>
  <si>
    <t>COASTAL</t>
  </si>
  <si>
    <t>Outstanding 2 bedroom 2.1 bath 2 story unit that features vaulted ceiling, full basement,  2 car garage, hardwood floors, new carpet and has been freshly painted throughout. TAXES 100%, This is a homepath property please submit through homepath website,  BUYER IS RESPONSIBLE FOR PREVIOUS 6 MONTHS HOA FEES,buyer responsible for survey</t>
  </si>
  <si>
    <t>WAYNE ELEMENTARY SCHOOL</t>
  </si>
  <si>
    <t>Exterior Maintenance, Scavenger, Snow Removal</t>
  </si>
  <si>
    <t>please call the showing desk at 888.362.3222 or LO after hours, thanks</t>
  </si>
  <si>
    <t>fannie mae</t>
  </si>
  <si>
    <t>TAXES 100%, This is a homepath property please submit through homepath.com  BUYER IS RESPONSIBLE FOR PREVIOUS 6 MONTHS HOA FEES, can rent must be a 12 month lease</t>
  </si>
  <si>
    <t>Burning Tree</t>
  </si>
  <si>
    <t>Ogden Ave to Mill Street North to Burning Tree to Property</t>
  </si>
  <si>
    <t>Beautiful 2 bedroom 2 bath condo on 3rd floor with new paint and carpet and private balcony.  Great location near expressways, train, and downtown Naperville.  Amenities include, on site management, pool and tennis courts.</t>
  </si>
  <si>
    <t>Bike Room/Bike Trails, Coin Laundry, Elevator, Storage, Pool-Outdoors, Tennis Court/s, Curbs/Gutters, Sidewalks, Street Lights, Street Paved</t>
  </si>
  <si>
    <t>Heat, Water, Gas, Common Insurance, Security System, Pool, Exterior Maintenance, Lawn Care, Scavenger, Snow Removal</t>
  </si>
  <si>
    <t>Call Weichert Showing Desk at 855-957-1408</t>
  </si>
  <si>
    <t>Weichert Realtors-Kingsland Properties</t>
  </si>
  <si>
    <t>(630) 416-4340</t>
  </si>
  <si>
    <t>Jeff Ristine</t>
  </si>
  <si>
    <t>(630) 235-2426</t>
  </si>
  <si>
    <t>Mill Crossing is not approved for FHA financing.  Also, units must be owner occupied.</t>
  </si>
  <si>
    <t>Bennett Lot# 2402</t>
  </si>
  <si>
    <t>BAINBRIDGE II-3</t>
  </si>
  <si>
    <t>Bainbridge at Easton Park Open Floor Plan, 9Ft Ceilings on 1st Floor, Kitchen w/Upgraded 42" Cabinetry, Island Plus Granite &amp; Stainless Steel Appl's. Master Br w/Pvt. Bath.  Stained Rails &amp;  White Spindles, Wood Flooring in Kitchen &amp; Fam Rm!  100% Energy Star Home. 30 yr. Transferable Structural Builders Warranty. Photo's Are of a Model</t>
  </si>
  <si>
    <t>Call  Kris Shannon 630-631-6550 or use Showing Assist</t>
  </si>
  <si>
    <t>Agent must accompany buyers on first visit. Please register your clients with Kris Shannnon, call her with any questions 630-631-6550</t>
  </si>
  <si>
    <t>Broadmoor</t>
  </si>
  <si>
    <t>ASBURY PLACE</t>
  </si>
  <si>
    <t>PROSPECT N OF DEVON TO RAILROAD (W) TO BROADMOOR (S) HOME WILL BE ON RIGHT SIDE</t>
  </si>
  <si>
    <t>Fabulous 2-bed, 2.5-bath tri-level townhouse features spacious living room, fireplace, vaulted ceilings, master suite, attached garage, and balcony.  Fresh paint, refinished hardwood, and new carpet throughout.  Must see to appreciate! This is Fannie Mae HomePath property. HIGHEST AND BEST DUE March 18, 2015, 05:01:00 PM (CST)</t>
  </si>
  <si>
    <t>Click on â€œSchedule a Showingâ€ below:</t>
  </si>
  <si>
    <t>Parkvue Realty Corporation</t>
  </si>
  <si>
    <t>(312) 788-4040</t>
  </si>
  <si>
    <t>William Volpe</t>
  </si>
  <si>
    <t>Submit all offers to www.homepath.com//Offer Instructions sheet in â€œAdditional Information". Buyer responsible for 6 months HOA fees per IL Public Act 94-1049.</t>
  </si>
  <si>
    <t>Green Bay Rd &amp; Wadsworth Rd north to Wakefield, west to Aberdeen Ln, south to house</t>
  </si>
  <si>
    <t>52X169X37X145</t>
  </si>
  <si>
    <t>Beautiful 2 bedroom/2.5 bathroom home in an excellent location! Well maintained, very spacious rooms, a fireplace, PLUS a 2 car garage! Priced to sell, this one has it all and won't last! Case # 137-243361.INSURED STATUS:Insured w/repair escrow of $1273.Choose FHA financing to qualify for a $100 down payment. Ask your agent for details. Sold as is. Equal Housing Opportunity</t>
  </si>
  <si>
    <t>Case #137-243361.Up to 3% co-op. Offers submitted online hudhomestore.com must be registered and have NAID #.Online bidding info at www.oforireo.com. HUD OWNED. Any questions email fsrhomes@aol.com Sold as is.</t>
  </si>
  <si>
    <t>75TH ST TO WOODWARD TO COUNTRY CLUB DR</t>
  </si>
  <si>
    <t>HIGHEST &amp; BEST DUE 1/6 @ 9AM!!!  /// FIRST FLOOR CONDO UNIT IN GREAT BUILDING/THIS UNIT HAS A PRIVATE PATIO/LARGE LIVING ROOM AND FORMAL DINING ROOM/MASTER BEDROOM HAS A WALK IN CLOSET/CLOSE PARKING AMENITIES/HOA OFFERS POOL FOR RESIDENTS/JUST MINUTES I-355 AND MANY RETAIL LOCATIONS/GREAT POTENTIAL HERE-GREAT PRICE/UNIT IS SOLD AS-IS / TAXES PRORATED 100% / SELLER DOES NOT PROVIDE A SURVEY / BUYER TO VERIFY HOA INFO</t>
  </si>
  <si>
    <t>Water, Gas, Clubhouse, Pool, Exterior Maintenance</t>
  </si>
  <si>
    <t>EMAIL ALL OFFERS DIRECTLY TO LISTING AGENT IN PDF FORMAT / OFFERS MUST INCLUDE POF OR PRE-APPROVAL LETTER DATED WITHIN THE LAST 30 DAYS</t>
  </si>
  <si>
    <t>WOODVIEW</t>
  </si>
  <si>
    <t>RTE 59 to LBS Entrance, Ask Guard for Directions</t>
  </si>
  <si>
    <t>Attention All Investors, Rehabbers, and Buyers Looking for a Great Deal!  Outstanding Unit Overlooking Water in Gated Commuinty of Lake Barrington Shores.  Needs A Little TLC Sold As Is But Price Is Fantastic!  Must See!</t>
  </si>
  <si>
    <t>Bike Room/Bike Trails, Boat Dock, Exercise Room, Golf Course, On Site Manager/Engineer, Park/Playground, Party Room, Sundeck, Pool-Indoors, Pool-Outdoors, Sauna, Tennis Court/s, Whirlpool, Street Lights, Street Paved</t>
  </si>
  <si>
    <t>Water, Parking, Common Insurance, Security, Lawn Care, Lake Rights</t>
  </si>
  <si>
    <t>2.5-$295 (on Net SP)</t>
  </si>
  <si>
    <t>Five Star Realty, Inc</t>
  </si>
  <si>
    <t>(847) 658-6556</t>
  </si>
  <si>
    <t>Jaime Silva, ABR,BPOR,CRS,e-PRO,SFR</t>
  </si>
  <si>
    <t>(847) 791-5843</t>
  </si>
  <si>
    <t>Cell 847-791-5843</t>
  </si>
  <si>
    <t>Buyer pays 3 months  surcharge &amp; $150 App fee. assessment and taxes are based on most recent data available.</t>
  </si>
  <si>
    <t>Orleans</t>
  </si>
  <si>
    <t>BUTTERFIELD SOUTH OF RT. 60 TO ORLEANS WEST TO 1209</t>
  </si>
  <si>
    <t>BARCELONA</t>
  </si>
  <si>
    <t>Popular Barcelona Model, 1332 Sq Ft 2 Story on Premium  Interior Lot close to Park.  Owner Occupied and shown with Pride - Interior features Newer Hardwood Flooring on both levels, No Carpeting, Gas Log Fireplace w/Oak Mantel, Well Designed Kitchen w/Newer Granite Countertops, All Appliances Included, Ceiling Fans, Newer Humidifier on   Furnace.  Professionally Painted Walls, Master BR w/Bath  &amp; Walk In Closet.</t>
  </si>
  <si>
    <t>Call Listing Office - Vacant &amp; Easy to Show</t>
  </si>
  <si>
    <t>CLO OR CLA</t>
  </si>
  <si>
    <t>Judy Fornero</t>
  </si>
  <si>
    <t>(847) 687-2136</t>
  </si>
  <si>
    <t>Efax 847-637-8249</t>
  </si>
  <si>
    <t>Not a Short Sale or Foreclosure.  Owner Transferred.</t>
  </si>
  <si>
    <t>EOLA 2 LIBERTY W 2 REFLECTIONS DR N 2 2294 ON LEFT</t>
  </si>
  <si>
    <t>Beautiful two bedroom 2.5 bath end unit.  Home has been repaired with new flooring, paint and more.  Spacious living room/dining room, vaulted ceiling, large bedrooms and great eat in kitchen.  This is a Fannie Mae HomePath Property.</t>
  </si>
  <si>
    <t>MEDFORD</t>
  </si>
  <si>
    <t>LAKE ST. TO CLUB TREE LN-N-OLD OAK-W-MEDFORD</t>
  </si>
  <si>
    <t>GLEN COVE</t>
  </si>
  <si>
    <t>24X55</t>
  </si>
  <si>
    <t>Large 2 bedroom with basement. Carpeted throughout but for the kitchen which has vinyl flooring.   Outside wood deck. Close to shopping, metra and expressways.  Plenty of storage space. Sliding Glass Doors to Outside Deck, Pool and Club House with Party Room. Unit faces East. Current Tenant Lease Expires 3/31/15 but is willing to Stay for new Owner. Current Tenant has been there for over 10 years. Paying $932 a month</t>
  </si>
  <si>
    <t>Negotiable, Tenant's Rights</t>
  </si>
  <si>
    <t>3%-150 (on Net SP)</t>
  </si>
  <si>
    <t>Court Approval Required</t>
  </si>
  <si>
    <t>Call 855-746-9100 by confirmed appt only.</t>
  </si>
  <si>
    <t>hewitt</t>
  </si>
  <si>
    <t>(847) 991-5000</t>
  </si>
  <si>
    <t>Michael Bischoff</t>
  </si>
  <si>
    <t>(847) 312-6794</t>
  </si>
  <si>
    <t>Subject to Court Approval. Sale subject to â€œProbateâ€ court approval. Approximately 30 day process.  NO SHOWINGS UNTIL AFTER APRIL 1ST.</t>
  </si>
  <si>
    <t>WINDSONG</t>
  </si>
  <si>
    <t>WESTFIELD SQUARE</t>
  </si>
  <si>
    <t>North Avenue west of 355 to Evergreen, south to subdivision.</t>
  </si>
  <si>
    <t>FABULOUS TOWNHOME W/HIGHLY REGARDED GLEN ELLYN SCHOOLS &amp; CLOSE TO THE GREAT WESTERN TRAIL. END UNIT WITH PRIVATE ENTRANCE. DRAMATIC 2-STORY CEILING IN LIVING &amp; DINNING ROOM. VERY OPEN FLOOR PLAN. LARGE ISLAND KITCHEN, GRANITE COUNTERS. GAS FIREPLACE. MASTER BEDROOM SUITE W/WALK IN CLOSET &amp; MASTERBATH W/SEATED SHOWER. BOTH BATHROOMS REMODELED. 2ND FLOOR LAUNDRY ROOM. 2 CAR ATTACHED GARAGE. PRIVATE CONCRETE PATIO.</t>
  </si>
  <si>
    <t>USE SHOWINGTIME</t>
  </si>
  <si>
    <t>EWA PURZEWSKA</t>
  </si>
  <si>
    <t>Sylvia Madejski</t>
  </si>
  <si>
    <t>(847) 293-3753</t>
  </si>
  <si>
    <t>2S648</t>
  </si>
  <si>
    <t>Butterfield to Batavia Rd. N to Enrico Fermi E to 1st st. turn L &amp; hse on NW corner of Pierre Curie</t>
  </si>
  <si>
    <t>RANCH VILLA</t>
  </si>
  <si>
    <t>***EQUAL HOUSING OPPORTUNITY*** Updated Ranch! Finished Basement! 2 Bedrooms, Fireplace  Property listed IN. HOA $265/M</t>
  </si>
  <si>
    <t>Bar</t>
  </si>
  <si>
    <t>Finished, Crawl</t>
  </si>
  <si>
    <t>Please Click Schedule a Showing</t>
  </si>
  <si>
    <t>CHECK AVAILABILITY ON HUDHOMESTORE.COM B-4 SHOWING. For OFFER submission, see HudHomestore.com, Case# 137-439722. Broker must have active NAID # to place BID electronically. Sold As Is</t>
  </si>
  <si>
    <t>Remington</t>
  </si>
  <si>
    <t>83 &amp; WASHINGTON N2 LEXINGTON W2 STOCKTON TO REMINGTON CT.</t>
  </si>
  <si>
    <t>Here's your opportunity to live in desirable Briargate neighborhood! Great cul de sac location, close to schools &amp; parks. The open floor plan features volume ceilings in the living rm &amp; dining rm w/wood flooring. Kitchen w/room for breakfast table. Convenient 2nd floor laundry. MBR w/walk in closet, full bath. Patio to open space. Newer A/C, washer, dryer &amp; oven. Near Metra train for work commute &amp; close to shopping.</t>
  </si>
  <si>
    <t>Oven/Range, Washer, Dryer, Disposal</t>
  </si>
  <si>
    <t>CALL LO FOR APPT AT 847-223-7878, ALLOW TIME TO CONFIRM.</t>
  </si>
  <si>
    <t>MILWAUKEE N TO 45 W TO SULLIVAN N TO MAPLEWOOD E TO UNIT</t>
  </si>
  <si>
    <t>PERFECTLY PRIVATE LOCATION WITH LARGE YARD. TRI-LEVEL ASPEN MODEL W/ VAULTED CEILINGS &amp; TONS OF STORAGE. UPDATED THRU-OUT INCLUDING A/C' 14, WINDOWS '13, PATIO &amp; FRONT DOORS '12. NEW EXTERIOR SIDING IN '14 TOO! GORGEOUS UPDATED BATHS W/ NEW VANITIES &amp; MORE! THIS HOME IS IN MOVE IN READY CONDITION AND READY TO CALL YOUR OWN. THIS ONE WON'T LAST LONG!</t>
  </si>
  <si>
    <t>Park/Playground, Pool-Outdoors, Tennis Court/s, Curbs/Gutters, Street Lights, Street Paved</t>
  </si>
  <si>
    <t>Call listing office 847-634-6200</t>
  </si>
  <si>
    <t>RE/MAX Experts</t>
  </si>
  <si>
    <t>(847) 634-6200</t>
  </si>
  <si>
    <t>Andee Hausman</t>
  </si>
  <si>
    <t>(847) 353-7644</t>
  </si>
  <si>
    <t>847-209-4287</t>
  </si>
  <si>
    <t>Cascade</t>
  </si>
  <si>
    <t>Ogden Ave to Pearces Ford  (N) to Cascade Ln (W)</t>
  </si>
  <si>
    <t>New Flooring Throughout! |Spacious, Upper Level Ranch l Private Entry for Single Family Feel | Vaulted ceilings &amp; Decor Ledges in Great Room create great Flex Space for LR &amp; DR l Large, Eat-in, fully applianced kitch w great layout &amp; lots of counter space l Spacious Master suite w huge double closets l Notice the decorator nook l Quiet, interior location l Close to shopping, restaurants, golf l Home Depot | 2 car gar</t>
  </si>
  <si>
    <t>Common Grounds, Nature Preserve Adjacent</t>
  </si>
  <si>
    <t>2.5 % - $200 (on Gross SP)</t>
  </si>
  <si>
    <t>call listing office</t>
  </si>
  <si>
    <t>KETTLEY &amp; COMPANY</t>
  </si>
  <si>
    <t>(630) 554-8700</t>
  </si>
  <si>
    <t>Jerry Pennington</t>
  </si>
  <si>
    <t>(630) 341-6066</t>
  </si>
  <si>
    <t>Crestview</t>
  </si>
  <si>
    <t>Hawthorn Pkwy to Indianwood to Crestview</t>
  </si>
  <si>
    <t>Best Location in Vernon Hills! Faces Big Bear Lake! Beautiful views from the balcony. Very well maintained condo on 2nd Floor. Freshly painted, updated appliances, and more. Hawthorn Schools. Pool and walking paths. Close to all major shopping and I-94. Assessment includes heating and water. Great Location. Great Condition. Great Price. Quick Close Possible.</t>
  </si>
  <si>
    <t>Heat, Gas, Parking, Common Insurance, Pool, Exterior Maintenance, Lawn Care</t>
  </si>
  <si>
    <t>Please use Show Assist</t>
  </si>
  <si>
    <t>Jeanette Rose, CNC</t>
  </si>
  <si>
    <t>(847) 293-7748</t>
  </si>
  <si>
    <t>Back up Offers Welcome. Call Association for all Rules related questions. Portable AC Unit in Master Bedroom included.</t>
  </si>
  <si>
    <t>RT 83 OR CLARENDON HILLS RD TO KNOLLWOOD RD</t>
  </si>
  <si>
    <t>*Penthouse Feel in This Designer 2Bed/2Bath Unit,Originally The Model For The Knolls!*Upgrades Thru-out including *NEW APPLIANCES,NEW KITCHEN COUNTERS,NEW GLASSTILE BLACKSPLASH*UNDERCABINET LIGHTING*NEW SINK*FRESHLY PAINTED*NEW CARPETING*UPDATED BATHROOMS*MASTER WALK-IN CLOSET*FIREPLACE*CROWN MOLDING THRU-OUT*CHAIR RAILS*PANELED DOORS*ASSESSMENTS INCL. HEAT,WATER*LARGE PRIVATE BALCONY*AVAILABLE*  HOME WARRANTY/AS IS.</t>
  </si>
  <si>
    <t>Coin Laundry, Exercise Room, On Site Manager/Engineer, Park/Playground, Pool-Outdoors</t>
  </si>
  <si>
    <t>Heat, Water, Gas, Parking, Common Insurance, Security, Clubhouse, Exercise Facilities, Pool, Exterior Maintenance, Lawn Care, Scavenger, Snow Removal, Lake Rights</t>
  </si>
  <si>
    <t>2%  -$289 (on Net SP)</t>
  </si>
  <si>
    <t>CALL SELLER @ 630-973-6556 FOR SHOW/QUESTIONS</t>
  </si>
  <si>
    <t>Prello Realty, Inc.</t>
  </si>
  <si>
    <t>(888) 611-1815</t>
  </si>
  <si>
    <t>Robert Picciariello</t>
  </si>
  <si>
    <t>FAX OFFERS TO LIST OFFICE 773-472-8988  NOT A SHORT SALE/ AVAILABLE NOW   *STUNNING UNIT*  Email offers to:Carolemforbes@comcast.net or  Fax to: 630-584-6288  PRELLO DOES NOT HOLD EARNEST MONEY</t>
  </si>
  <si>
    <t>Henley Lot#410.02</t>
  </si>
  <si>
    <t>Rt 59 North of 75th Street to Audrey E. Left on Blakely Right on Dunraven to Henley Ln/Go to Models</t>
  </si>
  <si>
    <t>ADDISON-A</t>
  </si>
  <si>
    <t>Brand NEW "Mayfair" Extension Of Naperville~ 2 Story Great Room! Gourmet Kit Ftrs SS Appliances, Granite Counters, Center Island, 42" Cabinets &amp; Hardwood Flrs! 9' Ceilings On Main Level 1st Flr Ldy + Deck Off Brkfst Area. 2 Master Baths with the Alternative Upper Floor Plan Stained Railings &amp; Spindles. 30 Year Transferable Builder Warranty. 100% Energy Star. Awesome 204 Schools! Close To Shopping READY Now</t>
  </si>
  <si>
    <t>Oven/Range, Dishwasher, Disposal</t>
  </si>
  <si>
    <t>Breakfast Room, Great Room, Utility Room-1st Floor</t>
  </si>
  <si>
    <t>Call the Community @ 630-857-9180 or Use Showing Assist</t>
  </si>
  <si>
    <t>Agent Must Accompany Buyer on 1st Visit/Please Register with Marty @ Sales Office &amp; Call Her Cell 847-338-9635 with ANY Questions</t>
  </si>
  <si>
    <t>75th</t>
  </si>
  <si>
    <t>2JN</t>
  </si>
  <si>
    <t>Take 75th St E to the end.  Last building before the  Lake.</t>
  </si>
  <si>
    <t>Like lake front living?  Welcome Home.  2bedroom 2bath  townhouse like condo.  This condo actually has the bedrooms on the upper level.  Good sized rooms thru out.  Needs updating, but where else can you walk out of the   building and onto your own beach at this price. Buyer could   be responsible for 6mo assoc dues per Ill statue.</t>
  </si>
  <si>
    <t>Call List Agent</t>
  </si>
  <si>
    <t>Seller request all offers be made thru HomePath.com. Go to HomePath.com to submit all offers  20 day first look   applies</t>
  </si>
  <si>
    <t>REMINGTON TRAILS</t>
  </si>
  <si>
    <t>Fairfield &amp; Rt 134 W TO foxtrail R TO REMINGTON</t>
  </si>
  <si>
    <t>Great town-home in premium pond location. Home features 2 bedrooms 2 1/2 baths, 2 car garage and a full look-out basement. Wood deck for summer entertaining. Kitchen with maple wood floors and stainless steel appliances. Master bath with double sink, soaker tub and separate shower. All new carpet and new paint. In move-in-condition.</t>
  </si>
  <si>
    <t>2.5 -$200 (on Net SP)</t>
  </si>
  <si>
    <t>Not a short or foreclosure, regular sale- can close quickly</t>
  </si>
  <si>
    <t>Adams</t>
  </si>
  <si>
    <t>Irving Park or Schaumburg Rd to Bartlett Rd to Streamwood Blvd to Adams Ct North on East side of St</t>
  </si>
  <si>
    <t>DEERWOOD</t>
  </si>
  <si>
    <t>TOTALLY STYLISH 2 BR, 1 1/2 BATH TOWNHOME W/PREMIUM LOC! CERAMIC TILED ENTRYWAY, KITCHEN W/OAK CABINETRY &amp; GRANITE TILED COUNTERS W/BREAKFAST BAR, FULLY APPLIANCED, CERAMIC, DINING AREA W/PERGO FLRS, EXPANSIVE LIV RM W/PERGO FLRS &amp; SLIDERS TO PATIO, LGE MSTR SUITE W/WIC &amp; FULL BATH, SLIDERS TO PATIO, AMPLE SIZED 2ND BR &amp; POWDER RM, ALL NEW LIGHT FIXTURES, FURNACE, A/C, H-E WASHER/DRYER, CUSTOM UPGRADES, A MUST SEE!</t>
  </si>
  <si>
    <t>Bike Room/Bike Trails, Golf Course, Park/Playground, Curbs/Gutters, Sidewalks, Street Lights, Street Paved</t>
  </si>
  <si>
    <t>24 Hr Notice Please Call 800-746-9464 or use showing assist</t>
  </si>
  <si>
    <t>Charlotte McConnell</t>
  </si>
  <si>
    <t>(847) 774-8836</t>
  </si>
  <si>
    <t>EXCLUSE CURTAIN RODS/DRAPERIES, FREEZER &amp; METAL SHELVING, DRY ERASER BOARD, FLUORESCENT LIGHTS IN GARAGE, ALL WALL MOUNTS FOR TVS &amp; ELECTRONICS - WALLS WILL BE PATCHED AND PAINTED</t>
  </si>
  <si>
    <t>Rt.53(South of Maple) to Four Lakes Ave. (W) to River Bend around roundabout to 1st left to home</t>
  </si>
  <si>
    <t>20X59</t>
  </si>
  <si>
    <t>Elegantly updated BayHill model offers soaring ceils;gleaming Braz cherry flring thruout;fantastic living area enhanced by inviting fp;rec lighting,glass drs to 1 of 3 balconies.Dream kit w/cherry cabs;granite counters;stainless appls open to 2sty eat area w/bay.Two master brs w/priv baths &amp; custom tilework.Fab LL FR w/bath.Skylite;6pnl drs;white trim;curved staircase;2car gar.Fall in LOVE w/this RiverBend favorite.</t>
  </si>
  <si>
    <t>Finished, Bathroom Rough-In</t>
  </si>
  <si>
    <t>please click on showing assist below or call 800.746.9464</t>
  </si>
  <si>
    <t>Debbie Pawlowicz, CNC,CSC,SRS</t>
  </si>
  <si>
    <t>(630) 309-1466</t>
  </si>
  <si>
    <t>Juniper</t>
  </si>
  <si>
    <t>Streamwood Green</t>
  </si>
  <si>
    <t>Schaumburg Rd W of Barrington Rd to East Ave to Juniper Cir</t>
  </si>
  <si>
    <t>Bright and spacious open floor plan. Gleaming hardwood floors. Vaulted ceiling. Updated kitchen w/ ceramic floors, granite countertop and loads of cabinet space. Sliding door to patio. Second floor has two nice size bedrooms, one w/ private balcony. Attached garage w/storage space. End unit, move in condition. Roof was redone in 2013. Sold as is. Broker owned.</t>
  </si>
  <si>
    <t>2.50%-250 (on Net SP)</t>
  </si>
  <si>
    <t>Call or text 224-234-5634</t>
  </si>
  <si>
    <t>(773) 282-8100</t>
  </si>
  <si>
    <t>Agata Kogut</t>
  </si>
  <si>
    <t>(224) 234-5634</t>
  </si>
  <si>
    <t>3hr notice required on weekends, easy to show during the week - call or text Agata @224-234-5634. Regular sale. Sold as is. BROKER OWNED.</t>
  </si>
  <si>
    <t>Shag Bark</t>
  </si>
  <si>
    <t>SCHAUMBURG ED TO PARK S TO SHAG BARK WEST TO HOME</t>
  </si>
  <si>
    <t>Good opportunity to own this 2 bedroom 1 bath unit that features an open layout, good potential, private patio and 1 car garage. Just minutes from public transportation, expressways and shopping. TAXES 100%, This is a homepath property please submit through homepath website BUYER IS RESPONSIBLE FOR PREVIOUS 6 MONTHS HOA FEES, buyer is responsible for survey</t>
  </si>
  <si>
    <t>TAXES 100%, This is a homepath property please submit through homepath website BUYER IS RESPONSIBLE FOR PREVIOUS 6 MONTHS HOA FEES RENTALS ARE ALLOWED NO FHA, buyer is responsible for any village required repairs. cash offers only</t>
  </si>
  <si>
    <t>Martin Luther King Jr</t>
  </si>
  <si>
    <t>400 East 5738 South King Dr to address</t>
  </si>
  <si>
    <t>177 X 178</t>
  </si>
  <si>
    <t>A REAL NICE ONE UPGRADE MOVE IN 5-2-1.0 BALCONY PARKING SPACE HOA $358.78 $2000 EARNEST MONEY CERTIFIED FUNDS PROOF OF FUNDS OR PRE-APPROVAL CONTACT LISTING AGENT FOR SELLER DISCLOSURE FORM PRIOR TO WRITING AN OFFER  SELLER REQUIRES THAT POTENTIAL BUYERS EXECUTE THE DISCLOSURE AND SUBMIT WITH THEIR OFFER IN ORDER TO BE CONSIDERED****OWNER OCCUPANT ONLY******</t>
  </si>
  <si>
    <t>Water, Electric, Gas, Common Insurance, Exterior Maintenance, Lawn Care, Snow Removal</t>
  </si>
  <si>
    <t>F.J. Williams Realty</t>
  </si>
  <si>
    <t>(708) 499-5600</t>
  </si>
  <si>
    <t>Frank Williams, ABR,CRB,CRS,GRI,SRES</t>
  </si>
  <si>
    <t>773.737.9571 Fax</t>
  </si>
  <si>
    <t>REALLY NICE UPGRADED CONDO WITH BALCONY MOVE IN CONDITION 5-2-1.0 ROOM COUNT PARKIN GSPACE $2000 EM CERTIFIED FUNDS PROOF OF FUNDS OR PRE-APPROVAL EMAIL OFFERS*****OWNER OCCUPANT ONLY****</t>
  </si>
  <si>
    <t>3 blocks west of Harlem  Corner of Lawrence and Olcott</t>
  </si>
  <si>
    <t>Beautiful unit w/ 2 BR, 2 BA, &amp; 1 balcony in Clock Tower Pointe. Open flr plan. Kitch w/island, 42" custom cab, granite countertops, back splash, SS appl, hdwd flrs in kitchen, livRm, dinRm. Master bath w/ jacuzzi tub, sep shower. In-unit laundry. Radiant heat in flr. 2 Assigned HEATED garage spaces  P1-124 &amp; P-125. 2 storage units. Fitness center. Close to trans, schools, shops &amp; Marianos! Ultra quiet unit !</t>
  </si>
  <si>
    <t>PENNOYER ELEMENTARY SCHOOL</t>
  </si>
  <si>
    <t>MAINE SOUTH HIGH SCHOOL</t>
  </si>
  <si>
    <t>Heat, Water, Gas, Common Insurance, Security, Exercise Facilities, Exterior Maintenance, Lawn Care, Scavenger, Snow Removal</t>
  </si>
  <si>
    <t>2.5 % - $225 (on Gross SP)</t>
  </si>
  <si>
    <t>text/call Joanne @ 708 502 2127</t>
  </si>
  <si>
    <t>Czarnik</t>
  </si>
  <si>
    <t>Joanne Metz</t>
  </si>
  <si>
    <t>(708) 502-2127</t>
  </si>
  <si>
    <t>24 hour notice.  Agent will accompany showings</t>
  </si>
  <si>
    <t>Randall Road to Oak west to Hidden Creek; south to Victoria Circle, left to home on left.</t>
  </si>
  <si>
    <t>Open Floor Plan with Big Living Room. Large Kitchen With Maple Cabinets. Closet Pantry and Elevated Deck. Main Floor Powder Room. 2nd Floor Laundry. Shared Main Bath Area. Two Car Garage. Great Neighborhood With Open Space With Gazebo. Convenient Location to Randall Road Shopping Corridor and Quick Access to Tollway. THIS IS A FANNIE MAE HOMEPATH PROPERTY.</t>
  </si>
  <si>
    <t>**PLEASE REMOVE SHOES, NEW CARPET. TURN OFF ALL LIGHTS &amp; LOCK DOORS**CALL 630-608-4777 IF QUESTIONS AFTER SHOWING PROPERTY. SELLER REQUESTS ALL OFFERS TO BE SUBMITTED THRU HOMEPATH.COM.</t>
  </si>
  <si>
    <t>COUNTY LINE</t>
  </si>
  <si>
    <t>EOLA TO LIBERTY W TO REFLECTIONS N TO COUNTY LINE</t>
  </si>
  <si>
    <t>EXCELLENT TOWNHOME!!W/PATIO&amp;PRIVATE COURTYARD.   9 FOOT CEILINGS ON THE FIRST FLOOR! EAT-IN KITCHEN W/SS APPLIANCES &amp; HARDWOOD FLOORS!LG MASTER SUITE &amp; SITTING ROOM,WALK-IN CLOSET,VAULTED CEILINGS &amp;PRIVATE BATH W/SOAKER TUB &amp; DUAL VANITY! SPACIOUS LIVING ROOM PRE-WIRED FOR SURROUND SOUND! 2.5 CAR GAR HEATED W/KEYLESS ENTRY.NEWER FELDCO WINDOWS!CLOSE TO TRAIN,I88,SHOPPING &amp; DIST 204 SCHOOLS!!MUST SEE!!</t>
  </si>
  <si>
    <t>Breakfast Room, Sitting Room</t>
  </si>
  <si>
    <t>CALL B&amp;W APPOINTMENT CENTER @ 855-746-9100</t>
  </si>
  <si>
    <t>Joy Mulder</t>
  </si>
  <si>
    <t>(630) 602-6062</t>
  </si>
  <si>
    <t>PLEASE REMOVE SHOES</t>
  </si>
  <si>
    <t>OAK</t>
  </si>
  <si>
    <t>West Dundee</t>
  </si>
  <si>
    <t>GRAND POINTE MEADOWS</t>
  </si>
  <si>
    <t>SLEEPY HOLLOW RD SOUTH OF HUNTLEY RD TO OAK WEST TO HOME</t>
  </si>
  <si>
    <t>WEST DUNDEE</t>
  </si>
  <si>
    <t>CAMERON</t>
  </si>
  <si>
    <t>Everything is done here all you have to do is move in.  Tons of upgrades.  Screened in porch, fireplace.  Loads of extra cabinets in the garage.  More storage than you can imagine.  High efficiency furnace.  April Air humidifier.  Backs to the forest preserve.  Walk-in closet in Master Bedroom.  New Carpet.  Slop sink in laundry room.  42" cabinets in Kitchen.  Furniture also negotiable.</t>
  </si>
  <si>
    <t>Screened Porch</t>
  </si>
  <si>
    <t>Oven/Range, Microwave, Dishwasher, Refrigerator, Washer, Disposal</t>
  </si>
  <si>
    <t>Eating Area, Screened Porch</t>
  </si>
  <si>
    <t>Humidifier, Fire Sprinklers, Ceiling Fan</t>
  </si>
  <si>
    <t>Call Listing Office - Easy to Show</t>
  </si>
  <si>
    <t>Trust #1-08-132</t>
  </si>
  <si>
    <t>Ronald Ewing, e-PRO,GRI,SFR</t>
  </si>
  <si>
    <t>(847) 429-4253</t>
  </si>
  <si>
    <t>Cell 630-215-6600</t>
  </si>
  <si>
    <t>Not a short sale or foreclosure</t>
  </si>
  <si>
    <t>GARFIELD BLVD(5500S) TO PRAIRIE (200e) SOUTH TO PROP.</t>
  </si>
  <si>
    <t>Spacious 2br unit, close to Washington Park. Sold As Is. HOA requires a $600 annual operating assessment in addition to monthly HOA fee, all room sizes are estimated. Taxes pro-rated at 100%</t>
  </si>
  <si>
    <t>2.5% OR $1250 WHICHEVER IS GREATER (on Gross SP)</t>
  </si>
  <si>
    <t>Drive by only</t>
  </si>
  <si>
    <t>Cyrea Zinnamon, AHWD</t>
  </si>
  <si>
    <t>(312) 972-3698</t>
  </si>
  <si>
    <t>Please place all offers at www.Hubzu.com. Buyer to pay $299 technology fee to Hubzu at closing, also subject to 4% buyers premium.</t>
  </si>
  <si>
    <t>BIG HORN</t>
  </si>
  <si>
    <t>Rt 120(Belvidere Rd) to Hainesville Rd N to West Big Horn W(Left), park on street next to building!</t>
  </si>
  <si>
    <t>WOW! Views of Cranberry Lake from Living Rm &amp; Mstr Br! Mint Condition! 3-Sided Fplc between Lr &amp; Dr Rm. Kitch w Balcony, Breakfast Island, E/A &amp; Decorator Counters w Custom Sink &amp; Inserts. Awesome Loft/3rd Bedroom. Spacious Mster Br w Walk-In Closet, Great shared Mster Bth w Walk In Shower, Separate Tub w 2nd Shower &amp; Dual Sinks. 2nd Flr Laundry. English Bas w Fam Rm. Storage Galore!! 13-Month Home Warrantee!  A10+</t>
  </si>
  <si>
    <t>Common Grounds, Wetlands Adjacent, Landscaped Professionally, Water View</t>
  </si>
  <si>
    <t>See through/Multi Sided, Electric, Gas Logs</t>
  </si>
  <si>
    <t>2.5% -225 (on Gross SP)</t>
  </si>
  <si>
    <t>Call Centralized Showings at 877-977-1010 to Set Appt</t>
  </si>
  <si>
    <t>Maria Zucek, ABR,CRS,CSC,e-PRO,GRI,SFR</t>
  </si>
  <si>
    <t>(847) 477-4711</t>
  </si>
  <si>
    <t>Home is occupied! The sellers have gone to great extent to prepare the home for viewing! Leave home as you found it! Please reply to the feedback request! Thanks in Advance!!</t>
  </si>
  <si>
    <t>MARQUETTE RD (6700 SOUTH) and (3442 WEST) JUST EAST OF ST. LOUIS.</t>
  </si>
  <si>
    <t>PENT HOUSE</t>
  </si>
  <si>
    <t>TOP FLOOR - CONDO WITH A BEAUTIFUL VIEW OVER LOOKING PARK! IT FEATURES 2 BEDROOMS, FORMAL DINING ROOM, LARGE EAT-IN KITCHEN W/APPLIANCES AND A LARGE  LIVING ROOM, HARDWOOD FLOORS THRU-OUT, CENTRAL AIR, INTERCOM &amp; SECURITY SYSTEM, FREE LAUNDRY IN BASEMENT. 1 CAR PARKING GARAGE INCLUDED. BEAUTIFUL BRICK BUILDING JUST ACROSS THE STREET FROM -MARQUETTE PARK. NOT A SHORT SALE OR FORECLOSURE.</t>
  </si>
  <si>
    <t>easy - Call Listing office - C21 - 847-882-4855 combo</t>
  </si>
  <si>
    <t>Century 21 1st Class Homes</t>
  </si>
  <si>
    <t>(847) 882-4855</t>
  </si>
  <si>
    <t>Marge Kozlowski</t>
  </si>
  <si>
    <t>(847) 571-8000</t>
  </si>
  <si>
    <t>Top floor-great condition-includes 1 car garage, laundry included in monthly low assessment, IMMEDIATE availability!!!</t>
  </si>
  <si>
    <t>Sandcastle</t>
  </si>
  <si>
    <t>Cambridge Lakes</t>
  </si>
  <si>
    <t>72 to richard Brown, to Wester R to Driftwood L to Sandcastle R to home.</t>
  </si>
  <si>
    <t>WILMINGTON B</t>
  </si>
  <si>
    <t>Seller wants to sell! Only 1 year old. Neutral, light &amp; bright. Why buy new when you can get this TH w/washer &amp; dryer, window treatments &amp; garage door opener already included!  Many upgrades in kitchen w/SS appliances, crown molding on cabinets &amp; HW flr.  Upgraded carpet, padding &amp; lighting. FR is being used as bdr. Subdivision offers pool/club house! BARELY LIVED IN!  QUICK CLOSE POSSIBLE! THIS IS A GREAT DEAL!</t>
  </si>
  <si>
    <t>Bonus, Eating Area, Loft</t>
  </si>
  <si>
    <t>2.5% - $295 (on Gross SP)</t>
  </si>
  <si>
    <t>call listing office - Overnight notice is REQUIRED for all showings</t>
  </si>
  <si>
    <t>847-658-3100</t>
  </si>
  <si>
    <t>Pratt</t>
  </si>
  <si>
    <t>LAKEWOOD SPRINGS</t>
  </si>
  <si>
    <t>Rt. 34 to Mitchell Dr. South to Klatt left to Pratt St. left to home</t>
  </si>
  <si>
    <t>Wonderful townhome in Lakewood Springs! Pool Community! Park and School on-site! Great open floor plan! Spacious 2 story Living Room in Neutral tones. Kitchen has stainless appliances, pantry and loads of storage.  Dining area has access to private patio. Stunning Master Suite w/ soaker tub &amp; sep. shower, large walk-in closet. Spacious loft, 2nd BR, Full Bath and Laundry on 2nd Floor! Backs to open area! Great Home!</t>
  </si>
  <si>
    <t>P H MILLER ELEMENTARY SCHOOL</t>
  </si>
  <si>
    <t>PLANO MIDDLE SCHOOL</t>
  </si>
  <si>
    <t>PLANO HIGH SCHOOL</t>
  </si>
  <si>
    <t>Park/Playground, Pool-Outdoors, Sidewalks, Street Lights, Street Paved</t>
  </si>
  <si>
    <t>2.5%  -$200 (on Net SP)</t>
  </si>
  <si>
    <t>Call Centralized Showings</t>
  </si>
  <si>
    <t>Dena Furlow, CSC</t>
  </si>
  <si>
    <t>630-742-4374</t>
  </si>
  <si>
    <t>Well Kept, beautiful home. Cash only due to high HOA in arrears.</t>
  </si>
  <si>
    <t>Torrey Pines</t>
  </si>
  <si>
    <t>Woodlands</t>
  </si>
  <si>
    <t>CASS SO OF 67TH ST TO TALL PINES</t>
  </si>
  <si>
    <t>BUCKEYE</t>
  </si>
  <si>
    <t>OVER $100K IN UPGRADES IN 2010. OVER 2300 SQ FT ALL ON ONE LEVEL.CATHEDRAL CEILINGS, CROWN MOLDING. MASTER SUITE W/SOAKING TUB,SEP. SHOWER HEATED FLRING &amp; CUSTOM CLOSET. NEW SS APPLS, RECESSED LIGHTING,NEW GARAGE DOOR OPENER, MARBLE FIREPLACE AND GRANITE COUNTER TOPS. TOO MUCH TO LIST. A MUST SEE! SELLER HATES TO LEAVE BUT RELOCATING .</t>
  </si>
  <si>
    <t>24X21</t>
  </si>
  <si>
    <t>Whirlpool, Separate Shower, Handicap Shower, Double Sink</t>
  </si>
  <si>
    <t>Breakfast Room, Deck</t>
  </si>
  <si>
    <t>SHOW ANYTIME.  PLEASE SECURE PROPERTY.</t>
  </si>
  <si>
    <t>630-464-0555</t>
  </si>
  <si>
    <t>(630) 530-2500</t>
  </si>
  <si>
    <t>Nancy Sliwa, CNC,SRS</t>
  </si>
  <si>
    <t>(630) 464-0555</t>
  </si>
  <si>
    <t>SHOW ANYTIME  PLEASE SECURE PROPERTY  VERY SHARP</t>
  </si>
  <si>
    <t>Roosevelt to Nicoll Way, South to Waters Edge Court West.</t>
  </si>
  <si>
    <t>Beautifully appointed &amp; well maintained former model w/Custom Cabinets, Double Oven, &amp; Granite in the Kitchen, Hardwood Floors, Crown Molding, &amp; Stone Fireplace. Loft works well as a Bonus area for whatever you need-Office, Playroom, or Exercise area. Elegant Master Suite w/2 Closets &amp; Whirlpool w/Separate Shower. Full Basement w/rough in bath. Convenient to Expressway, Shopping, &amp; 13 Acre Panfish Park. Welcome Home!</t>
  </si>
  <si>
    <t>26X13</t>
  </si>
  <si>
    <t>Oven-Double, Microwave, Dishwasher, Refrigerator, Washer, Dryer, Disposal, All Stainless Steel Kitchen Appliances</t>
  </si>
  <si>
    <t>Cul-de-sac, Legal Non-Conforming</t>
  </si>
  <si>
    <t>Humidifier, Security System, Fire Sprinklers, CO Detectors, Ceiling Fan, Sump Pump</t>
  </si>
  <si>
    <t>Brick, Cedar, Other</t>
  </si>
  <si>
    <t>Click on Showing Assist or Call Weichert Showing Desk at 855-957-1408.</t>
  </si>
  <si>
    <t>Melanie Young, CSC</t>
  </si>
  <si>
    <t>(630) 665-1200</t>
  </si>
  <si>
    <t>Direct Line 665-1200</t>
  </si>
  <si>
    <t>GOLFVIEW</t>
  </si>
  <si>
    <t>North Ave E/W to Schmale; north to Golfview; east to home.</t>
  </si>
  <si>
    <t>DORSETT</t>
  </si>
  <si>
    <t>Beautiful 2-story town home overlooking the 11th hole of Glendale Lakes Golf Course.  2 bdrm, 2.5 baths w/ 1 car finished attached garage. Vaulted ceilings in Master and high ceilings throughout.  En Suite master bathroom and lots of closet space.  Crown molding, gas log fireplace, and newer patio door w/ remote control blinds.  TV mount, entertainment center, and washer/dryer to stay!  Community offers two pools.</t>
  </si>
  <si>
    <t>EMAIL edricksalomon@gmail.com for all showings. Short notice ok.</t>
  </si>
  <si>
    <t>312-421-1000</t>
  </si>
  <si>
    <t>Select a Fee RE System</t>
  </si>
  <si>
    <t>(312) 421-1000</t>
  </si>
  <si>
    <t>George Ayling</t>
  </si>
  <si>
    <t>(708) 466-4093</t>
  </si>
  <si>
    <t>www.selectafee.com</t>
  </si>
  <si>
    <t>DISCLOSURES TO ACCOMPANY ALL OFFERS; EARNEST MONEY IN CERTIFIED FUNDS.</t>
  </si>
  <si>
    <t>Alexandria</t>
  </si>
  <si>
    <t>Rt 23 to Mt Hunger Rd to Rose to Alexandria.</t>
  </si>
  <si>
    <t>26X78</t>
  </si>
  <si>
    <t>Well designed 2 bedroom with loft.  Newly painted interior. Vaulted living room.  Master suite. 2nd floor laundry. 2 car garage. Full basement. Freddie Mac Owner Occupied First Look Program through January 19th, 2015. Property sold "AS IS"  Easy to Show. Highest and Best offers due on 2/13/15 9am.</t>
  </si>
  <si>
    <t>Use Listing Showing Button.</t>
  </si>
  <si>
    <t>Tom Skora</t>
  </si>
  <si>
    <t>(815) 751-4631</t>
  </si>
  <si>
    <t>Write all offers on Modified 5.0 Contract in Additional Information.</t>
  </si>
  <si>
    <t>Eclipse</t>
  </si>
  <si>
    <t>ELK TRAIL</t>
  </si>
  <si>
    <t>LIES TO IDAHO S TO ELK TRAIL E TO HOOVER S TO ECLIPSE E TO HOME</t>
  </si>
  <si>
    <t>VERY NICE HOME IN CONVENIENT CAROL STREAM LOCATION. ATTRACTIVE BAMBOO FLOORS ON MAIN LEVEL, HUGE MASTER BEDROOM BOASTS A PRIVATE BATH AND 11X6 WIC. NICE SIZE 2ND BEDROOM WITH WIC OF ITS OWN. FINISHED BASEMENT INCLUDES REC ROOM AND 13X11 STORAGE AREA. THE ONE CAR GARAGE OFFERS PULL DOWN STAIRS FOR FLOORED ATTIC ABOVE. FIRST FLOORS LAUNDRY AND PATIO OFF THE KITCHEN COMPLETES THE PACKAGE. VERY CLEAN. A MUST SEE HOME.</t>
  </si>
  <si>
    <t>Call Showing Desk @ 888-362-3222</t>
  </si>
  <si>
    <t>630-894-1900</t>
  </si>
  <si>
    <t>630-669-2011</t>
  </si>
  <si>
    <t>Cambria</t>
  </si>
  <si>
    <t>Roosevelt to Westmore-Meyers N to Wilson E to Addison N to home</t>
  </si>
  <si>
    <t>TALBOT</t>
  </si>
  <si>
    <t>Tastefully decorated and updated 2 story home in popular Cambria! 9' ceiling, newer carpet, paint, tile flooring, furnace, &amp; front load w/d. Great kitchen w/ large pantry &amp; stainless appls. (new in 2010). Spacious LR/ DR w/wood laminate floor &amp; huge sliding doors open to private patio &amp; common yard. Large Master Suite w/ vaulted ceiling and private bath. 2nd BR also w/ private bath. CAN CLOSE QUICKLY!</t>
  </si>
  <si>
    <t>ARDMORE ELEMENTARY SCHOOL</t>
  </si>
  <si>
    <t>Eating Area-Breakfast Bar, Eating Area-Table Space, Galley, Pantry-Closet</t>
  </si>
  <si>
    <t>Text or call L.A. Mindy 630-247-6988</t>
  </si>
  <si>
    <t>Melinda Josephs, CNC,GRI</t>
  </si>
  <si>
    <t>(630) 247-6988</t>
  </si>
  <si>
    <t>Very spacious, shows great!</t>
  </si>
  <si>
    <t>91st</t>
  </si>
  <si>
    <t>north/south on Mackinaw to 91st St, west to property.</t>
  </si>
  <si>
    <t>Cozy 2 bed/1 bath unit. Great starter home for the first-time purchaser. Excellent way to get your start in real property ownership. Close to lake &amp; public transportation. Close to shopping &amp; other amenities. This is a Fannie Mae HomePath property.</t>
  </si>
  <si>
    <t>Water, Common Insurance, Exterior Maintenance</t>
  </si>
  <si>
    <t>3% OR $1,000; WHICHEVER IS GREATER. (on Gross SP)</t>
  </si>
  <si>
    <t>Call CSS 877.977.1010.</t>
  </si>
  <si>
    <t>Century 21 S.G.R., Inc.</t>
  </si>
  <si>
    <t>(312) 326-2121</t>
  </si>
  <si>
    <t>Victoria Silvano, CRS</t>
  </si>
  <si>
    <t>(773) 848-1201</t>
  </si>
  <si>
    <t>Submit offers @ www.homepath.com via HomePathOnlineOffers system. Include POF/pre-approval &amp; EM copy with your offer. USE ATTACHED CONTRACT PACKAGE FORMS. 10% EM on all cash offers. 100% tax proration. Buyer pays survey &amp; transfer tax.</t>
  </si>
  <si>
    <t>PROVIDENCE</t>
  </si>
  <si>
    <t>120 &amp; Wildspring S to Providence E to #</t>
  </si>
  <si>
    <t>0.1806 ACRES</t>
  </si>
  <si>
    <t>NOTHING TO DO BUT MOVE IN! THIS  WELL CARED HOME AWAITS SOMEONE WHO WANTS A SPECIAL PLACE TO LIVE. BRAND NEW CARPET.. VAULTED CEILINGS AND OPEN FLOOR PLAN GIVE THIS HOME A LIGHT CONTEMPORARY FEEL. MOST AFFORABLE WAY TO BUY AN ALMOST NEW HOME IN ROUND LAKE WITH GRAYSLAKE SCHOOLS.</t>
  </si>
  <si>
    <t>OF RECORDS</t>
  </si>
  <si>
    <t>GREAT HOME FOR THE PRICE, VERY MOTIVATED SELLER.</t>
  </si>
  <si>
    <t>Forest</t>
  </si>
  <si>
    <t>Prairie Ave - North of tracks  East on Brookfield Ave- North on Forest - Home on east side of street</t>
  </si>
  <si>
    <t>37X107X49X141</t>
  </si>
  <si>
    <t>Perfect for Owning or Excellent Rental!  Easy Living in this attractive &amp; neutrally decorated end unit townhome with open, spacious Floor Plan. Liv Rm w/bay window &amp; newer carpting, fully applianced Kit with plenty of cabinets, Din Rm has sliding glass doors to brick patio &amp; fenced yard. 1st flr LDY, 2 BRS &amp; modern BTH on 2nd flr., 2 parking spaces included.  Short walk to town, parks &amp; Metra! No monthly assessments!</t>
  </si>
  <si>
    <t>BROOK PARK ELEMENTARY SCHOOL</t>
  </si>
  <si>
    <t>S E GROSS  MIDDLE SCHOOL</t>
  </si>
  <si>
    <t>Fenced Yard, Irregular</t>
  </si>
  <si>
    <t>Please use showing assist for appointment.  Any questions call or text Helen 708-207-8374.</t>
  </si>
  <si>
    <t>Barrett</t>
  </si>
  <si>
    <t>Smothers Realty Group</t>
  </si>
  <si>
    <t>(708) 588-2347</t>
  </si>
  <si>
    <t>Helen Lalonde</t>
  </si>
  <si>
    <t>(708) 588-2064</t>
  </si>
  <si>
    <t>Lot size per Realist Tax Site, no monthly assessments, humidifier conveyed AS IS.  Please use multi-board 6.0.  Buyers must be accompanied by buyers agent.  Tax assessors has wrong address associated with PIN.</t>
  </si>
  <si>
    <t>GRANDVIEW</t>
  </si>
  <si>
    <t>SEASONS RIDGE</t>
  </si>
  <si>
    <t>RT. 30 TO DOUGLAS LEFT TO SEASONS RIDGE LEFT TO GRANDVIEW</t>
  </si>
  <si>
    <t>OCWEN</t>
  </si>
  <si>
    <t>Oak Leaf</t>
  </si>
  <si>
    <t>Oak Hills</t>
  </si>
  <si>
    <t>83rd West of Janes to Oak Leaf South to Home</t>
  </si>
  <si>
    <t>871 X 90 X 868 X 95</t>
  </si>
  <si>
    <t>First Floor, End Unit Condo Offers Eat-in Kitchen, Living/Dining Room, 2 Bedrooms and In-Unit Laundry.  Plus It Has A Patio &amp; Garage.  Appliances Included~Stove, Refrigerator, Dishwasher, Washer and Dryer. Maintenance Free Exterior. Great Location Near Promenade Mall, 75th Street, Route 53, and Easy Access to I355. All Of The Space Is Here Just Needs A Few New Touches To Make This Place Sparkle. FHA Approved.</t>
  </si>
  <si>
    <t>SCHEDULE WITH CSS 877-977-1010</t>
  </si>
  <si>
    <t>Paula Schatz</t>
  </si>
  <si>
    <t>(630) 251-5155</t>
  </si>
  <si>
    <t>Garage is 3rd from the street with the Sentrilock on door handle. Garage door opener is in kitchen drawer. Please make sure to return it if used to view the garage.</t>
  </si>
  <si>
    <t>Ross</t>
  </si>
  <si>
    <t>LAKEWOOD CROSSING</t>
  </si>
  <si>
    <t>Big Timber to Ridgecrest to Ross right to Home</t>
  </si>
  <si>
    <t>32 X 105</t>
  </si>
  <si>
    <t>Beautiful duplex on a premium lot that backs to pond in desirable Lakewood Crossing. Great open floor plan downstairs with a nicely upgraded kitchen. Sliders from the kitchen lead to the stamped concrete patio. The Master Suite features a full master bath and walk in closet. There's an additional bedroom, loft area, full bath and laundry room upstairs. Amenities include pool, clubhouse, playground &amp; tennis courts.</t>
  </si>
  <si>
    <t>CO Detectors, Ceiling Fan, Sprinkler-Lawn</t>
  </si>
  <si>
    <t>2.5% - 195 (on Gross SP)</t>
  </si>
  <si>
    <t>Call 855-919-0200 or use showing assist</t>
  </si>
  <si>
    <t>Premier Living Properties</t>
  </si>
  <si>
    <t>(847) 697-2000</t>
  </si>
  <si>
    <t>Teresa Stultz</t>
  </si>
  <si>
    <t>(630) 205-5568</t>
  </si>
  <si>
    <t>Not a short sale or foreclosure 2 hr notice preferred</t>
  </si>
  <si>
    <t>Bluff</t>
  </si>
  <si>
    <t>Cossitt to Bluff South to Address</t>
  </si>
  <si>
    <t>BRIGHT 2 BEDROOM 1 BATH TOP FLOOR UNIT  KITCHEN WITH SEPARATE EATING AREA, OAK CABINETS, LARGE LIVING AREA, IN UNIT WASHER &amp; DRYER 2 PARKING SPACES-CLOSE  TO TRAIN AND DOWNTOWN LAGRANGE AREA. THIS IS A FANNIE MAE HOMEPATH PROPERTY</t>
  </si>
  <si>
    <t>TV-Cable, Security System, Intercom, CO Detectors</t>
  </si>
  <si>
    <t>use showing assist link</t>
  </si>
  <si>
    <t>Kensington Properties RE, LLC</t>
  </si>
  <si>
    <t>(773) 208-6800</t>
  </si>
  <si>
    <t>Edward Flynn</t>
  </si>
  <si>
    <t>AGENTS SUBMIT OFFERS ON HOMEPATH.COM. NO DISCLOSURES AND NO SURVEY. BUYER RESPONSIBLE FOR VILLAGE REQUIREMENTS IF ANY. 6 MONTHS HOA DUES WILL BE ENFORCED VIA HOA PER ILLINOIS STATUTE.</t>
  </si>
  <si>
    <t>Jennifer</t>
  </si>
  <si>
    <t>Oak Stream</t>
  </si>
  <si>
    <t>Washington and Greenleaf N to Blackstone E to Jennifer S</t>
  </si>
  <si>
    <t>26 X 91</t>
  </si>
  <si>
    <t>THIS UNIT HAS IT ALL...LOCATION, PRICE &amp; CONDITION. Upscale neighborhood close to major roads/interstate. Exceptionally clean &amp; priced to sell. This 2-story TH has an open floorplan, recessed lighting, HW flooring &amp; new carpet. Convenient 1st floor laundry. Large eat-in kitchen boasts SS appliances, 42" cabinetry &amp; wine fridge. Vaulted ceiling in MBed w/2 WICs. MBath has tall vanity &amp; dual sinks! Prefer Quick Close.</t>
  </si>
  <si>
    <t>Oven/Range, Microwave, Dishwasher, Refrigerator, Washer, Dryer, Disposal, All Stainless Steel Kitchen Appliances, Wine Cooler/Refrigerator</t>
  </si>
  <si>
    <t>Parking, Common Insurance, Lawn Care, Snow Removal</t>
  </si>
  <si>
    <t>2.5%-$275 (on Gross SP)</t>
  </si>
  <si>
    <t>Call Showing Time 855-746-9805 Must Confirm M-F. Go &amp; Show Sat &amp; Sun</t>
  </si>
  <si>
    <t>First Class Realty</t>
  </si>
  <si>
    <t>(224) 444-8366</t>
  </si>
  <si>
    <t>Jacqueline Casino, CSC</t>
  </si>
  <si>
    <t>(847) 752-4003</t>
  </si>
  <si>
    <t>847-962-4360</t>
  </si>
  <si>
    <t>Additional items of personal property for sale. Call List or Co List for more information.</t>
  </si>
  <si>
    <t>RUSSET</t>
  </si>
  <si>
    <t>PLYMOUTH FARMS</t>
  </si>
  <si>
    <t>Butterfield N of 45 to Plymouth Farms E2 Russet Way</t>
  </si>
  <si>
    <t>TWO STORY</t>
  </si>
  <si>
    <t>Largest unit Overlooking the Courtyard. Nice size Master with a Walk-in closet. Two bedrooms, &amp; one and a Half bathrooms, with attached 1.5 Car garage. Close to everything. Pool, Park, Shopping and Train. Sold As is, No Survey, 100% Tax Pro rations, Buyer Pays all inspections.</t>
  </si>
  <si>
    <t>Park/Playground, Sundeck, Pool-Outdoors, Tennis Court/s, Curbs/Gutters, Sidewalks, Street Lights</t>
  </si>
  <si>
    <t>Call 1-800-746-9464, Easy to show, on Lock Box</t>
  </si>
  <si>
    <t>Co list dennis Gilbert 847-602-6800</t>
  </si>
  <si>
    <t>Go to WWW.HUDHOMESTORE.COM to place bid. Buyers Broker must have NAID# to place bid. Check Eligible Bidder Status &amp; Property condition report. Info should be Verified. Case#137-388186. No one may alter or occupy property unit after closing</t>
  </si>
  <si>
    <t>MONTROSE</t>
  </si>
  <si>
    <t>83 TO MONTROSE, WEST TO 440</t>
  </si>
  <si>
    <t>BEAUTIFUL 2 BDRM, 2 BTH WHISPERING OAKS CONDO W/BALCONY LOCATED IN LOVELY NEIGHBORHOOD. RECENTLY UPDATED, KITCHEN WITH SS APPLIANCES AND GRANITE COUNTER TOPS. BOTH BATHS REDONE IN STONE TILE WITH MAPLE VANITIES AND GRANITE TOPS.  HRDWD AND CERAMIC FLOORS THROUGHOUT. WASHER &amp; DRYER IN UNIT. UNDERGROUND HEATED GARAGE AND STORAGE. NEW FURNANCE -2013. SECURE QUIET BUILDING W/ ELEVATOR. LOCATION CLOSE TO ALL MAJOR X-WAY</t>
  </si>
  <si>
    <t>W A JOHNSON ELEMENTARY SCHOOL</t>
  </si>
  <si>
    <t>2.5%- $ 275 (on Net SP)</t>
  </si>
  <si>
    <t>CALL L.O AFTER 3PM AND WEEKENDS CALL L.A</t>
  </si>
  <si>
    <t>Dariusz Zelazko</t>
  </si>
  <si>
    <t>(847) 322-6360</t>
  </si>
  <si>
    <t>MOTIVATED SELLER</t>
  </si>
  <si>
    <t>75TH STREET TO WASHINGTON, SOUTH TO FOXCROFT, WEST TO 2ND RIGHT. PARK IN SPOTS #174 OR #182.</t>
  </si>
  <si>
    <t>Totally Remodeled In 2008! New Windows &amp; Sliding Glass Door In 2013! Cherry 42"Cabinets, Granite Counters, Stainless Steel Appliances! Brand New Hand Scraped Hardwood Floors On First Floor In 2014!! Plush Friese Carpet. Master Bedroom Walk-In Closet! Handsome Fireplace! Brushed Nichol Lighting! Pool/Clubhouse Community. Located near Riverwalk Extension and PACE bus to train.  Parking spaces #174 and #182 included!</t>
  </si>
  <si>
    <t>Water, Common Insurance, Clubhouse, Pool, Exterior Maintenance, Lawn Care, Snow Removal</t>
  </si>
  <si>
    <t>2.5% LESS $200 (on Net SP)</t>
  </si>
  <si>
    <t>Call Jenna at 630-330-9019 For Appt. Home Is Occupied</t>
  </si>
  <si>
    <t>Joann Coghill, CNC,CSC</t>
  </si>
  <si>
    <t>(630) 675-3800</t>
  </si>
  <si>
    <t>Shows Beautifully!!  Townhomes May Be Rented. Association website with rules/regulations, covenants and by-laws is foxcroftcondos.org.</t>
  </si>
  <si>
    <t>Butterfield</t>
  </si>
  <si>
    <t>307S</t>
  </si>
  <si>
    <t>From Euclid and Butterfield, West to drive. go South to 110 Building</t>
  </si>
  <si>
    <t>5 ACRES EST</t>
  </si>
  <si>
    <t>Senior, Senior Freeze</t>
  </si>
  <si>
    <t>Come see the newly completed face-lift, new cabinets, sinks, faucets, appliances, tiled floors, carpets. Freshly painted! Agent owned listing.</t>
  </si>
  <si>
    <t>Heat, Air Conditioning, Water, Gas, Parking, Common Insurance, Security System, Pool, Exterior Maintenance, Lawn Care, Scavenger, Snow Removal</t>
  </si>
  <si>
    <t>Show and sell. Call LA 630-341-7004. Pick up key at LW Reedy Real Estate 101 N. York.</t>
  </si>
  <si>
    <t>Elizabeth Bogdanowicz</t>
  </si>
  <si>
    <t>(630) 341-7004</t>
  </si>
  <si>
    <t>171 to OGDEN to GROVE</t>
  </si>
  <si>
    <t>Homeowner, Senior Freeze</t>
  </si>
  <si>
    <t>COMMUTERS DELIGHT! WELL KEPT, CHARMER STEPS FROM THE BROOKFIELD METRA TRAIN STATION! TONS OF NEW....NEW AIR CONDITIONER 2011, NEW FURNACE 2012, NEW AWNINGS 2013, NEW BASEMENT OFFICE 2013, NEW STOVE 2014, NEW WINDOWS 2011, NEW ROOF 2011, FULLY REMODELED BATHROOM 2013, NEW SUMP PUMP 2014 AND NEW EXTERIOR SEWER AND MAIN SEWER LINES 2014. SELLERS ARE MOTIVATED BRING YOUR OFFERS!!</t>
  </si>
  <si>
    <t>PLEASE CALL LA, 24 HOUR NOTICE REQUIRED 630-313-9012</t>
  </si>
  <si>
    <t>Connie Burnett</t>
  </si>
  <si>
    <t>Traditional sale, must confirm with Listing Agent. Animals need to be put away. Turn all lights off and return keys to combo box.</t>
  </si>
  <si>
    <t>GLENDALE LAKES</t>
  </si>
  <si>
    <t>SCHMALE TO GOLFVIEW DR E  TO GOLFVIEW CT</t>
  </si>
  <si>
    <t>132X77X101X13</t>
  </si>
  <si>
    <t>Desirable END UNIT, MOVE-IN READY! Best location in Glendale Lakes! 2 story w/cathedral ceilings.  Light bright &amp; airy.  Open floor plan w/large open loft.  Gorgeous views of Golf course &amp; pool.  Double patio &amp; driveway.  Large kitchen w/room for table + breakfast bar.  Master bedroom has private separate bathroom.  HVAC new in 2011. Bonus-floored attic in garage &amp; attic over loft. Master Br will be re-painted white</t>
  </si>
  <si>
    <t>2.5%-325 (on Net SP)</t>
  </si>
  <si>
    <t>CALL SHOWINGTIME 1-800-746-9464</t>
  </si>
  <si>
    <t>Josie Morrison, ABR,CRS,SFR,SRES</t>
  </si>
  <si>
    <t>(630) 781-6383</t>
  </si>
  <si>
    <t>Pembroke</t>
  </si>
  <si>
    <t>BUTTERFIELD MANOR</t>
  </si>
  <si>
    <t>ROOSEVELT TO LAMBERT S TO FAWELL E TO BUTTERFIELD MANOR ENTRANCE-TO SANDHURST TO PEMBROKE W</t>
  </si>
  <si>
    <t>IMPRESSIVE 2ND FLOOR UNIT W/ VAULTED CEILING BOASTS UPDATED KITCHEN (2010) WITH CHERRY SPICE CABINETS, GRANITE COUNTERS, SS APPLIANCES, CERAMIC TILE FLOOR &amp; RECESSED LIGHTING, UPDATED BATH (2014) W/ CUSTOM TILE IN TUB, DOUBLE SINK VANITY &amp; RECESSED LIGHTING. LARGE LIVING / DINING ROOM OPENS TO HUGE BALCONY OVERLOOKING PARK-LIKE AREA, WASHER/DRYER IN UNIT, DIRECT ACCESS TO ATTACHED GARAGE. CLOSE TO COLLEGE OF DUPAGE</t>
  </si>
  <si>
    <t>24X15</t>
  </si>
  <si>
    <t>Aluminum Siding, Brick, Frame</t>
  </si>
  <si>
    <t>USE SHOWING ASSIST OR CALL LISTING OFFICE</t>
  </si>
  <si>
    <t>COLLEEN &amp; MICHEAL NELSON</t>
  </si>
  <si>
    <t>J.W. Reedy Realty</t>
  </si>
  <si>
    <t>(630) 629-0016</t>
  </si>
  <si>
    <t>Jane Beckwith, CNC,CSC</t>
  </si>
  <si>
    <t>(630) 303-8223</t>
  </si>
  <si>
    <t>SELLER WOULD PREFER SHORT NOTICE - SHOWS VERY WELL - PLEASE REMOVE SHOES  - NOT A SHORT SALE OR FORECLOSURE  *2ND BR IS OPENED TO LIVING ROOM.  SELLER WILL ADD FRENCH DOORS OR DRYWALL IF BUYER REQUESTS**</t>
  </si>
  <si>
    <t>King George</t>
  </si>
  <si>
    <t>KINGSWOOD</t>
  </si>
  <si>
    <t>Kirk Rd N of Main St (Rte 64) to Foxfield Rd, E to King Edward, N to King George, E</t>
  </si>
  <si>
    <t>26X79X26X79</t>
  </si>
  <si>
    <t>This sun-filled town home is move-in ready. Updated kitchen w/granite counters &amp; stainless steel appliances. Living rm w/vaulted ceiling, fireplace &amp; skylights. Open floor plan w/French doors to the patio. Main floor study or bkfst rm. Hardwood floors &amp; neutral carpet throughout. Ceramic flrs in baths. Open loft overlooks living rm. Cathedral ceiling in master bedroom. 2nd flr laundry. Full basement ready to finish.</t>
  </si>
  <si>
    <t>NORTON CREEK ELEMENTARY SCHOOL</t>
  </si>
  <si>
    <t>Foyer, Loft, Study</t>
  </si>
  <si>
    <t>2.5% PLUS $500 (on Net SP)</t>
  </si>
  <si>
    <t>Call 855.746.9100 or Use Showing Assist</t>
  </si>
  <si>
    <t>Steven Heilig, GREEN,GRI,SRES</t>
  </si>
  <si>
    <t>(312) 307-1855</t>
  </si>
  <si>
    <t>Rt 34 to Diehl Farm To Cottonwood</t>
  </si>
  <si>
    <t>Great unit with 2 masters!! Family room with fireplace and sliding glass doors to patio open to the kitchen.  Laundry room on second floor convenient to the bedrooms both with full baths. One car garage. Fox Hills Subdivision has walking/bike paths and park. Close to shopping, schools, and major roads.  Ready for a new owner with new carpet. Quick close OK.</t>
  </si>
  <si>
    <t>2.5 -$175 (on Net SP)</t>
  </si>
  <si>
    <t>Realty Executives Success</t>
  </si>
  <si>
    <t>(630) 553-8400</t>
  </si>
  <si>
    <t>Bobbie Soris, ABR,CSC</t>
  </si>
  <si>
    <t>(630) 553-8405</t>
  </si>
  <si>
    <t>MEADOW GREEN</t>
  </si>
  <si>
    <t>rollins north on cedar lake to meadowgreen</t>
  </si>
  <si>
    <t>20X80</t>
  </si>
  <si>
    <t>GORGEOUS TOTALLY REMODELED SPACIOUS TOWNHOUSE. PRIME LOCATION,END UNIT! EVERYTHING IS NEW INCLUDING; MAPLE CABS,ALL APPLIANCES, WASHER &amp; DRYER IN UNIT, PERGO FLRS,CERAMIC TILE FLOORS, CARPET , DOORS, CUSTOM LIGHTING, BATHROOM TILE &amp; VANITIES. CUSTOM DESIGNED FIREPLACE, ALL ROOMS ARE  FRESHLY PAINTED.FEELS LIKE NEW CONSTRUCTION!.MUST SEE IT TODAY. BEST LOOKING TOWNHOUSE IN THE SUBDIVISION!  SEE IT TODAY! WILL NOT LAST</t>
  </si>
  <si>
    <t>Common Insurance, Pool, Exterior Maintenance, Snow Removal</t>
  </si>
  <si>
    <t>2.5% - 299 (on Net SP)</t>
  </si>
  <si>
    <t>EZ CALL CENTRALIZED SHOWING SERVICE 877-977-1010</t>
  </si>
  <si>
    <t>Chel Group Realty</t>
  </si>
  <si>
    <t>(847) 348-0174</t>
  </si>
  <si>
    <t>Alexander Doroshko</t>
  </si>
  <si>
    <t>(847) 452-5584</t>
  </si>
  <si>
    <t>CALL 847-452-5584</t>
  </si>
  <si>
    <t>USE PREFERRED LENDER AND GET UP TO $2500 CLOSING COST CREDIT TO QUALIFIED BUYERS. GO TO WWW.CHELGROUP.COM TO SEE MORE PROPERTIES PRESENTED BY THE CHELGROUP BOTH ACTIVE AND "TO BE COMPLETED" PROJECTS. CUSTOM BUILD AS WELL</t>
  </si>
  <si>
    <t>WOODGLEN</t>
  </si>
  <si>
    <t>PLAINFIELD ROAD EAST OF LEMONT TO WOODGLEN NORTH AND LEFT AFTER STOP SIGN TO BUILDING</t>
  </si>
  <si>
    <t>GORGEOUS TOTALLY RENOVATED LAKE IN THE WOODS CONDO W/HEATED GARAGE SPACE &amp; BALCONY*NEW KITCHEN W GRANITE, CUSTOM MAPLE CABINETS &amp; SS BACKSPLASH*SS APPLIANCES W/SIDE-BY-SIDE REFRIGERATOR*ENGINEERED HARDWOOD FLOORS THROUGHOUT*NEW MODERN BATHROOMS*UPDATED ELECTRIC &amp; PLUMBING FIXTURES*MB W/WALK-IN CLOSET*CLOSET ORGANIZERS*NEW DOORS, TRIM &amp; WINDOW TREATMENTS* FRESHLY PAINTED*BASEMENT STORAGE UNIT*LOW PRICE*IL.BROKER OWNED</t>
  </si>
  <si>
    <t>CALL OR TEXT JOHN OR DIANA @ 630-901-5989, OR 630-607-9628</t>
  </si>
  <si>
    <t>Home Group Properties Co</t>
  </si>
  <si>
    <t>(630) 901-5989</t>
  </si>
  <si>
    <t>John Jakelja</t>
  </si>
  <si>
    <t>Only Cats Allowed- No Dogs! Owner Occupants Only! IL. Broker Owned!</t>
  </si>
  <si>
    <t>KESWICK</t>
  </si>
  <si>
    <t>NIPPERSINK AND WILSON N2 PRAIRIE TRAIL E2 KESWICK COURT TO KESWICK CIRCLE.</t>
  </si>
  <si>
    <t>Great two story end unit has loads of windows filling this beautiful townhome with natural light. First floor open concept makes entertaining a pleasure. Kitchen has an abundance of cabinet and counter space with all Stainless appls. Slider in eating area. First floor powder room and laundry. Large storage closet on second floor.</t>
  </si>
  <si>
    <t>2.5% MINUS 200 (on Net SP)</t>
  </si>
  <si>
    <t>CALL APPT CENTER 866.852.8313</t>
  </si>
  <si>
    <t>Debra Berg, ABR</t>
  </si>
  <si>
    <t>(847) 917-1022</t>
  </si>
  <si>
    <t>IF SHOWING AGENT HAS TROUBLE WITH LOCK BOX CALL AGENT FOR GARAGE CODE.</t>
  </si>
  <si>
    <t>Normandy</t>
  </si>
  <si>
    <t>63rd st to Normandy South to 6455</t>
  </si>
  <si>
    <t>An offer has been accepted by seller. paperwork in process.   Gorgeous modern brick building , flexicore construction. Built in 2004.  5 room 2 Bedroom with 1 car attached garage!. Features   Large Balcony w/storage  Enclosure will be removed- Assn violation Breakfast bar! Large master suite w/private bath. 1 car secure garage parking attached! Additional storage. This is fANNIE MAE.Homepath Property</t>
  </si>
  <si>
    <t>Enclosed Porch</t>
  </si>
  <si>
    <t>Showtime Realty, Inc.</t>
  </si>
  <si>
    <t>(773) 581-3456</t>
  </si>
  <si>
    <t>David Padgurskis</t>
  </si>
  <si>
    <t>Beautiful well managed property. Offer submitted thru Homepath website. Please read tips for selling agents in additional Info. Include LBP in all offers.</t>
  </si>
  <si>
    <t>KINGSBURY</t>
  </si>
  <si>
    <t>HANOVER SQUARE</t>
  </si>
  <si>
    <t>IRVING PK RD EAST OF BARR. RD 2 KINGSBURY N 2 LAST DRIVE</t>
  </si>
  <si>
    <t>Nice Bright Corner Unit, Kitchen has rehabbed cabinets &amp; counter-tops. Updated Bathroom, Laundry room access from kit also clean and painted.   Newer Hardwood and Vinyl flooring. Newer 6 panel doors installed.  Assoc. has replaced roof on building.  Garage is included. Close to variety of shops &amp; Metra. Current tenant is on a Month to Month.</t>
  </si>
  <si>
    <t>3%-$225 (on Net SP)</t>
  </si>
  <si>
    <t>HEWITT</t>
  </si>
  <si>
    <t>Subject to Court Approval. Showing Desk must call and verify appointment with tenant.   Sale subject to â€œProbateâ€ court approval. Approximately 30 day process.</t>
  </si>
  <si>
    <t>We offer the combination of Newer Construction and Gorgeous Views that no one else in the area has to offer. Freshly painted and newly carpeted spacious condo for sale, serene private lake setting, tremendous value, in unit laundry, gas cooking, indoor parking and storage included. Community Features: Club, heated outdoor pool, fitness center, saunas, beach and fire pit.</t>
  </si>
  <si>
    <t>medinahonthelake@gmail.com APPOINTMENT RECOMMENDED Agent on site Fri, Sat and by appointment</t>
  </si>
  <si>
    <t>Investor Closeout!!! FHA, VA &amp; Fannie Freddie Approved!!! Totally warrantable for all loan types and lenders!!!</t>
  </si>
  <si>
    <t>26A</t>
  </si>
  <si>
    <t>I-355 north, Exit Maple Ave, east on Maple Ave</t>
  </si>
  <si>
    <t>ENJOY THIS 2 BED 1 BATH CONDO IN A GREAT LOCATION RIGHT OFF THE HIGHWAY.  55+ COMPLEX, LARGE ROOMS, PATIO LEADING OFF OF BEDROOM, AND MUCH MORE!  ALL INFO IS APPROX AND ESTIMATED.  SOLD AS IS. TAXES ARE PRORATED AT 100%. BUYER RESPONSIBLE FOR SURVEY, TRANSFER STAMPS, INSPECTIONS, UTILITIES AND ESCROWS. ADDENDUMS TO FOLLOW ACCEPTANCE OF OFFER. Subject to HUD Guidelines 24 CFR 206.125. Public Act 94-1049 MAY APPLY</t>
  </si>
  <si>
    <t>Water, Parking, Common Insurance, Security, Exercise Facilities, Lawn Care, Scavenger, Snow Removal</t>
  </si>
  <si>
    <t>PLEASE EMAIL BOBBY@SMITHREO.COM WITH AGENT ID, DATE, AND TIME FOR ACCESS</t>
  </si>
  <si>
    <t>SELLER HAS VERBALLY ACCEPTED AN OFFER 1/22/2015.  PLEASE SUBMIT ALL OFFERS TO OFFERS@SMITHREO.COM / MUST INCLUDE PROOF OF FUNDS &amp; SIGNED REPA DISCLSOURE FORM (ATTACHED IN THE MLS)</t>
  </si>
  <si>
    <t>ROGERS</t>
  </si>
  <si>
    <t>Station Crossing</t>
  </si>
  <si>
    <t>Main Street, North of the RR to Rogers, East to entrance.</t>
  </si>
  <si>
    <t>Perfect location in the Heart of Downtown Downers Grove; Steps to train, shopping &amp; restaurants.  Spacious 1,627 SF of living space, open floor plan has 9ft ceilings, hardwood floors, cherry and granite kitchen, Washer/Dryer In-Unit, huge Master with Walk-In Closet and fancy bath, roomy second bedroom and a Fabulous 800 SF Terrace.  2 heated garage spaces which come at a premium in downtown DG!  This is a must see!</t>
  </si>
  <si>
    <t>48X17</t>
  </si>
  <si>
    <t>Please use Showing Assist. Four Hours preferred.</t>
  </si>
  <si>
    <t>Hubeny Realty Inc</t>
  </si>
  <si>
    <t>(630) 789-8868</t>
  </si>
  <si>
    <t>Joseph Hubeny</t>
  </si>
  <si>
    <t>(773) 255-8864</t>
  </si>
  <si>
    <t>THIS PROPERTY HAS TWO INDOOR HEATED GARAGE PARKING SPACES. ALSO INCLUDES 800 SF TERRACE.</t>
  </si>
  <si>
    <t>Adelaide</t>
  </si>
  <si>
    <t>MUSEUM SQUARE</t>
  </si>
  <si>
    <t>JUST SOUTH OF METRA &amp; 1 BLOCK WEST OF YORK. CORNER OF COTTAGE HILL &amp; ADELAIDE</t>
  </si>
  <si>
    <t>OVER 2000 SQ FT CORNER PENTHOUSE UNIT W/LIV RM &amp; FAM RM W/FP IN BETWEEN. SEP. DINING RM. WHITE KITCHEN W/SKYLIGHT &amp; LOADS OF CABINETS. LARGE MSTER W/HUGE WALK-IN CLOSET &amp; FULL BATH W/SEP SHOWER/TUB, DOUBLE VANITY. BALCONY FACES EAST W/VIEWS OF CHICAGO SKYLINE! WALK TO TRAIN &amp; TOWN. 2 HEATED PARKING SPOTS. DOUBLE OVEN &amp; LOADS OF CABINETS. FRESHLY PAINTED &amp; MOVE IN READY. PRICED WELL FOR SQ FTG &amp; 2 PKG SPOTS NOT TANDEM</t>
  </si>
  <si>
    <t>Elevator, Exercise Room, Storage, Receiving Room, Security Door Locks, Curbs/Gutters, Sidewalks, Street Lights, Street Paved</t>
  </si>
  <si>
    <t>Heat, Water, Gas, Parking, Common Insurance, Security, TV/Cable, Exercise Facilities, Exterior Maintenance, Lawn Care, Scavenger, Snow Removal</t>
  </si>
  <si>
    <t>USE SHOWING ASSIST EASY TO SHOW ON SENTRILOCK (2 KB'S) 1 ON EXTERIOR RAILING &amp; 1 ON UNIT 505</t>
  </si>
  <si>
    <t>Betsy Stavropoulos, CNC</t>
  </si>
  <si>
    <t>(630) 209-7741</t>
  </si>
  <si>
    <t>SPC ASSESMNT PAID BY OWNER. 2 PKG SPOTS EACH W/THEIR OWN PIN # &amp; TAX BILL. TAXES SHOWN R 4 UNIT &amp; PRKNG  SPOTS #'S 15 &amp; 44. OVER 2000 SQ FT. LARGEST MUSEUM SQ. UNIT PLUS TOP FLOOR HAS SKYLIGHT &amp; COOL CITY VIEW! THIS UNIT IS ON THE SE CORNER</t>
  </si>
  <si>
    <t>RANDALL TO SOUTH STREET EAST TO HOME, just past Burger King</t>
  </si>
  <si>
    <t>UPPER</t>
  </si>
  <si>
    <t>Desirable condo development in an excellent location.  Walking distance to a wide variety of shopping/restaurants and has easy access to I90.   Unit has private entrances, vaulted ceilings, fireplace, laundry, huge walk in closet and double doors to a large balcony. 3rd floor offers added privacy and views.  Great opportunity for investors or homeowners.  NOT A SHORT SALE OR FORECLOSURE!</t>
  </si>
  <si>
    <t>2.25% (on Net SP)</t>
  </si>
  <si>
    <t>Use Showing Assist or Text 224-280-8900</t>
  </si>
  <si>
    <t>Suburban Life Realty, Ltd</t>
  </si>
  <si>
    <t>(847) 363-0990</t>
  </si>
  <si>
    <t>Michael Lysien</t>
  </si>
  <si>
    <t>(224) 280-8900</t>
  </si>
  <si>
    <t>MONTGOMERY CROSSINGS</t>
  </si>
  <si>
    <t>Orchard to Galena to Concord to Prescott to Astor</t>
  </si>
  <si>
    <t>48X125</t>
  </si>
  <si>
    <t>Master bedroom with TWO walk-in closets / 2nd bedroom with "only" one walk-in closet / Built-in bookshelves / Eat-in kitchen / First floor laundry room / All appliances are included /  Two car garage / HUGE yard /  One block from elementary school / Easy Access to I88. HURRY!!!</t>
  </si>
  <si>
    <t>Please TEXT LAG for confirmation. Thanks! 630.738.0081</t>
  </si>
  <si>
    <t>Matt Trusk</t>
  </si>
  <si>
    <t>(630) 738-0081</t>
  </si>
  <si>
    <t>Cass to 67th, east to Tall Pines Dr., south to Bristlcone Ct</t>
  </si>
  <si>
    <t>LITERALLY, just move right in! Rarely available sought after Woodlands condo in excellent,spotless,tastefully decorated condition. Vaulted ceilings. Dream eat in kitchen w/cabinets galore to open concept family rm for that perfect entertainment. Sun drenched living rm/dining rm w/fpl. Brand new roof Tree sheltered deck. Convenient same flr washer/dryer.End your day in spa-like master bath!! Come view to appreciate!</t>
  </si>
  <si>
    <t>Balcony, Breakfast Room</t>
  </si>
  <si>
    <t>Appointment required. Call Showing Assist 855-746-9100</t>
  </si>
  <si>
    <t>Beth Tischler</t>
  </si>
  <si>
    <t>(630) 363-4289</t>
  </si>
  <si>
    <t>Some brand new carpeting so please wear booties. Thank you! Buyers agent must accompany all showings.</t>
  </si>
  <si>
    <t>HAWLEY W OF MIDLOTHIAN N ON WOODHAVEN</t>
  </si>
  <si>
    <t>So many upgrades in this ideally located, affordable, two bedroom, 2.1 bath Woodhaven townhome. Newer stainless appliances, granite counters, laminate flooring, brick fireplace w/attractive wood mantle, newer furnace, sliders and ceiling fans are included in this charming home. Walking distance to elementary, high school, library and shopping. Easy drive to train. Low association fees. Subdivision is FHA approved.</t>
  </si>
  <si>
    <t>2.5%-$235 (on Gross SP)</t>
  </si>
  <si>
    <t>Call Listing Office or use Showing Assist</t>
  </si>
  <si>
    <t>Chuck Shattuck</t>
  </si>
  <si>
    <t>(847) 951-6599</t>
  </si>
  <si>
    <t>Schaumburg Rd to Park Blvd N to Shag Bark W</t>
  </si>
  <si>
    <t>Harlem to 63rd St E to Gullikson (7100) N to 6264</t>
  </si>
  <si>
    <t>BEAUTIFUL 3RD FLOOR CONDO NEWLY REFINISHED HARDWOOD FLOORS, IN UNIT LAUNDRY, NEW CARPETING, FRESHLY PAINTED,  1 CAR HEATED GARAGE, ELEVATOR BUILDING, CLOSE TO PUBLIC TRANSPORTATION.</t>
  </si>
  <si>
    <t>UST SHOWING ASSIST</t>
  </si>
  <si>
    <t>First Rate Realty, Inc.</t>
  </si>
  <si>
    <t>(708) 751-0299</t>
  </si>
  <si>
    <t>Natalie Grisco</t>
  </si>
  <si>
    <t>Braeburn</t>
  </si>
  <si>
    <t>Orchard Hills</t>
  </si>
  <si>
    <t>Rt 59 N., (R) on 176 (L) on Fairfield (L) on Gossell (R) on Braeburn (R) to home.</t>
  </si>
  <si>
    <t>Orchard Hills, a community surrounded by a phenomenal forest preserve w/a pond &amp; Millenium riding trails conveniently located in the back yard. Featuring a gorgeous end unit located in a cul-de-sac w/2-stry foyer &amp; living rm, elegant brick Fp,hrdwd flrs,Stunning kit open to dining area w/42"cab,brkfst br,1st flr laundry,2BR,2.1BA,mstr ste w/WIC,dble vanity,sep Jacuzzi &amp; shower,loft/3rd BR,full LL,2-car garage &amp; patio</t>
  </si>
  <si>
    <t>27X18</t>
  </si>
  <si>
    <t>Whirlpool, Separate Shower, Double Sink, Soaking Tub</t>
  </si>
  <si>
    <t>Common Grounds, Cul-de-sac, Landscaped Professionally, Pond, Water View</t>
  </si>
  <si>
    <t>2.5%-$225 (ON NET SP) (on Net SP)</t>
  </si>
  <si>
    <t>Easy, call Showing Times and schedule an appointment at 855-746-9200</t>
  </si>
  <si>
    <t>For more information please feel free to visit www.2050Braeburn.CanBYours.com</t>
  </si>
  <si>
    <t>York Rd to Park Ave East to home. Park in</t>
  </si>
  <si>
    <t>Lovely 2 bedroom 2 bath condo in the heart of Elmhurst! Walk to everything! Crown molding and hardwood floors throughout. 6 paneled doors and great closets throughout unit.  Stainless &amp; Corian kitchen. Master bedroom suite w/full bath &amp; walk-in closet an additional closet &amp; washer and dryer. 2 balconies/patios.Updated baths. Huge storage cage in bsmt. 2 assigned parking spaces.</t>
  </si>
  <si>
    <t>Sentrilock on front railing on North West corner of building. Please remove shoes.</t>
  </si>
  <si>
    <t>BOND</t>
  </si>
  <si>
    <t>NORTH AURORA RD TO TUDOR, N TO GOWDY, W TO BOND</t>
  </si>
  <si>
    <t>Brick duplex, one story home. Maintenance-free exterior including lawn care and snow removal.  Large master suite w/tub and separate shower, raised vanity w/dual sinks and walk-in closet. Great room with abundance of windows and built-ins surrounding gas fireplace. Office or 3rd bedroom and large laundry room. 2 car garage and bsmt w/bath rough-in. No occupants under 18 may live permanently in complex.</t>
  </si>
  <si>
    <t>22X19</t>
  </si>
  <si>
    <t>Unfinished, Crawl, Bathroom Rough-In</t>
  </si>
  <si>
    <t>Clubhouse, Exercise Facilities, Exterior Maintenance, Lawn Care, Snow Removal</t>
  </si>
  <si>
    <t>Security System, Fire Sprinklers, CO Detectors, Sump Pump</t>
  </si>
  <si>
    <t>EASY TO SHOW-CALL HELEN @630-975-5484</t>
  </si>
  <si>
    <t>Cell 630-975-5484</t>
  </si>
  <si>
    <t>Cermak</t>
  </si>
  <si>
    <t>EAST OF WOLF OR WEST OF MANNHEIM, PARK REAR OF BLDG.</t>
  </si>
  <si>
    <t>RARE GEM!! MUST SEE!!  IMMACULATELY MAINTAINED &amp; EXCEPTIONALLY CLEAN IN 4 UNIT BLDG.  RARELY AVAILABLE 2 BEDROOM, 2 BATH CONDO. EAT-IN-KITCHEN PLUS DINING ROOM. SPACIOUS LIVING ROOM, GENEROUS MASTER BEDROOM WITH BATH.  HUGE SHARED BASEMENT FOR LAUNDRY &amp; STORAGE.  DETACHED GARAGE PLUS ONE PARKING SPACE. LARGE COMMON COURTYARD.  HIGHLY SOUGHT AFTER COMMUNITY!! PRICED TO SELL.</t>
  </si>
  <si>
    <t>CALL LA 630-747-8475. PARK REAR OF BLDG. SPACE 2W. SENRTYLOCK REAR RAILING</t>
  </si>
  <si>
    <t>Joyce Madsen-Kulek</t>
  </si>
  <si>
    <t>(630) 747-8475</t>
  </si>
  <si>
    <t>PARKING SPACE 2W. SENTRILOCK REAR DOOR RAILING.  SHOW BASEMENT W/D &amp; STORAGE. SEPARATE KEY HARDWOOD UNDER CARPETING</t>
  </si>
  <si>
    <t>M</t>
  </si>
  <si>
    <t>OLIVE TREES</t>
  </si>
  <si>
    <t>WASHINGTON ST, E ON BAILEY, S TO OLIVE TREES</t>
  </si>
  <si>
    <t>VIEW THE CENTER COURTYARD &amp; POOL FROM YOUR LIVING ROOM &amp; BOTH BEDROOMS ** FRESH AND OPEN INTERIOR LIVES LARGE ** NEW PAINT THROUGHOUT 2015 ** CARPET NEW 2015 ** CERAMIC BATH &amp; POWDER ROOM ** FULLY EQUIPPED KITCHEN ** IMMACULATE &amp; BRIGHT COIN LAUNDRY IN LOWER LEVEL ** POOL, CLUBHOUSE, TENNIS &amp; PLAYGRD ** WALK TO DT NAPERVILLE ALONG THE RIVERWALK ** PRISTINE MOVE-IN CONDITION ** INVESTORS WELCOME</t>
  </si>
  <si>
    <t>SCOTT ELEMENTARY SCHOOL</t>
  </si>
  <si>
    <t>MADISON JUNIOR HIGH SCHOOL</t>
  </si>
  <si>
    <t>Coin Laundry, Park/Playground, Party Room, Pool-Outdoors, Tennis Court/s, Curbs/Gutters, Street Lights, Street Paved</t>
  </si>
  <si>
    <t>E-MAIL OFFERS TO BILL@REALESTATEBILL.COM</t>
  </si>
  <si>
    <t>Willey</t>
  </si>
  <si>
    <t>GILBERTS TOWN CENTER</t>
  </si>
  <si>
    <t>RT 72 W of Randall 2 Center N 2 TownCenter Left 2 Willey</t>
  </si>
  <si>
    <t>BEAUTIFUL HOME WITH VIEW! 2bd/2.1bth plus loft &amp; office. Spacious kitchen w/island &amp; breakfast area. Balcony off of kitchen. Large master bedroom, walk-in closet, upgraded bathroom with deep soaking tub. Finished basement with office, laundry room, and mud room. New carpet, hardwood &amp; neutral paint. Close to Metra, I-90, shopping. All appliances, refrigerator plus washer/dryer included. FHA&amp;VA approved</t>
  </si>
  <si>
    <t>Full Body Spray Shower, Soaking Tub</t>
  </si>
  <si>
    <t>Eating Area, Loft, Office</t>
  </si>
  <si>
    <t>Call 1.855.746.9100 M-Sat 8am-9pm/Sun 8am-6pm</t>
  </si>
  <si>
    <t>Jennifer Nardone</t>
  </si>
  <si>
    <t>(916) 316-9938</t>
  </si>
  <si>
    <t>FHA and VA approved.</t>
  </si>
  <si>
    <t>Kenilworth Park</t>
  </si>
  <si>
    <t>3St. Charles Road to Villa south to Kenilworth turn right 2 blocks down on right side of street</t>
  </si>
  <si>
    <t>Turn key, fully furnished townhome. Originally the builders model with everything upgraded, hardwood floors , kitchen has 42 inch maple full overlay cabinets, upper and lower buffet cabinets and island. Granite countertops, stainless appliances, Plantation shutters. Upgraded carpeting, built in book case and window seat, deluxe master bath. Gas Fireplace. Security cameras and alarm system. Heated 2 car garage.</t>
  </si>
  <si>
    <t>Eating Area-Breakfast Bar, Eating Area-Table Space, Island, Pantry-Butler</t>
  </si>
  <si>
    <t>Humidifier, TV-Cable, Security System, Fire Sprinklers</t>
  </si>
  <si>
    <t>CALL LISTING OFFICE OR USE SHOWINGASSIST</t>
  </si>
  <si>
    <t>Frank Ward</t>
  </si>
  <si>
    <t>Jean Reedy Baren, CRS,SFR</t>
  </si>
  <si>
    <t>(630) 732-1115</t>
  </si>
  <si>
    <t>Beautifully furnished, previously a model. Wants to sell fully furnished.</t>
  </si>
  <si>
    <t>Brant</t>
  </si>
  <si>
    <t>Bethany Rd  W of 1st to Sangamon*Left on Spruce*Right on Brant OR Annie Glidden N 2 Bethany*E 2 Sang</t>
  </si>
  <si>
    <t>41 X 77</t>
  </si>
  <si>
    <t>Significant price drop~NEW CARPET~Regular Sale~Quick close! Check out this awesome ranch townhome with open floor plan, full basement, screened porch, stainless appliances, vaulted ceilings, fireplace, 2 full baths (plus roughed in bath in English basement), hardwood floors and 1st floor laundry.  Convenient location:  Close to grade school and easy access to NIU &amp; I-88.  Best value in the neighborhood! A must see!</t>
  </si>
  <si>
    <t>GWENDOLYN BROOKS ELEMENTARY SCHOOL</t>
  </si>
  <si>
    <t>CLINTON ROSETTE MIDDLE SCHOOL</t>
  </si>
  <si>
    <t>DE KALB HIGH SCHOOL</t>
  </si>
  <si>
    <t>6X15</t>
  </si>
  <si>
    <t>Eating Area, Enclosed Porch, Foyer, Utility Room-1st Floor</t>
  </si>
  <si>
    <t>Call CSS 877-977-1010 Appt. Must be confirmed (dogs) M-F 24 hour notice is best.</t>
  </si>
  <si>
    <t>Royal Real Estate of IL, LLC</t>
  </si>
  <si>
    <t>(630) 377-1114</t>
  </si>
  <si>
    <t>Kathy Peine</t>
  </si>
  <si>
    <t>(630) 460-8245</t>
  </si>
  <si>
    <t>cell:  630-460-8245</t>
  </si>
  <si>
    <t>Must be confirmed because of dogs. Monday -Friday day before notice helps. Weekends just needs to be confirmed. Custom drapes in dining area do not stay. This is a regular sale. Best Value in the neighborhood! Motivated Sellers.</t>
  </si>
  <si>
    <t>Grosvenor</t>
  </si>
  <si>
    <t>Roosevelt to Adare Drive South to Kilkenny East to first drive</t>
  </si>
  <si>
    <t>Wonderful 2 bedroom, 1 1/2 bath first floor ranch style condo w/a 2 car attached garage.  You enter your unit direct from garage which is a big plus. You can move right in as everything has been freshly painted, new carpeting installed &amp; new counter tops too. This unit is located on the quiet side NOT backing to Roosevelt. There is a over sized patio with a privacy fence for your added enjoyment.In unit laundry too.</t>
  </si>
  <si>
    <t>Condo, Manor Home/Coach House/Villa, Ground Level Ranch</t>
  </si>
  <si>
    <t>easy to show, call or click showing time 800-379-0057</t>
  </si>
  <si>
    <t>Karen Gresk Living Trust</t>
  </si>
  <si>
    <t>very clean nice unit on best side of the street and a 2 car garage!</t>
  </si>
  <si>
    <t>PHEASANT</t>
  </si>
  <si>
    <t>PHEASANT TRAILS</t>
  </si>
  <si>
    <t>RT 64 TO SMITH RD, N TO PHEASANT TRAIL</t>
  </si>
  <si>
    <t>OUTSTANDING SPOT IN POPULAR PHEASANT RUN TRAILS...THIS END-UNIT TOWNHOME FEATURES 2 FIREPLACES, 2 FULL BATHS AND A BIG 2 CAR GARAGE! HOME HAS JUST BEEN COMPLETELY REPAINTED AND ALL BRAND NEW CARPETING INSTALLED. CONVENIENT TO THE GRADE SCHOOL AND ALL SHOPPING. LOFT COULD BE CONVERTED TO 3RD BEDROOM IF NEEDED. OWNERS HATE TO LEAVE THIS HOME BUT JOB RELOCATION REQUIRES MOVE. PRICED RIGHT WITH COMPETITION, OWNERS READY.</t>
  </si>
  <si>
    <t>24X23</t>
  </si>
  <si>
    <t>CO Detectors, Ceiling Fan, Air Cleaner</t>
  </si>
  <si>
    <t>CHARLES</t>
  </si>
  <si>
    <t>Maxfield VanDeMark</t>
  </si>
  <si>
    <t>TRULY ALL NEW CARPET AND ENTIRE HOME PAINTED</t>
  </si>
  <si>
    <t>Rt 23 N to East Dresser, E to Cambria</t>
  </si>
  <si>
    <t>GARNET</t>
  </si>
  <si>
    <t>41X111</t>
  </si>
  <si>
    <t>Lovely Garnet model ranch duplex situated on a premium lot nestled up to a wooded nature area. Features 2 large bedrooms with 2 full baths, 9 ft ceilings and gas start fireplace. The bright eat-in kitchen comes fully applianced. Home is freshly painted throughout and carpets have all been cleaned. Association is responsible for lawn care and snow removal.</t>
  </si>
  <si>
    <t>Bronoski</t>
  </si>
  <si>
    <t>Century 21 Elsner Realty</t>
  </si>
  <si>
    <t>(815) 756-1691</t>
  </si>
  <si>
    <t>Linda Tillis</t>
  </si>
  <si>
    <t>(815) 751-3159</t>
  </si>
  <si>
    <t>815-751-3159</t>
  </si>
  <si>
    <t>Freshly painted throughout</t>
  </si>
  <si>
    <t>COACH</t>
  </si>
  <si>
    <t>Naper Blvd south to Bailey. West on Bailey to Coach. South on Coach</t>
  </si>
  <si>
    <t>A RARE FIND, INDEED! RANCH TOWNHOME WITH EXPANSIVE FINISHED BASEMENT THAT ESSENTIALLY DOUBLES THE SQUARE FOOTAGE! OPEN FLOOR PLAN AND VAULTED CEILINGS. FABULOUS LIGHT STREAMING IN FROM END UNIT WINDOWS AND SKYLIGHTS MAKE EVEN WINTER A DELIGHT! THE VIEW FROM THE REAR, OVERLOOKING THE LAKE, WILL BE A CALMING EXPERIENCE EVERY DAY, EVERY SEASON! YOUR PATIENCE HAS PAID OFF.. THIS IS THE ONE YOU HAVE BEEN LOOKING FOR!</t>
  </si>
  <si>
    <t>2.5 - $200 (on Net SP)</t>
  </si>
  <si>
    <t>Jani Burke</t>
  </si>
  <si>
    <t>(630) 828-7090</t>
  </si>
  <si>
    <t>630-828-7090</t>
  </si>
  <si>
    <t>This really shows great! I look forward to working with you!</t>
  </si>
  <si>
    <t>McClure</t>
  </si>
  <si>
    <t>PRAIRIE POINT</t>
  </si>
  <si>
    <t>Farnsworth to Reckinger E to McClure N</t>
  </si>
  <si>
    <t>Short sale, only one mortgage, application is in bank just needs your offer.... Truly a turnkey home and a great investment opportunity! All new carpet and paint, very very clean throughout! Great for commuters, right next to 88 and the outlet mall! Home is very well taken care of, MOVE RIGHT IN!</t>
  </si>
  <si>
    <t>2.5%- $250 (on Gross SP)</t>
  </si>
  <si>
    <t>email co-lister @ mikelenzremax@yahoo.com- 2 Hrs notice preferred.</t>
  </si>
  <si>
    <t>CC: Pursuant to Short Sale. Owner is actively working with the bank, home shows great! Bring us your offers.</t>
  </si>
  <si>
    <t>Avenue L</t>
  </si>
  <si>
    <t>112th St.  to Avenue  L - south to Address</t>
  </si>
  <si>
    <t>26X124</t>
  </si>
  <si>
    <t>2 Bedroom, 1 Bath 2 story Brick and Sided Townhouse with a 2 Car detached Garage. Features Hardwood Floors, separate Dining Room, Family Room and a full finished Basement. This is a Fannie Mae HomePath Property. Near Dining, Shopping, Schools and Transportation.</t>
  </si>
  <si>
    <t>â€œThe Seller has directed that all offers on this listing be made using the HomePath Online Offer System at www.Homepath.comâ€.  All Owner Occupants must complete attached Owner Occupant Cert. See Attachments.</t>
  </si>
  <si>
    <t>87th st to waterleaf, right on Rutland , Right on Sheehan, Right by the GYPSUM Street sign.</t>
  </si>
  <si>
    <t>Beautifully rehabbed 2 bedrooms, 2 baths, lower level unit with vaulted ceilings which means, nobody lies above you. New flooring thru out, brand new stainless steel appliances, glass tiles backsplash in the kitchen, granite in the bathrooms, 1 car attached garage. A MUST SEE! 100% Taxes.</t>
  </si>
  <si>
    <t>RTTA Investment Group, INC.</t>
  </si>
  <si>
    <t>Tina Jagshi</t>
  </si>
  <si>
    <t>(630) 303-7731</t>
  </si>
  <si>
    <t>Accepting back ups only</t>
  </si>
  <si>
    <t>HUNT</t>
  </si>
  <si>
    <t>59 N OF MILLER RD TO GUARD GATE ASK DIRECTIONS</t>
  </si>
  <si>
    <t>KIMBALL</t>
  </si>
  <si>
    <t>END UNIT, RANCH TOWNHOME! TWO BEDROOMS, VAULTED CEILINGS IN LIVING ROOM, LAMINATE FLOORS IN LIVING AND DINING, FULL FINISHED BASEMENT, FIREPLACE IN LIVING ROOM AND FIREPLACE IN FAMILY ROOM. NICE PATIO AREA IN BACK. CLOSE TO SCHOOLS, SHOPPING AND PARKS.</t>
  </si>
  <si>
    <t>Exercise Room, On Site Manager/Engineer, Pool-Indoors, Pool-Outdoors, Tennis Court/s, Gated Entry, Street Lights, Street Paved</t>
  </si>
  <si>
    <t>Water, Common Insurance, Security, TV/Cable, Clubhouse, Exercise Facilities, Pool, Exterior Maintenance, Lawn Care, Scavenger, Snow Removal</t>
  </si>
  <si>
    <t>Please call 855-SHOW-200 (855) 746-9200 or click the online Schedule a Showing Icon</t>
  </si>
  <si>
    <t>PROPERTY BEING SOLD SUBJECT TO 24 CFR 206.125.See disclosure in addl info.Submit offers to offers@dkhometeam.com.Buyer responsible for turning on all utilities in their name for inspection &amp; appraisal purposes.HB DUE 1/14 @ 9am.Include form</t>
  </si>
  <si>
    <t>La Londe</t>
  </si>
  <si>
    <t>Lake St to Mill S to Diversey W to Lalonde</t>
  </si>
  <si>
    <t>FLAGSTONE</t>
  </si>
  <si>
    <t>SILVERSTONE LAKE</t>
  </si>
  <si>
    <t>Rte 25 S of Algonquin to Silverstone;West to Flagstone;N</t>
  </si>
  <si>
    <t>Perfect starter, potential need for downsize or even an investment - kitchen offers SS appliances, oak cabinets w/ hardware, new completed back splash, double sink &amp; eating area. Main level 9' ceilings, beautiful new laminate flooring &amp; fully updated powder room. Upper level offers carpeting, large master, plenty of counter space for bathroom, laundry, 2nd bedroom &amp; loft perfect for reading, sitting or even guests</t>
  </si>
  <si>
    <t>MEADOWDALE ELEMENTARY SCHOOL</t>
  </si>
  <si>
    <t>CARPENTERSVILLE MIDDLE SCHOOL</t>
  </si>
  <si>
    <t>Park/Playground, Curbs/Gutters, Sidewalks, Street Paved</t>
  </si>
  <si>
    <t>TV-Dish, CO Detectors, Ceiling Fan</t>
  </si>
  <si>
    <t>2.75% - $200 (on Gross SP)</t>
  </si>
  <si>
    <t>Buy It Inc</t>
  </si>
  <si>
    <t>(224) 699-2600</t>
  </si>
  <si>
    <t>Eric Terlecki</t>
  </si>
  <si>
    <t>(224) 699-2605</t>
  </si>
  <si>
    <t>Traditional sale! All offers welcome - send to ericterlecki1@aol.com. Disclosures in attachments. Call or text 630-675-4061.</t>
  </si>
  <si>
    <t>Oakwood Hills</t>
  </si>
  <si>
    <t>RT 19 W OF SHALES PKWY S TO WOODVIEW</t>
  </si>
  <si>
    <t>Beautiful light &amp; bright 2 bedroom, 2 bath 1st floor unit. Large master suite with spacious walk-in closet &amp; private bath. Freshly painted, new carpet throughout, new refrigerator, microwave, hot water heater &amp; new light fixtures including recessed lighting in living room. Newer front load washer/dryer. Plenty of privacy &amp; gorgeous wooded views from your back yard!  Just move in &amp; enjoy!</t>
  </si>
  <si>
    <t>Oven/Range, Microwave, Dishwasher, Refrigerator, High End Refrigerator, Washer, Dryer</t>
  </si>
  <si>
    <t>Call CSS 877-977-1010 for showings</t>
  </si>
  <si>
    <t>(815) 459-9300</t>
  </si>
  <si>
    <t>Georgia Dugo</t>
  </si>
  <si>
    <t>(815) 861-4324</t>
  </si>
  <si>
    <t>Daren.Walsh@coldwellbanker.com</t>
  </si>
  <si>
    <t>Nice unit w/many new features! Air ducts/dryer vent recently cleaned, HVAC regularly maintained (seller has maintenance agreement w/NICOR). Living Room wall painted with projector paint for tv. Show with confidence!  Quick close possible.</t>
  </si>
  <si>
    <t>5S575</t>
  </si>
  <si>
    <t>PAXTON</t>
  </si>
  <si>
    <t>Willowbend</t>
  </si>
  <si>
    <t>RT 59 (JUST S. OF I88) TO  BRUCE W. TO SCOTS S TO  PAXTON</t>
  </si>
  <si>
    <t>North Naperville 2nd Floor Condo. Mins to I88, Train, &amp; Mall. Elevated tiled foyer. Large sunny LR/DR. LR has corner gas start fireplace &amp; full wall of windows to the deck. NEW CARPET installed 2015 !! Remodeled full bath w/ ceramic tile &amp; 2 sinks opens to the Master BR &amp; hallway. Sep Laundry Rm. Interior Lot. NEW STAINLESS appliances in kitchen 2015 (with s 4 year warranty).</t>
  </si>
  <si>
    <t>Oven/Range, Microwave, Dishwasher, Dryer, Disposal</t>
  </si>
  <si>
    <t>The keys in the lockbox have letters on them. F front door. U the actual unit. B is the upper bolt on the unit door. G is for the garage. Damage on the garage is to be repaired in the spring by the assoc..when the weather improves.</t>
  </si>
  <si>
    <t>RT 31 (N OF HUNTLEY RD); SPRING POINT (W); SPRING COURT (RGHT/WEST)</t>
  </si>
  <si>
    <t>GREAT UNIT W/PRIVATE SERENE WOODED YARD. LOCATION COMPLEX WITH GREAT YARD THAT BACKS TO WOODS. SUN FILLED &amp; READY TO MOVE INTO! ALL APPLIANCES STAY, W/B FIREPLACE &amp; VAULTED CEILING IN L/R, OAK CABINETRY THROUGHOUT UNIT, THERE S EVEN OAK DOORS &amp; TRIM!  TWO GENEROUS SIZED B/R'S! SO MANY CLOSETS FOR TONS OF STORAGE! LOCATED NEAR POOL. NEWER APPLIANCES &amp; HEATING A/C 5YRS OLD.  CLOSE TO MALL SHOPPING &amp; EXPRESSWAYS!!!</t>
  </si>
  <si>
    <t>Park/Playground, Party Room, Pool-Indoors, Curbs/Gutters, Sidewalks, Street Lights, Street Paved</t>
  </si>
  <si>
    <t>2.5% - $250 MLS FEE (on Net SP)</t>
  </si>
  <si>
    <t>Call Carrie Prodhan 847-337-1674</t>
  </si>
  <si>
    <t>Jack Domanski, BPOR,SFR</t>
  </si>
  <si>
    <t>(847) 337-5694</t>
  </si>
  <si>
    <t>847-337-1674</t>
  </si>
  <si>
    <t>Please call Carrie Prodhan with any and all questions or email carrie.prodhan2411@gmail.com</t>
  </si>
  <si>
    <t>County Line Rd to 79th St W to Garfield S on Garfield to 8098. Across from Pine Tree</t>
  </si>
  <si>
    <t>Rarely available updated second floor unit with a front and a rear balcony. Updated kitchen w/ cherry cabinets, includes all appliances &amp; In unit washer/dryer.  Master Bedroom has its own bathroom and walk in closet.2.5 car heated garage.  There is a large storage closet located on the front balcony.</t>
  </si>
  <si>
    <t>05X09</t>
  </si>
  <si>
    <t>Pool-Outdoors, Security Door Locks, Street Lights, Street Paved</t>
  </si>
  <si>
    <t>2.5%-$325 ON NET SP (on Net SP)</t>
  </si>
  <si>
    <t>PLEASE CONTACT LISTING AGENT Text or Call NConteduca@JamesonSir.com OR 708.906.9339</t>
  </si>
  <si>
    <t>Jameson Sotheby's International Realty</t>
  </si>
  <si>
    <t>Nicholas Conteduca</t>
  </si>
  <si>
    <t>The owner is willing to sell any of the furniture, if your client is interested please let me know.</t>
  </si>
  <si>
    <t>COLUMBINE GLEN</t>
  </si>
  <si>
    <t>North Ave West, Left to 53S, Rt turn to Glenwood Ln to 615</t>
  </si>
  <si>
    <t>DELTA</t>
  </si>
  <si>
    <t>Sunny, wooded, private end unit w/vaulted ceilings in LR, MBR &amp; Loft. HDWD flrs in LR w/FPL &amp; DR. Great 23x20 wood deck for entertainment. Open kitchen w/SS appls, granite counters, recessed sink, closet pantry, separate eat-in. MBR suite w/walk-in &amp; extra 2 closets, MBA w/vaulted celng, dbl sink, soaking tub, sep shwr. Open Loft/office area with contemp furnishing overlooks LR and lawn trees. Full BSMT w/new carpet</t>
  </si>
  <si>
    <t>Bike Room/Bike Trails, Street Lights, Street Paved</t>
  </si>
  <si>
    <t>Corner, Wooded</t>
  </si>
  <si>
    <t>Breakfast Room, Loft, Office</t>
  </si>
  <si>
    <t>TV-Cable, Security System, Fire Sprinklers, CO Detectors, Ceiling Fan, Sump Pump</t>
  </si>
  <si>
    <t>Purkayastha, Sidd &amp; Sujatha</t>
  </si>
  <si>
    <t>FAX OFFERS TO LIST OFFICE 773-472-8988  PRELLO DOES NOT HOLD EARNEST MONEY.</t>
  </si>
  <si>
    <t>Kimbark</t>
  </si>
  <si>
    <t>Marquette (66th St.) to Kimbark. Go 1 way S to Woodbark</t>
  </si>
  <si>
    <t>Great opportunity! Newer construction 2 bedroom condo with 2 full baths. Kitchen with breakfast bar open to the living room.  SOLD AS-IS. SUBMIT EARNEST MONEY AS CERTIFIED FUNDS. PROVIDE PROOF OF FUNDS OR PRE-APPROVAL. INFORMATION NOT GUARANTEED. TAX PRORATION 100%.AS-IS. FIRST LOOK INITIATIVE FOR OWNER OCCUPANTS ONLY THROUGH 02/02/2015</t>
  </si>
  <si>
    <t>25X18</t>
  </si>
  <si>
    <t>2.5% OR MIN $1500 (WHICHEVER IS GREATER) (on Net SP)</t>
  </si>
  <si>
    <t>Freddie Mac / HomeSteps</t>
  </si>
  <si>
    <t>Pearson Realty Group</t>
  </si>
  <si>
    <t>(773) 325-2800</t>
  </si>
  <si>
    <t>Kirby Pearson</t>
  </si>
  <si>
    <t>(773) 325-2800x101</t>
  </si>
  <si>
    <t>CASH ONLY. PLUMBING DAMAGE IN BATHROOM. VISIT ADDITIONAL INFO FOR SELLER FORMS/SUBMIT OFFERS to http://goo.gl/gkfU0I (copy &amp; paste the link) /SEE HOMESTEPS.COM FOR PROMOS/SEE ALL ATTACHED FORMS</t>
  </si>
  <si>
    <t>Henley  Lot#411.02</t>
  </si>
  <si>
    <t>Brand NEW "Mayfair" Extension Of Naperville~ Gorgeous 2 Story Great Room! 9' Ceilings On Main Level 1st Flr Ldy + Deck Off Brkfst Area. 2 Master Baths with the Alternative Upper Floor Plan Stained Railings &amp; Spindles. 30 Year Transferable Builder Warranty.  Awesome 204 Schools! Close To Shopping ~~ Photo's Of Addison Model Home Subject Ready Spring 2015.</t>
  </si>
  <si>
    <t>Please call the Community 630-857-9180 or use Showing Assist</t>
  </si>
  <si>
    <t>Agent must accompany buyers on first visit. Please register with Marty, call cell with any questions 847-338-9635. Commission paid on base price.</t>
  </si>
  <si>
    <t>Modaff</t>
  </si>
  <si>
    <t>C12</t>
  </si>
  <si>
    <t>Washington to 75th St West to Modaff to property</t>
  </si>
  <si>
    <t>***HIGHEST AND BEST DUE 11 /25/13 AT 9:00 AM !!!  Gorgeous condo community!   2 bed room 2 bath condo located on the 3rd floor - this home will not last! This unit can be rented -</t>
  </si>
  <si>
    <t>Water, Gas, Clubhouse, Exercise Facilities, Pool, Exterior Maintenance, Lawn Care, Scavenger</t>
  </si>
  <si>
    <t>USE SHOWING ASSIST OR CALL 800-746-9464</t>
  </si>
  <si>
    <t>CC: Pursuant to Short Sale. Short Sale - Please allow time for bank to respond - property sold as is-  no survey - 3rd party approval required- Commission may be nogociated by lender, if so 50/50 split.</t>
  </si>
  <si>
    <t>South Shore</t>
  </si>
  <si>
    <t>4AK</t>
  </si>
  <si>
    <t>Corner of 67th Street and South Shore Drive</t>
  </si>
  <si>
    <t>GREAT LOCATION! BEAUTIFUL VIEWS! Two units must be sold together. 4A is a two bedroom two bathroom unit with floor to ceiling windows that over look lake michigan. 4K is a studio. property is eligible under the Freddie Mac First Look Initiative through 01/12/2014. There is a permanent injunction and judgment against the HOA for violations. Must bring into compliance by 7/30/17. 2ND PIN 20244060261021. CASH ONLY</t>
  </si>
  <si>
    <t>Heat, Water, Common Insurance, Doorman, Exercise Facilities, Lawn Care, Snow Removal</t>
  </si>
  <si>
    <t>America Real Estate</t>
  </si>
  <si>
    <t>(773) 735-4400</t>
  </si>
  <si>
    <t>Sonia Anaya</t>
  </si>
  <si>
    <t>EMAIL OFFERS TO ARCE0417@YAHOO.COM Offers MUST include: Cover Sheet, Addendum, and Preapproval/POF. AS-IS SALE. TAXES PRORATED AT 100%. EARNEST MONEY MUST BE CASHIER'S CHECK (no personal check or money order) CASH ONLY OFFERS.</t>
  </si>
  <si>
    <t>ESSINGTON</t>
  </si>
  <si>
    <t>Rte 120 to Curran Rd, S into Essington, L to home on right</t>
  </si>
  <si>
    <t>37X98</t>
  </si>
  <si>
    <t>Look what we've got - BASEMENT - yes that's right, it's a full basement! Rarely seen in highly desirable Bradford Place.  Better than new condition, this home is freshly decorated and ready for any white glove inspection.  Look at the room sizes! So much and all at this incredibly low affordable price.  All the appliances are here! Separate laundry room. 2 car garage. Great cozy kitchen with nice table space.</t>
  </si>
  <si>
    <t>PARK SCHOOL WEST</t>
  </si>
  <si>
    <t>Century 21 Market Place, Ltd.</t>
  </si>
  <si>
    <t>(847) 949-7100</t>
  </si>
  <si>
    <t>Steve Kovac, CRB,CRS,GRI</t>
  </si>
  <si>
    <t>(847) 702-8700</t>
  </si>
  <si>
    <t>847-702-8700 OR 8701</t>
  </si>
  <si>
    <t>Rare opportunity - Bradford Place + full basement + freshly painted = outstanding value. See it now or be sorry!</t>
  </si>
  <si>
    <t>WESTERN TRAILS</t>
  </si>
  <si>
    <t>GARY S OF LIES TO ELK TRAIL W</t>
  </si>
  <si>
    <t>GREAT TWO BEDROOM CONDO WITH FULL KITCHEN. THIS PROPERTY OFFERS A BALCONY OFF THE LIVINGROOM AND ALL APPLIANCES. WATER BILL INCLUDED WITH THE HOA! THIS IS A FANNIE MAE HOMEPATH PROPERTY. NO RENTALS PER THE HOA.</t>
  </si>
  <si>
    <t>Tennis Court/s</t>
  </si>
  <si>
    <t>Heat, Water, Parking, Common Insurance, Exterior Maintenance, Lawn Care, Snow Removal</t>
  </si>
  <si>
    <t>SentryLock. Go and show. NO RENTALS PER THE HOA. CALL 630-560-1001 OR EMAIL CARMEN@ILREP.COM</t>
  </si>
  <si>
    <t>USE UPLOADED DOCS! QUICK CLOSING POSSIBLE. THE HOA HAS A DISCLOSURE UPLOADED HERE. READ IT BEFORE MAKING AN OFFER. â€œThe seller has directed that all offers on this listing must be made online on HomePath.com</t>
  </si>
  <si>
    <t>Jackson</t>
  </si>
  <si>
    <t>Mannheim N/S to Jackson, East to Home</t>
  </si>
  <si>
    <t>WOW PRICE CHANGE! Great 2 bedroom/1 bathroom home in a great location! Spacious rooms, spacious patio, PLUS a basement! Priced to sell, this one won't last! Case # 131-867467. Property listed UI. Evidence of possible mold.  Sold as is. Equal Housing Opportunity</t>
  </si>
  <si>
    <t>Case #131-867467. Up to 3% co-op. Offers submitted online hudhomestore.com must be registered and have NAID . online bidding info/ details at www.oforireo.com. HUD OWNED. any questions email fsrhomes@aol.com Sold as is.</t>
  </si>
  <si>
    <t>US 30 to Wolf (west) to 1st right to Valentine</t>
  </si>
  <si>
    <t>APPROVED SHORT SALE WITH 1 LENDER.  MAINTENANCE FREE GROUND LEVEL END UNIT RANCH WITH GREAT CURB APPEAL.  ATTACHED 2 CAR GARAGE. MASTER BEDROOM WITH WALK IN CLOSET AND PRIVATE BATH.  SLIDING GLASS DOORS TO PRIVATE COVERED PATIO.  UNIT IS ONE LEVEL WITHOUT STAIRS.  UNIT SOLD AS IS SHORT SALE.  ONE MORTGAGE.  PLEASE SEE SHOWING ASSIST AND CALL LISTING AGENT TO SCHEDULE.  EASY TO SHOW.</t>
  </si>
  <si>
    <t>MUST CALL LISTING AGENT to schedule showing-read all in showing assist</t>
  </si>
  <si>
    <t>630-710-2550</t>
  </si>
  <si>
    <t>CC: Pursuant to Short Sale. SHORT SALE IS APPROVED WITH 1 MORTGAGE AND GOOD LENDER.  SOLD AS IS ONLY.  COMPLEX HAS BEEN ON FHA/VA APPROVED LIST-VERIFY FOR YOUR BUYERS.  PLEASE ALLOW TIME TO SCHEDULE SHOWINGS.  SEE SHOWING ASSIST.</t>
  </si>
  <si>
    <t>Fox Ridge</t>
  </si>
  <si>
    <t>Rt. 12 to Frontage to Fox Ridge Dr.</t>
  </si>
  <si>
    <t>Approved short sale at list price ready to close October 3rd or later. Upper level end unit w/a lot of natural light &amp; views of the open space. Master bedroom features vaulted ceilings, storage, private sink and access to the bathroom. kitchen features HW and a breakfast bar. Laundry room, spacious living and dining room, attached garage and a deck to enjoy the outdoors. Home is subject to lien holders approval.</t>
  </si>
  <si>
    <t>2.5-$175 (on Net SP)</t>
  </si>
  <si>
    <t>Call L/O 24 hour notice needed.</t>
  </si>
  <si>
    <t>RE/MAX Plaza</t>
  </si>
  <si>
    <t>(815) 385-6770</t>
  </si>
  <si>
    <t>Erin Weber, ABR,GRI,SFR</t>
  </si>
  <si>
    <t>(815) 482-9776</t>
  </si>
  <si>
    <t>Route 59 south of I-88 to 95th st. Turn Right (west) on 95th st. 3/4 mile to Carillon Club Community</t>
  </si>
  <si>
    <t>ATHENS</t>
  </si>
  <si>
    <t>48X48</t>
  </si>
  <si>
    <t>ATHENS RANCH TOWNHOME INCLUDES TWO BEDROOMS, TWO BATHS. KITCHEN WITH SS APPLIANCES, GRANITE COUNTERTOPS, HARDWOOD FLOORS, OVERSIZED ISLAND, BREAKFAST AREA AND BREAKFAST BAR THAT OVERLOOKS THE GREAT ROOM. MASTER SUITE FEATURES A LARGE WALK-IN CLOSET AND A PRIVATE MASTER BATHROOM. ARCHED OPENINGS THROUGHOUT THIS HOME AND A 2 CAR GARAGE. 55+ COMMUNITY. Photos may be renderings or similar home.</t>
  </si>
  <si>
    <t>17X23</t>
  </si>
  <si>
    <t>Exercise Room, Golf Course, Health Club, Pool-Indoors, Pool-Outdoors, Tennis Court/s, Gated Entry</t>
  </si>
  <si>
    <t>Common Insurance, Security, Clubhouse, Exercise Facilities, Pool, Lawn Care, Snow Removal</t>
  </si>
  <si>
    <t>Garage, Landscaping</t>
  </si>
  <si>
    <t>SALES OFFICE OPEN Tues-Sat 10-6 Sun 11-6  MONDAY 1-6. PLEASE CALL 847-984-4857 FOR APPT</t>
  </si>
  <si>
    <t>Must bring client on first visit and register for client to receive commission. Call Sales Center to schedule a showing. Open Tues-Sat 10-6 , Sun 11-6  Monday 1-6. 847-984-4857.</t>
  </si>
  <si>
    <t>Elburn</t>
  </si>
  <si>
    <t>41 West to 47 North to South St East to property.</t>
  </si>
  <si>
    <t>ELBURN</t>
  </si>
  <si>
    <t>LESS THAN .25 ACRE</t>
  </si>
  <si>
    <t>Very well maintained unit. Currently HOA will allow non-owner occupants/rentals. Proof of cash funds or loan pre-qualification must accompany all offers. BUYER WALKED SHORT SALE WAS APPROVED AT $75,000.</t>
  </si>
  <si>
    <t>2.5 -$150 (on Gross SP)</t>
  </si>
  <si>
    <t>Easy to Show - Call or text 312-375-7803</t>
  </si>
  <si>
    <t>Associates Realty</t>
  </si>
  <si>
    <t>(847) 833-5282</t>
  </si>
  <si>
    <t>Jennifer Beltrame</t>
  </si>
  <si>
    <t>CC: Pursuant to Short Sale. Short Sale.  Allow time for bank approval. Any reduction in commission to be split 50/50.</t>
  </si>
  <si>
    <t>Winthrop</t>
  </si>
  <si>
    <t>Village Square</t>
  </si>
  <si>
    <t>75th West of Fairview to Fairmount North to Complex</t>
  </si>
  <si>
    <t>VILLAGER</t>
  </si>
  <si>
    <t>Well maintained SHORT SALE opportunity in Village Square.. Recently updated bathrooms with ceramic tile flooring and glass tiled wall accents.  All appliances stay! Solid 6 panel doors throughout home. Full finished basement for additional living and storage space. Many recent updates throughout home.</t>
  </si>
  <si>
    <t>18X08</t>
  </si>
  <si>
    <t>27X14</t>
  </si>
  <si>
    <t>Call L/O 630-243-9500  Easy Show</t>
  </si>
  <si>
    <t>Realty Executives Elite</t>
  </si>
  <si>
    <t>(630) 243-9500</t>
  </si>
  <si>
    <t>Jason Bacza</t>
  </si>
  <si>
    <t>(630) 755-0600</t>
  </si>
  <si>
    <t>CC: Pursuant to Short Sale. ANY LENDER-IMPOSED COMMISSION REDUCTION WILL BE SHARED EQUALLY BETWEEN LISTING BROKER &amp; SELLING BROKER. SOLD "AS IS", 100% TAX PRORATION. BROKER IS VERY EXPERIENCED W/SHORT SALES - CALL JASON AT 630-755-0600 W/ANY QUESTIONS.</t>
  </si>
  <si>
    <t>ASHBURY</t>
  </si>
  <si>
    <t>ASHBURY WOODS</t>
  </si>
  <si>
    <t>MADISON SOUTH OF 55TH ST,  E on ASHBURY DRIVE 2nd cul de sac on left (no sign)</t>
  </si>
  <si>
    <t>Beautiful Hinsdale townhouse in Prestigious Ashbury Woods*Designer Detail &amp; lots more*LR w/Gas FP*Spacious Deck*Eat in kitchen*Upgraded Oak Cabinets*Spacious Master bedroom Suite W/Sitting area &amp; 2ND Gas FP*Dual walk in MBR closets*LL W/3RD Bedroom &amp; Bath*office/guest/student suite*Hardwood Floors &amp; Neutral Carpet*2 car garage Hinsdale. Assessment includes roof replacement special assessment.</t>
  </si>
  <si>
    <t>Please use schedule a showing</t>
  </si>
  <si>
    <t>John J Bates</t>
  </si>
  <si>
    <t>(630) 222-4463</t>
  </si>
  <si>
    <t>630-222-4463</t>
  </si>
  <si>
    <t>HOA fees are slated for future reduction. Please remove shoes, leave card. Living Room, Dining Room &amp; Bedroom Curtains Excluded.</t>
  </si>
  <si>
    <t>Willows Edge</t>
  </si>
  <si>
    <t>WILLOWS EDGE</t>
  </si>
  <si>
    <t>Willow Springs Rd to Archer, west to Willows Edge to 2nd Ct on left</t>
  </si>
  <si>
    <t>Wonderful end TH with 2 large B/R. 2 closets in MBR with walk-in and balcony.  Spacious LR off  eat-in kitchen. Laundry area in bath off kitchen. Attic storage in unit. Convenient access to I294 and I55 and train. Extensive forest preserve/hiking/biking trails nearby. New a/câ€™s and windows except kitchen (2012), dishwasher, garbage disposal, microwave (2010), ceiling fan (2009), MBR glass door (2006), H2O (2005).</t>
  </si>
  <si>
    <t>WILLOW SPRINGS ELEMENTARY SCHOOL</t>
  </si>
  <si>
    <t>AMOS ALONZO STAGG HIGH SCHOOL</t>
  </si>
  <si>
    <t>Land Office Realty</t>
  </si>
  <si>
    <t>(708) 203-0732</t>
  </si>
  <si>
    <t>William Sarther</t>
  </si>
  <si>
    <t>(630) 915-5050</t>
  </si>
  <si>
    <t>CC: Pursuant to Short Sale. CC.This is a short sale, subject to lender approval, terms, and commission. Any reduction in commission will be shared equally by listing and selling agent. FHA not available. 3% down conv fin available for qualified buyers. NO INVESTORS!!</t>
  </si>
  <si>
    <t>ARTESIAN</t>
  </si>
  <si>
    <t>WESTERN TO 107TH TO ARTESIAN 2500W TO ADDRESS</t>
  </si>
  <si>
    <t>SHORT SALE APPROVED FOR $80000. THIS PROPERTY IS $22K LESS THAN LAST SALE IN BUILDING. CHARACTER AND CHARM ABOUNDS IN THIS BEAUTIFULLY UPDATED CONDO.  FEATURES INCLUDE: GLEAMING HARDWOOD FLOORS, THERMALPANE WINDOWS AND  IN-UNIT LAUNDRY. PLENTY OF CABINET SPACE; PLENTY OF STORAGE IN SHARED UNFINISHED BASEMENT.  GREAT LOCATION IN WEST BEVERLY; CLOSE TO SHOPPING AND TRANSPORTATION. A MUST-SEE.</t>
  </si>
  <si>
    <t>23X14</t>
  </si>
  <si>
    <t>2.5%-$200. (on Net SP)</t>
  </si>
  <si>
    <t>Short Sale, Variable</t>
  </si>
  <si>
    <t>USE SHOWING ASSIST OR CALL LISTING OFFICE; BUYER MUST BE ACCOMPANIED BY THEIR AGENT.</t>
  </si>
  <si>
    <t>Berkshire Hathaway HomeServices Biros Real Estate</t>
  </si>
  <si>
    <t>(708) 422-0011</t>
  </si>
  <si>
    <t>Robert Fitzpatrick</t>
  </si>
  <si>
    <t>(708) 237-7780</t>
  </si>
  <si>
    <t>CC: Pursuant to Short Sale. SHORT SALE. EARNEST MONEY TO BE CERTIFIED FUNDS TO BHHS BIROS REAL ESTATE.</t>
  </si>
  <si>
    <t>Rosehall</t>
  </si>
  <si>
    <t>120 &amp; HAINESVILLE W 2 WILDSPRING S 2 CONCORD W 2 ROSEHALL</t>
  </si>
  <si>
    <t>***APPROVED  SHORT SALE***  PROPERTY HAS WATER DAMAGE.  BEING SOLD AS-IS. ASSESSMENTS: $260/Mo &amp; $61/Qtr  ***BUYER IS PAYING UNPAID BALANCE OWED TO ASSOCIATION***</t>
  </si>
  <si>
    <t>YES</t>
  </si>
  <si>
    <t>Bike Room/Bike Trails, Park/Playground, Tennis Court/s, Curbs/Gutters, Sidewalks, Street Lights, Street Paved, Other</t>
  </si>
  <si>
    <t>Landscaped Professionally, Park Adjacent</t>
  </si>
  <si>
    <t>Water, Common Insurance, Exterior Maintenance, Lawn Care, Scavenger</t>
  </si>
  <si>
    <t>2.5% - $225.00 (on Gross SP)</t>
  </si>
  <si>
    <t>Please use ShowingAssist</t>
  </si>
  <si>
    <t>Richter Realty Group Inc.</t>
  </si>
  <si>
    <t>(847) 325-5995</t>
  </si>
  <si>
    <t>Julie Yurov</t>
  </si>
  <si>
    <t>RANDALL RD TO COLLEGE GREEN E TO MUIRFIELD CIRCLE</t>
  </si>
  <si>
    <t>GREAT LOCATION &amp; GREAT PRICE. DON'T PASS THIS ONE UP. WON'T LAST LONG. WALK TO MEIJER AND OTHER SHOPPING. CLOSE TO SCHOOLS AND COMMUTER LINES. BIG PATIO. ALL APPLIANCE INCLUDED. ****SHORT SALE****LISTING PRICE APPROVED BY LENDER***</t>
  </si>
  <si>
    <t>Aluminum Siding, Vinyl Siding, Stone</t>
  </si>
  <si>
    <t>Access Properties, Inc</t>
  </si>
  <si>
    <t>(773) 701-5800</t>
  </si>
  <si>
    <t>Laura Lopez</t>
  </si>
  <si>
    <t>(773) 671-0169</t>
  </si>
  <si>
    <t>Tamarack</t>
  </si>
  <si>
    <t>Timberline</t>
  </si>
  <si>
    <t>Rt. 20 W of 59 to Naperville Rd. S to Timberline E to Tamarack Dr.</t>
  </si>
  <si>
    <t>ALPINE</t>
  </si>
  <si>
    <t>24X108</t>
  </si>
  <si>
    <t>Absolutely Gorgeous 2 bedroom, 3 1/2 bath, plus a loft, townhome has it all. Eat-in kitchen 42" maple cabinets, granite counters, black appliance. Master bedroom suite w/2 closets, whirlpool tub, separate shower, and 2 sinks. 2nd floor laundry. Beautifully finished walkout basement with a large family room, full bath and plenty of storage. This is a must see!</t>
  </si>
  <si>
    <t>Call showing desk 888-362-3222 to show</t>
  </si>
  <si>
    <t>630-220-9775</t>
  </si>
  <si>
    <t>(630) 377-9200</t>
  </si>
  <si>
    <t>Frances Lawson</t>
  </si>
  <si>
    <t>(630) 220-9775</t>
  </si>
  <si>
    <t>Bloomingdale Rd. to Dunteman W to first entrance and left to unit</t>
  </si>
  <si>
    <t>First floor two bedroom two bath with great view of the pond in Waters Edge! Newer neutral carpet and in unit laundry. Private patio with storage space. Dedicated 1 car parking space in shared garage.</t>
  </si>
  <si>
    <t>Please contact listing agent @ 630.973.0289. Must confirm for appointments.</t>
  </si>
  <si>
    <t>Moyer Lyman</t>
  </si>
  <si>
    <t>Annette Saeli</t>
  </si>
  <si>
    <t>(630) 973-0289</t>
  </si>
  <si>
    <t>Home owner will be home during showings. Please remove shoes and feedback is greatly appreciated!</t>
  </si>
  <si>
    <t>Meadowsedge</t>
  </si>
  <si>
    <t>Gleneagle Farms</t>
  </si>
  <si>
    <t>Randall Rd to Miller (N of Rt 72) to Woodside W 2 Meadow</t>
  </si>
  <si>
    <t>PRAIRIE</t>
  </si>
  <si>
    <t>Great townhome close to everything...Randall Oaks Park &amp; Golf course just down the street. This 2 bedroom, 2 bath home offers open floor concept; Family room off kitchen, eating/table space in kitchen; sliders to nice deck; Minutes to I-90, Algonquin Commons, restaurants ,groceries, schools;Hurry! They go fast in this subdivision! Rentals are allowed also.</t>
  </si>
  <si>
    <t>SLEEPY HOLLOW ELEMENTARY SCHOOL</t>
  </si>
  <si>
    <t>None, Curbs/Gutters, Street Paved</t>
  </si>
  <si>
    <t>Oven/Range, Microwave, Dishwasher, Refrigerator-Bar, Washer, Dryer, Disposal</t>
  </si>
  <si>
    <t>855-746-9100</t>
  </si>
  <si>
    <t>Cindi Cook, ABR,e-PRO</t>
  </si>
  <si>
    <t>(847) 707-8777</t>
  </si>
  <si>
    <t>Butterfield Manor</t>
  </si>
  <si>
    <t>Lambert to Fawell, East to Ramblewood North to Sandhurst, East to Property</t>
  </si>
  <si>
    <t>GREAT 2ND FLOOR UNIT WITH NEWER CARPET &amp; PAINT! DOUBLE WIDE BALCONY OVERLOOKING OPEN AREA, ACROSS FROM COLLEGE OF DUPAGE.  SECURITY ENTRY TO BUILDING. WASHER AND DRYER 1 YEAR OLD. NEWER WINDOWS.  ATTACHED PRIVATE GARAGE. LONG DRIVEWAY AND LOTS OF GUEST PARKING! GREAT COMMUNITY, GREAT LOCATION CLOSE TO INTERSTATE ACCESS AND FEEDS INTO DISTRICT 89 SCHOOLS &amp; GLENBARD SOUTH H.S.</t>
  </si>
  <si>
    <t>05X04</t>
  </si>
  <si>
    <t>Call Appt Center 866-571-7181</t>
  </si>
  <si>
    <t>630-254-4794</t>
  </si>
  <si>
    <t>Jennifer Whitney</t>
  </si>
  <si>
    <t>(630) 254-4794</t>
  </si>
  <si>
    <t>NICE PLACE!  PLEASE REMOVE SHOES &amp; LEAVE CARD. OWNER MUST LIVE IN CONDO FOR 2 YEARS BEFORE RENTING, DOES HAVE RENTAL CAP. MOVE IN FEE $350 WITH $300 REFUNDABLE AFTER MOVE IN.</t>
  </si>
  <si>
    <t>Meadowcroft</t>
  </si>
  <si>
    <t>CARILLON NORTH</t>
  </si>
  <si>
    <t>I-94 &amp; Rt132 (Grand Ave), W2 Rt 45, S2 Rollins Rd, W2Carillon, Rt2 to Meadowcroft, W2#</t>
  </si>
  <si>
    <t>Great Value for this spotless ranch in 55+ community. Super floor plan, plus a full finished basement with additional bedroom and full bath. Sky lights bath the home. Cathedral ceilings, and neutral interior. Newer neutral carpeting, and Pergo flooring, freshly painted neutral walls. All white appliances, upgraded counters, open country kitchen for ease in entertaining. Fantastic club house w/many activities.</t>
  </si>
  <si>
    <t>25X24</t>
  </si>
  <si>
    <t>11X05</t>
  </si>
  <si>
    <t>Exercise Room, Golf Course, Party Room, Pool-Indoors, Tennis Court/s, Curbs/Gutters, Gated Entry, Sidewalks, Street Lights, Street Paved</t>
  </si>
  <si>
    <t>Humidifier, TV-Cable, CO Detectors, Ceiling Fan, Sump Pump, Backup Sump Pump</t>
  </si>
  <si>
    <t>Must call the list office</t>
  </si>
  <si>
    <t>847-845-6826 cell</t>
  </si>
  <si>
    <t>Commuter Bus, Commuter Train, Interstate Access, Adult Community</t>
  </si>
  <si>
    <t>Super unit, shows so well.</t>
  </si>
  <si>
    <t>Schomer</t>
  </si>
  <si>
    <t>Butterfield West to Mitchell, South on Mitchell, East on Schomer Rd. to Schomer Court</t>
  </si>
  <si>
    <t>KAITYLN</t>
  </si>
  <si>
    <t>15#</t>
  </si>
  <si>
    <t>Lovely 2 Bedroom,2 Bath ranch home, plus den in Lora Lei Acres. Features are 6 panel wood doors,crown molding, Pergo floors in kitchen, entry, Master bedroom, Den and hallway. Kitchen appliances included, Quartz counter tops, extra TV and Cable jacks. Finished basement with Family room, a must see, work shop, storage room and hobby room. Many many upgrades. Easy access to I-88 and shopping.</t>
  </si>
  <si>
    <t>28X21</t>
  </si>
  <si>
    <t>Den, Office, Storage, Workroom</t>
  </si>
  <si>
    <t>TV-Cable, CO Detectors, Sump Pump</t>
  </si>
  <si>
    <t>Shirlee Fichtel</t>
  </si>
  <si>
    <t>(630) 885-2094</t>
  </si>
  <si>
    <t>sfichtel 630-892-8893</t>
  </si>
  <si>
    <t>Many Many Upgrades in Home.  Under counter lighting, upgraded kitchen cabinets. Mini blinds throughout. pressurized wood deck, cedar stained/brick pavers. Roof 2012, includes rubberized edge &amp; valley treatment. Gutter guards.</t>
  </si>
  <si>
    <t>CONCORD</t>
  </si>
  <si>
    <t>BLACKBERRY KNOLL</t>
  </si>
  <si>
    <t>ORCHARD TO GALENA RD TO CONCORD</t>
  </si>
  <si>
    <t>END UNIT WITHIN SINGLE FAMILY HOME NEIGHBORHOOD. TWO BEDROOM PLUS LOFT/DEN, LAUNDRY ROOM ON FIRST FLR, MANY WINDOWS WITH NATURAL LIGHT, MASTER BATH WITH DEEP SOAK TUB AND SEPARATE SHOWER, WALK-IN CLOSET. NEW CARPETING &amp; PAINT. DOWNSTAIRS UPGRADES WITH NEUTRAL PAINT, TWO INCH BLINDS, AND CROWN MOLDING. ADDITIONAL OUTDOOR PARKING NEXT TO YARD. MOVE IN READY!</t>
  </si>
  <si>
    <t>EAST VIEW ELEMENTARY SCHOOL</t>
  </si>
  <si>
    <t>TV-Cable, CO Detectors, Ceiling Fan, Fan-Whole House</t>
  </si>
  <si>
    <t>Dream Town Realty</t>
  </si>
  <si>
    <t>(312) 242-1000</t>
  </si>
  <si>
    <t>Beth Uhen</t>
  </si>
  <si>
    <t>(773) 620-4540</t>
  </si>
  <si>
    <t>Vacant, Easy to Show</t>
  </si>
  <si>
    <t>Richard Brown</t>
  </si>
  <si>
    <t>BELVIDERE RD (HWY 120) E OF HWY 12 TO ELLIS DR, S TO NIAGRA, E TO RICHARD J. BROWN.</t>
  </si>
  <si>
    <t>NORFOLK</t>
  </si>
  <si>
    <t>JUST LIKE NEW-EVEN BETTER! 2 BEDRM+LOFT. 2.1 BATHS. UPGRADED THRU-OUT-HARDWOOD FLOORS, ENTRY, KITCHEN &amp; POWDER RM. UPGRADED CARPET &amp; PAD. TILED BATHS. OVERSIZED DECK. UPGRADED COLONIST TRIM PACKAGE THRU-OUT. FINISHED LOWER LEVEL RECENTLY PAINTED. ALL WINDOW TREATMENTS STAY. THIS IS AN EXCEPTIONALLY NICE PLACE! FULLY APPLIANCED AS WELL.</t>
  </si>
  <si>
    <t>Bike Room/Bike Trails, Park/Playground, Sidewalks, Street Lights, Street Paved</t>
  </si>
  <si>
    <t>Jeffrey Clark</t>
  </si>
  <si>
    <t>708-494-2378</t>
  </si>
  <si>
    <t>MOVE-IN ANYTIME - VERY FLEXIBLE SELLER. MANY PARKS NEARBY. EXCELLENT SCHOOL SYSTEM.</t>
  </si>
  <si>
    <t>BUTTERNUT</t>
  </si>
  <si>
    <t>SCHMBRG RD W OF BARRINGTON TO EAST AVE TO TEAK TO 281 BUTTERNUT</t>
  </si>
  <si>
    <t>COACH HOME</t>
  </si>
  <si>
    <t>BEST LOCATION IN SOUTHGATE MANOR! CUL-DE-SAC BACKS TO WOODED PRESERVES! DRAMATIC VOLUME CEILING, COZY WB FPLC, &amp; GLEAMING HW LAM FLOOR. OPEN CONCEPT W/ WALL OF WINDOWS. BRIGHT, OPEN, &amp; SPACIOUS! UPGRADED KIT W/EXPRESSO CABS &amp; BUSHED NICKEL. MBR W/ NEW CARPET, HUGE W/I CLOSET &amp; SUMPTUOUS UPDATED FULL BATH W/PORCELAIN FLR. PICTURE FRAME MLDNG. WASHER/DRYER, ATT GAR, PVT ENTRY. HURRY TO SEE THIS SHARP, CONTEMPORARY HOME</t>
  </si>
  <si>
    <t>Park/Playground, Pool-Outdoors, Curbs/Gutters, Sidewalks, Street Paved</t>
  </si>
  <si>
    <t>For Appt. Call 1-877-977-1010</t>
  </si>
  <si>
    <t>Executive Realty Group LLC</t>
  </si>
  <si>
    <t>(630) 894-1030</t>
  </si>
  <si>
    <t>Debra Anderson, CSC</t>
  </si>
  <si>
    <t>(630) 235-0139</t>
  </si>
  <si>
    <t>Debra Anderson</t>
  </si>
  <si>
    <t>Please exclude the wall mounted TV in Fam Rm.  Seller's Atty holds earnest money.</t>
  </si>
  <si>
    <t>Mill Crossing</t>
  </si>
  <si>
    <t>Ogden Ave to Mill, go North</t>
  </si>
  <si>
    <t>Totally rehabbed and ready for you to just move right in. This 4 room, 2 bedroom and 2 bath condo shows a complete attention to detail thru-out. Kitchen is complete with stainless steel appliances, along with 2 ceramic tiled baths. New flooring thru-out with new fixtures and 3 new window air units. Unit also includes main floor laundry and deeded parking space in lower level garage. Parking Space No. 17.</t>
  </si>
  <si>
    <t>Click ShowingAssist Link Below</t>
  </si>
  <si>
    <t>Skydan Real Estate Sales, LLC</t>
  </si>
  <si>
    <t>(708) 450-0110</t>
  </si>
  <si>
    <t>Brandon Schuppe</t>
  </si>
  <si>
    <t>(708) 710-1859</t>
  </si>
  <si>
    <t>Kiowa</t>
  </si>
  <si>
    <t>NAPERVILLE RD, W on BAILEY, S on ISHNALA, W on KIOWA. 2ND BLDG ON LEFT, 3RD DOOR</t>
  </si>
  <si>
    <t>2.5% - 100 (on Net SP)</t>
  </si>
  <si>
    <t>using showing assist or call CSS 877-977-1010</t>
  </si>
  <si>
    <t>(815) 436-2232</t>
  </si>
  <si>
    <t>Nancy Ann Slater</t>
  </si>
  <si>
    <t>(630) 447-0770</t>
  </si>
  <si>
    <t>GLEN</t>
  </si>
  <si>
    <t>South of W. Indian Trail on Randall, corner of Glen &amp; Randall.Unit entrance is in the back NW corner</t>
  </si>
  <si>
    <t>Great opportunity for an investor or 1st time buyers!  Priced to sell and ready to move in with fresh paint and carpets cleaned.  New washer and dryer too!  This end unit has a private entrance, and a 1 car garage.  Don't wait, enjoy the huge back and side yards this spring!  Not a foreclosure or short sale, but sold "as is."</t>
  </si>
  <si>
    <t>2.5% - $100 (on Gross SP)</t>
  </si>
  <si>
    <t>Call CSS to make an appt.  877-977-1010</t>
  </si>
  <si>
    <t>Dawn Stippich</t>
  </si>
  <si>
    <t>(630) 208-5528</t>
  </si>
  <si>
    <t>Fax: 630-513-8076</t>
  </si>
  <si>
    <t>Unit is grandfathered as a rental, if it is purchased, as an investor Unit. However, if an owner occupant purchases the Unit, the rental capability ends. A new owner occupant could rent it, at a later date, if Ivy Glen is not at its cap.</t>
  </si>
  <si>
    <t>25th Ave, east on Division, north on 20th</t>
  </si>
  <si>
    <t>Gorgeous Two Bedroom, Two Bathroom Duplex In Melrose Park. Two Car Garage. The Home Features 6 Panel Oak Doors Throughout, Oak Wood Work, Eat-In Kitchen With Maple Cabinets, Granite Countertops, Mosaic Back Splash, Forced Air, Upgraded Electrical Service, New Roof To Be Installed Prior to Close, Sump Pump. Large Deck With Gas Hookup Which Is Perfect For Entertaining. Your Buyers Will Not Be Disappointed.</t>
  </si>
  <si>
    <t>2.5%-350 (on Net SP)</t>
  </si>
  <si>
    <t>Text Rich For Showings 708.790.0953; 24 hour notice required</t>
  </si>
  <si>
    <t>Main Street Real Estate Group</t>
  </si>
  <si>
    <t>(773) 799-8042</t>
  </si>
  <si>
    <t>Rich Dalitto</t>
  </si>
  <si>
    <t>Property recently rehabbed, shows great and your buyer's will not be disappointed. Please allow 24 hours notice until May 1 as there is a tenant. After May 1, tenant will be vacating.</t>
  </si>
  <si>
    <t>Willow</t>
  </si>
  <si>
    <t>Prairie Highlands</t>
  </si>
  <si>
    <t>Rt. 38 west to Anderson Rt38 to Prairie Valley to Downing to Willow</t>
  </si>
  <si>
    <t>END UNIT TOWNHOME IN PRAIRIE HIGHLANDS. 2BR/1.5BA WITH LARGE LIVING ROOM, TONS OF CABINET SPACE IN THE KITCHEN, LARGE DINING AREA, FAMILY ROOM WITH WET BAR IN THE BASEMENT, SHARED MASTER BATHROOM WITH JACUZZI TUB,  ATTACHED TWO CAR GARAGE. CLOSE TO ELBURN METRA STATION AND CLOSE TO RT 64. UNDER THE HOMESTEPS FIRST LOOK PROGRAM, OWNER OCCUPANT BUYERS ARE EXCLUSIVE TO MAKE OFFERS THRU 1/16/2015.</t>
  </si>
  <si>
    <t>Humidifier, Water-Softener Owned, CO Detectors, Ceiling Fan, Radon Mitigation System(s)</t>
  </si>
  <si>
    <t>2.5% (ON GROSS SP) (on Gross SP)</t>
  </si>
  <si>
    <t>FREDDIE MAC HOMESTEPS</t>
  </si>
  <si>
    <t>Henley Lot#1106</t>
  </si>
  <si>
    <t>Brand New Mayfair Extension This "Belmont" Features 3 Bedrooms, and 2.5 baths! Beautiful Kitchen Features Center Island + Stainless DW/Oven/Microw Appl's &amp; Granite, 9 Ft. Ceilings on Main level, Hardwood Flooring on 1st Flr, Stained Railings &amp; Spindles, Awesome 204 School District, Close to Shops + Restaurants. 30 Yr. Transferable Builder Warranty. "WHOLE HOME"   Photo's Are of Subject Home. Immediate Delivery!</t>
  </si>
  <si>
    <t>M/I Homes of Chicago LLC</t>
  </si>
  <si>
    <t>Agent must accompany buyers on first visit. Please register with Marty 11-6 Call her with any questions. 847-338-9635. Commission paid on base price.</t>
  </si>
  <si>
    <t>Sterling</t>
  </si>
  <si>
    <t>MILWAUKEE N TO GAGES LAKE RD W TO TANGUERAY N TO STERLING E TO HOUSE</t>
  </si>
  <si>
    <t>Stunning end unit townhome w/designer fixtures shows like single family home!  Vaulted ceilings, oak trim, hdwd floors on main level.  Luxe master suite with 1 walk-in closet plus add'l closet.  3RD BDRM OPTION: Mstr suite was once 2 bdrms and can be easily converted back by new owners. Wooded views from balcony.  2-car garage PLUS add'l off street parking. Kitchen features granite countertops &amp; ceramic floors.</t>
  </si>
  <si>
    <t>Sentrilock Access</t>
  </si>
  <si>
    <t>Nicole Kneeland-Woods</t>
  </si>
  <si>
    <t>30W015</t>
  </si>
  <si>
    <t>REDWOOD</t>
  </si>
  <si>
    <t>RT 59 to Willow, west to Penny Ln, south to Redwood Ct. west to home.</t>
  </si>
  <si>
    <t>Spacious Ranch home with GROUND LEVEL ENTRY. Located in desirable Maple Hill, on a quiet cul-de-sac; easy access to walking paths &amp; parks, visitor parking &amp; the Maple Hill Clubhouse. Sun-lit Living &amp; Dining room feature a handsome fireplace &amp; access to covered patio with garden views. Updated kitchen &amp; breakfast room with garage access. Convenient Den PLUS a 2nd bedroom. COMFORTABLE &amp; CAREFREE LIVING AT ITS BEST!</t>
  </si>
  <si>
    <t>Water-Softener Owned, Ceiling Fan, Fan-Attic Exhaust</t>
  </si>
  <si>
    <t>2.5 - $199 (on Gross SP)</t>
  </si>
  <si>
    <t>Ranahan</t>
  </si>
  <si>
    <t>(630) 231-8090</t>
  </si>
  <si>
    <t>Pamela Brown</t>
  </si>
  <si>
    <t>(630) 886-4991</t>
  </si>
  <si>
    <t>Located in the 1st complex on the left as you enter Redwood Ct. Front door is on the west side.  FINAL CLEAN-UP GOING ON - Please excuse any mess: Remove shoes or use booties. Please Leave card</t>
  </si>
  <si>
    <t>1K</t>
  </si>
  <si>
    <t>TAKE 55TH ST  WEST OF CENTRAL .. BUILDING IS LOCATED AT REAR OF PARKING LOT</t>
  </si>
  <si>
    <t>Water, Parking, Common Insurance, Lawn Care, Scavenger</t>
  </si>
  <si>
    <t>2.5%- $100 (on Net SP)</t>
  </si>
  <si>
    <t>PLEASE USE â€œSCHEDULE A SHOWINGâ€, CLICK BELOW</t>
  </si>
  <si>
    <t>Email Offers to mauricio@citywide-realty.com.... Minimum EM for financed deals is $2500 and $5000 on CASH deals. NOTE: THE BUILDING IS NOT FHA APPROVED AND IT IS NOT RENTABLE</t>
  </si>
  <si>
    <t>ECHO</t>
  </si>
  <si>
    <t>CENTURY PARK</t>
  </si>
  <si>
    <t>Hawthorn Pkwy to Indianwood Dr to Echo Ct</t>
  </si>
  <si>
    <t>GREAT 2 BEDROOM,1Â½ BATH, 2nd FLOOR END UNIT. FRESHLY PAINTED. OAK CABINETS WITH ADDITIONAL COUNTER SPACE. WOOD LAMINATE FLOOR IN LR AND BEDROOMS. IN-UNIT WASHER/DRYER. BEAUTIFUL LAKE VIEW FROM BALCONY. CONVENIENT LOCATION. NEAR PARK, SHOPPING, TRANSPORTATION, MAJOR ROADS AND MORE.</t>
  </si>
  <si>
    <t>10X04</t>
  </si>
  <si>
    <t>Pool-Outdoors, Tennis Court/s</t>
  </si>
  <si>
    <t>Heat, Water, Gas, Common Insurance, Clubhouse, Pool, Exterior Maintenance, Lawn Care, Scavenger, Snow Removal</t>
  </si>
  <si>
    <t>2.5% - $395 (on Net SP)</t>
  </si>
  <si>
    <t>Call L.O.</t>
  </si>
  <si>
    <t>American Real Estate Services</t>
  </si>
  <si>
    <t>(847) 502-1744</t>
  </si>
  <si>
    <t>Andrew Shevelev</t>
  </si>
  <si>
    <t>847-502-1744</t>
  </si>
  <si>
    <t>I217</t>
  </si>
  <si>
    <t>Ogden to Saratoga, North to first building on the left</t>
  </si>
  <si>
    <t>Long time owner. Basic original condition in need of TLC.  Large 2 bedroom 2 full bath unit.</t>
  </si>
  <si>
    <t>Heat, Water, Gas, Parking, Exterior Maintenance, Lawn Care</t>
  </si>
  <si>
    <t>call showing assist</t>
  </si>
  <si>
    <t>Trkington</t>
  </si>
  <si>
    <t>Michael J Zawislak</t>
  </si>
  <si>
    <t>(630) 278-1850</t>
  </si>
  <si>
    <t>TIMBER</t>
  </si>
  <si>
    <t>ROOSEVELT TO TIMBER TRAIL  PAST THE POND &amp; TURN RIGHT</t>
  </si>
  <si>
    <t>PENTHOUSE</t>
  </si>
  <si>
    <t>MUCH SOUGHT AFTER PENTHOUSE WITH DIRECT ACCESS TO PRIVATE GARAGE.  BEAUTIFUL VIEW OF THE COURTYARD OFF THE DINING ROOM BALCONY.  MASTER BEDROOM WITH DIRECT ACCESS TO FULL BATH.  REMODELED KITCHEN WITH CUSTOM CABINETS AND NEWER APPLIANCES.  SEPARATE LAUNDRY ROOM. FURNACE WAS REPLACED IN 2013.  GREAT LOCATION IN THE TREES OF WHEATON -  SHORT SALE WAS APPROVED BUYER FLAKED. BEING SOLD AS IS.</t>
  </si>
  <si>
    <t>Water, Pool, Lawn Care, Scavenger, Snow Removal</t>
  </si>
  <si>
    <t>USE SHOWING ASSIST MUST HAVE CONFIRMED APPT. CHILDREN</t>
  </si>
  <si>
    <t>630-868-6303</t>
  </si>
  <si>
    <t>Kathy Loth, CNC,SRES</t>
  </si>
  <si>
    <t>(630) 868-6303</t>
  </si>
  <si>
    <t>CC: Pursuant to Short Sale. SHORT SALE. TIME NEEDED FOR LENDER APPROVAL. ANY REDUCTION IN COMMISSION TO BE SPLIT 50/50 BETWEEN BUYER AND SELLER AGENT.  INSPECTION NEEDS TO BE COMPLETED AFTER SELLER ACCEPTANCE- NOT BANK ACCEPTANCE!</t>
  </si>
  <si>
    <t>RAINTREE</t>
  </si>
  <si>
    <t>ROOSEVELT TO PARK BLVD SOUTH TO RAINTREE WEST TO 448</t>
  </si>
  <si>
    <t>BUYER COULDN'T WAIT ANY LONGER **APPROVED SALE AT THIS PRICE**GREAT SPACE AWAITS IN THIS 3RD FLOOR CORNER UNIT IN THE ASHFIELD HOUSE AT RAINTREE. WHITE KIT WITH BREAKFAST ROOM. FORMAL LIVING &amp; DINING ROOM BOTH HAVE ACCESS TO BALCONY WITH TREE TOP VIEWS. MASTER WITH PRIVATE BATH LOTS OF GREAT CLOSETS PLUS ADDITIONAL STORAGE. LAUNDRY ON SAME FLOOR. HEATED GARAGE SPACE #35. SECURITY BUILDING WITH ELEVATOR.</t>
  </si>
  <si>
    <t>Coin Laundry, Elevator, Storage, Security Door Locks, Curbs/Gutters, Street Lights, Street Paved</t>
  </si>
  <si>
    <t>CALL 630-258-0303 CYD OR 630-730-7777 LIZ- EASY TO SHOW</t>
  </si>
  <si>
    <t>Cydney McCabe, CNC,CRS,CSC</t>
  </si>
  <si>
    <t>(630) 258-0303</t>
  </si>
  <si>
    <t>CELL PHONE 630-258-0303</t>
  </si>
  <si>
    <t>CC: Pursuant to Short Sale. SHORT SALE LENDER/BANK APPROVED AT THIS LIST PRICE ** FAST APPROVAL IS ANTICIPATED** TAXES 100%. SOLD AS-IS- ALL OFFERS NEED SS ADDENDUM. IF COMMISIONI ALTERED - SPLIT 50/50 BETWEEN SIDES. 3 KEYS IN KEYBOX - 1 FOR SECURITY DOOR - 2 FOR UNIT</t>
  </si>
  <si>
    <t>KEDZIE</t>
  </si>
  <si>
    <t>KEDZIE AVE SOUTH TO 53RD ST</t>
  </si>
  <si>
    <t>SHORT SALE OPPORTUNITY!!!! 2 BEDROOM CONDO/CENTRAL AIR &amp; FORCED AIR HEAT/COIN LAUNDRY IN THE BUILDING/STORAGE SPACE/2 PARKING SPACES INCLUDED/HEAT INCLUDED IN THE MONTHLY  ASSESSMENT FEE/LOW TAXES/CONVENIENT LOCATION/CLOSE TO EVERYTHING/GREAT INVESTMENT TO LIVE IN OR RENT OUT/WHY PAY RENT??? WHEN YOU CAN OWN.. SOLD AS IS!!! PLEASE ALLOW TIME FOR SHORT SALE APPROVAL!!!</t>
  </si>
  <si>
    <t>Coin Laundry, Storage, Security Door Locks, Street Lights, Street Paved</t>
  </si>
  <si>
    <t>Closing, Negotiable, Specific Date, Tenant's Rights</t>
  </si>
  <si>
    <t>2.25%-$150 (on Net SP)</t>
  </si>
  <si>
    <t>EMAIL/TEXT LISTING AGENT 24-48 HR NOTICE/TENANT OCCUPIED</t>
  </si>
  <si>
    <t>Rosy Beltran</t>
  </si>
  <si>
    <t>(773) 936-3100</t>
  </si>
  <si>
    <t>CC: Pursuant to Short Sale. EARNEST MONEY TURNED IN AT SELLER'S ACCEPTANCE-NO EXCEPTIONS!!!! SOLD AS-IS/BUYER MAY BE RESPONSIBLE UP TO 6 MONTHS OF HOA-IF APPLICABLE (Illinois Condominium Act 94-1049)/OWNER IS AN IL REAL ESTATE BROKER LICENSEE!!!</t>
  </si>
  <si>
    <t>6A</t>
  </si>
  <si>
    <t>RT 21 &amp; Peterson S2 to Adler View West to address</t>
  </si>
  <si>
    <t>Great Libertyville condo at an affordable price and with a great location. 2 bedrooms 1 bath with all new paint, new carpet and new kitchen appliances. 2 nd floor balcony. Across Adler Park and and near Independence grove.This is a Fannie Mae/ homepath property.</t>
  </si>
  <si>
    <t>CALL 855-746-9100</t>
  </si>
  <si>
    <t>Seller has directed all offers be made using the HomePath Online Offers system at HomePath.com. See Additional Info for docs.$1000 Buyer's Agent Bonus! Go to HomePath.com for details. Restrictions apply.</t>
  </si>
  <si>
    <t>CORNER OF ROUTE 60 AND BUTTERFIELD</t>
  </si>
  <si>
    <t>VERY NICE HOME.  LARGE OPEN LIVING ROOM WITH LOTS OF SUNLIGHT.  NEW PAINT.  CHERRY HARDWOOD FLOORING THRU OUT. MOVE IN READY.  CLOSE TO EXPRESSWAY, TRAIN AND SHOPPING.  NICE AND QUIET NEIGHBORHOOD. SMOKE AND PET FREE!!!</t>
  </si>
  <si>
    <t>PLEASE CALL LISTING OFFICE AT 224-772-4410 - PLEASE REMOVE SHOES</t>
  </si>
  <si>
    <t>Jadestone Realty Inc.</t>
  </si>
  <si>
    <t>(847) 245-8690</t>
  </si>
  <si>
    <t>James Kim, SFR</t>
  </si>
  <si>
    <t>(224) 772-4418</t>
  </si>
  <si>
    <t>CC: Pursuant to Short Sale. ***TAKING BACK UP OFFERS ONLY!!! PER SHORTSALE LENDER REQ. HAVE CONTRACT CURRENTLY.***PRORATED TAX 100%. IF THE LENDER EQUIRES COMMISSION TO BE REDUCED, IT WILL BE SPLIT EQUALLY BETWEEN LISTING AND SELLING BROKER. SOLD AS IS.</t>
  </si>
  <si>
    <t>Eola to Hafenrichter, South to Barrington, West to Hillsboro.</t>
  </si>
  <si>
    <t>Very nice two story townhome offers an open floor plan in move in condition. Nice loft over looks the LR. Nice upgrades when newly purchased, 42 in cabinets, oak railing, and light package. All appliances stay. 2 car garage. Not FHA Approved.  Unit is rentable with restrictions.</t>
  </si>
  <si>
    <t>Must have confirmed appointment. Please call Showing Time 855-746-9200</t>
  </si>
  <si>
    <t>CC: Pursuant to Short Sale. Short Sale, All disclosures online, Great home! Not FHA Approved. Unit is rentable with restrictions.Any reduction in commission as a result of short sale negotiations will be shared equally between brokers. Bank approved price is 109,000</t>
  </si>
  <si>
    <t>SHELLY</t>
  </si>
  <si>
    <t>PRAIRIE VILLAGE</t>
  </si>
  <si>
    <t>OGDEN OR EOLA  RD. TO LONG GROVE TO SHELLY LANE</t>
  </si>
  <si>
    <t>TOWNHOUSE</t>
  </si>
  <si>
    <t>25X56.7</t>
  </si>
  <si>
    <t>VERY NICE UNIT WITH 2 BEDROOMS PLUS A LOFT, LIVING ROOM, LARGE KITCHEN WITH PLENTY OF CABINETS, ISLAND, A BREAKFAST AREA AND SLIDING DOOR TO A BEAUTIFUL BALCONY. 2 AND A HALF BATHS, LOWER LEVEL WITH A FAMILY ROOM. 2 CAR GARAGE. SHORT SALE SOLD 'AS-IS' VERY CLOSE  TO EVERYTHING. NO RENTALS ALLOWED BY HOA.</t>
  </si>
  <si>
    <t>3% - 150 (on Gross SP)</t>
  </si>
  <si>
    <t>CALL OFFICE FOR CONFIRMATION 630-759-2850</t>
  </si>
  <si>
    <t>Chelo Mendez, ABR,CNC,CRS,CSC,GRI</t>
  </si>
  <si>
    <t>(630) 440-5421</t>
  </si>
  <si>
    <t>630-440-5421</t>
  </si>
  <si>
    <t>CC: Pursuant to Short Sale. SHORT SALE, SELLER DOES NOT PAY SURVEY, TAXES @ 100%,  FINAL COMMISSION PAID BY THE BANK SPLIT 50/50. EASY SHOWINGS PLEASE CALL OFFICE 630-759-2850 NEEDS A LITTLE  LTC.</t>
  </si>
  <si>
    <t>Montabello</t>
  </si>
  <si>
    <t>VILLA VENETO</t>
  </si>
  <si>
    <t>Lake St. east of Gary. South on Rodenburg into subdivision.  Left on Veneto. Right on Montabello.</t>
  </si>
  <si>
    <t>SORRENTO</t>
  </si>
  <si>
    <t>Beautiful 2 bed+ loft home (3 BED MODEL). Open floor plan. Vaulted ceilings. Gourmet kitchen: stainless, hardwd flrs, 42" maple cabinets &amp; island. Hardwd flrs on 1st flr. Living rm w/fireplace. Double doors lead to master suite: tray ceilings, walk-in closet, 12x12 Mstr bath: stone shower, sep whirlpool tub, dbl sinks.2 car garage.Full basement. Deck w/gas hook up for grill &amp; beautiful view. QUICK CLOSE POSSIBLE.</t>
  </si>
  <si>
    <t>Cul-de-sac, Forest Preserve Adjacent, Nature Preserve Adjacent, Pond</t>
  </si>
  <si>
    <t>Eating Area, Loft, Walk In Closet</t>
  </si>
  <si>
    <t>Intercom, CO Detectors, Sump Pump</t>
  </si>
  <si>
    <t>3%-275 (on Net SP)</t>
  </si>
  <si>
    <t>Appt required. Call CSS 877-977-1010.</t>
  </si>
  <si>
    <t>Lexie Lyons</t>
  </si>
  <si>
    <t>(630) 853-7183</t>
  </si>
  <si>
    <t>630-853-7183</t>
  </si>
  <si>
    <t>CC: Pursuant to Short Sale. QUICK CLOSE POSSIBLE-Oct 17 or earlier. Bank countered buyer at 280k but buyer hadn't waited. New appraisal=$295k, so not sure of price Very experienced SS lawyers. NOT INCLUDED: master fan. As-Is but really good condition! Email offer+CALL</t>
  </si>
  <si>
    <t>Bokelman</t>
  </si>
  <si>
    <t>Roselle to E on Irving Park to N on Bokelman</t>
  </si>
  <si>
    <t>PER PLAT</t>
  </si>
  <si>
    <t>This turn-key 2 Bed/2 Bath unit on the TOP FLOOR has all you would want: New Crpt in LivRm/Bdrms. Ceramic Tile Kitch/Hall/Bthrms w/(radiant) heated floors. Bright, large Kitch has plenty of storage w/wrap around bar/breakfast counter. Sep laundry rm! Mstr Bdrm w/huge walk-in closet, custom shelving &amp; whirlpool tub w/separate walk-in shower. Sunny street side view. Low level Garage/Storage. Walk to train/shops/parks.</t>
  </si>
  <si>
    <t>SPRING HILLS ELEMENTARY SCHOOL</t>
  </si>
  <si>
    <t>ROSELLE MIDDLE SCHOOL</t>
  </si>
  <si>
    <t>CALL 877-977-1010, 24-hr notice preferred.</t>
  </si>
  <si>
    <t>Disclosures online. E-mail or fax with contract to 708-876-3890. Call Broker to confirm receipt. Selected furniture may be available for purchase.</t>
  </si>
  <si>
    <t>NORTH AURORA (W OF 59) TO GENESEE RIGHT TO HOME</t>
  </si>
  <si>
    <t>2 STORY TOWNHOME WITH ENGLISH BSMT OVERLOOKING THE GOLF COURSE, FIREPLACE W/STONE SURROUND &amp; MEDIA NICHE. SPECTACULAR VIEWS OF THE GOLF COURSE. HARDWOOD ENTIRE 1ST FLOOR, OPEN OAK RAILING, VAULTED CEILING IN MASTER. A FEW COSMETIC IMPROVEMENTS NEEDED TO BE A 10+  JUST MINUTES TO TRAIN, I-88, DOWNTOWN NAPERVILLE.</t>
  </si>
  <si>
    <t>SEE SHOWING ASSIST BELOW</t>
  </si>
  <si>
    <t>HOME STEPS</t>
  </si>
  <si>
    <t>ELIGIBLE UNDER FREDDIE MAC 1ST LOOK THRU 03/11/14. SOLD AS IS. NO SURVEY, NOR DISC. TAXES PRORATED 100%. PAL/POF TO ACCOPMANY OFFER. FAX TO 630-250-4516. 1K BONUS TO SA FOR OWN OCC OFFERS IF SUBMITTED BY 04/15/14 AND CLOSED BFORE 05/30/14</t>
  </si>
  <si>
    <t>Huntley Rd to Grand Pointe Blvd to Oak to Maple Cir</t>
  </si>
  <si>
    <t>DAHLIA</t>
  </si>
  <si>
    <t>Approx. 2,000 sq.ft. of living space in the open, flowing floor plan of this newer 2nd floor ranch.  Private entrance with a 2-story foyer, volume ceilings,and loads of windows!!! Eat-in kitchen with 42" maple cabinets, hardwood fls. all appl. included. Sliders to balcony w/great views. Master bdr w/double door entry, (2) walk in closets &amp; luxury bath.  Convenient location...by I-90 and shopping. Epoxy fl. in garage</t>
  </si>
  <si>
    <t>TV-Cable, Fire Sprinklers, CO Detectors, Ceiling Fan</t>
  </si>
  <si>
    <t>Call 1.855.746.9100</t>
  </si>
  <si>
    <t>Hilda Jones, CRS,GRI,SFR</t>
  </si>
  <si>
    <t>(847) 987-7089</t>
  </si>
  <si>
    <t>CC: Pursuant to Short Sale. Short Sale, If commission is reduced by liendholder - both brokers will split the reduction equally No Survey. Taxes prorated 100%. Sold As Is.</t>
  </si>
  <si>
    <t>MAUDE</t>
  </si>
  <si>
    <t>Rt 12 to Grand, E to Forest, N to Maude to #</t>
  </si>
  <si>
    <t>Parking, Common Insurance, Pool, Lawn Care, Scavenger, Snow Removal</t>
  </si>
  <si>
    <t>Call LO -- must confirm</t>
  </si>
  <si>
    <t>James M. Murphy</t>
  </si>
  <si>
    <t>Diane Broege</t>
  </si>
  <si>
    <t>(847) 606-2666</t>
  </si>
  <si>
    <t>307B</t>
  </si>
  <si>
    <t>Wolf Rd (south of Joliet RD to Flagg Creek Condos</t>
  </si>
  <si>
    <t>Spacious two bedroom &amp; two bath unit on the 3rd floor.  Living &amp; Dining room have berber carpeting. Updated kitchen has see through to living and dining room. The living room has sliding glass door to your private balcony.  Master bedroom has full bath and 2 large closets. Enjoy the pool, tennis courts &amp; party room. Laundry rm on each level  Close to park ,expressway, shopping, pace bus and train</t>
  </si>
  <si>
    <t>Coin Laundry, Elevator, Pool-Outdoors, Security Door Locks, Tennis Court/s</t>
  </si>
  <si>
    <t>Heat, Water, Gas, Parking, Common Insurance, Security System, Clubhouse, Pool, Exterior Maintenance, Lawn Care, Scavenger, Snow Removal</t>
  </si>
  <si>
    <t>Call Listing Agent 708 352-1522</t>
  </si>
  <si>
    <t>708 352-1522</t>
  </si>
  <si>
    <t>Nancy Miller, e-PRO</t>
  </si>
  <si>
    <t>(708) 352-1522</t>
  </si>
  <si>
    <t>Please use Multi Board Contract 6.0</t>
  </si>
  <si>
    <t>MISTWOOD</t>
  </si>
  <si>
    <t>Highland South of I-88 to Braemoor</t>
  </si>
  <si>
    <t>One Level Living at it's best! In Prestigious Mistwood. Gleaming hrdwd flrs in foyer, LR, DR &amp; BRs. Enjoy your picture window in the eat in Kit w/oak cabs, granite counters &amp; backsplash, SS appls &amp; pergo flr. LR w/Brick FP &amp; French doors to private patio. MBr Suite w/Luxury bth(2yrs), Sep Shower, double sink, Ceramic &amp;Glass tile inlay. 2nd Bth updated (3yrs). Huge Loft in garage for all your storage needs. MUST SEE!!</t>
  </si>
  <si>
    <t>BELLE AIRE ELEMENTARY SCHOOL</t>
  </si>
  <si>
    <t>Oven/Range, Microwave, Dishwasher, Refrigerator, Freezer, Washer, Dryer, Disposal, All Stainless Steel Kitchen Appliances</t>
  </si>
  <si>
    <t>Water, Common Insurance, TV/Cable, Exterior Maintenance, Lawn Care, Snow Removal</t>
  </si>
  <si>
    <t>See Secure ShowingAssist!</t>
  </si>
  <si>
    <t>Mrs. Wonderful</t>
  </si>
  <si>
    <t>Senior Freeze on taxes started in 2013. Starting Jan 1st 2015 new assessment $345.50</t>
  </si>
  <si>
    <t>Cameron</t>
  </si>
  <si>
    <t>WEST RIDGE</t>
  </si>
  <si>
    <t>Rt 20 W of Randall to Encounter, R to Sanctuary, L to Churchill, R to Cameron, R to home on left</t>
  </si>
  <si>
    <t>You will love this beautiful home! Spacious, open &amp; airy! Lots of windows make it bright. Beautiful kitchen w/42" cherry cabs, granite look counters, all black appls &amp; CT flooring. It flows to the LR/DR easily. Nice deck leads off the kitchen. 2 big bedrooms, each with its own private bath. Master has a big walk in closet! Lower level has a great den. Short sale, please allow time. Price &amp; sale ctg on bank approval.</t>
  </si>
  <si>
    <t>COUNTRY TRAILS ELEMENTARY SCHOOL</t>
  </si>
  <si>
    <t>PRAIRIE KNOLLS MIDDLE SCHOOL</t>
  </si>
  <si>
    <t>CENTRAL HIGH SCHOOL</t>
  </si>
  <si>
    <t>Additional Pet Rent, Cats OK, Dogs OK, Pet Count Limitation</t>
  </si>
  <si>
    <t>Marj Carpenter, CRS,GRI</t>
  </si>
  <si>
    <t>(815) 444-6275</t>
  </si>
  <si>
    <t>Cell 815-444-6275</t>
  </si>
  <si>
    <t>Ashley</t>
  </si>
  <si>
    <t>South of Taylor on Annie Glidden to Ashley, East to House</t>
  </si>
  <si>
    <t>28X64</t>
  </si>
  <si>
    <t>NICE! Move right in this one! Kitchen and dining room have hardwood floors, double wood burning fireplace, sliding door opens to deck, partially finished basement.</t>
  </si>
  <si>
    <t>call listing agent 815-561-9488</t>
  </si>
  <si>
    <t>Oestreich, Tortorie</t>
  </si>
  <si>
    <t>RE/MAX Hub City</t>
  </si>
  <si>
    <t>(815) 562-7588</t>
  </si>
  <si>
    <t>Jennie McLaughlin</t>
  </si>
  <si>
    <t>(815) 561-9488</t>
  </si>
  <si>
    <t>Andover</t>
  </si>
  <si>
    <t>Polo Club Pointe</t>
  </si>
  <si>
    <t>North Ave to President u-turn 2 Andover</t>
  </si>
  <si>
    <t>****BANK APPROVED SHORT SALE ****BRING THE FUSSIEST BUYERS! REHABED! FRESH COLORS! Upgraded kit &amp; Baths includes SS appliances. Hardwood in liv &amp; din rooms.  Vaulted ceilings in both bedrooms. Master bath has 2 vanities &amp; European, glass shower. Family room OR 3rd bedroom in the finished basement. Attached 2.5 car garage. Close to METRA, expressways, schools &amp; shopping GLENBARD WEST SCHOOLS.</t>
  </si>
  <si>
    <t>On Site Manager/Engineer, Park/Playground, Sundeck, Curbs/Gutters, Sidewalks, Street Lights, Street Paved</t>
  </si>
  <si>
    <t>Dishwasher, Disposal</t>
  </si>
  <si>
    <t>Double Sink, European Shower</t>
  </si>
  <si>
    <t>Balcony, Recreation Room, Storage, Utility Room-1st Floor, Walk In Closet</t>
  </si>
  <si>
    <t>Garage Door Opener(s), 7 Foot or more high garage door</t>
  </si>
  <si>
    <t>2.5 % -$200 (on Net SP)</t>
  </si>
  <si>
    <t>Leave VM then show -Sentrilock 630-456-0347</t>
  </si>
  <si>
    <t>Marina Treviso</t>
  </si>
  <si>
    <t>(630) 456-0347</t>
  </si>
  <si>
    <t>Mclean to Sandhurst to Unit</t>
  </si>
  <si>
    <t>End unit town home in quiet neighborhood sub, with full bsmt, well maintained, laminated flooring,  decent size rooms, eat in kit with dining/living, spacious MB, with nice views of common area.</t>
  </si>
  <si>
    <t>24 hours notice</t>
  </si>
  <si>
    <t>RE/MAX Masters</t>
  </si>
  <si>
    <t>(847) 966-1800</t>
  </si>
  <si>
    <t>Arceli Antonio</t>
  </si>
  <si>
    <t>(847) 293-5111</t>
  </si>
  <si>
    <t>CC: Pursuant to Short Sale. SS approved.  Can close quickly.</t>
  </si>
  <si>
    <t>First Ave to Fullerton to 72nd.Court</t>
  </si>
  <si>
    <t>CASH DEAL ONLY, APPROVED SHORT SALE, QUICK CLOSING, ASSESSMENT PAID UP-TO-DATE. 2 BEDROOMS. ONE BATH. CONDO ON SECOND FLOOR. KITCHEN HAS MAPLE CABINETS &amp; GRANITE COUNTERTOP. LIVING ROOM AND BEDROOM HAVE HARDWOOD FLOORS. RENTAL ALLOWED.</t>
  </si>
  <si>
    <t>Heat, Water, Gas, Common Insurance, Lawn Care, Scavenger</t>
  </si>
  <si>
    <t>3%-$100 (on Net SP)</t>
  </si>
  <si>
    <t>RE/MAX 10 in the Park</t>
  </si>
  <si>
    <t>(708) 923-0900</t>
  </si>
  <si>
    <t>Krystyna Soprych</t>
  </si>
  <si>
    <t>(708) 257-3928</t>
  </si>
  <si>
    <t>708-257-3928</t>
  </si>
  <si>
    <t>DANTE</t>
  </si>
  <si>
    <t>STONEY ISLAND N OR S TO 68TH ST; W TO DANTE; S TO 6852</t>
  </si>
  <si>
    <t>Gorgeous 2 bed, 2 bath Condo in Chicago's South Shore Neighborhood. The unit features a large master bedroom &amp; master bath, Fireplace in Living Room &amp; spacious kitchen with breakfast bar. This is a Fannie Mae Homepath Property.</t>
  </si>
  <si>
    <t>Storage, Security Door Locks, Curbs/Gutters, Gated Entry, Sidewalks, Street Lights, Street Paved</t>
  </si>
  <si>
    <t>Water, Common Insurance, Security, Exterior Maintenance, Scavenger, Snow Removal</t>
  </si>
  <si>
    <t>3% OR $1000 MINIMUM (on Net SP)</t>
  </si>
  <si>
    <t>see showing assist link below</t>
  </si>
  <si>
    <t>reo@pearsonrealtygroup.com</t>
  </si>
  <si>
    <t>The seller has directed that all offers on this listing must be made online via HomePath.com (ID #C13039F). $1000 SELLING AGENT BONUS!</t>
  </si>
  <si>
    <t>111TH</t>
  </si>
  <si>
    <t>Pulaski to 111th St. East to3838 West</t>
  </si>
  <si>
    <t>Attractive 2 Bedroom Condo, in the Chicago-Mount Greenwood neighborhood, 1 block from City Limits. Perfect for City Workers. Top floor privacy with balcony, in Elevator building. Central A/C, extra storage locker, Laundry Room, Meeting Room, private parking, building maintenance, snow removal, lawn care and landscaping, Gas Heat-Gas Stove/Oven, all included in Monthly Assessment.  Cont'd under Agent Remarks.</t>
  </si>
  <si>
    <t>Coin Laundry, Elevator, Storage, Sidewalks</t>
  </si>
  <si>
    <t>TV-Cable, TV-Dish, Security System, Intercom, CO Detectors, Ceiling Fan</t>
  </si>
  <si>
    <t>CALL LISTING OFFICE!!24 HR. NOTICE REQUIRED!!</t>
  </si>
  <si>
    <t>Americorp, Ltd</t>
  </si>
  <si>
    <t>(773) 585-5385</t>
  </si>
  <si>
    <t>Gregory Lis</t>
  </si>
  <si>
    <t>Gregory Lis Cell #: 773/230-6290</t>
  </si>
  <si>
    <t>SELLER REQUESTS BUYERS BE PRE-APPROVED.</t>
  </si>
  <si>
    <t>WINCHESTER VALLEY</t>
  </si>
  <si>
    <t>MILWAUKEE N OF 176 TO WINCHESTER WEST TO #</t>
  </si>
  <si>
    <t>Beautifully maintained, spacious 2 LG bedrooms, newly painted, eat in kitchen, 1st floor unit, steps to train, shopping, movie theater and the heart of downtown restaurants in  Libertyville. Make this unique unit a great investment for yourself today.    Spacious windows with lots of sunlight.  Building was renovated in 2006. Can be rented.  Walk to train!</t>
  </si>
  <si>
    <t>Bike Room/Bike Trails, Coin Laundry, Elevator, Storage, On Site Manager/Engineer, Party Room, Security Door Locks, Curbs/Gutters, Sidewalks, Street Lights, Street Paved</t>
  </si>
  <si>
    <t>Mary Lou LeBoeuf</t>
  </si>
  <si>
    <t>(847) 772-9207</t>
  </si>
  <si>
    <t>847-772-9207</t>
  </si>
  <si>
    <t>Unit shows well.  Seller will update kitchen, floors and appliances before closing with a sale price of 104,000.00</t>
  </si>
  <si>
    <t>GILBERT</t>
  </si>
  <si>
    <t>ROUTE 31 TO E ON STATE ST TO N ON GILBERT</t>
  </si>
  <si>
    <t>KATLIN</t>
  </si>
  <si>
    <t>Photos are of actual unit. Counters to be replaced with sold surface of buyer's choice.  Near the Fox River and in S. Elgin's new redevelopment area. Amenities incl 2 elevators, one level living, heated underground garage (1 space incl in price), Exercise &amp; Community Rm w/activities.  High quality construction w/precase concrete flrs &amp; concrete walls.  Was a rental. Seller will upgrade &amp; personalize to buyer's choice</t>
  </si>
  <si>
    <t>Elevator, Exercise Room, Storage, Party Room, Curbs/Gutters, Sidewalks, Street Lights, Street Paved</t>
  </si>
  <si>
    <t>Conventional, FHA, VA, Contract (Articles) for Deed, Lease/Purchase, Owner May Help/Assist</t>
  </si>
  <si>
    <t>2.5 - $100 (on Net SP)</t>
  </si>
  <si>
    <t>call 855-746-9100</t>
  </si>
  <si>
    <t>River Crossing SE LLC</t>
  </si>
  <si>
    <t>Jennifer Biddle</t>
  </si>
  <si>
    <t>(630) 464-4230</t>
  </si>
  <si>
    <t>Great Floor Plan and location.  Builder will replace countertops with new solid surface of buyer's choice to upgrade. All appliances included.other modifications can be made as well</t>
  </si>
  <si>
    <t>CALUMET</t>
  </si>
  <si>
    <t>Dan Ryan to 51st East to Calumet, South to 5201</t>
  </si>
  <si>
    <t>APPROVED SHORT SALE CLOSE FAST!!! PROPERTY SOLD AS-IS, BUYER RESPONSIBLE FOR PAST DUE ASSESSMENTS.  HARD WOOD FLOORS, GRANITE, , PARKING, CENTRAL AIR, DECKS, STORAGE, 42 INCH MAPLE CABINETS.  CLOSE TO EL, 90/94 AND UNIVERSITY of CHICAGO, MUST USE MULTI BOARD 5.0 CONTRACT</t>
  </si>
  <si>
    <t>Exit Strategy Realty</t>
  </si>
  <si>
    <t>(312) 554-5478</t>
  </si>
  <si>
    <t>Nycholle Brown</t>
  </si>
  <si>
    <t>(773) 294-8939</t>
  </si>
  <si>
    <t>CC: Pursuant to Short Sale. Unit is Vacant, Unit CAN be rented. Buyer to pay $4,000 for past assessment. CASH ONLY!! CLOSE QUICK ALREADY APPROVED!!! Must use Multi Board Contract 5.0 &amp; Disclosures in Additional Information</t>
  </si>
  <si>
    <t>GRAND AVE &amp; RT 45 NORTH TO FALLING WATERS</t>
  </si>
  <si>
    <t>VERY NICELY APPOINTED TOWNHOME IN HEART OF LINDENHURST. TOTAL REMODEL IN 2010 - APPLIANCES, CABINETS, COUNTERS, PORCLN TILE, CARPET &amp; PAINT. GAS FRPLC AND SLDRS TO PATIO. MSTR SUITE W/ FUL BTH &amp; 2ND FLR LDY &amp; LOFT AREA. BEAUTIFUL CLBHSE W/ POOL, 24 HR FITNESS CTR &amp; TENNIS COURTS. GREAT LOCATION-CLOSE TO METRA/TOLLWY/GRT LAKES. ALLOW TIME 4 BANK APPROVLS Agent related to Seller. -AS IS_ THIS IS A SHORT SALE.</t>
  </si>
  <si>
    <t>MILLBURN C C SCHOOL</t>
  </si>
  <si>
    <t>Bike Room/Bike Trails, Exercise Room, On Site Manager/Engineer, Park/Playground, Party Room, Pool-Outdoors, Tennis Court/s, Curbs/Gutters, Sidewalks, Street Lights, Street Paved</t>
  </si>
  <si>
    <t>2.5%-250(ON NET SP) (on Net SP)</t>
  </si>
  <si>
    <t>Dean Haviland</t>
  </si>
  <si>
    <t>(847) 975-3466</t>
  </si>
  <si>
    <t>CC: Pursuant to Short Sale. 1 Hour Notice. TENANT OCCUPIED. SHOWINGS MUST BE CONFIRMED.  Short Sale - Any Reduction in Commission will be split equally between Listing &amp; Selling Office.</t>
  </si>
  <si>
    <t>51ST EAST OR WEST TO DREXEL, SOUTH TO PROPERTY</t>
  </si>
  <si>
    <t>115 X 105</t>
  </si>
  <si>
    <t>***SHORT SALE APPROVED @ $125k***HERITAGE ON DREXEL, 20 BEAUTIFULLY GUT REHABBED CONDOS (2007) FINISHES INCLUDE: HARDWOOD FLOORING THROUGHOUT. IN UNIT WASHER/DRYER, STAINLESS STEEL  APPLIANCES, GRANITE COUNTERS, UNDERMOUNT SINK. GREAT FLOORPLAN AND SQUARE FOOTAGE, ALL IN A GREAT HYDE PARK LOCATION. THIS UNIT HAS LRG MSTR SUITE W/BATHRM AND WALK IN CLOSET. BRIGHT OPEN FLR PLN W/VIEWS OF DREXEL SQ.</t>
  </si>
  <si>
    <t>6X09</t>
  </si>
  <si>
    <t>Microwave, Dishwasher, Refrigerator, Washer, Dryer, All Stainless Steel Kitchen Appliances</t>
  </si>
  <si>
    <t>N (North), S (South), E (East), W (West)</t>
  </si>
  <si>
    <t>CALL/TEXT ANTHONY @ 312.375.3320 Tenant in unit please allow 24 hours notice</t>
  </si>
  <si>
    <t>(312) 491-0200</t>
  </si>
  <si>
    <t>Anthony Rouches</t>
  </si>
  <si>
    <t>(312) 491-0200x273</t>
  </si>
  <si>
    <t>Non-Smoking Building</t>
  </si>
  <si>
    <t>CC: Pursuant to Short Sale. Pursuant to Short Sale. CC subject to lender approval. Any lender commission reduction will be shared equally between listing broker and coop broker. Rental restrictions in bldg 0% ass. surcharge 1st yr, $10% 2nd yr,20% 3rd yr, 50% 4th yr</t>
  </si>
  <si>
    <t>Deepwoods</t>
  </si>
  <si>
    <t>RT 45 NORTH OF RT 60 TO DEEPWOODS DR E OFF RT 45</t>
  </si>
  <si>
    <t>DIAMOND</t>
  </si>
  <si>
    <t>CALL JANETT  224-436-9469</t>
  </si>
  <si>
    <t>Radiant Realty Corp</t>
  </si>
  <si>
    <t>(847) 984-7648</t>
  </si>
  <si>
    <t>Janet Kaufman</t>
  </si>
  <si>
    <t>CC: Pursuant to Short Sale. SHORT SALE 2 BEDROOM CONDO</t>
  </si>
  <si>
    <t>PRESIDENT</t>
  </si>
  <si>
    <t>PRESIDENT STREET CONDOS</t>
  </si>
  <si>
    <t>Geneva Rd to President Street North -go to the end of President Street 1st building on left</t>
  </si>
  <si>
    <t>So cash buyer walks day of closing. No reason. Approved ss at 120K. Very nice condo with great floor plan featuring large rooms t/o. Very private and secluded area surrounded by parks, woods and walking paths. Updated kitchen features oak cabs, granite tops, black appl. and hardwood floors. Nice sized balcony backing woods. Building features flexicore ceilings and floors. This home is not your typical short sale.</t>
  </si>
  <si>
    <t>Water, Common Insurance, TV/Cable, Exterior Maintenance, Lawn Care, Scavenger, Snow Removal</t>
  </si>
  <si>
    <t>2.5%- $195 (on Net SP)</t>
  </si>
  <si>
    <t>vacant combo</t>
  </si>
  <si>
    <t>Paul Ayers</t>
  </si>
  <si>
    <t>(630) 539-4038</t>
  </si>
  <si>
    <t>CC: Pursuant to Short Sale. Really nice unit. Owner moved out and buyer walks on the day of closing. This is really a great opportunity.</t>
  </si>
  <si>
    <t>St Josephs</t>
  </si>
  <si>
    <t>Fox Highlands</t>
  </si>
  <si>
    <t>Rt 71 South to Raintree East to St Josephs</t>
  </si>
  <si>
    <t>KENDALL</t>
  </si>
  <si>
    <t>Very nicely updated town home with FULL FINISHED BASEMENT that features a 3rd bedroom, 2nd full bath with steam shower and recreation area. 2 Large bedrooms with walk in closets. Kitchen with maple cabinets. Living and dining rooms. Newer wood flooring.  Patio. 2 car garage. 1st floor laundry. Short sale sold as is where is, but is in great condition. No survey, 100% tax pro-ration.  Lender approval. No FHA buyers</t>
  </si>
  <si>
    <t>YORKVILLE GRADE SCHOOL</t>
  </si>
  <si>
    <t>YORKVILLE HIGH SCHOOL</t>
  </si>
  <si>
    <t>Steam Shower</t>
  </si>
  <si>
    <t>Foyer, Recreation Room</t>
  </si>
  <si>
    <t>Call or text LA 630-220-7674 - must confirm</t>
  </si>
  <si>
    <t>Marta Bocska</t>
  </si>
  <si>
    <t>(630) 220-7674</t>
  </si>
  <si>
    <t>630-220-7674</t>
  </si>
  <si>
    <t>CC: Pursuant to Short Sale. Very nicely updated unit, move in ready.</t>
  </si>
  <si>
    <t>1S</t>
  </si>
  <si>
    <t>OGDEN AVENUE TO GROVE, NORTH TO HOME</t>
  </si>
  <si>
    <t>TWO BEDROOM/ONE BATH CONDO IN AWARD-WINNING HOLLYWOOD SCHOOL DISTRICT!  PRIDE OF OWNERSHIP THROUGHOUT.  COMES WITH 2 ASSIGNED PARKING SPACES.  FREE LAUNDRY.  FREE USE OF COMMUNITY ROOM.  EXTRA STORAGE.  YOU CAN NOT BEAT THIS LOCATION...ONE BLOCK FROM THE METRA TRAIN STATION AND DOWNTOWN BROOKFIELD.  WALKING DISTANCE TO THE BROOKFIELD ZOO.  CLOSE TO 290 AND 55 EXPRESSWAYS. A MUST SEE!</t>
  </si>
  <si>
    <t>HOLLYWOOD ELEMENTARY SCHOOL</t>
  </si>
  <si>
    <t>Bike Room/Bike Trails, Storage, Party Room, Curbs/Gutters, Sidewalks, Street Lights, Street Paved</t>
  </si>
  <si>
    <t>Water, Parking, Common Insurance, Exterior Maintenance, Lawn Care, Scavenger, Other</t>
  </si>
  <si>
    <t>2.50%-$300 (on Net SP)</t>
  </si>
  <si>
    <t>Please schedule through Showing Assist. Easy to show.</t>
  </si>
  <si>
    <t>Burlington Realty</t>
  </si>
  <si>
    <t>(708) 447-7207</t>
  </si>
  <si>
    <t>Jeff Baker</t>
  </si>
  <si>
    <t>(708) 567-4901</t>
  </si>
  <si>
    <t>RT 120 TO WILSON, NORTH TO WOODLAND, EAST TO PROPERTY</t>
  </si>
  <si>
    <t>SHOWS WELL, WONT LAST, MOVE FAST! SPACIOUS TOWNHOME WITH A TON OF POTENTIAL / TWO LARGE BEDROOMS / ONE AND A HALF BATHROOMS / FULL FINISHED BASEMENT AND TWO CAR GARAGE / SOLD AS IS / PROOF OF FUNDING MUST ACCOMPANY ALL OFFERS / PLEASE FAX ALL OFFERS TO THE OFFICE.***MULTIPLE OFFERS HIGHEST AND BEST DUE BY 12PM TOMORROW 5/29/2014******</t>
  </si>
  <si>
    <t>FAX (708) 656-4444</t>
  </si>
  <si>
    <t>OGDEN TO MAIN, SOUTH TO ROGERS, EAST</t>
  </si>
  <si>
    <t>PEND SIGNED CNX! INVESTOR COUNTER IS LIST PRICE.CALLING ALL INVESTORS!! 5- TOWNHOMES. FRONT PATIO W/BRICK COLUMNS &amp; WROUGHT IRON FENCING. CHERRY HW FLR, KIT HAS GRANITE CNTRTPS, LOWER LEVEL W/ MSTR BR W/WALK-IN CLOSET. MSTR BA W/WHRLPL TUB. LDY &amp; STORAGE IN UNIT. CENTAL AIR. 1 PARKING SPOT! WALK TO DOWNTOWN, TRAIN &amp; LIBRARY.!!!!DISSOLVED/DEFUNCT HOA!!!!! ###See units 704, 706,708 &amp; 710 of this 5 unit Building!###</t>
  </si>
  <si>
    <t>Click on Showing assist below</t>
  </si>
  <si>
    <t>Casey &amp; Wagner Real Estate</t>
  </si>
  <si>
    <t>(708) 544-3550</t>
  </si>
  <si>
    <t>Melissa Murphy Hainault, SFR</t>
  </si>
  <si>
    <t>(847) 922-0617</t>
  </si>
  <si>
    <t>CC: Pursuant to Short Sale. DISSOLVED/DUFUNCT HOA!! SOLD AS-IS, TAXES 100%, NO SURVEY, EXPERT SS ATTORNEY HANDLING FILE! Use 5.0 Contract &amp; 5.0 SS Add.CALL MELISSA (847)922-0617 w/ Q's! If commission is reduced it will be split between brokers.</t>
  </si>
  <si>
    <t>BIRCH</t>
  </si>
  <si>
    <t>White Oak &amp; Washington: S on White Oak &amp; W on Birch</t>
  </si>
  <si>
    <t>HUD OWNED HOME CASE #: 137-408980. AN EQUAL HOUSING OPPORTUNITY. ALL HUD HOMES ARE SOLD AS-IS. 2 BEDROOMS, 1.1 BATH, GARAGE, FAMILY ROOM W/FIREPLACE.  Property is insured with a repair escrow of $550.; Disclose Mold like substance; EHO; Property is sold "As-IS". Property Details on HUD Homestore.</t>
  </si>
  <si>
    <t>Park/Playground, Tennis Court/s, Street Lights, Street Paved</t>
  </si>
  <si>
    <t>Oven/Range, Dishwasher, Refrigerator, Freezer, Washer, Dryer, Disposal</t>
  </si>
  <si>
    <t>Tom Yingling</t>
  </si>
  <si>
    <t>(847) 732-1668</t>
  </si>
  <si>
    <t>Agents with active NAID#s can submit offers at www.HUDHOMESTORE.com.Buyer responsible for ALL City or Village inspections or requirements. Check eligible bidder status &amp; property condition report. CHECK ADD. INFO FOR BIDDING PROCESS.</t>
  </si>
  <si>
    <t>We offer the combination of newer construction and gorgeous views that no one else in the area has to offer.  Freshly painted and newly carpeted spacious condo for sale, serene private lake setting, tremendous value, in unit laundry, gas cooking, indoor parking and storage included.  Community Features: Club, heated outdoor pool, fitness center, saunas, beach and fire pit.</t>
  </si>
  <si>
    <t>3.5% (on Net SP)</t>
  </si>
  <si>
    <t>Contact Sales Office mhollman@medinahonthelake.com 1.630.980.7300</t>
  </si>
  <si>
    <t>3.5% co-op paid on all contracts buyer signed by 5/31/2014.  Please contact Sales Office mhollman@medinahonthelake.com 1.630.980.7300</t>
  </si>
  <si>
    <t>Army Trail to Gary South to Elk Trail west to home...</t>
  </si>
  <si>
    <t>New Carpet &amp; Paint !Own for less than rent! 2 Bedroom and 1.5 bath condo move-in-ready.100% tax proration, no survey or disclosures provided.For more information about HomePath homes and incentives, please visit HomePathcom. Room/Lot sizes are approx. POF strongly encouraged with all offers.</t>
  </si>
  <si>
    <t>12X4</t>
  </si>
  <si>
    <t>SEE Secure Showing Assist Instructions</t>
  </si>
  <si>
    <t>Kevin Schudel</t>
  </si>
  <si>
    <t>(847) 833-2337</t>
  </si>
  <si>
    <t>It is strongly encouraged that an offer includes proof of funds or pre approval and is a requirement for seller's final acceptance. Fannie Mae offers HomePath Mortgage Renovation/Finance programs. Purchase for as little as 5% down.</t>
  </si>
  <si>
    <t>Hough</t>
  </si>
  <si>
    <t>CREEKSIDE POINTE</t>
  </si>
  <si>
    <t>Hough St. just South of Northwest HWY (Rt. 14) to building on East side. 543 is the building behind</t>
  </si>
  <si>
    <t>PRISTINE CONDITION!! 2 BDRMS, 2 BTHS, KITCHEN WITH CHERRY CABINETS, GRANITE COUNTERS AND S S APPLS. WALK TO VILLAGE, TRAIN, UPSCALE SHOPPING, RESTAURANTS, SCHOOLS AND LIBRARY.  PLUSH CARPET, FRESHLY PAINTED INTERIOR, ABUNDANT STORAGE AND PRIVATE BALCONY, SMOKE FREE. METICULOUS AND SECURE ELEVATOR BUILDING WITH HEATED UNDERGROUND GARAGE AND EXTRA STORAGE AREA!!!</t>
  </si>
  <si>
    <t>BARRINGTON MIDDLE SCHOOL-STATION</t>
  </si>
  <si>
    <t>Common Grounds, Landscaped Professionally, Rear of Lot</t>
  </si>
  <si>
    <t>Centralized Showing 877-977-1010</t>
  </si>
  <si>
    <t>Conroy</t>
  </si>
  <si>
    <t>Sharon Falco</t>
  </si>
  <si>
    <t>(630) 307-2760</t>
  </si>
  <si>
    <t>Smoke Free Building!!</t>
  </si>
  <si>
    <t>N. on Lakeview Drive from Lake St. between Glen Ellyn Rd and Circle St.</t>
  </si>
  <si>
    <t>We offer the combination of Newer Construction and Gorgeous Views that no one else in the area has to offer. Slightly used new spacious condo, serene private lake setting, tremendous value, in unit laundry, gas cooking, indoor parking and storage included.    Community Features: Clubhouse, heated outdoor pool, fitness center, saunas, beach and fire pit.</t>
  </si>
  <si>
    <t>Contact Sales Office 1.630.980.7300 mhollman@medinahonthelake.com</t>
  </si>
  <si>
    <t>3.5% co-op paid on all contracts buyer signed by 5/31/2014</t>
  </si>
  <si>
    <t>FARMINGDALE</t>
  </si>
  <si>
    <t>BUTTERFIELD RD NORTH OF RT 45 TO PLYMOUTH FARMS EAST TO FARMINGDALE.</t>
  </si>
  <si>
    <t>FRESHLY PAINTED, NEWLY CARPETED 2 STORY TOWNHOME WITH NEWER WINDOWS, EATING AREA, WOOD LAMINATE FLOORS IN LIVING ROOM, ATTACHED GARAGE.  THIS IS A FANNIE MAE HOMEPATH PROPERTY. CAN BE PURCHASED WITH 5% DOWNPAYMENT. IT IS APPROVED FOR HOMEPATH AND HOMEPATH RENOVATION MORTGAGES.</t>
  </si>
  <si>
    <t>Pool, Exterior Maintenance, Lawn Care, Snow Removal</t>
  </si>
  <si>
    <t>CO Detectors, Ceiling Fan, Fan-Attic Exhaust</t>
  </si>
  <si>
    <t>Stucco, Stone</t>
  </si>
  <si>
    <t>USE SHOWING ASSISTANT</t>
  </si>
  <si>
    <t>A Team Realty Inc.</t>
  </si>
  <si>
    <t>(847) 632-1095</t>
  </si>
  <si>
    <t>Anna Cherniak, e-PRO,SFR</t>
  </si>
  <si>
    <t>(847) 571-3486</t>
  </si>
  <si>
    <t>ALL OFFERS MUST BE SUBMITTED VIA WWW.HOMEPATH.COM</t>
  </si>
  <si>
    <t>sheffield</t>
  </si>
  <si>
    <t>Delany  &amp; Wadsworth East to Cambridge, North to Sheffield, West to number.</t>
  </si>
  <si>
    <t>Great location, Low maintance 55 and older gated community, 2 bedroom, 2 bath Ranch. 2 car attached Garage! Ceramic tile floors. Freshly Painted! Not a short sale, a quick closing REO. Buyer to do their own due diligence. Seller and agents are not responsible for any misinformation in the MLS or the tax assessors site.</t>
  </si>
  <si>
    <t>Pool-Outdoors, Curbs/Gutters, Gated Entry, Sidewalks, Street Lights, Street Paved</t>
  </si>
  <si>
    <t>Corner, Cul-de-sac, Landscaped Professionally</t>
  </si>
  <si>
    <t>Common Insurance, Security System, Clubhouse, Exercise Facilities, Lawn Care, Snow Removal</t>
  </si>
  <si>
    <t>click showing assist link for access information.</t>
  </si>
  <si>
    <t>Hamilton Group, REALTORS</t>
  </si>
  <si>
    <t>(847) 543-8875</t>
  </si>
  <si>
    <t>Elona Hamilton, AHWD</t>
  </si>
  <si>
    <t>All offers at this time, must be made thru hudsonandmarshall.com . All offers must directed to Husdon and Marshall Auction House.</t>
  </si>
  <si>
    <t>Oak Creek</t>
  </si>
  <si>
    <t>OAK CREEK</t>
  </si>
  <si>
    <t>Off Site Sales Center/N on Farnsworth/Kirk Call Maureen 331-999-5717</t>
  </si>
  <si>
    <t>CAMPBELL-A1</t>
  </si>
  <si>
    <t>60X80</t>
  </si>
  <si>
    <t>Oak Creek By M/I Homes of Chicago. DUPLEX, New Construction. 8' Lookout Basement w/Rough in Bath.  9' Ceiling Main Level. Breakfast Bay in Kitchen. Volume Ceiling Master Bedroom w/Lux Bath. Fireplace. Volume Ceiling in Loft! Stained Rails &amp; Spindles.  30 Year Transferrable Structural Builder Warranty. 100% Energy Star. STILL TIME TO CHOOSE COLORS. SUBJECT HOME HAS A SUMMER 2014 DELIVERY. Lot 1301.</t>
  </si>
  <si>
    <t>SCHNEIDER ELEMENTARY SCHOOL</t>
  </si>
  <si>
    <t>Foyer, Great Room, Loft</t>
  </si>
  <si>
    <t>Call Maureen Parotto 331-999-5717 BRAND NEW COMMUNITY or use ShowingAssist</t>
  </si>
  <si>
    <t>M/i Homes of Chicago, LLC</t>
  </si>
  <si>
    <t>331-999-5717</t>
  </si>
  <si>
    <t>Agent must accompany buyers on first visit. Register with Maureen 331-999-5717. Commission paid on base price. Call Maureen for hours and appointment. BRAND NEW COMMUNITY!</t>
  </si>
  <si>
    <t>Jonathan</t>
  </si>
  <si>
    <t>LAKEWOOD GROVE</t>
  </si>
  <si>
    <t>ROUTE 60 W OF PETERSON TO CEDARLAKE W TO JONATHAN</t>
  </si>
  <si>
    <t>FREMONT</t>
  </si>
  <si>
    <t>Lakewood Grove 2 bedroom 1 1/2 bath town-home with fireplace in living room. All new carpet and paint. In move in condition. 2 car attached garage. Clubhouse and pool included on amenities..This is a Fannie Mae/ homepath property.</t>
  </si>
  <si>
    <t>Common Insurance, Clubhouse, Pool, Exterior Maintenance, Lawn Care</t>
  </si>
  <si>
    <t>Seller has directed all offers be made using the HomePath Online Offers system at HomePath.com. See Additional Info for docs.</t>
  </si>
  <si>
    <t>GOLF (RT 58) 2 COUNTRYFIELD LN 2 HOME</t>
  </si>
  <si>
    <t>HEATHERFIE</t>
  </si>
  <si>
    <t>TUCKED AWAY TOWNHOME COMMUNITY W/ONLY A FEW UNITS! PREM LOCATION BACKS 2 TREES &amp; FARM! TILE ENTRY! 2-STY VLTD LIV RM W/PLNT SHLF! KTCHN W/HDWD FLRS, BRKFST BAR, MAPLE CABS &amp; SLDR 2 LRG CVRD PATIO! SPAC MBDRM W/WIC &amp; PRVT BTH W/DBL SINKS! LWR LVL FR W/GAS LOG FP! LOFT OVERLOOKS LIV RM! OAK RAILS!</t>
  </si>
  <si>
    <t>Security System, Sump Pump</t>
  </si>
  <si>
    <t>USE SHOWING ASSIST OR CALL LO - 847-931-7500</t>
  </si>
  <si>
    <t>TONYA TUCKER</t>
  </si>
  <si>
    <t>Robert Wisdom</t>
  </si>
  <si>
    <t>(847) 695-8348</t>
  </si>
  <si>
    <t>CC: Pursuant to Short Sale. **SHORT SALE - ALLOW TIME FOR LENDER APPROVAL** COMMISSION SPLIT 50/50 ON LENDER IMPOSED REDUCTION</t>
  </si>
  <si>
    <t>Maple Park</t>
  </si>
  <si>
    <t>Rt 38 to county line rd. North to  Ashton to Elizabeth</t>
  </si>
  <si>
    <t>MAPLE PARK</t>
  </si>
  <si>
    <t>48.32 X 132.53 X4 5.44 X 132.53</t>
  </si>
  <si>
    <t>This charming 2 Bedroom, 1.5 Bath duplex features partially finished basement with rough-in. Kitchen features all appliances, open to eating area and sliding glass door opens to large deck. The partially finished basement features additional space that is roughed-in and studded to be finished. Master Bedroom boasts vaulted ceilings and his and hers closets. This home is ready for you to move in, call today!</t>
  </si>
  <si>
    <t>click on showing assist below or call CSS 877-977-1010</t>
  </si>
  <si>
    <t>Melissa Mobile</t>
  </si>
  <si>
    <t>(815) 501-4011</t>
  </si>
  <si>
    <t>new roof being put on as soon as weather allows</t>
  </si>
  <si>
    <t>DIAMOND LAKE</t>
  </si>
  <si>
    <t>HARBOR POINTE</t>
  </si>
  <si>
    <t>Rt 45 South of Allanson to Diamond Lake Rd Right to Harbor Pointe.</t>
  </si>
  <si>
    <t>INTERGRAL</t>
  </si>
  <si>
    <t>Waterfront Buy! Outstanding open condo in resort like community on Diamond Lk, one of few motorized lakes in S Lake Cty*Deeded boat dock w/priv mooring steps away*Tiered Deck*Rare End unit*open flr plan+skylites*LR w/stone fp*DR w/access to deck*New SS Kit App*Hdwd flrs*rare 4 Seasons rm w/4 skylites w/stairless priv entry off pk lot*2 car gar+1 spot+guest pkg,*Beach/park*Pier* Garbage+snow removal incld.Great place!</t>
  </si>
  <si>
    <t>27X9</t>
  </si>
  <si>
    <t>Boat Dock, Street Lights, Street Paved</t>
  </si>
  <si>
    <t>Lake Front, Water Rights, Water View</t>
  </si>
  <si>
    <t>Water, Parking, Common Insurance, Exterior Maintenance, Lawn Care, Scavenger, Snow Removal, Lake Rights, Other</t>
  </si>
  <si>
    <t>N (North), S (South), Lake/Water</t>
  </si>
  <si>
    <t>Gas, Electric, Forced Air, Baseboard, Zoned</t>
  </si>
  <si>
    <t>push button Lock box on mid gar door hook</t>
  </si>
  <si>
    <t>Patricia Ciko, ABR,CRS,GRI</t>
  </si>
  <si>
    <t>(847) 875-7917</t>
  </si>
  <si>
    <t>Only unit with the extra large room in back can walk in from parking lot without going down steps. 2 garage spaces.No flood plain.Call LA re: contingent on cancellation of 1st contract.</t>
  </si>
  <si>
    <t>CASS</t>
  </si>
  <si>
    <t>ROYAL HILLS CLUB</t>
  </si>
  <si>
    <t>MIDWEST RD (OR CASS) TO 35TH STREET WEST TO CASS COURT SOUTH TO ROYAL HILLS CLUB</t>
  </si>
  <si>
    <t>RESIDENCE A</t>
  </si>
  <si>
    <t>LUXURIOUS &amp; SPRAWLING! AMAZING VALUE FOR AN AMENITY RICH/LOW TAX SPACIOUS CONDO BOASTING 2300 SQ FT. LR W/2-SIDED FRPLCE. EXPANSIVE DR RM OPENS SOLARIUM W/BRIGHT S.EXPOSURE. KIT W/ BRKFST RM. W-WING MSTR STE W/HIS &amp; HER WI CLOSET &amp; FRENCH DR TO PATIO W/GARDEN VIEW. MSTR BA WHIRLPL. E-WING W/2ND STE &amp; STUDY AREA. *NEW FURNACE &amp; AIR* HTD GAR* DRAMATIC 4S  LOBBY. RESORT STYLE LIVING W/INDR PL, EXERCISE RM &amp; MORE</t>
  </si>
  <si>
    <t>C E MILLER ELEMENTARY SCHOOL</t>
  </si>
  <si>
    <t>Elevator, Exercise Room, Storage, On Site Manager/Engineer, Party Room, Pool-Indoors, Sauna, Security Door Locks, Whirlpool, Curbs/Gutters, Gated Entry</t>
  </si>
  <si>
    <t>Water, Common Insurance, Security System, Exercise Facilities, Pool, Exterior Maintenance, Lawn Care, Scavenger, Snow Removal</t>
  </si>
  <si>
    <t>Breakfast Room, Foyer, Study, Sun/Florida Room</t>
  </si>
  <si>
    <t>2.5%-$200. (on Gross SP)</t>
  </si>
  <si>
    <t>PLEASE USE SHOWING ASSIST. CONFIRMATION NEEDED BEFORE APPOINTMENT.</t>
  </si>
  <si>
    <t>Ann Ventura, CRS,GRI</t>
  </si>
  <si>
    <t>(630) 928-8802</t>
  </si>
  <si>
    <t>MOVE-IN READY * NEWLY PAINTED! IDEALLY LOCATED W/UNIT ONE DOOR FROM ELEVATOR. 3RD FLR WITH GARDEN VIEW.  GARAGE SPACE &amp; STORAGE LOCKER ON SAME FLOOR! RESORT STYLE LIVING W/INDOOR HEATED INDOOR POOL WHIRLPOOL, SAUNA, EXERCISE &amp; PARTY</t>
  </si>
  <si>
    <t>PARIS</t>
  </si>
  <si>
    <t>WADSWORTH RD TO CAMBRIDGE TO QUEENSBURY TO WARREN TO PARIS</t>
  </si>
  <si>
    <t>NEW LISTING IN CAMBRIDGE AT HEATHERSTONE SECOND FLOOR PENTHOUSE. SPACIOUS MONTGOMERY W/VOLUME CEILINGS, SUNLIT ROOMS, AND  ALL APPLIANCES. CONVENIENT 2ND FLR LAUNDRY. ONLY MINUTES TO GURNEE MILLS, METRA AND NAVEL BASE. FRONT DOOR FACES WARREN.</t>
  </si>
  <si>
    <t>OAK CREST SCHOOL</t>
  </si>
  <si>
    <t>Nancy Gaffke</t>
  </si>
  <si>
    <t>(847) 791-4960</t>
  </si>
  <si>
    <t>CC: Pursuant to Short Sale. COOP COMMISSION SUBJECT TO SELLERS LENDER APPROVAL.</t>
  </si>
  <si>
    <t>Glen Ellyn Road to Gregory east.</t>
  </si>
  <si>
    <t>Stop Paying Rent!  Move into this great 2 bedroom unit!    Enjoy the pool this summer!  Newer laminate floor.   Washer &amp; dryer hook up in unit.   Great value!</t>
  </si>
  <si>
    <t>Heat, Gas, Parking, Common Insurance, Clubhouse, Pool, Exterior Maintenance, Scavenger, Snow Removal</t>
  </si>
  <si>
    <t>Roger Fox, CRS,GRI,SFR,SRES</t>
  </si>
  <si>
    <t>(630) 877-7777</t>
  </si>
  <si>
    <t>east</t>
  </si>
  <si>
    <t>SOUTHGATE MANORS</t>
  </si>
  <si>
    <t>Schaumburg Rd  W of Barrington Rd to East Ave. S to home</t>
  </si>
  <si>
    <t>.....LISTED PRICE APPROVED BY THE LENDER........BEAUTIFUL 2 BEDROOM TOWNHOME, CLOSE TO EVERYTHING...MUST SEE...SHORT SALE SUBJECT TO BANK APPROVAL....</t>
  </si>
  <si>
    <t>Exercise Room, Party Room, Pool-Outdoors</t>
  </si>
  <si>
    <t>TV-Cable, TV-Dish, Ceiling Fan</t>
  </si>
  <si>
    <t>2.5%-295 (on Net SP)</t>
  </si>
  <si>
    <t>CC: Pursuant to Short Sale. .....ALL OFFERS TO      OFFERS.REMAXHRE@GMAIL.COM</t>
  </si>
  <si>
    <t>LINCOLN STATION</t>
  </si>
  <si>
    <t>RT30 TO PROCLAMATION E TO LINCOLN STATION DR TO HOME</t>
  </si>
  <si>
    <t>PROPERTY TO BE SOLD "WITH REPAIR".  SELLER DOES NOT PROVIDE A SURVEY.  TAXES PRORATED AT 100%.  EARNEST MONEY MUST BE IN CERTIFIED FUNDS.  LETTER OD APPROVAL OR PROOF OF FUNDS IS REQUIRED.  SAMPLE ADDENDA AND GUIDELINES ARE ATTACHED.  THIS PROPERTY IS ELIGIBLE UNDER THE FREDDIE MAC FIRST LOOK INITIATIVE THROUGH 09/28/2014</t>
  </si>
  <si>
    <t>WOLFS CROSSING ELEMENTARY SCHOOL</t>
  </si>
  <si>
    <t>Royana Realty, Ltd.</t>
  </si>
  <si>
    <t>(630) 897-4700</t>
  </si>
  <si>
    <t>Kathy Mahoney</t>
  </si>
  <si>
    <t>(630) 338-2320</t>
  </si>
  <si>
    <t>BUYER IS RESPONSIBLE FOR ANY TRANSFER OR EXEMPT STAMPS AS APPLICABLE.  COMMISSION IS $1500 OR 2.5% WHICHEVER IS GREATER.</t>
  </si>
  <si>
    <t>Peace</t>
  </si>
  <si>
    <t>FOX BRIAR</t>
  </si>
  <si>
    <t>Peace Rd. Between Rt. 23 and Rt. 64, Last Row</t>
  </si>
  <si>
    <t>Spacious multi-level condo! This condo features 2 bedrooms, 2.5 baths, hardwood floors, huge master has walk-in closet and private master bath, large 2nd bedroom has 2 closets, finished lookout lower level and 1 car attached garage.  Short sale.</t>
  </si>
  <si>
    <t>20X17</t>
  </si>
  <si>
    <t>20X09</t>
  </si>
  <si>
    <t>24 hour notice required no exceptions - Tenants</t>
  </si>
  <si>
    <t>J.Jill Realty Group</t>
  </si>
  <si>
    <t>(815) 991-5405</t>
  </si>
  <si>
    <t>Jill Jacobsen-Haka</t>
  </si>
  <si>
    <t>815-991-5440</t>
  </si>
  <si>
    <t>CC: Pursuant to Short Sale. Short Sale lender approval required. Any reduction in commission will be split 50/50.</t>
  </si>
  <si>
    <t>72nd street east</t>
  </si>
  <si>
    <t>100X125</t>
  </si>
  <si>
    <t>ALL BRICK 2 BEDROOM CONDOMINIUM FOR SALE IN THE SOUTH SHORE NEIGHBORHOOD. THIS UNIT IS BEING SOLD AS-IS, WHERE IS, BUT HAS BEEN RECENTLY RENOVATED.  NEW CARPET INSTALLED, NEW PAINT, VERY SUNNY UNIT AND ON THE SECOND FLOOR.  BUILDING IS PROFESSIONALLY MANAGED.  ALL TAXES HAVE BEEN PAID CURRENT BUT THERE IS NO PRORATION FOR FUTURE TAX BILLS.  NO SURVEY, VACANT AND EASY TO SHOW- MOVE IN CONDITION!!</t>
  </si>
  <si>
    <t>WHEELER FINANCIAL</t>
  </si>
  <si>
    <t>ROOM SIZES ESTIMATED, SELLER WAITING ON CONDO DOCUMENTS- USE CARE WHEN SHOWING NEW CARPET INSTALLED PLEASE BE VERY RESPECTFUL OF THE NEW WORK DONE, PUT KEYS BACK</t>
  </si>
  <si>
    <t>Hillcrest</t>
  </si>
  <si>
    <t>MAPLE W. OF RT. 53 TO 2ND ENTRANCE, RT. TO BUILDING</t>
  </si>
  <si>
    <t>Affordable unit in the Four Lakes community with many activities.  Newer kitchen cabinets &amp; carpeting.  Enjoy the fireplace in the living, great views, + 2 year old washer/dryer in the unit.    All newer closet doors.  Take advantage of the low prices &amp; low interest rates... Carpet replaced in 2008.  Tenant is willing to stay.</t>
  </si>
  <si>
    <t>Bike Room/Bike Trails, Elevator, Party Room, Pool-Outdoors, Restaurant, Security Door Locks, Tennis Court/s</t>
  </si>
  <si>
    <t>Heat, Water, Gas, Parking, Common Insurance, Clubhouse, Pool, Exterior Maintenance, Lawn Care, Scavenger, Snow Removal, Lake Rights</t>
  </si>
  <si>
    <t>TV Antenna</t>
  </si>
  <si>
    <t>Call LO for tenant info.</t>
  </si>
  <si>
    <t>Service Realty, Inc.</t>
  </si>
  <si>
    <t>(630) 963-7400</t>
  </si>
  <si>
    <t>Larry Kubiak</t>
  </si>
  <si>
    <t>Betty Kubiak</t>
  </si>
  <si>
    <t>Tenant willing to stay (pays $1,095).   Recent improvements:  Jan 2011, new kitchen cabinets $2,875, bath $1,050: Feb 2013, new W/D $964.43, Apr 2014, 6 new bi-fold wood doors $1,188, Jan 2015, new furnace $4,672. 1 reserved space + guest..</t>
  </si>
  <si>
    <t>Myrtle</t>
  </si>
  <si>
    <t>St Charles Rd, south on Villa Ave, west on Kenilworth, on right.</t>
  </si>
  <si>
    <t>2BR/2.5BA townhome: 1st owner 2010, Granite/stainless kit, Master BR/BA, heated attached garage, energy efficient, Open kitchen/LR/dining. Move-in ready â€“ furnished option. Close to everything. Few blocks west of Elmhurst. Walk/jog/bike or quick drive to: trails right outside, Jewel, Walgreens, library, bus/train, restaurants &amp; shopping, highways, hospital, and great schools!</t>
  </si>
  <si>
    <t>Cul-de-sac, Landscaped Professionally, Park Adjacent</t>
  </si>
  <si>
    <t>Humidifier, TV-Cable, TV Antenna, Fire Sprinklers, CO Detectors, Sump Pump</t>
  </si>
  <si>
    <t>Vinyl Siding, Brick, Stone</t>
  </si>
  <si>
    <t>2.5%  -$295 (on Net SP)</t>
  </si>
  <si>
    <t>CALL SELLER @ 630-538-9296 1/2 HR NOTICE PLS</t>
  </si>
  <si>
    <t>Muldowney, Kathleen</t>
  </si>
  <si>
    <t>FAX OFFERS TO LIST OFFICE 773-472-8988</t>
  </si>
  <si>
    <t>81ST</t>
  </si>
  <si>
    <t>79th Street East/West to Saginaw.  South To 81st Street, West to Address (On North East Corner)</t>
  </si>
  <si>
    <t>1361 SQ FT.</t>
  </si>
  <si>
    <t>Cute &amp; Compact Brick Corner 2 Bedroom Townhouse Walk-Out Basement, Rear Deck, Hardwood Flooring, Central Air, And Private Personal Fenced-In Yard! Family Room On Lower Level With Ample Storage Room!     Short Sale Bank Approval needed</t>
  </si>
  <si>
    <t>Storage, Security Door Locks, Curbs/Gutters, Sidewalks, Street Lights, Street Paved, Other</t>
  </si>
  <si>
    <t>Partially Finished, Exterior Access</t>
  </si>
  <si>
    <t>3-200.00 (on Gross SP)</t>
  </si>
  <si>
    <t>Text agent 708-287-4342 24 hours notice;</t>
  </si>
  <si>
    <t>RBS Realty &amp; Property Mgmt</t>
  </si>
  <si>
    <t>(708) 287-4342</t>
  </si>
  <si>
    <t>Tracey Griffin</t>
  </si>
  <si>
    <t>Fax 708-441-3443</t>
  </si>
  <si>
    <t>ONO53</t>
  </si>
  <si>
    <t>SHELBURNE CROSSING</t>
  </si>
  <si>
    <t>Winfield Rd. N. to High Lake West</t>
  </si>
  <si>
    <t>The "Addison" in Exciting Shelburne Crossing! Dramatic 14 Ft Great Room Ceilings! Large Deck Off Kitchen.Photo's Are Of Addison Model. Still Time To Choose Colors &amp; Structural Selections.  30 Year Transferable Structural Builder Warranty.100% Energy Star. Just Minutes to Central DuPage Hospital.</t>
  </si>
  <si>
    <t>NEW Proposed Construction</t>
  </si>
  <si>
    <t>Breakfast Room, Great Room</t>
  </si>
  <si>
    <t>Please call the Sales Office 630-456-4626 (THIS HOME TO BE BUILT) or use ShowingAssist</t>
  </si>
  <si>
    <t>630-456-4626</t>
  </si>
  <si>
    <t>Agent must accompany buyers on first visit. Please register with Kris Shannon. Commission paid on base price. TO BE BUILT. M/I Homes is the #1 Townhome builder in Chicagoland.</t>
  </si>
  <si>
    <t>WING</t>
  </si>
  <si>
    <t>WING STREET CONDOS</t>
  </si>
  <si>
    <t>RT 31 N2 WING ST W PAST MCLEAN</t>
  </si>
  <si>
    <t>Grab this end unit condo w/ open floorplan, lovely views from the living room and deck. Hardwood floors throughout, in unit washer &amp; dryer. Kit w oak cabinets, black stove, side by side fridge. Large masterbedroom w good size closet. 1 dedicated parking space for this unit. Storage and addl laundry in the basement. Close to school, shopping. Short sale opportunity.</t>
  </si>
  <si>
    <t>Appointment required. Please call Centralized Showing 877-977-1010</t>
  </si>
  <si>
    <t>CHI Properties Inc.</t>
  </si>
  <si>
    <t>(773) 904-2007</t>
  </si>
  <si>
    <t>Stephany Oliveros</t>
  </si>
  <si>
    <t>CC: Pursuant to Short Sale. Short sale. Email offers to info@chiproperties.com. Must include proof of funds or pre-approval letter.</t>
  </si>
  <si>
    <t>Meridian</t>
  </si>
  <si>
    <t>WINEBERRY</t>
  </si>
  <si>
    <t>N 1st Street to Bethany go West to Sangamon to Cutler to Meridian</t>
  </si>
  <si>
    <t>DUNHAM</t>
  </si>
  <si>
    <t>26X88</t>
  </si>
  <si>
    <t>Beautiful and roomy Dunham model.  This short sale is bank approved at $105,000.  Can move quickly- last offer fell through.  Features include 2 bedrooms, 2.5 baths, living room w/fireplace, vaulted ceiling, main floor laundry, lower level family room, 2 car garage.  Lower level can be partitioned to add a 3rd bedroom!  $105,000</t>
  </si>
  <si>
    <t>26X14</t>
  </si>
  <si>
    <t>Beach</t>
  </si>
  <si>
    <t>Call L/O or L/A.</t>
  </si>
  <si>
    <t>Gayle Wuori</t>
  </si>
  <si>
    <t>(815) 757-1107</t>
  </si>
  <si>
    <t>CC: Pursuant to Short Sale. Any reduction in commission will be split 50/50. No survey. Prorations 100%.</t>
  </si>
  <si>
    <t>Drexel</t>
  </si>
  <si>
    <t>79th Street, south on Drexel, address on right</t>
  </si>
  <si>
    <t>Well maintained Duplex condo in professionally managed building.  Hardwood floors, stainless steel appliances, bedrooms on separate floors and full sized stackable washer/dryer.  Near great public transportation!</t>
  </si>
  <si>
    <t>Condo-Duplex</t>
  </si>
  <si>
    <t>Please allow 24 hrs.  Showing Assist</t>
  </si>
  <si>
    <t>Eve L Benton</t>
  </si>
  <si>
    <t>(312) 834-4383</t>
  </si>
  <si>
    <t>CC: Pursuant to Short Sale. Unit is well kept.  Earnest money due upon acceptance.  Unit is occupied.  Pls provide 24 hrs notice</t>
  </si>
  <si>
    <t>0N055</t>
  </si>
  <si>
    <t>Winfield Rd North to High Lake West to Community on Right</t>
  </si>
  <si>
    <t>BELMONT</t>
  </si>
  <si>
    <t>Shelburne Crossing of Winfield. New Construction. 9 Ft. Ceilings Main Level.  Kitchen with Island.  Master BR w/Pvt Bath &amp; Volume Ceiling.  Oak Rails.  Finished Bonus Room. 30 Yr Transferable Warranty. 100% Energy Star. Photos Are of the Model. STILL TIME TO CHOOSE INTERIOR SELECTIONS.</t>
  </si>
  <si>
    <t>Oven/Range, Dishwasher, All Stainless Steel Kitchen Appliances</t>
  </si>
  <si>
    <t>Bonus, Breakfast Room, Great Room</t>
  </si>
  <si>
    <t>Please call the Sales Office 630-456-4626 or use ShowingAssist</t>
  </si>
  <si>
    <t>Agent must accompany buyers on first visit. Commission paid on base price. Kris's cell is 630-631-6550 with any questions.  Be sure to register with her.</t>
  </si>
  <si>
    <t>ROOSEVELT 2 ARDMORE N. 1/2 BLK 2 WILLOW OAKS ENTRY ON E</t>
  </si>
  <si>
    <t>***APPROVED  SHORT SALE****NO RENTALS***BUYER COULD NOT FINANCE. 2nd floor unit. Master  w/private bath &amp; 2  closets. Living RM open to balcony and dining. eat-in kit W ceramic tiled counter tops, lots of cabinets &amp; movable center island. WASHER/DRYER IN UNIT. CASH buyer preferred. read agent remarks. no FNMA ins lender</t>
  </si>
  <si>
    <t>2.5%-$150 (on Gross SP)</t>
  </si>
  <si>
    <t>Showings on Sunday only ! Appointment only call Deborah 847-366-0151</t>
  </si>
  <si>
    <t>Deborah Cassidy</t>
  </si>
  <si>
    <t>(847) 366-0151</t>
  </si>
  <si>
    <t>Deborah Cassidy, ABR,CRB,CRS,GRI</t>
  </si>
  <si>
    <t>CC: Pursuant to Short Sale. Approved Short sale  cash buyer preferred, financing will not be possible with a FNMA insured lender because of  too many delinquent assessments in the HOA, and possible low reserves issues. buyer may be able to get local bank financing</t>
  </si>
  <si>
    <t>**SPECTACULAR!!**COMPLETELY REMODELED!** Everything is NEW! NEW baths, kitchen, paint, flooring fireplace tile surround,light fixtures &amp; sliding glass doors. Incredible lake community w/pool/trails/tennis located just minutes to 'ALL" Fox Valley shopping, I88, Metra etc. **NAPERVILLE SCHOOLS!!** Private unit overlooking wooded courtyard! Bring offers NOW!! See Disclosures/Sold As-is (please initial line 450 Multi bd)</t>
  </si>
  <si>
    <t>Call Showing Time 866-852-8313</t>
  </si>
  <si>
    <t>Meadows CU</t>
  </si>
  <si>
    <t>847-381-9500</t>
  </si>
  <si>
    <t>Celeste Barr, ABR,CRS,e-PRO,GRI,SFR</t>
  </si>
  <si>
    <t>(847) 868-2353</t>
  </si>
  <si>
    <t>Showing through the end of Attorney Review and Inspection.</t>
  </si>
  <si>
    <t>Iroquois</t>
  </si>
  <si>
    <t>THE MANSIONS</t>
  </si>
  <si>
    <t>Ogden to Iroquois</t>
  </si>
  <si>
    <t>A beautiful unit in a great location. Safe and secure building.  Bright, light, clean and tasteful!  First floor unit with an attached garage. W/D . Eat in kitchen plus a dining room. Wood burning fireplace.   Appliances changed to stainless steel.</t>
  </si>
  <si>
    <t>CALL CSS 877-977-1010 FOR APPT.</t>
  </si>
  <si>
    <t>on record</t>
  </si>
  <si>
    <t>Margaret Pierce</t>
  </si>
  <si>
    <t>(630) 327-0143</t>
  </si>
  <si>
    <t>Call Matt with any questions. 630-697-2174  pushbutton lock on garage door 1120 around back. Use front door. From front door it's the 1st unit on the left-ground floor. Buyers agent must accompany buyers to appt.</t>
  </si>
  <si>
    <t>FOXDALE</t>
  </si>
  <si>
    <t>LAKE TO LOMBARD RD, NORTH TO 1ST ENTRY ON THE LEFT</t>
  </si>
  <si>
    <t>BEAUTIFUL CONDO WITH TWO BEDROOMS TWO BATHS/NEAR PARKS, EXPRESSWAY, AND GOLF COURSE/HOMESTEPS FINANCING AVAILABE, SEE ADDITIONAL INFO/SOLD AS IS/PLEASE FAX ALL OFFERS TO THE OFFICE</t>
  </si>
  <si>
    <t>CALL 877-977-1010 TO SCHEDULE SHOWINGS</t>
  </si>
  <si>
    <t>SEE ADDITIONAL INFO.  SEE DOCS &amp; ALL OTHER DISCLOSURES LOCATED UNDER ADDITIONAL INFORMATION ON TOP RIGHT CORNER.  THIS PROPERTY IS ELIGIBLE UNDER THE FREDDIE MAC FIRST LOOK INITIATIVE THROUGH 05/10/2014. Highest and best due 3/24/15 4 pm</t>
  </si>
  <si>
    <t>WISTERIA</t>
  </si>
  <si>
    <t>OGDEN WEST-EOLA SOUTH-KEATING RT-WISTERIA LT</t>
  </si>
  <si>
    <t>SUPERIOR LOCATION BACKING TO SINGLE FAMILY HOMES* MOVE-IN CONDITION - SUPER CLEAN*9FT CEILINGS 1ST FLR*TERRIFIC KITCHEN FOR ENTERTAINING &amp; OPENS INTO DINING RM &amp; GREAT RM W/SLIDING GLASS DOOR TO PATIO &amp; OPEN BACKYARD*LG MASTER BEDRM W/CATHEDRAL CEILINGS &amp; DECORATIVE LEDGE-DOUBLE CLOSETS*FULL BATH W/WHIRLPOOL TUB &amp; SEP SHOWER*2ND FLR LAUNDRY*2ND FLR LOFT*SHORT SALE BUT BANK ON BOARD  EXPERT SS ATTY</t>
  </si>
  <si>
    <t>CO Detectors, Ceiling Fan, Radon Mitigation System(s)</t>
  </si>
  <si>
    <t>CLICK ON SHOWEING ASSIST</t>
  </si>
  <si>
    <t>LIDIJA</t>
  </si>
  <si>
    <t>Cheryl Dudek</t>
  </si>
  <si>
    <t>(630) 774-9504</t>
  </si>
  <si>
    <t>CC: Pursuant to Short Sale. SHORT SALE NOT TOO SHORT.. EXPERT ATTY HANDLING SHORT SALE AND BANK ALREADY ON BOARD</t>
  </si>
  <si>
    <t>Manheim to Washington W to Geneva N to Property</t>
  </si>
  <si>
    <t>Great value on a two story town home in Bell wood. This town home features a rear deck, central AC, a full finished basement and a detached garage space.  This is a complete   re hab  and looks really nice ,you have to see it to believe it.  all brand new windows ,new electricals, new er plumbing, new kitchen cabinets and counter tops,new kitchen floor,will not last long , new garage door ,show it and sell it</t>
  </si>
  <si>
    <t>vacant, call la,lo</t>
  </si>
  <si>
    <t>vacant shiow any time, cmbo lb on railing</t>
  </si>
  <si>
    <t>Peace to Bethany to Sangamon to Napa to home</t>
  </si>
  <si>
    <t>31X86</t>
  </si>
  <si>
    <t>Great opportunity to own instead of renting. 2 bed 1.1 bathroom with attached 2 car garage and full basement waiting for your finishing touches with rough in for additional bathroom private patio for summertime fun. See through fireplace in living room. Turn key condition, new paint throughout, new appliances &amp;  fixtures seller will give credit for past due HOA dues of $1,360</t>
  </si>
  <si>
    <t>Click on schedule a showing link download offer instructions from Connect MLS documents</t>
  </si>
  <si>
    <t>E-MAIL GPISK</t>
  </si>
  <si>
    <t>Winfield Realty</t>
  </si>
  <si>
    <t>(630) 262-1824</t>
  </si>
  <si>
    <t>Glen Piske</t>
  </si>
  <si>
    <t>(630) 262-5277</t>
  </si>
  <si>
    <t>Sold AS IS tax pro ration 100% offer must include pre approval letter or proof of funds for cash offer sellers attorney holds EM seller addendum post offer acceptance EM must be certified funds contact HOA about rental availability</t>
  </si>
  <si>
    <t>GE</t>
  </si>
  <si>
    <t>1 BLK W OF STONEY ISLAND, 1 BLK N OF 67TH STREET</t>
  </si>
  <si>
    <t>40X126</t>
  </si>
  <si>
    <t>CONDO ON A QUIET STREET. NEAR JACKSON PARK GOLF COURSE, LAKE, SHOPPING WITH EASY ACCESS TO DOWNTOWN VIA CAR OR PUBLIC TRANSPORTATION. LARGE MASTER, JACUZZI, THIS UNIT IS OCCUPIED WITH TENANT, PLEASE ALLOW 24HR ADVANCE NOTICE FOR SHOWINGS</t>
  </si>
  <si>
    <t>15X17</t>
  </si>
  <si>
    <t>Forced Air, Indv Controls</t>
  </si>
  <si>
    <t>Jeff BV - Commerical, LLC</t>
  </si>
  <si>
    <t>Provide proof of funds with cash offers and Pre-approval for all financed deals. Email offers @ rpchicago453@gmail.com or fax 773-785-5579. ALL OFFERS MUST BE SUBMITTED ON ATTACHED SELLERâ€™S CONTRACT/ADDENDUM</t>
  </si>
  <si>
    <t>5s565</t>
  </si>
  <si>
    <t>Paxton</t>
  </si>
  <si>
    <t>paxton townhome area to 5s565</t>
  </si>
  <si>
    <t>100X50</t>
  </si>
  <si>
    <t>Great Location with Great Schools ! 2 beds and 2 baths. 100% Move In ready. Appliances offered as shown. Bike to Rt 59 Metra, by I-88, ten minutes to downtown Naperville or the nearby malls. Pets allowed. Super Clean! Quick close possible here. Includes garage space! Cheaper than rent. Rentals are allowed! Short Sale.  List price approved, 60 day close possible.</t>
  </si>
  <si>
    <t>Water, Parking, Common Insurance, Lawn Care, Snow Removal</t>
  </si>
  <si>
    <t>CALL SHOWINGTIME - 800-746-9464. NO SAME DAY SHOWINGS PLEASE! MUST CONFIRM.</t>
  </si>
  <si>
    <t>Lonny Miller</t>
  </si>
  <si>
    <t>(847) 347-4666</t>
  </si>
  <si>
    <t>CC: Pursuant to Short Sale. *Prequalification Required by our preferred lender on all offers. Call Chris Gnutek @312-758-9457** Agent is a Short Sale EXPERT. Buyers agent holds earnest money. www.shortsaleschicago.com</t>
  </si>
  <si>
    <t>mohawk</t>
  </si>
  <si>
    <t>Old Rand rd. south of Rt.22  to Mohawk Trail, east to home</t>
  </si>
  <si>
    <t>5200 SQFT</t>
  </si>
  <si>
    <t>Good condition. Freshly painted. Close to schools, parks. Easy to show.</t>
  </si>
  <si>
    <t>Dmitriy Kotlyar</t>
  </si>
  <si>
    <t>(847) 962-8577</t>
  </si>
  <si>
    <t>Tamahawk</t>
  </si>
  <si>
    <t>BOOK RD N OF 95TH TO TAMAHAWK W TO HOME</t>
  </si>
  <si>
    <t>Bright, Open floor plan with sliders leading to deck. Fireplace - Jacuzzi tub - Plenty of closet space - Finished Basement with half bath.</t>
  </si>
  <si>
    <t>2nd Kitchen, Loft</t>
  </si>
  <si>
    <t>3% * SEE AGENT REMARKS * (on Net SP)</t>
  </si>
  <si>
    <t>Click "SCHEDULE A SHOWING"</t>
  </si>
  <si>
    <t>Chicagoland Realty Network LLC</t>
  </si>
  <si>
    <t>(815) 388-8000</t>
  </si>
  <si>
    <t>Paul Serwatka</t>
  </si>
  <si>
    <t>CC: Pursuant to Short Sale. Subject to SS approval. Very experienced in SS. (1 mortgage. Legitimate hardship. Seller qualifies.  Any comp red to be split. *COOP COMP MINUS your office's customary admin/MLS/Listing input fee. Call 4 details.</t>
  </si>
  <si>
    <t>Lakeside</t>
  </si>
  <si>
    <t>Ingleside</t>
  </si>
  <si>
    <t>TANNERON BAY</t>
  </si>
  <si>
    <t>134 E OF RT12 TO WOOSTER TO LAKESIDE TO HOME</t>
  </si>
  <si>
    <t>RELAX IN THIS IMMACULATE TOWNHOUSE ON PRIVATE WOOSTER LAKE OFFERS BEAUTIFUL HARDWOOD FLOORS, SOARING CEILINGS WITH A WALL OF WINDOWS.  GORGEOUS OAK KITCHEN WITH BREAKFAST BAR.  LUXURY MASTER SUITE INCLUDES WALKIN CLOSET &amp; SEP WHIRPOOL SHWER.  GREAT LOFT SPACE, 2ND FLR LAUNDRY, PATIO AND MORE.  LAKE RIGHTS. Short Sale. Lender Requires all offers to be placed at hubzu.</t>
  </si>
  <si>
    <t>Bike Room/Bike Trails, Boat Dock</t>
  </si>
  <si>
    <t>Water, Scavenger, Lake Rights</t>
  </si>
  <si>
    <t>Deposit Required, Dogs OK, Pet Count Limitation</t>
  </si>
  <si>
    <t>CENTURY 21 New Heritage</t>
  </si>
  <si>
    <t>(815) 568-8093</t>
  </si>
  <si>
    <t>Lisa Rossow</t>
  </si>
  <si>
    <t>(847) 875-4960</t>
  </si>
  <si>
    <t>LisaRossow.com</t>
  </si>
  <si>
    <t>CC: Pursuant to Short Sale. Lender Requires all offer submissions to be placed at www.hubzu.com. Check Hubzu for availability before showing.</t>
  </si>
  <si>
    <t>S206A</t>
  </si>
  <si>
    <t>Harbour Club</t>
  </si>
  <si>
    <t>Route 176 East of Rand(rt.12) to Main N to Harbour Club Complex</t>
  </si>
  <si>
    <t>Waterfront complex!This must be cleanest &amp; most immaculate unit in complex New interior &amp; exterior doors &amp; trim 2BR, 2BA Condo on Bangs Lake.Large Living Room w/Fireplace and huge Master BR with walk-in closet both with water views from 2 private balconies.Private sandy beach, pool, lush gardens, fishing pier, boat docs (add fee). Rights to use large beachfront rec room-perfect for hosting events.Resort living all yr</t>
  </si>
  <si>
    <t>Heat, Air Conditioning, Water, Gas, Parking, Common Insurance, Security, Security System, Clubhouse, Exercise Facilities, Pool, Exterior Maintenance, Lawn Care, Scavenger, Snow Removal, Lake Rights</t>
  </si>
  <si>
    <t>2.5%-$195 (on Gross SP)</t>
  </si>
  <si>
    <t>use show assist or call LO 847 438 6200 - sentrilock to right of entrance on fence</t>
  </si>
  <si>
    <t>Gregg Swanson</t>
  </si>
  <si>
    <t>(847) 307-8219</t>
  </si>
  <si>
    <t>LA Fax 847 307 8290</t>
  </si>
  <si>
    <t>Unit CAN NOT BE USED AS RENTAL !   OWNER OCCUPANTS ONLY</t>
  </si>
  <si>
    <t>BELLEVUE</t>
  </si>
  <si>
    <t>Rt. 31 to Union, West to Jefferson to Bellevue Place Driveway</t>
  </si>
  <si>
    <t>What makes this 2nd story Ranch Condo so special?  Located just a few short blocks from downtown Batavia it is linked physically and visually to a National Register of Historic Places~This extremely spacious condo is impeccably maintained~It features limestone construction, a vaulted ceiling in family room, full basement, and a long list of recent renovations.  Don't Delay, come see today!</t>
  </si>
  <si>
    <t>15X6</t>
  </si>
  <si>
    <t>All Stainless Steel Kitchen Appliances</t>
  </si>
  <si>
    <t>Humidifier, Water-Softener Rented, Ceiling Fan</t>
  </si>
  <si>
    <t>2.5% -$150 +$500. (on Net SP)</t>
  </si>
  <si>
    <t>2 hr notice please.  Click on showing Assist to schedule or call 855-919-0200</t>
  </si>
  <si>
    <t>Tracey Larsen, CNC</t>
  </si>
  <si>
    <t>(847) 533-8708</t>
  </si>
  <si>
    <t>847-533-8708</t>
  </si>
  <si>
    <t>Historical District</t>
  </si>
  <si>
    <t>$500 selling bonus if contract by 10/17/14. Sitting room was once 3rd bedroom and can be converted back.  1 car garage on right side of driveway.  Please don't park on left side. Thanks for showing, let me know if you have any questions.</t>
  </si>
  <si>
    <t>MARKET SQUARE</t>
  </si>
  <si>
    <t>NORTH OF SECOND, SOUTH OF THIRD, ONE BLOCK WEST OF YORK</t>
  </si>
  <si>
    <t>1379 SQ FT</t>
  </si>
  <si>
    <t>NESTLED IN THE PRIVATE CORNER OF MARKET SQUARE, THIS END UNIT  OFFERS LUXURY &amp; SECLUSION. FRENCH DOORS FROM THE FR LEAD TO A VERY PRIVATE PATIO. LARGE LR W/FP. 2 OVERSIZED BRS EACH W/PRIVATE BTH. FINISHED BSMT W/ROUGH-IN FOR ADD'L BTH. 2.5 CAR ATT GARAGE. STEPS TO DOWNTOWN ELMHURST,METRA &amp; WONDERFUL PARKS. THE BRIGHT &amp; AIRY FEELING OF THIS HOME LETS YOU REALLY ENJOY TOWNHOME LIVING WITHOUT GIVING UP YOUR PRIVACY.</t>
  </si>
  <si>
    <t>Finished, Sub-Basement</t>
  </si>
  <si>
    <t>TV-Cable, Security System, Intercom, CO Detectors, Ceiling Fan, Sump Pump</t>
  </si>
  <si>
    <t>CALL JILL 630-988-7589. MUST HAVE CONFIRMED APPT. . . TENANTS</t>
  </si>
  <si>
    <t>Jill Bennis</t>
  </si>
  <si>
    <t>(630) 988-7589</t>
  </si>
  <si>
    <t>Front porches being replaced so no easy access. Must use Garage thru the gated parking area. Call Jill 630-988-7589. Days notice preferred.  New windows and SGD to patio to be installed.</t>
  </si>
  <si>
    <t>Amberley</t>
  </si>
  <si>
    <t>Madrona Village</t>
  </si>
  <si>
    <t>RT. 120 and Cedar Lake E. to Wildspring S. to Providence Right 2 119 Amberley</t>
  </si>
  <si>
    <t>46X125</t>
  </si>
  <si>
    <t>NOTHING TO DO BUT MOVE IN! THIS 2 BEDROOM DUPLEX HAS BEEN WELL CARED FOR AND AWAITS SOMEONE WHO WANTS A SPECIAL! PLACE TO LIVE.  SPACIOUS L/R D/R COMBO, GAS FIREPLACE WITH AN ELECTRIC START. A BEAUTIFUL KIT. W/42â€ CHERRY CAB &amp; SS APPLS. VAULTED CEILINGS &amp; OPEN FLOORPLAN GIVE THIS HOME A LIGHT BRIGHT CONTEMPORY FEEL. 2 CAR TANDEM GARAGE. A UNIQUE LGE FENCED BACKYARD MADE FOR FRIENDS &amp; FAMILY TO BBQ AND JUST HAVE FUN.</t>
  </si>
  <si>
    <t>GRAYSLAKE central HIGH SCHOOL</t>
  </si>
  <si>
    <t>Common Insurance, Lawn Care</t>
  </si>
  <si>
    <t>Utility Room-1st Floor, Walk In Closet</t>
  </si>
  <si>
    <t>Humidifier, Security System, Ceiling Fan</t>
  </si>
  <si>
    <t>Deposit Required, Dogs OK, Pet Count Limitation, Pet Weight Limitation</t>
  </si>
  <si>
    <t>2.5%-$225. (on Net SP)</t>
  </si>
  <si>
    <t>Call (855) 746-9200</t>
  </si>
  <si>
    <t>Rick Brown, ABR</t>
  </si>
  <si>
    <t>(847) 990-3116</t>
  </si>
  <si>
    <t>(847) 400-6018</t>
  </si>
  <si>
    <t>CC: Pursuant to Short Sale. cc: Pursuant to Short Sale. 100% Tax proration. No survey. Any commissionn reduction split 50/50. Buyer responsible for village inspections if necessary.</t>
  </si>
  <si>
    <t>REMINGTON</t>
  </si>
  <si>
    <t>Remington Pointe</t>
  </si>
  <si>
    <t>Rt. 12 to Molidor, E. to Remington, N. to townhome on the left</t>
  </si>
  <si>
    <t>SPOTLESS 2 STORY -  LIKE NEW!   NEUTRAL DECOR..MSTR BEDROOM W/FULL BATH, DOUBLE SINKS,  HUGE WALK IN CLOSET...  2ND BEDROOM &amp; BATH, PLUS A LOFT ON SECOND LEVEL!    1/2 BATH, LAUNDRY, KITCHEN, DINING &amp; LIVING ROOM ON MAIN LEVEL. SLIDER OPENS TO PATIO.   ATTACHED GARAGE...  NEIGHBORHOOD IS JUST MINUTES TO RT. 12 - GREAT FOR COMMUTERS! (SHORT SALE - USING EXPERIENCED ATTY).</t>
  </si>
  <si>
    <t>Disposal</t>
  </si>
  <si>
    <t>Call List Office 815-344-1033</t>
  </si>
  <si>
    <t>CENTURY 21 Roberts &amp; Andrews</t>
  </si>
  <si>
    <t>(815) 344-1033</t>
  </si>
  <si>
    <t>Sandy Etten, GRI</t>
  </si>
  <si>
    <t>(815) 405-2194</t>
  </si>
  <si>
    <t>www.mchenryhomes.com</t>
  </si>
  <si>
    <t>CC: Pursuant to Short Sale. Short Sale - any reduction in commission by bank will be split 50/50 between agents. Using experienced short sale attorney. Seller very cooperative. Rules &amp; Regs, Short Sale Addendum and Disclosures are in MLS under 'Additional Information'</t>
  </si>
  <si>
    <t>La Grange Rd to Joliet Rd West to Brainard South to Bldg</t>
  </si>
  <si>
    <t>Fantastic condo in Countryside! The corner unit features 2BR/2BA, large balcony and deeded garage parking space #58! Community boasts outdoor pool and exercise facility! Close to parks, schools and shopping. Easy access to area expressways. This is a Fannie Mae Homepath property. Public Act 94-1049 may apply.</t>
  </si>
  <si>
    <t>Coin Laundry, Elevator, Exercise Room, Storage, Pool-Outdoors</t>
  </si>
  <si>
    <t>Buyer to verify rm count, zoning/dim, school distr, inspects, compli, liens, escrws. Seller reqs all offers to be submitted with the Fannie Offer Package on www.homepath.com. $1000 Buyer Agent Bonus! Restrictions apply - see site for detail</t>
  </si>
  <si>
    <t>FAIRFIELD &amp; RT 120 W TO EMERALD BAY ENTRANCE/JADE LANE NORTH TO MODELS.</t>
  </si>
  <si>
    <t>This high quality new construction townhouse can be yours! Still time to select interior finishings! Open vaulted two story ceilings. Big living room opens to the dining room. Kitchen with lots of cabinet and counter space. Sliding glass doors lead to your own patio. Second floor laundry rm. Master bedroom with full bath.  Photos shown of model. Price includes builder incentive, must use Ryland's Preferred Lender.</t>
  </si>
  <si>
    <t>3% - $150 OF BASE PRICE + BONUS (on Net SP)</t>
  </si>
  <si>
    <t>CALL DIANA BOS AT 815-814-8396</t>
  </si>
  <si>
    <t>$2,000 AGENT BONUS IF UNDER CONTRACT BETWEEN JULY 1 - JULY 31, 2014. Price includes builder incentive, must use Ryland's Preferred Lender.  Agent must accompany client on 1st visit. Per HOA, 2 pets max. DIANA BOS, FOR INFO AT 815-814-8396.</t>
  </si>
  <si>
    <t>CARLTON COURT</t>
  </si>
  <si>
    <t>Cass to 60th West to Carlisle South to Home</t>
  </si>
  <si>
    <t>25X40</t>
  </si>
  <si>
    <t>2-Story End Unit  Brick Town Home In Carlton Court  - The 2 Story Foyer leads to Living Room &amp; Dining Room with a New Sliding Glass Door to the  Oversize Deck with A View of Water to Enjoy the Summer Weather, Large Master Suite, Freshly Painted, Washer &amp; Dryer in Unit, New Windows thru-out, Freshly Landscaped, Low Assessments,  Plenty of Storage, DGN Schools, Near Shopping &amp; Expressways.</t>
  </si>
  <si>
    <t>HOLMES ELEMENTARY SCHOOL</t>
  </si>
  <si>
    <t>Call B&amp;W Showing Desk 855.746.9100</t>
  </si>
  <si>
    <t>Kimberly Heller, ABR,CNC</t>
  </si>
  <si>
    <t>(630) 712-9696</t>
  </si>
  <si>
    <t>BUYER'S COULD NOT GET CLEAR TO CLOSE - SHOW &amp; SELL  lock door, shut lights off and double check sliding glass door that it's locked too.  Thanks</t>
  </si>
  <si>
    <t>BUTTERFIELD N OF RT 45 TO CREEKSIDE E TO RUSSET N TO 304</t>
  </si>
  <si>
    <t>MINUTES TO TRAIN, SHOPPING &amp; RESTAURANTS. MOVE IN READY! LARGE LIVING ROOM. EAT IN KITCHEN. LARGE BEDROOMS. MASTER W/ WALK IN CLOSET. UPDATED BATHROOM. 1 CAR GARAGE. PRICE &amp; TERMS SUBJECT TO SELLERS LENDERS APPROVAL</t>
  </si>
  <si>
    <t>Park/Playground, Pool-Outdoors, Tennis Court/s, Curbs/Gutters, Sidewalks, Street Lights, Street Paved</t>
  </si>
  <si>
    <t>Frame, Stone</t>
  </si>
  <si>
    <t>2.5% LESS $195 (on Net SP)</t>
  </si>
  <si>
    <t>Use Showing Assist. Click on "Schedule A Showing" Link</t>
  </si>
  <si>
    <t>Blue Fence Real Estate Inc.</t>
  </si>
  <si>
    <t>(847) 557-0106</t>
  </si>
  <si>
    <t>Doug Anderson</t>
  </si>
  <si>
    <t>(847) 687-3424</t>
  </si>
  <si>
    <t>CC: Pursuant to Short Sale. Any reduction in commission will be split 50/50. Sold in As-Is Condition. Taxes at 100%. Buyer to pay for Inspections. Earnest money check will be held by Sellers attorney. Short Sale Approved at 92,000</t>
  </si>
  <si>
    <t>6E</t>
  </si>
  <si>
    <t>North or South on South Shore Dr to address</t>
  </si>
  <si>
    <t>Live on the lake with a  private beach as your front yard! This large, spacious 2 bedroom unit in well maintained, high-end landmark building has South &amp; west exposures, which means natural light all day. Parking, ample closets, foyer, large rooms, hardwood floors included. Building amenities include doorman, exercise room, party room, bike room, laundry. Great location near METRA, CTA, Jackson Park, Rainbow Beach.</t>
  </si>
  <si>
    <t>Bike Room/Bike Trails, Door Person, Coin Laundry, Elevator, Exercise Room, Storage, Party Room, Service Elevator, Curbs/Gutters, Sidewalks, Street Lights, Street Paved</t>
  </si>
  <si>
    <t>Heat, Water, Tax, Common Insurance, Doorman, TV/Cable, Exercise Facilities, Exterior Maintenance, Lawn Care, Scavenger, Snow Removal, Lake Rights</t>
  </si>
  <si>
    <t>High Rise (7+ Stories), Vintage</t>
  </si>
  <si>
    <t>Call Mary Ellen Holt 312-560-6566</t>
  </si>
  <si>
    <t>Mary Ellen Holt</t>
  </si>
  <si>
    <t>312-560-6566</t>
  </si>
  <si>
    <t>Prefer no showings on Tuesday or Wednesday.  $20 per month parking fee.  Electricity is billed each month by co-op association.</t>
  </si>
  <si>
    <t>120A</t>
  </si>
  <si>
    <t>ROOSEVELT 2 MAIN SOUTH 2 COLLEN WEST, 1ST SOUTHEAST BLDG</t>
  </si>
  <si>
    <t>BEAUTIFUL FIRST FLOOR RENOVATION!  READY TO MOVE INTO. KITCHEN UPDATES INCLUDE WARM CABINETS, GRANITE COUNTERS, STAINLESS APPLIANCES AND SINK &amp; FAUCET. THE GENEROUS SIZED COMBINATION LIVING AND DINING ROOM LEADS TO A PRIVATE OUTSIDE PATIO FACING RESIDENTIAL HOMES. GRANITE FLOORING IN FOYER AND HALLWAY, PORCELAIN TILED FULL BATH PLUS HALF BATH IN MASTER. FULL WALLED CLOSETS IN BOTH BEDROOMS.</t>
  </si>
  <si>
    <t>26X16</t>
  </si>
  <si>
    <t>Coin Laundry, Storage, Pool-Outdoors, Security Door Locks, Street Lights, Street Paved</t>
  </si>
  <si>
    <t>Heat, Water, Common Insurance, Security System, Pool, Exterior Maintenance, Lawn Care, Scavenger, Snow Removal</t>
  </si>
  <si>
    <t>CALL/TEXT JIM (630) 888-0428</t>
  </si>
  <si>
    <t>Jim Hoffman, CNC</t>
  </si>
  <si>
    <t>(630) 888-0428</t>
  </si>
  <si>
    <t>NO NEW RENTALS, CURRENT RENTALS GRANDFATHERED IN.  PARKING LOT IS TO BE RESURFACED.</t>
  </si>
  <si>
    <t>Millcreek</t>
  </si>
  <si>
    <t>RANDALL TO FLETCHER TO MILLCREEK TO 874</t>
  </si>
  <si>
    <t>HAVE THE PROPERTY BROTHERS BEEN HERE?  SEE THE TRANSFORMATION! CHARMING, QUIET SUBDIVISION WITH AWESOME LOCATION CLOSE TO HWYS/ TRAINS.  2 BED/2 BATH TRI-LEVEL TOWNHOME EAT-IN KITCHEN W/BEAUTIFUL HARDWOOD FLOORS &amp; GLASS BACKSPLASH. VAULTED CEILINGS, FIREPLACE, SLIDERS TO PRIVATE DECK. MASTER WITH LARGE WALK-IN CLOSET AND ENSUITE. BONUS LOFT SPACE. LOWER LEVEL WITH FULL BATH AND BEDROOM. BRAND NEW WASHER/DRYER/FRIDGE!</t>
  </si>
  <si>
    <t>CALL SHOWING DESK  888-362-3222</t>
  </si>
  <si>
    <t>Joanne Cecchini, ABR,BPOR,CRS,SFR,SRES</t>
  </si>
  <si>
    <t>WONDERFUL SELLER LOOKING FOR A SERIOUS BUYER FRESHLY PAINTED, KITCHEN WITH NEW LIGHT FIXTURES, HARDWARE, GLASS BACKSPLASH,FRIDGE. NEW MANTLE ON FIREPLACE. NEW TILE/PAINT/FIXTURES IN MASTERBATH.SELLER HAS RESPONDED TO FEEDBACK...COME SEE!!</t>
  </si>
  <si>
    <t>Rt 20 to Naperville S to Spaulding E to Peregrine Way</t>
  </si>
  <si>
    <t>Beautiful Eagles Ridge townhome!  2-story Living room with wood laminate flooring formal dining room &amp; great kitchen w ceramic flooring, white appliances &amp; 42" Oak cabinets. Vaulted Master bedroom with ceiling fan &amp; two closets. Loft area is perfect for office. 1st floor laundry room. 2 car garage. Brick paver patio! Near park and convenient to Rt 20 &amp; 59</t>
  </si>
  <si>
    <t>Use Secure ShowAssist Instructions</t>
  </si>
  <si>
    <t>Jeffrey Vitek</t>
  </si>
  <si>
    <t>(630) 479-9536</t>
  </si>
  <si>
    <t>CC: Pursuant to Short Sale. Short sale is being handled by a certified 3rd party that specializes in short sales( ATC Mitigation.) Prorate taxes at 100% and Property sold "as is."</t>
  </si>
  <si>
    <t>Enjoy owning a newly built home! Still time to select interior finishings! Features include an open floor plan with the large room sizes and vaulted two story ceilings. kitchen with lots of cabinet &amp; counter space. Sliding glass doors lead to your own patio. Convenient second floor laundry rm. Master bedroom with full bath. Photos shown of model. Price includes builder incentive, must use Ryland's Preferred Lender</t>
  </si>
  <si>
    <t>Butterfield Rd. (56) West of Spring Rd. to Brush Hill Rd. South/East to Atrium Way. North to Condo.</t>
  </si>
  <si>
    <t>Stunning end unit with 2 balconies to enjoy the splendid views. Kitchen has been updated with oak cabinetry, good counter space, pantry and small breakfast area .Impressive room sizes, boasting 1568 SF of space. Master Suite with private bath, separate shower and WIC. In Unit laundry,  utility room &amp; storage rm. Heated Garage &amp; ample outside parking. Clubhs amenities w/2 pools, exercise rm, sauna,&amp; tennis cts.</t>
  </si>
  <si>
    <t>20X05</t>
  </si>
  <si>
    <t>Sentrilock on railing leading into the garage</t>
  </si>
  <si>
    <t>Dare Messina</t>
  </si>
  <si>
    <t>(630) 430-5781</t>
  </si>
  <si>
    <t>Flood Zone (Partial)</t>
  </si>
  <si>
    <t>Please use Multi-Board 6.0 contract for all offers.</t>
  </si>
  <si>
    <t>BUCKINGHAM</t>
  </si>
  <si>
    <t>Rt 59 to West Rt 19 to South Woodview Circle.(Oakwood Hills entrance) to LEFT on Buckingham Cir</t>
  </si>
  <si>
    <t>ABSOLUTELY PERFECT 2 BED 2 BTH CONDO CONVENIENTLY LOCATED MINUTES FROM RT 59. HUGE MASTER SUITE WITH FIRE PLACE/PRIVATE BATH/LARGE W-I CLOSETS. FAMILY RM W/VAULTED CEILINGS, OPEN FLOW TO KITCHEN WITH BREAKFAST AREA AND ISLAND. NEW FRIDGE-WASHER-DRYER-HW HEATER. SPACIOUS SECOND BEDROOM. BALCONY BACKS TO NO NEIGHBORS WITH LOTS OF GREEN SPACE! WALK TO ELGIN HIGH SCHOOL. [CONVENTIONAL ONLY NO FHA]</t>
  </si>
  <si>
    <t>call CSS 877.977.1010</t>
  </si>
  <si>
    <t>Jack Kelley, CNC</t>
  </si>
  <si>
    <t>(630) 926-4432</t>
  </si>
  <si>
    <t>CC: Pursuant to Short Sale. CC subject to 3rd party bank approval. Any reduction will be split 50/50</t>
  </si>
  <si>
    <t>West of Clarendon Hills Rd - North of Frontage Road (North of 55)</t>
  </si>
  <si>
    <t>PROPERTY UNDER AUCTION TERMS &amp; SUBJECT TO A BUYER PREMIUM OF 5% OR $1,500, WHICHEVER IS GREATER, PURSUANT TO THE AUCTION TERMS &amp; CONDITIONS. THIS IS A RESERVE AUCTION AND ALL OFFERS ARE SUBJECT TO SELLER APPROVAL. THIS IS AN "AS-IS" CONDITION PURCHASE. MINIMUM AMOUNT OF EARNEST MONEY IS $2,500.</t>
  </si>
  <si>
    <t>Condo, Quad-2 Story</t>
  </si>
  <si>
    <t>1% OF THE HIGH BID OR $400 MINIMUM (on Net SP)</t>
  </si>
  <si>
    <t>INFO NOT GUARANTEED. This property is under auction terms.  Pre-Sale offers submitted thru www.hudsonandmarshall.com.  Buyer's Premium pursuant to Auction Terms. This is a Reserve Auction and all offers are subject to seller approval.</t>
  </si>
  <si>
    <t>Crystal Springs</t>
  </si>
  <si>
    <t>Holiday Park</t>
  </si>
  <si>
    <t>Rt12 to 134E to Cambridge take 1st L on Crystal Springs</t>
  </si>
  <si>
    <t>SANTA FE</t>
  </si>
  <si>
    <t>Former builders model, you will love the upgrades. Spacious floor plan with 2 bedrooms and a loft. Upgraded kitchen with stove, microwave and dishwasher. Open into living room and eating area. Master suite has walk in closet and private bath that features separate shower and dual sinks. Upgraded hall bath &amp; 2nd bedroom.Cozy loft great for extra space.Large 2 car garage.Great end unit home in a waterfront community.</t>
  </si>
  <si>
    <t>Beach, Common Grounds, Corner, Landscaped Professionally, Water Rights</t>
  </si>
  <si>
    <t>2.5% - $225 ON NET (on Net SP)</t>
  </si>
  <si>
    <t>Please call show assist 855-746-9200</t>
  </si>
  <si>
    <t>CC: Pursuant to Short Sale. CC: pursuant to short sale. Short sale, allow time for 3rd party approval. Any reductions in commission will be split 50/50 between selling &amp; listing office No survey. Taxes at 100% - sold AS-IS. Short sale being handled by exp attorney</t>
  </si>
  <si>
    <t>New England</t>
  </si>
  <si>
    <t>HARLEM AVE TO 65TH ST, EAST TO NEW ENGLAND</t>
  </si>
  <si>
    <t>SHORT SALE APPROVED AT LIST PRICE. FAST CLOSING. GORGEOUS 2 BR CONDO W/GRANITE COUNTERTOPS AND SS APPLIANCES. RECENT REHAB.HARDWOOD FLOORS THROUGHOUT.  RENTALS ALLOWED.</t>
  </si>
  <si>
    <t>Heat, Water, Common Insurance, Exterior Maintenance, Lawn Care, Snow Removal</t>
  </si>
  <si>
    <t>CALL VAL 773594-4364</t>
  </si>
  <si>
    <t>Century 21 McMullen</t>
  </si>
  <si>
    <t>(773) 631-8300</t>
  </si>
  <si>
    <t>Anna Tabeau</t>
  </si>
  <si>
    <t>CC: Pursuant to Short Sale. RENTALS ALLOWED. PETS WELCOME. FHA APPROVED.</t>
  </si>
  <si>
    <t>Kelvin</t>
  </si>
  <si>
    <t>LAWRENCE WEST OF RIVER RD TO WESLEY N TO KELVIN</t>
  </si>
  <si>
    <t>NICELY UPDATED MOVE-IN CONDITION.  SHORT SALE.  THIS IS THE ONLY UNIT IN THE COMPLEX WITH A SKYLIGHT!  REMODELED KITCHEN W/OAK CABINETS, S/S OVEN/RANGE AND REFRIGERATOR, TRACK AND CAN LIGHTING AND CERAMIC FLOORING.  UPDATED BATH.  STACKABLE WASHER/DRYER IN UNIT.  COMPLEX HAS AN OUTDOOR POOL AND EXERCISE FACILITY.  OFF STREET PARKING.  PLEASE ALLOW TIME FOR BANK APPROVAL.  EASY TO SHOW.</t>
  </si>
  <si>
    <t>Coin Laundry, Exercise Room, Storage, Health Club, On Site Manager/Engineer, Pool-Outdoors, Business Center, Curbs/Gutters, Sidewalks, Street Lights, Street Paved</t>
  </si>
  <si>
    <t>2.5% -$195 (on Net SP)</t>
  </si>
  <si>
    <t>Re/Max 1st</t>
  </si>
  <si>
    <t>(630) 333-1500</t>
  </si>
  <si>
    <t>Robert Raven, CNC</t>
  </si>
  <si>
    <t>(847) 409-6386</t>
  </si>
  <si>
    <t>CC: Pursuant to Short Sale. Please allow time for bank approval.  Total commission contingent upon bank approval.  Any reductions will be split equally between listing and selling offices.  Note:  Building is not FHA or VA approved.</t>
  </si>
  <si>
    <t>Joliet Rd, South on Brainard, Building is down on Right hand side.</t>
  </si>
  <si>
    <t>Great opportunity to get in this HUGE two bedroom unit for a GREAT price.  This owner has been her for 40 years enjoying the treetop views.  This Complex has a great location to shopping, dining, x-ways. Very clean immaculate unit that needs a little updating.  Short sale is being handled by a Firm that handles hundreds a year.</t>
  </si>
  <si>
    <t>Elevator, Pool-Outdoors</t>
  </si>
  <si>
    <t>Heat, Water, Gas, Parking, Pool, Scavenger</t>
  </si>
  <si>
    <t>2.5%-$195.00 (on Gross SP)</t>
  </si>
  <si>
    <t>call listing agent to show at 630-750-9275</t>
  </si>
  <si>
    <t>Exit Real Estate Partners</t>
  </si>
  <si>
    <t>(630) 967-0400</t>
  </si>
  <si>
    <t>Christopher Hochstedt, CNC,GRI</t>
  </si>
  <si>
    <t>(630) 750-9275</t>
  </si>
  <si>
    <t>CC: Pursuant to Short Sale. With any lender imposed reduction of commission, the percentage of the reduction will be split 50/50.</t>
  </si>
  <si>
    <t>Ridge</t>
  </si>
  <si>
    <t>Route 23, West to Coltonville, Right on Ridge, Welcome to Prairie Ridge Development!</t>
  </si>
  <si>
    <t>THE Imperial-2-Story layout w/2 spacious bedrooms, plus a loft, and 2.5 baths.   Private master suite w/bath, vaulted ceilings, and a walk in closet.  Extra loft space for another great room, game room, office space, or workout area. Full basement for extra storage These are quality built homes with the finest materials that are built to last.  Other models available to suit your needs.</t>
  </si>
  <si>
    <t>American Realty</t>
  </si>
  <si>
    <t>(815) 991-5298</t>
  </si>
  <si>
    <t>Alison Rosenow</t>
  </si>
  <si>
    <t>(815) 762-5226</t>
  </si>
  <si>
    <t>1352 Ridge is a 2 bedroom plus loft  1354 Ridge is a 3 bedroom plus loft -show both Sentrilock for 1352&amp;1354 at 1354 Ridge.</t>
  </si>
  <si>
    <t>MIDHURST</t>
  </si>
  <si>
    <t>102B</t>
  </si>
  <si>
    <t>Washington S of 87th to Worthing to Midhurst Ct.</t>
  </si>
  <si>
    <t>FIRST FLOOR RANCH</t>
  </si>
  <si>
    <t>The Best Location!  End of Cul-de-sac overlooking woods, creek and green space!   Very private!  First floor!  Laundry Room in Unit!  Newer pretty, easy-care laminate flooring throughout much of home!  Kitchen has separate informal eating area plus breakfast bar.  All appliances included!  Dining Rm! Fireplace with marble surround!  Recently painted! Garage! Close to park and shopping!  District 203!!! FHA Approved!</t>
  </si>
  <si>
    <t>Cul-de-sac, Nature Preserve Adjacent, Park Adjacent, Stream, Wooded</t>
  </si>
  <si>
    <t>Click on Showing Assist below</t>
  </si>
  <si>
    <t>630.881.6283</t>
  </si>
  <si>
    <t>Peg Redding, CRS,CSC,GRI</t>
  </si>
  <si>
    <t>(630) 881-6283</t>
  </si>
  <si>
    <t>Cell 630-881-6283</t>
  </si>
  <si>
    <t>Association Does Not Allow Rentals.  Please do not lock the door to the garage!  Thanks!!</t>
  </si>
  <si>
    <t>Country Oaks</t>
  </si>
  <si>
    <t>Country Oaks of Butterfield</t>
  </si>
  <si>
    <t>Butterfield Rd to DuPage Parkway, south to Big Woods, east to Prairie View South to Country Oaks</t>
  </si>
  <si>
    <t>Priced to sell; possibly a short sale with short sale team in place. Seller hates to have to sell. With a little tlc this property will be a comfortable paradise. Walking distance to parks, forest preserves, and IL Prairie Path. Highly rated Naperville 204 school district</t>
  </si>
  <si>
    <t>Parking, Common Insurance, Lawn Care</t>
  </si>
  <si>
    <t>Conventional, Rent w/ Option, Cash Only</t>
  </si>
  <si>
    <t>2 hour courtesy call, use Showing Assist to schedule</t>
  </si>
  <si>
    <t>Dana Hovorkova</t>
  </si>
  <si>
    <t>Hometown Real Estate Group LLC</t>
  </si>
  <si>
    <t>(773) 625-1121</t>
  </si>
  <si>
    <t>Lydia Coix</t>
  </si>
  <si>
    <t>(630) 293-3500</t>
  </si>
  <si>
    <t>fax: (630) 818-2347</t>
  </si>
  <si>
    <t>CC: Pursuant to Short Sale. possible short sale; if lien holder approval required, our short sale team will negotiate quickly. Any reductions in compensation will be split. Sale AS-IS. Subdivision is NOT FHA approved.</t>
  </si>
  <si>
    <t>3S094</t>
  </si>
  <si>
    <t>TIMBER CREEK</t>
  </si>
  <si>
    <t>RTE 59, N OF RTE 56, TO MEADOW, TURN E TO TIMBER</t>
  </si>
  <si>
    <t>!!Impatient BUYERS walked 2 weeks prior to short-sale approval!! Its ready for next Buyer! Spacious rm sizes &amp; lg loft/family room w/vaulted ceiling &amp; ceiling fan. 3 skylights &amp; Southeast exposure offers a light &amp; bright interior. Improvements include: Wood laminate kitchen floor, bath no-wax floor, kitchen lights, washer/dryer, furnace, central air, roof &amp; 2nd floor walkout balcony,PLUS private enclosed/gated patio</t>
  </si>
  <si>
    <t>None, Curbs/Gutters, Sidewalks, Street Lights</t>
  </si>
  <si>
    <t>Common Grounds, Corner, Landscaped Professionally, Rear of Lot</t>
  </si>
  <si>
    <t>2.5%-199 (on Gross SP)</t>
  </si>
  <si>
    <t>Reeser</t>
  </si>
  <si>
    <t>CC: Pursuant to Short Sale. ATTENTION, S/S was approved at approx. $135000, bring offer-HURRY! HURRY!!-Although closing may be extended. Any adjustments to the compensation being paid out will be split 50/50 between Listing &amp; Selling Office</t>
  </si>
  <si>
    <t>Clover</t>
  </si>
  <si>
    <t>Rt. 72 to Reinking to Cambridge Lakes to Galway right to Clover to 924</t>
  </si>
  <si>
    <t>WILMINGTON</t>
  </si>
  <si>
    <t>Welcome home! Open floor plan townhome in great condition! Neutral carpet &amp; paint. Fully applianced kitchen w/ breakfast area, ceiling fan &amp; pantry. SGD to prvt deck. Master suite w/ vaulted ceiling, double closets &amp; private bath! Loft could be converted to 3rd BR. 2nd floor laundry. Lower level english family room. 2 car heated garage. Neighborhood complete with indoor/outdoor pool, parks, exercise room &amp; more!</t>
  </si>
  <si>
    <t>Bike Room/Bike Trails, Exercise Room, Health Club, Park/Playground, Party Room, Pool-Indoors, Pool-Outdoors, Curbs/Gutters, Sidewalks, Street Lights, Street Paved</t>
  </si>
  <si>
    <t>CC: Pursuant to Short Sale. This Short Sale is being handled by ATC Mitigation a certifield 3rd party short sale specialist. Sale subject to sellers lender approval. "AS IS" sale, but the home shows well! Taxes prorated at 100%</t>
  </si>
  <si>
    <t>FULLERTON</t>
  </si>
  <si>
    <t>FULLERTON TO 75TH</t>
  </si>
  <si>
    <t>Affordable 2 bedroom unit in desirable location.  Walk to Metra, parks, shopping.  This adorable unit features large eat in kitchen with newer cabinets, walk in pantry, two good size bedrooms, living room with sliding doors to private deck.  Full basement with storage, washer and dryer used by this unit only.  Freshly painted, nothing to do but move in.  Call today.</t>
  </si>
  <si>
    <t>Off Alley, Off Street</t>
  </si>
  <si>
    <t>Gas, Radiators</t>
  </si>
  <si>
    <t>2.5%-295.00 (on Net SP)</t>
  </si>
  <si>
    <t>Call 708.828.0000</t>
  </si>
  <si>
    <t>Diane Marchetti</t>
  </si>
  <si>
    <t>(847) 222-6889</t>
  </si>
  <si>
    <t>Accepted offer paperwork pending, backup offers welcome.   Cash only due to owner occupant percentage.</t>
  </si>
  <si>
    <t>Bloomingdale Road North of Army Trail to Dunteman West to Waters Edge South</t>
  </si>
  <si>
    <t>COMMON PER PLAT</t>
  </si>
  <si>
    <t>Back on Market.  Sold As Is. Short Sale approved.    Looking for a quick close.  Email all offers to us.  Come and evaluate. Best buy in area.</t>
  </si>
  <si>
    <t>Electric, Baseboard, Zoned</t>
  </si>
  <si>
    <t>2.75%-$250 (on Net SP)</t>
  </si>
  <si>
    <t>John Vertnik</t>
  </si>
  <si>
    <t>(630) 747-8242</t>
  </si>
  <si>
    <t>Oakshire</t>
  </si>
  <si>
    <t>Bilter/56 to Dupage pkw. to Big Woods, to Prairieview to Oakshire</t>
  </si>
  <si>
    <t>LOCATION, LOCATION, LOCATION!! Great end unit!  Neutral tones throughout! Two bedrooms, full bath and laundry on 2nd floor!  Spacious Deck!  Attached garage! 1 mile from I-88! Park and Forest Preserve within walking distance. 204 Schools!</t>
  </si>
  <si>
    <t>Manager Off-site, Self-Management</t>
  </si>
  <si>
    <t>Call centralized showings 1-877-977-1010</t>
  </si>
  <si>
    <t>ANJALI</t>
  </si>
  <si>
    <t>VISTA VERDE</t>
  </si>
  <si>
    <t>PEACE RD TO SARAH DR W TO ANJALI CT</t>
  </si>
  <si>
    <t>COMO 2BR</t>
  </si>
  <si>
    <t>45 X 130</t>
  </si>
  <si>
    <t>THIS RANCH FEATURES AN OPEN FLOOR PLAN W/ISLAND KITCHEN, GRANITE CTRS &amp; SS APPLIANCES OVERLOOKING YOUR GREAT ROOM &amp; EATING AREA W/ VAULTED CEILINGS. FULL BASEMENTS &amp; 2 CAR GARAGE W/OPENER.  LARGE MSTR STE INCL PRIVATE BATH &amp; WALK-IN CLOSET. ADD'L AMENITIES INCL MAIN FLR LAUNDRY ROOM, LARGE CLOSET PANTRY, SLIDING GLASS DOOR OPENING TO PRIVATE PATIO AND 9' CEILINGS. SELLER WILLING TO REMOVE ASSISTED LIVING DEVISES!</t>
  </si>
  <si>
    <t>Please Call Listing Agent For All Showings!  Easy To Show!!</t>
  </si>
  <si>
    <t>Leifheit</t>
  </si>
  <si>
    <t>Rorry Heide, ABR,GRI</t>
  </si>
  <si>
    <t>(815) 751-4171</t>
  </si>
  <si>
    <t>815-751-4171</t>
  </si>
  <si>
    <t>BUYER FELL THRU-MOVE FAST!!  Great Open Floor Plan.  Seller Willing To Remove Handicap Items In The Home If Needed: Ramp In Garage, Chair Lift To Basement &amp; Back Patio And Hallway Bath Walk-In Tub! Just Move Right In!! Quick Close Possible!</t>
  </si>
  <si>
    <t>Dickens</t>
  </si>
  <si>
    <t>EOLA NORTH OF 95TH EAST ON FROST SOUTH ON DICKENS</t>
  </si>
  <si>
    <t>3COMMON</t>
  </si>
  <si>
    <t>FANTASTIC OPPORTUNITY TO STOP RENTING AND OWN! GREAT TOWN HOME NEAR HIGHWAYS, SHOPS, AND SCHOOLS! PLENTY OF SPACE! COME TAKE A LOOK TODAY!</t>
  </si>
  <si>
    <t>2.5% OR $1000 WHICHEVER IS GREATER (on Gross SP)</t>
  </si>
  <si>
    <t>*PLEASE SEE *ADDITIONAL INFORMATION* FOR OFFER SUBMISSION FORM WHICH MUST BE SUBMITTED*Fax all offers CALIBER QUALIFICATION REQUIRED FOR ALL FINANCED OFFERS Loan Consultant - Bill Shurman, NMLS#435744, Email - bill.shurman@caliberhomeloans.</t>
  </si>
  <si>
    <t>Madison to Bellwood Ave south to property</t>
  </si>
  <si>
    <t>2 bedroom brick Townhome with full basement, separate dining room, central air conditioning, gas forced heat, Utility Room located in basement. Close to Mannheim Road and the 290 Expressway. *Short Sale subject to bank approval*</t>
  </si>
  <si>
    <t>Call Centralized Showing (877)977-1010</t>
  </si>
  <si>
    <t>CC: Pursuant to Short Sale. Pursuant to short sale Ivana Shudnow is a Certified Short Sale Expert. Contracts to: offers.remaxhre@gmail.com</t>
  </si>
  <si>
    <t>VILLAGE STATION</t>
  </si>
  <si>
    <t>Route 120 &amp; 83 west to Lake Street, south to Village Station, R to Station Park, Left to unit</t>
  </si>
  <si>
    <t>BEAUTIFUL 2 BEDROOM TOWNHOME, EXCEPTIONALLY CLEAN, FRESHLY PAINTED, OPEN FLOOR PLAN, READY TO MOVE IN, CLOSE TO TRAIN STATION</t>
  </si>
  <si>
    <t>16X20</t>
  </si>
  <si>
    <t>Call Showing Time  855-746-9100</t>
  </si>
  <si>
    <t>Kathy Rieke</t>
  </si>
  <si>
    <t>(847) 302-1598</t>
  </si>
  <si>
    <t>Jeffrey</t>
  </si>
  <si>
    <t>Wynstone Of Century Oaks</t>
  </si>
  <si>
    <t>Randall east on Big Timber north on Lyle west on Jeffrey</t>
  </si>
  <si>
    <t>25X70</t>
  </si>
  <si>
    <t>Remarks: 2 car garage  Fireplace, 2 story family room (loft) that could be closed off for a 3rd bedroom, , 1st floor master, separate shower and soaker tub, 2 full bath  1 half,  3 Huge walk in closets. NEW KITCHEN AND FRONT ENTRY TILE, NEW HOT WATER TANK (WALK TO TRAIN STATION, 3 BLOCKS FROM NEW SHERMAN HOSPITAL)</t>
  </si>
  <si>
    <t>Den, Walk In Closet</t>
  </si>
  <si>
    <t>PLEASE EMAIL ME FOR SHOWINGS - GARRETT@GARRETTSTEVE.COM - ITS VACANT, EASY TO SHOW</t>
  </si>
  <si>
    <t>Owner on record</t>
  </si>
  <si>
    <t>Chicago Rent Finders, LLC</t>
  </si>
  <si>
    <t>(312) 493-8446</t>
  </si>
  <si>
    <t>Garrett Steve</t>
  </si>
  <si>
    <t>REMINGTON POINTE</t>
  </si>
  <si>
    <t>Rt 12 N of Rt 120 to Molidor, E to Remington, L to home on left</t>
  </si>
  <si>
    <t>HUDSON</t>
  </si>
  <si>
    <t>Fresh neutral paint, new carpet, great counter tops! It's a beautiful place! All appliances stay. Kitchen has tons of counter &amp; cabinet space. The fabulous open floor plan makes the whole place seem huge! Big living/dining area with a TV nook and the flat screen TV stays! Master BR has 2 big closets &amp; private bath. 2nd BR has bath just outside the door, so works great for 2 people! Nice laundry. Backs to open space!</t>
  </si>
  <si>
    <t>W (West), Park</t>
  </si>
  <si>
    <t>PLAINFIELD RD WEST OF CASS; TO KNOTTINGHAM (NORTH), TO ASHLEY CT</t>
  </si>
  <si>
    <t>GORGEOUS UNIT HAS LAKE VIEW FROM BALCONY, QUIET CUL-DE-SAC LOCATION. NICE EURO STYLE DECOR. X-LARGE BEDROOM/WALK IN CLOSET. GAS/WOODBURNING FIREPLACE IN LIVING ROOM. PERGO FLOORING. OPEN KITCHEN. THIS IS A FANNIE MAE HOMEPATH PROPERTY.</t>
  </si>
  <si>
    <t>ALL OFFERS MUST BE SUBMITTED TO HOMEPATH.COM PER SELLERS REQUEST - NO PERSONAL PROPERTY INCLUDED ON THIS SALE</t>
  </si>
  <si>
    <t>Kingston</t>
  </si>
  <si>
    <t>Wildwood Glen</t>
  </si>
  <si>
    <t>Bloomingdale Road south to North ave west to Shorewood south to Kingston</t>
  </si>
  <si>
    <t>BEAUTIFUL TWO STORY TOWN HOME! HIGH SOARING CEILINGS AND LARGE BEDROOMS. NICE SITTING AREA IN THE BACK. JACK AND JILL BATHROOM. ATTACHED GARAGE. LOCATED IN A BEAUTIFUL CUL DE SAC! This is a Fannie Mae HomePath property.</t>
  </si>
  <si>
    <t>Mutual Realty LLC</t>
  </si>
  <si>
    <t>(630) 595-5725</t>
  </si>
  <si>
    <t>Anjum Chohan</t>
  </si>
  <si>
    <t>ALL OFFERS MUST BE MADE ONLINE AT HOMEPATH.COM. PLEASE CONTACT LISTING OFFICE WITH ANY QUESTIONS.</t>
  </si>
  <si>
    <t>Church</t>
  </si>
  <si>
    <t>Savannah Crossing</t>
  </si>
  <si>
    <t>Butterfield Rd West, Past Farnsworth/Kirk to Church Road and turn North (right) continue on 2 Models</t>
  </si>
  <si>
    <t>The "Campbell" Model Fabulous Walk-Out Basement, Kitchen Features Upgraded 42" Cabinetry, SS Appliances, Granite Counters &amp; Hardwood Floors! 9 Foot Ceilings on 1st Floor, 2 Bdrm + Loft w/Volume Ceil, 2.5 Baths, Master Br w/Pvt Bath, Hardwood Flrs in Grt Rm, 100% Energy Star 30 Year Transferable Structural Builder Warranty Lot #15.04 Photos of "Campbell" Model Home Awesome Batavia 101 Schools/Home is Ready NOW!</t>
  </si>
  <si>
    <t>Please call Kristin 630-915-8770 or use Showing Assist</t>
  </si>
  <si>
    <t>630-978-9600</t>
  </si>
  <si>
    <t>Agent must accompany Buyers on 1st visit. Please register your clients with Kristin Pirc @ 630-915-8770 Commission paid on base price. Contract must be written on builders contract.</t>
  </si>
  <si>
    <t>The "Campbell" Model in Savannah Crossing! Full Walk-Out Bsmnt w/Rough in Bath Backing to Pond! 9' Ceilings on 1st Flr. 2 Bedroom 2 &amp; 1/2 baths + Volume Ceilings in  Loft &amp; Master Br w/Lux Bath! Make all interior color Selections Now! 100% Energy Star. 30 Year Transferable Structural Builder Warranty.  Lot 15.01.  Photos of "Campbell" Model.  Awesome Batavia 101 Schools. NOT BUILT ready December 2014.</t>
  </si>
  <si>
    <t>Please call the Sales Office 630-978-9600 or use Showing Assist</t>
  </si>
  <si>
    <t>Agent must accompany buyers on first visit. Please register with Maureen her cell 331-999-5717. Commission paid on base price. Contract to be written on Builders contract.</t>
  </si>
  <si>
    <t>Townes</t>
  </si>
  <si>
    <t>STONEBRIDGE</t>
  </si>
  <si>
    <t>Eola to Stonebridge W to Townes Circle S to home.</t>
  </si>
  <si>
    <t>Gorgeous Private End Unit Located In the Townes Of Stonebridge. Two Story Foyer Turned Stair Case. Hardwood Floors In Kitchen &amp; Foyer. Updated Eat-In Kitchen W/Stainless Steel Appliances. Breakfast Bar Opening To Living Rm &amp; Dining Rm. Spacious Living Rm W/ Fireplace. DR Rm Has Atrium Door That Leads to Deck. Luxury Master Suite W/Walk-in Closet, Lux Master Bath W/Separate Tub &amp; Shower. English/Look-out Basement.</t>
  </si>
  <si>
    <t>Common Insurance, Security, Exterior Maintenance, Lawn Care, Snow Removal</t>
  </si>
  <si>
    <t>Call 877-977-1010 For Appointment</t>
  </si>
  <si>
    <t>Rick OHalloran</t>
  </si>
  <si>
    <t>(630) 637-2560</t>
  </si>
  <si>
    <t>Cell 630-337-1345</t>
  </si>
  <si>
    <t>RANDOLF TO GENEVA NORTH TO ADDRESS</t>
  </si>
  <si>
    <t>Well Maintained 2 Bedroom Town home.  Gleaming Hardwood floors.  Updated Kitchen with Formal Dining Area.  Home has been recently remodeled.  Lower level is finished with family Room, Recreation Room or use as an  Addtional Bedroom.  New Furnace, and Hot Water Heater.  This is a great property and it has been well maintained. 2 Car Detached Garage. Also includes a nice  Patio and a Huge Fenced Back Yard.</t>
  </si>
  <si>
    <t>Call agent 708-945-7795</t>
  </si>
  <si>
    <t>Edna Thompson</t>
  </si>
  <si>
    <t>(708) 945-7795</t>
  </si>
  <si>
    <t>708-945-7795</t>
  </si>
  <si>
    <t>CC: Pursuant to Short Sale. Agent work with experienced Short Sale Attorney</t>
  </si>
  <si>
    <t>South of Roosevelt, North of 22nd</t>
  </si>
  <si>
    <t>LENDER APPROVED SHORT SALE! Approved at $72K and quick close possible! CASH OR CONVENTIONAL ONLY, NO FHA 2 beds, 2 baths, closet space, and 2 balconies.  Master with on-suite bath, kitchen with island, marble counter tops and marble floors. Live like you are at a Resort with building amenities that include a Large Clubhouse, Fitness Room, Pool &amp; Pond.  Experienced Short Sale Negotiator.</t>
  </si>
  <si>
    <t>Water, Parking, Common Insurance, Security System, TV/Cable, Clubhouse, Exercise Facilities, Pool, Lawn Care, Scavenger, Snow Removal</t>
  </si>
  <si>
    <t>Call Showing Desk - 855 746 9020 - Keys to be picked up at JWR Realty</t>
  </si>
  <si>
    <t>(847) 763-0200</t>
  </si>
  <si>
    <t>Stephanie Andre</t>
  </si>
  <si>
    <t>(312) 371-5940</t>
  </si>
  <si>
    <t>CC: Pursuant to Short Sale. Must be OWNER OCCUPIED for 2 years before it can be rented. Buyer could not get financing but lenders will honor $72K price. Any reduction in commission will be split. The building does not allow FHA financing.</t>
  </si>
  <si>
    <t>McLean</t>
  </si>
  <si>
    <t>Randall Rd to Royal Blvd, E to N McLean Blvd, S to The Greens of Elgin.</t>
  </si>
  <si>
    <t>2 BR, 2 BA</t>
  </si>
  <si>
    <t>Senior community for residents 55+ Great price on this premium corner two bedroom, two bath unit. Perfect location w/southern exposure, serene wooded &amp; creek views! Assm't includes 20 meals/mo, housekeeping every two weeks, weekly linen changes, maintenance, some transportation, paid utilities, basic cable TV, 24 hr emergency call system, fitness &amp; wellness programs &amp; planned social activities. Motivated seller!</t>
  </si>
  <si>
    <t>Commissary, Elevator, Exercise Room, Storage, On Site Manager/Engineer, Party Room, Receiving Room, Security Door Locks, Service Elevator, Street Lights, Street Paved</t>
  </si>
  <si>
    <t>Landscaped Professionally, Wooded, Rear of Lot</t>
  </si>
  <si>
    <t>Heat, Air Conditioning, Water, Electric, Gas, Common Insurance, TV/Cable, Exterior Maintenance, Lawn Care, Scavenger, Snow Removal, Other</t>
  </si>
  <si>
    <t>TV-Cable, Security System, Fire Sprinklers, CO Detectors</t>
  </si>
  <si>
    <t>2.5% +1000 (on Net SP)</t>
  </si>
  <si>
    <t>Call listing office, 847-931-7500</t>
  </si>
  <si>
    <t>Bruce Wascher,  GRI,CRS</t>
  </si>
  <si>
    <t>(847) 429-4209</t>
  </si>
  <si>
    <t>847-309-2022</t>
  </si>
  <si>
    <t>New carpeting throughout and interior freshly painted.  Move in ready!  $1000 bonus to selling office.</t>
  </si>
  <si>
    <t>Woodcutter</t>
  </si>
  <si>
    <t>Trees Of Wheaton</t>
  </si>
  <si>
    <t>Route 38 to Timber Trail S to Woodcutter Ln E</t>
  </si>
  <si>
    <t>Fannie Mae Homepath Property! Fresh paint! New carpet! New furnace!  No personal property included.  POF is strongly encouraged w/offers.</t>
  </si>
  <si>
    <t>3.0 % (on Net SP)</t>
  </si>
  <si>
    <t>Please see the attached docs. The seller has directed that all offers be made on Homepath.com.  Buyer must complete attached HOA DOCS. HOA will require 2 windows and a garage door be replaced.  Seller is not doing this.  See attached</t>
  </si>
  <si>
    <t>Glen Ridge</t>
  </si>
  <si>
    <t>MEDINAH LAKES</t>
  </si>
  <si>
    <t>North on Glen Ellyn Rd from Army Trail to Deer Glen East 2 GLENRIDGE</t>
  </si>
  <si>
    <t>PLAN 2C</t>
  </si>
  <si>
    <t>This home has lots of natural light from four skylights - two in living room, one in kitchen, and one in the master bathroom. It also faces a greenspace so looking out windows from living room and dining room provides a tranquil scene. Subdivision also boasts many walking paths and ponds. Water heater and HVAC replaced in 2013.</t>
  </si>
  <si>
    <t>Call 1-855-746-9100 for Appointment</t>
  </si>
  <si>
    <t>Dawn Larsen</t>
  </si>
  <si>
    <t>(847) 923-6948</t>
  </si>
  <si>
    <t>Cell:  847-254-0741</t>
  </si>
  <si>
    <t>Washer/dryer excluded - No showings after 7:00 p.m.  Buyers of previous transaction got cold feet and backed out.</t>
  </si>
  <si>
    <t>63rd St. to Narragansett-South to 6440</t>
  </si>
  <si>
    <t>COMMONS</t>
  </si>
  <si>
    <t>Condo sold is as condition.</t>
  </si>
  <si>
    <t>6X13</t>
  </si>
  <si>
    <t>Water, Common Insurance, Security System, Exterior Maintenance, Lawn Care, Scavenger, Snow Removal</t>
  </si>
  <si>
    <t>2.5-$250 (on Gross SP)</t>
  </si>
  <si>
    <t>CALL LA (708) 805-2064</t>
  </si>
  <si>
    <t>Brian Brennan</t>
  </si>
  <si>
    <t>(708) 447-2946</t>
  </si>
  <si>
    <t>1N</t>
  </si>
  <si>
    <t>Take 55th St. (Garfield) east or west to Prairie go north to property.</t>
  </si>
  <si>
    <t>This is a great non traditional 2 bedroom, 2 bath, 2parking spaces completely rehabbed first floor condo unit.  The kitchen is located in the rear of the unit next to the dining room. There is formal living room with a corner fireplace.  Beautiful hardwood floors throughout with granite kitchen counter tops.  Master bath with granite counter top and marble tub surround. Approved Short Sale. Cash only!</t>
  </si>
  <si>
    <t>Galley, Island</t>
  </si>
  <si>
    <t>$1500.00 (on Net SP)</t>
  </si>
  <si>
    <t>keys in office.  Use showing assist to schedule.</t>
  </si>
  <si>
    <t>(773) 451-1200</t>
  </si>
  <si>
    <t>Paulette Edwards</t>
  </si>
  <si>
    <t>(773) 837-0383</t>
  </si>
  <si>
    <t>781-609-1646 efax</t>
  </si>
  <si>
    <t>CC: Pursuant to Short Sale. Cash Buyers only.</t>
  </si>
  <si>
    <t>Hainesville Rd s of Washington to Big Horn. Turn west to #</t>
  </si>
  <si>
    <t>Hurry! Buyer pulled one out week before closing! Fully approved SS. Owner-occupiers only. Spacious end unit: wonderful triple-aspect light-filled exposure. Cathedral ceilings, huge master suite w/walk-in closet! CT floor foyer, kit &amp; baths. Huge LL family room w/den area (area easily converted to a 3rd bedroom). Oversized 2 1/2 car gar offers ample storage opportunity &amp; features built-in wood work bench. Short sale.</t>
  </si>
  <si>
    <t>call 1-855-746-9200. Must confirm</t>
  </si>
  <si>
    <t>Virginia Engelsman, CIPS,GRI,MRP</t>
  </si>
  <si>
    <t>(847) 922-4353</t>
  </si>
  <si>
    <t>CC: Pursuant to Short Sale. Subject to lender approval. If the lender/lienholders require commission be reduced, the amount of reduction including any fees required by the lender will be equally split between listing &amp; selling office!</t>
  </si>
  <si>
    <t>Butterfield Road West, Past Farnsworth/Kirk to Church Road and turn North (right), continue 2 Models</t>
  </si>
  <si>
    <t>BRAEDEN</t>
  </si>
  <si>
    <t>Savannah Crossing WALK-OUT BASEMENT w/Rough-In  BACKING TO POND! 9' Ceiling On 1st Flr. 2 BDRMS. Dramatic Vaulted Ceiling Master Bedroom w/Bath. Stained Rails &amp; Spindles! 100% Energy Star. 30 Yr. Structural Transferrable Builder Warranty. Awesome Batavia Dist Schools. Photos Are Of  Model Braeden. STILL TIME TO MAKE ALL YOUR OWN INTERIOR COLOR SELECTIONS.  Lot 15.02</t>
  </si>
  <si>
    <t>Breakfast Room, Loft, Utility Room-2nd Floor</t>
  </si>
  <si>
    <t>Agent must accompany buyers on first visit. Call Maureen with any questions, 331-999-5717. Commission paid on base price. Contract to purchase must be written on builders contract.</t>
  </si>
  <si>
    <t>CONWAY</t>
  </si>
  <si>
    <t>Carillon North</t>
  </si>
  <si>
    <t>Rt.45 &amp; Rollins W to Carillon gate turn right to Conway</t>
  </si>
  <si>
    <t>Drastic price reduction and immediate possession makes this the perfect buy in this over 55 community loaded with amenities! Well maintained 2 bed, 2 bth w/brand new hwood flrs, fresh paint, new light fixtures! Bdrm carpet less than 1 year old! Lrg kit &amp; sunny eat area! Rear patio w/retractable awning &amp; view of pond! Mstr has full bth &amp; walk in clst! 2nd bdrm w/glass sliders to front patio. Beautiful landscaping!</t>
  </si>
  <si>
    <t>Exercise Room, Golf Course, Party Room, Pool-Indoors, Tennis Court/s, Whirlpool, Curbs/Gutters, Sidewalks, Street Lights, Street Paved</t>
  </si>
  <si>
    <t>Brand new hardwood floors just installed in foyer, living/dining &amp; kitchen! Please direct all inquiries to the co-list, Chicky Johnson, 847-602-8600</t>
  </si>
  <si>
    <t>47th ST TO DREXEL BLVD., SOUTH TO ADDRESS</t>
  </si>
  <si>
    <t>2-STRY TWNHSE OVERLOOKS DESIRABLE DREXEL BLVD. HAS 2 BDRMS, PARQUET FLRS, EAT-IN KIT AND LAUNDRY HOOK-UP. THIS IS A FANNIE MAE PROPERTY AND 1ST LOOK EXPIRED 6/12/14. This property is now under  auction terms. Presale offers should be submitted via Bid Now. There is not a set minimum starting bid. This auction property is subject to a buyer's premium fee of 5.00% or $1,500 whichever is greater.</t>
  </si>
  <si>
    <t>1% OR $400, WHICHEVER IS GREATER. (on Gross SP)</t>
  </si>
  <si>
    <t>PLEASE CONTACT CENTRALIZED SHOWING AT 877-977-1010 TO SCHEDULE AN APPOINTMENT</t>
  </si>
  <si>
    <t>Fannie Mae/Homepath</t>
  </si>
  <si>
    <t>This property is now under auction terms. Presale offers should be submitted through Bid Now at www.hudsonandmarshall.com. There is not a set minimum starting bid. This auction property is subject to a buyer's premium fee of 5.00% or $1,500</t>
  </si>
  <si>
    <t>Chesterfield</t>
  </si>
  <si>
    <t>4D</t>
  </si>
  <si>
    <t>RTE. 34 TO CHESTERFIELD TO CHESTERFIELD CT. (ACROSS FROM FOX BEND GOLF COURSE)</t>
  </si>
  <si>
    <t>HIGHEST/BEST 1/25 BY 5PM. 2 STORY TOWN HOME W/ATTACHED GARAGE.GREAT ROOM SIZES. LOFT SPACE ON 2ND LEVEL/COULD BE BED 3. KITCHEN W/EAT IN AREA. SOLD AS ONLY, NO SURVEY, TAXES @ 100%. SEE DISCLS &amp; ADDNDM ADDITL INFO. BUYERS NEED PRE-APPROVAL FOR OFFERS PLUS VERIFICATION OF DOWN PAYMENT. CASH BUYERS=ALL FUNDS TO CLOSE VERIFIED. PUBLIC ACT 94-1049 MAY APPLY-SEE REO SALES HELP SHEET.</t>
  </si>
  <si>
    <t>PLEASE READ ALL INSTRUCTIONS IN SHOWING ASSIST - FOLLOW</t>
  </si>
  <si>
    <t>Employees of Bank of America or its affiliates or subsidiaries are strictly prohibited from directly or indirectly purchasing any property owned by Bank of America. Buyers agent must verify investor ownership % for any financed offers.</t>
  </si>
  <si>
    <t>Stevens</t>
  </si>
  <si>
    <t>CRYSTAL SQUARE</t>
  </si>
  <si>
    <t>120 to Kerry Way south to Stevens Court, right to house # 328</t>
  </si>
  <si>
    <t>28X96</t>
  </si>
  <si>
    <t>Gorgeous townhome with no association fees!  Immaculate home shows like a model and features a finished walkout lower level plus a deck overlooking breathtaking pond and nature views.  Large master suite with volume ceilings, luxe bath and 2 walk-in closets, sunny eat-in kitchen features granite counters and birch floors, living/dining room with fireplace, upgraded light fixtures throughout, this shows beautifully.</t>
  </si>
  <si>
    <t>Call LO 847-395-3000</t>
  </si>
  <si>
    <t>May</t>
  </si>
  <si>
    <t>Call/text LAG with any questions 847-309-8192.  Please note:  no association fees!  This is a fee simple townhouse.</t>
  </si>
  <si>
    <t>NEW ENGLAND VILLAGE</t>
  </si>
  <si>
    <t>75th TO JANES TO DANBURY TO BRUNSWICK</t>
  </si>
  <si>
    <t>IMMACULATE 2 BEDROOM. GREAT LOCATION - I 355, WALKING DISTANCE TO SCHOOLS, LIBRARY, COMMUNITY CENTER, 25 MILE BIKE ROUTE AND SHOPPING ON 75TH ST. LOTS OF CLOSETS (MB WALK-IN). KIT. PANTRY. ATTIC STORAGE ABOVE 1 CAR GARAGE. PRIVATE PATIO OVERLOOKS VAST YARD. AC/ HEATER/ WATER TANK NEW 2013.</t>
  </si>
  <si>
    <t>2HR NOTICE CALL LA 630 661-9656</t>
  </si>
  <si>
    <t>630 661-9656</t>
  </si>
  <si>
    <t>Michael Wojciechowski</t>
  </si>
  <si>
    <t>(630) 661-9656</t>
  </si>
  <si>
    <t>GREAT LOCATION, IMMACULATE 2 BEDROOM. AC/HEATER/ WATER TANK NEW 2013.</t>
  </si>
  <si>
    <t>ROSEHALL</t>
  </si>
  <si>
    <t>RT 120 TO WILDSPRING, S TO CONCORD, W TO ROSEHALL, L</t>
  </si>
  <si>
    <t>Partial, Walkout</t>
  </si>
  <si>
    <t>Fannie Mae HomePath property located in highly desirable Madrona Village of Round Lake.  Home features 2 BR, 2.1 Baths, 2-car garage, new paint and carpeting and finished lower level. Square footage does not reflect lower level. - approx. 200 sf. Shows like a model. Close to shopping &amp; commuter routes. Seller's payment of IL Condo Act 94-1049 dues applies. Offer instructions attached in MLS.</t>
  </si>
  <si>
    <t>See Additional Info for offer docs. Seller has directed all offers be made through HomePath.com. Seller's payment of IL Condo Act 94-1049 dues applies. Offer instructions attached in MLS. Master Association - McGill - $245/yr.</t>
  </si>
  <si>
    <t>Ione</t>
  </si>
  <si>
    <t>Fox Hollow</t>
  </si>
  <si>
    <t>Spring St W of McLean to Ione S</t>
  </si>
  <si>
    <t>Move-in ready 2BR/1.1BA end unit ranch townhouse in Fox Hollow. Convenient location, quiet cul-de-sac, faces open area. Large living room w/cathedral ceiling &amp; fireplace open to dining room &amp; kitchen. Dining room offers sliding glass door to back. Kitchen w/breakfast bar &amp; ample Oak cabinetry. Master bedroom includes walk-in closet &amp; shared bath. Finished bsmt w/rec room &amp; bonus room. 2-car garage. Move in &amp; enjoy!</t>
  </si>
  <si>
    <t>Call 855-919-0377</t>
  </si>
  <si>
    <t>CC: Pursuant to Short Sale. Buyer's loan fell through, short sale approved at list price!  Quick Close!</t>
  </si>
  <si>
    <t>COMMONWEALTH</t>
  </si>
  <si>
    <t>47TH ST W OF WOLF TO COMMONWEALTH, S TO 5303</t>
  </si>
  <si>
    <t>HAWTHORNE</t>
  </si>
  <si>
    <t>SUNNY &amp; BRIGHT SPACIOUS END UNIT W/ OPEN FLOOR PLAN. BEAUTIFUL SERENE VIEWS OF MATURE TREES &amp; CREEK! FAB GOURMET KIT W/MAPLE CABINETS, GRANITE &amp; HI END SS APPLCS.-ISLAND &amp; BREAKFAST RM, TOO! liv RM. W/BERBER &amp; FP. SPACIOUS DINING RM. &amp; FAM. RM. PRIVATE 3 SEASON PORCH W/AWESOME VIEWS. MASTER SUITE, W/2 CLOSETS, 1 WALK IN. SPA BATH W/DOUBLE SINKS. VOLUME CEILINGS, HI END DETAILS &amp; NEUTRAL DECOR! CONVENIENT LOCATION!!</t>
  </si>
  <si>
    <t>FOREST HILLS ELEMENTARY SCHOOL</t>
  </si>
  <si>
    <t>MCCLURE JUNIOR HIGH SCHOOL</t>
  </si>
  <si>
    <t>27X13</t>
  </si>
  <si>
    <t>Breakfast Room, Sun/Florida Room</t>
  </si>
  <si>
    <t>CALL 800-746-9464 FOR APPT. EASY TO SHOW!</t>
  </si>
  <si>
    <t>Very nice, like new and lots of upgrades</t>
  </si>
  <si>
    <t>1/2 Block S of Route 14 on Hough (Route 59) to Creekside Pointe Condo</t>
  </si>
  <si>
    <t>SPACIOUS AND SUNNY 2 BEDROOMS/2 BATHS CONDO IN THE CREEKSIDE POINTE OF BARRINGTON.  FRESHLY PAINTED THROUGHOUT, NEW SAMSUNG STAINLESS STEEL APPLIANCE PACKAGE AND NEW WATER HEATER. LARGE KITCHEN WITH EATING AREA, 42" CABINETS, GRANITE COUNTERTOP; SEPARATE TUB AND SHOWER, HEATED INDOOR GARAGE WITH STORAGE. PROPERTY IS SOLD IN AS-IS CONDITION, 100% TAX PRORATION, NO DISCLOSURES, NO SURVEY. Public Act 94-1049 may apply.</t>
  </si>
  <si>
    <t>20X19</t>
  </si>
  <si>
    <t>Elevator, Storage</t>
  </si>
  <si>
    <t>CALL 877.977.1010</t>
  </si>
  <si>
    <t>PNC BANK</t>
  </si>
  <si>
    <t>(847) 983-4477</t>
  </si>
  <si>
    <t>Sarah Han, SFR</t>
  </si>
  <si>
    <t>(773) 206-2266</t>
  </si>
  <si>
    <t>ALL OFFERS MUST BE SUBMITTED BY THE BUYERS AGENT VIA www.offersubmission.com, ID# 939899. NO PAPERWORK REQUIRED UNTIL TERMS ACCEPTED. BUYER PAYS $300 FEE AT CLOSING. NO OFFERS WILL BE RESPONDED WITHIN THE FIRST 10 DAYS OF MARKET TIME</t>
  </si>
  <si>
    <t>10A</t>
  </si>
  <si>
    <t>Kingery Quarter</t>
  </si>
  <si>
    <t>Hinsdale Point</t>
  </si>
  <si>
    <t>Rt#83 to 91st, west to Clarendon Hills Rd, left to Kingery Quarter, left to Ivy to Bldg 10A</t>
  </si>
  <si>
    <t>Large 2 Bedroom end unit, new carpet in living room &amp; master bed room, modern wood cabinet kitchen, bathroom with oak vanity, and central air conditioning. Large master bed room with walk-in closet. New balcony facing open area with trees. Many amenities like pool, club house, and exercise room. The assessment includes heat and water. Located near forest preserve, don't miss out!!!</t>
  </si>
  <si>
    <t>Coin Laundry, Exercise Room, Storage, Park/Playground, Pool-Outdoors, Security Door Locks, Street Paved</t>
  </si>
  <si>
    <t>Oven/Range, Microwave, Refrigerator, Disposal</t>
  </si>
  <si>
    <t>Call Gary 708-712-2301</t>
  </si>
  <si>
    <t>owner or record</t>
  </si>
  <si>
    <t>Timothy Knafl</t>
  </si>
  <si>
    <t>(630) 420-1221</t>
  </si>
  <si>
    <t>Wilshire</t>
  </si>
  <si>
    <t>LAKE ST TO GREENBROOK S TO AMARILLO W TO WILSHIRE CT</t>
  </si>
  <si>
    <t>SHORT SALE~2 BEDROOM 1 BATH UNIT~UPDATED KITCHEN~APPLIANCES~CABINETS~COUNTERS~BACKSPLACH~VAULTED CEILINGS IN 2ND FLR UNIT~WALL OF SLIDING GLASS DOORS OPENS TO DECK~IN UNIT LAUNDRY~1 CAR GARAGE~NEWER FURNACE &amp; WATER HEATER~UP TO CODE~CLOSE TO ELGIN OHARE EXPRESSWAY~</t>
  </si>
  <si>
    <t>21X5</t>
  </si>
  <si>
    <t>CALL 855-746-9200 TO CONFIRM APPOINTMENT</t>
  </si>
  <si>
    <t>Mary Wright, CSC</t>
  </si>
  <si>
    <t>(630) 377-1771x4613</t>
  </si>
  <si>
    <t>CC: Pursuant to Short Sale. SHORT SALE~SOLD AS-IS~TAXES AT 100%~ONE LENDER~EXPERIENCED SHORT SALE ATTORNEY NEGOTIATING~</t>
  </si>
  <si>
    <t>MAPLE W OF RT 53 TO E LAKE SOUTH FOLLOW SIGNS</t>
  </si>
  <si>
    <t>Lake View condo ! maintenance free and well maintained, just move in! Larger unit features over sized rooms, in unit laundry and fully equipped kitchen! Huge living room with brick fireplace and sliding doors leading to huge balcony that overlooks the lake. Hardwood floors underneath the carpeting throughout. Resort-style living at its best! This is a must see!</t>
  </si>
  <si>
    <t>Bike Room/Bike Trails, On Site Manager/Engineer, Pool-Outdoors, Restaurant</t>
  </si>
  <si>
    <t>2.5%-$190 (on Net SP)</t>
  </si>
  <si>
    <t>Email agent Emilio Bartucci at ebartuccirealtor@gmail.com</t>
  </si>
  <si>
    <t>Sebastian Co. Real Estate</t>
  </si>
  <si>
    <t>(847) 823-3117</t>
  </si>
  <si>
    <t>Emilio F Bartucci</t>
  </si>
  <si>
    <t>CRESTVIEW ESTATES</t>
  </si>
  <si>
    <t>RT 176 W OF MAIN TO CRESTVIEW S TO NUMBER.</t>
  </si>
  <si>
    <t>Short Sale!</t>
  </si>
  <si>
    <t>Water-Softener Owned, TV-Cable, CO Detectors, Ceiling Fan</t>
  </si>
  <si>
    <t>Call LO/ 847-395-3000</t>
  </si>
  <si>
    <t>Shelly Nissen</t>
  </si>
  <si>
    <t>(847) 710-1113</t>
  </si>
  <si>
    <t>Vail</t>
  </si>
  <si>
    <t>ESTES PARK</t>
  </si>
  <si>
    <t>75th TO RICKERT NORTH- TURN LEFT ON WHISPERING HILLS TO VAIL CT.</t>
  </si>
  <si>
    <t>BEAUTIFUL LIGHT AND BRIGHT END UNIT LOCATED ON CULDESAC LOT WITH OPEN BACK YARD GREEN SPACE. OPEN FLOOR PLAN. WHITE TRIM THROUGHOUT. UPGRADED OAK CABINETS IN KITCHEN AND BATHS. KITCHEN AND POWDER ROOM HAS WOOD LAMINATE FLOORS.  LARGE MASTER BEDROOM HAS WALK-IN CLOSET AND PRIVATE BATH. SECOND BEDROOM HAS PRIVATE BATH. SECOND FLOOR LAUNDRY. BEAUTIFULLY DECORATED. CLOSE TO DOWNTOWN AND SHOPPING.</t>
  </si>
  <si>
    <t>OWEN ELEMENTARY SCHOOL</t>
  </si>
  <si>
    <t>Cul-de-sac, Nature Preserve Adjacent</t>
  </si>
  <si>
    <t>CALL 877-977-1010 FOR APPOINTMENT</t>
  </si>
  <si>
    <t>ONE ITASCA PLACE</t>
  </si>
  <si>
    <t>SW Corner of Nordic Rd. &amp; Rohlwing Rd. N of Lake St, S of Irving Park</t>
  </si>
  <si>
    <t>UNIT I</t>
  </si>
  <si>
    <t>1,651 S.F. Elevated 1st Fl. Split 2 Bedrms, 2 Baths, Large Laundry Rm w/LaundrtTub.Great Rm.,MBS. His &amp; Hers vanities, soaking tub, sep. shower w/bench, + water closet, linen &amp; walk-in closet, 2nd Bedrm &amp; 2nd Bath, Eating area in Kitchen w/ 42" cabs &amp; large walk-in pantry, SS appl, Lots of closets  Add'l storage on unit's fl., 2 Elevat., 2 PARKING SPACES in LL garage.- OWNER OCCUPIED RESIDENCY. NOT an Ordinary Condo!</t>
  </si>
  <si>
    <t>MEDINAH INTERMEDIATE SCHOOL</t>
  </si>
  <si>
    <t>MEDINAH MIDDLE SCHOOL</t>
  </si>
  <si>
    <t>Bike Room/Bike Trails, Elevator, Storage, Security Door Locks, Curbs/Gutters, Sidewalks, Street Lights, Street Paved, Other</t>
  </si>
  <si>
    <t>Heat, Water, Gas, Parking, Common Insurance, TV/Cable, Exterior Maintenance, Lawn Care, Scavenger, Snow Removal, Other</t>
  </si>
  <si>
    <t>TV-Cable, TV-Dish, Fire Sprinklers, Sprinkler-Lawn, Power Generator</t>
  </si>
  <si>
    <t>Radiant, Indv Controls</t>
  </si>
  <si>
    <t>By Appt. List Agent must be present. Call List Office or List Agent</t>
  </si>
  <si>
    <t>Signature Realty Corporation</t>
  </si>
  <si>
    <t>(630) 582-7301</t>
  </si>
  <si>
    <t>Pamela Mack</t>
  </si>
  <si>
    <t>630 207-3726</t>
  </si>
  <si>
    <t>Buyer's Agent must accompany on buyer's 1st visit. Listing Agent must be present for all showings or other Assoc. Approved Rep.</t>
  </si>
  <si>
    <t>Tall Grass</t>
  </si>
  <si>
    <t>SUTTON RIDGE</t>
  </si>
  <si>
    <t>Rt 59 North to Entrance of Sutton Ridge Subdivision South of Golf Rd &amp; North of Schaumburg Rd</t>
  </si>
  <si>
    <t>Sutton Ridge Secluded Area Tucked Away By The Cook County Forest Preserve! 42" Maple Cabinetry, Granite Counters, SS Appl's. Gleaming Hardwood Flooring in: Kitchen, Living Room, Dining Room + Foyer. Romantic Master Bedroom Ftrs Luxury Bath! Upgraded Oak Railings! Deck. 9 Ft. Basement. Transferable 30 Year Builders Warranty. 100% Energy Photo's Are Of Subject Home. Lot 11.02 Price reflects builder incentives!</t>
  </si>
  <si>
    <t>Oven/Range, Dishwasher, Disposal, All Stainless Steel Kitchen Appliances</t>
  </si>
  <si>
    <t>3%-$200+$3000 BONUS IF CLOSED BY SEPT.30, 2014 ON BASE PRICE (on Net SP)</t>
  </si>
  <si>
    <t>Please Call Sue 847-323-1897</t>
  </si>
  <si>
    <t>630-416-9000</t>
  </si>
  <si>
    <t>Linda Little, CNC,CSC,e-PRO,RSPS,SFR,SRES</t>
  </si>
  <si>
    <t>(630) 334-0575</t>
  </si>
  <si>
    <t>Showings Are by Apt ONLY Please Call Sue Avicola 847-323-1897. $3000 Bonus if closed by September 30th 2014 using M/I Financial.</t>
  </si>
  <si>
    <t>5S470</t>
  </si>
  <si>
    <t>Scots</t>
  </si>
  <si>
    <t>WILLOWBEND</t>
  </si>
  <si>
    <t>88 exit 59 S make R on Bruce &amp; L on Scots</t>
  </si>
  <si>
    <t>Manor home in well maintained neighborhood. One floor living features living room with fireplace &amp; walk-out to backyard, Eat-in kitchen plus a separate dining room. Master suite with WIC and private bath. NEW flooring. Basement for tons of storage. Backyard perfect for this summerâ€™s BBQs and entertaining. Easy access to Metra, highways, shopping, dining and golf. Agents: see agent remarks section for offer submission</t>
  </si>
  <si>
    <t>CASH ONLY.  See showing assist to schedule a showing.</t>
  </si>
  <si>
    <t>CASH ONLY. EMAIL offers/POF to BPO@expectre.com. Please allow 3 days for seller response. SELLER SHALL NOT PROVIDE A SURVEY. ADDTâ€™L ADDENDUM &amp; LBP DISCLOSURE SENT AFTER OFFER IS ACCEPTED. Sold as-is-where-is.</t>
  </si>
  <si>
    <t>Stone Manor</t>
  </si>
  <si>
    <t>STONE MANOR</t>
  </si>
  <si>
    <t>Route 31 (South Batavia Ave) south of Main St. to Stone Manor Circle on East side of Avenue</t>
  </si>
  <si>
    <t>26X75</t>
  </si>
  <si>
    <t>Excellent good condition, conveniently located townhome. Vaulted ceilings, skylights  and lots of display options make this a very nice place to call home. Large deck recently re-sealed to enjoy the outdoors conveniently located off the kitchen. Lower level has large family room with fireplace, laundry room and full bath. Newer HVAC. Very close to town,library, shopping,fox river and trail system.</t>
  </si>
  <si>
    <t>Humidifier, TV-Cable, CO Detectors</t>
  </si>
  <si>
    <t>Use showing assist below or call  (855) 746-9093</t>
  </si>
  <si>
    <t>Sulaski</t>
  </si>
  <si>
    <t>John Gamble, e-PRO,GRI</t>
  </si>
  <si>
    <t>(630) 761-9550</t>
  </si>
  <si>
    <t>0N672</t>
  </si>
  <si>
    <t>BEDFORD</t>
  </si>
  <si>
    <t>WINFIELD SQUARE</t>
  </si>
  <si>
    <t>GENEVA ROAD W OF COUNTY FARM - CONCORD-MELROSE-BEDFORD</t>
  </si>
  <si>
    <t>2 STORIES TOWNHOME, 2 BEDROOM, 2 BATH, FAMILY ROOM, 1 CAR ATTACHED GARAGE, SKYLIGHT, DECK, CENTRAL AIR, END UNIT. **Sold as-is. Seller does not provide survey, termite or disclosures. Tax proration 100%. Pre-qual or proof of funds with all offers. Addendums to follow accepted offer. Buyer to verify all info**</t>
  </si>
  <si>
    <t>Secure showing assist, click on schedule a showing</t>
  </si>
  <si>
    <t>Compass REO Incorporated</t>
  </si>
  <si>
    <t>(630) 859-8966</t>
  </si>
  <si>
    <t>Marisa Barragan, CRB</t>
  </si>
  <si>
    <t>Submit offers to WWW.OFFERRUNWAY.COM Upload 6.0 Contract, Property is being sold subject to 24 CFR 206. Property canâ€™t be sold for less than appraised value. LIST PRICE IS APPRAISED VALUE See MLS doc for add info. Buyer to verify all info.</t>
  </si>
  <si>
    <t>Benham</t>
  </si>
  <si>
    <t>Timbers</t>
  </si>
  <si>
    <t>Rt. 31 and 64 to Timber Tr. W. to Millington S. to Benham</t>
  </si>
  <si>
    <t>Great condo, ready for its new owner! Ranch style condo located on second floor, has bright open floor plan. Large living room with fireplace and spacious deck off living room. Kitchen has recessed lighting and under cabinet lighting. Large master bedroom with full bath and large walk in closet. Neutral dÃ©cor creates a cozy atmosphere. Great location, close to schools and walking distance to parks, dining, &amp; shopping</t>
  </si>
  <si>
    <t>Please call 1.855.746.9100 to schedule showing. Easy to show.</t>
  </si>
  <si>
    <t>Kelly Durbala, SFR</t>
  </si>
  <si>
    <t>630.338.2049</t>
  </si>
  <si>
    <t>CC: Pursuant to Short Sale. CC: Pursuant to Short Sale. Subject to lender approval; any reduction in commission will be split 50/50 between Brokers; "AS IS" Sale, 100% tax proration; No Survey.</t>
  </si>
  <si>
    <t>BIG TIMBER TO LYLE NORTH TO CREEK SIDE CIRCLE.</t>
  </si>
  <si>
    <t>This property is now under auction terms. Pre-sale bids should be submitted through the auction website. This property is  subject to a 5% buyerâ€™s premium pursuant to the Auction Terms &amp; Conditions (minimums may apply). Please note that the commission  percentages may change between the pre-sale and auction periods so please contact listing agent to verify exact commission terms. See  agent remarks for website info.</t>
  </si>
  <si>
    <t>See secure showing assist below:</t>
  </si>
  <si>
    <t>This property is now under auction terms. Pre-sale bids should be submitted through www.Auction.com. This property is  subject to a 5% buyerâ€™s premium pursuant to the Auction Terms &amp; Conditions (minimums may apply).</t>
  </si>
  <si>
    <t>Alandale</t>
  </si>
  <si>
    <t>Heartlands</t>
  </si>
  <si>
    <t>Book Rd South of 87th to Tamahawk E to Alendale Circle</t>
  </si>
  <si>
    <t>FOREST</t>
  </si>
  <si>
    <t>Super sharp townhouse just down from award winning Neuqua High School. This model has been upgraded throughout with vaulted ceilings, Palladium windows, 6 panel doors, oak cabinets, large deck out back, 2 car garage, etc.  Brand new carpets, fresh paint and new wood floors.  2 bedrooms up each with their own baths.  Over 1900 sq ft to stretch out with finished basement and 3rd bedroom/den. Close to everything Sharp</t>
  </si>
  <si>
    <t>CLOW ELEMENTARY SCHOOL</t>
  </si>
  <si>
    <t>Use "Schedule a Showing" below</t>
  </si>
  <si>
    <t>John Brennan</t>
  </si>
  <si>
    <t>(630) 258-4331</t>
  </si>
  <si>
    <t>1-307</t>
  </si>
  <si>
    <t>WESTBROOK CONDOMINIUMS</t>
  </si>
  <si>
    <t>CERMAK EAST TO WOLF RD NORTH TO CONDOS</t>
  </si>
  <si>
    <t>HILLSIDE</t>
  </si>
  <si>
    <t>THIS IS A GREAT UNIT, CENTRALLY LOCATED CLOSE TO MAJOR EXPRESSWAYS, THE UNIT HAS A NICE FLOOR PLAN, 2 SPACIOUS BEDROOMS, UPDATED KITCHEN WITH GRANITE COUNTERS, UPDATED BATHS.  MUST SEE, YOU WILL NOT BE DISAPPOINTED. This is a Fannie Mae HomePath property.  Public Act 94-1049 May Apply.</t>
  </si>
  <si>
    <t>11X28</t>
  </si>
  <si>
    <t>Heat, Water, Gas, Common Insurance, Pool, Exterior Maintenance</t>
  </si>
  <si>
    <t>PLEASE USE CONNECT MLS SHOWINGS ASSIST</t>
  </si>
  <si>
    <t>SELLER HAS VERBALLY ACCEPTED AN OFFER 12/29/2014.  All offers on this listing must be submitted online via Homepath.com. Buyer for survey and taxes prorated at 100%. Cash buyer due to hoa, call LA for more info.</t>
  </si>
  <si>
    <t>Rt 47 to Galena Rd, E to Rosenwinkle, L at Bertram, L at 1st street R to 234 H</t>
  </si>
  <si>
    <t>Great neutral end unit in Bristol Bay! Open floor plan. 2 Bedrooms with 2 full baths. Spacious rooms, 2 Large walk-in closets. All appliances are included. Washer and dryer in unit. 1 car detached garage with additional parking space. Clubhouse with pool &amp; gym in walking distance. Don't miss this one!</t>
  </si>
  <si>
    <t>BRISTOL BAY ELEMENTARY SCHOOL</t>
  </si>
  <si>
    <t>YORKVILLE MIDDLE SCHOOL</t>
  </si>
  <si>
    <t>Exercise Room, Park/Playground, Party Room, Pool-Outdoors, Tennis Court/s, Curbs/Gutters, Sidewalks, Street Lights, Street Paved</t>
  </si>
  <si>
    <t>Sheena Baker</t>
  </si>
  <si>
    <t>(708) 966-9743</t>
  </si>
  <si>
    <t>CC: Pursuant to Short Sale. CC: Pursuant to Short Sale. Co-op commission offered is contingent upon lender approval. MUST lock top lock when leaving.</t>
  </si>
  <si>
    <t>Sycamore Rd. to West on Bethany, to South on Fairway Oaks, take an immediate left into private drive</t>
  </si>
  <si>
    <t>FABULOUS 3000 SF, 2-4 Bdrm Ranch Condo in the GOLF VILLAS of Fairway Oaks situated on the Kishwaukee Golf Course! Stunning Great Room w/vaulted ceiling, skylights, Mexican tile, EXCEPTIONAL kitchen w/solid surface countertop &amp; antiqued white cabinets. Soothing sunporch w/see-thru fireplace overlooks 11th fairway, deck &amp; pergola. LUXURY Master Suite w/quality details. Finished LOOKOUT basement w/fireplace. 3CAR GARAGE</t>
  </si>
  <si>
    <t>26X23</t>
  </si>
  <si>
    <t>Golf Course Lot, Landscaped Professionally, Water View</t>
  </si>
  <si>
    <t>Foyer, Great Room, Storage, Sun/Florida Room, Utility Room-Lower Level</t>
  </si>
  <si>
    <t>Humidifier, Water-Softener Rented, Central Vacuum, CO Detectors, Ceiling Fan, Sump Pump</t>
  </si>
  <si>
    <t>See through/Multi Sided, Wood Burning, Gas Logs</t>
  </si>
  <si>
    <t>Exception(s), Variable</t>
  </si>
  <si>
    <t>MUST HAVE CONFIRMATION - Call or Text List Agent Jayne at 815.739.2499 to schedule all showings</t>
  </si>
  <si>
    <t>Boardman</t>
  </si>
  <si>
    <t>Jayne Menne</t>
  </si>
  <si>
    <t>(815) 739-2499</t>
  </si>
  <si>
    <t>FAX 815.754.0005</t>
  </si>
  <si>
    <t>Custom painted kitchen and mural in Master Bath.  Basement refrigerator included. Porch swing and yard benches not included. HOA will be $180/month as of 1/1/15</t>
  </si>
  <si>
    <t>Klatt</t>
  </si>
  <si>
    <t>Rt34 to Eldamain south to Cummins, right on Klatt.</t>
  </si>
  <si>
    <t>40X118X67X104</t>
  </si>
  <si>
    <t>Cozy duplex ranch. Open floor plan with vaulted ceilings. 1 car deep garage. Fenced yard. Subdivision offers pool, tennis, clubhouse, parks, in subdivision elementary school. Property is a short sale and is being sold AS IS.</t>
  </si>
  <si>
    <t>(815) 436-6000</t>
  </si>
  <si>
    <t>CC: Pursuant to Short Sale. CC: Pursuant to Short Sale. Reduction in commission will be split 50/50.</t>
  </si>
  <si>
    <t>10s405</t>
  </si>
  <si>
    <t>Route 83 to 91st Street; west to complex.</t>
  </si>
  <si>
    <t>Look no more this luxury townhouse in Burr Ridge has it all. This former builder model has all the upgrades: solid walnut wood flooring, imported glass tile backsplash, LED recessed lighting, and finished basement. This smart home also includes motorized window treatments, wifi enabled garage door opener with battery backup and much more.  Plus, new carpet was just installed on 10/10/14. This is a must see.</t>
  </si>
  <si>
    <t>2%-$200 (on Net SP)</t>
  </si>
  <si>
    <t>Call owner directly for an appointment @ 630-674-5568 and ask for Ron.</t>
  </si>
  <si>
    <t>Ronald &amp; Shelley Molfese</t>
  </si>
  <si>
    <t>630-674-5568</t>
  </si>
  <si>
    <t>Quin O'Brien, CNC</t>
  </si>
  <si>
    <t>Offers 847-986-3520</t>
  </si>
  <si>
    <t>Call owner directly for an appointment @ 630-674-5568 and ask for Ron.  Fax offers to 847.986.3520 (or email to listing agent).  Listing company does not hold earnest money.</t>
  </si>
  <si>
    <t>Hastings</t>
  </si>
  <si>
    <t>Grass Lake Road to Leisure Village Entrance to Arlington to Hastings Circle to end on R. side</t>
  </si>
  <si>
    <t>Large unit in wonderful Leisure Village for 55+ community.   Lots of things to do in this subdivision with golfing, huge swimming pool, rec room . This unit has a partially fenced in side yard on this large end unit. Large open family room connected to a the heated sun room. New Roof just put on mid September. Lots of potential. Needs some updating and fixing up</t>
  </si>
  <si>
    <t>Common Insurance, Security, Clubhouse, Exercise Facilities, Pool, Exterior Maintenance, Lawn Care, Lake Rights, Other</t>
  </si>
  <si>
    <t>Den, Sun/Florida Room</t>
  </si>
  <si>
    <t>Call ShowingTime @ 800-746-9464 for appt. and one day code</t>
  </si>
  <si>
    <t>OK and Associates, Realty Plus</t>
  </si>
  <si>
    <t>(815) 315-0203</t>
  </si>
  <si>
    <t>Dawn Zurick, e-PRO,GRI,SFR,SRS</t>
  </si>
  <si>
    <t>(847) 287-1148</t>
  </si>
  <si>
    <t>Property is being sold â€œas isâ€ and is subject to HUD Guidelines 24 CFR 206.125. Service is coming to take care of water on floor. utilities are to be turned on for all inspections by buyer. Form will be supplied with accepted offer</t>
  </si>
  <si>
    <t>Deer Trail Hill</t>
  </si>
  <si>
    <t>Route 59 N of Route 22 Past Miller Road to Gate.  See Guard at Gate</t>
  </si>
  <si>
    <t>Resort-Like Living! Relax on your private patio and enjoy the beautiful pond view. Lovely 1st floor 2 bedroom 2 bath unit. Master Bedroom has Walk-in Closet. Bright and cheery Kitchen with eating area. Dining room open to living room. Shared unfinished basement with storage area. Enjoy a round of golf, a dip in the pool followed by a lovely dinner at the Clubhouse. Secure Gated-Community. Maintenance-free.</t>
  </si>
  <si>
    <t>Bike Room/Bike Trails, Exercise Room, Storage, Golf Course, Health Club, On Site Manager/Engineer, Park/Playground, Party Room, Pool-Indoors, Pool-Outdoors, Restaurant, Tennis Court/s, Whirlpool, Gated Entry</t>
  </si>
  <si>
    <t>Call 855-746-9200. Please allow 6 hours notice</t>
  </si>
  <si>
    <t>Diana Trzaska</t>
  </si>
  <si>
    <t>New Furnace installed 2009. Washer/Dryer Included. Application fee $150 plus 3 month reserves totaling $1339.47.</t>
  </si>
  <si>
    <t>MC DOWELL</t>
  </si>
  <si>
    <t>DIEHL TO RAYMOND TO MCDOWELL</t>
  </si>
  <si>
    <t>GREAT LOCATION~BETTER PRICE!!  CLOSE 4 COMMUTERS- TRAIN OR HWYS.  NEWS INCLUDE-PAINT/CARPET/APPLS/WASHER/DRYER. PERFECT FOR THE NO MAINTENANCE KINDA PERSON. 1ST FLOOR UNIT DONE &amp; MOVE IN READY-JUST UNPACK &amp; DECORATE TO YOUR TASTE. COMPLEX OFFERS POOL-CLUBHOUSE.  NO SURVEY-100% TAXES-SOLD AS IS.. See attachment for PAS requirements and WFHM offer submittal information in MLS document section.</t>
  </si>
  <si>
    <t>Pool-Outdoors, Curbs/Gutters, Sidewalks, Street Paved</t>
  </si>
  <si>
    <t>2%-$325 (on Net SP)</t>
  </si>
  <si>
    <t>USE SHOWING ASSIST BELOW-SHORT NOTICE OK</t>
  </si>
  <si>
    <t>Gayle Weatherly</t>
  </si>
  <si>
    <t>(630) 553-9660</t>
  </si>
  <si>
    <t>630-546-2296</t>
  </si>
  <si>
    <t>BUYER SHOULD OBTAIN FREE PRE-APPR W/WELLS RANDALL- 630-399-9291 NMLSR-70459. ALL OFFERS MUST INCL-CONTRACT/PRE-APPR/POF IF CASH-COPY EARNEST. **OFFER RQ. UNDER DISCS** EMAIL OR FAX TO 866-618-3928</t>
  </si>
  <si>
    <t>Grass Lake to Fox Lake South to Stonebridge West to Golf</t>
  </si>
  <si>
    <t>Maintained 2 bedroom and 1 bath condo on the Antioch Golf Club golf course. Glass sliding doors lead out to balcony with views of Golf course. Property is now committed to an Auction and all Auction terms apply. See agent remarks. Auction presale start date 10/15/2014</t>
  </si>
  <si>
    <t>1% WITH A MINIMUM OF $400 (on Gross SP)</t>
  </si>
  <si>
    <t>Property is now under auction terms.Presale offers should be submitted through Bid Now at www.auction.com. Auction property is subject to a buyer's premium fee of 5.00% or $1,500, whichever is greater. Pre Auction start date 10/15/14.</t>
  </si>
  <si>
    <t>THORNWOOD</t>
  </si>
  <si>
    <t>WILDWOOD COVE</t>
  </si>
  <si>
    <t>RANDALL RD (N OF RT 64) EAST TO RED HAW, S TO THORNWOOD</t>
  </si>
  <si>
    <t>PRISTINE VILLA W/VIEWS OF NATURE PRESERVE &amp; POND FROM KITCHEN &amp; PRIVATE BALCONY. BEAUTIFUL EAT-IN  KITCHEN W/NEW CORIAN COUNTERS, NEW FLOORING THRU-OUT! LIVING RM HAS CATHEDRAL CEILING, SKYLIGHTS &amp; FIREPLACE. LARGE MASTER BR W/FULL BATH &amp; WIC. 2ND BR W/CLST &amp; BONUS RM. SECURED ENTRY! HUGE BASEMENT FOR STORAGE OR MORE LIVING SPACE! GREAT FLOOR PLAN! WALK TO WILD ROSE ELEM! CLOSE TO DOWNTOWN ST. CHARLES AND FOX RIV</t>
  </si>
  <si>
    <t>Bike Room/Bike Trails, Storage, Park/Playground, Sundeck, Security Door Locks, Curbs/Gutters, Sidewalks, Street Lights, Street Paved</t>
  </si>
  <si>
    <t>Forest Preserve Adjacent, Park Adjacent, Pond, Water View, Wooded</t>
  </si>
  <si>
    <t>Water-Softener Owned, TV-Cable, Fire Sprinklers, CO Detectors, Ceiling Fan</t>
  </si>
  <si>
    <t>CLA 847-687-9046 / 24 HRS NOTICE</t>
  </si>
  <si>
    <t>Global Ruben's Team Realty</t>
  </si>
  <si>
    <t>(847) 836-6300</t>
  </si>
  <si>
    <t>Ruben Acevedo</t>
  </si>
  <si>
    <t>(847) 687-9046</t>
  </si>
  <si>
    <t>SANDHURST</t>
  </si>
  <si>
    <t>CARRIAGE HOMES OF SANDHURST</t>
  </si>
  <si>
    <t>MCLEAN TO SANDHURST TO UNIT</t>
  </si>
  <si>
    <t>Short Sale. Sold As-Is. Buyer backed out at last minute. Great opportunity. Convenient to Rt. 20.  Hardwood flooring throughout Living and dining rooms. ECO-Friendly concrete counter tops and back splash. Gas log fireplace in living room. All appliances are staying. Full finished basement with wet bar. Good condition.</t>
  </si>
  <si>
    <t>Water-Softener Owned, TV-Cable, CO Detectors, Ceiling Fan, Sump Pump</t>
  </si>
  <si>
    <t>Show any time. For all appointments, call LO 847-956-0660 for combo code</t>
  </si>
  <si>
    <t>Edward Jung</t>
  </si>
  <si>
    <t>CC: Pursuant to Short Sale. Short Sale. Sold as-is. Home is in good condition.</t>
  </si>
  <si>
    <t>Washington / Hainesville S2 Big Horn W2 Address</t>
  </si>
  <si>
    <t>Short sale, need time for approval! Already have a negotiator...bring us an offer! Super cute townhome ready for new owners. Large 2 bedroom with fireplace  and eat in kitchen. laundry room on 2nd level. All appliances included. Lower level family room or 3rd bedroom.   Short sale, allow time for 3rd party approval.</t>
  </si>
  <si>
    <t>Call Showing Assist at 855-746-9200</t>
  </si>
  <si>
    <t>CC: Pursuant to Short Sale. allow time for 3rd party approval. handled by short sale attorney. any reductions in commission will be split 50/50 between listing and selling office. no survey 100% tax proration.</t>
  </si>
  <si>
    <t>Schaumburg Ave W of Barrington Rd to East Ave. S to Juniper Circle</t>
  </si>
  <si>
    <t>Cul-de-sac loc near lg green space. Home in GREAT cond. Dramatic vault 2story space boasts LR w/FP. 2nd BR is loft overlooking LR &amp;has sliders to private balcony. Pergo t/o 1st Flr. Remod full bath w/cermaic tile floor &amp;shower. Cabinets new w/linen storage. Private patio from sliders off DR. Kit has sliders to private patio. Master BR w/walk-in closet. Pride of ownership shows. Approved short sale ready for offer.</t>
  </si>
  <si>
    <t>RIDGE CIRCLE ELEMENTARY SCHOOL</t>
  </si>
  <si>
    <t>Common Grounds, Cul-de-sac, Park Adjacent</t>
  </si>
  <si>
    <t>Francois Moret, GRI</t>
  </si>
  <si>
    <t>(847) 241-2411</t>
  </si>
  <si>
    <t>CC: Pursuant to Short Sale. NO rentals</t>
  </si>
  <si>
    <t>EUCLID</t>
  </si>
  <si>
    <t>71ST JEFFREY ~ SOUTH TO 72ND ~ W TO EUCLID RIGHT TURN</t>
  </si>
  <si>
    <t>APPROVED SHORT SALE!!! AN EXTRAORDINARILY  SPACIOUS CONDO!!! FEATURING 2 BDRM / 2 FULL BATH W/LARGE MASTER W/MARBLE PRIVATE BATH / WASHER &amp; DRYER IN UNIT / HARDWOOD FLOORS THROUGH OUT / LOW ASSESSMENTS. CONVENIENT TO METRA &amp; SHOPPING. PROPERTY SOLD AS IS WHERE IS. SCHEDULE YOUR APPOINTMENT TODAY. RENTALS ALLOWED!!!!</t>
  </si>
  <si>
    <t>1,000-$195 (on Gross SP)</t>
  </si>
  <si>
    <t>maxineandassocr@aol.com</t>
  </si>
  <si>
    <t>Maxine Dugar</t>
  </si>
  <si>
    <t>(630) 675-0127</t>
  </si>
  <si>
    <t>630-675-0127</t>
  </si>
  <si>
    <t>CC: Pursuant to Short Sale. PROPERTY SOLD AS IS, APPROVED 45K SHORT SALE, TAX PRORATION 100%. ADDITIONAL DISCLOSURES AND AGREEMENT APPLY. SELLER IS REQUESTING ALL CASH OFFERS &amp; PROOF OF FUNDS. FAX OFFERS TO 888-550-5474.</t>
  </si>
  <si>
    <t>CAMBRIDGE SQUARE</t>
  </si>
  <si>
    <t>Milwuakee &amp; Golf W2 Home</t>
  </si>
  <si>
    <t>Clean and well-cared for second floor unit with one car garage and in-unit laundry. Newer windows and slider to deck. Original kitchen and baths.</t>
  </si>
  <si>
    <t>ROCKLAND ELEMENTARY SCHOOL</t>
  </si>
  <si>
    <t>Unassigned, Driveway</t>
  </si>
  <si>
    <t>Call List Office or Use Showing Assist. Easy to Show.</t>
  </si>
  <si>
    <t>Daniel Timm</t>
  </si>
  <si>
    <t>(847) 219-8466</t>
  </si>
  <si>
    <t>www.DanTimm.com</t>
  </si>
  <si>
    <t>east or west on 63rd st to address</t>
  </si>
  <si>
    <t>2 bedroom, 2 bath condo, 2nd floor unit with  in unit laundry, very spacious hardwood floors, lots of storage, balcony, walk to transportaion,shopping and midway airport. This is a Fannie Mae HomePath property. Please see Agent Remarks for more details.</t>
  </si>
  <si>
    <t>call office 708-484-2300</t>
  </si>
  <si>
    <t>RE/MAX Partners</t>
  </si>
  <si>
    <t>(708) 484-2300</t>
  </si>
  <si>
    <t>Allen Snyder</t>
  </si>
  <si>
    <t>For more information about HomePath incentives please visit www.HomePath.com. Seller has directed that all offers be submitted via www.HomePath.com . See site for details and fill out REPA! Owner occupant per HOA.</t>
  </si>
  <si>
    <t>Rt. 34 West of Eldamain South on Mitchell Left on Klatt</t>
  </si>
  <si>
    <t>Beautiful Linden model good condition.  Kitchen has 42 inch maple cabinet, oak railings.  Larger master bedroom, bath and closet.  Features a loft with spectacular view of foyer.  To be sold as is.</t>
  </si>
  <si>
    <t>JAW Realty &amp; Valuation, Inc.</t>
  </si>
  <si>
    <t>(815) 735-7400</t>
  </si>
  <si>
    <t>Edward Wisniowski</t>
  </si>
  <si>
    <t>(815) 735-7171</t>
  </si>
  <si>
    <t>All offers to be submitted on HUBZU.com</t>
  </si>
  <si>
    <t>Goldenrod</t>
  </si>
  <si>
    <t>Prairie Pointe</t>
  </si>
  <si>
    <t>Wilson Road between 134/Nippersink N2 Woodland E2 Goldenrod</t>
  </si>
  <si>
    <t>PRESTINE CONDITION 2 BEDS + LOFT TOWNHOME WITH BIG HOLLOW GRADE SCHOOLS.  This town home has a large kitchen w/ Balcony, spacious dining room and living room area, upstairs has a large master bedroom w/ vaulted ceiling, loft and second bedroom, 2nd floor laundry, extra lower level den/office or workout room, 2 car att. gar.  **BANK HAS APPROVED THE CONTRACT AT LIST PRICE *** DON'T MISS OUT ***</t>
  </si>
  <si>
    <t>Call listing office.*** 24 hour notice required!</t>
  </si>
  <si>
    <t>Chatman</t>
  </si>
  <si>
    <t>CC: Pursuant to Short Sale. CC: Pursuant to Short Sale. SHORT SALE. Any reduction in commission from lender will be splitt 50/50. Tax pro-ration 100%. Sold AS IS. Seller does not provide survey.EARNEST MONEY &amp; INSPECTION DUE UPON SELLER ACCEPTANCE. NO EXCEPTIONS</t>
  </si>
  <si>
    <t>Irving Park West of barrington Rd to McKool South to Property</t>
  </si>
  <si>
    <t>1116 SQ FT</t>
  </si>
  <si>
    <t>Great 2 story Townhome, large Master Bedroom with walk-in closet. Fenced yard with Patio. Washer and Dryer in unit. In front of single family homes. Close to school and shopping. In very good condition but sold "as is." Prorations at 100%, no survey. Short Sale requires Lender's Approval. One assigned parking space and one for visitors. Great investment property.</t>
  </si>
  <si>
    <t>Century 21 Langos &amp; Christian</t>
  </si>
  <si>
    <t>(847) 593-3460</t>
  </si>
  <si>
    <t>Christina Zelaya</t>
  </si>
  <si>
    <t>(847) 228-8762</t>
  </si>
  <si>
    <t>630-309-3658</t>
  </si>
  <si>
    <t>CC: Pursuant to Short Sale. LENDER REQUIRES ALL OFFER SUBMISSIONS TO BE PLACED AT www.hubzu.com .    Experienced Short Sale Team! When submitting a Purchase Contract:Make Earnest Money check payable to PRECISION TITLE.</t>
  </si>
  <si>
    <t>BETH</t>
  </si>
  <si>
    <t>RT 21/120 N2 MANCHESTER W2 BETH N2 HOME</t>
  </si>
  <si>
    <t>EXP LINDEN</t>
  </si>
  <si>
    <t>COMMON  GROUNDS</t>
  </si>
  <si>
    <t>MOTIVATED TO SELL. LINDEN MODEL. FLOOR TO CEILING STONE FIREPLACE IN VAULTED LIVING ROOM. KIT FEATURES NEWER STOVE. BUILT-IN MICRO &amp; DISHWASHER. SLIDER ACCESS TO PRIVATE PATIO.1ST FLOOR BEDROOM IS OPEN TO LIVING ROOM, WOULD BE EASY TO CONVERT BACK. 1ST FLOOR FULL BATH. MASTER SUITE ENJOYS OVERLOOK TO LIV RM &amp; A PRIVATE BATH W/REMODELED SHOWER AREA. BONUS TANDEM RM. CEDAR CEILING. NEWER FURNACE. 1 CAR GARAGE</t>
  </si>
  <si>
    <t>Tandem Room</t>
  </si>
  <si>
    <t>Common Insurance, Security, Pool, Lawn Care, Scavenger, Snow Removal</t>
  </si>
  <si>
    <t>USE SHOWING ASSIST OR CALL LO 847-367-8686 EXT 0</t>
  </si>
  <si>
    <t>Kieron Quane</t>
  </si>
  <si>
    <t>(847) 557-8528</t>
  </si>
  <si>
    <t>terri@tkmomteam.com</t>
  </si>
  <si>
    <t>Lake St S on Glen Ellyn Rd, W on Glen Ridge Ln</t>
  </si>
  <si>
    <t>This townhouse features a modern open floor plan that will make entertaining a breeze. Home features newer stove/fridge and built in microwave/convection oven.  Master suite also features an amazing remodeled bathroom with separate shower and whirlpool tub. Large DRY basement provides an amazing amount of extra storage or extra living space. Newer furnace and water heater have also been taken care of.</t>
  </si>
  <si>
    <t>Deck, Foyer, Loft, Workroom</t>
  </si>
  <si>
    <t>CO Detectors, Ceiling Fan, Sump Pump, Backup Sump Pump</t>
  </si>
  <si>
    <t>Conventional, FHA, VA, Cash Only, Other</t>
  </si>
  <si>
    <t>3% - 0 (on Gross SP)</t>
  </si>
  <si>
    <t>See Showing Assist Below</t>
  </si>
  <si>
    <t>Evergreen Real Estate</t>
  </si>
  <si>
    <t>(630) 584-7730</t>
  </si>
  <si>
    <t>Robert Hayes</t>
  </si>
  <si>
    <t>(630) 220-9017</t>
  </si>
  <si>
    <t>Cell: 630-220-9017</t>
  </si>
  <si>
    <t>Owner offering a $3000 credit at closing for new flooring. Easy to show.  Owner is also willing to sell any and all of the furnishings in the home.  Most units in this complex do NOT have basements. Loft easily convertible to 3rd bedroom</t>
  </si>
  <si>
    <t>BURR OAK</t>
  </si>
  <si>
    <t>108C</t>
  </si>
  <si>
    <t>GRAUE MILL</t>
  </si>
  <si>
    <t>NORTH OF OGDEN ON YORK EAST SIDE OF STREET</t>
  </si>
  <si>
    <t>Enjoy all Graue Mill Condominiums has to offer in this sought after recently rehabbed single story end unit.  Remodeled Kitchen, granite counter-tops, Hardwood Floors and recessed lighting throughout.  Beautiful built-ins around fireplace. 2 private screened porches serene views. Master en-suite with Jacuzzi tub, separate commode and cedar closet. Gated entry, clubhouse, pool, tennis courts, park area, heated garage.</t>
  </si>
  <si>
    <t>27X15</t>
  </si>
  <si>
    <t>Elevator, Storage, On Site Manager/Engineer, Park/Playground, Party Room, Sundeck, Pool-Outdoors, Receiving Room, Sauna, Security Door Locks, Tennis Court/s, Curbs/Gutters, Gated Entry, Sidewalks, Street Lights, Street Paved</t>
  </si>
  <si>
    <t>Water, Parking, Common Insurance, Security, TV/Cable, Clubhouse, Pool, Exterior Maintenance, Lawn Care, Scavenger, Snow Removal</t>
  </si>
  <si>
    <t>Breakfast Room, Foyer</t>
  </si>
  <si>
    <t>EMAIL SLeming@jameson.com</t>
  </si>
  <si>
    <t>Shari Leming</t>
  </si>
  <si>
    <t>(773) 573-6332</t>
  </si>
  <si>
    <t>Belvidere Rd to Hainesville Rd N to Patriot</t>
  </si>
  <si>
    <t>Nice spacious townhouse with fresh paint and new carpet.  Open floor plan with a beautiful staircase, fireplace in living room, separate dining area, and two large bedrooms. This is a Fannie Mae HomePath property.</t>
  </si>
  <si>
    <t>â€œThe seller has directed that all offers on this listing be made using the HomePath Online Offer system at HomePath.com website.â€</t>
  </si>
  <si>
    <t>23C</t>
  </si>
  <si>
    <t>Cameo</t>
  </si>
  <si>
    <t>Maple to Walnut, North to second entrance, West</t>
  </si>
  <si>
    <t>BARON</t>
  </si>
  <si>
    <t>Beautifully Maintained &amp; Updated Unit in Cameo 55+ Building~ New Carpeting and Wood Laminate Floors~Oak Cab in Kitchen~Pottery Barn Paint Colors and DÃ©cor.~Bathroom is equipped with grab bars for stability~X- Large Balcony with Large Sliding Glass Doors &amp; Nice View to quiet side of building~  Amazing closet space plus storage unit. Laundry Conveniently Located on Same Floor~Exercise room, Party &amp; Meeting room! A-10!</t>
  </si>
  <si>
    <t>Coin Laundry, Elevator, Exercise Room, Storage, Party Room, Security Door Locks, Sidewalks, Street Lights, Street Paved</t>
  </si>
  <si>
    <t>Water, Parking, Common Insurance, Exercise Facilities, Exterior Maintenance, Lawn Care, Scavenger, Snow Removal</t>
  </si>
  <si>
    <t>3.0%-$250 (on Net SP)</t>
  </si>
  <si>
    <t>CALL CSS 877-977-1010 appointment required   Call CSS Appointment Required 877-977-1010</t>
  </si>
  <si>
    <t>Gayle Mullins</t>
  </si>
  <si>
    <t>(630) 464-7082</t>
  </si>
  <si>
    <t>ALL BUYERS MUST BE ACCOMPANIED BY THEIR BUYERS AGENT.</t>
  </si>
  <si>
    <t>Mesa</t>
  </si>
  <si>
    <t>RANDALL TO COLLEGE GREEN, E TO MESA, S TO 811</t>
  </si>
  <si>
    <t>1400SF 2 BEDROOM, 2 1/2 BATH, TOWNHOME IN SIERRA RIDGE SUBDIVISION.  BRAND NEW CARPET, OPEN LAYOUT AND 2ND FLOOR LAUNDRY. 19X12 MASTER BEDROOM WITH SITTING AREA AND WIC.  PRIVATE BACKYARD AND PATIO, 2 CAR GARAGE.  BANK OWNED PROPERTY SOLD IN AS IS CONDITION.  SELLER WILL NOT PROVIDE TERMITE OR SURVEY AND TAXES ARE PRORATED AT 100%. NO FHA ALLOWED.</t>
  </si>
  <si>
    <t>10 DAY MARKET TIME REQUIRED BEFORE OFFERS ARE REVIEWED.  SUBMIT ALL OFFERS THRU WWW.OFFERSUBMISSION.COM.  USE ID 950337. PAPERLESS OFFER UNTIL ACCEPTANCE.  BUYER TO PAY $300.00 FEE AT CLOSING.</t>
  </si>
  <si>
    <t>Bailey</t>
  </si>
  <si>
    <t>Orchard Rd to Galena Rd (W) to Kennedy Rd (S) to Bailey Rd to unit</t>
  </si>
  <si>
    <t>CASTLEBROOK</t>
  </si>
  <si>
    <t>This fabulous townhouse offers great living space/great location~Many wonderful upgrades have been made including wide plank Pergo flooring/wide base trim/6 panel drs/ceramic flooring &amp; new carpeting~Spacious room sizes, lots of windows for natural light/closets for storage~Open, spacious eat-in kitchen w/plenty of cabinets/counter space, kitchen appls included~Lovely master BR w/walk-in closet~Finished English bsmt!</t>
  </si>
  <si>
    <t>12X21</t>
  </si>
  <si>
    <t>Bonus, Eating Area</t>
  </si>
  <si>
    <t>Robin Freiman, CNC,CSC</t>
  </si>
  <si>
    <t>(630) 553-9127</t>
  </si>
  <si>
    <t>630-244-1114</t>
  </si>
  <si>
    <t>CC: Pursuant to Short Sale. Short sale (only one loan) process started~No survey or termite inspection~100% tax proration~As-Is~Any reduction to commission will be split 50/50~Please note security system does not stay.</t>
  </si>
  <si>
    <t>63RD ST EAST OR WEST TO 5652 (1 BLOCK WEST OF CENTRAL) NORTHEAST CORNER OF 63RD &amp; MAJOR ST</t>
  </si>
  <si>
    <t>GREAT OPPORTUNITY TO PURCHASE 7 YR OLD 2 BDRM 2 BTH CONDO, GRANITE COUNTERS W/BRFAST BAR &amp; DIN AREA,LRM W/FP &amp; JULIETTE BALCONY, HW FLRS, WHIRLPOOL IN M/BATH, BALCONY OFF M/ BDRM, PRIVATE ENTRANCE TO ROOFTOP, SHORT SALE SUBJECT TO 3RD PARTY LENDER APPROVAL, SOLD "AS IS" PLEASE SEE SELLER DISCLOSURE: WATER/ ELECTRICAL DAMAGE, ALL TAXES PRORATED AT 100% BUILDING IS NOT FHA APPROVED. PLEASE USE MULTI BOARD 6.0 CONTRACT</t>
  </si>
  <si>
    <t>Microwave</t>
  </si>
  <si>
    <t>USE SHOWING ASSIST - 24 HR NOTICE - OCCUPIED</t>
  </si>
  <si>
    <t>312 719-1100</t>
  </si>
  <si>
    <t>Acevedo Realty Group</t>
  </si>
  <si>
    <t>(312) 719-1100</t>
  </si>
  <si>
    <t>Jovita Acevedo, GRI</t>
  </si>
  <si>
    <t>FAX 773 376-9418</t>
  </si>
  <si>
    <t>CC: Pursuant to Short Sale. CASH OFFERS ONLY, UNIT WILL NOT QUALIFY FOR FINANCING DUE TO WATER/ELECTRICAL ISSUES. ALL COMMISSIONS, CONTRACT TERMS AND PROVISIONS ARE SUBJECT TO SELLERS LENDER APPROVAL</t>
  </si>
  <si>
    <t>Ainsley</t>
  </si>
  <si>
    <t>West Chicago</t>
  </si>
  <si>
    <t>Route 59 (S) of Route 64 to Arbor (W) to Charlestown (N) to Ainsley.</t>
  </si>
  <si>
    <t>WEST CHICAGO</t>
  </si>
  <si>
    <t>Great two story townhome with fresh paint, new carpet and a  great open feel to this spacious townhome. However property is being sold "As-Is", No seller survey. EM must be certified funds. Taxes prorated at 100%. This is a HomePath property.</t>
  </si>
  <si>
    <t>Conventional, FHA, Cash Only</t>
  </si>
  <si>
    <t>Please call 877-977-1010 for showing appointments.</t>
  </si>
  <si>
    <t>Seller has directed that all offers on this listing must be made online via homepath.com Please go to homepath.com to make an offer. Property is eligible under the first look program for the first 20 days.</t>
  </si>
  <si>
    <t>Waterside</t>
  </si>
  <si>
    <t>Rt. 23 (N) to Greenwood Acres Dr., Right on Enclave, left of Grand, right on Waterside</t>
  </si>
  <si>
    <t>SAPPHIRE</t>
  </si>
  <si>
    <t>Lovely Sapphire Model that boasts two story foyer and living room wit many windows, 2 full baths upstairs, half bath on lower level, large Master Suite with huge walk-in closet, 2nd floor laundry, 2 car garage with extra storage space. Convenient location close to shopping and park. Short sale.</t>
  </si>
  <si>
    <t>Please call 855-746-9093 to show.</t>
  </si>
  <si>
    <t>Kari Kohler</t>
  </si>
  <si>
    <t>(630) 673-4586</t>
  </si>
  <si>
    <t>CC: Pursuant to Short Sale. Experience short sale attorney working this &amp; agent is CDPE certified. Any reduction in lender imposed commission split 50/50. Call co-list Carie at 630-277-0569 with questions.</t>
  </si>
  <si>
    <t>Fremont</t>
  </si>
  <si>
    <t>LAKE ST. W OF ELGIN-O'HARE 2 Bear Flag N TO Fremont Drive.</t>
  </si>
  <si>
    <t>Nice 2 bedroom Townhouse with private entrance, balcony and attached 1 car garage. Remodeled Kitchen!! Large Living Room with ceiling Fan! Wood Laminate Flooring in Kitchen, Living Room, and Bedrooms!! Ceiling fans in bedrooms! Washer and Dryer in unit!! THIS IS A SHORT SALE!! ALLOW TIME FOR BANK RESPONSE!! SELLER APPROVED FOR SHORT SALE!!  SOLD AS IS!!</t>
  </si>
  <si>
    <t>Penthouse</t>
  </si>
  <si>
    <t>Call Listing Agent</t>
  </si>
  <si>
    <t>Shaun Jurczewski</t>
  </si>
  <si>
    <t>(630) 440-7355</t>
  </si>
  <si>
    <t>CC: Pursuant to Short Sale. Short Sale!! Sold As Is!!!</t>
  </si>
  <si>
    <t>RIVER NORTH</t>
  </si>
  <si>
    <t>Route 38 at the River  go 2 Blocks north on River Lane</t>
  </si>
  <si>
    <t>Bring us offer on two large BR Suites, both with private bath &amp; walk in closets. Huge living area w/ volume ceiling &amp; barrel window, private balcony, &amp; Den/Nursery/or Home Office. Open spacious living w/solid doors &amp; white trim. Heated indoor parking &amp; secure storage room. Steps to the Fox River walk and Historic Downtown Geneva. Great location on the fourth floor elevator building.Secure unit w/coded entry.</t>
  </si>
  <si>
    <t>27X16</t>
  </si>
  <si>
    <t>Common Insurance, Security System, Lawn Care, Snow Removal</t>
  </si>
  <si>
    <t>Call Chris K 630-768-8317 or Cindy S 630-624-9246 for instructions</t>
  </si>
  <si>
    <t>Motivated seller, quick close possible. Condo is one of the largest, great investment is rentable.Parking #37 and storange #34  in garage/</t>
  </si>
  <si>
    <t>Enfield</t>
  </si>
  <si>
    <t>I-94 &amp; Rt 132 (Grand Ave), W2Rt45, S2Rollins, W2Carillon, S2stop sign, Rt to Enfield, Rt 2#</t>
  </si>
  <si>
    <t>Super Price, seller says sell. Enjoy this ranch newly painted interior and trim top to bottom. Refinished hardwood floors, brand new carpeting, all white appliances, Corian counters, Tons of storage in walk-in closets, three full bathrooms, four full bedrooms.  Master bedroom up and second bedroom up used as office, seller is willing to add a closet. Here is your chance to live easy without maintenance concerns.</t>
  </si>
  <si>
    <t>Bike Room/Bike Trails, Exercise Room, Golf Course, Party Room, Sundeck, Pool-Indoors, Tennis Court/s, Curbs/Gutters, Sidewalks, Street Lights, Street Paved</t>
  </si>
  <si>
    <t>Eating Area, Foyer, Recreation Room</t>
  </si>
  <si>
    <t>Humidifier, TV-Cable, CO Detectors, Sump Pump, Backup Sump Pump</t>
  </si>
  <si>
    <t>Monday through Saturday</t>
  </si>
  <si>
    <t>Gas Logs, Gas Starter, Heatilator Type System</t>
  </si>
  <si>
    <t>Call list office or use showing desk</t>
  </si>
  <si>
    <t>Very nice</t>
  </si>
  <si>
    <t>Dorchester</t>
  </si>
  <si>
    <t>Lake Shore Drive to 53rd, South on Dorchester</t>
  </si>
  <si>
    <t>SELLER MUST SELL! WILLING TO LOOK AT ANY OFFER! Great investor buy!  No rental restrictions! Seller MUST sell this sunny top floor 2 bed with large master and tree top views. Tons of windows for excellent cross breeze, hardwood floors, large closets, exhaust hood vented to the outside, and room for washer/dryer hookup in pantry. Ray school district; close to campus and both 55th &amp;53rd st shopping.</t>
  </si>
  <si>
    <t>RAY ELEMENTARY SCHOOL</t>
  </si>
  <si>
    <t>Bike Room/Bike Trails, Coin Laundry, Storage, Security Door Locks, Curbs/Gutters, Sidewalks, Street Lights, Street Paved</t>
  </si>
  <si>
    <t>Decorative Only</t>
  </si>
  <si>
    <t>call list agent/ 24 hour notice</t>
  </si>
  <si>
    <t>(312) 506-0200</t>
  </si>
  <si>
    <t>MaryAnn Marsh</t>
  </si>
  <si>
    <t>(773) 719-5383</t>
  </si>
  <si>
    <t>Great investment for rentals near the university.</t>
  </si>
  <si>
    <t>Cornell</t>
  </si>
  <si>
    <t>LSD south to 53rd St., West to Cornell, North to 5201</t>
  </si>
  <si>
    <t>34,527 SQ FT</t>
  </si>
  <si>
    <t>Spectacular lake and park views from every room.  Kitchen with stainless appliances and Corian counters.  Pass through to dining room with view beyond to Lake Michigan.  Balcony  One garage parking space.  Fitness center, outdoor pool, party room.  New Brazilian cherry wood floors.  24 hour security and doorman.  Heat and cable included in assessment.  Gracious, in town living -convenient to everything!</t>
  </si>
  <si>
    <t>Bike Room/Bike Trails, Door Person, Coin Laundry, Elevator, Exercise Room, Storage, On Site Manager/Engineer, Park/Playground, Party Room, Sundeck, Pool-Outdoors, Receiving Room</t>
  </si>
  <si>
    <t>Heat, Air Conditioning, Water, Common Insurance, Doorman, TV/Cable, Exercise Facilities, Pool, Exterior Maintenance, Lawn Care, Scavenger, Snow Removal</t>
  </si>
  <si>
    <t>E (East), Lake/Water, Park</t>
  </si>
  <si>
    <t>Brick, Glass, Concrete</t>
  </si>
  <si>
    <t>email Tom or call him 773-720-3275</t>
  </si>
  <si>
    <t>Ultimate Realty Group LLC</t>
  </si>
  <si>
    <t>(773) 633-1025</t>
  </si>
  <si>
    <t>Thomas Chesrown</t>
  </si>
  <si>
    <t>(773) 720-3275</t>
  </si>
  <si>
    <t>tom@ultimaterealtygroup.com</t>
  </si>
  <si>
    <t>Seller has paid any and all assessments levied through June 30, 2014</t>
  </si>
  <si>
    <t>ARCHER TO 5710 SOUTH, THIS ARCHER AND LATRUBE 5300 W</t>
  </si>
  <si>
    <t>OWNER HAS LIVED HERE 12YRS SINCE BUILDING WAS CONVERTED. KITCHEN CABINETS UPDATED AND FULL TILED BATH. NEW CENTRAL A/C, NEW DOORS, STOVE &amp; REFRIGERATOR. BALCONY OFF LIVING ROOM, BOTH BEDROOMS HAVE DOUBLE CLOSETS. THE LAUNDRY ROOM IS OUT ENTRANCE TO CONDO JUST A FEW STEPS AWAY. PARKING IN BACK LOT UP 2 SPACES TANDEM STYLE. DEAL WEAK, PLEASE SHOW</t>
  </si>
  <si>
    <t>CALL LISTING OFFICE 708-429-4300</t>
  </si>
  <si>
    <t>RE/MAX Synergy</t>
  </si>
  <si>
    <t>(708) 429-4300</t>
  </si>
  <si>
    <t>David Mires, SRES</t>
  </si>
  <si>
    <t>(708) 341-0946</t>
  </si>
  <si>
    <t>708-341-0946</t>
  </si>
  <si>
    <t>ALL EM MUST BE IN CASHIERS CHECK MADE PAYABLE TO REMAX SYNERGY. IMMEDIATE OCCUPANCY AFTER CLOSING. INVESTORS WELCOME</t>
  </si>
  <si>
    <t>Wolf Ridge</t>
  </si>
  <si>
    <t>Just North of North Avenue on Wolf Road.  Near Interstates 290,294 and 190</t>
  </si>
  <si>
    <t>LUXURY NEW CONSTRUCTION top floor penthouse condominium conveniently located near I-294, I-290 &amp; shopping galore!  Spacious 2/2, 12 ft. ceilings with granite kitchen counter and island, SS appliances- spacious master suite with large closet. Abundant storage, in-line laundry room and large balcony with west exposure.  1 free parking in heated garage and 1 in outdoor lot. Low Assessments!</t>
  </si>
  <si>
    <t>Heat, Parking, Common Insurance, Exterior Maintenance, Lawn Care, Scavenger, Snow Removal</t>
  </si>
  <si>
    <t>FHA, Owner May Help/Assist</t>
  </si>
  <si>
    <t>Assigned Spaces, Visitor Parking, Underground/Covered</t>
  </si>
  <si>
    <t>2.5% - $175 (ON NET SP) (on Net SP)</t>
  </si>
  <si>
    <t>Call or text 312 320-6685 or leave message at 708-492-1010.  LA must accompany.</t>
  </si>
  <si>
    <t>Paul D Dincin</t>
  </si>
  <si>
    <t>(312) 245-9000</t>
  </si>
  <si>
    <t>Paul Dincin</t>
  </si>
  <si>
    <t>312 245-9000 X5</t>
  </si>
  <si>
    <t>Beautiful Model Home for sale! Seller financing with 5% down; FHA Approved.</t>
  </si>
  <si>
    <t>St. Charles rd. to 17th ave south to 1200 east to property</t>
  </si>
  <si>
    <t>30X100</t>
  </si>
  <si>
    <t>2bedroom brick Duplex with stove  refrig, washer and dryer. Finished basement. This is not a forclosure or a short sale. Property in move in condition.</t>
  </si>
  <si>
    <t>Call Listing Office at 708-449-0229</t>
  </si>
  <si>
    <t>R L Taylor Realty</t>
  </si>
  <si>
    <t>(708) 449-0229</t>
  </si>
  <si>
    <t>Robert Taylor</t>
  </si>
  <si>
    <t>2 Bedroom brick duplex not a short sale not bank owned. Property ready to move in Appliances included.</t>
  </si>
  <si>
    <t>DEVONSHIRE OF NAPERVILLE</t>
  </si>
  <si>
    <t>Washington. West on Aurora. South on Devonshire.</t>
  </si>
  <si>
    <t>44X125</t>
  </si>
  <si>
    <t>Wow! Updated, clean &amp; ready for discerning buyer. Light &amp; bright dÃ©cor. Vaulted ceilings. Open floor plan. Big vltd family room. Spacious updated kitchen w/plenty of custom cherry cabinets &amp; granite counter space. Formal dining rm w/big bay window. Big master w/WIC. Good sized add'l BR. Big laundry rm too. Newer windows, furnace, A/C, bath, appls, carpet, fixtures &amp; more. Walk to Riverwalk and downtown too!</t>
  </si>
  <si>
    <t>John Wilt, CNC</t>
  </si>
  <si>
    <t>(630) 337-8000</t>
  </si>
  <si>
    <t>630-337-8000</t>
  </si>
  <si>
    <t>Harlem Ave. N of Grand Ave. to Altgeld W to 72nd Ct. N (one way North) to #2530</t>
  </si>
  <si>
    <t>FIRST TIME ON THE MARKET.BRIGHT 2 BEDROOM UNIT WITH 2 BATHROOMS.RELAX ON THE PLEASANT OUTDOOR BALCONY.GOOD SIZE ROOMS.LOTS OF CLOSET SPACE.PLENTY OF STORAGE.IN UNIT LAUNDRY HOOKUP.GARAGE PARKING.UNIT HAS AN OPEN FLOOR PLAN AND SHOWS VERY NICE BUT.... BEING SOLD AS IS.... CLOSE TO EVERYTHING.</t>
  </si>
  <si>
    <t>JOHN MILLS ELEMENTARY SCHOOL</t>
  </si>
  <si>
    <t>TV Antenna, Intercom, Ceiling Fan</t>
  </si>
  <si>
    <t>CALL LISTING AGENT 773-960-5510 48 HR NOTICE</t>
  </si>
  <si>
    <t>Arlene Fiore</t>
  </si>
  <si>
    <t>(773) 960-5510</t>
  </si>
  <si>
    <t>showings Mon-Thursday after 6 pm.....no showings on Fridays....weekends flexible.</t>
  </si>
  <si>
    <t>7F</t>
  </si>
  <si>
    <t>75TH TO WOODWARD SOUTH TO COUNTRY CLUB</t>
  </si>
  <si>
    <t>FANTASTIC 2 BED &amp; 1.5 BATH TOWN HOME. EXCELLENT LOCATION &amp; PRICE TO GET YOUR FIRST PROPERTY. OFFERS MUST HAVE APPROVED LOAN OR PROOF OF FUNDS. NO SURVEY, 100% TAX PRORATION, THIS PROPERTY IS "SOLD "AS IS". DON'T LOSE THIS EXCELLENT DEAL &amp; MAKE YOUR OFFER!!</t>
  </si>
  <si>
    <t>Parking, Common Insurance, Clubhouse, Exterior Maintenance</t>
  </si>
  <si>
    <t>CALL 1-800-746-9464</t>
  </si>
  <si>
    <t>O. R.</t>
  </si>
  <si>
    <t>Luis Serrano</t>
  </si>
  <si>
    <t>(224) 522-8888</t>
  </si>
  <si>
    <t>CC: Pursuant to Short Sale. AS-IS, NO SURVEY 100% TAX PRORATION, PLEASE CHECK INSTRUCTIONS IN ADDITIONAL INFORMATION PRIOR YOU SEND AN OFFER. ALL OFFERS MUST EMAIL TO: luiserrano1@hotmail.com.  FOR RENT OR FHA APPROVAL CALL HOA (630)985-2500</t>
  </si>
  <si>
    <t>HAVERHILL</t>
  </si>
  <si>
    <t>PRESIDENT ST S OF 38 TO FARNHAM W 2 HAVERILL, N 2 HOME</t>
  </si>
  <si>
    <t>SHORT SALE SUBJECT TO SELLERS LENDER APPROVAL.  GREAT LOCATION, UPDATED KITCHEN, HARDWOOD FLOORS AND GREAT COURTYARD VIEWS.  TAXES PRORATED AT 100%, SOLD AS IS, AND NO SURVEY. EXPERINCED SS AGENT.  ASSOC IS NOT FHA APPROVED. CASH ONLY AT THIS TIME. LAWSUIT PENDING WHEATON VS. ASSOC FOR FIREPLACE COMPLIANT.  WE HAVE A LIFT ORDER FROM WHEATON REMOVING THIS PROP FROM LAWSUIT DUE TO THE FP BEING COMPLIANT / REPLACED</t>
  </si>
  <si>
    <t>Michael Loiacono</t>
  </si>
  <si>
    <t>(630) 267-0844</t>
  </si>
  <si>
    <t>630-267-0844</t>
  </si>
  <si>
    <t>CC: Pursuant to Short Sale. 100% TAX PRORATION, SOLD AS-IS AND NO SURVEY PROVIDED BY LENDER.  AGENT WILL HANDLE SHORT SALE AND IS EXPERIENCED IN THE PROCESS. CASH ONLY, WAS ADVISED OF PENDING LITIGATION VS. ASSOCIATION</t>
  </si>
  <si>
    <t>Hickory</t>
  </si>
  <si>
    <t>Plainfield Road East of County Line to Timber Trails North to Hickory Drive East to 1009</t>
  </si>
  <si>
    <t>Shows like a model! One of the biggest units available this 3 bedroom 3.1 bath end unit features hardwood floors throughout first level, granite counter tops w/custom cabinetry, new backsplash, 1st floor master suite, large loft and full finished basement w/bar! 2-story great room with sliding glass door to trek deck and paver patio perfect for entertaining. Great location to expressways, dining and entertainment!</t>
  </si>
  <si>
    <t>Bar, Great Room, Loft</t>
  </si>
  <si>
    <t>2.5%-$195 (on Net SP)</t>
  </si>
  <si>
    <t>Please call or text LA 630-430-0156</t>
  </si>
  <si>
    <t>Katherine Cooper, CNC</t>
  </si>
  <si>
    <t>(630) 430-0156</t>
  </si>
  <si>
    <t>Agent is related to seller</t>
  </si>
  <si>
    <t>Diamond Lake</t>
  </si>
  <si>
    <t>Harbor Pointe</t>
  </si>
  <si>
    <t>Rt. 45 and Diamond Lake Rd. W to 706-3</t>
  </si>
  <si>
    <t>Motivated retired owners! Below market price for quick sale! Stunning View of sun set &amp; Diamond Lake(a motor boat lake) private sand beach,own deeded boat slip,granite counter,s.s. appliances, hardwood floors in foyer,kit,din,living,sunroom &amp; Hall.NEW vanity in master bath &amp; New tiled floors in 2 baths, NEW carpets in 2bedrooms, large walk-in closets, freshly painted! Best buy in-town!Make this resort living yours!</t>
  </si>
  <si>
    <t>Oven/Range, Microwave, Dishwasher, Refrigerator, Dryer, Disposal, All Stainless Steel Kitchen Appliances</t>
  </si>
  <si>
    <t>Water, Parking</t>
  </si>
  <si>
    <t>2.5%-300 (on Gross SP)</t>
  </si>
  <si>
    <t>call agent's cell 847-275 1577 or text for lock box comb. for  showings</t>
  </si>
  <si>
    <t>847-275-1577</t>
  </si>
  <si>
    <t>M. Ing and Company</t>
  </si>
  <si>
    <t>(847) 275-1577</t>
  </si>
  <si>
    <t>Mary Campbell</t>
  </si>
  <si>
    <t>call agent's cell 847-275-1577 or text to get lock box comb. for showings ! No investors, owner occupy only!</t>
  </si>
  <si>
    <t>W305</t>
  </si>
  <si>
    <t>59 TO PEBBLEWOOD/JUST S OF DIEHL/ OR CAN ENTER P'WOOD OFF OF DIEHL// BLDG/LOT MOST NORTH OF COMPLEX</t>
  </si>
  <si>
    <t>** GREAT PEBBLEWOOD CONDO IN MOST QUIET AND SERENE LOCATION OF ALL ** 3RD FLOOR ON THE END, ENJOY COFFEE OR BARBEQUE ON HUGE NEW BALCONY OVERLOOKING SECLUDED GREEN AREA ** 2 GARAGE PARKING SPOTS ** NICE NEW FLOORING IN LIVING RM, DINING RM, KITCHEN AND HALLWAYS. NICE UPDATED KITCHEN** NW NAPERVILLE, SIMPLE ACCESS TO I88 ** NO NEED TO FIGHT THE TRAFFIC ** ELEVATOR BLDG ** FULL SIZE WASHER/DRYER IN UNIT, LOADS OF CLOSE</t>
  </si>
  <si>
    <t>Elevator, Storage, Security Door Locks, Curbs/Gutters</t>
  </si>
  <si>
    <t>Heat, Water, Gas, Common Insurance, Security System, Exterior Maintenance, Lawn Care, Scavenger, Snow Removal</t>
  </si>
  <si>
    <t>2.5% MINUS $200 (on Net SP)</t>
  </si>
  <si>
    <t>Call Showing Desk 1-855-746-9100</t>
  </si>
  <si>
    <t>Kiss</t>
  </si>
  <si>
    <t>Robert Groark</t>
  </si>
  <si>
    <t>(708) 460-3577</t>
  </si>
  <si>
    <t>AGENTS OKAY TO SHOW WEAK CONTRACT====....This building is farthest N-W corner of complex....2 spots in garage #31 &amp; #32 most only have 1. Park in guest lot near front door when showing.</t>
  </si>
  <si>
    <t>Timberlake</t>
  </si>
  <si>
    <t>Indian Trail to Edgelawn to Colorado to Cascade</t>
  </si>
  <si>
    <t>88 X 25</t>
  </si>
  <si>
    <t>Buyer financing fell through. Their loss is your gain!  Great end unit!  Spacious 2 bedroom with patio access both off the large kitchen and the master. Finished basement with full bathroom and large laundry room.  All appliances included.  Conveniently located to I-88 and the Orchard Road corridor.  Quick Move In possible. FHA approved.</t>
  </si>
  <si>
    <t>Game Room</t>
  </si>
  <si>
    <t>Call co-lister at 630-201-6140 with questions.  Email offers to JulieJFiorito@gmail.com</t>
  </si>
  <si>
    <t>Crystal Rock</t>
  </si>
  <si>
    <t>Signature Club</t>
  </si>
  <si>
    <t>RT 59 South; one block south of 95th Street.  West on Crystal Rock Road.</t>
  </si>
  <si>
    <t>MORGAN</t>
  </si>
  <si>
    <t>Lovely updated townhouse opportunity!  Sunny living rm w/corner wood-burning fireplace.  Separate dining rm w/patio for grill &amp; entertaining.  Eat-in kitchen w/loads of cabinet space &amp; storage.  Powder rm on 1st level.  Two bedrooms &amp; two full baths up w/loft convertible to 3rd bedroom.  Full basement ready for you to finish.  Attached 2-car garage w/tons of storage.  Convenient location with all RT 59 has to offer!</t>
  </si>
  <si>
    <t>2.5% -$325 (on Net SP)</t>
  </si>
  <si>
    <t>Please call listing office. 847/512-2700</t>
  </si>
  <si>
    <t>(847) 492-9660</t>
  </si>
  <si>
    <t>Susan Kipley, CRS,e-PRO,GRI</t>
  </si>
  <si>
    <t>(847) 512-2723</t>
  </si>
  <si>
    <t>DELIGHTFUL TOWN HOME FEATURES A FULLY APPLIANCED KITCHEN W PLENTY of CABINETS &amp; COUNTER SPACE. Attractive hardwood floors in kitchen, entry and 1/2 bath. Great room is warmed by gas fireplace and sliding door to patio. Nicely finished basement w full bath is an added plus and can be used as 3rd bedroom! 2nd floor laundry room with washer and dryer included completes the package! Move in ready! Call today!</t>
  </si>
  <si>
    <t>17X26</t>
  </si>
  <si>
    <t>Wood Burning Stove, Attached Fireplace Doors/Screen</t>
  </si>
  <si>
    <t>Click on showing assist to set up showings</t>
  </si>
  <si>
    <t>Ronda Ball, GRI</t>
  </si>
  <si>
    <t>(815) 766-1513</t>
  </si>
  <si>
    <t>Very well maintained home! Roof and siding damage will be repaired soon.</t>
  </si>
  <si>
    <t>Tennyson</t>
  </si>
  <si>
    <t>THE FIELDS</t>
  </si>
  <si>
    <t>75th to Rickert NW. to Poplar N. to Tennyson.</t>
  </si>
  <si>
    <t>54X117X28X114</t>
  </si>
  <si>
    <t>Super clean unit w/lots of updates. Light &amp; bright dÃ©cor. Beautiful HWD floors. Vltd ceilings. Tons of windows. 1st flr den. Updated kitchen w/cherry cabinets, granite counters &amp; SS appls. Formal dining rm. Huge vltd living rm w/FP. Big vltd master suite w/dressing area, WIC &amp; private bath. Good sized add'l BRs. Large rec room &amp; bonus play/craft rm. Walk out to deck overlooking greenway. Near parks, shops/restaurants</t>
  </si>
  <si>
    <t>13X07</t>
  </si>
  <si>
    <t>Den, Office, Recreation Room, Storage</t>
  </si>
  <si>
    <t>2Hr 1-877-977-1010</t>
  </si>
  <si>
    <t>KRISTINA CONDOS</t>
  </si>
  <si>
    <t>River Rd to Lawrence West to Wesley N To Kelvin E</t>
  </si>
  <si>
    <t>DON'T MISS THIS TWO BEDROOM CONDO! JUST PAINTED WITH NEUTRAL COLORS! NEW CARPETING! IN UNIT LAUNDRY! CLOSE TO TRAIN AND I-294 EXPRESSWAY.</t>
  </si>
  <si>
    <t>This property is eligible under the Freddie Mac FirstLook Initiative through 07/08/14. Please submit offers to offers@dkhometeam.com. Include documents found under additional info. **Highest &amp; Best due Friday, by 9am. Include form.**</t>
  </si>
  <si>
    <t>Sussex Creek</t>
  </si>
  <si>
    <t>3D</t>
  </si>
  <si>
    <t>Farmingdale Terrace</t>
  </si>
  <si>
    <t>75th St. to Farmingdale, S to Walnut, W to Sussex Creek</t>
  </si>
  <si>
    <t>Spacious 2 bedroom, 2 bath unit in Farmingdale Terrace. Living Room w/ fireplace, adjacent dining room, large kitchen with eating area/table space, recently updated bathrooms, Master Bedroom suite. In unit laundry, 2 storage units. Oversized balcony with beautiful views. Secure building with lots of privacy. Pool membership, water and garbage included in assessments. New carpet just installed throughout!</t>
  </si>
  <si>
    <t>Call Baird and Warner appt. desk 855-746-9100 or use showing assist.</t>
  </si>
  <si>
    <t>630-244-0451</t>
  </si>
  <si>
    <t>Sentrilock is located on east side of building on railing. Please use FRONT door access. Private storage unit in hallway and on balcony. Garage space #6.</t>
  </si>
  <si>
    <t>50th</t>
  </si>
  <si>
    <t>south on Lawndale, west on 51st to property.</t>
  </si>
  <si>
    <t>Newer construction 3 story townhome built in 2008. Great features. 1st level family room. Spacious living room with dining room combined. Kitchen on the 2nd level. All bedrooms on 3rd level. Master suite with dual vanity bath and separate shower. Great view from balcony &amp; roof deck.</t>
  </si>
  <si>
    <t>2.25% (on Gross SP)</t>
  </si>
  <si>
    <t>Call or text Mark at 773/350-3350 - tenant notice needed</t>
  </si>
  <si>
    <t>Safe Harbor Realty LLC</t>
  </si>
  <si>
    <t>(312) 337-7384</t>
  </si>
  <si>
    <t>Mark Masino</t>
  </si>
  <si>
    <t>(773) 350-3350</t>
  </si>
  <si>
    <t>ROUTE 31 STATE ST E TO WOODBURY N TO GILBERT</t>
  </si>
  <si>
    <t>DAKOTA</t>
  </si>
  <si>
    <t>Prime Unit! Brand New Construction Ready for Immediate Occupancy! Active Adult Living! Give up maintenance worries!  Can be 50 new construction. 3rd fl corner unit w/ river views! 2 BR, 2 1/2 BA w/ balcony, laundry, all Stainless Steel appliances included, walk-in closets, luxury en-suite, 9' ceilings!  Building features secure access, underground heated parking, storage, exercise &amp; community rooms. FHA &amp; VA Approved</t>
  </si>
  <si>
    <t>Elevator, Exercise Room, Storage, On Site Manager/Engineer, Party Room</t>
  </si>
  <si>
    <t>Parking, Common Insurance, Security System, Exercise Facilities, Exterior Maintenance, Lawn Care, Scavenger, Snow Removal</t>
  </si>
  <si>
    <t>Conventional, FHA, VA, Contract (Articles) for Deed, Lease/Purchase, Owner May Help/Assist, Purchase Money Mortgage, Rent w/ Option</t>
  </si>
  <si>
    <t>Ready for immediate occupancy. BRAND NEW! Many upgrades into this custom unit with the best location in the building.  Please use builder contract.</t>
  </si>
  <si>
    <t>Constance</t>
  </si>
  <si>
    <t>DeKalb Ave. to Fox Pointe Dr. to Constance Lane to unit</t>
  </si>
  <si>
    <t>Cash Only, Condo has 2 bedrooms, 2 full baths, living room w/fireplace, kitchen w/breakfast bar, master has private bath, laundry room and 1 car attached garage. Sold As-Is</t>
  </si>
  <si>
    <t>GREATER OF 2.5% OR $1250 (on Net SP)</t>
  </si>
  <si>
    <t>Christopher LaRocco</t>
  </si>
  <si>
    <t>(630) 476-8580</t>
  </si>
  <si>
    <t>Sold As-Is Buyers agent to register and present offer on www.hubzu.com Buyer to pay $299 Technology Fee and Buyers Premium see Hubzu for details and Auction Times.  Cash Only, seller will not turn on utilities.</t>
  </si>
  <si>
    <t>Sears</t>
  </si>
  <si>
    <t>B2</t>
  </si>
  <si>
    <t>BLACKBERRY CREEK</t>
  </si>
  <si>
    <t>RANDALL to KESLINGER(W), to BLACKBERRY(S), to FREEDOM(W), to SEARS(N)</t>
  </si>
  <si>
    <t>125X80</t>
  </si>
  <si>
    <t>RANCH 1/2 duplex w/HUGE basement. Walking distance to Metra &amp; elementary school. Short drive to Geneva shopping. UPGRADES incl HARDWOOD throughout kitchen, halls, &amp; breakfast bar. SS APPLIANCES &amp; GRANITE in kitchen. Ceramic floor, double sinks &amp; sep shower w/garden tub in master bath. Beautiful STONE FIREPLACE w/gas logs/glass enclosure. Ceiling fans. Automatic dog door. Long lasting composite deck too! JUST MOVE IN!</t>
  </si>
  <si>
    <t>BLACKBERRY CREEK ELEMENTARY SCHOOL</t>
  </si>
  <si>
    <t>Miscella Real Estate</t>
  </si>
  <si>
    <t>(630) 232-1570</t>
  </si>
  <si>
    <t>Valerie Farkas</t>
  </si>
  <si>
    <t>(630) 709-9244</t>
  </si>
  <si>
    <t>Sentrilock. Vacant. Please remove shoes in inclement weather.</t>
  </si>
  <si>
    <t>La Grange Rd to Joliet Rd; W to Brainard; S to Forest Villa Condo</t>
  </si>
  <si>
    <t>Spacious first floor 2 BR 1 BA condo in quiet secure complex surrounded by forest preserve. Large LR with SGD to a big balcony. Large closets in bedrooms and laundry hookup in unit. Deeded indoor parking space (#9) comes with unit. Additional unassigned outdoor parking spaces available. Amenities include two level lobby, exercise room, outdoor pool and picnic/barbecue area, and large laundry area. No FHA or Rentals</t>
  </si>
  <si>
    <t>Coin Laundry, Elevator, Exercise Room, Storage, Pool-Outdoors, Security Door Locks, Other</t>
  </si>
  <si>
    <t>Unassigned, Visitor Parking, Underground/Covered</t>
  </si>
  <si>
    <t>CC: Pursuant to Short Sale. Not FHA approved nor rentals so no investors (N/O/O). Separate Pins for Condo (18-20-201-041-1018) and Deeded parking space (18-20-201-041-1133). This is a short sale, subject to lender approval, terms. Any commission adj shared equally</t>
  </si>
  <si>
    <t>VILLAGE CENTER</t>
  </si>
  <si>
    <t>ORCHARD VALLEY</t>
  </si>
  <si>
    <t>ORCHD RD TO IND TR W. TO VILLAG CTR PKW 1 BLK S TRN LFT</t>
  </si>
  <si>
    <t>Orchard Valley Golf Course Community offers this lovely 2BR/1.5BA TH with a 2 car garage, finished lower level great for den/home office, separate living and dining room, kitchen with all appliances and in unit 2nd floor laundry room with washer &amp; dryer. Beautifully decorated with pottery barn colors. Less than 1 mile to I88 access, 1 mile to Randall Rd and 10 min to Metra. Top 10 Illinois public golf course.</t>
  </si>
  <si>
    <t>Online or call 855-746-9093</t>
  </si>
  <si>
    <t>Regular Sale. Note commission of 3%. The list price is as low as the seller will go. SUBDIVISION IS FHA APPROVED.</t>
  </si>
  <si>
    <t>19W042</t>
  </si>
  <si>
    <t>31ST WEST OF MEYERS TO CHATEAU NORTH TO NORMANDY</t>
  </si>
  <si>
    <t>NEWLY REMODELED, FRESHLY PAINTED. REFINISHED HARDWOOD FLOORS. FINISHED BASEMENT WITH CERAMIC TILE FLOORING. BEAUTIFUL TOWNHOME JUST WAITING FOR YOU TO MOVE IN!!! HURRY DON'T MISS OUT.</t>
  </si>
  <si>
    <t>Pool</t>
  </si>
  <si>
    <t>765 ILCS 605/ Condominium Property Act  Highest, best and final due 4/7/15 at 11:00 am</t>
  </si>
  <si>
    <t>COURTYARD</t>
  </si>
  <si>
    <t>ORCHARD TO INDIAN TRAIL W TO COURTYARD CIRCLE</t>
  </si>
  <si>
    <t>Largest 2BR in subdivision features 2.5BA with a private bath in each bedroom. Spacious LR with wood laminate flooring! Kitchen has eat-in area and all appliances remain. MBR bath has separate shower and soaking tub plus 2 sink vanity. Convenient 2nd flr ldy and finished English basement great for den/office.  Attached 2 car garage. Short sale but agent and attorney experienced show with confidence!</t>
  </si>
  <si>
    <t>2.5% MINUS $200 ON NP (on Net SP)</t>
  </si>
  <si>
    <t>Please call Showings 800-746-9464</t>
  </si>
  <si>
    <t>CC: Pursuant to Short Sale. CC: Pursuant to Short Sale. SELLERS ATTY TO HOLD EM. Washer and Dryer are NOT included. Not FHA approved</t>
  </si>
  <si>
    <t>Irving Park Road (Route 19) west of Shales Pkwy south to Woodview</t>
  </si>
  <si>
    <t>Bank Approved at 73k. Can close quick. Last buyer couldn't obtain their funds to close, but bank was ready to close next week. Beautiful unit.</t>
  </si>
  <si>
    <t>Immediate, Negotiable</t>
  </si>
  <si>
    <t>TEXT LISTING AGENT</t>
  </si>
  <si>
    <t>TITLE HOLDER OF RECORD</t>
  </si>
  <si>
    <t>Norah Hudon</t>
  </si>
  <si>
    <t>(708) 935-4916</t>
  </si>
  <si>
    <t>CC: Pursuant to Short Sale. Short Sale, subject to bank approval. Please allow time. Any commission reductions will be split 50/50. All EM must be certified and made payable to RE/MAX Synergy.</t>
  </si>
  <si>
    <t>Schmale Rd North of RTE 64 to Golfview east(right)</t>
  </si>
  <si>
    <t>MOVE IN READY! GOLF COURSE COMMUINITY.  BEST PRICED UNIT IN GLENDALE LAKES! UNIT BACKS TO OPEN AREA &amp; POOL.  UPDATED KITCHEN. 2 BEDROOMS, 2 FULL BATHS, 1/2 BATH ON FIRST FLOOR.  QUICK CLOSE POSSIBLE! ALL APPLIANCES STAY.  GET HERE QUICK!</t>
  </si>
  <si>
    <t>call showing time 1-800-746-9464</t>
  </si>
  <si>
    <t>Glengarry</t>
  </si>
  <si>
    <t>Schick Rd to Springfield S. to Butterfield E to Glengarry</t>
  </si>
  <si>
    <t>Beautiful home 2 bdr 2bth! Updated and freshly painted. Ready to move in. Lovely subdivision with clubhouse, tennis, pool and 2 parking spaces right in front of unit. Property features fireplace, stainless steel appliances, new carpet, master bdrm with full bath, private balcony w. laundry room and storage room!. This a Fannie Mae Homepath property. Show and sell!</t>
  </si>
  <si>
    <t>Please click showing instructions.</t>
  </si>
  <si>
    <t>SR Realty Group Inc.</t>
  </si>
  <si>
    <t>(847) 878-1610</t>
  </si>
  <si>
    <t>Bill Eliopoulos</t>
  </si>
  <si>
    <t>(312) 502-0218</t>
  </si>
  <si>
    <t>Offers must be at www.Homepath.com; all forms are on line. For help, call 866-218-4466. Questions? Use email. Transfer stamps are a buyer charge.</t>
  </si>
  <si>
    <t>Park Blvd &amp; Roosevelt Rd // Park (South) to Raintree Dr (West) to Raintree Ct (North) to condo</t>
  </si>
  <si>
    <t>Beautiful, 2nd-floor condo in desirable area of Glen Ellyn // Relax in either of 2 spacious bedrooms with fantastic views // Master bedroom offers a walk-in closet and private access to the master bath // Large, open kitchen with lots of cabinets // Incredible, bright living room // Ample parking in lot // Conveniently located near food, shopping, schools and the highway // This home qualifies for FHA Financing!</t>
  </si>
  <si>
    <t>Water, Clubhouse, Pool, Exterior Maintenance, Lawn Care, Scavenger, Snow Removal</t>
  </si>
  <si>
    <t>BIDDING AT HUDPemco.com NAID# REGISTRATION HUDHomeStore.com FHA Insured w/escrow(IE)HOME SOLD AS-IS CASE#137-390203 HOTLINE 630-236-1050 UP TO 3% CC. $100.00 DOWN PYMT(See Over Bidding Rules)Lockbox in foyr $100 move-in fee Dues 3% increase</t>
  </si>
  <si>
    <t>SILVER TRAIL</t>
  </si>
  <si>
    <t>Randall Rd to Oak St., go east to Walnut Dr</t>
  </si>
  <si>
    <t>32X137</t>
  </si>
  <si>
    <t>Absolutely BEAUTIFUL with AMAZING VIEWS! Much sought after Silver Trails backing to nothing w/ completely private wooded views. It is as fresh and lovely as new construction, but better! Brand new roof, carpet thru out, all fresh paint &amp; all appl, including washer/dryer. 2 large bdrms, Master has large walk-in closet &amp; private bath. Full basement has bath rough-in. This outstanding area is so peaceful! Better hurry!</t>
  </si>
  <si>
    <t>Bathroom Rough-In</t>
  </si>
  <si>
    <t>Call 855-746-9093</t>
  </si>
  <si>
    <t>Jennifer Bennett, ABR</t>
  </si>
  <si>
    <t>(630) 262-6505</t>
  </si>
  <si>
    <t>Note: No senior exemption in these taxes!</t>
  </si>
  <si>
    <t>Millers Crossing</t>
  </si>
  <si>
    <t>WILDSPRING</t>
  </si>
  <si>
    <t>THORNDALE E OF 53 TO PARK, LEFT ON MILLERS CROSSING</t>
  </si>
  <si>
    <t>Breathtaking fully remodeled home with private location facing pond. Open kitchen has new stainless steel appliances and a large pantry and desk area. Enormous bath has new walk in shower. Custom plantation shutters thru out. The attention to detail is incredible here. Building has new roof last year plus the storm doors are brand new. Just walk in - you won't want to leave.</t>
  </si>
  <si>
    <t>ELMER H FRANZEN INTERMEDIATE SCHOOL</t>
  </si>
  <si>
    <t>Oven/Range, Microwave, Refrigerator, Washer, Dryer, Disposal, All Stainless Steel Kitchen Appliances</t>
  </si>
  <si>
    <t>Easy to Show - Call L.A.</t>
  </si>
  <si>
    <t>No dishwasher installed but plumbing &amp; electric are ready.</t>
  </si>
  <si>
    <t>Ashland</t>
  </si>
  <si>
    <t>4C</t>
  </si>
  <si>
    <t>87th West to Ashland</t>
  </si>
  <si>
    <t>Large condo unit has great common areas and it is located on a nice  block. The this lovely Fannie Mae HomePath unit features two bedrooms, recent improvements and a nice living room and dining room. Shopping and great transportation are steps away. This home is priced to sell!! Lot/room sizes estimated. Addendums must accompany offers.</t>
  </si>
  <si>
    <t>SEE SHOIWNG ASSISTANT</t>
  </si>
  <si>
    <t>REQUIRED ADDENDUMS CAN BE FOUND ON THE HOMEPATH WEBSITE. THE SELLER HAS DIRECTED THAT ALL OFFERS ON THIS LISTING BE MADE USING THE HOMEPATH ONLINE OFFER SYSTEM AT THE HOMEPATH WEBSITE.</t>
  </si>
  <si>
    <t>Sparta</t>
  </si>
  <si>
    <t>45 W of Butterfield To Grosse Pointe on N @ to Sparta-front door faces Grosse Pointe-across f/park</t>
  </si>
  <si>
    <t>TILBURY</t>
  </si>
  <si>
    <t>Largest Model In Complex Across From Park*These Don't Come On Often*2nd Floor Penthouse*1678 Square Feet w/Spacious Family Rm off Kitchen w/2 Skylites*2 Car Gar*Award Winning Stevenson HS*Gorgeous Palladium Windows*Sunny*Brite*Open Floorplan*Deck Off Family Room*WalkIn Closet in Master*Cozy Fireplace*Updated DÃ©cor*New Refrig*New Washer/Dryer*Newer Sinks&amp;Fixtures in Baths*2015 New Driveway*2014 Exterior Brick Replaced</t>
  </si>
  <si>
    <t>Prefer 2 Hour Notice. Use Showing Assist or Call 855-746-9200</t>
  </si>
  <si>
    <t>Legal Owner of Record</t>
  </si>
  <si>
    <t>(847) 945-7100</t>
  </si>
  <si>
    <t>Shannon Towson</t>
  </si>
  <si>
    <t>(847) 940-2739</t>
  </si>
  <si>
    <t>847-514-2144</t>
  </si>
  <si>
    <t>Great Unit*Super Spacious*Could convert Family Room to 3rd Bedroom if Needed*Ceiling Fans Throughout*Park Located Directly Across Street*No Location Issue Here*Show and Sell!  Friendly Dog Lily in Cage or Gone During Showings</t>
  </si>
  <si>
    <t>Channahon</t>
  </si>
  <si>
    <t>1/2 mile east of State Park Road, turn north of off Grass Lake Road into Leisure Village</t>
  </si>
  <si>
    <t>Adult-community 55 and older; 1/2 of Duplex with garages in the center; Lots of activities; Lake view out front room and sun-room; Renovated kitchen with new ceramic digital convention stove; new dishwasher; new washer and dryer; Corian sinks and counter tops; new laminate floor; all new windows; 3 ceiling fans; high-rise toilets; new air conditioner; nice landscaping; Settle right in this move-in-ready home!</t>
  </si>
  <si>
    <t>Bike Room/Bike Trails, Exercise Room, Golf Course, Health Club, On Site Manager/Engineer, Party Room, Pool-Outdoors, Tennis Court/s, Business Center, Curbs/Gutters, Gated Entry, Sidewalks</t>
  </si>
  <si>
    <t>Cul-de-sac, Water View</t>
  </si>
  <si>
    <t>Common Insurance, Security, Clubhouse, Exercise Facilities, Pool, Exterior Maintenance, Lawn Care, Snow Removal, Lake Rights, Other</t>
  </si>
  <si>
    <t>N (North), S (South), W (West), Lake/Water</t>
  </si>
  <si>
    <t>Contact owner at 847-587-6979 for showings, appraisals, inspections, and all access requests</t>
  </si>
  <si>
    <t>847-587-6979</t>
  </si>
  <si>
    <t>Contact owner at 847-587-6979 for showings. Email offers to email sales@bergproperties.com or Fax offers to (888)615-0169</t>
  </si>
  <si>
    <t>Rt 25 to Silverstone, West to Limestone</t>
  </si>
  <si>
    <t>COMMONE</t>
  </si>
  <si>
    <t>Bright topaz model in Silverstone Lakes!  Large eat in kitchen with 42" cabinets!  Spacious living room has laminate flooring and sliding glass doors leading to patio and open area.  2nd level offers a master bedroom with vaulted ceilings and a wall to wall closet.  2nd bedroom and small lofted area.  Laundry hookup in unit, and 1 car attached garage!</t>
  </si>
  <si>
    <t>Susan Ligmanowski</t>
  </si>
  <si>
    <t>(847) 414-3441</t>
  </si>
  <si>
    <t>sold asis,w/ all faults*visit hometelosfirst.com a&amp; hudhomestore.com for info and offer submission*rea HUD showing remarks in addt info*Case # 137-231207*all city inspections/system tests/utility activation are buyers expense/responsibility</t>
  </si>
  <si>
    <t>Rhodes</t>
  </si>
  <si>
    <t>75TH - RICKERT - S.RIVER TURN RIGHT - RHODES TURN RIGHT.</t>
  </si>
  <si>
    <t>THE FIELDS of NAPERVILLE ~ ONE OWNER ~ 2 STORY ~ TOWNHOUSE ~ EXCEPTIONALLY MAINTAINED WITH EVERY ATTENTION TO DETAIL. NEW CARPET , FRESH PAINT , NEW LENNOX FURNACE and AIR CONDITIONING ( 2013 ) NEWER ANDERSON WINDOWS. MOVE IN PERFECT!! DISTRICT 204 SCHOOLS  AND MINUTES TO DOWNTOWN NAPERVILLE'S SHOPPING,DINING and TRANSPORTATION.</t>
  </si>
  <si>
    <t>8X18</t>
  </si>
  <si>
    <t>Water, Lawn Care, Snow Removal</t>
  </si>
  <si>
    <t>SHOWING TIME 855-919-0377</t>
  </si>
  <si>
    <t>Gregory Teets</t>
  </si>
  <si>
    <t>(630) 940-0127</t>
  </si>
  <si>
    <t>CELL 630-779-0000</t>
  </si>
  <si>
    <t>ALL SHOWINGS,INSPECTIONS,APRRAISALS MUST BE SCHEDULED THROUGH SHOWING TIME. ONE DAY CODES CAN BE ISSUED.</t>
  </si>
  <si>
    <t>74th</t>
  </si>
  <si>
    <t>75th to Fairview North to 74th to 420</t>
  </si>
  <si>
    <t>Nice unit with great investment potential..Lots of updates some of  which are Both baths, appliances, windows, patio door.  Roof, CAC and Furnace. I have the approx. dates for all updates. Laundry in basement. A very nice view of pond and courtyard.  "PARK &amp; RIDE" BUS STATION GOING TO METRA. Clubhouse,  swimming pool &amp; Tennis.. Minutes to I-55, 294, &amp;355</t>
  </si>
  <si>
    <t>Coin Laundry, Storage, On Site Manager/Engineer, Pool-Outdoors, Security Door Locks, Tennis Court/s</t>
  </si>
  <si>
    <t>Heat, Water, Parking, Common Insurance, Pool, Exterior Maintenance, Lawn Care, Scavenger</t>
  </si>
  <si>
    <t>CALL LA  @630-408-6178</t>
  </si>
  <si>
    <t>JANET MEYERS RAPINCHUK</t>
  </si>
  <si>
    <t>Realty Executives Midwest</t>
  </si>
  <si>
    <t>(630) 969-8880</t>
  </si>
  <si>
    <t>Carol Andrysiak</t>
  </si>
  <si>
    <t>cell# 630-408-6178</t>
  </si>
  <si>
    <t>SENTRILOCK ON RAILING  IN FRONT ON THE RIGHT SIDE. Great Investment</t>
  </si>
  <si>
    <t>Foxridge</t>
  </si>
  <si>
    <t>FOX RIDGE CREEK</t>
  </si>
  <si>
    <t>Rt 53 - 1Block South of 75th - East Side</t>
  </si>
  <si>
    <t>Stunning 2 story townhome*Pride of ownership definitely  shows here*Gourmet ktchn w/granite counters,stone bcksplsh,lrg eat-in area &amp; hrdwd flr*Open &amp; bright LR w/flr to ceiling stone fireplace &amp; wndws,cathedral ceiling, hrdwd flr &amp; skylites*Separate DR w/hrdwd*Lrg mstr suite w/spa like full bth &amp; WIC*Loft w/a beautiful view*1st flr laundry rm*Full bsmnt for addl storage*2 car garage*Brick paver patio*Great Location!</t>
  </si>
  <si>
    <t>EDGEWOOD ELEMENTARY SCHOOL</t>
  </si>
  <si>
    <t>2.5% - 200 (on Net SP)</t>
  </si>
  <si>
    <t>Please use showing asst right below. 24 hour notice please.</t>
  </si>
  <si>
    <t>630-768-2595</t>
  </si>
  <si>
    <t>Shelly Askin</t>
  </si>
  <si>
    <t>(630) 768-2595</t>
  </si>
  <si>
    <t>24 hour notice please. Dog is in the laundry room. Please do not let him out.</t>
  </si>
  <si>
    <t>Hyde Park</t>
  </si>
  <si>
    <t>LSD to 53rd W to Hyde Park S to property</t>
  </si>
  <si>
    <t>Rarely available 2BR/2BA corner unit in elevator building located in the heart of Hyde Park. Unit features unobstructed lake views with SE exposure, hardwood floors throughout, separate dining area attached to living room, and spacious bedrooms. Building features common roof deck, party room and on site engineer. Walking distance to the Lake, UofC, museums, transportation, and minutes from downtown.</t>
  </si>
  <si>
    <t>Bike Room/Bike Trails, Door Person, Coin Laundry, Elevator, Storage, On Site Manager/Engineer, Party Room, Sundeck, Security Door Locks</t>
  </si>
  <si>
    <t>Heat, Water, Gas, Parking, Common Insurance, Security, Doorman, TV/Cable, Exterior Maintenance, Lawn Care, Scavenger, Snow Removal</t>
  </si>
  <si>
    <t>Email evaloseth@atproperties.com</t>
  </si>
  <si>
    <t>Eva Loseth</t>
  </si>
  <si>
    <t>(312) 768-3952</t>
  </si>
  <si>
    <t>2-123</t>
  </si>
  <si>
    <t>CRESS CREEK</t>
  </si>
  <si>
    <t>;Ogden Ave. west of Royal St. George, turn right to 1041.   Keybox is inside cabinet on the left.</t>
  </si>
  <si>
    <t>Beautifully upgraded unit with stunning appeal! New:counters, doub.SS sink &amp; spray faucet,Amana gas oven-range, Amana dishwasher,Maytag refrig.,Whirlpool microwave. New quality,neutral wall x wall carpet throughout! 2 new &amp; 1 slightly newer wall-sleeve AC units.  Pool! Club house! Bsmt. coin laund. rm! Spac. storage unit! Nr. train, I-88, I-55 &amp; 355! Diamond Quality!  Spacious parking! Nr. Fox Val.,Oak Brook, Yorktn!</t>
  </si>
  <si>
    <t>Bike Room/Bike Trails, Coin Laundry, Elevator, Storage, Park/Playground, Party Room, Pool-Outdoors, Security Door Locks</t>
  </si>
  <si>
    <t>2.5%-$300 (ON NET SP) (on Net SP)</t>
  </si>
  <si>
    <t>Call agent 1st to confirm.  Sentrilock box in cabinet on left, in the main entry at 1041 Ogden.</t>
  </si>
  <si>
    <t>Mr. &amp; Mrs. DeFronzo</t>
  </si>
  <si>
    <t>Illinois Premier Homes</t>
  </si>
  <si>
    <t>(630) 613-9556</t>
  </si>
  <si>
    <t>Donald Bennett</t>
  </si>
  <si>
    <t>(630) 202-6715</t>
  </si>
  <si>
    <t>Please remove dirty shoes, all carpeting is new, and all walls Profess. painted. Call agent 1st for showing confirm. Use Sentrilock box in entrance cabinet on vestibule wall to the left. Storage &amp; Laundry Room in basement at So. end.</t>
  </si>
  <si>
    <t>60+</t>
  </si>
  <si>
    <t>Lake St. W of Glen Ellyn Road to Lakeview Drive</t>
  </si>
  <si>
    <t>0X0</t>
  </si>
  <si>
    <t>Welcome Home!! This Care Free Two BR (possible 3 BR) Condo offers...2 Indoor Parking Spaces, Beautiful HW Flr, Silhouette Blinds, Crown Molding, Granite Cntrs, SS App w/Breakfast Bar, Backsplash, Can lighting, Spacious DR. Gorgeous French drs leading to den. 2 balconies, 1 right off MBR Ensuite! Laundry room, Workout Facility,Party Rm, Elevator, Larger Storage area in Bldng &amp; a Beautiful Lake for Summer Time Fun!</t>
  </si>
  <si>
    <t>Common Insurance, Security System, Clubhouse, Exterior Maintenance, Lawn Care, Scavenger, Snow Removal, Lake Rights</t>
  </si>
  <si>
    <t>Gravity Air</t>
  </si>
  <si>
    <t>Click on Schedule a showing below.</t>
  </si>
  <si>
    <t>Rosa Wayda, CSC</t>
  </si>
  <si>
    <t>(630) 774-2396</t>
  </si>
  <si>
    <t>1 BLK NORTH OF NORTH AVE. ON WOLF RD.</t>
  </si>
  <si>
    <t>2BED/1BATH CONDO -  LARGE EAT-IN KITCHEN AND ALL APPLIANCES EX W/D ARE INCLUDED. NEW CARPET, 2 PARKING SPOTS -1 DEEDED IN &amp; 1 ASSIGNED OUT, LANDSCAPED GROUNDS, ENERGY EFFICIENT DBL GLAZED WINDOWS, A PRIVATE BALCONY+PRIVATE STORAGE RM. LOW ASSESSMENT INCLDS ALL UTILITIES EXCEPT ELECTRIC. 5% DOWN SELLER FINANCING AVAILABLE!! FHA APPROVED! CALL OR TEXT LA FOR INFO.</t>
  </si>
  <si>
    <t>Elevator, Storage, Curbs/Gutters, Sidewalks, Street Lights</t>
  </si>
  <si>
    <t>Heat, Water, Gas, Common Insurance, Exterior Maintenance</t>
  </si>
  <si>
    <t>CELL - 312-209-4010</t>
  </si>
  <si>
    <t>One of 3 remaining developer units! Great space, great price in fantastic location close to expressways and shopping!</t>
  </si>
  <si>
    <t>SUZY</t>
  </si>
  <si>
    <t>BUENA VISTA</t>
  </si>
  <si>
    <t>RT 34 TO PENCE TO SOUTH (W) TO SUZY</t>
  </si>
  <si>
    <t>30X120</t>
  </si>
  <si>
    <t>Nice End Unit Townhome &amp; No assoc fees or ssa. Fin Bsmt. with bonus room &amp; FR. Sliding Glass doors from LR to Wood Deck. Back yard all fenced w/chain-link.Freshly painted and carpeted, but sold AS-IS. 2 Full baths, Kitchen is fully applianced. See attachment for requirements and offer submittal information in the MLS document section.</t>
  </si>
  <si>
    <t>CENTENNIAL ELEMENTARY SCHOOL</t>
  </si>
  <si>
    <t>Call LO or LA. Use Lockbox.</t>
  </si>
  <si>
    <t>All Service Real Estate, Inc.</t>
  </si>
  <si>
    <t>(630) 552-1100</t>
  </si>
  <si>
    <t>Carl Johnson</t>
  </si>
  <si>
    <t>(630) 244-2365</t>
  </si>
  <si>
    <t>To report  any concerns with a list broker/agent or report any property condition or other concern needing escalation, including concerns related to a previously submitted offer or info on how to place an offer, please call:1-877-617-5274</t>
  </si>
  <si>
    <t>Benton</t>
  </si>
  <si>
    <t>Deep Lake and Grass Lake Rd, West to Painted Lakes Rd. to Benton to 602</t>
  </si>
  <si>
    <t>FABULOUS TOWNHOUSE IN IMMACULATE CONDITION!  Featuring fresh neutral paint, hardwood throughout the first level, neutral carpet on second level, two bedrooms plus a cozy, inviting loft complete with fireplace!  Unfinished English basement ready for you to complete to your specifications.  Two car garage.  Close to park.  You will be impressed with this beautiful townhouse.   Easy to show.</t>
  </si>
  <si>
    <t>Pam Houcek, GRI</t>
  </si>
  <si>
    <t>(847) 494-1577</t>
  </si>
  <si>
    <t>Furnace and A/C new in 2014.  Water heater two years old.</t>
  </si>
  <si>
    <t>GOLDEN GATE</t>
  </si>
  <si>
    <t>NORTH AURORA RD (E OF RT 59), N ON GOLDEN GATE</t>
  </si>
  <si>
    <t>RUN FOR THIS BEAUTIFUL END UNIT, 2 BEDROOMS, VAULTED CEILINGS WITH GREAT WALK-INS. LOFT OVERLOOKS 2 STORY LIVING ROOM. WOOD LAMINATE FLOORS IN DINING ROOM &amp; LIVING ROOM. GREAT MASTER BATH WITH SOAKER TUB. 2 CAR GARAGE. CLOSE TO SHOPPING, TRAIN &amp; EXPRESSWAYS. SHOW &amp; SELL THIS.</t>
  </si>
  <si>
    <t>CALL LO</t>
  </si>
  <si>
    <t>Cynthia Lang</t>
  </si>
  <si>
    <t>(847) 340-2973</t>
  </si>
  <si>
    <t>SOME NOTICE NEEDED</t>
  </si>
  <si>
    <t>RTE 21 to Gages Lake Rd W  to Colby Rd, S to Chandler</t>
  </si>
  <si>
    <t>CEDAR</t>
  </si>
  <si>
    <t>Light and bright open floor plan with large living room, separate dining room with wood laminate floor, big kitchen with pass through to living room, large master bedroom with full bath. Desirable larger Cedar model. Newer furnace and AC.  Large deck. Underground parking. Amenities include pool, tennis, trails and clubhouse! Great place to live!</t>
  </si>
  <si>
    <t>Elevator, Storage, Park/Playground, Pool-Outdoors, Security Door Locks, Tennis Court/s, Curbs/Gutters, Sidewalks, Street Lights, Street Paved</t>
  </si>
  <si>
    <t>3% - $175 (on Gross SP)</t>
  </si>
  <si>
    <t>2 hour notice.  No showings before 11 am.</t>
  </si>
  <si>
    <t>Betty A Bonn</t>
  </si>
  <si>
    <t>Donna Voss, ABR</t>
  </si>
  <si>
    <t>(847) 772-9700</t>
  </si>
  <si>
    <t>Building not approved for FHA  No rentals allowed.</t>
  </si>
  <si>
    <t>Angelo</t>
  </si>
  <si>
    <t>MEADOWS</t>
  </si>
  <si>
    <t>RT 53 TO 59TH ST. EAST TO END TURN L TO ANGELO LEFT</t>
  </si>
  <si>
    <t>28.11X63.50X27.98</t>
  </si>
  <si>
    <t>Welcome to this quiet tucked away 2 story townhome in Meadows Edge! Featuring 2BR/3.1BA plus a loft with an open floor plan, vaulted ceilings and a ton of natural light. Tall ceilings throughout. Great open kitchen concept with breakfast nook. Large deck overlooks the open green space out back. Full finished basement with full bathroom. 2 car attached garage. Over 2700 sq ft of finished living space. Nicely updated!</t>
  </si>
  <si>
    <t>26X20</t>
  </si>
  <si>
    <t>Call ShowingTime 800-746-9464. Notice appreciated.</t>
  </si>
  <si>
    <t>eXp Realty</t>
  </si>
  <si>
    <t>(312) 375-4494</t>
  </si>
  <si>
    <t>Mike Long, GRI</t>
  </si>
  <si>
    <t>(630) 446-0289</t>
  </si>
  <si>
    <t>334-2</t>
  </si>
  <si>
    <t>Fairfax Commons</t>
  </si>
  <si>
    <t>Army tr west of County Farm, turn north on Farifax to Ashford Cir.</t>
  </si>
  <si>
    <t>DRAMATIC 2 STY FOYER! Vaulted CEILINGS  IN LR ,DR, KITCHEN &amp; MASTER BEDROOM...W/WALK-IN CLOSET! LOFT/3RD BEDROOM! FIREPLACE! 4 CEILING FANS! BEAUTIFUL BLEACHED OAK KITCHEN CABINETS!! EAT-IN KITCHEN DOUBLE OVEN! LINEN CLOSETS-BOTH BATHS, EXTRA STORAGE UNDER STAIRCASE!  BRIGHT &amp; GEORGEOUS  ALL THROUGHOUT. NOTICE LARGE DECK &amp; VIEW!! BRIGHT &amp; GORGEOUS THROUGHOUT!!! SEE ADDITIONAL IMPROVEMENTS ON FEATURE AND UPDATES!!</t>
  </si>
  <si>
    <t>Oven-Double, Oven/Range, Dishwasher, Refrigerator, High End Refrigerator, Washer, Dryer, Disposal</t>
  </si>
  <si>
    <t>Humidifier, Water-Softener Rented, CO Detectors, Ceiling Fan</t>
  </si>
  <si>
    <t>EZ CALL LO 630.980.4440</t>
  </si>
  <si>
    <t>Catherine Sumerdon</t>
  </si>
  <si>
    <t>(847) 358-2255</t>
  </si>
  <si>
    <t>847.358.2255</t>
  </si>
  <si>
    <t>ALL CARPETING 10/20O9. NEWER PATIO DOOR 7/2007  SHOWER DOOR 11/2009. KITCHEN FAN 5/2000.OFFICE NEW WINDOW 12/2015. SEE ADDITIONAL FEATURE SHEET!!!</t>
  </si>
  <si>
    <t>Army Trail, to County Farm Rd south to Woodhill Dr. left to Trinity left to Trinity Ct.</t>
  </si>
  <si>
    <t>5743SF</t>
  </si>
  <si>
    <t>RARELY AVAILABLE CAMBRIDGE POINTE TOWN HOME! NO ASSOCIATION FEES! CERAMIC FLOORED KITCHEN WITH ALL NEW STAINLESS STEEL APPLIANCES OPENS TO FAMILY ROOM WITH EXIT TO PATIO AND FENCED REAR YARD! LIVING ROOM DINING ROOM COMBO WITH VAULTED CEILINGS! WASHER AND DRYER IN UNIT! ATTACHED GARAGE! CUL-DE-SAC LOCATION! MOVE IN CONDITION!</t>
  </si>
  <si>
    <t>2.25% - $300.00 (on Net SP)</t>
  </si>
  <si>
    <t>630-893-2600</t>
  </si>
  <si>
    <t>James Garry</t>
  </si>
  <si>
    <t>(630) 766-5700</t>
  </si>
  <si>
    <t>Gulfstream</t>
  </si>
  <si>
    <t>Milwaukee &amp; Red Top, east to Gulfstream.  North to address</t>
  </si>
  <si>
    <t>Cul de sac location for this single level spacious unit featuring 2 bedrooms, 2 full baths, living room, dining room and separate family room.  Great vaulted ceilings throughout, plus skylights.  2 outdoor patio areas, laundry room and large eat in kitchen makes for a great layout.  2 car attached garage too!  Home is in need of mechanical updates and cosmetic updating throughout.</t>
  </si>
  <si>
    <t>2.5% -$295 (ON NET SP) (on Net SP)</t>
  </si>
  <si>
    <t>Jeff Matheson</t>
  </si>
  <si>
    <t>(847) 445-0473</t>
  </si>
  <si>
    <t>CLARENDON HILLS RD SOUTH TO THE LAWNS (DRIVE ON  EAST SIDE OF THE STREET)</t>
  </si>
  <si>
    <t>ADORABLE BRIGHT AND CHEERFUL 2BR, 2BA TOP FLOOR CONDO  IN THE LAWNS. PORCELAIN TILE IN FOYER/KITCHEN. WHITE  KITCHEN CABINETS.  FULLY APPLIANCED, W/D IN UNIT.  DEEDED PARKING SPACE #16 IN HEATED GARAGE W/EXTRA STORAGE. BALCONY FACES SOUTH. W/I CLOSET IN MASTER. SLIDING GLASS DOORS FROM LIVING ROOM AND MASTER TO BALCONY.</t>
  </si>
  <si>
    <t>2.5% -$275.00 (on Net SP)</t>
  </si>
  <si>
    <t>CALL LA FOR APPT..EASY TO SHOW</t>
  </si>
  <si>
    <t>630-772-3131</t>
  </si>
  <si>
    <t>Norma Main, CNC,SFR</t>
  </si>
  <si>
    <t>(630) 522-2060</t>
  </si>
  <si>
    <t>CELL 630-772-3131</t>
  </si>
  <si>
    <t>GREAT BUILDING, GREAT RESIDENTS, DARLING UNIT.  Special assessment pending.</t>
  </si>
  <si>
    <t>Keystone</t>
  </si>
  <si>
    <t>RT 59 to Schaumburg. West on Schaumburg to Irving Park. Right on Irving Pk to Littleton to Keystone.</t>
  </si>
  <si>
    <t>This 2 bed + loft townhome has it all and is move in ready! Sunny unit offering new wood floors t/o main level, freshly painted t/o, new carpet t/o 2nd floor. Beautiful oak cabinets in kitchen. First floor open floor plan, prefect for entertaining. Step out to patio off dining room. Master bed offers full bathroom and walk in closet. Loft can be made into a 3rd bedroom or used as an office/den. A must see!</t>
  </si>
  <si>
    <t>Call Showingtime #855.746.9200</t>
  </si>
  <si>
    <t>Amy Diamond</t>
  </si>
  <si>
    <t>(847) 867-6997</t>
  </si>
  <si>
    <t>Not FHA Approved</t>
  </si>
  <si>
    <t>York to 3rd St., west to Addison, south to townhouse</t>
  </si>
  <si>
    <t>1094 SQ FT</t>
  </si>
  <si>
    <t>SOLD BEFORE PROCESSING.</t>
  </si>
  <si>
    <t>24X18</t>
  </si>
  <si>
    <t>Ginny Leamy</t>
  </si>
  <si>
    <t>(708) 205-9541</t>
  </si>
  <si>
    <t>CRYSTAL ROCK</t>
  </si>
  <si>
    <t>134 &amp; FAIRFIELD, N2 LONG LAKE RD, W2 CLEARWATER TO CRYSTAL ROCK #</t>
  </si>
  <si>
    <t>HIGHLY DESIREABLE GROUND FLOOR OPEN CONCEPT 2 BEDROOM HOME WITH WOOD LAMINATE FLOORING &amp; NEWER CARPET BOTH BEDROOMS &amp; WK/IN CLOSET.  KITCHEN WITH BREAKFAST BAR+TABLE AREA. SLIDER TO PATIO, STORAGE CLOSET &amp; A FEW STEPS TO YOUR GARAGE. ALL APPLIANCES+WASHER, DRYER, SPRINKLERS, DOOR INTERCOM. NO STAIRS, EASY ACCESS - NO SNOW SHOLVELING, NO LAWN CUTTING. CLOSE TO METRA, SHOPPING, DINING. NOT SHORT SALE OR FORECLOSURE.</t>
  </si>
  <si>
    <t>CLC</t>
  </si>
  <si>
    <t>2.5 - $175 (on Gross SP)</t>
  </si>
  <si>
    <t>Tom Fremgen</t>
  </si>
  <si>
    <t>(847) 924-6320</t>
  </si>
  <si>
    <t>Cell 847-924-6320</t>
  </si>
  <si>
    <t>NOT A SHORT SALE OR FORECLOSURE</t>
  </si>
  <si>
    <t>Sierra Woods</t>
  </si>
  <si>
    <t>SIERRA WOODS</t>
  </si>
  <si>
    <t>RANDALL N OF 72 TO MILLER E TO SIERRA WOODS LANE</t>
  </si>
  <si>
    <t>BRIGHT END UNIT W/2 CAR GARAGE BACKING TO WOODED AREA! FULLY APPLIANCED EAT IN KIT FEATURES AMPLE CAB'S &amp; COUNTER SPACE,CERAMIC FLR &amp; BREAKFAST BAR THAT OPENS TO THE DRAMATIC 2 STORY LIV RM, FIREPLACE &amp; DININGRM W/SLIDERS TO DECK!1ST FLOOR LAUNDRY!UPSTAIRS BOASTS 2 BEDRMS + SPACIOUS LOFT!LUX BATH W/JETTED TUB &amp; SEPARATE SHOWER.VAULTED KING SIZED MASTER BEDRM W/LARGE WALK IN CLOSET!CLOSE TO RANDALL RD SHOPPING &amp; I90!</t>
  </si>
  <si>
    <t>CALL LO 847-884-8870 X0  CONFIRMED SHOWINGS ONLY DOG IN HOME!</t>
  </si>
  <si>
    <t>(847) 884-8870</t>
  </si>
  <si>
    <t>Mary Kubalewski</t>
  </si>
  <si>
    <t>(847) 230-7007</t>
  </si>
  <si>
    <t>ROOSEVELT TO MEYERS NORTH TO WILSON E TO ADDISON TO CAMBRIA LN S</t>
  </si>
  <si>
    <t>Perfection!  Hard to find smashing ranch model with cozy fireplace situated on a nice "quiet" street in desirable Cambria. Upgraded Colonial trim pkg includes white 6 panel doors and moldings plus ceramic tile upgrade in kitchen, mudroom and all baths. Spacious closets. Nothing to do!! Turn key! Well kept!</t>
  </si>
  <si>
    <t>Foyer, Utility Room-1st Floor</t>
  </si>
  <si>
    <t>KrohVan RE Service</t>
  </si>
  <si>
    <t>(708) 212-2587</t>
  </si>
  <si>
    <t>Christopher Krohe</t>
  </si>
  <si>
    <t>Lake Hinsdale</t>
  </si>
  <si>
    <t>Lake Hinsdale Village</t>
  </si>
  <si>
    <t>rt 83 to 67thst. West entrance, right to bldg 101</t>
  </si>
  <si>
    <t>Sweeping views of the lake in this beautiful condo .  A water view from almost every room.  Could be the best lake view in the whole complex.Lovingly maintained with decorative touches like crown moldings, picture and chair rail trim. 2 generous bedrms. 2 updated bathrms. Large kitchen with tons of cabinetry. Close to elevator for easy access and indr garage space #209.  Fun and easy lifestyle  and close to evrythng!</t>
  </si>
  <si>
    <t>Common Grounds, Lake Front, Landscaped Professionally, Park Adjacent, Water View</t>
  </si>
  <si>
    <t>Common Insurance, Clubhouse, Exercise Facilities, Pool, Exterior Maintenance, Lawn Care, Scavenger, Snow Removal, Lake Rights</t>
  </si>
  <si>
    <t>Lake/Water, Park</t>
  </si>
  <si>
    <t>2.5 -$295 (on Gross SP)</t>
  </si>
  <si>
    <t>call LA for an appointment 708-214-5516</t>
  </si>
  <si>
    <t>d'aprile properties</t>
  </si>
  <si>
    <t>(630) 537-1952</t>
  </si>
  <si>
    <t>Cathleen Callen</t>
  </si>
  <si>
    <t>(708) 214-5516</t>
  </si>
  <si>
    <t>Sheridan</t>
  </si>
  <si>
    <t>Kingspointe</t>
  </si>
  <si>
    <t>Rt 59 N of North Aurora Rd to Gowdy E to Bond N to Sheridan W</t>
  </si>
  <si>
    <t>Dynamic Naperville townhome! Light &amp; bright End Unit! Fabulous 2 story unit w/ 2 car garage. Beautiful flooring throughout 1st floor.Neutral decor. Dual master suites w/ loft that can used as TV room or 3rd bedroom.Fireplace w/ gas logs, 9 foot ceilings, wood blinds, 2nd fl loft &amp; 2nd fl laundry. Master bath has dual sinks &amp; separate shower/tub . 204 schools! Brand new SS appliances!  Very close to train I-88 &amp; shops</t>
  </si>
  <si>
    <t>16X7</t>
  </si>
  <si>
    <t>text listing agent 630-518-8919 with day/time/ID. Need confimation</t>
  </si>
  <si>
    <t>Catherine Pendergast, CNC</t>
  </si>
  <si>
    <t>(630) 518-8919</t>
  </si>
  <si>
    <t>Largest unit in Kingspointe of Naperville. Both bedrooms have large walk in closets and private baths.</t>
  </si>
  <si>
    <t>JOLIET</t>
  </si>
  <si>
    <t>INDIAN RIDGE LAKES</t>
  </si>
  <si>
    <t>Joliet Rd, just east of Wof Rd, north side of street 2 Indian Ridge Lakes</t>
  </si>
  <si>
    <t>RANCH STYLE CONDO WITH NO STAIRS OVERLOOKING SERENE WATER VIEWS! REMODELED KITCHEN W BRAND NEW SS APPLIANCES, EAT IN KIT,  SPACIOUS LIVING ROOM W/SGD TO DECK AND WATER VIEW !!! LARGE MASTER BEDROOM SUITE W/WIC &amp; BATH. IN-UNIT LAUNDRY. NEWER FURNACE, HW HEATER &amp; CAC. CONVENIENTLY LOCATED TO  I 294 &amp; SHOPPING. PARKING SPACE#14 &amp; VISITOR PARKING, BEST UNIT IN THE SUBDIVISION - CONDITION AND THE VIEW !!!</t>
  </si>
  <si>
    <t>Golf Course, Curbs/Gutters, Sidewalks, Street Lights, Street Paved</t>
  </si>
  <si>
    <t>please text Vipin at 630-747-5066</t>
  </si>
  <si>
    <t>Vipin Gulati, GRI</t>
  </si>
  <si>
    <t>(630) 747-5066</t>
  </si>
  <si>
    <t>Woodland</t>
  </si>
  <si>
    <t>WOODLAND COURT CONDOS</t>
  </si>
  <si>
    <t>Cass To Hinswood E. Immediate right onto N. Frontage. Left onto Woodland. Unit on left side.</t>
  </si>
  <si>
    <t>Spacious 2 bedroom, 2 1/2 bath townhome (1820 sq ft). All appliances included. Large family room with brick fireplace &amp; wet bar. Master bedroom with walk in closet and full bath. Laundry room/mud room with utility tub and ample storage/closet space. Attached 2 car garage. Plenty of visitor parking. Close to I-55 for easy commute.</t>
  </si>
  <si>
    <t>27X20</t>
  </si>
  <si>
    <t>Please text LA@630-561-3144 &amp; give agent name, ID# and date &amp; time of showing. Confirmation needed.</t>
  </si>
  <si>
    <t>Scheri Andounian</t>
  </si>
  <si>
    <t>(630) 778-3753</t>
  </si>
  <si>
    <t>QUAIL RIDGE</t>
  </si>
  <si>
    <t>NAPER BLVD S TO BAILEY W TO ISHNALA S &amp; IMMEDIATE RIGHT TO PROPERTY</t>
  </si>
  <si>
    <t>FANTASTIC END UNIT IN THE QUAIL RIDGE SUBDIVISION! 2 BEDROOMS! 2 BATHROOMS!  LIGHT, BRIGHT &amp; NEUTRAL! NEWER PAINT! NEWER FLOORING! NEWER LIGHT FIXTURES!  HUGE MASTER BEDROOM W/LARGE WALK-IN CLOSET! NEW GLASS SLIDING PATIO DOOR TO BALCONY!  LAUNDRY &amp; EXTRA STORAGE JUST STEPS AWAY FROM YOUR FRONT DOOR. ASSESSMENT INCLUDES EVERYTHING BUT ELECTRIC &amp; CABLE! PARKING IN BUILDING INCLUDED! DISTRICT # 203 SCHOOLS! A MUST SEE!</t>
  </si>
  <si>
    <t>Coin Laundry, Security Door Locks, Curbs/Gutters, Sidewalks, Street Lights, Street Paved</t>
  </si>
  <si>
    <t>CALL CSS 1-877-977-1010- EASY SHOW</t>
  </si>
  <si>
    <t>DEAL FELL DUE TO FINANCING! AVAILABLE NOW FOR QUICK CLOSE!</t>
  </si>
  <si>
    <t>Kentshire</t>
  </si>
  <si>
    <t>RT 59 TO 87TH TO FULHAM N TO KENTSHIRE CT E</t>
  </si>
  <si>
    <t>Outstanding value in Naperville! Granite Counter tops, Freshly Painted, Spacious 2BR, 2Bath open floor plan, 42" Cabinets, ceramic tile, pergo floors, white trim and doors. Upgraded fixtures, All appliances stay including Washer and Dryer. Cul-De-Sac Location back to park and open area. Naperville IPSD 204 School District with Neuqua Valley High School! Investor buyers welcome!</t>
  </si>
  <si>
    <t>Cul-de-sac, Park Adjacent</t>
  </si>
  <si>
    <t>Please Call CSS 877-977-1010 or Showings.com</t>
  </si>
  <si>
    <t>Investment buyers welcome, units can be Rented, no cap or restrictions per mgmt company.</t>
  </si>
  <si>
    <t>Lake St west of Mill to Briar Hill South to unit.</t>
  </si>
  <si>
    <t>2 BED 2 BATH</t>
  </si>
  <si>
    <t>Spacious 2 bedrooms &amp; 2 bath condo in great condition, super clean and move in ready! Condo features spacious eat-in kitchen, large living room/dining area with sliders to patio. Large master bedroom with walk-in closet and private bathroom. Excellent opportunity to own a condo! Close to many amenities, shopping, restaurants. In unit laundry. Centrally located to I355 and I290.</t>
  </si>
  <si>
    <t>Call 855-746-9100  1 hour notice please</t>
  </si>
  <si>
    <t>Maggie Coakley, SFR</t>
  </si>
  <si>
    <t>(847) 778-4425</t>
  </si>
  <si>
    <t>Highland</t>
  </si>
  <si>
    <t>Highland Avenue west of McLean to immediately west Lyle Ave, complex on north side.</t>
  </si>
  <si>
    <t>Top floor condo at Stonebriar w/vaulted ceilings &amp; gas log fireplace! Freshly painted, new carpeting, and new appliances.  Large master suite.  Kitchen w/eating area. Laundry in unit. Tandem garage for 2 cars.  Come take a look.</t>
  </si>
  <si>
    <t>Please click Showing Assist to schedule a showing.</t>
  </si>
  <si>
    <t>Angelo Kalaras</t>
  </si>
  <si>
    <t>(773) 914-1645</t>
  </si>
  <si>
    <t>Financed Buyers must obtain free PRE-APPROVAL 888-972-8537. If Buyers choose Kondaur financing, Buyers may receive lender credit of up to 1% of loan amount at closing. Offer package must include: (1) POF and DU -OR- (2) POF, FICO, Pre app.</t>
  </si>
  <si>
    <t>Edgebrook</t>
  </si>
  <si>
    <t>Ashbrook</t>
  </si>
  <si>
    <t>Wolf Road South of Plainfield to Ashbrook Subdivision</t>
  </si>
  <si>
    <t>ASHMORE</t>
  </si>
  <si>
    <t>1st floor Ranch Townhome in Ashbrook located on the pond. Hardwood floors, open floor plan. Master Bath w/soaking tub and separate shower. Gourmet kitchen with island and sunny breakfast room. First floor laundry. Finished walk-out lower level with wetbar and fountain view. Two car attached garage.</t>
  </si>
  <si>
    <t>30X14</t>
  </si>
  <si>
    <t>Common Insurance, Exterior Maintenance, Lawn Care, Scavenger, Snow Removal, Other</t>
  </si>
  <si>
    <t>Breakfast Room, Den, Recreation Room, Workroom</t>
  </si>
  <si>
    <t>Sold before Processing</t>
  </si>
  <si>
    <t>ELLIS</t>
  </si>
  <si>
    <t>GW</t>
  </si>
  <si>
    <t>47TH STREET EAST OR WEST TO ELLIS AVE., SOUTH TO ADDRESS</t>
  </si>
  <si>
    <t>OFFER ACCEPTED. Affordable luxury! Spacious South Kenwood 2 bedroom, 2 bath loaded w/ sunlight &amp; gorgeous designer chosen finishes. Fresh paint, new hardwood, bedroom carpeting &amp; modern lighting. Master suite w/ separate shwr &amp; whirlpool. Deep &amp; wide bedroom closets. Maple kitchen &amp; bath cabinetry. Fully applianced kitchen w/ granite &amp; baths w/ marble counters. Central air, in-unit laundry.</t>
  </si>
  <si>
    <t>Condo, Garden Unit</t>
  </si>
  <si>
    <t>OFFER ACCEPTED.</t>
  </si>
  <si>
    <t>Aaron McDonald</t>
  </si>
  <si>
    <t>(773) 419-8404</t>
  </si>
  <si>
    <t>773-419-8404</t>
  </si>
  <si>
    <t>Bright &amp; sunny unit with south &amp; east exposures. Good size windows too.</t>
  </si>
  <si>
    <t>Woodlawn</t>
  </si>
  <si>
    <t>SHAKESPEARE COURT</t>
  </si>
  <si>
    <t>N or S to 47th Street, East or West to Woodlawn (1200 East), North to 45th, unit inside subdivision</t>
  </si>
  <si>
    <t>Bank owned REO selling "as-is". 2/1.5 bath, 3-story townhome in quiet subdivision in North Kenwood. Walking distance to the lakefront &amp; shopping.  Hrwd floors, granite counters, in-unit laundry hook-ups, attached 1 car garage. Some H20 damage to kitchen floors.</t>
  </si>
  <si>
    <t>Welcome Mat Realty, Inc</t>
  </si>
  <si>
    <t>(773) 720-2856</t>
  </si>
  <si>
    <t>Joyce Johnson</t>
  </si>
  <si>
    <t>REO - BANK OWNED PROPERTY SOLD â€œAS ISâ€ WITHOUT REPAIR, WARRANTY, OR SELLER DISCLOSURE. â€œSELLER WILL NOT ACTIVATE ANY UTILTIES.â€ Listing Broker &amp; Seller assume no responsibility &amp; make no guarantees, warranties, or representations.</t>
  </si>
  <si>
    <t>ALLOW 48 HRS EMAIL L/A...</t>
  </si>
  <si>
    <t>TENANT OCCUPIED...</t>
  </si>
  <si>
    <t>First</t>
  </si>
  <si>
    <t>Randall to Main E2, Pitz, N2, First</t>
  </si>
  <si>
    <t>69X105X67X105</t>
  </si>
  <si>
    <t>Ranch style duplex. Eat-in Kit w/Oak cabinets, Stain glass front door. Brand new windows. Liv rm w/tray ceiling  and fireplace. 6 panel pine doors. Vaulted mstr bath w/whirlpool tub &amp; sky lite. 1 car garage w/workspace. Freshly painted. Full basement, partially finished w/full bath. Concrete driveway. NO association fees. whole house air cleaner. Close proximity to shopping, restaurants. Sold as-is. Nice!</t>
  </si>
  <si>
    <t>ALICE GUSTAFSON ELEMENTARY SCHOOL</t>
  </si>
  <si>
    <t>25X17</t>
  </si>
  <si>
    <t>Humidifier, Water-Softener Owned, TV-Cable, CO Detectors, Ceiling Fan, Sump Pump, Air Cleaner</t>
  </si>
  <si>
    <t>Wood Burning, Gas Logs, Gas Starter, Heatilator Type System</t>
  </si>
  <si>
    <t>click on showing assist</t>
  </si>
  <si>
    <t>Pam Burke</t>
  </si>
  <si>
    <t>(630) 935-2777</t>
  </si>
  <si>
    <t>E Fax 781.609.9764</t>
  </si>
  <si>
    <t>Please turn off lights, make sure doors locked.</t>
  </si>
  <si>
    <t>CONTI</t>
  </si>
  <si>
    <t>JUST NORTH OF TRACKS/GRAND TO CIRCLE</t>
  </si>
  <si>
    <t>LOCAL BANK OWNED 2 BDRM CONDO. WALK TO SHOPPING &amp; TRANSPORTATION. LARGE EAT IN KITCHEN. LNDRY IN BLDG. UNIT NEEDS SOME COSMETIC WORK. PROPERTY SOLD IN AS-IS CONDITION. BANK CONTRACT REQUIRED.</t>
  </si>
  <si>
    <t>Woolfe &amp; Company Realtors Inc.</t>
  </si>
  <si>
    <t>(630) 279-8260</t>
  </si>
  <si>
    <t>Julie Woolfe</t>
  </si>
  <si>
    <t>(630) 935-8275</t>
  </si>
  <si>
    <t>CO LISTER CELL 630 935 8274</t>
  </si>
  <si>
    <t>PLEASE DIRECT ALL QUESTIONS TO LAG EMAIL. PLEASE CONTACT MNGMT COMPANY DIRECTLY FOR ALL QUESTIONS RELATED TO THE ASSOCIATION. BANK CONTRACT REQD. BANK TYPICALLY RESPONDS SAME DAY</t>
  </si>
  <si>
    <t>WESTGATE</t>
  </si>
  <si>
    <t>Grand/Dilly's N2 Lawson W2 Madison S2 Delaware W2 Prince</t>
  </si>
  <si>
    <t>28X59</t>
  </si>
  <si>
    <t>***AWESOME TOWNHOME AVAILABLE *** 2 GENEROUS SIZED BEDROOMS AND A LOFT! SPACIOUS ROOMS AND A TERRIFIC FLOORPLAN! REALLY NICE KITCHEN AND GREAT ROOM WITH VOLUME CEILINGS! FRESH PAINT AND CARPET! PERFECT FOR ENTERTAINING! MAKE THIS HOME YOURS TODAY! Sold-As-Is</t>
  </si>
  <si>
    <t>FANNIE</t>
  </si>
  <si>
    <t>The seller has directed that all offers on this listing be made using the HomePath Online Offer system at HomePath.com website.</t>
  </si>
  <si>
    <t>ELIZABETH CROSSING</t>
  </si>
  <si>
    <t>Main to 20th West to Lincoln South to property.</t>
  </si>
  <si>
    <t>Gorgeous 3 levels of living in this move in condition home w/ 2nd fl. double master suites. Master bedroom has vaulted ceiling, huge master full bath plus walk in closet. 2nd bedroom has it's own bath. A full finished walk out lower level. Bonus den in basement. Very convenient 2nd floor laundry. All levels w/ new hardwood floors except kitchen, entrance &amp; powder room on the 1st level with porcelain tiles throughout.</t>
  </si>
  <si>
    <t>None, Sidewalks, Street Lights</t>
  </si>
  <si>
    <t>Bonus, Breakfast Room, Den</t>
  </si>
  <si>
    <t>2% - $250 (on Net SP)</t>
  </si>
  <si>
    <t>Contact Amra @ 847-636-7433 for showings, appraisals, inspections and all access requests</t>
  </si>
  <si>
    <t>630-206-9251</t>
  </si>
  <si>
    <t>Contact Amra @ 847-636-7433 for showings, appraisals, inspections and all access requests. Email offers to sales@bergproperties.com or fax to 888-615-0169</t>
  </si>
  <si>
    <t>Wolf to Acacia Dr. second right on Acacia curve around back to 129</t>
  </si>
  <si>
    <t>Good space in this condo and an easy walk from the elevator. Eat in kitchen with formal dining room/living room combo. Living room has a fireplace and both living room and kitchen open to a 20' balcony. Large master bedroom with a huge walk in closet. Lots of storage in this unit with extra storage on the same floor. Full laundry room</t>
  </si>
  <si>
    <t>8X16</t>
  </si>
  <si>
    <t>Water, Parking, Common Insurance, Security System, Clubhouse, Exercise Facilities, Pool, Exterior Maintenance, Lawn Care, Scavenger, Snow Removal</t>
  </si>
  <si>
    <t>2.5%-$200(ON NET) (on Net SP)</t>
  </si>
  <si>
    <t>Susan Breen</t>
  </si>
  <si>
    <t>(708) 670-4668</t>
  </si>
  <si>
    <t>Ogden to LaGrange Rd. North to property</t>
  </si>
  <si>
    <t>This sleek 2 BR, 2 BTH unit is in an ideal location, close to Downtown, Metra, &amp; Top-notch LT school district. LRG closets, open floor plan, modern KT with granite countertops, breakfast bar, ss appliances, &amp; subway tile backsplash. LR MBR suite w/ walk-in closet. Neutral, freshly painted dÃ©cor. Penthouse Party room 2 roof-top terraces w/ views of Downtown La Grange, &amp; Chicago. Easy-living &amp; ready for new owners.</t>
  </si>
  <si>
    <t>Coin Laundry, Elevator, Storage, On Site Manager/Engineer, Party Room, Sundeck, Security Door Locks, Curbs/Gutters, Sidewalks, Street Lights, Street Paved</t>
  </si>
  <si>
    <t>2.5%-200.00 (on Net SP)</t>
  </si>
  <si>
    <t>Jennifer Cavanaugh</t>
  </si>
  <si>
    <t>(708) 408-9910</t>
  </si>
  <si>
    <t>Agent is related to the seller. Note: Chairlift is available for guest to go to the roof top entertainment room. On Exterior Lease space $15 per month</t>
  </si>
  <si>
    <t>Saint Thomas Colony</t>
  </si>
  <si>
    <t>VACATION VILLAGE</t>
  </si>
  <si>
    <t>RT 12 N TO STATE PARK RD TO VACA VILLAGE or GRASS LAKE RD W OF 59 TO STATE PARK RD S TO VACA VILLAG</t>
  </si>
  <si>
    <t>EXPLORER</t>
  </si>
  <si>
    <t>NO SPIRAL STAIRS! RESORT STYLE LIVING IN THIS BEAUTIFULLY KEPT 2 BEDROOM CONDO ON THE CHAIN O'LAKES. VERY SHORT DISTANCE TO POOL, CLUB HOUSE &amp; BOAT SLIPS. WOOD LAMINATE FLOORS. WASHER &amp; DRYER HOOKUP IN UNIT. SLIDERS TO PATIO. EACH BDRM w/SLIDER TO BALCONY. STORAGE SHED. CHAIN O'LAKES BOAT SLIP AVAILABLE, BEACH, POOL, CLUB HOUSE, TENNIS COURTS, TRAILS &amp; MORE! WILMOT SKI HILL NEARBY.... * FURNITURE NEGOTIABLE*</t>
  </si>
  <si>
    <t>4X14</t>
  </si>
  <si>
    <t>Bike Room/Bike Trails, Boat Dock, Coin Laundry, On Site Manager/Engineer, Park/Playground, Party Room, Sundeck, Pool-Outdoors, Tennis Court/s, Gated Entry, Sidewalks, Street Paved, Other</t>
  </si>
  <si>
    <t>Oven-Double, Microwave, Refrigerator</t>
  </si>
  <si>
    <t>Beach, Chain of Lakes Frontage, Landscaped Professionally, Water Rights, Water View, Wooded</t>
  </si>
  <si>
    <t>Parking, Common Insurance, Security, Clubhouse, Pool, Exterior Maintenance, Lawn Care, Scavenger, Snow Removal, Lake Rights, Other</t>
  </si>
  <si>
    <t>E (East), Lake/Water</t>
  </si>
  <si>
    <t>2.5% -$100.00 (on Gross SP)</t>
  </si>
  <si>
    <t>Easy to Show! Call or Text LA Jeff Karnes - 630-774-8926</t>
  </si>
  <si>
    <t>BROKERS... PLEASE MAKE YOUR BUYERS AWARE OF ALL THE AMENITIES OFFERED, INCLUDING ASSOC RUN GAS DOCK WITH DISC FUEL FOR RESIDENTS, $600 BOAT SLIP FEE INCLUDES TRAILER STORAGE, $200 ON SITE WINTER BOAT STORAGE &amp; "TRAM".</t>
  </si>
  <si>
    <t>Laurel Oaks</t>
  </si>
  <si>
    <t>Rt 20 to Irving Park to Laurel Oaks W to home</t>
  </si>
  <si>
    <t>40X150</t>
  </si>
  <si>
    <t>Beautifully updated end unit duplex featuring 2bedrooms/2.5baths+ a loft that can easily be a 3rd bedroom! The property feels like a single family home and includes these recent updates: new SS appliances+granite countertops in the kitchen &amp; all bathrooms,new lighting fixtures+ceiling fans,new plumbing fixtures throughout,new porcelain tile in the foyer through the kitchen+powder room &amp; new carpet in the entire home!</t>
  </si>
  <si>
    <t>Call or text Chris @ 847-962-5150...please text for fastest response</t>
  </si>
  <si>
    <t>North Shore Holdings Ltd.</t>
  </si>
  <si>
    <t>847-962-5150</t>
  </si>
  <si>
    <t>All Realty Group, Inc</t>
  </si>
  <si>
    <t>(847) 757-8888</t>
  </si>
  <si>
    <t>Fran Loumbardias</t>
  </si>
  <si>
    <t>Cell 847-212-3820</t>
  </si>
  <si>
    <t>All remodeling completed with village permits! Disclosures located under additional info tab. Please email offers to chris@northshoreholdingsltd.com or fax to 847-400-5053.</t>
  </si>
  <si>
    <t>Rte 60 to Butterfield, S to Rte 45, W to Grosse Pointe, N to Ann Arbor, W to 886</t>
  </si>
  <si>
    <t>BROUGHAM</t>
  </si>
  <si>
    <t>Newly Remodeled with Open Floor Plan. Spacious LR/DR with Cathedral Ceiling, Skylight, and Fireplace w/gas starter. Balcony off large MBR suite w/WIC, sink &amp; vanity. New carpet &amp; tile, large eat-in kitchen w/granite counters, new SS appls. Laundry room w/new full size W/D. Attached Garage. Award-winning Stevenson HS. Interior quiet location close to Park, Trails, Shopping &amp; Metra Station. Beautiful, move-in condition</t>
  </si>
  <si>
    <t>Oven/Range, Microwave, Dishwasher, High End Refrigerator, Washer, Dryer, Disposal, All Stainless Steel Kitchen Appliances</t>
  </si>
  <si>
    <t>Foyer, Storage</t>
  </si>
  <si>
    <t>3% OF 1ST $100,000, 2.5% OF BALANCE (ON GROSS SP) (on Gross SP)</t>
  </si>
  <si>
    <t>Call Chris at 847.420.1691</t>
  </si>
  <si>
    <t>Rogers Realty</t>
  </si>
  <si>
    <t>(224) 235-4640</t>
  </si>
  <si>
    <t>Rick Rogers</t>
  </si>
  <si>
    <t>(847) 366-1936</t>
  </si>
  <si>
    <t>Easy to show. Completely remodeled. Perfect, move-in condition. Light, bright, neutral colors. High quality townhomes. Stevenson HS. 2 mi. from Metra. Not FHA approved.</t>
  </si>
  <si>
    <t>PULASKI</t>
  </si>
  <si>
    <t>PULASKI RD SOUTH TO BUILDING</t>
  </si>
  <si>
    <t>Great Opportunity to own an affordable condominium on the southwest side of the city.  Located near public transit and shopping.  The property is sold "As Is" and Special Addendum apply upon acceptance.  PROPERTY LISTED IN, HOA $ 160/M.  EQUAL HOUSING OPPORTUNITY.  Case # 137-664899.</t>
  </si>
  <si>
    <t>Security, Lawn Care, Scavenger, Snow Removal</t>
  </si>
  <si>
    <t>Royal Crest Realty, Inc.</t>
  </si>
  <si>
    <t>(773) 995-6000</t>
  </si>
  <si>
    <t>Andre Bennett</t>
  </si>
  <si>
    <t>To Submit a Bid or for Additional Information, please go to www.HUDHomeStore.com.  Cas# 137-664899.</t>
  </si>
  <si>
    <t>Adler Park West</t>
  </si>
  <si>
    <t>Rte 137 to Rte 21 south to address located on the west side of Rte 21</t>
  </si>
  <si>
    <t>First time on the market for sale! This top floor unit is bright &amp; sunny w/SW exposures &amp; premium views of open space from the large glass paneled balcony. Features 2 bed, 1 bath, in-unit laundry, maple cabinets, deep sinks, open floor plan &amp; 1 car garage. Private elevator building w/bike &amp; storage locker. Walk to downtown Libertyville, train, park, pool, walking trails. Close to Independence Grove &amp; tollway</t>
  </si>
  <si>
    <t>14X23</t>
  </si>
  <si>
    <t>Bike Room/Bike Trails, Elevator, Storage, Security Door Locks</t>
  </si>
  <si>
    <t>Water, Parking, Common Insurance, Security System, TV/Cable, Exterior Maintenance, Lawn Care, Scavenger, Snow Removal</t>
  </si>
  <si>
    <t>lockbox in vestibule w/ agent card affixed &amp; unit #403</t>
  </si>
  <si>
    <t>Lois Reeves</t>
  </si>
  <si>
    <t>(847) 596-6822</t>
  </si>
  <si>
    <t>847-651-3296-cell</t>
  </si>
  <si>
    <t>Tenant occupied please give as much notice as possible. Great rental unit!</t>
  </si>
  <si>
    <t>Duck</t>
  </si>
  <si>
    <t>IRVING PARK TO STATION S TO PARK EAST 1ST PARKING AREA ( E) AND PARK IN SPACES E12 (2)</t>
  </si>
  <si>
    <t>GORGEOUS!MOVE RIGHT IN! THIS HOME HAS BEEN COMPLETELY REMODELLED &amp; UPDATED IN THE LAST 5 YRS.THIS 2 STORY IS LIKE NO OTHER FLR PLAN IN THE SUBDIVISION.WINDOWS ALL REPLACED. NEW INTERIOR DOORS.HUGE CLOSETS.NEW FURNACE &amp; A/C -ALL NEW BATHROOMS. LAMINATE FLOORING IN KITCHEN LIVING AREA, &amp; BMT.NEW CONCRETE WALK IN FRONT, PVC FENCE IN REAR, CLUBHOUSE, POOL, LOW ASSOC FEES. 2 ASSIGNED PARKING SPOTS.XTRA PARKG ON STATION DR</t>
  </si>
  <si>
    <t>USE SHOWING ASSIST - NO APPOINTMENTS AFTER 8:30 PM OR BEFORE 10 AM</t>
  </si>
  <si>
    <t>Jeavon Shegal</t>
  </si>
  <si>
    <t>(630) 235-5200</t>
  </si>
  <si>
    <t>www.jshegal.illinoisproperty.com</t>
  </si>
  <si>
    <t>HOT TUB SOLD AS-IS. ASSOCIATION IS REPAIRING FENCE DAMAGED IN STORM. NO SHOWINGS BEFORE 10 AM OR AFTER 8:30 PM. USE 6.0 CONTRACT</t>
  </si>
  <si>
    <t>Pulaski N or S to 63rd street, W to address</t>
  </si>
  <si>
    <t>25X123</t>
  </si>
  <si>
    <t>Newly remodeled first floor condo unit with 2 bedrooms, eat in kitchen and modern bathroom. New paint, cabinets and carpeting. Walk to area amenities : transportation, library, shopping. Close to area parks and schools. Assessments do include heat. Exterior parking and a nice view . All at a very affordable price.This is a Fannie Mae Homepath property</t>
  </si>
  <si>
    <t>Heat, Water, Common Insurance, Exterior Maintenance, Lawn Care, Scavenger</t>
  </si>
  <si>
    <t>Submit all offers through HomePath website.  Read additional info - Tips for selling agents. Include LBP in all offers</t>
  </si>
  <si>
    <t>Rt 45 N of Rt 132 To Falling Waters to #</t>
  </si>
  <si>
    <t>1st floor End unit with no stairs. Home features 2 bedrooms and 2 full baths, Fireplace in Living room. All new paint and new carpet. In move in condition. 1 car attached garage. Association includes pool, tennis and exercise area. This is a Fannie  Mae / Homepath property.</t>
  </si>
  <si>
    <t>Exercise Facilities, Pool, Exterior Maintenance, Lawn Care, Snow Removal</t>
  </si>
  <si>
    <t>Seller has directed all offers be made using the HomePath Online Offers system at HomePath.com. See Additional Info for docs</t>
  </si>
  <si>
    <t>Concord Pointe</t>
  </si>
  <si>
    <t>North Ave W to Bloomingdale Rd to Shorewood to Concord</t>
  </si>
  <si>
    <t>Lender Wants 166k.Sale Date 3/10/15. Rentable Condo. Scenic Outlook.Private Patio. Open Floor Plan. Maple Cabinets. Galley Kitchen. Private Patio. Loft/Den. Private Entrance.Classy Place. New 2014 Blower For Furnace.  Near Interstate Access. Moderate Assessment Fees/Stable in Last 10 Years. Short Sale. Sold As Is.Attorney In Place For This Property.All Appliances Stay.Silhouette Blinds.Electrical Upgrades Throughout.</t>
  </si>
  <si>
    <t>Text/Call LA Nan Smith 630 202 6878</t>
  </si>
  <si>
    <t>Riverwalk Realty</t>
  </si>
  <si>
    <t>(630) 420-1300</t>
  </si>
  <si>
    <t>Nan Smith</t>
  </si>
  <si>
    <t>CC: Pursuant to Short Sale. Rentable Unit. Lender Wants 166k. If Commission is altered by investor/bank then it will be split 50/50.</t>
  </si>
  <si>
    <t>Courtland</t>
  </si>
  <si>
    <t>Randall 2 McDonald, W2 Thornwood Way, N2 Courtland</t>
  </si>
  <si>
    <t>Updated 2 Story townhome is desirable St Charles schools! This Bright &amp; Airy home features a Soaring 2-Story Foyer, White Trim &amp; 6-Paneled Doors, &amp; Huge Loft! Kitchen offers Black Appliances &amp; Door to Back Patio! Master Bedroom w/ Walk-in Closet &amp; Private Bath. Great neighborhood with Pool &amp; Clubhouse!</t>
  </si>
  <si>
    <t>HAINES MIDDLE SCHOOL</t>
  </si>
  <si>
    <t>Bike Room/Bike Trails, Exercise Room, Park/Playground, Party Room, Sundeck, Pool-Outdoors, Tennis Court/s, Curbs/Gutters, Sidewalks, Street Lights, Street Paved</t>
  </si>
  <si>
    <t>Call LO 847-985-7050. 24 Hour Notice Preferred</t>
  </si>
  <si>
    <t>17C</t>
  </si>
  <si>
    <t>MAPLE JUST EAST OF I355 TO WALNUT N 2 PROPERTY.</t>
  </si>
  <si>
    <t>COUNTESS</t>
  </si>
  <si>
    <t>VERY NICE SUNNY UNIT W/PLEASANT VIEW!THIS HOMES IS IN EXCELLANT CONDITION.lARGE BALCONY FROM LIVING RM AND MASTER BEDRM.LG UNIT/900 SQ FT PLUS STORAGE RM.ADULT COMMUNITY/55 &amp;OLDER .LAUNDRY RM ON SAME FLOOR.LIBRARY ,BILLARD   ROOM &amp; EXCERCISE RM  .KEYBOX ON UNIT.SENIOR COMMUNITY AGE 55 PLUS.ASSOCIATION TO INTERVIEW AND APPROVE NEW OWNERS.No dishwasher.</t>
  </si>
  <si>
    <t>3%-150 (on Gross SP)</t>
  </si>
  <si>
    <t>CALL SHOWING TIMES  1-800-746-9464 OR AGENT 847-370-9330 ON LOCK BOX</t>
  </si>
  <si>
    <t>Lake Homes Unlimited</t>
  </si>
  <si>
    <t>(847) 587-4200</t>
  </si>
  <si>
    <t>Sharon Kennedy</t>
  </si>
  <si>
    <t>(847) 370-9330</t>
  </si>
  <si>
    <t>LOCK BOX ON ENTRANCE AND ON UNIT</t>
  </si>
  <si>
    <t>Crimson</t>
  </si>
  <si>
    <t>Autumn Creek</t>
  </si>
  <si>
    <t>RT 34 west of Orchard ~ North on Autumn Creek ~ Left on Crimson</t>
  </si>
  <si>
    <t>***EQUAL HOUSING OPPORTUNITY*** Two Story Foyer, 2 Bedroom 2.5 Bath Townhome! Spacious Loft with 3rd Bedroom Potential! PROPERTY LISTED Insured Escrow, REPAIR AMOUNT $ 83.  HOA $ 166/M</t>
  </si>
  <si>
    <t>Owner Occ only 1st 15 days, OFFER submission: HudHomestore.com, Case# 137-428486 Broker must have active NAID # to place BID electronically. Sold as-is. Property listed IE.</t>
  </si>
  <si>
    <t>Forest Glen</t>
  </si>
  <si>
    <t>Waterfall Glen</t>
  </si>
  <si>
    <t>Lemont Rd S of 55 to Westgate Rd (immediate L) to Frontage Rd N to Weterfall Glen to Forest Glen.</t>
  </si>
  <si>
    <t>You MUST see this spotless gem! Granite, SS appl., hardwood fls and a dynamic Rec rm. This quiet, private home is nestled near the forest preserve and path. Many perennials are in your garden &amp; the common areas are professionally landscaped/maintained. The 2br layout can easily be converted to 3br. The MBR is large enough to accommodate a sitting area and has a huge walk-in closet. Carpet in 2/15. Near it all. WOW!!!</t>
  </si>
  <si>
    <t>Oven/Range, Microwave, Dishwasher, Refrigerator, Refrigerator-Bar, Disposal, All Stainless Steel Kitchen Appliances</t>
  </si>
  <si>
    <t>Common Grounds, Cul-de-sac, Forest Preserve Adjacent, Landscaped Professionally</t>
  </si>
  <si>
    <t>Call LA Ken 630-408-4376</t>
  </si>
  <si>
    <t>Kenneth A Thomas</t>
  </si>
  <si>
    <t>(630) 408-4376</t>
  </si>
  <si>
    <t>Carpet installed in 2/15.  REMOVE SHOES!! Turn off all lgts. With the finished basement, usable living space is over 2500 sq.ft. Note high-end washer/dryer, the open feel and EZ access to trans., shopping and entertainment...A must see!</t>
  </si>
  <si>
    <t>George</t>
  </si>
  <si>
    <t>ON S YORK RD NORTH OF GRAND AVE TO GEORGE ST. HEAD EAST ON GEORGE TO PROPERTY.</t>
  </si>
  <si>
    <t>Amazing 2 bedroom, 1 bathroom condo unit with 2 assigned parking spaces. This main level condo unit features spacious living room and l-shaped dining room with wood laminate floors, new interior paint throughout and sliding doors to your patio. Kitchen has an eat-in area, tile flooring and pass-through to dining room. Both bedrooms have carpeted floors and ample closet spaces. Come and see this great deal today!</t>
  </si>
  <si>
    <t>TIOGA ELEMENTARY SCHOOL</t>
  </si>
  <si>
    <t>Download, use &amp; read contract/addendum package under additional info tab. The seller has directed that all offers must be made online via Homepath.com. Please go to Homepath.com to make an offer. Questions? Email please.</t>
  </si>
  <si>
    <t>Olive Trees</t>
  </si>
  <si>
    <t>Washington to Bailey E to Olive trees S to 264</t>
  </si>
  <si>
    <t>A place to call home! One of the larger models in the Olive Trees, this desirable 1st floor unit features 2 bedrooms and 1 and a half bathrooms. Recently remodeled with new paint, carpet. This is a Fannie Mae HomePath Property.</t>
  </si>
  <si>
    <t>Coin Laundry, Exercise Room, Health Club, Park/Playground, Pool-Outdoors, Tennis Court/s</t>
  </si>
  <si>
    <t>Heat, Water, Gas, Common Insurance, Lawn Care, Scavenger, Snow Removal</t>
  </si>
  <si>
    <t>Click "Below" to Schedule a Showing!</t>
  </si>
  <si>
    <t>Submit all offers on www.homepath.com  No personal property on this sale.</t>
  </si>
  <si>
    <t>11S478</t>
  </si>
  <si>
    <t>83 TO BLUFF RD. WEST TO EMERALD RIDGE ENTRANCE RACHAEL CT. GO TO FIRST RIGHT DRIVEWAY</t>
  </si>
  <si>
    <t>END UNIT! NOT A SHORT SALE BUT PRICED BELOW MARKET VALUE! SPACIOUS AND BRIGHT...LARGE KITCHEN W/ SEPARATE EATING AREA, HARDWOOD FLOOR, PANTRY AND WALK-OUT BALCONY. LIVING ROOM WITH FIREPLACE AND FORMAL DINING AREA. MBR SUITE HAS WALK-IN CLOSET AND FULL BATH. ENTIRE HOME HAS JUST BEEN PAINTED WITH NEUTRAL COLORS. FINISHED ENGLISH LOWER LEVEL WITH LAUNDRY &amp; ATT 2C GARAGE. SCENIC HILLSIDE VIEWS CLOSE TO EXPWY &amp; SHOPPING</t>
  </si>
  <si>
    <t>Whirlpool, Double Sink, Soaking Tub</t>
  </si>
  <si>
    <t>Monday through Sunday</t>
  </si>
  <si>
    <t>JoAnn Pesa</t>
  </si>
  <si>
    <t>(630) 913-1235</t>
  </si>
  <si>
    <t>27W718</t>
  </si>
  <si>
    <t>Winfield Rd to Highlake Rd W. to Windermere N.to the end</t>
  </si>
  <si>
    <t>Best location in the development with pond view &amp; backing to the forest preserve &amp; trail! 1st floor unit. Attached garage. Neutral paint, granite counters.  Living room w/gas log FP, Dining room w/SGDâ€™s to patio overlooking the preserve.  Updated kitchen w/all appliances. Separate laundry room w/W&amp;D. Updated hall bath. Master bedroom w/updated bath and WIC.  Views of pond or preserve from every room! This is a GEM !</t>
  </si>
  <si>
    <t>Forest Preserve Adjacent, Nature Preserve Adjacent, Water View</t>
  </si>
  <si>
    <t>Common Insurance, Exterior Maintenance, Lawn Care, Scavenger, Snow Removal, Lake Rights</t>
  </si>
  <si>
    <t>Awesome location</t>
  </si>
  <si>
    <t>Rt#59 (S. of Ogden Rt#34) to White Eagle Dr.  to Aberdeen Court</t>
  </si>
  <si>
    <t>GLENEAGLES</t>
  </si>
  <si>
    <t>Meticulously maintained towhnhome located on prime White Eagle Golf Course lot with million$views*Gleaming hardwood floors*updated kitchen with silestone counters, upgraded raised panel cabinets.2stry LR w/flr to ceiling windows w/views*DR*breakfast/FR off kitchen. All bedrooms w/private baths &amp;WIC. Prof.finished "look out"basement*Private covered entrance*2car garage*Security Sys*</t>
  </si>
  <si>
    <t>Oven/Range, Microwave, Dishwasher, Washer, Dryer, Disposal</t>
  </si>
  <si>
    <t>Water, Security, Security System, Clubhouse, Pool, Exterior Maintenance, Lawn Care, Snow Removal</t>
  </si>
  <si>
    <t>2 1/2% -$250 (on Net SP)</t>
  </si>
  <si>
    <t>Text or Call Collette 630-878-9402 Name, Agent ID#, date and time of showing</t>
  </si>
  <si>
    <t>Collette Weikum, CNC,CSC</t>
  </si>
  <si>
    <t>(630) 878-9402</t>
  </si>
  <si>
    <t>Please leave business card, turn lights off and lock doors</t>
  </si>
  <si>
    <t>RTE 45 N OF 132, W ON FALLING WATERS BLVD, R ON FALLING WATERS LANE.</t>
  </si>
  <si>
    <t>BEAUTIFUL 2-STORY END UNIT W/ LOTS OF UPGRADES! GORGEOUS HDWD IN ENTRY, DR, AND LR. BIG &amp; BRIGHT LR FEATURES STONE FP W/ GAS STARTER AND GLASS SLIDER TO PATIO. KITCHEN FEATURES 42" MAPLE CABINETS, BRKFST BAR AND TILE FLOOR. UPSTAIRS HAS 2 LARGE BEDROOMS, LAUNDRY, AND 6X6 LOFT FOR WORKSPACE. ATTACHED GARAGE. AMENITIES GALORE - POOL, TENNIS, EXERCISE &amp; PARTY ROOMS. STUNNING NEUTRAL DECOR MAKES THIS ONE MOVE-IN READY!</t>
  </si>
  <si>
    <t>Exercise Room, Party Room, Pool-Outdoors, Tennis Court/s, Curbs/Gutters, Sidewalks, Street Lights, Street Paved</t>
  </si>
  <si>
    <t>Call LIsting Office 847-634-6200</t>
  </si>
  <si>
    <t>FHA approved.</t>
  </si>
  <si>
    <t>201C</t>
  </si>
  <si>
    <t>WOLF SOUT OF JOLIET RD.</t>
  </si>
  <si>
    <t>CORNER UNIT 2 BEDRM, 2 BATH, NEW CARPET, NEW APPLIANCES. FRESHLY PAINTED.SPACIOUS LIVING ROOM W/ SEPARETE FORMAL DINING. ENOUGH CLOSETS IN EACH ROOM WITH LOTS OF SPACE. READY TO MOVE IN.HAS A POOL, A CLUBHOUSE FOR PRIVATE PARTIES CLOSE TO HIGHWAYS, PARK AND SHOPPING.</t>
  </si>
  <si>
    <t>%2.5-$200 (on Gross SP)</t>
  </si>
  <si>
    <t>SEE SECURE SHOWING</t>
  </si>
  <si>
    <t>Djuja Pucar</t>
  </si>
  <si>
    <t>(708) 334-7733</t>
  </si>
  <si>
    <t>Lake St. W. of Elgin-O'Hare 2 Bear Flag N 2 Fremont, Right to home</t>
  </si>
  <si>
    <t>ENJOY THIS TWO BEDROOM ONE AND HALF BATHROOM HANOVER PARK GEM! FEATURING A TWO STORY FLOOR PLAN WITH SHOPPING AND TRAIN STATION CLOSE BY! WAITING FOR YOUR PERSONAL UPDATES AND FINISHING TOUCHES! ALL INFO IS APPROX AND ESTIMATED. SOLD AS IS. TAXES ARE PRORATED AT 100%. BUYER RESPONSIBLE FOR SURVEY, TRANSFER STAMPS, INSPECTIONS, UTILITIES AND ESCROWS. ADDENDUMS TO FOLLOW ACCEPTANCE OF OFFER</t>
  </si>
  <si>
    <t>FAX: 630 810 9782</t>
  </si>
  <si>
    <t>SELLER HAS VERBALLY ACCEPTED AN OFFER 3-13-2015.  EMAIL ALL OFFERS TO OFFERS@SMITHREO.COM / MUST INCLUDE UPDATED PROOF OF FUNDS</t>
  </si>
  <si>
    <t>631 W 80th</t>
  </si>
  <si>
    <t>3.5 % (on Gross SP)</t>
  </si>
  <si>
    <t>Use Showing Assist or call 877-871-9754</t>
  </si>
  <si>
    <t>Vernon Lilly</t>
  </si>
  <si>
    <t>Provide proof of funds with cash offers and Pre-approval for all financed deals. Email offers @ rpchicago453@gmail.com or fax 773-785-8481.</t>
  </si>
  <si>
    <t>Park Blvd. between Roosevelt &amp; Butterfield Roads to Raintree West to Raintree Court  N. to bldg. 440</t>
  </si>
  <si>
    <t>C UNIT</t>
  </si>
  <si>
    <t>Welcome to the Bromley House! Enjoy the good life in this 3rd floor unit! Many updates: wide planked wood laminate floors, new balcony with great, south &amp; treed view, full sized washer &amp; dryer, fresh paint with white trim. Organizers &amp; bevel edged mirrors- on all closet doors. Smart, white appliances stay! You'll fall in love with this floor plan! Garage on ground floor &amp; elevator/stairs convenient. A 10+++.</t>
  </si>
  <si>
    <t>Coin Laundry, Elevator, Storage, On Site Manager/Engineer, Party Room, Sundeck, Pool-Outdoors, Curbs/Gutters, Sidewalks, Street Lights, Street Paved</t>
  </si>
  <si>
    <t>Corridor</t>
  </si>
  <si>
    <t>Sharon K. Bernath</t>
  </si>
  <si>
    <t>Ground floor garage in this building...NO STEPS TO CLIMB.  Parking spot #13- private walls on either side. Locker #45. New balcony, flooring &amp; siding. Laminate flooring 2 years, full size washer &amp; dryer -1 year. Furnace, air &amp; appliances- 1</t>
  </si>
  <si>
    <t>Neudearborn</t>
  </si>
  <si>
    <t>NEUDEARBORN STATION</t>
  </si>
  <si>
    <t>N.Aurora Rd or Rt.59 to Amersale Dr. to Neudearborn(W)*</t>
  </si>
  <si>
    <t>Incredible Value for this Upgraded Townhome! Eat-In Kitchen Offers An Abundance of 42" Cabinetry, Stainless Appliances, &amp; Sliding Glass Door to Patio! Bright &amp; Airy Family Room! Large Master Bedroom features Tray Ceiling, Walk-In Closet, &amp; Private Bath! White Trim &amp; 6-Panel Doors T/O, Upgraded Lighting, &amp; Attached 2-Car Garage!  Perfect Location~walking distance to train! Close to Tollway, Restaurants, &amp; Shopping!</t>
  </si>
  <si>
    <t>Assoc. Dues are being reduced~They were incorrectly charged for their % Ownership</t>
  </si>
  <si>
    <t>FARNSWORTH AVE, WEST ON MOLITOR RD, SOUTH ON MARYWOOD AVE TO PROPERTY ADDRESS</t>
  </si>
  <si>
    <t>2 BDR/1 BATH TOWNHOME IN AURORA/SOLD AS IS/PLEASE FAX ALL OFFERS TO OFFICE AND INCLUDE PRE APPROVAL OR PROOF OF FUNDS WITH ALL OFFERS</t>
  </si>
  <si>
    <t>HIGHEST, BEST AND FINAL DUE 3/9/15 AT 10:00 A.M. NO EXCEPTIONS!!</t>
  </si>
  <si>
    <t>THEODORE</t>
  </si>
  <si>
    <t>HAMILTON VILLAGE</t>
  </si>
  <si>
    <t>Thorndale to Arlington Hts. Rd. (S) to Theodore (W) to Home</t>
  </si>
  <si>
    <t>39.65 X 130</t>
  </si>
  <si>
    <t>GORGEOUS TOWNHOME IN FABULOUS LOCATION! BEAUTIFULLY REMODELED  &amp; REDESIGNED KITCHEN WITH GRANITE COUNTERS &amp; STAINLESS STEEL APPLIANCES! NEW MARBLE TILE THROUGH ENTRY, KITCHEN AND BATH. SPACIOUS FLOOR PLAN WITH LOFT AND SOARING CATHEDRAL CEILINGS!  MASTER BEDROOM WITH LUXURIOUS MASTER BATH OFFERING SPA TUB, SEPARATE SHOWER AND TWO VANITIES! TWO CAR ATTACHED GARAGE. IMMACULATE, WELL MAINTAINED HOME- TAKE A LOOK!</t>
  </si>
  <si>
    <t>SENTRILOCK</t>
  </si>
  <si>
    <t>Carrie Ramljak</t>
  </si>
  <si>
    <t>(847) 806-8327</t>
  </si>
  <si>
    <t>SHOW WITH CONFIDENCE!</t>
  </si>
  <si>
    <t>Boulder</t>
  </si>
  <si>
    <t>Blackstone</t>
  </si>
  <si>
    <t>75th street west of Rt. 59, South on Commons to Boulder</t>
  </si>
  <si>
    <t>BLUE SAPPHIRE</t>
  </si>
  <si>
    <t>This Blackstone townhouse is located in Naperville 204 school district and offers almost 1600 sq. ft. Situated in a quaint sub-division with maintenance free living! This is a 2-bedroom unit + large loft, 2-car garage. Master has large walk-in closet. 2nd floor laundry. Quiet location yet convenient to shopping, entertainment &amp; metra. All appliances stay!!  All new within last 3 years, except fridge. Water heater '14</t>
  </si>
  <si>
    <t>GOMBERT ELEMENTARY SCHOOL</t>
  </si>
  <si>
    <t>2.5% -$200 ON NET SP (on Net SP)</t>
  </si>
  <si>
    <t>Please see instructions in showing assist.</t>
  </si>
  <si>
    <t>Jana Anstrand</t>
  </si>
  <si>
    <t>Cell 773-416-0327</t>
  </si>
  <si>
    <t>Show &amp; Sell!!!  Please leave card, appreciate feedback.  Freezer in garage and shelving unit in pantry, not included.</t>
  </si>
  <si>
    <t>Woodbridge</t>
  </si>
  <si>
    <t>I88 to Highland (North) to Janata (East) to Woodbridge (South).</t>
  </si>
  <si>
    <t>Enjoy beautiful summer sunsets from your private balcony overlooking the pond in Highland Lakes of Lombard! Updated 2 BR, 1.1 bath condo.  Kitchen w/ newer appliances, cabs, counters, &amp; breakfast bar. Brand new doors â€“front, back &amp; patio opening to balcony. In-unit laundry. Assessments including water, snow removal, landscaping &amp; trash. Assigned parking space right in front. Pet friendly building. No rentals allowed.</t>
  </si>
  <si>
    <t>Call owner directly for an appointment @ 630-776-9180 and ask for Frank.</t>
  </si>
  <si>
    <t>Frank D. Ferrara</t>
  </si>
  <si>
    <t>630-776-9180</t>
  </si>
  <si>
    <t>Fax: 847-986-3520</t>
  </si>
  <si>
    <t>Call owner directly for an appointment @ 630-776-9180 and ask for Frank.  Fax or email offers to listing agent.  Listing company does not hold earnest money.  Rentals are only allowed to family members. Owners says complex is FHA approved.</t>
  </si>
  <si>
    <t>Walnut Hill</t>
  </si>
  <si>
    <t>5th Ave to Division to Walnut Hill Ave to 1449</t>
  </si>
  <si>
    <t>Absolutely Stunning, completely rehabbed town house in sought after Tanglewood!! Breathtaking master bedroom w/vaulted ceiling, whirlpool, granite, heated flrs(in both bathrms upstairs). Hardwood floors throughout. All new fixtures-ceiling fans, 2 skylights in two story family rm - mounted flat screen is included! Custom fireplace w/oversized mantel.  Dream kitchen w/ stainless appliances, granite, backsplash. NICE!!</t>
  </si>
  <si>
    <t>Call Chris @ (630)715-0038~ Please remove shoes or wear booties</t>
  </si>
  <si>
    <t>Kanute Real Estate</t>
  </si>
  <si>
    <t>(630) 377-6100</t>
  </si>
  <si>
    <t>Tonya Kanute</t>
  </si>
  <si>
    <t>(630) 207-5592</t>
  </si>
  <si>
    <t>This town home is stunning!!</t>
  </si>
  <si>
    <t>New York Ave west of 59 to Commons.  Commons S to Raintree.  Raintree W to Gregory. S to 4th drive</t>
  </si>
  <si>
    <t>Beautifully remodeled 1st floor unit overlooking courtyard and pool.  Newer kitchen cabinets, countertops, fixtures.  Laundry in unit.  Neutral laminate flooring.  Convenient to shopping, restaurants, train station, freeways and more!   Association fees include heat, gas, water, lawn care, snow removal, scavenger plus!</t>
  </si>
  <si>
    <t>Text agent with Name, Cell # &amp; Agent ID. No 1 day codes.</t>
  </si>
  <si>
    <t>Cori Seider, GRI</t>
  </si>
  <si>
    <t>(630) 284-9033</t>
  </si>
  <si>
    <t>Owner will be painting bedrooms in April or will provide painting allowance with the right offer.</t>
  </si>
  <si>
    <t>Lencioni</t>
  </si>
  <si>
    <t>Kirk Rd to Geneva Dr West to Chesapeake Way South to Lencioni Ct</t>
  </si>
  <si>
    <t>22X41</t>
  </si>
  <si>
    <t>Fabulous Ranch Style Townhome! Bright, open floor plan is a NATURAL LIGHT lover's dream!  Long list of improvements include NEWER FURNACE, NEWER CARPET, some APPLIANCES, FRESH PAINT and WOOD LAMINATE FLOORING THROUGHOUT! Basement finished in 2009 includes LARGE REC ROOM, full bathroom and an amazing 3rd Bedroom or Office/STUDIO. What more could you ask for? All you have to do is move in and RELAX!!</t>
  </si>
  <si>
    <t>HARRISON STREET ELEMENTARY SCHOOL</t>
  </si>
  <si>
    <t>Clubhouse, Pool, Lawn Care, Snow Removal</t>
  </si>
  <si>
    <t>Breakfast Room, Recreation Room</t>
  </si>
  <si>
    <t>Water-Softener Owned, TV-Dish, CO Detectors</t>
  </si>
  <si>
    <t>Call Showing Desk at 855-917-1422 or Click Schedule a showing</t>
  </si>
  <si>
    <t>Matthew Lysien</t>
  </si>
  <si>
    <t>(847) 309-6939</t>
  </si>
  <si>
    <t>Wonderful home to show.  Owner occupied 2 hour notice preferred</t>
  </si>
  <si>
    <t>GUNNISON</t>
  </si>
  <si>
    <t>BIG TIMBER WEST OF RANDALL TO TIMBER TRAILS NORTH TO GUNNSON</t>
  </si>
  <si>
    <t>PICTURES PERFECT, NEUTRAL DECOR, SITUATED ON A QUIET CULDESAC, 9 FT 1ST FLOOR CEILINGS,2 STORY LIVING RM, FULLY APPLIANCED KITCHEN,MASTER BEDROOM SUITE W/SEPARETE BATH,2 BEDROOMS PLUS A SPACIOUS LOFT &amp; DONT FORGET THE FULL BASEMENT, IDEAL FOR STORAGE, KIDS HANGOUT OR A FUTURE MAN CAVE!!BACK YARD OVER LOOKS AN QUIET OPEN AREA, READY TO MOVEIN AND ENJOY!!</t>
  </si>
  <si>
    <t>CALL 866-571-7181 FOR APPT E-Z</t>
  </si>
  <si>
    <t>WONDERFUL TRADITIONAL SALE , NO WAITING, RELO ADDENDUMS TO FOLLOW, EASY BREEZY DEAL!!</t>
  </si>
  <si>
    <t>RT 120 W TO WILSON N TO PRAIRIE VIEW RD E TO GOLDENROD L</t>
  </si>
  <si>
    <t>DNDELION</t>
  </si>
  <si>
    <t>Spacious End Unit Townhome with Two Bedrooms plus Loft or convert to third bedroom. Two and half bathrooms, which includes Master bathroom. Three levels of Living with Lower Level Family room. and attached Two Car Garage. Sold As is, No Survey, 100% Tax Pro Rations, and Buyer pays all inspections. NO MORE RENTALS ALLOWED.</t>
  </si>
  <si>
    <t>Call 1-800-746-9464, easy to show, on Lock Box.</t>
  </si>
  <si>
    <t>Call Co Lister Dennis 847-602-6800</t>
  </si>
  <si>
    <t>Go to WWW.HUDHOMESTORE.COM to place bid. Buyers broker must have NAID# to place bid. Check Eligible Bidder Status &amp; Property Condition report. Info SHOULD BE VERIFIED. Case#137-384848. No one may alter or occupy property until after Closing</t>
  </si>
  <si>
    <t>Merrill</t>
  </si>
  <si>
    <t>E on 68th to Merrill, L to property</t>
  </si>
  <si>
    <t>53X143X49</t>
  </si>
  <si>
    <t>REO - BANK OWNED PROPERTY SOLD â€œAS ISâ€ WITHOUT REPAIR, WARRANTY OR SELLER DISCLOSURE. â€œSELLER WILL NOT ACTIVATE ANY UTILTIES.â€ Listing Broker &amp; Seller assume no responsibility &amp; make no guarantees/warranties or representations as to the availability or accuracy of the property information, photographs or other information depicted/described herein.</t>
  </si>
  <si>
    <t>Kenilworth and Pennsylvania intersection</t>
  </si>
  <si>
    <t>SWARTHMORE</t>
  </si>
  <si>
    <t>New construction in Glen Ellyn! Location location location! Walking distance to downtown and Metra. This home includes a fireplace, tray ceilings in master suite. Hardwood floors throughout main floor, kitchen w/ granite, stainless appliances, 42â€ maple cabinets, oak railings w/ iron spindles and upstairs laundry! Oversized balcony. 2 car garage. Unit complete this October. Photos are of model, not actual home.</t>
  </si>
  <si>
    <t>3%-$195 (on Gross SP)</t>
  </si>
  <si>
    <t>Call Pat for more info! 312.217.4398</t>
  </si>
  <si>
    <t>Move-up America, LLC</t>
  </si>
  <si>
    <t>(512) 217-3680</t>
  </si>
  <si>
    <t>John Horton</t>
  </si>
  <si>
    <t>From North Avenue,go S on Bloomingdale Rd, then E on Shorewood Dr., then S at the 281 bldg prkng lot</t>
  </si>
  <si>
    <t>MINT MOVE IN IMMACULATE CONDITION NEUTRAL DECOR. MASTER BED HAS FULL BATH + CLOSET  PRIVATE BALCONY New Kitchen Oak cabinets New SS Appliances New Bathrooms Brand New 3 window Air Conditioners Assessments includes Gas water, heat, pool &amp; clubhouse Its Great location--close to shopping, restaurants, I-355 &amp; Metra station Glen Ellyn Schools.</t>
  </si>
  <si>
    <t>Coin Laundry, Storage, On Site Manager/Engineer, Park/Playground, Pool-Outdoors, Security Door Locks, Curbs/Gutters, Sidewalks, Street Lights, Street Paved</t>
  </si>
  <si>
    <t>Water, Gas, Parking, Common Insurance, Clubhouse, Pool, Exterior Maintenance, Lawn Care, Scavenger, Snow Removal</t>
  </si>
  <si>
    <t>Vacant Sentrilock located at Club house</t>
  </si>
  <si>
    <t>AAA Real Estate, Inc.</t>
  </si>
  <si>
    <t>(708) 612-8950</t>
  </si>
  <si>
    <t>Shaik Ahmed</t>
  </si>
  <si>
    <t>Riverwoods is located on the south side of North Ave between Thatcher &amp; 1st Ave</t>
  </si>
  <si>
    <t>Beautiful south facing unit with forest preserve views.  Kitchen features granite countertops, stainless steel appls, double sink &amp; table area over looking living/dining room with gas fireplace. Large bedrms, amazing closet &amp; storage space. In unit washer/dryer. Full amenity building w/exc rm, hot tub, library, party rm, sun deck, walking paths and formal building entry. Parking included and close to building door.</t>
  </si>
  <si>
    <t>Elevator, Exercise Room, Storage, Party Room, Sundeck, Pool-Indoors, Security Door Locks, Curbs/Gutters, Gated Entry, Sidewalks, Street Lights, Street Paved</t>
  </si>
  <si>
    <t>Water, Parking, Common Insurance, Security, Exercise Facilities, Exterior Maintenance, Lawn Care, Scavenger, Snow Removal</t>
  </si>
  <si>
    <t>Laurie Shapiro, ABR,GRI,SFR</t>
  </si>
  <si>
    <t>(708) 203-3614</t>
  </si>
  <si>
    <t>ROUTE 59 TO 87TH E TO SHEEHAN S TO RUTLAND.</t>
  </si>
  <si>
    <t>FANTASTIC WINDRIDGE SUBDIVISION FIRST FLOOR RANCH UNIT!  2 BEDROOM! 2 FULL BATHROOMS!  SPECTACULAR VIEW OF THE POND! EAT-IN KITCHEN!  HAS A PASS THROUGH TO DINING ROOM W/ VAULTED CEILING AND SLIDING GLASS DOOR TO PRIVATE PATIO! MASTER SUITE HAS FULL BATH WITH WHIRLPOOL TUB &amp; WALK-IN CLOSET. GREAT LOCATION AND MOVE-IN READY! 1 CAR GARAGE! DISTRICT # 204 SCHOOLS W/NEUQUA VALLEY HIGH SCHOOL! A MUST SEE!</t>
  </si>
  <si>
    <t>Water, Common Insurance, Exterior Maintenance, Snow Removal</t>
  </si>
  <si>
    <t>CALL CSS 1-877-977-1010, EASY SHOW</t>
  </si>
  <si>
    <t>QUICK CLOSE POSSIBLE.</t>
  </si>
  <si>
    <t>Bartlett rd n of Irving S of Schaumburg Rd to W Streamwood BLVD go W to home on right</t>
  </si>
  <si>
    <t>Beautiful two bed two bath unit with walkout balcony!! This unit is move in ready!! Carpet and vinyl have been replaced. Updated baths! New appliances and fixtures. This one will not last long, so bring all interested buyers!! Being sold AS-IS.</t>
  </si>
  <si>
    <t>Please call 855-746-9100 instructions.</t>
  </si>
  <si>
    <t>Joseph Taylor, ABR</t>
  </si>
  <si>
    <t>(847) 923-6952</t>
  </si>
  <si>
    <t>See attachment for PAS requirements and WFHM offer submittal information in MLS document section. .</t>
  </si>
  <si>
    <t>LAWRENCE</t>
  </si>
  <si>
    <t>Lawrence to 25th then south to Lawrence Court to address</t>
  </si>
  <si>
    <t>This is the one you have been waiting for!! Beautiful, Fully Redone penthouse condominium unit with private balcony, central AC, &amp; in unit laundry.  Recently renovated, maple kitchen cabinets &amp; gorgeous granite floors. Fresh paint,  bamboo floors and new trim throughout. Spacious bedrooms with ample closet space and sun-light!  Quiet building.  Low assessments.  Close to schools, shopping and transportation.</t>
  </si>
  <si>
    <t>Whirlpool, Soaking Tub</t>
  </si>
  <si>
    <t>Conventional, Owner May Help/Assist</t>
  </si>
  <si>
    <t>2.5% - 300 (on Net SP)</t>
  </si>
  <si>
    <t>2 Hour Notice Required click "SCHEDULE A SHOWING" Link below</t>
  </si>
  <si>
    <t>630-310-8315</t>
  </si>
  <si>
    <t>Highest/best by 8:00pm 2/21. Everything is already done including brand new central AC - O'hare will be replacing the windows sometime in 2015 according to client. Send offers to candigoddard@hotmail.com, Property Disc under addit. info ta</t>
  </si>
  <si>
    <t>PARK HILL</t>
  </si>
  <si>
    <t>WOODLANDS AT OAKHURST NORTH</t>
  </si>
  <si>
    <t>Eola to Liberty, W to Asbury, N to Parkhill to 1076</t>
  </si>
  <si>
    <t>This is it! Open floorplan w/2 sty entry, Gorgeous wood lam floors, great rm w/fireplace &amp; TV niche. Large kitchen w/42" cabs,all appliances stay, fresh neutral dÃ©cor. Brand new carpet upstairs! Large Loft upstairs (could be 3rd br), 2nd fl laundry, Master w/volume ceiling,wic,private bath. Patio. Excellent location nestled in Oakhurst North*Plus Have access to the pool/clubhouse! Easy living, come see today</t>
  </si>
  <si>
    <t>Park/Playground, Sundeck, Pool-Outdoors, Tennis Court/s, Curbs/Gutters, Sidewalks, Street Lights, Street Paved</t>
  </si>
  <si>
    <t>Gas Starter, Heatilator Type System</t>
  </si>
  <si>
    <t>3% - $200 (on Net SP)</t>
  </si>
  <si>
    <t>Please Use Sentri</t>
  </si>
  <si>
    <t>Brett McIntyre, CNC,GRI</t>
  </si>
  <si>
    <t>(630) 253-3629</t>
  </si>
  <si>
    <t>Great Unit, tons of space!</t>
  </si>
  <si>
    <t>Park Blvd between Highway 38 and Highway 22 to Raintree to Court</t>
  </si>
  <si>
    <t>Must see! Brand new, move-in ready, spacious 2-bdrm/2-bthrm condo in Raintree. Recently renovated, steps from pool, tennis courts, COD &amp; Village Links. New floors throughout kitchen, dining &amp; living areas. New Carara marble back splash, custom counters, under-mount sink, new dishwasher. 1st floor unit w/private walk-out patio, custom extension for grill. Recently updated bathrooms &amp; full walk-in closet. Agent owned.</t>
  </si>
  <si>
    <t>Coin Laundry, Storage, On Site Manager/Engineer, Sundeck, Pool-Outdoors, Security Door Locks</t>
  </si>
  <si>
    <t>3% -$200 (on Gross SP)</t>
  </si>
  <si>
    <t>Contact listing office for showing instructions.</t>
  </si>
  <si>
    <t>Inland R.E.Brokerage &amp; Auction</t>
  </si>
  <si>
    <t>(630) 990-8400</t>
  </si>
  <si>
    <t>Eric Spiess</t>
  </si>
  <si>
    <t>(630) 990-8658</t>
  </si>
  <si>
    <t>630-440-8699</t>
  </si>
  <si>
    <t>Please contact the listing office for showing instructions.</t>
  </si>
  <si>
    <t>HARLEM</t>
  </si>
  <si>
    <t>ON HARLEM BETWEEN ARMITAGE AND DICKENS</t>
  </si>
  <si>
    <t>Beautiful 3rd Floor Unit , features updated kitchen with granite counters , SS appliances  living room, dining room, 1-1/2 baths and 2 bedrooms.  Laundry and storage in building. 1 assigned parking space.</t>
  </si>
  <si>
    <t>text/call Eva at773-392-5741  24 hour notice</t>
  </si>
  <si>
    <t>EHomes Realty, Ltd</t>
  </si>
  <si>
    <t>(773) 392-5741</t>
  </si>
  <si>
    <t>Eva Cuper</t>
  </si>
  <si>
    <t>RT34, N ON DOUGLAS, E ON WEISBROOK, N ON CANTERBURY</t>
  </si>
  <si>
    <t>PRICED TO SELL!! THIS SPACIOUS TOWNHOME FEATURES A LARGE LIVING ROOM W/ A FIREPLACE &amp; A SLIDING GLASS DOOR TO YOUR OWN PATIO. 2 BEDROOMS &amp;  2 1/2 BATHS AND A ONE CAR GARAGE. THIS UNIT NEEDS SOME WORK BUT PRICED ACCORDINGLY. GREAT LOCATION - QUIET &amp; CLOSE TO SHOPPING. GREAT DIST.308 SCHOOLS.  A GREAT ALTERNATIVE TO RENT. SOLD AS-IS W/NO SURVEY OR DISCLOSURES.TAXES @100%.FINANCED BUYERS NEED SPECIFIC LENDER PREQUAL.</t>
  </si>
  <si>
    <t>2.5% OR $1000. WHICHEVER IS GREATER (on Gross SP)</t>
  </si>
  <si>
    <t>CALL 1-877-977-1010</t>
  </si>
  <si>
    <t>Pat Tucker</t>
  </si>
  <si>
    <t>(630) 240-4999</t>
  </si>
  <si>
    <t>CASH BUYERS NEED POF. FINANCED BUYERS MUST PRE-QUAL W/CALIBER HOME LOANS . CALL LA FOR DETAILS.</t>
  </si>
  <si>
    <t>3S018</t>
  </si>
  <si>
    <t>16-B</t>
  </si>
  <si>
    <t>Timber Creek</t>
  </si>
  <si>
    <t>Rt 56 to Batavia-N to Timber Dr-S to home</t>
  </si>
  <si>
    <t>Great end-unit across from park. Open floor plan with 2-story living room,  vaulted ceilings, &amp; skylights! 2 bedrooms plus loft.  Master bath has 2 sinks, separate tub, &amp; shower. Newly upgraded powder room with granite counter-top.  Other upgrades include crown molding, can lights, fireplace, private patio &amp; 2nd floor balcony. 2 car garage. Neutral decor.  Close to 88.</t>
  </si>
  <si>
    <t>10X23</t>
  </si>
  <si>
    <t>S (South), E (East), Park</t>
  </si>
  <si>
    <t>24 hrs. notice please- young child. Please use Showing Assist or text 630-470-4804 to set up.</t>
  </si>
  <si>
    <t>Kathryn Alexander</t>
  </si>
  <si>
    <t>Hillary Lafferty</t>
  </si>
  <si>
    <t>Clean and ready to show.  Listing office does not hold earnest money. Please use Showing Assist or  text 630-470-4804 to set up a showing. Email all offers to hillarylafferty3682@gmail.com or call 630-470-4804.</t>
  </si>
  <si>
    <t>829S</t>
  </si>
  <si>
    <t>CORNER OF 55TH PLACE AND BLACKSTONE AVENUE</t>
  </si>
  <si>
    <t>FABULOUS LOCATION!!!! 8TH FLOOR CORNER UNIT WITH ABUNDANCE OF NATURAL LIGHT. NORTH AND EAST EXPOSURE,WONDERFUL VIEW. GARAGE PARKING INCLUDED IN PRICE. BUILDING WITH 24 HR SECURITY, EXERCISE ROOMS AND OUTDOOR SWIMMING POOL.DESIGNER COMMON AREA WHERE RESIDENCE CAN ENJOY THE WATER FOUNTAIN AND ALSO RELAX ON THE COMMON BENCHES. JUST CALL LISTER FOR SHOWING . THANKS</t>
  </si>
  <si>
    <t>Bike Room/Bike Trails, Door Person, Coin Laundry, Elevator, Exercise Room, Storage, On Site Manager/Engineer, Party Room, Sundeck, Pool-Outdoors, Receiving Room, Security Door Locks, Gated Entry, Sidewalks, Street Lights, Street Paved</t>
  </si>
  <si>
    <t>Heat, Water, Gas, Parking, Common Insurance, Security, Doorman, TV/Cable, Exterior Maintenance, Scavenger, Snow Removal</t>
  </si>
  <si>
    <t>2.5%-$350 (ON NET SALE PRICE) (on Net SP)</t>
  </si>
  <si>
    <t>Call listing agent for showing</t>
  </si>
  <si>
    <t>Very nice corner unit with Great View,Garage.  Excellent location!!!!! Just call</t>
  </si>
  <si>
    <t>MANCHESTER</t>
  </si>
  <si>
    <t>Spring Ave. to  S Mclean Blvd. (N) to Kane St. (E) to Manchester Ct. (N)</t>
  </si>
  <si>
    <t>Beautiful freshly painted town home nestled in a quiet neighborhood in South Elgin with "No Association Fees."  Brand new carpet.  Newer full size energy efficient washer and dryer.  Open floor plan, vaulted ceilings with beautiful wood beams, fireplace, breakfast bar, loft, skylight, and attached 2-1/2 car garage.  New roof tear off in 2009.  Close to restaurants, shopping, and parks.</t>
  </si>
  <si>
    <t>WILLARD ELEMENTARY SCHOOL</t>
  </si>
  <si>
    <t>Sarah Pierce</t>
  </si>
  <si>
    <t>(630) 584-7000</t>
  </si>
  <si>
    <t>Marvin Ferguson</t>
  </si>
  <si>
    <t>(630) 768-4650</t>
  </si>
  <si>
    <t>No Association Fees!  Crawl space is additional 620 sq ft.  Garage is additional 468 sq ft.</t>
  </si>
  <si>
    <t>BELLWOOD AVE TO JACKSON TO HOME</t>
  </si>
  <si>
    <t>BEAUTIFUL TOWNHOME WITH FRESH CARPET AND PAINT. NEW KITCHEN. FINISHED BASEMENT AS WELL! READY FOR YOU TO MOVE IN. MASTER BEDROOM FEATURES TWO CLOSETS! TONS OF STORAGE SPACE IN THE BASEMENT.See attachment for PAS requirements and  WFHM offer submittal information in MLS document section.</t>
  </si>
  <si>
    <t>$1500 MINIMUM OR 2.5% (on Net SP)</t>
  </si>
  <si>
    <t>PLEASE EMAIL ALL OFFERS WITH POF/PRE-APPROVAL TO  MUTUAL_REO@MUTUALREO.COM</t>
  </si>
  <si>
    <t>LARGEST MODEL! GORGEOUS END-UNIT IN N. NAPERVILLE! FABULOUS NEW CUSTOM KITCHEN W/QUALITY CHERRY CABINETRY, SILESTONE C-TOPS, NEWER UPGRADED S/S APPLIANCES. DEEP S/S SINK, BEAUTIFUL HARDWOOD FLOORS THROUGHOUT 1ST FLR. ALL NEW BATHS! HUGE LIVING RM W/FRPL. NEWER CARPET. LARGE MBR W/WIC &amp; 2ND CLOSET. ALL CLOSET HAVE BUILT-INS BY CLOSETS BY DESIGN. NEW CUSTOM PAINT. WALK TO TRAIN, TOWN. 5 MIN TO I-88! #203 SCHOOL DIST</t>
  </si>
  <si>
    <t>CALL BW SHOWING DESK (855) 746-9100</t>
  </si>
  <si>
    <t>Condo Docs are available upon request. HOA contact is Amy at Amy-256@hotmail.com  Fabulous unit. Show and it will sell!!</t>
  </si>
  <si>
    <t>Cove Landing</t>
  </si>
  <si>
    <t>Roosevelt to Finley S, before 22nd on East side of street. Building #2</t>
  </si>
  <si>
    <t>Feel like you are on vacation! 9th fl SPACIOUS 1100 sqft 2 Bedroom, 2 Bath Condo Pool &amp; Pond view w amazing views for miles! *in the heart of Lombard w/access to highways, shopping, restaurants*Entire condo access to huge balcony with floor to ceiling windows, even more living space*laundry room on the same floor.Private pool, exercise rm, party rm, on site maintenance. Resort living. Basic cable  &amp; water included!</t>
  </si>
  <si>
    <t>Coin Laundry, Elevator, Exercise Room, Storage, On Site Manager/Engineer, Party Room, Pool-Outdoors, Security Door Locks, Curbs/Gutters, Sidewalks, Street Lights, Street Paved</t>
  </si>
  <si>
    <t>Oven/Range, Microwave, Refrigerator-Bar</t>
  </si>
  <si>
    <t>Air Conditioning, Water, Gas, Parking, Common Insurance, Security System, TV/Cable, Clubhouse, Exercise Facilities, Pool, Exterior Maintenance, Lawn Care, Scavenger, Snow Removal, Other</t>
  </si>
  <si>
    <t>TV-Cable, Security System, Intercom</t>
  </si>
  <si>
    <t>Brick, Stone, Concrete</t>
  </si>
  <si>
    <t>Call Listing Agent 630-518-0668</t>
  </si>
  <si>
    <t>Vincenza Giacone</t>
  </si>
  <si>
    <t>(630) 518-0668</t>
  </si>
  <si>
    <t>minimum 2 hr notice for showing  HOA req's 2 yrs of ownership before unit can be rented</t>
  </si>
  <si>
    <t>Rt.45 East of Rt.83 and west of Butterfield to Grosse Pointe Circle North to Home</t>
  </si>
  <si>
    <t>BEAUTIFULLY UPDATED UNIT W/KITCHEN GRANITE COUNTERTOPS, PRIVATE ENTRY TO A NICE OPEN FEEL W/VAULTED CEILINGS,FIREPLACE,SIX PANEL DOORS THROUGHOUT.BAY WINDOW IN KITCHEN W/EATING AREA AND PANTRY. MASTER BEDROOM W/ FULL BATH,WALK-IN CLOSET AND A LARGE PRIVATE BALCONY. LAUNDRY IN UNIT. ONE CAR GARAGE.  GREAT LOCATION WITH PARK RIGHT ACROSS THE STREET. STEVENSON HIGH SCHOOL!!</t>
  </si>
  <si>
    <t>2.5%-299 (on Gross SP)</t>
  </si>
  <si>
    <t>Call Listing Office 847-255-1000</t>
  </si>
  <si>
    <t>RE/MAX At Home</t>
  </si>
  <si>
    <t>(847) 255-1000</t>
  </si>
  <si>
    <t>Jeff Salhani</t>
  </si>
  <si>
    <t>(847) 650-1486</t>
  </si>
  <si>
    <t>Agent Related to seller!</t>
  </si>
  <si>
    <t>Westmore to Jackson east to complex</t>
  </si>
  <si>
    <t>Fabulous 3rd floor condo in sought after Jackson Terrace. This 2 bedroom, 2 bath unit offers an updated kitchen with granite counter tops, stainless steel appliances, two sliding glass doors that lead to a very nice x-large balcony. 1 interior garage space #71. Laundry room in building. Storage /Secure elevator building.</t>
  </si>
  <si>
    <t>Please call Showing Time  855-746-9200</t>
  </si>
  <si>
    <t>Not FHA approved- Pets are allowed currently (1) dog or (1) cat: weight limit under 20 pounds. No investors, no rentals unless immediate family.</t>
  </si>
  <si>
    <t>tall oaks</t>
  </si>
  <si>
    <t>Farnsworth east to Molitor to Selmarten to unit</t>
  </si>
  <si>
    <t>Unit offers 2 bedrooms, 1 bath, good condition. but sold "as is" Condo adjacent to I-88, and outlet Mall, all appliances stay.</t>
  </si>
  <si>
    <t>Heat, Water, Gas, Parking, Common Insurance, Exterior Maintenance, Scavenger, Snow Removal</t>
  </si>
  <si>
    <t>3%-100 (on Net SP)</t>
  </si>
  <si>
    <t>Jose Hermosillo</t>
  </si>
  <si>
    <t>(630) 781-7002</t>
  </si>
  <si>
    <t>This is a regular sale,  no short sale, no foreclosure  !!!!!    SOLD AS IS</t>
  </si>
  <si>
    <t>2s701</t>
  </si>
  <si>
    <t>CLEAN SPACIOUS READY TO MOVE IN 2 STORY WITH FINISHED BASEMENT HOME. OVER 1400 SQFT OF LIVABLE SPACE.2 BED 2BATH. FRESH PAINT. NEW BATHROOM.NEW CARPETING.  NEW STAINLESS STEAL APPLIANCES. 1 CAR ATTACHED GARAGE WITH ACCESS FROM UNIT. SUBDIVISION HAS POOL. GREAT LOCATION CLOSE TO SHOPPING.</t>
  </si>
  <si>
    <t>Blue Ridge</t>
  </si>
  <si>
    <t>Shenandoah</t>
  </si>
  <si>
    <t>Sleepy Hollow Rd North of Miller Rd to Blue Ridge</t>
  </si>
  <si>
    <t>Simply Beautiful &amp; Priced to Sell! That is what you will say when you see this gorgeous townhome. Fantastic updated kitchen with laminate floors, custom backsplash and stainless appliances. Recessed lighting, plush carpeting, custom light fixtures, spacious 2 story living room, ample dining area, 2nd floor laundry, Master bedroom, 2nd bedroom, large loft could be a 3rd bedroom and a 2 car garage</t>
  </si>
  <si>
    <t>WESTFIELD COMMUNITY SCHOOL</t>
  </si>
  <si>
    <t>Marcus Smith</t>
  </si>
  <si>
    <t>Mike Troccoli</t>
  </si>
  <si>
    <t>(815) 788-2123</t>
  </si>
  <si>
    <t>FREDERICKSBURG</t>
  </si>
  <si>
    <t>GRAND POINTE TRAILS</t>
  </si>
  <si>
    <t>ROUTE 34 TO FARNSWORTH, TO SUMMERLIN, TO FREDERICKSBURG, TO HOME</t>
  </si>
  <si>
    <t>GREAT LOCATION MINUTES TO HWYS-SHOP-DINE-ENTERTAINMENT! HARDWOOD FLRS-FRESH PAINT-NEW LIGHTS-CARPET-APPLIANCES! WALK TO THE PARK. PLENTY OF ROOM TO ENTERTAIN, PERFECT FOR 1ST TIME BUYER!! SEE IT TODAY!  SOLD AS-IS-NO SURVEY-100% TAXES. See attachment for PAS requirements and WFHM offer submittal information in MLS document section.</t>
  </si>
  <si>
    <t>2% - $325 (on Net SP)</t>
  </si>
  <si>
    <t>USE SHOWING ASSIST BELOW - SHORT NOTICE OK</t>
  </si>
  <si>
    <t>BUYER SHOULD OBTAIN FREE PRE-APPR W/WELLS RANDALL - 630-399-9291 NMLSR-70459. ALL OFFERS MUST INCL-CONTRACT/PRE-APPR/POF IF CASH-COPY EARNEST. **OFFER RQ. UNDER DISCS** EMAIL OR FAX TO 1-866-618-3928. FHA APPROVED-ONLY % OF RENTALS ALLOWED</t>
  </si>
  <si>
    <t>Durango</t>
  </si>
  <si>
    <t>RANDALL S OF I-90 TO BIG TIMBER, W TO TIMBER TRLS BLVD, N TO TELLURIDE, R TO DURANGO, L TO 156</t>
  </si>
  <si>
    <t>OAK RAILS, HARDWOOD FLOORING, 2 BEDRMS, PLUS LOFT OVERLOOKING LOWER LEVEL LIVING RM. VAULTED MASTER BEDRM W/CEILING FAN, WALK-IN CLOSET, AND PRIVATE MASTER BATH, SEPARATE SHOWER, LARGE SINGLE VANITY, AND SOAKER TUB. CONVENIENT 2ND FLOOR LAUNDRY WITH WASHER AND DRYER. 5 MINUTES TO BIG TIMBER METRA &amp; I-90! 5 MILES OF WALK/JOG/BIKE PATHS!</t>
  </si>
  <si>
    <t>3%-$150 (on Net SP)</t>
  </si>
  <si>
    <t>CALL 855-919-0200 PLEASE REMOVE SHOES,LEAVE A CARD, LIGHTS OFF,LOCK UP,don't lock garage service dr</t>
  </si>
  <si>
    <t>Challenger</t>
  </si>
  <si>
    <t>Rita Landem, GRI</t>
  </si>
  <si>
    <t>(847) 930-6188</t>
  </si>
  <si>
    <t>847-927-4221</t>
  </si>
  <si>
    <t>Normal sale, quick close.</t>
  </si>
  <si>
    <t>BRUNSWICK</t>
  </si>
  <si>
    <t>A1</t>
  </si>
  <si>
    <t>VILLAGES OF WOODRIDGE</t>
  </si>
  <si>
    <t>Woodward to 71st west to Danbury (71st becomes Danbury) to Brunswick right (N) to home.</t>
  </si>
  <si>
    <t>Nice well maintained townhouse featuring 2 BR's, attch. garage, in unit laundry &amp;pretty views off of patio. Kitchen has newer appl w/stainless stove, DW &amp; refrig, ceramic bksplash &amp;nwr fixtures&amp; pntry. Windows 06, all light fxtrs 07, HWH 2015, W/D &amp; blinds 2013.  Cozy fireplace in LR &amp; Pergo in LR, DR, &amp; BRs. Walk in closet w/organizers. Bus to train and close to all amenities. DG North HS. An EASY CAREFREE lifestyle</t>
  </si>
  <si>
    <t>Use schedule a showing</t>
  </si>
  <si>
    <t>Chris Blondin</t>
  </si>
  <si>
    <t>(630) 536-9651</t>
  </si>
  <si>
    <t>Very nice unit with private patio and pretty views</t>
  </si>
  <si>
    <t>Concord Village</t>
  </si>
  <si>
    <t>Route 22 East of Ela to June Terrace South to 880.</t>
  </si>
  <si>
    <t>Fabulous Townhouse in Concord Village*Light &amp; Bright w/loads of updates*Kitchen features hardwood floors, 42 inch maple cabinets, stainless steel appliances, tons of counter/cabinet space &amp; bar*This open floor plan is great for entertaining or relaxing at home*Spacious master suite w/double closet including a large walk in, double sink &amp; large shower*Brand new carpet throughout*Separate laundry room*Pool &amp; clubhouse!</t>
  </si>
  <si>
    <t>Foyer, Other</t>
  </si>
  <si>
    <t>2.5%-$350 (on Gross SP)</t>
  </si>
  <si>
    <t>Use link</t>
  </si>
  <si>
    <t>Carriage Way Real Estate Group INC</t>
  </si>
  <si>
    <t>(847) 344-0238</t>
  </si>
  <si>
    <t>Kathleen Yates</t>
  </si>
  <si>
    <t>(847) 691-3283</t>
  </si>
  <si>
    <t>Brand New Carpet.  Easy show.  Move in ready!!!  Can close quickly.  Great location.  Owners have the closet doors for the 2nd bedroom. Master Association Fee included in the monthly association fee.</t>
  </si>
  <si>
    <t>N. On Lakeview Drive from Lake St. between Glen Ellyn Road and Circle St.</t>
  </si>
  <si>
    <t>Investor Closeout!!! FHA, VA &amp; Fannie Freddy Approved!!! "We offer the combination of Newer Construction and Gorgeous Nature Views that no one else has in the area to offer." Slightly used new spacious condo for sale, serene private lake setting, tremendous value, in unit laundry, gas cooking, indoor parking and storage included.    Community Features: Club House, Heatd Outdoor PL, Fitness Center, Beach and Fire Pit.</t>
  </si>
  <si>
    <t>Contact Sales Office medinahonthelake@gmail.com</t>
  </si>
  <si>
    <t>Nelli</t>
  </si>
  <si>
    <t>Brookdale Manor</t>
  </si>
  <si>
    <t>Brookdale to Tudor to Gowdey to Nelli 1st building  (Park in front of the garage w/ 874 above)</t>
  </si>
  <si>
    <t>ASTON</t>
  </si>
  <si>
    <t>MOVE RIGHT INTO THIS 2 BEDROOM 2 BATH RANCH -STYLE END UNIT WITH PRIVATE ENTRANCE. EAT IN KITCHEN WITH LOTS OF CABINETS AND NEW DISHWASHER. WOOD BURNING FIREPLACE WITH GAS STARTER IN LIVING ROOM  AND NEW CARPET THROUGH OUT.  THERE IS NOTHING TO DO BUT MOVE IN!  CLOSE TO SHOPPING, TRAIN AND HIGHWAYS. WONT LAST LONG!  NAPERVILLE 204 SCHOOL DISTRICT.</t>
  </si>
  <si>
    <t>click on showing assist below or call listing agent</t>
  </si>
  <si>
    <t>Barbara Nelson</t>
  </si>
  <si>
    <t>(630) 637-2587</t>
  </si>
  <si>
    <t>630-886-8533</t>
  </si>
  <si>
    <t>Quick Close possibl</t>
  </si>
  <si>
    <t>BIG TIMBER E OF RANDALL 2 LYLE N2 JEFFREY LANE 2 HOME</t>
  </si>
  <si>
    <t>BTFL 2-STY TH W/GREAT LOCATION! TILE ENTRY! LRG LR W/VLTD CLNGS &amp; SKYLIGHTS! ALL NEW KTCHN W/MAPLE CABS, GRANITE C-TOPS, SS APPLS &amp; FRNCH DR 2 PRVT DECK! SPAC MBDRM W/CATH CLNGS, WNDW SEAT, LRG WIC &amp; GARDEN BTH W/SOAKER TUB, SEP SHWR &amp; DBL SINKS! FIN WLKOUT BSMNT W/LNDRY, FULL BTH &amp; FAM RM W/SLDR 2 PATIO! LOFT AREA WOULD MAKE GREAT OFFICE! NWR WATER HTR! ALL NEW DOORS! NEAR SHOPS &amp; TRANSPORTATION!</t>
  </si>
  <si>
    <t>14X07</t>
  </si>
  <si>
    <t>CALL LO - 847-931-7500</t>
  </si>
  <si>
    <t>ALL NEW KTCHN W/MAPLE CABS &amp; GRANITE C-TOPS! NEW DOORS! FIN WLKOUT BSMNT W/FAM RM &amp; BTH!</t>
  </si>
  <si>
    <t>RIVERSTREET PLAZA</t>
  </si>
  <si>
    <t>Rt. 31 to Cross, East to River, located at the intersection.</t>
  </si>
  <si>
    <t>Breathtaking panoramic views of Fox River and historic downtown Aurora! Like new warm and inviting 2/bed. rm-2-bath condo with laundry rm and 30x10 balcony. heated underground parking. Walking distance to casino, theatre, library, restaurants and much more. Huge kitchen w/granite &amp; stainless. Hardwood floors. Luxury master bath. This is a lovely place to call home!</t>
  </si>
  <si>
    <t>17X3</t>
  </si>
  <si>
    <t>River Front, Water View</t>
  </si>
  <si>
    <t>Must call listing agent for appointment</t>
  </si>
  <si>
    <t>Fred Nelson</t>
  </si>
  <si>
    <t>(630) 868-6336</t>
  </si>
  <si>
    <t>cell 630-248-4293</t>
  </si>
  <si>
    <t>Not a foreclosure or short sale! Listing agent must call seller to open front door. Must have advanced notice to confirm showing!</t>
  </si>
  <si>
    <t>Willows</t>
  </si>
  <si>
    <t>Rt 59 South to R on McCoy to Left on Gregory to Parking 153</t>
  </si>
  <si>
    <t>Move in Ready, Updated top to bottom, New kitchen cabinets w/SS Appliances, Updated lighting &amp; carpeting, Washer &amp; Dryer in Unit, Large Deck, Two entrances, plenty of parking for quests, walk to shopping &amp; restaurants. Ceiling fans in both bedrooms &amp; kitchen, tons of Closets, New counter tops, We can close quick, Traditional Sale, Investors welcome, WE CAN BE RENTED, assessments include water &amp; heat.</t>
  </si>
  <si>
    <t>Water, Gas, Common Insurance, Lawn Care, Snow Removal</t>
  </si>
  <si>
    <t>Baseboard, Radiators</t>
  </si>
  <si>
    <t>2.5% - $250.00 (on Net SP)</t>
  </si>
  <si>
    <t>Call CSS 1-877-977-1010 5-8pm need 1 hr notice</t>
  </si>
  <si>
    <t>Traditional Sale!  Remove shoes, wear booties, leave card and give feedback!  Est. Mo. Utilities Electric $35 owner hardly home.</t>
  </si>
  <si>
    <t>5K</t>
  </si>
  <si>
    <t>Highland Avenue to property</t>
  </si>
  <si>
    <t>Rarely available &amp; totally remodeled. Gorgeous 2 bed 2 bath w/beautiful views of grounds. Kitchen features Oak cabs, new appliances &amp; ceramic tile. 2 ample sized bedrooms w/tons of closet space &amp; private bath in master. Freshly painted, new carpet, new bathrooms, and new doors. Located just blocks to Yorktown, restaurants &amp; major expressways. Assessment includes water, heat, garage, pool &amp; much more. Move in ready!</t>
  </si>
  <si>
    <t>Coin Laundry, Elevator, Pool-Outdoors</t>
  </si>
  <si>
    <t>Heat, Water, Common Insurance, Security System, Pool, Exterior Maintenance, Lawn Care, Scavenger</t>
  </si>
  <si>
    <t>TV-Cable, Security System, Intercom, Fire Sprinklers, Ceiling Fan</t>
  </si>
  <si>
    <t>Call office 630-543-5640</t>
  </si>
  <si>
    <t>Douglas Dahlen</t>
  </si>
  <si>
    <t>(630) 440-8258</t>
  </si>
  <si>
    <t>No FHA. Unit can be rented. Laundry on every floor.</t>
  </si>
  <si>
    <t>Bradwell</t>
  </si>
  <si>
    <t>CAMBRIDGE CHASE</t>
  </si>
  <si>
    <t>Butterfield N of  Rte 60 to S. Huntington W to Bradwell Left to House</t>
  </si>
  <si>
    <t>Pristine 2 bdrm/2 bath condo in VERNON HILLS SCHOOL DISTRICT.  Bright, open floor plan, cathedral ceilings in lvrm/kitch. Private Patio. Updated bathrooms. LARGE master suite w/LARGE walk-in closet and attached private bath! Newer windows. 1-car attchd garage+parking in drive!  Over 1260 sq ft of space. PLUS...outdoor pool and clubhouse! Minutes to schools, shopping, nature. $500 closing credit to update stove.</t>
  </si>
  <si>
    <t>Email sueserra1@gmail.com. Text or call 312-320-2121</t>
  </si>
  <si>
    <t>(847) 749-0842</t>
  </si>
  <si>
    <t>Suzanne Serra</t>
  </si>
  <si>
    <t>24 hour notice appreciated. Buyer agent must accompany.  2012-New dishwasher, fridge and washer/dryer. $500 credit at closing for purchase of new stove. New windows 2008. Attchd garage plus ext. space in driveway.</t>
  </si>
  <si>
    <t>CLOVER</t>
  </si>
  <si>
    <t>72 - W OF BIG TIMBER RD - S ONTO REINKING RD - RT ON CAMBRIDGE LAKES DR - RT ONTO GALWAY - TO CLOVER</t>
  </si>
  <si>
    <t>AMAZING CAMBRIDGE LAKES: GORGEOUS 2 BR+LOFT,1.1 BA w/LL FAMILY RM TOWNHOME AWAITS! This stylish home is in absolute move-in condition &amp; tastefully appointed throughout! Grand 2-story entry leads you to spacious LR/DR combo. Large EAT-IN KIT boasts 42"maple cabinets w/sliders to private deck. LOFT area is perfect for home office! MBR features vaulted ceilings &amp; plenty of closet space. GREAT COMMUNITY ~ WELCOME HOME!</t>
  </si>
  <si>
    <t>CAMBRIDGE LAKES CHARTER</t>
  </si>
  <si>
    <t>Parking, Common Insurance, Clubhouse, Exercise Facilities, Pool, Exterior Maintenance, Lawn Care, Snow Removal</t>
  </si>
  <si>
    <t>Townhouse 3+ Stories, Townhouse-TriLevel</t>
  </si>
  <si>
    <t>CALL 1.800.SHOWING TO SCHEDULE APPOINTMENT</t>
  </si>
  <si>
    <t>Susan Yon Hanson</t>
  </si>
  <si>
    <t>(847) 241-2255</t>
  </si>
  <si>
    <t>312-485-5074 CELL</t>
  </si>
  <si>
    <t>THIS IS AN AMAZING TOWNHOME... GREAT LOCATION.. MOVE-IN READY! Thank you for taking the time to view this gorgeous &amp; spacious home...</t>
  </si>
  <si>
    <t>JAMESTOWN</t>
  </si>
  <si>
    <t>ABINGTON TRACE</t>
  </si>
  <si>
    <t>RT 59, WEST ON NEW YORK, PAST EOLA, NORTH ON JAMESTOWN. GO TO FURTHEST RIGHT COURT, UNIT ON LEFT.</t>
  </si>
  <si>
    <t>TOWNHOME W/PRIV ENTRANCE,VOLUME CEILING,OPEN FLOORPLAN,BRIGHT!BACKS TO OPEN SPACE.1ST FLR FEATURES KITCHEN W/42â€ OAK CABS,SS APPL,PANTRY,OPEN TO TILED DIN RM W/SLIDING GLASS DOOR TO DECK,POWDER ROOM.LIVING ROOM OPEN TO THE DIN RM W/OVERLOOK FROM UPPER HALL &amp; LOFT.MASTER SUITE W/DELUXE BATH,W/I CLOSET.2ND FLR W/2ND BEDRM,FULL BATH,LAUNDRY &amp; LOFT(EASILY CONVERTED TO 3RD BEDROM).BSMT W/FIN REC ROOM,STORAGE.2C ATT GAR.</t>
  </si>
  <si>
    <t>27X12</t>
  </si>
  <si>
    <t>2.5%- $200 (on Gross SP)</t>
  </si>
  <si>
    <t>CALL/TEXT LA, 630-865-7196, SOME NTC PREFERRED. LV NAME, AGENT #, APPT. INFO. MUST CONFIRM.</t>
  </si>
  <si>
    <t>Lindsay Mikita</t>
  </si>
  <si>
    <t>(630) 416-4876</t>
  </si>
  <si>
    <t>CELL 630-865-7196</t>
  </si>
  <si>
    <t>LEXINGTON</t>
  </si>
  <si>
    <t>SOUTH OF 31ST</t>
  </si>
  <si>
    <t>36X126</t>
  </si>
  <si>
    <t>SPECTACULAR REHABBED TOWNHOUSE FEATURES 2 BEDROOMS, 1 BATH, HARDWOOD FLOORS THROUGHOUT, KITCHEN WITH GRANITE, BACKSPLASH AND STAINLESS STEEL APPLIANCES. SEPERATE UTILITY ROOM. 1 CAR GARAGE. YOU WON'T BE DISAPPOINTED!</t>
  </si>
  <si>
    <t>Avenue 1 Realty Group</t>
  </si>
  <si>
    <t>(773) 622-4663</t>
  </si>
  <si>
    <t>Ray Casali</t>
  </si>
  <si>
    <t>(312) 671-0777</t>
  </si>
  <si>
    <t>SELLERS ATTORNEY HOLDS EARNEST</t>
  </si>
  <si>
    <t>5J</t>
  </si>
  <si>
    <t>PARK TO RAINTREE DR. WEST TO RAINTREE COURT</t>
  </si>
  <si>
    <t>SALFORD W/STUDY</t>
  </si>
  <si>
    <t>LIVING LARGE IN THE PENTHOUSE IN SOUGHT AFTER ASHFIELD HOUSE. OVER 1600 SQUARE FEET PER BUILDER'S BROCHURE.SPACIOUS &amp; SECURE 5TH FLOOR CONDO - WELL LOCATED JUST STEPS TO  ELEVATORS, STORAGE AND LAUNDRY. KITCHEN WITH  STAINLESS APPLIANCES AND ABUNDANT CABINETRY. STUDY OFF LIVING ROOM W/ CLOSETS COULD BE A POSSIBLE 3RD BEDROOM. BALCONY OFF LIVING ROOM WITH TREE TOP AND SUNSET VIEWS. GAR SPACE #5</t>
  </si>
  <si>
    <t>Coin Laundry, Elevator, Storage, Security Door Locks, Sidewalks, Street Lights, Street Paved</t>
  </si>
  <si>
    <t>Oven/Range, Microwave, Dishwasher, Refrigerator, High End Refrigerator, Disposal, All Stainless Steel Kitchen Appliances</t>
  </si>
  <si>
    <t>Liz Kammes, CSC</t>
  </si>
  <si>
    <t>(630) 730-7777</t>
  </si>
  <si>
    <t>GREAT VALUE HERE. ESTATE SALE BEING SOLD IN AS-IS CONDITION. AHS HOME WARRANTY FOR BUYER AT CLOSING. MUST PROVIDE PRE-APPROVAL OR PROOF OF FUNDS WITH OFFER.</t>
  </si>
  <si>
    <t>Hayes</t>
  </si>
  <si>
    <t>Butterfield North of 60 to Greenleaf E to MacArthur to Taylor L to Hayes Right</t>
  </si>
  <si>
    <t>End unit second floor townhouse with BRAND NEW carpet and freshly painted interior walls, trim &amp; ceilings. Vaulted, sun-drenched living room open to dining room. Dining room w/slider to balcony. Galley kitchen w/new sink &amp; garbage disposal. Master with walk-in closet. Full bathroom w/ NEW vanity, light fixture &amp; plumbing.</t>
  </si>
  <si>
    <t>Not FHA approved  There is no rental cap at this time. It can be purchased as an investment.</t>
  </si>
  <si>
    <t>63rd to Dorchester, north the property</t>
  </si>
  <si>
    <t>Great opportunity to purchase this Fannie Mae/Homepath property. This vintage condo has been upgraded and includes hardwood floors throughout, granite countertops and more! Exterior parking space included. Schedule your showing today!  All information estimated â€“ buyer to verify.</t>
  </si>
  <si>
    <t>REO ID: C140WB4 See additional information for contract package and instructions. All offers must be submitted on Homepath.com. Email all questions to JAMESONREO@GMAIL.COM. Use showing assist to schedule showings.</t>
  </si>
  <si>
    <t>OAKTON</t>
  </si>
  <si>
    <t>CLUB CROIX</t>
  </si>
  <si>
    <t>MAIN TO OAKTON DR. EAST</t>
  </si>
  <si>
    <t>DEL MAR</t>
  </si>
  <si>
    <t>18X109</t>
  </si>
  <si>
    <t>TOTALLY CHIC TOWN HOME IN AN UNBEATABLE LOCATION! TWO STORY ENTRY LEADS TO A STAINLESS APPOINTED KITCHEN OVERLOOKING DINING AREA AND LIVING RM WITH STONE FIREPLACE AND HARDWOOD FLOORS.   2ND FL. FEATURES A SKYLIGHT, HARDWOOD FLOORS AND A LARGE MASTER SUITE WITH 2 CLOSETS AND PRIVATE MASTER BATH.  LAUNDRY ON THE 2ND FL ALONG W/ A 2ND BEDROOM AND BATH.  MINUTES TO YORKTOWN, RESTAURANTS AND EXPRESSWAY. TRULY PHENOMENAL!</t>
  </si>
  <si>
    <t>Nicholas Kud</t>
  </si>
  <si>
    <t>(630) 942-6981</t>
  </si>
  <si>
    <t>Lots of upgrades in the past two years. Very easy to show.</t>
  </si>
  <si>
    <t>Galena</t>
  </si>
  <si>
    <t>302W</t>
  </si>
  <si>
    <t>Corner of Galena and Edgelawn.  Entrance on Rosedale</t>
  </si>
  <si>
    <t>CONDOMINIUM</t>
  </si>
  <si>
    <t>Lovely 3rd floor corner unit is well maintained.  2 bed, 2 bath with in unit laundry with full size washer and dryer.  Separate living room and family room. Eat-in kitchen with door to private balcony.  Each unit is assigned one parking spot in underground garage and a storage unit.  Common entryway was recently redecorated.  Very nice secure building!</t>
  </si>
  <si>
    <t>Parking, Common Insurance, Security, Security System, Exterior Maintenance, Lawn Care, Scavenger, Snow Removal</t>
  </si>
  <si>
    <t>Call 630-844-2100 to arrange for security door key pick up.</t>
  </si>
  <si>
    <t>Davis</t>
  </si>
  <si>
    <t>Kathleen Healy</t>
  </si>
  <si>
    <t>(630) 567-6345</t>
  </si>
  <si>
    <t>East End</t>
  </si>
  <si>
    <t>north/south on Stony Island to 69th St, east to East End, south to property.</t>
  </si>
  <si>
    <t>Upgraded 2 bed/1.1 bath townhome needs minor repairs. Features recessed lighting, wood kitchen cabinets, finished family room, large utility room, &amp; spacious bedrooms. Investor delight or first-time homebuyer. Show &amp; sell.</t>
  </si>
  <si>
    <t>$1,250 (on Net SP)</t>
  </si>
  <si>
    <t>24 hour notice. Call Listing Agent 773.480.0060.</t>
  </si>
  <si>
    <t>Muriel Carter</t>
  </si>
  <si>
    <t>(773) 480-0060</t>
  </si>
  <si>
    <t>24 hour notice for showings.</t>
  </si>
  <si>
    <t>LAKE HINSDALE VILLAGE</t>
  </si>
  <si>
    <t>Route 83 to 67th west to entrance,  follow signs to 101</t>
  </si>
  <si>
    <t>Very spacious 1st floor unit with sunny southern exposure. Nice size updated eat in kitchen with plenty of counter space plus all appliances staying. Master bedrm has private updated full bath with huge walk in closet. Living rm/Dining rm freshly painted. Convenient underground parking space with storage. Party room located in the building. Beautiful grounds with pool, lake, clubhouse. tennis courts and exercise rm.</t>
  </si>
  <si>
    <t>Bike Room/Bike Trails, Elevator, Exercise Room, Storage, On Site Manager/Engineer, Park/Playground, Party Room, Pool-Outdoors, Security Door Locks, Tennis Court/s, Street Paved</t>
  </si>
  <si>
    <t>Water, Gas, Parking, Common Insurance, Clubhouse, Exercise Facilities, Pool, Exterior Maintenance, Lawn Care, Scavenger, Snow Removal, Lake Rights</t>
  </si>
  <si>
    <t>Bryan Knudsen</t>
  </si>
  <si>
    <t>(708) 370-9428</t>
  </si>
  <si>
    <t>This is a very clean and ready to move in unit. Short notice ok for showings, If you are showing the garage, you will need to bring the key with to use the elevator.</t>
  </si>
  <si>
    <t>Corner of Edgelawn and Galena</t>
  </si>
  <si>
    <t>Exceptionally maintained first floor corner unit.  2 bed, 2 bath with all new Pella windows, Eat-in kitchen with newer flooring and Corian counter tops.  Separate living room with sliding glass door to balcony.  Cozy family room and dining area.  In unit utilities and laundry.  Each unit is assigned one parking spot in underground garage and a storage area.  Common entryway was recently redecorated.  Lovely building!</t>
  </si>
  <si>
    <t>Call 630-844-2100 to arrange to pick up keys.  Lock box is not allowed on exterior doors.</t>
  </si>
  <si>
    <t>57th</t>
  </si>
  <si>
    <t>La Grange Highlands</t>
  </si>
  <si>
    <t>BRAINARD AVE ONE BLOCK SOUTH OF PLAINFIELD, WEST ON 57TH</t>
  </si>
  <si>
    <t>LA GRANGE HIGHLANDS</t>
  </si>
  <si>
    <t>BOASTING BRAND NEW CARPET AND PAINT THROUGHOUT, THIS LOVELY TOWNHOME OFFERS A FIRST FLOOR BEDROOM PLUS FULL BATH; FIRST FLOOR LAUNDRY, FULL BASEMENT, 2nd FLOOR BEDROOM WITH ITS OWN FULL BATH PLUS LARGE VAULTED LOFT AREA. LIVING ROOM W/CATHEDRAL CEILING, DINING AREA AND FIREPLACE. LARGE DECK OFF OF KITCHEN, LOADS OF CLOSETS/STORAGE SPACE. CLOSE TO DOWNTOWN LA GRANGE, SHOPPING AND HIGHLY RATED HIGHLANDS &amp; LTHS SCHOOLS.</t>
  </si>
  <si>
    <t>Easy-use showing assist below</t>
  </si>
  <si>
    <t>Leslie O'Hare</t>
  </si>
  <si>
    <t>(630) 532-8280</t>
  </si>
  <si>
    <t>Symphony</t>
  </si>
  <si>
    <t>MONTGOMERY 2 FOUR SEASONS TO SERENDIPITY W TO SYMPHONY</t>
  </si>
  <si>
    <t>Beautiful 2 bedroom/1.5 bathroom home in an excellent location! Spacious rooms, nice yard, PLUS a 2 car garage! Priced to sell, this one has it all and won't last! Choose FHA financing to qualify for $100 down payment. Ask your Agent for details. Sold as-is. Equal Housing Opportunity</t>
  </si>
  <si>
    <t>Case#137-461858.INS.STATUS:Insured. Up to 3% co-op Offers 2B put on-line Off.must be registered &amp; have a NAID# Go to hudhomestore.com 4 online bidding SEE PCR UNDER ADDENDUMâ€™S TAB.?â€™s to fsrhomes@aol.com.SOLD AS-IS.www.hometelosfirst.com</t>
  </si>
  <si>
    <t>COLONIAL</t>
  </si>
  <si>
    <t>RT 47 SOUTH OF 126 TO COLONIAL PKWY ON RIGHT</t>
  </si>
  <si>
    <t>NICELY DECORATED END UNIT BACKING 2 OPEN AREA BEHIND FIRE STATION.   MASTER HAS WALK-IN CLOSET.  NEWER PAINT IN MOST ROOMS &amp; PRETTY LAMINATE ON 1ST FLOOR. RANGE, DISHWASHER, &amp; FRIG STAY AS-IS, ALL WORK.  NICELY FINISHED, BIG  F/ ROOM IN BASEMENT OR C/ BE 3RD BED/RM.  PATIO AREA IN BACK + SIDE &amp; FRONT YARD NICLEY  L/SCAPED. TENANT OCCUPIED ON OR BEFORE OF  APRIL.  ROSE BUSH ON SIDE DOESN'T STAY</t>
  </si>
  <si>
    <t>2.50- $150 (on Net SP)</t>
  </si>
  <si>
    <t>CALL L/OFFICE OR AGENT IF NEED B, SOME NOTICE NEEDED</t>
  </si>
  <si>
    <t>Barbie Poppen</t>
  </si>
  <si>
    <t>(630) 742-3200</t>
  </si>
  <si>
    <t>SHOWS QUITE WELL . HAS HAD GOOD RENTERS.  TENANT WILL B VACATING ON OR BEFORE END OF APRIL.  END UNIT, NICELY L/SCAPED YD. ONE ROSE BUSH IN SIDE FRONT YD WILL B MOVED IN EARLY SPRING WEATHER PERMITTING.</t>
  </si>
  <si>
    <t>MCDOWELL</t>
  </si>
  <si>
    <t>OGDEN AVE (34) TO RAYMOND NORTH,MCDOWELL WEST 2ND ENTRENCE TO CHANTECLEER LAKES 2ND BUILDING ON LEFT</t>
  </si>
  <si>
    <t>This 2nd floor home has it all! Beautiful kitchen with granite countertops and huge maple cabinets!  Vaulted ceilings, large open family room, stainless steel appliances and much more! Close to mall, downtown Naperville, I 88, and train! Clubhouse that has a fitness center, pool and sauna! Parking closest to home! Assessments include water!</t>
  </si>
  <si>
    <t>Exercise Room, Pool-Outdoors, Sauna, Security Door Locks, Curbs/Gutters, Sidewalks, Street Lights, Street Paved</t>
  </si>
  <si>
    <t>Water, Common Insurance, Clubhouse, Exercise Facilities, Pool, Exterior Maintenance, Lawn Care, Scavenger, Snow Removal, Other</t>
  </si>
  <si>
    <t>Cedar, Frame</t>
  </si>
  <si>
    <t>Call CSS 877-977-1010 or showings.com</t>
  </si>
  <si>
    <t>Mt Vernon</t>
  </si>
  <si>
    <t>Hunt Club S of Grand, W on Dada, N on Stonebrook, E on Mount Vernon. last unit on the Right</t>
  </si>
  <si>
    <t>Wonderful and Rare end unit 1st floor ranch that is flooded with light.  Vaulted family/dinning room combo with fireplace.  Eat in kitchen with patio.  Master has seated shower and large walk in closet.  There is a den that could be a 3rd bedroom.  All new carpet and paint.  You will enjoy the view of the pond from the dinning/family room and from your 2nd patio.</t>
  </si>
  <si>
    <t>Heatilator Type System</t>
  </si>
  <si>
    <t>Dalee Barta &amp; Daria Faulkner-Bord</t>
  </si>
  <si>
    <t>David Wilkerson</t>
  </si>
  <si>
    <t>(847) 596-6147</t>
  </si>
  <si>
    <t>east/west on 47th St to Michigan, south to property.</t>
  </si>
  <si>
    <t>This property is now under auction terms. A must see! Excellent updated 2 bed/2 bath condo in Bronzeville. Spacious, well-laid out, with nice hardwood floors, granite countertops, &amp; more. This is a Fannie Mae HomePath property.</t>
  </si>
  <si>
    <t>Presale bids submitted thru www.auction.com. Note that commission percentages may change btwn presale &amp; auction periods. Subject to 5% buyerâ€™s premium pursuant to Auction T &amp; C. Auction asset will be sold subject to seller approval.</t>
  </si>
  <si>
    <t>COOL SPRINGS</t>
  </si>
  <si>
    <t>Rt. 59 South of 95th to Crystal Rock West to Cool Springs Southwest to home.</t>
  </si>
  <si>
    <t>Beautiful, 2 bedroom townhome on a cul-de-sac with huge loft in desirable Signature Club of Naperville.  Open layout with 2 story family room.  Freshly painted, clean and ready to move in.  Relax on the private back patio with great water views.  Premium location! Close to shopping, dining, entertainment, schools.  Must see! Welcome home.</t>
  </si>
  <si>
    <t>Common Grounds, Cul-de-sac, Pond, Water View</t>
  </si>
  <si>
    <t>Call Co-List Brian w/ questions. 630-701-0397. Must use 6.0 sales contract.</t>
  </si>
  <si>
    <t>Valley Forge</t>
  </si>
  <si>
    <t>BLANCHARD TO HERITAGE, EAST TO VALLEY FORGE, SOUTH TO UNIT B</t>
  </si>
  <si>
    <t>LOVELY UPDATED 2-STORY END UNIT WITH GARAGE.  NEW 2014 KITCHEN FEATURES GRANITE COUNTERS, GLASS BACK SPLASH, STAINLESS SINK AND APPLIANCES, DESIGNER CABINETS AND WOOD FLOORING.  LARGE MASTER BEDROOM FEATURES WALK-IN CLOSET.  NEWER FULL SIZE WASHER &amp; DRYER. AIR CONDITIONING REPLACED 2014 &amp; FURANCE REHABBED.  GREAT LOCATION WITH COURTYARD VIEW. COMPLEX FEATURES POOL AND CLUBHOUSE.</t>
  </si>
  <si>
    <t>David Bartlett</t>
  </si>
  <si>
    <t>(630) 439-4152</t>
  </si>
  <si>
    <t>NO RENTALS ALLOWED IN COMPLEX, NO FHA ALLOWED IN COMPLEX.</t>
  </si>
  <si>
    <t>75TH TO RICKERT N TO RIVER N TO RHODES E TO 1203</t>
  </si>
  <si>
    <t>Fantatsic interior location Hampton Model! Extremely well kept! Open floor plan and cathedral ceilings. Living area with gas fireplace. Spacious kitchen with granite counters and plenty of storage. Large master suite with private bath. Attached garage. Super clean! Located near everything you need!</t>
  </si>
  <si>
    <t>Call ShowingTime 800-746-9464 or click on link below.</t>
  </si>
  <si>
    <t>Oor</t>
  </si>
  <si>
    <t>Matthew McCollum</t>
  </si>
  <si>
    <t>(773) 456-7765</t>
  </si>
  <si>
    <t>Call Chris Lukins with any questions. 630-956-4646 chris@lukinsmccollum.com</t>
  </si>
  <si>
    <t>Grand Avenue West of Thatcher.  Easiest to park across the street on Forest.</t>
  </si>
  <si>
    <t>Own this bright, clean and roomy 2 BR, 1st floor condo for less than the cost of renting! Or capitalize on the great investment opportunity provided by low taxes &amp; assessments that cover almost everything: gas, electric and water! In addition to easy access to the laundry room, there is ample outdoor space to grill out and relax during the warm weather months.  Centrally located for easy commute to O'Hare, Chicago.</t>
  </si>
  <si>
    <t>Coin Laundry, Sidewalks</t>
  </si>
  <si>
    <t>Heat, Water, Gas, Parking, Common Insurance, Security, Lawn Care, Scavenger, Snow Removal</t>
  </si>
  <si>
    <t>Please use Showing Assist.  Please provide some notice to alert tenant</t>
  </si>
  <si>
    <t>Lucid Realty, Inc.</t>
  </si>
  <si>
    <t>(877) 582-4399</t>
  </si>
  <si>
    <t>Gary Lucido</t>
  </si>
  <si>
    <t>(312) 738-0232</t>
  </si>
  <si>
    <t>Cell: (847) 372-0923</t>
  </si>
  <si>
    <t>Please call or text Eddie Nusinow at 847-372-0923 with any questions.   Submit offers to ENusinow@LucidRealty.com.</t>
  </si>
  <si>
    <t>Saganashkee</t>
  </si>
  <si>
    <t>TALL GRASS</t>
  </si>
  <si>
    <t>RT 59-S OF 95TH/West on Rollingridge to Saganashkee-right to home on left</t>
  </si>
  <si>
    <t>JEFFERSON</t>
  </si>
  <si>
    <t>Enjoy 3 levels of living in this completely updated end unit townhome. New carpet, paint, custom window treatments, updated &amp; upgraded throughout plus a finished basement with 3rd bedroom. Enjoy the bike/walking path that is steps away and goes for miles and also routes you to nearby shopping and restaurants. So much so close and ready for you to enjoy in this Tall Grass Townhome. See Virtual Tour for More Details!</t>
  </si>
  <si>
    <t>27X25</t>
  </si>
  <si>
    <t>Park/Playground, Party Room, Pool-Outdoors, Tennis Court/s, Curbs/Gutters, Gated Entry, Sidewalks, Street Lights</t>
  </si>
  <si>
    <t>Separate Shower, Double Sink, Garden Tub, Soaking Tub</t>
  </si>
  <si>
    <t>Ceiling Fan, Sump Pump, Radon Mitigation System(s)</t>
  </si>
  <si>
    <t>Use Show Assist. Must Confirm Call Co List With All Questions: 6306677562</t>
  </si>
  <si>
    <t>Keith Dickerson</t>
  </si>
  <si>
    <t>(888) 777-1165</t>
  </si>
  <si>
    <t>Fax 630-735-5105</t>
  </si>
  <si>
    <t>Great end unit townhome in Tall Grass, priced to sell! Move in ready. Don't miss the extra space in the garage for storage. Call CO listing with All question: 6306677562.</t>
  </si>
  <si>
    <t>Lorraine</t>
  </si>
  <si>
    <t>VERSAILLES CONDOMINIUMS</t>
  </si>
  <si>
    <t>ROOSEVELT (HWY 38)  TO SOUTH LORRAINE, SOUTH TO COMPLEX</t>
  </si>
  <si>
    <t>TOP FLOOR CONDO UNIT IN SECURE ELEVATOR BUILDING....GREAT LOCATION IN HIGH DEMAND BUILDING!   LAUNDRY IN UNIT    EXTRA STORAGE #61    2 PARKING SPACES # 28 &amp; 64  HARDWOOD FLOORS  2 BEDROOMS WITH 1 FULL AND 1 HALF BATH!  MAPLE CABINETS IN KITCHEN APPLIANCES NEW IN 2010!  BEAUTIFUL VIEWS!  LET YOUR BUYERS PICK OUT THE COLOR PAINT &amp; CARPET THEY WANT WITH A $2200 CREDIT AT CLOSING!</t>
  </si>
  <si>
    <t>Water, Gas</t>
  </si>
  <si>
    <t>Vacant Go and Show</t>
  </si>
  <si>
    <t>American Realty Network Inc.</t>
  </si>
  <si>
    <t>(847) 302-7653</t>
  </si>
  <si>
    <t>Alicia McCauley</t>
  </si>
  <si>
    <t>(224) 828-2119</t>
  </si>
  <si>
    <t>Must be Owner Occupied</t>
  </si>
  <si>
    <t>One Bloomingdale Place</t>
  </si>
  <si>
    <t>S. Bloomingdale Road to Schick West to Country Club Road, follow bend</t>
  </si>
  <si>
    <t>Turn the Key~Fabulous 2 LG bedroom, 2 full bathrooms~ 2 heated underground garage spaces next to entry door. Newer carpet, water heater.  Upgraded full washer and dryer in the unit. Master bedroom has huge walk in closet and bonus closet for storage. Indoor pool and more!~Newer appliances, New kit ceiling and New Granite, sink &amp; faucet..lots of recent upgrades. NOT A SHORT SALE OR FORECLOSURE. Lots of Amenities!</t>
  </si>
  <si>
    <t>Elevator, Exercise Room, Park/Playground, Party Room, Pool-Indoors, Sauna, Curbs/Gutters, Sidewalks, Street Lights, Street Paved</t>
  </si>
  <si>
    <t>Water, Parking, Common Insurance, Security, TV/Cable, Clubhouse, Exercise Facilities, Pool, Exterior Maintenance, Lawn Care, Scavenger, Snow Removal</t>
  </si>
  <si>
    <t>Text L/A Must confirm 630-621-2060 Seller is related to selling agent</t>
  </si>
  <si>
    <t>Shimkus</t>
  </si>
  <si>
    <t>Shantel Shimkus</t>
  </si>
  <si>
    <t>(630) 621-2060</t>
  </si>
  <si>
    <t>Easy to show....extra closet is behind the mirror in the master walk in closet...just pull it and it opens...quick close possible.</t>
  </si>
  <si>
    <t>Stony Island to 69th St. East to East End, South to  address.</t>
  </si>
  <si>
    <t>Beautiful 2 bedroom townhouse in good condition. Features some hardwood floors, updated kitchen and baths and finished basement. Located close to transportation, Metra  and shopping. Rentals allowed.</t>
  </si>
  <si>
    <t>Go to www.hudhomestore.com to place bid. Case #137-656976. NAID # REQUIRED. Please review disclosures in additional information in MLS.</t>
  </si>
  <si>
    <t>Mclean to Sandhurst west to property</t>
  </si>
  <si>
    <t>End unit, 2 bedrooms 1.1 baths , full finished basement, Fireplace , 1 car attached garage , recently painted, newer furnace, refrigerator , washer &amp; dryer, Close to shopping</t>
  </si>
  <si>
    <t>Call showing desk 888-362-3222</t>
  </si>
  <si>
    <t>Scott Lindemann</t>
  </si>
  <si>
    <t>(630) 205-0596</t>
  </si>
  <si>
    <t>630-205-0596</t>
  </si>
  <si>
    <t>On Grand EAST OF THATCHER WEST OF HARLEM</t>
  </si>
  <si>
    <t>New New New two bedroom condo in Elmwood Park's newest conversion project.  Located in the heart of town, unit features a friendly floor plan with granite counters, stainless appliances, hard wood floors, and ceramic tile kitchen floors.  Private assigned parking and storage included. Close to shopping, public transportation, Metra station, pool, and library. 90% financing options and home warranty available</t>
  </si>
  <si>
    <t>2.5% -250 (on Gross SP)</t>
  </si>
  <si>
    <t>Call office or listing agent.  Ricardo Braglia (773)369-6766</t>
  </si>
  <si>
    <t>Pictures shown are of model unit for this building. Very nice conversion.  Agent will show and meet you at property.  All units come with 12 month warranty.  90% Financing done with Linda Scott from Wintrust bank call (630)632-0990</t>
  </si>
  <si>
    <t>Hinswood</t>
  </si>
  <si>
    <t>CASS AVENUE TO HINSWOOD DRIVE EAST TO HOME</t>
  </si>
  <si>
    <t>FABULOUS SOUGHT AFTER RANCH UNIT IN PRIME LOCATION! BEAUTIFUL AND NEWLY RENOVATED THROUGHOUT (2015)! KITCHEN WITH STAINLESS APPLIANCES &amp; GRANITE COUNTERS W/BREAKFAST BAR. MASTER BEDROOM AND BATH SUITE,  LIVING ROOM WITH FIREPLACE AND OVERSIZE SLIDING DOORS TO PRIVATE PATIO. LAUNDRY ROOM AND ATTACHED GARAGE.CONVENIENT LOCATION AND PRIDE OF OWNERSHIP!</t>
  </si>
  <si>
    <t>Call or Text LA for Appointment 630-965-5155</t>
  </si>
  <si>
    <t>Carol Shukis Crofton</t>
  </si>
  <si>
    <t>(630) 965-5155</t>
  </si>
  <si>
    <t>GREAT RANCH UNIT - MANY 2015 UPDATES</t>
  </si>
  <si>
    <t>Harlowe</t>
  </si>
  <si>
    <t>Baileywood</t>
  </si>
  <si>
    <t>Washington just south of 75th to E Bailey Rd (E) to Oxford (N) to Harlowe (E)</t>
  </si>
  <si>
    <t>GROUND FLOOR RANCH WITH A MODERN FEEL!  Spacious &amp; sunny end unit ranch in central Naperville offers SOARING CEILINGS, &amp; wide open floor plan that lives like a single family home~ Spacious living rm that opens to dining &amp; den and LOOK AT THOSE WINDOWS! Neutral &amp; well maintained~NEW roof, ss appls, lighting, fresh interior paint &amp; more~1st floor laundry, 2 car garage, full basement, covered deck w/pond view. HURRY!</t>
  </si>
  <si>
    <t>Common Grounds, Water View</t>
  </si>
  <si>
    <t>Breakfast Room, Den</t>
  </si>
  <si>
    <t>Humidifier, TV-Cable, Ceiling Fan, Sump Pump</t>
  </si>
  <si>
    <t>Call 855-746-9100 - Easy show</t>
  </si>
  <si>
    <t>Laura Bruno, CRS,GRI</t>
  </si>
  <si>
    <t>(630) 718-7513</t>
  </si>
  <si>
    <t>(efax) 323-316-2402</t>
  </si>
  <si>
    <t>See add'l info for recent improvements.  Rentals ok for immediate family only.</t>
  </si>
  <si>
    <t>Randall Rd South To Big Timber, West To Timber Trails North To Telluride Left To Durango To Home</t>
  </si>
  <si>
    <t>2 Story Town Home Featuring 2 Bedroom 2.1Bath , Hardwood Flooring In Dining And Kitchen Area. No Survey , Home Is Being Sold AS-IS. Buyer Responsible For All Costs Incurred During Inspection. Proof Of Funds And Copy Of Earnest Money With Contract.  No contracts will be negotiated until the property has been in MLS for 5 days.  purchaser screening doc attached to this listing must be included with any offer</t>
  </si>
  <si>
    <t>Centralized Showing Service  877-977-1010</t>
  </si>
  <si>
    <t>Debbie Scheitlin</t>
  </si>
  <si>
    <t>seller will not activate utilities for any inspections</t>
  </si>
  <si>
    <t>Fullerton</t>
  </si>
  <si>
    <t>2-201</t>
  </si>
  <si>
    <t>NORTH AVE TO GLEN ELLYN RD, NORTH TO FULLERTON, EAST TO THE PROPERTY</t>
  </si>
  <si>
    <t>Fantastic opportunity for investor or owner occupant.</t>
  </si>
  <si>
    <t>Heat, Water, Parking, Common Insurance, Exterior Maintenance, Lawn Care</t>
  </si>
  <si>
    <t>use ShowingAssist</t>
  </si>
  <si>
    <t>Jennings Realty,Inc.</t>
  </si>
  <si>
    <t>(847) 328-3600</t>
  </si>
  <si>
    <t>Ivan Mariduena</t>
  </si>
  <si>
    <t>(773) 447-3141</t>
  </si>
  <si>
    <t>Offers accepted through Thursday, 3/12/15. Decision by 5pm Friday, 3/13/15. No decision prior to 3/13. email offers to ivan@jenningsrealtyinc.com. Rentals Allowed.</t>
  </si>
  <si>
    <t>Castle Rock</t>
  </si>
  <si>
    <t>Schick West of Bloomingdale Rd. to Castle Rock, North to cul de sac</t>
  </si>
  <si>
    <t>42X65X42X64</t>
  </si>
  <si>
    <t>Lovely bright &amp; open unit! Family room w/floor to ceiling stone fireplace &amp; vaulted ceilings. Investors welcome rentals allowed. Don't let this opportunity pass you by! Tax proration 100%. No survey or disclosures provided. Buyer responsible for any/all compliances, escrows etc. if required. All initial inspections including system tests are at buyers expense. All offers must have pre-approval.</t>
  </si>
  <si>
    <t>Microwave, Dishwasher, Disposal</t>
  </si>
  <si>
    <t>Recreation Room, Utility Room-Lower Level</t>
  </si>
  <si>
    <t>Please call (855) SHOW-200, (855) 746-9200 or click the online schedule a showing icon</t>
  </si>
  <si>
    <t>NORTHWEST HWY TO MAIN COOK RD, WEST TO LAGESCHULTE, SOUTH TO PROPERTY</t>
  </si>
  <si>
    <t>Come experience Luxury Living for Less at the Arbors at Barrington. 2 bed + den 1,816 sqft townhome with granite counter tops, hardwood floors and wood burning fireplace.  Unit also features outdoor patio and attached garage plus outdoor space for 2nd car. New double sliding doors being installed thruout.  Live in quiet professionally landscaped community, just blocks from downtown. Best value on the market.</t>
  </si>
  <si>
    <t>Exercise Room, On Site Manager/Engineer, Party Room</t>
  </si>
  <si>
    <t>2.5% - $325 ON NET PRICE (on Net SP)</t>
  </si>
  <si>
    <t>Call or Text Jon Millikin (773) 307-9175 or jmillikin@jameson.com</t>
  </si>
  <si>
    <t>Hidden Glen</t>
  </si>
  <si>
    <t>Army Trail W of Bloomingdale, Gladstone N, Lake Ridge E</t>
  </si>
  <si>
    <t>DOGWOOD</t>
  </si>
  <si>
    <t>RARELY AVAILABLE 2 STORY TOWN HOME IN HIDDEN GLEN! WELL MAINTAINED W/ NEW CARPET THROUGHOUT. FEATURES INCLUDE 9 FT CEILINGS IN LR, DR, KITCHEN, SEPARATE EAT-IN AREA, 2 SPACIOUS MASTER BEDROOM SUITES W/ VAULTED CEILINGS, WIC &amp; EACH WITH A FULL BATH. 2ND FLOOR LAUNDRY TOO! PATIO BACKS TO SERENE LAKE FOR RELAXING OUTDOORS. A+ LOCATION MINUTES TO EXPRESSWAY, RESTAURANTS AND SHOPPING! FHA IS OK. CALL FOR AN APPT TODAY!</t>
  </si>
  <si>
    <t>11X22</t>
  </si>
  <si>
    <t>(312) 254-0200</t>
  </si>
  <si>
    <t>Steve McEwen</t>
  </si>
  <si>
    <t>(312) 254-0276</t>
  </si>
  <si>
    <t>WELL MAINTAINED HOME. BRAND NEW CARPETING THROUGHOUT. PLEASE REMOVE SHOES FOR SHOWINGS. FHA AND RENTALS ARE OK!</t>
  </si>
  <si>
    <t>Crescent</t>
  </si>
  <si>
    <t>CRESCENT STATION</t>
  </si>
  <si>
    <t>Corner of Park and Crescent</t>
  </si>
  <si>
    <t>Spacious 2 bedroom condo in Crescent Station w/heated indoor parking. Just steps to Metra Station, Prairie Path, shopping, restaurants, library, &amp; beautiful Lake Ellyn. Upscale kitchen w/granite counters &amp; breakfast bar, tile backsplash, &amp; pantry. Great room w/fireplace &amp; private balcony. Formal dining rm.  Two large brms w/walk-in closets.  Master bath w/whirlpool tub &amp; separate shower.</t>
  </si>
  <si>
    <t>FOREST GLEN ELEMENTARY SCHOOL</t>
  </si>
  <si>
    <t>25X20</t>
  </si>
  <si>
    <t>Elevator, Party Room, Security Door Locks, Curbs/Gutters, Sidewalks, Street Lights, Street Paved</t>
  </si>
  <si>
    <t>Heat, Water, Common Insurance, Security, Exterior Maintenance, Scavenger, Snow Removal</t>
  </si>
  <si>
    <t>Security System, Intercom, Fire Sprinklers</t>
  </si>
  <si>
    <t>Easy to show, please call Centralized Showings at 877-977-1010.</t>
  </si>
  <si>
    <t>Patrick Turley, CRS,SRES</t>
  </si>
  <si>
    <t>(630) 217-8617</t>
  </si>
  <si>
    <t>FAX 888-545-8338</t>
  </si>
  <si>
    <t>Garage space #10 very close to elevator. Per association 3 units in building can be rented - currently only 2 are rented.</t>
  </si>
  <si>
    <t>Finley South of Roosevelt to Cove Landing</t>
  </si>
  <si>
    <t>Spacious 8th floor 2 bedroom, 2 bath light and bright condo. Enjoy the nice view of the west from one of the 2 nice size balconies. Laundry on the 6th floor. Basic cable, water, trash, pool, and clubhouse are all included in the association fee.</t>
  </si>
  <si>
    <t>25X4</t>
  </si>
  <si>
    <t>Water, Parking, Common Insurance, Security System, TV/Cable, Clubhouse, Pool, Exterior Maintenance, Scavenger, Snow Removal</t>
  </si>
  <si>
    <t>Reserve key at listing office 630-495-3500</t>
  </si>
  <si>
    <t>Rentable after owned for 2 yrs.</t>
  </si>
  <si>
    <t>Snug Harbor</t>
  </si>
  <si>
    <t>Nantucket</t>
  </si>
  <si>
    <t>Clarendon Hills Road South of 63rd Street to Snug Harbor East to home. Nantucket Subdivision</t>
  </si>
  <si>
    <t>CLIFFSIDE II</t>
  </si>
  <si>
    <t>Light &amp; Bright two story townhouse quietly nestled in wooded subdivision. Vaulted ceilings, skylights and large, open kitchen and living space. Boasts two master suites.Lower level living/ family room walks out to private patio for quiet get away. Two car garage, ample guest parking. Close to shopping and interstate. Neutrally decorated and immaculately maintained. New Roof and new skylights in 2014. Move right in!!</t>
  </si>
  <si>
    <t>Curbs/Gutters, Street Paved</t>
  </si>
  <si>
    <t>Oven/Range, Microwave, Refrigerator, Washer, Dryer, Disposal</t>
  </si>
  <si>
    <t>Please call CSS 877-977-1010 to schedule.</t>
  </si>
  <si>
    <t>Tracy Driscoll, CSC</t>
  </si>
  <si>
    <t>(630) 674-8320</t>
  </si>
  <si>
    <t>Dishwasher as-is. Needs Repair. Please exclude both chandeliers. One in Dining room and one in foyer. ALL BUYERS MUST BE ACCOMPANIED BY THEIR BUYERS AGENT.</t>
  </si>
  <si>
    <t>Estes Park</t>
  </si>
  <si>
    <t>75th St ~ Rickert (N) ~ Whispering Hills (S) ~ Vail Ct (N)</t>
  </si>
  <si>
    <t>Upgraded &amp; move in ready! Minutes to Naperville Riverwalk! Premium interior lot! Master &amp; 2nd BR each w private full bath! Large loft! 2nd flr laundry! Upgraded lighting &amp; hardware! Custom window treatments! Hardwood floors, newer carpets, ceramic baths! White trim &amp; doors! Professional paint! All stainless kitchen appliances &amp; full size W/D! Oak cabinets! Low assessments! Large garage storage area! Great schools!</t>
  </si>
  <si>
    <t>Maribeth Tzavras</t>
  </si>
  <si>
    <t>(630) 624-2014</t>
  </si>
  <si>
    <t>FAX 630-904-7130</t>
  </si>
  <si>
    <t>Simms</t>
  </si>
  <si>
    <t>North on Rt 59 to Montgomery rd west to Waterford north to Simms St west to property</t>
  </si>
  <si>
    <t>Must see!! Open layout, Huge Kitchen, Marble and Pergo on first floor, brick patio, w/ a great loft! Very well taken care of, super clean through out. Get your offers in!</t>
  </si>
  <si>
    <t>Common Insurance, Exterior Maintenance, Scavenger</t>
  </si>
  <si>
    <t>Call CSS 877.977.1010- 1 hr notice preferred</t>
  </si>
  <si>
    <t>Easy to show, really is a clean home! Bring us an offer! Call or text co-lister @ 630.728-1748 w/ any questions. Email all offers to Mikelenzremax@yahoo.com</t>
  </si>
  <si>
    <t>Burton</t>
  </si>
  <si>
    <t>ASHLEY WOODS</t>
  </si>
  <si>
    <t>Wolf to Enterprise to Ashley Woods</t>
  </si>
  <si>
    <t>Beautiful Ashley Woods town home. Complete high end renovation. Set in wooded area. Easy access to highways. Surrounded by golf courses and prairie and woods. Versatile floor plan. New kitchen with granite counters and stainless steel appliances. Updatedbaths,hardwood flooring; Beautiful palladian window. Family room with wet bar. Both bedrooms have walk in closets. Paver patio with privacy of woods. New mechanicals.</t>
  </si>
  <si>
    <t>Oven/Range, Microwave, Dishwasher, Refrigerator, Refrigerator-Bar, Washer, Dryer, Disposal, All Stainless Steel Kitchen Appliances</t>
  </si>
  <si>
    <t>Common Grounds, Forest Preserve Adjacent, Nature Preserve Adjacent, Landscaped Professionally, Park Adjacent, Wooded</t>
  </si>
  <si>
    <t>Den, Loft, Office</t>
  </si>
  <si>
    <t>Call listing agent for appointment, please give some lead time</t>
  </si>
  <si>
    <t>Joseph and Joan Mikel</t>
  </si>
  <si>
    <t>Char Pankros, CNC,CSC</t>
  </si>
  <si>
    <t>(312) 615-2300</t>
  </si>
  <si>
    <t>Use showing assist, then call or text agent 312-615-2300  Minimum 2 hour notice, pets   Agent must accompany all clients. Contract 6.0 only.</t>
  </si>
  <si>
    <t>HATTENDORF</t>
  </si>
  <si>
    <t>VILLAGE CROSSING</t>
  </si>
  <si>
    <t>ROSELLE RD, just N of IRVING PARK, TO HATTENDORF, E TO 17 E Hattendorf - on right side of 27 E.</t>
  </si>
  <si>
    <t>RICH &amp; CLASSY UPDATED PENTHOUSE END-UNIT! ~Open Plan w/Archways, Recessed &amp; Custom Lighting ~NEW Gorgeous Kitchen w/All SS Applncs, Granite Cntrs, Tile Backsplash &amp; Window over sink! ~Lg Dining Area! ~Updated Baths! ~MBR w/New Tall Shwr &amp; Walk-In Closet! ~Jacuzzi Tub ~Ceiling Fans ~Lg Laundry Rm w/sink in Unit! ~White Doors &amp; Trim ~Freshly Painted ~Walk to Starbucks, Train &amp; Town w/Great Restaurants! --HOT PROPERTY!!</t>
  </si>
  <si>
    <t>Elevator, Storage, Party Room, Security Door Locks, Curbs/Gutters, Sidewalks, Street Lights, Street Paved, Other</t>
  </si>
  <si>
    <t>Microwave, Dishwasher, Refrigerator, Washer, Dryer, Disposal, All Stainless Steel Kitchen Appliances</t>
  </si>
  <si>
    <t>Heat, Water, Parking, Common Insurance, Security System, Exterior Maintenance, Lawn Care, Scavenger, Snow Removal</t>
  </si>
  <si>
    <t>Condo, Mid Rise (4-6 Stories), Penthouse</t>
  </si>
  <si>
    <t>CALL 855-919-0376 OR USE SHOWING ASSIST **LB on Rail in Rear of 27E Bldg, off alley by Garage Door**</t>
  </si>
  <si>
    <t>Jill Rudman, CNC,TRC</t>
  </si>
  <si>
    <t>(630) 341-8252</t>
  </si>
  <si>
    <t>630-341-8252 cell</t>
  </si>
  <si>
    <t>Parking Space is P4 + 2nd space is being rented in same garage at $75/month.  Heat &amp; Water ARE INCLUDED in Assessment!  Storage locker is S4 on the main level parking. Car Wash Bay on lower level parking.</t>
  </si>
  <si>
    <t>WHITE THORN</t>
  </si>
  <si>
    <t>75th TO BOOK S TO 87TH W TO SHEEHAN S TO WHITE THORN</t>
  </si>
  <si>
    <t>FANTASTIC 2 STORY TOWNHOME IN THE WINDRIDGE SUBDIVISION! LOTS OF UPDATES! 2 BEDROOMS! 1 1/2 BATHROOMS! 2ND FLOOR HAS NEWER WALNUT HARDWOOD FLOORS! NEWER CARPET! KITCHEN W/SS STOVE AND REFRIGERATOR!  NEWER GARAGE DOOR OPENER! BRAND NEW TILE FLOOR IN UPSTAIRS BATHROOM! DISTRICT #204 W/NEUQUA VALLEY HIGH SCHOOL! WATER IS INCLUDED IN HOA!  PROPERTY IS CURRENTLY LEASED THROUGH 5/1/2015! A MUST SEE!</t>
  </si>
  <si>
    <t>13X1</t>
  </si>
  <si>
    <t>MUST CALL CSS 1-877-977-1010, SOME NOTICE REQUIRED FOR TENANT! MUST CONFIRM!</t>
  </si>
  <si>
    <t>SOME ROOMS WILL BE TOUCHED UP UPON TENANTS MOVING OUT!</t>
  </si>
  <si>
    <t>SHERIDAN</t>
  </si>
  <si>
    <t>KINGSPOINTE</t>
  </si>
  <si>
    <t>RT. 59 TO NORTH AURORA RD-E, TO TUDOR-N, TO GOWDEY-W, TO BOND-N, TO SHERIDAN-W (DOES NOT BACK TO 59)</t>
  </si>
  <si>
    <t>CREEKSIDE</t>
  </si>
  <si>
    <t>METICULOUS TOWNHOME W/PRIVATE VIEWS + A COMMUTERS IDEAL LOCATION! CLOSE ACCESS TO METRA &amp; I-88! 2 STORY ENTRY W/OAK RAILS~ 9' CEILINGS~ LARGE FAMILY ROOM~ SEPARATE DINING RM~ KIT W/ALL APPL'S~ 1ST FLR LAUNDRY~ PRIVATE MASTER W/CATHEDRAL CEILING~DOUBLE SINKS~SOAKING TUB~SEP. SHOWER+WALK-IN CLOSET ~ 2ND MASTER W/PRIVIATE BATH &amp; WALK IN CLOSET! WHITE DOORS &amp; TRIM~ 2 CAR GAR~ CLOSE TO MAJOR SHOPPING, DINING &amp; MUCH MORE!</t>
  </si>
  <si>
    <t>Please call 1-855-746-9608 or click below to schedule an appointment</t>
  </si>
  <si>
    <t>630-621-5421 - Selena/Co-Lister</t>
  </si>
  <si>
    <t>MOTIVATED SELLER WANTS A QUICK SALE!  BRING AN OFFER!!!                Call Co-Lister Selena w/Any questions &amp; Offers - 630-621-5421 Selena.Stloukal@gmail.com</t>
  </si>
  <si>
    <t>SAUGANASH</t>
  </si>
  <si>
    <t>GREYSTONE</t>
  </si>
  <si>
    <t>RT 132 &amp; RT 45 E 2 ROLLINS S 2 SCARBOROUGH TO SAUGANASH</t>
  </si>
  <si>
    <t>CHASEMOORE</t>
  </si>
  <si>
    <t>Gorgeous remodeled Chasemoore model features updated kitchen with granite counters, ceramic backsplash, &amp; stainless appliances. Dining room includes extra built-in cabinets. Gleaming hardwood floors throughout main floor. New carpet, light fixtures, window treatments, furnace, &amp; more. Skylight. Vaulted ceiling in master bedroom. Two car garage. Storage/exercise room downstairs. Across street from park. See it today!</t>
  </si>
  <si>
    <t>Disclosures on ConnectMLS. Assessor has incorrectly identified this as a smaller model. This this is the Chasemoore model which is 1431 sq. ft. including the finished room in the lower level (1240 sq. ft. on the upper 2 levels).</t>
  </si>
  <si>
    <t>Roosevelt Rd to President S to Farnham W to Johnstown N to Princeton</t>
  </si>
  <si>
    <t>SPECTACULAR IS THE ONLY WAY TO DESCRIBE THIS TOTALLY REMODELED MANORHOME.  ALL NEW UPDATES INCLUDE NEW KITCHEN AND BATHS. GRANITE COUNTERS, STAINLESS APPLIANCES, NEW CARPETING, ALL NEW WINDOWS, MASONRY STYLE HEATILATOR ELECTRIC FIREPLACE.  IN-UNIT LAUNDRY.  DEFINITELY A MUST SEE!</t>
  </si>
  <si>
    <t>Call Listing agent to show 630-399-6019</t>
  </si>
  <si>
    <t>Stuart Michael</t>
  </si>
  <si>
    <t>(630) 399-6019</t>
  </si>
  <si>
    <t>Ogden Ave to Mill Street to Burning Tree</t>
  </si>
  <si>
    <t>AMAZING NORTH NAPERVILLE LOCATION/STEPS TO HIGHSCHOOL AND MINUTES TO THE RIVERWALK/THIS 2 BEDROOM CONDO IS LOCATED IN A WELL MAINTAINED ELEVATOR BUILDING/FEATURES CERAMIC TILED BATHS/THE MASTER BEDROOM IS GENEROUS IN SIZE AND OFFERS PLENTY OF CLOSET SPACE AND A PRIVATE FULL BATH/GLEAMING WOOD LAMINATE FLOORS THROUGHOUT/UNIT SOLD AS-IS / SELLER DOES NOT PROVIDE A SURVEY / TAXES PRORATED 100% / BUYER TO VERIFY HOA INFO</t>
  </si>
  <si>
    <t>Call Showing Time 800-746-9464</t>
  </si>
  <si>
    <t>EMAIL ALL OFFERS TO THE LISTING AGENT / OFFERS MUST INCLUDE POF OR PRE-APPROVAL LETTER &amp; COMPLETED BUYER NOTICE &amp; ACKNOWLEDGMENT FORM ATTACHED</t>
  </si>
  <si>
    <t>Willowview</t>
  </si>
  <si>
    <t>Ogden west to Frontenac N to Willowview E to 2nd drive</t>
  </si>
  <si>
    <t>Ideal Open Floor plan with all the rooms you need! Formal Living &amp; Dining Room! Spacious Kitchen with all appliances, peninsula island, eating area &amp; bay window! Nice Master Bedroom w/private bath, guest bedroom and giant loft/easy 3rd bedroom conversion w/slider to private balcony! Desirable Full Basement ready for your finishing touches! End Unit! Deep Garage! Spectacular Deck overlooking green space! Turn Key Cond</t>
  </si>
  <si>
    <t>25X10</t>
  </si>
  <si>
    <t>Deck, Loft</t>
  </si>
  <si>
    <t>showing time 800-746-9464</t>
  </si>
  <si>
    <t>Please use 6.0 contract for all offers</t>
  </si>
  <si>
    <t>Roosevelt</t>
  </si>
  <si>
    <t>CORNER OF YORK AND ROOSEVELT</t>
  </si>
  <si>
    <t>REO - BANK OWNED.PROPERTY SOLD â€œAS ISâ€ WITHOUT REPAIR, WARRANTY OR SELLER DISCLOSURE. â€œSELLER WILL NOT ACTIVATE ANY UTILITIESâ€ Listing Broker &amp; Seller assume no responsibility &amp; make no guarantees/warranties or representations as to the availability or accuracy of the property information, photographs or other information depicted/described herein. CASH &amp; CONVENTIONAL OFFERS ONLY.</t>
  </si>
  <si>
    <t>Heat, Water, Gas, Common Insurance, Exterior Maintenance, Lawn Care, Snow Removal</t>
  </si>
  <si>
    <t>Use Schedule a showing.</t>
  </si>
  <si>
    <t>Avian Realty</t>
  </si>
  <si>
    <t>(630) 677-7076</t>
  </si>
  <si>
    <t>Petko Barashki</t>
  </si>
  <si>
    <t>(630) 217-3917</t>
  </si>
  <si>
    <t>Vacant, no appointment required. For start and end time visit Hubzu.com. For assistance call Altisource @ 1-855-882-1314.Offers/Bids must be submitted via Hubzu.com. Buyer to pay $299 Technology Fee and Buyerâ€™s Premium.</t>
  </si>
  <si>
    <t>Rte 59 &amp; 87th St. east to Fulham left to home</t>
  </si>
  <si>
    <t>END UNIT!PRIVATE ENTRANCE~BACKS TO GREENSPACE! 2-CAR GARAGE!2-STORY LIVING RM WONDERFUL NATURAL LIGHT~FIREPLACE.LARGE KITCHEN,NEWER STOVE/DW, FRIG~BIG CUSTOM PANTRY! TURNED STAIRCASE TO SPACIOUS LOFT, EZ TO MAKE 3RD BEDROOM. VAULTED MASTER W/FULL BATH. PLUS VAULTED 2ND BEDROOM, FULL BATH NEARBY. 2ND FLR LAUNDRY. WHITE WOODWORK &amp; NEUTRAL PAINT COLORS THRU-OUT. LOCATION, LOCATION! DIST 204 SCHLS, NEAR SHOPPING</t>
  </si>
  <si>
    <t>Call/text listing agent 630-244-4422 wait for confirmation</t>
  </si>
  <si>
    <t>Carol Gavalick</t>
  </si>
  <si>
    <t>(630) 637-2578</t>
  </si>
  <si>
    <t>Gorgeous yard view*hugel loft*canned lights!</t>
  </si>
  <si>
    <t>Monticello</t>
  </si>
  <si>
    <t>HERITAGE LAKE ESTATES</t>
  </si>
  <si>
    <t>Blanchard S of 22nd St to Heritage Lake E to Monticello</t>
  </si>
  <si>
    <t>Fabulous end unit condo with full basement in prime location in Heritage Lake Estates!  Impeccably maintained with many recent updates including new carpet, new oven/range, new bathtub, and freshly painted.  Just minutes to Danada shopping, Park District Pool, and all area amenities!</t>
  </si>
  <si>
    <t>Park/Playground, Party Room, Sundeck, Pool-Outdoors</t>
  </si>
  <si>
    <t>Call LO, after hours text LA  630-200-24/82</t>
  </si>
  <si>
    <t>Kristi Hernandez</t>
  </si>
  <si>
    <t>(630) 868-6386</t>
  </si>
  <si>
    <t>Portable refrigerator stays</t>
  </si>
  <si>
    <t>TELLURIDE</t>
  </si>
  <si>
    <t>RANDALL 2 BIG TIMBER, W 2 TIMBER TRAIL BLVD, N 2 TELLURIDE-RIGHT</t>
  </si>
  <si>
    <t>Traditional sale w/Quick close!  One of the few with a BASEMENT!! This beautiful town home features: spacious kitchen w/pantry, loft that overlooks the living area w/large windows &amp; fireplace, huge laundry rm, neutral colors, full basement is great for storage &amp; ready to be finished.  Sit out on the cozy deck that overlooks the open back yard, all new brushed nickel doorknobs &amp; fixtures throughout the home, Clean!!!</t>
  </si>
  <si>
    <t>call CSS 877-977-1010</t>
  </si>
  <si>
    <t>JANET@DANFIRKS.COM     EMAIL 4 INFO</t>
  </si>
  <si>
    <t>Traditional Sale! WE CAN CLOSE ASAP! Est. of Mo. Utilities ComEd $72.04/mo. Nicor $52.36/mo. Water &amp; Garbage pickup are incl. w/assoc. !! NOT FHA APPROVED!!!-PLEASE PROVIDE FEEDBACK-REMOVE SHOWS-TURN OFF LIGHTS-THANKS FOR SHOWING.</t>
  </si>
  <si>
    <t>Tower</t>
  </si>
  <si>
    <t>From 22nd, head North on Meyers Road. Property is on East side of street.</t>
  </si>
  <si>
    <t>Long time owners just rehabbed: NEW kitchen cabinets, NEW tile, NEW granite counter tops, NEW carpet, NEW paint. Large REFINISHED deck with fruit trees! Extra large living areas. Office with built in bookshelves. Huge Master w/en suite w/ whirlpool tub and walk in closets. Lots of large windows and natural light. All appliances stay. Beautiful gas fireplace for those cold nights! Nothing to do but move in and enjoy!</t>
  </si>
  <si>
    <t>Common Insurance, TV/Cable, Pool, Exterior Maintenance, Lawn Care, Snow Removal</t>
  </si>
  <si>
    <t>Vacant, show anytime, Combo box. Text LA for code (630)808-6858. Please remove shoes, new carpet.</t>
  </si>
  <si>
    <t>Cambridge Carter Real Estate P.C.</t>
  </si>
  <si>
    <t>(630) 933-8200</t>
  </si>
  <si>
    <t>Lisa Malamis</t>
  </si>
  <si>
    <t>Offer accepted.</t>
  </si>
  <si>
    <t>Portsmouth</t>
  </si>
  <si>
    <t>CASS TO 79 EAST TO NANTUCKET, S TO PORTSMOUTH, E TO UNIT</t>
  </si>
  <si>
    <t>Mint condition fully remodeled townhouse style condo! Luxurious kitchen with 42" solid wood shaker cabinets, granite slab counters w/ under-mount sink &amp; new stainless steel appliances. Completely updated bath! Additional upgrades include new 20 inch Italian tile, new upgraded carpet, and fresh two tone paint. All new fans, fixtures &amp;hardware.Attention has been paid to every detail. This home will not disappoint!</t>
  </si>
  <si>
    <t>use  showing assist for combo code</t>
  </si>
  <si>
    <t>Stone Capital Investments LLC</t>
  </si>
  <si>
    <t>American Patriot Realty, Inc.</t>
  </si>
  <si>
    <t>(815) 679-0684</t>
  </si>
  <si>
    <t>Maya Joo</t>
  </si>
  <si>
    <t>(310) 922-6009</t>
  </si>
  <si>
    <t>This is a limited service listing Please contact Bennett Caudle with all questions @ 602-677-8853. Submit offers to bennettcaudle@gmail.com or 480-422-2308 fax No Rentals allowed and not a FHA approved complex</t>
  </si>
  <si>
    <t>Gallant Fox</t>
  </si>
  <si>
    <t>BLACKBERRY CROSSING WEST</t>
  </si>
  <si>
    <t>30 W OF ORCHARD TO GORDON S TO TROON E TO GALLANT FOX TO PROPERTY</t>
  </si>
  <si>
    <t>A cut above the rest! Affordable and attractive 2 bedroom, 2.1 bath townhome features wood laminate on the first floor, vaulted ceilings, open feel kitchen w/plenty of counter &amp; cabinet space. Master inc. walk in closet &amp; full bath w/separate shower, spacious loft perfect for your home office! Convenient 2nd floor laundry, 2 car garage &amp; nothing to do but move in! A must see - this one won't last!</t>
  </si>
  <si>
    <t>11X21</t>
  </si>
  <si>
    <t>PLEASE USE SHOWING ASSIST - 24 HOUR NOTICE REQUIRED</t>
  </si>
  <si>
    <t>Wenzel Select Properties, Ltd.</t>
  </si>
  <si>
    <t>(630) 430-4797</t>
  </si>
  <si>
    <t>Lisa Wenzel, ABR,GRI,SRS</t>
  </si>
  <si>
    <t>Durand</t>
  </si>
  <si>
    <t>BENDING OAKS</t>
  </si>
  <si>
    <t>BELMONT NORTH OF MAPLE TO DURAND WEST</t>
  </si>
  <si>
    <t>CATSBY</t>
  </si>
  <si>
    <t>32X120</t>
  </si>
  <si>
    <t>RARELY AVAILABLE GORGEOUS TOWNHOME IN DESIRABLE BENDING OAKS.GREAT RM W/ SOARING CEILING &amp; AMAZING STONE FPLC .DRAMATIC WALL OF WINDOWS OVERLOOK BEAUTIFUL PRIVATE YARD. LG FORMAL DIN RM. SPACIOUS CHEFS KIT W/ SUNNY BREAKFAST RM. MASTER SUITE W/ SPA BATH &amp; LG WIC. GLEAMING HARDWOOD FLRS. 1ST FLR LAUNDRY. PERFECT CONDITION THROUGHOUT.</t>
  </si>
  <si>
    <t>HENRY PUFFER ELEMENTARY SCHOOL</t>
  </si>
  <si>
    <t>Humidifier, Water-Softener Owned, Ceiling Fan, Sump Pump, Sprinkler-Lawn, Backup Sump Pump</t>
  </si>
  <si>
    <t>PLEASE CALL OR TEXT JIM LOTKA 630-776-2354</t>
  </si>
  <si>
    <t>IF YOU WOULD STILL LIKE TO SHOW PLEASE CALL OR TEXT JIM LOTKA 630-776-2354 OR EMAIL AT JIM@KIMLOTKA.COM. BUYERS AGENT MUST ACCOMPANY ALL SHOWINGS.</t>
  </si>
  <si>
    <t>Oak Knoll</t>
  </si>
  <si>
    <t>TERRA SPRINGS</t>
  </si>
  <si>
    <t>Rt 12 &amp; Hwy 134 east to Nippersink So. to Terra Springs left on Oak Knoll</t>
  </si>
  <si>
    <t>CHADWICK</t>
  </si>
  <si>
    <t>Gorgeous large Chadwick model townhome end unit. Bright open floor plan with over 1700 sq. ft. living space, gourmet kitchen with oak floors throughout lower level. Huge Master bedroom has upgraded master bath and upstairs laundry room.Large loft could be used for everything including a 3rd bedroom if desired. 2 car attached garage. Exercise facilities included in assessment.</t>
  </si>
  <si>
    <t>2.5- $225 (on Net SP)</t>
  </si>
  <si>
    <t>Renee O'Brien</t>
  </si>
  <si>
    <t>(847) 687-1954</t>
  </si>
  <si>
    <t>True Townhome will go FHA or VA</t>
  </si>
  <si>
    <t>BOKELMAN</t>
  </si>
  <si>
    <t>Gateway Commons</t>
  </si>
  <si>
    <t>IRVING PARK JUST EAST OF ROSELLE 2 BOKELMAN</t>
  </si>
  <si>
    <t>2BR 2BA 1678 SQ FT UPDATED CONDO. CUSTOM CABINETS,GRANITE IN KITCHEN IN BATHS,HARDWOOD FLOORS, NEW CARPET 2 JACUZZI TUBS PLUS SHOWER IN MASTER, NEW MIRRORS, NEW FAUCETS, FRESHLY PAINTED, CEILING FANS, NEW S/S APPLIANCES, FULL W/D IN UNIT LAUNDRY RM, LARGE EAT IN KITCHEN, LARGE WALK IN CLOSET, RADIANT FLOORS, HEAT INCLUDED IN HOA,HEATED GARAGE SPACE #207, EXTRA STORAGE #115 CLOSE TO TRAIN AND STARBUCKS. MOVE IN READY</t>
  </si>
  <si>
    <t>06X04</t>
  </si>
  <si>
    <t>USE SHOWING ASSIST TO SCHEDULE AN APPOINTMENT</t>
  </si>
  <si>
    <t>ILLINOIS REAL ESTATE BROKER</t>
  </si>
  <si>
    <t>NO MORE SHOWINGS..</t>
  </si>
  <si>
    <t>PINE RIDGE</t>
  </si>
  <si>
    <t>Kuhn S of Army Trail to Burke E to Canterbury around to 449</t>
  </si>
  <si>
    <t>Looking for a private and scenic wooded location with no exterior maintenance or lawn care? Then this is the home for you! End unit ranch TH w/vaulted ceilings in LR/DR, a large eat in kitchen w/lots of cabinet space, 2 updated baths plus big bedrooms*Master w/its own full bath &amp; separate vanity*1 car attached garage*Washer/dryer in unit too*Great location that's close to shopping, schools &amp; town center*Can't miss!</t>
  </si>
  <si>
    <t>Call Showing Time 855-919-0376</t>
  </si>
  <si>
    <t>630-980-4000</t>
  </si>
  <si>
    <t>Richard Orze</t>
  </si>
  <si>
    <t>(630) 248-5939</t>
  </si>
  <si>
    <t>Please call the day before if you wish to show before 2pm. To show after 2pm; 2 hours notice please.  Please note"w/o Senior Homeowner Exemption - taxes approximately $3420"* Current FHA apprvl expires 3/6 - HOA currently in renewal process</t>
  </si>
  <si>
    <t>Kingsbridge</t>
  </si>
  <si>
    <t>CAMBRIDGE POINTE</t>
  </si>
  <si>
    <t>County Farm to Woodhill E To Kingsbridge</t>
  </si>
  <si>
    <t>30X74</t>
  </si>
  <si>
    <t>Mint condition fully remodeled end unit townhouse! Excellent single level split floor plan with vaulted ceilings  Luxurious kitchen with 42" solid wood shaker cabinets granite slab counters  &amp; new SS appliances. Completely updated baths with gorgeous travertine shower. Additional upgrades include new 4 piece Versailles pattern travertine tile, new upgraded carpet, new fixtures and fresh two tone paint.</t>
  </si>
  <si>
    <t>13X2</t>
  </si>
  <si>
    <t>Vinyl Siding, Steel Siding</t>
  </si>
  <si>
    <t>use showing assist for code</t>
  </si>
  <si>
    <t>310-922-6009</t>
  </si>
  <si>
    <t>Please contact Bennett Caudle with all questions @ 602-677-8853. Submit offers to bennettcaudle@gmail.com or 480-422-2308 fax</t>
  </si>
  <si>
    <t>Coveted Second Floor Unit in Desirable Briarcliffe Knolls.  Freshly Painted and Brand New Carpet Throughout the Whole Condo. New Furnace, New A/C Unit.  Laundry Hook-Up In Unit.  Attached 1 Car Garage.  Steps to Lincoln Park &amp; Lincoln Elementary. Association Allows Renting Out Unit. Hurry - This One Won't Last Long!!</t>
  </si>
  <si>
    <t>Parking, Exterior Maintenance, Lawn Care, Snow Removal</t>
  </si>
  <si>
    <t>Use Showing Assist - Vacant - Go &amp; Show</t>
  </si>
  <si>
    <t>One of the Last Wheaton Homeowner's Association That Allows Units to Be Rented Out</t>
  </si>
  <si>
    <t>Concord Woods</t>
  </si>
  <si>
    <t>Route 31 to Concord ~Concord W. to Windsor or Hopps/Spring to Concord ~ S. to Windsor</t>
  </si>
  <si>
    <t>Charming home features beautiful hardwood flrs in living room and dining room, extra wide white trim, &amp; private deck. Kitchen has ample counter space, back splash, breakfast bar, and pantry. Mstr. bdrm w/cathedral ceiling. Loft could be office/play area or easily converted to 3rd bdrm. Finished walk-out bsmt. provides additional 600 sq. ft. of living &amp; entertaining space.  Neutrally Decorated = Move in Ready!!</t>
  </si>
  <si>
    <t>Please Call Showing Time at 855-746-9100- Must Confirm - Thanks</t>
  </si>
  <si>
    <t>Please note the security system is rented. Subdivision currently not FHA approved but in the process. Call association with questions. Thanks for Showing. Please use 6.0 contract.</t>
  </si>
  <si>
    <t>Woodewind</t>
  </si>
  <si>
    <t>Enclave At Country Lakes</t>
  </si>
  <si>
    <t>Route 59 to N Aurora West to Genesse N to Woodewind left to home</t>
  </si>
  <si>
    <t>GREAT TOWNHOME IN FABULOUS LOCATION. COMMUTER DREAM! EASY ACCESS TO METRA TRAIN STATION, NAPERVILLE OFFICE CORRIDOR &amp; I-88.PAINTED IN TODAY'S COLORS, 2ND FLOOR LAUNDRY ROOM WITH WASHER &amp; DRYER, SIX PANEL DOORS.  KITCHEN W/ALL APPLIANCES, PANTRY AND BREAKFAST BAR.  LIVING ROOM W/SLIDING DOOR ACCESS TO PATIO. MBR W/ENSUITE BATH &amp; 2 CLOSETS. WATER INCLUDED IN ASSESSMENTS! SCHOOL DISTRICT 204, METEA VALLEY HIGH SCHOOL.</t>
  </si>
  <si>
    <t>CALL BAIRD &amp; WARNER 855-746-9100</t>
  </si>
  <si>
    <t>Havenhill</t>
  </si>
  <si>
    <t>THE COMMONS AT THE GRAND</t>
  </si>
  <si>
    <t>ORCHARD N OF RT 34 TO MILL W TO TUSCANY TO HAVENHILL</t>
  </si>
  <si>
    <t>Newer 2-story townhome with open floorplan featuring two bedrooms plus loft, full basement, and 2-car garage.  Home has new carpet and has been freshly painted and new stove, dishwasher, and micro/hood installed.  Shows great!  This is a Fannie Mae HomePath property.</t>
  </si>
  <si>
    <t>Indian Hill</t>
  </si>
  <si>
    <t>Amber Fields</t>
  </si>
  <si>
    <t>Eola to Shenandoah W, to Lundquist N, to Indian Hill W</t>
  </si>
  <si>
    <t>BEAUTIFUL 2 BEDROOM + LOFT TOWN-HOME READY TO MOVE IN WITH NEW CARPET ON 2ND FLOOR!  KITCHEN W/ 42" OAK CABINETS , HARD WOOD FLOORS &amp; LARGE DINETTE AREA BIG ENOUGH FOR A FULL SIZE DINING TABLE. LARGE LOFT UPSTAIRS EASILY CONVERTED TO 3RD BEDROOM! MASTER BEDROOM HAS A PRIVATE BATH! TONS OF STORAGE, 2 CAR ATTACHED GARAGE &amp; DECK FOR YOUR OUTDOOR GRILLING AND RELAXING!</t>
  </si>
  <si>
    <t>Use ShowingAssist or call 1-800-SHOWING</t>
  </si>
  <si>
    <t>Butterfield E of Rt 59 to Batavia Rd N to Emerald Green rt to stop sign.  Turn left.</t>
  </si>
  <si>
    <t>Gorgeous 2 bedroom, 2 bath end unit-brand new everything waiting for your special touches.  Fireplace, master bath, brand new appliances-and the furniture is negotiable! Kitchen has 42" cabs plus backsplash.  Amenities include clubhouse, exercise facilities and a pool.  Just steps to Blackwell Forest Preserve. Such an open floorplan.</t>
  </si>
  <si>
    <t>Call 888-362-3222 to schedule showings. Call LA after hours.</t>
  </si>
  <si>
    <t>Kyle Kissane</t>
  </si>
  <si>
    <t>Brand new everything--chic condo-</t>
  </si>
  <si>
    <t>GOLDENROD</t>
  </si>
  <si>
    <t>GRASS LAKE RD W OF RT 59 TO LAKESHORE DR N TO GRASS LAKE DR RT TO WEST END DR LT TO GOLDENROD LEFT</t>
  </si>
  <si>
    <t>WATERFRONT</t>
  </si>
  <si>
    <t>LIVE &amp; ENJOY THE CHAIN Oâ€™LAKES LIFESTYLE WITHOUT ALL THE MAINTENANCE &amp; WORK! PRIVATE HARBOR W/DEEDED BOAT SLIP. BEAUTIFUL WATERFRONT UNIT W/LAKE VIEWS. VOLUME CEILING IN LR W/GAS LOG FP &amp; SLIDER TO TREX DECK. HW FLRS IN LR, DR, EA &amp; KIT W/MAPLE CABS. OPEN STAIRCASE TO MBR SUITE W/BALCONY, LRG WIC &amp; MBA W/WHRLPL &amp; SEP SHOWER. 2ND BR W/PRIVATE BATH. W/O LL FAM RM W/SLIDER TO PATIO. BSMT STORAGE, WORKSHOP &amp; HEATED GAR.</t>
  </si>
  <si>
    <t>Boat Dock, Sidewalks, Street Lights, Street Paved</t>
  </si>
  <si>
    <t>Chain of Lakes Frontage, Common Grounds, Cul-de-sac, Water Rights, Water View</t>
  </si>
  <si>
    <t>Deck, Eating Area, Foyer, Loft, Storage, Utility Room-Lower Level, Walk In Closet, Workroom</t>
  </si>
  <si>
    <t>Water-Softener Owned, TV-Dish, CO Detectors, Ceiling Fan, Sump Pump</t>
  </si>
  <si>
    <t>OWNERR OF RECORD</t>
  </si>
  <si>
    <t>EXCLUDE LIGHT FIXTURE IN EATING AREA. DEEDED BOAT SLIP $250/YEAR FOR INSURANCE, GATE KEY.  COMPLEX IS NOT FHA APPROVED.</t>
  </si>
  <si>
    <t>Ernst</t>
  </si>
  <si>
    <t>Mannheim Rd to Minneapolis Ave to Ernst St</t>
  </si>
  <si>
    <t>3534 SQ.FT.</t>
  </si>
  <si>
    <t>Very nice 2+1 bedrooms 2.1 Baths Duplex with a 2 car detached garage and full finished basement! Two story home contains bathroom and two bedrooms in 2nd floor, living room, dining room, kitchen in 1st floor, full bathroom and one bedroom in basement. Fenced in backyard. Built in 1945 brick home is approx 1000 sq.ft. and conveniently located near parks, schools an shopping! See it today! Waiting for your offers!</t>
  </si>
  <si>
    <t>To submit an offer, please, copy and paste this link: www.callzteam.net/property_n/3141_ERNST_ST. Highest and best deadline 3/25 at 4:00 PM. Submit disclosure and POF with offer. Won't pass FHA or conventional guidelines.</t>
  </si>
  <si>
    <t>Manning</t>
  </si>
  <si>
    <t>FIELDSTONE PLACE</t>
  </si>
  <si>
    <t>MONTGOMER RD W OF DOUGLAS TO BRIARCLIFF, S TO MANNING, E TO HOME</t>
  </si>
  <si>
    <t>BETTER THAN NEW- too many upgrades $$$ to list!  Spacious 2 BR 2Bath Townhome features Hardwood floors, Stainless Steel Appliances, 42" Maple Cabinets, Breakfast Bar, English BSMT, vaulted ceilings, Plantation blinds, 6 panel doors, Den or 3rd Bedroom on Lower level, wired for surround sound, Low monthly assessment!  Current &amp; neutral decor and finishes! MOVE RIGHT IN to this Light filled RAISED RANCH end unit.</t>
  </si>
  <si>
    <t>NICHOLSON ELEMENTARY SCHOOL</t>
  </si>
  <si>
    <t>WASHINGTON MIDDLE SCHOOL</t>
  </si>
  <si>
    <t>HOPE WALL, TODD</t>
  </si>
  <si>
    <t>Special Service Area #14 included in tax bill indefinitely last year $37.90 - Additional Photos coming - Please see Additional information documents uploaded</t>
  </si>
  <si>
    <t>Rt. 34 to Eola S to Hafenrichter East 2 Barrington S. to Georgetown to home</t>
  </si>
  <si>
    <t>Exceptional end unit townhome features upgraded 42" cabinets.  Gorgeous 2 story family room. 2 nice size bedrooms + loft area. Super starter home. Don't pay rent when you can own for less.  2 car attached garage. Great location - close to everything. Just move in and enjoy this beautiful home.</t>
  </si>
  <si>
    <t>2.5%- 200 (on Net SP)</t>
  </si>
  <si>
    <t>Please call or text listing agent 630-253-5763</t>
  </si>
  <si>
    <t>Becky Fabian</t>
  </si>
  <si>
    <t>(630) 253-5763</t>
  </si>
  <si>
    <t>Please allow some notice if possible.</t>
  </si>
  <si>
    <t>Fair Oaks to Big Horn E to Walnut S to Home</t>
  </si>
  <si>
    <t>31 X 98</t>
  </si>
  <si>
    <t>Nice 2 story end unit is move-in ready. Kitchen offers oak cabinets and nice appliances. Ceramic tile in kitchen and dining room. Patio doors from kitchen lead to deck with a beautiful view of the pond. Two good size bedrooms upstairs share a full bath. 1 car attached garage. Don't miss this one!  This is a Fannie Mae HomePath property w/100% tax proration. Buyer's are responsible  for transfer stamp.</t>
  </si>
  <si>
    <t>CALL SHOWING DESK 888-362-3222</t>
  </si>
  <si>
    <t>Natalee Barracks-Dismuke</t>
  </si>
  <si>
    <t>(847) 931-4663x523</t>
  </si>
  <si>
    <t>Please see attached docs under additional info. All offers must be made on Homepath.com. Also,send the same docs to Ndismuke@starckrealtors.com &amp; we will confirm receipt. Have your buyer(s) select &amp; Initial title option in Section 10.</t>
  </si>
  <si>
    <t>Bloomingdale N of Army Trail to Dunteman W2 Waters Edge</t>
  </si>
  <si>
    <t>Bright &amp; White Newer Kitchen w/Granite Like Countertops~Well Maintained 2 Bedroom &amp; 2 Full Baths Also Remodeled~Stackable Washer &amp; Dryer~1 Car Garage~Master Ste Features Walk In Closet~Private Patio and Storage Area.  This is a Fannie Mae Home Path Home.</t>
  </si>
  <si>
    <t>All offers must be made on HomePath. Please download pg  8 of the 6.0 along w/instructions prior to submitting offers. No survey.  Buyer responsible for 6 months HOA per Illinois State Statue. No Personal Property.  Transfer stamps are the</t>
  </si>
  <si>
    <t>WOODWARD</t>
  </si>
  <si>
    <t>WOODWARD S OF 75TH TO COUNTRY CLUB, W TO 1ST PARKING LOT</t>
  </si>
  <si>
    <t>Take a 2nd look -NEWLY painted 2nd fl., NEW carpeting, NEW SS appliances in updated kit, w/add. cabinets/pantry. Pergo style wood fl., 1st fl., 5 in white base trim, cove molding LR-DR, 6 panel doors thru out, remodeled baths, ceiling fan in MB, newer windows, CAC, lighting fixtures, furnace 2013, storm door 2014. Quiet Court Yard. Must See! Move in ready!</t>
  </si>
  <si>
    <t>Coin Laundry, Storage, Park/Playground, Party Room, Pool-Outdoors, Curbs/Gutters, Sidewalks, Street Lights, Street Paved</t>
  </si>
  <si>
    <t>Heat, Water, Gas, Common Insurance, Clubhouse, Pool, Exterior Maintenance, Lawn Care, Snow Removal</t>
  </si>
  <si>
    <t>Ceiling Fan, Sprinkler-Lawn</t>
  </si>
  <si>
    <t>PLEASE CALL CENTRALIZED SHOWING 877-977-1010. ALL BUYERS MUST BE ACCOMPANIED BY THEIR BUYERS AGENT.</t>
  </si>
  <si>
    <t>Sue Kenealy, CNC,SFR</t>
  </si>
  <si>
    <t>(630) 435-3577</t>
  </si>
  <si>
    <t>630.640.1985</t>
  </si>
  <si>
    <t>Association has scheduled common halls &amp; doors 2 B painted &amp; new add &amp; mailboxes 2 be installed. Quiet Court Yard. ASSMT INC HEAT, New Coined Laundry, Seller Licensed IL Managing Broker -3% conventional DP -pymt less than rent!</t>
  </si>
  <si>
    <t>Turtle Creek</t>
  </si>
  <si>
    <t>HERON BAY</t>
  </si>
  <si>
    <t>Route 134 and Fairfield Rd, NW2Fox Trail, S2Turtle Creek, W2#</t>
  </si>
  <si>
    <t>TOWN HOME</t>
  </si>
  <si>
    <t>Immaculate interior with newly painted today colors and colonist six panel doors and trim. Gorgeous dark wood floors on first floor, cherry 42" cabinets, upgraded all black appliances, wonderful floor plan. Cathedral ceiling and Basement is finished now used as office, easy bedroom three or family room, with English lookout. Big Hollow Schools, Close to Metra, Investors are Welcome Here. You can rent these units.</t>
  </si>
  <si>
    <t>Cul-de-sac, Nature Preserve Adjacent, Landscaped Professionally</t>
  </si>
  <si>
    <t>TV-Cable, TV Antenna, CO Detectors, Ceiling Fan, Sump Pump</t>
  </si>
  <si>
    <t>Must confirm, little ones in the home.  Please call the LO for all appointments.</t>
  </si>
  <si>
    <t>Investors are welcome here.  Very well kept unit, you won't be disappointed here. Show with confidence.</t>
  </si>
  <si>
    <t>Hawley &amp; Midlothian West to Woodhaven N to #</t>
  </si>
  <si>
    <t>Fabulous townhouse with wood laminate flooring, neutral carpeting, a main level laundry room and more! Private entrance. Extra long driveway. LR/DR combo with slider to private patio. Galley kitchen. Master w/generous closet space and private bathroom. Additional bedroom and bath complete the home. Near schools.</t>
  </si>
  <si>
    <t>Management Company  Village Management 847-367-4808</t>
  </si>
  <si>
    <t>Woodland Hills</t>
  </si>
  <si>
    <t>Hunt Club &amp; Washington west to White Oak South to Maple left to number</t>
  </si>
  <si>
    <t>Great Location.....Spacious 2 bedroom end unit with a stone wood burning fireplace in the family room on 2nd floor, rare 2 car garage, laundry on first floor, and large living/dinning room combination on main floor. Easy access to expressways, shopping and schools.  This unit is move in ready. Large kitchen with plenty of storage. Rentals are not allowed.</t>
  </si>
  <si>
    <t>855-746-9805</t>
  </si>
  <si>
    <t>Michael Nielsen</t>
  </si>
  <si>
    <t>(847) 293-6453</t>
  </si>
  <si>
    <t>Macgillis</t>
  </si>
  <si>
    <t>RT 120 TO RT134 TO MACGILLIS</t>
  </si>
  <si>
    <t>Cute 2 bedroom unit nestled in the woods. Property sold AS-IS! Seller is exempt from disclosures and will not provide termite or survey. Taxes prorated @ 100%. Buyer responsible for all inspections, repairs or fees. Add'l disclosures to follow accepted contract. Buyer's proof of funds must accompany all offers. SELLER REQUIRES MINIMUM 10 DOM FOR RESPONSE.</t>
  </si>
  <si>
    <t>Call 877.977.1010 to Show / Fax Offers to 847.245.7066. NO EMAILS PLEASE!</t>
  </si>
  <si>
    <t>This is not a short sale. Property sold as-is. Fax offers to 847.245.7066, Do not email. PROOF OF FUNDS/Prequalification Letter must accompany all offers</t>
  </si>
  <si>
    <t>CLARENDON</t>
  </si>
  <si>
    <t>CLARENDON COURT</t>
  </si>
  <si>
    <t>55th Street to Holmes, South to Clarendon Court, East to 400.</t>
  </si>
  <si>
    <t>TOWN HOUSE</t>
  </si>
  <si>
    <t>Beautiful 2 bedroom, 2.1 bath + loft (loft easily converted to bedroom) end-unit townhouse. Updated kitchen with newer cabinets &amp; granite counters! Fireplace in living room &amp; new hardwood floors on entire first floor. Den in Lower Level could be used as bedroom. Amazing storage space in attic. New windows (2014), updated baths, large deck &amp; newer roof. Near downtown &amp; train. Hinsdale Central HS District. Won't Last!</t>
  </si>
  <si>
    <t>11X4</t>
  </si>
  <si>
    <t>Den, Foyer, Loft</t>
  </si>
  <si>
    <t>TV-Cable, TV Antenna, Intercom, CO Detectors, Ceiling Fan, Sump Pump</t>
  </si>
  <si>
    <t>(847) 234-2500</t>
  </si>
  <si>
    <t>Dominick Clarizio</t>
  </si>
  <si>
    <t>(847) 615-5034</t>
  </si>
  <si>
    <t>847-910-0733 cell</t>
  </si>
  <si>
    <t>Listing Agent is related to the owner. Unit rental subject to HOA.</t>
  </si>
  <si>
    <t>YORK TO ADELAIDE WEST TO FRONT ENTRANCE</t>
  </si>
  <si>
    <t>INGRES</t>
  </si>
  <si>
    <t>TOTALLY RENOVATED UNIT WITH PHENOMENAL 20'X27' TERRACE. GUTTED KITCHEN &amp; BATHS OFFER STATE OF THE ART AMENITIES UNPARALLELED IN THE BUILDING. TASTEFUL WARM TONES. BONUS ROOM CAN BE USED FOR GYM OR OFFICE. IN UNIT LAUNDRY, 2 PARKING SPACES PLUS 2 STORAGE LOCKERS ARE OFFERED.10' CEILINGS.SEE AMENITY LIST IN HOME.THIS OUTSTANDING UNIT WILL NOT LAST LONG IN THIS CLOSE TO TOWN, TRAIN, LIBRARY, PARK &amp; RESTAURANT LOCATION.</t>
  </si>
  <si>
    <t>Elevator, Exercise Room, Storage, Sundeck, Receiving Room, Security Door Locks, Sidewalks, Street Lights, Street Paved</t>
  </si>
  <si>
    <t>Whirlpool, Separate Shower, Steam Shower, Double Sink</t>
  </si>
  <si>
    <t>Humidifier, TV-Cable, Security System, Fire Sprinklers, CO Detectors</t>
  </si>
  <si>
    <t>Debbie Obradovich</t>
  </si>
  <si>
    <t>(630) 935-8106</t>
  </si>
  <si>
    <t>RENTAL RESTRICTIONS. INQUIRE WITH AGENT. PARKING SPACES #51 &amp; 35. ONE STORAGE UNIT IS IN SECOND FLOOR HALL#25, OTHER STORAGE IN LOWER LEVEL GARAGE # 12</t>
  </si>
  <si>
    <t>N from Rt 21 to main entrance &amp; W2 stop, L across covered bridge to Vose &amp; R to 920 building on left</t>
  </si>
  <si>
    <t>Senior Freeze</t>
  </si>
  <si>
    <t>Enjoy this 5th floor ELM model, in the covered bridge neighborhood of Heather Ridge.  All newer appliances.  Window treatments stay.  New laminate kitchen floor.  Newer furnace + AC(2013).  Great bright/cheery location, in good condition.  King size MBR w/ walk-in closet &amp; MBR bath.  Stackable washer &amp; dryer in home.  Club house and pool close by. Peace &amp; tranquility exist in the complex. Come see all that's offered.</t>
  </si>
  <si>
    <t>Elevator, Exercise Room, Storage, Golf Course, On Site Manager/Engineer, Party Room, Pool-Outdoors, Security Door Locks, Service Elevator, Tennis Court/s, Street Lights, Street Paved</t>
  </si>
  <si>
    <t>CALL SHOWING DESK 855-746-9100</t>
  </si>
  <si>
    <t>Bill Anderson</t>
  </si>
  <si>
    <t>(847) 367-6375</t>
  </si>
  <si>
    <t>FHA approved. A "best buy" w/great views of the countryside. Immediate possession/quick close. 24 hour security. Heated parking/space #53. Elevator. Nine hole golf course. Easy access to all your wants and needs. Enjoy the quietness.</t>
  </si>
  <si>
    <t>Division to 22nd Ave., north to home</t>
  </si>
  <si>
    <t>24 X 125</t>
  </si>
  <si>
    <t>Charming duplex lovingly maintained by longtime owner.  Open living &amp; dining rooms have hardwood floors under carpeting.  2 large bedrooms upstairs, also with hardwood floors.  Full basement boasts kitchenette arrangement and half bath.  2 car detached garage.  Newer windows, furnace, CAC, hot water tank..  Crown molding on 1st floor.  Enjoy nice weather on the covered front porch.  Invite the neighbors! AS IS please</t>
  </si>
  <si>
    <t>2.5%  -$250 (on Net SP)</t>
  </si>
  <si>
    <t>call showing desk 800-746-9464</t>
  </si>
  <si>
    <t>Janet Baier, CRS</t>
  </si>
  <si>
    <t>(630) 291-4700</t>
  </si>
  <si>
    <t>cell:  630-291-4700</t>
  </si>
  <si>
    <t>This is an estate sale.  Home is in very good condition but will be sold AS IS.  Village inspection has been done and buyer may be required to take responsibility for repairs. OWNER IS LICENSED REALTOR IN ILLINOIS.</t>
  </si>
  <si>
    <t>Longford</t>
  </si>
  <si>
    <t>County Farm to Stearns west to Longford to 1127 on right</t>
  </si>
  <si>
    <t>Spacious, end unit townhouse with 1,723 sq ft on a cul-de-sac plus a full, partially finished basement. Huge master suite has walk-in closet and large bathroom with separate soaking tub and shower. Abundant storage in garage &amp; basement. Living room includes gas, wood burning fireplace. Additional den space on second floor. Just minutes to train &amp; expressway.</t>
  </si>
  <si>
    <t>2.5% MINUS $295 (on Gross SP)</t>
  </si>
  <si>
    <t>Open House 12pm to 2pm,  Sunday the 15th</t>
  </si>
  <si>
    <t>Vesta  Preferred  LLC</t>
  </si>
  <si>
    <t>(773) 645-4455</t>
  </si>
  <si>
    <t>Matthew Williams</t>
  </si>
  <si>
    <t>***Please remove shoes and turn off all lights after showing***Thank you. Not a short sale or foreclosure...just priced to sell!!</t>
  </si>
  <si>
    <t>LANCASTER</t>
  </si>
  <si>
    <t>WOODBRIDGE</t>
  </si>
  <si>
    <t>RANDALL TO COLLEGE GREEN E TO LANCASTER N TO PROPERTY</t>
  </si>
  <si>
    <t>Stunning townhome with open concept great room! Beautiful park view! Roomy eat-in kitchen with dark cabinets, tile floor and stainless steel appliances. Spacious dining room can accommodate a 6-person table and a china cabinet. The laundry room has a large capacity front loading washer and dryer and hanging space for your damp clothes. Huge master suite with his &amp; hers closets &amp; sink/vanity area. SORRY - NO FHA</t>
  </si>
  <si>
    <t>use show assist or call 800-showing - OWNER MUST MEET!</t>
  </si>
  <si>
    <t>Theresa Tyskiewicz</t>
  </si>
  <si>
    <t>Fax: 224-238-7498</t>
  </si>
  <si>
    <t>TENANT OCCUPIED AND OWNER HAS TO MEET FOR ALL APPTS SO 12-HOUR NOTICE NEEDED!  PLEASE REMOVE SHOES!  SORRY - NOT FHA APPROVED</t>
  </si>
  <si>
    <t>GREAT 2 BED 1.1 BATH TOWN HOUSE. VERY WELL RUN ASSOCIATION. REMODELED KITCHEN. LARGE ROOM SIZES. AMPLE PARKING. CLUBHOUSE AREA. SPACIOUS LIVING ROOM AND DINING SPACE. KITCHEN WITH LOTS OF CABINETS AND SPACE. MASTER BEDROOM HAS 2 CLOSETS UPSTAIRS. ONE OF THE CLOSETS HAS PLUMBING FOR AN ADDITIONAL BATH. 2ND BEDROOM HAS DEEP CLOSET ALSO. PROPERTY CAN BE RENTED AS WELL. LOW TAXES. GREAT UNIT. GREAT HOME.</t>
  </si>
  <si>
    <t>Property Economics Inc.</t>
  </si>
  <si>
    <t>(847) 863-5295</t>
  </si>
  <si>
    <t>AJ - Abhijit Leekha, ABR,SFR,SRES</t>
  </si>
  <si>
    <t>(630) 283-2111</t>
  </si>
  <si>
    <t>E-fax (847) 770-4943</t>
  </si>
  <si>
    <t>Listing office does not hold Earnest Money. Seller's attorney will hold Earnest Money. EM info, Disclosures and MBC are online under additional information. For additional information please text/call @ 630.283.2111</t>
  </si>
  <si>
    <t>Eisenhower</t>
  </si>
  <si>
    <t>Butterfield &amp; Greenleaf E to Dirksen N to Stevenson E to Eisenhower S to #</t>
  </si>
  <si>
    <t>WILIAMSBRG</t>
  </si>
  <si>
    <t>Bright, Open &amp; Spacious. Large Living Room w/Vaulted Ceiling open to Kitchen &amp; Dining Room. Gourmet Kitchen w/Granite Counters, Stainless Appliances, Breakfast Bar. Great Dining Room. Balcony Overlooking Tree Lined Street. Master Bedroom w/Large Walk-In Closet. In Unit Laundry Room w/Front Load Washer &amp; Dryer. Attached Garage. Private Entrance. Decorated w/Warm Neutral Colors. Move Right In.</t>
  </si>
  <si>
    <t>Click on "Schedule a Showing" or call (855) 746-9818. Notice Required.</t>
  </si>
  <si>
    <t>WEPPLER</t>
  </si>
  <si>
    <t>GAZEBO</t>
  </si>
  <si>
    <t>22ND TO LINCOLN TO GAZEBO</t>
  </si>
  <si>
    <t>STUNNING RENOVATED TOWNHOUSE BACKING TO GAZEBO PARK!! FIRST LEVEL FEATURES CORNER FIREPLACE, 9"CEILING, HARDWOOD FLOORING, GOURMET KITCHEN W/ SS APPLIANCES &amp; GRANITE COUNTERS, &amp; LUXURIOUS POWER ROOM FOR GUESTS.  SECOND LEVEL FEATURES 2 MASTER SUITES, LOFT AREA, SKYLIGHT, CONVENIENT LAUNDRY ROOM, &amp; NEW CARPETING.  GORGEOUS LIGHT FIXTURES THROUGHOUT. UNBEATABLE LOCATION NEXT TO THE BEST SHOPPING &amp; DINING AROUND!!</t>
  </si>
  <si>
    <t>Text LA @ 630-202-2602</t>
  </si>
  <si>
    <t>Dream Realty Services</t>
  </si>
  <si>
    <t>(312) 894-0004</t>
  </si>
  <si>
    <t>Ream Masoud</t>
  </si>
  <si>
    <t>(630) 202-2602</t>
  </si>
  <si>
    <t>Terra Firma</t>
  </si>
  <si>
    <t>134 &amp; Nippersink to Terra Springs Circle to Terra Firma</t>
  </si>
  <si>
    <t>CAROLLON</t>
  </si>
  <si>
    <t>WoW! Everything is done, just move right in! Gorgeous Kitchen with 42" Cherry Cabinets, backsplash, granite countertops and new SS appliances!  New carpet and paint throughout. Porcelain tile in master bath and glass shower door. 2nd floor laundry, 2 car garage. Possible 3rd bedroom on lower level!  This one won't last!!</t>
  </si>
  <si>
    <t>Common Insurance, Clubhouse, Exterior Maintenance</t>
  </si>
  <si>
    <t>Easy to show and sell. Not a short sale or foreclosure. Please call co-lister with all questions 630-334-5355</t>
  </si>
  <si>
    <t>Camden</t>
  </si>
  <si>
    <t>MAYFAIR STATION</t>
  </si>
  <si>
    <t>Schick W of County Farms Rd to Edinburg N to Camden</t>
  </si>
  <si>
    <t>DORSET</t>
  </si>
  <si>
    <t>Spacious, ranch model in much desired Mayfair Station. One level corner unit w/ attached garage close to Interstate, commuter Train &amp; bus. Updated kitchen (12) w/ back splash, new cabinets, counter top &amp; laminate floor. Wonderful  bay breakfast nook.  Marble gas FP in large LR- DR combo. New carpet and window cov. T/O. Luxury master w/walk in closet, sep. shower &amp;tub. HVAC 13, H2O in 12, Roof 06. Move in ready!</t>
  </si>
  <si>
    <t>Ilona Leber, SFR</t>
  </si>
  <si>
    <t>(847) 757-6428</t>
  </si>
  <si>
    <t>McLean or Hops to Sandhurst</t>
  </si>
  <si>
    <t>Beautiful condo with bright sunlight shining in from southern exposure. Great living room with fireplace and access to deck on south side. Nice dinging area and kitchen with plenty of counter space and pantry closet. Huge master bedroom that includes a 14x9 sitting area + a dressing area with double sink &amp; a vaulted ceiling. Nicely finished basement with family room and den area + a great laundry space with storage</t>
  </si>
  <si>
    <t>Joyce Gale</t>
  </si>
  <si>
    <t>Jeff Kellenberger</t>
  </si>
  <si>
    <t>(847) 695-6040x207</t>
  </si>
  <si>
    <t>Property is FHA approved.</t>
  </si>
  <si>
    <t>Timber Trails</t>
  </si>
  <si>
    <t>30RANDALL TO BIG TIMBER RD WEST TO TIMBER TRAILS</t>
  </si>
  <si>
    <t>AMAZING OPPORTUNITY HERE!!  Shows Like A Model!  BRAND NEW Carpet AND Fresh Paint make this unit MOVE IN READY.   Master Bedroom w/Vaulted Ceiling and LARGE Walk-In Closet. Large Second Bedroom, Bathroom, and Laundry Complete the Upper Level. Open Kitchen has Table Space with a Beautiful View. Large Family Room Pre-Wired for Surround Sound.  Sliding Glass door opens to your Balcony Overlooking The Greenscape.</t>
  </si>
  <si>
    <t>22X5</t>
  </si>
  <si>
    <t>Water, Scavenger</t>
  </si>
  <si>
    <t>Call 866-852-8313</t>
  </si>
  <si>
    <t>Katie Holmes</t>
  </si>
  <si>
    <t>(847) 961-8088</t>
  </si>
  <si>
    <t>TRADITIONAL SALE!!  CAN CLOSE QUICKLY!!  ORIGINAL OWNER!!  This building is FHA APPROVED.  NOTE: Hot Water Heater 2013,   (SSA is for Drainage/Water, 2013 Tax bill is $3478 + SSA $770.50)</t>
  </si>
  <si>
    <t>Lakewood village</t>
  </si>
  <si>
    <t>BUTTERFIELD RD BETWEEN RT45 &amp; RT60 TO ORLEANS W TO HOME</t>
  </si>
  <si>
    <t>ABSOLUTELY BEAUTIFUL! SHOWS LIKE A MODEL!LIGHT, BRIGHT AND OPEN!  LARGE EAT-IN KITCHEN, SPACIOUS LR W/COZY FP, CATHEDRAL CEILINGS,  PLENTY OF CLOSET SPACE. NEW A/C &amp; WATER HEATER. EXCELLENT LOCATION - MINUTES TO SHOPPING, RESTAURANTS, EXPRESSWAYS, TRAIN AND MORE. GREAT SCHOOLS!  EASY TO SHOW.</t>
  </si>
  <si>
    <t>call 847-480-5500</t>
  </si>
  <si>
    <t>RE/MAX 1st Class</t>
  </si>
  <si>
    <t>(847) 674-9797</t>
  </si>
  <si>
    <t>Nona Lisitza, SFR</t>
  </si>
  <si>
    <t>(847) 204-1776</t>
  </si>
  <si>
    <t>Demmond</t>
  </si>
  <si>
    <t>WING PARK MANOR</t>
  </si>
  <si>
    <t>Larkin Ave to Mclean N to Demmond E</t>
  </si>
  <si>
    <t>81X80</t>
  </si>
  <si>
    <t>Brick ranch duplex in Wing Park Manor with fenced yard. Beautiful hardwood floors. Covered Back porch.</t>
  </si>
  <si>
    <t>Karen Heimberg, e-PRO,GRI</t>
  </si>
  <si>
    <t>(847) 987-8842</t>
  </si>
  <si>
    <t>Schmale to Golfview E (S of Army Trail/E of Gary)</t>
  </si>
  <si>
    <t>17X109</t>
  </si>
  <si>
    <t>CUTE AS A BUTTON!!GOLF COURSE View!!9TH FAIRWAY! Double Master Suite Design with Private Baths &amp; Walk In Closets!!  Newer Windows&amp; Slider! Updated Powder Room!,CAC 2012,Furnace '06!PLUSH Carpet '12, Laminate Floors,Fin Garage (Insulated) Epoxy Floor! Use of Pool &amp; Party Room Included!Fully Appl incl Full Size W &amp; D!!Att Garage!  Close to Expressways, Metra Nearby!Award Winning Glenbard West!  Imaculate!!!</t>
  </si>
  <si>
    <t>Park/Playground, Party Room, Pool-Outdoors, Curbs/Gutters, Sidewalks, Street Lights</t>
  </si>
  <si>
    <t>Common Insurance, Pool, Lawn Care, Scavenger, Snow Removal</t>
  </si>
  <si>
    <t>Call Show Desk EZ 8007469464</t>
  </si>
  <si>
    <t>Corine</t>
  </si>
  <si>
    <t>Susan Giambrone, CNC,SFR</t>
  </si>
  <si>
    <t>(630) 461-7119</t>
  </si>
  <si>
    <t>TLC shows thruout!  Owner Transferred!!</t>
  </si>
  <si>
    <t>B1</t>
  </si>
  <si>
    <t>MANNHEIM RD TO MADISON ST, EAST TO BELLWOOD AVE, NORTH TO WARREN AVE</t>
  </si>
  <si>
    <t>Great opportunity! Spacious 2 bedroom, one bath condo unit with lots of potential! Good size bedrooms! Located near to schools, parks, transportation, etc. 5 unit condo building is currently vacant and awaiting redevelopment! No existing H/O.  This is a Fannie Mae HomePath property. See Agent Remarks for further details.</t>
  </si>
  <si>
    <t>3% OR $1000.00 WHICHEVER IS GREATER (on Gross SP)</t>
  </si>
  <si>
    <t>Call Listing Office for a code: 708-484-2300</t>
  </si>
  <si>
    <t>This is a Fannie Mae HomePath Property. Seller has directed that all offers be submitted via www.HomePath.com.   See site for details and to fill out REPA!</t>
  </si>
  <si>
    <t>SAINT REGIS</t>
  </si>
  <si>
    <t>22ND EAST OF HIGHLAND TO NORTHLAKE NORTH TO ST REGIS DRIVE</t>
  </si>
  <si>
    <t>THIS SPACIOUS TWO BEDROOM/TWO BATH CONDO FEATURES AN OPEN EAT-IN KITCHEN. CHERRY CABINETS &amp; GRANITE COUNTERTOPS. MSTR BEDROOM WALK-IN CLOSET,MSTR BATH JACUZZI TUB &amp; SEP SHOWER. IN-UNIT WASHER &amp; DRYER.  SPACIOUS DINING &amp; LIVING ROOM COMBO WITH SLIDING GLASS DOORS TO PRIVATE CARPETED BALCONY. ADDTL STORAGE LOCATED ON 3RD FLOOR. CLUB HOUSE, OUT DOOR POOL &amp; PARTY ROOM. HEATED UNDERGROUND GARAGE SPACE.</t>
  </si>
  <si>
    <t>Water, Parking, Common Insurance, Security System, Clubhouse, Pool, Exterior Maintenance, Lawn Care, Scavenger, Snow Removal</t>
  </si>
  <si>
    <t>Call Listing Agent 708 712-6299 Must Confirm</t>
  </si>
  <si>
    <t>Georgia Kass</t>
  </si>
  <si>
    <t>(708) 588-2343</t>
  </si>
  <si>
    <t>45 and Gages Lake Rd. E to Tangueray N to Sterling Ct to home</t>
  </si>
  <si>
    <t>Light and Bright End Unit with woods on 2 sides.  Large kitchen with island, beautiful floors, lots of cabinet space, balcony, 2 bedrooms, 2 1/2 bathrooms (private master bath) loft area, laundry located on 2nd level by the bedrooms, and additional office or living room in the lower level.  2 car garage.  Beautifully decorated and ready to move in!</t>
  </si>
  <si>
    <t>3% -$250 (on Gross SP)</t>
  </si>
  <si>
    <t>888-824-6462</t>
  </si>
  <si>
    <t>Ed Kanabay</t>
  </si>
  <si>
    <t>(847) 838-5555</t>
  </si>
  <si>
    <t>This home can close quickly. Not FHA or VA approved.</t>
  </si>
  <si>
    <t>Washington</t>
  </si>
  <si>
    <t>OLD TOWN</t>
  </si>
  <si>
    <t>Main St (C'ville) to Washington, North to home</t>
  </si>
  <si>
    <t>30 X 115</t>
  </si>
  <si>
    <t>Spacious &amp; very comfortable 1/2 Duplex in Old Town. NEW EAT-IN KITCHEN INCL. NEW CABS, GRANITE COUNTERS &amp; SS APPL. NEW BATHS, NEW LIGHTING &amp; ALL NEW FLOORING THRU-OUT. NEW ROOF, NEW GAR. DOOR/OPNER, new slider + 4 windows have been replaced. Fresh neutral paint thru-out. LR features fireplace. Huge mster bdrm &amp; lrg fin. bsmt.  NO HOA's! Deck &amp; Landscape to be fin. when weather improves or credit at close. Agent owned</t>
  </si>
  <si>
    <t>PARKVIEW ELEMENTARY SCHOOL</t>
  </si>
  <si>
    <t>Call</t>
  </si>
  <si>
    <t>Jacqueline Mahoney</t>
  </si>
  <si>
    <t>(847) 421-9442</t>
  </si>
  <si>
    <t>847-421-9442</t>
  </si>
  <si>
    <t>Easy to Show</t>
  </si>
  <si>
    <t>RT. 56 TO WEISBROOK TO STONEBRIDGE TO CREEKSIDE</t>
  </si>
  <si>
    <t>35X143</t>
  </si>
  <si>
    <t>Incredible amount of space in this 2bed/1.5 bath duplex with a full finished basement. Family room with fireplace opens to galley kitchen with breakfast bar. Separate dinning room and living room on the main level. Large deck off of living room. Upstairs are two large bedrooms, full bath and a walk in closet in the master. Attached 2 car garage, tons of storage, private wooded location.</t>
  </si>
  <si>
    <t>(773) 935-4466</t>
  </si>
  <si>
    <t>Vince Keller</t>
  </si>
  <si>
    <t>(773) 317-2696</t>
  </si>
  <si>
    <t>Assessments are actually paid quarterly but equate to $236 a month</t>
  </si>
  <si>
    <t>Plum</t>
  </si>
  <si>
    <t>Cass to 67th west to Orchard Gate north to Crabtree west to Plum</t>
  </si>
  <si>
    <t>THIS BEAUTIFUL END UNIT TH FEATURES NEWER HARDWOOD FLOORING, FRESHLY PAINTED INTERIOR, HUGE VAULTED GREAT ROOM, GAS LOG FIREPLACE &amp; GREAT DECK.  NOTHING TO DO BUT MOVE IN HERE!  MAIN BATH HAS DOUBLE SINK &amp; JACUZZI STYLE TUB.  WONDERFUL SIDE YARD PRIVACY, LARGE &amp; DEEP GARAGE W/ EXTRA STORAGE AREA.  2 YEAR OLD FURNACE &amp; AC.  NEW GARAGE DOOR.  HOME IS IN EXCELLENT CONDITION.  CLOSE TO SHOPPING.  PRIDE SHOWS HERE!</t>
  </si>
  <si>
    <t>08X06</t>
  </si>
  <si>
    <t>CALL LISTING AGENT FOR APPT   630-247-0767</t>
  </si>
  <si>
    <t>Rd. 53 to Hobson Rd East to Woodridge Dr. South to Roberts Rd. to Building on Right</t>
  </si>
  <si>
    <t>A condo with class! Lovely 2 bdrm, 2 bath condo in Winston Hills! Spacious living rm inc. lrg bay window &amp; dining rm w/new ceiling fan, kitchen w/updated appliances, master suite inc. 3 closets &amp; completely updated full bth. Spacious 2nd bdrm &amp; 2nd full bth w/new shower tile. 2 assigned parking spaces, storage unit, recently painted, windows replaced w/UV protection glass &amp; corner unit which does not face busy road!</t>
  </si>
  <si>
    <t>Coin Laundry, Storage, Curbs/Gutters, Sidewalks, Street Paved</t>
  </si>
  <si>
    <t>AVENUE L</t>
  </si>
  <si>
    <t>112 Street to Avenue L south to property</t>
  </si>
  <si>
    <t>What a cream puff!! Beautiful sunny home in quiet desirable neighborhood. Totally remodeled! One long time owner. Great flowing floor plan! Freshly painted, hardwood floors beneath carpets, full finished basement, updated bath, huge master bedroom, washer &amp; dryer, two car garage, fabulous fenced back yard with patio, central air, close to transportation, shopping, parks, &amp; the Lake!</t>
  </si>
  <si>
    <t>CALL/TEXT BEKI 773-510-0859</t>
  </si>
  <si>
    <t>Beki Darin</t>
  </si>
  <si>
    <t>(773) 510-0859</t>
  </si>
  <si>
    <t>MANOR HOMES OF CENTURY OAKS</t>
  </si>
  <si>
    <t>RANDALL TO BIG TIMBER E TO LYLE N TO CREEKSIDE</t>
  </si>
  <si>
    <t>ALCOT</t>
  </si>
  <si>
    <t>Stunning &amp;spacious open flr plan. "Great" size LRw/awesome FPL, offic space, &amp; SLDG to private balcony. Separate DR. Super eat-in kitchen w/brand new S.S. appls, planning desk &amp; SLDG to balcony. Master BRw/walk in closet, MSTR Ba w/separate shower. Pro. painted thru-out. New carpet, lighting &amp; more. Quiet Bldg. Minutes to I-90, Randall Rd, Metra &amp; Sherman Hospital. A commuters dream! SOLD "AS IS", QUICK CLOSE!</t>
  </si>
  <si>
    <t>2.5%  -$289 (on Net SP)</t>
  </si>
  <si>
    <t>CALL SELLER @ 630-973-6557 FOR SHOW OR QUESTIONS</t>
  </si>
  <si>
    <t>FAX OFFERS TO LIST OFFICE 773-472-8988.   PRELLO DOES NOT HOLD EARNEST MONEY.</t>
  </si>
  <si>
    <t>Parkhill</t>
  </si>
  <si>
    <t>Woodlands at Oakhurst North</t>
  </si>
  <si>
    <t>Eola south to Liberty west to Asbury North to Parkhill east</t>
  </si>
  <si>
    <t>*Quick close if needed for this home* Private entry to this charming and bright end unit ranch with first floor access and vaulted ceiling. Walkin closet in Master Bedroom. Kitchen with Center Island and Pantry. Open green space with pond nature preserve area near this home. A few minutes drive to the Eola Community Center, Mariano's or Burlington Northern Metra train station.</t>
  </si>
  <si>
    <t>Call or text LA  by Appointment Only!</t>
  </si>
  <si>
    <t>Paul Martis, CIPS,CNC,SRES,TRC</t>
  </si>
  <si>
    <t>(630) 544-4550</t>
  </si>
  <si>
    <t>Ranch on 1st floor...Pool/Clubhouse Master Association is $133/QTR through Associa Mgmt Company.  General condo dues are $169/month for this unit through Caruso Property Mgmt.</t>
  </si>
  <si>
    <t>Plainfield Road (W) Cass and (E) Lemont ,(S) on Redondo Drive</t>
  </si>
  <si>
    <t>Must see! Large 2 bedroom, 2 bath 1,055 sq ft unit. 2 car garage with storage unit. All newer appliances, fireplace, updated bathrooms. Large balcony. Building has an elevator and heated garage with 2 assigned spaces. Laundry in unit. Water, heat, scavenger, lawn care are all included!</t>
  </si>
  <si>
    <t>Please  call/text  Jim  1 630 888 0428</t>
  </si>
  <si>
    <t>Lina Shah, CSC</t>
  </si>
  <si>
    <t>(312) 593-4818</t>
  </si>
  <si>
    <t>1 312 593 4818</t>
  </si>
  <si>
    <t>Building does not allow lockboxes. Please allow extra time when showing to pick up the key from Realty Executives 1310 Plainfield Rd (630) 969-8880.  NO rentals allowed. Special assessment will be paid by the seller at closing.</t>
  </si>
  <si>
    <t>83rd St.  East of Janes to Piers Dr N Right to Wharf Drive</t>
  </si>
  <si>
    <t>Beautifully UPDATED 2nd Flr Condo.  GORGEOUS  Kitchen with NEW MAPLE Cabinets ,GRANITE Counter Tops,  CERAMIC Tile, and Pantry.  Family Room w/Fireplace.  Master Suite w/WIC and Private Bath. Both Baths have been Completely REMODELED.   IN UNIT Washer and Dryer. END Unit w/Balcony . 1 Car Garage,  Pool and Club House.  FHA APPROVED.</t>
  </si>
  <si>
    <t>Common Insurance, Clubhouse, Pool, Exterior Maintenance, Lawn Care, Lake Rights</t>
  </si>
  <si>
    <t>CALL OFFICE</t>
  </si>
  <si>
    <t>Julie Richa-Bushore</t>
  </si>
  <si>
    <t>(847) 230-7040</t>
  </si>
  <si>
    <t>LOCK BOX IS LOCATED ON THE GARAGE DOOR, WHICH IS GARAGE NUMBER 2306</t>
  </si>
  <si>
    <t>3% MINIMUM COMMISSION $1,500 (ON GROSS SP) (on Gross SP)</t>
  </si>
  <si>
    <t>0N020</t>
  </si>
  <si>
    <t>Ambleside</t>
  </si>
  <si>
    <t>Winfield Road, West on High Lake, North on Ambleside, building is on left</t>
  </si>
  <si>
    <t>Fresh and sunny 2nd floor unit with a large private deck and over 1200 sq ft of living space. Freshly painted walls, updated bathrooms, wood burning fireplace, oversized master bedroom with 4-piece bath unique to other floor plans. New in 2014: water heater, roof, bedroom windows. Community also features a beautiful pond and gazebo and is close to commuter train, post office, and restaurants!</t>
  </si>
  <si>
    <t>Bike Room/Bike Trails, Curbs/Gutters, Street Lights, Street Paved</t>
  </si>
  <si>
    <t>Forest Preserve Adjacent, Nature Preserve Adjacent</t>
  </si>
  <si>
    <t>Larson</t>
  </si>
  <si>
    <t>Southwestern Real Estate, Inc.</t>
  </si>
  <si>
    <t>(630) 510-3190</t>
  </si>
  <si>
    <t>Brynne Parrish</t>
  </si>
  <si>
    <t>(630) 234-0559</t>
  </si>
  <si>
    <t>Owners can rent unit after 1 year of occupancy. Unit's garage is farthest to the right as you face the building. Entrance to garage through hallway downstairs.</t>
  </si>
  <si>
    <t>Village Green of East Dundee</t>
  </si>
  <si>
    <t>Rte. 72 E to Rte.68NE (Barrington Ave.) to Village Green</t>
  </si>
  <si>
    <t>Active Senior Living Condo Community.  Village Green of East Dundee.  1st floor unit 2 bed 1.1 bath unit.  Stainless Refrig and Stove.  Monthly assessment covers all utilities, exterior maint, in unit services, separate Wellness Center on site, weekly bus service for shopping.  Bsmnt  Storage.  See Village Green Web Site for addt'l information.  Nightly Meal Plans Available. Between Dundee Library and Senior Center.</t>
  </si>
  <si>
    <t>Commissary, Elevator, Exercise Room, Storage, On Site Manager/Engineer, Party Room, Receiving Room, Security Door Locks, Service Elevator, Curbs/Gutters, Sidewalks, Street Lights, Street Paved, Other</t>
  </si>
  <si>
    <t>Heat, Air Conditioning, Water, Electric, Parking, Common Insurance, Security, TV/Cable, Exercise Facilities, Exterior Maintenance, Lawn Care, Scavenger, Snow Removal</t>
  </si>
  <si>
    <t>TV-Cable, Security System, Fire Sprinklers</t>
  </si>
  <si>
    <t>Call Listing Office, Keys at Village Green Front Desk</t>
  </si>
  <si>
    <t>Herbert</t>
  </si>
  <si>
    <t>Bill Spencer</t>
  </si>
  <si>
    <t>(815) 382-7300</t>
  </si>
  <si>
    <t>(815) 382-7300 Cell</t>
  </si>
  <si>
    <t>Offer verbally accepted, waiting for paperwork signatures.</t>
  </si>
  <si>
    <t>Persimmon</t>
  </si>
  <si>
    <t>AMBER GROVE</t>
  </si>
  <si>
    <t>Rt 20 to Naperville Rd S to Spaulding W to Persimmon</t>
  </si>
  <si>
    <t>Terrific 2 bed 1.5 bath Townhome in the desirable Amber Grove Subdivision. Features a loft that can be used as a 3rd bedroom,lots of storage including a large walk in closet on 2nd level, brick patio, laundry room and more. A must see! Not a short sale or foreclosure.</t>
  </si>
  <si>
    <t>Parking, Common Insurance, Exterior Maintenance, Snow Removal</t>
  </si>
  <si>
    <t>(773) 467-5300</t>
  </si>
  <si>
    <t>Kelly Weber</t>
  </si>
  <si>
    <t>(773) 501-5983</t>
  </si>
  <si>
    <t>Please exclude the washer/dryer and shelves in garage. Clients need 6 hours notice if possible.</t>
  </si>
  <si>
    <t>Nerge Rd. So. to Yosemite Tr. E. or left. Building immediately on your left.</t>
  </si>
  <si>
    <t>Well maintained 1st floor unit in PREMIER SCHOOLS!  Enjoy the convenience of 1 level living with no stairs in unit.  New carpet &amp; freshly painted 2015! Laundry in-unit w/newer W/D '13 &amp; '14. Features large breakfast bar in kitchen and walk-in pantry. Full bath remodel '14.  Relax on your patio on warm days with a backyard park-like view.  Convenient to Metra train, expressways &amp; shopping!</t>
  </si>
  <si>
    <t>Security Door Locks, Curbs/Gutters, Sidewalks, Street Paved</t>
  </si>
  <si>
    <t>Parking, Common Insurance, Security System, Exterior Maintenance, Lawn Care</t>
  </si>
  <si>
    <t>2.5%-295 (on Gross SP)</t>
  </si>
  <si>
    <t>Please call LO for instructions.</t>
  </si>
  <si>
    <t>Gloria Warnimont</t>
  </si>
  <si>
    <t>(630) 307-9055</t>
  </si>
  <si>
    <t>630-261-5136</t>
  </si>
  <si>
    <t>MAPLE W OF 53-BURR OAK-ABBY- 1ST STOP SIGN OAKWOOD TURN RIGHT</t>
  </si>
  <si>
    <t>Enjoy Resort Style Living in this 2 Bedroom 1 Bath Condo that Boasts Fresh Paint and New Carpet Throughout. Sliding Glass Doors to Nice Sized Balcony. Bathroom has Separate Sink Area. Fireplace In Living Room. Bedrooms Offer Large Closets. Washer/Dryer in Unit. 2 Parking Spaces. Community Features a Outdoor Pool For Those Hot Summer Days, Tennis Courts, Clubhouse, Bike Trails, Playground And Much More!</t>
  </si>
  <si>
    <t>Bike Room/Bike Trails, Boat Dock, Elevator, Golf Course, Park/Playground, Party Room, Pool-Outdoors, Tennis Court/s, Curbs/Gutters, Sidewalks, Street Lights, Street Paved</t>
  </si>
  <si>
    <t>Please Submit All Offers with PreApproval or Proof of Funds to Offers@themalikteam.com or FAX to 214-716-1094. Traditional Sale - Show with Confidence.</t>
  </si>
  <si>
    <t>JOAN</t>
  </si>
  <si>
    <t>BARTLETT GREEN</t>
  </si>
  <si>
    <t>LAKE 2 NORTH 2 CHASE S 2 JOAN</t>
  </si>
  <si>
    <t>COMFORTABLE 2 BEDROOM 1.1 BATH 2 STORY IN GREAT CONDITION....NEWER CARPET, NEW WINDOW COVERINGS, NEUTRAL DECOR, ALL APPLIANCES, NEWER LAMINATE FLOORING, KITCHEN WITH EATING AREA, WASHER AND DRYER, 1 CAR ATTACHED GARAGE...WALK TO TRAIN, SHOPPING AND RESTAURANTS.  ALSO FOR RENT</t>
  </si>
  <si>
    <t>STEPHANIE BAGGOT LEMAIRE</t>
  </si>
  <si>
    <t>Patricia Hanson</t>
  </si>
  <si>
    <t>(630) 539-4033</t>
  </si>
  <si>
    <t>ALSO FOR RENT</t>
  </si>
  <si>
    <t>BUTTERFIELD RD SO. OF RTE 60 TO ORLEANS; W2 HOME #1265</t>
  </si>
  <si>
    <t>**GORGEOUS CONDO WITH VOLUME CEILINGS** STUNNING FLOORPLAN WITH FRESH PAINT AND CARPET MAKES THIS PROPERTY THE ABSOLUTE PERFECT HOME! DO NOT WAIT THIS ONE WILL GO VERY FAST!</t>
  </si>
  <si>
    <t>The seller has directed that all offers on this listing be made using the HomePath Online Offer system at HomePath.com website</t>
  </si>
  <si>
    <t>Oconnor</t>
  </si>
  <si>
    <t>BELMONT TO 80TH/PACIFIC SOUTH TO O'CONNOR WEST TO 8035</t>
  </si>
  <si>
    <t>COMPLETELY REMODELED 1,300 SQUARE FEET PENTHOUSE  HAS GREAT FINISHES AND LOCATION.  NEW LARGE KITCHEN WITH ISLAND SS APPLIANCES AND GRANITE COUNTER TOPS. HARDWOOD FLOORS, BRAND NEW STYLISH BATHROOMS, UPDATED LIGHTING,  LARGE MASTER BEDROOM WITH MASTER BATH AND HUGE WALK IN CLOSET. 1 GARAGE SPACE AND OUTSIDE PARKING. YOU CAN'T MISS THIS ONE... HIGHEST &amp; BEST OFFER DUE 3/16/15 AT 5 PM.</t>
  </si>
  <si>
    <t>RIVER GROVE ELEMENTARY SCHOOL</t>
  </si>
  <si>
    <t>Coin Laundry, Elevator, Storage, Party Room</t>
  </si>
  <si>
    <t>2.5% -$250 (on Gross SP)</t>
  </si>
  <si>
    <t>Top Realty Group. LLC</t>
  </si>
  <si>
    <t>(847) 877-7997</t>
  </si>
  <si>
    <t>Edyta Kamykowska</t>
  </si>
  <si>
    <t>(847) 890-2889</t>
  </si>
  <si>
    <t>847-890-2889</t>
  </si>
  <si>
    <t>WINE FRIDGE AS-IS. NO FHA and NO RENTALS</t>
  </si>
  <si>
    <t>PARK</t>
  </si>
  <si>
    <t>5H</t>
  </si>
  <si>
    <t>Park Blvd North of Roosevelt Rd &amp; South of the Glen Ellyn tracks. Parking available behind 445 bldg.</t>
  </si>
  <si>
    <t>Beautiful, coveted top flr condo w/over 1500 SF of living space. Updated, sky-lite, eat-in kitchen w/maple cabs &amp; look thru to living rm. Refrig &amp; DW like new. Sliding glass dr window wall adds loads of natural light to the spacious living rm. Formal dining area. Master w/his &amp; her closets &amp; bath. Balcony overlooks courtyard. Garage included. Newer furnace. Located in-town Glen Ellyn. Walk to Metra, shopping &amp; dining</t>
  </si>
  <si>
    <t>BEN FRANKLIN ELEMENTARY SCHOOL</t>
  </si>
  <si>
    <t>Coin Laundry, Elevator, Storage, Receiving Room, Security Door Locks, Curbs/Gutters, Sidewalks, Street Lights, Street Paved</t>
  </si>
  <si>
    <t>Oven-Double, Oven/Range, Microwave, Dishwasher, Refrigerator</t>
  </si>
  <si>
    <t>Call Showing Time @ 1.866.571.7181</t>
  </si>
  <si>
    <t>Jenny LaPointe</t>
  </si>
  <si>
    <t>(630) 244-8515</t>
  </si>
  <si>
    <t>Keybox located inside courtyard side entrance.  Keys for both the building &amp; condo doors in keybox.  Unit is located to the left when you come out of elevator on 5th floor. Garage is 2nd from the courtyard door to the South.</t>
  </si>
  <si>
    <t>DEYO</t>
  </si>
  <si>
    <t>South of Tracks between Maple and East Ave</t>
  </si>
  <si>
    <t>IF YOU'RE LOOKING FOR A HOME THAT IS MOVE-IN READY, YOUR SEARCH IS OVER. MOVE IN TO THIS BRIGHT, SUNNY 2 STORY TOWNHOME TODAY! WONDERFUL OPPORTUNITY TO OWN AN AFFORDABLE FANNIE MAE HOMEPATH PROPERTY LOCATED IN QUIET RESIDENTIAL STREET! SUBJECT FEATURES NEW FRESH PAINT, NEW CARPET, 2 BEDROOMS, 1 BATH, A LARGE FAMILY ROOM WITH FIREPLACE AND A FENCE FRONT YARD. IT WONT LAST LONG.</t>
  </si>
  <si>
    <t>16X23</t>
  </si>
  <si>
    <t>Sellers have directed that all offers are to be made on their online offer system at homepath.com. Download offer pack from the mls &amp; include with your offer. Buyer is responsible for Village inspections &amp; escrow fees. Property sold as is.</t>
  </si>
  <si>
    <t>2-I</t>
  </si>
  <si>
    <t>PARK PLACE</t>
  </si>
  <si>
    <t>North on Park Blvd. from Roosevelt to Property. Just before tracks on East side of Park Blvd.</t>
  </si>
  <si>
    <t>Superb! City-feel living in charming Glen Ellyn! Gorgeously updated 2 BR/2 BTH 2nd floor condo. Update KIT w/recessed lighting, pretty glass tile backsplash, SS appls! HUGE FR faces courtyard. Hardwood floors, 1,300+ sq ft of space! DR spacious enough to be an extended FR or separate Den. 1 blk to train, 3 blks to Town-Coffeshops, Dining, Shopping &amp; more all just steps away. Must see!  Stop renting and live here!</t>
  </si>
  <si>
    <t>Bike Room/Bike Trails, Coin Laundry, Elevator, Storage, Sidewalks, Street Lights, Street Paved</t>
  </si>
  <si>
    <t>Call 1.866.571.7181. Must confirm.</t>
  </si>
  <si>
    <t>630-842-6063</t>
  </si>
  <si>
    <t>SUNNYSIDE</t>
  </si>
  <si>
    <t>OGDEN TO SUNNYSIDE SOUTH TO 4245</t>
  </si>
  <si>
    <t>30X128</t>
  </si>
  <si>
    <t>ABSOLUTELY ADORABLE 2 BEDROOM-1 1/2 BATH BRICK DUPLEX.LOVELY UPDATED KITCHEN.NEWER "PERGO" STYLE FLOORING IN KIT &amp; FORMAL DINING ROOM.LARGE MASTER BEDROOM.COZY LOWER LEVEL REC ROOM. NEWLY LANDSCAPED FRONT/BACK YARDS...PAVER BRICK PATIO IN REAR.NEWER SHED.MANY UPDATES INCLUDING: SOME NEWER LIGHT FIXTURES,NEW INSULATION IN ATTIC,NEWER FURNACE/CAC,NEWER HWT,NEWER THERMO PANE VINYL CLAD WINDOWS,NEWER FRONT STORM DOOR.</t>
  </si>
  <si>
    <t>CALL OR TEXT GLENN 708-785-2323. PLEASE TRY TO GIVE SOME NOTICE.</t>
  </si>
  <si>
    <t>AUSTIN MARTIN &amp; MARGARET MARTIN</t>
  </si>
  <si>
    <t>Failla Realty</t>
  </si>
  <si>
    <t>(708) 485-6606</t>
  </si>
  <si>
    <t>Glenn S Failla</t>
  </si>
  <si>
    <t>(708) 785-2323</t>
  </si>
  <si>
    <t>BEAUTIFULLY UPDATED TOWNHOUSE W/ 2 MASTER SUITES PLUS 1/2 BA AND LOWER LEVEL FAMILY RM OR OFFICE. NEW CABINETS IN KITCHEN W/UNDERMOUNT LIGHTING, NEW S/S APPLIANCES ,NEW GRANITE IN KITCHEN &amp; BATHS, NEW HARDWOOD FLOORS, NEW CARPET, NEW LIGHTING, NEW MIRRORS, NEW FANS, NEW BLINDS, ENTIRE UNIT PAINTED, LAUNDRY ROOM WITH NEW W/D. 2 CAR GARAGE. EASY ACCESS TO HIGHWAY 83</t>
  </si>
  <si>
    <t>Use showing assist to schedule appointment</t>
  </si>
  <si>
    <t>ILL LIC MANG BROKER</t>
  </si>
  <si>
    <t>GRAND RIDGE</t>
  </si>
  <si>
    <t>HARVEST HILLS</t>
  </si>
  <si>
    <t>Rt 64 W of Randall.Campton Hills to Tower Hill, S to Grand Ridge</t>
  </si>
  <si>
    <t>SAVANNA BL</t>
  </si>
  <si>
    <t>Fantastic, end unit town home in desirable Harvest Hills of St. Charles!   Large 2-story living room &amp; separate dining area. Spacious kitchen w/island, stainless steel fridge &amp; stove, sliding doors to deck &amp; gorgeous views! Great master bedroom w/vaulted ceilings &amp; walk-in closet. 2nd floor loft area, finished walkout lower level &amp; adorable front porch! Premium lot backs to expanisive green space and walking paths.</t>
  </si>
  <si>
    <t>38X24</t>
  </si>
  <si>
    <t>None, Park/Playground, Curbs/Gutters, Sidewalks, Street Lights, Street Paved</t>
  </si>
  <si>
    <t>Humidifier, Water-Softener Owned, Ceiling Fan, Sump Pump</t>
  </si>
  <si>
    <t>Please book showings online through connect.</t>
  </si>
  <si>
    <t>Diversey</t>
  </si>
  <si>
    <t>York Road south of Grand Ave to Diversey - east to end unit on right</t>
  </si>
  <si>
    <t>Very attractive 2 bedrooms 2.1 baths townhome with a full finished basement! Kitchen with a separate eating area. End unit with fenced in side yard for patio. Spacious basement with additional room used as 3rd bedroom. Bath on each level. 2 parking spaces in rear. Great location and great opportunity to own in Elmhurst! See it today! Waiting for your offers! Won't pass FHA guidelines. H&amp;B deadline 3/16 at 9AM.</t>
  </si>
  <si>
    <t>06X10</t>
  </si>
  <si>
    <t>Parking, Lawn Care, Scavenger, Snow Removal</t>
  </si>
  <si>
    <t>Utility Room-Lower Level, Other</t>
  </si>
  <si>
    <t>TO SUBMIT AN OFFER, PLEASE, COPY AND PASTE THIS LINK: www.callzteam.net/property_n/110_E_DIVERSEY_AVE Rentals are allowed, but need to be approved by HOA. Won't pass FHA guidelines. H&amp;B deadline 3/16 at 9AM. Submit disclosure with offer.</t>
  </si>
  <si>
    <t>From north towards Sarah Drive, Turn left onto Sarah Drive, Turn left onto S Peace Rd.</t>
  </si>
  <si>
    <t>Pool, Snow Removal, Other</t>
  </si>
  <si>
    <t>KENSINGTON LOOP</t>
  </si>
  <si>
    <t>GARDEN QUARTER</t>
  </si>
  <si>
    <t>WINGS ST W TO GARDEN CRESENT,NORTH TO KENSINGTON LOOP</t>
  </si>
  <si>
    <t>21X80</t>
  </si>
  <si>
    <t>Two story attached townhome repairs cash only. REO property subject to buyer review &amp; acceptance of seller addendums to be provided upon agreement of price and terms. Property sold in current as is condition no warrantees expressed or implied buyer is responsible for all inspections &amp; associated costs allow ample counter offer response time for counter offers include proof of funds and a copy of earnest money check.</t>
  </si>
  <si>
    <t>Email broker allow 24 hr notice</t>
  </si>
  <si>
    <t>Of Recrod</t>
  </si>
  <si>
    <t>Vail REO Realty Group</t>
  </si>
  <si>
    <t>(630) 974-1022</t>
  </si>
  <si>
    <t>Ed Riley, GRI</t>
  </si>
  <si>
    <t>(708) 415-4252</t>
  </si>
  <si>
    <t>Chesapeake</t>
  </si>
  <si>
    <t>Westchester Club</t>
  </si>
  <si>
    <t>Wolf to Constitution.  West to Chesapeake.  North to 11243.</t>
  </si>
  <si>
    <t>16 X 116 X 54 X 73 X 5 X 18 X 51</t>
  </si>
  <si>
    <t>Magnificent fully-updated light-filled unique home! Living rm w/ vaulted ceiling, wb firepl, DR w/ custom buffet, kitchen w/ custom cabinets, granite &amp; high-end appliances, brkfast rm, 1st flr master w/ private patio &amp; guest rm. HW flrs in LR/DR/foyer. Huge loft w/ w-in closet, full bath.  Fully finished basement has rec rm w/ kitchenette, bedrm, exercise rm, full BA. 2-tier deck overlooks pond, waterfall.</t>
  </si>
  <si>
    <t>HILLSIDE ELEMENTARY SCHOOL</t>
  </si>
  <si>
    <t>Exercise Room</t>
  </si>
  <si>
    <t>Oven/Range, Microwave, Dishwasher, High End Refrigerator, Washer, Dryer, Disposal</t>
  </si>
  <si>
    <t>European Shower</t>
  </si>
  <si>
    <t>Breakfast Room, Exercise Room, Foyer, Loft, Recreation Room, Walk In Closet, Other</t>
  </si>
  <si>
    <t>Security System, CO Detectors, Ceiling Fan, Sump Pump</t>
  </si>
  <si>
    <t>Judy Ellison</t>
  </si>
  <si>
    <t>(708) 997-2355</t>
  </si>
  <si>
    <t>Won't last long!  Only unit in development with all rooms facing all 4 exposures!  Buyers must be accompanied by agent.  Please use Multiboard 6.0.</t>
  </si>
  <si>
    <t>PEBBLE BEACH</t>
  </si>
  <si>
    <t>COLLEGE GREEN</t>
  </si>
  <si>
    <t>Randall Rd. 2  (E) on College Green 2 Pebble Beach Cir.</t>
  </si>
  <si>
    <t>Immaculate townhome in College Green. 2 br/1.5 bath townhome is in move-in condition. Amazing views...backs up to field and walking path.  10 x 13 deck. Huge living room and dining room. Master bedrm has 9x4 office/dressing rm plus a walk-in closet. Laundry on 2nd floor. NEW FURNACE 2014</t>
  </si>
  <si>
    <t>ORR</t>
  </si>
  <si>
    <t>Julie Kellenberger, GRI</t>
  </si>
  <si>
    <t>(847) 695-6040x206</t>
  </si>
  <si>
    <t>CELL 847-828-0580</t>
  </si>
  <si>
    <t>75TH TO FAIRVIEW N TO 73RD W BECOMES GRAND AVE</t>
  </si>
  <si>
    <t>BEAUTIFULL 2 BEDROOMS 2 FULL BATHROOMS 2ND FLOOR CONDO. UPDATED BATHS AND KITCHEN, GRANITE TOP. STAINLESS STEAL APPLIANCES, ALL WITHIN 2 YEAR.  CLOSE TO SHOPPING, I-355, I-55 AND RESTAURANTS. SHORT WALK TO CLUB HOUSE, POOL AND TENNIS COURT. HEAT INCLUDED IN MONTHLY ASSOCIATION. COIN LAUNDRY IN THE BUILDING. VERY NICE AND OPEN FLOOR PLAN. BALCONY FROM MASTER BEDROOM LEADS TO A GREAT VIEW TO OPEN AREA IN THE BACK.</t>
  </si>
  <si>
    <t>Heat, Common Insurance, Clubhouse, Pool, Lawn Care, Scavenger, Snow Removal</t>
  </si>
  <si>
    <t>2%-$150+BONUS $1000 (on Gross SP)</t>
  </si>
  <si>
    <t>Prospect Equities-Infiniti</t>
  </si>
  <si>
    <t>(708) 206-3000</t>
  </si>
  <si>
    <t>Maria Kulon</t>
  </si>
  <si>
    <t>(708) 906-4194</t>
  </si>
  <si>
    <t>708-906-4194</t>
  </si>
  <si>
    <t>JUST SOUTH OF RR TRACKS IN DOWNTOWN ELMHURST</t>
  </si>
  <si>
    <t>CLAREMONT</t>
  </si>
  <si>
    <t>IN DEMAND DOWNTOWN WALK TO EVERYTHING LOCALE IN THE THRIVING COMMUNITY OF ELMHURST.  THIS CONDO FEATURES UPGRADED CHERRY KITCHEN WITH BRAND NEW STAINLESS APPLIANCES AND DUAL LEVEL ISLAND. MASTER SUITE WITH SITTING AREA AND LARGE WALK IN CLOSET.  BONUS DEN.  COURTYARD VIEWS. IN UNIT LAUNDRY.  TWO TANDEM, DEEDED GARAGE SPACES. EXERCISE FACILITY IN BUILDING.</t>
  </si>
  <si>
    <t>Heat, Water, Gas, Parking, Common Insurance, Exercise Facilities, Lawn Care, Scavenger, Snow Removal</t>
  </si>
  <si>
    <t>Darrah Belcher, CNC</t>
  </si>
  <si>
    <t>(630) 567-1200</t>
  </si>
  <si>
    <t>PARKING #49, PIN 0601326115, TAX (2013) $263  BUYER'S AGENT MUST ACCOMPANY BUYER AT ALL TIMES</t>
  </si>
  <si>
    <t>EOLA S OF HAFENRICHTER TO SUNRISE W TO HOME</t>
  </si>
  <si>
    <t>*IMMACULATE END UNIT BACKS TO OPEN AREA*LIGHT AND BRIGHT*PLENTY OF NATURAL LIGHT*2 STORY LIVING ROOM*UPGRADED GLEAMING HARDWOOD FLOORS THROUGHT OUT THE HOME*42" MAPLE CABINETS W/ CROWN MOLDING*UPGRADED APPLIANCES*HUGE MASTER BEDROOM*2ND BEDROOM HAS OWN PRIVATE BATH*LOFT CAN BE A PERFECT HOME OFFICE*CONVENIENT 2ND FLOOR LAUNDRY*GREAT 'OSWEGO SCHOOLS'*MOVE RIGHT INTO THIS BEAUTIFULLY UPGRADED HOME*</t>
  </si>
  <si>
    <t>TEXT LA AT 630-742-0087</t>
  </si>
  <si>
    <t>Kathy Yoo</t>
  </si>
  <si>
    <t>(630) 742-0087</t>
  </si>
  <si>
    <t>WWW.KATHYYOO.COM</t>
  </si>
  <si>
    <t>CONCORD STATION</t>
  </si>
  <si>
    <t>BARTLETT RD TO BRIARWOOD W 2 HERITAGE 2 PROVIDENCE</t>
  </si>
  <si>
    <t>REDDING</t>
  </si>
  <si>
    <t>WOW! Gorgeous Totally Remodeled Kitchen w/42" Cherry Cabinets, Granite, All Stainless Appliances &amp; Matching Buffet That Stays ~ Beautiful Hardwood Floors ~ 9 Ft Ceilings 1st Flr ~ All White Trim &amp; 6 Panel Doors ~ Master Bedroom w/Vaulted Ceiling &amp; Huge WIC ~ Newer Patio Door, HWH, All Light Fixtures ~ Fabulous New Powder Room w/Granite ~ Spacious 2 Car Garage ~ Quiet &amp; Peaceful Interior Location w/ Mature Trees ~</t>
  </si>
  <si>
    <t>LAUREL HILL ELEMENTARY SCHOOL</t>
  </si>
  <si>
    <t>Call 855 746-9200 or Click Schedule a Showing</t>
  </si>
  <si>
    <t>Jeffrey Asquith</t>
  </si>
  <si>
    <t>(847) 363-5993</t>
  </si>
  <si>
    <t>Beautiful Updated Unit!</t>
  </si>
  <si>
    <t>7TH TO JAMES S TO SPRING ST W TO PROPERTY</t>
  </si>
  <si>
    <t>ARE YOU READY TO BUY A GREAT DEAL IN WOODRIGE!!!  THIS IS A FIRST FLOOR UNIT,WITH A BEAUTIFUL VIEW OVERLOOKING A HUGE POND AND COURTYARD,FEATURES  2 LRG BDRMS 1 BTH WITH A EAT IN KITCHEN AND A HUGE DINNING AND LIVING ROOM.GREAT LOCATION!!! OFF OF I355 I55 AND SHOPPING GALORE.  SAME OWNER FOR 25 YRS, NEEDS SOME UPDATING COME SEE FOR YOURSELF.EASY TO SHOW. BEING SOLD AS IS.  ASSOCIATION DOES ALLOW RENTALS</t>
  </si>
  <si>
    <t>Coin Laundry, Pool-Outdoors, Curbs/Gutters, Sidewalks, Street Lights, Street Paved</t>
  </si>
  <si>
    <t>Courtyard, Low Rise (1-3 Stories)</t>
  </si>
  <si>
    <t>CALL OR TEXT  OR EMAIL GINA FOR COMBO 630-202-6946</t>
  </si>
  <si>
    <t>Gina La Rocco</t>
  </si>
  <si>
    <t>(630) 202-6946</t>
  </si>
  <si>
    <t>FARNSWORTH</t>
  </si>
  <si>
    <t>BELLES TERRES</t>
  </si>
  <si>
    <t>I88 TO FARNSWORTH SOUTH TO PROPERTY</t>
  </si>
  <si>
    <t>2ND FLOOR CONDO/CORNER END UNIT WITH 2 BEDROOMS, 1 BATH, BALCONYON-SITE MANAGER. CLOSE TO I-88 REQUIRES BOARD APPROVAL AND CRIMINAL CHECK**Sold as-is. Seller does not provide survey, termite or disclosures. Tax proration 100%. It is strongly encouraged that an offer includes Prequal or proof of funds.</t>
  </si>
  <si>
    <t>Coin Laundry, Storage, On Site Manager/Engineer, Party Room, Pool-Outdoors, Curbs/Gutters, Sidewalks, Street Lights, Street Paved</t>
  </si>
  <si>
    <t>Heat, Parking, Common Insurance, Clubhouse, Pool, Lawn Care, Scavenger, Snow Removal</t>
  </si>
  <si>
    <t>BAYVIEW LOAN SERVICING LLC</t>
  </si>
  <si>
    <t>POF WITH ALL OFFERS OWNER OCCUPANT ONLY NO RENTALS ALLOWED BY HOA</t>
  </si>
  <si>
    <t>East State (Rt 38) to Glengarry, N to Hill, W to Aberdeen;  S2 Home</t>
  </si>
  <si>
    <t>2549 SQ FT</t>
  </si>
  <si>
    <t>Unique, contemporary home. Kit w/granite, SS app, stone flooring and sliding glass door to deck. Gated entrance and fenced front yard. Living room w/hardwood floors, fireplace, sgd and vaulted ceiling. Family room in LL with powder room, lookout windows and laundry. Perennial garden. Newer exterior siding/roof, New Hw floors and carpet. Shared Master bath. Sub. offers outdoor pool. Shows great!!  Quick move in OK.</t>
  </si>
  <si>
    <t>On Site Manager/Engineer, Party Room, Pool-Outdoors, Street Lights</t>
  </si>
  <si>
    <t>Common Grounds, Cul-de-sac, Fenced Yard</t>
  </si>
  <si>
    <t>Click on showing asssist</t>
  </si>
  <si>
    <t>No Fha and no rentals. Plz male sure doors are locked and lights turned off.</t>
  </si>
  <si>
    <t>5G</t>
  </si>
  <si>
    <t>30+</t>
  </si>
  <si>
    <t>YORKTOWN GREEN</t>
  </si>
  <si>
    <t>SouthEast Corner of 22nd Street &amp; South Highland Avenue</t>
  </si>
  <si>
    <t>Prime location for this 2BR/2BA 5th Floor Condo.  Close to I-88, I-355, Roosevelt and Butterfield Road. Exterior parking space is unassigned in front of building.  Underground parking available by waitlist and with fee.  Condo has some new appliances and updated baths.  Plenty of storage within the unit and storage cage down the hall.</t>
  </si>
  <si>
    <t>BUTTERFIELD ELEMENTARY SCHOOL</t>
  </si>
  <si>
    <t>Coin Laundry, Elevator, Storage, Pool-Outdoors, Security Door Locks, Curbs/Gutters, Sidewalks, Street Lights, Street Paved</t>
  </si>
  <si>
    <t>Additional Pet Rent, Cats OK, Deposit Required, Dogs OK, Pet Count Limitation, Pet Weight Limitation</t>
  </si>
  <si>
    <t>Brick, Frame, Block</t>
  </si>
  <si>
    <t>Register in Showing Assist for Showing Info.</t>
  </si>
  <si>
    <t>Vance Eubanks</t>
  </si>
  <si>
    <t>(630) 388-9333</t>
  </si>
  <si>
    <t>Cell:  630 388-9333</t>
  </si>
  <si>
    <t>Seller has elected not to show the home while under contract.</t>
  </si>
  <si>
    <t>Plainfield Rd. West of Cass Ave to Darien Lake Drive</t>
  </si>
  <si>
    <t>Look no further! This lovely two story townhouse is like getting a new place! The interior has been freshly painted in neutral tones. New carpet. Newer light fixtures. Living Room with gas fireplace and newer sliding glass door to the concrete patio. Newer kitchen appliances.Large laundry room on the main floor. Master BR has a vaulted ceiling, ceiling fan and private bath with a tub. Very light and bright unit.</t>
  </si>
  <si>
    <t>Aluminum Siding, Brick, Clad Trim</t>
  </si>
  <si>
    <t>Please click on showing assist or call 800 746-9464  24 hour notice if possible</t>
  </si>
  <si>
    <t>Association dues and Master association equal $306.64 per month total.</t>
  </si>
  <si>
    <t>VILLAGE SQUARE</t>
  </si>
  <si>
    <t>75TH TO FAIRMOUNT TO WINTHROP WAY TO THE ADRESS</t>
  </si>
  <si>
    <t>SOLD BEFORE LISTED</t>
  </si>
  <si>
    <t>Indu Sethi</t>
  </si>
  <si>
    <t>(630) 235-3702</t>
  </si>
  <si>
    <t>indusethi12@hotmail.com</t>
  </si>
  <si>
    <t>RANDALL 2 MCDONALD-W 2 THORNWOOD-N 2 NICOLE</t>
  </si>
  <si>
    <t>Ready to go! Private end unit! Beautifully maintained! Vaulted Living Room has great sunlight &amp; slider to patio. Huge Center Island Kitchen w/tons of counter space &amp; storage.Upgraded Hardwood doors &amp; trim throughout.  Master Suite has large walk-in closet. Single floor living with 2 bed, 2 full bath &amp; 2 car garage. Freshly painted! Community pool-tennis, clubhouse &amp; St Charles schools! Walk to Randall Rd shopping!</t>
  </si>
  <si>
    <t>Call LA Barb 630-234-8707...EZ to show!</t>
  </si>
  <si>
    <t>630-234-8707</t>
  </si>
  <si>
    <t>Barbara Oborne</t>
  </si>
  <si>
    <t>(630) 234-8707</t>
  </si>
  <si>
    <t>EZ to show...$94 master association is Quarterly...So, Total HOA is about 177/month</t>
  </si>
  <si>
    <t>MILLER</t>
  </si>
  <si>
    <t>IRVING (W) PAST BARRINGTON TO LINCOLN (S) TO MILLER (E)</t>
  </si>
  <si>
    <t>Super clean 2 bedroom 1.1 bath two story unit that features pergo flooring, open layout, nice backyard area and is just minutes from public transportation, expressways and shopping. TAXES 100%, Submit offers through HomePath  website, BUYER IS RESPONSIBLE FOR PREVIOUS 6 MONTHS HOA FEES, buyer is responsible for survey if required, buyer is responsible for any village required repairs.</t>
  </si>
  <si>
    <t>Please call the showing  desk @ 888.362.3222 or  LO after hours, thanks</t>
  </si>
  <si>
    <t>TAXES 100%, Submit offers through HomePath  website, BUYER IS RESPONSIBLE FOR PREVIOUS 6 MONTHS HOA FEES, buyer is responsible for survey if required, buyer is responsible for any village required repairs.</t>
  </si>
  <si>
    <t>Vista</t>
  </si>
  <si>
    <t>Wilson Rd &amp; RT 134 W to Lakeside DR S to W Vista CT</t>
  </si>
  <si>
    <t>INGLESIDE</t>
  </si>
  <si>
    <t>WATERFRONT. Amazing View. Steps to Lake. Private Balcony facing the lake with a bonus Patio below. Loft master bdrm suite with lge walk-in closet and a private bath . Soaring 20 ft Vaulted living room ceilings with sky lites and fireplace. Upstairs loft room can be a third bedroom or home office. 2nd floor laundry room. Walkout Basement to patio is finished w/shower and powder rm and fireplace</t>
  </si>
  <si>
    <t>Library</t>
  </si>
  <si>
    <t>Water, Exterior Maintenance, Lawn Care, Snow Removal, Lake Rights</t>
  </si>
  <si>
    <t>Lock Box</t>
  </si>
  <si>
    <t>Marshall Realty</t>
  </si>
  <si>
    <t>(773) 637-4183</t>
  </si>
  <si>
    <t>David Packer</t>
  </si>
  <si>
    <t>(773) 637-2700</t>
  </si>
  <si>
    <t>SE CORNER  of YORK ST &amp;  PALMER DRIVE</t>
  </si>
  <si>
    <t>UNIT B</t>
  </si>
  <si>
    <t>Beautiful "In-Town" living! Rowhouse style townhome set in the heart of Elmhurst.  Super sharp kitchen, 3 1/2 bths newer w/fantastic finishes, pergo flooring, fin bsmt, 2 large bedrooms each w/full bath, plenty of storage, 1 car gar plus 2 assigned pkg spaces. Walker's paradise location -very close to school, park, library, museums, train, downtown shops and restaurants. Prime locale in area of upscale homes - hurry~</t>
  </si>
  <si>
    <t>None, Sidewalks, Street Lights, Street Paved</t>
  </si>
  <si>
    <t>Bonus, Deck, Eating Area</t>
  </si>
  <si>
    <t>Call or text Paula - owner works odd hours, 12 hour notice appreciated/</t>
  </si>
  <si>
    <t>Pezza Realty Corporation</t>
  </si>
  <si>
    <t>(630) 834-7653</t>
  </si>
  <si>
    <t>Paula Pezza</t>
  </si>
  <si>
    <t>(630) 460-0599</t>
  </si>
  <si>
    <t>New rooftop deck will be installed within the next few weeks.</t>
  </si>
  <si>
    <t>Courtney</t>
  </si>
  <si>
    <t>Rt 34 to Mitchell Dr to Edward to Courtney</t>
  </si>
  <si>
    <t>68*110*78*110</t>
  </si>
  <si>
    <t>Move right in to this lovely 1/2 duplex featuring 2 bedrooms and 1.5 bath. Each bedroom has a lighted ceiling fan. Nice kitchen with all appliances including a refrigerator, built-in microwave, dishwasher, stove/oven. Laundry with washer and dryer. Fully fenced backyard. 1 car attached garage. Pool available for use in summer. Convenient to shopping. Shows great and move in ready. Original home owner. Pets welcome</t>
  </si>
  <si>
    <t>call 855-746-9093 or online</t>
  </si>
  <si>
    <t>NOT A SHORT SALE.</t>
  </si>
  <si>
    <t>WOODCREST</t>
  </si>
  <si>
    <t>60/83 &amp; HAWLEY, E TO WOODHAVE, N TO WOODCREST TO #</t>
  </si>
  <si>
    <t>Excellent opportunity to buy a super clean &amp; cozy townhome. Fantastic private prairie view.  Newer hardwood floors and newer Berber carpets. Nice wood frame in closets &amp; room doors. Vaulted ceiling in master bedroom. Pedestal sink in bathroom.  Move-in condition!</t>
  </si>
  <si>
    <t>19X04</t>
  </si>
  <si>
    <t>McDaniels</t>
  </si>
  <si>
    <t>PARK AVENUE STATION</t>
  </si>
  <si>
    <t>SOUTH SIDE OF TRACKS, PARK WEST TO MCDANIELS CIRCLE VISITOR PARKING ON BOTH SIDES OF BUILDING</t>
  </si>
  <si>
    <t>GORGEOUS END UNIT IN THE DESIRED PARK AVENUE STATION CONDOS, JUST STEPS FROM TRAIN &amp; TOWN. LOTS OF LIGHT IN THIS 2 BEDROOM &amp; 2 BATH CONDO WITH A DEN THAT COULD BE USED AS 3RD BEDROOM. EAT IN KITCHEN WITH GRANITE AND STAINLESS STEEL APPLIANCES. IN UNIT WASHER AND DRYER, 2 BALCONIES, HARDWOOD FLOORS, MASTER BATH W/WALK IN CLOSET,WHIRL POOL AND SEP SHOWER, GARAGE PARKING WITH SPACE FOR 2ND CAR. MOVE-IN-CONDITION</t>
  </si>
  <si>
    <t>Heat, Water, Gas, Parking, Common Insurance, Security System, TV/Cable, Exterior Maintenance, Lawn Care, Scavenger</t>
  </si>
  <si>
    <t>TEXT LISTING AGENT-847-858-5803</t>
  </si>
  <si>
    <t>Vince Evola</t>
  </si>
  <si>
    <t>(847) 858-5803</t>
  </si>
  <si>
    <t>A true pleasure to show! Seller loves condo but had to move due to out of state job transfer. Email offers to vince.evola@yahoo.com Garage Parking space is number 21, there is a 2nd parking spot just to the right of 21 if needed.</t>
  </si>
  <si>
    <t>75th Street (E)/Nantucket (S)/Walnut (E) to Nantucket to North Building</t>
  </si>
  <si>
    <t>Stunning rehab located in Farmingdale Terrace. 2 BR/2 Bath/Gar/Elevator. Centrally located to 75th St., I55, I294, Rt. 83, shopping &amp; restaurants galore. Open floor plan featuring HDWD flooring, columns between Kit &amp; Dining Room, high-end appls including Bosch W&amp;D, custom 42" cherry cabs &amp; built-ins w/granite, gorgeous pendant and can lighting, crown molding, luxury baths w/heated floors. Schools &amp; Park District 10++</t>
  </si>
  <si>
    <t>Elevator, Storage, Pool-Outdoors, Security Door Locks, Curbs/Gutters, Sidewalks, Street Lights, Street Paved</t>
  </si>
  <si>
    <t>Water, Parking, Common Insurance, Security System, Pool, Exterior Maintenance, Lawn Care, Scavenger, Snow Removal</t>
  </si>
  <si>
    <t>Balcony, Storage, Walk In Closet</t>
  </si>
  <si>
    <t>2.5% - $150 (on Gross SP)</t>
  </si>
  <si>
    <t>Jennifer Kenyon, SFR</t>
  </si>
  <si>
    <t>(630) 235-5790</t>
  </si>
  <si>
    <t>Gorgeous condo nestled by mature trees &amp; meticulously maintained grounds, additional storage located down the hall, parking space is near elevator, ample visitor parking, heated/cooled garage, additional laundry machines in garage. 10++</t>
  </si>
  <si>
    <t>FAIRWOOD</t>
  </si>
  <si>
    <t>CENTURY OAKS EAST</t>
  </si>
  <si>
    <t>RT 31 2 BIG TIMBER W2 HILLCREST N2 FAIRWOOD W2 HOME</t>
  </si>
  <si>
    <t>1/2 DUPLEX</t>
  </si>
  <si>
    <t>39X134X40X134</t>
  </si>
  <si>
    <t>HURRY! AFFORDABLE 1/2 DUPLEX! SPAC LIV RM W/NWR WOOD LAM FLR &amp; BOW WNDW! EAT-N KTCHN W/TILE FLR &amp; SLDR 2 PATIO &amp; FNCD YARD! ALL APPLS STAY! DECENT SZ BDRMS! HUGE BSMNT W/REC RM, DEN &amp; PLAY RM! ALL NEW BTHRM W/WLK-N SHWR &amp; CSTM TILE WORK! A/C &amp; FURN ONLY 2 YRS OLD! OVER $30K INVESTED ON INTERIOR! GREAT 1 LEVEL LIVING!</t>
  </si>
  <si>
    <t>Play Room</t>
  </si>
  <si>
    <t>Den, Play Room</t>
  </si>
  <si>
    <t>GREAT 1 LEVEL LIVING! OVER $30K INVESTED ON INTERIOR!</t>
  </si>
  <si>
    <t>Hoover</t>
  </si>
  <si>
    <t>Gary N of North Ave to Elk Trail W to Hoover</t>
  </si>
  <si>
    <t>Wow! Fantastic end unit with patio! Adorable floor plan with multiple bay windows, loads of streaming sunlight, great architectural appeal! Vaulted ceilings in Living room! Spacious kitchen with sliders to private patio! Full Finished Basement! Room to roam in this great townhome! Awesome room sizes! Scoop it up!</t>
  </si>
  <si>
    <t>Keller Williams Showingtime 1-800-746-9464</t>
  </si>
  <si>
    <t>847.877.9881</t>
  </si>
  <si>
    <t>Must use 6.0 contract when submitting all offers! SOLD AS IS.</t>
  </si>
  <si>
    <t>Railroad</t>
  </si>
  <si>
    <t>DEVON TO PROSPECT-NORTH TO RAILROAD-WEST 1 BLOCK TO HOME</t>
  </si>
  <si>
    <t>BECKHAM</t>
  </si>
  <si>
    <t>GORGEOUS HOME OVERLOOKS SCENIC NATURE POND..THIS WAS "THE MODEL" PREMIUM END UNIT..GOURMET SS KITCHEN WITH 42" MAPLE CABINETS, BREAKFAST BAR AND SILESTONE COUNTERS..GLEAMING HARDWOOD FLOORS..CUSTOM WINDOW TREATMENT THROUGHOUT..MASTER W/WALK-IN CLOSET AND FULL BATH..FINISHED LL WITH FAMILY ROOM, OFFICE AND BATH..NEW HOT WATER HEATER..LARGE DECK..CLOSE TO DOWNTOWN AND METRA STATION..A MUST SEE.. A PERFECT 10!!!</t>
  </si>
  <si>
    <t>Bartlett High School</t>
  </si>
  <si>
    <t>call showing desk 888-362-3222 after 5p call LO</t>
  </si>
  <si>
    <t>Karen Berndt</t>
  </si>
  <si>
    <t>(630) 886-8881</t>
  </si>
  <si>
    <t>Bloomfield Club</t>
  </si>
  <si>
    <t>Schick to Bloomfield Pkwy, south to Clubhouse, right to Benton</t>
  </si>
  <si>
    <t>Move in ready 2bed, 2.5 bath plus loft in Bloomfield Club (Morgan Model) Loads of upgrades with new ceramic tile in foyer, kitchen and master bath,  extra large kitchen with granite counter, oak cabinets and newer SS appliances. Vaulted ceilings and skylights plus whole home has been freshly painted, carpets cleaned and ready to move in, don't miss this opportunity!</t>
  </si>
  <si>
    <t>Exercise Room, Party Room, Sundeck, Pool-Indoors, Pool-Outdoors, Tennis Court/s, Curbs/Gutters, Sidewalks, Street Paved</t>
  </si>
  <si>
    <t>Marietta Rumps</t>
  </si>
  <si>
    <t>(630) 788-4626</t>
  </si>
  <si>
    <t>630-788-4626</t>
  </si>
  <si>
    <t>3M</t>
  </si>
  <si>
    <t>MAPLE W OF 355 TO BURR OAK L QUICK R TO HILLCREST L</t>
  </si>
  <si>
    <t>Wonderful Lisle Location with Scenic Lake &amp; Wooded Views. Priv Balcony,Spacious Rooms, High ceilings, Beautiful countertops &amp; Spacious Closets. Nearby Amentities,skiing,fishing,&amp; biking.Fannie Mae Homepath.  Offers to be submitted through HomePath Online.Offers system.MLS &amp; Homepath Details Are Estimated &amp; Not Guaranteed.</t>
  </si>
  <si>
    <t>Remax Office Does NOT have Showing Instructions. Showings MUST be scheduled by Calling, 877-977-1010</t>
  </si>
  <si>
    <t>All MLS Details are Estimated &amp; NOT Guaranteed. Buyer &amp; Buyer agent must verify any and all   information,  including HOA information directly with HOA. Property sold AS IS</t>
  </si>
  <si>
    <t>2S750</t>
  </si>
  <si>
    <t>Rt 59 to Winchester Cir East to 1st driveway on the right. follow around to unit</t>
  </si>
  <si>
    <t>Check out this remodeled 2 bedroom condo! New items include: Carpet, ceramic tile, can lights &amp; crown molding in living room &amp; dining room, kitchen counter tops, cabinets, appliances. Walk in closet in master bedroom &amp; balcony off of living room. 1 car attached garage included. Community playground. Low mo. assessments. Move in ready so call today to take a look.</t>
  </si>
  <si>
    <t>Wheaton Warrenville South H S</t>
  </si>
  <si>
    <t>2%-$199 (on Net SP)</t>
  </si>
  <si>
    <t>call 800-746-9464 to schedule.</t>
  </si>
  <si>
    <t>Susan Rigsby</t>
  </si>
  <si>
    <t>(630) 745-0506</t>
  </si>
  <si>
    <t>Good for investors since it Can Be Rented! 1% Buyer Agent Bonus Offered. NOT FHA Approved. Agents must accompany buyers.</t>
  </si>
  <si>
    <t>Tiffany</t>
  </si>
  <si>
    <t>TIFFANY COURT</t>
  </si>
  <si>
    <t>Rt 173 1/2 West of Rt 83 to Tiffany to number</t>
  </si>
  <si>
    <t>Well maintained and close to town.  This beautiful 2 bedroom townhouse has everything to offer.  Beautiful floors throughout your main level, large kitchen with balcony, large living room, family room or office in the lower level that walks out to your 2 car attached garage, 2 bedrooms upstairs with a loft that could be a 3rd bedroom.  Close to shopping, train and so much more.  Don't pass this one by!</t>
  </si>
  <si>
    <t>ANTIOCH ELEMENTARY SCHOOL</t>
  </si>
  <si>
    <t>ANTIOCH COMMUNITY HIGH SCHOOL</t>
  </si>
  <si>
    <t>44X11</t>
  </si>
  <si>
    <t>Farnsworth</t>
  </si>
  <si>
    <t>FIRST  FLOOR CONDO END UNIT WITH 2 BEDROOMS, 1 BATH,  CLOSE TO I-88 REQUIRES BOARD APPROVAL AND CRIMINAL CHECK**</t>
  </si>
  <si>
    <t>2% -$125 (on Net SP)</t>
  </si>
  <si>
    <t>PLEASE SEE SHOW ASSIST</t>
  </si>
  <si>
    <t>630-546-7276</t>
  </si>
  <si>
    <t>HOME SOLD AS IS.   TAXES PRORATED 100%.  NO SURVEY PROVIDED.</t>
  </si>
  <si>
    <t>Butterfield N of 60 to Hawthorn, E to Layfayette, N to Jefferson,  E to home.</t>
  </si>
  <si>
    <t>Fabulous location overlooking park &amp; trails! Tastefully painted/decorated. Attached garage with storage. LR w/Pergo flooring &amp; wired for SS. KIT w/solid surface counter (2010), newer APPS (2010), pantry &amp; white CABS open DR w/slider to patio. Master includes WIC &amp; reach-in. ADD BR, full bath, laundry complete 2nd flr.</t>
  </si>
  <si>
    <t>North Ave. to 21st Ave. South to property.</t>
  </si>
  <si>
    <t>Wow! Guaranteed to Love this Newly Remodeled 1,519 Sq.Ft. home (1/2 Duplex) with New Fully Finished Insulated Basement that has been Perma-sealed &amp; equipped w/ Safe High-Grade Injector Sump Pump. Discover All New: Copper Plumbing &amp; Electric Wiring, Windows, HWT, Ceiling Fans, Refinished Hardwood Floors, 2-Remodeled Baths &amp; Lighting! Newer Stove, Washer &amp; Dryer. Large Private backyard &amp; 2-Car Garage! Easy to Show</t>
  </si>
  <si>
    <t>Ceiling Fan, Fan-Attic Exhaust, Sump Pump</t>
  </si>
  <si>
    <t>1/2 Duplex, Townhouse-Ranch, Townhouse-2 Story</t>
  </si>
  <si>
    <t>2.25% - $75 (on Net SP)</t>
  </si>
  <si>
    <t>Call Listing Office @ 773-948-4820 for Showings</t>
  </si>
  <si>
    <t>Home Sales Realty INC.</t>
  </si>
  <si>
    <t>(773) 735-1300</t>
  </si>
  <si>
    <t>Israel Fuentes</t>
  </si>
  <si>
    <t>(773) 948-4820</t>
  </si>
  <si>
    <t>Direct 773-948-4820</t>
  </si>
  <si>
    <t>Single Family Row House, not Townhouse as there are No Association Dues! Call LO @ 773-948-4820 for Showings (Disclosures Online).  Email or Fax Offers to 312-962-4490.  This is a Not a Short-Sale or Foreclosure!</t>
  </si>
  <si>
    <t>RT 83 TO PLAINFIELD, WEST TO BROOKDALE (NEXT TO CULVER'S).  7413 BLDG IS ON LEFT</t>
  </si>
  <si>
    <t>Don't miss this one!  Completely updated 2br condo with walk out patio.  Remodeled kitchen w/ SS appliances, maple cabinetry, eating area.  Remodeled bath, custom blinds, new ceiling fans, new patio slider door, and rare in unit laundry room with washer and dryer.  Private patio for BBQ and across from community pool and playground.  Great location w/ close proximity to shopping, expressways &amp; in Hinsdale South HS.</t>
  </si>
  <si>
    <t>Sentrilock box right of entrance - labeled Unit 110</t>
  </si>
  <si>
    <t>Mike Muisenga</t>
  </si>
  <si>
    <t>(630) 815-5043</t>
  </si>
  <si>
    <t>Text at (630) 815-5043</t>
  </si>
  <si>
    <t>Pets allowed, but no aggressive breeds &amp; must register them with association.  Rentals allowed, but renters are not allowed pets.  Each unit gets 1 exterior spot and this building is closest to visitor lot for additional parking.</t>
  </si>
  <si>
    <t>LENCIONI</t>
  </si>
  <si>
    <t>CHESAPEAKE COMMONS</t>
  </si>
  <si>
    <t>Route 38 to East Side Drive, to Geneva Drive to  Chesapeake(South) to Lencioni Ct.</t>
  </si>
  <si>
    <t>Upgraded trim, beautiful hardwood floors, fab finished basement with another full bath! Darling white cabinetry &amp; planning desk in kitchen. Unbeatable location in development, quiet and secluded. DOES NOT BACK TO KIRK OR GENEVA DRIVE....one car detached garage with custom shelving for storage. Hop, skip &amp; jump away from the pool... this one is immaculate and perfectly maintained. Quick closing and possession! 10+</t>
  </si>
  <si>
    <t>Humidifier, TV-Cable, CO Detectors, Sump Pump</t>
  </si>
  <si>
    <t>Call 877.977.1010 to set up a showing</t>
  </si>
  <si>
    <t>Stone Tower Properties</t>
  </si>
  <si>
    <t>(630) 262-3720</t>
  </si>
  <si>
    <t>Teresa Keenan</t>
  </si>
  <si>
    <t>(630) 917-2717</t>
  </si>
  <si>
    <t>New York and Eola, West on New York to Stoughton Circle</t>
  </si>
  <si>
    <t>DURHAM</t>
  </si>
  <si>
    <t>Beautiful end unit, custom ceramic tile in Foyer and Kitchen. All Stainless Steel Appliances, Crown Molding in Dining Room, Living Room and Loft, Wood floors throughout, custom wood  built-ins in 2nd floor loft, master suite with dry bar, master bath with dual vanity and separate shower, finished basement with lots of storage.</t>
  </si>
  <si>
    <t>Refrigerator-Bar, Washer, Dryer, Disposal, All Stainless Steel Kitchen Appliances</t>
  </si>
  <si>
    <t>Ceiling Fan, Air Cleaner, Radon Mitigation System(s)</t>
  </si>
  <si>
    <t>call or text LA 630-664-8423</t>
  </si>
  <si>
    <t>Margaret Hoshell, ABR</t>
  </si>
  <si>
    <t>(630) 664-8423</t>
  </si>
  <si>
    <t>Very Nice End Unit. After 5 and on Weekends 1 hour notice please.</t>
  </si>
  <si>
    <t>204-E</t>
  </si>
  <si>
    <t>Cottage Grove to 78th St, E to address</t>
  </si>
  <si>
    <t>This is a Fannie Mae Homepath property! Beautifully rehabbed  condo.  2bedroom,   2 full baths.  Hardwood floors thru out.  In unit laundry.   Superb location , spacious rooms and nice kitchen. Don't wait!  Buyer will be required to pay the 6 months assessments, roughly 3250$</t>
  </si>
  <si>
    <t>call 877 977 1010</t>
  </si>
  <si>
    <t>P.R.S. Associates, Inc.</t>
  </si>
  <si>
    <t>(773) 233-4700</t>
  </si>
  <si>
    <t>Barbara Thouvenell</t>
  </si>
  <si>
    <t>(773) 677-0917</t>
  </si>
  <si>
    <t>The seller directs that all offers be submitted via Homepath.com use attached contract package with offer for ease of submission</t>
  </si>
  <si>
    <t>Elderberry</t>
  </si>
  <si>
    <t>Ogden to Royal St George South to Elderberry</t>
  </si>
  <si>
    <t>Like New! Mint end unit condo in super nice elevator building. Large kitchen w/eating area and pantry. Loads of windows and large private balcony with great views. Spacious main living area w/adjacent dining room and large foyer. Master with 7x7 WIC &amp; prvt bath. Full size W/D in unit. HVAC &amp; H20 in unit. Lrg closets w/organizers. Heated garage w/storage unit. North Naperville location. Close to downtown, Metra, I-88</t>
  </si>
  <si>
    <t>4X18</t>
  </si>
  <si>
    <t>Bike Room/Bike Trails, Elevator, Storage, Security Door Locks, Curbs/Gutters, Sidewalks, Street Lights, Street Paved</t>
  </si>
  <si>
    <t>Show any time. Vacant. Park in back. Sentrilock at front entrance on north side of building.</t>
  </si>
  <si>
    <t>David Swanson</t>
  </si>
  <si>
    <t>Text 630-479-8004</t>
  </si>
  <si>
    <t>Impeccable unit, great price, great location.</t>
  </si>
  <si>
    <t>ORCHARD SOUTH OF I88 TO INDIAN TRAIL WEST TO VILLAGE CENTER, 2ND BUILDING ON THE LEFT</t>
  </si>
  <si>
    <t>Orchard Valley Golf Course Community offers this 2BR/1.5BA TH with a 2 car garage. Separate living and dining room, kitchen with all appliances, in-unit 2nd floor laundry with washer &amp; dryer. Unfinished English basement could be finished and would make a great home office/den. Lots of guest parking in front of unit. Great location less than 1 mile to I88 access. Shopping and restaurants nearby. Original Owner.</t>
  </si>
  <si>
    <t>This is the original home owner. The unit is solid but needs some painting and probably new carpeting as the carpet is the original. Check out the property taxes.</t>
  </si>
  <si>
    <t>Keslinger to Blackberry Creek S to Freedom W</t>
  </si>
  <si>
    <t>Open &amp; airy 3BR/3BA ranch 1/2 duplex in desirable Blackberry Creek with views of pond. 2-car garage w/keypad, brick paver patio. Vaulted foyer w/hdwd opens to large living/dining room combo w/10' cathedral ceiling, gas log fp w/stone surround &amp; sliding glass door to patio. Gourmet kitchen w/granite, stainless, breakfast bar &amp; pantry. Huge master suite w/private bath &amp; walk-in closet. Partially finished bsmt.</t>
  </si>
  <si>
    <t>KANELAND MIDDLE SCHOOL</t>
  </si>
  <si>
    <t>KANELAND HIGH SCHOOL</t>
  </si>
  <si>
    <t>Call Showing Time 855-919-0377</t>
  </si>
  <si>
    <t>Maegan Shodeen, e-PRO</t>
  </si>
  <si>
    <t>mshodeen@kombrink.com</t>
  </si>
  <si>
    <t>Contact co-lister Mae Shodeen at 630-488-3309 with questions/offers.</t>
  </si>
  <si>
    <t>Galena to Rosenwinkle, N to Plymouth. Left on Plymouth. Plymouth becomes Barrett. Home is on left</t>
  </si>
  <si>
    <t>RED SAPPHIRE</t>
  </si>
  <si>
    <t>25X57</t>
  </si>
  <si>
    <t>GET HERE! Thereâ€™s lots to love w/this one-Wide open floor plan, plenty of space, perfect condition...just move in &amp; enjoy all this pool &amp; clubhouse community has to offer. Gigantic 2nd floor FAM RM is a versatile living space. Large MAST BR w/walk-in closet &amp; direct bath access. 2nd floor laundry. Fresh paint. Newer carpet. All appliances stay! Convenient northside location &amp; reasonable assessments. IT WON'T LAST!</t>
  </si>
  <si>
    <t>Health Club, Park/Playground, Party Room, Pool-Outdoors, Sidewalks, Street Lights</t>
  </si>
  <si>
    <t>CALL THE B&amp;W APPOINTMENT CENTER @ 855-746-9100.  AFTER HOURS, CALL LA.</t>
  </si>
  <si>
    <t>Lisa Byrne, CSC</t>
  </si>
  <si>
    <t>(630) 670-1580</t>
  </si>
  <si>
    <t>630-670-1580</t>
  </si>
  <si>
    <t>SHOW THIS HOME WITH COMPLETE CONFIDENCE.  PERFECT FOR THE 1ST TIME HOME BUYER OR RESIZER. SHOWS REALLY WELL!  Owner is a licensed real estate broker in the state of Illinois.</t>
  </si>
  <si>
    <t>THE GLENS</t>
  </si>
  <si>
    <t>LAKE 2 BEAR FLAG-N 2 FREMONT-W 2 SACRAMENTO-N 2 KIT CARSON</t>
  </si>
  <si>
    <t>WELCOME TO THE PENTHOUSE ** NEUTRAL DECOR ** ALL APPLIANCES STAY ** NEW LAMINATE FLOORING IN THE LIVING ROOM AND ALL THE BEDROOMS ** FRESHLY PAINTED** NICE QUIET LOCATION ** EASY ACCESS TO EXPRESSWAYS ** GARAGE IS ATTACHED ** LOW TAXES TOO!</t>
  </si>
  <si>
    <t>Quad-Penthouse</t>
  </si>
  <si>
    <t>Conventional, FHA, VA, Rent w/ Option, Cash Only</t>
  </si>
  <si>
    <t>2.5%- $ 199 (on Net SP)</t>
  </si>
  <si>
    <t>VACANT LOCKBOX</t>
  </si>
  <si>
    <t>BOBBY KOTHARI</t>
  </si>
  <si>
    <t>EASY TO SHOW AND EASY TO SELL</t>
  </si>
  <si>
    <t>MIDLANE</t>
  </si>
  <si>
    <t>DELANY &amp; YORKHOUSE W TO SOUTHERN HILLS S TO AUGUSTA</t>
  </si>
  <si>
    <t>Neutral &amp; bright 2 bedroom townhouse in Midlane! Gurnee Schools! Freshly painted! Finished lower level family room! Balcony off kitchen! 2 car attached garage! All appliances including washer/dryer in unit! A Great Find! This is a Fannie Mae Homepath property.  Investors Welcome, HOA allows rentals!</t>
  </si>
  <si>
    <t>3% +$1000 BONUS (on Net SP)</t>
  </si>
  <si>
    <t>Jackie@Homesbymarco.com</t>
  </si>
  <si>
    <t>$1,000 Buyer's Agent Bonus! Restrictions apply, check homepath.com for details! Submit offers on Homepath.com, see additional info for contract/addendums! As/is, no repairs, no survey! Buyer assumes violations/city inspec items, if any.</t>
  </si>
  <si>
    <t>Somonauk Rd to Bethany Rd go West to Somerset Farm to Waterbury West</t>
  </si>
  <si>
    <t>GIVERNY</t>
  </si>
  <si>
    <t>PUD</t>
  </si>
  <si>
    <t>To be built, ranch condo in 55+ community, clubhouse, country like setting blocks from shopping, restaurants, hospital. Bright open floor plan with 4 season sunroom, walk-in pantry, all ceramic master bath with walk-in shower, 2 walk-in closets off master. Customize your unit.</t>
  </si>
  <si>
    <t>16X24</t>
  </si>
  <si>
    <t>Exercise Room, Sidewalks, Street Paved</t>
  </si>
  <si>
    <t>Call L/A, Linda Tillis 815-751-3159</t>
  </si>
  <si>
    <t>Somerset Farm Sycamore LLC</t>
  </si>
  <si>
    <t>New construction to be finished in March of 2015. Buyers can choose features to fit needs. A custom process. Call agent for packet to give your client. Photos are of prior built unit.</t>
  </si>
  <si>
    <t>RT 83 &amp; RT 120 W TO LAKE STREET S TO VILLAGE STATION TO STATION PARK DR TO HOME.</t>
  </si>
  <si>
    <t>Premium end unit location overlooking nature and wooded area. Open floor plan on main level. Living room opens to dining room. Big kitchen with center island, 42" cherry cabinets. Breakfast room w/sliding glass doors to wrap around balcony facing nature. Upstairs features two master bedroom suites, each with walk in closet and private full bath. Convenient 2nd floor laundry. Finished English basement for den/office.</t>
  </si>
  <si>
    <t>Park/Playground, Sidewalks</t>
  </si>
  <si>
    <t>CALL LO FOR APPT AT 847-223-7878, MUST CONFIRM.</t>
  </si>
  <si>
    <t>CC: Pursuant to Short Sale. EXCLUDE PROJECTOR, SPEAKERS, FRIDGE, WASHER, DRYER.   Sold as is. Taxes 100%. No survey. No closing cost credit. Earnest money, attorney review, home inspection due within 5 business days seller signing. Commission subject to bank approval.</t>
  </si>
  <si>
    <t>Margaret</t>
  </si>
  <si>
    <t>Route 30 West of Orchard Left on Lakewood Creek R on Troon Drive L on Margaret</t>
  </si>
  <si>
    <t>Nice 2 bedroom townhome with loft that can easily be converted to third bedroom.  Eat in kitchen w/pantry, fenced yard, master bedroom has large walk in closet.  Appliances stay, must see!</t>
  </si>
  <si>
    <t>text or call agent at 630 863-0659</t>
  </si>
  <si>
    <t>Jacqueline M Parker</t>
  </si>
  <si>
    <t>Jackie Beardsley, CSC,GRI,MRP</t>
  </si>
  <si>
    <t>(630) 305-9428</t>
  </si>
  <si>
    <t>CC: Pursuant to Short Sale. If compensation is reduced will be split 50/50.  Call agent with questions.</t>
  </si>
  <si>
    <t>Muirwood</t>
  </si>
  <si>
    <t>RT. 60 &amp; Butterfield S2 Creekside E@ Muirwood to house</t>
  </si>
  <si>
    <t>Very sought after spacious Aspen unit. Super clean. 2 bedroom unit w/great location  .New windows in 2006. Newer water heater,furnace &amp; washer in 2009. Newer front door, side light &amp; screen in 2007. Large Lower level family room.   Newer laminate on main level 2006. neutral dÃ©cor. Private location.</t>
  </si>
  <si>
    <t>Park/Playground, Pool-Outdoors, Tennis Court/s, Street Lights, Street Paved</t>
  </si>
  <si>
    <t>24 HR NOTICE REQUIRED - Use Showing Assist or Call LO - after hours, call LAG</t>
  </si>
  <si>
    <t>Michael Dean</t>
  </si>
  <si>
    <t>(847) 557-1616</t>
  </si>
  <si>
    <t>24 HR NOTICE REQUIRED, NO EXCEPTIONS.  ONLY ACCESS IS WITH SENTRILOCK.  NO ONE DAY CODES WILL BE PROVIDED.</t>
  </si>
  <si>
    <t>AINSLIE-A1</t>
  </si>
  <si>
    <t>Savannah Crossing 9 ft. Ceilings Main Level. Kitchen features Breakfast Bay. 8 Ft. LOOKOUT BASEMENT w/Rough-In Bath. Stained Rails+Iron Spindles Entry/Main Volume Ceiling Master. 100% Energy Star. 30 Yr. Structural Transferrable Builder Warranty. Awesome Batavia Dist Schools. Photos Are Of the Model. Tech Area 2nd Floor. December Delivery.  STILL TIME TO MAKE ALL YOUR OWN INTERIOR COLOR SELECTIONS! Lot 19-03</t>
  </si>
  <si>
    <t>Breakfast Room, Other</t>
  </si>
  <si>
    <t>3%-$200 BASE PRICE (on Net SP)</t>
  </si>
  <si>
    <t>Call the Sales office 630978-9600 or Use Showing Assist</t>
  </si>
  <si>
    <t>Agent Must Accompany Buyer on 1st Visit.  Register your clients with Maureen, call her with any questions. 331-999-5717.</t>
  </si>
  <si>
    <t>Forest View</t>
  </si>
  <si>
    <t>355 to Maple W to 53 S Four Lakes Entrance to Forest View</t>
  </si>
  <si>
    <t>New Carpet.  New Cabinets.  Granite Counter Tops in Kitchen and Bathroom.  Outdoor Storage Space.  Fireplace.  Spacious with Lots of Natural Light.  Lots of Area Amenities.  Washer and Dryer Hook-Up in Unit.  Show w/ Confidence!  Make an Offer...  Will go Fast!</t>
  </si>
  <si>
    <t>Boat Dock, On Site Manager/Engineer, Party Room, Pool-Outdoors, Restaurant, Tennis Court/s, Street Lights, Street Paved</t>
  </si>
  <si>
    <t>Click Link Below or Call (800) 746.9464 - 24 Hr. Notice Required; No Exceptions</t>
  </si>
  <si>
    <t>Chris Keller</t>
  </si>
  <si>
    <t>(312) 730-6849</t>
  </si>
  <si>
    <t>CC: Pursuant to Short Sale. LA and Team Highly Experienced with Short Sales. No 3rd Party. One Mortgage. LO Does not hold EM. Must be Held at Buyer's Broker. Please See Additional Info on How to Submit a Short Sale Offer - VERY IMPORTANT!</t>
  </si>
  <si>
    <t>Derry</t>
  </si>
  <si>
    <t>Rt. 72 to Richard Brown to Wester to Emerald to Derry</t>
  </si>
  <si>
    <t>This model offers 2 large bedrooms, 2.5 baths, hardwood floors, spacious kitchen is open to living room and eating area has sliders to balcony. The finished English basement is a great place to get away! Check this one out today! This is a Fannie Mae HomePath Property.</t>
  </si>
  <si>
    <t>Seller directs offers be submitted at www.homepath.com. All inspections at buyers expense. Seller will not provide survey. Prorations 100%. See Add'l info. Go to www.homepath.com for all forms.</t>
  </si>
  <si>
    <t>Exciting "Savannah Crossing"  8' Look-Out Basement w/Rough-In Bth! Make Your Interior Color Selections Now. Grt Rm 9' Ft Ceilings on Main Level. 2nd Bath Option.  Tech Room. Stained Rails &amp; Spindles. 100% Energy Star Home. 30 Yr. Transferable Structural Builder Warranty. Photos of "Ainslie" Model, Ready Winter 2014.  Lot 19.05 Awesome Batavia Dist 101 Schools. December Delivery</t>
  </si>
  <si>
    <t>Breakfast Room, Great Room, Other</t>
  </si>
  <si>
    <t>Please call the Sales Office 630-978-9600 or Use Showing Assist</t>
  </si>
  <si>
    <t>Agent must accompany buyers on first visit. Please register clients with Maureen Parotto 331-999-5717 with any questions. Commission paid on base price.</t>
  </si>
  <si>
    <t>KENWOOD</t>
  </si>
  <si>
    <t>STONEY TO 67TH, WEST TO KENWOOD, NORTH TO BUILDING.</t>
  </si>
  <si>
    <t>125X100</t>
  </si>
  <si>
    <t>STUNNING COURTYARD CONDOMINIUMS. KITCHENS AND BATHS ARE BEAUTIFUL.  SPACIOUS ROOM SIZES AND CONVENIENT TO EVERYTHING!  PROPERTY SUBJECT TO FREDDIE MAC FIRST LOOK PROGRAM THROUGH 7/16/2014  ONE LOOK AND YOU WILL BE SOLD! UNIT MUST BE OWNER OCCUPIED RENTAL CAP IN BLDG IS MET</t>
  </si>
  <si>
    <t>CALL 877 977 1010</t>
  </si>
  <si>
    <t>EMAIL OFFERS TO BARB@PRSREALTORS.COM  USE ATTACHED COVERSHEET FOR EASE OF SUBMISSION</t>
  </si>
  <si>
    <t>Pine Crest</t>
  </si>
  <si>
    <t>Route 59 North of Miller to Main Gate. Left on Old Barn, Right on Pine Crest. Or Ask Guard at Gate.</t>
  </si>
  <si>
    <t>LAKEFRONT! This price with a basement, don't wait! Main level living plus finished basement. Immaculate well cared for home, kitchen has maple cabinets, granite counters, stainless appliances, room for cafe table. Living room with fireplace leads to large patio overlooking water and forestry, beautiful in all seasons. French doors to family room and lower level bedroom, with space for 3rd bathroom.</t>
  </si>
  <si>
    <t>Exercise Room, On Site Manager/Engineer, Park/Playground, Party Room, Sundeck, Pool-Indoors, Pool-Outdoors, Sauna, Tennis Court/s, Gated Entry, Street Paved</t>
  </si>
  <si>
    <t>Lake Front, Water View, Wooded</t>
  </si>
  <si>
    <t>Please Use Showing Assist, 1 Hours Notice Appreciated.</t>
  </si>
  <si>
    <t>Rogers</t>
  </si>
  <si>
    <t>Barrington Realty Company</t>
  </si>
  <si>
    <t>(847) 382-9100</t>
  </si>
  <si>
    <t>Corinne Guest</t>
  </si>
  <si>
    <t>(847) 363-3686</t>
  </si>
  <si>
    <t>Buyer pays 3 months HOA surcharge + $150 Applic Fee. Board approval required. Condo 3.</t>
  </si>
  <si>
    <t>McCoy west to Oakhurst.  South on Oakhurst to Anton Drive.  West to Anton Circle.</t>
  </si>
  <si>
    <t>***TERRIFIC HOME AVAILABLE FOR A QUICK CLOSE***  SPACIOUS END UNIT OPEN TO A GREENSPACE. TWO STORY LIVINGROOM WITH FIREPLACE AND VIEWS OF THE LOFT. SPACIOUS KITCHEN WITH LOTS OF STORAGE - LARGE MASTER SUITE AND THE PERFECT LOCATION *** DONT WAIT ON THIS ONE*** NEW KITCHEN SLIDER IS ON IT'S WAY***</t>
  </si>
  <si>
    <t>CALL 800 746 9464</t>
  </si>
  <si>
    <t>BUYERS MUST OBTAIN pre-approval by lending division at KCC PRIOR TO REVIEW OF OFFERS. Call (888) 972-8537. If KCC financing is used; reimbursement for Appraisal at closing. Offer includes DU Approval, POF or Pre-Approval</t>
  </si>
  <si>
    <t>James</t>
  </si>
  <si>
    <t>NORTH AVE TO GLEN ELLYN NORTH TO JAMES CT WEST TO PROPERTY.</t>
  </si>
  <si>
    <t>SHORT SALE ALLOW TIME FOR BANK APPROVAL.PROPERTY IS VACANT.</t>
  </si>
  <si>
    <t>CALL SHOWING TIME 800-746-9464 FOR APPT.</t>
  </si>
  <si>
    <t>Caporale Realty</t>
  </si>
  <si>
    <t>(708) 456-1919</t>
  </si>
  <si>
    <t>Norma Arias</t>
  </si>
  <si>
    <t>(708) 257-3486</t>
  </si>
  <si>
    <t>120 &amp; 12 N TO MOLIDOR EAST TO REMINGTON N TO MODELS</t>
  </si>
  <si>
    <t>THE HUDSON SERIES FEATURES A RANCH STYLE TOWNHOME W/PRIVATE ENTRANCE, 2 BEDROOMS, 2 BATHS, END UNIT, OPEN KITCHEN W/BREAKFAST BAR &amp; PANTRY, 1 CAR GARAGE, 9 FT 1ST FLR CEILING. BEAUTIFUL CHERRY FLOORS, NEW CARPET AND PAINT, HARDWOOD FLOORS, 42"CABINETS. SOLD AS-IS/WHERE-IS; NO EXCEPTIONS.  FIRST LOOK EXPIRES 7/16/14</t>
  </si>
  <si>
    <t>855-957-1293</t>
  </si>
  <si>
    <t>R.E.I.T. Homes</t>
  </si>
  <si>
    <t>(847) 548-5610</t>
  </si>
  <si>
    <t>Alexander Attiah</t>
  </si>
  <si>
    <t>(847) 276-5980</t>
  </si>
  <si>
    <t>EM MUST BE CERTIFIED FUNDS. 100% TAX PRORATION, NO SURVEY, PRE-QUAL LTR/POF &amp; ALL ADDENDUMS REQRD W/OFFER. ADDENDUMS ON MLS. EMAIL OFFERS:AATTIAH@REIT-HOMES.COM</t>
  </si>
  <si>
    <t>King drive to address</t>
  </si>
  <si>
    <t>Spacious 2 bedroom and 2 bath condo with balcony. Living room with a fireplace and hardwood floors!</t>
  </si>
  <si>
    <t>Water, Common Insurance, Security System, Exterior Maintenance, Scavenger, Snow Removal</t>
  </si>
  <si>
    <t>3% OR MIN $1000 (on Net SP)</t>
  </si>
  <si>
    <t>The seller has directed that all offers on this listing must be made online via HomePath.com (ID #C120Z7P ). Buyer subject to 6 months of past due assessments and fees.</t>
  </si>
  <si>
    <t>0N051</t>
  </si>
  <si>
    <t>Winfield Road North to High Lake West to Shelburne Crossing</t>
  </si>
  <si>
    <t>One of the LAST 5 HOMES AVAILABLE IN Shelburne Crossing! END UNIT, "Clark".  9' Ceilings on Main Level. 2 Brs + Loft. Kitchen w/Island, SS Appl's + Granite.  Hardwood Flooring.  Volume Ceiling Master Bedroom w/Pvt Bath. Trinity Light Package. Stained Rails &amp; Spindles. Photos Are of Model Home. 100% Energy Star. 30 Year Structural Transferable Builder Warranty.  Just Minutes to Central Du Page Hospital. Lot 2071.</t>
  </si>
  <si>
    <t>3%-$200 ON BASE PRICE + $3000 BONUS IF CLOSED BY 9-30-14 (on Net SP)</t>
  </si>
  <si>
    <t>Bonus, Variable</t>
  </si>
  <si>
    <t>PLEASE CALL SUE @ 847-323-1897 or use Showing Assist</t>
  </si>
  <si>
    <t>Agent must accompany buyers on first visit. Commission paid on base price. Call Sue Avicola any questions 847-323-1897. * * Price Reflects Incentives Buyer Must Use M/I Financial/$3000 BONUS if Closed by 9-30-14</t>
  </si>
  <si>
    <t>APPLETREE</t>
  </si>
  <si>
    <t>RT 59 TO GARYS MILL(E) TO APPLETREE(N) TO HOME.</t>
  </si>
  <si>
    <t>32X116</t>
  </si>
  <si>
    <t>Spacious townhome with 4 bedrooms, 2 up and 2 down and two full bathrooms.  Lots of natural light throughout.  Close in proximity to 59 and major expressways,  shopping, forest preserve and trails.  Great price.</t>
  </si>
  <si>
    <t>Easy to show - CALL LO 847-931-7500</t>
  </si>
  <si>
    <t>Paul Knott</t>
  </si>
  <si>
    <t>(847) 772-3751</t>
  </si>
  <si>
    <t>CC: Pursuant to Short Sale. MAKE SURE TO TURN OFF LIGHTS AND LOCK DOORS AFTER ALL SHOWINGS.  ANY OFFER MUST BE AT FULL LIST PRICE TO BE ACCEPTED BY SELLERS LENDER.  APPRAISED PRICE IS $110,000.</t>
  </si>
  <si>
    <t>West of Barrington Rd -- South of Bode Rd</t>
  </si>
  <si>
    <t>TREMENDOUS VALUE IN THIS 2BED/2BATH CONDO!! GLEAMING LAMINATE FLOORING, CEILING FANS, MODERN KITCHEN W/ WHITE CABINETS &amp; VINYL FLOORS. TONS OF NATURAL LIGHT, CERAMIC TILED BATHS &amp; SPACIOUS BEDROOMS. LARGE BALCONY W/ SCENIC VIEW. STACKABLE WASHER/DRYER IN UNIT **FANNIE MAE HOMEPATH PROPERTY ~ NO PERSONAL PROPERTY CONVEYED ~ BUYER PAYS ANY TRANSFER FEES ~ IL CONDO PROPERTY ACT MAY APPLY***AS-IS SALE***</t>
  </si>
  <si>
    <t>Pool-Outdoors, Street Paved</t>
  </si>
  <si>
    <t>$1040 buyer back assess. INFO NOT GUARANTEED. RENTALS OK/FHA APPROVED. Upload Offers &amp; Check Property Status, www.homepath.com. If property states UNDER CONTRACT, website will not allow uploads. Need help? 866.218.4446. Atty hold EM**AS-IS*</t>
  </si>
  <si>
    <t>63RD</t>
  </si>
  <si>
    <t>A3S</t>
  </si>
  <si>
    <t>CENTRAL AVE. TO 63RD - WEST TO OAK PARK</t>
  </si>
  <si>
    <t>7KG</t>
  </si>
  <si>
    <t>Gorgeous 15 year old condo with 2 bedroom/1 bath and livingroom with fireplace. Hardwood floors, clean spacious cabinets and ceramic tiled kitchen. Balcony. 1-car brick garage. Submit your offers now!      **See DOCUMENT section for HOA FAQS**  As of 9-8-14, HOA reached rental cap. not FHA approved</t>
  </si>
  <si>
    <t>Gas Starter, Includes Accessories</t>
  </si>
  <si>
    <t>Please call Centralized Showing 877-977-1010</t>
  </si>
  <si>
    <t>The seller has directed that all offers on this listing must be made online via HomePath.com. Please go to HomePath.com to make an offer. -- Act now - $1000 Buyer's Agent Bonus! Click HomePath.com for details or ask me. Restrictions apply.</t>
  </si>
  <si>
    <t>SHELBOURNE</t>
  </si>
  <si>
    <t>PRICED TO SELL, THIS GORGEOUS SHELBOURNE MODEL HAS 2BD/2.5 BTH + DEN W/OVER 2000 SQFT OF LUXURY LIVING. GRANITE, SS APPLS, HDWD FLRS &amp; 2 CAR HEATED GARAGE SPACES. WITH 12 ACRES Of LUXURY LIVING, THE HAMPTONS OF HINSDALE IS THE NEWEST &amp; MOST LUXURIOUS SUBDIVISION BUILT TODAY! OUR CUSTOM DESIGNED/DECORATED CONDOS RANGE FROM 1300-2300 SQFT. DELIVERY MAY/JUNE 2014.</t>
  </si>
  <si>
    <t>2.5%* MINUS $325 *COMMISSION BASED ON BASE SALE PRICE. (on Net SP)</t>
  </si>
  <si>
    <t>CALL SALES CENTER 630.384.6480 T-F 12-5PM SAT-SUN 11-4PM. BUYERâ€™S AGENT MUST BE PRESENT AT SHOWING.</t>
  </si>
  <si>
    <t>FOR SHOWINGS OR APPOINTMENTS PLEASE ONLY CALL SALES CENTER 630.384.6480. BUYERâ€™S AGENT MUST BE PRESENT AT SHOWING.*** FLOOR PLANS UNDER ADDITIONAL INFO ***</t>
  </si>
  <si>
    <t>Lake Shore Drive to57th, west to Hyde Park Blvd, east on 56th to 1700 56th</t>
  </si>
  <si>
    <t>Lovely,sunny 2 bedroom in elevator building overlooking the Museum,near the University of Chicago, park and lake. Spacious rooms and tons of closet space. Living room has an adjoining dining area and is adjacent to the kitchen.2 full baths with tubs and showers. Central air, possible rental garage parking, doorman, exercise room,roof top deck and new party room. Seller will include furniture!Come see and make a deal!</t>
  </si>
  <si>
    <t>Bike Room/Bike Trails, Door Person, Coin Laundry, Elevator, Exercise Room, Storage, On Site Manager/Engineer, Party Room, Sundeck, Receiving Room, Service Elevator, Curbs/Gutters, Sidewalks, Street Lights, Street Paved</t>
  </si>
  <si>
    <t>Heat, Air Conditioning, Water, Gas, Common Insurance, Doorman, TV/Cable, Exercise Facilities, Exterior Maintenance, Lawn Care, Scavenger, Snow Removal</t>
  </si>
  <si>
    <t>S (South), Lake/Water, Park</t>
  </si>
  <si>
    <t>2.5% LESS $295 (on Net SP)</t>
  </si>
  <si>
    <t>24 hour notice, listing agent must accompany</t>
  </si>
  <si>
    <t>Urban Search Corp Of Chicago</t>
  </si>
  <si>
    <t>(312) 337-2400</t>
  </si>
  <si>
    <t>Dorothy Crabb</t>
  </si>
  <si>
    <t>(773) 451-5759</t>
  </si>
  <si>
    <t>Seller is willing to leave any or all of the furniture for the buyer. Bring your buyers for a "real deal", they won't be disappointed!!  Thanks for showing!</t>
  </si>
  <si>
    <t>East View Park</t>
  </si>
  <si>
    <t>53rd St to Hyde Park Blvd. South to 54th. East to property.</t>
  </si>
  <si>
    <t>East View Park 2-bedroom w long-term ownership. Freshly painted, beautifully refinished hardwood floors, nice woodwork, great closet space. Common, enclosed back yard. Well-run condo association w meticulously maintained common grounds. Off-street parking. Close to the lake, parks and public transportation. Sorry, no dogs permitted. Great value for this space!</t>
  </si>
  <si>
    <t>24 hour notice required. Lister must accompany.</t>
  </si>
  <si>
    <t>Jeanne Spurlock</t>
  </si>
  <si>
    <t>BRITTANY</t>
  </si>
  <si>
    <t>Island Lake</t>
  </si>
  <si>
    <t>NANTUCKET VILLAGE</t>
  </si>
  <si>
    <t>RT 176 TO WATERFORD, S2 NANTUCKET, E2 BRITTANY</t>
  </si>
  <si>
    <t>ISLAND LAKE</t>
  </si>
  <si>
    <t>Mc Henry</t>
  </si>
  <si>
    <t>NUNDA</t>
  </si>
  <si>
    <t>34 X 75</t>
  </si>
  <si>
    <t>Great starter 2 Bedroom Townhouse!  Living room with Vaulted ceilings and Fireplace. Kitchen with Skylight. 2 Bedrooms with large closets. 1st floor Laundry. Deck and fenced back yard. Attached Garage.  Low monthly assessment and taxes.    This is a Freddie Mac HomeSteps property. First Look expires on 11/23/2014   Property Sold "as-is"</t>
  </si>
  <si>
    <t>COTTON CREEK SCHOOL</t>
  </si>
  <si>
    <t>WAUCONDA COMMUNITY HIGH SCHOOL</t>
  </si>
  <si>
    <t>Variety</t>
  </si>
  <si>
    <t>Call 1855 746-9100</t>
  </si>
  <si>
    <t>Luis Zires, GRI</t>
  </si>
  <si>
    <t>(847) 293-3311</t>
  </si>
  <si>
    <t>SHERWOOD FOREST</t>
  </si>
  <si>
    <t>LAKE ST E OF 59 TO PARK NO TO CAMBRIDGE WEST TO HOME</t>
  </si>
  <si>
    <t>LIGHT AND BRIGHT TWO BEDROOM TOWNHOME WITH LOFT! LAMINATE FLOORS IN LIVING, DINING, AND BEDROOMS! CATHEDRAL CEILINGS IN MASTER BEDROOM. CLOSE TO SCHOOLS, SHOPPING AND RT 20. JUST A SHORT DRIVE TO I-90. THIS IS A FANNIE MAE HOMEPATH PROPERTY.</t>
  </si>
  <si>
    <t>Property in 1st Look for first 20 days. Any realty transfer taxes due will be responsibility of purchaser. Please be advised all offers for Fannie Mae owned properties must be made through the HomePath Online offer system. www.homepath.com</t>
  </si>
  <si>
    <t>SCHMALE RD (BETWEEN NORTH AVE AND ARMY TRAIL ROAD) TO GOLFVIEW EAST TO HOME</t>
  </si>
  <si>
    <t>OUTSTANDING LOCATION ON THE 9TH FAIRWAY OF THE GLENDALE LAKES GOLF COURSE!  OPEN FLOOR PLAN W/ KITCHEN PASS THRU TO LR. FEATURES INCLUDE VAULTED CEILINGS AND A SKYLIGHT. 2 GOOD SIZED BRS W/ FULL BATHS W/ WALK-IN CLOSET IN 2ND BR. RECENT KITCHEN UPDATES W/ GRANITE COUNTERTOPS AND CERAMIC TILE. NEW PATIO DOOR AND WINDOWS, NEW CARPETING, NEWER A/C AND FURNACE. 2ND FLR LAUNDRY ROOM W/ HOOK-UPS FOR WASHER AND DRYER.</t>
  </si>
  <si>
    <t>Conventional, Lease/Purchase</t>
  </si>
  <si>
    <t>CALL LO AT (630) 250-0000 OR LA AT 847-373-1955  NO ELEC. BRING FLASHLIGHT IF SHOWING IN THE EVENING</t>
  </si>
  <si>
    <t>Realty 25, Inc</t>
  </si>
  <si>
    <t>(630) 250-0000</t>
  </si>
  <si>
    <t>John Bruszewski</t>
  </si>
  <si>
    <t>(847) 373-1955</t>
  </si>
  <si>
    <t>CC: Pursuant to Short Sale. PURSUANT TO SHORT SALE-SUBJECT TO BANK APPROVAL. EXPERIENCED SHORT SALE TEAM WILL BE INVOLVED THROUGHOUT. COOP BROKER CAN GET SAME 2.5% COMMISSION WITH AN INVESTOR'S LEASE W/ PURCHASE OPTION PROGRAM. CALL LA AT 847-373-1955 FOR MORE INFO.</t>
  </si>
  <si>
    <t>BUTTERFIELD TO GENEVA-NORTH TO ADDRESS</t>
  </si>
  <si>
    <t>Short sale! Good size rooms. This is good for re-habber with HW floors. 2 baths (2nd bath is a gut), central air, 2 car garagee. Good investment. No VA! 203K loan or cash only.</t>
  </si>
  <si>
    <t>CALL LISTING AGENT-SHOWINGS BEFORE NOON WEEKDAY OR SAT AND SUN ONLY.</t>
  </si>
  <si>
    <t>708-544-6800</t>
  </si>
  <si>
    <t>Gary Hersted</t>
  </si>
  <si>
    <t>(708) 280-3212</t>
  </si>
  <si>
    <t>CC: Pursuant to Short Sale. COMMISSION SUBJECT TO LENDER APPROVAL. ALL EARNEST MONEY CERTIFIED FUNDS ONLY.</t>
  </si>
  <si>
    <t>Court of Shorewood</t>
  </si>
  <si>
    <t>RTE 45 E OF 83 TO OAKWOOD S TO CHERY VALLEY TO STREET</t>
  </si>
  <si>
    <t>2 Bedroom 2 Bath third floor unit in Stevenson H.S. Close to shopping and entertainment !Large living room Opens to huge deck. Efficient kitchen open to dining area.2 full bathrooms. Washer and dryer in unit.</t>
  </si>
  <si>
    <t>COUNTRY MEADOWS ELEMENTARY SCHOOL</t>
  </si>
  <si>
    <t>WOODLAWN MIDDLE SCHOOL</t>
  </si>
  <si>
    <t>3%-$200(ON NET SP (on Net SP)</t>
  </si>
  <si>
    <t>SEE SHOWING ASSISTANCE</t>
  </si>
  <si>
    <t>Weichert Realtors-McKee Real Estate</t>
  </si>
  <si>
    <t>(847) 634-6500</t>
  </si>
  <si>
    <t>Angel Prodanov</t>
  </si>
  <si>
    <t>(847) 414-3042</t>
  </si>
  <si>
    <t>CC: Pursuant to Short Sale. CC: Pursuant to Short Sale. Any reduction in commission will be shared equally between buyer and seller brokers. Experienced short sale attorney negotiator-quick closing possible</t>
  </si>
  <si>
    <t>Santa Fe</t>
  </si>
  <si>
    <t>Route 83 to 91st - East to The Windings of Willow Ridge</t>
  </si>
  <si>
    <t>Fabulous interior 'Maple' model! Open &amp; inviting floor plan, gleaming hardwoods, pristine condition through-out! Offering gas FP w/ custom mantle, vaulted master suite, with huge walk-in closet, 2 large bedrooms, + study/loft, 2nd lvl laundry, English basement plumbed for a bath, excellent for storage or to finish off!  Private deck area, expansive views of evergreens &amp; lush landscaping~2 Car Attached! VISIT &amp; SEE!</t>
  </si>
  <si>
    <t>Oven-Double, Oven/Range, Microwave, Dishwasher, Refrigerator, Washer, Dryer, Disposal</t>
  </si>
  <si>
    <t>Deck, Loft, Storage</t>
  </si>
  <si>
    <t>6-HR Notice Required, Text COURTNEY @ 630.209.1115 for confirmation</t>
  </si>
  <si>
    <t>O O  R</t>
  </si>
  <si>
    <t>County Line Properties, Inc.</t>
  </si>
  <si>
    <t>(630) 789-3030</t>
  </si>
  <si>
    <t>Courtney Stach</t>
  </si>
  <si>
    <t>(630) 209-1115</t>
  </si>
  <si>
    <t>Newer Washer and Dishwasher, Newer 50-gallon hot water heater with recirculating hot water pump. Original Owners! Meticulous, clean and MOVE-IN READY!    OWNERS are RELATED to AGENT</t>
  </si>
  <si>
    <t>PARK SOUTH OF ROOSEVELT TO RAINTREE W TO RAINTREE CT.</t>
  </si>
  <si>
    <t>Neat and spacious second story unit, 2 bed + 2 bath has gorgeous views; private balcony oversees pond. Bright and sunny South exposure. Laminate and ceramic flooring throughout. Same floor laundry. Steps from tennis courts, pools, and club house. Close to shopping, schools, and golf course. Quiet neighborhood. Convenient and abundant parking around building.</t>
  </si>
  <si>
    <t>Coin Laundry, Storage, Party Room, Pool-Outdoors, Tennis Court/s, Sidewalks, Street Lights, Street Paved</t>
  </si>
  <si>
    <t>Leda Quiaro, CNC,SRS</t>
  </si>
  <si>
    <t>(630) 638-4272</t>
  </si>
  <si>
    <t>NO RENTALS AND NO FHA. PLEASE NOTE THAT BEFORE MOVING OUT SELLER WILL REMOVE AUDIO AND CABLE WIRES AND WILL REPAIR WALL HOLES.</t>
  </si>
  <si>
    <t>SALISBURY</t>
  </si>
  <si>
    <t>BRIDLEWOOD</t>
  </si>
  <si>
    <t>Grand Ave West of 294 to Bridlewood RIGHT to Salisbury</t>
  </si>
  <si>
    <t>2 story townhouse Neat &amp; Neutral! 2nd floor laundry room. Master bedroom with Full bathroom. Direct access into your one car attached garage. Open backyard which is ready for you to enjoy this Fall. The location is great w/ minutes away from I-94, Gurnee Mills, Six Flags Great America, Mariano's Grocery Store &amp; more shopping &amp; tons of restaurants.</t>
  </si>
  <si>
    <t>2.5% -$235 (on Gross SP)</t>
  </si>
  <si>
    <t>Call Listing office at 847-367-1171</t>
  </si>
  <si>
    <t>Renee Devedjian, SFR</t>
  </si>
  <si>
    <t>(847) 732-8833</t>
  </si>
  <si>
    <t>This is NOT a short sale nor foreclosure! Quick close possible - previously was rented. NO FHA</t>
  </si>
  <si>
    <t>Rt 34 to Mitchell Dr South to Klatt Left to Pratt St Left to home</t>
  </si>
  <si>
    <t>2 STORY TOWNHOME LOADED W/UPGRADES IN LAKEWOOD SPRINGS. 2 BEDRM W/OPEN LOFT OVERLOOKING 2 STORY FOYER. OAK RAILING. 42" MAPLE CABINETS W/GRANITE COUNTRS &amp; HARDWD FLR.  LARGE LIV RM W/FIREPLACE &amp; ENTERTAINMENT NICHE. DIN RM W/SLIDING GLASS DRS TO PRIVATE PATIO &amp; SCENIC AREA.  MASTER BEDRM W/VAULTD CEILING, FAN, WIC AND MASTER BTH W/SEP SOAKER TUB &amp; SHOWR. 2ND BTH W/CERAMIC. 2ND FLR LAUNDRY RM. SHORT SALE SOLD 'AS IS'</t>
  </si>
  <si>
    <t>12X26</t>
  </si>
  <si>
    <t>CALL 800 746-9464</t>
  </si>
  <si>
    <t>Kristina Jarczyk</t>
  </si>
  <si>
    <t>(630) 460-8150</t>
  </si>
  <si>
    <t>630-460-8150</t>
  </si>
  <si>
    <t>CC: Pursuant to Short Sale. IF CC REDUCED WILL BE SPLIT 50/50 NO SURVEY TAXES TO BE PRORATED 100% SOLD 'AS IS'  APPLIANCES DO NOT STAY AND ARE NOT INCLUDED IN SALE. THE MAIN ASSOCIATION IS $98.31 THE OTHER ASSOCIATION IS FOR POOL/CLUBHOUSE $35 COMBINED $133.31 MONTH</t>
  </si>
  <si>
    <t>THE CHELSEA HAS 2BD/1.5 BTH + HUGE 10X10 DEN/OFFICE W/OVER 1466 SQFT OF LUXURY LIVING. GRANITE, SS APPLS, HDWD FLRS &amp; 1 CAR HEATED GARAGE SPACE. WITH 12 ACRES Of LUXURY LIVING, THE HAMPTONS OF HINSDALE IS THE NEWEST &amp; MOST LUXURIOUS SUBDIVISION BUILT TODAY!  OUR CUSTOM DESIGNED/DECORATED CONDOS RANGE FROM 1300-2300 SQFT, TO OUR ULTRA LUXURIOUS 3+ STORY TOWNHOMES. DELIVERY MAY/JUNE 2014.</t>
  </si>
  <si>
    <t>Common Insurance, TV/Cable, Exterior Maintenance, Lawn Care, Scavenger, Snow Removal, Internet Access</t>
  </si>
  <si>
    <t>CALL SALES CENTER 630.384.6480 T-F 12-5PM SAT-SUN 11-4PM</t>
  </si>
  <si>
    <t>FOR SHOWINGS OR APPOINTMENTS PLEASE ONLY CALL SALES CENTER 630.384.6480. *** COMMISSION BASED ON BASE SALE PRICE ***</t>
  </si>
  <si>
    <t>3S092</t>
  </si>
  <si>
    <t>Rt 59 to Meadow E2 Timber Dr.</t>
  </si>
  <si>
    <t>Short Sale approved at 135k, 2 br's, 1.5 baths and 2C Gar,  Huge 2nd floor family room with volume ceiling, syklights and sliding glass door to balcony.  Pergo type floors in Liv &amp; Din rooms.  Woodburning fireplace in living room.  Spacious master bedroom with dual entry bath and huge walk-in closet.  All appls stay including washer &amp; dryer.  Home needs cosmetic TLC. Wheaton School Dist 200.</t>
  </si>
  <si>
    <t>3.5% -$200 (on Net SP)</t>
  </si>
  <si>
    <t>See showing assist</t>
  </si>
  <si>
    <t>Marilyn Burke</t>
  </si>
  <si>
    <t>(630) 730-4126</t>
  </si>
  <si>
    <t>Short sale. One loan on property and attorney is short sale experienced. Any commission reduction split 50/50.</t>
  </si>
  <si>
    <t>MELROSE</t>
  </si>
  <si>
    <t>Duane Street Condos</t>
  </si>
  <si>
    <t>Hill to Prospect N to Hillside W to Melrose N to drive on left</t>
  </si>
  <si>
    <t>Fantastic in-town location!  Walk to everywhere! This lovely unit has an open updated Kitchen w/great cabs. 2 spacious and bright BRs with ample closets. Open plan with FP in Great Room. Nice space for DR table. 2 updated Baths,   Fenced patio is gated and opens to green space.  Walk to Library, train, grocery store, restaurants, and great Glen Ellyn shopping. Private Garage and W/D in unit.</t>
  </si>
  <si>
    <t>CALL SHOWING DESK 630-790-1776 AFTER HOURS CALL   HAYA  630-204-1776 OR 630-505-8305(KATHY)</t>
  </si>
  <si>
    <t>Haya Miller</t>
  </si>
  <si>
    <t>(630) 204-1776</t>
  </si>
  <si>
    <t>ANTON</t>
  </si>
  <si>
    <t>EOLA TO MCCOY EAST TO OAKHURST S TO ANTON CIRCLE WEST</t>
  </si>
  <si>
    <t>Enjoy "maintenance living" in this over 1500 sq ft light, bright &amp; open townhome! Owner has replaced many items over the last few years: furnace, most rooms recarpeted,newer microwave, storm door, light fixtures,&amp; water heater! Relax by the 2 story FR w/brick fireplace! Pergo floor in K, huge master w/vaulted ceiling,formal D.R. &amp;  loft. The oversized 1.5 car garage provides tons of storage!Walking paths,park&amp; shops!</t>
  </si>
  <si>
    <t>2.5% - $200.00 (on Gross SP)</t>
  </si>
  <si>
    <t>Text/call agent for appt - on combo</t>
  </si>
  <si>
    <t>Jennifer Drohan, CSC</t>
  </si>
  <si>
    <t>(630) 292-2696</t>
  </si>
  <si>
    <t>-FHA STATUS HAS EXPIRED - NO LONGER FHA APPROVED -</t>
  </si>
  <si>
    <t>AUSTIN TO 64TH PL W TO ADDRESS</t>
  </si>
  <si>
    <t>THIS IS A FANNIE MAE HOMEPATH PROPERTY.   WOW, VAULTED CEILINGS, FRESH PAINT AND COURTYARD VIEW.  SPACIOUS ROOMS BALCONY, CONVENIENT KITCHEN AND NICE CURB APPEAL ADD UP TO A REAL WINNER. THIS HOA HAS NO RESERVES,</t>
  </si>
  <si>
    <t>THE SLLER DIRECTS THAT ALL OFFERS BE SUBMITTED VIA HOMEPATH.COM  USE ATTACHED CONTRACT PKG FOR EASE OF SUBMISSION</t>
  </si>
  <si>
    <t>Shoe Factory Rd to Toastmaster N to Shawford W to Providence</t>
  </si>
  <si>
    <t>GREAT END UNIT IN DESIRABLE COBBLERS CROSSING!  TH FEATURES GREAT VIEWS, OPEN FLOOR PLAN, GAS FIREPLACE IN THE LIVING ROOM, VAULTED CEILINGS, LOFT, PATIO, PRIVATE ENTRANCE, AND MORE! This is a short sale, please allow ample time for lender response.  *** SHORT SALE LENDER APPROVED PRICE AT $104,900! SEND YOUR OFFER TODAY! ***</t>
  </si>
  <si>
    <t>Call listing office *Must be confirmed* 2 hour notice</t>
  </si>
  <si>
    <t>Esther Zamudio, GRI</t>
  </si>
  <si>
    <t>(847) 429-4228</t>
  </si>
  <si>
    <t>BLOOMINGDALE TO SIDNEY E TO PRAIRIE S TO HOME</t>
  </si>
  <si>
    <t>see Secure Showing Assist Instructions for LB Code</t>
  </si>
  <si>
    <t>Normandie</t>
  </si>
  <si>
    <t>COUNTRYSIDE HILLS</t>
  </si>
  <si>
    <t>From Rollins Rd / Cedar Lake - North / Countryside - West / Normandie - North to 435</t>
  </si>
  <si>
    <t>Great Neighborhood with 2 Bedrooms, 1.1 Bath &amp; 1 Car Garage. HUD HOME SALE CASE NUMBER 137-284244      . HUD ONLINE AUCTION. FHA INSURABILITY STATUS "IE". 203K Eligible. REPAIR ESCROW: $1320.00. â€œEqual Housing Opportunityâ€. List Date: JUNE 27, 2014. â€œSOLD AS-ISâ€. VIRTUAL TOUR.  NOTE: OWNER/ OCCUPANTS HAVE 15 DAY FIRST LOOK. ALL INFO SHOULD BE VERIFIED..</t>
  </si>
  <si>
    <t>Vacant, Please use Showing Assist to Schedule a Showing Then use Combo Box. Code with Showing Assist</t>
  </si>
  <si>
    <t>Peter M Consolo</t>
  </si>
  <si>
    <t>(WWW.HUDHOMESTORE.COM: FOR BIDDING INFO) (WWW.OFORI.COM: CONTRACT INFO). (UTILITY ACTIVATIONS: CONTACT PK MANAGEMENT).  SELLING BROKER TO VERIFY ALL INFO. NOTE: OWNER OCCUPANTS HAVE 15 DAY FIRST LOOK</t>
  </si>
  <si>
    <t>WETHINGTON</t>
  </si>
  <si>
    <t>CRESTVIEW</t>
  </si>
  <si>
    <t>RTE 176 WEST OF FAIRFIELD TO WETHINGTON TO HOME.</t>
  </si>
  <si>
    <t>FIRST FLOOR CONDO. ONE CAR GARAGE. TWO BEDROOMS &amp; TWO BATHS. MASTER WITH WALK IN CLOSET. SMALL PATIO OFF DINING HALL. THIS PROPERTY IS ELIGIBLE UNDER THE FREDDIE MAC FIRST LOOK INITIATIVE THROUGH 7/16/14.</t>
  </si>
  <si>
    <t>CLICK ON SHOWING ASSIST</t>
  </si>
  <si>
    <t>HOMESTEPS/FREDDIE MAC</t>
  </si>
  <si>
    <t>Real Living Properties</t>
  </si>
  <si>
    <t>(847) 278-1700</t>
  </si>
  <si>
    <t>Margaret Sears, GRI</t>
  </si>
  <si>
    <t>(847) 650-7657</t>
  </si>
  <si>
    <t>HOME WARRANTY INCENTIVE OFFERED â€“ FORM UNDER ADDITIONAL INFORMATION â€“ MUST BE SUBMITTED WITH INITIAL OFFER. SOLD AS IS, 100% TAX PRORATIONS, NO SURVEY, PRE QUAL LETTER, EM MUST BE CERTIFIED FUNDS, ADDENDUMS &amp; CONTRACT ON MLSNI.</t>
  </si>
  <si>
    <t>Rt 72 West of Randall to Galligan (right), right on jackson to address</t>
  </si>
  <si>
    <t>Great Chatham model with 42" cabinets, granite countertops, and a breakfast bar.  New carpeting throughout.  3 sided fireplace separating dining room and living room with sliders leading to large balcony.  Upstairs has 2 bedrooms, 2 full baths and spacious loft.  Master bedroom has large walk in closet.  Finished lower level with garage and utility room.  Freddie Mac First Look initiative through 7/20/2014</t>
  </si>
  <si>
    <t>freddie mac/homesteps</t>
  </si>
  <si>
    <t>verify HOA***sold as is, no survey,taxes at 100%*see add. info for modified 5.0, own occ. affidavit, contact sheet, and SAMPLE addendum*POF/preapp w/all offers.*Seller is requesting highest&amp;best by 10/27/14 at 11 Am)MOF in addn. info</t>
  </si>
  <si>
    <t>On Foster, just west of Cumberland</t>
  </si>
  <si>
    <t>Spacious 2bed/2bath unit located in desirable Cascades of Norridge Complex.  Great location! Right down the block from Pennoyer School, and minutes from the Blue Line &amp; HIP.  Unit features open floor plan w/ huge balcony overlooking courtyard, in-unit laundry, and plenty of closet space.  Heated garage parking and storage.  Unit and complex and have been loving maintained and are ready for you.  Come check it out!</t>
  </si>
  <si>
    <t>22X7</t>
  </si>
  <si>
    <t>Call or Text Listing Agent.  Rich Nudo - (847) 840-8150</t>
  </si>
  <si>
    <t>Hoey</t>
  </si>
  <si>
    <t>Roppolo Realty, Inc.</t>
  </si>
  <si>
    <t>(708) 453-9080</t>
  </si>
  <si>
    <t>Richard Nudo</t>
  </si>
  <si>
    <t>Call or Text Listing Agent to schedule showing.  Rich Nudo - (847) 840-8150.  Whitish grey lockbox attached to fence at garage entry.  THE HIGH SCHOOL IS MAINE SOUTH, NOT RIDGEWOOD...Sorry for the confusion</t>
  </si>
  <si>
    <t>MITCHELL</t>
  </si>
  <si>
    <t>intersection of Hobson and Woodridge Drive. On Hobson between I-355 and I-53.</t>
  </si>
  <si>
    <t>Spacious 2 bedroom, 2 bath 2nd Floor Condo with many upgrades: wood laminate flooring throughout hallway, family room and dining room; tile back splash in kitchen; updated bathrooms. Building is FHA approved and allows renters. Short sale</t>
  </si>
  <si>
    <t>83 &amp; 120 E2 Lake Street S2 Village Station Lane</t>
  </si>
  <si>
    <t>BERKSHIRE</t>
  </si>
  <si>
    <t>VERBALLY ACCEPTED OFFER - PAPERWORK PENDING.  Fannie Mae HomePath property. Home features 2 BR, 2.1 Baths, 2-car garage, new paint and carpeting. Square footage does not reflect lower level. - 143 sf. Shows like a model. Close to shopping &amp; commuter routes. Seller's payment of IL Condo Act 94-1049 dues applies. Offer instructions attached in MLS.</t>
  </si>
  <si>
    <t>See Additional Info for offer submission documents. Seller has directed all offers on this listing be made using the HomPath Online Offer system at homepath.com. Required documents attached.</t>
  </si>
  <si>
    <t>HUNT CLUB AND WASHINGTON WEST TO WHITE OAK AND THEN SOUTH TO BIRCH</t>
  </si>
  <si>
    <t>MOVE IN READY! APPLIANCES INCLUDED! NATURE AT YOUR BACK DOOR.  LARGE FAMILY ROOM UPSTAIRS COULD BE A 3RD BEDROOM. ONE AND A HALF BATHS! ATTACHED 1 CAR GARAGE! ADDITIONAL VISITOR PARKING IN COMMUNITY! LOW MAINTENANCE. OWNER SAYS UNIT IS HOA COMPLIANT. FANTASTIC LOCATION! SHORT DISTANCE TO WARREN TOWNSHIP PARK W/WALKING TRAILS, PLAYGROUND, AND TENNIS COURTS. QUICK CLOSE POSSIBLE! SEE IT TODAY!</t>
  </si>
  <si>
    <t>Vinyl Siding, Masonite, Stone</t>
  </si>
  <si>
    <t>2.5% - $230 (on Gross SP)</t>
  </si>
  <si>
    <t>EZ 2 Show. Use Showing Assistant.</t>
  </si>
  <si>
    <t>Gary Geer, e-PRO</t>
  </si>
  <si>
    <t>(224) 225-9557</t>
  </si>
  <si>
    <t>224-225-9557</t>
  </si>
  <si>
    <t>Great location and fronts on large yard area. Seller wants offers. Quick close possible. Not a short sale or foreclosure.</t>
  </si>
  <si>
    <t>FULLERTON W. OF HARLEM TO PROPERTY</t>
  </si>
  <si>
    <t>Short sale approved at asking price. Re-established HOA, no budget or financials yet. Updated in 2007, hardwood floors, granite, storage locker and parking included. Non-warrantable condo, Rented for $950 to prior tenant. Sold "as-is" 100% pro-rations, and no survey. Info deemed accurate, not guaranteed, buyer to verify. Passed village inspection.</t>
  </si>
  <si>
    <t>Heat, Water, Parking, Lawn Care, Scavenger</t>
  </si>
  <si>
    <t>2.5% LESS $300 (on Net SP)</t>
  </si>
  <si>
    <t>call 855 746 9100 showing time</t>
  </si>
  <si>
    <t>(847) 491-1855</t>
  </si>
  <si>
    <t>Jeffrey Nobleza</t>
  </si>
  <si>
    <t>CC: Pursuant to Short Sale. Re-established HOA However, no budget or financials yet. Short sale, sold "as-is", no survey, 100% pro-ration through November 2014 Info deemed accurate but not guaranteed. Passed Village Inspection. May have to pay $500 back due assessment</t>
  </si>
  <si>
    <t>65th to Natchez - N to property</t>
  </si>
  <si>
    <t>26 X 57</t>
  </si>
  <si>
    <t>Fabulous end unit includes two master bedroom suites with custom built out walk in closets.  Whirlpool tubs and separate showers.  Sliding glass doors off the family room lead you to the private balcony.  Stainless steel appliances, vaulted ceilings, and lots of windows make this kitchen a dream.  A bright, finished basement is the perfect rec room with a dry bar and half bath.  Laundry on 2nd floor.  Move on in!</t>
  </si>
  <si>
    <t>12X25</t>
  </si>
  <si>
    <t>Humidifier, TV-Cable, TV-Dish, Security System, Ceiling Fan, Sump Pump</t>
  </si>
  <si>
    <t>Gas Logs, Heatilator Type System</t>
  </si>
  <si>
    <t>Call Listing Agent Rachel Thompson 773.203.7522</t>
  </si>
  <si>
    <t>Rachel Thompson</t>
  </si>
  <si>
    <t>(773) 203-7522</t>
  </si>
  <si>
    <t>ON GRAND - EAST OF THATCHER - WEST OF HARLEM</t>
  </si>
  <si>
    <t>NEW NEW NEW - two bedroom condo in Elmwood Park's newest conversion project. Located in the heart of town, unit features a friendly floor plan with granite counters, stainless appliances, and hardwood floors throughout. Private assigned parking and storage included. Close to shopping, public transportation, Metra station, pool and library. 90% financing options and 13 month HWA home warranty available.</t>
  </si>
  <si>
    <t>CALL LISTING OFFICE. AFTER HOURS, CALL OR TEXT AGENTS.</t>
  </si>
  <si>
    <t>7921 GRAND, LLC</t>
  </si>
  <si>
    <t>The pictures shown are of the model unit for this building. Please call for builder's contract. For pre-approval and first-in lending information, contact Linda Scott at Wintrust Mortgage - 630-632-0990.</t>
  </si>
  <si>
    <t>WOODLAND GREEN</t>
  </si>
  <si>
    <t>Rt 83 &amp; Grass Lake Rd West to Oakwood (Woodland Green)</t>
  </si>
  <si>
    <t>CAYMAN</t>
  </si>
  <si>
    <t>29 X 133</t>
  </si>
  <si>
    <t>STUNNING 2 STORY TOWNHOME OVERLOOKING FOX LAKE GOLF COURSE, IMMACULTE HOME, VERY WELL MAINTAINED, KITCHEN FEATURES MAPLE CABINETRY, PANTRY CLOSET, ALL APPLIANCES INCL. FORMAL DINING ROOM WITH VOLUME CEILING, LARGE MASTER SUITE W/DOUBLE CLOSETS W/WHIRLPOOL BATH, SEPARATE  SHOWER, 1/2 BATH LST FLOOR, FULL BATH IN WALK-OUT LOWER LEVEL, FAMILY ROOM, LAUNDRY, OFFICE AREA AND UNDER STAIRS STORAGE, 2 CAR ATTACHED GARAGE.</t>
  </si>
  <si>
    <t>1/2 Duplex, Condo</t>
  </si>
  <si>
    <t>2.50 - $200 (on Net SP)</t>
  </si>
  <si>
    <t>Marjorie Krutsch, ABR,GRI</t>
  </si>
  <si>
    <t>(847) 502-8251</t>
  </si>
  <si>
    <t>INVESTOR OR OWNER UST HOLD FOR 3 YEARS</t>
  </si>
  <si>
    <t>WHITE OAK</t>
  </si>
  <si>
    <t>WASHINGTON AND HUNT CLUB, WEST TO WHITE OAK LANE, SOUTH TO END OF LOOP - 3RD DRIVEWAY</t>
  </si>
  <si>
    <t>GREAT END UNIT THAT'S CLEAN AS A WHISTLE WITH PLENTY OF EXTRAS TO MAKE IT A BEST BUY, INCLUDING 2-CAR GARAGE, STORAGE ROOM THAT COULD BE AN OFFICE, BACKS UP TO NATURAL SETTING FOR EXTRA PRIVACY AND SPACE TO GROW YOUR OWN GARDEN. INSIDE YOU GET WOOD CABINETS, SS APPLIANCES, LARGE LOFT WITH VENTED SKYLIGHT TO KEEP IT COOL, 2 LARGE BEDROOMS, AND BATH WITH A WHIRLPOOL TUB AND SKYLIGHT.</t>
  </si>
  <si>
    <t>2.5 % -$250 (on Net SP)</t>
  </si>
  <si>
    <t>CALL LISTING OFFICE, TWO-HOUR NOTICE</t>
  </si>
  <si>
    <t>Randy Blaser</t>
  </si>
  <si>
    <t>847-323-5786</t>
  </si>
  <si>
    <t>EASY TO SHOW. TAXES DO NOT INCLUDE HOMEOWNER'S EXEMPTION SO NEW BILL WILL BE LESS FOR OWNER-OCCUPIED. NOT FHA-APPROVED, BUT SUBDIVISION IS IN PROCESS OF APPLYING.</t>
  </si>
  <si>
    <t>730N</t>
  </si>
  <si>
    <t>LSD to 53rd St exit, east on Hyde Park Blvd, north to 55th west to 1451 (north entrance twin towers)</t>
  </si>
  <si>
    <t>Seller says SELL NOW!!! Big price reduction PLUS $1500 to buyer at closing. I M Pei masterpiece (his only building in Chicago): mid-century architecture with imposing columns, beautiful gardens, fountain &amp; outdoor pool. Unique arched windows flood each room with light. Gleaming hardwood floors. Original Republic Steel kitchen, updated with granite countertops &amp; a rolling island, opens to LR. Vintage sinks. Pets OK.</t>
  </si>
  <si>
    <t>Bike Room/Bike Trails, Door Person, Coin Laundry, Elevator, Exercise Room, Storage, On Site Manager/Engineer, Park/Playground, Party Room, Sundeck, Pool-Outdoors, Receiving Room, Security Door Locks, Curbs/Gutters, Gated Entry, Sidewalks, Street Lights, Street Paved</t>
  </si>
  <si>
    <t>Fenced Yard, Landscaped Professionally</t>
  </si>
  <si>
    <t>Heat, Water, Gas, Common Insurance, Security, Doorman, TV/Cable, Exercise Facilities, Exterior Maintenance, Lawn Care, Scavenger, Snow Removal</t>
  </si>
  <si>
    <t>S (South), E (East), Lake/Water, Park</t>
  </si>
  <si>
    <t>Short notice may be ok</t>
  </si>
  <si>
    <t>The Margie Smigel Group, LLC</t>
  </si>
  <si>
    <t>(312) 953-1466</t>
  </si>
  <si>
    <t>Margie Smigel</t>
  </si>
  <si>
    <t>312-953-1466</t>
  </si>
  <si>
    <t>This unit has just been completely redecorated and is in terrific move-in condition. Beautiful, panoramic high views of Hyde Park. Southeast corner. The hardwood floors are unusual for this building. Currently 6 garage &amp; 2 outdoor sps avail</t>
  </si>
  <si>
    <t>ARAPAHO</t>
  </si>
  <si>
    <t>75th 2 Book N,2 Rickert E,2 Whispering Hills S,2 Araphoe</t>
  </si>
  <si>
    <t>Location, Location, Location! Centrally Located &amp; Close To Downtown &amp; Shopping. Two Story Town Home In Popular Estes Park Subdivision. Beautiful Fireplace W/Gas Starter. Second Floor Laundry! Open Loft Great For Office Or Den! Oak Rails, Oak Cabinets. Kitchen With Breakfast Bar, Sliding Glass Door To Patio &amp; Spacious Yard.   Each Bedroom Has A Full Bathroom. All Appliances Stay. Great Town Home For Investors.</t>
  </si>
  <si>
    <t>Buyers Financing Fell Through.</t>
  </si>
  <si>
    <t>Jeffery to 74th East to property</t>
  </si>
  <si>
    <t>3 bed townhouse with 1.5 baths in South Shore. Hardwood floors throughout. Bright, spacious rooms. Excellent location near public transportation, parks, restaurants and more! This is a Fannie Mae HomePath Property.</t>
  </si>
  <si>
    <t>3% OR $1000, WHICHEVER GREATER (on Net SP)</t>
  </si>
  <si>
    <t>Krain</t>
  </si>
  <si>
    <t>(773) 235-0111</t>
  </si>
  <si>
    <t>John Federici</t>
  </si>
  <si>
    <t>CC: Pursuant to Short Sale. Submit all offers to www.homepath.com</t>
  </si>
  <si>
    <t>Flagstone</t>
  </si>
  <si>
    <t>FROM 62 SOUTH ON 25 TO SILVERSTONE WEST TO FLAGSTONE NORTH TO PROPERTY.</t>
  </si>
  <si>
    <t>NICE END UNIT! 2 BED 1.5 BATH SUPER AFFORDABLE! CLOSE TO EVERYTHING! EASY ACCESS AND READY TODAY! NICE SIZE ROOMS, EXTRA LOFT AREA, GARAGE, LOTS OF ROOM IN THIS FABULOUS UNIT! GREAT LOCATION.</t>
  </si>
  <si>
    <t>2.5 -$200.00 (on Net SP)</t>
  </si>
  <si>
    <t>Call CSS 877/977-1010 to make showing appointments</t>
  </si>
  <si>
    <t>Michael Medema</t>
  </si>
  <si>
    <t>William Squires</t>
  </si>
  <si>
    <t>(847) 809-0054</t>
  </si>
  <si>
    <t>CC: Pursuant to Short Sale. Nice Unit. Please prorate taxes at 100%. Any reduction in CC imposed by SS Lender will be split 50/50 between Brokers</t>
  </si>
  <si>
    <t>Bennington on the Lake</t>
  </si>
  <si>
    <t>ARMY TRAIL W OF COUNTY FARM TO BENNINGTON, L ON COLDSPRI</t>
  </si>
  <si>
    <t>Spacious open floor plan townhouse. Repairs needed, but the value is great! Sold in "as-is" condition. Bring your decoration ideas and make it your home!</t>
  </si>
  <si>
    <t>Please email offers to amberrealty@gmail.com or fax 847 660 6023. Pre-approval letter or proof of funds should accompany all  offers;Earnest money (after offer acceptance) must be certified funds. 100% tax proration. No survey</t>
  </si>
  <si>
    <t>87th</t>
  </si>
  <si>
    <t>Take 87th Street east or west to property</t>
  </si>
  <si>
    <t>Beautiful Quad-Level Avalon Park Townhouse in Marynook features 2BR 1.5 BTH, Bsmt., Fenced Driveway Parking in the rear. Move Right In! You can live here with FHA Mortgage. MOTIVATED SELLER is willing to assist with financing. 4 levels of living space with hwd flrs underneath carpeting. Well maintained and perfect for a starter home. Storage and patio in back. Transportation and shopping close and convenient.</t>
  </si>
  <si>
    <t>Scheduling using showing assist - Call agent after scheduling 773 617-6776</t>
  </si>
  <si>
    <t>Shirley Rucker, CRS,GRI</t>
  </si>
  <si>
    <t>(773) 451-1420</t>
  </si>
  <si>
    <t>773 617-6776 cell</t>
  </si>
  <si>
    <t>D-214</t>
  </si>
  <si>
    <t>OGDEN TO SARATOGA N TO BUILDING</t>
  </si>
  <si>
    <t>Make your move to this updated end unit w/private balcony. Recent complete renovation including new kitchen, bath, floors, doors, etc. Laundry and storage in the basement. Heat/water/garbage/pool/clubhouse/snow removal/and building security system included. Nicest 2 bedroom in the complex. Maple cabinets, Laminate flooring.</t>
  </si>
  <si>
    <t>2.5-$350 (on Net SP)</t>
  </si>
  <si>
    <t>call showing assist 1-855-746-9100</t>
  </si>
  <si>
    <t>owner of Record</t>
  </si>
  <si>
    <t>Courtesy key at Baird &amp; Warner, 724 Ogden Ave., Downers Grove. 630-964-1855. Must confirm through showing assist</t>
  </si>
  <si>
    <t>7S339</t>
  </si>
  <si>
    <t>Pinehurst</t>
  </si>
  <si>
    <t>HOBSON RD. TO GREENE RD (N) TO GREEN TRAILS DR (LEFT) TO BALTUSROL LN (RIGHT) TO PINEHURST CT(RIGHT)</t>
  </si>
  <si>
    <t>Rarely available two bedroom , 1.5 bath 2-story townhome with private entrance. Spacious loft area on second floor, vaulted ceilings, 1st floor laundry, unfinished basement, eat-in kitchen w/Stainless Apps and bay window, 1st floor family room and living room. Two car private attached garage and 1,500 square feet of living area. MUST SEE</t>
  </si>
  <si>
    <t>18X5</t>
  </si>
  <si>
    <t>E-MAIL L.A. PLEASE PROVIDE NAME, OFFICE NAME, MLS# AND PHONE #</t>
  </si>
  <si>
    <t>Amber Realty Group Inc</t>
  </si>
  <si>
    <t>(630) 337-6455</t>
  </si>
  <si>
    <t>Yvonne Zyla</t>
  </si>
  <si>
    <t>(630) 440-9425</t>
  </si>
  <si>
    <t>Charles</t>
  </si>
  <si>
    <t>OLD CREEK WEST</t>
  </si>
  <si>
    <t>KIRK RD/FARNSWORTH-S-MOLITOR-E-CHARLES LN- N TO 2061</t>
  </si>
  <si>
    <t>Two bedroom with 1.1 baths with a wooded view. Large living room with fireplace. Huge Master bedroom. Nice patio. One car attached garage. End unit. Easy access to I-88 tollway and Chicago Premium Outlet Mall. Needs some work. Short sale/as-is. Previous buyer walked after short sale was approved.</t>
  </si>
  <si>
    <t>3% -$250 (on Net SP)</t>
  </si>
  <si>
    <t>Text LA with info</t>
  </si>
  <si>
    <t>KETTLEY &amp; CO, INC, REALTORS</t>
  </si>
  <si>
    <t>(630) 466-4485</t>
  </si>
  <si>
    <t>Dianne Giammarino</t>
  </si>
  <si>
    <t>(630) 400-8498</t>
  </si>
  <si>
    <t>www.diannegiammarino.com</t>
  </si>
  <si>
    <t>CC: Pursuant to Short Sale. Short sale, Commission split equally if lowered by lien holder, no survey,no termite, sold as-is,</t>
  </si>
  <si>
    <t>11S489</t>
  </si>
  <si>
    <t>RACHAEL</t>
  </si>
  <si>
    <t>KINGERY HWY ABOUT 1.5 MILES SOUTH OF I55 TO BLUFF GO WEST TO 1st STREET RACHAEL CT , SOUTH TO THOME</t>
  </si>
  <si>
    <t>EMERALD</t>
  </si>
  <si>
    <t>SELLER PD $274,500 IN 2006 &amp; OVER $30K REMOD! BEST LOCATION IN THE SUB! GORGEOUS,&amp; MOVE-IN COND THOME IN "SOUGHT AFTER" BURR RIDGE/WBROOK NEAR HWYS, SHOPPING, &amp; FOREST PRESERVE~NEW GOURMET KITCHEN W/GRANITE COUNTERS, BREAKFAST BAR, &amp; HIGH END APPLCS~3 LEVELS OF FIN LIVING, HW FLOORS,~MASTER BDRM STE W/SITTING ROOM, COULD BE DIVIDED BOASTING 3 BDRMS &amp; LOFT~SOAKING TUB~ENG BSMT, CARE FREE LIVING, 2CAR ATT GAR*MUST SEE!</t>
  </si>
  <si>
    <t>Foyer, Loft, Utility Room-Lower Level</t>
  </si>
  <si>
    <t>EASY! CALL 877.977.1010, CENT SHOWINGS TO LOG IN YOUR SHOWING, VACANT SENTRILOCK ON FRONT DOOR</t>
  </si>
  <si>
    <t>Barbara Jones</t>
  </si>
  <si>
    <t>(630) 669-9148</t>
  </si>
  <si>
    <t>cell 630-669-9148</t>
  </si>
  <si>
    <t>DELUXE! SHOW WITH PRIDE~GREAT FLOOR PLAN~MOTIVATED SELLER~ SELLER PAID $274,500 IN 2006 &amp; DID TONS OF QUALITY UPGRADES. SERIOUS ABOUT SELLING, BEST LOCATION IN THE SMALL SUB OVERLOOKING THE WOODED VIEW. SHOW &amp; SELL!</t>
  </si>
  <si>
    <t>CASS AVE, E ON HINSWOOD, S ON RIPPLE RIDGE</t>
  </si>
  <si>
    <t>MORNINGSTR</t>
  </si>
  <si>
    <t>NICELY UPDATED 2 STORY TOWNHOME IN EXCELLENT LOCATION. RECENT UPDATES INCLUDE: NEW ROOF, WATER HEATER, APPLIANCES, LAMINATE FLOORING. MASTER BEDRM W/CATHEDRAL CEILING, PRIVATE BATH W/DRESSING AREA &amp; 3 HUGE CLOSETS ** 2ND BR W/PRIVATE BATH &amp; WIC * BACKYD PATIO OPENS TO GREEN AREA * 5 MIN TO I-55 * ABUNDANT LOCAL SHOPPING &amp; AMENITIES ** FHA APPROVED **HOME WARRANTY INCLUDED!</t>
  </si>
  <si>
    <t>18X09</t>
  </si>
  <si>
    <t>3% -$150 (on Gross SP)</t>
  </si>
  <si>
    <t>call Centralized Showing for appointment: 877-977-1010</t>
  </si>
  <si>
    <t>O/O/R</t>
  </si>
  <si>
    <t>Yvette Kincer, CSC</t>
  </si>
  <si>
    <t>(630) 857-8073</t>
  </si>
  <si>
    <t>Golf Ridge</t>
  </si>
  <si>
    <t>Enclave at Country lakes</t>
  </si>
  <si>
    <t>Rt 59 to North Aurora Rd, N on Frontenac, E on Shore</t>
  </si>
  <si>
    <t>60 X 80</t>
  </si>
  <si>
    <t>Bright, Cheery and Private end unit, single story with open floor plan, 9' ceilings, 2 BR, 2 full baths, attached 1car garage,neutral carpeting and decor, kitchen with 42" cabinets, pantry and all appliances, master bedroom with 2 wardrobe closets,linen closet and full bath, unit with Patio backs to nature preserve for total privacy, within blocks of the metra station and easy access to I-88 and tollways, 204 Schools</t>
  </si>
  <si>
    <t>Dishwasher, Refrigerator, Washer, Dryer</t>
  </si>
  <si>
    <t>on sentrilock, show any time, vacant</t>
  </si>
  <si>
    <t>Raavstar, Inc.</t>
  </si>
  <si>
    <t>(630) 922-7678</t>
  </si>
  <si>
    <t>Srinivas Ravula</t>
  </si>
  <si>
    <t>630-747-5693</t>
  </si>
  <si>
    <t>WOLF RD SOF JULIET TO FLAGG CREEK</t>
  </si>
  <si>
    <t>2 bedroom/2 full bath condo on the 2nd floor with elevator. Very nice complex with club house, pool and tennis court. Laundry room on each level.Balcony. Very elegant entrance, secure building. Short sale!!!!</t>
  </si>
  <si>
    <t>Heat, Gas, Parking, Common Insurance, Clubhouse, Pool, Exterior Maintenance, Lawn Care, Snow Removal</t>
  </si>
  <si>
    <t>Call 855.746.9020</t>
  </si>
  <si>
    <t>OR</t>
  </si>
  <si>
    <t>Kris Maranda, CNC</t>
  </si>
  <si>
    <t>(630) 699-2211</t>
  </si>
  <si>
    <t>CC: Pursuant to Short Sale. CC subject to lender approval any lender commission reduction will be shared equally between listing broker and coop broker</t>
  </si>
  <si>
    <t>Ravinia</t>
  </si>
  <si>
    <t>Ogden Pointe</t>
  </si>
  <si>
    <t>Rt. 59 To Ogden W. to Frontenac S. to Ravinia Rt to Home</t>
  </si>
  <si>
    <t>Large 3 Level Townhome. Open Floor Plan With 9 Ft Ceilings. Nice Kitchen With Sliding Glass Door To Balcony. Large Living Room With Sconce Lighting. Separate Dining Area. Vaulted Master Bedroom With Private Bath and Walk-In Closet. Bedroom 2 Has Private Bath. Finished English Basement With Family Room. New Paint and Carpet. Close To Shopping and Transportation. THIS IS A FANNIE MAE HOMEPATH PROPERTY.</t>
  </si>
  <si>
    <t>Common Insurance, Clubhouse, Exterior Maintenance, Lawn Care, Scavenger, Snow Removal, Other</t>
  </si>
  <si>
    <t>Click On "Schedule a Showing" For Instructions</t>
  </si>
  <si>
    <t>##NEW CARPET-REMOVE SHOES AT DOOR!! GO TO ADDTL INFO TAB FOR OFFER DIRECTIONS. CALL 630-608-4777 AFTER SHOWING IF ??s. SELLER REQUESTS ALL OFFERS SUBMITTED THRU HOMEPATH.COM.</t>
  </si>
  <si>
    <t>DON'T MISS OUT!!  YOU CAN OWN A CONDO AT THE LAKE FRONT FOR POSSIBLY LESS THAN YOU PAY IN RENT.  QUIET SIDE STREET DEAD ENDS AT THE LAKE.  THERE IS HUGE UPSIDE POTENTIAL AS AN INVESTMENT OR MAKE THIS YOUR HOME.  THIS IS A FANNIE MAE HOMEPATH PROPERTY.  BUYER TO VERIFY ROOM SIZE AND USE.  ALL MEASUREMENTS ARE ESTIMATES</t>
  </si>
  <si>
    <t>$400 (on Net SP)</t>
  </si>
  <si>
    <t>Key Realty, Inc.</t>
  </si>
  <si>
    <t>(312) 564-5668</t>
  </si>
  <si>
    <t>Timothy Blomquist</t>
  </si>
  <si>
    <t>Now under auction terms. Presale offers submitted @ BidNow at www.hudsonandmarshall.com. Comm. paid @ escrow on auction properties 1% with a min. $400 to the coop. There isnt a min start bid subject to buyer's premium 5.00% or $1500</t>
  </si>
  <si>
    <t>BLOOMINGDALE RD 2 DUNTEMAN DR-W-COMPLEX LEFT</t>
  </si>
  <si>
    <t>Beautiful 2 bedroom, 2 bath condo! Located minutes from all major highways and shopping. Pond view, garage, in unit washer &amp; dryer. 2006: carpet, paint, stove &amp; reffrigerator, pergo lr/dr! Master bedroom with private bath and walk- in closet. Kitchen with balcony &amp; more! Great Value and in great condition minus a few cosmetic changes!</t>
  </si>
  <si>
    <t>5X3</t>
  </si>
  <si>
    <t>Go and Show - Just send email to Catherine@americorpre.com</t>
  </si>
  <si>
    <t>Matt Laricy, e-PRO</t>
  </si>
  <si>
    <t>(708) 250-2696</t>
  </si>
  <si>
    <t>CC: Pursuant to Short Sale. BANK APPROVED PRICE OF 72,500. DEAL JUST FELL THROUGH BUT CAN CLOSE IMMEDIATELY!</t>
  </si>
  <si>
    <t>9-E</t>
  </si>
  <si>
    <t>Route 38 to Shaffner Rd south to S County Farm Rd east to Stonebridge Cir</t>
  </si>
  <si>
    <t>Fannie Mae HomePath Property! Great location. 2 Bdrm, 2 Bth condo. Fireplace in living room. SGD to deck. New kitchen appliances. New carpet and fresh paint! Washer/Dryer in unit.   No personal property included.  POF is strongly encouraged w/offers.</t>
  </si>
  <si>
    <t>Please see the attached docs. The seller has directed that all offers be made on Homepath.com.  Please also send the same docs to kim@cag-reos.com and we will confirm receipt.  Have your buyer(s) select &amp; initial title option in section 10</t>
  </si>
  <si>
    <t>TANGLEWOOD</t>
  </si>
  <si>
    <t>RT 53 N OF ROOSEVELT  E ON BAKER HILL TO 190 TANGLEWOOD</t>
  </si>
  <si>
    <t>BEAUTIFUL 2-stry townhome featuring 2 spacious BR's. 2 stry living rm! NEW carpet and paint throughout the home. Kitchen is equipped w/ new SS stove, dishwasher and microwave. This is a Fannie Mae HomePath property.</t>
  </si>
  <si>
    <t>Bonus, Loft</t>
  </si>
  <si>
    <t>Use showing assist or call 800-746-9464</t>
  </si>
  <si>
    <t>All offers are to be submitted on HomePath.com **BUYER RESPONSIBLE FOR TRANSFER STAMPS IF APPLICABLE. Multiple Offer Deadline â€“ Oct 20, 2014, 10:05 PM</t>
  </si>
  <si>
    <t>Maple to Yackley, N to Robin, E to Portsmouth, S</t>
  </si>
  <si>
    <t>1ST FLR</t>
  </si>
  <si>
    <t>Great price for this 1st Floor Condo in all brick building in wonderful neighborhood! Spacious LR W/ Fireplace, Dining Area, Large Master W/Walk-in closet, huge Bath boasts whirlpool &amp; separate shower, Washer &amp; Dryer in unit. Attached Garage W/EDO. Mature trees, park like setting. Overlooks huge grassy area! Near Lisle Park District W/Pool, Park &amp; Walking Trails. Near I 355 &amp; I 88.</t>
  </si>
  <si>
    <t>05X05</t>
  </si>
  <si>
    <t>Leslie McKenzie, CNC,CRS,CSC,GRI</t>
  </si>
  <si>
    <t>(630) 373-3338</t>
  </si>
  <si>
    <t>Owners cannot rent the units; this is not an FHA approved complex.</t>
  </si>
  <si>
    <t>TWO BEDROOM CONDO. HARDWOOD FLOORS, FIREPLACE, GRANITE,  &amp; WASHER/DRYER. SOLD AS-IS, SUBJECT TO LENDER APPROVAL.</t>
  </si>
  <si>
    <t>2.5%-$150 (SUBJECT TO LENDER APPROVAL) (on Net SP)</t>
  </si>
  <si>
    <t>SOME NOTICE~CLICK LINK BELOW FOR APPT~WAIT FOR CONFIRMATION VIA EMAIL</t>
  </si>
  <si>
    <t>CIT Property Group,Inc.</t>
  </si>
  <si>
    <t>(773) 819-0059</t>
  </si>
  <si>
    <t>Denise Arnold</t>
  </si>
  <si>
    <t>(773) 251-6437</t>
  </si>
  <si>
    <t>CC: Pursuant to Short Sale. BACK UP CASH OFFERS OKAY!**SOLD AS-IS** TAX PRORATION 100%, NO SURVEY. ALLOW TIME FOR SHORT SALE APPROVAL. SUBMIT OFFER WWW.CITPROPERTYOFFERS.COM W/ POF.ANY REDUC TOTAL CC REQ BY SELLER'S LENDER WILL BE SPLIT 50%/50% BETWEEN LB/S</t>
  </si>
  <si>
    <t>Rt 59 to 95th east to  Cedar Glade North to Rockport East to Stonewater</t>
  </si>
  <si>
    <t>GROUND LEVEL BATH AND A HALF CONDO WITH A I CAR GARAGE.  NICE PATIO AREA, MASTER HAS PRIVATE BATH AND WALK-IN.  FIREPLACE IN LIVING ROOM--END UNIT, VERY PRIVATE.  CALL TODAY</t>
  </si>
  <si>
    <t>show assist</t>
  </si>
  <si>
    <t>Charles Crews</t>
  </si>
  <si>
    <t>(815) 263-0249</t>
  </si>
  <si>
    <t>2 HR NOTICE TO SHOW ON SENTRI MUST CONFIRM</t>
  </si>
  <si>
    <t>ORCHARD to INDIAN Trail W to Courtyard Circle to the home.</t>
  </si>
  <si>
    <t>Approved short sale at listing price!!! This one is the best next to the golf course/The offer fell through/ spacious end unit/facing golf course/Centrally located/ close to I-88 access /1 mile away from Vaughen athletic center/closer to schools/ restaurants/2 car attached garage/ 2 bed rooms with 2 full baths/ lower level den or 3 bedroom/ great place to start a family</t>
  </si>
  <si>
    <t>Call centralized  showing for the instruction.</t>
  </si>
  <si>
    <t>(630) 897-4114</t>
  </si>
  <si>
    <t>Naomi Koesler</t>
  </si>
  <si>
    <t>(630) 518-8026</t>
  </si>
  <si>
    <t>CC: Pursuant to Short Sale. Short sale property for an excellent price/ experienced agent/attorney are at work/ end unit/ quiet surroundings of golf course/great location</t>
  </si>
  <si>
    <t>KING</t>
  </si>
  <si>
    <t>GARFIELD BLVD TO KING DRIVE, SOUTH TO PROPERTY</t>
  </si>
  <si>
    <t>Brick 1st floor condo features living room, kitchen, 2 large bedrooms and 1 bath. Ample closet space. Building is across from Washington Park.</t>
  </si>
  <si>
    <t>Storage, Curbs/Gutters, Gated Entry, Sidewalks, Street Lights, Street Paved</t>
  </si>
  <si>
    <t>Condo, Courtyard, Low Rise (1-3 Stories)</t>
  </si>
  <si>
    <t>$875 (on Net SP)</t>
  </si>
  <si>
    <t>All offers must be submitted by the buyers agent via offersubmission.com, ID#851743. No paperwork required until terms accepted. Buyer pays $300 fee at closing. Attached buyer's affidavit must be signed with sales contract.</t>
  </si>
  <si>
    <t>PHEASANT RUN TRAILS</t>
  </si>
  <si>
    <t>ROUTE 64 TO SMITH ROAD TO PHEASANT TRAIL TO HOME</t>
  </si>
  <si>
    <t>SUNNY END UNIT FACING SOUTH!2 BR PLUS LOFT (CURRENTLY USED AS DINING ROOM). OPEN CONCEPT W/VALULTED CEILINGS, F/P IN LIVING ROOM. FINISHED ENGLISH BASEMENT. NEAT, CLEAN &amp; NEUTRAL. MOVE-IN CONDITION. KITCHEN W/BRAZILIAN CHERRY FLOORS AND SGD TO DECK. 2 CAR GARAGE. CONVENIENT LOCATION, CLOSE TO SHOPPING, DINING, ETC. THIS ONE WON'T LAST LONG!</t>
  </si>
  <si>
    <t>ST. CHARLES EAST HIGH SCHOOL</t>
  </si>
  <si>
    <t>CALL 855-746-9093</t>
  </si>
  <si>
    <t>Jeffrey Jordan</t>
  </si>
  <si>
    <t>(630) 262-4370</t>
  </si>
  <si>
    <t>BLANCHARD OR 22ND TO HERITAGE TO MONTICELLO EAST</t>
  </si>
  <si>
    <t>This property is now under auction terms. This property may be subject to a buyerâ€™s premium pursuant to the Auction Terms &amp; Conditions (minimums may apply). This is a reserve auction and all offers are subject to seller approval. Please contact listing agent for details.</t>
  </si>
  <si>
    <t>Condo, Quad-2 Story, Townhouse-2 Story</t>
  </si>
  <si>
    <t>This property is now under auction terms. Pre-sale bids should be submitted through www.Auction.com. This property is subject to a 5% buyerâ€™s premium pursuant to the Auction Terms &amp; Conditions (minimums may apply).</t>
  </si>
  <si>
    <t>Stanyon</t>
  </si>
  <si>
    <t>WESTWIND</t>
  </si>
  <si>
    <t>Lake St to Glen Ellyn Rd South to Tamarac W to Stanyon S to home</t>
  </si>
  <si>
    <t>38X100</t>
  </si>
  <si>
    <t>Gorgeous well maintained home in move in condition. Open flr plan w/beautiful view of park &amp;pond. Lrg LR w/2 story custom build stone FP &amp;custom wall cabinets(stay). Fam RM (could be 3rd BR) w/custom wet bar, SGD to patio. Kitch w/corian counter &amp;wood inlay, ceramic tile. Separate DR. Mstr BR w/siting area &amp;SGD to balcony. Home features:Velux skylights w/custom blinds, glass &amp;motion detector, in unit W/D.</t>
  </si>
  <si>
    <t>Oven/Range, Microwave, Dishwasher, Refrigerator, Dryer, Disposal, Washer</t>
  </si>
  <si>
    <t>Cul-de-sac, Landscaped Professionally, Park Adjacent, Pond</t>
  </si>
  <si>
    <t>TV-Cable, Security System, CO Detectors, Ceiling Fan, Air Cleaner</t>
  </si>
  <si>
    <t>Call LO 630-543-5640~After hours LA 630-918-3439~Effective 3-1-14, MOre discontinued 1-day codes.</t>
  </si>
  <si>
    <t>Home was custom done &amp; everything matches &amp; compliments the rooms. Custom mstr bdrm set is available for sale including other furniture. Must see! All baths vanity &amp; faucets-Kohler's. Please use the new 6.0 Contract.</t>
  </si>
  <si>
    <t>Courtyards of Orchard Valley</t>
  </si>
  <si>
    <t>Orchard to Indian Trail W. to Village Center Pkwy left to Courtyard Cr. left to home</t>
  </si>
  <si>
    <t>Charming 2 BR TH.  North/south exposure, overlooking golf course, picturesque view for all seasons.  Custom built, natural decor, custom stained woodwork thruout, hardwood floors, marble tile backsplash, Hunter Douglas blinds.  Freshly painted, well kept and in move-in ready condition.  New A/C, front door, GE washing machine, LR blinds and cornice in DR.  Come and see, you will love it! NOTE: Complex NOW FHA APPRVD!</t>
  </si>
  <si>
    <t>Call owner directly for an appointment @ 630.907.1892  and ask for Inge.</t>
  </si>
  <si>
    <t>Inge Fleischer</t>
  </si>
  <si>
    <t>630.907.1892</t>
  </si>
  <si>
    <t>Karen L Pietsch</t>
  </si>
  <si>
    <t>(847) 989-4885</t>
  </si>
  <si>
    <t>Call owner directly for an appointment @ 630.907.1892. Ask 4 Inge.  Offers to be faxed to 847.574.7433 or emailed.   Listing company does not hold earnest money. Preapproved buyers only. NOW FHA APPRVD. 2015 Assoc. Fees = $163.61</t>
  </si>
  <si>
    <t>ON Grand East of Thatcher West of Harlme</t>
  </si>
  <si>
    <t>Loads of extras in this 2 bedroom condo conversion.  Two bedrooms with hardwood floors and updated bath. Living room with hardwood flooring and balcony.  Eat-in-kithchen features granite counters, stainless appliances and hardwood floors. Coin laundry on main level floor.  Storage and assigned parking space. Walking distance to schools, shopping, bus, and Metra!</t>
  </si>
  <si>
    <t>ShowingTime or Call or Text Agents</t>
  </si>
  <si>
    <t>The pictures shown are of the model unit for this building. Please use 6.0 contract.  For pre-approval and first0in-lending information, contact Linda Scott at Wintrust Mortgage 630-632-0990.</t>
  </si>
  <si>
    <t>STEVENSON</t>
  </si>
  <si>
    <t>BUTTERFLD N OF 60 2 GREENLEAF,E 2 DIRKSEN, N 2 STEVENSON</t>
  </si>
  <si>
    <t>SHORT SALE. EXPERIENCED ATTORNEY ON BOARD.</t>
  </si>
  <si>
    <t>Steel Siding</t>
  </si>
  <si>
    <t>CALL L/O.   2 HR NOTICE IS A "MUST"</t>
  </si>
  <si>
    <t>LEGAL OWNER OF RECORD</t>
  </si>
  <si>
    <t>Realty Advisors North</t>
  </si>
  <si>
    <t>(847) 480-5500</t>
  </si>
  <si>
    <t>Galina Persky</t>
  </si>
  <si>
    <t>(847) 612-1996</t>
  </si>
  <si>
    <t>SAGANASHKEE</t>
  </si>
  <si>
    <t>RT 59 (SO OF 95TH) TO ROLLINGRIDGE, R TO SAGANASHKEE</t>
  </si>
  <si>
    <t>MINT CONDITION END UNIT WITH BASEMENT!! FEATURES INCLUDE: GOURMET KITCHEN W/SS APPLIANCES &amp; CHERRY CABS, AWESOME KITCHEN, CORIAN COUNTERTOPS, LUXURY MASTER WITH CUSTOM WALK-IN CLOSET, VAULTED LIVING RM/DINING RM, HARDWOOD FLOORS. OPEN FLOOR PLAN,   1ST FLOOR LOFT, OPT DEN/OFFICE AREA. A MUST SEE.  A/C, KITCHEN APPLS, W/D LESS NEW 5 YEARS OLD. WATER HEATER/NEW CARPET/FRESH PAINT. GREAT LOCATION-MINUTES TO EVERYTHING!</t>
  </si>
  <si>
    <t>Eating Area-Table Space, Galley, Island</t>
  </si>
  <si>
    <t>Carlson</t>
  </si>
  <si>
    <t>SHORELINE</t>
  </si>
  <si>
    <t>WILDROSE SPRINGS</t>
  </si>
  <si>
    <t>RT. 31 (1 MILE N. OF RT. 64) TO WILDROSE SPRINGS DRIVE TO SHORELINE DRIVE TO 1607</t>
  </si>
  <si>
    <t>76 X 47.63 X 76 X 47.99</t>
  </si>
  <si>
    <t>Outstanding Private lake shore Property w/unsurpassed Panoramic views One mile to downtown~Windows EVERYWHERE~3275 sqft~1st flr vaulted master w/new granite bath/deck access~Hardwood flrs~2 story great rm w/skylights/FP~Newer maple Granite kit ~Loft (3rd bdrm)Finished Walkout bsmt w/2nd FP/full bath/Wet bar/mini frig/wine holder/glass fronts~1st flr ldy~Canoe/fish/Relax...out your back door!Get ready to be impressed!</t>
  </si>
  <si>
    <t>Oven/Range, Microwave, Dishwasher, Refrigerator, Refrigerator-Bar, Washer, Dryer, Disposal</t>
  </si>
  <si>
    <t>Lake Front, Landscaped Professionally, Water Rights, Water View</t>
  </si>
  <si>
    <t>Bar, Loft, Recreation Room</t>
  </si>
  <si>
    <t>Greenwich Square</t>
  </si>
  <si>
    <t>RANDALL TO BRICHER TO VANDERBILT TO ROCKEFELLER</t>
  </si>
  <si>
    <t>CROMWELL</t>
  </si>
  <si>
    <t>Fannie Mae Homepath Property! Bright &amp; Open 2 bdrm, 2 bth condo w/vaulted ceilings. New appliances in large eat-in kitchen. 42" cabinets. Room sizes are approx. Please see attached docs before submitting an offer.</t>
  </si>
  <si>
    <t>Exterior foundation repairs have been completed on this unit. Call listing agent for details. Please see the attached docs. The seller has directed that all offers be made on Homepath.com.</t>
  </si>
  <si>
    <t>Ogden W of rte83 to Oakwood N to Citadel (1st road on left)</t>
  </si>
  <si>
    <t>Original owner of this immaculate, well maintained, and open concept townhome has invested $40K+ in such features as updated kitchen, stainless appliances, remodeled powder room with Kohler fixtures, and two-year-old new Trane furnace and central air.  Freshly painted throughout. This ready-to-move-in has fireplace, private back patio, and great location.  Easy access to suburbs, city and Ty Warner Park. A MUST SEE.</t>
  </si>
  <si>
    <t>Call Agent 630.244.4963 MUST HAVE APPROVED APPOINTMENT Please try to  allow 2 hr notice</t>
  </si>
  <si>
    <t>Home Network Realty, Inc.</t>
  </si>
  <si>
    <t>(630) 212-2343</t>
  </si>
  <si>
    <t>Beverly Bilshausen, GRI</t>
  </si>
  <si>
    <t>(630) 244-4963</t>
  </si>
  <si>
    <t>Direct Line:  630.244.4963</t>
  </si>
  <si>
    <t>AGENT MUST ACCOMPANY BUYER **MOVE-IN READY..  IMACULATE.  WELL MAINTAINED ( FOR RECENT UPGRADES AND CARE-SEE ADDITIONAL INFO ). NEWER KITCHEN W/STAINLESS STEEL APPLIANCES, HEATING/AIR, KOHLER POWDER ROOM</t>
  </si>
  <si>
    <t>RAINBOW POINTE</t>
  </si>
  <si>
    <t>Rt 20 to Bear Flag-Left on Fremont to end of cul-de-sac on left</t>
  </si>
  <si>
    <t>MALIBU</t>
  </si>
  <si>
    <t>Tucked in a private cul de sac location, this townhome has lots to offer! Updated bath, new windows (2007), in-unit laundry on first floor, new roof in 2013, &amp; plenty of parking with a large 2 car attached garage with openers. This bright and open unit has 2 bedrooms upstairs. Walk to Metra train station, minutes from shopping and expressways.</t>
  </si>
  <si>
    <t>Call Showing Desk at 866-571-7181.</t>
  </si>
  <si>
    <t>(847) 510-5000</t>
  </si>
  <si>
    <t>Elaine Bykerk, CRS,GRI,SFR</t>
  </si>
  <si>
    <t>(847) 751-8681</t>
  </si>
  <si>
    <t>OAK CREEK ESTATES</t>
  </si>
  <si>
    <t>Route 72 (west of rt 23) to Madison Rd South - Right on Walnut -Right on N Oak Creek Drive</t>
  </si>
  <si>
    <t>56.92 X 148.78 X 26.4 X 161</t>
  </si>
  <si>
    <t>Newer Duplex... NO Association Fees !!! 2BR - 1.5BA End Unit Townhome.  Master with Vaulted Ceiling.  Newer carpet &amp; paint throughout. Large living room. 2nd floor laundry. 2 car attached garage. Some New Windows. Close to park, bike trail and town.  Sold "AS-IS".  No survey. Taxes prorated at 100%.  Pre-Approval/POF &amp; copy of EM required with offer.</t>
  </si>
  <si>
    <t>Bike Room/Bike Trails, Park/Playground, Curbs/Gutters, Sidewalks, Street Paved</t>
  </si>
  <si>
    <t>3.0% - 225 (on Net SP)</t>
  </si>
  <si>
    <t>Call Or Text Dominic, 847-452-8992, EZ show.</t>
  </si>
  <si>
    <t>Dominic Levita</t>
  </si>
  <si>
    <t>(847) 452-8992</t>
  </si>
  <si>
    <t>CC: Pursuant to Short Sale. Short Sale, Two Loans, Same Lender</t>
  </si>
  <si>
    <t>FOSTER</t>
  </si>
  <si>
    <t>Cascades of Norridge</t>
  </si>
  <si>
    <t>2 blocks West of Cumberland on Foster</t>
  </si>
  <si>
    <t>Sunshine abounds in this spacious Hampton model! Enjoy a nice floorplan &amp; great windows in all rooms. Updates in kitchen plus custom under-cabinet lighting. Huge master suite w/jacuzzi &amp; big walk-in closet. Full 2nd bath~In-unit laundry~Heated parking~Storage! Party room w/kitchen. Shopping/theater/movies/food/fun/xway-just minutes away! Barbecue and enjoy a large balcony with beautiful cascading water feature below!</t>
  </si>
  <si>
    <t>Elevator, Storage, Party Room, Security Door Locks, Curbs/Gutters, Sidewalks, Street Lights, Street Paved</t>
  </si>
  <si>
    <t>Balcony, Foyer, Storage, Walk In Closet</t>
  </si>
  <si>
    <t>Call CB Showing Time at 855-746-9200, 4 hour notice requested</t>
  </si>
  <si>
    <t>Owner(s) of record</t>
  </si>
  <si>
    <t>(847) 696-0700</t>
  </si>
  <si>
    <t>Margo Mrowiec</t>
  </si>
  <si>
    <t>(847) 384-7550</t>
  </si>
  <si>
    <t>No rentals in this building! Very well maintained. No special assessments in place. May place a gas grill on balcony. Close to public trans &amp; xway. The Rosemont Entertainment District is just 5 minutes away, enjoy theater/movies/food/fun!</t>
  </si>
  <si>
    <t>53rd</t>
  </si>
  <si>
    <t>Cottage Grove to 53rd Street East to address (1st building on right)</t>
  </si>
  <si>
    <t>119X104</t>
  </si>
  <si>
    <t>WOW*Just in time for school*this 2 Bedroom*1 Bath*Condo*is Available*and walking distance to University of Chicago*Large Room Sizes**Hardwood Floors*Updated Kitchen*Stainless Steal Appliances*Ceramic Tile*Separate Dining Room*In-Unit Laundry*Updated Bath*2 Bedrooms W/Closets* Close to transportation*</t>
  </si>
  <si>
    <t>Additional Pet Rent, Cats OK, Dogs OK</t>
  </si>
  <si>
    <t>Please Call Listing Office 708-857-1500</t>
  </si>
  <si>
    <t>Valentina Hatzelis, CNC,CSC</t>
  </si>
  <si>
    <t>(708) 257-8254</t>
  </si>
  <si>
    <t>Lock box is on railing to the west of the door push botton</t>
  </si>
  <si>
    <t>Buck</t>
  </si>
  <si>
    <t>Fairview to 58th St. east to Doe Cir.</t>
  </si>
  <si>
    <t>FABULOUS CONDO IN VILLAS OF DEER CREEK! GREAT OPEN FLOOR PLAN FEATURES SPACIOUS LIVING ROOM WITH BRICK FIREPLACE OPENING TO LARGE PATIO OVERLOOKING PRIVATE, WOODED AREA. DEN CAN BE CONVERTED TO 3RD BEDROOM. LAUNDRY ROOM IN UNIT. LOVELY GROUNDS. YOU WILL NOT BE DISAPPOINTED!</t>
  </si>
  <si>
    <t>FAIRMOUNT ELEMENTARY SCHOOL</t>
  </si>
  <si>
    <t>EASY TO SHOW! CALL KAREN FOR APPOINTMENT 630-638-0104.</t>
  </si>
  <si>
    <t>Karen Bailey Meyer</t>
  </si>
  <si>
    <t>(630) 638-0104</t>
  </si>
  <si>
    <t>NOT FHA APPROVED, BUT GREAT UNIT! SHOW WITH CONFIDENCE!</t>
  </si>
  <si>
    <t>223A</t>
  </si>
  <si>
    <t>Rt 34 to Center Parkway S to Hillcrest W to home.</t>
  </si>
  <si>
    <t>45X144X42X144</t>
  </si>
  <si>
    <t>Beautiful duplex~Well maintained~close to shopping, banks, restaurants~No HOA or SSA fees~You'll love the huge eat-in kitchen w/ample cabinets &amp; counter space~Spacious living room~two large bedrooms &amp; two full baths~laundry room w/washer &amp; dryer and cabinetry~heated garage w/ plenty of storage~private patio w/koi pond~ fenced yard~shed~brick exterior~nice home~window sashes recently replaced~Move in condition!</t>
  </si>
  <si>
    <t>Microwave, Dishwasher, Refrigerator</t>
  </si>
  <si>
    <t>Fenced Yard, Pond</t>
  </si>
  <si>
    <t>Must confirm, Call CSS 877-977-1010</t>
  </si>
  <si>
    <t>Deborah Christensen, CNC,CSC</t>
  </si>
  <si>
    <t>630-936-1352</t>
  </si>
  <si>
    <t>Convection oven was a gift and will NOT stay. Short notice usually okay. Very nice home. Paver patio as well as concrete patio. Beautiful landscape. Some lighting/fans recently updated.</t>
  </si>
  <si>
    <t>RANDALL (S OF I-90) TO BIG TIMBER W TO TIMBER TRAILS N</t>
  </si>
  <si>
    <t>SHORT SALE. BEAUTIFUL TIMBER TRAILS TOWNHOME. SPACIOUS KITCHEN WITH 42 INCH CABINETS, NEWER COUNTERTOPS, ISLAND &amp; HARDWOOD FLRS. VAULTED CEILING, WALK-IN CLOSET &amp; FULL BATH IN MASTER SUITE. 3RD BEDROOM IS A LOFT BUT CAN BE CONVERTED EASILY. PARTIAL BASEMENT. CLOSE TO I-90, TRAIN, PARKS, TRAILS &amp; FOREST PRESERVE.</t>
  </si>
  <si>
    <t>Foyer, Loft, Storage, Walk In Closet</t>
  </si>
  <si>
    <t>24 Hour notice email mack@mackalsaidi.com</t>
  </si>
  <si>
    <t>Related Realty</t>
  </si>
  <si>
    <t>(312) 832-2300</t>
  </si>
  <si>
    <t>Mack Alsaidi</t>
  </si>
  <si>
    <t>(312) 588-9015</t>
  </si>
  <si>
    <t>CC: Pursuant to Short Sale. ANY REDUCTION IN COMMISSION WILL BE SPLIT 50/50. FOR SHOWINGS, QUESTIONS OR TO MAKE AN OFFER EMAIL MACK@MACKALSAIDI.COM.</t>
  </si>
  <si>
    <t>Lore</t>
  </si>
  <si>
    <t>Roosevelt Rd. to Main St, head South on Main St. to Rebecca, turn right (West) to Lore Lane.</t>
  </si>
  <si>
    <t>Priced to sell! Bring all Offers!  OWNER OCCUPIED ONLY, CANNOT BE  RENTED!  Seller has done some work, but has been relocated. Great 1st floor 2 bedroom 1-1/2 bath unit.  Large rooms, master with 1/2 bath, door leads to patio area, New laminate floors in living/dining rm, lots of storage, eat-in kitchen, seller says make me an offer sold as is!</t>
  </si>
  <si>
    <t>Call Showing Time Appt Center: 855-746-9200. Courtesy keys at Listing office.</t>
  </si>
  <si>
    <t>First floor unit, when you walk into building, go through door on left, first door to your left . Laundry entry is in lobby, take stairs down to laundry, sold as is</t>
  </si>
  <si>
    <t>RTE 120; W2 HAINESVILLE; N2 PATRIOT TO HAINES RIGHT, CURVES ON TOWER #359 ON E/ S</t>
  </si>
  <si>
    <t>COMMON ELEMENTS</t>
  </si>
  <si>
    <t>Clean and fresh. Luxury town home features a Bright, Modern Kitchen with nice appliances and 42" cabinets! 2 story entry &amp; family room. Media niche for large TV &amp; media accessories. Vaulted master has walk in closet and full bath. Second floor laundry. Sliding door to patio and  lawn you don't have to cut. Loft can be used as a 3rd bedroom.</t>
  </si>
  <si>
    <t>26X11</t>
  </si>
  <si>
    <t>Call Listing Office - EZ to show</t>
  </si>
  <si>
    <t>Chris Wegren</t>
  </si>
  <si>
    <t>(847) 942-7071</t>
  </si>
  <si>
    <t>CC: Pursuant to Short Sale. CC: Pursuant to Short Sale.  CO-OP AS INDICATED BELOW OR 50% OF COMMISSION COLLECTED - WHICHEVER IS LESS.  ***SHORT SALE***</t>
  </si>
  <si>
    <t>ELIZABETH PARK</t>
  </si>
  <si>
    <t>Irving Park Rd south to Addison Rd west to Elizabeth Dr to HOME</t>
  </si>
  <si>
    <t>The Windsor model - the largest in Elizabeth Park. 1410 sq ft. 2 beds, 2 baths, den can be converted to 3rd bedroom. 1-car attached garage. Hardwood floords. Balcony with a great view. Golf course location. Excellent condition.</t>
  </si>
  <si>
    <t>Golf Course Lot, Landscaped Professionally</t>
  </si>
  <si>
    <t>Parking, Exterior Maintenance, Lawn Care, Scavenger, Snow Removal</t>
  </si>
  <si>
    <t>Text or Call LA 773-719-3645. Must Confirm.</t>
  </si>
  <si>
    <t>Dabrowski</t>
  </si>
  <si>
    <t>Real Estate Investments &amp; Consulting Group, Inc</t>
  </si>
  <si>
    <t>(773) 792-1677</t>
  </si>
  <si>
    <t>Zbigniew Pienkowski</t>
  </si>
  <si>
    <t>(773) 719-3645</t>
  </si>
  <si>
    <t>DEN can be converted to third bedroom.</t>
  </si>
  <si>
    <t>Grand(132) &amp; Rt 45, S2Rollins, W2Carillon, S2Stop sign, Rt 2Meadowcroft, R2#</t>
  </si>
  <si>
    <t>Beautiful setting overlooking the trees and birds in the meadow! This comfortable floorplan features a bright Island Kitchen with Hardwood floors, an abundance of cabinets &amp; an adjoining Family Rm w/ Fireplace! The LR&amp;DR include gleaming HW floors! There's a Huge Master with LuxuryBath! Spacious 1st Fl laundry w/oversized closet &amp; utility tub. Full finished basement with 3rd BR, full bath &amp; FR! X-large Stor Rm &amp; Gar!</t>
  </si>
  <si>
    <t>33X14</t>
  </si>
  <si>
    <t>04X06</t>
  </si>
  <si>
    <t>Bike Room/Bike Trails, Exercise Room, Golf Course, On Site Manager/Engineer, Party Room, Pool-Indoors, Security Door Locks, Tennis Court/s, Curbs/Gutters, Gated Entry, Sidewalks, Street Lights, Street Paved</t>
  </si>
  <si>
    <t>Cul-de-sac, Landscaped Professionally, Wooded, Rear of Lot</t>
  </si>
  <si>
    <t>2.5% -175 (on Net SP)</t>
  </si>
  <si>
    <t>CALL LO for LB</t>
  </si>
  <si>
    <t>Kathy Zirkelbach, CRS,GRI,SRES</t>
  </si>
  <si>
    <t>(847) 651-9955</t>
  </si>
  <si>
    <t>Direct 847-651-9955</t>
  </si>
  <si>
    <t>Very Nice! This home offers the vaulted Master Bedroom with sitting room option. Floorplan attached</t>
  </si>
  <si>
    <t>Oakhill</t>
  </si>
  <si>
    <t>RT 31 N OF RT 64 TO WILDROSE SPRINGS DR TO SHORELINE TO OAKHILL CT</t>
  </si>
  <si>
    <t>30X75</t>
  </si>
  <si>
    <t>UPDATED AND MOVE IN READY!  QUICK CLOSE POSSIBLE!  KITCHEN UPDATED WITH STAINLESS APPLIANCES, NEW STOVE AND MICROWAVE, FRESHLY PAINTED, UPDATED MASTER BATH, NEW TRACK LIGHTING, FULL FINISHED BASEMENT WITH BEDROOM, FULL BATH AND REC ROOM LARGE ENOUGH FOR A POOL TABLE</t>
  </si>
  <si>
    <t>Eating Area, Loft, Recreation Room</t>
  </si>
  <si>
    <t>CALL SHOWING DESK 855-746-9200</t>
  </si>
  <si>
    <t>847-909-8404</t>
  </si>
  <si>
    <t>JUST STAGED!!  COME SEE OUR NEW LOOK !! THIS UNIT IS IN PERFECT, MOVE-IN CONDITION AND IS AVAILABLE FOR IMMEDIATE POSSESSION.</t>
  </si>
  <si>
    <t>Spaulding</t>
  </si>
  <si>
    <t>LAKE ST TO NAPERVILLE RD SOUTH TO SPAULDING WEST TO HOME</t>
  </si>
  <si>
    <t>Great starter home with pottery barn colors.  Newer appliances in kitchen with granite counter tops.  Beautiful/durable wood laminate through out 1st floor.  Huge cathedral ceilings in master w/WIC &amp; private bath. 2nd floor also features small loft and laundry room.   Garage features built in shelves and plenty of storage. All TV's stay.  This is truly a must see!</t>
  </si>
  <si>
    <t>Call Showing Desk at 888-362-3222 or Use Showing Assist.</t>
  </si>
  <si>
    <t>Hollmann</t>
  </si>
  <si>
    <t>(815) 385-5505</t>
  </si>
  <si>
    <t>Andrea Callahan</t>
  </si>
  <si>
    <t>(630) 750-6686</t>
  </si>
  <si>
    <t>Pamela</t>
  </si>
  <si>
    <t>CEDAR POINT TOWNHOMES</t>
  </si>
  <si>
    <t>RT 173 &amp; RT 83 NORTH TO PAMELA CT E TO HOME. (PAMELA CT IS BETWEEN OAKRIDGE CT AND JOANNA CT)</t>
  </si>
  <si>
    <t>Beautiful, former-model, 3 story townhome has hardwood floors, updated kitchen with stainless appliances, neutral colors, bright, open floor plan, lots of closets/storage, master bdr has huge walk in closet. Lower level can be used as office/den or easily converted to 3rd bedroom.  Great location near downtown Antioch plus just half mile from the train station so perfect for commuters! So much for so little money!!</t>
  </si>
  <si>
    <t>Use Showingtime to schedule 855-746-9020</t>
  </si>
  <si>
    <t>Leslie Silverman</t>
  </si>
  <si>
    <t>(847) 208-6950</t>
  </si>
  <si>
    <t>CC: Pursuant to Short Sale. CC subject to lender approval. Any lender commission reduction will be shared equally between listing broker and coop broker</t>
  </si>
  <si>
    <t>Brompton</t>
  </si>
  <si>
    <t>Randall Road to Orchard to IL 88 to 56 to to Galena Blvd to St. James Place to Brompton</t>
  </si>
  <si>
    <t>Stunning End Unit and 1,700 square feet! Two story foyer with gleaming hardwood floors, two story windows; very warm and very inviting. First floor master suite with 9' ceilings, two closets, and private luxury bathroom. 2nd Floor Loft with hardwood flooring,additional bedroom, and office. Private Patio faces mature trees and open space. Two Car Garage. Minutes from I-88 and Route 47.</t>
  </si>
  <si>
    <t>2.5% NET (on Net SP)</t>
  </si>
  <si>
    <t>Please call Showing Time 855-746-9927 or use Showing Assist</t>
  </si>
  <si>
    <t>The HomeCourt Real Estate</t>
  </si>
  <si>
    <t>(630) 232-2045</t>
  </si>
  <si>
    <t>Joyce Courtney, ABR,CRS,GRI</t>
  </si>
  <si>
    <t>(630) 232-2045x102</t>
  </si>
  <si>
    <t>Fantastic Unit! New Siding in 2013, New H20 Heater in 2013.</t>
  </si>
  <si>
    <t>Exeter</t>
  </si>
  <si>
    <t>Kingsport Villas</t>
  </si>
  <si>
    <t>Spring west of McLean to Kingsport S to Exeter Right</t>
  </si>
  <si>
    <t>ASHBY</t>
  </si>
  <si>
    <t>60 X 120</t>
  </si>
  <si>
    <t>Beautiful duplex has all the amenities of a single family home plus zero assessments. Elegantly decorated. Professionally landscaped yard with hundreds of perennials, large deck, private yard.  Kitchen granite countertops. Vaulted ceiling in LR with FP, 2 big bedrooms with walk-in closets. Fin basement with large family room, bar and plenty of storage. Water htr &amp; cpt 3 yrs old. Baths remodeled. All new light fixt.</t>
  </si>
  <si>
    <t>Appointment required 24 hour please; call LA 630-631-1400; please don't let cat out</t>
  </si>
  <si>
    <t>Robert Reed</t>
  </si>
  <si>
    <t>(630) 631-1400</t>
  </si>
  <si>
    <t>Easy show. Call listing agent must confirm. Dog (in basement crate) &amp; cat</t>
  </si>
  <si>
    <t>Chestnut</t>
  </si>
  <si>
    <t>FOX HILL</t>
  </si>
  <si>
    <t>OFF ROUTE 34 IN YORKVILLE IN FOX HILL SUBDIVISION</t>
  </si>
  <si>
    <t>YORKVILLE 2 BEDROOM 1.1 BATH TOWN HOME. FEATURES INCLUDE: NEWER FULLY APPLIANCED KITCHEN, SEPARATE DINING, WOOD FLOORING, FAMILY ROOM, CENTRAL AIR, LAUNDRY HOOK UPS, 2 CAR GARAGE PARKING.</t>
  </si>
  <si>
    <t>USE SHOWING ASSIST LINK</t>
  </si>
  <si>
    <t>Bermes Properties, Inc</t>
  </si>
  <si>
    <t>(630) 708-6902</t>
  </si>
  <si>
    <t>Robert Bermes, CNC,GRI</t>
  </si>
  <si>
    <t>CC: Pursuant to Short Sale. PLEASE NOTE: BANK APPROVED PRICE OF 95K IS FIRM.  LISTING OFFICE DOES NOT HOLD EARNEST MONEY! THE SELLER'S ATTORNEY WILL HOLD THE EARNEST MONEY.</t>
  </si>
  <si>
    <t>BEACON</t>
  </si>
  <si>
    <t>BEACON PLACE CONDOMINIUMS</t>
  </si>
  <si>
    <t>SOUTHEAST CORNER OF LAGRANGE ROAD AND OGDEN.</t>
  </si>
  <si>
    <t>Awesome views of Gordon Park &amp; Chicago skyline in this newer brick in-town bldg. Perfect location just steps to town, Metra, schools &amp; shopping. Open floor plan, HW floors, eat-in kit w/island open to LR &amp; DR. Fantastic MBR suite w/private BA &amp; 2 walk-in closets. Secluded balcony, heated att gar w/storage space at head of parking spot &amp; in-unit washer/dryer. Second BR w/double door entry currently being used as den.</t>
  </si>
  <si>
    <t>FOREST ROAD ELEMENTARY SCHOOL</t>
  </si>
  <si>
    <t>Elevator, Storage, Park/Playground, Receiving Room, Curbs/Gutters, Sidewalks, Street Lights, Street Paved</t>
  </si>
  <si>
    <t>Heat, Water, Gas, Common Insurance, TV/Cable, Exterior Maintenance, Lawn Care, Scavenger, Snow Removal</t>
  </si>
  <si>
    <t>TV-Cable, Intercom, Fire Sprinklers, CO Detectors, Ceiling Fan</t>
  </si>
  <si>
    <t>N (North), E (East), City, Park</t>
  </si>
  <si>
    <t>Call Centralized Showing for appointment 877-977-1010. Prior day notice for Non-Sentrilock users.</t>
  </si>
  <si>
    <t>708-567-2032</t>
  </si>
  <si>
    <t>Catherine Bier</t>
  </si>
  <si>
    <t>(708) 588-2062</t>
  </si>
  <si>
    <t>FAX: 1-866-580-2328</t>
  </si>
  <si>
    <t>Pkg PIN:18-04-209-013-1101, Stge PIN:18-04-209-013-1191. $350 move in/out fee w/$300 refundable if no damage. Pkg &amp; stge #23. KB on fence overlooking Ogden. Licensed agent must be present 4 showings. Rentals @ full capacity w/wait list.</t>
  </si>
  <si>
    <t>Gorgeous ranch townhome is ready to call your own! Enjoy a relaxing evening on the patio or entertain in your large kitchen and great room! The gourmet kitchen features a breakfast bar with quartz countertops,custom cabinets, Stainless Steel GE appliances, beautiful wood floors in the kitchen &amp; foyer. Just a short walk to the 18,000 sq. ft. clubhouse with indoor &amp; outdoor pools, jacuzzi, fitness center &amp; so much more</t>
  </si>
  <si>
    <t>Please contact Michele or Gabrielle at 847-984-4872</t>
  </si>
  <si>
    <t>Agent must accompany client on initial visit to qualify for compensation. Please call the Sales Office at 847-984-4872. Hours Daily 10-5, Mondays 1-5, Sundays 11-5  Ask about builders lender (DHI Mortgage) financing rewards</t>
  </si>
  <si>
    <t>60 &amp; Butterfield, S2 Creekside Dr., E2 Muirwood, W2 #</t>
  </si>
  <si>
    <t>Lovely 2nd floor ranch with new carpet &amp; new paint---ready for you to move in now.  Garage has great storage space. Close to anything you desire: pool, park, shopping, restaurants metra, library &amp; mall!!!!</t>
  </si>
  <si>
    <t>call 855-746-9200</t>
  </si>
  <si>
    <t>Carol Porter, CSC</t>
  </si>
  <si>
    <t>(847) 502-1995</t>
  </si>
  <si>
    <t>No dogs allowed, cats ok per association</t>
  </si>
  <si>
    <t>1S252</t>
  </si>
  <si>
    <t>ROOSEVELT RD TO ARDMORE S</t>
  </si>
  <si>
    <t>Beautiful  townhouse.New kitchen includes all stainless appliances, granite counter &amp; breakfast bar. All new ceramic main bath, double bowl vanity. 1/2 bath features beautiful glass tile. Hardwood floors on main &amp; second floor. Full finished basement includes family room, large laundry room and work room. Lots of storage in extra big closets. Enjoy summer by the club house pool. Private Patio.</t>
  </si>
  <si>
    <t>Party Room, Pool-Outdoors, Sidewalks</t>
  </si>
  <si>
    <t>call LA 630-696-6698, 3 hour notice due to dog.</t>
  </si>
  <si>
    <t>Boguslaw Przywrzej/Iwona Zuchowsk</t>
  </si>
  <si>
    <t>(630) 960-3700</t>
  </si>
  <si>
    <t>Jolanta Kolacz</t>
  </si>
  <si>
    <t>(630) 696-6698</t>
  </si>
  <si>
    <t>Stony Island South to 76th St. East to Cornell. Right to 7722. Building is on your left.</t>
  </si>
  <si>
    <t>Beautiful 2 bedroom 2 bath condo with updated kitchen and baths featuring stone floors. Spacious living and dining rooms with hardwood floors. Other features include maple cabinets, in unit laundry and whirlpool tub. Sold as-is.</t>
  </si>
  <si>
    <t>Go to Hudhomestore.com or Bidselect.com to place bid. Case #137-316964. NAID # required. Please review disclosures in additional information in MLS.</t>
  </si>
  <si>
    <t>Autumn Lake</t>
  </si>
  <si>
    <t>AUTUMN LAKES</t>
  </si>
  <si>
    <t>Eola to McCoy East to Autumn Lake Dr, first unit facing Autumn Lake Dr on the left</t>
  </si>
  <si>
    <t>Fantastic ranch end unit that is rarely available! Vaulted ceiling and transom windows in the living room overlooking open space. Dining Room could be incorporated into living room. Sliding glass door to private patio. Hardwood floors in the foyer &amp; eat-in kitchen. Master Bedroom with private bathroom and walk-in closet. All new windows have lifetime transferable warranty to new owner. Naperville schools.</t>
  </si>
  <si>
    <t>PLs call CSS 877-977-1010, no showings before noon!</t>
  </si>
  <si>
    <t>(630) 896-3100</t>
  </si>
  <si>
    <t>Cindy Heckelsberg</t>
  </si>
  <si>
    <t>(630) 253-2997</t>
  </si>
  <si>
    <t>?s Lara 630-253-2995</t>
  </si>
  <si>
    <t>Contact Lara w/?s &amp; offers lara.heckelsberg@coldwellbanker.com Garbage is inc in monthly HOA fee!</t>
  </si>
  <si>
    <t>Cambridge Country North</t>
  </si>
  <si>
    <t>Rt 45-Wincester W, to Adderly S, to Manchester E</t>
  </si>
  <si>
    <t>43 X 100</t>
  </si>
  <si>
    <t>Impeccably maintained~move-in condition single family! Open flr plan,fresh paint. New flooring in kitch,foyer &amp; 1/2 bth. DR sliders to patio w/ perennials &amp; roses. Huge Mstr Bdrm w/ wic &amp; vaulted ceilings,custom shades. Huge loft for home office, theater or 3rd bdrm. Kitch w/pantry, new stove,micro,1st flr laundry. 2 Car gar/storage.Quiet interior location in desirable Fremont Dist 79. Close 2 metra,park,golf! SEE ME</t>
  </si>
  <si>
    <t>FREMONT ELEMENTARY SCHOOL</t>
  </si>
  <si>
    <t>FREMONT MIDDLE SCHOOL</t>
  </si>
  <si>
    <t>Golf Course, Park/Playground</t>
  </si>
  <si>
    <t>2.5% - $275 (on Gross SP)</t>
  </si>
  <si>
    <t>Michele &amp; Scott Krause</t>
  </si>
  <si>
    <t>NO ASSESMENTS! SINGLE FAMILY - YOU OWN THE LAND! NOTE: REAL ESTATE TAXES based on Non-Owner occupant</t>
  </si>
  <si>
    <t>TOWNE CENTRE CONDOMINIUMS</t>
  </si>
  <si>
    <t>IRVING PARK RD. TO YORK RD. (S) TO ROOSEVELT AVE. WEST</t>
  </si>
  <si>
    <t>Most stunning renovation in downtown Bensenville. New kitchen w/ upgraded stainless appliances, impressive granite and cabinets. New bamboo flooring in living areas and new carpet in bedrooms. New light fixtures, bathroom vanities. Huge walk-in closet. Superb sound reducing windows. Private balcony for morning coffee! 1 cat/dog to 50 lbs OK. Two heated garage parking spaces next to lobby + storage on unit level incl.</t>
  </si>
  <si>
    <t>Elevator, Storage, Security Door Locks, Sidewalks, Street Paved, Other</t>
  </si>
  <si>
    <t>Balcony, Foyer, Walk In Closet</t>
  </si>
  <si>
    <t>Humidifier, TV-Cable, Security System, Intercom, Fire Sprinklers</t>
  </si>
  <si>
    <t>Easy to Show. Click 'Schedule a Showing' below.</t>
  </si>
  <si>
    <t>Eric Marcus Real Estate Group</t>
  </si>
  <si>
    <t>(773) 244-1110</t>
  </si>
  <si>
    <t>Eric Marcus</t>
  </si>
  <si>
    <t>773-732-9898 Eric's Mobile</t>
  </si>
  <si>
    <t>Principal of the owner is an Illinois Real Estate Licensee.</t>
  </si>
  <si>
    <t>Spalding</t>
  </si>
  <si>
    <t>Cambridge Country</t>
  </si>
  <si>
    <t>Midlothian or Rt#60 to Hawley to Southport, south to Spalding east to home</t>
  </si>
  <si>
    <t>4357 SF</t>
  </si>
  <si>
    <t>Open floor plan with cathedral and vaulted ceilings in all rooms,light and airy. Eat-in kitchen to family room with fireplace and skylights. Slider to brick patio and fenced yard. All appliances included. Freshly painted throughout, hardwood flooring in all main living areas, white 6 panel doors. Master has walk-in closet and private access to adjoining bath.Convenient attached garage. Well maintained original owner.</t>
  </si>
  <si>
    <t>WASHINGTON/LINCOLN ELEMENTARY SCHOOL</t>
  </si>
  <si>
    <t>Call Listing Office 847-367-8686 x 0</t>
  </si>
  <si>
    <t>Withheld</t>
  </si>
  <si>
    <t>Exclude mirrors in both bathrooms.</t>
  </si>
  <si>
    <t>Att;n Seniors - secure 3rd flr condo in indep 55+ community of Vill Green of East Dundee! Newer carpeting / countertops. Unit has custom breakfast bar &amp; great tree-lined view from priv patio. Mo serv fee pays all utilities, bi-mo housekpg, wkly linen changes and more! Washer/dryer in unit - gar avail for extra fee. Features incl Wellness Center and Therapy Center! Ask me about the optional meal plan! Beautiful unit!</t>
  </si>
  <si>
    <t>Heat, Air Conditioning, Water, Electric, Common Insurance, TV/Cable, Exercise Facilities, Exterior Maintenance, Lawn Care, Scavenger, Snow Removal</t>
  </si>
  <si>
    <t>Note co-op!!</t>
  </si>
  <si>
    <t>Wildwood</t>
  </si>
  <si>
    <t>RT. 60 TO BUTTERFIELD S 2 CREEKSIDE E 2 TANGLEWOOD 2 WILDWOOD TO HOME</t>
  </si>
  <si>
    <t>***NICE CONDO IN SOUGHT AFTER SCHOOL DISTRICT*** WONDERFUL HOME WITH A GREAT LAYOUT AND SPACIOUS ROOMS . A LITTLE CREATIVITY AND THIS WILL BE THE PERFECT HOME! DONT WAIT AS THIS ONE WILL BE GONE VERY QUICKLY! ** Highest and best due by 2pm on 4/8**</t>
  </si>
  <si>
    <t>75TH TO FAIRMONT TO WINTHROP WAY TO TOWER CT</t>
  </si>
  <si>
    <t>ALTGELD TO 76TH CT TO 2422-ONE WAY SOUTH</t>
  </si>
  <si>
    <t>BRIGHT, SUNNY AND SPACIOUS 2 BEDROOM, 2 FULL BATH UNIT. LOTS OF CLOSET AND STORAGE SPACE, INCLUDING ACCESS TO THE ATTIC AND EXTRA STORAGE IN THE BSMT. NEWER HARDWOOD FLOORS AND UPDATED BATHROOMS. MASTER BEDROOM HAS A WALK IN CLOSET. EAT-IN KITCHEN HAS WOODEN CABINETS AND NEWER APPLIANCES. LIVING ROOM OPENS UP TO A CHARMING BALCONY. IN UNIT LAUNDRY AND 1 EXTERIOR PK SPACE INCLUDED. DON'T MISS OUT ON THIS AMAZING UNIT!</t>
  </si>
  <si>
    <t>Parking, Common Insurance, Exterior Maintenance, Lawn Care, Scavenger, Snow Removal, Lake Rights</t>
  </si>
  <si>
    <t>Please call Showingtime at 855-746-9200 or click the Schedule a Showing icon below.</t>
  </si>
  <si>
    <t>(847) 866-8200</t>
  </si>
  <si>
    <t>Samantha Soballe</t>
  </si>
  <si>
    <t>(847) 401-7974</t>
  </si>
  <si>
    <t>22ND (EAST OF HIGHLAND) TO GRACE NORTH TO 2020 ST REGIS DRIVE</t>
  </si>
  <si>
    <t>Immaculate condo on the 5th floor w/AMAZING LONG VIEWS from oversized, private balcony!Open floor plan w/hardwood floors in main living areas! Eat-in kitchen with breakfast bar &amp; pantry cabinet. Bright living rm w/large dining area!Master retreat w/huge walk-in-closet &amp; luxury bath w/whirlpool tub/separate shower!Roomy 2nd BR!Relax at the swimming pool or clubhouse!Heated garage &amp; oversized space!Minutes to I355/I88!</t>
  </si>
  <si>
    <t>Elevator, Storage, Pool-Outdoors, Sauna, Security Door Locks, Curbs/Gutters, Sidewalks, Street Lights, Street Paved</t>
  </si>
  <si>
    <t>USE SHOWING ICON OR CALL LISTING OFFICE 847-381-8800</t>
  </si>
  <si>
    <t>Pam Jacobs</t>
  </si>
  <si>
    <t>(847) 756-7620</t>
  </si>
  <si>
    <t>FAX 888-400-0599</t>
  </si>
  <si>
    <t>When exiting unit and facing out into the hallway,storage room w/assigned locking storage cage is just steps down hallway to the left on the right hand side. Garage space #37 is AWESOME! LARGE, EASY TO NAVIGATE INTO &amp; SEPARATED BY PILLARS!</t>
  </si>
  <si>
    <t>FEDERAL</t>
  </si>
  <si>
    <t>Eola S to Hafenrichter E to Barrington S to Providence W to Georgetown S to Capital W to Federal</t>
  </si>
  <si>
    <t>FARRAGUT</t>
  </si>
  <si>
    <t>Beautifully maintained 2 story Condo in great location.  9' ceilings on 1st floor &amp; fireplace in great room.  Separate dining area.  Spacious kitchen with ample counter space and breakfast bar.  Fabulous views of park right across the street.  2 master suites, each with their own sitting room, private baths and walk in closets.  Second floor laundry with newer washer and dryer.  Wood doors and trim. Move right in!</t>
  </si>
  <si>
    <t>HOMESTEAD ELEMENTARY SCHOOL</t>
  </si>
  <si>
    <t>Conventional, FHA, VA, Other</t>
  </si>
  <si>
    <t>click on showing assist.  2 hour notice requested</t>
  </si>
  <si>
    <t>Kimberly Grant</t>
  </si>
  <si>
    <t>cell 630-251-4244</t>
  </si>
  <si>
    <t>easy to show- very clean!  3 friendly cats who like to hide so may not see them. Carpets will be steam cleaned prior to closing.</t>
  </si>
  <si>
    <t>Leasehold</t>
  </si>
  <si>
    <t>York N of Grand to George E to Chalet on the Lake</t>
  </si>
  <si>
    <t>COMM</t>
  </si>
  <si>
    <t>Beautiful and cozy but spacious condo with granite kitchen counter tops and baths and high quality kitchen cabinets, stainless steel appliances. Recently renovaded throughout</t>
  </si>
  <si>
    <t>Water, Gas, Parking, Common Insurance, Exterior Maintenance, Lawn Care, Snow Removal</t>
  </si>
  <si>
    <t>2% (on Net SP)</t>
  </si>
  <si>
    <t>text 630-6252625</t>
  </si>
  <si>
    <t>Popular Realty Group</t>
  </si>
  <si>
    <t>(630) 694-9999</t>
  </si>
  <si>
    <t>Blanca Rivera</t>
  </si>
  <si>
    <t>(630) 625-2625</t>
  </si>
  <si>
    <t>Not short sale or foreclosure, just show and sell</t>
  </si>
  <si>
    <t>MILLCREEK</t>
  </si>
  <si>
    <t>Randall Rd South of Big Timber to Royal Blvd E to Fletcher N to Millcreek Right, take 1st Right</t>
  </si>
  <si>
    <t>MODEL A</t>
  </si>
  <si>
    <t>25X70X27X70</t>
  </si>
  <si>
    <t>This impeccable unit is located in a low traffic, natural setting/mature trees.  Great location close to Metra Stations. Vaulted Ceilings with skylights add to this open flr pln. Quality finishes t/o!  Spacious Foyer with wood flrs to greet your guests. New Stainless Steel French Door Ref, 5 burner Stover &amp; Micro Hood! Wood Laminate Floor in Kitchen. Newer Windows, HWH &amp; Furnace 2012, Roof &amp; Exterior Paint 2013/14.</t>
  </si>
  <si>
    <t>Kate Schumacher, GRI,LTG,SFR</t>
  </si>
  <si>
    <t>(847) 624-3153</t>
  </si>
  <si>
    <t>Brett</t>
  </si>
  <si>
    <t>Route 176 to Wethington, turn left on Brett to home.</t>
  </si>
  <si>
    <t>Seller will replace air conditioning and furnace once the property is under contract!  Spacious 2nd story condo w/open floor plan. Living room has vaulted ceilings and access to large deck. Large master w/private master bath and walk in shower. In unit laundry. Newer windows throughout. Attached one car garage.  Close to downtown and Bangs Lake!</t>
  </si>
  <si>
    <t>Please call 855-746-9100 for an appointment (Go &amp; Show).</t>
  </si>
  <si>
    <t>Danny Olsen, SFR</t>
  </si>
  <si>
    <t>(847) 774-1761</t>
  </si>
  <si>
    <t>Please email offers to danny.olsen@bairdwarner.com</t>
  </si>
  <si>
    <t>QUEENSGREEN</t>
  </si>
  <si>
    <t>OGDEN TO RAYMOND N TO QUEENSGREEN TO 1392</t>
  </si>
  <si>
    <t>END UNIT WITH PRIVATE PATIO- LARGE MATURE TREES. LIVING ROOM W/FIREPLACE, SEPARATE DR, 2 LARGE BEDROOMS, BREAKFAST BAR IN KITCHEN -LOFT HAS DORMER WINDOW &amp; VIEW OF PATIO, OAK HANDRAILS. 2ND FLOOR LAUNDRY RM. NEUTRAL DECOR. EXTRIOR BEING PAINTED AT THE TIME OF THE PHOTOS. NEW LANDSCAPING RETAINING WALL AT PATIO AND PATIO STONES. EXTRA PARKING.</t>
  </si>
  <si>
    <t>Use Showing Assist below</t>
  </si>
  <si>
    <t>Dawn Herbst</t>
  </si>
  <si>
    <t>David Foote</t>
  </si>
  <si>
    <t>(630) 637-2539</t>
  </si>
  <si>
    <t>Fresh paint, newer carpet, newer appliances. HOA recently put on new roofs &amp; exterior paint, and retaining wall at patio.</t>
  </si>
  <si>
    <t>Knoll Valley</t>
  </si>
  <si>
    <t>The Knolls</t>
  </si>
  <si>
    <t>Clarendon Hills Rd, North of 63rd, to Knolls East</t>
  </si>
  <si>
    <t>Very nice 2nd floor unit with private balcony. Beautiful cherry floor in living and dining area. Brand new carpet in all bedrooms. Freshly painted throughout. Redone baths. Storage on the same level. Must see ! Complex offers: 2 swimming pools, tennis court, clubhouse, etc. Hinsdale South or Central High School. FHA approved. Rentals allowed.</t>
  </si>
  <si>
    <t>Coin Laundry, Exercise Room, Storage, Party Room, Pool-Outdoors, Tennis Court/s, Sidewalks, Street Lights, Street Paved</t>
  </si>
  <si>
    <t>Heat, Water, Gas, Parking, Common Insurance, Exercise Facilities, Pool, Exterior Maintenance, Lawn Care, Scavenger, Snow Removal</t>
  </si>
  <si>
    <t>e-mail ID, date &amp; time to homes@selectrealtyusa.com  Wait for confirmation.</t>
  </si>
  <si>
    <t>KEY BOX (SENTRILOCK) IS LOCATED ON CLARENDON HILLS RD - ON THE RIGHT OF THE ENTRANCE TO THE KNOLLS COMPLEX - PLEASE SEE ATTACHED PICTURE</t>
  </si>
  <si>
    <t>CAMBRIA</t>
  </si>
  <si>
    <t>Roosevelt  to Meyers, North to Wilson, East to Addison</t>
  </si>
  <si>
    <t>This Lombard, IL townhouse is the one you've been waiting for! You'll be astounded walking into this sunny, move-in ready 2bdrm/2.5 ba spacious unit with pristine hardwood floors throughout. A bonus 14'x10' loft area perfect for office/reading area. Master bedroom with vaulted ceiling,  walk-in clst &amp; full bath. 2nd fl laundry. Patio with grassy common area for grilling/relaxing. Near parks, shopping &amp; expressways</t>
  </si>
  <si>
    <t>2 hour notice required Call CSS (1-877-977-1010) to schedule appointment</t>
  </si>
  <si>
    <t>Please remove shoes when entering - Kindly turn off all lights and leave business card.</t>
  </si>
  <si>
    <t>Thorndale Ave. to Park then S to Millers Crossing &amp; left to 197</t>
  </si>
  <si>
    <t>TURNBERRY</t>
  </si>
  <si>
    <t>Great location near freeways and shopping without the noise. Neat as a pin 2 bedrooms &amp; 2.1 Baths with brand new neutral carpeting throughout. Enjoy the fireplace and family room looking to green space. All appliances, window treatments stay including full sized washer &amp; dryer in separate laundry. 2 car garage with long driveway for extra parking. Roof replaced in July &amp; new floor this Jan. Nice Patio with privacy.</t>
  </si>
  <si>
    <t>Eating Area, Walk In Closet</t>
  </si>
  <si>
    <t>2 1/2% - $200.00 (on Net SP)</t>
  </si>
  <si>
    <t>Call Listing Agent. 847 975-5800</t>
  </si>
  <si>
    <t>Dubbert</t>
  </si>
  <si>
    <t>Clinnin Associates, Inc.</t>
  </si>
  <si>
    <t>(847) 975-5800</t>
  </si>
  <si>
    <t>Jerry Clinnin, ABR,e-PRO,SRES</t>
  </si>
  <si>
    <t>This property has the original owner and there has never been pets on the premises and no one has ever smoked in the home.</t>
  </si>
  <si>
    <t>Rt 59, Leverenz East, Sheehan Ct South</t>
  </si>
  <si>
    <t>SPACIOUS 1 OWNER END UNIT ON CUL-DE-SAC -1ST FLR ENTRY LEADS TO BRIGHT &amp; SUNNY 2nd FLR W/ SOARING VLTD CEILINGS. ROOMY MSTR WALK-IN CLOS. 2ND BA-FEAT DUAL ACCESS FROM LIV RM &amp; 2ND BED. SKYLIGHT &amp; MSTR WHIRLPOOL TUB-CONSTR UPGRADE. LOVELY NEIGHBORHOOD, GREAT LOCATION W/ CONV ACCESS TO NAPERVILLE CROSSINGS- SHOP/DINE/ENTERTAINMENT. WALK TO ACCLAIMED DIST 204 ELEM, HS &amp; 95TH STREET LIBRARY. CLOSE TO DOWNTOWN NAPER</t>
  </si>
  <si>
    <t>6X7</t>
  </si>
  <si>
    <t>2.5 NET -$200 (on Net SP)</t>
  </si>
  <si>
    <t>TEXT LA 630-699-0448 W/ NAME, ID, DAY &amp; TIME - 2 HR NOTICE</t>
  </si>
  <si>
    <t>Michele Poto</t>
  </si>
  <si>
    <t>(630) 699-0448</t>
  </si>
  <si>
    <t>EASY TO SHOW, CAN CLOSE QUICK - REMOVE SHOES, LEAVE CARD &amp; FEEDBACK - PLEASE EXCLUDE FRIDGE</t>
  </si>
  <si>
    <t>RTE 45 &amp; OAKWOOD S2 CHERRY VLLY W2 E. COURT OF SHOREWOOD</t>
  </si>
  <si>
    <t>WHY RENT WHEN YOU CAN BUY! LIGHT &amp; BRIGHT 1ST FLOOR UNIT IN STEVENSON HIGH SCHOOL! LIVING ROOM &amp; DINING ROOM W/SLIDERS TO PRIVATE PATIO! FULLY APPLIANCED KITCHEN FEATURES PASS THRU TO THE DINING ROOM. MASTER BDRM WITH WALK-IN CLOSET PLUS ADDITIONAL CLOSET! THE WATER BILL IS DIVIDED BY THE 6 UNITS!</t>
  </si>
  <si>
    <t>Humidifier, Intercom, Ceiling Fan</t>
  </si>
  <si>
    <t>Call Showing Time@855-746-9020</t>
  </si>
  <si>
    <t>(847) 432-0700</t>
  </si>
  <si>
    <t>Janice Goldblatt</t>
  </si>
  <si>
    <t>(847) 809-8096</t>
  </si>
  <si>
    <t>Rt 34 &amp; Rt 30 // Rt 34 (Southwest) to Ogden Falls Blvd (South) to  Waterbury Cir (East) to home</t>
  </si>
  <si>
    <t>Beautiful 2-story townhouse in quiet, desirable subdivision. Fantastic kitchen with lots of cabinets &amp; peaceful view. Incredible, relaxing master bedroom with walk-in closet and soothing master bathroom. Amazing living room with fireplace. Private patio great for grilling and relaxing. This home qualifies for FHA Financing! EQUAL HOUSING OPPORTUNITY.</t>
  </si>
  <si>
    <t>Lockbox front door.Master assoc included in monthly dues. BID GO TO OforiREO.com NAID# REGISTRATION HUDHomeStore.com FHA Insured w/ Escrow (IE) $165 SOLD AS-IS CASE# 137-573388 SQ FT 1535 UP TO 3% CC. $100.00 DOWN PYMT (See Over Bid Rules)</t>
  </si>
  <si>
    <t>Harrison</t>
  </si>
  <si>
    <t>Rte 38 (E of Rte 25) to Kansas (S) to Spring (E) to Harrison</t>
  </si>
  <si>
    <t>Exceptional condo in great location close to downtown, river, parks, bike trail &amp; shopping! Open floor plan, wood flooring in most rooms, very clean &amp; neutral decor!! Living rm w/floor to ceiling fireplace... Dining rm opens to balcony w/scenic wooded views... Huge master bedroom w/full wall closet &amp; balcony that overlooks beautifully wooded courtyard!! 2 full baths, garage &amp; parking... Move-in condition!</t>
  </si>
  <si>
    <t>Cul-de-sac, Landscaped Professionally, Wooded</t>
  </si>
  <si>
    <t>Call 855-919-0377 for Appointment</t>
  </si>
  <si>
    <t>Alex Rullo, ABR</t>
  </si>
  <si>
    <t>(630) 513-1771</t>
  </si>
  <si>
    <t>(630) 272-4310</t>
  </si>
  <si>
    <t>STUNNING LIKE NEW CONSTRUCTION! SPACIOUS COMPLETE RENOVATION W/UPGRADES THROUGHOUT! NEW(CARPET, CABINETS, PAINT, FLOORING, GRANITE COUNTER TOPS, BREAKFAST BAR, &amp; STAINLESS STEEL APP, BLINDS). LARGE FAMILY ROOM, 9FT CEILINGS, 2ND FLR LAUNDRY. BONUS RM MAY BE 3RD BEDROOM OR DEN. PRIVATE DECK &amp; ATTACHED 2-CAR GARAGE.NEAR SCHOOLS, SHOPPING, DINING &amp; I88. BROKER OWNED. ASK ABOUT $5000 DOWN PAYMENT ASSISTANCE! QUICK CLOSE!</t>
  </si>
  <si>
    <t>2.75%-$100 (on Net SP)</t>
  </si>
  <si>
    <t>SHOW ANYTIME WITH COMBO. TURN OFF LIGHTS. PLEASE USE SHOE COVERS OR REMOVE SHOES INSIDE FRONT DOOR!</t>
  </si>
  <si>
    <t>VAC Realty</t>
  </si>
  <si>
    <t>(630) 466-4411</t>
  </si>
  <si>
    <t>Victor Crisci</t>
  </si>
  <si>
    <t>PLEASE USE SHOE COVERS OR REMOVE SHOES INSIDE OF FRONT DOOR. TEXT ANY QUESTIONS TO 630-806-0804. QUICK CLOSE AVAILABLE. Lifetime kitchen warranty transfers to buyer. 10yr Shaw carpet warranty.</t>
  </si>
  <si>
    <t>ROUTE 59 S OF LAKE-COOK TO RUSSELL, W TO LAGESCHULTE</t>
  </si>
  <si>
    <t>Under contract before going on the market; fully upgraded 1st floor condo with outdoor space.</t>
  </si>
  <si>
    <t>09X11</t>
  </si>
  <si>
    <t>2.0%-$325 (ON NET PRICE) (on Net SP)</t>
  </si>
  <si>
    <t>Call Jon (773) 307-9175</t>
  </si>
  <si>
    <t>Sold before print.</t>
  </si>
  <si>
    <t>Nicola</t>
  </si>
  <si>
    <t>LAKE ST WEST TO MEDINAH SOUTH TO NICOLA COURT</t>
  </si>
  <si>
    <t>CLASSIC BEAUTY W/ ALL THE UPGRADES!!! THIS GORGEOUS 2 BDRM + LOFT TOWNHOUSE FEATURES AN OPEN FLR PLAN W/ STUNNING HRDWD FLRS, VAULTED CEILINGS &amp; IRON SPINDLES. KITCHEN FEATURES 42" MAHOGANY CABINETS, SS APPL, GRANITE COUNTERTOPS. M BTH HAS DBLE GRANITE VANITY, JACUZZI TUB &amp; SHOWER. MUDROOM/LAUNDRY OFF GARAGE. FULL BASEMENT W/ BATH ROUGH IN. BEAUTIFUL SUBDIVISION CLOSE TO MAJOR EXPRESSWAYS. BLOOMINGDALE SCHOOLS!</t>
  </si>
  <si>
    <t>Security System, CO Detectors, Sump Pump</t>
  </si>
  <si>
    <t>PLEASE CALL SHOWING ASSIST @ 1-800-746-9464</t>
  </si>
  <si>
    <t>Natalie Corcione</t>
  </si>
  <si>
    <t>(708) 655-2422</t>
  </si>
  <si>
    <t>SHOWS BEAUTIFUL! 2ND BEDROOM DRAPES AND CHANDELIERS WILL GO.</t>
  </si>
  <si>
    <t>GOLD</t>
  </si>
  <si>
    <t>LAKE TO BEAR FLAG, TO FREMONT, NORTH TO SACRAMENTO, EAST TO GOLD CIRCLE</t>
  </si>
  <si>
    <t>GREAT 2-STORY QUAD WITH FULL FINISHED BSMT &amp; ATTACHED GARAGE.  1332 SQ. FT. WITH FINISHED BSMT. FRESHLY PAINTED THRU-OUT WITH NEW CARPET ON 2ND FLOOR &amp; BSMT. GOOD QUALILTY WOOD LAMINATE IN LIVING &amp; DINING ROOM, CERAMIC TILE IN KITCHEN &amp; BOTH BATHS. MASTER BEDROOM WITH WALK-IN CLOSET &amp; D/D CLOSET. MOVE-IN CONDITION ACROSS FROM PARK, CLOSE TO TRAIN, EXPRESSWAY &amp; SHOPPING.</t>
  </si>
  <si>
    <t>CAMBRIDGE GREEN</t>
  </si>
  <si>
    <t>Milwaukee Ave to Winchester, East to 104 "E" Winchester, Unit E. Third floor unit / unit on the left</t>
  </si>
  <si>
    <t>Located in the heart of Libertyville near shops, restaurants, train &amp; more! Third floor condo with exterior space and garage! Vaulted living room open to DR. KIT w/eating area &amp; door leading to balcony. Sun-drenched master bedroom w/generous closet space, private bathroom &amp; slider leading to balcony. Additional bedroom &amp; full bathroom an added bonus. Laundry in unit. Balcony surrounded by trees for added privacy.</t>
  </si>
  <si>
    <t>Additional PIN for garage 1116112058 $183 / 2013 tax  Exterior space #46 / garage #9</t>
  </si>
  <si>
    <t>Army Trail to County Farm Rd., South to Woodhill, East to Kingsbridge, North to home</t>
  </si>
  <si>
    <t>1840 SQ. FT</t>
  </si>
  <si>
    <t>This Upgraded Beautifully Maintained Townhome is a Show  Stopper! Upon Entry to This fabulous Home You'll Be Impressed W/The Attention To Detail, Fine Finishes &amp; Dramatic Open Floor Plan. Gorgeous 2 Story Family Room W/Stunning Stone Fireplace. Kitchen w/Granite and All Stainless Appliances Is a Chef's Delight! Luxurious Master &amp; Updated Bath. Large 2nd Bedroom &amp; Loft Can Convert to 3rd Bedroom. 2 Car Garage &amp; More!</t>
  </si>
  <si>
    <t>One Hour Notice Must Confirm Call 630-461-8259</t>
  </si>
  <si>
    <t>630-461-8259</t>
  </si>
  <si>
    <t>Edye Burton</t>
  </si>
  <si>
    <t>(630) 461-8259</t>
  </si>
  <si>
    <t>Lots of News! New Roof, New Siding, New Crown Molding, New Hot Water Heater, New Washer &amp; Dryer. New Epoxy Floor In Garage &amp; Much, Much More!</t>
  </si>
  <si>
    <t>RT 72 W to L on R J Brown-R Wester- L Driftwood- R Sandcastle to HOME</t>
  </si>
  <si>
    <t>Wow!So many upgrades &amp; details! Fresh paint &amp; new carpet throughout.Kitchen features ss appliances, island w/granite top &amp; pendant lighting.Dining features wood flooring, butlers pantry w/granite top &amp; wood detailed wall.Loft area incl storage bench &amp; decorative molding. Masterbath w/new granite tile floor &amp; porcelain shower tile. Masterbed amazing detail in pendant lighting &amp; wood accent wall.Simply amazing must see</t>
  </si>
  <si>
    <t>Bike Room/Bike Trails, Exercise Room, Park/Playground, Party Room, Pool-Outdoors, Curbs/Gutters, Sidewalks, Street Lights, Street Paved</t>
  </si>
  <si>
    <t>Common Insurance, Exercise Facilities, Pool, Exterior Maintenance, Lawn Care, Snow Removal</t>
  </si>
  <si>
    <t>Pearson</t>
  </si>
  <si>
    <t>Kozar Real Estate Group</t>
  </si>
  <si>
    <t>(630) 833-4663</t>
  </si>
  <si>
    <t>Kristie Majewski</t>
  </si>
  <si>
    <t>(630) 965-4373</t>
  </si>
  <si>
    <t>Lakecliffe</t>
  </si>
  <si>
    <t>Butterfield Rd to Briarcliffe Blvd, North to Lakecliffe Dr, right to home</t>
  </si>
  <si>
    <t>Wonderful 2 bedroom, 1 bath, 2nd flr manor home in Briarcliffe Lakes. Beautiful gas log fireplace in living rm. Sliding glass doors from formal dining rm to balcony and lovely view. Updated kitchen with new cabinets, countertops &amp; flooring. Full bath updated with new sink and beautiful tile in tub area with access to master br. W/D in unit. Freshly painted throughout. Attached 1 car gar with storage. Close to COD.</t>
  </si>
  <si>
    <t>Storage, Park/Playground, Street Lights, Street Paved</t>
  </si>
  <si>
    <t>Cedar, Stucco</t>
  </si>
  <si>
    <t>Call Ruth for appt (630-632-7884) or use Showing Assist</t>
  </si>
  <si>
    <t>Ruth Proctor, ABR,CNC,CRS,GRI</t>
  </si>
  <si>
    <t>(630) 632-7884</t>
  </si>
  <si>
    <t>Building is NOT FHA approved</t>
  </si>
  <si>
    <t>ELLSWORTH</t>
  </si>
  <si>
    <t>CHERRY CREEK</t>
  </si>
  <si>
    <t>45 &amp; Washington, W2 Atkinson, S2 Cherry Creek, W2 Ellsworth</t>
  </si>
  <si>
    <t>DILLON</t>
  </si>
  <si>
    <t>77X20</t>
  </si>
  <si>
    <t>Desirable Dillon model that is located in a very private location of Cherry Creek, next to beautiful views of nature and dead-end street. Kitchen with island/ pantry/ eating area, an abundance of cabinets, and bay window, all appliances included, two master suites, walk-in closet, 3rd bedroom, family room or den in lower level, 2 car attached garage, community clubhouse and gym.</t>
  </si>
  <si>
    <t>WOODVIEW SCHOOL</t>
  </si>
  <si>
    <t>Bike Room/Bike Trails, Exercise Room, Health Club, Party Room, Curbs/Gutters, Sidewalks, Street Lights, Street Paved</t>
  </si>
  <si>
    <t>2.5%-$175 (on Gross SP)</t>
  </si>
  <si>
    <t>Craig Stein</t>
  </si>
  <si>
    <t>(847) 624-6184</t>
  </si>
  <si>
    <t>property tax amount does not have Limited Homestead Exemption, photos in MRED are of the unit prior to tenant move in, excuse the moving boxes because tenant packing to move.</t>
  </si>
  <si>
    <t>FHA 203K</t>
  </si>
  <si>
    <t>29W616</t>
  </si>
  <si>
    <t>Rt 59 N to Winchester E to first building on the L</t>
  </si>
  <si>
    <t>This 2-story quad home offers 2 bedrooms and 1 full bath. Partial finished basement great for entertaining. Very spacious. 1 car attached garage included. Close to schools, great shopping and transportation. No seller disclosures. HUD HOME SOLD AS-IS. INFORMATION DEEMED RELIABLE BUT NOT GUARANTEED. SELLING BROKER TO VERIFY ALL INFORMATION.</t>
  </si>
  <si>
    <t>Case #137-240969. Insured Status: IE. Up to 3% Co-op. Offers submitted on-line. Office must be HUD registered. See attached Guidelines. Go to HUDhomestore.com</t>
  </si>
  <si>
    <t>Jamatt</t>
  </si>
  <si>
    <t>Willowcreek</t>
  </si>
  <si>
    <t>Chicago to Charles-North to Mattande-West to Jamatt Ct.-South</t>
  </si>
  <si>
    <t>Rare, Custom Remodel. Upscale dÃ©cor. 2,150 sq ft includes fin bsmt. Newly painted, hand-made moldings &amp; wainscoting. Stone floor to ceiling fireplace &amp; custom mantel. Open &amp; Spacious floor plan and rms. Beautifully maintained hardwd flrs. New powder rm slate flr. 2 remodeled elegant full baths. Kit-granite &amp; s.s. appl. Bsmt. finished-new carpet. All new fans, blinds, Closet plans. Near train, downtown Nap., highways.</t>
  </si>
  <si>
    <t>25X23</t>
  </si>
  <si>
    <t>4X11</t>
  </si>
  <si>
    <t>Text or call-Terry at 630.240.3541</t>
  </si>
  <si>
    <t>Terry L Dittus</t>
  </si>
  <si>
    <t>(630) 753-1316</t>
  </si>
  <si>
    <t>630.240.3541</t>
  </si>
  <si>
    <t>Refrigerator in Kitchen not included-gift from parents. The s.s. refrig. in bsmt included, matches kit. appl.  Mirror in master bath above sinks not included. Owner will replace with a mirror. Washer/Dryer not included-gift from parents.</t>
  </si>
  <si>
    <t>LAKEWOOD VILLAS</t>
  </si>
  <si>
    <t>Rt. 45 to Oakwood S to Cherry Valley W to Lakeside N to complex</t>
  </si>
  <si>
    <t>Bright &amp; Open! 2 Bedroom Condo, Neutrally decorated throughout! Master with large walk-in closet and a private entrance to bathroom. Laundry in unit! Living Room sliders to private balcony. Dining room is open to both the living room and kitchen. Great Opportunity in great, move-in condition! Here is a great opportunity to buy a property in this complex that is priced to sell and in move in condition.</t>
  </si>
  <si>
    <t>Water, Parking, Common Insurance, Exterior Maintenance, Lawn Care, Scavenger</t>
  </si>
  <si>
    <t>Use showing assist or call Showing Desk 888-362-3222</t>
  </si>
  <si>
    <t>Sheila Thomas, ABR,BPOR,e-PRO,GRI</t>
  </si>
  <si>
    <t>(847) 361-0629</t>
  </si>
  <si>
    <t>Oneida</t>
  </si>
  <si>
    <t>Enclave at Country Lakes</t>
  </si>
  <si>
    <t>I-88 exit Rt59; South to N.Aurora Ave; West to Genesee Dr,  Right onto Genesee Dr, Left to Oneida Ln</t>
  </si>
  <si>
    <t>Super Clean Gorgeous Home Well-Maintained And Many Updates; Freshly Painted *New Carpet*Master Suite With A Spectacular New Bath Room w/Jacuzzi * New Appliances * 9 ft Ceilings * Beautiful Entertainment Center w/Fireplace *   6 Panel White Doors * New Hot-water Tank * What Nice View From Patio**close to Metra station &amp; I-88; walk to park &amp; playground; award winning Naperville Schools; Pre-Approved Buyers Only</t>
  </si>
  <si>
    <t>TV-Dish, Security System, Ceiling Fan</t>
  </si>
  <si>
    <t>At Least the Night Before Notice for ALL showings.</t>
  </si>
  <si>
    <t>Margaret Rowe</t>
  </si>
  <si>
    <t>(630) 428-5523</t>
  </si>
  <si>
    <t>815-685-8545</t>
  </si>
  <si>
    <t>Amazing Home*Have your clients take a Buyer Info Packet w/ details and The Realtor Packet is for you, with a partially filled out contract and disclosures, just to make it a little easier to get the job done!</t>
  </si>
  <si>
    <t>Burr Oak</t>
  </si>
  <si>
    <t>315A</t>
  </si>
  <si>
    <t>York Road North of Ogden to Graue Mill Entrance</t>
  </si>
  <si>
    <t>18X24</t>
  </si>
  <si>
    <t>Elevator, Storage, Pool-Outdoors, Tennis Court/s, Gated Entry</t>
  </si>
  <si>
    <t>Water, Parking, Common Insurance, Clubhouse, Pool, Exterior Maintenance, Lawn Care, Snow Removal, Other</t>
  </si>
  <si>
    <t>Call Joan 630.561.6728</t>
  </si>
  <si>
    <t>longford</t>
  </si>
  <si>
    <t>COUNTRY PLACE</t>
  </si>
  <si>
    <t>County Farm North to Stearns, West  to Longford</t>
  </si>
  <si>
    <t>MOVE RIGHT IN NOTHING TO DO  NEW CARPET, FRESHLY PAINTED  SPACIOUS TOWNHOME WITH VAULTED CEILING, PLENTY OF NATURAL LIGHT  OVERSIZED BEDROOMS WITH PRIVATE BATHS  GENEROUS WALKIN CLOSETS   ENJOY A SUMMER COOKOUT ON GREAT PATIO</t>
  </si>
  <si>
    <t>Call centralized Showings 877.977.1010 (www.showings.com 24/7)</t>
  </si>
  <si>
    <t>Sarah Webb</t>
  </si>
  <si>
    <t>(630) 341-1363</t>
  </si>
  <si>
    <t>Move in condition, fresh paint, new carpet, all neutral.....very bright and cheery</t>
  </si>
  <si>
    <t>104A</t>
  </si>
  <si>
    <t>Graue Mill ~ 1/2 mile north of Ogden off York</t>
  </si>
  <si>
    <t>SOLD BEFORE PROCESSING!</t>
  </si>
  <si>
    <t>MONROE ELEMENTARY SCHOOL</t>
  </si>
  <si>
    <t>Elevator, Exercise Room, Storage, On Site Manager/Engineer, Park/Playground, Party Room, Pool-Outdoors, Tennis Court/s, Gated Entry, Street Lights, Street Paved</t>
  </si>
  <si>
    <t>Whirlpool, Steam Shower, Double Sink</t>
  </si>
  <si>
    <t>Pond, Wooded</t>
  </si>
  <si>
    <t>Water, Parking, Common Insurance, Clubhouse, Pool, Exterior Maintenance, Lawn Care, Scavenger, Snow Removal, Internet Access</t>
  </si>
  <si>
    <t>Garage Door Opener(s), Tandem</t>
  </si>
  <si>
    <t>3% - $200 (on Gross SP)</t>
  </si>
  <si>
    <t>Sold Before Processing</t>
  </si>
  <si>
    <t>Romanelli &amp; Associates</t>
  </si>
  <si>
    <t>(630) 325-2133</t>
  </si>
  <si>
    <t>Donald Romanelli</t>
  </si>
  <si>
    <t>(630) 461-3999</t>
  </si>
  <si>
    <t>CLOSED BEFORE PROCESSING!</t>
  </si>
  <si>
    <t>SCHMALE RD S OF ARMY TR 2 STEVENSON E 2 HOME</t>
  </si>
  <si>
    <t>36X84</t>
  </si>
  <si>
    <t>A SPACIOUS DUPLEX DECORATED IN NEUTRAL DECOR. EAT IN KITCHEN THAT'S FULLY APPLIANCED. 1 CAR ATTACHED GARAGE.FULL SIZE WASHER AND DRYER IN SEPARATE LAUNDRY ROOM. FENCED YARD.LIGHT OAK KITCHEN CABINETS.</t>
  </si>
  <si>
    <t>2.5% MINUS $190 (on Net SP)</t>
  </si>
  <si>
    <t>Johnny Christensen</t>
  </si>
  <si>
    <t>(847) 956-0660x23</t>
  </si>
  <si>
    <t>burlington</t>
  </si>
  <si>
    <t>LISLE TOWN CENTRE</t>
  </si>
  <si>
    <t>OGDEN TO MAIN, S TO BURLINGTON, W TO BUILDING. ENTER ON BACKSIDE OF BUILDING.</t>
  </si>
  <si>
    <t>In the heart of downtown Lisle! A commuters dream! In the Lisle Town Center by Metra Train. You cannot beat this location. How about Raymeâ€™s? We are located right next to this great restaurant/bar. Live the lifestyle in the newest condo building Lisle has to offer and Reap the benefits of living in a hot location. Indoor Heated garage + big storage, In unit washer/dryer and Move-in condition, what more could you ask4</t>
  </si>
  <si>
    <t>Water, Common Insurance, TV/Cable, Exterior Maintenance, Lawn Care, Scavenger, Snow Removal, Internet Access</t>
  </si>
  <si>
    <t>call showing time 800-746-9464 unit is occupied</t>
  </si>
  <si>
    <t>heated indoor parking w storage look for #214 parking space from elevator go left in garage and look on left side. 40# pet weight and 2 pets max. Rentable building</t>
  </si>
  <si>
    <t>RT 12 TO RT 134, EAST TO NIPPERSINK, SOUTH TO TERRA SPRINGS DR., RIGHT ON TERRA SPRINGS CIR TO #</t>
  </si>
  <si>
    <t>TERRA SPRINGS TOWNHOME FEATURES TWO BEDROOMS, ONE FULL/ONE HALF BATH.  SPACIOUS KITCHEN WITH OAK CABINETS &amp; TRUE HARDWOOD FLOORING, ACCESS TO BALCONY.  MAIN LEVEL LIVING ROOM.  SECOND FLOOR OFFERS MASTER BEDROOM WITH WALK IN CLOSET, SECOND BEDROOM, SHARED FULL BATH.  ATTACHED TWO CAR GARAGE WITH STORAGE.  COMPLEX FEATURES CLUBHOUSE - CLOSE TO HWYS &amp; TRAIN.</t>
  </si>
  <si>
    <t>2.5% OF NET SALES PRICE -$100 (on Net SP)</t>
  </si>
  <si>
    <t>CALL OR TEXT LISTING AGENT 847-366-0217</t>
  </si>
  <si>
    <t>American Lighthouse Realty LLC</t>
  </si>
  <si>
    <t>(224) 372-7722</t>
  </si>
  <si>
    <t>Linda Mortensen</t>
  </si>
  <si>
    <t>(847) 366-0217</t>
  </si>
  <si>
    <t>WELL CARED FOR UNIT - MOVE IN READY - SHOW WITH CONFIDENCE - CHECK INTERNET http://www.terraspringsvolo.com/ FOR FURTHER INFO</t>
  </si>
  <si>
    <t>Main S of Roosevelt Rd to Rebecca W to Lore S</t>
  </si>
  <si>
    <t>Nicely updated rare split level condo. New carpet, freshly painted, new appliances, and recently renovated bathrooms. Beautiful view of courtyard from balcony with laundry in building and extra storage. Seller is motivated! Hurry to see this gem!</t>
  </si>
  <si>
    <t>Must have confirmed appt. Courtesy Key held down the street at Lombard Coldwell Banker can pick after confirmed appointment. Lots of new stuff here, show with confidence! Seller is motivated to sell.</t>
  </si>
  <si>
    <t>Weisbrook to Stonebridge W to Creekside</t>
  </si>
  <si>
    <t>Desirable and convenient first floor condo with pretty views with gorgeous new kitchen with beautiful cherry cabinets and ample counterspace, open to living room with cozy fireplace, updated bath, newly painted, new light fixtures, impeccable condition, move right in! Close to walking paths, parks, stream, great for nature lovers. Convenient location close to Cantigny golf course, and great for commuting.</t>
  </si>
  <si>
    <t>TEXT (STRONGLY PREFERRED) or call LA w Agent ID, date and time of showing, get quick confirmation</t>
  </si>
  <si>
    <t>TEXT (GREATLY PREFERRED) or call LA cell 630-710-7374 w Agent ID, Date and time of showing, get quick confirmation and combo, combo box hanging on hook under counter in lobby, please remove shoes, turn off all lights and lock all doors.</t>
  </si>
  <si>
    <t>Sand Lake Rd East of Grand Ave to Country Place, right to the end, left, Right to Right End Unit</t>
  </si>
  <si>
    <t>Prime End Unit location, just steps to Walking Trail. Two bedrooms, One Full Shared Bath. Open Living Room with fireplace and skylights. Kitchen with counter access to Eating Area. Great single floor living space. Laundry Room. Attached Two Car Garage. Private Patio. Great location with easy access to major highways and tollway. This unit is ready for its new owners.</t>
  </si>
  <si>
    <t>Eating Area, Utility Room-1st Floor</t>
  </si>
  <si>
    <t>2.5% -$100 ON NET SALES PRICE (on Net SP)</t>
  </si>
  <si>
    <t>KREAMER ESTATE</t>
  </si>
  <si>
    <t>ESTATE - NO DISCLOSURES.  SOLD AS IN.  PLEASE SHOW &amp; PRESENT YOUR OFFERS</t>
  </si>
  <si>
    <t>Mount Vernon</t>
  </si>
  <si>
    <t>Blanchard to Heritage Lakes, East to Mount Vernon</t>
  </si>
  <si>
    <t>Super sharp end unit! 2 bedrooms, 1.1 baths. Huge open grassy area! Garage! Hardwood flooring in kitchen, new windows, new hot water heater, finished basement with loads of storage! Swimming pool and clubhouse! Don't miss this!</t>
  </si>
  <si>
    <t>Call Showing Time @ 1.866.571.7181. Must have an appointment.</t>
  </si>
  <si>
    <t>No FHA and no rentals. Call Co-List Jodi @ 1.630.404.9387 w/questions. Do not call Listing Agent. See showing instructions below.</t>
  </si>
  <si>
    <t>Madison</t>
  </si>
  <si>
    <t>LA GRANGE RD TO COSSITT. GO WEST 1 BLOCK TO MADISON.  NORTH TO PROPERTY.</t>
  </si>
  <si>
    <t>WITHOUT EVEN CROSSING THE STREET:  Grab a coffee at Starbucks; household needs at Horton's Hardware; have your hair done and then meet friends for lunch on a lovely outdoor patio.   Later, catch co-workers for a microbrew before they take the 4 minute walk to the Metra... and then, meet your sweetheart for a movie before calling it a night.  LOCATION, LOCATION, LOCATION (plus attached garage and lots of storage)</t>
  </si>
  <si>
    <t>Coin Laundry, Storage, Security Door Locks, Curbs/Gutters, Sidewalks, Street Lights, Street Paved</t>
  </si>
  <si>
    <t>SHOWING ASSIST.  SHORT NOTICE OK.</t>
  </si>
  <si>
    <t>Eileen A Ellis</t>
  </si>
  <si>
    <t>(773) 787-6551</t>
  </si>
  <si>
    <t>773.787-6551</t>
  </si>
  <si>
    <t>REFRIGERATOR NOT INCLUDED.  OWNER CAN RENT; SOME RESTRICTIONS APPLY.</t>
  </si>
  <si>
    <t>Butterfield North of 60 to Greenleaf, E2 Dirksin, North 2 Stevenson Place</t>
  </si>
  <si>
    <t>Not a Foreclosure or Short Sale !  Best Price in subdivision. Neat &amp;  Clean similar models closed in $ 135,000 range.Great Price, some updating needed, but in overall good condition. Attached 1 car garage with storage area, newer Hot Water Heater Great Location close to shopping, restaurants, schools, park and pool. Best Deal in the area ! All Appliances included. In Unit Washer &amp; Dryer Stays ! Hurry it will NOT last</t>
  </si>
  <si>
    <t>2.5% - $ 250 (on Net SP)</t>
  </si>
  <si>
    <t>EZ to Show Call  1-855-746-9100</t>
  </si>
  <si>
    <t>John Worklan</t>
  </si>
  <si>
    <t>(847) 367-6560</t>
  </si>
  <si>
    <t>Vacant EZ to show ! Great Price, needs Kitchen and Baths updated but neat and clean ! Good Price being sold AS IS</t>
  </si>
  <si>
    <t>1S270</t>
  </si>
  <si>
    <t>ROOSEVELT TO ARDMORE, SOUTH TO UNIT</t>
  </si>
  <si>
    <t>1293 SF</t>
  </si>
  <si>
    <t>ESTATE SALE NOT A FORECLOSURE  TWO BEDROOM UNIT WITH FULL FINISHED BSMT IN BRANDYWINE. PRIVATE YARD. EAT IN KITCHEN . PROPERTY SOLD IN AS-IS CONDITION,</t>
  </si>
  <si>
    <t>Conventional, Owner May Help/Assist, Cash Only</t>
  </si>
  <si>
    <t>Click on showing link</t>
  </si>
  <si>
    <t>Affordable Real Estate, Inc.</t>
  </si>
  <si>
    <t>(630) 330-3701</t>
  </si>
  <si>
    <t>Jim Lewinski</t>
  </si>
  <si>
    <t>Subject to Court Approval. email all offers to list agent / earnest money certified funds only payable to Affordable Real Estate</t>
  </si>
  <si>
    <t>Sheffield</t>
  </si>
  <si>
    <t>Green Bay Rd &amp; Wadsworth West to Cambridge, North to Sheffield, Left to Number</t>
  </si>
  <si>
    <t>45 X 61</t>
  </si>
  <si>
    <t>55+ Gated, Private Community, w/club house, pool, &amp; amenities to enjoy. Courtyard configuration, covered front porch, end unit ensures privacy &amp; space. Open concept living, dining &amp; kitchen makes for easy conversation, entertaining, &amp; accessibility. Large owners bedroom w/ a walk in closet as well as a secondary full closet &amp; private 11x9 bath. Oak trim pkg, laundry room w/sink+cabinetry. Neutral &amp; move in condition.</t>
  </si>
  <si>
    <t>Exercise Room, On Site Manager/Engineer, Party Room, Pool-Outdoors, Curbs/Gutters, Gated Entry, Sidewalks, Street Lights, Street Paved</t>
  </si>
  <si>
    <t>CALL 855-746-9100, 3 HOUR NOTICE PLEASE</t>
  </si>
  <si>
    <t>Jeanne Brown, CSC,SFR</t>
  </si>
  <si>
    <t>(847) 367-6274</t>
  </si>
  <si>
    <t>847-778-6443</t>
  </si>
  <si>
    <t>Gant</t>
  </si>
  <si>
    <t>BARRINGTON RD TO SCHAUMUBRG RD WEST TO PARK N TO GANT</t>
  </si>
  <si>
    <t>Great opportunity to own this 2 bedroom 1 bath unit that features an open layout, private patio, 1 car garage and is just minutes from public transportation, expressways and shopping. TAXES 100%, Submit offers through HomePath  website, BUYER IS RESPONSIBLE FOR PREVIOUS 6 MONTHS HOA FEES, buyer is responsible for survey if required, buyer is responsible for any village required repairs.</t>
  </si>
  <si>
    <t>Painted Lakes</t>
  </si>
  <si>
    <t>83&amp;grass lake E to Painted Lakes  south to benton East to Winchester 2 Tyler Ct</t>
  </si>
  <si>
    <t>Pristine best describes this quality home. Desirable open floor plan with gleaming hardwood floors. Spacious livingroom with classy fireplace W/beautiful gas logs.  Upgrades cabinetry in the lovely kitchen with ample eating area. Upstairs are the bedrooms &amp; nicely sized loft area that can be an office, 2nd living area or easily converted to a 3rd bedroom. Convenient master bath, large storage room &amp; 2 car garage.</t>
  </si>
  <si>
    <t>Humidifier, TV-Dish, CO Detectors, Ceiling Fan</t>
  </si>
  <si>
    <t>Kat Becker, CSC</t>
  </si>
  <si>
    <t>(847) 489-0236</t>
  </si>
  <si>
    <t>847-489-0236</t>
  </si>
  <si>
    <t>This home is immaculate and loaded with upgrades...hardwood floors, custom fireplace, designer accent wall around fireplace, upgraded cabinetry, ceramic flooring, storage room and back yard patio.</t>
  </si>
  <si>
    <t>DAYBREAK</t>
  </si>
  <si>
    <t>OGDEN POINTE AT THE WHEATLANDS</t>
  </si>
  <si>
    <t>EOLA TO HAFENRICHTER, W TO BARRINGTON, LEFT TO DAYBREAK</t>
  </si>
  <si>
    <t>Spacious and bright end unit with 2 bedrooms, loft, private drive, 2 car garage and deck. Neutral decor with white trim and 6 panel doors. 42" kitchen cabinets.  Vaulted ceilings. Fireplace. Huge finished rec room on lower level with private full bath.  Walk in closet in master with private entry to full bathroom. New windowsSq ft includes lower level.  Close to elementary school.</t>
  </si>
  <si>
    <t>25X21</t>
  </si>
  <si>
    <t>Jodi Heifner-Divietro</t>
  </si>
  <si>
    <t>27w415</t>
  </si>
  <si>
    <t>Winfield Square</t>
  </si>
  <si>
    <t>Geneva to Winfield Road to Providence</t>
  </si>
  <si>
    <t>Beautiful Winfield Square town home - views of the lake/park. Freshly painted and new carpet throughout offering you a quick move-in! Modified floor plan with over sized master bedroom with a walk in closet plus a double closet. Fireplace in family room and eat in kitchen. 1 car garage! Great location near Central DuPage Hosp. and a few blocks to Metra. Easy access to I-88. Home Warranty included.</t>
  </si>
  <si>
    <t>Call 630-653-1900 Ext. 0 - after hours text 630-632-6182 with name/company/agent ID - day &amp; time</t>
  </si>
  <si>
    <t>Cheryl Shurtz, CNC,SRES</t>
  </si>
  <si>
    <t>(630) 868-6322</t>
  </si>
  <si>
    <t>Cell or Text 630-632-6182</t>
  </si>
  <si>
    <t>This is a very sharp unit backing to the pond and park. Not a  short sale or foreclosure. Estate - "Sold As Is" - believe all is in good condition. HVAC - 2003</t>
  </si>
  <si>
    <t>IRVING PARK TO PARK N TO CAMBRIDGE</t>
  </si>
  <si>
    <t>Gorgeous! This 2 bedroom end unit townhome has private location backs to woods. Neutral dÃ©cor &amp; freshly painted. Kitchen w/ granite, all appls stay. New ceramic tile flrs in kitchen &amp; baths.  Huge master bedroom w/vaulted ceiling &amp; walk in closet. 2 car garage.  1st flr laundry rm w/new washer/dryer. 2 story living rm, lots of natural light. Adjacent dining rm. Furnace/central air 2013. Bonus room for office/storage.</t>
  </si>
  <si>
    <t>Call showing assist, 855-746-9200</t>
  </si>
  <si>
    <t>Cheryi Gatti</t>
  </si>
  <si>
    <t>(630) 222-2445</t>
  </si>
  <si>
    <t>Shows great! quick close ok,  Normal sale.  email offer with preapproval to cheryi.gatti@cbexchange.com</t>
  </si>
  <si>
    <t>Cromwell</t>
  </si>
  <si>
    <t>Army Trail Road west of Rt 59 to Fairfax North to Cromwell Circle to 413 #4. Entrance on side.</t>
  </si>
  <si>
    <t>Wonderful 1st floor condo complete with new kitchen, new master bath, new carpet &amp; freshly painted! Classic cherry kitchen cabinets w/quartz counters &amp; tile back splash! Darling eating area w/updated lighting. Open floor plan w/bright living &amp; dining rooms, skylights &amp; sliding door to patio! Master bath is beautiful with crisp white vanities &amp; new fixtures! Move right in &amp; enjoy! Peaceful neighborhood &amp; location!</t>
  </si>
  <si>
    <t>HAWK HOLLOW ELEMENTARY SCHOOL</t>
  </si>
  <si>
    <t>2.5% -$225.00 (on Net SP)</t>
  </si>
  <si>
    <t>Call Showing Time 855-746-9200</t>
  </si>
  <si>
    <t>Caroline Starr</t>
  </si>
  <si>
    <t>(847) 222-8708</t>
  </si>
  <si>
    <t>847-890-8892 cell</t>
  </si>
  <si>
    <t>Rentals allowed, minimum 1 year leases.</t>
  </si>
  <si>
    <t>From Butterfield &amp; Route 60; S to Orleans Drive; West on Orleans to  1165</t>
  </si>
  <si>
    <t>Clean &amp; Fresh Second Floor Condo w/ Vaulted Ceilings, Carpet &amp; Plantation Style Wood Blinds in LR, Master &amp; 2nd BR and Ceramic Tile. Newer Refrigerator, Stove &amp; DW. Excellent Closet Space &amp; Storage, Direct Entry Ceramic Tiled Foyer to Attached Garage w/ Built-in Shelving. Close to Shopping, Trains &amp; Schools.  Ready for immediate occupancy!</t>
  </si>
  <si>
    <t>2.5% (-$295) (on Net SP)</t>
  </si>
  <si>
    <t>Call Showing Desk showing desk 866.852.8313</t>
  </si>
  <si>
    <t>Frank &amp; Kathy Ruder</t>
  </si>
  <si>
    <t>Marianne Fricke, e-PRO,GRI</t>
  </si>
  <si>
    <t>(847) 878-9733</t>
  </si>
  <si>
    <t>847.609.2323</t>
  </si>
  <si>
    <t>Foster Premier Management 847.459.1222</t>
  </si>
  <si>
    <t>IRVING PARK RD WEST OF BARRINGTON RD TO MCKOOL SOUTH</t>
  </si>
  <si>
    <t>GREAT 2 BEDROOM AND 1.5 BATHROOM TOWNHOUSE LOCATED IN CLOSE DISTANCE FROM  PARKS, SCHOOLS AND MAJOR INTERSTATES.</t>
  </si>
  <si>
    <t>Call LO @ (847)882 4855 after hours LA</t>
  </si>
  <si>
    <t>Aurelija Vaicekoniene</t>
  </si>
  <si>
    <t>(847)877 7003</t>
  </si>
  <si>
    <t>3S273</t>
  </si>
  <si>
    <t>Briarwood</t>
  </si>
  <si>
    <t>Butterfield to Twin Pines North to Briarwood Right</t>
  </si>
  <si>
    <t>ONE-OF-A-KIND townhome in Wheaton Schools. Living &amp; dining areas w/ open floor plan. Great kitchen layoutâ€“lots of work space and storage. Expansive master-suite w/ hardwood floors &amp; sliding doors to balcony w/exquisite woodland views. Upgraded bathrm. Direct garage access to family room, sliding doors to patio. MULTIPLE OFFERS RECEIVED. HIGHEST AND BEST TO BE SUBMITTED THURSDAY, 4/16/15. PLEASE EMAIL QUESTIONS/OFFERS</t>
  </si>
  <si>
    <t>Brown</t>
  </si>
  <si>
    <t>Kate Rizzo, SRS</t>
  </si>
  <si>
    <t>(630) 453-3473</t>
  </si>
  <si>
    <t>Great opportunity for rehab or someone looking to put in their own sweat equity. Property is sold AS-IS. Seller is offering up to 2k credit with full price offer!</t>
  </si>
  <si>
    <t>Murdstone</t>
  </si>
  <si>
    <t>COPPERFIELD</t>
  </si>
  <si>
    <t>OGDEN (RT34) TO BURLINGTON, SOUTH TO EAST AVE, TO MURDSTONE</t>
  </si>
  <si>
    <t>37X92</t>
  </si>
  <si>
    <t>BACKS TO WOODS-END UNIT W/BASEMENT~PRISTINE~Soaring 2Story GreatRm W/FP-Cpt 3Yrs~Skylights~AMAZING Upgrds-Kit redo 3 Yrs W/SSTL Appl-Granite-HWD-Brkfst Bar+Dinette Bay-Pantry~Central Vac~W&amp;D~Fin Bsmt Rec-BR3-Storage~CAC/Furnace7Yrs~EpoxyFlrGarage~Sump+Battery BackUp-1Yr~Master Whrlpl+Shower-Dbl Vanity~Vaulted BR2~WdBlinds Thruout~Enjoy HOT TUB On Deck &amp; SAUNA In Bsmt~Train/Shopping Nearby~OUTSTANDING FORMER MODEL</t>
  </si>
  <si>
    <t>BEEBE ELEMENTARY SCHOOL</t>
  </si>
  <si>
    <t>Eating Area, Exercise Room, Foyer, Recreation Room</t>
  </si>
  <si>
    <t>Humidifier, Central Vacuum, TV-Cable, Security System, CO Detectors, Ceiling Fan, Fan-Attic Exhaust, Sump Pump, Air Cleaner, Backup Sump Pump</t>
  </si>
  <si>
    <t>APPOINTMENT REQUIRED-EASY SHOW CALL LIST AGENT W/TIME-LEAVE NAME-COMPANY-ID-CELL PHONE-THEN PROCEED</t>
  </si>
  <si>
    <t>Michael Lovelace</t>
  </si>
  <si>
    <t>Sue Miller, ABR,CRS</t>
  </si>
  <si>
    <t>(630) 373-3870</t>
  </si>
  <si>
    <t>630-373-3870</t>
  </si>
  <si>
    <t>Includes 2 adjacent parcels 0808300065($21.94/yr) + 0808300030 $4,667.85/yr~HotTub &amp; Sauna in working order &amp; conveyed as-is. Assmt also includes monitored fire alarm &amp; unit insurance. Decorative FP, dehumidifier, &amp; refrig in bsmt remain</t>
  </si>
  <si>
    <t>Pembrook</t>
  </si>
  <si>
    <t>North Avenue to President, South to Pembrook</t>
  </si>
  <si>
    <t>Don't miss this stunning 2-story townhome with an open floor plan in the Wheaton School District #200. Huge living room opens to a private patio. Kitchen with pantry &amp; breakfast bar. Separate eating area. Dual master suites with full baths and closets. 2nd floor laundry. Newer flooring throughout. New appliances, water heater. Tons of storage. Low assessments. Close to bike path. Quiet cul-de-sac. A Must See!</t>
  </si>
  <si>
    <t>11X06</t>
  </si>
  <si>
    <t>Please schedule through ShowingAssist. Some notice required.</t>
  </si>
  <si>
    <t>120 to 59 North to Molidor Rd East to Remington North</t>
  </si>
  <si>
    <t>Very nice 2 bedroom, 2 bath spacious condo with 2 car garage, open layout with high ceiling and balcony off living space. Freshly painted and new carpeting. Newer kitchen and baths.</t>
  </si>
  <si>
    <t>Common Insurance, Exterior Maintenance, Lawn Care, Snow Removal, Other, None</t>
  </si>
  <si>
    <t>Please use Showing Assist link below</t>
  </si>
  <si>
    <t>Goldtree Realty</t>
  </si>
  <si>
    <t>Julian Taylor</t>
  </si>
  <si>
    <t>Candleridge</t>
  </si>
  <si>
    <t>Devon Ave to Newport to Candleridge.</t>
  </si>
  <si>
    <t>Great 2nd floor unit with fresh paint and new carpet, move in and enjoy! This property is eligible under the first look program thru 4/13/15. However property is being sold as is. Seller does not provide a survey, taxes are prorated at 100%. Buyer to assume results of village of Bartlett inspection and pay escrow if any. Earnest money must be a cashiers check only!</t>
  </si>
  <si>
    <t>Parking, Common Insurance, Lawn Care, Scavenger, Snow Removal</t>
  </si>
  <si>
    <t>Please call 877-977-1010 for showing apointments</t>
  </si>
  <si>
    <t>FMAC / Home Steps</t>
  </si>
  <si>
    <t>Please email all offers to Arcenio Salinas at Arcenio@crosstown-realty.com. Please submit FMAC required info with all initial offers, please check the MLS additional info tab for paperwork.</t>
  </si>
  <si>
    <t>KING DRIVE NORTH OR SOUTH TO 50TH. WEST SIDE OF PARKWAY.</t>
  </si>
  <si>
    <t>Gorgeous 2 bedroom 2 bath condo in vintage building with a loft feel and a front facing balcony.  Condo has been completely updated with beautiful hardwood floors, granite counter tops, fully decorated, all new stainless steel appliances including a built in wine cooler. New full size washer/dryer located inside unit.</t>
  </si>
  <si>
    <t>Oven/Range, Microwave, Dishwasher, Refrigerator, Washer, Dryer, All Stainless Steel Kitchen Appliances, Wine Cooler/Refrigerator</t>
  </si>
  <si>
    <t>Herb Carnell, GRI</t>
  </si>
  <si>
    <t>NORTH AVE TO JOHELIA TO JOREN TRAIL</t>
  </si>
  <si>
    <t>40X130</t>
  </si>
  <si>
    <t>SOLD AS IS CONDITION NEEDS WORK AND UPDATING . CASH OR CONSTRUCTION LOAN ONLY DUE TO CONDITION. NO HOA ! SELLER WILL NOT ORDER OR PAY FOR SURVEY OR ANY INSPECTIONS AND 100% TAX PRORATION. PRICED TO SELL CALL NOW. HAS DECK. BOTH BEDROOMS HAVE FULL BATHS. CASH ONLY OR CONSTRUCTION LOAN LIKE FHA 203 K.</t>
  </si>
  <si>
    <t>3 % (on Net SP)</t>
  </si>
  <si>
    <t>CALL L/O</t>
  </si>
  <si>
    <t>Dana Rigney</t>
  </si>
  <si>
    <t>(847) 204-3262</t>
  </si>
  <si>
    <t>CALL 847-395-3000 TO SET ALL APPOINTMENTS</t>
  </si>
  <si>
    <t>Centurion</t>
  </si>
  <si>
    <t>Hawthorn Parkway 2 Indianwood 2 Centurion Rt. 2 #</t>
  </si>
  <si>
    <t>Sought after third floor location with balcony.  All you have to do is move in.  Freshly painted and newer appliances.  Enjoy the pool and trails this summer in your new home.</t>
  </si>
  <si>
    <t>Pool-Outdoors, Sidewalks, Street Lights, Street Paved</t>
  </si>
  <si>
    <t>Oven-Double, Dishwasher, Refrigerator, Washer, Dryer</t>
  </si>
  <si>
    <t>2.5% -235 (on Net SP)</t>
  </si>
  <si>
    <t>Easy to show.  Use link or call LO.</t>
  </si>
  <si>
    <t>Elena Ford</t>
  </si>
  <si>
    <t>847-668-3885</t>
  </si>
  <si>
    <t>York to Brush Hill, West to Atrium Way, North to building</t>
  </si>
  <si>
    <t>What a nice place to call home.  This 2 bedroom, 2 bath extra large condo is ready for a new owner. Nice dining room, large closets and balcony with great views.   Many news include windows, furnace &amp; A.C.    Wonderful building with great amenities.</t>
  </si>
  <si>
    <t>24X5</t>
  </si>
  <si>
    <t>Elevator, Storage, Party Room, Sundeck, Pool-Indoors, Pool-Outdoors</t>
  </si>
  <si>
    <t>CALL OR TEXT JEN -24 HOURS PREFERRED 630-408-5809</t>
  </si>
  <si>
    <t>Jen Coyte, ABR</t>
  </si>
  <si>
    <t>(630) 408-5809</t>
  </si>
  <si>
    <t>THIS IS AN ESTATE. PROPERTY BEING SOLD AS-IS</t>
  </si>
  <si>
    <t>Grand Ridge</t>
  </si>
  <si>
    <t>Harvest Hills</t>
  </si>
  <si>
    <t>Rt 64 W of Randall Rd to Campton Hills to Tower Hill to Grand Ridge</t>
  </si>
  <si>
    <t>SAVANNA</t>
  </si>
  <si>
    <t>Hardwood floors in liv room, din room, half bth and kit! Fireplace! Loft overlooks 2 story liv room! Custom built-in shelving in liv room! All appliances stay! Rough-in for basement bath! Walk-out basement just waiting for your finishing touch!</t>
  </si>
  <si>
    <t>Water-Softener Owned, TV-Cable, Sump Pump, Air Exchanger, Radon Mitigation System(s)</t>
  </si>
  <si>
    <t>2.5% -399 (on Net SP)</t>
  </si>
  <si>
    <t>Please call owner Terry 630-234-5977</t>
  </si>
  <si>
    <t>Robert Stephens</t>
  </si>
  <si>
    <t>(630) 537-0297</t>
  </si>
  <si>
    <t>Send offers/contracts to info@hbochicago.com</t>
  </si>
  <si>
    <t>Jamey</t>
  </si>
  <si>
    <t>FARMWOOD ESTATES</t>
  </si>
  <si>
    <t>Lake St about a mile east of 355 / Rohlwing Rd, left on 8th, right on Jamey, home on the left side.</t>
  </si>
  <si>
    <t>29X92</t>
  </si>
  <si>
    <t>50+</t>
  </si>
  <si>
    <t>Completely renovated Townhome in coveted Farmwood Estates, shows and feels like a new home. Recently updated kitchen with all new cabinets, stainless steel appliances, countertops and beautiful backsplash. All 3 bathrooms have new ceramic tile floors, vanities and beautiful tile work. Large open lower level features gas fireplace beautifully appointed. Large finished basement space. Entire home is bright and neutral.</t>
  </si>
  <si>
    <t>Foyer, Loft, Recreation Room</t>
  </si>
  <si>
    <t>TV-Cable, Security System, CO Detectors, Ceiling Fan, Sump Pump, Backup Sump Pump</t>
  </si>
  <si>
    <t>Call or text Eddie at 847-372-0923.  Easy to show.</t>
  </si>
  <si>
    <t>Easy to Show - call or text Eddie at 847-372-0923.  All offers should be emailed to ENusinow@LucidRealty.com</t>
  </si>
  <si>
    <t>2S783</t>
  </si>
  <si>
    <t>WARRENVILLE LAKES</t>
  </si>
  <si>
    <t>Route 59 or 56 to Batavia Rd. to Grove.</t>
  </si>
  <si>
    <t>Beautifully Updated 2 Bedroom + Lrge Loft w/wet bar, End Unit Duplex!  2 Car Garage! WOW! One of the BEST locations in subdivision-backs to forest preserve located in back of complex, Very Quiet!, New Light Fixtures, All new light switched &amp; outlets, Updated baths, 2 Updated-FIREPLACES! Sliding Glass dr. to private back yard/patio. Freshly Painted-light &amp; bright! Huge Bedrooms w/Walk In closets! Quick Close Possible!</t>
  </si>
  <si>
    <t>Wood Burning, Gas Logs</t>
  </si>
  <si>
    <t>Call LA to Schedule</t>
  </si>
  <si>
    <t>Can close quick, Shows Wonderful, FHA approved.  Remove Shoes, wear booties, turn off lights, leave card and give feedback!  Attic has room for storage!</t>
  </si>
  <si>
    <t>LAKE STREET WEST OF ROSELLE ROAD TO RODENBURG, NORTH TO PRESCOTT,  WEST TO 1118.</t>
  </si>
  <si>
    <t>EFFINGHAM</t>
  </si>
  <si>
    <t>1st floor. Spacious 2 bedroom and 2 full bath unit in Waterbury  Condominium. 1200 Sq. ft. New Hardwood floor throughout, Kitchen with granite counter top, lots of cabinet space.  Bar counter, New dishwasher and hot water tank. Washer/Dryer in unit. Patio next to pond, Gorgeous  pond view. Central heating and A/C. Convenient location.</t>
  </si>
  <si>
    <t>Water, Parking, Exterior Maintenance, Snow Removal</t>
  </si>
  <si>
    <t>Call owner directly for an appointment @ 630-615-8951 and ask for David Yu.</t>
  </si>
  <si>
    <t>Lehigh Groups, LLC.</t>
  </si>
  <si>
    <t>630-615-8951</t>
  </si>
  <si>
    <t>Call owner directly for an appointment @ 630-615-8951 and ask for David Yu.  Fax or email offers to listing agent.  Listing company does not hold earnest money.</t>
  </si>
  <si>
    <t>MAIN ST., SOUTH OF 22ND, TO BUILDING</t>
  </si>
  <si>
    <t>NEW CARPET THROUGHOUT (2015). REMODELED KITCHEN FEATURES MAPLE CABINETS, GRANITE COUNTERS, SS APPLIANCES AND PANTRY. DARK WALNUT LAMINATE FLOORING IN KITCHEN &amp; DIN RM. LARGE SGD OFF LR/DR TO PATIO PLUS GREAT VIEW OF POND. MBR HAS 2 CLOSETS PLUS FULL BATH. ONE ASSIGNED SPACE PLUS GUEST PARKING. CONVENIENT IN-UNIT LAUNDRY WITH NEWER (6 MO) WASHER &amp; DRYER. GREAT LOCATION - JUST MINUTES FROM EXPRESSWAYS AND SHOPPING.</t>
  </si>
  <si>
    <t>RENTALS ARE NOT ALLOWED</t>
  </si>
  <si>
    <t>light</t>
  </si>
  <si>
    <t>RT 31 TO LIGHT RD TO COMPLEX</t>
  </si>
  <si>
    <t>UNIT READY TO MOVE IN WITH NEW CARPET, FRESHLY PAINTED, updated Bath and  kitchen, LAUNDRY RIGHT AT THE UNIT, DISTRICT 308 SCHOOLS, 2ND FLOOR UNIT, MAKE YOUR APPOINTMENT BEFORE IS GONE, NOT A FORCLOSURE OR SHORT SALE APPLIANCES ARE INCLUDED, NICE DECK OF THE LIVINGROOM.</t>
  </si>
  <si>
    <t>Heat, Water, Parking</t>
  </si>
  <si>
    <t>vacant use showing assist</t>
  </si>
  <si>
    <t>KETTLEY &amp; CO, REALTORS</t>
  </si>
  <si>
    <t>(630) 896-5000</t>
  </si>
  <si>
    <t>Mario Carrillo</t>
  </si>
  <si>
    <t>a great buy seller holds a Real Estate license in ILLINOIS</t>
  </si>
  <si>
    <t>Route 64 West of the river to 17th St to Indiana St East to Home</t>
  </si>
  <si>
    <t>Fannie Mae Homepath Property!  Cute 2 story condo located on the west side of St Charles.  New carpet and fresh paint!  Home features 2 bedrooms, 1.5 baths, Full finished basement, private balcony and entrance.  Please see attached docs prior to submitting offers on Homepath.  Room sizes are approx.</t>
  </si>
  <si>
    <t>Parking, Exterior Maintenance, Lawn Care</t>
  </si>
  <si>
    <t>CAPITAL ASSET GROUP REO TEAM</t>
  </si>
  <si>
    <t>Buyer is responsible for past 6 months HOA dues, late fees &amp; or special assessments.  Please see the attached docs. The seller has directed that all offers be made on Homepath.com.  Pre-approval/POF required with all offers.</t>
  </si>
  <si>
    <t>Braemoor</t>
  </si>
  <si>
    <t>Mistwood Sub. South of 31st on Highland. N of Ogden.</t>
  </si>
  <si>
    <t>Stunning prime pond locale in prestigious Mistwood. Luxury living w/open &amp; airy floor plan. Huge eat-in kit w/brand new granite &amp; SS appls, planning desk, sky lights &amp; clay tile flr. Vaulted ceils &amp; wood trim throughout. Enjoy your 2way FP in your LR w/french doors to balcony w/water views. MBR opens to gracious library retreat, 2way FP, bookshelves, lux bth w/sep shower, jet tub, doub sink. Entertain in huge loft.</t>
  </si>
  <si>
    <t>Oven/Range, Microwave, Dishwasher, Washer, Dryer, All Stainless Steel Kitchen Appliances</t>
  </si>
  <si>
    <t>Eating Area, Foyer, Library, Loft</t>
  </si>
  <si>
    <t>Many Newer Items! CAC -2yrs. Furnace &amp; HWH - 6yrs. Dryer -3yrs. Former model home.  3rd BR was converted into library retreat.  Designer home that brings the outside in!</t>
  </si>
  <si>
    <t>WEEPING WILLOW</t>
  </si>
  <si>
    <t>From 355: exit at Maple Ave and head West. Turn left on Benedictine and right on Weeping Willow Dr.</t>
  </si>
  <si>
    <t>TOWNHOME IN A POOL COMMUNITY W/PRIV ENTR.1ST FLOOR FEATURES HARDWOOD FLRS,KITCHEN W/OAK CABINETS,SS/BLK APPLIANCES,NEW CNTRTOPS,PANTRY,OPEN TO EATING AREA W/NEWER SGD TO DECK,ACCESS TO 1 CAR GAR,PWDR ROOM.LIVING ROOM OPEN TO EATING AREA,PERFECT FOR ENTERTAINING.2ND FLOOR FEATURES A MASTER BEDROOM WITH CLOSET SYSTEM,2ND BEDROOM &amp; FULL BATH.FIN BSMNT W/REC RM,LAUNDRY-W/D INCLD.NEWER FURN &amp; A/C.CLOSE TO CONVENIENCES.WOW</t>
  </si>
  <si>
    <t>21X9</t>
  </si>
  <si>
    <t>CALL/TEXT LA, 630-865-7196, 2 HR NTC, MUST CONFIRM.</t>
  </si>
  <si>
    <t>SCHAUMBURG RD, WEST OF BARRINGTON RD, TO EAST AVE S2 BUTTERNUT LN.</t>
  </si>
  <si>
    <t>UPDATED TOWNHOME BACKING TO BEAUTIFUL OPEN AREA. WOOD FLOOR ON 1ST LEVEL. KITCHEN HAS STAINLESS STEEL APPLIANCES.  VOLUME CEILINGS IN LIVING ROOM.  LARGE MASTER BEDROOM WITH WALK-IN CLOSET AND SHARED FULL BATH. TASTEFULLY DECORATED. BACKYARD PATIO OVERLOOKS OPEN AREA WITH WALKING PATHS, PLAYGROUNDS AND TENNIS COURT. ASSOCIATION FEE INCLUDES WATER &amp; OUTDOOR POOL. WALKING DISTANCE TO SCHOOLS.</t>
  </si>
  <si>
    <t>Water, Common Insurance, Pool, Lawn Care, Scavenger, Snow Removal</t>
  </si>
  <si>
    <t>2.5% -225.00 (on Net SP)</t>
  </si>
  <si>
    <t>Call ShowingTime for all appointments 1-855-746-9200</t>
  </si>
  <si>
    <t>Soon Cho</t>
  </si>
  <si>
    <t>(847) 420-3666</t>
  </si>
  <si>
    <t>Call showingTime for all appts. 1-855-746-9200.  Please Remove Shoes before Entering the Home. Turn off Lights and Lock the Doors when done Showing. Please leave a card and provide feedback</t>
  </si>
  <si>
    <t>PROSPECT TO WEST ON PARK</t>
  </si>
  <si>
    <t>BUILDERS OWN, LARGEST UNIT IN BUILDING! 2 CAR GARAGE!! SPACIOUS DECK OVERLOOKING QUAINT NEIGHBORHOOD. IN UNIT WASHER AND DRYER.  ALL NEW FLOORING, NEWER APPLIANCES, NEW GRANITE COUNTERTOPS, UPDATED BATHROOMS. NEW LIGHT FIXTURES THROUGHOUT.  LOADS OF IN UNIT STORAGE. FRESHLY PAINTED. DISTIRCT 181 AND 86 SCHOOLS. STEPS TO TOWN AND TRAIN. FANTASTIC LOCATION!!</t>
  </si>
  <si>
    <t>20X23</t>
  </si>
  <si>
    <t>CALL OR TEXT MEGAN 312-848-9370, OR TOM 312-848-9433</t>
  </si>
  <si>
    <t>Megan McCleary, CSC</t>
  </si>
  <si>
    <t>(630) 780-1913</t>
  </si>
  <si>
    <t>THIS IS THE LARGEST UNIT IN THE BLDG.- BUILDERS OWN. JUST UPDATED AND IN PRISTINE CONDITION! VERY SPACIOUS DECK. IN UNIT LAUNDRY.  GREAT STORAGE. HARD TO FIND 2 CAR GARAGE.</t>
  </si>
  <si>
    <t>OGDEN TO MILL-NORTH , TO 2ND DRIVE (ON EAST SIDE OF MILL)</t>
  </si>
  <si>
    <t>TOP FLOOR, NEWLY REHABILITATED, ALL NEW FLOOR, ALL NEW PAINT, NEW SS APPLIANCES, NEW CLOSET DOORS, LOTS OF NEW UPDATES, NICELY MAINTAINED COMPLEX WITH POOL, TENNIS, PLUS CLOSE TO DOWNTOWN NAPERVILLE.  GREAT DISTRICT 203 SCHOOLS.</t>
  </si>
  <si>
    <t>Text or call listing agent at 773-936-0706</t>
  </si>
  <si>
    <t>RT 34 (OGDEN AVE) TO LONG GROVE N TO VILLAGE GREEN W TO SHELLY/2ND BUILDING ON LEFT</t>
  </si>
  <si>
    <t>Nothing To Do But Move In! This Bright &amp; Airy Townhome Has Been Lovingly Taken Care Of. Home Features An Open Floor Plan With Two Bedrooms &amp; A Loft That Could Be Third Bedroom. Lower Level Can Be Used As Family Room, Office Or Playroom. Large Kitchen With Lots of Counter Space And Cabinets. Beautiful Remodeled Baths And Two Car Attached Garage. Close To Shopping, Expressways And Schools. District 204 Schools!</t>
  </si>
  <si>
    <t>L'Abri Realty &amp; Mgmt</t>
  </si>
  <si>
    <t>(630) 923-3223</t>
  </si>
  <si>
    <t>Victoria Sampah, ABR,CIPS,e-PRO,GRI,TRC</t>
  </si>
  <si>
    <t>Show With Confidence. Traditional Sale. Quick Close Possible. Rentals Not Allowed.</t>
  </si>
  <si>
    <t>Irving Pk. Rd. east of Roselle Rd. To Park south to parking behind building.</t>
  </si>
  <si>
    <t>***SIMPLY THE BEST*** Flawless kitchen with stainless appliances. Granite counter tops and HUGE granite breakfast bar with additional cabinets under. Glass back splash and cabinet with slide out drawers.Stone travertine counters and floors with marble accents in both baths. Solid wood doors. Ceiling fa Bamboo floors, large balcony.  Interior designed by custom home builder. When only the best will do then this is it.</t>
  </si>
  <si>
    <t>1.855.746.9100 1 hr. notice</t>
  </si>
  <si>
    <t>Joseph Salvato, CNC</t>
  </si>
  <si>
    <t>Parking has a tax of $172.96 a year. Also has a assoc.fee which is included in the association fee mentioned. Agent is related to seller.</t>
  </si>
  <si>
    <t>45 &amp; 83 E on 45 to Grosse Point Circle North to #</t>
  </si>
  <si>
    <t>Terrific 2 bedroom ** 2 bath ** 2nd floor Ranch-style townhome ** Stevenson High School District **  Hugh living room/dining room ** Vaulted Ceiling ** Fireplace ** Palladiun window **  Kitchen/eating area pantry ** Plenty of cabinets &amp; counter space ** Family room w/sliders to private balcony ** Vaulted Master Suite w/walk-in closet ** Master Bath w/Separate Shower &amp; Tub ** Close to neighborhood Park **Newer Carpet!</t>
  </si>
  <si>
    <t>Call 855-746-9200 or use showing assist</t>
  </si>
  <si>
    <t>Gina Collins, CSC</t>
  </si>
  <si>
    <t>(847) 990-3161</t>
  </si>
  <si>
    <t>8472122329 GinaCell</t>
  </si>
  <si>
    <t>93RD</t>
  </si>
  <si>
    <t>159th TO JEFFREY TO 93 RD EAST TO PROPERTY</t>
  </si>
  <si>
    <t>25X131</t>
  </si>
  <si>
    <t>GREAT BUY FOR THIS BRICK TOWNHOUSE, TENANT OCCUPIED, SUBJECT TO LEASE EXPIRES 03/16</t>
  </si>
  <si>
    <t>Provide POF w/ cash offers or Pre-approval financed deals. Email offer to rpchicago453@gmail.com. All offers must be submitted on seller's contract and offer disclosure must be included w/ all offers, download from additional information</t>
  </si>
  <si>
    <t>Sidney</t>
  </si>
  <si>
    <t>Glen Ellyn Rd N of North Ave to Sidney W2 home.</t>
  </si>
  <si>
    <t>Perfect property for investor or someone who wants to put some sweat equity into a home.  Needs lots of TLC and being sold "as is". Buyer will be responsible for Glendale Heights inspection. This is a step up to unit not a handicap entrance. This is not a foreclosure or short sale.</t>
  </si>
  <si>
    <t>Buyer will be responsible for Glendale Heights inspection and any bond that needs to be put up prior to closing. No FHA.</t>
  </si>
  <si>
    <t>Appaloosa</t>
  </si>
  <si>
    <t>RANCHVIEW</t>
  </si>
  <si>
    <t>75th east of Naper Blvd to Ranchview south to Appaloosa left to home</t>
  </si>
  <si>
    <t>65X58X65X59</t>
  </si>
  <si>
    <t>Quiet 2 bed end unit ranch home w attached 1 car garage has direct access off street&amp;affords 1 level living indoors&amp;out on west facing deck&amp;north facing covered porch.Vaulted,skylit ceiling in LR&amp;DR.Neutral paint&amp;newer window treatments throughout.Spacious master.Stainless appliances.Laundry/mechanicals in mud room.Low assessments.Home is immaculate,neutral&amp;minutes from all amenities,has easy access to I355/I55/I88.</t>
  </si>
  <si>
    <t>RANCH VIEW ELEMENTARY SCHOOL</t>
  </si>
  <si>
    <t>Courtesy call listing agent leave ID,phone,time of showing,then go,show,sell.Lights off lock up.</t>
  </si>
  <si>
    <t>Steve Grobl Real Estate</t>
  </si>
  <si>
    <t>(630) 357-3428</t>
  </si>
  <si>
    <t>Steve Grobl</t>
  </si>
  <si>
    <t>Decisive seller can make things happen.Not a ss/forec you will be paid a full cc.</t>
  </si>
  <si>
    <t>Top quality transformation of ranch TH w/full, finished basement. Brand new electric furnace &amp; central AC added! Kitchen features new SS appliances, granite counter-tops, 42" maple cabinets. Gleaming HDWD floors thruout main level. Main level bath completely redone; Amazing transformation of bsmt with rec room &amp; brand new bath w/walk-in shower. Entertainment-sized patio off kitchen.Close to major roadways &amp; shopping.</t>
  </si>
  <si>
    <t>30X10</t>
  </si>
  <si>
    <t>Kuminowski</t>
  </si>
  <si>
    <t>SHETLAND</t>
  </si>
  <si>
    <t>75 TO RANCHVIEW TO SHETLAND</t>
  </si>
  <si>
    <t>39X119X42X119</t>
  </si>
  <si>
    <t>CLEAN AS A WHISTLE AND READY FOR NEW OWNERS. 2 LARGE BEDROOMS W/WALK IN CLOSETS. NEW CARPET, NEW ROOF, NEW GARBAGE DISPOSAL AND FRESHLEY PAINTED. GREAT KITCHEN WITH EAT IN AREA, PLENTY OF CABINET SPACE AND SEPARATE PANTRY. **NO ASSESSMENTS**. SPACIOUS DINING AND LIVING ROOMS. OUTSIDE PATIO AND A 2 CAR GARAGE WITH EXTRA STORAGE SHELVES. ALL APPLIANCES INCLUDED. GREAT LOCATION.</t>
  </si>
  <si>
    <t>CALL CSS 877.977.1010 SHORT NOTICE OKAY</t>
  </si>
  <si>
    <t>VACANT BUT NEED TO REGISTER WITH CSS 877.977.1010. ALL AGENTS MUST BE ACCOMPANIED BY THEIR BUYERS AGENT.</t>
  </si>
  <si>
    <t>PRAIRIE PARK</t>
  </si>
  <si>
    <t>Rt 47 To Walnut E to Fremont S to Elm St E</t>
  </si>
  <si>
    <t>43X155</t>
  </si>
  <si>
    <t>IDEAL LOCATION in Heart of Yorkville! Desirable Ranch Duplex with Full Basement! This Charming Home is a Gardener's Delight with Fenced in Yard, Deck, Perennials, &amp; Flowering Trees, &amp; Vines.  Large Kitchen includes Movable Center Island. 1st FL Mud/Laundry Room, 2 Full Baths, All Appliances in Home are Included too!.  Estate Sale...Good Condition, but Selling AS IS...offering $2,000 Closing Cost Credit for Anything.</t>
  </si>
  <si>
    <t>Kelly Michelson</t>
  </si>
  <si>
    <t>(630) 551-1111</t>
  </si>
  <si>
    <t>630.551.1111</t>
  </si>
  <si>
    <t>Columbia</t>
  </si>
  <si>
    <t>Schick to Mayflower to Columbia</t>
  </si>
  <si>
    <t>Fantastic oversized ranch townhome style condo. Neutral decor, and extensive new pergo type flooring, volume ceilings, large bedrooms with oversized closets, large laundry and oversized side load end garage, private patio, quiet street, formal dining plus eat in kitchen, fireplace in sunny living room, rare private driveway, terrific location close to shopping, do nothing but move in and add your personal touches.</t>
  </si>
  <si>
    <t>Oven-Double, Dishwasher, Refrigerator, Disposal</t>
  </si>
  <si>
    <t>CSS 877-977-1010 short notice okay</t>
  </si>
  <si>
    <t>David Shallow</t>
  </si>
  <si>
    <t>(630) 615-2870</t>
  </si>
  <si>
    <t>Please remove shoes in bad weather. Lock all doors and turn off all lights. Download disclosures and realtor instructions. Earnest money via cashier's check only, with no exceptions.</t>
  </si>
  <si>
    <t>ANTIOCH MANOR</t>
  </si>
  <si>
    <t>83 &amp; North Ave W2 Johelia N2 Joren E2 #</t>
  </si>
  <si>
    <t>80X130</t>
  </si>
  <si>
    <t>1/2 Duplex with 2 Bedrooms and 2 full baths &amp; no assn fees. Great kitchen with plenty of cabinet space &amp; breakfast bar.  Freshly painted living room with fireplace. It also includes full basement that is carpeted and can easily be finished or used for a play area or storage. Sliding doors open to deck and fenced yard.  Close to town, shopping, schools, Metra and park!  We can close quickly &amp; make this your home today</t>
  </si>
  <si>
    <t>Fenced Yard, Park Adjacent, Pond</t>
  </si>
  <si>
    <t>Showingtime</t>
  </si>
  <si>
    <t>Grand Realty Group, Inc.</t>
  </si>
  <si>
    <t>(847) 223-0505</t>
  </si>
  <si>
    <t>Jim Cacioppo</t>
  </si>
  <si>
    <t>(847) 322-4407</t>
  </si>
  <si>
    <t>Hoffman</t>
  </si>
  <si>
    <t>Rt 34 to Waubonsee N to Hoffman W</t>
  </si>
  <si>
    <t>125X114X63</t>
  </si>
  <si>
    <t>accepted contract just waiting on signature. Move in ready 2BR, 1&amp;1/2 bath Duplex in Lakewood Springs. Private, fenced-in backyard with deck. 1 car attached garage. Great for starter home or someone looking to downsize. Subdivision offers pool and clubhouse. Home has been freshly painted. This is a Fannie Mae HomePath property. No personal property included.</t>
  </si>
  <si>
    <t>call centralized showing 877-977-1010</t>
  </si>
  <si>
    <t>ALL OFFERS MUST BE SUBMITTED USING THE HOMEPATH ONLINE OFFER SYSTEM - FOR MORE INFO. VISIT WWW.HOMEPATH.COM. PAPERWORK FOUND IN ADDITIONAL INFO. TO SUBMIT OFFER</t>
  </si>
  <si>
    <t>Park to Fawell, West to Ramblewood, Right at "V," 1st building on Right. 2nd floor condo on Right.</t>
  </si>
  <si>
    <t>Gorgeous turn-key Butterfield Manor condo! New "espresso" wide plank laminate floors thru-out are the backdrop to this freshly painted unit including ceilings, walls, closets &amp; cabinets. The kitchen has new counters, lighting, Kohler faucet, hardware, stove/range &amp; newer refrig &amp; DW. Windows, SGD &amp; A/C are also new. Laundry in unit. Large balcony for outdoor enjoyment. 1 car attached gar. Close to COD &amp; expressways.</t>
  </si>
  <si>
    <t>Lots of privacy on balcony when trees leaf out. This is not FHA approved. Owner must live in condo two years before renting. Only 22% of complex allowed to rent. At this time it is full. Move in fee is $350 w/$300 refundable after move in.</t>
  </si>
  <si>
    <t>I90/94 TO 75TH ST EAST TO CORNELL RIGHT TO ADDRESS</t>
  </si>
  <si>
    <t>2 Bedroom, 1 Bath 2nd Floor Condo unit  in a well maintained Brick Complex. Features Galley Kitchen and separate Dining Area. Sunny and bright. HUD owned Home. Sold "AS IS". Case #137-340562. Insured Status:  IE (Insured with Escrow). Escrow amount $440.</t>
  </si>
  <si>
    <t>Boat Dock, Curbs/Gutters, Gated Entry, Sidewalks</t>
  </si>
  <si>
    <t>To place Bid go to www.HUDHomestore.com. â€œEQUAL HOUSING OPPORTUNITYâ€. Subject to Condo Act.</t>
  </si>
  <si>
    <t>Frontage</t>
  </si>
  <si>
    <t>CREEKSIDE VILLAGE</t>
  </si>
  <si>
    <t>75TH to CLARENDON HILLS Rd SOUTH, TO NORTH FRONTAGE Rd, WEST to 332 FRONTAGE Rd.</t>
  </si>
  <si>
    <t>RECENTLY UPDATED SPACIOUS 2 BD/2BA CONDO;1ST FLOOR END UNIT. FEATURING BEAUTIFUL HARDWOOD FLOORS THROUGHOUT, GRANITE COUNTER TOPS, NEW CABINETS,BACKSPLASH TILE, STAINLESS APPLIANCES, UPDATED BATHS &amp; IN UNIT LAUNDRY. NEW GLASS DOOR, WALKS OUT TO YOUR OWN PRIVATE PATIO,WITH SERENE VIEWS OF MATURE TREES &amp; A SMALL CREEK. 1 CAR ATTACHED GARAGE. EXCELLENT HINSDALE SOUTH &amp; CASS SCHOOLS! EASY ACCESS TO EXPRESSWAY &amp; SHOPPING!</t>
  </si>
  <si>
    <t>Security Door Locks, Curbs/Gutters, Street Paved</t>
  </si>
  <si>
    <t>Common Grounds, Cul-de-sac, Landscaped Professionally, Stream, Wooded</t>
  </si>
  <si>
    <t>2.5% -$200 (ON NET SP) (on Net SP)</t>
  </si>
  <si>
    <t>PLEASE CALL LISTING AGENT. ALL APPOINTMENTS MUST BE CONFIRMED WITH 24 HOUR NOTICE.</t>
  </si>
  <si>
    <t>Chicago Apartment Finders</t>
  </si>
  <si>
    <t>(773) 435-5608</t>
  </si>
  <si>
    <t>Maryann Tesinsky</t>
  </si>
  <si>
    <t>(312) 203-0299</t>
  </si>
  <si>
    <t>312-203-0299</t>
  </si>
  <si>
    <t>THORNDALE W TO PARK S TO MILLERS CROSSING TO  WILDSPRING</t>
  </si>
  <si>
    <t>DARTMOOR</t>
  </si>
  <si>
    <t>Private end unit, one story  townhouse  w/pond views. Updated throughout. Newer  eat-in kitchen w/42' cabinets, SS appliances, large bath w/double sink and soaking tub. Nice size master bedroom with organized  walk-in closet . Living room with vaulted ceiling &amp; built-in 60' LCD TV that stays, upgraded lighting, beautiful hardwood floors . 2 car heated garage, laundry room. Highly rated schools. Home Warranty provided</t>
  </si>
  <si>
    <t>use showing assist below</t>
  </si>
  <si>
    <t>Kinga Korpacz, SRS</t>
  </si>
  <si>
    <t>(773) 250-7410</t>
  </si>
  <si>
    <t>www.KingaOnline.com</t>
  </si>
  <si>
    <t>Built in TV stays with unit.</t>
  </si>
  <si>
    <t>L205</t>
  </si>
  <si>
    <t>WESTBROOK WEST</t>
  </si>
  <si>
    <t>Ogden Ave to Saratoga North to 1st ent past the bank go left &amp; follow road to the 2nd Bldg L</t>
  </si>
  <si>
    <t>Charming well maintained 2 BR, 1.1 BA condo w/courtyard view!!  Newers include: windows, carpet, Kit w/corian top, custom maple cabs, all appls, balcony, paint &amp; wall unit air conditioner.  2nd fl unit very close to the stairs &amp; elevator.  Nice size storage unit, Ldy &amp; elevator in the bldg. Low taxes. Very convenient 1 C Garage space (has own pin #/low tax bill).  Complex has great pool.  Parking lot to be redone!</t>
  </si>
  <si>
    <t>Electric, Hot Water/Steam, Baseboard</t>
  </si>
  <si>
    <t>Call LAG 630-202-1678.  Easy to show</t>
  </si>
  <si>
    <t>630-202-1678</t>
  </si>
  <si>
    <t>Laura Marquardt</t>
  </si>
  <si>
    <t>(630) 202-1678</t>
  </si>
  <si>
    <t>Completely Remodeled townhome with Hardwood Floors throughout.  All appliances included, Full Finished Basement. End Unit with No Association Fees. Fully Compliant with all  Village of Bellwood code requirements. All new plumbing. Reserved Parking spot, Must See to appreciate.  Close to highways, Schools, and Shopping. Vacant and easy to show.  Also Available to rent with option to buy.</t>
  </si>
  <si>
    <t>CALL LA,LO, VACANT</t>
  </si>
  <si>
    <t>847-275-4771</t>
  </si>
  <si>
    <t>ESAY SHOW,EASY SELL</t>
  </si>
  <si>
    <t>SERENITY</t>
  </si>
  <si>
    <t>RT. 59 S. to 95th, W. to Reflections, S. to Serenity,  W. to home</t>
  </si>
  <si>
    <t>Gorgeous townhouse in sought after Signature Club!  Close to Rt. 59 shopping, library, great location!  Fabulous floorplan with finished basement!</t>
  </si>
  <si>
    <t>Oven/Range, Microwave, Dishwasher, Refrigerator, Disposal, All Stainless Steel Kitchen Appliances, Wine Cooler/Refrigerator</t>
  </si>
  <si>
    <t>Central Vacuum, TV-Cable, Ceiling Fan, Sump Pump</t>
  </si>
  <si>
    <t>call B&amp;W appt. center (855)746-9100</t>
  </si>
  <si>
    <t>Debbie Law, CSC</t>
  </si>
  <si>
    <t>(630) 267-3399</t>
  </si>
  <si>
    <t>sold before processing</t>
  </si>
  <si>
    <t>Wilson</t>
  </si>
  <si>
    <t>Westmore/Meyers to Wilson east to home</t>
  </si>
  <si>
    <t>THIS WELL-MAINTAINED 2 BEDROOM 2-1/2 BATH HAS EVERYTHING YOU NEED! New dishwasher, carpet, freshly painted throughout, updated lighting, new stove and faucets w/new tile flr in ldy. Eat-in kitchen. Full bath in 2 BR's. Vaulted master suite with double closets. First floor has 9' ceilings with sliding doors to patio. Furnace, 3 yrs. New gar opener,'15. Newer A/C &amp; HWH. Great location! Near parks, schools and shopping.</t>
  </si>
  <si>
    <t>Frederick and Nancy Kemph</t>
  </si>
  <si>
    <t>Rich Stringini</t>
  </si>
  <si>
    <t>(630) 263-4059</t>
  </si>
  <si>
    <t>Vaulted/cathedral ceilings, 2nd floor laundry, private entrance, patio, ceiling fan</t>
  </si>
  <si>
    <t>73rd</t>
  </si>
  <si>
    <t>75TH TO FAIRVIEW, N TO ENTRANCE, R TO 73RD</t>
  </si>
  <si>
    <t>Sold before processing.</t>
  </si>
  <si>
    <t>Bike Room/Bike Trails, Coin Laundry, Storage, Party Room, Pool-Outdoors, Security Door Locks, Tennis Court/s, Curbs/Gutters, Sidewalks, Street Lights, Street Paved</t>
  </si>
  <si>
    <t>Contact Trudy 708-828-6065</t>
  </si>
  <si>
    <t>Trudy Roznos</t>
  </si>
  <si>
    <t>(708) 828-6065</t>
  </si>
  <si>
    <t>Sold before processing</t>
  </si>
  <si>
    <t>Belmont Woods</t>
  </si>
  <si>
    <t>55th or Maple to Belmont North to Ashley Ct</t>
  </si>
  <si>
    <t>25.67X66.42X25.41X66.15</t>
  </si>
  <si>
    <t>Great floor plan with hardwood floors on 1st floor, spacious kitchen with table room and island. Large foyer, formal dining room and two story living room.Loft overlooking first floor. Sliding doors to private deck. Spacious master with walk-in closet and separate tub and shower and two sinks. Full unfinished basement with laundry &amp; roughed-in bath Attached 2 car garage.Located close to train, shopping &amp; expressways</t>
  </si>
  <si>
    <t>HENRY PUFFER SCHOOL</t>
  </si>
  <si>
    <t>Phillip L Bowers, BPOR,SFR</t>
  </si>
  <si>
    <t>(630) 886-4229</t>
  </si>
  <si>
    <t>630.886.4229</t>
  </si>
  <si>
    <t>New stainless steel refrigeraton being installed. New toilet seat in powder room being installed.  Buyers agent must accompany all buyers to showings.</t>
  </si>
  <si>
    <t>Rt 83 &amp; Rt 173, W. on 173 to Tiffany, N. on Tiffany to house number</t>
  </si>
  <si>
    <t>DESIRABLE END UNIT IN TIFFANY COURT*THIS 2 BEDROOM TOWNHOME IS MOVE-IN READY*MAIN LEVEL HAS SPACIOUS EAT-IN KITCHEN WITH SLIDERS TO YOUR PRIVATE BALCONY, LARGE LIVING ROOM &amp; DINING ROOM WITH OVERSIZED WINDOWS AND HALF BATH*UPPER LEVEL HAS 2 GENEROUS BEDROOMS AND LOFT THAT COULD BE POSSIBLY BE CONVERTED TO A 3RD BEDROOM/OFFICE AND FULL BATH*2 CAR GARAGE*LOTS OF STORAGE*THIS UNIT WILL NOT LAST LONG*CLOSE TO SHOPPING*</t>
  </si>
  <si>
    <t>TEXT LA!  262.492.5708 EASY SHOW!</t>
  </si>
  <si>
    <t>Front Gate Real Estate, INC</t>
  </si>
  <si>
    <t>(224) 801-4283</t>
  </si>
  <si>
    <t>Scott Eberle</t>
  </si>
  <si>
    <t>(262) 492-5708</t>
  </si>
  <si>
    <t>THIS IS A BEAUTIFUL END UNIT.  NON SMOKERS AND THEY HAVE NEVER HAD PETS..EMAIL ALL OFFERS TO ScottEberleSells@gmail.com</t>
  </si>
  <si>
    <t>Arboretum Park</t>
  </si>
  <si>
    <t>Finley to 22nd E to Edson South to Gazebo</t>
  </si>
  <si>
    <t>Truly an amazing location backing to the open area of Arboretum Park! Enjoy this ranch home. Simple, first floor living without stairs! Light and bright throughout this home. Spacious master with walk in closet. Second bedroom with access to patio. Kitchen with breakfast bar, separate eating area and open view to living room. Washer &amp; Dryer in unit. Freshly painted. This is an estate sale and being sold as is.</t>
  </si>
  <si>
    <t>Barbara A. Campenella Trust</t>
  </si>
  <si>
    <t>847-352-5200</t>
  </si>
  <si>
    <t>Elizabeth Bos, ABR,BPOR,CNC,SFR</t>
  </si>
  <si>
    <t>(630) 768-1508</t>
  </si>
  <si>
    <t>112N</t>
  </si>
  <si>
    <t>HWY 294-W/Butterfield Road to home~South side of street (East Prospect Ave. &amp; W/York Road by Euclid</t>
  </si>
  <si>
    <t>This captivating condo nestled in Elmhurst is a must see! Home boasts formal living and dining rooms, roomy kitchen with ample workspace, 2 bedrooms, 2 bathrooms, patio and an exterior parking space! Condo amenities: pool, meet room. Home is located close to transportation, schools and shopping. This is a Fannie Mae property. Multiple offers, Highest &amp; Best due 4/8/15; 9:00 AM.</t>
  </si>
  <si>
    <t>Click on Schedule a Showing icon below</t>
  </si>
  <si>
    <t>Donald Wagner GRI</t>
  </si>
  <si>
    <t>E-mail offer w/POF:caseywagner@sbcglobal.net (ENTER OFFER &amp; address on subj. line)or FAX:708-544-3550. Taxes prorated at 100%.Buyer responsible for any/all inspect, village escrows &amp; repairs.Realty transfer taxes responsibility purchaser.</t>
  </si>
  <si>
    <t>134 W OF FAIRFIELD 2 W FOX TRL S2 REMINGTON LANE</t>
  </si>
  <si>
    <t>STRATTON "C"</t>
  </si>
  <si>
    <t>Get here now~don't wait! This stunning/spacious TH is priced 2 sell fast! Serene wooded views await you. Original owners spared no expense on upgrades! Cherry cabs~Corian c-tops~Whirlpool appls~architectural details/built ins &amp; more! Brand new carpet on main/2nd levels. Luxurious MB suite! Finished LL adds to your living space &amp; offers storage galore! Front courtyard &amp; rear deck - perfect for outdoor enjoyment! Hurry</t>
  </si>
  <si>
    <t>VILLAGE ELEMENTARY SCHOOL</t>
  </si>
  <si>
    <t>24X17</t>
  </si>
  <si>
    <t>Foyer, Recreation Room, Storage, Walk In Closet</t>
  </si>
  <si>
    <t>CALL L/O FOR LOCK BOX</t>
  </si>
  <si>
    <t>Sundance Real Estate LLC</t>
  </si>
  <si>
    <t>(847) 548-7700</t>
  </si>
  <si>
    <t>Jack Johnson</t>
  </si>
  <si>
    <t>Coronado</t>
  </si>
  <si>
    <t>Sierra Ridge</t>
  </si>
  <si>
    <t>Randall RD to College Greene E to Mesa S to Coronado Ct W</t>
  </si>
  <si>
    <t>AZTEC</t>
  </si>
  <si>
    <t>Clean Clean Clean is how I would describe this unit. Cute as a button. 1170 SQ/FT ranch townhouse end unit on a cul-de-sac. Terrific location with private walk way in the back. Master bath with large walk in closet. Kitchen has sliding glass doors to lovely back yard. Walk to major shopping.</t>
  </si>
  <si>
    <t>2.5% - $199 (on Net SP)</t>
  </si>
  <si>
    <t>Vacant. Schedule through showing assist. Combo.</t>
  </si>
  <si>
    <t>William F. Crane</t>
  </si>
  <si>
    <t>(847) 658-7555</t>
  </si>
  <si>
    <t>Mark Dante</t>
  </si>
  <si>
    <t>(847) 420-1056</t>
  </si>
  <si>
    <t>Regular sale. No rentals allowed.</t>
  </si>
  <si>
    <t>BUCKERIDGE</t>
  </si>
  <si>
    <t>132 &amp; DILLEYS N2 LAWSON, W2 DELAWARE, S TO BUCKERIDGE</t>
  </si>
  <si>
    <t>28X60</t>
  </si>
  <si>
    <t>APPEALING GURNEE TOWNHOME NEAR EVERYTHING! ENJOY THE CLOSE PROXIMITY OF SHOPPING, DINING &amp; EXPRESSWAY. COMFORTABLE LIVING ROOM W/GAS START FP &amp; GLASS SLIDER TO PATIO. BRIGHT KITCHEN &amp; EATING AREA W/FLOOR TO CEILING WINDOWS. 1ST FLOOR POWDER ROOM &amp; LAUNDRY ROOM. HUGE MASTER BEDROOM W/DUAL CLOSETS &amp; PRIVATE BATHROOM. +1 FAM/GUEST BR W/WALL CLOSET. SPACIOUS LOFT, GREAT FOR A HOME OFFICE! AVAILABLE NOW!</t>
  </si>
  <si>
    <t>Common Grounds, Cul-de-sac, Landscaped Professionally, Park Adjacent</t>
  </si>
  <si>
    <t>DISCLOSURES IN MLS.</t>
  </si>
  <si>
    <t>Montrose</t>
  </si>
  <si>
    <t>WHISPERING OAKS</t>
  </si>
  <si>
    <t>83 S OF IRVING &amp; n or Sherwood/grove 2 JONTROSE W TO 480</t>
  </si>
  <si>
    <t>Beautiful, spacious and bright condo in whispering Oaks. 2 BR - 2BA with in-unit laundry. Living Room with private balcony, Dining Room and eat in Kitchen. Storage, underground heated garage parking plus 1 assigned outdoor space.  Convenient location, close to train &amp; expressway. Spotless and move-in ready.</t>
  </si>
  <si>
    <t>Sentrilock inside the main door to the right</t>
  </si>
  <si>
    <t>Manju Naha, CSC</t>
  </si>
  <si>
    <t>(630) 586-7981</t>
  </si>
  <si>
    <t>Front entrance is being retiled. New carpet to be installed in the Living Room on April 20th. Buyer may choose the color of the carpet if they wish.</t>
  </si>
  <si>
    <t>D4</t>
  </si>
  <si>
    <t>From Irving take Lawrence to Plum Grv N--From Nerge take Plum Grove S--Yosemite E</t>
  </si>
  <si>
    <t>2ND FLR RANCH</t>
  </si>
  <si>
    <t>SPACIOUS 2ND FLR UNIT WITH BEAUTIFUL POND VIEW &amp; LGE BALCONY OVERLOOKING TRANQUIL NATURE VIEWS.  EAT IN KIT WITH WALK IN PANTRY PLUS FORMAL DR. DOUBLE DOORS TO BALCONY. 2 FULL BTHS. ROOMY MSTR BTH WITH LGE WALK-IN CLOSET &amp; FULL BTH.  IN UNIT LDRY. ATTACHED PRIVATE GARAGE. SERENE WALKING TRAILS WIND AROUND PONDS FOUNTAIN TREES &amp; WATERFALL.  EZ ACCESS TO EVERYTHING LOCATION.</t>
  </si>
  <si>
    <t>use SHOWING ASSIST link</t>
  </si>
  <si>
    <t>Lester S.</t>
  </si>
  <si>
    <t>(630) 207-2532</t>
  </si>
  <si>
    <t>ADAMS</t>
  </si>
  <si>
    <t>IRVING PARK RD E. OF RT. 59 TO MADISON N. TO STREAMWOOD BLVD E. TO ADAMS CT. N.</t>
  </si>
  <si>
    <t>MEDINAH</t>
  </si>
  <si>
    <t>COMPLETELY UPDATED 2 BR END-UNIT RANCH IN QUIET CUL-DU-SAC LOCATION!  ALL STAINLESS STEEL APPLIANCES, NEW CABINETS, NEW LAMINATE FLOORING IN KITCHEN WITH EAT-IN-AREA.  NEW CARPET / NEW DOORS / NEW SLIDING PATIO EXITING TO OPEN COURTYARD.  BATHROOM COMPLETELY UPDATED / MASTER BEDROOM FEATURES MINI WALK-IN + 2ND CLOSET.  NEW IN-UNIT WASHER / DRYER / NEW HW TANK / FURNACE 2010.  ALL OFFERS CONSIDERED- WONT LAST LONG!!</t>
  </si>
  <si>
    <t>Common Grounds, Cul-de-sac, Wooded, Rear of Lot</t>
  </si>
  <si>
    <t>Easy to show.  Use Showing Assist</t>
  </si>
  <si>
    <t>3 Sixty Properties, Inc.</t>
  </si>
  <si>
    <t>(847) 895-9595</t>
  </si>
  <si>
    <t>Kostas Giannikoulis</t>
  </si>
  <si>
    <t>(224) 402-9555</t>
  </si>
  <si>
    <t>Easy to show.  Property has been completely updated.  Quick closing preferred!  Agent related to one of the Sellers.</t>
  </si>
  <si>
    <t>E ON IRVING FROM SUTTON N ON MADISON E STRMWD N ON ADAM</t>
  </si>
  <si>
    <t>You've been "fore" warned...don't miss it! Great home-great location! 2 BR, 2 bath townhome ready to move right in. Spacious sun-drenched LR w/vaulted ceiling, c.fan &amp; large balcony overlooking the golf course, pond &amp; wetlands! Large eat-in kitchen w/new stove,microwave &amp; newer fridge too! MBR w/bath access &amp; lots of closet space. Freshly painted-neutral decor. Close to shops, expressways, park, golf &amp; restaurants!!</t>
  </si>
  <si>
    <t>Golf Course Lot, Nature Preserve Adjacent, Wetlands Adjacent, Landscaped Professionally</t>
  </si>
  <si>
    <t>Call LO 847-577-9797 x0</t>
  </si>
  <si>
    <t>(847) 577-9797</t>
  </si>
  <si>
    <t>Susan Pickard, ABR,CNC,CRS,GRI,SRES</t>
  </si>
  <si>
    <t>(847) 955-9290</t>
  </si>
  <si>
    <t>Irving Park to East Ave North to King West to home</t>
  </si>
  <si>
    <t>4500 SQ FT</t>
  </si>
  <si>
    <t>Nice two story TH with premium location Backing to lake with great views from your deck. Home features:  Cathedral ceiling in LR, MBR with vaulted ceiling-vanity w/sink-good size walk-in closet, Second BR has vaulted ceiling, upstairs bath with skylite, and newer Furnace. This is a great value and it is not a foreclosure or short sale. No exemptions on RE taxes</t>
  </si>
  <si>
    <t>call 1-855-746-9100 for appointment</t>
  </si>
  <si>
    <t>Ronald Dutner</t>
  </si>
  <si>
    <t>(847) 923-6925</t>
  </si>
  <si>
    <t>847-899-7888 cell</t>
  </si>
  <si>
    <t>SHOW FOR BACK UP OFFERS ONLY.  Your buyer will love the views from the rear deck.</t>
  </si>
  <si>
    <t>70th Place Between Crandon and Oglesby</t>
  </si>
  <si>
    <t>Bank owned REO selling "as-is". 2/2 condo in gated, courtyard community. Walking distance to the lakefront &amp; shopping. Hrwd floors, in-unit laundry.</t>
  </si>
  <si>
    <t>Gas, Indv Controls</t>
  </si>
  <si>
    <t>REO - BANK OWNED PROPERTY SOLD â€œAS ISâ€ WITHOUT REPAIR, WARRANTY, OR SELLER DISCLOSURE. Listing Broker &amp; Seller assume no responsibility &amp; make no guarantees, warranties, or representations.</t>
  </si>
  <si>
    <t>Pershing</t>
  </si>
  <si>
    <t>SE corner of Pershing Rd &amp; Western</t>
  </si>
  <si>
    <t>McKinley Park Lofts split 2 bedroom, 2 bath. Freshly rehabbed for immediate move in. Light, bright, lots of storage. Stainless Steel appliances,  granite and parking. Popular building with fitness room, party room &amp; on site manager. Across from McKinley Park with pool and ice rink, orange line,  I55 close by. This is a Fannie Mae HomePath property. State Statute applies. VERIFY ALL INFO.</t>
  </si>
  <si>
    <t>Water, Common Insurance, Security System, Lawn Care, Scavenger</t>
  </si>
  <si>
    <t>See showing Assist</t>
  </si>
  <si>
    <t>Liz Dudeck &amp; Assoc.</t>
  </si>
  <si>
    <t>(773) 509-0199</t>
  </si>
  <si>
    <t>Elizabeth Dudeck</t>
  </si>
  <si>
    <t>Direct all offers to WWW.HOMEPATH.COM - review directions and guidelines on the site - as is sale - no representations or warranties  provided by seller or agent - sale subject to IL Condo Act regarding assessments and fees - Email Agent</t>
  </si>
  <si>
    <t>HILLSBORO</t>
  </si>
  <si>
    <t>Washington Square</t>
  </si>
  <si>
    <t>Eola to Hafenrichter, East to Barrington, South to Hillsboro, West to HILLSBORO CT-RT</t>
  </si>
  <si>
    <t>GARFIELD PLUS EXTENDED FR</t>
  </si>
  <si>
    <t>SPECTACULAR GARFIELD MODEL WITH EXTENDED 2ND FLOOR 20x17 FAM RM-RARE MODEL! 1814 SQFT PER APPRAISER! ENTIRE INTERIOR FRESHLY PAINTED! BRAND NEW CARPET &amp; PAD! ALL NEW STAINLESS APPLIANCES! FRESHLY REFINISHED HARDWD FLOORS LR, DR, KITCHEN! BRAND NEW 13" CERAMIC TILE IN UPSTAIRS BATHROOMS! NEW VANITY IN 2ND BATH! ALL NEW COMMODES! FIREPLACE IN LR! DR HAS SGL DOORS TO PATIO! 42" MAPLE CABS IN KIT! 2 CAR GARAGE! WARRANTY!</t>
  </si>
  <si>
    <t>CLICK ON "SCHEDULE A SHOWING"- MUST HAVE AN APPT</t>
  </si>
  <si>
    <t>Rozanski Realty</t>
  </si>
  <si>
    <t>(630) 904-8438</t>
  </si>
  <si>
    <t>Joe Rozanski</t>
  </si>
  <si>
    <t>Quick Closing Possible</t>
  </si>
  <si>
    <t>Lootens</t>
  </si>
  <si>
    <t>randall to main, east to pitz, north to 1st, east to lootens</t>
  </si>
  <si>
    <t>So much for the money along with unbeatable and convenient location!  1/2 duplex with 2 car garage, large backyard, upgraded kitchen with SS appliances, brand new stove, vaulted ceilings in master bedroom, full basement, 2 blocks to park and BHS, washer and dryer included as well!</t>
  </si>
  <si>
    <t>Closing, Negotiable, Specific Date</t>
  </si>
  <si>
    <t>please call 800-746-9464 to schedule showings.  No notice required.</t>
  </si>
  <si>
    <t>Chicagoland Leasing &amp; Mgmt</t>
  </si>
  <si>
    <t>(866) 702-3838</t>
  </si>
  <si>
    <t>Andrew Starck</t>
  </si>
  <si>
    <t>(630) 699-8199</t>
  </si>
  <si>
    <t>WASHINGTON SOUTH OF 75TH TO BAILEY (E) TO COMPLEX</t>
  </si>
  <si>
    <t>SPARKLING TOP FLOOR UNIT WITH MANY RECENT UPGRADES WHICH INCLUDE THE KITCHEN, BATHROOMS, WINDOWS, DOORS, FLOORING AND MORE!  IMMEDIATE OCCUPANCY IS AVAILABLE, JUST MOVE IN AND ENJOY!</t>
  </si>
  <si>
    <t>Heat, Water, Parking, Common Insurance, Clubhouse, Exercise Facilities, Pool, Exterior Maintenance, Lawn Care, Snow Removal</t>
  </si>
  <si>
    <t>60 Amp Service</t>
  </si>
  <si>
    <t>Gary Leavenworth</t>
  </si>
  <si>
    <t>(630) 420-1565</t>
  </si>
  <si>
    <t>SUPER SHARP UNIT IS READY FOR IMMEDIATE CLOSE</t>
  </si>
  <si>
    <t>Wheaton Oaks</t>
  </si>
  <si>
    <t>Main St to Harrison-west to Gary-north to Prairie-west to Wheaton Oaks-W to Shagbark north to 1326</t>
  </si>
  <si>
    <t>2 STORY TH</t>
  </si>
  <si>
    <t>22X113X22X114</t>
  </si>
  <si>
    <t>Move in condition- Backs to Woods! Impeccably maintained- Newer windows, kitchen and baths- Mechanicals updated- 2nd floor loft could be converted into 3rd BR- Opened up Kitchen floor plan- HW floors - 1st floor- 1st floor washer/dryer- Great Storage.</t>
  </si>
  <si>
    <t>SANDBURG ELEMENTARY SCHOOL</t>
  </si>
  <si>
    <t>MONROE MIDDLE SCHOOL</t>
  </si>
  <si>
    <t>Whirlpool, Double Shower</t>
  </si>
  <si>
    <t>Call LA at 630-334-1980 through April 18th- Thanks</t>
  </si>
  <si>
    <t>Chuck Snyder</t>
  </si>
  <si>
    <t>(630) 334-1980</t>
  </si>
  <si>
    <t>630-334-1980 Cell</t>
  </si>
  <si>
    <t>Pristine TH! Totally redone in past 12 years-Kitchen, bath, floors, opened up kitchen- updated windows &amp; doors; finished basement- 1st floor W/D- backs to woods- private patio and yard- Loft possible 3rd BR.</t>
  </si>
  <si>
    <t>Dunham</t>
  </si>
  <si>
    <t>RTE 21 N OF 120 TO GAGES LAKE RD WEST TO 1ST LEFT COLBY S TO DUNHAM WEST TO 565</t>
  </si>
  <si>
    <t>LOCATION!!! END UNIT WITH POND AND GOLF COURSE VIEW. MINUTES TO INTERSTATE, POOL AROUND THE CORNER, GARAGE ACROSS FROM UNIT, WOOD BURNING FIREPLACE IN LIVING ROOM WITH VAULTED CEILING, LARGE LOFT OVERLOOKING THE LIVING ROOM. UNIT HAS ITS OWN WASHER AND DRYER. NOT A SHORT SALE OR FORECLOSURE</t>
  </si>
  <si>
    <t>Exercise Room, Golf Course, Party Room, Pool-Outdoors, Tennis Court/s</t>
  </si>
  <si>
    <t>Common Insurance, Clubhouse, Exercise Facilities, Exterior Maintenance, Lawn Care, Scavenger, Snow Removal</t>
  </si>
  <si>
    <t>Aluminum Siding, Cedar</t>
  </si>
  <si>
    <t>Century 21 Elm, Realtors</t>
  </si>
  <si>
    <t>(847) 692-5522</t>
  </si>
  <si>
    <t>Carol August, CRS</t>
  </si>
  <si>
    <t>(847) 226-6182</t>
  </si>
  <si>
    <t>St Thomas Colony</t>
  </si>
  <si>
    <t>ROUTE 12 TO STATE PARK ROAD TO VACATION VILLAGE ENTRANCE</t>
  </si>
  <si>
    <t>Just updated END UNIT with LAUNDRY HOOK-UP in unit and a STORAGE SHED. New floors, painting, water softener, storm doors/sliders, light fixtures, bathroom, window treatment, other improvements. GREAT LOCATION-no steps from parking to unit. Gated community, 24/7 security, Chain O'Lakes lake rights. Fee based piers,winter boat storage. Clubhouse, pool, walking/bike trails, fire pit, beach, marina,tennis, volleyball ...</t>
  </si>
  <si>
    <t>Bike Room/Bike Trails, Boat Dock, Coin Laundry, Exercise Room, On Site Manager/Engineer, Park/Playground, Party Room, Pool-Outdoors, Tennis Court/s, Curbs/Gutters, Gated Entry, Sidewalks, Street Lights, Street Paved</t>
  </si>
  <si>
    <t>Common Grounds, Wooded</t>
  </si>
  <si>
    <t>Parking, Common Insurance, Security, Clubhouse, Pool, Exterior Maintenance, Lawn Care, Snow Removal, Lake Rights</t>
  </si>
  <si>
    <t>Call owner directly for an appointment @ 773-759-9791 and ask for Margaret.</t>
  </si>
  <si>
    <t>Margaret Panitch</t>
  </si>
  <si>
    <t>773-759-9791</t>
  </si>
  <si>
    <t>Call owner directly for an appointment @ 773-759-9791 and ask for Margaret.  Fax or email offers to listing agent.  Listing company does not hold earnest money.</t>
  </si>
  <si>
    <t>Hoxie</t>
  </si>
  <si>
    <t>JEFFERY MANOR</t>
  </si>
  <si>
    <t>YATES TO 96TH ST EAST TO HOXIE SOUTH TO PROPERTY</t>
  </si>
  <si>
    <t>NICE, 2 BEDROOM TOWNHOME WITH BASEMENT. DETACHED GARAGE WITH A SIDE DRIVE.  GREAT BACK YARD.</t>
  </si>
  <si>
    <t>3% - $1500 WHICHEVER IS GREATER (on Net SP)</t>
  </si>
  <si>
    <t>SEND ALL QUESTIONS TO REO@PEARSONREALTYGROUP.COM. PLEASE SUBMIT ALL OFFERS TO http://goo.gl/0lzaM2 (COPY AND PASTE LINK)</t>
  </si>
  <si>
    <t>1-2A</t>
  </si>
  <si>
    <t>MARYDALE</t>
  </si>
  <si>
    <t>Clarendon Hills Rd (South of 75th St) West to Sheridan Dr, building on the right</t>
  </si>
  <si>
    <t>Move in ready,2nd floor condo in a low-rise brick building built in 1992. Detached brick garage and plenty of add parking.Very well managed Association. Far from busy streets. 2beds/2 full baths(including master bath), dining room, flexicore ceilings, new hardwood floors, your own furnace and A/C. Laundry hooked-up in unit. Huge balcony right of the LR &amp; DR.Great School Districts.Close to shopping and transportation</t>
  </si>
  <si>
    <t>Park/Playground, Security Door Locks, Sidewalks, Street Lights, Street Paved</t>
  </si>
  <si>
    <t>Elite Real Estate and Mgmt Co.</t>
  </si>
  <si>
    <t>(847) 292-6040</t>
  </si>
  <si>
    <t>Marta Gimel</t>
  </si>
  <si>
    <t>(773) 988-6261</t>
  </si>
  <si>
    <t>Regular Sale.</t>
  </si>
  <si>
    <t>OLIVIABROOK</t>
  </si>
  <si>
    <t>BUTTERFIELD E OF MIDWEST RD</t>
  </si>
  <si>
    <t>NEW ranch unit will be completed to drywall, still time to choose options/upgrades. The Cortland offers an open concept with 9' ceilings, gas fireplace, den, laundry/mud room, and full basement w/bath rough-in. Large master suite has dual walk-in closets and luxury bath. Standard features include, HW floors, SS appliances, granite, nickel hardware. Close to dining, shopping &amp; expressways. PHOTOS ARE OF MODEL HOME.</t>
  </si>
  <si>
    <t>Fire Sprinklers, Sump Pump, Sprinkler-Lawn</t>
  </si>
  <si>
    <t>2.5% ON BASE PRICE (on Net SP)</t>
  </si>
  <si>
    <t>**MUST ACCOMPANY &amp; REGISTER CLIENTS ON 1ST VISIT**</t>
  </si>
  <si>
    <t>HARTZ HOMES</t>
  </si>
  <si>
    <t>630-228-3422</t>
  </si>
  <si>
    <t>Cheryl Thomas</t>
  </si>
  <si>
    <t>(630) 788-5050</t>
  </si>
  <si>
    <t>(630)788-5050</t>
  </si>
  <si>
    <t>**MUST ACCOMPANY &amp; REGISTER CLIENT ON 1ST VISIT**  SALES OFFICE IS OPEN: MON, TUES, FRI, SAT 10:00AM - 5:00PM AND SUN 11:00AM - 5:00PM (CLOSED WED &amp; THURS)</t>
  </si>
  <si>
    <t>N286</t>
  </si>
  <si>
    <t>Rt 59 N of Miller to LBS Guard Gate, left to 324 Shoreline on left</t>
  </si>
  <si>
    <t>Situated on a gorgeous golf course lot with serene water views, this light, bright &amp; updated TH offers an open and spacious floor plan, two-story foyer, new master bath shower, new carpeting in LR, freshly painted, newer hot water heater, plus a terrific private courtyard &amp; rear deck.  Enjoy all the amenities Lake Barrington Shores has to offer!  Buyer pays 3-month surcharge.</t>
  </si>
  <si>
    <t>Bike Room/Bike Trails, Boat Dock, Exercise Room, Golf Course, Health Club, On Site Manager/Engineer, Party Room, Pool-Indoors, Pool-Outdoors, Tennis Court/s, Curbs/Gutters, Gated Entry, Sidewalks, Street Lights, Street Paved</t>
  </si>
  <si>
    <t>Common Grounds, Golf Course Lot, Landscaped Professionally, Water View</t>
  </si>
  <si>
    <t>Humidifier, Water-Softener Owned, TV-Cable, CO Detectors, Ceiling Fan, Air Cleaner</t>
  </si>
  <si>
    <t>Side Apron</t>
  </si>
  <si>
    <t>Electric, Forced Air, Heat Pump</t>
  </si>
  <si>
    <t>Call 1-855-746-9100 M-Sun 8AM-10PM to make appt.</t>
  </si>
  <si>
    <t>Carol Bohne, GRI</t>
  </si>
  <si>
    <t>(847) 826-7756</t>
  </si>
  <si>
    <t>AUVERGNE</t>
  </si>
  <si>
    <t>ARBORETUM GLEN</t>
  </si>
  <si>
    <t>I-355 TO OGDEN AVE (RT 34) W TO AUVERGNE AVE S TO SUBDIVISION</t>
  </si>
  <si>
    <t>TAMARACK</t>
  </si>
  <si>
    <t>30X50</t>
  </si>
  <si>
    <t>FABULOUS NEW LUXURY TOWNHOME IN CUL-DE-SAC. 1ST FLOOR HAS 9 FT CEILINGS, HARDWOOD FLOORS. LRM W/FIREPLACE. SEPARATE DRM W/TRAY CELING &amp; SGD TO DECK. GOURMET KITCHEN, 42" CUSTOM CABINETS, GRANITE COUNTERS, SS APPLIANCES &amp; BREAKFAST BAR. MBR SUITE, CATHEDRAL CEILING, WALK-IN CLOSET, LUXURY BATH W/WHIRLPOOL TUB, SHOWER W/GORGEOUS GLASS DOOR &amp; PORCELAN TILE. ENGLISH BASEMENT. MIN TO I-355/I-88 &amp; TRAIN!</t>
  </si>
  <si>
    <t>Whirlpool, Separate Shower, Double Sink, Full Body Spray Shower</t>
  </si>
  <si>
    <t>Deck/Patio/Screened Porch, Energy Efficient Package, Fireplace, Basement, Hardwood/Ceramic Floors, Vaulted/Cathedral Ceiling</t>
  </si>
  <si>
    <t>Electric, Gas Logs</t>
  </si>
  <si>
    <t>2.5% - $195 (on Gross SP)</t>
  </si>
  <si>
    <t>FOR APPT PLEASE TEXT/CALL MARTHA FOR APPT. 24 CELL/TEXT: 630-235-0989</t>
  </si>
  <si>
    <t>ARBOR GLEN HOMES, L.L.C.</t>
  </si>
  <si>
    <t>Martha Lopez, CRS,GRI</t>
  </si>
  <si>
    <t>(630) 724-9057</t>
  </si>
  <si>
    <t>630-235-0989 MARTHA LOPEZ  CELL</t>
  </si>
  <si>
    <t>INTERIOR PICTURES ARE FROM TOWNHOME 4734 AUVERGNE. UNFINISHED ENGLISH BASEMENT. OPTIONAL BASEMENT PACKAGE. THE LOFT CAN BE CONVERTED IN TO A 3RD BEDROOM.</t>
  </si>
  <si>
    <t>Wethington</t>
  </si>
  <si>
    <t>Richmondena</t>
  </si>
  <si>
    <t>Rte 173 East of Main to Wethington, right to #</t>
  </si>
  <si>
    <t>BEAUTIFUL UPDATED TOWNHOME CUSTOM W/FULL BASEMENT 3 LEVELS. NEW FURNACE, HOT WATER HEATER, WATER SOFTNER. LAMINATE FLOORS THRU-OUT ENTIRE HOME! ROCKIN KITCHEN W/NEW APPLIANCES! UPDATED BATHS. 2 BIG BEDROOMS ON 2ND FL.CEILING FANS IN ALL ROOMS! PATIO OFF DINING ROOM AND DECK OFF LIVING ROOM! FAMILY RM IN BASEMENT W/FINISED LAUNDRY AND BONUS ROOM! SHORT SALE APPROVED.JUST NEED OFFER</t>
  </si>
  <si>
    <t>2.5 % (on Net SP)</t>
  </si>
  <si>
    <t>24 HRS NOTICE-DOG. PLEASE CALL GINGER AT 847-4094274</t>
  </si>
  <si>
    <t>FITCH</t>
  </si>
  <si>
    <t>(847) 409-4274</t>
  </si>
  <si>
    <t>Ginger Strader</t>
  </si>
  <si>
    <t>CC: Pursuant to Short Sale. SHORT SALE. AS IS, 100 % TAXES, PAPERWORK JUST STARTED. WORKING W/EXPERT ATTORNEY/NEG. IF LENDER REQUESTED REDUCTION IN COMMISSION, CO-OP WILL BE SPLIT .earnest check made payable to heritage title.</t>
  </si>
  <si>
    <t>BROOKDALE MANOR</t>
  </si>
  <si>
    <t>Route 59 to Gowdey Rd left to Nelli Ct</t>
  </si>
  <si>
    <t>Bank suggested price 120K.  Ground level 2 bedroom unit boasts many recent updates including new  A/C, furnace, HWH and Pella high efficiency sliding doors. Generous size Master bedrooms has shared bath. Sunny eat in kitchen leads to private patio with plenty of open green space. Full Size Laundry room in unit. Attached 1 Car garage. Minutes to both train and highway and in Dist. 204. Great Deal!</t>
  </si>
  <si>
    <t>Water, Exterior Maintenance, Lawn Care</t>
  </si>
  <si>
    <t>Text Or call Shawna 630.210.1201</t>
  </si>
  <si>
    <t>Shawna May</t>
  </si>
  <si>
    <t>(630) 210-1201</t>
  </si>
  <si>
    <t>CC: Pursuant to Short Sale. NOT FHA APPROVED. No rentals.  CC: Pursuant to Short Sale. COMMISSION SUBJECT TO BANK APPROVAL. Bank suggested price 120K, paperwork in process.</t>
  </si>
  <si>
    <t>INGLESIDE COMDOMINIUMS</t>
  </si>
  <si>
    <t>55th to Ellis, north to 55th place, west to Ingleside, north to property</t>
  </si>
  <si>
    <t>Beautiful top floor 2 bedroom condominium in well managed Ingleside Court Condominium Assoc.  Bright and sunny this home has ideal split bedroom layout.  Beautiful hardwood floors throughout, updated bath and thermopane windows throughout.    Kitchen has combo washer and dryer.  Great closet space in the unit as well as extra storage locker downstairs.  Wonderful location steps to U of C schools and Hospitals.</t>
  </si>
  <si>
    <t>KOZMINSKI ELEMENTARY SCHOOL COMMUNITY ACADEMY</t>
  </si>
  <si>
    <t>CANTER MIDDLE SCHOOL</t>
  </si>
  <si>
    <t>KENWOOD ACADEMY HIGH SCHOOL</t>
  </si>
  <si>
    <t>Bike Room/Bike Trails, Coin Laundry, Storage, Curbs/Gutters, Gated Entry, Sidewalks, Street Lights, Street Paved</t>
  </si>
  <si>
    <t>Condo, Courtyard, Low Rise (1-3 Stories), Vintage</t>
  </si>
  <si>
    <t>2.5%- $250 (on Net SP)</t>
  </si>
  <si>
    <t>24 hour notice, lister must accompany</t>
  </si>
  <si>
    <t>Linda Lee Tuggle</t>
  </si>
  <si>
    <t>(773) 451-5757</t>
  </si>
  <si>
    <t>773 527 7066</t>
  </si>
  <si>
    <t>Owners must be in residence for 2 years before renting. Can rent a maximum of 2 years.</t>
  </si>
  <si>
    <t>Campbell</t>
  </si>
  <si>
    <t>Milwaukee to Heather Ridge</t>
  </si>
  <si>
    <t>Great Heather Ridge townhome in move-in condition, 2 bedrooms and 2 full baths, all new paint and flooring through-out. 2 story stone fireplace. New sliding door leading to patio.1 car garage. This is a Fannie Mae/ homepath property.</t>
  </si>
  <si>
    <t>DEVON TO NORTH ON PROSPECT AVE HOME ON LEFT</t>
  </si>
  <si>
    <t>SHORT SALE! 2 STORY WITH 2 BEDROOMS, 1.5 BATHS AND ATTACHED 1CAR GARAGE.</t>
  </si>
  <si>
    <t>American National Real Estate Inc</t>
  </si>
  <si>
    <t>(630) 448-2085</t>
  </si>
  <si>
    <t>Jacob Bartlett</t>
  </si>
  <si>
    <t>630 400 2866</t>
  </si>
  <si>
    <t>CC: Pursuant to Short Sale. SEND OFFERS TO JACOBBARTLETT2@GMAIL.COM</t>
  </si>
  <si>
    <t>River Bluff</t>
  </si>
  <si>
    <t>RT. 31 N OF MAIN (HUNTLEY RD) TO RIVER BLUFF. W TO HOME</t>
  </si>
  <si>
    <t>END UNIT TOWNHOME! LARGE DECK IN BACK FOR ENTERTAINING! CATHEDRAL CEILINGS AND FIREPLACE IN LIVING ROOM. LAMINATE FLOORS ON MAIN LEVEL! LOCATED NEAR SCHOOLS, SHOPPING AND RESTAURANTS. THIS IS A HOMEPATH PROPERTY.</t>
  </si>
  <si>
    <t>50TH</t>
  </si>
  <si>
    <t>301A</t>
  </si>
  <si>
    <t>INDIANA S TO 51ST, E ON 51ST TO PRAIRIE S ON PRAIRIE</t>
  </si>
  <si>
    <t>100X150</t>
  </si>
  <si>
    <t>TOTAL CREAM PUFF THIS MAYBE A REO BUT IN MOVE IN CONDITION THIS LOVELY 2 BEDROOM 1 BATH CONDO IS IN NEED OF A NEW OWNER UNIT OFFER UPDATED DECOR IN UNIT LAUNDRY PERFECT FOR THE 1ST TIME HOME OWNER OR THE DOWNSIZER SOLD AS IS TAXES PRORATED AT 100% HURRY BEFORE ITS SOLD AS FAST AS A CHEETAH....</t>
  </si>
  <si>
    <t>BANK OWNED</t>
  </si>
  <si>
    <t>CC: Pursuant to Short Sale. AGENTS THIS WILL PASS FOR FINANCING IN GREAT SHAPE PLEASE CALL ASSOCIATION ABOUT RENTALS AND ANY OTHER INFO DESIRED...</t>
  </si>
  <si>
    <t>SARATOGA</t>
  </si>
  <si>
    <t>D-110</t>
  </si>
  <si>
    <t>MAIN TO 41ST, W TO SARATOGA, RT AND CIRCLE AROUND TOWARD OFFICE TO D4043 BLDG - CAN PARK ON STREET</t>
  </si>
  <si>
    <t>WHY RENT WHEN YOU CAN BUY?  LOW TAXES!!  UPDATED 1ST FLOOR UNIT - KITCHEN WITH NEW CABINETS, GRANITE COUNTERS AND SS APPLIANCES-BTH HAS NEW TOILET, TUB. TRAVERTINE TILE IN KITCH, BTH FLOORS &amp; SHWR SURROUND.  JUST PAINTED, NEWER WINDOWS AND SGD.  STORAGE SPACE, LAUNDRY IN LOWER LEVEL.  PARKING READILY AVAIL. SHUTTLE TO TRAIN. MINUTES TO SHOPPING,RESTAURANTS, HWYS.  SELLERS MOTIVATED - BRING US AN OFFER!</t>
  </si>
  <si>
    <t>Travertine</t>
  </si>
  <si>
    <t>Coin Laundry, Storage, On Site Manager/Engineer, Party Room, Pool-Outdoors, Sidewalks</t>
  </si>
  <si>
    <t>Condo, Low Rise (1-3 Stories), Ground Level Ranch</t>
  </si>
  <si>
    <t>Hot Water/Steam, Baseboard, Indv Controls</t>
  </si>
  <si>
    <t>CALL SHOWING TIME FOR APPT 800-746-9464 OR USE SHOWING ASSIST - READ SHWG INSTRUCTIONS FOR ACCESS!</t>
  </si>
  <si>
    <t>Sharon Urban, ABR,AHWD,BPOR,CNC,SFR</t>
  </si>
  <si>
    <t>(630) 728-3504</t>
  </si>
  <si>
    <t>HOA'S LOWER THAN OTHERS IN AREA.  PRKNG READILY AVAIL ON STREET, BEHIND BLDG OR NEAR POOL. 2 OUTDOOR POOLS - 1 HEATED.  PARTY ROOM AVAIL FOR FEE.  ORIENT REQ WITH PROP MGR - REFUNDABLE DAMAGE DEPOSIT FOR MOVE-IN.</t>
  </si>
  <si>
    <t>111TH to ADDRESS</t>
  </si>
  <si>
    <t>FANNIE MAE HOMEPATH PROPERTY. TALK ABOUT CONVENIENCE! CLOSE TO GROCERY STORE, FAST FOOD, BEVERLY ART CENTER AND TRANSPORTATION.  SPACIOUS 2 BR CONDO WITH CONVENIENT KITCHEN AND NICE BALCONY TOO.  THIS UNIT MUST BE OWNER OCCUPIED, THE RENTAL MAXIMUM IN THE BUILDING HAS BEEN MET</t>
  </si>
  <si>
    <t>$400.00 (on Gross SP)</t>
  </si>
  <si>
    <t>MUST BE OWNER OCCUPIED! THIS PROPERTY NOW UNDER AUCTION TERMS. OFFERS SHOULD BE SUBMITTED TO HUDSONANDMARSHALL.COM. THERE IS A 5% BUYERS PREMIUM, AND THERE IS A RESERVE PRICE.</t>
  </si>
  <si>
    <t>ARBOR</t>
  </si>
  <si>
    <t>OGDEN TO BELMONT-SOUTH TO ARBOR CIRCLE (SW CORNER) (building is toward back of complex)</t>
  </si>
  <si>
    <t>INVESTORS WELCOME! UNIT IS IN BEAUTIFUL CONDITION AND TASTEFULLY UPDATED! HARDWOOD FLOORS IN LIV RM &amp; BEDROOMS! MARBLE TILE IN FOYER, KITCHEN &amp; BATH! REMODELED KITCHEN W/42" MAPLE CABINETS, GRANITE COUNTERS! UPDATED BATH! WHAT A GORGEOUS VIEW OF THE COURTYARD FROM THE NEWER BALCONY! NEXT TO GOLF COURSE &amp; DG FITNESS CENTER! NEAR BELMONT METRA STATION &amp; EXPRESSWAYS! PETS ALLOWED! WELCOME INVESTORS--UNIT CAN BE RENTED!</t>
  </si>
  <si>
    <t>PLEASE CALL 800-746-9464</t>
  </si>
  <si>
    <t>PLEASE GIVE MIN. 24-HR NOTICE, WHEN POSSIBLE. TENANTS ON MO-TO-MO LEASE.</t>
  </si>
  <si>
    <t>Route 25 to Silverstone Dr</t>
  </si>
  <si>
    <t>Great first floor condo located in the "Silverstone Lake" subdivision. Walking paths and large pond make this subdivision special. Its a quiet neighborhood and easy maintenance. Nice floor plan. Kitchen offers counter seating. Fresh paint and new carpet make this condo a must see! This is a HomePath property Buyer is responsible for 6 months HOA dues as required by IL Condo Act</t>
  </si>
  <si>
    <t>Call 1-855-746-9100 Mon to Sun 8am to 10pm</t>
  </si>
  <si>
    <t>Kim Alden, SFR</t>
  </si>
  <si>
    <t>(847) 254-5757</t>
  </si>
  <si>
    <t>Follow instruction UNDER ADDITIONAL INFORMATION Visit HomePath.com.  Seller directs offer to be made online at HomePath.com Buyer is responsible for 6 months HOA dues as required by IL Condo Act</t>
  </si>
  <si>
    <t>Meadow Green</t>
  </si>
  <si>
    <t>Rollins To Cedar Lake Rd. N To Meadow Green W To Home</t>
  </si>
  <si>
    <t>Practical 2 bedroom townhouse in Round Lake Beach. Cozy living room boasts solid stone fireplace, wood beam ceiling + balcony. Masterbath on 2nd level has mirrored closet doors + private balcony. Garage. No seller disclosures. HUD HOME SOLD AS-IS. INFORMATION DEEMED RELIABLE BUT NOT GUARANTEED. SELLING BROKER TO VERIFY ALL INFORMATION. BIDS OVER AS-IS VALUE W/FHA REQUIRES CASH PAID AT CLOSING FOR OVERBID AMOUNT</t>
  </si>
  <si>
    <t>Parking, Common Insurance, Pool, Exterior Maintenance</t>
  </si>
  <si>
    <t>Case #131-695235. Insured Status: IE. Up to 3% Co-op. Offers submitted on-line. Office must be HUD registered. See attached HUD Guidelines. Go to HUDhomestore.com and hudpemco.com. Questions? HUD@tanisgroupllc.com.</t>
  </si>
  <si>
    <t>BARTLETT RD TO STREAMWOOD BLVD W TO 737</t>
  </si>
  <si>
    <t>LESS THAN .25</t>
  </si>
  <si>
    <t>New Price Equates To Great Value~No Need To Rent At This Affordable Price~Very Desirable Manors of Oak Knoll~First Floor 2 Bedroom~Great Location Gives You Tranquil Views~Laundry Rm~Attached Garage~This is a Fannie Mae Home Path Property.</t>
  </si>
  <si>
    <t>630-994-3200</t>
  </si>
  <si>
    <t>All offers must be made on HomePath. Please download pg  8 of the 6.0 along w/instructions prior to submitting offers. No survey.   Buyer responsible for 6 months HOA per Illinois State Statue. No Personal Property.</t>
  </si>
  <si>
    <t>Mason</t>
  </si>
  <si>
    <t>IRVING TO YORK S. TO GREEN W. TO MASON N. TO BUILDING.</t>
  </si>
  <si>
    <t>Two bed room unit in highly sought after building. Walk to train shopping and restaurants. The entry welcomes you to a great lobby and elevator to the unit. This unit features a large living room with lots of natural light. The dining room is perfect for entertaining. The kitchen has lots of counter space. The master has a walk in and full bath. This home qualifies for FHA Financing!</t>
  </si>
  <si>
    <t>Lock box on railing at front door. BIDDING GO TO www.HUDPemco.com NAID# REGISTRATION  www.HUDHomeStore.com FHA Insured (IN) HUD HOMES SOLD AS-IS CASE# 137-655091 HOTLINE 630-236-1050 UP TO 3% CC. $100.00 DOWN PYMT (See Over Bidding Rules).</t>
  </si>
  <si>
    <t>Book north of 95th to Tamahawk east</t>
  </si>
  <si>
    <t>Beautiful townhome in south Naperville shows like a model! Close to schools and shopping. Quiet location with prvt yard and large deck backing to green space and luxury homes. Vaulted Living Room with fireplace. Kitchen with granite, stainless and stone backsplash. Adjacent breakfast area w/ SGD to deck. Second floor Balcony overlooks Living Room and Foyer. Vaulted Master BR with palladium window. Just move in!</t>
  </si>
  <si>
    <t>Balcony, Breakfast Room, Deck, Foyer</t>
  </si>
  <si>
    <t>Caso</t>
  </si>
  <si>
    <t>Rita Kula, ABR,CRS,e-PRO</t>
  </si>
  <si>
    <t>(630) 803-7932</t>
  </si>
  <si>
    <t>630-803-7932</t>
  </si>
  <si>
    <t>THE WILLOWS</t>
  </si>
  <si>
    <t>RT.60 2 ASPEN N 2 HAWTHORNE E 2 INDIANWOOD N 2 TIMBER R</t>
  </si>
  <si>
    <t>VERBALLY ACCEPTED OFFER - PAPERWORK PENDING. Beautiful 2bed/1.5bath condo in The Willows subdivision in Vernon Hills.  This condo features new carpet, fresh paint, and new appliances. Spacious layout with in-unit laundry and a nicely-sized patio that is great for entertaining. This is a Fannie Mae HomePath property!  Seller's payment of IL Condo Act 94-1049 dues applies. Offer instructions attached in MLS.</t>
  </si>
  <si>
    <t>Bike Room/Bike Trails, Storage, Sundeck, Pool-Outdoors, Security Door Locks</t>
  </si>
  <si>
    <t>Courtyard, Manor Home/Coach House/Villa</t>
  </si>
  <si>
    <t>See Additional Info for offer submission documents. Seller has directed all offers on this listing be made using the HomPath Online Offer system at homepath.com. Required documents attached. NOT FHA APPROVED.</t>
  </si>
  <si>
    <t>VENETIAN POINTE</t>
  </si>
  <si>
    <t>LAKE ST EAST OF 355 TO FOXDALE NORTH</t>
  </si>
  <si>
    <t>DELANO</t>
  </si>
  <si>
    <t>IMMACULATE END UNIT IN DESIRABLE VENETIAN POINTE.  9FT. CEILINGS, ALL HARDWOOD FLOORING, CHERRY CABINETS, GRANITE, &amp; SS APPLIANCES. MSTR,BDRM W?WIC PRIVATE BATH, WHIRLPOOL &amp; SEPARATE SHOWER.  IN UNIT LAUNDRY ROOM W/FULL SIZE WASHER/DRY  HEATED GARAGE SPACE W/STORAGE SPACE IN FRONT OF GARAGE SPACE.  EXERCISE &amp; PARTY ROOMS, BIKE STORAGE AREA.  CLOSE TO DINING, SHOPPING &amp; XWAYS** TAXES NO HOMESTEAD OR SENIOR EXCEPTS***</t>
  </si>
  <si>
    <t>STONE ELEMENTARY SCHOOL</t>
  </si>
  <si>
    <t>Bike Room/Bike Trails, Elevator, Exercise Room, Storage, Party Room, Curbs/Gutters, Street Lights, Street Paved</t>
  </si>
  <si>
    <t>Landscaped Professionally, Water View</t>
  </si>
  <si>
    <t>Balcony, Storage</t>
  </si>
  <si>
    <t>CALL OR TEXT LA- 630-606-8787 NEED CODE FOR FRONT DOOR AS WELL AS SENTRI</t>
  </si>
  <si>
    <t>Linda Derrico</t>
  </si>
  <si>
    <t>(630) 606-8787</t>
  </si>
  <si>
    <t>**TRADITIONAL SALE*** NOTE NO TAX EXCEPTIONS***    GARAGE SPACE #28      ALL FURNITURE FOR SALE</t>
  </si>
  <si>
    <t>10-N</t>
  </si>
  <si>
    <t>VILLAS OF DEER CREEK</t>
  </si>
  <si>
    <t>Located 2 blocks East of Fairview between 55th and 59th Streets</t>
  </si>
  <si>
    <t>Rare 1st floor property on cul-de-sac in tranquil &amp; convenient Villas of Deer Creek. Lovely 2 bedrm w/newly refinished kitchen &amp; baths w/new countertops, sinks, mirrors, brushed nickel faucets &amp; light fixtures throughout. Extra large walk-in shower in master bath. Abundant kitchen cabinets &amp; large pantry. Plantation blinds in bedrms. Kenmore washer/dryer to remain. Gas heat &amp; range. Attached garage w/add'l storage</t>
  </si>
  <si>
    <t>Sprinkler-Lawn</t>
  </si>
  <si>
    <t>FOR SHOWINGS/INQUIRIES CALL SELLER DIRECTLY AT (630)903-0990</t>
  </si>
  <si>
    <t>STEVEN L. &amp; DONALD C. PETERSON</t>
  </si>
  <si>
    <t>630-903-0990</t>
  </si>
  <si>
    <t>Metro Realty Inc.</t>
  </si>
  <si>
    <t>(630) 599-8600</t>
  </si>
  <si>
    <t>Melanie Broderick</t>
  </si>
  <si>
    <t>FOR SHOWINGS/INQUIRIES CALL SELLER DIRECTLY AT (630)903-0990; ALL OFFERS TO LISTING OFFICE VIA FAX (630) 599-8604 OR EMAIL SUPPORT@AFLATFEE.COM.</t>
  </si>
  <si>
    <t>18TH</t>
  </si>
  <si>
    <t>Broadview</t>
  </si>
  <si>
    <t>CERMAK AVE TO 17TH AVE NORTH TO 16TH ST EAST TO 12TH AVE TO WEST 18TH ST TO PROPERTY</t>
  </si>
  <si>
    <t>BROADVIEW</t>
  </si>
  <si>
    <t>SPACIOUS UNIT/TONS OF POTENTIAL/TWO BEDROOMS/ONE BATHROOM/NEAR SHOPPING/CLOSE TO PARK AND I-290 EXPRESSWAY/SOLD AS IS/PROOF OF FUNDS REQUIRED/SUBMIT THE PURCHASE OFFER FORM UNDER ADDITIONAL INFO WITH ALL OFFERS/FAX OFFERS TO THE OFFICE/SELLER WILL NOT RESPOND TO OFFERS UNTIL THE PROPERTY HAS BEEN ON THE MARKET FOR 8-10 DAYS.***MULTIPLE OFFERS***HIGHEST BEST AND FINAL DUE BY 10AM ON 08/04/2014***</t>
  </si>
  <si>
    <t>Water, Scavenger, Other</t>
  </si>
  <si>
    <t>EMPLOYEES AND FAMILY MEMBERS RESIDING WITH EMPLOYEES OF JPMORGAN CHASE BANK, N.A, ITS AFFILIATES OR SUBSIDIARIES ARE STRICTLY PROHIBITED FROM DIRECTLY OR INDIRECTLY PURCHASING ANY PROPERTY OWNED BY JPMORGAN CHASE BANK, N.A.</t>
  </si>
  <si>
    <t>MEADOW WOOD</t>
  </si>
  <si>
    <t>2 MILES NORTH OF RTE 22 AND RAND ROAD, JUST PAST MILLER.</t>
  </si>
  <si>
    <t>STRATTON</t>
  </si>
  <si>
    <t>Best Priced Townhome In Popular Meadow Wood*Great End Unit with Upgraded Kitchen Cabinetry, Stainless Steel Appls &amp; Travata Ceramic Tile Flrs*Open &amp; Airy Floorplan*Great Entertaining Floorplan with Open Living Room*1st Floor Laundry*Ultra Sleek and Contemporary*Master Bedroom Suite with Master Bath*Large 2nd Bedroom &amp; Oversized Loft*Lower Level Familyroom*Custom Storage Center Stays*Large Nature Area W/Walking Trail*</t>
  </si>
  <si>
    <t>SPENCER LOOMIS ELEMENTARY SCHOOL</t>
  </si>
  <si>
    <t>Call Listing Office at 847-438-6200 * 1 Hour Notice Needed</t>
  </si>
  <si>
    <t>Brian and Laura Dekker</t>
  </si>
  <si>
    <t>Cherie Smith Zurek, ABR,CRS,GRI,SFR,SRES</t>
  </si>
  <si>
    <t>(847) 778-8618</t>
  </si>
  <si>
    <t>Email offers to remaxcsz@aol.com or efax 847-637-2069*Please call 847-778-8618 as a courtesy.</t>
  </si>
  <si>
    <t>Between Main and Park On Cresecnt</t>
  </si>
  <si>
    <t>A Wonderful Condo in the Heart of The Village of Glen Ellyn.  An Ideal location close to everything. Well cared for and move in condition. Two Balconies to view the beautiful Village. Offering a Kitchen with beautiflul Cabines, Granite Tops and SS Appls. WIC-in closets, two full baths, Washer and Dryer in unit, storage in the garage space in the heated garage, &amp; 1 parking space Outside included.</t>
  </si>
  <si>
    <t>St. Pets</t>
  </si>
  <si>
    <t>Heat, Water, Gas, Parking, Common Insurance, Security System, TV/Cable, Exterior Maintenance, Lawn Care, Scavenger, Snow Removal</t>
  </si>
  <si>
    <t>Assigned Spaces, Off Street, Underground/Covered</t>
  </si>
  <si>
    <t>Ed Melka</t>
  </si>
  <si>
    <t>(630) 455-8364</t>
  </si>
  <si>
    <t>School Bus Service, Commuter Bus, Commuter Train, Non-Smoking Building</t>
  </si>
  <si>
    <t>Inside parking #55, outside parking #2  Mulitiple Pins: 0511335033, 041, 089</t>
  </si>
  <si>
    <t>2-A</t>
  </si>
  <si>
    <t>Avenue O or Torrence or Bishop Ford Xway to 130th east/west to Marquette SE to condos</t>
  </si>
  <si>
    <t>Lovely 2 BR, 2 BA condo w all new windows, sliding glass door, carpeting, 2014, eat in kitchen, laundry hook up in unit, balcony faces south.  Assessment covers heat, parking space goes with, pets okay (2) energy efficient building, flexi core concrete thruout. Home freshly decorated. Stove, frige, micro, dishwasher included. Care free lifestyle close to all Xways to Il/Ind. Walk to SS train. FHA financing OK!</t>
  </si>
  <si>
    <t>Curbs/Gutters</t>
  </si>
  <si>
    <t>REcord</t>
  </si>
  <si>
    <t>(219) 865-9911</t>
  </si>
  <si>
    <t>Janice Minton-Kutz</t>
  </si>
  <si>
    <t>(708) 302-8585</t>
  </si>
  <si>
    <t>Estate sale not a SS or foreclosure. Neat, clean and ready to move in.  Mint condition.  At seller's written request, condo has been reactivated.</t>
  </si>
  <si>
    <t>103-C</t>
  </si>
  <si>
    <t>MILL MEADOWS</t>
  </si>
  <si>
    <t>Army Trail to Mill S to Diversy W to Lalonde</t>
  </si>
  <si>
    <t>Deal fell. Buyer appraisal is $75,000. 2 story  2 bedroom, 1.5 bath room , full basement and 2 parking space. Washer and dryer in the unit.some newer windows, appliances. Property is being sold as is .Short sale.Great location</t>
  </si>
  <si>
    <t>LAKE PARK ELEMENTARY SCHOOL</t>
  </si>
  <si>
    <t>Addison Trail High School</t>
  </si>
  <si>
    <t>TV-Dish, Ceiling Fan</t>
  </si>
  <si>
    <t>LOOR</t>
  </si>
  <si>
    <t>Vic Singh, CRS</t>
  </si>
  <si>
    <t>(847) 353-7660</t>
  </si>
  <si>
    <t>Flood Zone</t>
  </si>
  <si>
    <t>CC: Pursuant to Short Sale. short sale.100% tax pro ration. No survey .as is condition. please use a short sale rider with the contract .Need a proof of income  or pre approval letter.</t>
  </si>
  <si>
    <t>ENFIELD</t>
  </si>
  <si>
    <t>CARILLON</t>
  </si>
  <si>
    <t>ROLLINS RD-RT83/45 THRU GATES R2 ENFIELD R2 HOUSE NO</t>
  </si>
  <si>
    <t>LAGUNA</t>
  </si>
  <si>
    <t>This one is sure to impress w/hwood floors, plantation shutters, upgraded fixtures, vaulted ceilings, skylights, solid wood doors &amp; beautiful stone fireplace! Kitchen offers Corian cntrs, SS applis, backsplash &amp; eat area w/glass sliders to patio! Master has lrg walk in closet &amp; shared full bth! Sunny 2nd bdrm w/bay window! Excellent 55+ community w/all the amenities; pool, clubhouse, tennis, golf, fitness rm &amp; more!</t>
  </si>
  <si>
    <t>Exercise Room, Golf Course, Party Room, Pool-Indoors, Whirlpool, Curbs/Gutters, Gated Entry, Sidewalks, Street Lights, Street Paved</t>
  </si>
  <si>
    <t>Handicap Shower, Double Sink</t>
  </si>
  <si>
    <t>Common Insurance, Exercise Facilities, Pool, Lawn Care, Snow Removal</t>
  </si>
  <si>
    <t>Humidifier, Ceiling Fan, Sump Pump, Air Cleaner</t>
  </si>
  <si>
    <t>Call L/O 847-367-8686</t>
  </si>
  <si>
    <t>Jackie@HomesByMarco.com</t>
  </si>
  <si>
    <t>Commuter Bus, Commuter Train, Adult Community</t>
  </si>
  <si>
    <t>One of the nicest units in Carillon, make sure to show your pickiest buyers! Please direct all inquiries to the co-list, Jackie Koukol, 847-736-4610.</t>
  </si>
  <si>
    <t>Tower Hill</t>
  </si>
  <si>
    <t>W. of Randall Rd on Rte 64, .5 Mile to Campton Hills Rd W. to Tower Hill Drive, S on Tower Hill Dr.</t>
  </si>
  <si>
    <t>SAVANNAH BLAZE</t>
  </si>
  <si>
    <t>Motivated Seller! Move fast on high demand Savannah Blaze model w/walk out basement option. In demand area for both homeowners &amp; investors by St. Charles &amp; Geneva! Large Master Bedroom w/walk-in closet. Kitchen w/Island &amp; breakfast counter, water filtration system, trash compactor, &amp; 42" Oak Cabinets. High ceilings w/2nd floor loft area over-looking large living room. 1st flr laundry Current rentals for similar $1750</t>
  </si>
  <si>
    <t>DAVIS ELEMENTARY SCHOOL</t>
  </si>
  <si>
    <t>29X24</t>
  </si>
  <si>
    <t>10X24</t>
  </si>
  <si>
    <t>Oven/Range, Microwave, Dishwasher, Refrigerator, Disposal, Compactor-Trash</t>
  </si>
  <si>
    <t>Loft, Recreation Room, Utility Room-Lower Level</t>
  </si>
  <si>
    <t>Humidifier, Water-Softener Owned, TV-Dish, CO Detectors, Ceiling Fan, Air Cleaner</t>
  </si>
  <si>
    <t>Please use showing desk to schedule appointment. 877-494-2485. Use Schedule Assist</t>
  </si>
  <si>
    <t>Kenneth J Deans</t>
  </si>
  <si>
    <t>Northwest Suburban Real Estate</t>
  </si>
  <si>
    <t>(815) 353-8638</t>
  </si>
  <si>
    <t>Shane Vetter</t>
  </si>
  <si>
    <t>815-701-7776</t>
  </si>
  <si>
    <t>House roughed in for Central Vac. Please remove dirty shoes &amp; turn off all lights when exiting.Seller willing to negotiate possible closing assistance or kitchen floor update or paint allowance with right offer.Please don't touch thermostat</t>
  </si>
  <si>
    <t>11S512</t>
  </si>
  <si>
    <t>Rt 83 (S) to Bluff (S of 91st St.), (W) to Rachael Ct. to rear of subdivision</t>
  </si>
  <si>
    <t>21 X 60</t>
  </si>
  <si>
    <t>Fantastic townhome with all the style, space &amp; storage you desire tucked away in the back of the culdesac overlooking green area. It features two large bedrooms plus large loft, peaking over to 2sty LR w/gleaming wood flrs.Enjoy the eat-in kit w/full size pantry area.Retreat to the large english bsmt w/yet another bath.6pnl drs;white trim;sec sys;priv deck;great windows;2 car gar.Bank owned-as-is.</t>
  </si>
  <si>
    <t>Loft, Pantry</t>
  </si>
  <si>
    <t>please use showing assist</t>
  </si>
  <si>
    <t>OO</t>
  </si>
  <si>
    <t>Rt. 72 to Reinking Road left, to Cambridge Lakes right,  Galway right to Derry left to home.</t>
  </si>
  <si>
    <t>Carefree living in this almost new 3-story townhouse featuring 2 large master suites with private baths. Spacious living room &amp; eat-in kit w/oak cabinets, fully applianced &amp; triple pane slider to deck. Family room in english basement...Brand new carpet thruout. Nothing to do here...Convenient 1st flr ldy, miles of bike paths, clubhouse, pool &amp; more!</t>
  </si>
  <si>
    <t>Cambridge Lakes Charter</t>
  </si>
  <si>
    <t>Call showing desk 855-746-9100</t>
  </si>
  <si>
    <t>This is a turn key property......priced for quick sale!!!!!</t>
  </si>
  <si>
    <t>ARAGON</t>
  </si>
  <si>
    <t>RT 25 TO LAKE MARIAN WEST TO BROOKDALE S</t>
  </si>
  <si>
    <t>Great price for this 2nd floor end unit!  Open floor plan with 42" cabinets. LR &amp; dining area.  FR w/FP &amp; balcony overlooking mature trees.  Master bedroom offers walk in closet and private bath.  2nd floor laundry room.  1 car garage.  xtra parking in complex! Neutral decor.</t>
  </si>
  <si>
    <t>LAKEWOOD ELEMENTARY SCHOOL</t>
  </si>
  <si>
    <t>Wooded, Rear of Lot</t>
  </si>
  <si>
    <t>Sudbury</t>
  </si>
  <si>
    <t>DEERPATH CREEK VILLA'S</t>
  </si>
  <si>
    <t>Rt 71 S to Plainfield to Grove to Collins to Sudbury</t>
  </si>
  <si>
    <t>AWESOME LUXURY DUPLEX!  Finished Look-out Lower w/3rd Full bath. Open Concept, Vaulted Ceilings, Brick Fireplace, New Carpet, HW &amp; Ceramic FL's, Staggered Custom Cabinetry, Corian Tops, All Appliances included. Master Bed/Bath Suite w/Multi-Jetted Shower, &amp; Jacuzzi Tub, Oak Stairway to Loft, 1st FL Laundry, Backs to Natural Prairie. Adjacent to Oswego Hike &amp; Bike Trails! Taxes do no reflect homestead exemption.</t>
  </si>
  <si>
    <t>Call Centralized Showing Service @ 877.977.1010</t>
  </si>
  <si>
    <t>No Exemptions on Taxes/This property was not owner occupied. Link for HOA:  http://www.baumgartnercustomhomes.com/deerpath_creek.html#</t>
  </si>
  <si>
    <t>Harbor</t>
  </si>
  <si>
    <t>WILDWOOD GLEN</t>
  </si>
  <si>
    <t>NORTH AVE TO BLOOMINGDALE RD S TO SHOREWOOD DR W TO HARBOR CT N TO HOME</t>
  </si>
  <si>
    <t>ONE OF THE LARGEST UNITS AVAILABLE IN WILDWOOD GLEN. OVER 1400SF OF LIVING SPACE. 2BR/2.5BA 2 STORY UNIT COMPLETE WITH LARGE LOFT, DRAMATIC VAULTED CEILINGS IN LR, AND TRANQUIL WOODED VIEWS OFF OF THE DR. THIS IS A FREDDIE MAC HOMESTEPS PROPERTY AND UNDER THE FIRST LOOK INITIATIVE IS EXCLUSIVE TO OWNER OCCUPANTS THRU 8/19/2014. ALSO ELIGIBLE FOR HOMESTEPS FINANCING WIITH JUST 5% DOWN, NO APPRAISAL FEE OR PMI.</t>
  </si>
  <si>
    <t>CALL 855-957-1408 OR CLICK BELOW FOR SHOWING INSTRUCTIONS</t>
  </si>
  <si>
    <t>REO@WR-KP.COM / 630-658-0546</t>
  </si>
  <si>
    <t>MULTIPLE OFFR SIT. H-B BY 3PM ON 10/16/14. ASSOCIATION NOT FHA APPROVED.  PURSUANT TO IL CONDO ACT, BUYER RESP FOR UP TO 6 MONTHS HOA DUES + ATTY FEES PRIOR TO THE FC. TAXES 100%. BUYER RESP FOR GH XFER TAX. AS-IS EMAIL AT REO@WR-KP.COM</t>
  </si>
  <si>
    <t>LIGHT</t>
  </si>
  <si>
    <t>DEER RUN</t>
  </si>
  <si>
    <t>RT31 TO LIGHT RD FIRST ENTRY ON LEFT TO HOME</t>
  </si>
  <si>
    <t>WHITE TAIL</t>
  </si>
  <si>
    <t>PROPERTY TO BE SOLD "WITH REPAIR".  SELLER DOES NOT PROVIDE A SURVEY.  TAXES PRORATED AT 100%.  EARNEST MONEY MUST BE IN CERTIFIRD FUNDS.  LETTER OF APPROVAL OR PROOF OF FUNDS IS REQUIRED.  SAMPLE ADDENDA AND GUIDELINES ARE ATTACHED. THIS PROPERTY IS ELIGIBLE UNDER THE FREDDIE MAC FIRST LOOK INITIATIVE THROUGH 01/06/2014.  HOMESTEPS FINANCING IS AVAILABLE</t>
  </si>
  <si>
    <t>BUYER IS RESPONSIBLE FOR ANY TRANSFER OR EXEMPT STAMPS AS APPLICABLE.  COMMIS $1500 OR 2.5% WHICHEVER IS GREATER</t>
  </si>
  <si>
    <t>North Avenue to Bloomingdale Rd South to  Shorewood Dr</t>
  </si>
  <si>
    <t>This is a beautiful two bedroom one and half bathroom two story town home in a move in condition! Enter into a nicely sized kitchen and family room with a wood  burning fireplace. Enjoy large bedrooms with ample closet space too! Wake up to a pond view and relax to it as you sit on your rear private patio. Show and sell! This is a Fannie Mae Home Path property.</t>
  </si>
  <si>
    <t>Please click below show assistance</t>
  </si>
  <si>
    <t>Offers must be at www.Homepath.com; all forms are on line. For help, call 866-218-4466. Questions? Use email. Transfer stamps are a buyer charge</t>
  </si>
  <si>
    <t>1st</t>
  </si>
  <si>
    <t>RANDALL RD OR RT 31 TO MAIN STREET TO PITZ TO FIRST</t>
  </si>
  <si>
    <t>62 X 120</t>
  </si>
  <si>
    <t>DUPLEX UNIT AVAILABLE IMMEDIATELY.  CLEAN AS A WHISTLE WITH ALL NEW APPLIANCES IN 2014.  SUN ROOM ON THE BACK FOR SUMMER RELAXATION. HUGE FULL BASEMENT.  CENTRAL AIR, FURNACE, AND WATER HEATER ARE NEW IN 2014.   ROOF IS 8 YEARS OLD.  FRESHLEY SEAL COATED DRIVE.  MOVE IN TODAY.</t>
  </si>
  <si>
    <t>Water-Softener Owned, Central Vacuum, Security System, CO Detectors, Ceiling Fan, Sump Pump</t>
  </si>
  <si>
    <t>CALL LO 630-897-3211 or use Secure Showing Assist</t>
  </si>
  <si>
    <t>PILMER REAL ESTATE, INC</t>
  </si>
  <si>
    <t>(630) 897-3211</t>
  </si>
  <si>
    <t>Dennis Stone</t>
  </si>
  <si>
    <t>(630) 844-8137</t>
  </si>
  <si>
    <t>A REALLY NICE UNIT</t>
  </si>
  <si>
    <t>Fairway Grove</t>
  </si>
  <si>
    <t>S side of Ogden W of Belmont/Finley to Fairway Grove ent. -                              then W (Rt)</t>
  </si>
  <si>
    <t>Bright newly painted 1st fl unit ready to move in! New carpet throughout, new dishwasher &amp; some fixtures. Newer stove, LR A/C,  windows/ patio door &amp; blinds. Kitchen has extra cabinet &amp; pass-through to DR. Both baths updated. Professionally cleaned.  Close to DG Rec Center, golf course,shopping,restaurants &amp; interstate. 1 mi. to Metra.  Reserved parking space is #67 &amp; plenty of visitor parking available</t>
  </si>
  <si>
    <t>Coin Laundry, Storage, Park/Playground, Pool-Outdoors, Tennis Court/s, Curbs/Gutters, Sidewalks, Street Lights, Street Paved</t>
  </si>
  <si>
    <t>Show anytime</t>
  </si>
  <si>
    <t>Eileen Keeler, GRI</t>
  </si>
  <si>
    <t>(312) 246-5244</t>
  </si>
  <si>
    <t>Grey Sentrilock box on wall in lobby  Pool &amp; tennis court in back of building</t>
  </si>
  <si>
    <t>INDIAN TRAIL</t>
  </si>
  <si>
    <t>CASS NORTH OF OGDEN TO INDIAN TRAIL ON WEST SIDE. TAKE FIRST LEFT.</t>
  </si>
  <si>
    <t>DEERFIELD</t>
  </si>
  <si>
    <t>141 X 67</t>
  </si>
  <si>
    <t>Corner lot end unit with long private driveway. Large backyard extends 37 feet from rear door. Second bedroom open to living area being used as office. Can be enclosed. Newer furnace/A/C-â€™04, windows &amp; SGD-â€™13. Ready for your decorator touches.  SOLD AS-IS.   PACE Route 715 on Cass.</t>
  </si>
  <si>
    <t>Contact John Voris 630 973 7774</t>
  </si>
  <si>
    <t>Deal fell- Financing.  Pre approved or POF only with offer.  OPEN FEEL FOR A TOWNHOUSE-NEEDS UPDATES BUT FUNCTIONAL AS IS. SOLD AS-IS. Check the disclosures for floor plan and Plat layout.</t>
  </si>
  <si>
    <t>16-4G</t>
  </si>
  <si>
    <t>Woodward S of 75th to Country Club, W to 2nd drive on right</t>
  </si>
  <si>
    <t>HUD foreclosure sale case #137-578675 Insured Status: IE. Repair escrow $440. Floor repairs needed. Property to be sold "as is". No survey provided. Taxes prorated at 100%. Earnest money must be in certified funds made out to Royana Realty, Ltd. Letter of approval or proof of funds required. For details, procedures and electronic bidding info see HUDhomestore. Equal opportunity Housing.</t>
  </si>
  <si>
    <t>Heat, Water, Parking, Clubhouse, Pool, Exterior Maintenance, Lawn Care, Scavenger, Snow Removal</t>
  </si>
  <si>
    <t>$1.00 (on Net SP)</t>
  </si>
  <si>
    <t>Ana Wubker</t>
  </si>
  <si>
    <t>(630) 675-6000</t>
  </si>
  <si>
    <t>Buyer is responsible for any transfer or exempt stamps as applicable. HUD will pay up to 3% selling commission if entered on contract at time of offer. This property is a condo unit &amp; part of the Buyer Select Program.</t>
  </si>
  <si>
    <t>Ascot</t>
  </si>
  <si>
    <t>PINE MEADOWS</t>
  </si>
  <si>
    <t>RANDALL ROAD SOUTH OF BYPASS 20 TO EAST ON BOWES TO ASCOT DRIVE- PINE MEADOWS SUBDIVISION</t>
  </si>
  <si>
    <t>26X57</t>
  </si>
  <si>
    <t>BETTER THAN NEW- 2 BEDROOMS- 2 BATHS-  LARGE MASTER BEDROOM WITH WITH JACUZZI TUB- WALK-IN CLOSET. GREAT LOFT/STUDY- LIVING ROOM WITH FIREPLACE-SKYLIGHTS - SLIDERS TO DECK- BREAKFAST BAR- AND ROOM FOR TABLE- LOWER LEVEL FAMILY ROOM WITH WALKOUT TO PATIO- BEDROOM- AND BATH- LAUNDRY TOO-  EXTRA STORAGE- 2 CAR ATTACHED GARAGE</t>
  </si>
  <si>
    <t>Humidifier, Intercom, CO Detectors, Ceiling Fan, Sump Pump</t>
  </si>
  <si>
    <t>CLO,SENTRI</t>
  </si>
  <si>
    <t>WITHHELD</t>
  </si>
  <si>
    <t>Century 21 New HeritageII-Hamp</t>
  </si>
  <si>
    <t>(847) 683-2000</t>
  </si>
  <si>
    <t>Jean Ferron, GRI,SFR</t>
  </si>
  <si>
    <t>(847) 612-6296</t>
  </si>
  <si>
    <t>REMOVE SHOES - LEAVE CARD-</t>
  </si>
  <si>
    <t>NORTH AVENUE TO JOHELIA LANE TO JOREN TRAIL</t>
  </si>
  <si>
    <t>SPACIOUS DUPLEX WITH 2 LARGE BEDROOMS AND 2 BATHS. COME CHECK THIS PROPERTY OUT TODAY AND MAKE IT YOUR NEW HOME!</t>
  </si>
  <si>
    <t>PLEASE CALL SHOWING ASSIST 1-800-746-9464</t>
  </si>
  <si>
    <t>Owner Occupts, NPOs &amp; Gov't Agencies bidding @ www.hudhomestore.com ref. 131-918248. Up to 3% CC. NAID# needed to bid. Exclusive  bidding thru . Daily after if available. More info @ www.hudpemco.com. ALL BIDDERS AFTER.</t>
  </si>
  <si>
    <t>Bennett Lot # 2703</t>
  </si>
  <si>
    <t>ALLERTON</t>
  </si>
  <si>
    <t>New Construction the "Allerton" Of Easton Park! 9 Ft. Ceilings on Main Level. Kitchen w/Upgraded 42" Cabinetry, Granite &amp; SS Appl's. Hardwood Flooring. 2S Great Room. Master Suite Features Volume Ceiling &amp; Luxury Bath. Upgraded Stained Rails + Spindles! Easy Access to 355! Transferable 30 Year Structural Builder Warranty. Energy Star. Photos are Of a Model Home! IMMEDIATE DELIVERY "SPECIAL FINANING AVAILABLE"</t>
  </si>
  <si>
    <t>Oven/Range, Microwave, Dishwasher, All Stainless Steel Kitchen Appliances</t>
  </si>
  <si>
    <t>3%-$200 ON BASE PRICE+$5000 BONUS IF CLOSED BY 12-30-14 (on Net SP)</t>
  </si>
  <si>
    <t>Please Call Kris with M/I Homes @ 630-631-6550 or use Showing Assist</t>
  </si>
  <si>
    <t>Agent Must Accompany Buyer on 1st Visit. Please Register Your Client with Kris Shannon @ 630-631-6550 $5000 BONUS if Closed by 12-30-14</t>
  </si>
  <si>
    <t>EAST VIEW PARK</t>
  </si>
  <si>
    <t>Take Hyde Park Boulevard to 54th street, East to East View Park, take a right on private drive</t>
  </si>
  <si>
    <t>This two bedroom with two full baths and sunroom on the first floor is a rare opportunity in East View Park.   Exceptional shared front park and back yard.  Tiled sunroom with view to the lakefront, beautiful wood, decorative fireplace. One parking. New photos: Freshly painted, beams stripped, and floors redone! A special unit with kitchen open to dining. Design your own kitchen renovation.  WD hookup in the unit.</t>
  </si>
  <si>
    <t>BRET HARTE ELEMENTARY SCHOOL</t>
  </si>
  <si>
    <t>On Site Manager/Engineer, Park/Playground</t>
  </si>
  <si>
    <t>Heat, Water, Parking, Common Insurance, TV/Cable, Exterior Maintenance, Lawn Care, Scavenger, Snow Removal</t>
  </si>
  <si>
    <t>Foyer, Storage, Sun/Florida Room Heated</t>
  </si>
  <si>
    <t>Condo, Low Rise (1-3 Stories), Vintage</t>
  </si>
  <si>
    <t>email pinkham.jessie@gmail.com</t>
  </si>
  <si>
    <t>Jessie Pinkham</t>
  </si>
  <si>
    <t>Big Timber to Timber Trail to Telluride to Durango</t>
  </si>
  <si>
    <t>BEST PRICE IN AREA+ FULL ENGLISH BASEMENT- YOU WON'T FIND A BETTER DEAL!! SHARP!!! 2 BR 2.5 BATH, PLUS LOFT!!   NOT A SHORT SALE OR FORECLOSURE!! UPGRADED BANISTERS, FLOORING, KIT. COUNTER, FOYER WINDOW HAS REMOTE CONTROL BLIND!! ALL OTHER WINDOW TREATMENTS STAY. CAN CLOSE ASAP!! MB OFFERS WALK-IN CLOSET &amp; FULL BATH W/SEPARATE SHOWER. 2ND FLOOR LAUNDRY ROOM. LOFT COULD BE BUILT OUT INTO 3RD BEDROOM. DECK OFF DINING</t>
  </si>
  <si>
    <t>10X17</t>
  </si>
  <si>
    <t>Get Moving Realty, LLC</t>
  </si>
  <si>
    <t>(815) 455-5533</t>
  </si>
  <si>
    <t>Janet Lee-McCormick</t>
  </si>
  <si>
    <t>(815) 482-1250</t>
  </si>
  <si>
    <t>815-482-1250</t>
  </si>
  <si>
    <t>McLean south of Bowes north of Spring/Hopps to Sandhurst west to home. Back unit, 3rd bldg on left</t>
  </si>
  <si>
    <t>Very well kept 2 bedroom, 1 bath unit overlooking open green space. Regular sale with all appliances included, no banks to deal with &amp; quick closing possible!  Great location in the South Elgin school district, close to shopping, ECC, Randall corridor, Rt20 &amp; much more! Why rent when u can own for less, very low taxes! Come &amp; see today!</t>
  </si>
  <si>
    <t>Common Grounds, Cul-de-sac, Nature Preserve Adjacent, Landscaped Professionally</t>
  </si>
  <si>
    <t>Condo, Quad-2 Story, Townhouse-Ranch</t>
  </si>
  <si>
    <t>Conventional, FHA, VA, Assumption-Conv, Assumption-FHA, Trade/Exchange, Cash Only</t>
  </si>
  <si>
    <t>Easy to show, please call office 847-931-7500</t>
  </si>
  <si>
    <t>Israel Ballesteros</t>
  </si>
  <si>
    <t>(224) 305-1611</t>
  </si>
  <si>
    <t>CELL: (224) 305-1611</t>
  </si>
  <si>
    <t>Solid clean unit, show with confidence</t>
  </si>
  <si>
    <t>Teak</t>
  </si>
  <si>
    <t>Barrington Rd to Buttitta W to East Ave. N to Teak</t>
  </si>
  <si>
    <t>End unit townhome.  Living Room has a wood burning fireplace and vaulted ceiling. The kitchen with oak cabinetry. Two bedrooms. Master has a walk-in closet. Sold as is. PRICED TO SELL. AUCTION WITH A TIME LIMIT BIDDING, . EASY ONLINE BIDDING SEE BELOW.</t>
  </si>
  <si>
    <t>Bill Sullivan</t>
  </si>
  <si>
    <t>(630) 461-1559</t>
  </si>
  <si>
    <t>ALL BIDS AND OFFERS MUST BE SUBMITTED VIA HUBZU.COM BUYER TO PAY $299 TECH. FEE TO HUBZU AT CLOSING. FOR FURTHER ASSISTANCE CALL HUBZU @ 1855-882-1314.</t>
  </si>
  <si>
    <t>701S</t>
  </si>
  <si>
    <t>LAKE  PK AVE TO 55TH ST  WEST TO PROPERTY</t>
  </si>
  <si>
    <t>Really nice 2 bedroom, 2 bath unit in a sought after building.  Make your offer today. sold as-is.  Please allow 2-3 business days for sellers response.</t>
  </si>
  <si>
    <t>Bike Room/Bike Trails, Door Person, Coin Laundry, Elevator, Exercise Room, Storage, On Site Manager/Engineer, Party Room, Sundeck, Pool-Outdoors, Receiving Room, Security Door Locks</t>
  </si>
  <si>
    <t>Heat, Water, Gas, Common Insurance, Security, Doorman, TV/Cable, Exterior Maintenance, Lawn Care, Scavenger, Snow Removal</t>
  </si>
  <si>
    <t>Show a business card at the management office</t>
  </si>
  <si>
    <t>Bank of America, N.A.</t>
  </si>
  <si>
    <t>Prestige Partners Realty, Inc.</t>
  </si>
  <si>
    <t>(708) 891-5380</t>
  </si>
  <si>
    <t>Dennis Brim</t>
  </si>
  <si>
    <t>AS IS, CASH OR CONVENTIONAL ONLY.  Bank of America, N.A. employees and employeesâ€™ household members and HTS business partners of the Bank, are prohibited from purchasing this property, whether directly or indirectly.</t>
  </si>
  <si>
    <t>104S</t>
  </si>
  <si>
    <t>Clean and ready to move in. Amenities, Indoor pool, Great Room, Laundry rooms 2 and 4th floor, elevator, security doors, Large walk out patio, Euclid side</t>
  </si>
  <si>
    <t>Keys at ReMax, 129 W 1st, Elmhurst 630 832 9620</t>
  </si>
  <si>
    <t>May Real Estate</t>
  </si>
  <si>
    <t>(630) 279-8215</t>
  </si>
  <si>
    <t>Richard May</t>
  </si>
  <si>
    <t>1st floor vacant unit, walk out large patio. Quick close.</t>
  </si>
  <si>
    <t>BARTLETT RD N. OF SCHAUMBURG RD TO SHAG BARK EAST</t>
  </si>
  <si>
    <t>2 story townhome in sought after Tiffany Place.  Needs TLC, but this is your chance to bring your ideas and personal touch to make it your own. Finished basement.  Neighborhood walking path behind the property.  This is a Fannie Mae HomePath property. Buyer is responsible for all permits/inspections/transfer stamps</t>
  </si>
  <si>
    <t>Cash Only, Other</t>
  </si>
  <si>
    <t>U/C, no more showings...All offers need to be submitted on the HomePath Website.</t>
  </si>
  <si>
    <t>WEST BEVERLY</t>
  </si>
  <si>
    <t>WESTERN TO 107TH STREET - ONE BLOCK WEST TO ARTESIAN AVENUE.  NEC OF 107TH ST &amp; ARTESIAN AVE.</t>
  </si>
  <si>
    <t>This 2 bedroom, updated condo features 2 bedrooms, breakfast nook, newly remodeled kitchen with subway tile,  newer thermal pane windows, hardwood flooring, in unit laundry, 1/2 basement, owned parking space, and more.  Close to shopping and transportation. Great West Beverly Location.  A must see!</t>
  </si>
  <si>
    <t>Call to set appointment</t>
  </si>
  <si>
    <t>Title Holder of Record</t>
  </si>
  <si>
    <t>Kathleen Konrath</t>
  </si>
  <si>
    <t>(773) 383-8278</t>
  </si>
  <si>
    <t>Special assessment and assessments are reflected in the $211.00 monthly assessment. Building is not FHA or VA approved.  Seller is looking for reasonable offer.</t>
  </si>
  <si>
    <t>MANNING</t>
  </si>
  <si>
    <t>Montgomery/Rt 30 to Briarcliff to Manning, first drive on left, front entrance faces Montgomery Rd</t>
  </si>
  <si>
    <t>BEST VALUE! MOVE RIGHT IN BEFORE THE COLD! ROOMY 2 BEDROOM TOWNHOME W/LOADS OF NEW UPDATES JUST FOR YOU! NEW FLOORING ON MAIN &amp; LOWER LEVELS, ALL FRESH PAINT, NEW KITCHEN APPLIANCES, NEW LIGHTING~ONLY CARPET IS ON STAIRS &amp; HALLWAY FRESHLY CLEANED~OPEN FLOOR PLAN W/LARGE TWO STORY LIVING ROOM~OPEN STAIRCASE~ISLAND KITCHEN W/LOADS OF CABINETS~SPACIOUS FAMILY ROOM ON LOWER LEVEL CAN ALSO BE 3RD BEDROOM~2ND FLR LAUNDRY.</t>
  </si>
  <si>
    <t>2.5%-$150.00 (on Gross SP)</t>
  </si>
  <si>
    <t>Call CSS 877-977-1010, some notice to show</t>
  </si>
  <si>
    <t>Joanne LaVia, CSC,SFR</t>
  </si>
  <si>
    <t>(630) 267-7564</t>
  </si>
  <si>
    <t>FAX 630-896-3357</t>
  </si>
  <si>
    <t>AGENTS: PLEASE NO LOW OFFERS ALREADY BELOW MARKET VALUE...NICE HOME! SOME NOTICE TO SHOW, YOUNG KIDS. QUICK CLOSE POSSIBLE. FHA APPROVED:)</t>
  </si>
  <si>
    <t>FOUNTAIN SQUARE</t>
  </si>
  <si>
    <t>HIGHLAND AVE TO 22ND, EAST TO FOUNTAIN SQUARE ENTRANCE. WEST OF WESTMORE AND MYERS</t>
  </si>
  <si>
    <t>BEAUTIFULLY UPDATED 2BR 2BA CONDO FACING COURT YARD, 9FT CEILINGS,SECURITY SYSTEM IN UNIT, NEW CABINETS KITCHEN AND BATH, NEW S/S APPLIANCES,NEW GRANITE IN KITCHEN AND BATH,NEW LIGHTING NEW H/W FLOOR W/ 5IN BASEBOARDS, , FULL W/D IN UNIT,FRESHLY PAINTED, LARGE WINDOWS, NEW BLINDS.LARGE CLOSETS, UNDERGROUND PARKING SPACE #23 W/ STORAGE CAGE. MOVE IN READY.</t>
  </si>
  <si>
    <t>UNDER CONTRACT PENDING MORTGAGE APPROVAL. NO SHOWINGS AT THIS TIME.</t>
  </si>
  <si>
    <t>Orchard to Rte 30 west to Gordon North to Simpson East on Waverly to home</t>
  </si>
  <si>
    <t>You will love sitting on your patio and enjoying your waterfront view!! Lovely townhome which includes all kitchen appliances plus washer and dryer which is conveniently situated on the 2nd floor.  Bright and airy with 2 story living room, 2 bedrooms, 2.5 baths, eat-in kitchen with island and 2 car garage.  Move-in condition!!!</t>
  </si>
  <si>
    <t>MCDOLE ELEMENTARY SCHOOL</t>
  </si>
  <si>
    <t>HARTER MIDDLE SCHOOL</t>
  </si>
  <si>
    <t>Call CSS 1-877-977-1010 to schedule a showing</t>
  </si>
  <si>
    <t>Chris French, CNC,CSC,SFR</t>
  </si>
  <si>
    <t>630-605-0775</t>
  </si>
  <si>
    <t>CC: Pursuant to Short Sale. Short Sale.. Any Reduction In Commission Will Be Shared.. ..Short Sale Package Has Been Submitted Just Need Offer..</t>
  </si>
  <si>
    <t>JEFFERSON WEST</t>
  </si>
  <si>
    <t>OGDEN (RT 34), E ON JEFFERSON TO 1494 JEFFERSON</t>
  </si>
  <si>
    <t>3-MIN TO DOWNTOWN NAPERVILLE &amp; RIVERWALK * SUNNY END-UNIT W/PRIVATE BALCONY * 2-STORY FLR PLAN * BR'S W/VAULTED CEILINGS * CARPET &amp; PAINT NEW 2014 * WATER  HEATER NEW 2014 * EAT-IN KIT W/GRANITE COUNTERS * DISHWASHER NEW 2014 * DISPOSAL NEW 2014 * SPACIOUS LIVING ROOM * ABUNDANT CLOSET STORAGE * WASHER &amp; DRYER INCL * VERY CONVENIENT TO I-88, METRA STATION &amp; FOX VALLEY MALL RT-59 CORRIDOR ** OK FOR QUICK CLOSE *</t>
  </si>
  <si>
    <t>EASY TO SHOW - SEE SHOWING ASSIST</t>
  </si>
  <si>
    <t>Jon TeVogt, AHWD</t>
  </si>
  <si>
    <t>(630) 803-0303</t>
  </si>
  <si>
    <t>READY TO MOVE IN - FANTASTIC INVESTMENT OPPORTUNITY - PARKING SPACES "159" &amp; "182"   ** COMPLEX IS NOT FHA APPROVED **</t>
  </si>
  <si>
    <t>2 blocks east of pulaski and 63rd street</t>
  </si>
  <si>
    <t>REO - BANK OWNED.PROPERTY SOLD â€œAS ISâ€ WITHOUT REPAIR, WARRANTY OR SELLER DISCLOSURE. â€œSELLER WILL NOT ACTIVATE ANY UTILTIESâ€ Listing Broker &amp; Seller assume no responsibility &amp; make no guarantees/warranties or representations as to the availability or accuracy of the property information, photographs or other information depicted/described herein.. NO RENTALS allowed, CASH &amp; CONVENTIONAL OFFERS</t>
  </si>
  <si>
    <t>www.hubzu.com start &amp; end times Bank owned AS IS Offers MUST submit www.hubzu.com SELLER WONT ACTIVATE UTILITY 4 inspection.NO FAX/EMAIL OFFER PER SELLER,  View b4 bidding... Fee of $299.00&amp; 4.5%Buyer prem pd@ close by buyer NO RENTALS</t>
  </si>
  <si>
    <t>RT 47 to ROSENWINKLE, to end turn left, home is on the right</t>
  </si>
  <si>
    <t>147X136X147X136</t>
  </si>
  <si>
    <t>LARGE PRICE DROP! Beautiful townhome in pristine condition! Large open spaces include a living and dining room on the main level and a 2nd large family room upstairs! Large bedrooms with a walk-in master closet. Upstairs laundry room! Perfect starter home or home for those looking to downsize with low maintenance. Neighborhood clubhouse and pool! North side of Yorkville with convenient access to I-8</t>
  </si>
  <si>
    <t>Common Insurance, Clubhouse, Pool, Exterior Maintenance, Lawn Care, Scavenger</t>
  </si>
  <si>
    <t>Minimum of 2 hours notice please, use showing assist</t>
  </si>
  <si>
    <t>Jason Peterson</t>
  </si>
  <si>
    <t>Not a short sale, available for quick close! Unit in excellent condition! Marble table in dining room is negotiable in sale. Highly motivated sellers, bring an offer! SSA is included in the taxes.</t>
  </si>
  <si>
    <t>Elm</t>
  </si>
  <si>
    <t>Route 31 to Elm (west) to home on the south side of the street.</t>
  </si>
  <si>
    <t>35X150</t>
  </si>
  <si>
    <t>Completely renovated &amp; like new ranch unit!This 2 bedroom 1/2 duplex has freshly painted walls, white trim &amp; brand new dark wood laminate flooring just waiting for it's new owner!  Large, private fenced-in back yard &amp; NO association fees!  This is the perfect home or income property!  The other side of the duplex is also for sale, 528 Elm. Buy one side/live in the other to help offset costs.Lots of possibilities!!!</t>
  </si>
  <si>
    <t>call showings.com at 877.977.1010 to schedule an appointment.</t>
  </si>
  <si>
    <t>terra@stonetowerpropeties.com</t>
  </si>
  <si>
    <t>Both 528 and 530 Elm have been very lucrative income properties for the current owners.  Ranch units are very desirable and they have had no trouble keeping both units rented.  They have done extensive painting and flooring upgrades.</t>
  </si>
  <si>
    <t>Lake St E of I355 to Rohlwing Road N to Condo</t>
  </si>
  <si>
    <t>LIKE NEW 3RD FLOOR UNIT FACING GOLF COURSE! SS APPLIANCES IN KITCHEN W/42"CHERRY CABINETS! GREAT MASTER BR W/HUGE PRIVATE BATHROOM W/SEAPARATE SHOWER AND JACUZZI TUB!  HDWD FLOORS IN FOYER, KITCHEN, LIVING ROOM AND HALL! GREAT CLOSET SPACE!! 2 GARAGE SPACES!</t>
  </si>
  <si>
    <t>MEDINAH PRIMARY SCHOOL</t>
  </si>
  <si>
    <t>Heat, Water, Gas, Parking, Common Insurance, TV/Cable, Exterior Maintenance, Lawn Care, Snow Removal</t>
  </si>
  <si>
    <t>PLEASE CALL LISTING AGENT</t>
  </si>
  <si>
    <t>Angela Palazzolo</t>
  </si>
  <si>
    <t>(630) 205-9575</t>
  </si>
  <si>
    <t>PARKING SPACES 1178 &amp; 1179</t>
  </si>
  <si>
    <t>BUNKER HILL</t>
  </si>
  <si>
    <t>22ND ST TO HERITAGE LAKE, SOUTH TO BUNKER HILL, EAST TO HOME</t>
  </si>
  <si>
    <t>Well maintained 2 story end unit freshly painted and ready to move in. Great cul de sac location with a pond view.  Updates include all windows replaced, water heater 07 and great storage in the crawl space. Bathroom, carpet and laminate floors updated 2010-2012. Parking spaces â€“ 2 are right next to unit.  Enjoy the neighborhood pool and park. Close to Danada shopping and expressways. Not FHA approved.</t>
  </si>
  <si>
    <t>Parking, Security, Pool, Exterior Maintenance, Lawn Care, Scavenger, Snow Removal</t>
  </si>
  <si>
    <t>2 HOUR NOTICE CLICK ON SHOWING ICON OR CALL 855-746-9200</t>
  </si>
  <si>
    <t>Jackie Paul</t>
  </si>
  <si>
    <t>(630) 776-4262</t>
  </si>
  <si>
    <t>630-776-4262 CELL</t>
  </si>
  <si>
    <t>Orchard</t>
  </si>
  <si>
    <t>Binnie Rd to Glen Eagle Farms</t>
  </si>
  <si>
    <t>Nice and bright end unit with much to offer! Family room with fireplace. Spacious kitchen with built ins in eating area. Patio overlooking preserve. This is a Homepath property.</t>
  </si>
  <si>
    <t>Anita Holt</t>
  </si>
  <si>
    <t>(815) 757-4018</t>
  </si>
  <si>
    <t>USE 6.0 CONTRACT GO TO HOMEPATH.COM DOWNLOA ADDENDUMS AND OWNER OCCUPANCY CERT AND SUBMIT</t>
  </si>
  <si>
    <t>NEW YORK WEST OF EOLA TO PARK AVE,STOUGHTON,R</t>
  </si>
  <si>
    <t>DURHAM LOFT</t>
  </si>
  <si>
    <t>STUNNING END UNIT TOWN HOME. OPEN FLOOR PLAN. NEWER HARDWOOD FLOORS THROUGHOUT FIRST FLOOR. LARGE OPEN VERSATILE LOFT. LUXURY MASTER SUITE WITH SEPARATE SHOWER &amp; TUB, WIC. CUSTOM 2" BLINDS THROUGHOUT. GAS FIREPLACE W/SURROUND. MINUTES TO THE COMMUTER TRAIN, SHOPS, RESTAURANTS....</t>
  </si>
  <si>
    <t>USE SHOWINGASSIST OR CALL LA 630-247-0296 FOR APPT</t>
  </si>
  <si>
    <t>JACKLYNE FULLMER</t>
  </si>
  <si>
    <t>Jeffrey Wolak</t>
  </si>
  <si>
    <t>LAKESHORE DRIVE, EAST ON 67TH STREET, SOUTH ON YATES TO PROPERTY.</t>
  </si>
  <si>
    <t>SPACIOUS CONDO IN SOUTH SHORE NEIGHBORHOOD!!!! THIS 2 BEDROOM, 2 FULL BATHS HAS LARGE LIVING ROOM WITH ROCK WALL FOR FAUX FIREPLACE, SEPARATE DINING ROOM, KITCHEN WITH TONS OF COUNTERTOPS. IN UNIT HOOKUP FOR WASHER/DRYER.  PROPERTY HAS REAR BALCONY &amp; PARKING. THIS IS A FANNIE MAE HOMEPATH PROPERTY.</t>
  </si>
  <si>
    <t>Please contact Naomi Nelson @ 708-289-4533 for all showings.</t>
  </si>
  <si>
    <t>FELSTED</t>
  </si>
  <si>
    <t>THE FELSTED HAS 2BD/2 BTH + HUGE 14X10 DEN/OFFICE W/OVER 1700 SQFT OF LUXURY LIVING. GRANITE, SS APPLS, HDWD FLRS &amp; 1 CAR HEATED GARAGE SPACE. W/ 12 ACRES Of LUXURY LIVING, THE HAMPTONS OF HINSDALE IS THE NEWEST &amp; MOST LUXURIOUS SUBDIVISION BUILT TODAY! OUR CUSTOM DESIGNED/DECORATED CONDOS RANGE FROM 1300-2300 SQFT,TO OUR ULTRA LUXURIOUS 3+STORY TOWNHOMES. THERE IS TRULY SOMETHING FOR EVERYONE. DELIVERY MID 8/2014</t>
  </si>
  <si>
    <t>2.5% MINUS $325 (on Net SP)</t>
  </si>
  <si>
    <t>CALL SALES CENTER 630.384.6480 T-F 12-6PM SAT-SUN 11-4PM</t>
  </si>
  <si>
    <t>FOR SHOWINGS OR APPOINTMENTS PLEASE ONLY CALL SALES CENTER 630.384.6480. * COMMISSION BASED ON BASE SALE PRICE. DELIVERY MID AUGUST 2014.</t>
  </si>
  <si>
    <t>Bennett Lot# 2601</t>
  </si>
  <si>
    <t>End UNIT, "Bainbridge" at Easton Park.  Open Floor Plan Features 9 Ft. Ceilings on 1st Floor.  Kitchen w/Upgraded 42" Cabinetry, Granite &amp; SS Appl's. Master Br Ftrs Pvt Luxury Bth w/Sep Tub n Shwr. Stained Rails &amp; Spindles. Hardwood Flooring.  100% Energy Star Home. 30 yr. Transferable Structural Builders Warranty. Photo's Are of a Model. Close by 12/30/14 to take advantage of just reduced by $10,000 incentive!</t>
  </si>
  <si>
    <t>Please call the Sales Office 630-665-5500</t>
  </si>
  <si>
    <t>Agent must accompany buyers on first visit. Please register with Rhonda Gehr 630-244-8082. Call her cell with any questions.</t>
  </si>
  <si>
    <t>Wilson to 134 West to Lakeside South to Vista East</t>
  </si>
  <si>
    <t>Subject is an Avs Townhome with 2 bedrooms, 1.5 bath and an attached 2 car garage. Subject was painted and has new carpeting. Move in condition and well maintained.</t>
  </si>
  <si>
    <t>Seller has directed that all offers be presented on HomePath.com. Download Contract Package from MLS under Addl Info. RE Purchase addendum must accompany all offers</t>
  </si>
  <si>
    <t>Dalton</t>
  </si>
  <si>
    <t>Rt 34 to Bridge St L on Landmark Ave Turn on Dalton to Home</t>
  </si>
  <si>
    <t>Wonderful townhome featuring 2 spacious BR's, nice kitchen with eat-in area, separate dining rm. Close to shopping center. This is a Fannie Mae HomePath property.  Auction ends 01-09-2015.</t>
  </si>
  <si>
    <t>1% OR $400 (ON NET SP) (ON NET SP) (on Net SP)</t>
  </si>
  <si>
    <t>Use Showing Assist or call 800-746-9464</t>
  </si>
  <si>
    <t>BUYER RESPONSIBLE FOR TRANSFER STAMPS IF APPLICABLE This property is now under auction terms. Pre-sale bids should be submitted through Auction.com. This property is subject to a 5% buyerâ€™s premium pursuant to the Auction Terms &amp; Conditions</t>
  </si>
  <si>
    <t>Douglas to Wiesbrook east to Huntington</t>
  </si>
  <si>
    <t>Nestled back in a great court &amp; location close to shopping. This adorable 2 bed &amp; 2.5 bath is move in ready! 2 story foyer opens up to large living area, high ceilings and fire place. Kitchen w/brkfst bar, crown molding throughout, ample closet space, 2nd floor laundry room  and vaulted ceiling in master bedroom. Come and see today!</t>
  </si>
  <si>
    <t>Water-Softener Owned, TV-Dish</t>
  </si>
  <si>
    <t>Call listing office, M-F showings only after 4PM, must have ok, dog on property</t>
  </si>
  <si>
    <t>(630) 553-5060</t>
  </si>
  <si>
    <t>Natalie Brummel</t>
  </si>
  <si>
    <t>(630) 247-4228</t>
  </si>
  <si>
    <t>79th St. E/W to Drexel South to property</t>
  </si>
  <si>
    <t>Nice condo in move in condition. Bring your decorating ideas.</t>
  </si>
  <si>
    <t>Schedule using Showing Assist</t>
  </si>
  <si>
    <t>City Suburban Real Estate of IL, Inc.</t>
  </si>
  <si>
    <t>(708) 576-8885</t>
  </si>
  <si>
    <t>Ramiz Sweiss</t>
  </si>
  <si>
    <t>CC: Pursuant to Short Sale. Include disclosures under info section with your offer. Also need to include S/S Addendum. Survey/Termite/City Inspections/Escrow/Repairs are Buyer's obligation.Taxes are prorated at 100%.EM to be Certified Check.Sold As-is &amp; Arm's Length.</t>
  </si>
  <si>
    <t>From Rt 47 turn west onto Rt 34 left to John St then right to Cottonwood, home is on right 1518</t>
  </si>
  <si>
    <t>End unit allowing for more direct sun light, space, and privacy. Vaulted/Cathedral Ceilings open to loft area add to the spacious feel. A gas log fireplace warms the open concept in the living, dining, and eat-in kitchen area. The loft area is spacious as well over looking living area. The furnace and hot water tank are 3 years old. Newly redecorated, ready to move into! A lovely town home with motivated sellers!</t>
  </si>
  <si>
    <t>EZ to Show Call CSS 877-977-1010</t>
  </si>
  <si>
    <t>Dunning</t>
  </si>
  <si>
    <t>Connect Realty.com, Inc.</t>
  </si>
  <si>
    <t>(630) 935-8400</t>
  </si>
  <si>
    <t>Joan Workman</t>
  </si>
  <si>
    <t>Home has been recently remodeled with new cabinetry, counters, wood laminate flooring, paint, and carpeting. Seller's will repaint over bedroom murals if not needed.</t>
  </si>
  <si>
    <t>GYPSUM</t>
  </si>
  <si>
    <t>Rt. 59 to Leverenz; E to Sheehan; N to Gypsum; E to 2926</t>
  </si>
  <si>
    <t>Renovated move in ready townhome!  New carpet, new paint with accent walls, newly painted white woodwork with brushed nickel hardware, new window treatments and new lighting.  Kitchen features  new granite countertops,  new SS appliances.  Two story family room, each bedroom upstairs with bath, great floorplan, great location, two car garage, interior lot, pack your things , get ready to move!!</t>
  </si>
  <si>
    <t>Use showing assist,  easy to show vacant</t>
  </si>
  <si>
    <t>Estate of Norbert Zajac</t>
  </si>
  <si>
    <t>Sherry Litherland, CSC</t>
  </si>
  <si>
    <t>(630) 229-2244</t>
  </si>
  <si>
    <t>GRAND POINTE</t>
  </si>
  <si>
    <t>WEST OF THATCHER ON GRAND</t>
  </si>
  <si>
    <t>SPACIOUS AND SUNNY 2 BEDROOM, 2 BATH CONDO. THE PROPERTY FEATURES: MODERN OPEN FLOOR PLAN, GOOD SIZE BEDROOMS, EAT-IN KITCHEN WITH GRANITE COUNTER TOP, BALCONY, IN-UNIT WASHER &amp; DRYER, HEATED GARAGE PARKING, SPRINKLED BUILDING WITH STORAGE LOCKERS, ELEVATOR. EXCELLENT RIVER GROVE LOCATION, CLOSE TO PARKS, STORES, BUS STOP AND METRA. A MUST SEE!</t>
  </si>
  <si>
    <t>Intercom, Fire Sprinklers, Sprinkler-Lawn</t>
  </si>
  <si>
    <t>Call LO, 24 hours notice, M-FR, the best time  8am-10am or after 6 pm, S&amp;S anytime</t>
  </si>
  <si>
    <t>Regina Zak Tomas</t>
  </si>
  <si>
    <t>(773) 520-1522</t>
  </si>
  <si>
    <t>CC: Pursuant to Short Sale. ANY REDUCTION OF THE COMMISSION WILL BE DIVIDED EQUALLY BETWEEN OFFICES. LA HAS CDPE DESIGNATION-EXPERIENCED IN SHORT SALE. EMAIL OR FAX ALL OFFERS W/SHORT SALE RIDER, FAX 773.751.5516</t>
  </si>
  <si>
    <t>Norwell</t>
  </si>
  <si>
    <t>Rte 60 and Cedar lake E2 Lakewood Grove subdivision S2 Narwal</t>
  </si>
  <si>
    <t>29.18 X 125</t>
  </si>
  <si>
    <t>Great 2 bedroom duplex in desirable Lakewood Grove sub. Open floor plan features spacious living room that opens into eating area and kitchen. Interior garage access with plenty of storage. 2nd level features large 2nd bedroom. Oversized laundry room and hall bath. Master suite w/ private bath and walk in closet. Large fenced yard for privacy. Short sale, allow time for 3rd party approval!</t>
  </si>
  <si>
    <t>2.5% -$225 (ON NET SP) (on Net SP)</t>
  </si>
  <si>
    <t>Please call show assist 855-746-9200-24 hr notice must!</t>
  </si>
  <si>
    <t>CC: Pursuant to Short Sale. short sale, allow time for 3rd party approval. All reductions in commissions will be split 50/50 between list and sales office. Sold as-is no survey provided taxes prorated at 100%</t>
  </si>
  <si>
    <t>Shakespeare</t>
  </si>
  <si>
    <t>45 &amp; Washington, W2 Atkinson, S2 Shakespeare</t>
  </si>
  <si>
    <t>28X95</t>
  </si>
  <si>
    <t>Desirable Chadwick Model, Kitchen with breakfast bar, pantry and loads of cabinets, half bath on 1st floor, laundry conveniently located on 2nd floor, master bedroom with walk in closet, master bath with separate whirlpool jet tub and shower, large loft/den/ or easily convert to a 3rd bedroom, patio, always has been a pet free &amp; smoke free townhome, Move in Ready! Community offers gym/clubhouse.</t>
  </si>
  <si>
    <t>Bike Room/Bike Trails, Exercise Room, Storage, Health Club, Park/Playground, Party Room, Curbs/Gutters, Sidewalks, Street Lights, Street Paved</t>
  </si>
  <si>
    <t>2.5-$175 (on Gross SP)</t>
  </si>
  <si>
    <t>Roosevelt to Adare to Caxton East to Kilkenny</t>
  </si>
  <si>
    <t>BLAIR</t>
  </si>
  <si>
    <t>Wonderful Blair ranch model in desirable Adare Farm. Spacious family room features hardwood flooring, wet bar, fireplace and French doors.  Two Spacious bedrooms, two baths and full basement.  1st Floor Laundry hook up This is a Fannie Mae Homepath property.</t>
  </si>
  <si>
    <t>All offers must be submitted through www.HomePath.com  No personal property included</t>
  </si>
  <si>
    <t>WEST</t>
  </si>
  <si>
    <t>Wesley Square</t>
  </si>
  <si>
    <t>West St N of RR Tracks to 1st Dr N of Wesley right to Visitor Parking</t>
  </si>
  <si>
    <t>Carefree living in this perfectly located Wheaton town home.  Just steps from the train station, fine &amp; casual dining &amp; shopping, this 2 BR, 2.5 Bath home, in exceptional condition, offers a large living &amp; dining room combo, up-to-date kitchen w/ stainless appliances, a 1st floor den, basement w/ laundry + 2 car garage.  Special features: Gas Log Fireplace, Hardwood Floors &amp; a Great for Grilling Balcony! Move In Now!</t>
  </si>
  <si>
    <t>Bill LaFontaine</t>
  </si>
  <si>
    <t>(630) 251-3559</t>
  </si>
  <si>
    <t>Route 31 south to Elm Street</t>
  </si>
  <si>
    <t>First time home buyers, down-sizers, investors...This ranch duplex is perfect for so many different situations!  Buy half of the duplex as listed OR buy entire building(530 Elm also listed) and rent out the other half to help offset your costs! These units have HUGE, fenced yards and NO HOA, so NO FEES! New flooring, fresh paint and updated appliances have already been added. Move-in ready &amp; quick close possible!</t>
  </si>
  <si>
    <t>Bike Room/Bike Trails, Sidewalks, Street Lights, Street Paved</t>
  </si>
  <si>
    <t>Call showings.com at 877.977.1010 to schedule an appointment.</t>
  </si>
  <si>
    <t>630-917-2717</t>
  </si>
  <si>
    <t>RT 72 TO RT 68 (BARRINGTON AVE), E TO VILLAGE GREEN</t>
  </si>
  <si>
    <t>Att'n seniors! lst flr condo in 55+ community of Village Green of ED! You'll love spending time on your priv patio with a SW view. Bring your pup as pets allowed/small dogs on lst flr only. Features incl fully applianced kit, washer/dryer and spacious living areas. Mo assessmt pays all utilities, bi-mo hskpg, linen changes &amp; more! Asik me about optional meal plan and begin enjoying life in a carefree environment!</t>
  </si>
  <si>
    <t>Commissary, Elevator, Exercise Room, Storage, On Site Manager/Engineer, Party Room, Receiving Room, Security Door Locks, Curbs/Gutters, Sidewalks, Street Lights, Street Paved</t>
  </si>
  <si>
    <t>Handicap Shower, Soaking Tub</t>
  </si>
  <si>
    <t>Heat, Air Conditioning, Water, Electric, Parking, Common Insurance, TV/Cable, Exercise Facilities, Exterior Maintenance, Lawn Care, Scavenger, Snow Removal</t>
  </si>
  <si>
    <t>Common areas include exercise room, beauty shop, Wellness Center, Therapy Center, laundry room</t>
  </si>
  <si>
    <t>Weymouth</t>
  </si>
  <si>
    <t>LIBERTY SQUARE</t>
  </si>
  <si>
    <t>IRVING PARK RD TO OLDE SALEM N TO HARTMAN EAST TO WEYMOUTH</t>
  </si>
  <si>
    <t>21X81X22X81</t>
  </si>
  <si>
    <t>IMPRESSIVE &amp; UPDATED 2 STORY TOWNHOME! LARGE LIVING ROOM ~ BEAUTIFUL NEW KITCHEN ~ ALL APPLIANCES STAY! NEW CARPET ~  PRIVATE FENCED YARD + 1 CAR GAR ~ SCHAUMBURG SCHOOLS (54 &amp; 211) AND PARK DIST!  CONVENIENT LOCATION NEAR ELGIN O'HARE EXPRESSWAY, COMMUTER TRAIN, SHOPPING, RESTAURANTS &amp; MORE. ENJOY SUMMER AT THE COMMUNITY POOL &amp; CLUBHOUSE! THIS IS A PUD PROPERTY SO BRING YOUR FHA BUYER!!</t>
  </si>
  <si>
    <t>Parking, Common Insurance, Clubhouse, Exterior Maintenance, Lawn Care, Scavenger, Snow Removal</t>
  </si>
  <si>
    <t>CALL JOHN 630.240.8085</t>
  </si>
  <si>
    <t>Mathisen Realty, Inc.</t>
  </si>
  <si>
    <t>(630) 616-9600</t>
  </si>
  <si>
    <t>John Garry</t>
  </si>
  <si>
    <t>(630) 240-8085</t>
  </si>
  <si>
    <t>EARNEST MONEY MUST BE IN CERTIFIED FUNDS  VACANT ON SENTRILOCK, PLEASE CALL/TEXT L/A TO NOTIFY OF SHOWING 630.240.8085 PLEASE REMOVE SHOES</t>
  </si>
  <si>
    <t>NORTH BROOKFIELD</t>
  </si>
  <si>
    <t>Maple just N of RR trax to Brookfield Av East to home</t>
  </si>
  <si>
    <t>29 X 119 X 28 X 112</t>
  </si>
  <si>
    <t>Lovely End Unit Brick Townhouse. Your very own large Front &amp; Back Yard! Generous sizes with HW floors in Bedrooms! Laundry Hookup on main level! Kitchen Appliances included!  Easy access to train, town and shopping. No monthly assessments. Add a garage to complete your dream home! Short Sale! Buyer responsible for Village repairs!</t>
  </si>
  <si>
    <t>Oven/Range, Microwave, Dishwasher-Portable, Refrigerator</t>
  </si>
  <si>
    <t>Re/Max Cityview</t>
  </si>
  <si>
    <t>(773) 631-8260</t>
  </si>
  <si>
    <t>Dalia Cajigas, ABR</t>
  </si>
  <si>
    <t>(773) 879-4855</t>
  </si>
  <si>
    <t>CC: Pursuant to Short Sale. Short Sale! Buyer Must agree to wait minimum 90 days for short sale approval! Sold "as is" condition! Visible damage from Roof Leak! POF with any cash offers! Buyer responsible for village repairs!</t>
  </si>
  <si>
    <t>Fieldstone Place</t>
  </si>
  <si>
    <t>Montgomery Rd to Briarcliff South to Manning East to 1408 Manning</t>
  </si>
  <si>
    <t>21X59</t>
  </si>
  <si>
    <t>Beautiful ready to move in TH to call your own. Kitchen w/island, 42â€maple cabs,SS frig and stove Could add table and chair for addtl eating space. Plenty of room for family dining in sep dining room. Big screen TV will fit perfectly in living room. Huge mstr suite w/soaking tub &amp; sep shower, 2 vanity/sink, wic; large second bed w/wic&amp;full bath. LL family room, hwfl, laundry. Attached 2+ car garage. Close to hwys.</t>
  </si>
  <si>
    <t>Deck, Eating Area</t>
  </si>
  <si>
    <t>2.5 - $150 (on Gross SP)</t>
  </si>
  <si>
    <t>Call showing solutions 877-977-1010</t>
  </si>
  <si>
    <t>Cervantes</t>
  </si>
  <si>
    <t>Judy M Newton, SFR</t>
  </si>
  <si>
    <t>630-660-3384</t>
  </si>
  <si>
    <t>Great place to show. Several upgrades made, new kitchen sink, new flooring in kitchen and lower level. Both baths have been updated with new floors, new vanities.</t>
  </si>
  <si>
    <t>Main Street South of 63rd to Kensington Courts.</t>
  </si>
  <si>
    <t>Immaculate condo, move-in ready! Features include, in-unit laundry, 2 full baths, 2 bedrooms, 2" faux wood blinds with crown molding, new wood laminate floors in kitchen and foyer. Large balcony with Southwest exposure. Enjoy your favorite book or social gathering with friends at the pool. Covered parking included.</t>
  </si>
  <si>
    <t>Water, Parking, Clubhouse, Pool, Exterior Maintenance, Lawn Care, Scavenger, Snow Removal</t>
  </si>
  <si>
    <t>Click on showing assist for appointment.</t>
  </si>
  <si>
    <t>L ON ROSEWINKLE, 2ND L ON BERTRAM, 1ST L STAY ON BERTRAM.</t>
  </si>
  <si>
    <t>Great 1st floor condo Located in Bristol Bay subdivision.  Property Features 2 bedrooms, 2 baths, Living room, dining room, Kitchen w/ breakfast bar and ample cabinet space, Patio outside of dining room with storage room, new carpet throughout, freshlypainted interior, and 1 car detached garage.  Taxes 100% This is a FANNIE MAE Homepath property. Submit offers through HomePath</t>
  </si>
  <si>
    <t>Clubhouse, Exercise Facilities, Pool, Exterior Maintenance, Snow Removal</t>
  </si>
  <si>
    <t>Please call the Showing Desk @ 888.362.3222 or  LO after hours, thanks.</t>
  </si>
  <si>
    <t>Tony Boccuzzi</t>
  </si>
  <si>
    <t>(630) 669-8131</t>
  </si>
  <si>
    <t>TAXES 100%,  Submit offers to homepath website BUYER IS  RESPONSIBLE FOR PREVIOUS 6 MONTHS HOA FEES.</t>
  </si>
  <si>
    <t>Rte. 38 (State St.) to River Lane North to 100 building</t>
  </si>
  <si>
    <t>Wow! Rare gem in River North with the best views of Fox River from every room!  Beautiful open layout. Major upgrades throughout.  Hardwood Floors, Granite, everything you could want! Custom window treatments.  Enclosed screened porch for year round enjoyment. Radiant heated floors included in assessment! Heated, underground garage.  Walk to downtown quaint Geneva shops, dining, and train.</t>
  </si>
  <si>
    <t>44X14</t>
  </si>
  <si>
    <t>Elevator, Storage, Park/Playground, Security Door Locks, Curbs/Gutters, Sidewalks, Street Lights, Street Paved</t>
  </si>
  <si>
    <t>Common Grounds, Landscaped Professionally, Park Adjacent, River Front, Water View</t>
  </si>
  <si>
    <t>Heat, Water, Common Insurance, Security System, Exterior Maintenance, Lawn Care, Scavenger, Snow Removal</t>
  </si>
  <si>
    <t>N (North), E (East), Lake/Water, Park</t>
  </si>
  <si>
    <t>Brick, EIFS (e.g. Dryvit)</t>
  </si>
  <si>
    <t>Assigned Spaces, Unassigned, Off Street, Visitor Parking, Underground/Covered</t>
  </si>
  <si>
    <t>Forced Air, Radiant, 2+ Sep Heating Systems, Indv Controls</t>
  </si>
  <si>
    <t>2.5%-$395 (on Net SP)</t>
  </si>
  <si>
    <t>Call Mike 630-461-1982</t>
  </si>
  <si>
    <t>Illinois Real Estate Partners Inc</t>
  </si>
  <si>
    <t>Michael Fleck</t>
  </si>
  <si>
    <t>(630) 461-1982</t>
  </si>
  <si>
    <t>Earnest Money must be certified funds</t>
  </si>
  <si>
    <t>North Aurora Rd West of Rt59 to Pennsbury Ln South to Bromley to home.</t>
  </si>
  <si>
    <t>Well maintained 2 bedroom 2.5 bath in Ashton Pointe. Vaulted entry ceiling, new wood laminate floor, freshly painted, master suite with walk-in closet, 2nd floor laundry, highly sought after Naperville school district #204. Very close to Park, I88, Rt59. Quick close possible.</t>
  </si>
  <si>
    <t>Vacant. Call listing agent at 630-400-4689. Leave date and time and show. Please leave business card</t>
  </si>
  <si>
    <t>Vladimir Audouin</t>
  </si>
  <si>
    <t>(630) 400-4689</t>
  </si>
  <si>
    <t>Not a short sale, quick response, close.</t>
  </si>
  <si>
    <t>Butterfield W. of Kirk to Church N. to 1st left to Church Ct., East</t>
  </si>
  <si>
    <t>ARLINGTON</t>
  </si>
  <si>
    <t>Motivated! We can close QUICK! Newer 2 story town home features 2 large bedrooms &amp; 2 1/2 baths~Full basement w/ roughed in bath~Hardwood floors on 1st floor~ Kitchen with stainless steel appliances overlooks private patio~Spacious master bedroom with tons of closet space, including a walk-in closet! Private master bath is gorgeous!Large 2nd floor laundry!Attached 2 car garage!Batavia schools!Minutes to I88 &amp; shopping</t>
  </si>
  <si>
    <t>HOOVER WOOD ELEMENTARY SCHOOL</t>
  </si>
  <si>
    <t>2.5- $200 (on Net SP)</t>
  </si>
  <si>
    <t>CALL LAG Leave ID, Time and day and show</t>
  </si>
  <si>
    <t>630-637-2574</t>
  </si>
  <si>
    <t>Randy Malleos</t>
  </si>
  <si>
    <t>(630) 292-4194</t>
  </si>
  <si>
    <t>Shows great! Sentrilock on garage door.</t>
  </si>
  <si>
    <t>0N066</t>
  </si>
  <si>
    <t>WOODLAND</t>
  </si>
  <si>
    <t>Shelburne Crossing</t>
  </si>
  <si>
    <t>Winfield Rd. - Highlake/Jewel west - Shelburne Farms Dr. - Woodland is on west end of median</t>
  </si>
  <si>
    <t>21.36 X 63</t>
  </si>
  <si>
    <t>Gorgeous Belmont Model with all the Bells and Whistles, Beautiful Forest Preserve View from Deck.HW Flrs on 1st Flr;Kit.w/42" Cherry Cabs w/Pull-Outs,Granite counters &amp; Island,&amp;SS Apps;Wrought Iron&amp;Wood Railings;Master Bed w/Cath.Ceil; Planters Shelf&amp;Private Bath,BR 2 also w/Private Bath;Spacious loft;LL FR,Attached 2 Car Garage;Surr.Sound in Kit,DR,&amp;Master BR;Brushed Nickel Fixtures;Walk to Train;Totally Upgraded!!</t>
  </si>
  <si>
    <t>Common Grounds, Forest Preserve Adjacent, Landscaped Professionally</t>
  </si>
  <si>
    <t>Courtyard, Townhouse-2 Story</t>
  </si>
  <si>
    <t>Mon-Fri 6 Hour notice must confirm, Sat-Sun 2 Hour notice, click on showing assist to schedule.</t>
  </si>
  <si>
    <t>Please note, M-F must have 6 hour notice, Sat &amp; Sun 2 hour notice.  NO EXCEPTIONS.</t>
  </si>
  <si>
    <t>Springwood</t>
  </si>
  <si>
    <t>Dundee</t>
  </si>
  <si>
    <t>ROUTE 72 WEST OF 25 TO KING S THEN LEFT ON SPRINGWOOD</t>
  </si>
  <si>
    <t>FHA APPROVED - PLUS $3K IN CLOSING COSTS FOR OFFER BY 02/28/15. BRAND NEW CARPET~ GREAT OPEN FLOOR PLAN WITH A LOFT ~ FIREPLACE  ~ LOTS OF WINDOWS ~ ART NICHE IN FOYER ~ 2 STORY F.R. ~ EATING AREA W/ SLIDING DOOR TO PATIO ~ BREAKFAST BAR ~ WALK IN PANTRY ~ ALL APPLIANCES ~ MAIN FLOOR LAUNDRY ~ VAULTED CEILING IN MASTER ~ WALK IN CLOSET ~ OAK DOORS AND TRIM ~ HW IN FOYER ~ 2 CAR GARAGE  ~ HOME WARRANTY! QUICK MOVE IN!</t>
  </si>
  <si>
    <t>CALL 888-362-3222 FOR APPOINTMENT</t>
  </si>
  <si>
    <t>Susan Price</t>
  </si>
  <si>
    <t>(847) 220-3385</t>
  </si>
  <si>
    <t>847-220-3385</t>
  </si>
  <si>
    <t>Brownstone</t>
  </si>
  <si>
    <t>Take 120 and O'Plaine Road South to McGaw East to Candlestick South to Brownstone East to #</t>
  </si>
  <si>
    <t>Wonderful 2 bedroom and 2 1/2 bath condo. Amenities include:  New Lennox Furnace and Air Conditioner 13 Seer 2014.  New granite counter tops in full baths, new lights, ceramic back splash and counter top in kitchen.Wood laminate flooring. Deck has been re- stained and backs to a private location. New Appliances. A pleasure to show in Gurnee School Districts 50 &amp; 121. Minutes away to Tollway 294, Route 41 &amp; Shopping.</t>
  </si>
  <si>
    <t>Call Showing Assistance 1-855-746-9100</t>
  </si>
  <si>
    <t>Debbie Bacci, ABR,CRS,GRI,SFR</t>
  </si>
  <si>
    <t>A Pleasure to show!</t>
  </si>
  <si>
    <t>Windsor West</t>
  </si>
  <si>
    <t>Route 47 to West Park.</t>
  </si>
  <si>
    <t>Spacious end unit with 42"cabinets,SS appliances and breakfast room.  Laminate wood floors in family room with fireplace. Master bedroom with vaulted ceilings and large master bath with whirlpool.  Large walk in closets.  First floor laundry. 2 car garage. Rental also a possibility.  Motivated seller! $1500 new carpet allowance!</t>
  </si>
  <si>
    <t>call B&amp;W appt. center for code (855)746-9100</t>
  </si>
  <si>
    <t>Motivated! $1500 new carpet allowance!</t>
  </si>
  <si>
    <t>Highpoint</t>
  </si>
  <si>
    <t>Frontage Rd to Highpoint Circle</t>
  </si>
  <si>
    <t>4990 SQ FT</t>
  </si>
  <si>
    <t>FORECLOSED PROPERTY AWAITING NEW OWNERS! END UNIT LIGHT, BRIGHT &amp; NEUTRAL THRU-OUT! FRESHLY PAINTED!  OPEN TWO-STORY LIVING RM &amp; DINING RM W/VAULTED CEILING. KITCHEN IS VERY BRIGHT W/MANY CABINETS FOR STORAGE. LOFT FOR YOUR OFFICE OR SITTING ROOM. MASTER BEDROOM W/LARGE CLOSET, TUB &amp; SEPARTATE SHOWER. GREAT SCHOOLS, LOCATION &amp; SHOPPING! REO/BANK OWNED</t>
  </si>
  <si>
    <t>Parking, Common Insurance, Exterior Maintenance, Lawn Care</t>
  </si>
  <si>
    <t>SOLD AS IS, 100% TAX PRORATION. Agents, please submit all offers using the link - https://agent.res.net/Offers.aspx?-917673</t>
  </si>
  <si>
    <t>Stony Island (1600 east)  to 65th, west to 1509</t>
  </si>
  <si>
    <t>Short Sale of deluxe 2 bed, 1 bath beautiful vintage condo.  Updated kitchen, in-unit laundry, balcony, hardwood floors throughout. Cash sale.</t>
  </si>
  <si>
    <t>Water, Exterior Maintenance, Scavenger, Snow Removal</t>
  </si>
  <si>
    <t>Call our 24/7 Appointment Desk at 1-877-677-1945.</t>
  </si>
  <si>
    <t>Eldorrado Chicago Real Estate</t>
  </si>
  <si>
    <t>(312) 612-9060</t>
  </si>
  <si>
    <t>Alexis Eldorrado</t>
  </si>
  <si>
    <t>(312) 612-9061</t>
  </si>
  <si>
    <t>CC: Pursuant to Short Sale. Short sale. Experienced Short Sale Team.  Any commission less than 5%, reduction split evenly.</t>
  </si>
  <si>
    <t>Chicago Beach</t>
  </si>
  <si>
    <t>501S</t>
  </si>
  <si>
    <t>Newport Condominiums</t>
  </si>
  <si>
    <t>Lake Shore Drive to 47th, South on Cornell to 48th, East to building</t>
  </si>
  <si>
    <t>Watch the sail boats go by in this newly renovated 2BR/2ba condo with garage parking. Complete service building with swimming pool. Hardwood floors in LR/DR.  Carpet in BRs. Beautiful open kitchen with granite counters.</t>
  </si>
  <si>
    <t>Central Air, 3+ (Window/Wall Unit)</t>
  </si>
  <si>
    <t>Door Person, Coin Laundry, Exercise Room, Party Room, Pool-Indoors</t>
  </si>
  <si>
    <t>Heat, Water, Gas, Parking, Common Insurance, Security, Doorman, TV/Cable, Exercise Facilities, Pool, Exterior Maintenance, Lawn Care, Scavenger, Snow Removal</t>
  </si>
  <si>
    <t>N (North), E (East), City, Lake/Water, Park</t>
  </si>
  <si>
    <t>Gas, Electric, Hot Water/Steam, Baseboard, Radiators</t>
  </si>
  <si>
    <t>2.25% - $250 (on Net SP)</t>
  </si>
  <si>
    <t>Call Stephen 773-358-8899 No TXT messages please</t>
  </si>
  <si>
    <t>OoR</t>
  </si>
  <si>
    <t>Stephen Parker</t>
  </si>
  <si>
    <t>New renovation.  No one has lived in this unit since the renovation was completed.</t>
  </si>
  <si>
    <t>Donegal</t>
  </si>
  <si>
    <t>ARMY TRAIL RD TO MERBACH S TO STONEWOOD DR W TO DONEGAL CT</t>
  </si>
  <si>
    <t>Spacious &amp; clean upper level end unit townhome with soaring cathedral ceilings. Kitchen has eat in table space and a large window seat. Balcony overlooks green space and has entrances from both living room and second bedroom plus external storage room.  Not your typical short sale, freshly painted and new neutral carpet. Newer Pella windows, front door &amp; water heater. Furnace &amp; dishwasher 2013. All appliances stay.</t>
  </si>
  <si>
    <t>Call 855 746-9200 or use SA, EZ. Turn off ALL lights, lock all doors. See agent remarks.</t>
  </si>
  <si>
    <t>Nelson</t>
  </si>
  <si>
    <t>Nancy Eisele</t>
  </si>
  <si>
    <t>(630) 776-1410</t>
  </si>
  <si>
    <t>Cell 630 776-1410</t>
  </si>
  <si>
    <t>CC: Pursuant to Short Sale. Please use caution when turn on/off lights, freshly painted but no switch or outlet covers have been replaced. Seller has two loans, but is motivated and cooperative &amp; working with SS specialist attorney.</t>
  </si>
  <si>
    <t>Rt. 12 &amp; State Park N2 GrassLake E2 Leisure Vlg 2 Arlington 2 St Tropez 2#</t>
  </si>
  <si>
    <t>GRANADA</t>
  </si>
  <si>
    <t>Lovely ground-level townhouse (1/2 dup) in 55+ community. Fresh paint, new carpet &amp; windows, updated kit w/corian counters. Priv drive &amp; entrance &amp; yd. In-unit ldy. Secure gated community, many amenities! Tons of storage, extra space in 1-car gar. Enjoy fishing, golf, more in an active, maintenance-free community. REO udated &amp; priced to sell "as is." $1000 closing cost credit at closing if under contract by 1/15/15.</t>
  </si>
  <si>
    <t>On Site Manager/Engineer, Pool-Outdoors, Tennis Court/s</t>
  </si>
  <si>
    <t>Common Insurance, Clubhouse, Exercise Facilities, Pool, Lawn Care, Snow Removal, Lake Rights, Other</t>
  </si>
  <si>
    <t>The Harvard State Bank</t>
  </si>
  <si>
    <t>David Leigh</t>
  </si>
  <si>
    <t>(847) 571-3011</t>
  </si>
  <si>
    <t>www.HomeSweetDeals.com</t>
  </si>
  <si>
    <t>Menard</t>
  </si>
  <si>
    <t>Archer to Menard (5800 W) north to address</t>
  </si>
  <si>
    <t>Come and Fall In Love with this 2 Bedroom Duplex in the heart of Garfield Ridge.Features hardwood flooring in living and dining room,spacious bedrooms with full bathroom,updated windows and exterior doors,furnace and a/c,full basement with laundry,two car detached garage.No Association dues! Like living in a single family home for the price of a townhome or condo.Excellent location near Archer Ave,I-55 and airport</t>
  </si>
  <si>
    <t>Oven/Range, Microwave</t>
  </si>
  <si>
    <t>USE SHOWING ASSIST ( Tuesday or Sunday 9-10am or after 5pm)</t>
  </si>
  <si>
    <t>CC: Pursuant to Short Sale. ALL TERMS NEED TO BE APPROVED BY BANK.FINAL SELLING PRICE AND COMMISSION TO BE DETERMINED AND APPROVED BY THE LENDER, SOLD AS IS. PLEASE ALLOW TIME FOR BANK APPROVAL(SEE DOC UNDER ADDITIONAL INFO)</t>
  </si>
  <si>
    <t>0N155</t>
  </si>
  <si>
    <t>WINDERMERE</t>
  </si>
  <si>
    <t>WINFIELD ROAD TO HIGHLAKE W TO WINDERMERE N</t>
  </si>
  <si>
    <t>BEAUTIFULLY UPDATED 2 BR, 2 BATH CONDO IS JUST WAITING FOR YOU TO MOVE IN. WELL LOCATED; WALKING DISTANCE TO TRAIN, SHOPS, HOSPITAL, RESTAURANTS. BACKS TO OPEN AREA WITH RIVER VIEWS. PROPERTY INCLUDES LAKE WITH WALKING PATHS, BEACH AND FISHING, PLUS WOODED AREAS. NEW ALL STAINLESS COOKS KITCHEN, UPDATED BATHS, FLOORING, LIGHTING COUNTERS, PAINT AND HARDWARE THROUGHOUT.  YOU WON'T BE DISAPPOINTED!</t>
  </si>
  <si>
    <t>10X0</t>
  </si>
  <si>
    <t>Bike Room/Bike Trails, Security Door Locks, Street Lights, Street Paved</t>
  </si>
  <si>
    <t>2% - 200 (on Net SP)</t>
  </si>
  <si>
    <t>Use showing Assist. *Unit is on the RIGHT at top of stairs***</t>
  </si>
  <si>
    <t>D&amp;M REBUILDERS</t>
  </si>
  <si>
    <t>Marcia Neal</t>
  </si>
  <si>
    <t>(630) 234-4567</t>
  </si>
  <si>
    <t>SENTRILOCK ON FLAG HOLDER ON GARAGE. UNIT GARAGE IS 2ND ON LEFT IN CORRIDOR TO L OF STAIRS.</t>
  </si>
  <si>
    <t>Harlem to 63rd St E to Gullikson (7100) N to 6252 (quick left)</t>
  </si>
  <si>
    <t>Gorgeous Condo that has a living space of 1100 sq ft! Property has 2 bedrooms and 2 baths! Has a fireplace and balcony perfect for your private relaxation! Has 1 car garage detached! Has an elegant living room and kitchen with plenty of storage! Must See! **This property has an HOA of 160.00 Monthly.**</t>
  </si>
  <si>
    <t>3% (ON GROSS SP) (on Gross SP)</t>
  </si>
  <si>
    <t>Daniel J. Keltner</t>
  </si>
  <si>
    <t>(708) 336-3592</t>
  </si>
  <si>
    <t>Daniel Keltner, ABR</t>
  </si>
  <si>
    <t>Seller directed that all offers be made using the online offer system at www.homepath.com. Fannie Mae HomePath property. For offer submission tips, please see attached file.</t>
  </si>
  <si>
    <t>head east on E 71st St towards S Jeffery Blvd, Turn right to S Jeffery Blvd, Turn left onto E 72nd P</t>
  </si>
  <si>
    <t>REO - BANK OWNED.PROPERTY SOLD â€œAS ISâ€ WITHOUT REPAIR, WARRANTY OR SELLER DISCLOSURE. â€œSELLER WILL NOT ACTIVATE ANY UTILTIESâ€ Listing Broker &amp; Seller assume no responsibility &amp; make no guarantees/warranties or representations as to the availability or accuracy of the property information, photographs or other information depicted/described herein.. CASH</t>
  </si>
  <si>
    <t>Duane</t>
  </si>
  <si>
    <t>DUANE STREET CONDOS</t>
  </si>
  <si>
    <t>Main Street Glen Ellyn to Duane. West to complex.</t>
  </si>
  <si>
    <t>Buyer walked due to health issues. Back on the market. Short sale already started. Approval will go fast. Feel the tranquility and charm in this unique private unit in the heart of Glen Ellyn. Much sought after building. Largest unit with a screened balcony. Walk to train. Backs to the Illinois Prairie Path. Surrounded by nature. Additional parking spaces may be rented as well as a garage.  Laundry hookup in unit.</t>
  </si>
  <si>
    <t>Coin Laundry, Elevator, Storage, Curbs/Gutters, Sidewalks, Street Lights</t>
  </si>
  <si>
    <t>Please call Showing Time 855-746-9200</t>
  </si>
  <si>
    <t>Pat Coulson, SFR,SRES</t>
  </si>
  <si>
    <t>(630) 290-3879</t>
  </si>
  <si>
    <t>CC: Pursuant to Short Sale. comm change as a result of short sale negotiations will be shared equally between brokers. Friendly cat, Sam may follow you around. Treats on counter. No FHA. Parking 27. Buyers' agent must accompany all showings otherwise $250 showing fee.</t>
  </si>
  <si>
    <t>RT34 W OF RT47 TO SYCAMORE S TO CHESTNUT E TO HOME</t>
  </si>
  <si>
    <t>23 X 51</t>
  </si>
  <si>
    <t>PROPERTY TO BE SOLD "WITH REPAIR".  SELLER DOES NOT PROVIDE A SURVEY.  TAXES PRORATED AT 100%.  EARNEST MONEY MUST BE IN CERTIFIED FUNDS.  LETTER OF APPROVAL OR PROOF OF FUNDS IS REQUIRED.  SAMPLE ADDENDA AND GUIDELINES ARE ATTACHED.   HOMESTEPS FINANCING IS AVAILABLE.</t>
  </si>
  <si>
    <t>BUYER IS RESPONSIBLE FOR ANY TRANSFER OR EXEMPT STAMPS AS APPLICABLE.</t>
  </si>
  <si>
    <t>Shady Oaks</t>
  </si>
  <si>
    <t>Summit St (Rt 58) to N Shady Oaks Dr, N to home.</t>
  </si>
  <si>
    <t>Well maintained end unit on cul de sac! Living rm &amp; dining rm w/vaulted ceilings, two skylights, Palladian windows, wood burning fireplace w/gas starter. Eat in kitchen w/new Corian counters &amp; appliances in '10. Master bdrm w/vaulted ceilings &amp; Palladian window. Updated baths w/Corian vanity tops in '10. New furnace &amp; central air in '11. New water heater in '14, new skylights in '14. New sidewalk &amp; driveway in '14!</t>
  </si>
  <si>
    <t>LEGACY FIELDS</t>
  </si>
  <si>
    <t>NEW YORK ST W TO COUNTY LINE N TO HUDSON CIRCLE S TO HOME</t>
  </si>
  <si>
    <t>THE MOST WELL APPOINTED, LARGEST 2BR/2.1Bth /LOFT IN LEGACY FIELDS. WELL MAINTAINED &amp; UPGRADED WITH 42" STAGERED MAPLE CABINETRY, CROWN MOLDING, WOOD FLOORS AND STONE KITCHEN. 1838 SF OF LIVING SPACE. NEW CARPET, BEAUTIFULLY PAINTED, UNOBSTRUCTED POND VIEW, MINUTES TO I88, METRA, SHOPPING, GREAT SCHOOLS.  FHA APPROVED  YOUNG CHILDREN, PLEASE 24 HOUR NOTICE**SEE SHOWING INSTRUCTIONS**</t>
  </si>
  <si>
    <t>12X24</t>
  </si>
  <si>
    <t>2.5% - 275 (on Gross SP)</t>
  </si>
  <si>
    <t>NO SHOWINGS BETWEEN 12:30-3:30</t>
  </si>
  <si>
    <t>(312) 664-2121</t>
  </si>
  <si>
    <t>Chad Kowal</t>
  </si>
  <si>
    <t>(312) 560-1515</t>
  </si>
  <si>
    <t>ROUTE 34 @ BY-PASS 30- SALES OFFICE &amp; MODELS-OGDEN FALLS</t>
  </si>
  <si>
    <t>Wonderful Oswego Location. Freshly Painted, Large Two Story with 2 Beds, 1.5 Bath, Light and Bright Master Suite, 2 Car Attached Garage. Maintenance Free Living with Parks, Paths, Lakes, Waterfalls. Close To Shopping,Restaurants, &amp; Schools. Fannie Mae Homepath Property.  All MLS &amp; Homepath Details Are Estimated and Not Guaranteed. Buyer &amp; Buyer Agent must Verify All Details.</t>
  </si>
  <si>
    <t>Call 1-877-977-1010  For Showing  Instructions. Remax  office does NOT have  Showing Instructions</t>
  </si>
  <si>
    <t>Agent Remarks: All MLS details are Estimated&amp;buyer Responsibility To Verify.SellerDoesNotPayForSurvey.Seller Requires Offers Be  Submitted on HomePath Website. Offer Instructs &amp; Docs Should be downloaded from MLS.Any HOA ?'s should be asked</t>
  </si>
  <si>
    <t>Book or Rt. 59 to Leverenz to Sheehan, North to 2511,west side of street. Park on street by frt door</t>
  </si>
  <si>
    <t>ABBY</t>
  </si>
  <si>
    <t>Time to get excited. Proud original owner offers many upgrades: New Allen/Roth wood flooring, carpet, lighting! Delicious eat-in kitchen, upgraded cabs &amp; fully applianced. Open great rm floorplan w/fireplace &amp; SGD to relaxing patio &amp; lush open space. Master suite boasts WIC &amp; luxury bath. 2nd BR w/adj 2nd full bath &amp; step-in shower. Freshly painted. Ldy rm w/w&amp;d. Attached garage. End unit. Great location to all!!!</t>
  </si>
  <si>
    <t>must have appt, call listing agent for appt, 630-527-1892 or 630-818-7809.</t>
  </si>
  <si>
    <t>Caroline Marrone</t>
  </si>
  <si>
    <t>Marsha Kelleher</t>
  </si>
  <si>
    <t>(630) 527-1892</t>
  </si>
  <si>
    <t>a pleasure to show and sell. Does NOT back to rt.59. prime location, open surroundings.</t>
  </si>
  <si>
    <t>Milwaukee to Manchester Dr. Manchester Dr turns in Leonard Dr. Leonard Dr to Vose. Vose to property.</t>
  </si>
  <si>
    <t>Spacious 2bed/2bath end-unit condo in the much sought after Heather Ridge complex. New appliances, new carpet, and fresh paint. Balcony with a gorgeous view of Gurnee. Beautiful community with everything just a short distance away. Tons of amenities. This is a Fannie Mae HomePath property.</t>
  </si>
  <si>
    <t>Elevator, Exercise Room, Storage, Pool-Outdoors, Security Door Locks, Tennis Court/s</t>
  </si>
  <si>
    <t>Parking, Common Insurance, Security, Exterior Maintenance, Lawn Care, Snow Removal</t>
  </si>
  <si>
    <t>Please use link below to schedule all showings.</t>
  </si>
  <si>
    <t>Baird &amp; Warner Business Development</t>
  </si>
  <si>
    <t>(800) 644-1855</t>
  </si>
  <si>
    <t>Lucie Kim</t>
  </si>
  <si>
    <t>Seller requires all offers must be directed to HomePath.com. Please refer to Additional Info for docs needed. Send all questions to reo@bairdwarner.com.</t>
  </si>
  <si>
    <t>St James</t>
  </si>
  <si>
    <t>WINDSOR POINTE</t>
  </si>
  <si>
    <t>North on Rte 47 from Rte 56 to Galena east. North on St. James Parkway</t>
  </si>
  <si>
    <t>You will love this! Why? Because it feels like a single family home, yet has the amenities of a townhome. Out your front door is a sidewalk and single family homes - not crunched in together with other townhomes. PLUS a large space to the side of your outdoor patio. Inside, it's clean, clean, clean! Walk to the grocery store or hop on I88 for a quick trip east. What convenience!</t>
  </si>
  <si>
    <t>JOHN SHIELDS ELEMENTARY SCHOOL</t>
  </si>
  <si>
    <t>Cluster, Townhouse-2 Story</t>
  </si>
  <si>
    <t>Harner</t>
  </si>
  <si>
    <t>Sandra Andry, CNC,CSC,e-PRO</t>
  </si>
  <si>
    <t>(630) 434-4958</t>
  </si>
  <si>
    <t>www.sandyandry.com</t>
  </si>
  <si>
    <t>No junk fees on your commission.  A full 2.5% to the broker!</t>
  </si>
  <si>
    <t>Golden Gate</t>
  </si>
  <si>
    <t>Rt. 59, East on North Aurora to Golden Gate to home</t>
  </si>
  <si>
    <t>North side Naperville, minutes to Rt 59 train! Well maintained and move in ready! Hardwood on 1st Floor! Spacious living room and dining room. Cherry cabinets in kitchen and baths! Vaulted ceiling in master suite! Luxury bath w/ soaker tub &amp; separate shower. Large loft, first floor laundry &amp; utility room! Close to restaurants, shopping &amp; I-88.</t>
  </si>
  <si>
    <t>Call Centralized Showings 1-877-977-1010</t>
  </si>
  <si>
    <t>Easy to show!</t>
  </si>
  <si>
    <t>Commercial to 74th St, East to 2651 E. 74th St</t>
  </si>
  <si>
    <t>Great location! Well maintained 2bed/2bath 1st floor condo. Hardwood floors, granite counters, double sinks in master bath. Includes 1 parking space. Near beach. Great investment property. 24 hour notice for showings - existing tenants.</t>
  </si>
  <si>
    <t>Call CSS #877-977-1010. 24 hr notice required. Masterlock combo lockbox to left of sign out front.</t>
  </si>
  <si>
    <t>Kurt Breitlander</t>
  </si>
  <si>
    <t>(773) 235-0111x122</t>
  </si>
  <si>
    <t>Existing lease through 7-31-15. Monthly Rent is $1,100;  $1,100 Security Deposit. Great investment opportunity. Turn-key. It is even possible to use existing property management company if preferred.</t>
  </si>
  <si>
    <t>OGDEN TO BELMONT, SOUTH TO WARREN, EAST 1/2 BLK ON N SID</t>
  </si>
  <si>
    <t>Charming, well maintained 2 story townhome with updated cherry &amp; granite kitchen w/ crown mldng, gorgeous hrdwd floors throughout, updated bath, good sized bedrooms, new paint, and finished lower level. 10-unit building, low assessment fee and assigned parking. Short walk to train, rec center, downtown, schools &amp; beautiful new park across the street. A must see!</t>
  </si>
  <si>
    <t>Oven/Range, Microwave, Refrigerator, Freezer</t>
  </si>
  <si>
    <t>2.5% - $325 (ON NSP) (on Net SP)</t>
  </si>
  <si>
    <t>Use Showing Assist to schedule appointment. Call Anna at 214-693-6785 with questions.</t>
  </si>
  <si>
    <t>Anna Fiascone</t>
  </si>
  <si>
    <t>(630) 336-1883</t>
  </si>
  <si>
    <t>Rt. 59 south of I-88 to 95th Street. Turn right (west) on 95th and proceed 3/4 mile to Carillon Club</t>
  </si>
  <si>
    <t>48 X 48</t>
  </si>
  <si>
    <t>Beautiful ranch townhome includes 2 bedrooms, 2 baths, island kitchen w/ SS appliances, Quartz countertops, hardwood, breakfast area, and breakfast bar that overlooks the great room.  Master suite with large walk in closet and private master bath.  Arched openings. Lives like a SF home.  2 car garage.  55+ community.  Photos may be of similar home. IMMEDIATE DELIVERY - HURRY WON'T LAST.</t>
  </si>
  <si>
    <t>Must bring client on first visit to community to receive commission.</t>
  </si>
  <si>
    <t>Must bring client on first visit to community to receive commission.  Call Sales Center 847.984.4857 to schedule showing.  Open Tue-Sat 10 - 6; Sun 11-6; Mon 1-6.</t>
  </si>
  <si>
    <t>Ford City</t>
  </si>
  <si>
    <t>Pulaski to Ford City Dr. (7640 S) W to 4280</t>
  </si>
  <si>
    <t>SPACIOUS CONDO IN CONVENIENT LOCATION.  ABUNDANT STORAGE, COIN LAUNDRY IN BUILDING,NEAR DALEY COLLEG AND AWESOME FORD CITY SHOPPING AREA.  PROPERTY SUBJECT TO FREDDIE MAC FIRST LOOK PROGRAM THROUGH 9/5/2014.  PLEASE NOTE ENTIRE BUILDING IS IN CHICAGO BUILDING COURT AND BUYER TAKES SUBJECT TO  THE VIOLATIONS</t>
  </si>
  <si>
    <t>Coin Laundry, Elevator, Storage, Pool-Outdoors, Tennis Court/s, Whirlpool</t>
  </si>
  <si>
    <t>Water, Gas, Parking, Common Insurance, TV/Cable, Exterior Maintenance, Lawn Care, Scavenger, Snow Removal</t>
  </si>
  <si>
    <t>ONLINE AUCTION 11/4-11/25/2014.  GO TO WWW.AUCTION.COM, THIS PROPERTY MAY NOT BE ON THIS WEBSITE UNTIL THE OPENING DATE OF THE AUCTION</t>
  </si>
  <si>
    <t>Westview</t>
  </si>
  <si>
    <t>countryside hills</t>
  </si>
  <si>
    <t>ROLLINS &amp; CEDAR LAKE N2 COUNTRYSIDE W2 WESTVIEW 2#</t>
  </si>
  <si>
    <t>Affordable townhome in a great location. Close to shopping and schools. Taxes prorated at 100%. Note: Property has been winterized and water will NOT be turned back on prior to close. only cash offers will be considered</t>
  </si>
  <si>
    <t>Bike Room/Bike Trails, Park/Playground</t>
  </si>
  <si>
    <t>Use Showing Assistant</t>
  </si>
  <si>
    <t>Edward Bohrer</t>
  </si>
  <si>
    <t>(224) 522-3726</t>
  </si>
  <si>
    <t>This property is being sold via online event-Sold asâ€is.For assistance call Altisource Customer Care @ 1â€855â€882â€1314 or visit Hubzu-offers to be submitted via Hubzu.com. Buyer to pay $299 Technology Fee and Buyer Premium-Cash Only</t>
  </si>
  <si>
    <t>WOODLAND LAKES</t>
  </si>
  <si>
    <t>BUTTERFIELD E OF RT 25/RIVER ROAD TO ASPEN CT</t>
  </si>
  <si>
    <t>You will love the spacious living and dining room with it's great view and dramatic fireplace. Convenient eating area is right off the kitchen. Laundry has new washer &amp; dryer. Two gleaming bathrooms and two comfortable bedrooms. This great location is just minutes from tollway &amp; train. Close to Fox River Trails. We guarantee you will appreciate the safety of a trusted home warranty.</t>
  </si>
  <si>
    <t>JEWEL MIDDLE SCHOOL</t>
  </si>
  <si>
    <t>Chris Johnson, SFR</t>
  </si>
  <si>
    <t>(630) 513-4677</t>
  </si>
  <si>
    <t>We can accomodate a quick close. Questions of any sort call Chris 630-380-8806</t>
  </si>
  <si>
    <t>ROUTE 176 EAST OF MAIN TO WETHINGTON SOUTH TO BRETT CIRCLE</t>
  </si>
  <si>
    <t>PRIVATE UNIT WITH VAULTED CEININGS. PORCH OFF DINING ROOM. MASTER BEDROOM WITH PRIVATE BATH. WALK IN CLOSET. THE ONE CAR GARAGE IS ACCESSABLE FROM INSIDE THE SECURE BUILDING. SHORT SALE SOLD IN AS IS CONDITION. TAXES PRO RATED AT 100%. NO SURVEY PROVIDED. ALLOW TIME FOR APPROVAL.</t>
  </si>
  <si>
    <t>TEXT L/A</t>
  </si>
  <si>
    <t>GNR Realty Inc.</t>
  </si>
  <si>
    <t>(847) 270-3000</t>
  </si>
  <si>
    <t>Randall Nosalik</t>
  </si>
  <si>
    <t>(847) 812-2681</t>
  </si>
  <si>
    <t>CC: Pursuant to Short Sale. I HAVE ALL THE PAPERWORK. I NEED AN OFFER!</t>
  </si>
  <si>
    <t>MAIN ST. TO OGDEN WEST TO SARATOGA NORTH TO 41ST EAST 2ND BUILDING ON RIGHT</t>
  </si>
  <si>
    <t>Carefree living in this 2nd flr secured condo. Kit w/corian cntr tops, newer appl &amp; marbled tiled flrg. LR w/SGD to balcony. MBR w/sep dressing area. Ample closet/cabinet space. Both bths updated wall tile &amp; marble cntr tops. Ready to move in. New carpet &amp; freshly painted thruout. Elev Bldg. Htd undergrd pkg Pool. Close to bank, grocery, park, rest, hosp, &amp; Xways. Exercise room, party room, Laundry on the 3rd flr.</t>
  </si>
  <si>
    <t>Coin Laundry, Elevator, Exercise Room, Storage, Party Room, Pool-Outdoors, Receiving Room, Security Door Locks, Sidewalks, Street Lights, Street Paved, Other</t>
  </si>
  <si>
    <t>Heat, Water, Gas, Parking, Common Insurance, Security System, Exercise Facilities, Pool, Exterior Maintenance, Lawn Care, Scavenger, Snow Removal</t>
  </si>
  <si>
    <t>Sandra Christ ABR</t>
  </si>
  <si>
    <t>(630) 710-3330</t>
  </si>
  <si>
    <t>BUYER'S AGENT MUST ACCOMPANY BUYER TO APPT.</t>
  </si>
  <si>
    <t>Darien Point</t>
  </si>
  <si>
    <t>Cass to North Frontage Rd East then immediate right on Frontage to Highpoint Cir.</t>
  </si>
  <si>
    <t>ASH</t>
  </si>
  <si>
    <t>24 X 137</t>
  </si>
  <si>
    <t>Nothing to do but move in &amp; enjoy. Freshly painted from top to bottom. Fully applianced kitchen includes gas stove, dishwasher, refrigerator, garbage disposal &amp; microwave. Laundry/Utility room with washer &amp; dryer. Volume ceilings with skylights. Master bedroom w/private full bath. Whirlpool tub &amp;  separate shower. Loft. Sliding door to private patio bordered by evergreen trees. 2car att. gar. w/edo. HWA inc. No Sign</t>
  </si>
  <si>
    <t>Call Showingtime 1-800-746-9464   Dog   Please give 2 hour notice.</t>
  </si>
  <si>
    <t>Julie Kozacek, CNC,CRS,ABR,GRI,SFR</t>
  </si>
  <si>
    <t>(630) 968-8121</t>
  </si>
  <si>
    <t>Please give two hours notice. Dog     Call Showingtime   1-800-746-9464</t>
  </si>
  <si>
    <t>2 Bedroom, 1 Bath Brick 2 story Townhouse with a full partially finished Basement, Hardwood Floors and a separate Dining Area. Close to Schools, Shopping, Dining and Expressway.</t>
  </si>
  <si>
    <t>Agent Co-Op Commission is 2.5% of Net Sale. (Purchase Price minus any Buyers Credits) Fax Offers to: 312-454-4465 or email martino@chgorealty.com</t>
  </si>
  <si>
    <t>W ON RT 176 (MAPLE) FROM RT 45 (LAKE) ABOUT A HALF BLOCK</t>
  </si>
  <si>
    <t>Wonderful unit with an open floor plan, fireplace w/marble surround,  garage space w/2 car parking outside, laundry in the unit, and storage space in the basement.  This is a Fannie Mae HomePath property.</t>
  </si>
  <si>
    <t>â€œThe seller has directed that all offers on this listing be made using the HomePath Online Offer system at HomePath.com website.â€    For a One Day Code please call ShowingAssist.  The Sentrilock app does not work with our Sentrilocks.</t>
  </si>
  <si>
    <t>Bloomfield</t>
  </si>
  <si>
    <t>GROSSE POINTE CIRCLE</t>
  </si>
  <si>
    <t>RT 45 W OF BUTTERFIELD TO GROSS PT TO N BLOOMFIELD RT</t>
  </si>
  <si>
    <t>Soaring ceilings and airy rooms make this 2 story townhome the one you've been waiting for!  Hardwood flooring graces much of the first floor.  Two large bedrooms and loft (and possible 3rd bedroom) are situated upstairs.  Plenty of room but still want more?  How about a wonderfully finished basement perfect for all your additional needs.  Unit overlooks large green area with picturesque, open view.</t>
  </si>
  <si>
    <t>21X28</t>
  </si>
  <si>
    <t>2.5%-275 (on Gross SP)</t>
  </si>
  <si>
    <t>Call LO 847-596-6100  Easy to show.</t>
  </si>
  <si>
    <t>Barb Hibnick, CRS,GRI</t>
  </si>
  <si>
    <t>(847) 726-4663</t>
  </si>
  <si>
    <t>Red Oak</t>
  </si>
  <si>
    <t>134 to Fairfield Rd North to Mayfield West to Village North to Red Oak</t>
  </si>
  <si>
    <t>Cozy 2 bedroom, 2 bath condo with a 1 car garage. Bring your decorating ideas! No personal property included.</t>
  </si>
  <si>
    <t>Seller has directed that all offers be presented in HomePath.com. Download Contract Package from MLS under Addl Info. RE Purchase addendum must accompany all offers</t>
  </si>
  <si>
    <t>HARLEM TO DIVERSEY WEST TO 76TH COURT SOUTH TO CONTI</t>
  </si>
  <si>
    <t>Wonderful 2 bedrooms,1 bath condo.Walk to library,park,metra and stores.This is a Fannie Mae HomePath property.No investors!!!</t>
  </si>
  <si>
    <t>Water, Gas, Parking, Common Insurance, Lawn Care</t>
  </si>
  <si>
    <t>Schedule showing using Showing Assist.</t>
  </si>
  <si>
    <t>Riklin Realty</t>
  </si>
  <si>
    <t>(847) 588-1118</t>
  </si>
  <si>
    <t>Richard Wolnik</t>
  </si>
  <si>
    <t>peterg@riklinrealty.net</t>
  </si>
  <si>
    <t>The seller has directed that all offers on this listing be made using the HomePath Online Offer system at the HomePath website, at www.homepath.com. All commission will be paid directly from final settlement proceeds.</t>
  </si>
  <si>
    <t>Army Trail Rd to Kingsbridge</t>
  </si>
  <si>
    <t>Bright &amp; spacious 2 bedroom townhouse with open floor plan, vaulted ceiling. Large sized bedrooms, kitchen with breakfast bar, view of pond and patio. Full finished basement with recreation room and lots of storage.  Roof &amp; Siding 2013, New Refrigerator and Washer. Walk to park, Simkus center with outdoor pool, Glenbard North H.S., &amp; Jewel Plaza. Sold "As-Is".</t>
  </si>
  <si>
    <t>2.5% - $250 ON NET (on Net SP)</t>
  </si>
  <si>
    <t>Call 855-746-9100 8am-10pm</t>
  </si>
  <si>
    <t>Dee Lowe</t>
  </si>
  <si>
    <t>(847) 224-1302</t>
  </si>
  <si>
    <t>Subject to Court Approval. (7-14 days). Bankruptcy. No sign on property. 1 Hour Notice for showings. Looking for a quick close. Bring in your offers.</t>
  </si>
  <si>
    <t>10D</t>
  </si>
  <si>
    <t>Hyde Park Blvd to Cornell (one way north) to address</t>
  </si>
  <si>
    <t>Sunny and bright spacious vintage 2 bedroom condo with great floor plan.  Generous room sizes throughout.  Hardwood floors, full dining room, decorative fireplace in living room and beautiful entry way.  Rental Parking available.  Assessment includes all but electric and internet.  Currently leased.</t>
  </si>
  <si>
    <t>Bike Room/Bike Trails, Coin Laundry, Elevator, Storage, Service Elevator</t>
  </si>
  <si>
    <t>Pantry-Butler</t>
  </si>
  <si>
    <t>Heat, Water, Gas, Parking, Common Insurance, TV/Cable, Exterior Maintenance, Scavenger</t>
  </si>
  <si>
    <t>E (East), W (West), Park</t>
  </si>
  <si>
    <t>Use Showing Assist - 48 hours notice required</t>
  </si>
  <si>
    <t>(773) 697-5555</t>
  </si>
  <si>
    <t>Courtney Welsch</t>
  </si>
  <si>
    <t>(773) 770-7513</t>
  </si>
  <si>
    <t>630.673.0322 cell</t>
  </si>
  <si>
    <t>CC: Pursuant to Short Sale. Short Sale.</t>
  </si>
  <si>
    <t>Wakefield</t>
  </si>
  <si>
    <t>Rt 21 to West on Manchester North on Shepard to WakeField</t>
  </si>
  <si>
    <t>BIRCH EXPANDED</t>
  </si>
  <si>
    <t>LOWEST PRICE 2BR 2 BATH IN HEATHER RIDGE ! 1ST FLOOR MASTER &amp; BATH, LARGE OPEN LIVING ROOM (FRESHLY PAINTED) W/ STONE FP. LOCATED 3 DOORS FROM POOL &amp; CLUBHOUSE. ENJOY INDOOR PARKING &amp; STORAGE WITH YOUR OWN GARAGE.  NEWER APPLIANCES, NEWER FLOORING. NEWER FURNACE &amp; HOT WATER HTR 5 YRS OLD.  ENJOY THE OUTDOORS ON THE DECK OR PATIO. ENJOY ALL THE AMENITIES,GOLF, POOL, BIKE PATHS &amp; MORE. GREAT LOCATION, GREAT UNIT!</t>
  </si>
  <si>
    <t>Exercise Room, Park/Playground, Pool-Outdoors, Tennis Court/s, Sidewalks, Street Lights</t>
  </si>
  <si>
    <t>Water, Parking, Common Insurance, Security, Clubhouse, Exercise Facilities, Pool, Exterior Maintenance, Lawn Care, Scavenger, Snow Removal</t>
  </si>
  <si>
    <t>EZ TO SHOW CALL 1-855-746-9100</t>
  </si>
  <si>
    <t>SHOWS REALLY WELL, NICE UNIT! FURNACE &amp; HOT WATER HEATER 5 YEARS OLD, NEW FLOORING, 7 YEARS NEWER EXTERIOR</t>
  </si>
  <si>
    <t>Chase</t>
  </si>
  <si>
    <t>JUST WEST OF RTE 83, 2BLOCKS SOUTH OF 55TH ST</t>
  </si>
  <si>
    <t>HINSDALE CENT HIGH SCHOOL DIST. COMPLETLY REMODELED UNIT,YOU MUST SEE IT, LOCATED ON 11.5 LUSH ACRES HUGE CENTRAL COURTYARD W/MATURE TREES.</t>
  </si>
  <si>
    <t>CLL LISTING AGENT (773)680-4434</t>
  </si>
  <si>
    <t>Samer Alosman</t>
  </si>
  <si>
    <t>(773)680-4434</t>
  </si>
  <si>
    <t>RT134 E or W to Fox Trail. S on Fox Trail to Remington Ln. Remington Ln to property.</t>
  </si>
  <si>
    <t>Lovely 2bed/2.5bath townhouse in the much sought after Remington Trails subdivision. Loft space with full desk build-in that makes for the perfect office space. Spacious master suite with master bath featuring a jacuzzi tub and separate stand up shower. Stainless steel appliances. Walk-out basement and large deck in the rear. New carpet and fresh paint! This is a Fannie Mae HomePath property!</t>
  </si>
  <si>
    <t>Please use ShowingAssist link to schedule all showings.</t>
  </si>
  <si>
    <t>LONGFORD</t>
  </si>
  <si>
    <t>COUNTY FARM RD 2 STEARNS W2 LONGFORD N TO HOME</t>
  </si>
  <si>
    <t>144X30</t>
  </si>
  <si>
    <t>Great town home with an open floor plan. 2-story living rm w/paladium windows and fireplace. Hardwood floors throughout.  Updated eat-in kitchen w/oak cabinets,ceramic tile. Table space with sliding glass door to yard. Master br w/vaulted ceiling, wic &amp; paladium window. Luxury Master bath w/tub &amp; sep. shower. 2nd bedroom w/private full bath.</t>
  </si>
  <si>
    <t>HORIZON ELEMENTARY SCHOOL</t>
  </si>
  <si>
    <t>24 hr notice, please text or call mike rossi 630.330.6834</t>
  </si>
  <si>
    <t>Rossi Realty &amp; Investments</t>
  </si>
  <si>
    <t>(630) 330-0281</t>
  </si>
  <si>
    <t>Anthony Rossi</t>
  </si>
  <si>
    <t>(630) 330-6834</t>
  </si>
  <si>
    <t>RT 59 SOUTH OF 95TH ST TO CRYSTAL ROCK RIGHT TO COOL SPRINGS LEFT</t>
  </si>
  <si>
    <t>MUST SEE SPACIOUS 2 BDR, 2 1/2 BATH TOWNHOME IN THE SOUGHT AFTER SIGNATURE CLUB. THE UNIT HAS A GREAT OPEN FLOOR PLAN, WAS RECENTLY UPDATED WITH NEW APPLIANCES, FRESH PAINT, NEW CARPET, THE HOME IS MOVE IN READY. ALL INFORMATION IS ESTIMATED. This is a Fannie Mae Homepath property. Public Act 94-1049 May Apply</t>
  </si>
  <si>
    <t>Common Insurance, Security, Exterior Maintenance, Lawn Care</t>
  </si>
  <si>
    <t>please use connct mls showing assist</t>
  </si>
  <si>
    <t>VERBALLY ACCEPTED OFFER 1/22/2015.  $1000 Buyer's Agent Bonus! Click HomePath.com for details. Restrictions apply.Must request with offer. All offers must be submitted on Homepath.com. Buyer for survey and taxes prorated at 100%</t>
  </si>
  <si>
    <t>Main to Pitz, North to First, East to Home</t>
  </si>
  <si>
    <t>50 X 118</t>
  </si>
  <si>
    <t>UNIQUE OPPORTUNITY~METICULOUSLY MAINTAINED SPACIOUS RANCH DUPLEX~NO ASSOC DUES~FRESHLY PAINTED WITH HARDWOOD FLOORS THROUGHOUT~UPDATED KITCHEN COUNTERTOPS &amp; FIXTURES~FOUR SEASON ROOM W/NEWER WINDOWS~BAY WINDOW IN DINING AREA~MASTER W/PRIVATE BATH~LARGE LIVING/GREAT ROOM~FULL BASEMENT~UPDATES INCLUDE NEWER WATER HEATER, SOFTENER,SUMP PUMPS,ROOF,FURNACE &amp; A/C~BEAUTIFULLY LANDSCAPED YARD &amp; CONCRETE PATIO~GREAT LOCATION!</t>
  </si>
  <si>
    <t>Foyer, Sun/Florida Room</t>
  </si>
  <si>
    <t>Humidifier, Water-Softener Owned, CO Detectors, Ceiling Fan, Sump Pump, Radon Mitigation System(s)</t>
  </si>
  <si>
    <t>Well Maintained Home.  Earnest Money held by Seller Attorney.</t>
  </si>
  <si>
    <t>Butterfield to Briarcliffe N to Lakecliffe E to Dover</t>
  </si>
  <si>
    <t>FP being brought to code within the next 2 weeks! Nicely renovated 2nd floor manor home in Wheaton!  Close to Danada shopping, downtown parks and pond!  Brand new kitchen appliances ~Plush carpet~ Neutral tones throughout~ Fresh paint~ 2 Large bedrooms~ 2 Vanities in bathroom~  In unit full size washer and dryer included~  Storage in unit and on balcony.  Move in ready and priced to sell!</t>
  </si>
  <si>
    <t>Fireplace permit renovations due by 1/2/15 per City of Wheaton and then Fireplace renovations not due for another year thereafter; responsibility of buyer at this point</t>
  </si>
  <si>
    <t>47th St East to King Dr, South to address</t>
  </si>
  <si>
    <t>31X147</t>
  </si>
  <si>
    <t>VERY ELEGANT AND WELL MAINTAINED CONDO UNIT ON THE 2ND FLOOR WITH 2 BEDROOMS AND 2 BATHS. HARDWOOD FLOORS THROUGHOUT. FIREPLACE IN THE LIVING ROOM. GRANITE COUNTERTOPS WITH ISLAND IN THE KITCHEN. DOUBLE SINK IN THE MASTER BATHROOM.</t>
  </si>
  <si>
    <t>2.5% + $1000 C AGT RMKS (on Net SP)</t>
  </si>
  <si>
    <t>CERTIFIED EARNEST MONEY WITH BUYER'S NAME ON IT. EMAIL OFFERS TO reo@micasarealtors.com WITH DOCUMENTS UNDER ADDITIONAL INFORMATION. SEE ADDITIONAL INFORMATION FOR BONUS RESTRICTIONS. ***VERBALLY ACCEPTED***</t>
  </si>
  <si>
    <t>CANDLERIDGE</t>
  </si>
  <si>
    <t>C-2</t>
  </si>
  <si>
    <t>DEVON TO NEWPORT N TO CANDLERIDGE EAST</t>
  </si>
  <si>
    <t>BEAUTIFUL 2 BEDROOM, 1 BATH HOME. NOT YOUR TYPICAL C-2. THIS HAS CATHEDRAL CEILINGS, FIREPLACE AND WALK-UP WET BAR. ALL APPLIANCES INCLUDED; WASHER AND DRYER IN HOME. PRISTINE CONDITION. LARGE BALCONY OFF DINING ROOM, OUTDOOR POOL! GOOD SIZED ROOMS.    ATTACHED GARAGE AND VISITOR PARKING. (UPPER LEFT UNIT)</t>
  </si>
  <si>
    <t>Additional Pet Rent, Cats OK, Dogs OK, Pet Count Limitation, Pet Weight Limitation</t>
  </si>
  <si>
    <t>Kevin Forkin</t>
  </si>
  <si>
    <t>CC: Pursuant to Short Sale. ANY REDUCTION IN COMMISSION WILL BE SHARED BY BOTH AGENTS.</t>
  </si>
  <si>
    <t>RT 59 TO LIBERTY ST. TO STATION BLVD TO MILFORD LANE TO ADDRESS</t>
  </si>
  <si>
    <t>BEAUTIFUL SPACIOUS UNIT/TONS OF POTENTIAL/TWO BEDROOMS/TWO AND A HALF BATHROOMS/TWO CAR ATTACHED GARAGE/PARTIAL FULLY BASEMENT/NEAR SHOPPING AND SHORT DRIVE TO I-88/SOLD AS IS/PROOF OF FUNDS REQUIRED/SUBMIT THE PURCHASE OFFER FORM UNDER ADDITIONAL INFO WITH ALL OFFERS/FAX OFFERS TO THE OFFICE/SELLER WILL NOT RESPOND TO OFFERS UNTIL THE PROPERTY HAS BEEN ON THE MARKET FOR 8-10 DAYS</t>
  </si>
  <si>
    <t>EMPLOYEES AND FAMILY MEMBERS RESIDING WITH EMPLOYEES OF BANK OF AMERICA ARE STRICTLY PROHIBITED FROM DIRECTLY OR INDIRECTLY PURCHASING ANY PROPERTY OWNED BY BANK OF AMERICA. 765 ILCS 605/ Condominium Property Act</t>
  </si>
  <si>
    <t>WINDRIDGE COURTS</t>
  </si>
  <si>
    <t>Fullerton East of Rte 53</t>
  </si>
  <si>
    <t>Large 1st floor unit condo. This unit features 2 BR's and 2 baths. There is new carpet. New paint throughout. Kitchen w/ separate dining area. This is a Fannie Mae HomePath property.</t>
  </si>
  <si>
    <t>Heat, Water, Gas, Parking, Common Insurance, Pool, Exterior Maintenance, Lawn Care, Scavenger</t>
  </si>
  <si>
    <t>Use Showing Assist or Call</t>
  </si>
  <si>
    <t>All offers are to be submitted on HomePath.com **BUYER RESPONSIBLE FOR TRANSFER STAMPS IF APPLICABLE   Multiple Offer Deadline â€“ Jan 09, 2015, 8:43pm</t>
  </si>
  <si>
    <t>Stewart</t>
  </si>
  <si>
    <t>4F</t>
  </si>
  <si>
    <t>22nd St E of Highland Ave to Stewart S. Just N of Yorktown Mall.</t>
  </si>
  <si>
    <t>2 bedroom 2 bath completely rehabbed condo. Local to shopping, schools, transportation, and highways. Come see this beauty before its gone. Easy to view.</t>
  </si>
  <si>
    <t>Pool-Outdoors, Elevator, Storage, Security Door Locks</t>
  </si>
  <si>
    <t>Heat, Water, Common Insurance, Parking, Pool, Exterior Maintenance, Lawn Care, Scavenger, Snow Removal</t>
  </si>
  <si>
    <t>Cats OK, Deposit Required, Dogs OK, Pet Weight Limitation</t>
  </si>
  <si>
    <t>call owner for showings at: Wael-630-981-7994</t>
  </si>
  <si>
    <t>Qoudsi Wael</t>
  </si>
  <si>
    <t>630-981-7994</t>
  </si>
  <si>
    <t>USRealty.com, LLP</t>
  </si>
  <si>
    <t>(866) 807-9087</t>
  </si>
  <si>
    <t>Ryan Gehris</t>
  </si>
  <si>
    <t>call owner for showings and questions at: 630-981-7994. W-9 form required from selling broker. Submit offers at: www.2offer.us</t>
  </si>
  <si>
    <t>OAKENWALD</t>
  </si>
  <si>
    <t>LSD EXIT 47TH ST, N ON LAKEPARK, E THEN N ON OAKENWALD</t>
  </si>
  <si>
    <t>Enjoy this 1600 square foot condo which includes 2 spacious bedrooms with built-in shelves &amp; plenty of closet space. 1.1 baths so everyone can leave on time in the morning. Luxury features incl hardwood floors, fireplace, Stainless Steel appliances and secured parking. 3 minutes away from the Lake, 5 min. from U of C and less than 10 min. from Downtown Chicago. Ideal Opportunity For An Ideal Home. Short Sale Approved</t>
  </si>
  <si>
    <t>Security Door Locks, Curbs/Gutters, Gated Entry, Sidewalks, Street Lights, Street Paved</t>
  </si>
  <si>
    <t>N (North), E (East), W (West), City</t>
  </si>
  <si>
    <t>Call Sybil at 773-491-7217 or Paulette at 773-837-0383</t>
  </si>
  <si>
    <t>Livingston</t>
  </si>
  <si>
    <t>773-451-1200</t>
  </si>
  <si>
    <t>Sybil Martin</t>
  </si>
  <si>
    <t>(773) 491-7217</t>
  </si>
  <si>
    <t>CC: Pursuant to Short Sale. SHORT SALE APPROVED. Call Sybil at 773-491-7217 or Paulette at 773-837-0383 w/ questions.</t>
  </si>
  <si>
    <t>TORINO AT TUSCANY WOODS</t>
  </si>
  <si>
    <t>Rt 72 west of 47 to Romke, North to Tuscany to Marcello Dr</t>
  </si>
  <si>
    <t>Incredible value! Like New! Spacious, unit w/Open flr plan w/2 spacious bedrms PLUS loft! Upgrades include, white drs and trim, upgraded 42" cherry cabinetry, beautiful hardwd flrs throughout main flr and plush carpeting on 2nd flr! Master suite offers cathedral ceiling, double closet and private bath. Other features include 2nd flr laundry, patio off the dining rm and attached oversized two car garage.</t>
  </si>
  <si>
    <t>PH1</t>
  </si>
  <si>
    <t>Archer Avenue to Market Street - Northeast corner of Archer and Willow Springs Road</t>
  </si>
  <si>
    <t>Beautiful penthouse level unit with open floor plan for entertaining ....this corner unit opens to an expansive   wrap-around deck with trellis. The master suite includes a full bathroom and large walk-in closet. Custom built-ins, sound system &amp; a spacious office off the living area.  Included is 2 heated parking spaces and extra storage &amp; a newly renovated exercise room.</t>
  </si>
  <si>
    <t>Water, Parking, Common Insurance, TV/Cable, Exercise Facilities, Exterior Maintenance, Lawn Care, Scavenger, Snow Removal</t>
  </si>
  <si>
    <t>Office, Sitting Room</t>
  </si>
  <si>
    <t>BLUE RIDGE</t>
  </si>
  <si>
    <t>SHENANDOAH</t>
  </si>
  <si>
    <t>RANDALL 2 HUNTLEY E2 MILLER E2 SLEEPY HOLLOW N2 BLUE RIDGE</t>
  </si>
  <si>
    <t>Immaculate home! Vaulted 2 Story Foyer Greets you! Open &amp; Airy! Kitchen Appliances New 2 Years ago with Wood Laminate Flooring! Lots of Sharp Oak Cabinets w/ Pantry!  Lovely Living Room with Cozy Fireplace &amp; New Carpet Throughout Added 2 Years ago!  Master Bedroom with Walk in Closet &amp; Ceilnig Fan! Full Bath Has Separate Shower &amp; Sunken Tub with Jets! 2nd Floor Laundry! New NWH!. Open Loft &amp; 2nd Bedrm. Patio &amp; View!</t>
  </si>
  <si>
    <t>Call Office A few hours notice preferred Appointment if after hours call agent to set up appt</t>
  </si>
  <si>
    <t>Lisa Sweeney, ABR</t>
  </si>
  <si>
    <t>(847) 542-8786</t>
  </si>
  <si>
    <t>847-542-8786</t>
  </si>
  <si>
    <t>Normal Transaction not a short sale or Reo,</t>
  </si>
  <si>
    <t>Frederick</t>
  </si>
  <si>
    <t>Irving Park West of Addison to Prospect to Potter East</t>
  </si>
  <si>
    <t>Beautiful 2 story 2 bedroom 1.5 bath townhouse with full basement! Enter into a LV/DR combo followed by a nice size kitchen! Nice size bedrooms on 2nd level with ample closet space! Pergo flooring in living room, ceramic tile kitchen, and private fenced yard with newer brick paved patio! Nice community in a great location! Near schools, park, and shopping. This is a Fannie Mae Home Path property.</t>
  </si>
  <si>
    <t>3% ON GROSS SELLING PRICE (on Gross SP)</t>
  </si>
  <si>
    <t>Click Show Assistant Below</t>
  </si>
  <si>
    <t>Offers must be at www.Homepath.com; all forms are on-line. For help 1-866-4446. Questions use email. Transfer stamps are a buyer charge.</t>
  </si>
  <si>
    <t>75th/N-Rickert/E-West/N-Naper Plainfield/L-Tennyson</t>
  </si>
  <si>
    <t>28X134X28X131</t>
  </si>
  <si>
    <t>Terrific Value! Terrific location! Close to downtown Naperville &amp; shopping.Light, bright &amp; open floor plan. Freshly painted. Inviting foyer. Dramatic 2-story living rm w/tall windows &amp; fireplace. Formal dining rm w/deck access-overlooks green space. Convenient eat-in kitchen. Cozy 1st flr den. Master bedrm w/vaulted ceiling &amp; luxury bath w/double vanity/shower &amp; tub. Additional bedrm &amp; bath. Full bsmt. 2 car.  Great!</t>
  </si>
  <si>
    <t>call central showings  877.977.1010</t>
  </si>
  <si>
    <t>Jan Klein</t>
  </si>
  <si>
    <t>(630) 428-5520</t>
  </si>
  <si>
    <t>630-887-5710</t>
  </si>
  <si>
    <t>Great location on quiet street and close to downtown Naperville.  High ceilings &amp; open floor plan. Priced to sell.</t>
  </si>
  <si>
    <t>Clarendon</t>
  </si>
  <si>
    <t>clarendon court</t>
  </si>
  <si>
    <t>55th St to Holmes S to Clarendon Ct East to 402</t>
  </si>
  <si>
    <t>Well maintained &amp; managed Sub. Great 2/3BR, 2.1 BA TH w/Tandem Sitting Rm att to 2nd BR. Bright open fl plan. HWFs on 1st Fl. LR w/FPL &amp; SGD to Private deck. New/newer: windows, HWH, Furnace, AC, Paint, etc.  Roof 5 yrs, updated &amp; newly painted BAs. Updated Kit w/42" cabs, granite Brk Bar, under cab lighting &amp; all appls incl.  Fin Bsmt w/full BA (could be BR 3). 1 c Gar w/EDO/keypad. Lots of storage. MOTIVATED SELLER</t>
  </si>
  <si>
    <t>Call LAG 630-202-1678.  Easy to show - on Sentrilock</t>
  </si>
  <si>
    <t>MOTIVATED SELLER!!</t>
  </si>
  <si>
    <t>Schamle south of Army Trail east on Golfview to 127</t>
  </si>
  <si>
    <t>Golfcourse view, serene setting backing to course.  Updated &amp; ready to go!  1st floor laundry room.  2 Bedrooms &amp; 2 1/2 baths.  Master bedroom has plenty of closet space &amp; private full bath.  Great Schools, walk to Pool &amp; clubhouse.  Guest parking directly across street. 1 car attached garage.  Great location!</t>
  </si>
  <si>
    <t>Woodland Green</t>
  </si>
  <si>
    <t>Grass Lake East of State Park Rd to Oakwood N, stay to left to Fairway to home on left</t>
  </si>
  <si>
    <t>30X125</t>
  </si>
  <si>
    <t>Bank owned townhome with hardwood floors and backs up to the golf course.  Open floor plan with 2 bedrooms and 2 and half baths, 2 fireplaces and a finished walkout basement. Being sold as is and all inspections at buyers expense no survey, taxes are at 100%.</t>
  </si>
  <si>
    <t>Use Showing Assist or call Showing Desk at 888-362-3222</t>
  </si>
  <si>
    <t>Seller, Santander Bank, N.A.</t>
  </si>
  <si>
    <t>Kathy Farwick</t>
  </si>
  <si>
    <t>(815) 245-4765</t>
  </si>
  <si>
    <t>Please email offers to kfarwick@starckrealtors.com</t>
  </si>
  <si>
    <t>RAYMOND N OF OGDEN TO MCDOWELL W TO 2ND LEFT TO 1348</t>
  </si>
  <si>
    <t>GREAT 2 BEDROOM AND TWO FULL BATH IST FLOOR CONDO. COMMUNITY OFFERS WORKOUT ROOM AND GREAT OUTDOOR POOL WHICH COMES WITH UNIT.ALL APPLIANCES INCLUDED-EVEN THE WASHER AND DRYER.GREAT LOCATION-CLOSE TO TOLLWAY,SHOPPING,TRAIN AND DOWNTOWN NAPERVILLE.</t>
  </si>
  <si>
    <t>Exercise Room, On Site Manager/Engineer, Party Room, Pool-Outdoors</t>
  </si>
  <si>
    <t>show anytime  SENTRILOCK KB on parking lot side</t>
  </si>
  <si>
    <t>James Freier</t>
  </si>
  <si>
    <t>(630) 362-8697</t>
  </si>
  <si>
    <t>Oxford</t>
  </si>
  <si>
    <t>DOUGLAS RD TO WIESBROOK TO OXFORD COURT TO HOME</t>
  </si>
  <si>
    <t>Fantastic 2 Bedroom Townhouse in Oswego.  Home features 2 story foyer, large living room with fireplace, oak railings, private patio.  Vaulted master bedroom with 3 closets private full bath.  2nd floor laundry!  Close to shopping, restaurants, theater and walking paths.</t>
  </si>
  <si>
    <t>Use Showing Assist, some notice required</t>
  </si>
  <si>
    <t>ABY Trust</t>
  </si>
  <si>
    <t>Inspire Realty Partners</t>
  </si>
  <si>
    <t>(630) 423-5890</t>
  </si>
  <si>
    <t>Stephen Roake, ABR</t>
  </si>
  <si>
    <t>(815) 603-0077</t>
  </si>
  <si>
    <t>agent related to seller</t>
  </si>
  <si>
    <t>CARILLON CLUB</t>
  </si>
  <si>
    <t>Rt. 59 south of I-88to 95th ST.  Turn right (west) on 95th St. and proceed 3/4 mile to Carillon Club</t>
  </si>
  <si>
    <t>Ranch townhome includes 2 bedrooms,2 baths, island kitchen w/ SS appliances, quartz countertops, hardwood floors. Breakfast area and breakfast bar that overlooks the Great room. Master suite w/ large walk in closet and private master bath. Arched openings. 2 car garage. 55+ community. Photos may may be artist renderings or similar home.</t>
  </si>
  <si>
    <t>Register client on first visit at Sales Center. 847.984.4857</t>
  </si>
  <si>
    <t>Must bring client on first visit to community to receive commission. Call Sales Center 847.984.4857 to schedule showing. Open Tues.-Sat. 10-5, Sun. 11-5, Mon. 1-5.</t>
  </si>
  <si>
    <t>WHISPERING HILLS</t>
  </si>
  <si>
    <t>OGDEN W TO RIVER RD, S TO WHISPERING HILLS THEN E TO 1228</t>
  </si>
  <si>
    <t>2 BEDROOM CONDO ON THE FIRST FLOOR * DINING ROOM * LARGE LIVING ROOM * SPACIOUS BEDROOMS WITH LARGE CLOSETS * PATIO * FRESHLY PAINTED WITH NEW CARPET * THIS IS A FANNIE MAE HOMEPATH PROPERTY *</t>
  </si>
  <si>
    <t>CALL CENTRALIZED SHOWINGS 877-977-1010</t>
  </si>
  <si>
    <t>Steve Butler</t>
  </si>
  <si>
    <t>(708) 945-0845</t>
  </si>
  <si>
    <t>Make An Offer - Go to MLS Listing â€œAdditional Informationâ€ and use the Fannie Mae Addendum/Forms ** Offers MUST be Uploaded on Homepath.com</t>
  </si>
  <si>
    <t>ABBYROSE</t>
  </si>
  <si>
    <t>Route  47 south from Route 38 to South Street west to property</t>
  </si>
  <si>
    <t>34 X 30</t>
  </si>
  <si>
    <t>Light and bright and all neutral! Freshly painted and new carpeting! Spacious eat in kitchen with all appliances including washer &amp; dryer! 1st floor master but features second level space option too! Two full bathrooms! Nice brick paver patio and one-car garage! Close to town and Metra station! Low association fees too!</t>
  </si>
  <si>
    <t>Call Showing Time 1-855-746-9100</t>
  </si>
  <si>
    <t>Jane Pickle</t>
  </si>
  <si>
    <t>(630) 262-7169</t>
  </si>
  <si>
    <t>630-542-5001</t>
  </si>
  <si>
    <t>Buyer could not get loan, back on market, great unit. Please use Multi-board 6.0 contract.</t>
  </si>
  <si>
    <t>55th to King Drive, south to address</t>
  </si>
  <si>
    <t>SHORT SALE. Must be owner occupied/no rentals. Cash only. 2 BR/1 BA with 1 deeded parking space. Hardwood floors in main living areas. Carpeted bedrooms. Washer/dryer in unit.</t>
  </si>
  <si>
    <t>No lockbox - Listing Broker Shows. Use ShowingAssist.</t>
  </si>
  <si>
    <t>Bronzeville Properties LLC</t>
  </si>
  <si>
    <t>(773) 548-3300</t>
  </si>
  <si>
    <t>Pam Dempsey, ABR</t>
  </si>
  <si>
    <t>(312) 560-8498</t>
  </si>
  <si>
    <t>CC: Pursuant to Short Sale. Parking space P-14 - PIN 20-15-118-022-1054 (RE tax &amp; assmt included in figures shown above). $100/mo spec assmt included in total assmts. Note - Unit is 2E in some records. Any reduction in commission will be split evenly between brokers.</t>
  </si>
  <si>
    <t>Francis</t>
  </si>
  <si>
    <t>Carillon At Cambridge Lakes</t>
  </si>
  <si>
    <t>Rt. 72 E of Rt. 47 to Reinking N to Andrew E to Sales Center</t>
  </si>
  <si>
    <t>HAYDN</t>
  </si>
  <si>
    <t>81X41</t>
  </si>
  <si>
    <t>MOVE RIGHT IN!! Our popular Haydn ranch duplex is now available in our Active Adult Community with a beautiful clubhouse, indoor/outdoor pools, three hole golf course &amp; amenities galore. This spacious design, offers volume ceilings and sun room. Beautiful cabinetry, stainless steel appliances, quartz counter tops, &amp; hardwood floors. This home also features a gorgeous, private lake view! 6 MONTHS PAID ASSOCIATION DUES</t>
  </si>
  <si>
    <t>Den, Eating Area, Sun/Florida Room</t>
  </si>
  <si>
    <t>Please call 847-984-4872 to schedule a tour</t>
  </si>
  <si>
    <t>Please call 847-984-4872 to schedule a tour. Open daily 10-5, Sundays 11-5, Mondays 1-5. Please ask about builders lender (DHI Mortgage) financing rewards.</t>
  </si>
  <si>
    <t>APPALOOSA</t>
  </si>
  <si>
    <t>FROM 75TH 2 S ON RANCHVIEW 2 E ON APPALOOSA 2 HOME at the last driveway on left</t>
  </si>
  <si>
    <t>COVERED FRONT PORCH ENTRY PRIVATE LOCATION OFF OF ROAD - LARGE VAULTED LIVING &amp; DINING ROOM, PERGO LAMINATE FLOORS, SGD TO FENCED PATIO FROM LR - 1 CAR ATTACHED GARAGE OFF OF LAUNDRY/MUD ROOM - SPACIOUS MASTER WITH 2 CLOSETS -  UPDATED BATH WITH BARBER HEIGHT DOUBLE SINK &amp; CORIAN COUNTERTOP,  LOW MONTHLY ASSESSMENT, DISTRICT 203 SCHOOLS.</t>
  </si>
  <si>
    <t>CALL LA LEAVE NAME, ID, PHONE NUMBER AND TIME SHOWING - THEN SHOW.  PLEASE SECURE ALL DOORS</t>
  </si>
  <si>
    <t>Erene Panos, CNC,GRI,PMN,SFR</t>
  </si>
  <si>
    <t>(630) 852-0297</t>
  </si>
  <si>
    <t>one of the best private locations in subdivision - why pay rent?</t>
  </si>
  <si>
    <t>93rd</t>
  </si>
  <si>
    <t>95th E. to Jeffrey North to 93rd E to 2033</t>
  </si>
  <si>
    <t>2 story, 2 bedroom townhome priced to sell. Corner unit with side, enclosed porch. Recently updated bath.  Unit has hardwood floors throughout. Backyard enclosed with privacy fence. Newer electrical wiring and vinyl windows  throughout. Master bedroom has walk-in closet.  GREAT  OPPORTUNITY for the 1st time homebuyer.</t>
  </si>
  <si>
    <t>2,5% -$200 (on Gross SP)</t>
  </si>
  <si>
    <t>Jean Murray</t>
  </si>
  <si>
    <t>(708) 351-4949</t>
  </si>
  <si>
    <t>CC: Pursuant to Short Sale. Pursuant to short sale.</t>
  </si>
  <si>
    <t>TAKE NARRAGANSETT TO 64THPL WEST TO ADDRESS</t>
  </si>
  <si>
    <t>........BANK OWNED SOLD AS-IS . BUYER RESPONSIBLE FOR TERMITE AND SURVEY. TAXES PRORATED AT 100% . PROOF OF FUNDS OR PRE-APPROVAL REQUIRED WITH ALL OFFERS . E.M. MUST BE CERTIFIED FUNDS. CONTRACT MUST BE ON A MULTI-BOARD 5.0</t>
  </si>
  <si>
    <t>USE SHOWING SOLUTIONS, CLICK BELOW</t>
  </si>
  <si>
    <t>Email Offers to mauricio@citywide-realty.com..... Contract must be on a Multi-board 5.0. Minimum EM for financed deals is $2500 and $5000 on CASH deals.</t>
  </si>
  <si>
    <t>BARRYMORE</t>
  </si>
  <si>
    <t>BAILEY PARK</t>
  </si>
  <si>
    <t>PLAINFIELD RD TO BAILEY, S TO BARRYMORE</t>
  </si>
  <si>
    <t>Beautiful end unit w/open floor plan, vaulted ceilings, laundry hook up in unit. Brand new carpet, refinished hardwood flrs. all freshly painted interior. Loft has been converted &amp; may be used as 3rd bdr. Large liv. r. w/ fireplace. Finished lower level. Deck.  MUST SEE ! This is a Fannie Mae HomePath property.</t>
  </si>
  <si>
    <t>3% OR MIN $ 1,000 (on Net SP)</t>
  </si>
  <si>
    <t>e-mail ID, date &amp; time to homes@selectrealtyusa.com  Ok to show, use Sentrilock</t>
  </si>
  <si>
    <t>PLEASE SUBMIT OFFERS ONLINE VIA HOMEPATH.COM. REQUIRED DOCS UNDER ADDITIONAL INFO IN MLS.IT'S STRONGLY ENCOURAGED THAT AN OFFER INCLUDES PROOF OF FUNDS(IF CASH OFFER)OR PRE-APPROVAL(IF FINANCING).IT WILL BE REQ. 4 SELLER'S FINAL ACCEPTANCE.</t>
  </si>
  <si>
    <t>Rt 59 to Schick W to Woodland N to Appaloosa Way W to Filly</t>
  </si>
  <si>
    <t>WATERSIDE</t>
  </si>
  <si>
    <t>Sharp 2 bedroom 2 bath two story unit that is in move in condition and features an open layout, full basement, 2 car garage, new carpet and has been freshly painted throughout. Just minutes from public transportation, expressways and shopping.</t>
  </si>
  <si>
    <t>Please call the showing desk @ 888.362.3222 or LO after hours, thanks</t>
  </si>
  <si>
    <t>TAXES 100%, Submit offers to www.HomePath.com BUYER IS RESPONSIBLE FOR PREVIOUS 6 MONTHS HOA FEES,a $250.00 cash/check refundable bond and affidavit is required</t>
  </si>
  <si>
    <t>STOCKTON</t>
  </si>
  <si>
    <t>RT 59 TO 87TH ST E to FULHAM to TO STOCKTON WEST</t>
  </si>
  <si>
    <t>SPACIOUS AND BRIGHT 2ND FLOOR UNIT.  2 BEDROOMS, 2 BATHROOMS, SEPARATE DINING ROOM, CATHEDRAL CEILING, LARGE KITCHEN WITH 42" CABINETS, IN UNIT WASHER/DRYER, FRESHLY PAINTED.  PROPERTY IS BEING SOLD IN AS-IS CONDITION, 100% TAX PRORATION, NO SURVEY.</t>
  </si>
  <si>
    <t>Call 877.977.1010</t>
  </si>
  <si>
    <t>ALL OFFERS MUST BE SUBMITTED BY THE BUYERS AGENT VIA www.offersubmission.com, ID# 962383. NO PAPERWORK REQUIRED UNTIL TERMS ACCEPTED. BUYER PAYS $300 FEE AT CLOSING. NO OFFERS WILL BE RESPONDED WITHIN THE FIRST 10 DAYS OF MARKET TIME.</t>
  </si>
  <si>
    <t>St Lawrence</t>
  </si>
  <si>
    <t>8700 SOUTH TO SAINT LAWRENCE TO 8547.</t>
  </si>
  <si>
    <t>BRICK TOWNHOME LOCATED IN CHATHAM. THIS HOME HAS 2 BEDROOMS, 3 BATHROOMS, LIVING ROOM, SEPARATE DINING AREA AND KITCHEN, WITH HARDWOOD FLOORS THROUGHOUT. ALSO HAS FULL FINISHED BASEMENT, ENCLOSED REAR PORCH AND 2 CAR GARAGE.  THIS IS A FANNIE MAE PROPERTY.</t>
  </si>
  <si>
    <t>09X13</t>
  </si>
  <si>
    <t>HERON HARBOR</t>
  </si>
  <si>
    <t>Rt 59 &amp;  Grand Ave, North to Bowles, West to Inverness, Left to address</t>
  </si>
  <si>
    <t>Awesome Townhome is Move-In Ready! Freshly painted &amp; new carpet throughout, new Microhood &amp; more (10-14). Vaulted Clngs, Gas FPL, Master suite w/sep shower &amp; Jacuzzi tub. Nice deck. Sold As Is. Seller offers HomeSteps Financing product-info on MRED. 100% tax prorations. No survey. Include copy of cert EM funds &amp; prql/POF w/offer. Contract &amp; Addn on MRED. Eligible under Freddie Mac First Look Initiative thru 10/24/14.</t>
  </si>
  <si>
    <t>EMMONS GRADE SCHOOL</t>
  </si>
  <si>
    <t>Call Listing Office.</t>
  </si>
  <si>
    <t>Nadine Kilpatrick</t>
  </si>
  <si>
    <t>(847) 668-5619</t>
  </si>
  <si>
    <t>Home Warranty incentive available to owner occupants-MUST REQUEST WITH OFFER-conditions on MRED. Email contract w/ Addenda, POF/Prequal, forms on MRED, copy of certified earnest money funds to nkilpatrick@remaxshowcase.com.</t>
  </si>
  <si>
    <t>Schick west from Bloomingdale Rd, to Castle Rock north, to home.</t>
  </si>
  <si>
    <t>DRAKE</t>
  </si>
  <si>
    <t>One-level home in desirable Country Club Estates! Large Master-BR suite with walk-in closet, huge mstr-bath with stand-up shower AND separate tub.  Vaulted ceiling in family room and kitchen area, gas FP in family room, spacious lndry room, ample storage in crawl.  Desirable location and great views across from pond, park area.  Single-story living for those looking to downsize. Pick your flooring w/$5,000 ALLOWANCE!</t>
  </si>
  <si>
    <t>Please allow 24 hour notice.  Call Listing Agent 630-890-3461. No showings between 5:00 - 6:00 p.m.</t>
  </si>
  <si>
    <t>Tom Quagliata</t>
  </si>
  <si>
    <t>(630) 890-3461</t>
  </si>
  <si>
    <t>Call Listing Agent 630-890-3461</t>
  </si>
  <si>
    <t>Please allow 24 hours for access.  No showings between 5:00 - 6:00 p.m.  Full concrete crawl offers good storage, pantry off kitchen.</t>
  </si>
  <si>
    <t>raintree</t>
  </si>
  <si>
    <t>Park Blvd to Raintree; west to greenbriar to 320</t>
  </si>
  <si>
    <t>Large, Light, Lovely!! only begins to describe this unit!  Kitchen with updated counters &amp; newer appliances; both full baths updated &amp; remodeled; super storage in large closets; freshly painted; great deck off living room; perfect location - overlooking green space and club house/pool!  laundry in building</t>
  </si>
  <si>
    <t>Coin Laundry, Exercise Room, On Site Manager/Engineer, Party Room, Pool-Outdoors, Security Door Locks, Tennis Court/s, Curbs/Gutters, Sidewalks, Street Lights, Street Paved</t>
  </si>
  <si>
    <t>Security System, Intercom, Fire Sprinklers, CO Detectors, Ceiling Fan</t>
  </si>
  <si>
    <t>2.5-$105 (on Gross SP)</t>
  </si>
  <si>
    <t>Amy Beth Gross</t>
  </si>
  <si>
    <t>Jill Bronkhorst, CRS,CSC</t>
  </si>
  <si>
    <t>(630) 742-5455</t>
  </si>
  <si>
    <t>agent is related to seller; nice unit  can close quickly!!</t>
  </si>
  <si>
    <t>LAKE TO MILL RD SOUTH TO DIVERSEY AVE WEST TO HOME</t>
  </si>
  <si>
    <t>SOLID TOWN-HOME WITH FULL BASEMENT AND LOWER LEVEL FAMILY ROOM. CERAMIC TILE IN KITCHEN AND LIVING ROOM. MASTER BEDROOM WITH WALK-IN CLOSET. EXTREMELY LOW TAXES AND ASSOCIATION FEE.</t>
  </si>
  <si>
    <t>Park/Playground, Curbs/Gutters, Gated Entry, Sidewalks, Street Lights, Street Paved</t>
  </si>
  <si>
    <t>Electric, Baseboard, Gravity Air</t>
  </si>
  <si>
    <t>Call LO 630-543-5640</t>
  </si>
  <si>
    <t>Sal Hernandez</t>
  </si>
  <si>
    <t>630-524-1027</t>
  </si>
  <si>
    <t>***Please use the new 6.0 contract when submitting an offer***Effective March 3, MORe discontinued the use of 1-day codes. Please contact your association to sign up for the Sentrilock app.</t>
  </si>
  <si>
    <t>75th St just W of I355 to S on Janes to Spring St</t>
  </si>
  <si>
    <t>Great opportunity for investors! Not a Short Sale but sold as is. Seller motivated and price is negotiable. Asking price is $67,000 Or Best Offer (OBO)!  Unit features a Jacuzzi/whirlpool bathtub. Dishwasher is brand new and the side-by-side refrigerator is just a few years old. Nice unit in a very convenient location. Easy access to all the shopping and other stores on Boughton or 75th. Jump right on I-355 at 75th.</t>
  </si>
  <si>
    <t>CALL Co-LA, Luke Brown 708-536-3490</t>
  </si>
  <si>
    <t>CO-LA e-mail: lukeb@selectafee.com</t>
  </si>
  <si>
    <t>Disclosures Online. E-mail with contract to LA. Please cc all to CO-LA, Luke Brown, lukeb@selectafee.com.</t>
  </si>
  <si>
    <t>Rt 12 &amp; 134 South To Hartigan</t>
  </si>
  <si>
    <t>Beautiful townhome in quiet neighborhood.  Plenty of space throughout with upgraded kitchen cabinets and home meticulously well kept.  Tons of storage with area downstairs, an extra aclove in the garage, pull down attic access and huge closets.  Side by side washer/dryer on 2nd level.  Home very clean and comfortable.</t>
  </si>
  <si>
    <t>Call LO for appointment, after hours call LA. Please allow 24 hour notice for all appointments.</t>
  </si>
  <si>
    <t>Hometown Real Estate</t>
  </si>
  <si>
    <t>Paul Zabratanski</t>
  </si>
  <si>
    <t>(773) 875-6026</t>
  </si>
  <si>
    <t>Litchfield</t>
  </si>
  <si>
    <t>120 to Wilson Rd. N on Wilson to Litchfield. Property is on the left.</t>
  </si>
  <si>
    <t>This is a Fannie Mae HomePath property!  Spacious newly repaired 2-story 2bed/1.5bath townhome in Natures Cove. Brand new carpeting and vinyl flooring and fresh paint! Upstairs loft with an open floor plan that brings in tons of sunlight! *No personal property included*</t>
  </si>
  <si>
    <t>Please use ShowingAssist.</t>
  </si>
  <si>
    <t>Seller requires all offers must be directed to HomePath.com. Please refer to Additional Info for docs needed. Send all  questions to reo@bairdwarner.com.</t>
  </si>
  <si>
    <t>Gorgeous Beethoven ranch plan is spacious &amp; open with dramatic volume ceilings, &amp; stunning architectural details. Beautifully appointed with upgraded cabinets, quartz counters, stainless steel appliances &amp; wood flooring. The bright sunroom offers a fabulous view of the lake. Come enjoy Active Adult living at its finest, fabulous clubhouse with indoor/outdoor pool, fitness center! SIX MONTHS PAID ASSOCIATION DUES!!</t>
  </si>
  <si>
    <t>Bike Room/Bike Trails, Exercise Room, Golf Course, Party Room, Sundeck, Pool-Indoors, Pool-Outdoors, Tennis Court/s</t>
  </si>
  <si>
    <t>Central Air, Energy Efficient Package, Hardwood/Ceramic Floors, Vaulted/Cathedral Ceiling, Vinyl Clad Windows</t>
  </si>
  <si>
    <t>Please call 847-984-4872 to schedule a showing</t>
  </si>
  <si>
    <t>Please call 847-984-4872 to schedule a showing. Open daily 10-6, Sunday 11-6, Monday 1-6. Agent must register client to on first visit. Please ask about builders lender (DHI Mortgage) financing rewards</t>
  </si>
  <si>
    <t>Rockport</t>
  </si>
  <si>
    <t>BENNINGTON ON THE LAKE</t>
  </si>
  <si>
    <t>Army Trail west of County Farm, south on Bennington, east at Rockport</t>
  </si>
  <si>
    <t>Financing problems, continue to show, accepting back-up offers. Engineered hardwood floors on first level. New carpet thru-out. Slate flrs in foyer, half bath and utility room.  Whole home was just freshly painted. Windows have been replaced with energy efficient Pella windows. S/S stove and dishwasher 2 yrs new. Microwave included. Roof and skylight replaced in 2009.  Ready to be moved into! Home warranty included.</t>
  </si>
  <si>
    <t>Call 888=362-3222 or after hours L/A</t>
  </si>
  <si>
    <t>William &amp; Susan Tice</t>
  </si>
  <si>
    <t>Frank Zappa</t>
  </si>
  <si>
    <t>(630) 989-2935</t>
  </si>
  <si>
    <t>Problems with financing...accepting back-up offers.  Call for appt. and combo...easy to show...vacant</t>
  </si>
  <si>
    <t>120 and Hainesville west to Wildspring south to Providence east to address</t>
  </si>
  <si>
    <t>36.60 X 115</t>
  </si>
  <si>
    <t>Open floor plan leads to living large in this duplex with added built ins around the home for wonderful extra storage. All appliances stay, as well as window coverings. First floor laundry, walk in closets, add to the special touches you will find in this home. Home has been well cared for. Backs to farm field.</t>
  </si>
  <si>
    <t>Dawn Froberg</t>
  </si>
  <si>
    <t>(847) 356-3400x522</t>
  </si>
  <si>
    <t>CC: Pursuant to Short Sale. Any commission reduction will be split between listing and selling office. Short sale process has been started.</t>
  </si>
  <si>
    <t>Rt. 59 to 87th Street, east to Sheehan, right to Rutland Circle, to unit 2843 Unit 202</t>
  </si>
  <si>
    <t>Gorgeous and spacious 2nd floor (walk-up) 2 bedroom 2 bath unit! Living room fireplace and recessed TV space! In-unit laundry room; dining area separate from large work in- eat-in kitchen and balcony with sliding doors! Attached 1-car garage. This unit has a few extras the others don't.  Well located subdivision, cute, clean and easy to find!  Appointment and some noticed needed.</t>
  </si>
  <si>
    <t>Common Insurance, Scavenger, Snow Removal</t>
  </si>
  <si>
    <t>Call Karen - pets 708 447 9907</t>
  </si>
  <si>
    <t>Erica Zdenek</t>
  </si>
  <si>
    <t>Karen Arndt, CNC,CRS,GRI</t>
  </si>
  <si>
    <t>(708) 447-9907</t>
  </si>
  <si>
    <t>Really cute, clean and roomy! Nice location in the comlex.  There's a storm door on the garage the others don't have, it's an extra!</t>
  </si>
  <si>
    <t>Going Going .......... WOW!!!!  Hurry on over to this 2 bedroom 2.5 bath townhome redone to your liking . Yes this is freshly painted . yes it has fresh carpet .  master has vaulted ceilings. Floor plan is perfect , located near shopping and schools . This is a Freddie Mac owned property being sold as is where is . Taxes are being prorated a 100% This home is under the Freddie Mac1 st look initiative until 09/10/2014</t>
  </si>
  <si>
    <t>FREDDIE MAC / HOMESTEPS</t>
  </si>
  <si>
    <t>LSD EXIT 47TH ST, LAKE PARK AVE SOUTH TO BLDG</t>
  </si>
  <si>
    <t>CO-OPERATIVE</t>
  </si>
  <si>
    <t>Seller Motivated...Substantial Price Drop...Schedule your appointment today. Superb location located in Hyde Park-Kenwood Area, and the unobstructed view of Chicago is fabulous.  â€œUnit Sold AS-IS Condition," Board Approval applies to Membership Application for Option of Corporation  Share Purchase fee of $5620 payable to "Harper Square Corp" This is not included in sell price.</t>
  </si>
  <si>
    <t>Coin Laundry, Elevator, Exercise Room, On Site Manager/Engineer, Receiving Room, Security Door Locks, Curbs/Gutters, Sidewalks, Street Lights, Street Paved</t>
  </si>
  <si>
    <t>Heat, Air Conditioning, Water, Gas, Tax, Common Insurance, Security, Doorman, TV/Cable, Exterior Maintenance, Lawn Care, Scavenger, Snow Removal</t>
  </si>
  <si>
    <t>Gas, Forced Air, Baseboard</t>
  </si>
  <si>
    <t>$1250-$175 ADM FEE (on Net SP)</t>
  </si>
  <si>
    <t>24 Hrs Notice, Text or email LA, your ID, date &amp; time of showing. SA must be present.</t>
  </si>
  <si>
    <t>Corliss Carter, ABR,CSC,SFR,SRES</t>
  </si>
  <si>
    <t>630-222-5071</t>
  </si>
  <si>
    <t>Earnest Money Certified Funds...Call LA for Harper Sq By-Laws provided by the seller. Unit owner occupant.</t>
  </si>
  <si>
    <t>1S286</t>
  </si>
  <si>
    <t>Danby</t>
  </si>
  <si>
    <t>Roosevelt to Ardmore, S to 14th, right on 14th, becomes Danby.</t>
  </si>
  <si>
    <t>34 X 34</t>
  </si>
  <si>
    <t>Great ranch layout offers an eat-in kitchen with French doors to patio and fenced yard. Updated bath with ceramic tile, some vinyl windows. Full basement is partially finished and has so much potential! Great location close to parks, shopping and expressways. Monthly assessment covers pool, snow, lawn care, and scavenger. Great opportunity! Sold As-IS. Sale subject to approval of short sale.</t>
  </si>
  <si>
    <t>STEVENSON SCHOOL</t>
  </si>
  <si>
    <t>30X23</t>
  </si>
  <si>
    <t>Pool, Lawn Care, Scavenger, Snow Removal</t>
  </si>
  <si>
    <t>Jason Storch</t>
  </si>
  <si>
    <t>Sue Pearce, CNC</t>
  </si>
  <si>
    <t>(630) 675-9979</t>
  </si>
  <si>
    <t>630-675-9979</t>
  </si>
  <si>
    <t>Colony Green</t>
  </si>
  <si>
    <t>WESTLAKE</t>
  </si>
  <si>
    <t>GLEN ELLYN N OF ARMY TRAIL TO EDGEWATER TO COLONY GREEN</t>
  </si>
  <si>
    <t>AQUARIUS</t>
  </si>
  <si>
    <t>FS</t>
  </si>
  <si>
    <t>WOW! SELLERS FORCED TO RELOCATE! SAD TO LEAVE THIS TOTALLY REMODELLED TOWNHOME! THE MAIN LEVEL WAS COMPLETELY REMODELLED IN 2013 W/CHERRY STAINED CABINETS, ALL STAINLESS STEEL APPLIANCES, HARDWOOD FLOORS! THE BASEMENT IS PARTIALLY FINISHED, JUST NEEDS FLOORING. BASEMENT BATH IS ROUGHED IN. BRAND NEW FURNACE AND A/C IN 2013 TOO. SELLER NEVER INTENDED TO LEAVE!  DON'T DELAY, THIS ONE IS SURE TO GO FAST.</t>
  </si>
  <si>
    <t>Exercise Room, Park/Playground, Party Room, Pool-Indoors</t>
  </si>
  <si>
    <t>Partially Finished, Bathroom Rough-In</t>
  </si>
  <si>
    <t>Common Grounds, Park Adjacent</t>
  </si>
  <si>
    <t>Exercise Facilities, Pool, Exterior Maintenance</t>
  </si>
  <si>
    <t>SENTRILOCK USERS USE SHOWING ASSIST OTHER CALL LA FOR APPOINTMENT</t>
  </si>
  <si>
    <t>USE 5.0 CONTRACT.</t>
  </si>
  <si>
    <t>Summerlin</t>
  </si>
  <si>
    <t>Grand Pointe Trails</t>
  </si>
  <si>
    <t>Rt. 34 to Farnsworth South to Summerlin, right to home.</t>
  </si>
  <si>
    <t>FOXFIELD</t>
  </si>
  <si>
    <t>Spotless upper floor ranch with amazing lot &amp; nature views in front &amp; back! Vaulted living room, oversized kitchen w/walk-in pantry and pass-thru to living area. Spacious master w/vaulted ceilings, walk-in closet &amp; private master bath. 2 car garage w/additional storage. Ample visitor parking across the street. Walk to park &amp; trails. Property is eligible for a $7,500 IHDA grant! Meticulously maintained &amp; it shows!</t>
  </si>
  <si>
    <t>Eating Area-Breakfast Bar, Island, Pantry-Walk-in</t>
  </si>
  <si>
    <t>Common Grounds, Nature Preserve Adjacent, Wetlands Adjacent, Landscaped Professionally</t>
  </si>
  <si>
    <t>Peter &amp; Christina Adams</t>
  </si>
  <si>
    <t>Spotless unit that is ready to go! We would appreciate your feedback after showings! Disclosures attached to this listing.</t>
  </si>
  <si>
    <t>Randall Rd. to Grandview, East to Westwood, Left to Liam Ct</t>
  </si>
  <si>
    <t>TWO BEDROOM, ONE AND A HALF BATH, TWO STORY TOWNHOME WITH FULL DRY BASEMENT ON A CUL DE SAC. BEAUTIFUL HAND-SCRAPED WALNUT FLOORS THROUGHOUT FIRST LEVEL. ALL NEWER APPLIANCES AND POT RACK IN THE COZY KITCHEN! SECOND FLOOR LAUNDRY. VIEWS OF THE LUSH TREES FROM THE MASTER. GREAT LOCATION...MINUTES FROM THE RANDALL CORRIDOR. RELAX ON THE PATIO OR WALK TO THE PARK! GOOD CONDITION, BUT SOLD "AS IS".</t>
  </si>
  <si>
    <t>BARELY LIVED IN UNIT. OWNER TRANSFERRED OUT OF STATE. RARELY AVAILABLE TOWNHOME WITH FULL BASEMENT. HOME IS IN GREAT CONDITION, BUT BEING SOLD "AS IS". REGULAR SALE AND READY FOR A SERIOUS BUYER!</t>
  </si>
  <si>
    <t>MAJESTIC</t>
  </si>
  <si>
    <t>CHURCHILL CLUB</t>
  </si>
  <si>
    <t>5TH TO CHESAPEAKE TO MAJESTIC</t>
  </si>
  <si>
    <t>BIRDSTONE</t>
  </si>
  <si>
    <t>Super nice Churchill Club Townhome with desirable upgrades and in move-in condition*2 story LR that is light &amp; bright*Upgraded kitchen w/black appliance package included*Hardwood flrs in kitch, pwdr, &amp; foyer*Good size master w/private bath, dbl vanity*main flr laundry*2 car gar*nice yard w/concrete patio*SS required*Bid w/confidence-LA has closed 100â€™s of short sales to date.</t>
  </si>
  <si>
    <t>Exercise Room, Pool-Outdoors, Tennis Court/s, Curbs/Gutters, Sidewalks, Street Lights, Street Paved</t>
  </si>
  <si>
    <t>Water, Clubhouse, Exercise Facilities, Pool, Exterior Maintenance, Lawn Care, Snow Removal, Other</t>
  </si>
  <si>
    <t>Call Centralized Showing Service 877-977-1010</t>
  </si>
  <si>
    <t>Route 59 South of I-88 to 95th St. Turn right (west) on 95th St. 3/4 mile to Carillon Club community</t>
  </si>
  <si>
    <t>BRUGES</t>
  </si>
  <si>
    <t>Beautiful Bruges ranch style townhome with 2 bed and 2 baths.  Spacious eat-in kitchen with SS appliances, birch cabinets (chiffon with desert glaze) and quartz countertops.  Master suite with large walk-in closet and a private master bath.  Arched openings.  Sunroom, 2 car garage.  55+ community. Photos may be of a similar home.  Available for immediate move-in!  Ask about builder's lender (DHI) financing rewards</t>
  </si>
  <si>
    <t>Call sales office to schedule a showing 847-984-4857.</t>
  </si>
  <si>
    <t>Must bring client on the clients FIRST visit and register for agent to receive commission.  Open 7 days a week. Hours are 10-5 Tue - Sat; 11-5 on Sunday and 1-5 on Monday.  Ask about builder's lender (DHI) financing rewards.</t>
  </si>
  <si>
    <t>Huntington</t>
  </si>
  <si>
    <t>SOUTHPORT VILLAGE</t>
  </si>
  <si>
    <t>176 to Hale to Southport W to Greenwich W to Huntington W to Home</t>
  </si>
  <si>
    <t>80 X 34</t>
  </si>
  <si>
    <t>Light and Bright End Unit w/beautiful yard space in ideal interior location of Southport Village.  Two bedroom/Two Bath Townhome has great floor plan with vaulted ceilings &amp; skylights. Low Association Fees. Excellent buying opportunity. Short Sale. Sold AS-IS.</t>
  </si>
  <si>
    <t>8X13</t>
  </si>
  <si>
    <t>CALL 855-746-9100 FOR APPOINTMENT</t>
  </si>
  <si>
    <t>Kim Pape</t>
  </si>
  <si>
    <t>(847) 818-6037</t>
  </si>
  <si>
    <t>847-361-5466</t>
  </si>
  <si>
    <t>CC: Pursuant to Short Sale. Any reduction in commission will be split 50/50 between list broker and coop companies. See offer instructions FAQ's under additional information. http://southport-village.com/ association website.</t>
  </si>
  <si>
    <t>IRVING PARK RD TO 25TH SOUTH TO RUBY</t>
  </si>
  <si>
    <t>Own a condominium for the price of rent. Hardwood floors, oak doors, ceiling fans in bedrooms, bathroom has a jacuzzi and marble floors. UNIT CAN BE RENTED - per HOA.</t>
  </si>
  <si>
    <t>Heat, Water, Gas, Common Insurance, Exterior Maintenance, Scavenger</t>
  </si>
  <si>
    <t>$875 (on Gross SP)</t>
  </si>
  <si>
    <t>Please email reo@litrealty.com with date and time of your showing.</t>
  </si>
  <si>
    <t>LIT Realty Inc</t>
  </si>
  <si>
    <t>(312) 533-2634</t>
  </si>
  <si>
    <t>Inesa Tomaszewski</t>
  </si>
  <si>
    <t>(847) 521-2229</t>
  </si>
  <si>
    <t>All offers must be submitted by the buyersâ€™ agent via offersubmission.com, id# 911677.  Buyer pays $300 offer.submission transaction fee at closing.</t>
  </si>
  <si>
    <t>Glen</t>
  </si>
  <si>
    <t>indian trail w to randall s to glen s</t>
  </si>
  <si>
    <t>Great starter unit with 2 bedrooms on 2nd level. Sold As is 100% tax pro no survey/ no termite. Preapproval/POF with all offers</t>
  </si>
  <si>
    <t>Snow Removal</t>
  </si>
  <si>
    <t>click showing assist</t>
  </si>
  <si>
    <t>Bayview Loan Servicing</t>
  </si>
  <si>
    <t>POF/Preapproval with all offers. All measurements are estimated.</t>
  </si>
  <si>
    <t>Rte. 59 North of Miller Road to Gated entrance on Left.  Ask Guard for directions upon entering!</t>
  </si>
  <si>
    <t>PINEHURST</t>
  </si>
  <si>
    <t>Ranch-Style PINEHURST Condo in the Gated 'Resort' 'Community of Lake Barrington Shores. Easy 'one step' access'. 2 Bedrooms/2 Full baths, Bright Open Living &amp; Dining Rooms overlooking the 6th Hole! Hardwood Floors in Foyer &amp; Kitchen! Master bedroom w/Walk-in Closet &amp; Extra Closet.  Laundry w/entrance to the spacious Garage!  Freshly painted/Clean carpeting! Has new 'long-lasting' roofs. Located on a quiet cul de sac.</t>
  </si>
  <si>
    <t>Bike Room/Bike Trails, Exercise Room, Golf Course, On Site Manager/Engineer, Park/Playground, Party Room, Sundeck, Pool-Indoors, Pool-Outdoors, Tennis Court/s, Whirlpool, Gated Entry, Street Paved</t>
  </si>
  <si>
    <t>Water, Parking, Common Insurance, Security, TV/Cable, Exercise Facilities, Pool, Exterior Maintenance, Lawn Care, Snow Removal, Lake Rights, Internet Access</t>
  </si>
  <si>
    <t>Humidifier, Water-Softener Owned, TV-Cable, CO Detectors</t>
  </si>
  <si>
    <t>Call Listing Office for Appointment or Use Showing Desk</t>
  </si>
  <si>
    <t>John Schaller</t>
  </si>
  <si>
    <t>(847) 254-7290</t>
  </si>
  <si>
    <t>Easy-Access Main Level 2-Bedroom, 2 Full   Bath Condo with a Direct-Entry 1-Car Garage.</t>
  </si>
  <si>
    <t>MEADOW</t>
  </si>
  <si>
    <t>RTE 53 TO FOUR LAKES AV WEST TO MEADOW S TO 5922</t>
  </si>
  <si>
    <t>Stunning Updated 2 story with PRIVATE view of trees and grassy area.   Beautiful kitchen and bathrooms. Pergo flooring in Living Room, Dining &amp; Kitchen. Woodburning Fireplace and warm paint colors through  out make this a very inviting home in move in condition. New A/C in 2012. It shows like a model! Private entrance and walk out patio with great view . Low assmt include use of amenities.</t>
  </si>
  <si>
    <t>Party Room, Pool-Outdoors, Restaurant, Tennis Court/s, Sidewalks, Street Lights, Street Paved</t>
  </si>
  <si>
    <t>2.5-$295 (on Gross SP)</t>
  </si>
  <si>
    <t>text agent 708 557 7100- Sentrilock on front door</t>
  </si>
  <si>
    <t>Carla Giordano</t>
  </si>
  <si>
    <t>(708) 557-7100</t>
  </si>
  <si>
    <t>Rt. 59 South of I-88 to 95th St. Turn right (west) on 95th and proceed 3/4 mile to Carillon Club.</t>
  </si>
  <si>
    <t>Ranch townhome End Unit includes 2 bedrooms, 2 baths, island kitchen w/ SS appliances, Granite countertops, hardwood, breakfast area, and breakfast bar that overlooks the Great room.  Master suite with Large walk in closet and private master bath.  Arched openings.  2 car garage.  55+ community.  Photos may be of a similar home.  Available for immediate move-in!  Ask about builder's lender (DHI) financing rewards.</t>
  </si>
  <si>
    <t>Call Sales Office to schedule a showing at 847-984-4857.  Thanks.</t>
  </si>
  <si>
    <t>Must bring client on first visit to community to receive commission.  Call Sales Center 847-984-4857 to schedule showing.  Open Tue-Sat 10 - 5; Sun from 11 - 5 and Mon from 1 -5.  Ask about builder's lender (DHI) financing rewards.</t>
  </si>
  <si>
    <t>Hunt Wyck</t>
  </si>
  <si>
    <t>Golf West of Rte 59, to Shady Oaks Right to Stillwater Right to Hunt Wyck</t>
  </si>
  <si>
    <t>Bank has approved sellers short sale request at Price listed! Quick close possible! 2BR end unit w/ loft w/ private entrance &amp; attached garage. Open floor plan. Vaulted ceiling in LR &amp; Loft. Loft can be convert to 3rd BR! Hardwood parquet flooring nearly through out w Stove, DW, Washer &amp; Dryer, Yes its rentable. Buyer responsibility for cost to dewinterized &amp; rewinterize home for buyer inspections. Call LA 4 details.</t>
  </si>
  <si>
    <t>Quad-2 Story, Townhouse-2 Story</t>
  </si>
  <si>
    <t>2.5% -250 ON NET SALES PRICE (on Net SP)</t>
  </si>
  <si>
    <t>Easy to show, call 888-362-3222 to set appointment, short notice ok, or call/text La, Jon 847-271-71</t>
  </si>
  <si>
    <t>847-271-7123</t>
  </si>
  <si>
    <t>Jon Johnson</t>
  </si>
  <si>
    <t>(847) 271-7123</t>
  </si>
  <si>
    <t>CC: Pursuant to Short Sale. Bank has approved sellers Short Sale Request &amp; has $105,000 as recovery price. Short sale Process has been approved.Prior buyer walked. BPO already done. Inspections are buyer cost to be done in A/I review period. Experienced SS Team</t>
  </si>
  <si>
    <t>ABINGTON WOODS</t>
  </si>
  <si>
    <t>RT 59 TO NEW YORK WEST TO KAUTZ SOUTH TO ABINGTON WOODS DRIVE</t>
  </si>
  <si>
    <t>1ST FLR 9' CEILINGS! HUGE LIVING/FAMILY ROOM W/TV NICHE! KITCHEN W/MED OAK CABINETS, ALL APPLIANCES, LOTS OF COUNTERSPACE &amp; PANTRY CLOSET!SEP EATING AREA W/SGD TO PATIO! MBR W/VAULTED CEILING, HUGE WIC &amp;  PRIVATE  BATH W/GARDEN TUB &amp; SEP SHOWER! 2ND FLR LAUNDRY W/W-D &amp; UTILITY TUB! OVERSIZED LOFT-OFFICE-PLAY AREA!  BEING SOLD IN "AS-IS" CONDITION. TAXES PRO-RATED AT 100%.  SHORT SALE.</t>
  </si>
  <si>
    <t>TV-Cable, Security System, CO Detectors</t>
  </si>
  <si>
    <t>CALL CENTRALIZED SHOWING.  877-977-1010.  THANK YOU.</t>
  </si>
  <si>
    <t>Michele Leanderson</t>
  </si>
  <si>
    <t>(630) 430-7386</t>
  </si>
  <si>
    <t>CC: Pursuant to Short Sale. SHORT SALE.  IF BANK LOWERS COMMISSION, IT WILL BE SPLIT 50/50.</t>
  </si>
  <si>
    <t>IRVING PARK</t>
  </si>
  <si>
    <t>IRVING PARK RD WEST OF CHURCH TO BENSENVILLE TERRACE</t>
  </si>
  <si>
    <t>Gorgeous Large 2 Bedroom 2bth in 2nd floor. Completely remodeled condo. This property has it all custom decor, Hardwood Floors throughout,new windows, plumbing,electric... SS Appliances, Granite counter-tops, beautiful bths, in-unit Laundry, lots of storage, sun filled bedrooms, immaculately clean, move-in ready! Perfect, peaceful  location very well maintained common areas Comes with a parking space and garage space</t>
  </si>
  <si>
    <t>Mon-Fri Call LO 773-237-8888 Weekends Text LA 773-879-7777</t>
  </si>
  <si>
    <t>Executive Home Realty, Inc.</t>
  </si>
  <si>
    <t>(773) 237-8888</t>
  </si>
  <si>
    <t>Teresa Szurzynski</t>
  </si>
  <si>
    <t>(773) 879-7777</t>
  </si>
  <si>
    <t>John 773-407-4077</t>
  </si>
  <si>
    <t>Regular sale: NO FHA!  Showing any time</t>
  </si>
  <si>
    <t>COVE LANDING</t>
  </si>
  <si>
    <t>ROOSEVELT TO FINLEY SOUTH TO BUILDING</t>
  </si>
  <si>
    <t>Third FLOOR UNIT. AS IS,. Association currently i s working on determining wall damage, sells AS IS, pursue to short sale, price is subject to bank's approval. only one lender, very motivated owner. Taxes 100%. Resort like living beautiful grounds,, POOL, EXERCISE ROOM, PARTY ROOM AND HUGE BALCONY!</t>
  </si>
  <si>
    <t>Coin Laundry, Elevator, Exercise Room, Storage, Health Club, Party Room, Sundeck, Pool-Outdoors, Security Door Locks, Tennis Court/s, Curbs/Gutters, Sidewalks, Street Paved</t>
  </si>
  <si>
    <t>Water, Common Insurance, TV/Cable, Clubhouse, Exercise Facilities, Pool, Exterior Maintenance, Lawn Care, Scavenger, Snow Removal</t>
  </si>
  <si>
    <t>Owner occupied, needs notice, on week days call LO or email LO, on weekends only text LA</t>
  </si>
  <si>
    <t>Chicago Residences</t>
  </si>
  <si>
    <t>(847) 420-4484</t>
  </si>
  <si>
    <t>R. Gabriella Tymarskis</t>
  </si>
  <si>
    <t>(847) 454-6337</t>
  </si>
  <si>
    <t>CC: Pursuant to Short Sale. office email: chicagoresidences@gmail.com</t>
  </si>
  <si>
    <t>LAGESCHULTE</t>
  </si>
  <si>
    <t>FHA / VA Approved condo features hardwood floors and new bathroom, custom cabinets, granite counter tops, ss appliances, exposed brick, wood burning fireplace and large outdoor deck.  Property is located in the heart of downtown and features exercise room and social room.</t>
  </si>
  <si>
    <t>Exercise Room, On Site Manager/Engineer, Sundeck</t>
  </si>
  <si>
    <t>Rt. 59 South of I-88 to 95th St. Turn right (west) on 95th St. and proceed 3/4 mile to Carillon Club</t>
  </si>
  <si>
    <t>Ranch townhome includes 2 bedrooms, 2 baths, island kitchen w/ SS applinaces,granite countertops, hardwood floors. Breakfast area and breakfast bar overlooks Great Room. Master suite w/large walk in closet and private master bath.  Arched openings. 2 car garage. 55+ community. Pool and clubhouse.  Available for immediate move-in!  Ask about builder's lender (DHI) financing rewards.</t>
  </si>
  <si>
    <t>Register client at Sales Center 847.984.4857</t>
  </si>
  <si>
    <t>Must bring client on 1st visit to community to receive commission. Call Sales Center 847.984.4857 to schedule showing. Open 7 days a week.  Tues. - Sat. 10-5,  Sun. 11-5, Mon. 1-5.   Ask about builder's lender (DHI) financing rewards.</t>
  </si>
  <si>
    <t>0N646</t>
  </si>
  <si>
    <t>Essex</t>
  </si>
  <si>
    <t>Geneva west of County Farm to Concord South to ON646 Essex</t>
  </si>
  <si>
    <t>39 X 104</t>
  </si>
  <si>
    <t>HIGHLY SOUGHT AFTER END UNIT.. VERY SPACIOUS..LIVING RM W/CATHEDRAL CEILINGS.. FAMILY RM W/FIREPLACE.. BRIGHT KITCHEN.. LOTS OF CABINETRY.. REMODELED BATH.. MASTER BEDROOM W/WIC PLUS  BONUS STORAGE ROOM.. FURNACE/AC NEW 8/2014.. FRESHLY PAINTED THRU-OUT..LAUNDRY RM..ATTACHED GARAGE.. GORGEOUS DECK..BEST LOCATION.. PRIVATE AND SERENE VIEWS ARE BREATHTAKING..WALK TO PRAIRIE PATH,FOREST PRESERVE.TOWN AND TRAIN..</t>
  </si>
  <si>
    <t>INDIAN KNOLL ELEMENTARY SCHOOL</t>
  </si>
  <si>
    <t>Eating Area, Foyer, Storage</t>
  </si>
  <si>
    <t>PLEASE USE SHOWING ASSIST...MUST CONFIRM W/LA  630.400.1212</t>
  </si>
  <si>
    <t>Connie Poulos Loos</t>
  </si>
  <si>
    <t>(630) 400-1212</t>
  </si>
  <si>
    <t>WALKING PATH BEHIND THE UNIT.</t>
  </si>
  <si>
    <t>IL-59S LEFT ON 87TH ST  RGHT ON SHEEHAN S TO RUTLAND</t>
  </si>
  <si>
    <t>Beautiful, completely updated Townhome in Naperville.  Priced to sell. Great 2 car garage unit in Windridge.  Property boasts soaring vaulted ceilings, hardwood floors, brand new carpet, granite counter tops, new S/S appliances and new fixtures.  You will love it!  Home is close to shopping, restaurants and theater.  Walk to Naperville schools.  Pride of workmanship is obvious.</t>
  </si>
  <si>
    <t>Call BW appointment desk 855-746-9100</t>
  </si>
  <si>
    <t>wood</t>
  </si>
  <si>
    <t>134 W of Fairfield W2Fox Trail S2 Remington Lane</t>
  </si>
  <si>
    <t>Property sold AS-IS! Seller is exempt from disclosures and will not provide termite or survey. Taxes prorated @ 100%. Buyer responsible for all inspections, repairs or fees. Buyer's prequalification &amp; proof of funds must accompany all offers. Additional disclosures to follow accepted contract. Please allow time for seller's response. Room sizes are approximate. Highest &amp; Best offers are required by 09.03.14 @ 10 AM.</t>
  </si>
  <si>
    <t>3% -$150 (on Net SP)</t>
  </si>
  <si>
    <t>Call 877.977.1010 to Show / Fax Offers to 847.245.7066.</t>
  </si>
  <si>
    <t>Employees and family members residing with employees of Chase Bank, its affiliates or subsidiaries are strictly prohibited from directly or indirectly purchasing any property owned by Chase Bank. Highest &amp; Best are due by 09.03.14 @ 10 AM.</t>
  </si>
  <si>
    <t>3S048</t>
  </si>
  <si>
    <t>RT 59 TO BATAVIA RD-W, TO TIMBER-S</t>
  </si>
  <si>
    <t>SPACIOUS TOWN HOME STYLE UNIT-TIMBER CREEK W/CONDO OWNERSHIP.  UPGRADED KITCHEN W/STAINLESS APPLIANCES.  FAMILY ROOM/LOFT ON 2ND FLOOR W/SKYLIGHTS.  NICE UNIT NEEDING YOUR DECORATING TOUCHES &amp; SOME REHAB.  SOLD AS IS.  TAXES @ 100%. BUYERS NEED GOOD PRE-APPROVAL +DOWN PAYMENT VERIFIED.  CASH-ALL FUNDS TO CLOSE.  PUBLIC ACT 94-1049 MAY APPLY.  SIGN ADDENDUM, DISCLOSURES, &amp; REO SALES HELP SHEET FOR OFFER-ADD'L INFO</t>
  </si>
  <si>
    <t>PLEASE READ ALL OF SHOWING ASSIST</t>
  </si>
  <si>
    <t>SPS FOR WELLS FARGO</t>
  </si>
  <si>
    <t>THANK YOU FOR SHOWING!  EASY TO SHOW.  SEE ATTACHED RULES AND REGS FOR ASSOCIATION.  SOLD AS IS ONLY.  BUYER RESPONSIBLE FOR ANY VILLAGE REPAIRS AFTER CLOSING.</t>
  </si>
  <si>
    <t>347-C</t>
  </si>
  <si>
    <t>445FFL</t>
  </si>
  <si>
    <t>RT 59  N OF MILLER RD TO LBS ENTERANCE- ASK GUARD FOR DIRECTIONS</t>
  </si>
  <si>
    <t>BRAEBURN</t>
  </si>
  <si>
    <t>STUNNING BRAEBURN MODEL WITH GORGEOUS WOODED VIEWS* THIS 2 BEDROOM, 2.1 BATH FEATURES: HARDWOOD FLOORS, NEWER ANDERSON WINDOWS, FINISHED LOWER LEVEL, UPDATED KITCHEN AND BATHS,, 2 FIREPLACES, BONUS RM COULD BE AN OFFICE OR 3 BEDRM.  THERE IS TONS OF STORAGE IN THIS VERY CLEAN AND WELL KEPT HOME THAT IS PRICED TO SELL.  LBS: GATED, TENNIS, LAKE, POOLS, CLUB HOUSE, WALKING PATHS AND 18 HOLE GOLF COURSE</t>
  </si>
  <si>
    <t>26X19</t>
  </si>
  <si>
    <t>Bike Room/Bike Trails, Exercise Room, Storage, Golf Course, Health Club, On Site Manager/Engineer, Park/Playground, Party Room, Pool-Indoors, Pool-Outdoors, Restaurant, Tennis Court/s, Whirlpool, Gated Entry, Street Lights, Street Paved</t>
  </si>
  <si>
    <t>CALL LISTING OFFICE APPT. REQUIRED</t>
  </si>
  <si>
    <t>Thomas Loftus</t>
  </si>
  <si>
    <t>(847) 682-8233</t>
  </si>
  <si>
    <t>BUYER PAYS A 3 MONTH ASSESSMENT TO HOA.  REC CENTER IS TO BE REMODELED STARTING SEPT. 10. Agents  friendly little dog. Named "darby" please do not let her out the front door.</t>
  </si>
  <si>
    <t>PLAINFIELD RD (W)CASS &amp; (E)LEMONT, (S) ON REDONDO</t>
  </si>
  <si>
    <t>Completely rehabbed condo. All you have to do is move in! Freshly painted, new Stainless Steel appliances, new backsplash, new cabinets, wood laminate flooring, granite counters, updated bathrooms, new sinks, new carpet, new trim. Building has an elevator &amp; heated garage with TWO assigned spaces. Laundry in unit. Large balcony to enjoy.  Water, heat, air conditioning, garbage, lawn care, are all included! Must see!</t>
  </si>
  <si>
    <t>Oven/Range, Dishwasher, High End Refrigerator, Washer, Dryer, All Stainless Steel Kitchen Appliances</t>
  </si>
  <si>
    <t>Heat, Air Conditioning, Water, Gas, Parking, Common Insurance</t>
  </si>
  <si>
    <t>Please contact CSS at 877-977-1010 for showings</t>
  </si>
  <si>
    <t>(708) 301-4700</t>
  </si>
  <si>
    <t>Amber Pannarale</t>
  </si>
  <si>
    <t>Beautifully done rehab. Almost everything is new! Building does not allow lockboxes, so allow yourself a few minutes when showing to pick up the key from Realty Executives down the street after making an appt. in CSS.</t>
  </si>
  <si>
    <t>Eola to Liberty to Reflections</t>
  </si>
  <si>
    <t>Charming 2 bedroom 2.5 bath home.  Home has been freshly painted and more.  Private entrance, Large living room/dining room, Spacious bedrooms and kitchen. This is a Fannie Mae HomePath property.</t>
  </si>
  <si>
    <t>Village Green</t>
  </si>
  <si>
    <t>Aurora Ave to Village Green; Right to 1st driveway on left</t>
  </si>
  <si>
    <t>26X93</t>
  </si>
  <si>
    <t>Gorgeous updated TH just steps from Riverwalk/downtown  Naperville. HW flrs LR/DR w/soaring ceilings. New cabinets, corian counters,oiled bronze fixtures. All appliances stay. New lighting fixtures,door hardware. "WOW" baths all redone w/lux master...sep tub, walk-in shower. Huge master; W-I closet w/  organizers + 2nd triple closet. Fin. bmt w/newer carpet &amp; fresh paint. New windows! Too much to list, come see!</t>
  </si>
  <si>
    <t>Fenced Yard, Landscaped Professionally, Wooded</t>
  </si>
  <si>
    <t>Fire Sprinklers, CO Detectors, Ceiling Fan, Sump Pump</t>
  </si>
  <si>
    <t>3.0% - $200 (on Net SP)</t>
  </si>
  <si>
    <t>Please Use Show Assist, thanks!</t>
  </si>
  <si>
    <t>Filliater</t>
  </si>
  <si>
    <t>The HOA is very active regarding the landscaping in the Subdivision.  Extra landscaping and a 8ft fence was installed in the last few years to keep the backyard private.  Any questions, please ask, thanks!</t>
  </si>
  <si>
    <t>Rt 23 south to Manning Dr</t>
  </si>
  <si>
    <t>A beautifully kept ranch end unit.  Large green space and many upgrades.  Everything you need on the main level plus extra family room, 3rd bedroom and 3rd bath in the basement  Large bay window eating area in kitchen.  Energy efficient gas fireplace in LR.  Patio doors from LR.</t>
  </si>
  <si>
    <t>35X13</t>
  </si>
  <si>
    <t>Bradtmueller</t>
  </si>
  <si>
    <t>Jerry Wahlstrom</t>
  </si>
  <si>
    <t>(815) 757-7867</t>
  </si>
  <si>
    <t>815-757-7867</t>
  </si>
  <si>
    <t>Move in condition.  Professionally cleaned and ready to go.</t>
  </si>
  <si>
    <t>Washington &amp; Hainesville South to Big Horn West to Home on the right (Across From Visitor Parking)</t>
  </si>
  <si>
    <t>Great Potential With This Spacious Town Home!  2 Large Bedrooms with 1.1 Bathrooms, English Basement and 2 Car Garage.  Large Living Room With Abundant Natural Light Combined With Dining Room.  Nice Kitchen with Maple Cabinets, Plenty of Counter Space and Walk In Pantry.  All Bedrooms Have Large Walk-In Closets.  Convenient Upstairs Laundry Room with Washer and Dryer.  Lender Approval Required.  A MUST SEE!</t>
  </si>
  <si>
    <t>11X20</t>
  </si>
  <si>
    <t>Call LO @ 847-367-8686 Dial 0 - Easy to show</t>
  </si>
  <si>
    <t>McGhee</t>
  </si>
  <si>
    <t>Michelle Nunez, CSC</t>
  </si>
  <si>
    <t>(847) 557-8502</t>
  </si>
  <si>
    <t>847-400-6718</t>
  </si>
  <si>
    <t>CC: Pursuant to Short Sale. Must Use 6.0 Contract. Pursuant to Short Sale...Any Reduction In Commission By Bank Will Be Shared 50/50.</t>
  </si>
  <si>
    <t>FHA / VA Approved! 2nd floor condo features brand new hardwood floors, custom cabinets, granite counter tops, stainless steel appliances, in-unit washer / dryer, storage and underground garage parking. Luxury living in the heart of downtown; steps to the Metra and local shops. Different views and floors available.</t>
  </si>
  <si>
    <t>E of Blanchard, S of 22nd St</t>
  </si>
  <si>
    <t>NICELY UPDATED 2 STORY, 2 BEDROOM TOWNHOUSE FEATURES NEW KITCHEN CABINETS, NEW APPLIANCES AND NEW CARPETING. HOME IS CLOSE TO POOL, CLUBHOUSE, TRANSPORTATION AND SHOPPING. THIS IS A FANNIE MAE HOMEPATH PROPERTY.</t>
  </si>
  <si>
    <t>NO DISCLOSURES, PERSONAL PROPERTY OR SURVEY. SELLER REQUEST ALL OFFERS SUBMITTED TO www.homepath.com</t>
  </si>
  <si>
    <t>64th Street to Nashville, North on Nashville 64th Pl, left on 64th Pl to 6632 W</t>
  </si>
  <si>
    <t>You'll love this sharp two bedroom with off-street parking. This freshly painted condo features a private balcony, a large kitchen with brand new shaker style cabinets and laminate flooring. This is a Fannie Mae HomePath property.</t>
  </si>
  <si>
    <t>Parking, Other</t>
  </si>
  <si>
    <t>Pav Realtors</t>
  </si>
  <si>
    <t>(708) 795-7100</t>
  </si>
  <si>
    <t>Joseph R Pav</t>
  </si>
  <si>
    <t>(708) 785-3950</t>
  </si>
  <si>
    <t>The seller has directed that all offers on this listing should be made online at Homepath.com For help in submitting your offer, call 1-866-218-4446 M-F 8am-8pm. Please review the documents in additional info before submitting an offer.</t>
  </si>
  <si>
    <t>OAKS OF GREEN TRAIL</t>
  </si>
  <si>
    <t>College Road south of Maple to Abbeywood.  East to Trinity drive, north (left on Trinity) to 6230.</t>
  </si>
  <si>
    <t>Highly sought after 2 BR first floor condo in the Oaks of Green Trail.  Freshly painted.  New carpet and kitchen floor. Georgious ceramic tile in Bath. In unit laundry w/ washer &amp; dryer. Cozy Patio with view of the yard.  Close to parks, trails, and tennis courts.   1 car attached garage.  See it today.</t>
  </si>
  <si>
    <t>Park/Playground, Tennis Court/s, Curbs/Gutters, Street Lights, Street Paved</t>
  </si>
  <si>
    <t>Easy! Call L/A @ 708-205 8916.</t>
  </si>
  <si>
    <t>Ownerofrecord</t>
  </si>
  <si>
    <t>708-205 8916</t>
  </si>
  <si>
    <t>Daniel Pauls</t>
  </si>
  <si>
    <t>(708) 205-8916</t>
  </si>
  <si>
    <t>Randall Rd. To Big Timber W to Timber Trails N to Telluride L to Durango</t>
  </si>
  <si>
    <t>Fabulous home &amp; area! Open living room with soaring ceilings. Bright kitchen with dark cabinets, food pantry &amp; sliding patio doors lead to outdoor deck. 2nd floor loft can be office. No seller disclosures. HUD HOME SOLD AS-IS. INFORMATION DEEMED RELIABLE BUT NOT GUARANTEED. SELLING BROKER TO VERIFY ALL INFORMATION.</t>
  </si>
  <si>
    <t>Case #137-327582. Insured Status: IE. Up to 3% Co-op. Offers submitted on-line. Office must be HUD registered. See attached HUD Guidelines. Go to HUDhomestore.com and hudpemco.com. Questions? HUD@tanisgroupllc.com.</t>
  </si>
  <si>
    <t>Lauren</t>
  </si>
  <si>
    <t>Cass to 60th W to Garrett S  to Carlisle E to Lauren CT</t>
  </si>
  <si>
    <t>27X59X30X59</t>
  </si>
  <si>
    <t>Location &amp; Privacy! Beautiful 2BR, 1 1/2 bths(room for 2nd shower)end-unit townhome on private cul-de-sac. Lg Master BR w/ 2 closets. 2nd flr loft w/skylight for home office or 3rd Br. Living Rm has 2 story volume ceiling &amp; frpl.  Spacious Kitchen &amp; Dining Rm. Laundry Rm w/full size W&amp;D. &amp; 2car att. garage. 1st Flr has gleaming wood floors. Downer's Grove North HS. Close to train, shopping &amp; expressways. Shows well!</t>
  </si>
  <si>
    <t>Call Listing agent 708  352-1522</t>
  </si>
  <si>
    <t>Downer's Grove North HS. end unit townhome w/ private entrance, located on a cul-de-sac, Lg Master Br w/2 closets.  1st flr laundry, 2 car att garage, SGD to patio. Close to train, shopping, expressways</t>
  </si>
  <si>
    <t>Clarendon Hills Rd E on 67th to Snug Harbor N</t>
  </si>
  <si>
    <t>LIGHTSHIP2</t>
  </si>
  <si>
    <t>Upgraded &amp; expanded Nantucket end unit w/ interior location - park-like view in back. Open floor plan- cathedral ceilings.  Light &amp; bright.  LR has floor to ceiling brick fireplace and glass sliding doors to deck.  Upgraded cabinetry w/pull out drawers/pantry.  BI  speakers stay.  2 master suites-one on each floor.  Jacuzzi tub.  Family room on ground level.  Newer furnace &amp; air 2013.  Hinsdale Central or South H.S</t>
  </si>
  <si>
    <t>Dogs OK, Pet Count Limitation</t>
  </si>
  <si>
    <t>Use secure showing</t>
  </si>
  <si>
    <t>Rebecca Marquardt</t>
  </si>
  <si>
    <t>(630) 772-7500</t>
  </si>
  <si>
    <t>cell 630-772-7500</t>
  </si>
  <si>
    <t>Roof NEW in 2014.  Remaining assmt to be paid by seller.  DOG ok-no weight limit-max 2 pets.  No FHA.  No rentals.  Expanded 2 ft in Kit &amp; LL BR.  Shows great!</t>
  </si>
  <si>
    <t>HOBSON</t>
  </si>
  <si>
    <t>WOODRIDGE DR S OF HOBSON 2 MITCHELL LEFT TO BLD</t>
  </si>
  <si>
    <t>CLOSE TO MAJOR HIGHWAYS. TWO BEDROOMS, TWO BATHROOMS FIRST FLOOR  CONDO WITH PATIO. SHORT SALE.</t>
  </si>
  <si>
    <t>CALL l/a 630-745-7441 2h NOTICE</t>
  </si>
  <si>
    <t>Century Home Realty</t>
  </si>
  <si>
    <t>(630) 745-7441</t>
  </si>
  <si>
    <t>Lilia Sakalauskas</t>
  </si>
  <si>
    <t>Aldridge</t>
  </si>
  <si>
    <t>Rt. 120 west of Hainesville Rd., south on Wildspring, east on Providence, south on Aldridge.</t>
  </si>
  <si>
    <t>Great opportunity! Own for less than rent, or be an investor! No rental restrictions. Low association fees! Hardwood floors through entire main floor. All appliances included! Master bedroom features vaulted ceiling, fan, his and her walk-in closets! Bedroom 2 includes ceiling fan and walk-in closet. 2-car tandem garage! Private backyard/patio. Short sale handled by short sale attorney- allow time for bank approval.</t>
  </si>
  <si>
    <t>Humidifier, Security System, CO Detectors, Ceiling Fan</t>
  </si>
  <si>
    <t>Michael Nukkala</t>
  </si>
  <si>
    <t>(847) 477-0593</t>
  </si>
  <si>
    <t>CC: Pursuant to Short Sale. 100% tax proration. No survey. Any commission reduction split 50/50.</t>
  </si>
  <si>
    <t>West Ridge</t>
  </si>
  <si>
    <t>20 West of Randall to West Ridge North to Sanctuary east to Churchill to Cameron</t>
  </si>
  <si>
    <t>Spacious and neutral Buckingham model, this end unit features 2 beds, 2.5 baths, an open floor plan with vaulted ceilings and white trim pkg.  Full finished lower level family room with half bath and finished laundry room. Master bedroom with bath and walk in.  Upgraded kitchen cabinets with stainless sink and pulls, upgraded lighting.  2 car garage.</t>
  </si>
  <si>
    <t>Balcony, Utility Room-Lower Level, Walk In Closet</t>
  </si>
  <si>
    <t>call office at 847.884.8870 press 0</t>
  </si>
  <si>
    <t>Meier</t>
  </si>
  <si>
    <t>Patti Boulahanis</t>
  </si>
  <si>
    <t>(847) 230-7008</t>
  </si>
  <si>
    <t>Please be sure to lock doors when you leave.  Sentrilock on railing</t>
  </si>
  <si>
    <t>63RD TO CASS SOUTH TO PIERS WEST TO CASS LANE E, EAST TO 64TH TO CASS LN W</t>
  </si>
  <si>
    <t>IMMACULATE CONDO W/ GORGEOUS VIEWS FROM SLIDING GLASS DOORS OF THE THE POND! LARGEST 2 BR UNIT IN THE PIERS.  GLEAMING HARDWOOD FLOORS THROUGH OUT. CERAMIC TILE KITCHEN, STONE FIREPLACE. STEPS TO POOL &amp; CLUBHOUSE. 1 CAR GAR. BEST LOCATION &amp; "A+" CONDITION!</t>
  </si>
  <si>
    <t>Storage, Party Room, Pool-Outdoors, Security Door Locks</t>
  </si>
  <si>
    <t>Lake Front, Pond</t>
  </si>
  <si>
    <t>2.500% - $200 (on Net SP)</t>
  </si>
  <si>
    <t>TEXT LISTING AGENT AT 630-930-9992</t>
  </si>
  <si>
    <t>Adam Spurlock</t>
  </si>
  <si>
    <t>(630) 930-9992</t>
  </si>
  <si>
    <t>Church Lot# 0603</t>
  </si>
  <si>
    <t>Savannah Crossing 9 ft. Ceilings Main Level. Stained Rails + White  Spindles Entry/Main. Tech Room 2nd Floor.  100% Energy Star. 30 Yr. Structural Transferrable Builder Warranty. Awesome Batavia Dist Schools. Photos Are Of the Model.   STILL TIME TO MAKE ALL YOUR OWN INTERIOR COLOR SELECTIONS!</t>
  </si>
  <si>
    <t>Please call the sales office 630-978-9600 or use Showing Assist</t>
  </si>
  <si>
    <t>Agent must accompany buyers on first visit. Please register with Kristin Pirc 630-915-8770. Commission paid on base price. Contract must be written on builder's contract.</t>
  </si>
  <si>
    <t>1N149</t>
  </si>
  <si>
    <t>MISSION</t>
  </si>
  <si>
    <t>MISSION COURT</t>
  </si>
  <si>
    <t>GENEVA RD 1/4 mile W OF GARY TO MISSION CT N to 1N101</t>
  </si>
  <si>
    <t>AVONDALE</t>
  </si>
  <si>
    <t>50 X 111.36</t>
  </si>
  <si>
    <t>Spacious 1st Floor Master Townhome-Bright end unit with extra windows. *Terrific Wheaton North School District* 1st Floor Laundry Room. Great Room w/Fireplace. Master Suite with Bay Window, 2 WIC, plus bath with whirlpool &amp; Separate shower. Hardwood floors.  English Basement with Rough-in Bath Plumbing. Relaxing Deck with Retractable Awning. Loft would be a great office or could enclosed for 3rd BR. Welcome Home!</t>
  </si>
  <si>
    <t>PLEASANT HILL ELEMENTARY SCHOOL</t>
  </si>
  <si>
    <t>Wheaton Christian Grammar School</t>
  </si>
  <si>
    <t>Humidifier, Central Vacuum, TV-Cable, CO Detectors, Ceiling Fan, Sump Pump</t>
  </si>
  <si>
    <t>Attached Fireplace Doors/Screen, Gas Logs, Gas Starter, Heatilator Type System</t>
  </si>
  <si>
    <t>Click on Showing Assist or Call Weichert Showing Desk 855-957-1408. Contact LAG with any ?s.</t>
  </si>
  <si>
    <t>Direct Line 630-665-1200</t>
  </si>
  <si>
    <t>Icemaker in Refrigerator Doesn't Work. Workbench &amp; Cabinets in Garage Included.</t>
  </si>
  <si>
    <t>Plainfield Rd turn North onto Woodglen</t>
  </si>
  <si>
    <t>Great Opportunity! This spacious condo features 2 beds 1.1 baths, fresh paint, new carpets and much more Nothing but move in. Clean and ready for your buyers! Area schools and parks are nearby. Property is in an area with access to all amenities. Property being sold AS IS. This property is eligible under first look through 09/14/2014. Please download Offer Questionnaire and Owner Occupancy Cert from Additional info</t>
  </si>
  <si>
    <t>Click Link Below &amp; Schedule a Showing, Thanks</t>
  </si>
  <si>
    <t>N.A. Burza Realty Company</t>
  </si>
  <si>
    <t>(708) 442-4900</t>
  </si>
  <si>
    <t>Norbert Burza</t>
  </si>
  <si>
    <t>(708) 442-4900x0</t>
  </si>
  <si>
    <t>**HomeSteps Financing is available** Contract, Proof of Funds/ PreAppr Letter, Cert E.M. must accompany all offers. All Offers should be emailed to offers@naburzarealty.com Buyer to pay their portion of any past due HOA dues per ILL statue</t>
  </si>
  <si>
    <t>NORTH AV TO SCHMALE N 2 GOLFVIEW E 2 CLUB N 2 HOME</t>
  </si>
  <si>
    <t>Terrific 2 bedroom 2.1 bath two story unit that is in move in condition. This property features a 2 car garage, fireplace, new carpet and has been freshly painted throughout. Just minutes from public transportation and shopping. TAXES 100%, BUYER IS RESPONSIBLE FOR PREVIOUS 6  MONTHS HOA FEES</t>
  </si>
  <si>
    <t>TAXES 100%, Submit offers to www.HomePath.com  BUYER IS  RESPONSIBLE FOR PREVIOUS 6 MONTHS HOA FEES,</t>
  </si>
  <si>
    <t>Balmoral</t>
  </si>
  <si>
    <t>ROOSEVELT TO BALMORAL SOUTH TO ADDRESS</t>
  </si>
  <si>
    <t>NICE CLEAN FRESHLY PAINTED CONDO WITH PARKING. UNIT HAS A BIG LIVING ROOM SEPARATE DINING ROOM AND BIG KITCHEN. BEAUTIFUL HARD WOOD FLOORS. THIS IS A FANNIE MAE HOMEPATH PROPERTY.</t>
  </si>
  <si>
    <t>AGENTS SUBMIT OFFERS ON HOMEPATH.COM. NO DISCLOSURES AND NO SURVEY. BUYER RESPONSIBLE FOR VILLAGE REQUIREMENTS IF ANY. ILLINOIS STATUTE APPLIES 6 MONTH HOA BACK ASSESMENTS.</t>
  </si>
  <si>
    <t>Green</t>
  </si>
  <si>
    <t>SOUTH ON HALSTED, WEST TO 111TH</t>
  </si>
  <si>
    <t>REO BANK OWNED PROPERTY!! SOLD "AS IS" WITHOUT REPAIR, WARRANTY OR SELLER DISCLOSURE!! SELLER WILL NOT ACTIVATE ANY UTILITIES!! LISTING BROKER &amp; SELLER ASSUME NO RESPONSIBILITY &amp; MAKE NO GUARANTEES, WARRANTIES OR REPRESENTATIONS AS TO THE AVAILABILITY OR ACCURACY OF THE PROPERTY INFORMATION!! NICE TOWNHOME ON A BEAUTIFUL SERENE BLOCK!!</t>
  </si>
  <si>
    <t>10X20</t>
  </si>
  <si>
    <t>CALL LISTING OFFICE!!</t>
  </si>
  <si>
    <t>PLYMOUTH</t>
  </si>
  <si>
    <t>BRIARCLIFFE TO LAKECLIFFE TO PLYMOUTH</t>
  </si>
  <si>
    <t>One of A Kind &amp; Cul De Sac Location! This Unit is Truly Move in Ready - Beautifully Custom Kitchen Overlooking Eating Area; Inviting LR w/Decorative FP; Remodeled Bathroom Leads to Master Bedroom; Newer Furnace &amp; New Water Heater; Professionally Painted; Balcony Overlooking Private Area; Extra Storage; All Appliances Stay; Extra Parking for Visitors; Walk to School and Park Location! Conveniently Located! An A+!</t>
  </si>
  <si>
    <t>1 Hour Notice, must confirm, Click On Showing Assist to Schedule</t>
  </si>
  <si>
    <t>Fireplace is AS-IS not usable</t>
  </si>
  <si>
    <t>NEVA MANOR</t>
  </si>
  <si>
    <t>Montrose, one (1) block east of Harlem, to Neva to subject</t>
  </si>
  <si>
    <t>Spacious 2 bed/2 bath unit unique like no other!  Spacious entry-way, granite/stainless kitchen w/island open to living rm w/balcony.  Master walk-in closet and bath with separate Jacuzzi tub and stand up shower.  In-unit laundry, plenty of large closets, 2 indoor parking units, 2 storage units.  Pets allowed.  Elevator building.  Union Ridge &amp; Ridgewood HS.  Walk to public transportation and shopping in minutes.</t>
  </si>
  <si>
    <t>UNION RIDGE ELEMENTARY SCHOOL</t>
  </si>
  <si>
    <t>Elevator, Storage, Security Door Locks, Service Elevator, Curbs/Gutters, Sidewalks, Street Lights, Street Paved</t>
  </si>
  <si>
    <t>Humidifier, TV-Dish, Intercom, Fire Sprinklers, CO Detectors, Ceiling Fan</t>
  </si>
  <si>
    <t>Call or text listing agent - 2 hour notice - 708-426-8664</t>
  </si>
  <si>
    <t>Stella Biskup</t>
  </si>
  <si>
    <t>(708) 426-8664</t>
  </si>
  <si>
    <t>Rt68 West of Rt25 to 605 (between the Library &amp; Rec Ctr)</t>
  </si>
  <si>
    <t>Att'n seniors! Custom 2 BR condo conveniently located on 3rd flr of elevator bldg-Village Green of ED. Freshly painted with brand new carpeting/fully applianced kit and w/d in unit. Master BR has ceiling fan/step-in shower in bath! Mo. service fee of $1,104 pays all utilities, housekpg 2x/mo.,linen changes wkly! Wellness &amp; therapy ctrs on site-ask me about the optional meal plan! Isn't it time for a lifestyle change?</t>
  </si>
  <si>
    <t>Commissary, Elevator, Exercise Room, Storage, On Site Manager/Engineer, Party Room, Receiving Room, Security Door Locks, Service Elevator, Curbs/Gutters, Sidewalks, Street Lights, Street Paved</t>
  </si>
  <si>
    <t>Heat, Air Conditioning, Water, Electric, Gas, Parking, Common Insurance, Security, TV/Cable, Exercise Facilities, Exterior Maintenance, Lawn Care, Scavenger, Snow Removal, Other</t>
  </si>
  <si>
    <t>Commuter Bus, Adult Community</t>
  </si>
  <si>
    <t>Full 2 BR 2 BA condo on 3rd floor - completely rehabbed!</t>
  </si>
  <si>
    <t>Regent</t>
  </si>
  <si>
    <t>RANDALL TO BIG TIMBER W TO MEADOWS W TO REGENT</t>
  </si>
  <si>
    <t>CARLSBAD</t>
  </si>
  <si>
    <t>Spacious Ranch Duplex - Features A Open Floor Plan with 2 Masters Bedrooms Vaulted Ceilings &amp; Gourmet Kitchen w/Double Oven, 42" Oak Cabinets, Sit at Island, Crown Molding, Ceramic back splash, Hardwood Floors. Full Finished Basement Boasts a 2nd Master Bedroom w/full Bath &amp; Large Area to Entertain.  Premium Lot with Large Wood Deck to Enjoy your Open Back Yard. Quick Close Possible!</t>
  </si>
  <si>
    <t>14X36</t>
  </si>
  <si>
    <t>Dietz</t>
  </si>
  <si>
    <t>Lora Mahnke, SFR</t>
  </si>
  <si>
    <t>(847) 987-3956</t>
  </si>
  <si>
    <t>Burr Oaks</t>
  </si>
  <si>
    <t>17-2</t>
  </si>
  <si>
    <t>Rte 59 &amp; Grass Lake West to Woodland Green (Oakwood) to Burr Oak to number</t>
  </si>
  <si>
    <t>TRINIDAD</t>
  </si>
  <si>
    <t>Enjoy Private Wooded Surroundings in this Trinidad Model Over 1800 SQ FT Open Floor Plan W/2 Oversized Bedrms, 3 BATHS, Vaulted Ceilings, Corian Countertops, shared bath has lighted shower Shower, Master Bath Dual sinks &amp; oversized tub, C/A, Fireplace W/ Entertainment Center,Oak Rails, Large Laundry Rm, Vaulted Ceiling In Master Bedrm &amp; Living Room, Finished Walk-out Brick Patio, Oversized heated garage, Ceiling fans</t>
  </si>
  <si>
    <t>Forest Preserve Adjacent, Landscaped Professionally, Wooded</t>
  </si>
  <si>
    <t>Water-Softener Owned, TV-Dish, CO Detectors, Ceiling Fan</t>
  </si>
  <si>
    <t>Attached Fireplace Doors/Screen, Gas Logs, Heatilator Type System, Includes Accessories</t>
  </si>
  <si>
    <t>Call 847-395-3000  24 Hour Notice</t>
  </si>
  <si>
    <t>Owner related to agent</t>
  </si>
  <si>
    <t>GEORGETOWN SQUARE</t>
  </si>
  <si>
    <t>MILWAUKEE AVE NORTH OF ROUTE 22 TO GEORGETOWN WAY W</t>
  </si>
  <si>
    <t>Sought after Essex model in desirable Georgetown Square.  This first floor, two bedroom unit, has new carpet and is ready for you to move right in.  Perfect unit for the first time buyer or empty nester!  A MUST SEE!</t>
  </si>
  <si>
    <t>LAURA B SPRAGUE SCHOOL</t>
  </si>
  <si>
    <t>DANIEL WRIGHT JUNIOR HIGH SCHOOL</t>
  </si>
  <si>
    <t>Lake Michigan, Well-Community</t>
  </si>
  <si>
    <t>For all showings click the "schedule a showing" link below.</t>
  </si>
  <si>
    <t>Karen Holub</t>
  </si>
  <si>
    <t>Jennifer Kissane</t>
  </si>
  <si>
    <t>(630) 272-7275</t>
  </si>
  <si>
    <t>jmkappraisals@sbcglobal.net</t>
  </si>
  <si>
    <t>Listing Agent does not hold earnest money.  Please email offers to jmkappraisals@sbcglobal.net</t>
  </si>
  <si>
    <t>RT 53 (SOUTH OF 75th) to Fox Ridge</t>
  </si>
  <si>
    <t>BEAUTIFUL 3 BEDROOM + LOFT, 2 1/2 BATH, FINISHED BASEMENT TOWNHOUSE CLOSE TO I355, I88 &amp; SHOPPING! 2325 SQ. FEET OF LIVING SPACE! LOFT CAN BE USED AS 4TH BEDROOM OR DEN! HUGE FINISHED BASEMENT W/CUSTOM BUILT CEDAR FIREPLACE, BAR &amp; BUILT IN SURROUND SOUND! CERAMIC TILE FLOORING! MASTER BEDROOM HAS VAULTED CEILINGS, PRIVATE BATH &amp; WALK-IN CLOSET! FRESHLY PAINTED!</t>
  </si>
  <si>
    <t>S RANDALL 2R OAK 2L HIDDENCREEK 2L E. VICTORIA L2 HOME</t>
  </si>
  <si>
    <t>Quaint Condo Minutes From I-88 and Shopping. Large Kitchen Opens Out To Big Family Room. Sliding Glass Door From Kitchen Out To Balcony. Spacious Bedrooms With Attached Bath and New Carpet. Second Floor Laundry. Great Neighborhood With Open Space and Gazebo. THIS IS A FANNIE MAE HOMEPATH PROPERTY.</t>
  </si>
  <si>
    <t>SEE ADDTL INFO FOR DOC SUBMISSION. CALL 630-608-4777 IF ???s AFTER SHOWING PROPERTY. SELLER REQUESTS ALL OFFERS SUBMITTED THRU HOMEPATH.COM.</t>
  </si>
  <si>
    <t>PINE</t>
  </si>
  <si>
    <t>Forest to West, south to Pine, left to building</t>
  </si>
  <si>
    <t>Top Floor Condo. Well Maintained. 2 blocks to the Metra train station in trendy downtown Riverside! 5 gracious rooms fully updated with neutral corian kitchen countertops, stainless steel refrigerator, stove &amp; dishwasher;  hardwood floors throughout. Large bedrooms, black  &amp; white ceramic tile bath! East &amp; South exposure streams sunlight and cool breezes with views of Chicago. Short Sale - Bring your offer.</t>
  </si>
  <si>
    <t>CC: Pursuant to Short Sale. Very experienced short sale attorney.</t>
  </si>
  <si>
    <t>greenwich square</t>
  </si>
  <si>
    <t>Rt 38 to Bricher south to Vanderbilt to Home</t>
  </si>
  <si>
    <t>Great ranch model!  End Unit!  Upgraded hardwood floors in Kitchen and dinette.  Open floor plan! Spacious living room with fireplace. Large master suite with private master bath.  Loads of storage. Laundry in unit.  Close to shopping, train, and parks.  Clean bright and ready to move in!</t>
  </si>
  <si>
    <t>WILLIAMSBURG ELEMENTARY SCHOOL</t>
  </si>
  <si>
    <t>29X17</t>
  </si>
  <si>
    <t>Call 855-746-9100 must confirm   Lockbox on front light fixture</t>
  </si>
  <si>
    <t>Annemarie Gavanes</t>
  </si>
  <si>
    <t>(630) 262-7165</t>
  </si>
  <si>
    <t>Please use Multi-board 6.0 contract.</t>
  </si>
  <si>
    <t>East from Rt 23 on Bethany between Peace Rd and Somonauk Rd, turn South on Somerset to Waterbury</t>
  </si>
  <si>
    <t>MIRABELL</t>
  </si>
  <si>
    <t>Available now! Move right in! Somerset Farm, 55+ ranch condo community w/clubhouse &amp; new open floor plan w/2 BR, den, sunroom &amp; master suite w/2 walk-in closets &amp; an all-ceramic master bath w/spacious walk-in shower.  Full kitchen w/pull-out shelving &amp; pantry, and a 2 car garage with a heated storage area ( 6â€™ x 20â€™), â€œupstairs basement.â€ Oak railing leading to full basement, fireplace &amp; upgraded plumbing fixtures.</t>
  </si>
  <si>
    <t>21X6</t>
  </si>
  <si>
    <t>Exercise Room, Curbs/Gutters, Sidewalks, Street Paved</t>
  </si>
  <si>
    <t>Vaulted/Cathedral Ceiling, Vinyl Clad Windows, Upgraded Siding, Upgraded Roofing, Upgraded Insulation</t>
  </si>
  <si>
    <t>Study, Pantry, Storage, Sun/Florida Room Heated</t>
  </si>
  <si>
    <t>TV-Cable, CO Detectors, Ceiling Fan, Sprinkler-Lawn, Radon Mitigation System(s)</t>
  </si>
  <si>
    <t>Condo, Quad-Ranch</t>
  </si>
  <si>
    <t>Last basement unit at this price! Master fee paid once at closing ($309). Commission paid only on base price, not upgrades. Move in date November, 2014.</t>
  </si>
  <si>
    <t>GALLANT FOX</t>
  </si>
  <si>
    <t>Rt 30 (Base Line Rd) S on Gordon Rd L on Troon Dr L on Gallant Fox Cir to Property</t>
  </si>
  <si>
    <t>69X114</t>
  </si>
  <si>
    <t>Wonderful townhome featuring 2 BR's. NEW carpeting and paint throughout the home! Kitchen has new stove and dishwasher. This is a Fannie Mae HomePath property.</t>
  </si>
  <si>
    <t>MONTGOMERY WEST OF ROUTE 59 TO WHITE EAGLE DRIVE SOUTH TO ABDERDEEN.  FIRST BUILDING ON THE LEFT.</t>
  </si>
  <si>
    <t>VIEWS OF WHITE EAGLE GOLF COURSE &amp; POND! FRESHLY PAINTED AND NEW CARPET! THREE LEVELS OF LIVING AREA! KITCHEN W/GRANITE &amp; SS APPLIANCES! TWO STORY LIVING RM! EATING AREA W/TWO SIDED FIREPLACE! SEPARATE DINING RM! MASTER BEDRM W/WALK-IN CLOSET AND PRIVATE BATH W/WHIRLPOOL AND SEPARATE WALK-IN SHOWER! SECOND BEDRM W/PRIVATE BATH! FINISHED ENGLISH LOOKOUT LOWER LEVEL W/HALF BATH &amp; FIREPLACE! QUICK CLOSE POSSIBLE!</t>
  </si>
  <si>
    <t>Water, Common Insurance, Security, Clubhouse, Pool, Exterior Maintenance, Lawn Care, Snow Removal</t>
  </si>
  <si>
    <t>Humidifier, Security System, Sump Pump</t>
  </si>
  <si>
    <t>CALL CENTRALIZED SHOWING SERVICE.  877-977-1010.</t>
  </si>
  <si>
    <t>RELOCATION ADDENDUMS.   FRESHLY PAINTED.   NEW CARPET ON SECOND FLOOR.</t>
  </si>
  <si>
    <t>JEFFERY</t>
  </si>
  <si>
    <t>JEFFREY  SO. TO 98TH. STREET HEAD SO. TO ADDRESS</t>
  </si>
  <si>
    <t>TWO STORY BRICK TOWNHOUSE WITH TWO BEDROOMS AND FULL BASEMENT. TWO CAR DETACHED GARAGE.  THIS IS A FANNIE MAE HOMEPATH PROPERTY. SELLER DOES NOT PROVIDE SURVEY OR TERMITE. TAX PRORATIONS ARE AT 100%. THIS PROPERTY IS LOCATED NEAR SHOPPING AND TRANSPORTATION.</t>
  </si>
  <si>
    <t>Cheryl Gordon</t>
  </si>
  <si>
    <t>Briarwood South</t>
  </si>
  <si>
    <t>BRIARWOOD LAKES</t>
  </si>
  <si>
    <t>Take 31st Street, just west of Rt.83, turn north on Regent Dr., then immediate right to Gatehouse.</t>
  </si>
  <si>
    <t>F1</t>
  </si>
  <si>
    <t>Beautiful Briarwood Lakes ranch model F1. Large open common area on side of villa. Lots of privacy, Master Bedroom on main level.</t>
  </si>
  <si>
    <t>9X20</t>
  </si>
  <si>
    <t>Security, TV/Cable, Snow Removal, Internet Access</t>
  </si>
  <si>
    <t>Must have apt, call Constantine Xinos 630-222-1000</t>
  </si>
  <si>
    <t>Briarwood Lakes Community Assn.</t>
  </si>
  <si>
    <t>(630) 222-1000</t>
  </si>
  <si>
    <t>Constantine Xinos</t>
  </si>
  <si>
    <t>Spaulding Rd</t>
  </si>
  <si>
    <t>Naperville Rd to Spaulding Rd, West to property</t>
  </si>
  <si>
    <t>Amber Grove Two Story Town Home in quiet setting with spacious floor plan, 2-car garage, private patio and back yard!  Living room features hardwood floors, fire place &amp; walks out to private patio ideal for indoor/ outdoor entertaining.  Separate dining area, open kitchen, powder room &amp; easy garage access complete the main floor. 2nd floor features large master suite w/WIcloset, guest BR, Loft/ofc/FR &amp; Full laundry.</t>
  </si>
  <si>
    <t>NATURE RIDGE ELEMENTARY SCHOOL</t>
  </si>
  <si>
    <t>Call Centralized Showing Services, 877.977.1010 Mon-Fri prior day notice by 5pm; Sat/Sun by 5pm Fri</t>
  </si>
  <si>
    <t>(312) 264-1200</t>
  </si>
  <si>
    <t>Brent J. Rosenbower</t>
  </si>
  <si>
    <t>(773) 255-9388</t>
  </si>
  <si>
    <t>773.255.9388</t>
  </si>
  <si>
    <t>CC: Pursuant to Short Sale. PURSUANT TO SHORT SALE -- ALLOW TIME FOR LENDER APPROVAL. COMMISSION BASED ON LENDER APPROVAL. Association Reserves $500,000+</t>
  </si>
  <si>
    <t>Rt 38 W of Fox River to River Lane, N to Building 200</t>
  </si>
  <si>
    <t>Gorgeous River North condo feels like a luxury getaway!! Live right in Downtown Geneva next to Fox River &amp; River Park, bike trail. Minutes to shopping, restaurants, Third Street, festivals, Metra. Award winning SD 304. Corian counters, tray ceilings, screened porch, charming views. Everything the busy person needs â€“ a beautiful, easy to care for home, no outside maintenance, heated underground garage, storage locker.</t>
  </si>
  <si>
    <t>Den, Screened Porch</t>
  </si>
  <si>
    <t>630-330-1080</t>
  </si>
  <si>
    <t>Overlooks courtyard,not river.  Quiet &amp; secure bldg.  Feels like a model! If checking out garage (space 18) don't let door close behind as you won't have bldg key to get back in. Can purchase add'l space if available</t>
  </si>
  <si>
    <t>County Farm to Stearns W to Longford N to home</t>
  </si>
  <si>
    <t>Dramatic 2-story living room, kitchen with ceramic floor and granite counter tops. Vaulted ceiling master bedroom, bath w/tub and stand up shower. 2nd bedroom with private bathroom.</t>
  </si>
  <si>
    <t>2.0-$250 (on Net SP)</t>
  </si>
  <si>
    <t>Please allow 2-3 hrs advance notice. Use the showing desk.</t>
  </si>
  <si>
    <t>Mariel Nazario</t>
  </si>
  <si>
    <t>(630) 675-4541</t>
  </si>
  <si>
    <t>CC: Pursuant to Short Sale. Please allow 2-3 hrs in advance notice for all showings.  Certain pieces of furniture  available to purchase.  Sale price approved by lender. Please turn all lights off before securing the property.  Thank you.</t>
  </si>
  <si>
    <t>Rt 64 to Smith Road North to Pheasant Trail East to 637</t>
  </si>
  <si>
    <t>21 X 84</t>
  </si>
  <si>
    <t>This Pheasant Run Trails home awaits your fussiest buyer. 2 bedrooms plus loft. Mast Bedrm w/vaulted ceiling, walk-in closet &amp; bath w/Jacz tub, sep shower, twin bowl vanity &amp; skylight! Kit w/eating area, center island, 42" cabinets plus additional area ideal for cozy seating or home office - opens to deck all w/Custom Plantation shutters for a wow look! Liv.Rm w/dramatic corner FP. Fin English Bsmt w/FamRm &amp; Laundry.</t>
  </si>
  <si>
    <t>Eating Area, Loft, Other</t>
  </si>
  <si>
    <t>Please call Centralized Showings 877-977-1010</t>
  </si>
  <si>
    <t>Large walk-in closet in basement has been roughed in for full bath if desired.  Six panel doors throughout.  Custom window treatments throughout this home.</t>
  </si>
  <si>
    <t>PERSHING</t>
  </si>
  <si>
    <t>LOCATED ON PERSHING, JUST EAST OF WESTERN</t>
  </si>
  <si>
    <t>BRIGHT 2 BEDROOM TWO BATHS W/ 12' CEILINGS AND LOFT-STYLE OPEN FLOOR PLAN. FEATURES GRANITE KITCHEN COUNTERTOPS, STAINLESS STEEL APPLIANCES, SPACIOUS CLOSETS, UTILITY ROOM WITH WASHER/DRYER AND LARGE PRIVATE BALCONY. CONVENIENT TO EL ORANGE LINE AND EXPRESSWAYS. CITY VIEWS. PARKING INCLUDED IN PRICE. ADDITIONAL SPOT AVAILABLE FOR 10K</t>
  </si>
  <si>
    <t>27X17</t>
  </si>
  <si>
    <t>5X15</t>
  </si>
  <si>
    <t>Bike Room/Bike Trails, Elevator, Exercise Room, Storage, On Site Manager/Engineer, Party Room, Receiving Room, Security Door Locks, Service Elevator, Gated Entry, Sidewalks, Street Lights</t>
  </si>
  <si>
    <t>Water, Common Insurance, Security System, TV/Cable, Exercise Facilities, Exterior Maintenance, Lawn Care, Scavenger, Snow Removal, Internet Access</t>
  </si>
  <si>
    <t>Balcony, Utility Room-1st Floor</t>
  </si>
  <si>
    <t>TV-Dish, Security System, Intercom, Fire Sprinklers, CO Detectors</t>
  </si>
  <si>
    <t>CALL AGENT'S CELL 773-627-2045 24 HRS NOTICE</t>
  </si>
  <si>
    <t>Continuum Real Estate Brokers</t>
  </si>
  <si>
    <t>(773) 342-9300</t>
  </si>
  <si>
    <t>Philip De Bates</t>
  </si>
  <si>
    <t>(773) 627-2045</t>
  </si>
  <si>
    <t>NOT A SHORT SALE. PRICED TO MOVE</t>
  </si>
  <si>
    <t>Milw.Ave. &amp; Rt. 45, N2 Georgetown Sq. on West side of street.  At "T" in entrance,  right to 1152</t>
  </si>
  <si>
    <t>Best Price in higher end complex bordering Lincolnshire!  Move in condition unit is  freshly painted &amp; has brand new carpeting!  Upgraded interior features include a rarely seen Fireplace &amp; Entertainment Center! Other upgrades include Jacuzzi tub, Alarm System, Butler's Pantry &amp; Updated Lighting &amp; more! Easy to swap LR for DR for a beautiful look! Covered Front Porch is adorable! Ready to Sell Now. Top Schools, too!</t>
  </si>
  <si>
    <t>Eating Area-Breakfast Bar, Pantry-Butler</t>
  </si>
  <si>
    <t>Humidifier, TV-Cable, Security System, CO Detectors</t>
  </si>
  <si>
    <t>2.5%-$250 + $500 BONUS IF CLOSED IN 2014 (on Net SP)</t>
  </si>
  <si>
    <t>Sente</t>
  </si>
  <si>
    <t>Carol Schaul, ABR,GRI,SFR</t>
  </si>
  <si>
    <t>(847) 557-8558</t>
  </si>
  <si>
    <t>847-421-5910  cell phone</t>
  </si>
  <si>
    <t>$500 BONUS IF CLOSED IN 2014!  BEAUTIFUL AND READY FOR A QUICK CLOSING! CT ACCENT IN KITCHEN IS MORE SUBTLE THAN IT LOOKS IN PHOTOS AND IS A BEAUTIFUL LOOK! LR &amp; DR virtually stage to give your buyer perspective on the look they can have!</t>
  </si>
  <si>
    <t>WESTMORE TO WILSON EAST TO HOME.</t>
  </si>
  <si>
    <t>BACK ON MARKET-BUYERS FINANCING FELL THRU. PRICED TO SELL!! SOUGHT AFTER TALBOT MODEL OFFERS 2 BEDROOMS 2 1/2 BATHS- EAT-IN KITCHEN WITH BREAKFAST BAR. LR/DR COMBO. BOTH BEDS HAVE OWN PRIVATE BATH. SKYLIGHTS IN MASTER SUITE AND HALLWAY. NEWER STAIR CARPET AND INTERIOR DOORS. NEW FURNANCE. WL FLOORS THRU OUT. BEAUTIFUL VIEW OF POND FROM LIVING ROOM AND MASTER SUITE. YOU WON'T BE DISAPPOINTED!!</t>
  </si>
  <si>
    <t>CALL SHOWING TIME FOR APPT. 855-746-9200</t>
  </si>
  <si>
    <t>Bobbie Scalzitti</t>
  </si>
  <si>
    <t>(630) 290-9717</t>
  </si>
  <si>
    <t>CAN BE RENTED. UNIT IN GOOOD CONDITION BUT SOLD AS-IS</t>
  </si>
  <si>
    <t>Ogden to Oak N to home</t>
  </si>
  <si>
    <t>29.5 X 125</t>
  </si>
  <si>
    <t>This is an excellent opportunity to own a beautiful home with nothing to do but move in. This updated 2 bedroom 1 bathroom home has new carpet,fresh paint,etc. This an REO property and offers will be responded within 24-48 hours by the seller.Buyerâ€™s to verify sqft,sold as is.Conventional / FHA / VAâ€ Buyer(s) must obtain free PRE-APPROVAL by the LendingDivision of Kondaur Capital Corporation,PRIOR TO OFFER ACCEPT</t>
  </si>
  <si>
    <t>Please Contact 877-977-1010.</t>
  </si>
  <si>
    <t>Stratos Rounis</t>
  </si>
  <si>
    <t>Call (888)972-8537 to apply. If Kondaur financing is chosen; Buyer(s) will receive reimbursement for appraisal cost at loan closing. Buyer(s) offer: (1)Proof of Funds and complete DU approval, -OR- (2)Proof of Funds, FICO,Pre-Approval.</t>
  </si>
  <si>
    <t>LAKE ST TO ITASCA RD S, R TO 2ND BUILDING ON R</t>
  </si>
  <si>
    <t>IDYLLIC SETTING. QUIET, POND VIEW, RESORT LIKE GROUNDS, IN OPTIMAL LOCATION.  EASY ACCESS TO EXPRESSWAYS, CINEMA, RESTAURANTS, SHOPPING, EVERYTHING!  NEUTRAL ALMOST NEW CONDO OFFERS AN OPEN FLOOR PLAN.  MASTER BEDROOM INCLUDES HUGE WALK-IN CLOSET &amp; LARGE PRIVATE BATH. OUTDOOR PATIO W/VIEW OF POND &amp; STORAGE CLOSET.GARAGE PARKING, MIDDLE UNIT WITH LOW UTILITIES.NEWLY PAINTED AND ALL NEW CARPET. GARAGE PARKING SPOT#206</t>
  </si>
  <si>
    <t>Parking, Common Insurance, Security System, Exterior Maintenance, Scavenger, Snow Removal</t>
  </si>
  <si>
    <t>PLEASE USE 6.0 CONTRACT.NO RENTALS FOR NEW PURCHASERS AT THIS TIME.</t>
  </si>
  <si>
    <t>Irving Park E of Barrington to Kingsbury N to 2nd Bristol Ln E to 7608 Unit F</t>
  </si>
  <si>
    <t>Well maintained ground level end unit ranch that is light &amp; bright*Parquet hardwood floors in living room and kitchen*Has own laundry in unit*2 decent sized bedrooms and one car garage*Easy access to highways and train*Close to shopping &amp; restaurants*    *This is a short sale*</t>
  </si>
  <si>
    <t>Security System, CO Detectors</t>
  </si>
  <si>
    <t>CC: Pursuant to Short Sale. ** Sale subject to a short sale ** Allow lender time to finalize ** Any reduction in commission will be split 50/50</t>
  </si>
  <si>
    <t>Borkshire</t>
  </si>
  <si>
    <t>PARKSIDE AT COUNTRYSIDE</t>
  </si>
  <si>
    <t>RT 56 TO DUPAGE PARKWAY, SOUTH TO SCOTT, WEST TO BORKSHIRE</t>
  </si>
  <si>
    <t>IMMACULATE END UNIT BY CAMBRIDGE HOMES IN RESORT-STYLE QUITE COMMUNITY WITH BIKE PATHS, FOREST PRESERVE, 5 LAKES STOCKED WITH FISH, PLAYGROUND, NAPERVILLE SCHOOLS. LOW HOA COVERS LANDSCAPING, SNOW, MAINTENANCE, PEST CONTROL, WATER REIMBURSEMENT. LOTS OF UPGRADES: CANADIAN HARDWOOD THROUGHOUT, CERAMIC FLOORS AND WALLS, CORIAN AND MARBLE COUNTERTOPS, BATHS AND FIREPLACE, CROWN MOLDING, WALK-IN CLOSETS, DEN, LOFT, 2 CAR</t>
  </si>
  <si>
    <t>09X18</t>
  </si>
  <si>
    <t>Attic</t>
  </si>
  <si>
    <t>Common Insurance, Exterior Maintenance, Lawn Care, Scavenger, Snow Removal, Lake Rights, Other</t>
  </si>
  <si>
    <t>Attic, Deck, Eating Area, Great Room, Loft, Office, Pantry, Utility Room-2nd Floor, Walk In Closet, Other</t>
  </si>
  <si>
    <t>CALL LISTING AGENT @ 847-624-7196.  24-HOUR NOTICE.</t>
  </si>
  <si>
    <t>Leo Eyber Realty</t>
  </si>
  <si>
    <t>(847) 663-0332</t>
  </si>
  <si>
    <t>Julian Krugman</t>
  </si>
  <si>
    <t>(847) 624-7196</t>
  </si>
  <si>
    <t>LARGEST UNIT IN SUBDIVISION. MOTIVATED SELLER. READY TO MOVE-IN IMMACULATE CONDITION WITH LOTS OF UPGRADES.</t>
  </si>
  <si>
    <t>RT 59 N OF MILLER RD TO MAIN GATE</t>
  </si>
  <si>
    <t>BOSTWICK</t>
  </si>
  <si>
    <t>STUNNING LAKE FRONT PROPERTY!  THIS "LIKE NEW" END UNIT 2 BEDROOM 2 BATH HOME HAS BEEN TOTALLY REMODELED. FEATURES:DESIGNER KITCHEN WITH GRANITE AND STAINLESS, NEW  BATHS, PAINT AND CARPET, NEW HVAC , EXTRA STORAGE, AND 1ST  FLOOR MASTER BEDROOM. RESORT LIVING: GATED, TENNIS, POOLS,  WORKOUT RM, LAKE  AND 18 HOLE GOLF COURSE.</t>
  </si>
  <si>
    <t>Water, Common Insurance, TV/Cable, Clubhouse, Exercise Facilities, Pool, Exterior Maintenance, Lawn Care, Scavenger, Snow Removal, Lake Rights</t>
  </si>
  <si>
    <t>2.5%-$225 (on Gross SP)</t>
  </si>
  <si>
    <t>VACANT ON SENTRILOCK USE SHOWING ASSIST.</t>
  </si>
  <si>
    <t>3 MONTHS SURCHARGE PAID BY BUYER. AGENTS OWNER   WILL CREDIT THE BUYER $2000.00 DOLLAR TOWARDS  PROPOSED NEW ROOFS. Finishing touches will be complete by September 25th. AGENTS PLEASE   PARK BEHIND THE D GARAGE FURTHEST ON YOUR LEFT.</t>
  </si>
  <si>
    <t>Cedarbrook</t>
  </si>
  <si>
    <t>Peace Rd. N to Woodgate Dr. W to Cedarbrook</t>
  </si>
  <si>
    <t>Practical 2 bedroom 2 bath townhome located in desirable Woodgate! Living room has large picture window. Kitchen features white cabinets + table space eating area. Full basement is studded in ready to be finished. Central air, attached 1 car garage. Common area has lots of trees &amp; shrubbery. Close to shopping &amp; dining. Property being sold "as is" Taxes 100%</t>
  </si>
  <si>
    <t>SUBMIT ALL OFFER TO WWW.TANISOFFERS.COM. Certified EM and Proof of Funds/Pre-Approval Required. Attached REPA Disclosure must be signed and included with offer. HIGHEST AND BEST DUE BY 8AM ON 2/4 MO FORM REQUIRED UNDER ADD INFO</t>
  </si>
  <si>
    <t>56TH</t>
  </si>
  <si>
    <t>55TH TO HYDE PK BLVD, SOUTH TO 56TH, EAST TO BUILDING</t>
  </si>
  <si>
    <t>HI-RISE</t>
  </si>
  <si>
    <t>Spectacular panoramic views of the city, Lake Michigan and campus are provided from this impeccable two bedroom/two bath condominium in the highly respected 1700 East 56th Street Condominium. Beautiful maple kitchen. Hardwood floors living/din, Parking space inc. Well-located near public transportation, Move in condition.  walk to University of Chicago campus, 24-hour security, fitness center, sundeck + party rm</t>
  </si>
  <si>
    <t>Bike Room/Bike Trails, Door Person, Coin Laundry, Elevator, Exercise Room, Storage, On Site Manager/Engineer, Party Room, Sundeck, Receiving Room, Service Elevator, Valet/Cleaner</t>
  </si>
  <si>
    <t>Heat, Air Conditioning, Water, Parking, Common Insurance, Security, Doorman, TV/Cable, Exercise Facilities, Exterior Maintenance, Lawn Care, Scavenger, Snow Removal</t>
  </si>
  <si>
    <t>2.5% - 250 MLS (on Net SP)</t>
  </si>
  <si>
    <t>ez to show call or text Frank 773-491-0887 need agent ID and time.</t>
  </si>
  <si>
    <t>Lewis</t>
  </si>
  <si>
    <t>Real Tek Realty</t>
  </si>
  <si>
    <t>(773) 281-8844</t>
  </si>
  <si>
    <t>Cheryl Mitrick, CNC,e-PRO</t>
  </si>
  <si>
    <t>WHITE EAGLE</t>
  </si>
  <si>
    <t>RT.59 TO White Eagle Dr. to Aberdeen</t>
  </si>
  <si>
    <t>Updated luxury White Eagle Condo with Golf Course and Pond views. $80K in upgrades with gorgeous hardwood floors, remodeled kitchen, custom soft close cabinets, stainless steel appliances, granite,lighting&amp;hardware throughout. Remodeled bathrooms, new carpeting, stylish 4" white trim,full finished basement, new furnace installed Dec 2014. Two fireplaces. Luxury living in a beautiful area of Naperville!</t>
  </si>
  <si>
    <t>Park/Playground, Party Room, Pool-Outdoors, Tennis Court/s, Whirlpool</t>
  </si>
  <si>
    <t>Cul-de-sac, Golf Course Lot, Landscaped Professionally, Pond</t>
  </si>
  <si>
    <t>Security System, Ceiling Fan, Sump Pump</t>
  </si>
  <si>
    <t>Call CSS 877.977.1010</t>
  </si>
  <si>
    <t>withheld</t>
  </si>
  <si>
    <t>Joseph Graham</t>
  </si>
  <si>
    <t>(630) 452-1648</t>
  </si>
  <si>
    <t>75TH - RICKERT, N - POPLAR, N - TENNYSON, LEFT - HOME</t>
  </si>
  <si>
    <t>WHITFORD</t>
  </si>
  <si>
    <t>TERRIFIC RANCH-STYLE TOWNHOME WITH SPACIOUS FLOORPLAN AND ATTACHED GARAGE.  WONDERFUL FINISHES THROUGHOUT AND ALL APPLIANCES STAY!  TWO BEDROOMS AND TWO FULL BATHS, LARGE LIVING ROOM WITH COZY FIREPLACE, LOTS OF WINDOW LIGHT, PLENTY OF STORAGE AND MUCH MORE.  LOCATED IN CENTRAL NAPERVILLE CLOSE TO TOWN, SCHOOLS, SHOPPING, EXPRESSWAYS, ETC.  A SIMPLY WONDERFUL HOME!!!</t>
  </si>
  <si>
    <t>SENTRILOCK / CALL LISTING OFFICE, LEAVE MESSAGE THEN SHOW</t>
  </si>
  <si>
    <t>630-585-5990</t>
  </si>
  <si>
    <t>Cassano Realty</t>
  </si>
  <si>
    <t>(630) 585-5990</t>
  </si>
  <si>
    <t>Peter Cassano</t>
  </si>
  <si>
    <t>CELL: 630-235-3911</t>
  </si>
  <si>
    <t>NEW PAINT, COVER PLATES AND A $10,000 PRICE REDUCTION!!!</t>
  </si>
  <si>
    <t>Hunt</t>
  </si>
  <si>
    <t>Hwy 59 to Lake Barrington Shores, into main gate, right to Hunt Trail.</t>
  </si>
  <si>
    <t>2 BR 2.2 BA LBS Townhome with high-end upgrades including HW &amp; stone floors, cherry/granite kitchen w/butler's pantry &amp; wine fridge; luxury full baths on upper level;  finished English LL with recreation room, wet bar, eating/game area, half bath &amp; utility room; storage; patio; 2-car garage; cul-de-sac location.  Wooded back views.  LBS LIFESTYLE!</t>
  </si>
  <si>
    <t>Bike Room/Bike Trails, Boat Dock, Exercise Room, Golf Course, On Site Manager/Engineer, Park/Playground, Party Room, Sundeck, Pool-Indoors, Pool-Outdoors, Tennis Court/s, Whirlpool, Gated Entry, Street Lights, Street Paved</t>
  </si>
  <si>
    <t>Water, Parking, Common Insurance, Security, TV/Cable, Clubhouse, Exercise Facilities, Pool, Exterior Maintenance, Lawn Care, Snow Removal, Lake Rights</t>
  </si>
  <si>
    <t>Foyer, Recreation Room, Utility Room-Lower Level</t>
  </si>
  <si>
    <t>See through/Multi Sided, Attached Fireplace Doors/Screen</t>
  </si>
  <si>
    <t>Call Showing Time - (855) 746-9020</t>
  </si>
  <si>
    <t>Suzanne Luby, ABR,CRS,GRI,SRES</t>
  </si>
  <si>
    <t>(847) 922-7773</t>
  </si>
  <si>
    <t>Wolf to Acacia, East to Wilshire Green</t>
  </si>
  <si>
    <t>This lovely first floor unit features a spacious living room, family room with fireplace, neutral carpeting and updated eat-in kitchen.  Master ensuite with loads of storage, spacious second bedroom and full 2nd bathroom.  Includes in-unit laundry, garage parking with transmitter and large balcony overlooking park-like green space. Building has clubhouse, exercise facilities and indoor/outdoor pool.</t>
  </si>
  <si>
    <t>Water, Common Insurance, Security, Clubhouse, Exercise Facilities, Pool, Exterior Maintenance, Lawn Care, Scavenger, Snow Removal</t>
  </si>
  <si>
    <t>WELLINGTON</t>
  </si>
  <si>
    <t>KENSINGTON PLACE</t>
  </si>
  <si>
    <t>63RD TO WOODWARD S TO PRENTISS E TO KENSINGTON S TO WELLINGTON</t>
  </si>
  <si>
    <t>32 X 76.25</t>
  </si>
  <si>
    <t>DOWNERS GRV BEAUTIFUL TOWNHOUSE INCOME PRODUCING TENANT OCCUPIED TIL MAY, 2015. RENOVATED FROM NEW WINDOWS, NEW PAINT TO ALL NEW FLOORING, LIGHTING &amp; THE BRAND NEW KITCHEN &amp; 2.5 REMODELED BATHROOMS! KITCHEN MAPLE CABINETS, CERAMIC FLOOR &amp; BACKSLASH + BREAKFAST BAR W/GRANITE! &amp; BOTH BEDROOMS EVEN HAVE THEIR OWN BATH &amp; WALK IN CLOSET, PRIVATE YARD &amp; 2-CAR GARAGE! IN WELL MAINTAINED &amp; DESIRABLE KENSINGTON NEIGHBORHOOD!</t>
  </si>
  <si>
    <t>INDIAN TRAIL ELEMENTARY SCHOOL</t>
  </si>
  <si>
    <t>Call owner directly for showings: 630-400-7374 or 630-445-1583</t>
  </si>
  <si>
    <t>Call owner directly for showings: 630-400-7374 or 630-445-1583. Fax or email offers to listing agent. Listing company DOES NOT hold earnest money.</t>
  </si>
  <si>
    <t>MAIN TO DUANE, WEST TO MELROSE, SOUTH TO 410</t>
  </si>
  <si>
    <t>PERFECT IN-TOWN SETTING - JUST STEPS TO TOWN, TRAIN, SHOPS. GRACIOUS ENTRY W/LARGE CLOSET &amp; FULL SIZE LAUNDRY. LIVING RM W/CORNER FP, SLIDER DOORS TO BALCONY FACING EAST FOR OUTDOOR ENJOYMENT. UPDATED QUALITY CABINETRY IN BRIGHT FULLY APPLIANCED KITCHEN. MASTER BR W/WIC &amp; MSTR BATH W/SHOWER. 2ND BR/DEN &amp; ADJACENT HALL BATH. MANY ARCHITECTURAL DETAILS INCLUDE COVE MOLDING, BIRCH WW &amp; SOLID CORE DOORS. PRIVATE GARAGE.</t>
  </si>
  <si>
    <t>CALL SHOWING DESK 630-790-1776. AFTER HOURS CALL LA 630-319-1776.</t>
  </si>
  <si>
    <t>Jane Lampert, CRS,CSC,GRI,SFR</t>
  </si>
  <si>
    <t>(630) 929-9412</t>
  </si>
  <si>
    <t>JACKSON</t>
  </si>
  <si>
    <t>RT 72 W OF RANDALL 2 CENTER N 2 TOWN CENTER 2 JACKSON TO HOME</t>
  </si>
  <si>
    <t>DEAL FELL ~ $148,000 APPROVED BY BANK - CAN CLOSE QUICKLY!!!  GREAT RENTAL OPPORTUNITY FOR INVESTORS!  GREAT HOME FOR BUYERS TOO! Don't let this GREAT unit go.. Chelsea model with hardwood floors, see-thru 3-sided fireplace and great kitchen!  Great location, mile from expressway! Minutes from all Randall Road has to offer! 2 car garage! Master BR w/master bath, cathedral ceiling &amp; WIC! Lower level family/bonus room!</t>
  </si>
  <si>
    <t>Sheryl Marsella, SFR</t>
  </si>
  <si>
    <t>(847) 867-6400</t>
  </si>
  <si>
    <t>CC: Pursuant to Short Sale. Short sale.  Commission to be determined by a third party....any reduction in commission shall be split between the listing and selling office.</t>
  </si>
  <si>
    <t>EAST ON 75TH ST, SOUTH ON WOODWARD RIGHT ON COUNTRY CLUB TO PROPERTY</t>
  </si>
  <si>
    <t>END UNIT W/ PRIVATE ENTRANCE, SPACIOUS LIVING AREA, EAT-IN KITCHEN, 2ND FLOOR BEDROOMS, LAUNDRY RIGHT OUTSIDE 2ND FLOOR. CLOSE TO CLUB HOUSE AND POOL EASY ACCESS TO EXPRESSWAY AND SHOPPING.****Sold as-is. Seller does not provide survey, termite or disclosures. Tax proration 100%. It is strongly encouraged that an offer includes Pre-qual or proof of funds. Addendum's to follow accepted offer. Buyer to verify all info.</t>
  </si>
  <si>
    <t>Submit offers to WWW.OFFERRUNWAY.COM Upload 6.0 Contract, Offer sheet, Proof of funds or Pre-qual. See add info in MLS. Buyer to verify all info.</t>
  </si>
  <si>
    <t>Rt. 72&amp;Madison. Madison South to Ellwood Greens West, to Royal Oak South to Carlwood Right to Pebble</t>
  </si>
  <si>
    <t>KINGSTON</t>
  </si>
  <si>
    <t>50 X 164 X 51 X 163</t>
  </si>
  <si>
    <t>Gorgeous Designer's Own Home - So much attention to detail! Expansive rooms with great flow are an entertainer's dream. Two master suites &amp; a basement full  bath &amp; bedroom provide privacy, room to stretch.  Chef's kitchen has island &amp; full dining space, professionally finished basement w/ large wet bar. Huge enclosed porch accessed thru 2 sets of French doors, large deck &amp; fenced area back to beautiful 11th fairway!</t>
  </si>
  <si>
    <t>DAVENPORT ELEMENTARY SCHOOL</t>
  </si>
  <si>
    <t>GENOA-KINGSTON MIDDLE SCHOOL</t>
  </si>
  <si>
    <t>GENOA-KINGSTON HIGH SCHOOL</t>
  </si>
  <si>
    <t>Golf Course, Street Lights, Street Paved</t>
  </si>
  <si>
    <t>Whirlpool, Separate Shower, Garden Tub</t>
  </si>
  <si>
    <t>Cul-de-sac, Fenced Yard, Forest Preserve Adjacent, Golf Course Lot, Landscaped Professionally</t>
  </si>
  <si>
    <t>Bar, Deck, Enclosed Porch, Foyer</t>
  </si>
  <si>
    <t>Wood Burning, Attached Fireplace Doors/Screen, Gas Logs, Gas Starter</t>
  </si>
  <si>
    <t>Call Listing Office OR Use Showing Assist</t>
  </si>
  <si>
    <t>Betty Shattuck</t>
  </si>
  <si>
    <t>(847) 791-1341</t>
  </si>
  <si>
    <t>bshattuck@firstpru.com</t>
  </si>
  <si>
    <t>Your Buyer will not be disappointed.  Enclosed 3-Season Porch is twice the size of others in complex and is Fully Roughed for Heat. Please leave business card when showing. Thank You!</t>
  </si>
  <si>
    <t>SCOTT</t>
  </si>
  <si>
    <t>CAMBRIDGE COUNTRYSIDE</t>
  </si>
  <si>
    <t>EOLA TO BUTTERFIELD TO DUPAGE PKWY TO SCOTT</t>
  </si>
  <si>
    <t>Move in ready property! Freshly painted! New carpeting! Impeccable condition! Ranch style with a private entry! Volume ceilings in living room! Eat in kitchen with plenty of cabinets and counter space! Tile floor! Master bedroom with walk in closet &amp; private bath with tub &amp; separate shower! Sliding glass doors to concrete patio and walk out to yard. Laundry room!</t>
  </si>
  <si>
    <t>Separate Shower, Handicap Shower, Double Sink</t>
  </si>
  <si>
    <t>CLICK "SCHEDULE SHOWING" BELOW-EASY!</t>
  </si>
  <si>
    <t>Thank you for showing our listing. House has been painted and new carpet installed. Efax 630-206-0909 or email rose@rosepagonis.com</t>
  </si>
  <si>
    <t>Janes to 83rd (E) to Piers (N) to Wharf (N) of garage</t>
  </si>
  <si>
    <t>LRG 2ND FLR END UNIT W/BEAUTIFUL WOODED COURTYARD VIEW! LARGE  KITCHEN &amp; SEPARATE DR. EXPANSIVE LR W/CORNER FIREPLACE &amp; PRIVATE BALCONY*2 FULL BATHS*MASTER BEDROOM HAS HUGE WALK-IN CLOSET &amp; PRIVATE BATH W/UPDATED VANITY. 2ND LG BEDROOM.*ONE OF THE LARGEST &amp; BEST LOCATED UNITS IN THE COMPLEX CLOSE TO ALL HIGHWAYS. 1-CAR GARAGE &amp; POOL* LAUNDRY ROOM IN UNIT. NEUTRAL DECOR THROUGHOUT. NEW FURNACE/AC IN 2012</t>
  </si>
  <si>
    <t>Call owner directly.  630-676-5456</t>
  </si>
  <si>
    <t>Jackie Grieshamer, ABR,CNC,CRS,e-PRO,GRI,SRES</t>
  </si>
  <si>
    <t>(630) 669-6830</t>
  </si>
  <si>
    <t>Call owner directly for appt.  630-676-5456  Listing office does NOT hold earnest money.  Offers must be emailed to Info@SellwithJackie.com or fax to 630-206-0144  No Exceptions.  Thank you.</t>
  </si>
  <si>
    <t>Bradbury</t>
  </si>
  <si>
    <t>Yorkshire Square</t>
  </si>
  <si>
    <t>Rt 59 West to New York To Commerce to Bradbury</t>
  </si>
  <si>
    <t>Edward &amp; Wendy Perry</t>
  </si>
  <si>
    <t>708-243-7908</t>
  </si>
  <si>
    <t>Carmen Manuel</t>
  </si>
  <si>
    <t>(630) 269-7653</t>
  </si>
  <si>
    <t>75th south on Woodward to Country Club Dr. to 2263</t>
  </si>
  <si>
    <t>Great opportunity! Nice 2 bedrooms Condo unit! Living room with a balcony, hardwood floors in hallway. Home built in 1979 unit is approx 937 sq.ft. Nice neighborhood, convenient location near parks, schools and shopping. Why rent when you can own for so little. This property is eligible under the Freddie Mac First Look Initiative through 9/29/2014. Property is being sold As-Is and not FHA approved.</t>
  </si>
  <si>
    <t>Sundeck, Pool-Outdoors, Curbs/Gutters, Sidewalks, Street Lights, Street Paved</t>
  </si>
  <si>
    <t>Parking, Common Insurance, Security, Pool, Exterior Maintenance, Lawn Care, Scavenger, Snow Removal</t>
  </si>
  <si>
    <t>PLEASE CLICK BELOW TO SCHEDULE A SHOWING</t>
  </si>
  <si>
    <t>Will not pass FHA/VA or conventional financing.  TO SUBMIT AN OFFER, PLEASE, COPY AND PASTE THIS LINK: http://www.callzteam.net/property_fm/2263_COUNTRY_CLUB_DR_UNIT_12</t>
  </si>
  <si>
    <t>Dancing Bear</t>
  </si>
  <si>
    <t>WOODLAND MEADOWS NORTH</t>
  </si>
  <si>
    <t>Rt. 58/Summit to Shales Parkway south to Dancing Bear west to 1307.</t>
  </si>
  <si>
    <t>HICKORY</t>
  </si>
  <si>
    <t>Rarely available ranch model in quiet cul-de-sac location. Immaculate, absolutely move-in condition. Neutral decor throughout, all window treatments &amp; appliances included. Full English basement w/huge family room, bonus room &amp; large storage area. Spacious master bedroom has vaulted ceiling &amp; private bath w/double sink, shower &amp; huge walk-in closet. Fireplace in living room, 4 ceiling fans, 2 car garage. Low HOA fee!</t>
  </si>
  <si>
    <t>28X19</t>
  </si>
  <si>
    <t>Eating Area, Office, Storage</t>
  </si>
  <si>
    <t>Use Showing Assist or call office</t>
  </si>
  <si>
    <t>Miller</t>
  </si>
  <si>
    <t>Lee Ann Lucas</t>
  </si>
  <si>
    <t>(847) 630-2837</t>
  </si>
  <si>
    <t>Cell 847-630-2837</t>
  </si>
  <si>
    <t>Humidifier AS-IS, probably works but seller is not sure.  Home warranty included (HWA).  Not FHA approved. Email offers or fax to 630-351-9512</t>
  </si>
  <si>
    <t>Cross Creek</t>
  </si>
  <si>
    <t>CROSS CREEK</t>
  </si>
  <si>
    <t>Plum Grove South of Nerge to Cross Creek</t>
  </si>
  <si>
    <t>Cross Creek Subdivision.  2 bedroom &amp; 1 bath condo in outstanding condition. Pride of homeownership shows throughout this unit. 2ND floor condo with attached 1 car garage.  Large master bedroom with walk-in closet. Newer laminate wood floor in kitchen.  Beautiful balcony over-looking backyard with sliding glass doors leading to the living room. Located close to shopping, expressways &amp; parks.  All appliances included.</t>
  </si>
  <si>
    <t>Call SS @ 877-977-1010 to schedule appointment.  On Sentrilock.</t>
  </si>
  <si>
    <t>Scott Persin</t>
  </si>
  <si>
    <t>(630) 677-8857</t>
  </si>
  <si>
    <t>Garage is the first door on the left on the main level.  The unit door is on the second floor to the right.  Sentrilock is hanging from the light fixture next to the first garage door. Taxes include senior exemption.</t>
  </si>
  <si>
    <t>LAUREL OAKS</t>
  </si>
  <si>
    <t>Sutton Road S of I90 to Laurel Oaks west</t>
  </si>
  <si>
    <t>THE HALSTED</t>
  </si>
  <si>
    <t>One of the biggest models in the subdivision w/HUGE basement! Family room has wood burning FP w/gas start, large eat in kitchen w/SS appliances except for black DW, deck&amp;patio overlook wooded unbuildable private area, upstairs has huge loft w/huge WIC, two large bedrooms w/ 2 WICs,2 baths &amp; master bath is massive!Carpet has been recently cleaned but a few minor cosmetic touches will bring this home to perfection!</t>
  </si>
  <si>
    <t>WOODLAND HEIGHTS ELEMENTARY SCHOOL</t>
  </si>
  <si>
    <t>Deck, Loft, Mud Room, Walk In Closet</t>
  </si>
  <si>
    <t>Call Showingtime 800-746-9464 or click showing assist. Must confirm</t>
  </si>
  <si>
    <t>Taxes are based on homeowner's exemption, senior exemption, and senior freeze.  Taxes would be $6304 with no exemptions and $5418 with homestead exemption.</t>
  </si>
  <si>
    <t>Rt. 12 to State Park Rd. to Grass Lake Rd. to Leisure Village entrance. Thru gate right to Lexington</t>
  </si>
  <si>
    <t>LESS THAN .25 ACRES</t>
  </si>
  <si>
    <t>What an awesome unit.  Newer windows, bathroom and flooring throughout.  Clean quiet unit on a cul de sac in this gated adult community.  Enclosed porch can be used year round.  Beautiful plantings outside can be viewed from your patio. No ugrades needed in this unit!  Short sale - please allow time.</t>
  </si>
  <si>
    <t>Exercise Room, On Site Manager/Engineer, Party Room, Gated Entry, Sidewalks, Street Paved</t>
  </si>
  <si>
    <t>2.5% LESS $150 (on Net SP)</t>
  </si>
  <si>
    <t>Book On Line Using Showing Assist Below</t>
  </si>
  <si>
    <t>Tiedje</t>
  </si>
  <si>
    <t>Dream Real Estate, Inc.</t>
  </si>
  <si>
    <t>(815) 331-9520</t>
  </si>
  <si>
    <t>John Wolf</t>
  </si>
  <si>
    <t>(815) 790-1317 cell</t>
  </si>
  <si>
    <t>CC: Pursuant to Short Sale. We have closed many short sales and work with a great negotiator.  We get them done! Please use 6.0 contract with SS Addendum with standard dates.  Earnest money due with contract. 2 hr notice required.</t>
  </si>
  <si>
    <t>CAMBRIDGE AT MIDLANE</t>
  </si>
  <si>
    <t>DELANY &amp; YORKHOUSE W TO SOUTHERN HILLS S TO AUGUSTA e TO #</t>
  </si>
  <si>
    <t>INCREDIBLE OPPORTUNITY TO OWN THIS SPACIOUS THREE LEVEL 2 BED, 1 BATH TOWNHOUSE AT A GREAT PRICE! SOLD AS-IS. SELLER IS SECRETARY OF VETERANS AFFAIRS. SELLER DOES NOT PAY CUSTOMARY CLOSING COSTS INCLUDING: TITLE POLICY, ESCROW FEES, SURVEY OR TRANSFER FEES. BUYER RESPONSIBLE FOR TRANSFER STAMPS. HIGHEST AND BEST DUE BY 10AM ON 10.17.14 - SEE FORM UNDER ADDITIONAL INFORMATION.</t>
  </si>
  <si>
    <t>SECRETARY OF VETERANS AFFAIRS</t>
  </si>
  <si>
    <t>Anthony Disano</t>
  </si>
  <si>
    <t>REQUIRED VA CONTRACT UNDER ADDITIONAL INFORMATION. PLEASE SUBMIT ALL OFFERS WITH PROOF OF FUNDS TO SALES@PVRCO.COM OR FAX TO 312-788-4040. Buyer responsible for 6 months HOA fees per IL Public Act 94-1049. Per HOA- $1963.11.</t>
  </si>
  <si>
    <t>Route 59Sto 87th E to Sheehan S</t>
  </si>
  <si>
    <t>Great looking 2 bedroom, 2 bathroom, ranch style townhouse. Home features large bedrooms, master bathroom, patio and 1 car attached garage. It is nicely located near to shopping, parks and schools. Property is being sold "as is" and is subject to HUD Guidelines 24 CFR 206.125.</t>
  </si>
  <si>
    <t>No Disclosures, Personal property or Survey. EMAIL OFFERS TO russweglarz@yahoo.com</t>
  </si>
  <si>
    <t>TAKE MARQUETTE (66TH ST) TO MARYLAND. ONE WAY SOUTH</t>
  </si>
  <si>
    <t>Completely updated and move in ready 2 bed 2 full bath condo. Beautiful living room includes exposed brick, hardwood floors, fireplace and 42 Inch plasma screen TV. Kitchen has granite countertops and includes a gas range, refrigerator and dishwasher. Large master bedroom suite includes custom closet units that provide tons of storage space. In-unit washer/dryer. Gated, secured parking is included.  The HOA is strong</t>
  </si>
  <si>
    <t>FHA, VA</t>
  </si>
  <si>
    <t>Please contact the listing office at 708-957-0600. Security alarm has to be disarmed.</t>
  </si>
  <si>
    <t>(708) 957-0600</t>
  </si>
  <si>
    <t>Leslie Levy</t>
  </si>
  <si>
    <t>773-359-1704</t>
  </si>
  <si>
    <t>Initial contract extension signed</t>
  </si>
  <si>
    <t>NORTHWEST HWY TO MAIN COOK RD, WEST TO LAGESCHULTE, SOUTH TO PROPERTY.  2 Blks west of Hough</t>
  </si>
  <si>
    <t>FHA / VA Approved 2 Bed + Den, 3 story townhome awaits your personal touches.  Take advantage of the below market price and customize your new home.  Over 1,800 sqft of luxury living in the heart of downtown.  Walk to the Metra and local shopping all just steps away.</t>
  </si>
  <si>
    <t>Call Jon Millikin (773) 307-9175 or jmillikin@jamesonsir.com</t>
  </si>
  <si>
    <t>Photos reflect model unit and not 472 W. Russell</t>
  </si>
  <si>
    <t>Ellsworth</t>
  </si>
  <si>
    <t>From rt45. West on Washington. Turn left on Atkinson, Right on Cherry Creek, Left on Ellsworth</t>
  </si>
  <si>
    <t>Beautiful townhouse in Cherry Creek.  2014 SS appliances (brand new frig). 42" cabinets, lots of counter space.  Hardwoods floors on main level.  Large family room on lower level.  Great loft area upstairs.  Top of the line craftsmanship throughout whole home.  New paint job. Plenty of parks and bike trails.  Across the street from Rollins Savannah Forest Preserve.  This is a move in ready home!</t>
  </si>
  <si>
    <t>go and show</t>
  </si>
  <si>
    <t>Mike Welsch</t>
  </si>
  <si>
    <t>Refrigerator installed on 9-12.   Owners moved out.  Vacant.  Go and Show.</t>
  </si>
  <si>
    <t>Woodward S of 75th to country club Dr.</t>
  </si>
  <si>
    <t>RENTALS ALLOWED! Newer kitchen cabinets, granite counter tops, new windows and sliding doors. New A/C, stainless steel appliances. Updated bathroom. Lowest assessments in the complex!! Regular sale...can close fast. Don't miss this!!</t>
  </si>
  <si>
    <t>Water, Gas, Scavenger, Snow Removal</t>
  </si>
  <si>
    <t>Regina Kirliauskiene</t>
  </si>
  <si>
    <t>(773) 983-4461</t>
  </si>
  <si>
    <t>Please leave business card.</t>
  </si>
  <si>
    <t>Knollwood</t>
  </si>
  <si>
    <t>Rt. 83 to 63rd St. West to Clarendon Hills Rd. North to Knollwood Rd.</t>
  </si>
  <si>
    <t>Gorgeous 2 Bedroom 2 Bath condo in The Knolls is stylish,  Huge walk-in closet in master suite plus extra storage space next to unit. You'll love the cozy fireplace and balcony.  1st floor laundry, pool &amp; tennis cts. Fabulous location.  FANNIE MAE HOMEPATH PROPERTY.</t>
  </si>
  <si>
    <t>Heat, Water, Gas, Common Insurance, Clubhouse, Exercise Facilities, Pool, Exterior Maintenance, Lawn Care, Scavenger, Snow Removal</t>
  </si>
  <si>
    <t>NO PERSONAL PROPERTY INCLUDED, TAX PRORATIONS 100%, NO TERMITE, SURVEY, OR WARRANTIES. VISIT HOMEPATH.COM FOR INCENTIVES &amp; BONUSES. SEE OFFER BINDER IN ADDITIONAL INFORMATION. ALL OFFERS MUST BE MADE ONLINE AT HOMEPATH.COM</t>
  </si>
  <si>
    <t>STREAMS VILLA</t>
  </si>
  <si>
    <t>Orchard 2 Wiesbrook West, North Stonebridge, West Creekside Lt  Woodhaven Lt Timber Ln Lt Thornwood</t>
  </si>
  <si>
    <t>35 X 70</t>
  </si>
  <si>
    <t>Couldn't ask for more! Great Living with access to your own private courtyard from every room on the 1st floor! Large Living Room w/ granite Fireplace! Formal Dining Room! Eat-in kitchen w/ quartz counter-tops and lots of storage. 1st Floor Family Room, Den and Laundry! Large bedrooms, Master w/ private bath! Two large rooms in Fin. Bmt! Newer windows, Siding, Furnace/AC, Water Heater, Carpet, Wood Floors! Super Home</t>
  </si>
  <si>
    <t>16X22</t>
  </si>
  <si>
    <t>630-742-4374 cell</t>
  </si>
  <si>
    <t>Shows well! New siding, windows, furnace &amp; AC, water heater. Great Start!</t>
  </si>
  <si>
    <t>Lake East of Bloomingdale Rd to F airfield, South to Springbook West to Billings.</t>
  </si>
  <si>
    <t>ARLEIGH</t>
  </si>
  <si>
    <t>1715 SQ FT</t>
  </si>
  <si>
    <t>FABULOUS UPDATED 2 BDRM 2 BTH RANCH TOWN HOME IN PRIME LOCATION. WALK TO SHOPPING. LARGE LIV/DIN RM COMBO W/CATHEDRAL CEILINGS, GAS FP &amp; SGD TO PRIVATE PATIO BACKING TO OPEN AREA. UPDATED EAT-IN KIT. W/42" CABINETS, GRANITE COUNTERS &amp; STAINLESS STEEL APPLIANCES. UPDATED BTHS. MASTER BDRM W/CATHEDRAL CEILING &amp; ELECTRIC FP. MSTR BA W/SKYLIGHT, DUAL VANITY, WHIRLPOOL TUB &amp; SEP. SHOWER. 2 CAR HEATED GARAGE. TURN KEY HOME</t>
  </si>
  <si>
    <t>Manor Home/Coach House/Villa, Townhouse-Ranch</t>
  </si>
  <si>
    <t>Jon Devermann, ABR,CNC,CRS</t>
  </si>
  <si>
    <t>(630) 283-9426</t>
  </si>
  <si>
    <t>Cell 630-767-9170</t>
  </si>
  <si>
    <t>***Please use the new 6.0 contract when submitting an offer***Effective March 3rd, MORe discontinued 1-day codes. Please contact your association to sign up for the Sentrilock app***</t>
  </si>
  <si>
    <t>Colorado</t>
  </si>
  <si>
    <t>VALLEY CREEK</t>
  </si>
  <si>
    <t>Randall Rd to Royal Blvd, E to Colorado Ave, S to home.</t>
  </si>
  <si>
    <t>Well maintained &amp; updated townhome! Living rm w/gas log fireplace &amp; dining area w/patio doors to deck. Galley kitchen w/all appliances &amp; pantry. Large master bedroom w/sitting area, double closets &amp; vanity area. Full finished bsmt w/rec rm &amp; storage. New energy efficient triple glazed windows, new roof, siding, double insulated garage door &amp; deck in '12. New furnace &amp; central air in '13. Close to Metra &amp; I-90 access!</t>
  </si>
  <si>
    <t>CREEKSIDE ELEMENTARY SCHOOL</t>
  </si>
  <si>
    <t>ROSELLE ROAD, NORTH OF IRVING TO HATTENDORF TO HOMEâ€¦near Train Station &amp; downtown Roselle</t>
  </si>
  <si>
    <t>Sunny, Updated, Beautiful 2 BedRm Condo! Kitchen has Breakfast Bar w/wide counter, Eat-In Area, plenty of counters &amp; cabinets. Spacious Living Room w/ Fireplace, new carpet, double sliders access large Balcony w/ nice view. Master Bedroom w/ Hardwood Floor, whirlpool tub, walk-in-closet. In-Unit Laundry/Utility Room, sink. 2 Car deeded parking in heated underground garage! WHAT A LOCATIONâ€¦WALK TO TRAIN, WINERY, TOWN!</t>
  </si>
  <si>
    <t>Heat, Gas, Exterior Maintenance, Lawn Care, Scavenger, Snow Removal</t>
  </si>
  <si>
    <t>Call/text 630.640.2002 for appt. Sentrilock on rail at the back of building.No showings between 1-4</t>
  </si>
  <si>
    <t>Whittler</t>
  </si>
  <si>
    <t>Elaine Pagels</t>
  </si>
  <si>
    <t>(630) 780-1205</t>
  </si>
  <si>
    <t>Kitchen opens into Living Room-super nice floor plan.  TWO Parking spotsâ€¦#34 &amp; 86. STORAGE space too and bike rack too!</t>
  </si>
  <si>
    <t>Downing</t>
  </si>
  <si>
    <t>Lake St to BrynMawr N2 Rodenburg W2 Downing</t>
  </si>
  <si>
    <t>1086SF</t>
  </si>
  <si>
    <t>Lovely 2 bed, 1.5 bath 2 story townhouse. Features large bedrooms, eat in kitchen, fenced private patio, and detached garage. New carpet and paint! This is a Fannie Mae HomePath property. Highest and Best due by 10AM on 11.5.14.</t>
  </si>
  <si>
    <t>Submit all offers to www.homepath.com  //  Offer Instructions sheet in â€œAdditional Information."   Buyer responsible for 6 months HOA fees per IL Public Act 94-1049.</t>
  </si>
  <si>
    <t>E on Big Hollow Rd Frm intersect w/12/59, S on Nippersink, right Terra Springs left Oak Knoll at end</t>
  </si>
  <si>
    <t>THE CHADWICK</t>
  </si>
  <si>
    <t>2945 SQ FT</t>
  </si>
  <si>
    <t>This town home residence has 2 bdrms plus a loft or 3rd bdrm and 2 &amp; 1/2 baths. It features hardwood flooring, and staircase with an open floor plan. The 1st floor has kitchen, dining room, and two-story living room plus hearth room. The 2nd floor includes a master bedroom with walk-in closet and private bath with separate shower and tub, plus a laundry rm, 2nd berm, bath, and loft. Full basement &amp; 2 car garage.</t>
  </si>
  <si>
    <t>Balcony, Other</t>
  </si>
  <si>
    <t>CALL CSS 877-977-1010 for Showing</t>
  </si>
  <si>
    <t>Alex V LasCasas</t>
  </si>
  <si>
    <t>This end unit has a large grassy area and trees in a view that goes on forever. The many windows and open floor plan must be seen to be appreciated. Assoc rules and info http://www.terraspringsvolo.com/governingdocuments.html</t>
  </si>
  <si>
    <t>DOMINION TOWER</t>
  </si>
  <si>
    <t>ADDISON RD S OF IRVING N OF LAKE STREET TO  DOMINION DRIVE</t>
  </si>
  <si>
    <t>RARELY AVAILABLE DOMINION TOWERS PENTHOUSE,  2 BEDROOM, MASTER BATH HAS WHIRLPOOL TUB, SEPARATE STEAM SHOWER. MAIN LEVEL DEN COULD BE USED AS 3RD BEDROOM, WALK IN CEDAR CLOSET, 2 TERRACES. THIS UNIT HAS BREATHTAKING SOUTH/EAST VIEWS OF THE CHICAGO SKYLINE AND GOLF COURSE, 2 STORY LIVING ROOM, FORMAL DINING ROOM, 2 PARKING SPACES, HEATED GARAGE. POOL, TENNIS COURT AND LARGE EXERCISE ROOM.</t>
  </si>
  <si>
    <t>Bike Room/Bike Trails, Elevator, Exercise Room, Storage, Party Room, Pool-Outdoors, Security Door Locks, Service Elevator, Tennis Court/s, Street Lights, Street Paved</t>
  </si>
  <si>
    <t>Whirlpool, Separate Shower, Steam Shower</t>
  </si>
  <si>
    <t>Water, Parking, Common Insurance, Security System, TV/Cable, Exercise Facilities, Pool, Exterior Maintenance, Lawn Care, Scavenger, Snow Removal, Internet Access</t>
  </si>
  <si>
    <t>Masonite, Stucco</t>
  </si>
  <si>
    <t>3.0% -$200 (on Net SP)</t>
  </si>
  <si>
    <t>CALL ELKE ROBERTS 630-335-1279</t>
  </si>
  <si>
    <t>ROBERT DOODY</t>
  </si>
  <si>
    <t>630-335-1279</t>
  </si>
  <si>
    <t>UNIT SOLD AS IS, SENTRY ON DOCK DOOR, RUN GRAY FOB OVER GRAY BOX BESIDE PHONE. UNIT DOOR COMBO 4 2 1, FOB ALLOWS ENTRY TO GARAGE SPACE #119 &amp; 120 CLOSE TO ELEVATOR. ESTATE SALE, EXECUTOR IS A REAL ESTATE BROKER</t>
  </si>
  <si>
    <t>Stony Island</t>
  </si>
  <si>
    <t>LSD to 57th St. West to Stony Island Ave. South to property.</t>
  </si>
  <si>
    <t>2BD/2BA co-op at Vista Homes in vintage high rise building. Side-by-side living and dining rooms, with beautiful Southern exposure overlooking Vista Homes Gardens. Close to the University of Chicago, public transportation and parks. Pet friendly building. A deeded garage space can be purchased for an additional $35,000.</t>
  </si>
  <si>
    <t>Heat, Water, Tax, Common Insurance, Doorman, Exterior Maintenance, Lawn Care, Scavenger, Snow Removal</t>
  </si>
  <si>
    <t>By appointment only. 24 hour notice required. Lister must accompany.</t>
  </si>
  <si>
    <t>SUMAC</t>
  </si>
  <si>
    <t>RT 31 (NORTH OF RT. 64 1 MILE) TO WILDROSE SPRINGS DRIVE TO SHORELINE DRIVE TO SUMAC CT.</t>
  </si>
  <si>
    <t>77X52X62X60</t>
  </si>
  <si>
    <t>BEAUTIFUL RANCH TOWNHOME NESTLED IN A GORGEOUS WOODED SETTING; VLTD DR/GRT RM W/FP &amp; SKYLIGHTS; KIT W/EATING AREA OPENS TO FABULOUS PRIVATE DECK THE ENTIRE BACK OF HOME; SPECTACULAR VIEWS; MASTER W/DOOR TO DECK, NEW LUX BATHS, WALK-IN CLOSET; FIN LL W/REC RM, BR, BATH &amp; STORAGE. SUN-DRENCHED, OPEN, MAINTENANCE FREE &amp; TUCKED AWAY IN NEIGHBORHOOD OF 56 ACRES OF TREES, LAKE, POND, TRAILS 1 MILE FROM TOWN. RESORT LIVING.</t>
  </si>
  <si>
    <t>Common Grounds, Cul-de-sac, Landscaped Professionally, Water Rights, Wooded</t>
  </si>
  <si>
    <t>Exterior Maintenance, Lawn Care, Snow Removal, Lake Rights</t>
  </si>
  <si>
    <t>Humidifier, Water-Softener Owned, Sump Pump</t>
  </si>
  <si>
    <t>CALL 877-977-1010  3 HOUR NOTICE</t>
  </si>
  <si>
    <t>Oakwood and 45, oakwood to Cherry Valley, South on  West Court of Shorewood   Unit 1B</t>
  </si>
  <si>
    <t>First floor condo with Spacious and sun-drenched living room w/slider leading to patio is open to kitchen. Bedroom features two walk-in closet and a linen closet. Full bath. Steps to laundry room. All utilities included except for electricity. Great location near train, entertainment, shopping and tollway  Bring your ideas and make this a winner today!  SOLD AS IS.</t>
  </si>
  <si>
    <t>Deposit Required, Dogs OK</t>
  </si>
  <si>
    <t>Box on the gas meter.</t>
  </si>
  <si>
    <t>Weichert REALTORS Goodchild Homes</t>
  </si>
  <si>
    <t>(847) 670-1500</t>
  </si>
  <si>
    <t>Elizabeth Goodchild, ABR,CRS,GRI,SRES</t>
  </si>
  <si>
    <t>PLEASE SUBMIT ALL OFFERS TO WWW.GOODCHILDREO.COM</t>
  </si>
  <si>
    <t>E INDIAN TRAIL L2 MITCHELL R2 SCHOMER RD L2 SCHOMER CT L2 HOME</t>
  </si>
  <si>
    <t>Cute Ranch Style Townhome. Quiet Neighborhood Nestled In a Cul De Sac. Spacious Rooms With New Carpet and Paint. Quaint Kitchen With Sliding Glass Door Out Onto Partly Covered Porch With Private Yard. Walk In Pantry, Large Laundry &amp; Huge Living Room. Close to Shopping &amp; The Tollway. This Is a Must See! THIS IS A FANNIE MAE HOMEPATH PROPERTY.</t>
  </si>
  <si>
    <t>NEW PAINT &amp; CARPET-REMOVE SHOES!! IF QUESTIONS CALL 630-608-4777 AFTER SHOWING PROPERTY. GO TO ADDTL TAB IF OFFERING. SELLER REQUESTS ALL OFFERS THRU HOMEPATH.COM.**$5500 ROOF ASSESSMENT DUE AT CLOSING**</t>
  </si>
  <si>
    <t>132 and 45 east to Bridlewood north to Salisbury</t>
  </si>
  <si>
    <t>TOWN HOME WITH GREAT EASTERN EXPOSURE AND NEUTRAL DECOR. INCLUDES ALL APPLIANCES. NEWER PERGO FLOORING ON FIRST AND SECOND FLOORS CONVENIENT LOCATION NEAR SHOPPING AND INTERSTATE. EXCELLENT FOR FIRST TIME HOME BUYERS. OWNER OCCUPANTS</t>
  </si>
  <si>
    <t>SELLERS NAME IS SECRETARY OF VETERANS AFFAIRS. SELLER DOES NOT PAY CUSTOMARY CLOSING COST INCLUDING TITLE POLICY, ESCROW FEES, SURVEY OR TRANSFER FEES. PROOF OF FUNDS REQUIRED ON CASH TRANSACTIONS PRE  APPROVAL ON FINANCED OFFERS DTD 30 DAY</t>
  </si>
  <si>
    <t>Tamarac</t>
  </si>
  <si>
    <t>TAMARAC</t>
  </si>
  <si>
    <t>Lake St to Swift Rd S to Meadows East to Tamarac</t>
  </si>
  <si>
    <t>Make this 2 story townhouse your home! Featuring 2 bedrooms, 1.5  baths with beautiful kitchen with SS appliances. Baths are also updated. Beautifully decorated and move-in ready. This is an end unit with lots of outdoor open space. New heater,  A/C unit and water heater in the last 4 months  Won't last long on the marker!</t>
  </si>
  <si>
    <t>Lucy Masso-Garcia</t>
  </si>
  <si>
    <t>(630) 989-2925</t>
  </si>
  <si>
    <t>CC: Pursuant to Short Sale. Any reduction in compensation will be split equally between list. &amp; selling office minus $245. No closing, no compensation. Please use the new 6.0 contract when submitting an offer.</t>
  </si>
  <si>
    <t>101W</t>
  </si>
  <si>
    <t>Cottage Grove to 78th, E. to Ingleside</t>
  </si>
  <si>
    <t>CHECK OUT THIS WELL MAINTAINED 2 BEDROOM/2 BATHROOM CONDO ON A TREE LINED STREET.   UNIT SHOWS PRIDE OF OWNERSHIP.  GLEAMING HARDWOOD FLOORS THROUGHOUT.  KITCHEN WITH GRANITE COUNTERS AND STAINLESS STEEL APPLIANCES.  MARBLE, MASTER BEDROOM BATH WITH JACUZZI TUB.  WASHER/DRYER IN UNIT. SHORT SALE. SOLD AS-IS.</t>
  </si>
  <si>
    <t>$1200 (on Gross SP)</t>
  </si>
  <si>
    <t>Tennille Winfrey</t>
  </si>
  <si>
    <t>(773) 710-4061</t>
  </si>
  <si>
    <t>CC: Pursuant to Short Sale. 24hrs notice.  No Exceptions. CC: Pursuant to Short Sale. Short sale negotiated by short sale attorney. CC subject to lender approval. Any lender commission reduction will be shared equally between listing broker and coop broker.</t>
  </si>
  <si>
    <t>Four Lakes Village</t>
  </si>
  <si>
    <t>Rt.53 to Maple W2 Burr Oak south, immed right, up hill 2 Hillcrest, take left, 2nd building on left.</t>
  </si>
  <si>
    <t>Buyer financing fell! Making this your holiday gift! Perfect condition! Meticulous, fully renovated 2-bed, 1.1 bath condo w/full-size, in-unit Washer/Dryer. Everything is perfectly move-in ready! Rebuilt fireplace and surround. Warm and inviting colors and decor throughout. A perfect 10 security building. Master with full walk-in closet and half-bath. Inspection/appraisal perfect. Ski, boat, clubhouse, pool, so much.</t>
  </si>
  <si>
    <t>Bike Room/Bike Trails, Coin Laundry, Elevator, Storage, On Site Manager/Engineer, Park/Playground, Party Room, Pool-Outdoors, Receiving Room, Restaurant, Security Door Locks, Tennis Court/s, Curbs/Gutters, Sidewalks, Street Lights, Street Paved</t>
  </si>
  <si>
    <t>Heat, Water, Gas, Parking, Common Insurance, Security, Clubhouse, Pool, Exterior Maintenance, Lawn Care, Scavenger, Snow Removal, Lake Rights, Other</t>
  </si>
  <si>
    <t>Manager On-site, Monday through Friday, Self-Management</t>
  </si>
  <si>
    <t>Use ShowAssist. Must schedule.</t>
  </si>
  <si>
    <t>David Dornbos, GRI</t>
  </si>
  <si>
    <t>(630) 631-2314</t>
  </si>
  <si>
    <t>Deal fell due to Buyer financing. Inspection/appraisal all were perfect. Truly move-in ready! No FHA. Must be Pre-Approved through Wells Fargo Mortgage.</t>
  </si>
  <si>
    <t>From Harlem, turn west onto Burlington Rd. Continue west for 2 blocks. Turn south on Burlington St.</t>
  </si>
  <si>
    <t>33X95</t>
  </si>
  <si>
    <t>This charming two story townhome with open floor plan offers  two master suites,living room with wood burning fireplace, kitchen with dining area, two and a half baths, elevator which accesses to second floor,skylights and sliding doors that open to a beautiful private fenced-in-brick-paved yard with a waterfall and dec. stones. Loads of storage, plus two car garage.Walking distance to transportation,shopping&amp;parks!</t>
  </si>
  <si>
    <t>19X33</t>
  </si>
  <si>
    <t>Exercise Room, Foyer, Office</t>
  </si>
  <si>
    <t>Stucco</t>
  </si>
  <si>
    <t>2.5% FIRST 100,000 THEN 2.0% ON THE REMAINDER (on Gross SP)</t>
  </si>
  <si>
    <t>Please Call Carol Creadon (708) 341-5088</t>
  </si>
  <si>
    <t>Surrey Woods</t>
  </si>
  <si>
    <t>RTE 59 South of Golf to Ascot East to 454</t>
  </si>
  <si>
    <t>CANTERBURY</t>
  </si>
  <si>
    <t>BEAUTIFUL REHAB!  Dramatic 2 story with SOARING ceilings, SKYLIGHTS &amp; LOFT! Beautiful kitch w/ESPRESSO cabinets, GRANITE, SS appls, can lights &amp; eat in area! TWO STORY combo Living /Dining Rm w HIGH END laminate flrs, gas FIREPLACE &amp; sliders to a huge refinished DECK!  PRIVATE location! All NEW carpet upstairs! Master w/private bath! DBL SINKS, new vanity, GRANITE tops &amp; separate tub &amp; shower! Furnace 2 yrs! HURRY!!</t>
  </si>
  <si>
    <t>2.5%, -$295 (on Net SP)</t>
  </si>
  <si>
    <t>Call listing office - EASY</t>
  </si>
  <si>
    <t>Ralph Borde</t>
  </si>
  <si>
    <t>Ginny Opsahl, ABR,CSC,e-PRO,SFR,SRES</t>
  </si>
  <si>
    <t>(847) 255-1287</t>
  </si>
  <si>
    <t>cell 847-732-6072</t>
  </si>
  <si>
    <t>Pipe broke last winter in master bedroom outside wall and flooded unit.  Unit has been completely remodeled from the studs with upgraded insulation. Washer &amp; dryer "AS IS"</t>
  </si>
  <si>
    <t>N-408C</t>
  </si>
  <si>
    <t>176 East of Rand (RTE 12) to Main North to Harbour Club.</t>
  </si>
  <si>
    <t>Upgrades Galore! Everything is new from Top to Bottom! Huge Kitchen offers Granite Countertops, Breakfast Bar, Maple Cabinetry, &amp; Backsplash! Features include Custom Woodwork with Crown Molding/Judges Paneling, &amp; Professional Paint Throughout. Cozy, Brick Fireplace in Living Room. Huge, Private Balcony. Enjoy the Private Dock on Bangs Lake &amp; Outdoor Pool!</t>
  </si>
  <si>
    <t>Wauconda Middle School</t>
  </si>
  <si>
    <t>25X6</t>
  </si>
  <si>
    <t>Boat Dock, Coin Laundry, Elevator, Sundeck, Pool-Outdoors, Security Door Locks, Curbs/Gutters, Sidewalks, Street Lights, Street Paved</t>
  </si>
  <si>
    <t>Beach, Lake Front, Landscaped Professionally, Water Rights, Water View</t>
  </si>
  <si>
    <t>Water, Parking, Common Insurance, Security, Pool, Exterior Maintenance, Lawn Care, Scavenger, Snow Removal, Lake Rights</t>
  </si>
  <si>
    <t>Zoned Permit, Visitor Parking</t>
  </si>
  <si>
    <t>2S705</t>
  </si>
  <si>
    <t>RT 59 TO BATAVIA THEN EAST ON TIMBER</t>
  </si>
  <si>
    <t>READY FOR YOUR FINISHING TOUCHES. NICE ROOM SIZES. SEPARATE LIVING &amp; DINING ROOMS. FIREPLACE IN LIVING ROOM. VAULTED CEILING IN LOFT AREA. SOLD AS IS ONLY. TAXES @ 100%. BUYERS NEED GOOD PRE-APPROVAL +DOWN PAYMENT VERIFIED. CASH-ALL FUNDS TO CLOSE. PUBLIC ACT 94-1049 MAY APPLY. SIGN ADDENDUM, DISCLOSURES, &amp; REO SALES HELP SHEET FOR OFFER-IN ADD'L INFO</t>
  </si>
  <si>
    <t>PLEASE READ ALL INSTRUCTIONS IN SHOWING ASSIST</t>
  </si>
  <si>
    <t>111TH ST TO 3554 JUST EAST OF CENTRAL PARK</t>
  </si>
  <si>
    <t>Lovely, HomePath home and it is located on a nice block. The home features two bedrooms, a dining room, hardwood, new HVAC on the way, a shared garage and modern kitchen. Shopping and transportation are steps away. This home is priced to sell!! Lot/room sizes estimated. This is a Fannie Mae HomePath property. Addendums are required with contract.</t>
  </si>
  <si>
    <t>3.0%+ $1000 BONUS (on Net SP)</t>
  </si>
  <si>
    <t>ADDENDUMS CAN BE FOUND ON THE HOMEPATH WEBSITE. THE SELLER HAS DIRECTED THAT ALL OFFERS ON THIS LISTING BE MADE USING THE HOMEPATH ONLINE OFFER SYSTEM AT THE HOMEPATH WEBSITE ACT NOW-$1000 BUYER'S AGENT BONUS. RESTRICTIONS APPLY"</t>
  </si>
  <si>
    <t>Tara</t>
  </si>
  <si>
    <t>WILLOW CREEK</t>
  </si>
  <si>
    <t>Rt 59 to Arbor W to Charlestowne Dr N to Tara Lane W</t>
  </si>
  <si>
    <t>Looking for lots of space in a townhouse, this one has 3 levels. Kitchen,dining, living room all with hardwoods, vaulted open space along with 2 bedrooms &amp; full bath.Lower level has large family room w/fireplace &amp; walk-out &amp; half bath, great for entertaining,play area, or extra bedroom. Plus basement has studs&amp;drywall up just waiting for carpeting to be laid. New light fixtures, laundry room off garage, end unit!</t>
  </si>
  <si>
    <t>Foyer, Office</t>
  </si>
  <si>
    <t>Call CSS 877-977-1010 small children needs notice in evenings</t>
  </si>
  <si>
    <t>Water softener "as is".Basement that has walls up &amp; painted but flooring not finished. Dry basement. See if clients qualify for dupage homesteaed program.  http://dhoc.org/dupage-homestead-program  NORMAL TRANSACTION</t>
  </si>
  <si>
    <t>Cregier</t>
  </si>
  <si>
    <t>F3</t>
  </si>
  <si>
    <t>SOUTH ON LSD TO 67TH RGT, CONSTANCE LFT, 3 BLKS, RIGHT</t>
  </si>
  <si>
    <t>SOUTH SHORE CONDO WITH GREAT COURTYARD VIEWS.  THIS 2 BEDROOM, 2 BATH CONDO HAS LIVING ROOM, KITCHEN AND IN-UNIT LAUNDRY.  CLOSE TO PUBLIC TRANSPORTATION &amp; SHOPPING.  THIS IS A FANNIE MAE HOMEPATH PROPERTY.</t>
  </si>
  <si>
    <t>OO BUYER ONLY. Property under auction terms. Pre-sale bids should be submitted through http://www.hudsonandmarshall.com/.  Property is subject to a 5% buyerâ€™s premium pursuant to the Auction Terms &amp; Conditions (minimums may apply).</t>
  </si>
  <si>
    <t>Windsor Pointe</t>
  </si>
  <si>
    <t>Galena Blvd.West to St. James North to Brompton</t>
  </si>
  <si>
    <t>MARFIELD</t>
  </si>
  <si>
    <t>***EQUAL HOUSING OPPORTUNITY*** 1400+ Square Feet of Living Space! 2 Bedrooms, 2.5 Baths! Property listed IN. HOA $ 145/M</t>
  </si>
  <si>
    <t>CHECK AVAILABILITY ON HUDHOMESTORE.COM B-4 SHOWING. For OFFER submission, see HudHomestore.com, Case # 137-258235. Broker must have active NAID # to place BID electronically. Sold As Is</t>
  </si>
  <si>
    <t>ELM TOWER</t>
  </si>
  <si>
    <t>NORTH AVE. EAST OF THATCHER - ENTRY IS ON 78TH COURT</t>
  </si>
  <si>
    <t>Great opportunity to own this ready to move-in stunning corner unit with 2 bedrooms and 1.5 baths.Beautiful kitchen with new cabinets &amp; SS appliances.Lots of closets.Same floor laundry &amp; storage. Balcony facing East.Very well maintained elevator building.Close to transportation,shopping &amp; Forest Preserve.This is the condo you have been waiting for.Grab this one before it is gone.Call and set up an appointment today.</t>
  </si>
  <si>
    <t>Use a ShowingAssist</t>
  </si>
  <si>
    <t>Andrzej Klisiewicz</t>
  </si>
  <si>
    <t>773-552-0283</t>
  </si>
  <si>
    <t>$325 assessment fee included $100 for special assessment for next 5 years. All appliances have a extended warranty. Parking space #29. During week showing only before 1:00PM or after 6:30PM. Weekend - all day.</t>
  </si>
  <si>
    <t>RANDALL RD N OF 72 TO MILLER(WOODSIDE) WEST TO ORCHARD L</t>
  </si>
  <si>
    <t>Spacious 2 bedroom home next to large, open, surrounded by green space.  The two story living room, open floor plan.  Kitchen includes all brand new, Stainless Steel appliances and sink.  Large loft area could easily be converted into a third bedroom.  Master bedroom has a large walk-in closet. two car garage. Parks in neighborhood.  Randall Oaks 18-hole championship golf course, easy access to I-90</t>
  </si>
  <si>
    <t>855 746 9100</t>
  </si>
  <si>
    <t>Anne Connelly, BPOR,CSC,GRI,SFR</t>
  </si>
  <si>
    <t>(815) 353-0368</t>
  </si>
  <si>
    <t>this is ok  for investors to rent</t>
  </si>
  <si>
    <t>Church Lot 0601</t>
  </si>
  <si>
    <t>CAMPBELL</t>
  </si>
  <si>
    <t>The "Campbell" Model in Savannah Crossing of Aurora.  Nine Foot Ceilings on 1st Floor. 2 Bedroom 2 &amp; 1/2 baths. Huge Loft or Optional 3rd Br w/Volume Ceiling. Luxury Master Bath+Volume Ceiling Master Bedroom. White Spindles+Stained Rails.  Make all interior color Selections Now!  100% Energy Star. 30 Year Transferable Structural Builder Warranty.   Photos of "Campbell" Model.  Awesome Batavia 101 Schools.</t>
  </si>
  <si>
    <t>Please call the community 630-978-9600 or use Showing Assist</t>
  </si>
  <si>
    <t>Agent must accompany buyers on first visit. Please register with Maureen her cell 331-999-5717. Commission paid on base price. Contract to purchase must be written on builder's contract.</t>
  </si>
  <si>
    <t>Bayberry</t>
  </si>
  <si>
    <t>BLOOMINGDALE RD S OF NORTH AVE 2 SHOREWOOD W2 BAYBERRY</t>
  </si>
  <si>
    <t>Remarks: Wonderful Glendale Heights Location!  Deluxe, superbly decorated TH, With Beautiful Accents. Freshly Painted, New Carpet, 2 MBR Suites, Complete W Private Baths.  Close To Shopping,Restaurants,2 Major Interstates, &amp; Schools. Fannie Mae Homepath Property. All MLS &amp; Homepath Details Are Estimated &amp; Not Guaranteed.</t>
  </si>
  <si>
    <t>Call 1-877-977-1010  For Showing  Instructions. Remax  office does NOT have  Showing Instructions.</t>
  </si>
  <si>
    <t>All MLS details are Estimated&amp;buyer Responsibility To Verify.Seller Req's Offers Be Submitted at HomePath Web.  O ffer Instructs + HOA Info Can Be downloaded from Listing.Any HOA ?'s should be asked to HOA.Spec Assmt soon.BuyerPays for surv</t>
  </si>
  <si>
    <t>Leverenz Rd to Cedar Glade Rd</t>
  </si>
  <si>
    <t>Very nice 2 bedroom 2 bath Townhome with a single car attached garage. Ready to move in. Built in 1999 unit is approx 1088 sq. ft. located in nice suburban neighborhood with parks, schools and shopping close! Great location, great schools! Must see it today! Property is being sold "as is" and is subject to HUD Guidelines 24 CFR 206.125. Buyer must be prepared to pay up to 6 months past due assessments if charged.</t>
  </si>
  <si>
    <t>Highest and best deadline 2/11 at 1:00 PM. Submit disclosures. Utilities will not be turned on for inspection. To submit an offer, please, copy and paste this link: http://www.callzteam.net/property_n/2611_CEDAR_GLADE_DR_UNIT_101</t>
  </si>
  <si>
    <t>LaGrange Rd. to 56th , east to 6th  right to 5629 E. Side</t>
  </si>
  <si>
    <t>WONDERFUL UNIT AWAITING NEW OWNERS GREAT LOCATION CLOSE TO SHOPPING AND PUBLIC TRANSPORTATION BRING YOUR APPROVED BUYERS! This property is eligible under the Freddie Mac First Look Initiative through 09/30/2014 OWNER OCCUPIED BUYERS ONLY THRU THIS DATE.NO RENTALS ALLOWED</t>
  </si>
  <si>
    <t>Corey Scott</t>
  </si>
  <si>
    <t>(773) 418-0412</t>
  </si>
  <si>
    <t>SOLD AS IS/EMAIL ALL OFFERS TO: IPHCONTRACTS@GMAIL.COM/SELLER FORMS UNDER ADDITIONAL INFO/TAXES PRORTED AT 100%/</t>
  </si>
  <si>
    <t>Algonquin</t>
  </si>
  <si>
    <t>INDIAN RIDGE</t>
  </si>
  <si>
    <t>Wolf Road just N of Rte 66 to Indian Ridge entrance E to 29 Algonquin</t>
  </si>
  <si>
    <t>2ND FLOOR 2BR</t>
  </si>
  <si>
    <t>Indian Ridge end unit.  Many upgrades NEW in 2012 including:  Laminate flooring, carpet, all new trim &amp; doors,  all painted, granite in Kit, quartz in MBR BA, glass sliding doors.  Kit has NEW stainless appls in 2014.  Furnace-air-humidifier replace in 04.  Quiet complex. Secure entry &amp; flexicore construction for sound proofing.  1 car attached garage w storage closet.  Convenient to I55.  Owner is licensed agent IL.</t>
  </si>
  <si>
    <t>Humidifier, TV-Cable, Intercom, Ceiling Fan</t>
  </si>
  <si>
    <t>Lease Back Required</t>
  </si>
  <si>
    <t>use Secure showing</t>
  </si>
  <si>
    <t>Exclude dining room light fixture. $200 credit at closing towards new one.  ceiling fan in den "as is"   ** Seller requires 2 week rent back **  No FHA-No rentals</t>
  </si>
  <si>
    <t>3S082</t>
  </si>
  <si>
    <t>7B</t>
  </si>
  <si>
    <t>Batavia Road to Timber Drive south to home.</t>
  </si>
  <si>
    <t>Rare Find! Beautiful turnkey 2 story! This home features an open LR w/loft view, dining area w/SGDs to patio &amp; fully applianced kitchen, large loft w/vaulted ceilings &amp; skylights, Master bedroom suite w/vaulted ceilings, walk-in closet &amp; bath access. The bath is gorgeous &amp; completely updated w/new maple cabinets &amp; Corian countertops. Near shopping, parks, forest preserve &amp; award winning Wheaton schools. A must see!</t>
  </si>
  <si>
    <t>2 hr notice, MUST CONFIRM-BABY! CALL LO 630-653-1900 EXT. 0, IF CLOSED CALL ROGER  630-215-7610.</t>
  </si>
  <si>
    <t>Roger Rossi</t>
  </si>
  <si>
    <t>(630) 868-6345</t>
  </si>
  <si>
    <t>630-215-7610 CELL</t>
  </si>
  <si>
    <t>2 HOUR NOTICE - MUST CALL LISTING OFFICE FOR CONFIRMED APPOINTMENT - SMALL BABY.  FHA APPROVED AND RENTABLE!</t>
  </si>
  <si>
    <t>Rt. 59 (S of Irving Park) to Laurel Oaks W to home</t>
  </si>
  <si>
    <t>50 X 161 X 42 X 147</t>
  </si>
  <si>
    <t>Live a lavish lifestyle in this rare find - 1/2 duplex hidden on a private wooded lot. Breathtaking floor plan with six panel doors, designer windows + Luxury mastersuite. Soaking tub!  - too much to list!  No seller disclosures. HUD HOME SOLD AS-IS. INFORMATION DEEMED RELIABLE BUT NOT GUARANTEED. SELLING BROKER TO VERIFY ALL INFORMATION.</t>
  </si>
  <si>
    <t>Case #137-237168. Insured Status: IE. Up to 3% Co-op. Offers submitted on-line. Office must be HUD registered. See attached HUD Guidelines. Go to HUDhomestore.com and hudpemco.com. Questions? HUD@tanisgroupllc.com.</t>
  </si>
  <si>
    <t>MISTY RIDGE</t>
  </si>
  <si>
    <t>EOLA TO HAFENRICHTER RD-PEBBLESTONE-MISTY RIDGE</t>
  </si>
  <si>
    <t>GREAT LOCATION FOR THIS TOWNHOME STYLE CONDO-FRESHLY PAINTED-VAULTED CEILING IN LIVING AND DINING ROOM-KITCHEN WITH ISLAND, WALK-IN PANTRY, AND ALL APPLIANCES STAY-ACCESS TO PRIVATE OVERSIZED DECK-MASTER BEDROOM HAS PRIVATE BATH, WALK-IN CLOSET PLUS A 2ND CLOSET AND VAULTED CEILING-2ND BEDROOM W/ WALK-IN CLOSET - GUEST BATH-IN-UNIT LAUNDRY-CRAWL SPACE STORAGE-CEILING FANS-ATTACHED 2 CAR GARAGE-SET YOUR APPT TODAY!!!!</t>
  </si>
  <si>
    <t>Island, Pantry-Walk-in</t>
  </si>
  <si>
    <t>CALL DIANE @ 708-828-4651</t>
  </si>
  <si>
    <t>Diane O'Connor</t>
  </si>
  <si>
    <t>(708) 828-4651</t>
  </si>
  <si>
    <t>708-828-4651</t>
  </si>
  <si>
    <t>12N</t>
  </si>
  <si>
    <t>Oak Brook Towers</t>
  </si>
  <si>
    <t>N.E. CORNER OF MEYERS AND BUTTERFIELD</t>
  </si>
  <si>
    <t>SHARP 2 BR &amp; 2 BATH CONDO,GREAT VIEWS. UPDATED KITCHEN, MAPLE CABINETRY, GRANITE COUNTERS, NEWER APPLIANCES, WOOD FLOORS THROUGHOUT, WORKOUT ROOM, ELEVATOR,PARTY RM, EXTERIOR PARKING, INDOOR PARKING CAN BE RENTED. THIS IS A FANNIE MAE HOME PATH PROPERTY.  NO PERSONAL PROPERTY WITH SALE OF UNIT.</t>
  </si>
  <si>
    <t>Coin Laundry, Elevator, Exercise Room, Storage, On Site Manager/Engineer, Party Room, Pool-Outdoors, Restaurant, Security Door Locks</t>
  </si>
  <si>
    <t>Heat, Water, Gas, Common Insurance, Security, TV/Cable, Exercise Facilities, Pool, Exterior Maintenance, Lawn Care, Scavenger</t>
  </si>
  <si>
    <t>CALL 630-560-1001 OR EMAIL CARMEN@ILREP.COM</t>
  </si>
  <si>
    <t>SELLER HAS DIRECTED THAT ALL OFFER ARE SUBMITTED AT HOMEPATH.COM. USE ATTACHED CONTRACT FOR ALL OFFERS.</t>
  </si>
  <si>
    <t>Douglas</t>
  </si>
  <si>
    <t>Main Street; Rogers Street east; Douglas Road north</t>
  </si>
  <si>
    <t>The BEST-priced condo in a true in-town north Downers neighborhood. A showstopper! Excellent condition &amp; updates. Renovated kitchen &amp; bath. Move-in ready. Neutral dÃ©cor. 1st flr condo: no stairs. Same floor laundry. Convenient â€œwalk toâ€ location. Easy stroll to train &amp; town. Preferred southern exposure.  Quiet flexicore construction. Assmt includes: heat, water, lawn care, snow plowing. Unbeatable for this price.</t>
  </si>
  <si>
    <t>Heat, Water, Gas, Lawn Care, Scavenger, Snow Removal</t>
  </si>
  <si>
    <t>Call Centralized Showing Services for appointment 877-977-1010.</t>
  </si>
  <si>
    <t>Bryan Bomba</t>
  </si>
  <si>
    <t>(630) 455-8455</t>
  </si>
  <si>
    <t>Buyers must have their agent present for all showings.</t>
  </si>
  <si>
    <t>3rd</t>
  </si>
  <si>
    <t>corner of 3rd street and prairie</t>
  </si>
  <si>
    <t>Great end unit.  2 story great room with fireplace.  First floor bedroom.  Loft over looking great room.  Partial finished basement.  2 car garage. Balcony off both bedrooms.  Walk to down town.  Great location.  Not FHA or VA approved, sorry.</t>
  </si>
  <si>
    <t>call  877-977-1010</t>
  </si>
  <si>
    <t>off Record</t>
  </si>
  <si>
    <t>David Gustafson</t>
  </si>
  <si>
    <t>(630) 533-3177</t>
  </si>
  <si>
    <t>ROLLINS AND CEDAR LAKE RD - E TO MEADOW GREEN</t>
  </si>
  <si>
    <t>19X65</t>
  </si>
  <si>
    <t>2 Bedroom, 1.5 Bath 2 story Townhouse with a 1 Car attached Garage, Patio and Balcony. HUD owned Home. Sold "AS IS". Case #137-110292. Insured Status: IE (Insured with Escrow). Escrow amount $1,320. Eligible for 203K Financing.</t>
  </si>
  <si>
    <t>Additional Pet Rent, Cats OK</t>
  </si>
  <si>
    <t>For more Information go to www.hudpemco.com and To place Bid go to www.HUDHomestore.com</t>
  </si>
  <si>
    <t>Bishop</t>
  </si>
  <si>
    <t>59 &amp; 132 (Grand Ave) North to Highwoods, West to Bishop, turn right then immediate left to the end</t>
  </si>
  <si>
    <t>Wonderful quiet End-Unit Rarely available in this small 10 unit only Townhome community. This home is the larges model with 2 bedroom, loft being used as office/family room. Living room with stone fireplace, separate dining room, kitchen w/ eating area &amp; breakfast bar, all new laminate floors, walk out sliders to your private patio green space, extra end parking, 2 car attached garage, $92 mo fees, close to the lake</t>
  </si>
  <si>
    <t>CLO 847-395-3000</t>
  </si>
  <si>
    <t>Patti Zurla, ABR,CRS,GREEN</t>
  </si>
  <si>
    <t>(847) 875-7123</t>
  </si>
  <si>
    <t>REDUCED TO SELL Great End Unit with 2 Car Garage Nice and Private, Easy to show. Not a short sale or Foreclosure</t>
  </si>
  <si>
    <t>Rt 53 to Maple W to E. Lake Drive south to 5511</t>
  </si>
  <si>
    <t>Outstanding 2 bedroom unit with private entrance, balcony, full wall brick fireplace. Stunning views of woods, ski hill &amp; lake, beautiful afternoon sunlight! Newer HVAC &amp; CAC. Open kitchen with breakfast bar, tile c-tops, Amish wood cabs. Updated bath with beautiful ceramic tile, granite top and jet tub.   Wired for surround sound. One assigned parking space a plenty of guest parking.  Great social community living!</t>
  </si>
  <si>
    <t>Boat Dock, Commissary, Storage, Golf Course, Health Club, On Site Manager/Engineer, Party Room, Pool-Outdoors, Restaurant, Tennis Court/s</t>
  </si>
  <si>
    <t>SPRING AVE STATION</t>
  </si>
  <si>
    <t>OGDEN TO KENSINGTON,S TO BURLINGTON,E TO BUILDING</t>
  </si>
  <si>
    <t>2 BEDROOM CONDO IN DOWNTOWN LA GRANGE. STEPS FROM SHOPPING AND TRAIN. 2 FULL BATHS. NEW CARPET. OPEN KITCHEN WITH BREAKFAST BAR. BALCONY OVER QUIET STREET. GARAGE PARKING WITH EXTRA STORAGE SPACE, ELEVATOR BUILDING WITH SECURITY ENTRANCE...  MICROWAVE IN AS-IS CONDITION. Garage Space tax ID# 18041210371045    $456.80 2013 tax</t>
  </si>
  <si>
    <t>Heat, Gas, Common Insurance, TV/Cable, Lawn Care, Scavenger, Snow Removal</t>
  </si>
  <si>
    <t>TV-Cable, Intercom, Fire Sprinklers</t>
  </si>
  <si>
    <t>Call showing assist 1-855-746-9100</t>
  </si>
  <si>
    <t>Kristen Henke</t>
  </si>
  <si>
    <t>CLYBOURNE</t>
  </si>
  <si>
    <t>RANDALL TO WILSON TO WESTERN TO CLYBOURNE WEST</t>
  </si>
  <si>
    <t>MAINTENANCE FREE LIVING! Don't miss this updated townhome w/plenty of room~freshly painted throughout &amp; new carpet~2-story vaulted living room w/plenty of light~large kitchen w/Corian counters, island &amp; 2 pantries~hearth room w/fireplace &amp; doors to private patio~upstairs loft can easily be made into 3rd bedroom~newer windows w/custom blinds~quiet neighborhood~close to parks, town, METRA~Make this your new home!</t>
  </si>
  <si>
    <t>H C STORM ELEMENTARY SCHOOL</t>
  </si>
  <si>
    <t>PLEASE CALL 855-917-9150 FOR AN APPOINTMENT</t>
  </si>
  <si>
    <t>Hemming &amp; Sylvester Properties</t>
  </si>
  <si>
    <t>(630) 232-0021</t>
  </si>
  <si>
    <t>Ginny Sylvester, ABR,e-PRO</t>
  </si>
  <si>
    <t>(630) 715-1887</t>
  </si>
  <si>
    <t>630-715-1887</t>
  </si>
  <si>
    <t>FHA / VA Approved! North facing unit overlooking picturesque fountain.  Unit features exposed brick wall in living room, new hardwood flooring thruout, custom cabinets, granite counter tops, stainless steel appliances, in-unit washer / dryer, storage and underground garage parking.  Fitness center &amp; social room on site.  Luxury living in the heart of downtown; steps to the Metra and local shopping.</t>
  </si>
  <si>
    <t>Photos reflect previous model unit (cabinet color is different); other units to choose from</t>
  </si>
  <si>
    <t>LINCOLN PLACE</t>
  </si>
  <si>
    <t>MAIN ST TO ST. CHARLES RD, WEST TO LINCOLN, SOUTH TO HOME. LOCATED IN DOWNTOWN LOMBARD</t>
  </si>
  <si>
    <t>HERE'S PERFECTION-LUXURY CONDO-FORMER MODEL! GREAT ROOM STYLE FLOOR PLAN OFFERS MAPLE  KITCHEN W/BLACK GRANITE &amp; STAINLESS APPLIANCES, DINING AREA OR FAMILY ROOM &amp; LIVING ROOM WHICH OPENS TO PRIVATE BALCONY. MBR WITH LARGE LUXURY BATH, LARGE WALK-IN CLOSET PLUS WALL CLOSET. 2ND BR W/BATH &amp; WALK-IN CLOSET ARE SEPARATED BY THE LIVING AREA. INDOOR HEATED PARKING SPOT, GREAT DOWNTOWN LOCATION-CLOSE TO TRAIN &amp; SHOPPING!</t>
  </si>
  <si>
    <t>PLEASANT LANE ELEMENTARY SCHOOL</t>
  </si>
  <si>
    <t>Gas, Radiant, Indv Controls</t>
  </si>
  <si>
    <t>CALL SHOWING DESK @ 630-790-1776. AFTER HOURS CALL LA @ 630-319-1776.</t>
  </si>
  <si>
    <t>CELL: 630-790-1776</t>
  </si>
  <si>
    <t>INVESTMENT OPPORTUNITY - UNITS CAN BE RENTED OUT. THERE WILL BE NO INCREASE IN HOA FEES FOR 2015.</t>
  </si>
  <si>
    <t>Rt. 19 to Woodview Circle, West to home.</t>
  </si>
  <si>
    <t>THE BUCKINGHAM</t>
  </si>
  <si>
    <t>Great 2 bedroom, 2 full bath first floor condo. Home includes newer dishwasher, oven range, disposal, microwave, furnace and hot water heater. Attached 1 car garage. Great price and ready for you to move right in!</t>
  </si>
  <si>
    <t>Association is not FHA approved.  Seller has requested no more showings.</t>
  </si>
  <si>
    <t>MUIRFIELD</t>
  </si>
  <si>
    <t>RANDALL RD 2 COLLEGE GREEN E2 MUIRFIELD N2 HOME</t>
  </si>
  <si>
    <t>22 X 117</t>
  </si>
  <si>
    <t>ABSOLUTE MINT COND! BACKS 2 WALKING PTH! NEUTRAL THRU OUT! SPAC LR W/NWR CRPT &amp; SLDR 2 PRVT YARD! BRIGHT KTCHN W/BRKFST BAR &amp; SS APPLS! 2ND FLR LNDRY! MBDRM W/LRG WLK-N CLST, SEP MAKEUP AREA &amp; ACCESS 2 BTH W/OVERSIZED TUB! A/C 1 YR OLD! FURNACE 4 YRS OLD! NWR CRPT THRU OUT! METICULOUSLY MAINTAINED! WON'T LAST!</t>
  </si>
  <si>
    <t>MINT CONDITION! BACKS 2 WALKING PATH! A/C 1 YR OLD! FURNACE 4 YRS OLD! NWR CRPT THRU OUT!</t>
  </si>
  <si>
    <t>BRADBURY</t>
  </si>
  <si>
    <t>YORKSHIRE SQUARE</t>
  </si>
  <si>
    <t>Rt 59 to NEW YORK (w) to FRONTENAC (n) to COMMERCE (w) to BRADBURY CIRCLE</t>
  </si>
  <si>
    <t>AWESOMESAUCE!!! Pristinely maintained with numerous upgrades...beautiful hardwood floors on main level, fireplace, custom window treatments, SS appliances plus washer/dryer, custom paint throughout, vaulted ceilings, master bathroom with double sinks. Spectacular view of common grounds and pond. Located in highly sought after Naperville SD 204 schools, and close to shopping, Metra, and I-88. A MUST SEE!</t>
  </si>
  <si>
    <t>Call B&amp;W APPT CENTER 855-746-9100. 1 hr notice if possible.</t>
  </si>
  <si>
    <t>Russ Lenich</t>
  </si>
  <si>
    <t>(630) 718-3423</t>
  </si>
  <si>
    <t>Cell 630-926-9511</t>
  </si>
  <si>
    <t>UNDER CONTRACT. Seller may be home so knock first.  She will leave as you and your clients view the home.  Home shows extremely well.  Meticulously maintained w/many upgrades and custom finishes.    Please provide feedback.  Thanks.</t>
  </si>
  <si>
    <t>Pulaski to 76th street west to property.</t>
  </si>
  <si>
    <t>Great condo in Chicago! Property features 2 bedrooms and 1.5 bathrooms. Located near Ford City shopping mall, highways, schools, public transportation and parks. Public Act 94-1049 may apply. HOA to be verified. This property is now under AUCTION TERMS.</t>
  </si>
  <si>
    <t>$1,500 (on Gross SP)</t>
  </si>
  <si>
    <t>This property is now under auction terms. Visit www.RealtyBid.com to find auction dates, submit pre-auction offers and for additional information on the auction process.</t>
  </si>
  <si>
    <t>Orchid</t>
  </si>
  <si>
    <t>AUTUMN CREEK</t>
  </si>
  <si>
    <t>Rt 34 west of Orchard to Autumn Creek Blvd to Orchid Left to Home</t>
  </si>
  <si>
    <t>Desirable Townhome in Autumn Creek! Move Right In! Hardwood Floors. Great Gourmet Kitchen opens to Dining Room. Large Family Room. 2 Huge Bedrooms plus Spacious Loft. 2.5 Baths. Master Suite w/Huge Walk In Closet. 2nd Floor Laundry. 2 Car Garage. Private Patio with Large Grass Area.</t>
  </si>
  <si>
    <t>Click on "Schedule a Showing" or call (855) 746-9818.</t>
  </si>
  <si>
    <t>HAFENRICHTER</t>
  </si>
  <si>
    <t>Rt 59 North of Miller Rd. to Lake Barrington Shores Rd. Main Gate</t>
  </si>
  <si>
    <t>Lovely 2BR Ranch w/ $40K in Updates!! Gorgeous golf course view of 16th hole!! Feel like you're on vacation everyday, with the amenities of a resort! Featuring high-end finishes of Travertine tile, granite, porcelain,&amp; hickory laminate flooring. Pamper yourself in your new luxurious bath! Kitchen w/breakfast bar/maple cabinets/stainless steel appl. Beautiful wood burning fireplace! 13mo Home Warranty to new buyer!!</t>
  </si>
  <si>
    <t>Cul-de-sac, Golf Course Lot</t>
  </si>
  <si>
    <t>Water, Parking, Common Insurance, TV/Cable, Clubhouse, Pool, Exterior Maintenance, Lawn Care, Snow Removal</t>
  </si>
  <si>
    <t>Side Apron, Visitor Parking, Driveway</t>
  </si>
  <si>
    <t>Use Showing Assist.  GO AND SHOW!</t>
  </si>
  <si>
    <t>Note:Scavenger Service is included in the Property Tax bill.$150 application fee,3mo reserve fee due 30 days before closing. Unit Updates List in Additional Information area of MLS. 13Mo Home Warranty $380/Home Warranty of America.</t>
  </si>
  <si>
    <t>Winchester Trails</t>
  </si>
  <si>
    <t>Rt 59 TO 95TH (E) TO TAMAHAWK</t>
  </si>
  <si>
    <t>This end unit townhouse sits on a quiet dead-end street. New stove, dishwasher &amp; microwave, freshly painted, new carpeting, fire place, loft, oak railings, 2-stry liv rm. Mstr w/vlted ceil, full priv bath &amp; lg windows. Finished basement, patio. Close to schools, shopping and major transportation. This is a Fannie Mae HomePath property.</t>
  </si>
  <si>
    <t>Schedule Using Showing Assist</t>
  </si>
  <si>
    <t>FNMA</t>
  </si>
  <si>
    <t>Submit offers on HomePath.com website-For help call 866.218.4446. Email POF/pre-app to Broker. Buyer responsible for inspections, survey, 6 mts past due HOA dues/fees &amp; trans stamps if applicable. 100% tax pro-rations.</t>
  </si>
  <si>
    <t>OGDEN WEST OF WASHINGTON TO MILL TO ADDRESS</t>
  </si>
  <si>
    <t>BEAUTIFUL CONDO IN NAPERVILLE. 2 BEDROOM WITH 2 FULL BATHS WAITING FOR YOUR UPDATES.  SEND YOUR OFFER WITH PRE-APPROVAL / PROOF OF FUNDS. ALLOW SELLER TIME TO RESPOND / NO DISCLOSURES TAXES PRORATED AT 100%/ SOLD AS IS</t>
  </si>
  <si>
    <t>NOT FHA APPROVED/ 765 ILCS 605/ Condominium Property Act</t>
  </si>
  <si>
    <t>Longview</t>
  </si>
  <si>
    <t>RT20/LAKE ST WEST TO NESTLER SOUTH TO 1ST RIGHT TO GARDEN TO HOME</t>
  </si>
  <si>
    <t>CLARK</t>
  </si>
  <si>
    <t>1974 SF</t>
  </si>
  <si>
    <t>Bright spacious townhome with fresh paint and new carpet! Bright open kitchen with sliders to private patio courtyard. Room sizes are estimated. This is a Homepath property.</t>
  </si>
  <si>
    <t>PRAIRIE VIEW GRADE SCHOOL</t>
  </si>
  <si>
    <t>CENTRAL MIDDLE SCHOOL</t>
  </si>
  <si>
    <t>USE 6.0 CONTRACT GO TO HOMEPATH.COM DOWNLOAD ADDENDUMS AND OWNER OCCUPANCY CERT AND SUBMIT OFFER</t>
  </si>
  <si>
    <t>Bay</t>
  </si>
  <si>
    <t>Rt 59 to Main gate ask guard for instructions</t>
  </si>
  <si>
    <t>Another amazing professional remodel by Grandview Homes!2 BDRs,two and half baths w/fin. basement w/FP. Lge Living rm w/corner FP.Kitchen has granite countertops &amp; SS sink &amp; appl w/eat in area.Overlooks a private wooded area w/a concrete patio.Both BDRs have their own bath.Backyard access to lakefront trail.This home is eligible for below market int rates being offered by the sellerâ€™s preferred lender.Call Agent</t>
  </si>
  <si>
    <t>Full Earnest money must be in certified funds and due at time of acceptance.  To see more Grandview homes visit www.gvcproperty.com or learn about builder's custom homes at www.sebernhomes.com</t>
  </si>
  <si>
    <t>Archer W of Willow Springs Rd to Willows Edge, N to 1st drive, Right</t>
  </si>
  <si>
    <t>Wonderful end unit with 2 large bedrooms and 1.5 baths. Spacious living room, nice size eat in kitchen. Large master with 2 closets (one is a WIC) and balcony to enjoy that morning coffee. Laundry off Kitchen. Patio to enjoy the outdoors. Close to train, I-294 &amp; I55, plus forest preserve for biking/hiking near by! Short sale, sold as is.</t>
  </si>
  <si>
    <t>Oven/Range, Microwave, Washer, Dryer</t>
  </si>
  <si>
    <t>Gas Logs, Portable/Ventless</t>
  </si>
  <si>
    <t>2.5 - $200 (on Gross SP)</t>
  </si>
  <si>
    <t>Showing Solutions  877-977-1010, Easy to show.</t>
  </si>
  <si>
    <t>Cindy Ellis, CNC,e-PRO,SFR</t>
  </si>
  <si>
    <t>(630) 330-1011</t>
  </si>
  <si>
    <t>CC: Pursuant to Short Sale. Property sold "as is." Short Sale, allow time for bank response.  Send offer to Cindy@CindyEllisHomes.com. Will take backup offers.</t>
  </si>
  <si>
    <t>Reserve</t>
  </si>
  <si>
    <t>Route 23 (Sycamore Rd) to Greenwood Acres Dr E to Enclave, Right on Grand, Grand turns into Reserve</t>
  </si>
  <si>
    <t>45X110</t>
  </si>
  <si>
    <t>Price reduced for winter, until 2/1/15.  "Feels" like your own single family ranch style home with association taking care of the outside maintenance. No neighbor in wooded natural, backyard. All new paint &amp; carpet. Workshop in garage. Fireplace, open rooms can be used the way you like. Large eat-in kitchen.  A very easy to own and operate home.</t>
  </si>
  <si>
    <t>Nature Preserve Adjacent</t>
  </si>
  <si>
    <t>Vacant. Make appointment and show. Call L/O or L/A.</t>
  </si>
  <si>
    <t>Dan McClure</t>
  </si>
  <si>
    <t>815-757-1691</t>
  </si>
  <si>
    <t>HOA $51.40/month and $89/2xyear</t>
  </si>
  <si>
    <t>State St to River Lane North or Rt 31 to Peyton E to River</t>
  </si>
  <si>
    <t>Sought After 200 Building of RIVER NORTH.  WALK to Town &amp; Train. Enjoy the â€œCommunity Builtâ€ RIVER FRONT PARK w/walking paths. Well Cared For Building. 307 has New Windows, HE Furnace w/Humidifier &amp; Air Cleaner. NEW NEUTRAL PAINT .  A Separate DR w/FP &amp; BAY Table space in Kitchen w/Walk-in Pantry.  EXCELLENT floor plan. SCREEN PORCH Opens to LR &amp; Kitchen. Mo fee includes water, sewer &amp; garbage/recycling. GENEVA GEM!</t>
  </si>
  <si>
    <t>Eating Area-Table Space, Island, Pantry-Walk-in</t>
  </si>
  <si>
    <t>Common Grounds, Landscaped Professionally, River Front, Wooded</t>
  </si>
  <si>
    <t>Humidifier, Intercom, CO Detectors, Ceiling Fan, Air Cleaner</t>
  </si>
  <si>
    <t>Call  855-746-9093</t>
  </si>
  <si>
    <t>Mary Kay Coleman, CRS,GRI</t>
  </si>
  <si>
    <t>(630) 262-4303</t>
  </si>
  <si>
    <t>SO SORRY....this building does not allow KBs.  there are a set of keys at the front desk of the office at 1772 S. Randall - just south of Marshall's. Large entry key and the key to 307</t>
  </si>
  <si>
    <t>Amber</t>
  </si>
  <si>
    <t>Randall to Hopps go East to Walnut Creek South to Knotty Pine go right to Amber go right to home</t>
  </si>
  <si>
    <t>All you could ask for in this 2 BR + loft townhome! Nothing to do but move into this impeccably maintained townhome! Premier end unit w/private backyard &amp; mature trees! Kitchen boasting 42" cabinets.  Expansive master w/seating area! Finished basement featuring FR &amp; office + spacious laundry! Upgraded lighting, fireplace, tons of storage &amp; walk in closets! Perfect condition &amp; convenient location! Don't miss this one!</t>
  </si>
  <si>
    <t>Foyer, Loft, Office</t>
  </si>
  <si>
    <t>Call Showingtime at 855-746-9093. 2hr notice required.</t>
  </si>
  <si>
    <t>Curtains/drapes &amp; rods are NOT included in sale. NEW sump pump, garbage disposal, water heater &amp; microwave! Nothing to do ... Just move in and enjoy!! FHA Approved!</t>
  </si>
  <si>
    <t>Butterfield N of 60 to Greenleaf E to Indianwood S to Crestview</t>
  </si>
  <si>
    <t>LOOK NO FURTHER! THIS IS A READY TO MOVE IN CONDITION FIRST FLOOR 2BED/1.5BATH UNIT. THE UNIT WAS FRESHLY PAINTED W/ NEUTRAL COLORS. BEAUTIFUL WOOD LAMINATE FLOORING IN MAIN ROOMS AND NEW CARPET IN BEDROOMS. KITCH W/ WHITE APPLIANCES. LARGE BALCONY FROM LIVING ROOM FACING COURTYARD. WALKING PATH AROUND SUBDIVISION. GREAT LOCATION, CLOSE TO ENTERTAINMENT AND TRANSPORTATION. THIS IS A FANNIE MAE HOMEPATH PROPERTY.</t>
  </si>
  <si>
    <t>PLEASE CALL LA</t>
  </si>
  <si>
    <t>Red Zone Realty Group Inc.</t>
  </si>
  <si>
    <t>(847) 831-0800</t>
  </si>
  <si>
    <t>Mariola Buchowska, GRI,SFR</t>
  </si>
  <si>
    <t>The seller has directed that all offers on this listing be made using the HomePath Online Offer system at the HomePath website.Call 1-866-218-4446 if you need assistance. NO DISCLOSURES/NO SURVEY/NO PEST INSPECTION/100% TAX PR-ORATION</t>
  </si>
  <si>
    <t>Randall Rd &amp; Huntley Rd. Go South on Randall turn left on Miller and right on Sierra Woods</t>
  </si>
  <si>
    <t>A STEAL for a 2 Story, 2 BedRm Townhome in a Great Location. Eat-in kitch, 2nd flr generous size laundry rm, Vaulted ceilings in master bedrm &amp; WIC w/shared full bath. Ceiling fans in both bedrms, living rm, &amp; eat-in area. Outdoor seating area in the front entry way &amp; private deck in the back. EZ access to I-90. Most personal items are available for purchase. Great way to build your equity! Don't wait.</t>
  </si>
  <si>
    <t>Call Showing time. Short notice okay.  800-746-9464</t>
  </si>
  <si>
    <t>Anne Vodicka</t>
  </si>
  <si>
    <t>(847) 922-5460</t>
  </si>
  <si>
    <t>Easy to Show, Traditional Sale. EM held by Sellers Attorney. Please call or email for any questions: LA at 847-922-5460   anne@annevodicka.com  Was FHA approved until Feb. 2015, association has chosen not to re-certify.</t>
  </si>
  <si>
    <t>Jamestown</t>
  </si>
  <si>
    <t>EOLA TO NEW YORK STREET (West) TO JAMESTOWN (North)</t>
  </si>
  <si>
    <t>BEAUTIFUL 4 BEDROOM + LOFT FINISHED BASEMENT END UNIT TOWNHOME BACKING TO PRIVATE POND! CLOSE TO I88, RT59 &amp; METRA! 2502 SQ FT OF LIVING SPACE! LOFT CAN BE USED AS DEN OR 5TH BEDROOM OVERLOOKING 2 STORY LIVING ROOM W/OAK RAILINGS! CERAMIC TILE FLOORS IN GOURMET KITCHEN! PRIVATE BATH W/SEPARATE SHOWER &amp; TUB &amp; WALK-IN CLOSET IN MASTER! PROFESSIONALLY LANDSCAPED! ACCLAIMED DIST 204 SCHOOLS! WATER INCLUDED IN ASSESSMENT!</t>
  </si>
  <si>
    <t>Heather</t>
  </si>
  <si>
    <t>WOOD DALE RD S OF IRVING TO POTTER E TO HEATHER LN</t>
  </si>
  <si>
    <t>50X110</t>
  </si>
  <si>
    <t>Security System, CO Detectors, Ceiling Fan, Sump Pump, Sprinkler-Lawn</t>
  </si>
  <si>
    <t>PLEASE CALL HOME OWNER TO SCHEDULE APPT 708-655-2422</t>
  </si>
  <si>
    <t>CC: Pursuant to Short Sale. SHORT SALE. EXPERIENCED ATTORNEY WORKING ON FILE, ONLY 1 LOAN, JUST NEED OFFER!!! PLEASE EXCLUDE 2ND BDRM DRAPES AND KIDS CHANDELIERS. HOMEOWNER IS LICENSED REAL ESTATE AGENT</t>
  </si>
  <si>
    <t>Cumberland in between Montrose and Lawrence, East side of the street</t>
  </si>
  <si>
    <t>Beautiful bright 2 bedroom 2 bathroom in one of Norridgeâ€™s most desirable complexes!! Huge eat in kitchen, full master bath along with tons and tons of closet space!! Beautiful 6-panel doors &amp; wood trim throughout!! Heated garage parking right next to the door!! Private concrete balcony!! Will not last long!!!</t>
  </si>
  <si>
    <t>Use Showing Solutions or call listing office</t>
  </si>
  <si>
    <t>Great unit in great building!!! Units are rare in this building and this will not last long.</t>
  </si>
  <si>
    <t>SWIFT</t>
  </si>
  <si>
    <t>LAKE(WEST OF 355) TO SWIFT SOUTH TO AMBERWOOD CONDOS</t>
  </si>
  <si>
    <t>CELADON</t>
  </si>
  <si>
    <t>11 YEAR OLD LUXURY CONDO, THE BIGGEST MODEL IN THE COMPLEX, SPACIOUS LIVING ROOM THAT LEADS TO THE BALCONY TO ENJOY NATURE POND. HRDW FLRS IN LIV &amp; DIN ROOM. CMPLETELY REMODELED KITCHEN WITH BEAUTIFUL MAPLE CABINETS, GRANITE COUNTERTOPS, STAINLESS STEEL APPLIANCES, COZY DINETTE AREA. IN UNIT LAUNDRY AREA W/WASHER AND DRYER. 1 CAR GARAGE, ELEVATOR IN BUILDING, ENJOY!!! TAX DOESN'T INCLUDE HOMEOWNER EXEMPTIONS.</t>
  </si>
  <si>
    <t>2.5%- $ 275 (on Gross SP)</t>
  </si>
  <si>
    <t>USE LINK BELOW OR E-MAIL L.A 24-48 HRS NOTICE</t>
  </si>
  <si>
    <t>Grace Zareba</t>
  </si>
  <si>
    <t>(773) 407-9110</t>
  </si>
  <si>
    <t>CC: Pursuant to Short Sale. *****SHORT  SALE****</t>
  </si>
  <si>
    <t>Caliente</t>
  </si>
  <si>
    <t>176 &amp; 21 S2 RED TOP DRIVE E2 RIVA, S2 CALIENTE W2 # TO #</t>
  </si>
  <si>
    <t>Corner townhome with private entry offering plenty off room for the whole family. Eat-in kitchen, bright great rooms w/ natural light all day long. Dining room with vaulted ceilings &amp; skylights. 3 nice sized bedrooms including large master bedroom w/ good closet space &amp; private bathroom . Large attached 2.5 car gar. Excellent location close to shopping, golf &amp; walking paths. THIS IS A FANNIE MAE PROPERTY.</t>
  </si>
  <si>
    <t>Oven/Range, Dishwasher, Refrigerator, Dryer, Disposal</t>
  </si>
  <si>
    <t>Aluminum Siding, Brick, Cedar</t>
  </si>
  <si>
    <t>book thru schedule a showing</t>
  </si>
  <si>
    <t>3K</t>
  </si>
  <si>
    <t>W ON ROOSEVELT RD, L ONTO HIGHLAND</t>
  </si>
  <si>
    <t>PRICE FOR A QUICK SALE*SPACIOUS UNIT WITH GREAT VIEW, BALCONY OVERLOOKS COURTYARD/GARDEN*UNIT CONSISTS OF 2 BEDROOMS, 2 FULLS BATHS (ONE BEING A MASTER BATH),GREAT SIZE LIVING RM, EATING AREA OFF OF THE KITCHEN*MASTER HAS FULL WALL OF CLOSETS PLUS WALK-IN AND LINEN CLOSET*LOCATED NEAR MALL, RESTAURANTS, HWYS*ASSESSMENT INCLUDES HEAT,WATER,COMMON INSURANCE, SECURITY SYSTEM,POOL,EXTERIOR MAINTENANCE,LAWN CARE, &amp; GARBAG</t>
  </si>
  <si>
    <t>Butterfield Elementary School</t>
  </si>
  <si>
    <t>Glenn Westlake Middle School</t>
  </si>
  <si>
    <t>Glenbard East High School</t>
  </si>
  <si>
    <t>13X5</t>
  </si>
  <si>
    <t>Coin Laundry, Storage, Pool-Outdoors, Security Door Locks</t>
  </si>
  <si>
    <t>Balcony, Sitting Room</t>
  </si>
  <si>
    <t>2.5% - $250 ON NET SP (on Net SP)</t>
  </si>
  <si>
    <t>Please Call Showing Assist: 855-746-9100</t>
  </si>
  <si>
    <t>Nicole Flores</t>
  </si>
  <si>
    <t>(773) 467-3369</t>
  </si>
  <si>
    <t>Conventional or cash NO FHA Financing. Coin Laundry on every floor.  currently in a multiple offer situation, Highest &amp; Best Due by 10am Friday (10-3)</t>
  </si>
  <si>
    <t>PACKFORD</t>
  </si>
  <si>
    <t>DUPAGE 2 SCOTT W 2 PACKFORD</t>
  </si>
  <si>
    <t>NAPERVILLE SCHOOLS!!2 BEDROOMS W/DEN..LARGE EAT-IN KITCHEN W/ CHERRY CABINETS,SS APPLIANCES, HARDWOOD FLOORS TABLE SPACE AND BREAKFAST BAR...SEPERATE DEN...LARGE LIVINGROOM..MASTER SUITE W/ CATHEDRAL CEILINGS AND MASTER SUITE FEATURES DOUBLE SINK, SEPERATE SHOWER AND SOAKER TUB..1 CAR GARAGE LEADS DIRECTLY INTO UNIT W/ DOWNSTAIRS FOYER...BALCONY OFF LIVINGROOM..LAUNDRYROOM ON THE MAIN LEVEL...MUST SEE</t>
  </si>
  <si>
    <t>2.5% LESS $200/ $1500 BUYER BROKER BONUS IF CONTRACTED BY 12/15/14 (on Net SP)</t>
  </si>
  <si>
    <t>Realty Group Marino</t>
  </si>
  <si>
    <t>(630) 483-2000</t>
  </si>
  <si>
    <t>Melissa Marino-Bowers, CNC</t>
  </si>
  <si>
    <t>(630) 253-0094</t>
  </si>
  <si>
    <t>AGENT RELATED TO SELLER</t>
  </si>
  <si>
    <t>Roosevelt or Rt. 53 to Baker Hill Drive to Woodview Dr. to home.</t>
  </si>
  <si>
    <t>Bright, Sunny, Baker Hill TH End Unit. This very special unit has the perfect interior location. Large side yard and great private views from the patio.  Very spacious interior with a 2 story living room. Also has a 1st floor family room with hdwd floor and FP.  Open to the family room, the large kitchen has expanded island and slider to patio. Vaulted ceiling master w/luxury bath and lots of closets. Rec Room too.</t>
  </si>
  <si>
    <t>23X26</t>
  </si>
  <si>
    <t>Steam Shower, Double Sink, Soaking Tub</t>
  </si>
  <si>
    <t>Humidifier, Fire Sprinklers, CO Detectors, Sump Pump, Backup Sump Pump</t>
  </si>
  <si>
    <t>call 855-746-9100 for appointment</t>
  </si>
  <si>
    <t>1-203</t>
  </si>
  <si>
    <t>MAIN TO COLLEN DR TO REBECCA TO POOLSIDE</t>
  </si>
  <si>
    <t>GREAT 2 BEDROOM CONDO WITH LOTS OF LIGHT AND OPEN KITCHEN FEELING. NICE NEUTRAL CARPET AND PAINT THROUGHOUT, BRAND NEW A/C UNITS IN BOTH BEDROOMS AND LIVING ROOM! This property is under the FIRST LOOK until 10/15 Sold As-Is</t>
  </si>
  <si>
    <t>To schedule showing call showing assist 800-746-9464  sentr ismart app does not work on boxes</t>
  </si>
  <si>
    <t>SOLD AS IS. NO DISCLOSURES/SURVEY. PRO-RATIONS 100%. PRE-APPROVAL/POF &amp; OFFER SUBMISSION FORM AT TIME OF OFFER.  offers to reooffers@ryanhillrealty.com  Buyer responsible for village escrow. HOA DOES NOT ALLOW RENTALS.</t>
  </si>
  <si>
    <t>Mckenzie Station</t>
  </si>
  <si>
    <t>MCKENZIE STATION</t>
  </si>
  <si>
    <t>South off Ogden Ave East of Main St to McKenzie Station</t>
  </si>
  <si>
    <t>Stunning 3 bedroom twm in the McKenzie Station of Lisle. Desirable end unit w/unmatched landscaping &amp; outdoor space, incl private brick patio. Close to BNSF Metra station, w/access to a 30 minute commute to/from The Loop. Custom updates throughout unit, incl finished basement, luxury master suite w/ steam shower &amp; heated floors in bathroom &amp; kitchen GE  SS Appliances! Too much to list!!</t>
  </si>
  <si>
    <t>Steam Shower, Double Sink</t>
  </si>
  <si>
    <t>2% -399 (on Net SP)</t>
  </si>
  <si>
    <t>Please call 630-343-9488 to schedule a showing 8am - 6pm baby naps 1-3pm</t>
  </si>
  <si>
    <t>David Bovyn</t>
  </si>
  <si>
    <t>Please send offers / contracts to info@hbochicago.com</t>
  </si>
  <si>
    <t>E Rt 19 west of shales parkway to woodview s</t>
  </si>
  <si>
    <t>Great first floor condo features large living room, kitchen with eating area and door to private patio.  Master bedroom has walk in closet and private bath.  Additional bedroom and full bath.  Laundry hook up in unit and 1 car garage.</t>
  </si>
  <si>
    <t>847-414-3441</t>
  </si>
  <si>
    <t>for offer submission and important info see addn info***all city inspections/system tests/utility activation are buyers expense/responsibility***Case #137-342658</t>
  </si>
  <si>
    <t>LORA LEI ACRES</t>
  </si>
  <si>
    <t>Indian Trl to Church (N) to Schomer (W) to Right on Schomer Rd to Right on Schomer Ct.</t>
  </si>
  <si>
    <t>Main level, maintenance free living in garden community. This 2 bedroom townhome is quietly set in sought-after Lori Lei Acres.  Nice kitchen with huge walk-in pantry. Main level laundry, two car garage, cul-de-sac location. Lawn care and snow removal included in low monthly assessment.  Lovely neighborhood close to I88, shopping, everything. Additional assessment of $174 for roof thru June 2015 buyer responsibillity</t>
  </si>
  <si>
    <t>Oven-Double, Microwave, Dishwasher, Washer, Dryer</t>
  </si>
  <si>
    <t>Garden Complex, Townhouse-Ranch, Ground Level Ranch</t>
  </si>
  <si>
    <t>2.5% + $1000 IF CONTRACT BY 1/31/15 (on Net SP)</t>
  </si>
  <si>
    <t>Please call the showing desk at 877-977-1010</t>
  </si>
  <si>
    <t>Linda Hoss</t>
  </si>
  <si>
    <t>(630) 606-7362</t>
  </si>
  <si>
    <t>$1000 Bonus if contract by Jan 31, 2015!!!  Great community</t>
  </si>
  <si>
    <t>RTE 120 W OF FAIRFIELD RD TO EMERALD BAY, N TO ADDRESS,HOME ON LEFT</t>
  </si>
  <si>
    <t>60' X 31'</t>
  </si>
  <si>
    <t>Built in 2012, the 18' ceilings welcome you to this fabulous Linden end unit! Formal Living &amp; Dining Room; upgraded Kitchen with 42" cabinets &amp; SS appliances; cozy Family Room; Master Bedroom suite with large walk-in closet, garden bath with double vanities &amp; separate shower; upstairs Loft can be office, den or 3rd BR; 2nd floor Laundry; custom blinds; 2 car garage. Convenient location. #MoveInReady</t>
  </si>
  <si>
    <t>Call Showingtime: 855-746-9020</t>
  </si>
  <si>
    <t>Vittoria Logli</t>
  </si>
  <si>
    <t>(847) 867-0360</t>
  </si>
  <si>
    <t>FOR QUESTIONS OR TO SUBMIT OFFERS, PLEASE CONTACT SONIA CISTERNINO @ 847-445-7477.</t>
  </si>
  <si>
    <t>KENNINGTON SQUARE</t>
  </si>
  <si>
    <t>GOLF (58) TO KENNETH NORTH TO 807</t>
  </si>
  <si>
    <t>TWO LEVEL TOWNHOUSE.  BOTH BEDROOMS HAVE PATIO SLIDERS LEADING TO BALCONY. DIVIDED BATH &amp; VANITY AREA. WOODBURNING FIREPLACE IN  LIVING ROOM. NEW REFRIGERATOR. NEW PATIO DOOR LEADING TO DECK/PATIO AREA ENCLOSED W/PRIVACY WALL. PLENTY OF PARKING. QUIET LOCATION WITH CINDERBLOCK WALLS CONSTRUCTED BETWEEN UNITS.</t>
  </si>
  <si>
    <t>Park/Playground, Street Lights, Street Paved</t>
  </si>
  <si>
    <t>Camilla Moore, CRS</t>
  </si>
  <si>
    <t>(847) 348-1233</t>
  </si>
  <si>
    <t>847-722-4500</t>
  </si>
  <si>
    <t>LSD to 47th St, west on 47th. North on St. Lawrence, west to property</t>
  </si>
  <si>
    <t>Beautiful 2 bed | 1.5 bath condo in Grand Boulevard. Very spacious, multi-level unit. Sun drenched rooms. Lots of storage. Close to L, highway, Lake Michigan, parks, schools! Bank of America, N.A. employees and employeesâ€™ household members and HTS business partners of the Bank, are prohibited from purchasing this property, whether directly or indirectly.</t>
  </si>
  <si>
    <t>Additional Pet Rent, Cats OK, Deposit Required, Dogs OK</t>
  </si>
  <si>
    <t>Condo, Condo-Duplex</t>
  </si>
  <si>
    <t>3% OR $1500, WHICHEVER IS GREATER (on Net SP)</t>
  </si>
  <si>
    <t>Peter Breitlander, GRI</t>
  </si>
  <si>
    <t>HIGHEST AND BEST DUE THURS, 3/5, BY 5PM. Submit offers to info@krain-chicago.com. Bank of America employees and employeesâ€™ household members and HTS business partners, are prohibited from purchasing this property, directly or indirectly.</t>
  </si>
  <si>
    <t>CAMEO WEST</t>
  </si>
  <si>
    <t>Maple East OF 355 to Walnut , 1 BLOCK North To 5300</t>
  </si>
  <si>
    <t>Spacious 2 bedroom condo in campus setting. Close to I-355 &amp; easy access to downtown Downers Grove.  A/C about 5 years. Carpeting seems newer. Facilities offer library, party room, exercise room and clubs &amp; laundry on each floor. Elevator building. Price includes garage. Huge balcony to enjoy from master bedroom &amp; living room. Kitchen with ample wood Low Association fee. Wonderful Unit! An adult 55+ older building</t>
  </si>
  <si>
    <t>Coin Laundry, Elevator, Exercise Room, Storage, On Site Manager/Engineer, Party Room, Curbs/Gutters, Street Lights, Street Paved</t>
  </si>
  <si>
    <t>Monday through Friday, Self-Management</t>
  </si>
  <si>
    <t>2.5% &amp; $500 BONUS IF UNDER CONTRACT BY 12/18 (on Gross SP)</t>
  </si>
  <si>
    <t>USE SHOW ASSIST OR CALL LIST OFFICE. EZ TO SHOW</t>
  </si>
  <si>
    <t>SANTANDER BANK, N.A.</t>
  </si>
  <si>
    <t>School Bus Service, Interstate Access, Adult Community</t>
  </si>
  <si>
    <t>NEED ALL ATTACHMENTS IN CONNECT W/ OFFER. NEED A COPY OF AN EM CHECK W/ OFFER. NEED PROOF OF FUNDS OR PREQUAL LETTER. 100% ON TAX PRORATIONS. SOLD IN AS-IS CONDITION.  IMMEDIATE POSSESSION. -- BANK TAKES QUITE AWHILE TO RESPOND TO OFFERS --</t>
  </si>
  <si>
    <t>G-105</t>
  </si>
  <si>
    <t>MAIN ST TO 41ST ST TO SARATOGA AVE</t>
  </si>
  <si>
    <t>MUST SEE SPACIOUS 2 BEDROOM 2 BATHROOM CONDO LOCATED RIGHT NEXT TO DOERHOEFER PARK. THE UNIT FEATURES NEW CARPET, FRESH PAINT, RECENT UPDATES THROUGHOUT, THIS IS A GREAT UNIT IN AN EVEN BETTER LOCATION.  This is a Fannie Mae HomePath property. Public Act 94-1049 May Apply</t>
  </si>
  <si>
    <t>Heat, Water, Parking, Common Insurance, Security, Pool, Exterior Maintenance, Lawn Care, Scavenger, Snow Removal</t>
  </si>
  <si>
    <t>CALL OFFICE 630 810 9260 / KEYS HELD AT 932 MAPLE AVE #1 DOWNERS GROVE</t>
  </si>
  <si>
    <t>VERBALLY ACCEPTED OFFER 1/23/2015.   $1000 Buyer's Agent Bonus! Click HomePath.com for details. Restrictions apply. Must request with offer.  All offers must be submitted on Homepath.com. Buyer for survey and taxes prorated at 100%</t>
  </si>
  <si>
    <t>120 &amp; 134 NW to Cranberry Lane to Centennial Dr left to Holiday Ln to number</t>
  </si>
  <si>
    <t>Magnificent townhome completely redone!! Fabulous kitchen with stainless steel appliances, granite countertops and upgraded cabinets! Gorgeous bathrooms! 2 great sized bedrooms with brand new carpet! Plus a 2 car garage! Everything has been done for you, all you need to do is move in and enjoy!</t>
  </si>
  <si>
    <t>Laura Claussen</t>
  </si>
  <si>
    <t>(224) 374-4527</t>
  </si>
  <si>
    <t>The association has met their cap for rentals.</t>
  </si>
  <si>
    <t>Derby</t>
  </si>
  <si>
    <t>60/BUTTERFIELD S TO ORLEANS DR W TO DERBY R</t>
  </si>
  <si>
    <t>ABBEY</t>
  </si>
  <si>
    <t>21X112X56X119</t>
  </si>
  <si>
    <t>BEAUTIFUL DUPLEX IN GREAT LOCATION! SOARING CEILINGS IN STUNNING LIVING ROOM W/FIREPLACE, KITCHEN W/LOTS OF CABINETS &amp; STAINLESS STEEL APPLIANCES, 2ND FLOOR LAUNDRY RM, SPACIOUS MASTER W/FULL BATH. NEUTRAL DECOR THROUGHOUT. EXTERIOR BOASTS NEW SIDING. LARGE FENCED YARD WITH DECK AND NEW BRICK PATIO. 2 CAR GARAGE. NO ASSOCIATION FEES! NOTHING TO DO BUT MOVE IN AND ENJOY!</t>
  </si>
  <si>
    <t>Call 855.746.9200 or CLICK THE SCHEDULE A SHOWING ICON</t>
  </si>
  <si>
    <t>Linda Lin</t>
  </si>
  <si>
    <t>(847) 454-5833</t>
  </si>
  <si>
    <t>Beacon</t>
  </si>
  <si>
    <t>Just SE of La Grange Rd &amp; Ogden Ave</t>
  </si>
  <si>
    <t>Spectacular views of the Heart of Downtown La Grange from this Top-Floor unit's large, private balcony.  Close proximity to schools, parks, Metra, dining, shops &amp; entertainment. Heated underground parking means you never have to face the elements between your home and car.  In-unit washer dryer &amp; lots of closets/storage space.  Large Master Suite w/separate shower &amp; tub.  Eat-in kitchen. Open floor plan.</t>
  </si>
  <si>
    <t>9X3</t>
  </si>
  <si>
    <t>Heat, Water, Parking, Common Insurance, Security, TV/Cable, Lawn Care, Scavenger, Snow Removal</t>
  </si>
  <si>
    <t>Transmitter(s), Heated, 7 Foot or more high garage door</t>
  </si>
  <si>
    <t>Click on ShowingAssist icon to schedule</t>
  </si>
  <si>
    <t>Tom Baker</t>
  </si>
  <si>
    <t>(630) 788-8744</t>
  </si>
  <si>
    <t>Vacant and Easy to Show.  Parking Space #51 (PIN 18-04-209-013-1129); Storage Space #52 (PIN 18-04-209-013-1220)</t>
  </si>
  <si>
    <t>WILLOW SPRINGS RD TO ARCHER WEST TO WILLOW CREEK. JUST PAST WILLOWBROOK BALLROOM</t>
  </si>
  <si>
    <t>ONE OF A KIND IN GORGEOUS WOODED SETTING! CUSTOM 3 STORY TOWNHOME IN GATED COMMUNITY. VAULTED LR W/FP. KIT W/ CHERRY CABINETS, HIGH END APPLS, BUTCHER BLOCK &amp; QUARTZ CNTRTPS. SEP DR . 1ST FL LNDRY. MBR W/ BALCONY, WIC, WHRPL BTH &amp; SEP SHOWER. HW FLS, HANDCRAFTED IRON STAIR RAIL, BUILT INS. 2ND BR W/BALCONY &amp; WIC. WALK OUT LL (IDEAL FOR RELATED LIVING) W/KITCHENETTE, REC RM, FP, BDRM AREA, UTIL RM &amp; FULL BA. ROOF 2011</t>
  </si>
  <si>
    <t>9X4</t>
  </si>
  <si>
    <t>Security System, Lawn Care, Snow Removal</t>
  </si>
  <si>
    <t>2nd Kitchen, Breakfast Room, Foyer, Recreation Room</t>
  </si>
  <si>
    <t>CALL (877) 977-1010 for appt.  Easy to show!</t>
  </si>
  <si>
    <t>Shannon Kutchek</t>
  </si>
  <si>
    <t>(708) 588-2061</t>
  </si>
  <si>
    <t>Near Metra, Pace bus service, restaurants, expressways, lakes, bike trails.  Surrounded by forest, creeks and stunning landscapes!</t>
  </si>
  <si>
    <t>Norwood</t>
  </si>
  <si>
    <t>LAKE ST TO CLUB TREE DRIVE TO NORWOOD CT</t>
  </si>
  <si>
    <t>1098SF</t>
  </si>
  <si>
    <t>H&amp;B BY 2PM ON 10.17.2014 GREAT PRICE FOR THIS 2 STORY 2BR/1.5BA TOWNNHOME IN THE OAKS. HARDWOOD FLOORS IN BDRMS. FULL UNFINISHED BASEMENT. OPEN TO INVESTORS. SELLER ( FREDDIE MAC HOMESTEPS) WILL ONLY CONSIDER CASH OFFERS FOR PROPERTY. PURSUANT TO IL CONDO ACT BUYER RESPONSIBLE FOR 6 MOS HOA DUES PRIOR TO FORECLOSURE &amp; ANY ATTY FEES &amp; FINES. ON THIS UNIT, THIS IS OVER $14,000 &amp; IS THE BUYER RESPONSIBILITY UNDER IL LAW</t>
  </si>
  <si>
    <t>2.5% / $1500 MINIMUM (on Gross SP)</t>
  </si>
  <si>
    <t>CLICK BELOW FOR SHOWING OR CALL 855-957-1408</t>
  </si>
  <si>
    <t>H&amp;B by 2pm 10.17.14  SOLD AS-IS. TAXES 100% PURSUANT TO THE IL CONDO ACT, BUYER MUST PAY THE $14,000 IN HOA FEES, THIS IS WHY UNIT IS PRICED AT $49,000. SEE ADDL INFO FOR PAL AS OF 8/5/14. EMAIL OFFERS TO REO@WR-KP.COM OR FAX 630-658-0546</t>
  </si>
  <si>
    <t>C-17</t>
  </si>
  <si>
    <t>RT 53 TO 83RD STREET EAST TO 1st DRIVEWAY ON THE RIGHT, STRAIGHT AHEAD TO ENTRANCE, TO C5</t>
  </si>
  <si>
    <t>GORGEOUS</t>
  </si>
  <si>
    <t>COME AND SEE THIS LOVELY HOME, IT'S S0 AFFORDABLE...YOU WON'T BE DISAPPOINTED!  THIS 2 BEDROOM 1.5 BATH IS IN GREAT SHAPE FOR A SHORT SALE. VERY CLEAN &amp; WELL MAINTAINED. LAMINATE FLOORS IN HALLWAY, NEWER CARPET &amp; CUSTOM PAINT THROUGHOUT. OWNER OCCUPIED ONLY (NO RENTALS)**NO FHA*** NO WASHER &amp; DRYER IN UNIT BUT IN THE BUILDING</t>
  </si>
  <si>
    <t>John L Sipley Elementary School</t>
  </si>
  <si>
    <t>South High School</t>
  </si>
  <si>
    <t>Currently occupied some notice required bc of pet.  Call or text Mary 630 816-6969 for appt</t>
  </si>
  <si>
    <t>GC Realty Development, LLC</t>
  </si>
  <si>
    <t>(630) 796-2656</t>
  </si>
  <si>
    <t>Mary Torgerson</t>
  </si>
  <si>
    <t>(630) 816-6969</t>
  </si>
  <si>
    <t>CC: Pursuant to Short Sale. Building is NOT FHA approved must have cash or conventional financing.  No rentals are allowed in this HOA must be owner occupied.</t>
  </si>
  <si>
    <t>Wildspring</t>
  </si>
  <si>
    <t>THORNDALE TO PARK BLVD S TO MILLER CROSSING</t>
  </si>
  <si>
    <t>$5,000 Closing Cost Credit.  Sunlit townhome with neutral decor throughout.  Fully applianced kitchen and laundry room.  Dramatic two story high ceilings in living room.  Sliding glass doors lead to the patio and spacious open area.  The master bedroom has a walk-in closet &amp; a private bathroom with double vanity.  2 car garage.  Great location.  Close to Parks, Metra, shopping and I-355/53/90.</t>
  </si>
  <si>
    <t>Eating Area, Foyer, Walk In Closet</t>
  </si>
  <si>
    <t>Call 1-855-746-9100 8AM-9PM</t>
  </si>
  <si>
    <t>John Stocki, SFR</t>
  </si>
  <si>
    <t>(847) 420-8707</t>
  </si>
  <si>
    <t>cathy.stocki@bairdwarner.com</t>
  </si>
  <si>
    <t>FHA approved.  Lease max 25%, close to cap.  $5,000 closing cost credit for windows and misc repairs.</t>
  </si>
  <si>
    <t>FAIRFIELD AND 134 TO LAKE SHORE TO VILLAGE DR</t>
  </si>
  <si>
    <t>BEAUTIFUL 2 BED 2 BATH CONDO!!! MASTER BEDROOM W/MASTER BATH!!! MASTER BATH W/DOUBLE VANITY... VERY NICE KITCHEN AND DINING AREA W/BREAKFAST BAR!!!! SPACIOUS LIVING AREA!!!! DON'T PASS THIS ONE UP!!!!! CALL TODAY TO SCHEDULE A SHOWING!!!!</t>
  </si>
  <si>
    <t>2.5% -$295 ON NET (on Net SP)</t>
  </si>
  <si>
    <t>Please call L/O to schedule showing. 847-265-6000  After hours call L/A 847-322-4173</t>
  </si>
  <si>
    <t>RE/MAX Advisors</t>
  </si>
  <si>
    <t>(847) 265-6000</t>
  </si>
  <si>
    <t>Julie Krock</t>
  </si>
  <si>
    <t>TWO HOUR NOTICE TO SHOW. BRING YOUR CLIENTS IN TODAY!! CALL L/O OR L/A TO SCHEDULE!!!</t>
  </si>
  <si>
    <t>Sunset Rd to Delaney - N to Berkshire - W to Address</t>
  </si>
  <si>
    <t>2 Bedroom, 1 Bath Townhouse with a full finished Basement. Family Room &amp; extra Half Bath in Lower Level and exterior parking for 1 Car. Laminate wood floors, newer carpet.  Fresh paint.  Granite tops.  Less than 1 year old: AC unit, Water heater, Furnace and Frig.  Unit has more space than it looks from the outside.  Washer and dryer included!  Ready to move in and make this your home.</t>
  </si>
  <si>
    <t>EZ to SHOW - Vacant.  Call Showings at 877-977-1010</t>
  </si>
  <si>
    <t>Brian Svrusis</t>
  </si>
  <si>
    <t>(847) 463-3390</t>
  </si>
  <si>
    <t>Clean unit.  Move in ready.  Quick close possible.  Inform your clients:  over $5,000 spent last year on new sump pump, AC unit, water heater, furnace, and refrigerator.</t>
  </si>
  <si>
    <t>2S720</t>
  </si>
  <si>
    <t>31st St to Fairfield to R (south) onto Williamsburg Ct.</t>
  </si>
  <si>
    <t>Absolutely pristine end unit in desirable Oak Brook Colony. All brick, two car garage. Hardwood wood floors refinished &amp; new blinds. 2 bedrooms, 2 1/2 updated baths. Cathedral &amp; vaulted ceilings in living room, dining room. Sunny eat-in kitchen. 2 private walk-out patios in a serene location. Amazing lower level, full laundry room. Ample storage. Close to amenities.</t>
  </si>
  <si>
    <t>28X17</t>
  </si>
  <si>
    <t>Please use Showing Assist and wait for confirmation</t>
  </si>
  <si>
    <t>Karen Baker, SRES</t>
  </si>
  <si>
    <t>(630) 390-9060</t>
  </si>
  <si>
    <t>Easy to show. Immediate occupancy, too! PLEASE TURN OUT ALL LIGHTS AND LOCK PATIO DOORS AND FRONT DOOR BEFORE LEAVING. Thank you.</t>
  </si>
  <si>
    <t>120 and O'Plains S 2 McGaw E2 Candlestick S 2 Brownstone</t>
  </si>
  <si>
    <t>Backs to both the woods and has pond views!  Fireplace in spacious living room, master bedroom with vaulted ceilings, and a patio to entertain.  Very clean and has fresh paint and new carpet!  This is a Fannie Mae HomePath property!</t>
  </si>
  <si>
    <t>CARLYSLE</t>
  </si>
  <si>
    <t>Park Willow</t>
  </si>
  <si>
    <t>West of Kingery Hwy (Route 83) -- South of 55th St</t>
  </si>
  <si>
    <t>REHABBED GROUND FLOOR UNIT!! ENTIRE INTERIOR FRESHLY PAINTED, BRAND NEW CARPET, ESPRESSO HARDWOOD FLOORS, SHAKER KITCHEN CABINETS &amp; LOADS OF NATURAL LIGHT! CERAMIC TILED BATHROOMS W/TILED SHOWER SURROUND AND NEWER ESPRESSO VANITY. LAUNDRY &amp; STORAGE ONSITE. HINSDALE CENTRAL  SCHOOL DISTRICT!!  **FANNIE MAE HOMEPATH PROPERTY~NO PERSONAL PROPERTY CONVEYED~BUYER PAYS TRANSFER FEES~IL CONDO PROPERTY ACT MAY APPLY**</t>
  </si>
  <si>
    <t>NO RENTALS/NO FHA, INFO NOT GUARANTEED.Homepath First Look.  Need help? 866.218.4446.  Contract Package Attached.  Atty Holds EM</t>
  </si>
  <si>
    <t>ONE BLOOMINGDALE PLACE</t>
  </si>
  <si>
    <t>Shick &amp; Country Club North to Bloomingdale Place</t>
  </si>
  <si>
    <t>// Bloomingdale Place // 2 Bedroom // 2 Bathroom // Check Out the View from the Top Floor Unit // Living Room with Fireplace &amp; Patio Door // Dining Area // Master Bedroom with Private Bathroom // Laundry Hook-Up in 2nd Bathroom // Balcony // 2 Parking Spots in Garage # 38 &amp; 39 // HUD Owned // This home qualifies for FHA 203(k) loan!</t>
  </si>
  <si>
    <t>Elevator, Exercise Room, Storage, Health Club, Pool-Indoors, Security Door Locks, Whirlpool</t>
  </si>
  <si>
    <t>BIDDING GO TO www.HUDPemco.com NAID# REGISTRATION  www.HUDHomeStore.com FHA INSURED(IN) HUD HOMES SOLD AS-IS  CASE# 137-573470 HOTLINE 630-236-1050  UP TO 3% CC. $100.00 DOWN PYMT (See Over Bidding Rules) Keybox in lobby</t>
  </si>
  <si>
    <t>22nd St to S. Elizabeth St North right on 20th</t>
  </si>
  <si>
    <t>Updated &amp; Spotless 2 BR, 2 Bth w/loft Town home w/ 2 Master Suites! Updated Kitchen w/ Stainless steel appliances, granite counters,  New tile back splash &amp; Wood Laminate Floors. Freshly painted thru-out and carpets cleaned. Second floor laundry, Updated Lighting, New Sliding Glass Door.  Close to everything and a quiet off the beaten track location near trails and pond. Very Highly Recommended.  Truly move in ready.</t>
  </si>
  <si>
    <t>2.5% LESS $$295 (on Net SP)</t>
  </si>
  <si>
    <t>Please click on Showing Assist</t>
  </si>
  <si>
    <t>#########</t>
  </si>
  <si>
    <t>James Lowe</t>
  </si>
  <si>
    <t>(312) 401-2101</t>
  </si>
  <si>
    <t>312-401-2101</t>
  </si>
  <si>
    <t>Seller's Attorney Fournier Law Will Hold Earnest Money.  Email Offers to jamielowe@msn.com.  Rentals Allowed.  Not FHA approved. New Roof 2010.</t>
  </si>
  <si>
    <t>LAKE 2 GLEN ELLYN S2 DEER GLEN E2 WILLOWBRIDGE</t>
  </si>
  <si>
    <t>67X36</t>
  </si>
  <si>
    <t>Contemporary LAKEFRONT home with beautiful deck surrounded by lush greenery. Many improvements (2012) â€“ new roof, new windows, wood floors, SS appliances, high efficiency furnace. Vaulted ceilings and open floor plan. A den/ office or 3d bedroom. Quiet neighborhood close to parks, shopping, highways, restaurants. Walking distance to golf course and few miles of trails.</t>
  </si>
  <si>
    <t>Use Showing Assist to schedule appointment</t>
  </si>
  <si>
    <t>Real People Realty Inc</t>
  </si>
  <si>
    <t>Peter Petrov</t>
  </si>
  <si>
    <t>(630) 802-5335</t>
  </si>
  <si>
    <t>Lawrence 2 blocks W of Harlem, E of Canfield to Olcott N to build on the north-across from Mariano's</t>
  </si>
  <si>
    <t>Beautiful condo with 2 bedrooms, 2 baths and balcony. Open floor plan. Kitchen with island and large breakfast bar, 42'kitchen cabinets, granite counter-tops, back splash. SS appliances, hardwood floors. Laundry in unit. Master bath with Jacuzzi tub. Heated garage. Storage.</t>
  </si>
  <si>
    <t>Elevator, Exercise Room, Storage, Security Door Locks, Curbs/Gutters, Sidewalks, Street Lights, Street Paved</t>
  </si>
  <si>
    <t>TV-Cable, Security System, Intercom, Fire Sprinklers, CO Detectors</t>
  </si>
  <si>
    <t>Gas, Forced Air, Radiant, Indv Controls</t>
  </si>
  <si>
    <t>Call Listing Agent 708.302.5898</t>
  </si>
  <si>
    <t>Bozena Mihun</t>
  </si>
  <si>
    <t>(708) 302-5898</t>
  </si>
  <si>
    <t>For showing - 24hrs notice please!   Special service area $210 a year thru 2025.</t>
  </si>
  <si>
    <t>Lake Shore Dr to 57th St. exit, West to Hyde Park, North to 55th, West to Cornell, North to address.</t>
  </si>
  <si>
    <t>STUNNING L-SHAPED EAT-IN KIT W/CHERRY CAB, RECESSED LIGHTING &amp; GRANITE CNTERS. LR W/FP &amp; BI-SHLVES. GRAND FORMAL DR W/BUILT-IN HUTCH. GORGEOUS CT FULL BATH W/JACUZZI. FRESH PAINT. CROWN MOLDING &amp; SOLID WHITE DOORS. IN-UNIT LAUNDRY. SUN-FILLED SUN ROOM. MOST NEWER  WINDOWS. PRIVATE 14 X 8 DECK. ASSOC FEE INCL. HEAT, H20 &amp; SCAV. ONE RESV EXT. PRKNG SPACE. $3,000 CREDIT TOWARDS APPL, CLOSING COSTS! YOU SNOOZE,YOU LOSE</t>
  </si>
  <si>
    <t>Storage, Sidewalks, Street Lights, Street Paved</t>
  </si>
  <si>
    <t>Refrigerator, Disposal, Wine Cooler/Refrigerator</t>
  </si>
  <si>
    <t>TV-Dish, Security System, Intercom, CO Detectors, Ceiling Fan</t>
  </si>
  <si>
    <t>Conventional, Contract (Articles) for Deed, Owner May Help/Assist</t>
  </si>
  <si>
    <t>2.5%-$350.00 (on Net SP)</t>
  </si>
  <si>
    <t>PLEASE CALL LISTING OFFICE  TO SHOW  630-333-1500</t>
  </si>
  <si>
    <t>Bob Shiga, CSC</t>
  </si>
  <si>
    <t>(630) 530-5514</t>
  </si>
  <si>
    <t>* NOT A SHORT SALE  OR FORECLOSURE! *ORIGINALLY A 3 BDRM UNIT. *DYNAMITE LOCATION, PRICE AND CONDITION-TOTAL REHAB! *$3,000 CREDIT ATOC TOWARDS APPLIANCES, CLOSING COSTS, ETC.</t>
  </si>
  <si>
    <t>ROLLING OAKS</t>
  </si>
  <si>
    <t>Route 47 south of Route 30 to Rolling Oaks Road.  East on Rolling Oaks.  Right on Mallard Lane.</t>
  </si>
  <si>
    <t>BEAUTIFUL END UNIT WITH BRIGHT, OPEN FLOOR PLAN!  2-story LR w/vaulted ceiling &amp; fireplace.  MBR features cathedral ceiling, W/I closet + private bath w/double bowl vanity.  Spacious eat-in kitchen w/pantry.  SGD leads to concrete patio and private back yard.  Second floor highlighted by large loft area and office/bonus room.  Custom blinds throughout.  All appliances stay.  Easy access to I-88.  Kaneland schools.</t>
  </si>
  <si>
    <t>19X7</t>
  </si>
  <si>
    <t>Call ShowingTime 855.746.9093</t>
  </si>
  <si>
    <t>Plainfield to Manning N to Florence -right to Rosewood left into Complex end unit building 1909.</t>
  </si>
  <si>
    <t>END UNIT RANCH</t>
  </si>
  <si>
    <t>Need first floor living? Rarely available ranch style, 2 bdrm end unit town home. Fantastic looking all brick exterior in a wonderful quiet location surrounded by residential homes. Enjoy the convenience of att garage &amp; large concrete patio make this a must see. Great layout w/spacious LR &amp; master bdrm. New carpet,newer high efficiency furnace &amp; A/C,ceramic tile in foyer,kitchen,baths &amp; hallway. All appl included.</t>
  </si>
  <si>
    <t>Must call listing office to confirm 630-830-9100. EZ to show.</t>
  </si>
  <si>
    <t>630-830-9100</t>
  </si>
  <si>
    <t>Richard Moeller</t>
  </si>
  <si>
    <t>(630) 550-5040</t>
  </si>
  <si>
    <t>Fax 866-766-9307 Fax</t>
  </si>
  <si>
    <t>**Not a short sale** OFFER MUST BE SUBMITTED ON MULTI-BOARD 6.0 CONTRACT. LENDER APPROVAL LETTER OR PROOF OF FUNDS WITH OFFER.</t>
  </si>
  <si>
    <t>Bay Tree</t>
  </si>
  <si>
    <t>RT 21 N of RT 60 to Mall Dr, W2 Museum, N2 Bay Tree</t>
  </si>
  <si>
    <t>Impressive Sun Drenched Custom St Claire W/Many Upgrades. All Redone/New In 2004. End Unit 2 BR + Loft + 2 Full &amp; 2 Half Baths. Loft Can Be Converted To 3rd BR. HW Flrs. T-Out 1st Flr. 2 Story Foyer &amp; Living Rm. Kitchen Has Granite &amp; Eating Area W/ Sliders To Nice Deck. Master Suite Has W/I Closet, Vaulted Sitting Area &amp; Luxurious Bath W/ Added Jetted Tub. Finished Bsmt W/Rec Rm, Library, Exercise/Dance Rm &amp; 1/2 BA.</t>
  </si>
  <si>
    <t>29X9</t>
  </si>
  <si>
    <t>24X7</t>
  </si>
  <si>
    <t>Oven/Range, Microwave, Dishwasher, Refrigerator, Freezer, Washer, Dryer, Disposal, Compactor-Trash</t>
  </si>
  <si>
    <t>Eating Area, Exercise Room, Foyer, Library, Loft, Recreation Room</t>
  </si>
  <si>
    <t>Humidifier, TV-Cable, Security System, CO Detectors, Ceiling Fan, Sump Pump</t>
  </si>
  <si>
    <t>CLO 847.367.8686X0 (1HOUR NOTICE APPRECIATED)</t>
  </si>
  <si>
    <t>Sandra Locascio</t>
  </si>
  <si>
    <t>(847) 557-8517</t>
  </si>
  <si>
    <t>CELL 847.809.9696</t>
  </si>
  <si>
    <t>CUSTOM ST CLAIRE. ALL REDONE &amp; MODEL RECONFIGURED IN 2004. ** CLOSING DATE MUST BE 12/1 OR LATER.**</t>
  </si>
  <si>
    <t>2nd</t>
  </si>
  <si>
    <t>SECOND STREET LOFTS</t>
  </si>
  <si>
    <t>ROUTE 72(HIGGINS RD) TO 2ND STREET ENTER OFF 2ND</t>
  </si>
  <si>
    <t>DRAMATIC 2BR/2 BATH LOFT CONDO IN THE HEART OF W DUNDEE W/MODERN/MINIMALIST OPEN DESIGN. ELEVATOR &amp; INDOOR/HEATED PARKING. WALK TO SHOPS/RESTAURANTS. STAINED CONCRETE FLRS,  EXPOSED DUCT WORK &amp; TONS OF WNDWS FOR NATURAL LIGHT! HUGE LIVG RM W/FP IS PERFECT FOR ENTERTAINING. UPSCALE CUSTOM KITCHEN, SPACIOUS DIN AREA, RELAXING MASTERS SUITE W/SPA BATH. ROOFTOP DECK W/PANORAMIC VIEWS OF RIVER &amp; DOWNTWN! IN UNIT LAUNDRY</t>
  </si>
  <si>
    <t>Bike Room/Bike Trails, Elevator, Storage, Sundeck, Security Door Locks, Curbs/Gutters, Sidewalks, Street Lights, Street Paved</t>
  </si>
  <si>
    <t>TV-Cable, Intercom, Fire Sprinklers, Ceiling Fan</t>
  </si>
  <si>
    <t>call listing agent 847-815-6465 can text</t>
  </si>
  <si>
    <t>Tamara O'Connor, CRS,GRI</t>
  </si>
  <si>
    <t>(847) 888-4991</t>
  </si>
  <si>
    <t>WWW.PLPROPERTIES.COM</t>
  </si>
  <si>
    <t>show for back ups</t>
  </si>
  <si>
    <t>Howard</t>
  </si>
  <si>
    <t>Reserve of East Dundee</t>
  </si>
  <si>
    <t>Route 72 West of 25 to Howard South</t>
  </si>
  <si>
    <t>CARDINAL</t>
  </si>
  <si>
    <t>2 Story townhome located close to Downtown Dundee, Shopping, Transportation and Bike Path.  2 bedrooms plus loft. Selling in strictly AS-IS condition. Special addendums required on final sales contract. Pre/approved buyers only. Cash offers must be verified. Earnest money must be certified funds only. Taxes prorated 100%. Home needs cosmetics.</t>
  </si>
  <si>
    <t>Carpentersville Middle School</t>
  </si>
  <si>
    <t>submit all offers to stevebihun@gmail.com</t>
  </si>
  <si>
    <t>FARMINGDALE TERRACE</t>
  </si>
  <si>
    <t>75TH TO FARMINGDALE S TO WALNUT W,3RD ENTRANCE TURN RGHT</t>
  </si>
  <si>
    <t>You'll love everything about this gorgeous unit. Completely redone. Everything new. Spacious 2 bed &amp; 2 bath. Laminate floors, ss appliances, front load washer &amp; dryer, granite cntrs. Storage in same flr unit. Garage &amp; bike rm. Pets 20 lbs or less. No rentals!</t>
  </si>
  <si>
    <t>Terracotta</t>
  </si>
  <si>
    <t>2 HOUR NOTICE!  Buyer's Agent MUST accompany all showings</t>
  </si>
  <si>
    <t>Monika Sak</t>
  </si>
  <si>
    <t>0S064</t>
  </si>
  <si>
    <t>Lee</t>
  </si>
  <si>
    <t>LEE STATION</t>
  </si>
  <si>
    <t>JEWEL RD BETWEEN COUNTY FARM AND WINFIELD RD, S TO LEE</t>
  </si>
  <si>
    <t>WOW~Quiet Peaceful Living In This Townhome Community~Oak Cabinets &amp; New Stainless Steel Applicances In This Awesome Kitchen~Breakfast Bar~Dining Area~Open Floor Plan~Master Suite~Cozy Fireplace in Family Room~All New Carpet &amp; Paint~This is a Fannie Mae Home Path Property.</t>
  </si>
  <si>
    <t>All offers must be made using the HomePath Online system. Please download page 8 of the 5.0 along with instructions prior to submitting offers. No personal property</t>
  </si>
  <si>
    <t>Randall to McDonald. Right on Thornwood. Right on Nicole</t>
  </si>
  <si>
    <t>No rentals allowed, unless extreme hardship is proven. Sold as is. Needs painting &amp; general cleaning. Furnace 4 years old. Hot water heater  2 years old. Appliances stay. Patio backs to nice private space. Conventional or cash only please. Master fee is $94 quarterly for pool and clubhouse. Owner will consider giving decorating allowance. Make offer please. With some hard work buyer can earn "sweat equity)Great buy!!</t>
  </si>
  <si>
    <t>2.5-$100 (on Net SP)</t>
  </si>
  <si>
    <t>call listing office 847-931-7500  call office 847-931-7500</t>
  </si>
  <si>
    <t>Judy Lobianco Nelson</t>
  </si>
  <si>
    <t>(847) 741-5839</t>
  </si>
  <si>
    <t>selling as is please</t>
  </si>
  <si>
    <t>Rte 12o Oplaine, S to McGaw, E to S Candlestick Way, S to W Brownstone to HSN</t>
  </si>
  <si>
    <t>Short sale ready for a new owner. 2 BR 1.1BA Condo in a great location. 1 Car garage, small patio backing single family homes. Needs some TLC but all here including appliances. Easy to see so bring us an offer! We close lots of short sales and know how to get them done!</t>
  </si>
  <si>
    <t>Please use showing assist below</t>
  </si>
  <si>
    <t>Repec</t>
  </si>
  <si>
    <t>Shawn Strach, GRI</t>
  </si>
  <si>
    <t>(815) 790-0833</t>
  </si>
  <si>
    <t>www.GetTheDreamTeam.com</t>
  </si>
  <si>
    <t>CC: Pursuant to Short Sale. Unit does not have carpet in it now. Will need to be a cash deal or get creative. Short sale package in our office and ready to go. We close lots of short sales.</t>
  </si>
  <si>
    <t>Winfield Rd. to Highlake (N of train tracks, S of Geneva Rd) W to Windermere, N to Coniston E</t>
  </si>
  <si>
    <t>Light &amp; open 1st floor condo overlooking pond - great views in all seasons! One of the largest models in the complex. Neutral dÃ©cor, den open to the living rm, fireplace, 2 spacious bedrms, 2 baths, eat-in kitchen with double door pantry &amp; all appliances included. In-unit laundry. Garage access from entry. Close to town, hospital, commuter train, shopping. Complex has walking path &amp; private lake (w/fishing &amp; swimming</t>
  </si>
  <si>
    <t>Condo can be rented after owner has occupied for one year. Current taxes reflect non-owner occupancy. Lots of guest parking across the street</t>
  </si>
  <si>
    <t>15E</t>
  </si>
  <si>
    <t>PROMONTORY COOPERATIVE</t>
  </si>
  <si>
    <t>East on 56th Street to South Shore Drive, North to 5532</t>
  </si>
  <si>
    <t>Amazing Lake and Park views from this high-floor apartment in Mies van der Rohe's first Chicago masterpiece (on the U.S. National Register).  This sun-filled home is in move-in condition.  Assessments include property taxes, heat, air, electric, wifi + cable.  Waiting list for building's prvt parking lot, but City lot across street has permit parking.  Walk to University; Steps to Metra/CTA.  Well-run Association.</t>
  </si>
  <si>
    <t>Bike Room/Bike Trails, Door Person, Coin Laundry, Elevator, Exercise Room, Storage, On Site Manager/Engineer, Party Room, Receiving Room, Service Elevator, Curbs/Gutters, Sidewalks, Street Lights, Street Paved</t>
  </si>
  <si>
    <t>Heat, Air Conditioning, Water, Electric, Tax, Common Insurance, Doorman, TV/Cable, Exterior Maintenance, Lawn Care, Scavenger, Snow Removal</t>
  </si>
  <si>
    <t>E (East), W (West), Lake/Water, Park</t>
  </si>
  <si>
    <t>Hot Water/Steam, Radiant</t>
  </si>
  <si>
    <t>Call Jack on 312-406-9258; 24 Hour Notice Required</t>
  </si>
  <si>
    <t>Public Record</t>
  </si>
  <si>
    <t>Jack Wehner</t>
  </si>
  <si>
    <t>(312) 406-9258</t>
  </si>
  <si>
    <t>ASSESSMENTS INCLUDE TAXES! Board interview, letters of reference, credit check, Promontory application, 20% down. Waiting list for parking space.</t>
  </si>
  <si>
    <t>Arquilla</t>
  </si>
  <si>
    <t>Chasewood</t>
  </si>
  <si>
    <t>Maple (West of Belmont) to Chase, North to Arquilla</t>
  </si>
  <si>
    <t>33X62</t>
  </si>
  <si>
    <t>Beautiful end-unit townhome in Chasewood. Very open floor plan with two bedrooms plus loft area. Walk-out lower level. Kitchen has opening to dining room. All appliances.  Beautifully decorated.</t>
  </si>
  <si>
    <t>Call Showing Time 630-790-1776; after hrs. 630-347-0711</t>
  </si>
  <si>
    <t>Pat Borland</t>
  </si>
  <si>
    <t>(630) 347-0711</t>
  </si>
  <si>
    <t>This unit is very open &amp; airy and in move-in condition.</t>
  </si>
  <si>
    <t>Kensington Courts</t>
  </si>
  <si>
    <t>Main St So of 63rd St. to Kensington Courts, E side of Main</t>
  </si>
  <si>
    <t>This unit is awesome - nothing to do but move in &amp; enjoy.  Kitchen has been completely remodeled with beautiful cabinets &amp;, yes, granite counter tops &amp; ceramic tile floor.  Brand new dishwasher.  New carpeting and painted thru out.  Both bathrooms have new counter tops,mirrors &amp; light fixtures.  Patio door &amp; windows only 2 years old.  Covered parking spot included . A truly must see unit - you won't be disappointed.</t>
  </si>
  <si>
    <t>Park Adjacent, Wooded</t>
  </si>
  <si>
    <t>2.5% - $150.00 (on Net SP)</t>
  </si>
  <si>
    <t>Call Barbara Plahn 630-816-9827  to schedule appt</t>
  </si>
  <si>
    <t>Barbara Plahn</t>
  </si>
  <si>
    <t>(630) 816-9827</t>
  </si>
  <si>
    <t>Wonderful location - Fantastic Condition - parking close to door -  Elevator building - Buyer's agents must accompany your clients.</t>
  </si>
  <si>
    <t>ASCOT</t>
  </si>
  <si>
    <t>MCLEAN BLVD TO BOWES W TO ASCOT TO 910</t>
  </si>
  <si>
    <t>28X56X28X57</t>
  </si>
  <si>
    <t>Lots of New is What You'll See Here! This Great End Unit is Freshly Painted Throughout! LR Has Skylights, Roaring 2 Story Ceilings &amp; Gas FP! Loft, Lrg Master Bedrm w/ Walk in Closet, Master Bth w/ Separate Shower &amp; Soaker Tub! Kit Appliances 4-5 yrs, NEW Stove Never Used, Breakfast Bar &amp; Eat in Area! Laundry Dryer w/ Top Steamer! New Storm DR Going to Deck! New HWH &amp; Sump Pump! NEW Carpet in Lower Level!</t>
  </si>
  <si>
    <t>Call: 888-362-3222</t>
  </si>
  <si>
    <t>Nancy Christensen</t>
  </si>
  <si>
    <t>(847) 888-5800</t>
  </si>
  <si>
    <t>This will go FHA, Can be Rented!!</t>
  </si>
  <si>
    <t>OAK HILLS</t>
  </si>
  <si>
    <t>RT 53 TO 83RD E TO OAK LEAF</t>
  </si>
  <si>
    <t>Sharp 2 bedroom condo - 1st floor - featuring new carpet and kitchen flooring, freshly painted, updated bathroom, spacious eat-in kitchen, in-unit laundry, garage and nice patio!  This is a Fannie Mae HomePath property.</t>
  </si>
  <si>
    <t>Heat, Water, Gas, Parking</t>
  </si>
  <si>
    <t>HEINE</t>
  </si>
  <si>
    <t>Lawrence just west of McLean to Heine north to home</t>
  </si>
  <si>
    <t>MAIN LEVEL RANCH</t>
  </si>
  <si>
    <t>WOW!! Huge "MOVE-IN" condition 2BR **MAIN LEVEL* ranch with *PRIVATE ENTRANCE* makes this feel like a town home verses a regular condo! Huge eat-in kitchen, full laundry room, great sized BR's &amp; Living Room, very private patio, newer mechanicals, garage space, easy access to I-90 &amp; way too much more to list! Rentals allowed, great investment! NOT A SHORT SALE! Hurry, won't last!!</t>
  </si>
  <si>
    <t>St. Thomas/ECC</t>
  </si>
  <si>
    <t>easy, call 855 919-0376 or click on "show assist".   MUST turn off lights and lock door!!!</t>
  </si>
  <si>
    <t>Anthony Monteleone</t>
  </si>
  <si>
    <t>(630) 440-7777</t>
  </si>
  <si>
    <t>Great condition but sold as-is. Do not lock bottom lock that is taped. NOT FHA approved however rentals allowed (confirm with management). Vinyl flooring is missing under rug near sliding glass door. Quick easy court approval may be needed.</t>
  </si>
  <si>
    <t>Woodward to 83rd Street W to Piers Drive N / to 8105 bldg</t>
  </si>
  <si>
    <t>This super clean well lit condo is ideally situated w/in this community.  Enjoy perfect courtyard views with mature landscape and trees!  Master bdrm boosts private bath, vanity, and walk-in closet. Large living room with gas fireplace &amp; access to private patio overlooking courtyard. Large eat-in kitchen. Recently updated kitchen appliances, washer/dryer, furnace and hot water tank.  Includes one car detached garage.</t>
  </si>
  <si>
    <t>ROSEWOOD</t>
  </si>
  <si>
    <t>5A</t>
  </si>
  <si>
    <t>PLAINFIELD TO MANNING TO FLORENCE TO ROSEWOOD COURT</t>
  </si>
  <si>
    <t>LOVELY, LARGE  AND UPDATED 2 BR/ 2 FULL BATHS CONDO LOCATED IN THE GREAT LOCATION. NEWER WINDOWS, HARDWOOD FLOORS, GAS FIREPLACE IN THE LIVING ROOM,ATTACHED 1 CAR GARAGE,BALCONY, LAUNDRY IN THE UNIT. CLOSE TO SHOPPING CENTER AND ALL MAJOR EXPRESSWAYS-I55,294,355.</t>
  </si>
  <si>
    <t>2.5% - 250.00 (on Net SP)</t>
  </si>
  <si>
    <t>Use Showing Assist. Some Notice, Must confirm.</t>
  </si>
  <si>
    <t>Olga Horechko</t>
  </si>
  <si>
    <t>(708) 359-7617</t>
  </si>
  <si>
    <t>708-359-7617</t>
  </si>
  <si>
    <t>Not FHA approved. Disclosures downloadable from MLS; Offers MUST be written on Multi-Board 6.0 Contract.</t>
  </si>
  <si>
    <t>ELK</t>
  </si>
  <si>
    <t>CAROLSHIRE</t>
  </si>
  <si>
    <t>GARY AVE SOUTH TO ELK TRAIL WEST TO 2ND PARKING LOT</t>
  </si>
  <si>
    <t>2 bdrm sunny condo w/1.1 Baths. Bright Kitchen w/lots of cabinet and counter space. Living Rm w/balcony. Master bdrm has walk-in closet and private bath. Faux fireplace in dining room. Main bathroom has nice tile surround. Mirrored closet doors. Close to Shopping &amp; Expressways. THIS IS A FANNIE MAE HOMEPATH PROPERTY.</t>
  </si>
  <si>
    <t>Call 630-608-4777 with questions AFTER showing.**NO RENTALS PER HOA. SELLER INQUIRES ALL OFFERS SUBMITTED THRU HOMEPATH.COM</t>
  </si>
  <si>
    <t>SCHMALE TO GOLFVIEW DR E TO HOME</t>
  </si>
  <si>
    <t>EASTON</t>
  </si>
  <si>
    <t>34X155X155X82</t>
  </si>
  <si>
    <t>Highly coveted end-unit townhome w/ great natural light &amp; fairway views! Inviting &amp; spacious floorplan features cathedral ceilings &amp; a walk-out double patio perfect for entertaining. Updates include new stainless appls, refinished cabinets, newer carpeting, new blinds &amp; screens, new bathroom vanities &amp; prof organized garage storage spc. Enjoy the golf course &amp; pool! Excellent location to everything!</t>
  </si>
  <si>
    <t>Email rpshowings@related.com. 24hr notice preferred</t>
  </si>
  <si>
    <t>Ryan Parks</t>
  </si>
  <si>
    <t>(773) 387-3010</t>
  </si>
  <si>
    <t>Springbrook</t>
  </si>
  <si>
    <t>SPRINGBROOK TOWNHOMES</t>
  </si>
  <si>
    <t>Douglas Road to Farmington Lakes Drive and left on Springbrook Trails to home.</t>
  </si>
  <si>
    <t>2062 S.F.</t>
  </si>
  <si>
    <t>Spotless townhome.....newly painted and carpeted.  All appliances are included.  For your convenience, the washer and dryer is on 2nd level.  Huge loft area can be used as a family room, office area, and some have used it as a master bedroom.  Relax and enjoy the peaceful view of walking trail and pond from your patio!  Two car garage with storage.  Close to all amenities.</t>
  </si>
  <si>
    <t>Nature Preserve Adjacent, Landscaped Professionally, Pond, Water View</t>
  </si>
  <si>
    <t>Call Centralized Showing at 877-977-1010</t>
  </si>
  <si>
    <t>Patricia Savocchi, CNC,CSC</t>
  </si>
  <si>
    <t>(630) 546-1612</t>
  </si>
  <si>
    <t>Super clean home with fresh paint and carpet throughout.</t>
  </si>
  <si>
    <t>EDGEWOOD VALLEY</t>
  </si>
  <si>
    <t>Willow Springs Road and 7300 South.</t>
  </si>
  <si>
    <t>Nice, recently updated 3rd floor condo in Edgewood Valley. Kitchen offers oak cabinets, ceramic floor. Bath with updated ceramic floor and shower enclosure. Wood 6 panel doors. New moldings and baseboards. Outdoor pool and club house. Tennis Courts. Assigned parking #23, Storage Unit #11.</t>
  </si>
  <si>
    <t>Coin Laundry, Elevator, Storage, Pool-Outdoors, Security Door Locks, Service Elevator, Tennis Court/s, Sidewalks, Street Lights, Street Paved</t>
  </si>
  <si>
    <t>Oven/Range, Refrigerator, Disposal</t>
  </si>
  <si>
    <t>Text/Call/Email Listing Agent.</t>
  </si>
  <si>
    <t>Wayne Lawler</t>
  </si>
  <si>
    <t>(708) 712-0858</t>
  </si>
  <si>
    <t>No FHA.... Licensed Agent must be present for all showings...Please use 6.0 sales contract.</t>
  </si>
  <si>
    <t>King Dr North or South to address</t>
  </si>
  <si>
    <t>Washington Park condo.  Cash only sale.  Bldg is not FHA approved, 50%+ are rentals, no conventional financing. Association states deferred maintenance is needed.</t>
  </si>
  <si>
    <t>$300 (on Net SP)</t>
  </si>
  <si>
    <t>24 hour notice needed please call 773-552-3712</t>
  </si>
  <si>
    <t>Melvin Bridges</t>
  </si>
  <si>
    <t>Baybury</t>
  </si>
  <si>
    <t>CHESAPEAKE</t>
  </si>
  <si>
    <t>75th St. W of Fairview to Canterbury. North to Ashbury. West to Baybury.</t>
  </si>
  <si>
    <t>Stunning 2nd level end unit townhome with its own private entrance. This home features an open floor plan with the kitchen open to the living room and dining room. Living room features vaulted ceilings with skylight and fireplace. Updated bathrooms. Private balcony with newer sliding glass doors. In unit laundry and private attached garage. Newer windows. Great location- close to shopping, dining &amp; entertainment.</t>
  </si>
  <si>
    <t>Call 1-855-746-9100. Occupied but easy to show.</t>
  </si>
  <si>
    <t>Eileen Kenah</t>
  </si>
  <si>
    <t>(630) 964-4097</t>
  </si>
  <si>
    <t>630-404-2421</t>
  </si>
  <si>
    <t>Buyer's agent must accompany buyer at all showings.</t>
  </si>
  <si>
    <t>WINDINGS OF WILLOW RIDGE</t>
  </si>
  <si>
    <t>COUNTY LINE RD SOUTH EAST ON 91ST TO SANTA FE LANE</t>
  </si>
  <si>
    <t>CLASSIC AND HANDSOME MAPLE MODEL OVERLOOKING WOODED AREA AND WALKING PATH.  HUGE MBR WITH VAULTED CEILING, SITTING AREA AND WALK IN CLOSET. SPACIOUS SECOND BR AND LOFT THAT CAN EASILY BE 3RD BR.  KITCHEN HAS 48" MAPLE CABS, GRANITE COUNTERS AND HARDWOOD. LR w/ STONE FP.  LOOKOUT BSMT, WOODEN DECK. AWARD WINNING SCHOOLS. MINUTES TO BURR RIDGE VILLAGE CENTER.</t>
  </si>
  <si>
    <t>CALL OR TEXT LA  630-215-5447   EASY TO SHOW</t>
  </si>
  <si>
    <t>Don Burque</t>
  </si>
  <si>
    <t>(630) 455-8619</t>
  </si>
  <si>
    <t>Loft can easily be converted to Third Bedroom.  Buyers Agent must accompany all showings</t>
  </si>
  <si>
    <t>DELANY &amp; YORKHOUSE W TO MONTEREY S TO SAWGRASS TO CONDORD</t>
  </si>
  <si>
    <t>***Multiple offers received. Highest and Best by 9/30 @12 pm**  EAT-IN KIT, 42" MAPLE CABS,GRANITE COUNTER TOPS &amp;SS SPPL'S. LARGE LIVING AREA W/BLT-IN SURROUND SOUND &amp; WALKOUT TO PRIVATE BALCONY. MSTR BR W/WALK-IN/DBL CLOSETS. CERAMIC TILE BATHS, SEP SHOWER/TUB AND DBLE VANITY. SOUTH&amp; EAST EXPOSURE WELCOME YOU HOME.NOTHING TO DO BUT TURN THE KEY. RENTABLE! EXPERIENCED SHORT-SALE ATTORNEY ALREADY WORKING FILE</t>
  </si>
  <si>
    <t>CALL 877-977-1010- NOTICE PREFERRED, TENANT OCCUPIED</t>
  </si>
  <si>
    <t>CC: Pursuant to Short Sale. Experienced short-sale attorney has already started working on the file. Master association fee is per year. Large garage, storage unit inside garage and scenic landscaping- Rentable! Any reduction in commission will be split 50/50</t>
  </si>
  <si>
    <t>Rt. 45 east of Rt. 83 to Gross Pointe Circle, north to Sparta Ct</t>
  </si>
  <si>
    <t>CABRIOLET</t>
  </si>
  <si>
    <t>FRESH PAINT T/O THIS MOVE IN READY 2/2 HOME W/ATTACHED 1 CAR GARAGE.  MAINTENANCE FREE LIVING AT IT'S BEST! END UNIT W/NEUTRAL CARPET, SUNNY &amp; SPACIOUS W/ IN UNIT LAUNDRY. LIV RM W/FP &amp; BLT IN SHELVING. EAT IN KIT W/BAYED EATING AREA W/SEAT &amp; ALL APPS INCLUDED. MASTER BR W/WIC, VAULTED CEILING, SLIDERS TO PRIVATE BALCONY &amp; PRIVATE BATH. PRIVATE ENTRANCE &amp; WITHIN MINUTES TO PARK. RANCH MODEL ON 2nd FLOOR.</t>
  </si>
  <si>
    <t>Condo, Townhouse-2 Story, Penthouse</t>
  </si>
  <si>
    <t>CALL LO FOR INSTRUCTIONS 847-295-0800.  LEAVE CARD/REMOVE SHOES</t>
  </si>
  <si>
    <t>CUSTOM DRAPES.  HOME SHOWS BEAUTIFULLY.  CUSTOM MANTLE AND MARBLE SURROUND FP. SOARING CEILINGS IN LIVING &amp; DR. FURNACE ABOUT 3 YRS OLD.  DISCLOSURES IN MLS.</t>
  </si>
  <si>
    <t>RTE 83 TO 91ST W TO CLARENDON HILLS RD S TO KINGERY QUAR</t>
  </si>
  <si>
    <t>Absolutely stunning unit with Brazilian Cherry floors throughout. Expresso cherry cabinets, Freshly painted  Gorgeous kitchen with granite counters, can lighted ceiling &amp; top line stainless Steel Appliances. Frosted glass closet doors, beautiful light fixtures. Breathtaking bath with granite surround tub, metalic copper tiled floor, cherry vanity with glass lighted bowl. Don't miss out nothing to do but move in..</t>
  </si>
  <si>
    <t>Coin Laundry, Exercise Room, Storage, On Site Manager/Engineer, Park/Playground, Party Room, Sundeck, Pool-Outdoors, Sauna, Security Door Locks, Steam Room, Tennis Court/s</t>
  </si>
  <si>
    <t>Rear of Lot</t>
  </si>
  <si>
    <t>Heat, Water, Gas, Parking, Clubhouse, Exercise Facilities, Pool, Exterior Maintenance, Lawn Care, Scavenger, Snow Removal</t>
  </si>
  <si>
    <t>call Gary 708-712-2301</t>
  </si>
  <si>
    <t>owener of record</t>
  </si>
  <si>
    <t>The complex is not fha approved</t>
  </si>
  <si>
    <t>29W520</t>
  </si>
  <si>
    <t>Rt 59 and Butterfield Rd // Rt 59 (North) to Winchester Cir (East) to home</t>
  </si>
  <si>
    <t>Beautiful 2-story condo in quiet subdivision. Spacious master bedroom with large closet. Incredible kitchen with lots of cabinet space. Recessed lighting in kitchen. Full spacious basement, ready to be finished.  Access from unit into 1-car garage. This home qualifies for FHA Financing! Close to I-88.</t>
  </si>
  <si>
    <t>Cluster, Condo</t>
  </si>
  <si>
    <t>Lockbox on front door. BIDDING GO TO www.HUDPemco.com NAID# REGISTRATION  www.HUDHomeStore.com FHA Insured (IN) HUD HOMES SOLD AS-IS CASE# 137-163074 HOTLINE 630-236-1050 UP TO 3% CC. $100.00 DOWN PYMT (See Over Bidding Rules)</t>
  </si>
  <si>
    <t>The Courtyards of Westchester - 3 blocks N of 31st St, off Wolf Rd to Regency, East to Queens Ct</t>
  </si>
  <si>
    <t>CANTERBURY - "C"</t>
  </si>
  <si>
    <t>A true, ranch-style townhome in Westchester's award-winning subdivision - The Courtyards. Immaculate condition with loads of recent updating, i.e. - Corian Kitchen counters, all appliances, crown molding, granite dry bar + additional cabinetry, custom fireplace mantel, A/C, carpeting and more. Tray, vaulted or volume ceilings throughout. Great space and excellent storage too.</t>
  </si>
  <si>
    <t>On Site Manager/Engineer, Park/Playground, Curbs/Gutters, Street Lights, Street Paved</t>
  </si>
  <si>
    <t>Parking, Common Insurance, Exterior Maintenance, Lawn Care, Snow Removal, Other</t>
  </si>
  <si>
    <t>Humidifier, Ceiling Fan, Sprinkler-Lawn</t>
  </si>
  <si>
    <t>Cats OK, Pet Weight Limitation</t>
  </si>
  <si>
    <t>Use "Schedule a Showing"</t>
  </si>
  <si>
    <t>James &amp; Darlene White</t>
  </si>
  <si>
    <t>Bill Kimball</t>
  </si>
  <si>
    <t>(630) 455-8408</t>
  </si>
  <si>
    <t>By appointment only.</t>
  </si>
  <si>
    <t>Courtland Drive, East onto Nicole Drive</t>
  </si>
  <si>
    <t>Well maintained 3 bedroom/2.5 bathroom home in an excellent location! Spacious rooms, 2 car garage, nice patio, PLUS a loft!! Priced to sell, this one will not last! Case # 137-375407 INSURED STATUS:Insured. Choose FHA financing to qualify for a $100 down payment. Ask your agent for details. Sold as is. Equal Housing Opportunity</t>
  </si>
  <si>
    <t>Case #137-375407.Up to 3% co-op. Offers submitted online hudhomestore.com must be registered and have NAID . online bidding info/details at www.oforireo.com. HUD OWNED. any questions email fsrhomes@aol.com Sold as is.</t>
  </si>
  <si>
    <t>Rt.59 to 87th East to Sheehan so. to Rutland</t>
  </si>
  <si>
    <t>Start 2015 off right by owning this BEAUTIFUL 2nd floor unit that features all the charm of a city loft in the suburbs. Roomy open floor plan w/vaulted ceilings, Hardwood floors (rare!), White trim throughout, freshly painted &amp; Move in Ready! Stainless Steel FRIDGE, DW, RANGE, W &amp; D ALL INCLUDED! 2nd BR features Custom French Doors. PRIVATE balcony w/pond view. Convenient to School &amp; Shopping.  Quick close possible.</t>
  </si>
  <si>
    <t>TV-Cable, TV-Dish, CO Detectors, Ceiling Fan</t>
  </si>
  <si>
    <t>Call CSS 1-877.977.1010. 24 Hour Notice. PLEASE NO Cancellations! Key is for Dead Bolt lock.</t>
  </si>
  <si>
    <t>Jody Wendt</t>
  </si>
  <si>
    <t>(630) 917-7555</t>
  </si>
  <si>
    <t>As courtesy to Sellers, PLEASE NO Showing Cancellations! Confirm with your client FIRST. They make special arrangements to remove their dog for showings. PLEASE also take a moment to complete email feedback survey. Your help is appreciated.</t>
  </si>
  <si>
    <t>RTE. 59 TO NORTH AURORA AVE. WEST TO GENESEE</t>
  </si>
  <si>
    <t>VERMILLION</t>
  </si>
  <si>
    <t>HIGHEST/BEST 11/28 12NOON. END UNIT-2ND FLR UNIT W/ CATHEDRAL CEILINGS, OAK RAILNG &amp; MARBLE TILE.  SHARP KITCHEN W/42" CABINETS, STAINLESS, CORIAN COUNTERTOPS. FIREPLACE. MSTR BDRM W/WIC &amp; PRVT BATH.  FINANCED BUYERS =PRE-APPRVL W/DOWN PAYMENT VERIFIED. CASH BUYERS=FUNDS TO CLOSE VERIFIED. TAXES 100%. AS IS. PUBLIC ACT 94-1049 MAY APPLY. SIGN ADDENDUM, DISCLOSURE, REO SALES HELP SHEET. HOA HAS NOT CONFIRMED ALL INFO.</t>
  </si>
  <si>
    <t>PLEASE READ ALL INSTRUCTIONS IN SHOWING ASSIST-FOLLOW</t>
  </si>
  <si>
    <t>Employees &amp; family members residing w/employees of JPMorgan Chase Bank, N.A, its affiliates or subsidiaries are strictly prohibited from directly or indirectly purchasing any property owned by JPMorgan Chase Bank, N.A. HOA INFO NOT GUARANTE</t>
  </si>
  <si>
    <t>202D</t>
  </si>
  <si>
    <t>Washington S of 87th W on Worthing N on Midhurst</t>
  </si>
  <si>
    <t>DUPAGE</t>
  </si>
  <si>
    <t>This beautiful unit has 2 Bedrooms with 2 full baths. Offering a cozy fireplace with stone surround, Eat-in kitchen, cathedral ceilings, gorgeous paint colors and updates galore including newer appliances, tile, backsplash. Extra window in Dining Room gives great light. Master Suite has private full bath. Large Balcony. 1 car Attached garage. Located in Winchester Place w/ nature walking and bike paths in the area.</t>
  </si>
  <si>
    <t>Call or Text LA Gina 847.845.5141 - on Sentrilock must confirm</t>
  </si>
  <si>
    <t>Ricke Realty LLC</t>
  </si>
  <si>
    <t>(630) 782-0100</t>
  </si>
  <si>
    <t>Gina Masello</t>
  </si>
  <si>
    <t>This unit is very clean and shows beautifully! 2 hour notice appreciated.  EM Certified funds - this is NOT a short sale!</t>
  </si>
  <si>
    <t>NORTH AVE TO SCHMALE NORTH TO GOLFVIEW EAST</t>
  </si>
  <si>
    <t>LOVE GOLF? WELCOME HOME! THIS UPDATED UNIT OVER LOOKS 7TH GOLF COURSE TEE. NEW CERAMIC TILE IN KIT &amp; FOYER. NEWER HARDWOOD FLOOR IN LIVING ROOM, FRESHLY PAINTED. IMMACULATLEY MAINTAINTED. MUST SEE INSIDE. NEW STAINLESS STEEL APPLIANCES, 2 HUGE WALKINS. NEW BTH RM FIXTURES w/ WATER SAVE TOILETS.  GAS STARTER FIREPLACE. NEW HVAC, WASHER &amp; DRYER, PLUS FLAT PANEL TV! MOVE IN READY. QUICK CLOSE ! NOT A SHORT SALE!</t>
  </si>
  <si>
    <t>Golf Course, Pool-Outdoors, Sidewalks, Street Lights, Street Paved</t>
  </si>
  <si>
    <t>Harbor Ridge</t>
  </si>
  <si>
    <t>Grass Lake Road and 59 South on 59 to Stonebridge Dr W2 Stonebridge Ct</t>
  </si>
  <si>
    <t>Fantastic end unit on Antioch Golf Course! Beautifully maintained 2 bedroom, 2 bath with a finished basement.  This unit has a 1 car garage and a covered carport.  Large deck to enjoy watching the golfers! Living room fireplace perfect for a chilly evening! Huge basement with wet bar and 2nd full bathroom!  Resort-style living and Maintenance fee life style!  This could be yours!</t>
  </si>
  <si>
    <t>Power Generator</t>
  </si>
  <si>
    <t>Fantastic end unit on Antioch Golf Course! Beautifully maintained 2 bedroom, 2 bath with a finished basement. This unit has a 1 car garage and a covered carport. Large deck to enjoy watching the golfers! Living room fireplace perfect for a</t>
  </si>
  <si>
    <t>C1</t>
  </si>
  <si>
    <t>This is a great armchair opportunity. Unit is not viewable but that's ok. Buy it now and cash in later. This will be an auction property. Please check back for auction dates. Agents see auction site for details. Buyers contact listing agent for details. AUCTION STARTS 10/4-10/7</t>
  </si>
  <si>
    <t>1% OR $400 (on Net SP)</t>
  </si>
  <si>
    <t>NONE - Drive by only</t>
  </si>
  <si>
    <t>BANK</t>
  </si>
  <si>
    <t>Bobby Roberts</t>
  </si>
  <si>
    <t>(708) 267-2500</t>
  </si>
  <si>
    <t>Property is  under auction terms at (www.homesearch.com or www.auction.com) 5% Buyers  Premium applies. Greenlight Loans Prequalification (866â€250â€7143) is required at time  of offer submission</t>
  </si>
  <si>
    <t>RT.20/BARTLETT N ON BARTLETT E ON TALL TREE S ON ASHTON</t>
  </si>
  <si>
    <t>Attractive 2-story town home with partial brick front &amp; cute welcoming yard. Kitchen has decorative white cabinets &amp; light wood flooring. Living room features bay window &amp; ceramic tile. Wood staircase leads to 2 upper bedrooms with spacious closets. Partial finished basement with family/recreation room. Private patio in back. Sold As-Is. Taxes 100%. Special Addendums required after offer is accepted.</t>
  </si>
  <si>
    <t>Submit all offers to www.tanisoffers.com. Seller encourages buyers to prequalify W/preferred lender:657-218-2312 or 888-885-0687 or apply on line @: http://hls.ditech.com/caesar.gomez. Deed restri  MULTIPLE OFFER H&amp;B DUE 4PM 9-18</t>
  </si>
  <si>
    <t>ARMY TRAIL 2 SCHMALE, S 2 GOLFVIEW E TO 110</t>
  </si>
  <si>
    <t>PACK YOUR BAGS AND DO NOTHING BUT MOVE INTO THIS WONDERFUL TOWN HOME WITH THE BEST VIEW IN THE LAKES!  BEAUTIFUL &amp; TRANQUIL VIEW OF THE FAIRWAY &amp; TEE BOX. NO GOLFBALLS HEADING YOUR WAY! SUNNY KITCHEN WITH SS APPLIANCES. MASTER BEDROOM SUITE W/PRIVATE MASTER BATH. 2ND FULL BATH OFF 2ND BEDROOM. COZY LIVING ROOM W/FIREPLACE. DINING ROOM W/KITCHEN VIEW. 1 CAR GARAGE. NEW A/C, CARPET, PAINT, FIXTURES, TILE, SO MUCH MORE!</t>
  </si>
  <si>
    <t>6X16</t>
  </si>
  <si>
    <t>Golf Course, Pool-Outdoors</t>
  </si>
  <si>
    <t>TEXT AGENT OR CALL &amp; LEAVE MESSAGE. GO &amp; SHOW. LA 630-400-4075</t>
  </si>
  <si>
    <t>Trademark Realty Group Inc.</t>
  </si>
  <si>
    <t>(630) 222-8362</t>
  </si>
  <si>
    <t>Hillary Wertz</t>
  </si>
  <si>
    <t>(630) 400-4075</t>
  </si>
  <si>
    <t>Easy to show. Master association is included in HOA monthly due total</t>
  </si>
  <si>
    <t>Eaton</t>
  </si>
  <si>
    <t>31st St. (east of Wolf Rd.); Westminster Dr. north (turns into Eaton ct.)</t>
  </si>
  <si>
    <t>46 X 91*</t>
  </si>
  <si>
    <t>Hard-to-find end unit in Westchester Place. Only neighbors on one side. Quiet, interior location. Backs to a beautiful open area which provides extraordinary privacy. Bedrooms on both 1st &amp; 2nd floors.  Vaulted ceiling &amp; fireplace in living room. Basement. Attached garage. Loft. Clean. Neutrally decorated. Immediate possession.</t>
  </si>
  <si>
    <t>Loft, Mud Room</t>
  </si>
  <si>
    <t>Buyers must have their agent present for all showings. *Lot dimensions per realist tax report.</t>
  </si>
  <si>
    <t>Lake St. To Medinah Rd. S to development on east side</t>
  </si>
  <si>
    <t>CASTELLO</t>
  </si>
  <si>
    <t>Rarely Available End Unit.  Features 2 Bedroom Suites, each w/Full Bath. + Loft overlooking spacious floorplan.  Owners spared no Expense on Upgrades. Iron Spindles, Oak Staircase, 42 inch Cabs. SS Appliances.Granite Countertops in Kitch &amp; Baths. Great Pantry! Brand new hdwd pre-engineered hdwd floors throughout 2nd floor!  Convenient Laundry/Mudroom From Garage. Full Basement w/Bath Rough-in. Bloomingdale Schools!!!</t>
  </si>
  <si>
    <t>Common Insurance, Lawn Care, Snow Removal, Other</t>
  </si>
  <si>
    <t>TV-Cable, Sump Pump</t>
  </si>
  <si>
    <t>PLEASE TEXT LA 63.205.9575</t>
  </si>
  <si>
    <t>PORTER</t>
  </si>
  <si>
    <t>Grape Vine</t>
  </si>
  <si>
    <t>Galena to Concord to Grape Vine</t>
  </si>
  <si>
    <t>Nice townhouse with some remodeling completed.  All this home needs is carpet and paint.  Pick your own colors and make it your own.  Property is sold as-is.  No disclosures will be provided.  Employees and family members residing with employees of JPMorgan Chase Bank, N.A, its affiliates or subsidiaries are strictly prohibited from directly or indirectly purchasing any property owned by JPMorgan Chase Bank, N.A.</t>
  </si>
  <si>
    <t>CHASE</t>
  </si>
  <si>
    <t>Please email all offers in pdf format along with a pre-approval or proof of funds.  All earnest money must be in the form of a cashiers check.</t>
  </si>
  <si>
    <t>Armitage</t>
  </si>
  <si>
    <t>North Ave to Maple, North to Armitage</t>
  </si>
  <si>
    <t>Ideal two bedroom condo completely remodeled including all new appliances. The best view in the building from spacious private balcony. 1.5 baths, dining room, fully carpeted, and new kitchen with large eating area   and Central air conditioning.  Convenient location near expressway and commuter train.  This Condo also has it's own HVAC system.</t>
  </si>
  <si>
    <t>EMERSON ELEMENTARY SCHOOL</t>
  </si>
  <si>
    <t>Coin Laundry, Elevator, Exercise Room, Storage, Pool-Indoors</t>
  </si>
  <si>
    <t>Water, Common Insurance, Security System, Exercise Facilities, Exterior Maintenance, Lawn Care, Scavenger, Snow Removal</t>
  </si>
  <si>
    <t>Assigned Spaces, Visitor Parking, Driveway</t>
  </si>
  <si>
    <t>Click on Showing Assist Link Below</t>
  </si>
  <si>
    <t>Larry Reedy, CNC,CSC</t>
  </si>
  <si>
    <t>(630) 334-4415</t>
  </si>
  <si>
    <t>**THIS IS IT** Unbelievable downtown location with premium, end-unit river view!! Open 2 bed/2 bath layout with end-unit wrap around balcony! Kitchen features new granite counters, Bosch DW, and disposal. Includes underground parking($25k value), dues pay for gas,electric,water,cable,internet,daily breakfast,fitness center,and shuttle service.  Short walking distance to shop,restaurants, and the Riverwalk!!!</t>
  </si>
  <si>
    <t>Common Grounds, Landscaped Professionally, Park Adjacent, River Front, Wooded, Rear of Lot</t>
  </si>
  <si>
    <t>Heat, Air Conditioning, Water, Electric, Gas, Parking, Common Insurance, Security, TV/Cable, Clubhouse, Exercise Facilities, Exterior Maintenance, Lawn Care, Scavenger, Snow Removal, Internet Access</t>
  </si>
  <si>
    <t>Easy Show - Use Showing Assist</t>
  </si>
  <si>
    <t>Just North of North Avenue on Wolf Road. Near Interstates 290, 294 and 190.</t>
  </si>
  <si>
    <t>2BR / 2BA on preferred east side of building. Split plan with large eat in kitchen, in unit laundry room and storage.  Indoor heated parking included in price + one outdoor parking spot.  5% down seller financing available and building is FHA approved!</t>
  </si>
  <si>
    <t>Heat, Water, Security System, Exterior Maintenance, Lawn Care, Scavenger, Snow Removal</t>
  </si>
  <si>
    <t>Call or text LA - 312-209-4010</t>
  </si>
  <si>
    <t>York road north of St Charles to 145. Building is South of the RR tracks</t>
  </si>
  <si>
    <t>*** INVESTORS ONLY***  UNIT IS RENTED UNTIL 7/31/2016!! INVESTOR TO TAKE OVER EXISTING LEASE AT 2000/MONTH!! Gorgeous 4th floor condo in Downtown Elmhurst! Walk to train, easy commute!! Features 2 bedrooms, 2 full bathrooms, hardwood flooring, granite counter tops, Stainless steel  appliances, laundry in unit, heated underground parking! Walk to town, library, train!!  One Car covered parking included!!</t>
  </si>
  <si>
    <t>Water, Common Insurance, Security, Exercise Facilities, Exterior Maintenance, Lawn Care, Scavenger, Snow Removal</t>
  </si>
  <si>
    <t>Inverstor purchase ONLY. Unit is lease at 2000 per month until 7/31/2016</t>
  </si>
  <si>
    <t>Market</t>
  </si>
  <si>
    <t>60 &amp; Lakeview N to Hawthorn W to Collins N to Market</t>
  </si>
  <si>
    <t>Water View!  Take a stroll around the Little Bear Lake.  Recently remodeled kitchen, laminate flooring, berber carpet in dining and living room area.  Remodeled bath, all appliances, in unit washer and dryer, remodeled masterbath with large shower.  6 panel white doors.  One car detached garage &amp; an extra parking space if needed.  Close to expressway.  Very few units have a water viewâ€¦see this home now. 1 floor unit.</t>
  </si>
  <si>
    <t>Bike Room/Bike Trails, Pool-Outdoors, Tennis Court/s, Sidewalks, Street Lights</t>
  </si>
  <si>
    <t>Maureen Twarogowski</t>
  </si>
  <si>
    <t>Linda C Minarik, CRS</t>
  </si>
  <si>
    <t>(847) 230-7034x234</t>
  </si>
  <si>
    <t>Has another tax bill for the garage 11-32-414-210 $245.03 which I included in tax bill (1992.46)on listing.  MUST BE OWNER OCCUPIED FOR 1 YEAR BEFORE YOU CAN RENT.</t>
  </si>
  <si>
    <t>Sherwood</t>
  </si>
  <si>
    <t>GARY 2 TRAVIS PKWY LEFT 2 BRITTANIA WY RT 2 SHERWOOD CT</t>
  </si>
  <si>
    <t>LINCOLNSHI</t>
  </si>
  <si>
    <t>UPDATED EAT IN KITHCEN. DRAMATIC AND BRIGHT TWO STORY LIVING ROOM, DINING ROOM.  SPACIOUS MASTER BEDROOM W/CATHERDRAL CEILING PLENTY OF CLOSETS.  SECOND FLOOR LOFT AND LAUNDRY.  WALK TO TRAIN!! NO DISCLOSURES</t>
  </si>
  <si>
    <t>Eating Area, Loft, Utility Room-2nd Floor</t>
  </si>
  <si>
    <t>Call agent (630) 750-4255</t>
  </si>
  <si>
    <t>David Spencer</t>
  </si>
  <si>
    <t>There are HOA dues pending for buyer.</t>
  </si>
  <si>
    <t>Stonebriar</t>
  </si>
  <si>
    <t>HOBSON VILLAS</t>
  </si>
  <si>
    <t>75th to Wehrli north to Hobson Villas west</t>
  </si>
  <si>
    <t>48X144X47X145</t>
  </si>
  <si>
    <t>WORRY-FREE LIVING IN THIS 55+ COMMUNITY/PREMIUM LOT PLUS SCREEN PORCH ARE LUXURY UPGRADES/WIDE OPEN FLR PLAN, 12 FT. VAULTED CEILINGS &amp; LOTS OF WINDOWS SHOWER LIGHT THRU-OUT/FORMAL DINING ROOM/LARGE GRANITE ISLAND/FAMILY RM/CHERRY CABS/SS APPLS/HW FLRS/STONE FP WITH TV NOOK/PAVER PATIO/LARGE FULL BASEMENT/CLOSE TO DOWNTOWN NAPERVILLE, COMMUTER TRAIN &amp; 355 FOR EASY COMMUTING/OUTSTANDING NAPERVILLE 203 SCHOOLS</t>
  </si>
  <si>
    <t>MEADOW GLENS ELEMENTARY SCHOOL</t>
  </si>
  <si>
    <t>Brick, Stone, Other</t>
  </si>
  <si>
    <t>2&amp;1/2 %-100 (on Gross SP)</t>
  </si>
  <si>
    <t>CALL RENTER/LEAVE MESSAGE/THEN SHOW</t>
  </si>
  <si>
    <t>651-276-1448</t>
  </si>
  <si>
    <t>Peggy Bolger GRI</t>
  </si>
  <si>
    <t>(630) 542-2272</t>
  </si>
  <si>
    <t>ALDRIDGE</t>
  </si>
  <si>
    <t>120 W OF HAINESVILLE RD S ON WILDSPRING E ON PROVIDENCE S ON ALDRIDGE</t>
  </si>
  <si>
    <t>38X115</t>
  </si>
  <si>
    <t>NICE, CLEAN 2 BEDROOM, 2.5 BATH TOWNHOME HAS KITCHEN W/EATING AREA. DINING AREA OFF LIVING RM. 1/2 BATH ON FIRST FLOOR. ONE CAR ATTACHED GARAGE. PLAYGROUND NEARBY. WALK-IN CLOSETS. PATIO. THIS PROPERTY IS ELIGIBLE UNDER THE FREDDIE MAC FIRST LOOK INITIATIVE THROUGH 10/2/14.</t>
  </si>
  <si>
    <t>Refrigerator</t>
  </si>
  <si>
    <t>CALL LISITNG OFFICE</t>
  </si>
  <si>
    <t>Enrique Cardenas</t>
  </si>
  <si>
    <t>(847) 372-7291</t>
  </si>
  <si>
    <t>SOLD AS IS, 100% TAX PRORATIONS, NO SURVEY, PRE QUAL LETTER, EM MUST BE CERTIFIED FUNDS, ADDENDUMS &amp; CONTRACT ON MLSNI. HOME WARRANTY INCENTIVE OFFERED â€“ FORM UNDER ADDITIONAL INFORMATION â€“ MUST BE SUBMITTED WITH INITIAL OFFER.</t>
  </si>
  <si>
    <t>87TH STREET TO SHEEHAN DRIVE TO 2535 TO UNIT NO 103.</t>
  </si>
  <si>
    <t>65X153</t>
  </si>
  <si>
    <t>ONE LEVEL FLOOR PLAN ON THIS STUNNING CONDO UNIT IN NAPERVILLE.  TWO BEDROOM AND TWO FULL BATHS! LARGE LIVING ROOM DINING ROOM COMBINATION WITH SLIDING PATIO DOORS TO YOUR PRIVATE PATIO.  PRIVATE DRIVE AND GARAGE ATTACHED TO THE UNIT MAKES THIS VERY CONVENIENT.  LAUNDRY IN UNIT MAKES THIS A SMART CHOICE.  PETS ARE ALLOWED, IN THIS RENTABLE UNIT.</t>
  </si>
  <si>
    <t>1% OR $400.00 MIN. (on Gross SP)</t>
  </si>
  <si>
    <t>Maria Cronin, GRI</t>
  </si>
  <si>
    <t>(773) 617-7010</t>
  </si>
  <si>
    <t>Property is under auction terms at (www.homesearch.com) 5% Buyers Premium applies.  Go to the auction site for instructions.</t>
  </si>
  <si>
    <t>Cremin</t>
  </si>
  <si>
    <t>North Aurora Rd (East of Eola) to Pennsbury (S) to Bromley (Rt) to Cremin (Lt) to home.</t>
  </si>
  <si>
    <t>Very clean and well maintained end unit in Ashton Pointe.  Open layout, large loft, newer fixtures and carpet, nothing to do but move in!  Across from a park and close to major roads, shopping and more.  District 204 Schools!</t>
  </si>
  <si>
    <t>2.5%-$125 (on Net SP)</t>
  </si>
  <si>
    <t>Cross County Realty Inc.</t>
  </si>
  <si>
    <t>(847) 409-6644</t>
  </si>
  <si>
    <t>Mark Davino</t>
  </si>
  <si>
    <t>(630) 306-7921</t>
  </si>
  <si>
    <t>Shows very well.  Quick close possible.</t>
  </si>
  <si>
    <t>Bridle Post</t>
  </si>
  <si>
    <t>CARRIAGE HOMES OF INDIAN TRAIL</t>
  </si>
  <si>
    <t>Indian Tr (between Randall &amp; Orchard) to Bridle Post</t>
  </si>
  <si>
    <t>Welcome to this immaculate &amp; refinished home in a convenient location. Huge living room w/fireplace, kitchen w/new stove~frig, full fin basement w/recreation room, media &amp; laundry/storage rooms. Enormous master w/large closet, updated bath~granite~make up area, new blinds throughout, new roof, 1-car att garage w/EDO, private end unit that backs to open space, close to I88, shopping, schools, more! Home warranty, too!</t>
  </si>
  <si>
    <t>Media Room</t>
  </si>
  <si>
    <t>Foyer, Media Room, Recreation Room</t>
  </si>
  <si>
    <t>Security System, CO Detectors, Ceiling Fan, Sump Pump, Radon Mitigation System(s)</t>
  </si>
  <si>
    <t>Wood Burning, Attached Fireplace Doors/Screen, Gas Starter, Includes Accessories</t>
  </si>
  <si>
    <t>Call CSS @ 877-977-1010</t>
  </si>
  <si>
    <t>Rich Vesely</t>
  </si>
  <si>
    <t>Richard Vesely, CNC</t>
  </si>
  <si>
    <t>(630) 364-0877</t>
  </si>
  <si>
    <t>Offers welcome! Loaded with updates! New interior paint, electrical, lighting, plumbing, water heater, more! Quick close possible, too!</t>
  </si>
  <si>
    <t>Oakfield</t>
  </si>
  <si>
    <t>RT 34 to Eola S to Oakfield Dr W</t>
  </si>
  <si>
    <t>Desirable 2 bedroom + Loft end unit! Hardwood floors, spacious kitchen offers 42" Maple Cabinetry &amp; all appliances! Vaulted ceilings, 6 panel doors, finished english basement w/ full bath.  Balcony, 2 car attached garage and ready to move in!</t>
  </si>
  <si>
    <t>Please call CSS 877-977-1010</t>
  </si>
  <si>
    <t>Seller's atty to hold earnest money</t>
  </si>
  <si>
    <t>Victoria Ridge</t>
  </si>
  <si>
    <t>63rd West of Main (East of Woodward) South on Stonewall.Home at intersection of Stonewall &amp; Brighton</t>
  </si>
  <si>
    <t>2834SF</t>
  </si>
  <si>
    <t>Well kept end unit in Victoria Ridge.  Large Living Room and Large bedrooms with spacious closets.  Two full baths and a powder room.  Conveniently located near schools, shopping and Tollway.  All new windows.  Wood burning fireplace.  Sliding Glass Door opens up to beautiful common grounds.  Spacious garage.   Must See!</t>
  </si>
  <si>
    <t>Please call CSS at 877-977-1010 for confirmed appointment.</t>
  </si>
  <si>
    <t>Robert Edwards</t>
  </si>
  <si>
    <t>(630) 667-5685</t>
  </si>
  <si>
    <t>630-667-5685</t>
  </si>
  <si>
    <t>Note:  Buyer's agent must accompany buyer at showing.</t>
  </si>
  <si>
    <t>Grays</t>
  </si>
  <si>
    <t>Rt 34 to Pearces Ford to Grays to home</t>
  </si>
  <si>
    <t>Washington St East on Bailey to Complex on Right</t>
  </si>
  <si>
    <t>MOVE IN CONDITION / GREAT LOCATION / CLOSE TO DOWNTOWN NAPERVILLE, SHOPPING &amp; TRANSPORTATION / JUST RECENTLY REMODELED KITCHEN WITH NEW CABINETS / NEWLY REMODELED BATHROOMS WITH NEW VANITIES / NEW CERAMIC TILE IN THE FOYER / HOME FRESHLY PAINTED THROUGHOUT</t>
  </si>
  <si>
    <t>Bike Room/Bike Trails, Coin Laundry, Storage, On Site Manager/Engineer, Park/Playground, Party Room, Pool-Outdoors, Security Door Locks, Tennis Court/s, Curbs/Gutters, Sidewalks, Street Lights, Street Paved</t>
  </si>
  <si>
    <t>3%-$125 (on Net SP)</t>
  </si>
  <si>
    <t>LA GRANGE PLAZA</t>
  </si>
  <si>
    <t>SW corner of Burlington Ave.(train tracks) and Ashland Ave.</t>
  </si>
  <si>
    <t>Corner unit w/new, modern kitchen and baths, w/granite, white soft-close cabinets, nickel or chrome hard wear, and all new stainless steel appliances. Fresh paint, new carpet or porcelain wood-look tile throughout.  In-unit washer/dryer (as-is), balcony, party room (2nd floor), covered, heated parking &amp; storage, elevator. Lobby new 2014. Rare opportunity to live near booming downtown La Grange and Metra train!</t>
  </si>
  <si>
    <t>Elevator, Exercise Room, Storage, Party Room, Security Door Locks, Sidewalks, Street Lights, Street Paved</t>
  </si>
  <si>
    <t>Water, Parking, Common Insurance, Security System, TV/Cable, Exercise Facilities, Exterior Maintenance, Lawn Care, Scavenger</t>
  </si>
  <si>
    <t>Click showing assist</t>
  </si>
  <si>
    <t>Lindsey Paulus, CNC</t>
  </si>
  <si>
    <t>Hallways to be remodeled in 2015 - funds already in budget, no special assessment required.  $200 refundable move-in fee, plus $50 non-refundable move-in fee.  Under building parking and storage space #18.  Washer and Dryer sold AS-IS.</t>
  </si>
  <si>
    <t>Lake Shore</t>
  </si>
  <si>
    <t>Army Trail Rd West of County Farm to Bennington (Entrance) South to Lake Shore Dr</t>
  </si>
  <si>
    <t>A truly gorgeous townhouse nestled in a cul de sac with 2 bedrooms, 2 &amp; 1/2 baths &amp; a roomy loft! Soaring ceilings in your 2 story living room! Lovely neutral colors throughout! Bright kitchen w/ a walk-in pantry &amp; breakfast room! All appliances stay including brand new washer/dryer &amp; disposal!  Master suite w/vaulted ceilings and luxury master bath w/soaking tub and separate shower! Close to schools &amp; shopping!</t>
  </si>
  <si>
    <t>Brenda D'Amore</t>
  </si>
  <si>
    <t>(630) 546-5442</t>
  </si>
  <si>
    <t>thedamoreteam.com</t>
  </si>
  <si>
    <t>Living &amp; dining room furniture negotiable.  Newer interior doors, furnace &amp; roof.  NEW Washer/dryer &amp; disposal.  Showings by appointment only please allow some notice for owner to leave.  Please remove shoes.  Agent is related to owner.</t>
  </si>
  <si>
    <t>Mystic</t>
  </si>
  <si>
    <t>Spinnaker Cove</t>
  </si>
  <si>
    <t>ARMY TRAIL TO WOODLAKE S TO MYSTIC E TO HOME</t>
  </si>
  <si>
    <t>Highly sought after 2 story, first floor bed/bath, in Spinnaker Cove! Absolutely everything has been done within last 2 years; New Windows, AC, Furnace, Siding, Doors, Lighting, Kitchen w/ SS Appl, High End Basement w/ Bar &amp; Theatre &amp; Radon System. Unit also feature 2 Story Familyroom, Stone Fireplace, Hardwood Floors, Open Kitchen, Large Den (possiable 3rd bedroom), Tons of Storage, Extended Backyard &amp; End Unit!!!</t>
  </si>
  <si>
    <t>Call office 630 980-4440, at least 2 hours notice, baby.</t>
  </si>
  <si>
    <t>James Diestel</t>
  </si>
  <si>
    <t>(630) 660-1586</t>
  </si>
  <si>
    <t>CORNER OF 72ND AND DIVERSEY</t>
  </si>
  <si>
    <t>WONDERFUL 2 BEDROOMS ,1 BATHROOM CONDO !! GREAT LOCATION- CONVENIENT TO SHOPPING, PUBLIC TRANSPORTATION AND SCHOOLS. This property is now under auction terms.</t>
  </si>
  <si>
    <t>Coin Laundry, Storage</t>
  </si>
  <si>
    <t>jctorres@riklinrealty.net</t>
  </si>
  <si>
    <t>Property is now under auction terms. Pre-sale bids sb www.Auction.com.This prop is sjt to a 5% buyerâ€™s prem pt to the Auction T&amp;C. Com perc may change bwen the pre-sale and auction per so contact LA to verify exact comsn terms.lendr approv</t>
  </si>
  <si>
    <t>Fairfield &amp; Long Lake W to Crystal Rock Ct</t>
  </si>
  <si>
    <t>Great 1st floor end unit condo with 2 bedrooms ,1 bath and a 1 car garage. Home features all new paint and new flooring through-out. In move in condition. Building with secure access . Sliders leading to patio for summer entertaining. This is a Fannie Mae/Homepath Property.</t>
  </si>
  <si>
    <t>Condo, Garden Unit, Low Rise (1-3 Stories)</t>
  </si>
  <si>
    <t>Seller has directed all offers on this listing be made using the HomePath Online Offer system at the HomePath.com website.</t>
  </si>
  <si>
    <t>Avenue J</t>
  </si>
  <si>
    <t>112th St. to Avenue  J  go south to property</t>
  </si>
  <si>
    <t>PROPERTY SOLS "AS IS CONDITION" PLUMING AND WATER DAMAGE.  CERTIFIED E.M. CHECK AND  PROOF OF FUNDS WITH ALL OFFERS</t>
  </si>
  <si>
    <t>Central Realty-Kralj &amp; Sanchez</t>
  </si>
  <si>
    <t>(773) 721-9898</t>
  </si>
  <si>
    <t>Pastora Sanchez</t>
  </si>
  <si>
    <t>773-704-5089</t>
  </si>
  <si>
    <t>Carrolwood</t>
  </si>
  <si>
    <t>CARROLWOOD</t>
  </si>
  <si>
    <t>Ogden Ave (E of Rt 59) to Fort Hill N to Carrolwood W to Home</t>
  </si>
  <si>
    <t>Open and Bright * New Stainless Steel Appliances, Carpet and Paint * Kitchen with Breakfast Bar, Pantry and Ceramic Tile Floor * Master Bedroom with Full Bath * Extra Open Loft Space On 2nd Floor * Great 204 School District * Move-in Condition</t>
  </si>
  <si>
    <t>Oven-Double, Dishwasher, Refrigerator</t>
  </si>
  <si>
    <t>Call or Text LA @ 630-745-0047 - Leave Msg - Then Show (Vacant)</t>
  </si>
  <si>
    <t>Nagui Youssef</t>
  </si>
  <si>
    <t>(630) 745-0047</t>
  </si>
  <si>
    <t>Newport</t>
  </si>
  <si>
    <t>Devon to Newport</t>
  </si>
  <si>
    <t>Fantastic 2 bed, 2 bath condo on 2nd floor! Large bright living room, balcony, one car garage in a desirable community! Great location, close to everything! This is a Fannie Mae HomePath property.</t>
  </si>
  <si>
    <t>Longchamps</t>
  </si>
  <si>
    <t>From Wasgington St &amp; IL-83, N on IL-83 to Lexington, W on Lexington to Stockton, Left to Longchamps</t>
  </si>
  <si>
    <t>2 Bedroom, 2 1/2 bathrooms townhome with fresh paint and new carpet. Kitchen has all new stainless steel appliances. Master bedroom has walk-in closet and luxury bathroom.</t>
  </si>
  <si>
    <t>3% OF SALE PRICE (on Net SP)</t>
  </si>
  <si>
    <t>Use showingAssist</t>
  </si>
  <si>
    <t>Midwest Premier Realty, LLC</t>
  </si>
  <si>
    <t>(224) 321-0699</t>
  </si>
  <si>
    <t>Fernandina Cancanon, CSC,SFR</t>
  </si>
  <si>
    <t>(847) 987-7668</t>
  </si>
  <si>
    <t>Fax 847-548-0155</t>
  </si>
  <si>
    <t>Information provided by owner, Buyer's Agent must verify information for client. Disclosures in the MLS.</t>
  </si>
  <si>
    <t>RED OAK</t>
  </si>
  <si>
    <t>134 &amp; Fairfield - N2 Emerald Ln -  W2 Red Oak - Right to home:  1291 N Red Oak - Unit  #4</t>
  </si>
  <si>
    <t>VERY SHARP! New carpet. This groovy 2nd floor manor home is an exceptional value with 2 bedrooms and 2 full baths, laundry in unit, and a balcony with a view.  Unit is in great condition, and the neighborhood has well-kept common areas and freshly sealed driveways. Ready for you to just move right in! Walking distance to beautiful Long Lake, and Long Lake Park walking trail. NO SSA tax.</t>
  </si>
  <si>
    <t>Confirmation required.  Call Listing Office or use Showing Assist.</t>
  </si>
  <si>
    <t>Jane Haynes</t>
  </si>
  <si>
    <t>Balcony was painted last year by HOA. They may repaint this year againg due to peeling.  But otherwise will be scheduled for next year.  This development is FHA and VA approved.  Call agent with any questions:  Jane Haynes cell 847-337-4599</t>
  </si>
  <si>
    <t>4L</t>
  </si>
  <si>
    <t>Rt. 53 to Four Lakes Av/ 59th St W to end of Four Lakes Av, building on right, guest parking straigh</t>
  </si>
  <si>
    <t>One of the nicest locations on top floor in the association. Updated corner unit with great wooded views from downtown style floor to ceiling windows! Dishwasher, newer counters, and 6 panel doors!  Real wood burning fire place! This clean 2 Bedroom also features in-unit laundry, built in closet organizers, and ceiling fans.  2 assigned parking spots. Peaceful surrounds and adventure awaits. Ski, swim, v-ball, &amp; more</t>
  </si>
  <si>
    <t>Bike Room/Bike Trails, Boat Dock, Elevator, Storage, Golf Course, Health Club, Party Room, Sundeck, Pool-Outdoors, Restaurant, Tennis Court/s, Street Paved</t>
  </si>
  <si>
    <t>Common Grounds, Corner, Wooded</t>
  </si>
  <si>
    <t>Water, Common Insurance, Security System, Pool, Exterior Maintenance, Lawn Care, Scavenger, Snow Removal, Lake Rights, Other</t>
  </si>
  <si>
    <t>Brick, Cedar, Glass</t>
  </si>
  <si>
    <t>Closing, Negotiable, Other</t>
  </si>
  <si>
    <t>Call Listing agent at (224) 585-8039</t>
  </si>
  <si>
    <t>David Suszek</t>
  </si>
  <si>
    <t>(630) 448-2110</t>
  </si>
  <si>
    <t>LA Direct #: (224) 585-8039</t>
  </si>
  <si>
    <t>75th. Blackburn , to Grand or Fairview</t>
  </si>
  <si>
    <t>Charming 2 bedroom 2 bathroom Condo in Downers Grove.  This is a must see.   This property is being sold as is.</t>
  </si>
  <si>
    <t>Parking, Pool, Lawn Care</t>
  </si>
  <si>
    <t>Please use showing Assist</t>
  </si>
  <si>
    <t>Home Zone Realty, Inc.</t>
  </si>
  <si>
    <t>(630) 327-8636</t>
  </si>
  <si>
    <t>Victor Caputo</t>
  </si>
  <si>
    <t>Please submit all offers to homezonebpo@gmail.com with the property address in the subject line.  Please inform all buyers submitting an offer that the utilities are to be turned on in the buyers name for inspections</t>
  </si>
  <si>
    <t>Kensington</t>
  </si>
  <si>
    <t>Kensington Arms</t>
  </si>
  <si>
    <t>Joliet Road East of Brainard to Kensington N to First Building</t>
  </si>
  <si>
    <t>Second Floor Two Bedroom Condo in Good Condition. Courtyard Views From Living Room and Master. Newer Kitchen Floor.  Newer Windows and Sliding Glass Door to Balcony Overlooking Green Area.  In Unit Washer and Dryer.  Ceiling Fans and Wall Unit Air Conditioners. Exterior Parking Sp. Assessments Include Water, Gas, Heat, Parking, Exterior Maintenance, Scavenge.</t>
  </si>
  <si>
    <t>oWNER OF rECORD</t>
  </si>
  <si>
    <t>Bruce Barnes, ABR,CRS,GRI,SFR</t>
  </si>
  <si>
    <t>(312) 968-1855</t>
  </si>
  <si>
    <t>Easy to Show-Use Showing Assist</t>
  </si>
  <si>
    <t>Rt #59 (S.of Ogden) to White Eagle Drive to Stableford turn right to Wexford</t>
  </si>
  <si>
    <t>128 X 112 X 104 X 93 X 28 X 16</t>
  </si>
  <si>
    <t>Sought after End Unit- ON  White Eagle Golf Course. Breath taking views of course &amp; ponds.  Hardwood floors thru out first floor. Neutral walls and white trim. First floor den. 2 story living room with fireplace open to dining room with SGD to large deck. Eat in kitchen with center island-Newer appliances stay. Enjoy coffee on your morning patio off kitchen. Attached 2 car.Sprinkl</t>
  </si>
  <si>
    <t>Security, Clubhouse, Pool, Exterior Maintenance, Lawn Care, Snow Removal, Other</t>
  </si>
  <si>
    <t>Security System, Ceiling Fan, Sump Pump, Sprinkler-Lawn</t>
  </si>
  <si>
    <t>Text or call Collette for appt. 630-878-9402 - Name, Agent ID#, time and day of request</t>
  </si>
  <si>
    <t>BERTRAM</t>
  </si>
  <si>
    <t>RT47 TO GALENA RD E TO ROSENWINKLE N TO BERTRAM W TO HOME</t>
  </si>
  <si>
    <t>PROPERTY TO BE SOLD "WITH REPAIR".  SELLER DOES NOT PROVIDE A SURVEY.  TAXES PRORATED AT 100%.  EARNEST MONEY MUST BE IN CERTIFIRD FUNDS.  LETTER OF APPROVAL OR PROOF OF FUNDS IS REQUIRED.  SAMPLE ADDENDA AND GUIDELINES ARE ATTACHED.  THIS PROPERTY IS ELIGIBLE UNDER THE FREDDIE MAC FIRST LOOK INITIATIVE THROUGH 10/21/2014.  HOME STEPS FINANCING IS AVAILABLE.</t>
  </si>
  <si>
    <t>YORKVILLE INTERMEDIATE SCHOOL</t>
  </si>
  <si>
    <t>29X11</t>
  </si>
  <si>
    <t>On Site Manager/Engineer, Park/Playground, Curbs/Gutters, Sidewalks, Street Lights, Street Paved</t>
  </si>
  <si>
    <t>BUYER IS RESPONSIBLE FOR ANY TRANSFER OR EXEMPT STAMPS AS APPLICABLE.  COMMISSION IS $1500 OR 2.5% WHICHEVER IS GREATER.  BRISTOL BAY SSA 2005-109 FOR 2013 IS $1448.34 &amp; INCL IN TAXES  $1000 SELLING BONUS ON CONTRACTS ACCEPTED BY 12/30/2014</t>
  </si>
  <si>
    <t>CHASEMOOR</t>
  </si>
  <si>
    <t>COUNTY LINE RD TO 79TH EAST TO CHASEMOOR NORTH TO FOXBOROUGH</t>
  </si>
  <si>
    <t>REDONE WITH STYLE, SUNNY GROVESNOR UNIT W/LAKE VIEWS IN MULTIPLE RMS. SPACIOUS LIVING RM W/FIREPLACE &amp; PORCH ACCESS, SEP DINING RM &amp; FAM RM, PERFECT FOR ENTERTAINING. LARGE OPEN KIT NEW SS APPLIANCES, MPL CABS, BRKFST RM &amp; WALK IN PANTRY. COMFORTABLE MASTR SUITE W/BRAND NEW SPA BATH W/WHRLPL TUB &amp; SEP SHWR &amp; HUGE WALK IN CLOSET. LARGE 2ND BED, BATH &amp; LNDRY. OVERSIZED 2-CAR GAR. WALK-BURR RIDGE CENTER &amp; WALKING PATHS!</t>
  </si>
  <si>
    <t>Breakfast Room, Deck, Enclosed Porch</t>
  </si>
  <si>
    <t>TEXT OR CALL KRIS FO APPT 630-975-0088</t>
  </si>
  <si>
    <t>Kris Berger</t>
  </si>
  <si>
    <t>(630) 975-0088</t>
  </si>
  <si>
    <t>REDONE WITH STYLE VERY NICE UNIT OVERLOOKING THE WATER.</t>
  </si>
  <si>
    <t>FAIRFIELD</t>
  </si>
  <si>
    <t>BLOOMINGDALE RD S OF LAKE TO FAIRFIELD E 2 CHATHAM</t>
  </si>
  <si>
    <t>LET'S MAKE A DEAL!   SPACIOUS 2 BEDROOM 2 STORY. MINT CONDITION! FURNACE /A/C /WATER HEATER/ WASHER DRYER / REFRIGERATOR/ WINDOWS/ BATHROOM, ALL WITHIN THE NEWER RANGE.*   CERAMIC FLOORS IN KITCHEN AND BATH.    POOL &amp; CLUBHOUSE!  JUST MOVE IN!  LOOK INTO THE NEW FANNIE MAE CONVENTIONAL 3% DOWN PROGRAM FOR THIS UNIT</t>
  </si>
  <si>
    <t>CALL AGENT EASY SHOW 847 804 1710</t>
  </si>
  <si>
    <t>Homesmart Connect LLC</t>
  </si>
  <si>
    <t>(847) 495-5000</t>
  </si>
  <si>
    <t>Carol Costello</t>
  </si>
  <si>
    <t>847 804 1710</t>
  </si>
  <si>
    <t>SHOW AND SELL-AS-IS- BUT ALMOST EVERY MAJOR ITEM IS NEWER.</t>
  </si>
  <si>
    <t>WILLOW BRIDGE</t>
  </si>
  <si>
    <t>Glen Ellyn Road North of Army Trail to Deer Glen East to Willowbridge North First Driveway on Left</t>
  </si>
  <si>
    <t>***SHORT SALE***PRICE IS NOT APPROVED AT THIS TIME. PLEASE ALLOW TIME FOR THE BANKS RESPONSE. SOLD AS IS CONDITION. SUBJECT TO SHORT SALE APPROVAL OF SELLERS SATISFACTION. 2 BEDROOM 2 BATH, OAK CABINETRY, ALL APPLIANCES STAY, FIREPLACE, BALCONY, IN UNIT LAUNDRY. GARAGE HEATED PARKING INCLUDED. RENTALS ARE ALLOWED. NO DOGS ALLOWED. ALL HOA DUES ARE PAID CURRENT, HALF OF SPECIAL ASSESSMENT TO BE PAID BY BUYER $661</t>
  </si>
  <si>
    <t>Unassigned, Off Alley, Off Street, Visitor Parking</t>
  </si>
  <si>
    <t>Please use showing assist, vacant &amp; easy to show</t>
  </si>
  <si>
    <t>Lauren Schuh</t>
  </si>
  <si>
    <t>(312) 909-1329</t>
  </si>
  <si>
    <t>CC: Pursuant to Short Sale. PURCHASER MUST BE PRE APPROVED BY SELLER'S PREFERRED LENDER. PLEASE SEE THE MLS FOR ADDENDUM AND LIST OF LENDERS. NOT FHA APPROVED. 1 LOAN WITH CHASE TO NEGOTIATE. ALL HOA DUES PAID IN FULL, 1/2 OF SPECIAL ASSESSMT PAID BY BUYER $661</t>
  </si>
  <si>
    <t>Schick W of Bloomingdale Rd to Castle Rock N to home or Lake St entrance too</t>
  </si>
  <si>
    <t>Senior, Homeowner</t>
  </si>
  <si>
    <t>Lovely ranch*Located on quiet cul-de-sac*$2500 CPT. allowance*Lowest price ranch*Corrian countertops*Glass cook top*Whole house fan*Laminated vinyl floors Kit*Family room &amp; eat area*Tile floors in both baths*Sec. System*Intercom thru-out*Newer furn*A/C*W/D*Custom floor plan, different then other units*1/2 bsmt 1/2 concrete crawl for storage*</t>
  </si>
  <si>
    <t>18X6</t>
  </si>
  <si>
    <t>Call LO 630-543-5640***Need 1 hour notice***</t>
  </si>
  <si>
    <t>Jacqueline Bohn</t>
  </si>
  <si>
    <t>(630) 263-3200</t>
  </si>
  <si>
    <t>Moved ldry to bsmt to give larger eating area &amp; family room. 4ft concrete crawl -great for storage 1/2 the size of the home. Large pantry off kitchen. Each unit custom designed in side.</t>
  </si>
  <si>
    <t>Peebles</t>
  </si>
  <si>
    <t>Mill Pond</t>
  </si>
  <si>
    <t>Randall to Mill, East to Peebles</t>
  </si>
  <si>
    <t>Wow! Looking for the best lot in Mill Pond? This is it! Awesome end unit on quiet cul-de-sac backing to natural preserve!! Great floorplan with two story living room with fireplace, kitchen with high end appliances, newer HVAC and water heater, 2nd floor laundry, 2 bedrooms upstairs plus loft! Master bedroom with private bath and walk-in closet! Newer carpet! Ceramic tile floors in kitchen &amp; foyer! Great location!!</t>
  </si>
  <si>
    <t>Archer to Address</t>
  </si>
  <si>
    <t>GREAT LOCATION CHICAGO RIDGE AREA! TWO BEDROOM, ONE BATH CONDO. FIRST FLOOR UNIT-CLOSE TO SHOPPING &amp; TRANSPORTATION. CONDO HAS NEWER APPLIANCES INCLUDING IN-UNIT WASHER/DRYER. STORAGE LOCKER IN LOWER LEVEL. LOW ASSESSMENT. LOW TAX. ATTENTION INVESTORS UNIT CAN BE RENTED.  IT IS SHORT SALE.</t>
  </si>
  <si>
    <t>2.5-$195 (on Net SP)</t>
  </si>
  <si>
    <t>Call Listing Agent @ 847.630.1765 some notice needed please</t>
  </si>
  <si>
    <t>Unique Realty LLC</t>
  </si>
  <si>
    <t>(847) 255-8810</t>
  </si>
  <si>
    <t>Joanna Lupa, ABR,SFR</t>
  </si>
  <si>
    <t>(847) 630-1765</t>
  </si>
  <si>
    <t>CC: Pursuant to Short Sale. Sold in "AS IS" Condition.</t>
  </si>
  <si>
    <t>RT 30 WEST TO GORDON NORTH TO SIMPSON EAST TO WAVERLY WAY</t>
  </si>
  <si>
    <t>REO - BANK OWNED - PROPERTY SOLD "AS-IS" WITHOUT REPAIR, WARRANTY OR SELLER DISCLOSURE. "SELLER WILL NOT ACTIVATE UTILITIES" Listing Broker &amp; Seller assume no responsibility &amp; make no guarantees/warranties or representations as to the availability or accuracy of the property information, photographs or other information depicted/described herin. CASH &amp; CONVENTIONAL OFFERS ONLY / Buyer to verify village requirements.</t>
  </si>
  <si>
    <t>Vacant, no application required. Go to www.hubzu.com from more info &amp; to submit your offer. Buyer will pay $299 web trans fee to www.hubzu.com at closing. For assistance, call 855-882-1314. Seller will not activate utilities.</t>
  </si>
  <si>
    <t>Rt 45 north of Grand ave, approx 1 mile to Falling Waters west to address on north side of street</t>
  </si>
  <si>
    <t>HEAVENS LEAP</t>
  </si>
  <si>
    <t>Discover amazing open space w/ volume ceilings in this 2bd, 2 full bath home. Fam Rm w/ frpl &amp; access to balcony. Kitchen has plenty of cooking space &amp; opens to living/din area - great for entertaining. Split bdrms are tucked away from the living space. Mst Bed has oversized walk-in closet &amp; separate ba. Convenient in unit laundry rm. 1 block away from complex amenities - clubhouse, tennis, pool, pond &amp; walking path.</t>
  </si>
  <si>
    <t>Exercise Room, Party Room, Sundeck, Pool-Outdoors, Tennis Court/s, Curbs/Gutters, Street Paved</t>
  </si>
  <si>
    <t>Terry Wilkowski, GRI</t>
  </si>
  <si>
    <t>(847) 682-1549</t>
  </si>
  <si>
    <t>51ST</t>
  </si>
  <si>
    <t>E/W ON 51ST ST TO ADDRESS</t>
  </si>
  <si>
    <t>Write your earnest money check, prepare and submit your offer its as simple as that.  Transportation is there, shopping near. Walk across the street to the park to take advantage of the cultural activities, sports and relaxing.. Go look, run your numbers check your budget then...see you at closing</t>
  </si>
  <si>
    <t>3%     MINIUMUM $1500 (on Net SP)</t>
  </si>
  <si>
    <t>no showings unit under contract</t>
  </si>
  <si>
    <t>Albert Burns</t>
  </si>
  <si>
    <t>(312) 671-0709</t>
  </si>
  <si>
    <t>Submit offers to listing agent "Bank of America, N.A. employees, employees' household members and HTS business partners of the Bank are prohibited from purchasing this property, whether directly or indirectly.</t>
  </si>
  <si>
    <t>HARLEM AND DIVERSEY</t>
  </si>
  <si>
    <t>2 Bedroom, 2 Bath 5th floor Condo Unit in well maintained building. Features 1 assigned Parking Space, generous room sizes and a private Balcony. Near Shopping, Dining and Transportation. HUD owned Home. Sold "AS IS". Case #137-386730. Insured Status: IE (Insured with Escrow). Eligible for 203K Financing.</t>
  </si>
  <si>
    <t>To place Bid go to www.HUDHomestore.com. â€œEQUAL HOUSING OPPORTUNITYâ€.</t>
  </si>
  <si>
    <t>FROM LAKE ST &amp; BLOOMINGDALE RD - GO WEST ON LAKE ST TO RODENBURG HEAD NORTH TO ADDRESS</t>
  </si>
  <si>
    <t>WASHINGTON</t>
  </si>
  <si>
    <t>PRICE CHANGE!!! Voted 5th safest town in IL! A professional rehab crafted w/ upscale creativity in the Waterbury subdiv! Custom cabinets, high-end SS appliances, granite counter tops in kit &amp; baths, hardwood throughout main level, stylish glass tile in baths and plush carpet in bdrms! Backing up to Chatburg Park puts recreation at your doorstep! 15 mins to Woodfield, 5 mins to restaurants! Easy walk to Metra!</t>
  </si>
  <si>
    <t>Call LO (630) 790-1776.  After hours call LA (630) 936-3762</t>
  </si>
  <si>
    <t>James Lynch</t>
  </si>
  <si>
    <t>Wear shoe covers or remove shoes at the door.  Unlock &amp; lock sliding glass door to patio with button located near top of door frame. Leave a business card in kitchen, return shoe covers and turn off lights before locking up.</t>
  </si>
  <si>
    <t>75th St. to Commons Dr. s to Onyx Rd, W to Blackstone Dr, S to home</t>
  </si>
  <si>
    <t>28 X148</t>
  </si>
  <si>
    <t>Bruce Robert</t>
  </si>
  <si>
    <t>Old Mill Manor</t>
  </si>
  <si>
    <t>Rt. 72 to Warner, N to Old Mill W to Bruce Robert.</t>
  </si>
  <si>
    <t>This beautiful end unit, ranch style condo is waiting for its new owner! Move right into this super cute and clean condo with bright, open floor plan. First floor laundry, cathedral ceilings. 3 full baths. Sparkling ceramic &amp; hardwood floors. Spacious rooms with lots of natural light. Cheerful kitchen with backsplash and island. Huge basement, partially finished, with lots of room for storage. 2 car garage, sec. sys.</t>
  </si>
  <si>
    <t>Please call 1.855.746.9100 to schedule showings. No notice needed.</t>
  </si>
  <si>
    <t>$1000K decorating credit. Please use Multi-board 6.0 contract.</t>
  </si>
  <si>
    <t>ST CHARLES E OF GRACE</t>
  </si>
  <si>
    <t>SOLD BEFORE PRINT!</t>
  </si>
  <si>
    <t>email agent</t>
  </si>
  <si>
    <t>Ronald Ohr</t>
  </si>
  <si>
    <t>(312) 719-9090</t>
  </si>
  <si>
    <t>LAKE STREET TO FOXDALE DRIVE NORTH  TO BUILDING NUMBER  1210 BEHIND CVS PHARMACY</t>
  </si>
  <si>
    <t>A CLASS ACT! METICIOUSLY MAINTAINED CONDO IN A DESIRABLE LOCATION! 2 SPACIOUS BEDROOMS, 2 FULL BATHS, WOOD FLOORING THROUGHOUT,HEATED BATHROOM FLOORS.UPGRADED CABINETS! GRANITE COUNTERTOPS.BALCONY OFF LIVING ROOM. OPEN AND SPACIOUS FLOOR PLAN,ELEVATOR BUILDING WITH EXERSIZE ROOM AND PARTY ROOM! ELEGANT ENTRANCE WITH COVERED CANOPY.1 CAR GARAGE SPACE INCLUDED. WALKING DISTANCE TO THEATRE,CVS,AND MANY FINE RESTAURANTS!</t>
  </si>
  <si>
    <t>Elevator, Exercise Room, Storage, Party Room, Security Door Locks, Curbs/Gutters, Sidewalks, Street Lights, Street Paved</t>
  </si>
  <si>
    <t>Heat, Water, Gas, Parking, Common Insurance, Security, Security System, Exercise Facilities, Exterior Maintenance, Lawn Care, Scavenger, Snow Removal</t>
  </si>
  <si>
    <t>Cats OK, Dogs OK, Neutered and/or Declawed Only, Pet Count Limitation, Pet Weight Limitation</t>
  </si>
  <si>
    <t>Conventional, Lease/Purchase, Rent w/ Option</t>
  </si>
  <si>
    <t>2.5 % -250 (on Net SP)</t>
  </si>
  <si>
    <t>CALL SHOWING ASSIST</t>
  </si>
  <si>
    <t>Rose DiMaio</t>
  </si>
  <si>
    <t>(630) 712-3000</t>
  </si>
  <si>
    <t>ADDITIONAL PARCEL NUMBER FOR GARAGE SPOT 03-19-215-101  2013 TAX BILL 58.62  ALSO AVAILABLE RENT WITH OPTION TO BUY</t>
  </si>
  <si>
    <t>RICKERT TO RIVER N. TO RHODES, E.</t>
  </si>
  <si>
    <t>Vinyl Siding, Other</t>
  </si>
  <si>
    <t>Brock</t>
  </si>
  <si>
    <t>Sycamore Rd. (Rt 23) to Coltonville Rd., to Croatian Ct. to Brock Cr.</t>
  </si>
  <si>
    <t>39.40 X 77</t>
  </si>
  <si>
    <t>SOLID Krpan-built RANCH Townhome! 2-3 Bedrooms w/Lovely Great Room, gas fireplace, vaulted ceiling &amp; cheerful 18x12 Sunroom overlooking mature trees, patio &amp; relaxing views! Large eat-in kitchen w/ tons of counters, cabinets &amp; built-in desk. Generous Formal Dining space, convenient 1st floor laundry, LARGE Master Suite w/walk-in closet! 3rd bath &amp; 2 finished rooms in basement. SUPER CONVENIENT LOCATION &amp; Great Value!</t>
  </si>
  <si>
    <t>Bonus, Foyer, Sun/Florida Room Heated</t>
  </si>
  <si>
    <t>REQUIRE 2 DAY NOTICE - Sorry, NO EXCEPTIONS. TEXT Jayne at 815.739.2499</t>
  </si>
  <si>
    <t>Schofield</t>
  </si>
  <si>
    <t>FAX:  815.754.0005</t>
  </si>
  <si>
    <t>Great Value for Space, Location and Construction!</t>
  </si>
  <si>
    <t>Evernia</t>
  </si>
  <si>
    <t>Route 38 to Anderson (N) to Eklund (E) Eklund dead ends into Evernia Ct. Home on the left</t>
  </si>
  <si>
    <t>IT'S DARLING!! Tucked away on a quiet cul de sac that backs up to Wheeler Park!Short stroll to Geneva's downtown,Geneva High School and downtown St. Charles as well!Fireplace in fam room, bright windows everywhere. Open floor plan w/ private little courtyard patio...Master has walk-in closet and MBath!Wait until you see the storage! HUGE laundry room/mud room/storage space. It's as cute as can be. Location is 10+!!</t>
  </si>
  <si>
    <t>5X16</t>
  </si>
  <si>
    <t>This property is vacant and is being sold As Is.</t>
  </si>
  <si>
    <t>Mariemont</t>
  </si>
  <si>
    <t>Settlers Ridge</t>
  </si>
  <si>
    <t>Orchard 2 Prairie W 2 Parkside to Atkinson to Mariemon</t>
  </si>
  <si>
    <t>CARMEN</t>
  </si>
  <si>
    <t>Builders corner spec hm w/ all the bells and whistles! Lg GREAT Rm w/9 ft ceilings, bay wdw &amp; fpl&amp; ceiling fan. Chef's dream kitch/42" cabinets 4ft island &amp; SS appls/ hardwd fl &amp; table area. Spacious carpeted 2nd level- 2bdrms &amp; Loft . Master bdrm w/ upgraded C/T bth &amp; jetted shower/ w.i closet. Nice 2nd bdrm/ d.d. closets .Loft ideal for hm office/gym. 2C garage &amp; yd*Assoc maintains Grass/Sn Removal-rentable units.</t>
  </si>
  <si>
    <t>KANELAND SOUTH ELEMENTARY SCHOOL</t>
  </si>
  <si>
    <t>Separate Shower, Full Body Spray Shower</t>
  </si>
  <si>
    <t>Call/Text Tina L/A @ 815-953-3951~2Hr Notice Pls</t>
  </si>
  <si>
    <t>Hartline</t>
  </si>
  <si>
    <t>815-730-1199</t>
  </si>
  <si>
    <t>(815) 730-1199</t>
  </si>
  <si>
    <t>Tina Cinfio</t>
  </si>
  <si>
    <t>(815) 953-3951</t>
  </si>
  <si>
    <t>Home show very nice &amp; motivated H/O- Refrigerator and W/D are negotiable. Please allow some notice for showings, seller works unusual hours. Please be sure leave business card ~ turn off lights &amp; lock doors Thank you for showing!</t>
  </si>
  <si>
    <t>Harlem to North Ave West</t>
  </si>
  <si>
    <t>Sunny 2 bedroom, 1 bath condo in the Cameo Towers. Walking distance to shopping, public transportation and more. Come enjoy the pool and sundeck! Bring your decorating ideas!!</t>
  </si>
  <si>
    <t>Water, Parking, Common Insurance, Security, Pool, Exterior Maintenance, Scavenger, Snow Removal</t>
  </si>
  <si>
    <t>Seller directed all offers be presented on HomePath.com. Download Contract Package from MLS under Addl Info. RE Purchase addendum must accompany all offers. $5,269.15, 6/mo past due HOA Fees,buyers responsibility per Il.State Statue</t>
  </si>
  <si>
    <t>Euclid</t>
  </si>
  <si>
    <t>SOUTH SHORE DR TO JEFFREY TURN RIGHT ON EUCLID</t>
  </si>
  <si>
    <t>This first level condo unit has it ALL! Gleaming hardwood floors; light filled spacious rooms, 2-full baths w/tub and shower; ceiling fans; recessed lighting; central air; 1-yr old ss kitchen appliances; in-unit washer and dryer hook-ups; loads of closet/storage space; assigned parking space; and only 1-block from metra station. Great quiet sanctuary or entertainment space-this condo is the ONE.</t>
  </si>
  <si>
    <t>Keller Williams Preferred Rlty</t>
  </si>
  <si>
    <t>(708) 798-1111</t>
  </si>
  <si>
    <t>Ella Howard-Davis</t>
  </si>
  <si>
    <t>708 297 5977</t>
  </si>
  <si>
    <t>All offers must be accompanied by either POF or Pre-Approval.    Earnest money in certified funds ONLY!</t>
  </si>
  <si>
    <t>WESTMORE/MEYERS TO WILSON, E TO ADDISON, N</t>
  </si>
  <si>
    <t>AWESOME PRICE! 2 STORY TALBOT MODEL. 1ST floor features eat-in KIT w/ quality cabinets, spacious living room / dining room combo, 1/2 BA, SGD to patio. 2ND floor MBR w/ vaulted ceiling, 2 closets &amp; private BA, 2ND BR w/ additional full BA. 2nd floor laundry area. Close to parks, prairie path, shopping, dining and train station!</t>
  </si>
  <si>
    <t>3% - $225 (on Net SP)</t>
  </si>
  <si>
    <t>Call 630-653-1900 ext 0</t>
  </si>
  <si>
    <t>RT 31 to Walnut (South of Main) West TO 521</t>
  </si>
  <si>
    <t>35X152</t>
  </si>
  <si>
    <t>Fully re-habbed, everything new with high level of finish: brand new kitchen: granite counters &amp; SS appliances.Hardwood floors throughout, new solid oak doors and new trim.Brand new baths with low threshold shower. Lots more offered in this brick ranch 1/2 Duplex w/Large fenced yard and nice private patio area. No Hoa fees. Nice laundry area. Lots of storage areas and a 1 car attached garage.  Rentals Allowed.</t>
  </si>
  <si>
    <t>Fuses, 100 Amp Service</t>
  </si>
  <si>
    <t>Use showing assist or call 855.746.9093 very easy to show</t>
  </si>
  <si>
    <t>Spillane</t>
  </si>
  <si>
    <t>Re-hab done by local builder Spillane and Sons nice job.</t>
  </si>
  <si>
    <t>IVY</t>
  </si>
  <si>
    <t>SCHAUMBURG RD TO EAST AVE TO IVY CT.</t>
  </si>
  <si>
    <t>Spacious Streamwood Green Townhome with Patio that faces the Large Green Space! Home recently painted. Sky high vaulted ceiling in living room. Master suite is spacious with large walk in closet and attached bathroom. Excellent location: close to shooping, trains and expressways!</t>
  </si>
  <si>
    <t>Call 800-746-9464 or Click Showing Assist</t>
  </si>
  <si>
    <t>Mike Quaglia, AHWD,CRS,e-PRO,GREEN,SFR</t>
  </si>
  <si>
    <t>(630) 205-7270</t>
  </si>
  <si>
    <t>Sauk</t>
  </si>
  <si>
    <t>Indian Ridge</t>
  </si>
  <si>
    <t>Wolf Rd N. of Joliet Rd to Algonquin, east to Sauk to bldg.</t>
  </si>
  <si>
    <t>Two bedroom condo with two full baths featuring the desirable pond view from the balcony.  Corner fireplace in Living room.  Freshly painted in a neutral dÃ©cor color with  new matching carpet. New Kit faucet &amp; garbage disposal.   Great location and ready to move in!  Laundry in unit, washer &amp; dryer included.  Commuter bus to Metra.</t>
  </si>
  <si>
    <t>Manor Home/Coach House/Villa, Quad-2 Story</t>
  </si>
  <si>
    <t>Call LA for appt. Courtesy key at LO</t>
  </si>
  <si>
    <t>Rose Mary Woodley</t>
  </si>
  <si>
    <t>(708) 977-5298</t>
  </si>
  <si>
    <t>708-977-5298</t>
  </si>
  <si>
    <t>Please call for appointment.  Association does not allow  lockboxes.  Key at 219 W. Hillgrove, La Grange Coldwell Banker.  Listing agent also has key.</t>
  </si>
  <si>
    <t>LORRAINE</t>
  </si>
  <si>
    <t>CHATEAU LORRAINE</t>
  </si>
  <si>
    <t>SCHICK RD W OF BLOOMINGDALE RD TO LORRAINE CIR. NORTH</t>
  </si>
  <si>
    <t>You Will Fall in Love!! A Town Home like this is only found on HGTV! Over $45,000 in Upgrades. New Furnace '11. Kit w/SS Appl, Granite Counters &amp; Maple Cab. Updated Baths, Screens, Doors, New Windows &amp; Hardware on 1st Flr 2014. Dramatic 2Story FR w/Floor To Ceiling FP &amp; Hickory Flooring. 833 add'l SF of Professionally Finished Bsmt w/3rd BR, Office Space,&amp;Entertainment Area. Great Patio, 2 Car Garage &amp; So Much More!</t>
  </si>
  <si>
    <t>Humidifier, TV-Cable, CO Detectors, Ceiling Fan, Sump Pump, Radon Mitigation System(s)</t>
  </si>
  <si>
    <t>2.5% $-250 (on Net SP)</t>
  </si>
  <si>
    <t>Click on Schedule a Showing Below. You will receive Confirmation</t>
  </si>
  <si>
    <t>Gresham</t>
  </si>
  <si>
    <t>Roosevelt to Adare South to Gresham West</t>
  </si>
  <si>
    <t>Wow!   Fabulous Open Concept with Vaulted Ceilings!   Updated Kitchen with wonderful cabinets, island, and granite countertops. Unlike any other unit in Adare.  Views of beautiful pond and landscape.</t>
  </si>
  <si>
    <t>College of DuPage</t>
  </si>
  <si>
    <t>Atkinson to Cherry Creek Left to Home</t>
  </si>
  <si>
    <t>20X78</t>
  </si>
  <si>
    <t>Raedy to move in  2 Story Townhome in Cherry Creek. Newly repainted throughout. Master BR features a vaulted ceiling and walk in closet. Living room has upgraded bay window. 2nd floor laundry. 2 car garage with area for storage or workshop. Club house with exercise room.</t>
  </si>
  <si>
    <t>call listing agent 847-682-1922</t>
  </si>
  <si>
    <t>Robert Sea</t>
  </si>
  <si>
    <t>(847) 682-1922</t>
  </si>
  <si>
    <t>Bear Flag</t>
  </si>
  <si>
    <t>LAKE E OF BARRINGTON TO BEAR FLAG north to home</t>
  </si>
  <si>
    <t>NICE TOWNHOME STYLE CONDO. PRIVATE ENTRANCE. TWO BEDROOM 1.1 BATHS. 1 CAR ATTACHED GARAGE. CUTE PRIVATE FENCED IN BACK YARD/ PATIO. WALK TO TRAIN close to Elgin Ohare expressway shopping  etc.... good sized rooms bring your paint brush to make this your own. Courtyard type entrance in convenient location.</t>
  </si>
  <si>
    <t>847-301-0300</t>
  </si>
  <si>
    <t>Per Seller, offer to be submitted @Hubzu.com.  Buyer to pay $299 Technology Fee to Hubzu.com at closing. vacant easy to show...</t>
  </si>
  <si>
    <t>Berwyn</t>
  </si>
  <si>
    <t>North Chicago</t>
  </si>
  <si>
    <t>STRAWBERRY CONDOS</t>
  </si>
  <si>
    <t>Fr US41 &amp; Rt137, S2 Berwyn, W2 SE-most building in complex; entry on W side across fr clubhouse/pond</t>
  </si>
  <si>
    <t>SHIELDS</t>
  </si>
  <si>
    <t>Enjoy the living here with a pond view and just steps from the clubhouse and pool! Freshly painted, this roomy 2br condo features 2 fireplaces!  One in the living room and a 2d in the large master suite. Relax outside on either of the 2 patios when the weather warms up again! This is a FannieMae HomePath property.</t>
  </si>
  <si>
    <t>Coin Laundry, Exercise Room, Party Room, Pool-Outdoors, Tennis Court/s</t>
  </si>
  <si>
    <t>Aluminum Siding, Other</t>
  </si>
  <si>
    <t>Please call 855-SHOW- 200 (855)746-9200 or Click the online Schedule a Showing icon</t>
  </si>
  <si>
    <t>Karin Robison</t>
  </si>
  <si>
    <t>(847) 665-9590</t>
  </si>
  <si>
    <t>As-is, no repairs/survey provided. Offers @ homepath.com only. See MLS docs. 10% EM for cash. Buyer assumes violations/city inspc items, if any. Rm sizes not verified. Appls if any as-is, where-is.</t>
  </si>
  <si>
    <t>2S639</t>
  </si>
  <si>
    <t>Marie Curie</t>
  </si>
  <si>
    <t>RT 59 to Batavia Rd East to Emerald Green N to Einstein, E to Marie Curie N to 2S639</t>
  </si>
  <si>
    <t>VILLA</t>
  </si>
  <si>
    <t>34X44</t>
  </si>
  <si>
    <t>Emerald Green 2 Story townhome with 2 BR, 1 1/2 Baths, 1 Car Gar and a full unfinished basement. Updated kitchen, newer laminate floor in kit, living &amp; dining rooms. Liv Rm w/brick wall &amp; corner fireplace. Updated powder rm, 6 panel doors, newer carpet in br's. All appliances stay including washer &amp; dryer. Bldg freshly painted w/newer gutters. Clubhouse, pool, tennis courts &amp; exercise rm. Acclaimed Dist 200 school</t>
  </si>
  <si>
    <t>Manor Home/Coach House/Villa, Quad-2 Story, Townhouse-2 Story</t>
  </si>
  <si>
    <t>630-664-5891 CALL OR TEXT</t>
  </si>
  <si>
    <t>OWNER WAS TRANSFERRED SO UNIT BEING LISTED AS-IS PER MGMT COMPANY LISTING.</t>
  </si>
  <si>
    <t>Army Trail West of County Farm to Bennington South to Rockport South to Home</t>
  </si>
  <si>
    <t>Beautiful updated 2-story open concept town home with too many updates to list includes: Brand new stainless appliances, newer washer/dryer, furnace, water heater, roof &amp; skylight, remodeled powder room, soaring lofted ceilings, back patio for entertaining, gas fireplace, loft space for office or playroom, breakfast bar with extra cabinets, double sink in the bath, plus situated next to lake, walking path &amp; shopping!</t>
  </si>
  <si>
    <t>2.5%-$250+ $1000 BONUS TO SELLING OFFICE (on Net SP)</t>
  </si>
  <si>
    <t>Call/text Sarah 630-886-0165</t>
  </si>
  <si>
    <t>Rothman Real Estate</t>
  </si>
  <si>
    <t>(630) 462-7661</t>
  </si>
  <si>
    <t>Sarah Rothman</t>
  </si>
  <si>
    <t>Nice place, shows great! 24 hours requested but short notice can usually be accommodated. $1000 BONUS TO SELLING OFFICE!!!</t>
  </si>
  <si>
    <t>GREAT RENTAL W/NO ASSOC.FEE!!!! or EXPERIENCE LUXURY LIVING ON EACH OF THE 3 REMODELED FLOORS .You name it-it's new.Kitchen w/ SS appliances, granite top,maple cabinets,2 bath w/ceramic design tile,new windows &amp; more.Professionally rehabbed by code &amp; design.Full fin.basement -walk out- Front  of  house surrounded by mature trees .Open floor plan w/bar leading to  deck &amp; privacy fence.Will exceed your expectations</t>
  </si>
  <si>
    <t>Fenced Yard, Wooded</t>
  </si>
  <si>
    <t>Deck, Utility Room-Lower Level</t>
  </si>
  <si>
    <t>Off Alley, Driveway</t>
  </si>
  <si>
    <t>call showing desk 866-852-8313</t>
  </si>
  <si>
    <t>Dorothy Piorek</t>
  </si>
  <si>
    <t>(224) 578-2882</t>
  </si>
  <si>
    <t>great unit,inside all new,no assoc.fee,rental ok</t>
  </si>
  <si>
    <t>EOLA 2 KEATING W 2 WISTERIA S</t>
  </si>
  <si>
    <t>A must see! Great 2 bedroom/1 bathroom home in a great location! Spacious rooms, well maintained, nice balcony, PLUS a 2 car garage! This one has it all and won't last! Choose FHA financing to qualify for $100 down payment. Ask your Agent for details. Sold as-is. Equal Housing Opportunity</t>
  </si>
  <si>
    <t>Case#137-337679 .INSURED STATUS:Insured.Up to 3% co-op Offers to be submitted on-line Off. must be registered &amp; have a NAID# Go to hudhomestore.com 4 online bidding info. ?'s fsrhomes@aol.com SOLD AS-IS www.hometelosfirst.com</t>
  </si>
  <si>
    <t>Take Rt 38 East to Lambert Rd south to 22nd st West to Dundee Drive North</t>
  </si>
  <si>
    <t>34X50</t>
  </si>
  <si>
    <t>Briarcliffe Wests best - Excellent end unit with updates throughout - enjoy the fireplace and your own private rear deck. new carpet and fresh paint with finished basement and 1 car garage awaits you. This is a Fannie Mae Homepath property. No personal property included on this sale</t>
  </si>
  <si>
    <t>SELLER HAS REQUESTED ALL OFFERS BE SUBMITTED TO HOMEPATH.COM. NO PERSONAL PROPERTY INCLUDED - BUYER RESPONSIBLE FOR 6 MONTH PAST HOA FEES MAY APPLY.</t>
  </si>
  <si>
    <t>Bristol Bay Drive, South to Half Moon, North on Camden</t>
  </si>
  <si>
    <t>Gorgeous Total Renovation! Beautiful Kitchen with granite c-tops, stainless steel appliances, espresso stained cabinets, under &amp; over cabinet lighting, etc... Gleaming bamboo flooring line the entire first floor.  Sliding glass door leads to the concrete patio. 2nd Floor loft could be an office.</t>
  </si>
  <si>
    <t>2.50%-$200 (on Net SP)</t>
  </si>
  <si>
    <t>Click Showing Assist or Call 800-746-9464</t>
  </si>
  <si>
    <t>BARTHOLDI</t>
  </si>
  <si>
    <t>FOUNTAINS AT TOWN CENTER</t>
  </si>
  <si>
    <t>GARY AVENUE S OF ARMY TRAIL TO LIES RD WEST TO FOUNTAIN VIEW N2 UNIT</t>
  </si>
  <si>
    <t>FABULOUS HOME BEAUTIFULY DECORATED BOASTING MANY UPGRADES INCLUDING MAPLE CABINETS,STAINLESS STEEL APPLIANCES, CERAMIC TILE, LOVELY STONE FIREPLACE, 9" FT CEILINGS, 2 BALCONIES, FIN ENGLISH BASEMENT, LOFT AREA GREAT FOR IN HOME OFFICE. SUNNY ROOMS IN ALL 3 LEVELS OF LIVING AREA. OUSTANDING COND. VERY CLOSE PROX TO NEW FITNESS CENTER/SHOPPING &amp; RESTAURANTS. LL FAM RM CAN BE USED AS 3RD BEDRM.</t>
  </si>
  <si>
    <t>3.0-$150 (on Net SP)</t>
  </si>
  <si>
    <t>CALL 800-746-9464 CONFIRMED APPT REQUIRED</t>
  </si>
  <si>
    <t>FRONT FACES FOUNTAIN VIEW. PARK ON STREET OR BEHIND UNIT IN DRIVE.</t>
  </si>
  <si>
    <t>Roosevelt Road to Baker Hill N to Woodview E to Tanglewood</t>
  </si>
  <si>
    <t>Excellent Condition!  Sought After Interior Lot in Popular Baker Hill Subdivision. So Convenient Too, Minutes to Town, Train &amp; Expressways. Contemporary Style with 2-Story Living Room, Vaulted Master Bedroom Ceiling.  Upgraded Kitchen with 42" Cabinets &amp; SS Appliances. Professionally Finished English Basement, Ample Additional Parking Throughout Subdivision.  Fire Suppression System For Additional Peace of Mind.</t>
  </si>
  <si>
    <t>Fire Sprinklers, Sump Pump</t>
  </si>
  <si>
    <t>Call Showing Desk @ 888-362-3222 - Day Notice, Please.</t>
  </si>
  <si>
    <t>Currently leased on a month to month basis.  Cooperative tenant keeps the home in very good condition.</t>
  </si>
  <si>
    <t>Plainfield Road to Knottinham Circle South (Near the Darien Police Department).</t>
  </si>
  <si>
    <t>Looking for a quiet home w/attached garage, private entrance and in unit laundry? Open floor plan, fireplace in LR, neutral decor. Huge master bedroom w/separate sink &amp; vanity and huge walk in closet. Fully applianced w/ new dishwasher &amp; disposal. Nice sized 2nd bedroom. Balcony. Close to expressways, shopping &amp; more.  Enjoy the lake! Low assessments. Estate sale--sold "AS IS".</t>
  </si>
  <si>
    <t>Parking, Common Insurance, Lawn Care, Scavenger, Snow Removal, Lake Rights</t>
  </si>
  <si>
    <t>Cluster, Condo, Manor Home/Coach House/Villa</t>
  </si>
  <si>
    <t>2.25% -$200 (on Net SP)</t>
  </si>
  <si>
    <t>Call office for apt--leave message. 630-435-5300</t>
  </si>
  <si>
    <t>630-435-5300</t>
  </si>
  <si>
    <t>Making Changes Realty LLC</t>
  </si>
  <si>
    <t>(630) 435-5300</t>
  </si>
  <si>
    <t>Mary Rosengren</t>
  </si>
  <si>
    <t>(630) 986-8279</t>
  </si>
  <si>
    <t>630-205-1585</t>
  </si>
  <si>
    <t>Everything in good condition but estate sale and being sold "AS IS".</t>
  </si>
  <si>
    <t>5S070</t>
  </si>
  <si>
    <t>G3</t>
  </si>
  <si>
    <t>59th. to Pebblewood</t>
  </si>
  <si>
    <t>Rentable rehabbed condo! Nothing to do, just move right in! Granite counter top, with an elegant back splash. Newer appliances. Spacious layout. Nice patio outside, perfect for barbecues. Bathrooms redone. Large closets in the bedrooms. Great School District and convenient access to I-88 Tollway. Perfect for investment! Assessment includes all utilities except for electricity. Laundry in the basement with storage.</t>
  </si>
  <si>
    <t>Coin Laundry, Storage, Security Door Locks</t>
  </si>
  <si>
    <t>Additional Pet Rent, Cats OK, Deposit Required, Dogs OK, Pet Weight Limitation</t>
  </si>
  <si>
    <t>2.00-$295 (on Net SP)</t>
  </si>
  <si>
    <t>Give some notice. Text agent @773.733.2717</t>
  </si>
  <si>
    <t>Citywide JMW Realty</t>
  </si>
  <si>
    <t>(773) 286-6200</t>
  </si>
  <si>
    <t>Subica Rauf</t>
  </si>
  <si>
    <t>(773) 733-2717</t>
  </si>
  <si>
    <t>Rehabbed unit, shows great! Unit can be Rented.</t>
  </si>
  <si>
    <t>BLOOMINGDALE ROAD SOUTH OF LAKE STREET TO SCHICK ROAD, WEST TO LORRAINE CIRCLE, NORTH TO PROPERTY.</t>
  </si>
  <si>
    <t>3864 SQ FT</t>
  </si>
  <si>
    <t>NEEDS SOME FIX UP WORK, BUT A REALLY GOOD BUY! TO BE SOLD IN "AS IS" CONDITION.  4 YEAR OLD KITCHEN CABINETS &amp; APPLIANCES. WINDOWS WERE REPLACED ABOUT 10 YEARS AGO. CENTRAL AIR CONDITIONER 5 YEARS OLD. 3 YEAR OLD WASHER &amp; DRYER.  ALL CABINETRY IN GARAGE STAYS. THE MASTER BATH HAS BEEN COMPLETELY REMODELED &amp; IS ABSOLUTELY GORGEOUS! ONE OF THE BEST TOWNHOME SUBDIVISIONS IN ALL OF BLOOMINGDALE!</t>
  </si>
  <si>
    <t>CALL LISTING OFFICE - EASY</t>
  </si>
  <si>
    <t>847-884-8870</t>
  </si>
  <si>
    <t>Randy Johnson</t>
  </si>
  <si>
    <t>(847) 843-2071</t>
  </si>
  <si>
    <t>RT 31 TO CONCORD WEST TO WINDSOR NORTH TO HOME</t>
  </si>
  <si>
    <t>FANNIE MAE HOMEPATH PROPERTY!  PRIVATE END UNIT TOWNHOUSE WITH 2 BEDROOMS, BIG LOFT, 1.5 BATHS, FULL FINISHED ENGLISH BASEMENT W/GAS FIREPLACE, NICE DECK &amp; 1 CAR ATTACHED GARAGE!    SEE ATTACHED DOCS PRIOR TO SUBMITTING OFFERS ON HOMEPATH.  PRE-APPROVAL/POF REQUIRED WITH ALL OFFERS.</t>
  </si>
  <si>
    <t>22X21</t>
  </si>
  <si>
    <t>Seller has directed that all offer be made on Homepath.com  Please see attached required docs prior to submitting offers.</t>
  </si>
  <si>
    <t>7J</t>
  </si>
  <si>
    <t>22nd St East of  Highland to Fairfield North to building on the left.</t>
  </si>
  <si>
    <t>ST. REGIS</t>
  </si>
  <si>
    <t>Large two bedroom, two bathroom condo in great South Lombard location. Master bedroom has a full bath and WIC. Priced to sell. Being sold "as is."  Close to schools, restaurants, shopping and expressways.</t>
  </si>
  <si>
    <t>Coin Laundry, Elevator, Party Room, Pool-Outdoors, Curbs/Gutters, Street Lights, Street Paved</t>
  </si>
  <si>
    <t>Cal listing agent 630-674-6407</t>
  </si>
  <si>
    <t>Kariann Ellis</t>
  </si>
  <si>
    <t>(630) 674-6407</t>
  </si>
  <si>
    <t>Owner is willing to negotiate special assessment at time of offer. Rentals are allowed for blood relatives only.</t>
  </si>
  <si>
    <t>ARCHER</t>
  </si>
  <si>
    <t>CICERO TO ARCHER AVE WEST TO ADDRESS</t>
  </si>
  <si>
    <t>Very well kept 1st floor condo in excellent condition. HW floors,  wood cabinet kitchen, dining/living room. Large master bedroom, in-unit laundry, security entry door system, 1 assigned parking space, easy to show. Own your own place for LESS than you'd pay in rent! Owner wants it SOLD. Regular sale...not a short sale or foreclosure. Investor friendly. Building C.</t>
  </si>
  <si>
    <t>Bike Room/Bike Trails, Storage, Security Door Locks, Whirlpool, Curbs/Gutters, Sidewalks, Street Lights, Street Paved</t>
  </si>
  <si>
    <t>Developer Controls, Self-Management</t>
  </si>
  <si>
    <t>Assigned Spaces, Off Street, Side Apron</t>
  </si>
  <si>
    <t>Click on "Schedule a Showing below".</t>
  </si>
  <si>
    <t>Hector Garcia</t>
  </si>
  <si>
    <t>(708) 387-3166</t>
  </si>
  <si>
    <t>NOT a short sale or foreclosure. All disclosures uploaded under Additional Information. Investor friendly. Building C.  ***Owner must confirm your appt. They have a dog!***</t>
  </si>
  <si>
    <t>Havenshire</t>
  </si>
  <si>
    <t>Farnsworth to Indian Trail, E to Felton, S to Havenshire, E to address.</t>
  </si>
  <si>
    <t>First floor ranch! Immaculate and completely updated with 2 bedrooms 2 full baths, 9' ceilings, 2 car garage. Move in condition unit featuring all new ss appliances, fresh paint in comfortable neutral colors, luxurious new carpeting, gleaming refinished hardwood, crown molding, tile backsplash in kitchen. Open 1655 sf floorplan, two story foyer and eating area. Pool clubhouse and exercise room makes for easy living!</t>
  </si>
  <si>
    <t>Call CSS 877-977-1010 2 Hour Notice Please. Easy to Show.</t>
  </si>
  <si>
    <t>Charles Kirkwood</t>
  </si>
  <si>
    <t>(630) 715-5714</t>
  </si>
  <si>
    <t>630-715-5714</t>
  </si>
  <si>
    <t>Sorry, no FHA or VA financing. Rentals not allowed at this time.</t>
  </si>
  <si>
    <t>LAKE SHORE DR TO 39th street TO address.</t>
  </si>
  <si>
    <t>85X171</t>
  </si>
  <si>
    <t>NEWER BRICK MASONRY CONSTRUCTION, 2 BDRM CONDO   GOURMET KITCHEN 42" MAPLE CABINETS &amp; GRANITE COUNTER, HUGE LIVING DINING AREA W/ FIREPLACE &amp; BALCONY JUST BLOCKS FROM LAKE MICHIGAN. SOLD AS IS NO SURVEY, TAXES PRORATED AT 100%.  PROOF OF FUNDS REQUIRED WITH ALL OFFERS. FREDDIE MAC FIRST LOOK 20 DAY OWNER OCCUPIED BUYERS EXPIRES 10/15/2014.</t>
  </si>
  <si>
    <t>32X16</t>
  </si>
  <si>
    <t>Septic-Mechanical, Sewer-Public</t>
  </si>
  <si>
    <t>Elevator, Storage, Gated Entry, Sidewalks</t>
  </si>
  <si>
    <t>Humidifier, Security System, Intercom</t>
  </si>
  <si>
    <t>CALL SHOWING ASSIST 1800 746 9464</t>
  </si>
  <si>
    <t>EMAIL ALL OFFERS TO GWW@ALLPOINTSREALTYGROUP.COM</t>
  </si>
  <si>
    <t>Roosevelt to Westmore north to Wilson east to Addison to 823</t>
  </si>
  <si>
    <t>BRADLEY</t>
  </si>
  <si>
    <t>Great Bradley end unit awaits your finishing touches. Health issues require the sale of this 2 Br, 2.1 Bth  townhome. Loft overlooks the 2 story living room with fireplace. The dining room has a SGD to the patio. Master with private bath. Close to schools, shopping and transportation.Attached garage. Home is in good condition but sold as is. Look past the clutter and imagine the splendor.</t>
  </si>
  <si>
    <t>Oven-Double, Dishwasher, Refrigerator, Washer</t>
  </si>
  <si>
    <t>Cal CSS 877-977-1010</t>
  </si>
  <si>
    <t>Gertrude Rupek</t>
  </si>
  <si>
    <t>Philip Ferraro</t>
  </si>
  <si>
    <t>(630) 674-8588</t>
  </si>
  <si>
    <t>Health issues require the sale of this home. Clutter being removed. ALL BUYERS MUST BE ACCOMPANIED BY THEIR BUYERS AGENT.</t>
  </si>
  <si>
    <t>CATTAIL</t>
  </si>
  <si>
    <t>FAIRFIELD RD TO GILMER W TO LIBERTY LAKES BLVD N TO GLACIER WAY W TO CATTAIL COURT</t>
  </si>
  <si>
    <t>HAMILTON</t>
  </si>
  <si>
    <t>ABSOLUTELY GORGEOUS, TOTALLY UPDATED TOWNHOUSE WITH FULL BASEMENT AND 2 CAR ATTACHED GARAGE! LARGE EAT-IN KITCHEN OVERLOOKS FAMILY ROOM, SEPARATE DINING ROOM. BOTH BEDROOMS HAVE GENEROUS SIZES! PROPERTY CAN BE RENTED -  INVESTORS WELCOME! SHORT SALE APPROVED! AS IS.</t>
  </si>
  <si>
    <t>LEGAL OWNER  OF RECORD</t>
  </si>
  <si>
    <t>CC: Pursuant to Short Sale. INVESTORS ARE WELCOME!</t>
  </si>
  <si>
    <t>G-308</t>
  </si>
  <si>
    <t>OGDEN WEST OF MAIN NORTH ON SARATOGA TO BUILDING.</t>
  </si>
  <si>
    <t>***ELEVATOR BUILDING***SIZEABLE AND SPACIOUS 2BR~1BTH UNIT THAT OVERLOOKS THE LUSH PARK GOUNDS. QUIET AND SERENE, THIS CONDO HAS SO MANY POSSIBILITIES. LARGE ROOM SIZES, AMPLE CLOSETS ALONG WITH AN EXTRA STORAGE LOCKER. ALL APPLIANCES INCUDED. MASTER BEDROOM IS ENHANCED BY A DRESSING AREA COMPLETE WITH COUNTER SPACE, AND A HAND BASIN. ASSESSMENTS INCLUDE: HEAT, WATER AND SCAVENGER. SO MUCH FOR THIS PRICE!</t>
  </si>
  <si>
    <t>Coin Laundry, Elevator, Storage, Pool-Outdoors</t>
  </si>
  <si>
    <t>Heat, Water, Common Insurance, Security, Pool, Exterior Maintenance, Lawn Care, Scavenger, Snow Removal</t>
  </si>
  <si>
    <t>Sally Green, CNC</t>
  </si>
  <si>
    <t>(630) 435-3576</t>
  </si>
  <si>
    <t>VACANT BUT KEY IS HELD AT RE/MAX ENTERPRISE/NEED TO CALL CSS FIRST TO REGISTER. BUYER'S AGENT MUST ACOMPANY ALL BUYERS TO APPT.</t>
  </si>
  <si>
    <t>N OF OGDEN OR S OF DIEHL TO RAYMOND DR W ON QUEENSGREEN TO 1425</t>
  </si>
  <si>
    <t>BEAUTIFUL RECENTLY UPDATED TOWN HOME. BRIGHT END UNIT WITH BRAND NEW WOOD LAMINATE FLOORS (W/10YR WARRANTY), CARPET ON UPPER LEVEL, KITCHEN COUNTERS, GLASS DECOR BACK SPLASH, NEW STONE TILE FIRE PLACE AND MUCH MORE. NEW FURNACE INSTALLED IN OCT 13.</t>
  </si>
  <si>
    <t>PLEASE CALL CSS AT 877-977-1010</t>
  </si>
  <si>
    <t>ESTATE OF JEFFERY KIMONT</t>
  </si>
  <si>
    <t>Kristin Lesh</t>
  </si>
  <si>
    <t>BUYERS AGENT MUST ACCOMPANY BUYERS AT ALL TIMES. THIS IS BEING SOLD "AS-IS" HOME IS HELD IN AN ESTATE.</t>
  </si>
  <si>
    <t>CAPITOL</t>
  </si>
  <si>
    <t>59 W ON 83RD 2 EOLA S 2 HAFFENRCTR E 2 BARRINGT S 2 GEOR</t>
  </si>
  <si>
    <t>DRAMATIC 2 STORY LR &amp; DR. 9'CEIL. IN KIT W/BEAUTIFUL OAK 42"TALL CABINETS PLUS PANTRY. MASTER BR HAS WALK IN CLOSET + EXTRA CLOSET. LARGE CLOSET IN BEDROOM 2 LARGE 2 CAR GARAGE MUST SEE. **Highest and best due by 11am on 3/5**</t>
  </si>
  <si>
    <t>Sewer-Storm, Overhead Sewers</t>
  </si>
  <si>
    <t>PAM</t>
  </si>
  <si>
    <t>SOLD AS IS. NO DISCLOSURES/SURVEY. PRO-RATIONS 100%. PRE-APPROVAL/POF &amp; OFFER SUBMISSION FORM AT TIME OF OFFER.  offers to reooffers@ryanhillrealty.com  Buyer responsible for village escrow</t>
  </si>
  <si>
    <t>W.of LaGrange Rd., E. of Willow Springs Rd.,S. of Joliet</t>
  </si>
  <si>
    <t>Lovely condo in La Grange! Property features a total of 2 bedrooms, 2 full bathrooms, dining room, assigned parking space, and balcony. This is a Fannie Mae HomePath property. Public Act 94-1049 may apply. No personal property included.</t>
  </si>
  <si>
    <t>Buyer to verify rm count, zoning/dim, school distr, inspections, compli, liens, escrws. Seller requires all offers to be submitted with the Fannie Offer Package using the HomePath Online Offer system at www.homepath.com.</t>
  </si>
  <si>
    <t>Schmale North of Rt.64(North Ave) to Golfview Drive, East to property</t>
  </si>
  <si>
    <t>Unique remodeled 2-story townhome with enhanced floor plan.  Located on quiet 9th green, this is a MUST SEE for all buyers.  Unit features breakfast bar, hardwood floors, ceramic baths and convenient 2nd floor laundry. Newer features include carpets, paint, a/c unit, SS appliances, kitchen cabinets, garage door and marble counter tops.  Pride of ownership at its best, ALL appliances stay,  A MUST SEE</t>
  </si>
  <si>
    <t>TXT LA, INCLUDE AGT ID NAME TIME AND DATE</t>
  </si>
  <si>
    <t>Giuseppe Mastrolonardo</t>
  </si>
  <si>
    <t>(630) 440-2664</t>
  </si>
  <si>
    <t>Unique remodeled 2-story townhome with enhanced floor plan, located on the quiet 9th green, this is a MUST SEE for all buyers. ALL Appliances stay</t>
  </si>
  <si>
    <t>75TH ST TO COMMONS S TO BOULDER W TO BLACKSTONE S TO PROPERTY</t>
  </si>
  <si>
    <t>24X91</t>
  </si>
  <si>
    <t>BLACKSTONE SUBDIVISION 2 BEDROOM 1 1/2 BATH TOWNHOME INCLUDES MAIN LEVEL WITH LIVING ROOM, DINING ROOM AND KITCHEN. 2ND FLOOR INCLUDES MASTER W/W-I-C, SHARED BATHROOM, LAUNDRY ROOM (NOT CLOSET) AND 18X14 LOFT. 2 CAR ATTACHED GARAGE AND REAR PATIO! BANK OWNED AND SOLD IN AS-IS CONDITION.</t>
  </si>
  <si>
    <t>10 DAY MARKET TIME REQUIRED PRIOR TO OFFER REVIEW. PAPERLESS OFFER UNTIL ACCEPTANCE. SUBMIT OFFERS ON WWW.OFFERSUBMISSION.COM USE ID#976677. BUYER IS REQUIRED TO PAY $300 FEE AT SUCCESSFUL CLOSING</t>
  </si>
  <si>
    <t>Brentwood</t>
  </si>
  <si>
    <t>SUNSET &amp; DELANY N2 CENTINENTAL W2 #</t>
  </si>
  <si>
    <t>Large two bedroom townhome with lots of potential. Property sold AS-IS. Buyer is responsible for all inspections repairs and/or fees. Seller will not provide termite or survey. Buyers prequalification &amp; proof of funds must accompany all offers. Highest &amp;  best were requested by 10.22.14. Follow Multiple Offer Procedures in MLS Documents Section. Seller takes almost 2 weeks 2 respond 2 offers.</t>
  </si>
  <si>
    <t>Property is lender owned, being sold as is, and U.S. Bank is making no representations or warranties. Fax offers to 847.245.7066. PLEASE DO NOT EMAIL. Highest &amp;  best were requested by 10.22.14. Follow instructions in MLS Document section.</t>
  </si>
  <si>
    <t>ROUTE 20 (W OF RANDALL) 2 NESLER S2 GANSETT E2 VALLEY FALLS N2 HOME</t>
  </si>
  <si>
    <t>Spacious Providence townhouse loaded w/upgrades; recessed lights, hwood floors, stone fireplace! Kitch boasts granite counters, maple cabs, SS applis, lrg pantry, island/break bar plus sunny eat area w/glass sliders to balcony! Lower level fam rm perfect for den! Spacious mstr suite offers walk in closet &amp; lux bth w/whirlpool tub, sep shower, dual sinks! 2nd bdrm w/priv bth! 2nd flr laundry!  School district 301!</t>
  </si>
  <si>
    <t>Park/Playground, Party Room</t>
  </si>
  <si>
    <t>Anita@HomesByMarco.com</t>
  </si>
  <si>
    <t>Please direct all inquiries to the co-list, Anita Sullivan, 630-878-0170</t>
  </si>
  <si>
    <t>Trent</t>
  </si>
  <si>
    <t>Chasemoor</t>
  </si>
  <si>
    <t>County Line to 79th, East to Chasemoor Dr, North To Trent, East to home</t>
  </si>
  <si>
    <t>LAKEMOOR</t>
  </si>
  <si>
    <t>Looking for an open, airy floor plan coupled with the peaceful serenity of a pond view? Then consider this spacious townhome in maintenance-free Chasemoor. Living rm w/vaulted ceiling,fireplc. English LL features a rec rm,wet bar, 3-sided fireplc,wainscoting,full bath. 2 generous-sized bedrms w/cathedral ceilings,attached baths. 2nd flr loft. New A/C unit &amp; triple pane SGD. Short walk to Town Center. Quiet cul-de-sac</t>
  </si>
  <si>
    <t>23X21</t>
  </si>
  <si>
    <t>Oven/Range, Microwave, Dishwasher, Refrigerator, Washer, Dryer, Disposal, Grill-Indoor</t>
  </si>
  <si>
    <t>Bar, Breakfast Room, Foyer, Loft, Recreation Room, Storage, Utility Room-Lower Level</t>
  </si>
  <si>
    <t>Humidifier, Central Vacuum, TV-Cable, Security System, Intercom, CO Detectors, Ceiling Fan, Sump Pump, Sprinkler-Lawn</t>
  </si>
  <si>
    <t>Call LA at 630-917-4661</t>
  </si>
  <si>
    <t>Joe Patyk, ABR,CRS,CSC,GRI</t>
  </si>
  <si>
    <t>(630) 917-4661</t>
  </si>
  <si>
    <t>630-917-4661</t>
  </si>
  <si>
    <t>Shore</t>
  </si>
  <si>
    <t>Hampton House</t>
  </si>
  <si>
    <t>As Far East as you can go on 53rd Street.</t>
  </si>
  <si>
    <t>Don't miss seeing this large 2 BR, 2 BA Condo Unit in well maintained complex. Freshly Painted and new Carpeting. Generous Room sizes, Dining Area, Master Suite and wall of mirros in Living/Dining Rm. 24 Hr Doorman. Close to Lakefront, Parks, Dining, Museum, Schools, Univ. of Chicago &amp; Hospitals. This property is eligible for the Freddie Mac 1st Look Initiative through 10/20/2014.Homesteps Financing is available.</t>
  </si>
  <si>
    <t>Bike Room/Bike Trails, Door Person, Coin Laundry, Elevator, Storage, Receiving Room, Service Elevator, Tennis Court/s, Sidewalks, Street Lights, Street Paved</t>
  </si>
  <si>
    <t>Heat, Water, Common Insurance, Security, Doorman, TV/Cable, Exterior Maintenance, Scavenger, Snow Removal</t>
  </si>
  <si>
    <t>Bonus, Foyer</t>
  </si>
  <si>
    <t>Please download and submit additional applicable forms when submitting your offer. Please Fax your offer to 312-454-4465, or email martino@chgorealty.com</t>
  </si>
  <si>
    <t>OAK RIDGE</t>
  </si>
  <si>
    <t>LAKE STREET WEST OF RT 59 TO HILLARD NORTH TO OAK RIDGE BLVD LEFT TO 941.</t>
  </si>
  <si>
    <t>PREMIUM CORNER PRISTINE HOME W/ PRIVACY SPACE BEHIND HOME IN DESIRABLE OAK RIDGE SUB FEATURING TONS OF BUILDER UPGRADES. OAK WOOD RAILINGS ON UP STAIRCASE, HARDWOOD FLOORING IN KITCHEN &amp; FOYER, UPGRADED KITCHEN CABINETS W/ ZODIAQ COUNTER-TOPS, NEWER APPLIANCES INCLUDED! LARGE MASTER BEDROOM W/ FULL BATH! LOWER LEVEL W/ FULL BATH AND SECOND BEDROOM! NICE SIZE BALCONY OFF KITCHEN OVERLOOKING GREEN FIELDS &amp; 2 CAR GARAGE</t>
  </si>
  <si>
    <t>Corner, Pond, Water View, Rear of Lot</t>
  </si>
  <si>
    <t>call 855 746 9200</t>
  </si>
  <si>
    <t>Sorenson</t>
  </si>
  <si>
    <t>Naomi 847 370 5065</t>
  </si>
  <si>
    <t>Home shows well lovely end unit easy close motivated seller</t>
  </si>
  <si>
    <t>County Farm</t>
  </si>
  <si>
    <t>RT 38 W TO SHAFFNER S TO COUNTY FARM E</t>
  </si>
  <si>
    <t>OUTSTANDING, 1ST FLOOR,2 BEDROOMS, 2 BATHS, HARDWOOD FLOORS IN MOST ROOMS, KITCHEN WITH NEWER MAPLE CABINETS. WOOD-BURNING FIREPLACE, SPACIOUS MASTER SUITE WITH MASTER BATH, CROWN MOLDING. BEAUTIFULLY REMODELED! LARGE PATIO IN THE BACK OPENS TO GREEN SPACE! WASHER &amp; DRYER IN THE UNIT. PLENTY OF STORAGE IN THE UNIT AND A STORAGE LOCKER LOCATED ON 2ND FLOOR! NEAR SHOPPING! PUT THIS CONDO ON YOUR LIST!</t>
  </si>
  <si>
    <t>08X12</t>
  </si>
  <si>
    <t>09X12</t>
  </si>
  <si>
    <t>04X11</t>
  </si>
  <si>
    <t>Storage, Park/Playground, Security Door Locks, Curbs/Gutters, Sidewalks, Street Lights, Street Paved</t>
  </si>
  <si>
    <t>SHARP 1ST FLOOR CONDO IN MINT CONDITION! READY TO MOVE IN! PRIVACY LOCATION!</t>
  </si>
  <si>
    <t>WASHINGTON TO AURORA AVENUE WEST, TURN NORTH AT RIVERPLACE ENTRANCE AT WEST STREET</t>
  </si>
  <si>
    <t>Rare River Walk view*Nicely finished*1st floor but elevated approx 6ft*RP is on Naperville's Famed River Walk and is a short stroll to Downtown shops and restaurants*Close to 5th Ave train station*Shuttle to trains and shopping*Services include daily continental breakfast, onsite management, maintenance &amp; concierge services*Assessment includes gas, electric, water, cable tv, internet and the services mentioned above.</t>
  </si>
  <si>
    <t>Elevator, Exercise Room, Storage, Health Club, On Site Manager/Engineer, Party Room, Sundeck, Security Door Locks, Valet/Cleaner, Curbs/Gutters, Sidewalks, Street Lights, Street Paved</t>
  </si>
  <si>
    <t>Heat, Air Conditioning, Water, Electric, Gas, Common Insurance, Security, TV/Cable, Exercise Facilities, Exterior Maintenance, Lawn Care, Scavenger, Snow Removal, Internet Access</t>
  </si>
  <si>
    <t>TV-Cable, Security System, Intercom, Fire Sprinklers, Sprinkler-Lawn</t>
  </si>
  <si>
    <t>Old Oak</t>
  </si>
  <si>
    <t>B-2-S</t>
  </si>
  <si>
    <t>OLD OAK CONDOMINIUMS</t>
  </si>
  <si>
    <t>Cass to Frontage Rd to 1605 1st driveway</t>
  </si>
  <si>
    <t>Call CSS 977-977-1010</t>
  </si>
  <si>
    <t>Berkshire</t>
  </si>
  <si>
    <t>RT 68 TO N ON WAKEFIELD E ON BERKSHIRE TO 2002-C</t>
  </si>
  <si>
    <t>2 BEDROOM 1.5 BATH READY TO BE OCCUPIED . NEW COUNTER TOPS ,ROOF 6MONTHS OLD . BRICK PATIO. UNIT IS WELL KEPT. OWNER MOTIVATED BRING IN YOUR OFFER TODAY . WHY RENT WHEN YOU CAN BUY SO CHEAP. GREAT LOCATION NEAR HIGHWAY ,SHOPPING AND SCHOOLS. SHOW AND SELL . OWNER MOTIVATED.</t>
  </si>
  <si>
    <t>GOLFVIEW ELEMENTARY SCHOOL</t>
  </si>
  <si>
    <t>21X22</t>
  </si>
  <si>
    <t>SEE SHOWING ASSIST</t>
  </si>
  <si>
    <t>LAKE ST 2 BEAR FLAG E 2 FREMONT,N 2 SACRAMENTO,E GOLD CI</t>
  </si>
  <si>
    <t>PRIVATE PENTHOUSE UNIT "IN THE GLENS"! COMPLETELY RE-HABBED, NEW CARPET, NEW KITCHEN, NEW BATHROOM, NEW APPLIANCES. SPACIOUS LIVING RM WITH WALKOUT DECK, 1 CAR ATTACHED GARAGE WITH PRIVATE ENTRANCE. NEARBY METRA, ELGIN O'HARE EXPRESSWAY &amp; SHOPPING. READY TO MOVE IN. EASY TO SHOW.</t>
  </si>
  <si>
    <t>Andrew Holmes</t>
  </si>
  <si>
    <t>(630) 715-0024</t>
  </si>
  <si>
    <t>From Ogden &amp; Main: south on Main St.  At southwest corner of Burlington and Main St.</t>
  </si>
  <si>
    <t>Unique "city loft in the suburbs" feel.  This 2-story loft features hardwood floors, 2 bedrooms &amp; 2 baths, vaulted ceilings, &amp; balcony overlooking downtown Lisle. Great location: walk to train/park/restaurants/downtown and minutes to shopping and both I355 &amp; I88. Elevator building with secure entry. Heated indoor parking/storage + outdoor space. Best value of ANY suburban walk-to-train location. See it today!</t>
  </si>
  <si>
    <t>Water, Parking, Common Insurance, Security System, TV/Cable, Exterior Maintenance, Lawn Care, Snow Removal, Internet Access</t>
  </si>
  <si>
    <t>Call CSS: (877) 977-1010</t>
  </si>
  <si>
    <t>John Reh</t>
  </si>
  <si>
    <t>(630) 776-5545</t>
  </si>
  <si>
    <t>Willowhill</t>
  </si>
  <si>
    <t>STANHOPE SQUARE</t>
  </si>
  <si>
    <t>CLARENDON HILLS RD-just N of 63rd to Stanhope E  then immediate left on Willowhill</t>
  </si>
  <si>
    <t>In-demand 1st floor 2/3BR end unit in Stanhope Square I. Den could be 3rd bedroom.  Here is your chance to redo with your own tastes.   Kitchen has hardwood floor and additional cabinets.   Marble entry.  Furnace &amp; air NEW in 2013.  HWH new in 2012.  Flexicore construction for sound proofing.  Storage closet &amp; attic storage in garage.  Close to shopping and expressways. Move right in to this immaculate unit!</t>
  </si>
  <si>
    <t>use secure showing-easy</t>
  </si>
  <si>
    <t>No FHA * No rentals  * Estate so "as is" condition.  3rd garage space from the entry</t>
  </si>
  <si>
    <t>Lemont Rd-83rd/ Plainfield , E-Redondo, N or Cass-Plainfield</t>
  </si>
  <si>
    <t>End unit with beautiful, resort like view of a lake and trees from 30 feet balcony. Underground parking space/garage  # 409. Extra storage in the garage. In unit laundry. Elevator building. Baths with updated vanities and sinks. Stainless steel appliances.Newer water heater. Best location in a complex.</t>
  </si>
  <si>
    <t>e-mail homes@selectrealtyusa.com betw. 9 am-5;00pm M-F &amp; 10-4 Sat.4 combo location see agent remarks</t>
  </si>
  <si>
    <t>Combo box is located on A/C unit located on WEST side of our office building. We are about 5 minutes away from Lake in The Woods. No rentals allowed.</t>
  </si>
  <si>
    <t>Briarcliffe</t>
  </si>
  <si>
    <t>22nd street to Briarcliffe south to property east side of street near gade school.last building .</t>
  </si>
  <si>
    <t>Completely remodeled,new kitchen appliances,granite counter tops,natural stone backsplash.New flooring and carpet.Newer furnace and water heater.First floor with lakeview.Competively priced.</t>
  </si>
  <si>
    <t>Lake Front, Landscaped Professionally</t>
  </si>
  <si>
    <t>Brick, Stucco, Other</t>
  </si>
  <si>
    <t>call or text 630-664-6364. Sentry lock on garage door.</t>
  </si>
  <si>
    <t>Ilirjan Plaku</t>
  </si>
  <si>
    <t>Robert Hanna</t>
  </si>
  <si>
    <t>(630) 664-6364</t>
  </si>
  <si>
    <t>Ready to move in.Great pond view.</t>
  </si>
  <si>
    <t>Bingham</t>
  </si>
  <si>
    <t>CAMBRIDGE COUNTRY</t>
  </si>
  <si>
    <t>Hawley &amp; Midlothian S to Crystal W , N on Regent, W on Albion, N on Bingham.</t>
  </si>
  <si>
    <t>Meticulously maintained ranch featuring an updated kitchen and bathrooms. Sun-drenched vaulted living room open to dining room. Kitchen boasts Silestone counters, updated cabinetry &amp; room for table or island. Vaulted family room with skylights &amp; slider leading to 3-season room. Vaulted master w/walk-in closet and private entrance into hall bath. Second BR w/vaulted ceiling. Fenced yard for added privacy.</t>
  </si>
  <si>
    <t>No Association Dues! Please exclude all valances throughout the home, kitchen island.</t>
  </si>
  <si>
    <t>Nerge to S Plum Grove Rd to Yosemite Trl</t>
  </si>
  <si>
    <t>Adorable &amp; Immaculate Neutrally Decorated First Floor 2 BR 1.1 bath Condo with 1 car garage with ample guest parking available.  Open floor plan with spacious rooms and tons of light. New Carpet, New A/C unit, New Roof, Nice patio and backyard area.  Convenient location near shopping, Schools, Interstate.  Very Highly Recommended.</t>
  </si>
  <si>
    <t>ROBERT FROST JUNIOR HIGH SCHOOL</t>
  </si>
  <si>
    <t>Please click on Schedule a Showing Link Below</t>
  </si>
  <si>
    <t>*** *** ****</t>
  </si>
  <si>
    <t>Earnest Money Held by Sellers attorney.  Please email offers to jamielowe@msn.com.  Disclosures on MRED  NOT a SS nor REO.  RENTALS OK, FHA Approved.</t>
  </si>
  <si>
    <t>Irving Park (Rt 19) west of Shales Parkway to Woodview - south to   home at 365 - on left</t>
  </si>
  <si>
    <t>Cheaper than rent &amp; a tax deduction too !!!!  Move right in to this bright &amp; airy 2 bedroom, 2 bath 1st floor unit (no stairs)  with a 1 car attached garage  !!  Tastefully decorated thruout. Newer carpeting.  All appliances including the new washer &amp; dryer are included.  Nothing to do but move in &amp; unpack !!!   Low monthly assessment &amp; low, low taxes makes this home oh so affordable !!!</t>
  </si>
  <si>
    <t>Call or Text L.A. - 708-373-3516 -- EZ</t>
  </si>
  <si>
    <t>Royal Service Realty Red Carpet</t>
  </si>
  <si>
    <t>(847) 455-4663</t>
  </si>
  <si>
    <t>Corinne Beran, ABR,CRB,CRS</t>
  </si>
  <si>
    <t>(708) 373-3516</t>
  </si>
  <si>
    <t>Home is located on the northeast corner of Yorkshire and Woodview Circle.</t>
  </si>
  <si>
    <t>I-94 and Rt 132 (Grand Ave), W2Rt. 45, N2 Falling Waters Blvd, W2, Falling Waters Lane, NW2#</t>
  </si>
  <si>
    <t>Preferred townhouse open floor plan with both living, dining, and family rooms all on one living level. Cathedral Ceilings, immaculate interior, upgraded counters, 42" cabinets, fireplace, and freshly painted "pottery barn-like" interior are highlights here. Enjoy a private balcony, gorgeous tree, and warm sunny western exposures. Make this end unit, with pool, park, and Mill Creek Schools your investment property.</t>
  </si>
  <si>
    <t>4X3</t>
  </si>
  <si>
    <t>Bike Room/Bike Trails, Exercise Room, Park/Playground, Pool-Outdoors, Curbs/Gutters, Sidewalks, Street Lights, Street Paved</t>
  </si>
  <si>
    <t>Eating Area-Breakfast Bar, Galley, Island, Pantry-Closet</t>
  </si>
  <si>
    <t>Manager Off-site, Manager On-site, Monday through Friday, Monday through Saturday</t>
  </si>
  <si>
    <t>All showings must call the list office for appointment confirmations, please allow half hour notice.</t>
  </si>
  <si>
    <t>This is a little gem.  Better hurry, it won't last long.</t>
  </si>
  <si>
    <t>Hobson Oaks</t>
  </si>
  <si>
    <t>HOBSON OAKS</t>
  </si>
  <si>
    <t>HOBSON RD W OF NAPERVILLE RD TO HOBSON OAKS</t>
  </si>
  <si>
    <t>26X104X26X90</t>
  </si>
  <si>
    <t>This spectacular and inviting townhouse has it all.  Vaulted ceilings, updated kitchen with cherry cabinets, granite countertops, stainless appliances, an open floor plan and a basement. Fireplace with a custom built-in entertainment unit,  bedrooms include walk-in California closets. Patio overlooks a beautiful open space.  Convenient location. You must see to believe!</t>
  </si>
  <si>
    <t>Dishwasher, Refrigerator, All Stainless Steel Kitchen Appliances</t>
  </si>
  <si>
    <t>Humidifier, Water-Softener Owned, TV-Dish, Ceiling Fan, Sump Pump</t>
  </si>
  <si>
    <t>EIFS (e.g. Dryvit)</t>
  </si>
  <si>
    <t>Troy Cooper</t>
  </si>
  <si>
    <t>3rd bedroom is currently Loft but can be converted to bedroom.</t>
  </si>
  <si>
    <t>Washington &amp; Atkinson south to Cambridge east to home</t>
  </si>
  <si>
    <t>51X111</t>
  </si>
  <si>
    <t>Charming ranch with desirable open floor plan! Amazing light-filled family room offers stone fireplace, vaulted ceilings, skylights &amp; French doors leading to 3 seasons room! Kitchen equipped w/ refrigerator, dishwasher, oven &amp; microwave. Attached, 1 car garage &amp; fenced yard!  SOLD AS IS</t>
  </si>
  <si>
    <t>Anna Klarck, ABR,AHWD,CIPS,CNC,CRS,CSC,e-PRO,GRI,SFR,SRES,TRC</t>
  </si>
  <si>
    <t>(847) 401-6010</t>
  </si>
  <si>
    <t>Division to 21st, North to property.</t>
  </si>
  <si>
    <t>THIS TOWNHOME HAS GREAT POTENTIAL JUST NEEDS SOME TLC. THE BEDROOMS ARE VERY SPACIOUS AND THE OPEN LAYOUT ON THE FIRST FLOOR MAKES THIS A PERFECT STARTER HOME. This property is eligible under the Freddie Mac First Look Initiative through 10/22/2014. Sold As-is and taxes prorated at 100%</t>
  </si>
  <si>
    <t>2.5% OR $1500 WHICHEVER IS GREATER (on Gross SP)</t>
  </si>
  <si>
    <t>Send request to america5756@hotmail.com</t>
  </si>
  <si>
    <t>Email offers directly to arce0417@YAHOO.COM -Must include: Cover Sheet, Addendum, and Preapproval/POF provided in Add Info. As-Is Sale, taxes prorated 100%. E.M. must be Cashier's Check.</t>
  </si>
  <si>
    <t>QUAKER HOLLOW</t>
  </si>
  <si>
    <t>WILDBERRY</t>
  </si>
  <si>
    <t>Barrington Rd, N of Schaumburg, to Quaker Hollow East</t>
  </si>
  <si>
    <t>Gorgeous 2 bedroom/ 2 bath in Wildberry Subdivision, 2nd floor level w/balcony overlooking stunning landscaping , private entrance, vaulted ceiling in LR, granite w/SS appliances in kitchen , vaulted master bedroom w/private bath, great complex includes pool and club house. Schaumburg schools, park district and library. Association fee includes water. A must see, you won't be disappointed! Many EXTRAS!!</t>
  </si>
  <si>
    <t>Bike Room/Bike Trails, Park/Playground, Party Room, Pool-Outdoors, Sidewalks, Street Lights, Street Paved</t>
  </si>
  <si>
    <t>2.5%-$225 (ON NET SALE) (on Net SP)</t>
  </si>
  <si>
    <t>CALL L/O FOR SHOWING INSTRUCTIONS/EASY TO SHOW</t>
  </si>
  <si>
    <t>Cynthia Rizzio</t>
  </si>
  <si>
    <t>WINDSOR WEST</t>
  </si>
  <si>
    <t>SOUTH ON RT 47 FROM I-88, RIGHT ON PARK AVE.</t>
  </si>
  <si>
    <t>LOOK WHAT WE HAVE HERE!  Location, Location, Location! Stylish &amp; Updated! Newer 2 Bed,2.5 Bath Town Home Located near Shopping, Bike paths, Parks, Forest Preserve, &amp; I-88. Private Entrance, 2 Car Garage, Updated Kitchen &amp; Breakfast Rm features Cocoa Glaze Cabinetry &amp; Newer Stainless Steel Appliances. Large Great Room &amp; Dining area w/Sliding Door to Patio. Master &amp; BR 2 offer Walk-in Closets &amp; Separate Baths. Wow!!!</t>
  </si>
  <si>
    <t>13X06</t>
  </si>
  <si>
    <t>The HOA is discussing no more rentals.</t>
  </si>
  <si>
    <t>401S</t>
  </si>
  <si>
    <t>53rd from lake shore drive west to Ellis or north 2 blocks on Ellis from 55th St</t>
  </si>
  <si>
    <t>CICERO TO 63RD ST WEST TO ADDRESS</t>
  </si>
  <si>
    <t>Great unit and affordable price. 2 bed and 1 bath, Kitchen has granite counters and maple cabinets. Stainless appl, hardwood floors, balcony, and convenient 2nd floor. This is a Fannie Mae Homepath Property.</t>
  </si>
  <si>
    <t>None, Curbs/Gutters, Gated Entry, Sidewalks, Street Lights, Street Paved</t>
  </si>
  <si>
    <t>Alberto Diaz</t>
  </si>
  <si>
    <t>SELLER TAXES PRORATED AT 100%, SELLER WILL NOT PROVIDE SURVEY/TERMITE. SUBMIT OFFERS THRU HOMEPATH.COM.</t>
  </si>
  <si>
    <t>Westmore to Wilson, East to Addison</t>
  </si>
  <si>
    <t>BEAUTIFULLY UPDATED 2 ST TH! In quiet well maintained subd! 1st fl has hdwd flrs, updated lighting, eat-in KIT w/ ss appls, LR / DR combo w/ gas log fpl, custom built-in bookcases &amp; sgd to patio. Spacious MBR has vaulted ceiling, 2 closets, ceiling fan, &amp; private BA! 2nd fl laundry. 2nd BR w/ private BA! Neutral carpet throughout 2nd fl. Close to parks, shopping, dining, train station &amp; prairie path!</t>
  </si>
  <si>
    <t>19X09</t>
  </si>
  <si>
    <t>Owner of Records</t>
  </si>
  <si>
    <t>See "Additional Information" for a list of updates and other information.</t>
  </si>
  <si>
    <t>HEARTH</t>
  </si>
  <si>
    <t>IRVING PARK 2 OLD SALEM N 2 HARTMAN E TO HEARTH</t>
  </si>
  <si>
    <t>80X22</t>
  </si>
  <si>
    <t>** NEW** NEW** Must see looks like a model. Completely remodeled. Brand new kitchen with Stainless steel Appliances, granite countertops/Island, beautiful cabinets, bathrooms, New laminate floor throughout, New Oak stairs, doors, fixtures, freshly painted. New windows, One car attached Garage, Private Fenced Yard, and Crawl Space! Schaumburg Schools (54 &amp; 211)!  Nice quiet area and much more...</t>
  </si>
  <si>
    <t>2.0%-250 (on Net SP)</t>
  </si>
  <si>
    <t>Please text 224-210-0169 with your name and agent id</t>
  </si>
  <si>
    <t>Genex Realty, Inc.</t>
  </si>
  <si>
    <t>(630) 772-1216</t>
  </si>
  <si>
    <t>Jetal Shah</t>
  </si>
  <si>
    <t>(224) 210-0169</t>
  </si>
  <si>
    <t>224-210-0169</t>
  </si>
  <si>
    <t>For showing- Please text 224-210-0169 with your name and agent id. Send contract at Jshah05@gmail.com. Seller related to agent. Seller's attorney will hold the EM. FHA APPROVED! Per HOA, rental not allowed.</t>
  </si>
  <si>
    <t>B3</t>
  </si>
  <si>
    <t>60 &amp; Lakeview N 2 Hawthorn Pkwy W to Collins N 2 Market</t>
  </si>
  <si>
    <t>Upscale corner condo overlooking Big Bear Lake! Watch the July 4th fireworks form your wrap around deck! Beautiful updates include New carpet, 6 panel white doors, cabinetry, appliances, wood blinds and custom paint! Granite counters in kitchen! Family rm with fireplace! In unit laundry! 1 car garage too! Great community offers pool &amp; walking path! Convenient location close to Hawthorn Mall!</t>
  </si>
  <si>
    <t>Common Insurance, Security System, Clubhouse, Pool, Exterior Maintenance, Lawn Care, Scavenger, Snow Removal</t>
  </si>
  <si>
    <t>N (North), City</t>
  </si>
  <si>
    <t>Call LO 847-367-8686 x 0</t>
  </si>
  <si>
    <t>Garage is deeded separately and has its own annual tax, tax for 2013 is $24.03. Owner can rent after living in unit 1 year. Fireplace as/is. Please direct all inquiries to co-list, Anita Sullivan, 630-878-0170</t>
  </si>
  <si>
    <t>Rt 31 to Wildrose Springs, R on Shoreline R on Oakhill, on right.</t>
  </si>
  <si>
    <t>49 X 75</t>
  </si>
  <si>
    <t>Spacious, end-unit, ranch townhome nestled in quiet, 56 acre wooded neighborhood with lake &amp; trails. Natural light abounds in this open floor plan w/vaulted living room including skylights, fireplace and opening to  paver patio. Vaulted dining room leads to kitchen w/granite, hardwood &amp; SS appliances. Large 825 SF finished lower level w/fireplace &amp; add'l bedroom with full bath. Minutes to downtown St. Charles.</t>
  </si>
  <si>
    <t>Cul-de-sac, Landscaped Professionally, Water Rights, Wooded</t>
  </si>
  <si>
    <t>Water-Softener Owned, TV-Cable, Ceiling Fan, Sump Pump</t>
  </si>
  <si>
    <t>For easy confirmation, click Showing Assist below. For a 1-day Sentri code, call 877-404-1743.</t>
  </si>
  <si>
    <t>Fox Valley Real Estate</t>
  </si>
  <si>
    <t>(630) 232-3900</t>
  </si>
  <si>
    <t>Steve Ellis, SFR</t>
  </si>
  <si>
    <t>(630) 280-8888</t>
  </si>
  <si>
    <t>Taxes include homestead &amp; senior exemptions. Seller trustee is an Illinois licensed real estate broker &amp; co-lister of this property.</t>
  </si>
  <si>
    <t>DANADA</t>
  </si>
  <si>
    <t>DANADA WOODS</t>
  </si>
  <si>
    <t>NAPERVILLE RD NORTH OF I88 TO DANADA WOODS WEST</t>
  </si>
  <si>
    <t>PRISTINE CONDITION! YOU WON'T BE DISAPPOINTED! 2-BEDROOMS WITH LOFT! ABUNDANCE OF NATURAL LIGHT! MASTER BEDRM SUITE HAS VAULTED CEILING, WIC, &amp; LUX MASTER BATHRM! 2-STORY LIVING RM W/FPL! DINING RM! GOURMET STAINLESS STEEL KITCHEN  HAS GRANITE, BACKSPLASH, HUGE ISLAND, HARDWD FLRS! CLOSET ORGANIZERS IN MASTER,GUEST BEDRM &amp; LOFT! PRIVATE ENTRANCE! PATIO! BACKS TO WOODED TREE LINE! BASEMENT! 2-CAR GAR! MINUTES TO I-88</t>
  </si>
  <si>
    <t>2.5 $150 (on Net SP)</t>
  </si>
  <si>
    <t>CALL SHOWING TIME 1 877-746-9081</t>
  </si>
  <si>
    <t>RE/MAX Ultimate Professionals</t>
  </si>
  <si>
    <t>(815) 725-4545</t>
  </si>
  <si>
    <t>Dawn Dause, ABR,GRI,SFR</t>
  </si>
  <si>
    <t>(815) 954-5050</t>
  </si>
  <si>
    <t>NEW; REFRIGERATOR, SUMP PUMP AND AC UNIT</t>
  </si>
  <si>
    <t>RT 59 TO NORTH AURORA E TO GOLDEN GATE N TO HOME</t>
  </si>
  <si>
    <t>CORONADO</t>
  </si>
  <si>
    <t>COMPLETELY UPDATED AND HARDLY LIVED IN HOME! NEW HARDWOOD FLOORS, NEW CARPETS THROUGHOUT, NEW APPLIANCES, NEW GRANITE, NEW POWDER ROOM BATH. EXCELLENT LOCATION. VERY CLOSE TO HIGHWAY AND METRA. GOOD SCHOOL SYSTEM. GREAT COMMUTER LOCATION! VERY VERY WELL MAINTAINED PROPERTY. GREAT MASTER BEDROOM WITH VAULTED CEILINGS AND A REALLY NICE WALK IN CLOSET. PREMIUM LOCATION BACKS TO POND! REALLY NICE HOME. READY TO MOVE IN.</t>
  </si>
  <si>
    <t>PLEASE USE SHOWING ASSIST.</t>
  </si>
  <si>
    <t>OWNER SPENT A LOT OF MONEY FULLY UPGRADING HIS UNIT BEFORE MOVING IN LAST YEAR BUT HAS NOW BEEN RELOCATED TO CALIFORNIA WITH HIS JOB! GRANITE/APPLIANCES/ALL NEW FLOORING ON BOTH THE LEVELS! UNIT IS READY TO GO. SHOWS VERY VERY WELL.</t>
  </si>
  <si>
    <t>Greenwood</t>
  </si>
  <si>
    <t>STONEY ISLAND TO 63RD ST WEST TO GREENWOOD AVE SOUTH TO ADDRESS</t>
  </si>
  <si>
    <t>BRICK CONDO UNIT THAT FEATURES 2 BEDROOMS, 2 BATHS, HARDWOOD FLOORS THROUGHOUT, FENCED YARD AND A BALCONY. SOLD AS IS. BUYER TO TAKE ON CITY REPAIRS &amp; PUT UP ESCROW IF REQUIRED. NO DISCLOSURES, NO SURVEY OR TERMITE PROVIDED. PRESENT DETAILED PRE-QUAL OR PROOF OF FUNDS WITH OFFER. EM CERTIFIED FUNDS ONLY. PLEASE DO NOT EMAIL OFFERS, FAX OVER ALL OFFERS</t>
  </si>
  <si>
    <t>Employees of Bank of America or its affiliates or subsidiaries are strictly prohibited from directly or indirectly purchasing any property owned by Bank of America.</t>
  </si>
  <si>
    <t>Lakewood Villas</t>
  </si>
  <si>
    <t>Rt. 45 to Oakwood S to Cherry Valley W to Lakeside N to complex.  Can take  83 to Royal Oak 2 tennis</t>
  </si>
  <si>
    <t>Great 3rd floor end unit (extra window) with a GARAGE.  Garage has seperate PIN number.  Hardwood flooring and owner is giving a stainless appliance package from ABT.  Hallway has a little niche, that was an upgrade.  Large master bedrrom w/walk in closet and access to bath.   In unit laundry and lots of extra parking.  Great location close to Metra and tollway &amp; shopping. New Stainless appliance package included.</t>
  </si>
  <si>
    <t>2.5   $225 (on Gross SP)</t>
  </si>
  <si>
    <t>855-746-9200</t>
  </si>
  <si>
    <t>Of legal recoed</t>
  </si>
  <si>
    <t>Lori Progar, e-PRO,GRI</t>
  </si>
  <si>
    <t>(847) 990-3110</t>
  </si>
  <si>
    <t>Stainless package is from ABT and includes a dishwasher, oven and microwave and refridgerator.</t>
  </si>
  <si>
    <t>BELLA OAKS</t>
  </si>
  <si>
    <t>SWIFT RD., NORTH OF NORTH AVE., TO CONCORD, WEST TO UNIT</t>
  </si>
  <si>
    <t>BELLA OAKS TOWNHOUSE W/OPEN LIVING &amp; DINING AREAS. EAT-IN KITCHEN WITH PASS THROUGH TO DR PLUS SGD TO BALCONY. HALF BATH, WIC &amp; LAUNDRY ROOM ON MAIN LEVEL. TWO LARGE BEDROOMS EACH WITH PRIVATE BATH. MASTER BEDROOM HAS WALK-IN CLOSET. FAMILY ROOM IN FINISHED ENGLISH BASEMENT. ATT 2C GARAGE. QUIET LOCATION NEXT TO FOREST PRESERVE W/WALKING TRAILS &amp; DOG PARK. CLOSE TO I355. BEST BUY IN COMPLEX-SAME SQ. FT. AS 3BR MODELS</t>
  </si>
  <si>
    <t>Central Air, Zoned</t>
  </si>
  <si>
    <t>630-627-1335</t>
  </si>
  <si>
    <t>BEST BUY IN COMPLEX - SAME SQ. FT. AS 3BR MODELS! UNITS CAN BE RENTED.</t>
  </si>
  <si>
    <t>G310</t>
  </si>
  <si>
    <t>ENJOY THIS TWO BEDROOM ONE BATHROOM ELEVATOR BUILDING DOWNERS GROVE GEM! OPEN FIELD BALCONY VIEW! COMMUNITY POOL - THE LIST GOES ON! WAITING FOR YOUR PERSONAL UPDATES AND FINISHING TOUCHES! ALL INFO IS APPROX AND ESTIMATED. SOLD AS IS. TAXES ARE PRORATED AT 100%. BUYER RESPONSIBLE FOR SURVEY, UTILITIES AND ESCROWS. BUYER MUST SIGN OFF ON DISCLOSURE ATTACHED IN MLS. Public Act 94-1049 May Apply</t>
  </si>
  <si>
    <t>KEYS HELD AT 932 MAPLE AVE #1 DOWNERS GROVE / CALL FOR APPT TO PICK UP 630-810-9260</t>
  </si>
  <si>
    <t>SELLER HAS VERBALLY ACCEPTED AN OFFER 12/15/2014.  EMAIL ALL OFFERS TO OFFERS@SMITHREO.COM / MUST INCLUDE UPDATED PROOF OF FUNDS/PRE APPROVAL LETTER. â€‹  â€‹Property is being sold â€œas isâ€ and is subject to HUD Guidelines 24 CFR 206.125.â€‹</t>
  </si>
  <si>
    <t>Woodward</t>
  </si>
  <si>
    <t>4G</t>
  </si>
  <si>
    <t>75th/Woodward s to country club w to 7764</t>
  </si>
  <si>
    <t>Welcome home to this modern, move-in ready townhouse!  Private location NOT facing Woodward. Remodeled from head to toe in style! Fresh paint, new baths, flooring, fixtures &amp; doors. Eat-in kitchen w/ built-in pantry, din. room, 2 roomy beds, plenty of closet space &amp; storage. MONTHLY HOA FEE COVERS EVERYTHING BUT ELECTRIC. Enjoy quiet courtyard from private patio. Pool &amp; clubhouse too! Minutes to Promenade &amp; highways.</t>
  </si>
  <si>
    <t>Bike Room/Bike Trails, Coin Laundry, Park/Playground, Pool-Outdoors, Sidewalks, Street Lights</t>
  </si>
  <si>
    <t>Text or email Sam: 708-712-0727</t>
  </si>
  <si>
    <t>Samantha Schroeder, CNC</t>
  </si>
  <si>
    <t>(708) 712-0727</t>
  </si>
  <si>
    <t>www.sam-schroeder.com</t>
  </si>
  <si>
    <t>New roof on building. Good HOA. Not currently FHA approved.</t>
  </si>
  <si>
    <t>Indian Trail</t>
  </si>
  <si>
    <t>North of Ogden to Cass to Indian Trail to property. Corner of Indian Boundary &amp; (faces) White Birch</t>
  </si>
  <si>
    <t>41X102X134X53</t>
  </si>
  <si>
    <t>BEAUTIFUL UPDATED INDIAN TRAIL TOWNHOME. RECENT 12x15 DECK, BAMBOO FLOORING, PAINT, KITCHEN (SILESTONE) COUNTER TOPS, BREAKFAST BAR, APPLIANCES, TILE BACKSPLASH, FURNACE, WASHER, CURTAINS AND MORE. AWESOME 2 STORY GREAT ROOM WITH FIREPLACE. 2 CAR ATTACHED GARAGE. END UNIT EQUALS MORE PRIVACY AND LARGER YARD AREA.</t>
  </si>
  <si>
    <t>Oven/Range, Microwave, Dishwasher, Refrigerator, Washer, Disposal, All Stainless Steel Kitchen Appliances</t>
  </si>
  <si>
    <t>Foyer, Great Room</t>
  </si>
  <si>
    <t>FOR SHOWINGS CALL SHOWING TIME 855-957-1523</t>
  </si>
  <si>
    <t>OWNER TO RECORD</t>
  </si>
  <si>
    <t>Ron Wexler</t>
  </si>
  <si>
    <t>(708) 249-3177</t>
  </si>
  <si>
    <t>www.ronwexler.com</t>
  </si>
  <si>
    <t>Please submit offer with completed offer cover sheet, signed disclosures, IES earnest money agreement, and pre-qual/POF to listings@ronwexler.com</t>
  </si>
  <si>
    <t>303-4</t>
  </si>
  <si>
    <t>Geneva Rd North on President Right into Complex Then past Garages to Building 468</t>
  </si>
  <si>
    <t>Bright &amp; Airy Unit w Vaulted ceilings and skylights exclusive to this level units. Plenty of counter space and pantry in the kitchen. Master bedroom has huge closets and a full bath. Beautiful trees and privacy out every window. Relax on your patio while watching the deer and wildlife. Conveniently located 2.5 mi to the train and scenic downtown Wheaton. Private 1 car garage is 4th from bldg.</t>
  </si>
  <si>
    <t>Water, TV/Cable, Exterior Maintenance, Lawn Care, Scavenger, Snow Removal</t>
  </si>
  <si>
    <t>Use Showing Assist   Very easy to show</t>
  </si>
  <si>
    <t>Sharon Mennerick</t>
  </si>
  <si>
    <t>(630) 408-5844</t>
  </si>
  <si>
    <t>Fireplace never used but worked at time of purchase. 2 spots on vaulted ceiling were repaired but just never repainted after roof replaced. No water issues since.  $51.50 mo special assessment balance will be paid off at closing.</t>
  </si>
  <si>
    <t>Wrightwood</t>
  </si>
  <si>
    <t>Harlem to Altgeld, W to 72nd CT, Right to Building</t>
  </si>
  <si>
    <t>125X250</t>
  </si>
  <si>
    <t>Great opportunity to own this ready to move-in stunning unit on the 2nd floor with hardwood floors, an awesome kitchen with cherry cabinets and ss appliances, large bedrooms, modern bath, balcony. Building well maintained, one parking included. Close to transportation, metra and shopping. Come &amp; see this one! You're going to love it! Hurry bring an offer!</t>
  </si>
  <si>
    <t>Heat, Gas, Exterior Maintenance</t>
  </si>
  <si>
    <t>Foyer, Pantry</t>
  </si>
  <si>
    <t>2.5%-$275.00 (on Gross SP)</t>
  </si>
  <si>
    <t>Parking#35. There is a rental cap. Please contact management for more info: 847-376-8210 or 773-685-2222 or e-mail at globaltaxes1@yahoo.com, Easy to show. This is a condo you been waiting for.</t>
  </si>
  <si>
    <t>INDAIN TRAIL W OF ORCHARD TO VILLAGE CENTER PARKWAY</t>
  </si>
  <si>
    <t>Fannie Mae Homepath Property! 2 story condo with 2 bedrooms, 2.5 baths.  Fresh paint! New Carpet! Deck. 2 car attached garage.  No personal property included. POF is strongly encouraged w/offers.</t>
  </si>
  <si>
    <t>I90 TO RANDALL, S TO COLLEGE GREEN, E TO LANCASTER</t>
  </si>
  <si>
    <t>EDGEWOOD</t>
  </si>
  <si>
    <t>SPACIOUS END UNIT EDGEWOOD MODEL. MOVE IN CONDITION UPGRADES THROUGHOUT DRAMATIC ENTRY 2 STORY GREAT RM W/FLOOR TO CEILING WINDOWS, LG KIT W/BREAKFAST BAR, WOOD, GRANITE  &amp; STAINLESS APPLIANCES. MSTR BDRM W/DBLE CLSTS, DBL SINKS, 2ND FLR LAUNDRY, SEC SSTM, RCNTLY PAINTED DECORATOR COLORS, PRIME LOCATION BACKING TO NATURE/OPEN GREENBELT, ATTACHED HTD 2 CAR GARAGE W/EXTRA SHELVING! CLOSE TO SHOPPING, COLLEGE PARK &amp; I90</t>
  </si>
  <si>
    <t>TV-Cable, TV-Dish, Security System, Ceiling Fan</t>
  </si>
  <si>
    <t>USE SHOWING ASSIST CALL LISTING AGENT FOR SECURITY SYSTEM PASSCODE</t>
  </si>
  <si>
    <t>E. Victoria Livorsi, CSC</t>
  </si>
  <si>
    <t>(847) 840-6763</t>
  </si>
  <si>
    <t>Move in condition not a short sale or foreclosure</t>
  </si>
  <si>
    <t>Washington S of 75th. to Bailey rd. E to Olive Trees Complex</t>
  </si>
  <si>
    <t>Affordable and nicely located 2 bedroom, 1 1/2 bath garden-level condo.  Features include new carpet, fresh paint, new appliances, and convenient location near Naperville Riverwalk trail, highways and shopping.  Naperville schools!  This is a Fannie Mae HomePath property.</t>
  </si>
  <si>
    <t>LAKE RIDGE</t>
  </si>
  <si>
    <t>West of Bloomingdale Rd -- North of Army Trail Rd</t>
  </si>
  <si>
    <t>HIGHLY SOUGHT AFTER UNIT! FRESHLY PAINTED, BRAND NEW CARPET, OPEN EAT IN KITCHEN W/ PANTRY, FIREPLACE, OVERSIZED FAMILY ROOM &amp; LOADS OF NATURAL LIGHT. GENEROUS SIZED BEDS W/ VAULTED CEILINGS, WIC &amp; ARCHITECTURAL DRYWALL. LAUNDRY ROOM , PATIO &amp; 1 CAR GARAGE. SECONDS FROM ARMY TRAIL DINING &amp; SHOPS. **FANNIE MAE HOMEPATH PROPERTY~NO PERSONAL PROPERTY CONVEYED~BUYER PAYS TRANSFER FEES~IL CONDO PROPERTY ACT MAY APPLY*</t>
  </si>
  <si>
    <t>10X22</t>
  </si>
  <si>
    <t>UPLOAD OFFERS IN HOMEPATH.COM. RENTALS OK, FHA APPROVED. INFO NOT GUARANTEED.Need help? 866.218.4446. Contract Package Attached. OWNER OCCUPANTS 1ST 20 DAYS. Atty Holds EM.</t>
  </si>
  <si>
    <t>NE corner of Butterfield and Meyers Rd</t>
  </si>
  <si>
    <t>LESS THAN 1/4 ACRE</t>
  </si>
  <si>
    <t>CORNER UNIT - LOTS OF LIGHT! NEW STAINLESS STEEL APPLIANCES, NEW AC UNITS,  FRESH PAINT,  NEW LIGHT FIXTURES, NEW CARPET. STORAGE     SOLD AS-IS</t>
  </si>
  <si>
    <t>Coin Laundry, Elevator, Exercise Room, Storage, On Site Manager/Engineer, Pool-Outdoors, Service Elevator</t>
  </si>
  <si>
    <t>Heat, Water, Gas, Common Insurance, Exercise Facilities, Pool, Exterior Maintenance, Lawn Care, Scavenger, Snow Removal</t>
  </si>
  <si>
    <t>USE SHOW ASSIST ON SENTRILOCK OR TEXT 630 340-8621 JESSICA -</t>
  </si>
  <si>
    <t>Elaine Zannis</t>
  </si>
  <si>
    <t>(630) 915-8648</t>
  </si>
  <si>
    <t>CORNER UNIT - LOTS OF LIGHT! NEW STAINLESS STEEL APPLIANCES, FRESH PAINT,  NEW LIGHT FIXTURES, NEW A/C UNITS, NEW CARPET. STORAGE!  SOLD AS-IS</t>
  </si>
  <si>
    <t>Midlane Club</t>
  </si>
  <si>
    <t>Yorkhouse and Delany W 1/2-mi to Monterey south to Sawgrass W2 Nicklaus S2 end</t>
  </si>
  <si>
    <t>Don't miss this opportunity to grab a great home, located in and around the Midlane Golf Resort. End unit! Private driveway! Golf course/pond view! Windows on three sides! This PRE-INSPECTED raised ranch townhome is meticulously cared for by the owner, and is so spotless you could host a festive party the day you move in. Come see it today!</t>
  </si>
  <si>
    <t>23X31</t>
  </si>
  <si>
    <t>Exercise Room, Pool-Outdoors, Curbs/Gutters, Sidewalks, Street Lights, Street Paved</t>
  </si>
  <si>
    <t>Call 855-746-9843</t>
  </si>
  <si>
    <t>Beth Graessle</t>
  </si>
  <si>
    <t>Ronald Rank, CNC,e-PRO,GRI,SFR</t>
  </si>
  <si>
    <t>(847) 241-2355</t>
  </si>
  <si>
    <t>Pre-Inspected! Desirable Gurnee schools. Minutes from Van Patten Woods, trails and Des Plaines river canoe launch. For Association info, goto http://www.site.midlaneclub.com/resources.html. Sorry, exclude valances. Please see Add'l Info.</t>
  </si>
  <si>
    <t>Bennett Lot#2603</t>
  </si>
  <si>
    <t>CARDIFF-1</t>
  </si>
  <si>
    <t>Exciting "Easton Park" Presents the "Cardiff" 9 Ft. Ceilings Main Level. Hardwood Flooring, Kitchen w/42" Cabinetry w/Granite Counters + SS Appl's+Crn MldingM/Br Suite w/Tray Ceiling &amp; Private Lux Bath. Stained Rails &amp; Spindles.  3rd Br, Bonus Room Closet + Powder Room.  100% Energy Star. 30 Year Structural Transferable Builder Warranty. This home has 2 full &amp; 2 half baths. Photos are of a Model Home.</t>
  </si>
  <si>
    <t>Bonus, Great Room</t>
  </si>
  <si>
    <t>Call the Community 630-665-5500 or use Showing Assist</t>
  </si>
  <si>
    <t>Agent must accompany buyers on first visit. Please register with Rhonda Gehr 630-244-6062. FHA approved Community. Finished LL included in Sq.Ft. Commission paid on base price.</t>
  </si>
  <si>
    <t>E105</t>
  </si>
  <si>
    <t>RT. 59 TO PEBBLEWOOD WEST AND RIGHT AGAIN. N.E. BLDG, VISITOR PARKING NORTH SIDE</t>
  </si>
  <si>
    <t>Beautiful 2 Bedrooms 1.1. baths end Condo unit with SE exposure and huge patio. Washer and dryer in the unit! Spacious! Heated underground garage! Convenient location, nice neighborhood, close to I-88 &amp; downtown Naperville! Property was built prior to 1978 and leadÂ based paint potentially exists. Proof of funds required on cash transactions; Lender PreÂApproval letter for financed offers (dated within last 30 days).</t>
  </si>
  <si>
    <t>No rent.Sellerâ€™s name is Secretary of Veterans Affairs. Seller does not pay customary closing costs: including title policy, escrow fees, survey or transfer fees. To submit offer: http://www.callzteam.net/property_n/5S040_PEBBLEWOOD_LN_E105</t>
  </si>
  <si>
    <t>Roosevelt Rd to Main St, South to 2315</t>
  </si>
  <si>
    <t>First floor condo in Highland Lakes. Beautiful wood laminate floors in both bedrooms. Pantry with organizer. Grill out on your patio with pond view. Updated furnace and air conditioning. Washer and dryer in unit. 1 assigned parking space directly in front of unit and ample parking on site. Master bedroom has full bath. Must have appointment to show!</t>
  </si>
  <si>
    <t>Must have appointment. Call listing agent at (630) 251-8993</t>
  </si>
  <si>
    <t>Jack Disimone</t>
  </si>
  <si>
    <t>(630) 251-8993</t>
  </si>
  <si>
    <t>Please call Jack at (630) 251-8993 to show property!</t>
  </si>
  <si>
    <t>HOLLYBROOK</t>
  </si>
  <si>
    <t>BLANCHARD OR 22ND TO HERITAGE TO WILLIAMSBURG SOUTH</t>
  </si>
  <si>
    <t>Move in condition. Newly remodeled kitchen, new microwave, hardwood floors, one car garage, in unit full washer and dryer, all in sought after Hollybrook.  Convenient location near expressways, shopping and public transportation.  This subdivision has its own lake, swimming pool, playground and tennis court and is located in the Wheaton 200 school district.  This end unit is waiting for you to call it home.</t>
  </si>
  <si>
    <t>Parking, Clubhouse, Exterior Maintenance, Lawn Care, Scavenger, Snow Removal</t>
  </si>
  <si>
    <t>2.5%-$200 ON NET SP (on Net SP)</t>
  </si>
  <si>
    <t>CALL 630-258-2487 LEAVE MESSAGE</t>
  </si>
  <si>
    <t>John Klausner</t>
  </si>
  <si>
    <t>(630) 258-2487</t>
  </si>
  <si>
    <t>ASSOCIATION IS NOT FHA APPROVED.</t>
  </si>
  <si>
    <t>LINCOLN</t>
  </si>
  <si>
    <t>Bloomingdale Rd 2 Greenway E 2  College 2 Lincoln Ct</t>
  </si>
  <si>
    <t>DEAL FELL - Buyer Financing Failure...Freshly painted penthouse quad waiting for you! Nice sized rooms. New doors throughout, New dishwasher (never used), 2 yr old furnace &amp; AC.  Frig 3 yrs, Stove &amp; HWH 6 yrs. In unit laundry. Triple door slider to balcony and windows on 3 sides so lots of light! Carpet just cleaned.  Investors welcome. FHA approved. Note taxes are without an exemption.  Priced to Sell!!</t>
  </si>
  <si>
    <t>Nancy Gasteiner</t>
  </si>
  <si>
    <t>630-533-8220</t>
  </si>
  <si>
    <t>Please put garage door opener back in cabinet if you look at garage.  Thx.  Leave card. Entrance is door to left of all garages.  Garage is the one on far right.</t>
  </si>
  <si>
    <t>Daniel</t>
  </si>
  <si>
    <t>Rte 23 to Foxpoint Drive to Daniel Ct to property on right, middle unit.</t>
  </si>
  <si>
    <t>39X72</t>
  </si>
  <si>
    <t>Immaculate Krpan built middle unit ranch townhome.  Eat in kitchen. Quality thru out.  All new carpet and freshly professionally painted.  Kitchen island, hardwood floors, appliances, gas fireplace, first floor utility room. Pella windows, bonus room that could be 3rd bedroom.</t>
  </si>
  <si>
    <t>14X29</t>
  </si>
  <si>
    <t>2.5% LESS $200. (on Gross SP)</t>
  </si>
  <si>
    <t>Call office/agent, short notice OK.</t>
  </si>
  <si>
    <t>Hoffman Realty</t>
  </si>
  <si>
    <t>(815) 522-3255</t>
  </si>
  <si>
    <t>Marlin Chaplin</t>
  </si>
  <si>
    <t>(815) 751-6355</t>
  </si>
  <si>
    <t>A pleasure to show.</t>
  </si>
  <si>
    <t>NE CORNER ARCHER &amp; WILLOW SPRNG RD, ENTRNCE @ WILLOW BLV</t>
  </si>
  <si>
    <t>BEAUTIFUL CONDO WITH UPGRADED KITCHEN W/ WHITE APPLIANCES AND GRANITE COUNTERS. PLENTY OF ROOM IN LIVG RM/DINING RM COMBO. LNDRY IN UNIT! OVERSIZED MBR W/ WALK-IN CLOSET &amp; FULL BATH! BALCONY, CENTRAL AIR, HEATED UNDERGROUND PARKING, EXERCISE RM, ROOFTOP DECK, SECURTIY &amp; ELEVATOR! INCLUDES A PRIVATE STORAGE UNIT / LOCKER IN GARAGE.  2 PETS ALLOWED, ONE DOG UNDER 20 LBDS. THIS BUILDING IS FHA AND VA APPROVED!!!</t>
  </si>
  <si>
    <t>2.5% - 325 (on Gross SP)</t>
  </si>
  <si>
    <t>email miller@millerchicagorealestate.com</t>
  </si>
  <si>
    <t>Miller Chicago LLC</t>
  </si>
  <si>
    <t>(815) 276-3248</t>
  </si>
  <si>
    <t>Andrea Miller</t>
  </si>
  <si>
    <t>CASH OFFERS MUST INCLUDE PROOF OF FUNDS. FINANCED OFFERS MUST INCLUDE PRE-APPROVAL</t>
  </si>
  <si>
    <t>Washington &amp; Atkinson, S2 Cherry Creek, W2 Ellsworth</t>
  </si>
  <si>
    <t>Bright &amp; Spacious w/Many upgrades!Newer appliances, 6 panel doors, 2 mstr bdrm suites w/ lrg walk-in &amp; his/her clsts,Cen humidifier,Kit has island w/brkfst bar seating &amp; addtl eating area, Finished English bsmnt could be 3rd bdrm/fam rm/off, located in a very private location of Cherry Creek,next to beautiful views of nature&amp;dead-end street,community has a gym/clubhouse &amp;always has been a pet free&amp;smoke free townhome</t>
  </si>
  <si>
    <t>CASS AVE 2 PLAINFIELD RD, WEST 2 DARIEN LAKE DR HOME</t>
  </si>
  <si>
    <t>RARELY AVAILABLE! BEAUTIFUL END UNIT 2 BEDRM &amp; A LARGE LOFT. TOTALLY REMODELED KITCHEN W/ GRANITE TILE COUNTERTOP &amp; BACK SPLASH, MASTER BATH W/WHIRLPOOL, HARDWOOD FLOOR THRU-OUT FIRST FL, VAULTED CEILING IN LIVING RM WITH REMOTE CONTROLLED SKYLIGHT OPENER &amp; FIREPLACE. CONCRETE PATIO, WOODED BACKYARD, LOTS OF PRIVACY! ENJOY THE POOL, PATH, &amp; LAKE! WOW!!!</t>
  </si>
  <si>
    <t>Party Room, Pool-Outdoors, Tennis Court/s, Whirlpool, Street Paved</t>
  </si>
  <si>
    <t>call and confirm with agent 630-915-3373</t>
  </si>
  <si>
    <t>Marylou Scala, ABR,CNC,GRI,SFR,SRS</t>
  </si>
  <si>
    <t>(630) 915-3373</t>
  </si>
  <si>
    <t>Please give some notice. Tenants are in and sometimes they don't confirm as quickly as we like.     Thank you!</t>
  </si>
  <si>
    <t>Lincoln Station</t>
  </si>
  <si>
    <t>RT34 to RT30 South to Proclamation Dr. Left on Lincoln Station to Unit</t>
  </si>
  <si>
    <t>195X106X195X106</t>
  </si>
  <si>
    <t>Beautifully Maintained Home~Bright &amp; Open Layout~2 Bedroom plus loft to convert to 3rd bedroom. Generous Master with His/Her Closets &amp; Shared Master Bath. Bright Living Rm/Dining Rm w/Pass through to Eat-in Kitchen,Slider to Balcony. Main Floor Laundry. Lower Level to host Family Room,Office, or Work-out Rm, Attached 2C Garage. High Rated Oswego Schools~Nature Area &amp; Trails~Close to Metra, Golf, Shopping &amp; More</t>
  </si>
  <si>
    <t>S (South), E (East), Lake/Water</t>
  </si>
  <si>
    <t>Call 855-919-0376Â  or use link; after hours text/ call L/A</t>
  </si>
  <si>
    <t>Marla Kubik, CNC,CSC</t>
  </si>
  <si>
    <t>(630) 339-4035</t>
  </si>
  <si>
    <t>630-347-4460 CELL</t>
  </si>
  <si>
    <t>Show &amp; Sell.  This home is Well Maintained and Move in Condition.  SF includes All Levels. Disclosures under "More Info."  Use booties or remove shoes. Turn off lights &amp; lock doors.  Leave card.  We appreciate feedback. Thanks</t>
  </si>
  <si>
    <t>Audra</t>
  </si>
  <si>
    <t>Alden of Waterford</t>
  </si>
  <si>
    <t>From Naperville: Ogden to Mont. Rd., rt. to Alden of Waterford Campus. Mont. Rd. and Waterford.</t>
  </si>
  <si>
    <t>Luxury independent living on 38 acre resort style senior continuum of care campus.  Campus includes restaurant, hair salon, activity centers, ice cream parlor, passes to Copley Health Plex, bus service, inside and outside maintenance. Baths with heated ceramic floors, walk-in shower in master bath, fireplace, sun room, pond view. Full schedule of activities! All new carpeting and paint.</t>
  </si>
  <si>
    <t>call 630.585.8047</t>
  </si>
  <si>
    <t>The Lakes at Waterford LLC</t>
  </si>
  <si>
    <t>Alden Realty Services Inc</t>
  </si>
  <si>
    <t>(773) 286-3030</t>
  </si>
  <si>
    <t>Jeanne Baker</t>
  </si>
  <si>
    <t>(312) 504-0435</t>
  </si>
  <si>
    <t>Rainier</t>
  </si>
  <si>
    <t>Grand to Rollins North to Rainier</t>
  </si>
  <si>
    <t>Wonderful sunny 2 bedroom, 2.5 bath townhome. Freshly painted and newly carpeted. Start packing! Move in ready!</t>
  </si>
  <si>
    <t>29X16</t>
  </si>
  <si>
    <t>Roosevelt Rd to Finley S to Point West E to building 1321</t>
  </si>
  <si>
    <t>HIGH END REHAB WITH SIMPLISTIC ELEGANCE W/DESIGNER TOUCHES. EXCLUSIVE DESIGN, AIR FLOW WALL IN FORMAL LIV &amp; DIN RM.COMPLETELY NEW MAPLE KITCHEN. GRANITE CT &amp; SS APPLAINCES.TOTALLY UPDATED FULL BATH &amp; MBR W/WIC AND HALF BATH. NEW CARPET,NEW FLRING, NEW  SCREENS &amp; PATIO DOOR, NEW A/C UNITS. WALK-IN CLOSET. MINUTES TO EXPRESSWAYS to I88 &amp; 355, SHOPPING,FINE DINING,YOU NAME IT. THIS IS HOME</t>
  </si>
  <si>
    <t>14X26</t>
  </si>
  <si>
    <t>Coin Laundry, Elevator, Storage, Pool-Outdoors, Security Door Locks, Sidewalks, Street Lights, Street Paved</t>
  </si>
  <si>
    <t>Showing Assist 855.746.9020</t>
  </si>
  <si>
    <t>Loyola</t>
  </si>
  <si>
    <t>Randall to South St. East to Loyola.</t>
  </si>
  <si>
    <t>Bank owned second floor condo. Spacious and roomy with an attached 1 car garage. Bring some paint and carpet and have a special place near RT 20, ECC and Randall Rd. Sold as is where is taxes prorated at 100% Buyer pays for any and all inspections.</t>
  </si>
  <si>
    <t>Buyers are responsible for past HOA dues, legal fees and late fees in the amount of $2,160.00 NON NEGOTIABLE. Use attached VA contract only. Multiple offers due no later then 10AM 10-13-14 No exceptions.  Buyer pays for sellers title policy</t>
  </si>
  <si>
    <t>THE PIERS</t>
  </si>
  <si>
    <t>CASS S. OF 63RD TO PIER DR., W.</t>
  </si>
  <si>
    <t>Sharp 1st floor condo in The Piers featuring 2 bedrooms, 2 full baths, including master suite with spacious closet, living room fireplace, hardwood floors, great sun room and a garage!  Home has been freshly painted and has a new stove/dishwasher/microwave and water heater!  This is a Fannie Mae HomePath property.</t>
  </si>
  <si>
    <t>Ford</t>
  </si>
  <si>
    <t>First St (Rte 31) N of Rte 38 to Ford, E to building</t>
  </si>
  <si>
    <t>ALBANY</t>
  </si>
  <si>
    <t>Gorgeous 2BR/2BA condo in River North. Second floor unit in secure building w/underground parking. 9' ceilings, open floor plan and neutral decor. Kitchen w/cherry cabinetry, breakfast bar, solid surface countertops &amp; stainless appliances. Adjacent formal dining room opens to large living room with French door to enclosed porch.  Perfect for entertaining &amp; relaxing. Generous master w/walk-in closet and private bath.</t>
  </si>
  <si>
    <t>Common Grounds, Landscaped Professionally, River Front, Water View</t>
  </si>
  <si>
    <t>Call 855-919-0377 *24-HR NOTICE, MUST CONFIRM</t>
  </si>
  <si>
    <t>Tenants require 60 days notice to vacate property.</t>
  </si>
  <si>
    <t>CRANDON</t>
  </si>
  <si>
    <t>10B</t>
  </si>
  <si>
    <t>STONEY ISLAND OR LAKE SHORE DRIVE TO 67TH ST TO CRANDON (DOOR ON CRANDON)</t>
  </si>
  <si>
    <t>EXCEPTIONAL REHAB NEAR COMPLETION. THIS 2 BED/2BATH LUXURY CONDO WITH BALCONY AND SPECTACULAR VIEWS FROM ALL WINDOWS, INCLUDING LAKE AND JACKSON PARK GOLF COURSE VIEWS CAN BE YOURS, WON'T LAST! GREAT SCHOOLS AND PUBLIC TRANSPORTATION, RIGHT AT LAKE SHORE DRIVE WITH SHOPPING NEARBY. CALL TODAY!</t>
  </si>
  <si>
    <t>Door Person, Coin Laundry, Elevator, Storage, Party Room, Curbs/Gutters, Gated Entry, Sidewalks, Street Lights, Street Paved</t>
  </si>
  <si>
    <t>Water, Common Insurance, Security, Doorman, TV/Cable, Exterior Maintenance, Lawn Care, Scavenger, Snow Removal</t>
  </si>
  <si>
    <t>Stephne Pettitt-Gaines</t>
  </si>
  <si>
    <t>(773) 612-3942</t>
  </si>
  <si>
    <t>Listing Office does NOT HOLD EMD, instructions provided upon contract. EMD certified funds only. Email offers with Proof of Funds FOR CASH OFFERS or Pre-Approval Letter FOR FINANCED OFFERS to Gaines@SPGaines.org or fax 773.493.5024.</t>
  </si>
  <si>
    <t>79th. street  to  fielding , No. to 78th.  East  to Address.</t>
  </si>
  <si>
    <t>ROW HOUSE</t>
  </si>
  <si>
    <t>50  X 125</t>
  </si>
  <si>
    <t>INVESTORS DREAM.Large row house situated on double lot on quiet street. 2 story features 2 beds (potentially 4) &amp; 3 baths.  Main floor consists of living, family w/ gorgeous fireplace, dining, kitchen, &amp; bath. 2nd floor has 2 beds, study, bath, &amp; full 2nd kitchen. Partially Finished basement w/ family rm, bath &amp; laundry. Close to transportation &amp; restaurants. Property sold as-is-where-is. Agents: see agent remarks</t>
  </si>
  <si>
    <t>2nd Kitchen, Den, Recreation Room, Sitting Room</t>
  </si>
  <si>
    <t>1/2 Duplex, Other</t>
  </si>
  <si>
    <t>$1250 (on Gross SP)</t>
  </si>
  <si>
    <t>Use showing assist. USE CAUTION FRONT STAIRWAY TO 2ND FLOOR MAY BE DANGEROUS. USE BACK STAIRWAY</t>
  </si>
  <si>
    <t>Infinity Realty Services 1 Inc</t>
  </si>
  <si>
    <t>Michelle Monino</t>
  </si>
  <si>
    <t>EMAIL offers/ pre-appr/ POF to BPO@expectre.com (Fax 630-480-0921 if no email). Please allow 2-3 days for seller response. SELLER SHALL NOT PROVIDE A SURVEY. SPECIAL ADDENDUMâ€™S &amp; DISCLOSURES SENT AFTER OFFER IS ACCEPTED. Sold as-is-where-is</t>
  </si>
  <si>
    <t>Newbury</t>
  </si>
  <si>
    <t>Newbury Village</t>
  </si>
  <si>
    <t>RT176 TO RIVER RD N TO BURNETT E TO NEWBURY TO #</t>
  </si>
  <si>
    <t>GALESBURG</t>
  </si>
  <si>
    <t>42X75</t>
  </si>
  <si>
    <t>2 BEDROOM, 2 FULL BATH RANCH WITH A 2 CAR GARAGE, CATHEDRAL CEILINGS, SKYLIGHTS, WOOD BURNING FIREPLACE, LAMINATE FLOORING IN LIVING ROOM. MASTER BEDROOM WITH MASTER BATH &amp; WALK-IN CLOSET. 2ND BEDROOM W/SLIDING DOORS TO PAVER BRICK PATIO &amp; FENCED YARD. NEW ROOF 08 &amp; FURNACE IN 2011. FINISHED 2 CAR GARAGE WITH SHELVES &amp; PULL DOWN STAIRS TO ATTIC.  AFFORDABLE LIVING CLOSE TO MANY CONVENIENCES.</t>
  </si>
  <si>
    <t>MATTHEWS MIDDLE SCHOOL</t>
  </si>
  <si>
    <t>Water-Softener Owned, CO Detectors, Ceiling Fan, Fan-Attic Exhaust</t>
  </si>
  <si>
    <t>Wood Burning, Attached Fireplace Doors/Screen, Includes Accessories</t>
  </si>
  <si>
    <t>USE SHOWING DESK</t>
  </si>
  <si>
    <t>Yolonda Moenning</t>
  </si>
  <si>
    <t>(847) 366-0494</t>
  </si>
  <si>
    <t>BACKYARD IS FENCED SO OWNER IS RESPONSIBLE FOR LAWN CARE INSIDE THE FENCE.  OWNERS WILL PROVIDE A CREDIT OR REPAIR THE DAMAGED COUNTERTOP AREA.</t>
  </si>
  <si>
    <t>OVERLOOK</t>
  </si>
  <si>
    <t>ROUTE 59 TO NORTH AURORA ROAD (W) TO GENESEE DR (N) TO OVERLOOK CT (E) TO HOME</t>
  </si>
  <si>
    <t>BREATHTAKING GOLF COURSE VIEW! LARGEST MODEL RANCH UNIT W/VAULTED CEILINGS &amp; OPEN FLRPLAN.  KITCHEN FEAT. 42" OAK CABINETRY, BLACK APPLS &amp; A BRKFST BAR.  FAMILY RM FEAT. COZY FIREPLACE W/STONE SURROUND, CANNED LIGHTS &amp; EXTERIOR DOOR TO BACKYARD DECK.  2ND BEDRM W/ADJACENT FULL BATH.  MASTER BEDRM W/VAULTED CEILING, CEILING FAN, WIC &amp; FULL BATH.  6 PANEL OAK DOORS &amp; TRIM, IN-UNIT LAUNDRY, ATT. 1 CAR GARAGE, WOW!! 204</t>
  </si>
  <si>
    <t>Call agent to show 630.637.2591</t>
  </si>
  <si>
    <t>Mary Beth Schultz</t>
  </si>
  <si>
    <t>(630) 637-2591</t>
  </si>
  <si>
    <t>Cavalier</t>
  </si>
  <si>
    <t>107A</t>
  </si>
  <si>
    <t>Rt 72 West of Rt 31 to Village Quarter Rd to Cavalier Ct.</t>
  </si>
  <si>
    <t>Water, Exterior Maintenance, Snow Removal, Other</t>
  </si>
  <si>
    <t>WASHINGTON &amp; ATKINS TO CAMBRIDGE L2 MANCHESTER</t>
  </si>
  <si>
    <t>PRICE REDUCTION!!! LOVELY TOWNHOME IN A DESIRABLE NEIGHBORHOOD, COLLEGE TRAIL. NEW CARPET&amp;FRESH NEUTRAL PAINT!BRIGHT LIVING &amp; DINING RM COMBO W/MULTI-SIDED FP. SPACIOUS KITCHEN W/EATING AREA &amp; SLIDERS TO BALCONY. ACCESS TO LAUNDRY RM FROM KIT. PLENTY OF CLOSET SPACE IN MASTER BR W/VAULTED CEILING.GREAT OPPORTUNITY TO EASILY CONVERT LOFT W/SKYLIGHTS TO 3RD BR! FINISHED LL PERFECT FOR FAMILY ROOM.2 CAR GARAGE.PETS OK!</t>
  </si>
  <si>
    <t>CALL LO FOR INSTRUCTIONS 857-295-0800. REMOVE SHOES/LEAVE CARD.</t>
  </si>
  <si>
    <t>*** THIS IS NOT UNDER A CONDO ASSOCIATION- FHA CAN BE ALLOWED PER HOA*** NEW WATER HEATER 2014. DISCLOSURES IN MLS</t>
  </si>
  <si>
    <t>KING DRIVE TO THE PROPERTY</t>
  </si>
  <si>
    <t>. THIS IIS A FANNIE MAE HOMEPATH PROPERTY VERY ATTRACTIVE UNIT IN WASHINGTON PARK. BEAUTIFUL COURT YARD BUILDING W/VIEW OF PARK, GRANITE KITCHEN COUNTERS,PRIVATE PATIO,IN-UNIT LAUNDRY.  DONT MISS OUT!</t>
  </si>
  <si>
    <t>Water, Parking, Security System, Exterior Maintenance, Lawn Care, Scavenger, Snow Removal</t>
  </si>
  <si>
    <t>THE SELLER DIRECTS THAT ALL OFFERS BE SUBMITED VIA HOMEPATH.COM  USE ATTACHED CONTRACT PKG FOR EASE OF SUBMISSION</t>
  </si>
  <si>
    <t>Farmington</t>
  </si>
  <si>
    <t>BUTTERFIELD&amp;RT60 S2 PLYMOUTHFARMS E2 RUSSET S2FARMINGTON</t>
  </si>
  <si>
    <t>HUD OWNED HOME CASE # 137-573585. AN EQUAL HOUSING OPPORTUNITY. ALL HUD HOMES ARE SOLD AS-IS.  2 BED, 1.1 BATH, GARAGE.  CHECK OUT THE HUDHOMESTORE SITE FOR MORE INFO.  HOA IS $180 PER MONTH</t>
  </si>
  <si>
    <t>Agents with Active NAID# can submit offers at www.HUDHOMESTORE.com/Buyer responsible for ALL City or Village inspection or requirements/Check eligible bidder status and property condition report/CHECK ADDL INFO FOR BIDDING PROCESS</t>
  </si>
  <si>
    <t>Balboa</t>
  </si>
  <si>
    <t>Route 12 to State Park Road to Grass Lake Rd, East to entrance of Leisure Village</t>
  </si>
  <si>
    <t>Live the Leisure Village lifestyle in this gated over 55 community with country club amenities including golf course, swimming pool, tennis courts, workout room, lakes, fishing, and more!  Immaculate Granada model features 2 bedrooms and 2 baths plus sunny eat-in kitchen plus formal dining room and living room, 1+ car attached garage, and this one is a very private end unit.</t>
  </si>
  <si>
    <t>Golf Course, On Site Manager/Engineer, Party Room, Pool-Outdoors, Tennis Court/s, Gated Entry, Sidewalks, Street Lights, Street Paved</t>
  </si>
  <si>
    <t>Electric, Baseboard, Radiant</t>
  </si>
  <si>
    <t>Swedberg</t>
  </si>
  <si>
    <t>Please call/text LAG with any questions 847-309-8192.</t>
  </si>
  <si>
    <t>Pulaski to 76th St, west to address.</t>
  </si>
  <si>
    <t>SELLER FINANCING AVAILABLE, PRIVATE SELLER IS OWNER   CAN CLOSE QUICK!   Recent rehab 2 bedrooms, 2 full bath with granite counter tops, NEW stainless steel kitchen appliances include stove, refrigerator, dish washer, microwave, plenty cabinets for food storage.  Washer and dryer hook-up in the unit. Balcony with large sliding glass doors. Carpet in bedrooms.  Nothing to do to this one. Move in ready! MAKE AN OFFER.</t>
  </si>
  <si>
    <t>Conventional, VA, Owner May Help/Assist, Purchase Money Mortgage</t>
  </si>
  <si>
    <t>Ronald Dunkel</t>
  </si>
  <si>
    <t>Sherman Tidwell</t>
  </si>
  <si>
    <t>(312) 216-8660</t>
  </si>
  <si>
    <t>List price is a CASH PRICE OFFER. CALL AGENT FOR DETAILS REGARDING SELLER FINANCED SALE PRICE AND TERMS.  Agent must accompany all clients. Condo Assoc: Heil, Heil Smart &amp; Co, Courtyard In Ford City 847 866-7400</t>
  </si>
  <si>
    <t>RTE 34 W2 RTE 30 W2 BRIARCLIFF RIGHT TO MANNING</t>
  </si>
  <si>
    <t>HEATHER</t>
  </si>
  <si>
    <t>Move in ready!  Beautiful townhome with many unique features including lighting, ceiling fans, colors and kitchen wine bar.  Customized deck creates an additional space. Movable Ethanal fireplace in Living Rm. 2 Master Suites upstairs with laundry.  All SS Appliances stay.  Great kitchen with 42" cabinets, island and wine bar. Newer Ceramic flooring baths and hardwood  floored foyer.  2 car garage</t>
  </si>
  <si>
    <t>call CSS at 877-977-1010</t>
  </si>
  <si>
    <t>Nancy Bamforth, CNC,CSC</t>
  </si>
  <si>
    <t>(630) 542-8050</t>
  </si>
  <si>
    <t>Clean and decorated very well.  Ask Nancy B about the "moveable" fireplace.  Not a short sale or foreclosure.</t>
  </si>
  <si>
    <t>67TH STREET TO SOUTH SHORE DR. TO 6730</t>
  </si>
  <si>
    <t>175X124</t>
  </si>
  <si>
    <t>2 BR CONDO.  SOLD AS IS! NEEDS COMPLETE REHAB. SHORT SALE.  ROOM SIZES ARE ESTIMATED.  (Buyer MAY have to pay ASS. Fee's )</t>
  </si>
  <si>
    <t>$500 (on Gross SP)</t>
  </si>
  <si>
    <t>24 HR. NOTICE EMAIL LISTING AGENT</t>
  </si>
  <si>
    <t>Cheryl A Chalmers</t>
  </si>
  <si>
    <t>(773) 965-1443</t>
  </si>
  <si>
    <t>773-965-1443</t>
  </si>
  <si>
    <t>CC: Pursuant to Short Sale. OWNER OCCUPANT BUYER ONLY, AS HOA HAS REACHED RENTAL CAP OF 20%.</t>
  </si>
  <si>
    <t>QUEENS</t>
  </si>
  <si>
    <t>WOLF RD NORTH OF 31ST, RIGHT INTO COURTYARDS OF WESTCHESTER, LEFT ON QUEENS CT.</t>
  </si>
  <si>
    <t>EDMONTON</t>
  </si>
  <si>
    <t>RARE OFFERING OF 2 BEDROOM UNIT PLUS FAMILY ROOM AND DEN! CUSTOM MAHOGANY WOODWORK SURROUNDING FIREPLACE IN LIVING ROOM. ENTIRE UNIT NEWLY PAINTED AND CARPETED IN WARM NEUTRAL TONES. DEN HAS MAPLE CABINETRY, MAHOGANY WOODWORK AND WET BAR, BUT CAN EASILY BE USED AS A GUESTROOM, OFFICE AND/OR 3RD BEDROOM. NORTH, SOUTH AND EAST EXPOSURES!!!</t>
  </si>
  <si>
    <t>USE SHOWING ASSIST TO MAKE AN APPOINTMENT</t>
  </si>
  <si>
    <t>Lisa Morrissy</t>
  </si>
  <si>
    <t>(708) 588-2071</t>
  </si>
  <si>
    <t>NEWLY PAINTED AND CARPETED. CHAIR LIFT INCLUDED BUT OWNER WILL REMOVE AT HIS OWN EXPENSE. DOORS TO BEDROOMS TO BE INSTALLED IN THE NEXT FEW WEEKS.</t>
  </si>
  <si>
    <t>51st</t>
  </si>
  <si>
    <t>S. Lake Shore Drive to 51st St.; 51st St. west to 652 East 51st St</t>
  </si>
  <si>
    <t>Spacious 2BR, 2BA condo in a quiet building across the street from historic Washington Park. Original woodwork throughout. Large rooms. Updated baths. Prvt dressing room and huge master bath off of master BR. Generous closet space. Separate dining room, sun porch and den. Extremely reasonable on-site garage parking available.</t>
  </si>
  <si>
    <t>Den, Foyer, Sun/Florida Room</t>
  </si>
  <si>
    <t>24-hour notice</t>
  </si>
  <si>
    <t>Molly Bartlett</t>
  </si>
  <si>
    <t>(773) 691-6952</t>
  </si>
  <si>
    <t>On-sight garage available to buyer for $25/month. Strong condo association, self-managed. Spacious condo with original woodwork throughout. Easy to show. Great investment opportunity!</t>
  </si>
  <si>
    <t>Maple West of Rt 53 to E Lake south to the property.  Parking spot at 96-1 is assigned spot for unit</t>
  </si>
  <si>
    <t>Lake View Top Floor Condo on Peninsula in desirable Four Lakes Community. 2 BR, updated(2012) 1BA unit has breathtaking views. Sliding glass doors have been replaced with Anderson energy efficient. (2013) Only Unit in Four Lakes with 2 skylights! Fireplace, Bar, Washer/Dryer in unit, New (2013) Water Heater. One assigned parking spot. 4 Pools, ski hills, restaurant, so much to do right here.  Don't wait to live here!</t>
  </si>
  <si>
    <t>Bike Room/Bike Trails, Boat Dock, On Site Manager/Engineer, Pool-Outdoors, Restaurant, Tennis Court/s</t>
  </si>
  <si>
    <t>(815) 838-7030</t>
  </si>
  <si>
    <t>Allyson Fernandes</t>
  </si>
  <si>
    <t>(815) 790-4369</t>
  </si>
  <si>
    <t>There is a storage unit in the hallway of the unit, if the buyer would like to see the inside, please call the LA for code.</t>
  </si>
  <si>
    <t>Randall to McKee. East to Western. South to Georgetown. East to 1306</t>
  </si>
  <si>
    <t>Loaded with custom features! New flooring in the living/dining room &amp; 1st floor master! 6 panel wood doors and wood trim throughout, custom oak staircase &amp; railing, extended kitchen cabinetry. Over sized master w/walk in shower,  soaking tub &amp; 2 closets.  Easy conversion of the loft to 3rd bedroom. Expand into the extended 2nd floor storage space.  End unit w/2 story living/dining rooms. Enjoy the patio. 2 car garage</t>
  </si>
  <si>
    <t>Call Showing Time 800-746-9464. Selling agent must accompany.</t>
  </si>
  <si>
    <t>630-674-5565</t>
  </si>
  <si>
    <t>Symphony Meadows</t>
  </si>
  <si>
    <t>120 to Gilmer Road. South on Gilmer 1 mile to sales office (on Right) 280 Minuet Circle, Volo.</t>
  </si>
  <si>
    <t>NORFOLK - LOT 1843</t>
  </si>
  <si>
    <t>20X67</t>
  </si>
  <si>
    <t>ACTV</t>
  </si>
  <si>
    <t>Popular "City Style Townhome" - Has an open living / dining room.  Open kitchen with deck.  2 master suites with attached bathrooms upstairs.  Finished room in the lower level.  2 car attached garage with storage space.  Great location by the beautiful entry and park grounds.  This is a must see - Ready for move in! We have our own lender (DHI Mortgage) for a smooth financing experience.</t>
  </si>
  <si>
    <t>Park/Playground, Curbs/Gutters, Sidewalks, Street Lights, Other</t>
  </si>
  <si>
    <t>3% ON NET PRICE. (on Net SP)</t>
  </si>
  <si>
    <t>Register at sales office - 280 Minuet Circle, Volo - 847-984-4934.  Call for apt. - Open everyday!</t>
  </si>
  <si>
    <t>DR Horton Homes</t>
  </si>
  <si>
    <t>Register at sales office - 280 Minuet Circle, Volo - 847-984-4934.  Open everyday! Use DHI Mortgage for a smooth financing experience.  VA and FHA loans ok.</t>
  </si>
  <si>
    <t>Hwy 59, N of 22 &amp; Miller to Main LBS Entrance, Ask Guard for Directions.</t>
  </si>
  <si>
    <t>SALEM</t>
  </si>
  <si>
    <t>2-Bedroom, 2.2 Bath, 2-Car Garage SALEM Townhouse, featuring a Main-Level Family Room with a 'Floor-to-Ceiling' Woodburning Fireplace. Great Parklike Golf Course Location &amp; Views. Beautiful 'Private' Courtyard/Deck Entrance. Full-Finished Lower Level Walk-Out with a 2nd Fireplace &amp; Office/Possible 3rd Bdrm. Upstairs Bathrooms Totally Renovated. Building recently Re-Stained with newer Roof. Great Location. Great Home</t>
  </si>
  <si>
    <t>Bike Room/Bike Trails, Exercise Room, Golf Course, Park/Playground, Pool-Indoors, Pool-Outdoors, Restaurant, Tennis Court/s, Whirlpool, Gated Entry, Street Paved</t>
  </si>
  <si>
    <t>Water, Parking, Common Insurance, Security, TV/Cable, Exercise Facilities, Pool, Exterior Maintenance, Lawn Care, Scavenger</t>
  </si>
  <si>
    <t>Eating Area, Foyer, Office, Recreation Room, Other</t>
  </si>
  <si>
    <t>Unit feels like an End Unit &amp; features a 'Bose' Sound System &amp; Stainless Steel Appliances. Totally Re-Painted.  Buyer makes 3-mo reserve contribution with sale. It's 'Heaven in Condo Seven' where this UNIQUE LBS townhouse is located.</t>
  </si>
  <si>
    <t>RT 34 to Farnsworth to Summerlin</t>
  </si>
  <si>
    <t>HUD CASE #137-318119.  ALL HUD ACQUIRED PROPERTIES ARE SOLD â€AS ISâ€.  An Equal Housing Opportunity. ALL INFORMATION DEEMED RELIABLE BUT NOT GUARANTEED. INSURED STATUS:IN, REPAIR ESCROW $0.  203K ELIGIBLE. HUD ELECTRONIC AUCTION. USE HUD KEY. DISCLOSURES, LBP, PROPERTY CONDITION REPORT, HOW TO BID PROCEDURE PLEASE SEE SHOWING INSTRUCTIONS &amp; AGENT REMARKS. BUYER RESPONSIBLE FOR CITY INSPECTIONS, UTILITY TURN-ONS.</t>
  </si>
  <si>
    <t>Your Confirmed, Use HUD Keys, TAKE FLASHLIGHTS.</t>
  </si>
  <si>
    <t>Contract Package with Earnest Money (Certified Funds) has to be at  Office before 3pm. Agents with a valid NAID # can submit offer at www.hudhomestore.com, read bidding info, HELP. Verify listing information, listing broker not responsible.</t>
  </si>
  <si>
    <t>SOUTH</t>
  </si>
  <si>
    <t>RANDALL RD EAST ON SOUTH ST</t>
  </si>
  <si>
    <t>This desirable main floor unit features 2 bedrooms plus 2 baths. Open floor plan. Cozy fireplace in the livingroom. Seperate rear entrance plus nice patio area. This is a Homepath property.</t>
  </si>
  <si>
    <t>USE 6.0 CONTRACT, GOT TO HOMEPATH.COM DOWNLOAD ADDENDUMS AND OWNER OCCUPANCY CERT AND SUBMIT OFFER.</t>
  </si>
  <si>
    <t>J</t>
  </si>
  <si>
    <t>WASHINGTON S OF 75TH TO BAILEY E TO OLIVE TREES COMPLEX</t>
  </si>
  <si>
    <t>BRIGHT AND NEW UNIT! NEW WOOD FLOORS THROUGH OUT! ENTIRE UNIT HAS BEEN UPDATED! BRIGHT &amp; OPEN KITCHEN WITH LIGHTING GALORE! BATHROOMS WITH NEW TILE! LAUNDRY IN UNIT! NEW PAINT! THIS UNIT IS CLEAN AND READY TO MOVE IN!! ASSESSMENT INCLUDES: POOL, TENNIS COURTS, EXERCISE ROOM, HEAT &amp; EXTERIOR MAINTENANCE! MINUTES TO THE "NAPERVILLE RIVERWALK PATH" CLOSE TO SHOPPING, TRAIN, BUS, EXPRESSWAYS.</t>
  </si>
  <si>
    <t>Coin Laundry, Exercise Room, Storage, Pool-Outdoors, Security Door Locks, Tennis Court/s, Sidewalks, Street Lights, Street Paved</t>
  </si>
  <si>
    <t>Manager Off-site, Manager On-site</t>
  </si>
  <si>
    <t>Closing, Immediate, Negotiable, Specific Date, Other</t>
  </si>
  <si>
    <t>Conventional, FHA, VA, Owner May Help/Assist, Cash Only, Other</t>
  </si>
  <si>
    <t>MUST CONFIRM WITH LIST AGENT (630) 544-0072</t>
  </si>
  <si>
    <t>Brian Evans</t>
  </si>
  <si>
    <t>(630) 544-0072</t>
  </si>
  <si>
    <t>UNIT IS CURRENLTY RENTED UNTIL SEPT 30 2015. LEASE CAN BE BROKEN WITH PROPER NOTICE.</t>
  </si>
  <si>
    <t>Bartholdi</t>
  </si>
  <si>
    <t>Gary Ave South of Army Trail Rd to Lies Rd West to Fountain View Dr North to Bartholdi</t>
  </si>
  <si>
    <t>0X0X0X0</t>
  </si>
  <si>
    <t>Nice 2 bedroom 2.1 bath two story unit that is in move in condition. This property features a 2 car garage, fireplace, partial basement, new light fixtures, new appliances and has been freshly painted throughout. Just minutes from public transportation.</t>
  </si>
  <si>
    <t>All offers to be submitted by selling agent only through propoffers.com</t>
  </si>
  <si>
    <t>Cedar Crossing</t>
  </si>
  <si>
    <t>RT 132 &amp; 83 S2 Park E2 Berkshire N2 #</t>
  </si>
  <si>
    <t>CALDWELL</t>
  </si>
  <si>
    <t>.0905 ACRES</t>
  </si>
  <si>
    <t>Exquisite end unit town home in Cedar Crossings II. Designer colors with upgraded amenities. Kitchen has SS appliances, Corian counters, 42" cherry Cabs. Vaulted ceiling in Family rm. w/ fireplace. Main floor laundry. Hardwood downstairs, carpet up. Master has vaulted ceilings, full bath, w/soaker tub. 2 BR's, 2.5 baths, loft currently used as office. Wood blinds &amp; shades. Full bsmt. Perfect condition, move in ready.</t>
  </si>
  <si>
    <t>Humidifier, Water-Softener Owned, TV-Dish, Sump Pump</t>
  </si>
  <si>
    <t>24 hours notice best, must make appt. and be confirmed</t>
  </si>
  <si>
    <t>Dave Korpieski</t>
  </si>
  <si>
    <t>678 428 4334</t>
  </si>
  <si>
    <t>Very upscale appointments make this an easy to show property. Bring your fussy clients, this is special. Pre-approval w/ all offers.</t>
  </si>
  <si>
    <t>IRVING PARK ROAD TO MADISON NORTH TO TYLER EAST TO HOME</t>
  </si>
  <si>
    <t>DON'T MISS THIS TWO BEDROOM RANCH TOWNHOME! FIREPLACE IN LIVING ROOM! PRIVATE PATIO WITH VIEWS OF GOLF COURSE. CLOSE TO SHOPPING AND SCHOOLS. JUST A SHORT DRIVE TO I-90. THIS IS A FANNIE MAE HOMEPATH PROPERTY.</t>
  </si>
  <si>
    <t>SUSSEX SQUARE</t>
  </si>
  <si>
    <t>IRVING PARK (19) W OF BARTLETT RD TO BRITTANY N TO 197 B</t>
  </si>
  <si>
    <t>CATHEDRAL ceilings and SKYLIGHTS make this END UNIT light and bright! Wood laminate in Foyer AND kitchen! 42 inch Glazed MAPLE cabinets! NEW microwave! NEW neutral carpeting throughout the home! One level on second floor overlooking open area! NEW updated lighting! NEW roof! NEW water heater! Walking path throughout complex! Long driveway! NOT a short sale just priced like one!</t>
  </si>
  <si>
    <t>16X2</t>
  </si>
  <si>
    <t>Laura Browere</t>
  </si>
  <si>
    <t>(847) 348-1288</t>
  </si>
  <si>
    <t>Heritage Place</t>
  </si>
  <si>
    <t>Rte 21 ~ North of Rte 176 ~ East to Church St ~North on 1st to Entrance of Complex</t>
  </si>
  <si>
    <t>First Time on the Market!! Spacious 2,088 Sq Ft Condo in the Highly Desired Heritage Place ~ 2 Bedrooms &amp; 2 1/2 Bathrooms!! Large Kitchen with Breakfast Bar Open to Living &amp; Dining Area ~ Den with French Doors ~ Large Master Suite with Sitting Area, Huge Walk In Closet, Master Bath ~ Two Balconies ~ Loads of Storage ~ 2 Indoor Parking Spots and 2 Storage Units!!! All Within Walking Distance to Downtown Libertyville!</t>
  </si>
  <si>
    <t>BUTTERFIELD SCHOOL</t>
  </si>
  <si>
    <t>Heat, Water, Gas, Parking, Common Insurance, TV/Cable, Exterior Maintenance, Lawn Care, Scavenger, Snow Removal</t>
  </si>
  <si>
    <t>Den, Foyer, Sitting Room</t>
  </si>
  <si>
    <t>Security System, Intercom, Fire Sprinklers, CO Detectors</t>
  </si>
  <si>
    <t>2.5% - $295.00 (on Net SP)</t>
  </si>
  <si>
    <t>Call Showing Desk (855)746-9020</t>
  </si>
  <si>
    <t>Margaret Styler</t>
  </si>
  <si>
    <t>(224) 715-1451</t>
  </si>
  <si>
    <t>Original Owners ~ Imagine the Possibilities ~ Can Close Quickly</t>
  </si>
  <si>
    <t>Oak Park</t>
  </si>
  <si>
    <t>E12</t>
  </si>
  <si>
    <t>63rd to Oak Park Ave , S to address</t>
  </si>
  <si>
    <t>Spotless!  Great condo, in well maintained complex.  Features Hardwood floors in Living Room, &amp; both bedrooms.  Updated kitchen with Oak Cabinets, new ceramic floor.  New windows thru out.  Updated Bath, with Oak vanity  Private Balcony.  Unit has its own furnace (2004) &amp; C/A (on roof)  -  The assessments includes:  Heat &amp; Cooking Gas - average electric bill - $30.00- Storage in Lower Level.</t>
  </si>
  <si>
    <t>2.5% -100 (on Net SP)</t>
  </si>
  <si>
    <t>(773) 735-6000</t>
  </si>
  <si>
    <t>Julie Anderson, GRI</t>
  </si>
  <si>
    <t>(773) 263-7852</t>
  </si>
  <si>
    <t>Complex has ample reserves, very well maintained. Unit has it's own furnace - but the monthly maintenance includes  cost of heating and cooking Gas. 2nd floor - Unit 12- new ceramic tile for kitchen-seller will install or give buyer a credt</t>
  </si>
  <si>
    <t>Hwy 41 &amp; Rte 137 W2 Frontenac S2 Beacon W2 3337</t>
  </si>
  <si>
    <t>Resort Like Feeling. Immaculate &amp; Spacious Condo in best location in the sub-division: Pond View, Completely redone - Newer Upgraded bright Kitchen, stainless steel appls, Hardwood Flrs in LV,DR,Kitchen, Ceramic tiles, Newer Windows, Carpet, Recessed Light, 6 Panel Doors, Baths, Furnace, Loft or 2 Bedrm, 2 Balconies, Closet Organizers, Mirror Closet doors, Cozy FP,Extra Attic Space,Much more, Must see this sharp home</t>
  </si>
  <si>
    <t>GREENBAY ELEMENTARY SCHOOL</t>
  </si>
  <si>
    <t>NORTH CHICAGO COMMUNITY HIGH SCHOOL</t>
  </si>
  <si>
    <t>Frame, Other</t>
  </si>
  <si>
    <t>Call 847-878-6558 for appointment</t>
  </si>
  <si>
    <t>Joan Wayman, Inc.</t>
  </si>
  <si>
    <t>(630) 747-5250</t>
  </si>
  <si>
    <t>Michael Devlin</t>
  </si>
  <si>
    <t>(708) 912-6676</t>
  </si>
  <si>
    <t>No more showings at this time.</t>
  </si>
  <si>
    <t>Meadow</t>
  </si>
  <si>
    <t>Rt 53 (S) of Maple to Four Lakes Dr. west up the hill to Meadow left to 5933 - 2nd drive on right</t>
  </si>
  <si>
    <t>Private &amp; serene, true 2 bedroom, end unit town home w/garage!! Granite counters, white cabinets with all appliances. 2-story living room w/fireplace built-in shelving. 1st floor laundry. Vaulted ceiling &amp; built-in additional closet space. Custom brick patio offers nature views - great for entertaining. Four Lakes features: ski hill, sand volleyball courts, lakes w/paddle-row boats, 4 pools, lodge w/restaurant &amp; bar.</t>
  </si>
  <si>
    <t>Bike Room/Bike Trails, Boat Dock, Golf Course, Health Club, Park/Playground, Pool-Outdoors, Restaurant, Tennis Court/s, Street Lights, Street Paved</t>
  </si>
  <si>
    <t>Click "Schedule A Showing" link below.</t>
  </si>
  <si>
    <t>Chi</t>
  </si>
  <si>
    <t>630-674-9209</t>
  </si>
  <si>
    <t>Michele Nixon, CNC</t>
  </si>
  <si>
    <t>(630) 674-9209</t>
  </si>
  <si>
    <t>Easy to show. Seller will provide home warranty. Relocation addendums to be included in offer. Language needs to be added to contract: "Rider to purchase agreement attached to and made part of this contract."</t>
  </si>
  <si>
    <t>RTE. 47S OF I-88. TURN E ON ROLLING OAKS, TURN N TO UNIT</t>
  </si>
  <si>
    <t>Warm &amp; Inviting Sugar Grove TH Nestled on Quiet Dead End! Welcome Home! Birch Model - Sunny Kitchen w/ All Appliances Included! Pretty Bay Dining Area Opens to 2 Story Family Room w/ Wood Laminate Floors! Master Suite w/ Bath Access &amp; Huge Walk In Closet  Plus Bump Out Storage Area! 2nd Spacious Bedroom &amp; Convenient Loft area for Desk/Reading Nook! 1st Fl Utility &amp; 2 Car HEATED Garage! No Neighbors Behind! CUTE!!</t>
  </si>
  <si>
    <t>Call Showing time 855-919-0376</t>
  </si>
  <si>
    <t>Please exclude Garage Shelving</t>
  </si>
  <si>
    <t>CONGDON</t>
  </si>
  <si>
    <t>SHOE FACTORY LOFTS</t>
  </si>
  <si>
    <t>I90 TO RT 25 SOUTH TO CONGDON EAST TO HOME</t>
  </si>
  <si>
    <t>CITY STYLE LOFT LIVING IN RENOVATED 1891 SHOE FACTORY BLDG. FULLY RESTORED 3 STY TOWNHOUSE BOASTING ORIGINAL BEAUTY &amp; CHARACTER...EACH FLOOR OFFERING 11-14' CEILINGS W/EXPOSED BRICK &amp; BEAMS &amp; ORIGINAL HARDWOOD FLOORS. 1ST FLR FAMILY RM &amp; OFFICE. 2ND FLR LIV/DIN RM, KITCHEN W/MAPLE CABS &amp; BREAKFAST BAR. BEAUTIFUL GROUNDS &amp; PATIO. GARAGE PARKING &amp; LOTS OF GUEST PARKING! JUST MINUTES FROM 1-90 &amp; EASY ON/OFF.</t>
  </si>
  <si>
    <t>Call ShowingTime 855-746-9020</t>
  </si>
  <si>
    <t>Laura Balistreri</t>
  </si>
  <si>
    <t>(847) 809-2770</t>
  </si>
  <si>
    <t>SPRINGBROOK COURTYARDS</t>
  </si>
  <si>
    <t>DOUGLAS RD S OF RT30 TO FARMINGTON LAKE E TO SPRINGBROOK S.</t>
  </si>
  <si>
    <t>LOVELY END UNIT WITH LOTS OF LIGHT-WINDOWS ON THREE SIDES AND 2 CAR GARAGE. BRIGHT MASTER BATH. TWO BEDROOM PLUS LOFT, NEWER FLOORS 1ST FLOOR. UNIT IS NICE, BUT NEEDS PAINT AND CARPET. PLEASE ALLOW 24 HRS NOTICE FOR ALL SHOWINGS. TEXT LA FOR APPROVAL TO SHOW AND LOCKBOX CODE.</t>
  </si>
  <si>
    <t>Text LA at 773-520-5205 for instruction. Owner occupied, must have 24 hours notice.</t>
  </si>
  <si>
    <t>Element 78 Realty, LLC</t>
  </si>
  <si>
    <t>(312) 405-7277</t>
  </si>
  <si>
    <t>Robert O'Brien</t>
  </si>
  <si>
    <t>CC: Pursuant to Short Sale. CC: Pursuant to Short Sale. Text LA at 773-520-5205 for instruction. Owner occupied, must have 24 hours notice prior to any showings.</t>
  </si>
  <si>
    <t>Cobblestone</t>
  </si>
  <si>
    <t>Rt 25 S of Algonquin Rd. to Silverstone Parkway to Cobblestone Dr.</t>
  </si>
  <si>
    <t>Regular Sale - Popular Silverstone Lake subdivision-  Huge living room w/brick gas fireplace. Open floor plan, dining room w/slider to patio and backyard, pond, and bike path . Great kitchen w/breakfast bar. The huge loft/family room w/recessed lights &amp; paddle fans is being used as a third bedroom-easily transformed. Vaulted master w/shared bath.Laundry room on 2nd level. Lake views, bike trails &amp; more</t>
  </si>
  <si>
    <t>Common Grounds, Lake Front, Landscaped Professionally, Water View</t>
  </si>
  <si>
    <t>Call showing Time 855-746-9200</t>
  </si>
  <si>
    <t>847-204-6273</t>
  </si>
  <si>
    <t>Buyer no show for closing! FHA APPROVED!!  PLEASE EXCLUDE DRAPES, RODS, AND  HUMIDIFIER AS IS.</t>
  </si>
  <si>
    <t>Deer Crossing</t>
  </si>
  <si>
    <t>75th (W of Modaff) to Shepherd S to Havenshire W to Home</t>
  </si>
  <si>
    <t>EXPERIENCE THE WARMTH OF SUNSHINE STREAMING THRU THE STACKED 2-STORY WINDOWS BRINGING NATURAL LIGHT TO AN OPEN VERSATILE FLOOR PLAN!  SO MUCH TO ENJOY: FROM RICH CHERRY CABINETRY..TO OVERSIZE NATURAL STONE TILES THRU-OUT..TO THE CATHEDRAL MASTER SUITE WITH HUGE WALK-IN CLOSET..PLUS MASTER BTH WITH SOAKING TUB, LUXURIOUS DOUBLE SHOWER &amp; DUAL RAISED VANITIES. GREAT NEIGHBORHOOD NEAR WALKING/BIKING &amp; DOWNTOWN NAPERVILLE</t>
  </si>
  <si>
    <t>CALL LA 630-747-6375, LEAVE MSG WITH AGENT ID, GO &amp; SHOW. ON SENTRILOCK. NO ONE DAY CODES.</t>
  </si>
  <si>
    <t>Virginia Valentino</t>
  </si>
  <si>
    <t>(630) 747-6375</t>
  </si>
  <si>
    <t>WE SOLD THIS IN SPRING AND DEAL FELL DUE TO BUYER FINANCING.  WE HAVE SINCE REDUCED PRICE DUE TO MARKET CONDITIONS.  THIS IS A BEAUTIFUL HOME IN A GREAT NEIGHBORHOOD.  EASY TO SHOW AND SELL!!!  BRING US AN OFFER!  VACANT SO QUICK CLOSE.</t>
  </si>
  <si>
    <t>LSD or Dan Ryan to Pershing, Michigan 1way south to 4101</t>
  </si>
  <si>
    <t>Approved buyers only w/ pre-approval letter! Check out this modern style loft, featuring high ceilings, bl/gry slated fire/pl,new cosmo frosted door's on both bdrms, diamond-fusion shower door's, hrdwd fl's, cyclone pedestal ceiling fans, new silver tip glass kitchen bk splash, gry cellular wdow coverings, nw carpet &amp; a garage space included. Located by the new LA fitness, Mariano's, public transportation, and more.</t>
  </si>
  <si>
    <t>Parking, Common Insurance, Exterior Maintenance, Scavenger, Snow Removal</t>
  </si>
  <si>
    <t>Condo-Loft, Low Rise (1-3 Stories)</t>
  </si>
  <si>
    <t>Owner will not confirm any request w/out approval letters. 48 hour notice. Text Carlas 773-329-6648</t>
  </si>
  <si>
    <t>Prince Realty Group LLC</t>
  </si>
  <si>
    <t>(773) 329-6648</t>
  </si>
  <si>
    <t>Carlas Gilbert</t>
  </si>
  <si>
    <t>This owner will only allow showings with proof of pre-approval. No exceptions. Please send approval letters to gilbertcarlas@yahoo.com upon showing request.</t>
  </si>
  <si>
    <t>723B</t>
  </si>
  <si>
    <t>Route 59 N of Miller to LBS entrance on left to 723B Shoreline</t>
  </si>
  <si>
    <t>Fabulous views looking straight down the Main lake, New Carpet ,New paint, New Kitchen with Cream Glaze cabinets Granite, Hardwood,Stainless Steel appliances,new baths with Mocha cabinets and Marble tops, new tile, 2 beds with Den with Built-ins, Sunroom with new wet bar with Granite,Vaulted Ceiling thru-out, New roof, 3 skylites, 2 CAR GARAGE, buyer pays 3 months surcharge, agent owned</t>
  </si>
  <si>
    <t>Bike Room/Bike Trails, Boat Dock, Exercise Room, Golf Course, Health Club, On Site Manager/Engineer, Park/Playground, Party Room, Sundeck, Pool-Indoors, Pool-Outdoors, Tennis Court/s, Gated Entry, Street Paved</t>
  </si>
  <si>
    <t>Humidifier, Water-Softener Owned, TV-Cable</t>
  </si>
  <si>
    <t>call 1-855-746-9100</t>
  </si>
  <si>
    <t>Joyce O'Sullivan</t>
  </si>
  <si>
    <t>(847) 204-7448</t>
  </si>
  <si>
    <t>$17.28 monthly increase for 10 years for Rec Center rehab</t>
  </si>
  <si>
    <t>Cedar lake Rd. to town lake Rd. to Curran to providence to Aldridge to home</t>
  </si>
  <si>
    <t>42 X 140</t>
  </si>
  <si>
    <t>One Level  Duplex ,Two Bedrooms and two Full Bathrooms  which includes Master Bedroom with bathroom and walk in closet. Attached garage and large yard close to park.   Sold as is, No survey, 100% Tax Pro rations and Buyer pays all inspections.</t>
  </si>
  <si>
    <t>Call 1-800-746-9464 Easy to show on Lock box</t>
  </si>
  <si>
    <t>CL  Dennis Gilbert 847-602-6800</t>
  </si>
  <si>
    <t>Go to WWW.HOMESTORE.COM to place bid. Buyers Broker Must have NAID# to place bid. Check Eligible Bidder Status &amp; Property Condition report. Info should be Verified. Case# 137-221800.</t>
  </si>
  <si>
    <t>olive trees</t>
  </si>
  <si>
    <t>Great Condo In A Great Neighborhood.</t>
  </si>
  <si>
    <t>5th Bedroom</t>
  </si>
  <si>
    <t>Coin Laundry, Party Room, Pool-Outdoors, Tennis Court/s</t>
  </si>
  <si>
    <t>Oven/Range, Oven-Double, Refrigerator</t>
  </si>
  <si>
    <t>5th Bedroom, Eating Area</t>
  </si>
  <si>
    <t>Baseboard, Other</t>
  </si>
  <si>
    <t>2% - $250.00 (on Gross SP)</t>
  </si>
  <si>
    <t>Call Tom not listing broker @ (630)800-9634 for access</t>
  </si>
  <si>
    <t>Market Maker's Realty, Ltd.</t>
  </si>
  <si>
    <t>(312) 300-7887</t>
  </si>
  <si>
    <t>Tom Paschalis</t>
  </si>
  <si>
    <t>All Bids Due By 10/14/2014 And Must Include A Proof of Funds.  Cash Buyers Only.</t>
  </si>
  <si>
    <t>Taft</t>
  </si>
  <si>
    <t>IRVING PARK TO MADISON NORTH TO STREAMWOOD BLVD TO TAFT NORTH</t>
  </si>
  <si>
    <t>UNIT BACKS TO A SMALL POND AND A OVER LOOKS THE GOLF COURSE! NEW STAINLESS STEEL APPLIANCES, PAINT, LIGHT FIXTURES, CARPET AND FLOORING! UNIT HAS NEVER BEEN IN FORECLOSURE OR AT RISK OF A SHORT SALE. COMPLEX HAS NEW SIDING STREETS WERE RESURFACED AND DRIVEWAYS SEAL COATED. COME TAKE A LOOK AT WHAT WE OFFER!</t>
  </si>
  <si>
    <t>Golf Course Lot, Pond</t>
  </si>
  <si>
    <t>GREVE TRUST</t>
  </si>
  <si>
    <t>RE/MAX Central</t>
  </si>
  <si>
    <t>(847) 551-9500</t>
  </si>
  <si>
    <t>Bill Jansen</t>
  </si>
  <si>
    <t>847-334-7653</t>
  </si>
  <si>
    <t>NICE CLEAN UNIT!  NOT A SHORT SALE OR REO</t>
  </si>
  <si>
    <t>Jordan</t>
  </si>
  <si>
    <t>Cass to 60th W to Garrett S to Carlisle E to Jordan to home</t>
  </si>
  <si>
    <t>29 X 53</t>
  </si>
  <si>
    <t>Thorndale E. of 53 to Park then South to Millers Crossing</t>
  </si>
  <si>
    <t>FOXTON</t>
  </si>
  <si>
    <t>ESTATE SALE:  Two bedrooms, 2 full baths and loft. Vaulted ceilings.  A/C and Furnace new 2010. New Refrigerator 9/2014.  New Roof and Gutters 2014.  Great location and just minutes to highway location.  Priced below market value!</t>
  </si>
  <si>
    <t>2.5%-$255 (on Net SP)</t>
  </si>
  <si>
    <t>CALL SHOWING TIME 1-855-746-9200 FOR SHOWING APPOINTMENT.</t>
  </si>
  <si>
    <t>Arthur McManus</t>
  </si>
  <si>
    <t>(847) 894-2009</t>
  </si>
  <si>
    <t>PRICED FOR A QUICK SALE. SHOWS WELL!!</t>
  </si>
  <si>
    <t>16W525</t>
  </si>
  <si>
    <t>Mockingbird</t>
  </si>
  <si>
    <t>Rt 83 South of I-55 to Mockingbird.</t>
  </si>
  <si>
    <t>Completely remodeled &amp; spacious unit, with Laundry in it. Rent-able unit, Everything is new, Cabinets, SS appliance, granite tops w/breakfast bar. Updated bathroom w/double shower &amp; Jacuzzi.  Pantry, lots of closets, crown molding thru out, balcony w/forest view, Pool, club &amp; sand Volleyball court. Central air, gas, heat &amp; air conditioning including in assessment. on site management.</t>
  </si>
  <si>
    <t>3% + $1000 BONUS (- $250 TO LA) (on Net SP)</t>
  </si>
  <si>
    <t>Contact OWNER AT 630-327-7007 for showings,  appaisals,  inspections,  or any and all access request</t>
  </si>
  <si>
    <t>Contact owner at 630-327-7007 for for showings, appraisals, inspections,  or any and all access requests. Email offers to email sales@bergproperties.com or Fax offers to (888) 615-0169.</t>
  </si>
  <si>
    <t>RT 59 to Gowdey West to Bond North to Sheridan Circle</t>
  </si>
  <si>
    <t>Fannie Mae very spacious 2BD/2.5BA condo located in Kingspointe Naperville. Sliding doors in the living room leading to back yard. Kitchen/Dining room combo, Upper Level loft space,  with carpet throughout home. Master bath has a double sink with separate tub and shower. Beautiful Front yard and Brick 2 Car garage. Walk to Metra-Close to I-88.â€</t>
  </si>
  <si>
    <t>Newman Realty</t>
  </si>
  <si>
    <t>(773) 313-3901</t>
  </si>
  <si>
    <t>Scott R Newman</t>
  </si>
  <si>
    <t>Seller has directed all offers be made via homepath.com. Please look under additional info tab in MLS  for additional offer requirements.</t>
  </si>
  <si>
    <t>72,Right on Reinking,R on Cambridge Lakes,L on Lancaster</t>
  </si>
  <si>
    <t>Incredible Value! Bright 2-Story Family Room w/ Cozy, Custom Fireplace &amp; Wall of Windows Opens to Huge Eat-In Kitchen w/ Stainless Steel Appliances, Center Island, &amp; Maple Cabinetry. Large master bedroom w/ private bathroom, Spacious Second Bedroom + Loft! Other features Include White Trim &amp; Doors, Convenient 2nd Floor Laundry, &amp; Oversized 2 Car Garage! Move Right In!</t>
  </si>
  <si>
    <t>Exercise Room, Park/Playground, Party Room, Pool-Outdoors, Sidewalks, Street Lights, Street Paved</t>
  </si>
  <si>
    <t>Common Insurance, Clubhouse, Exercise Facilities, Pool, Exterior Maintenance, Lawn Care</t>
  </si>
  <si>
    <t>KELVIN</t>
  </si>
  <si>
    <t>LAWRENCE AVE WEST OF RIVER RD WESLEY TO KELVIN LN TURN RIGHT TO THE BUILDING</t>
  </si>
  <si>
    <t>SPACIOUS SUN FILLED 2BED CONDO IN RESORT LIKE COMMUNITY. GREAT OPEN FLOOR PLAN, HARDWOOD FLOORS, RECENTLY UPDATED KITCHEN &amp; BATH, NEUTRAL COLORS. LAUNDRY HOOK-UP IN UNIT. WOODEN DECK IN THE BACK, POOL, FITNESS CENTER. CLOSE TO PUBLIC TRANSPORTATION. AND EXPRESSWAY.</t>
  </si>
  <si>
    <t>Coin Laundry, Exercise Room, Storage, On Site Manager/Engineer, Pool-Outdoors, Sidewalks, Street Lights, Street Paved</t>
  </si>
  <si>
    <t>Water, Parking, Clubhouse, Exercise Facilities, Pool, Exterior Maintenance, Lawn Care, Scavenger, Snow Removal</t>
  </si>
  <si>
    <t>Anetta Dabrowski</t>
  </si>
  <si>
    <t>(312) 493-5969</t>
  </si>
  <si>
    <t>Candlelight</t>
  </si>
  <si>
    <t>SILVER SPRINGS</t>
  </si>
  <si>
    <t>Rt 30 (west of Orchard) to Gordon, north to Simpson, West to Candlelight</t>
  </si>
  <si>
    <t>Great updated 2 story town home!!  Ready to move in!!  Open floor plan with first floor kitchen overlooking living room!!! Upstairs features 2 bedrooms and a loft!!  *Regular Sale*  Must see this home!  Great value for the price!!!  Priced2Sell!</t>
  </si>
  <si>
    <t>Select "ShowingAssist"</t>
  </si>
  <si>
    <t>EM held by seller's attorney Edward Kusta. Please email questions or offers to asifsells@yahoo.com. LA is related to seller. No sign at property.</t>
  </si>
  <si>
    <t>Denton</t>
  </si>
  <si>
    <t>31st to Westchester Place (East of Wolf, West of LaGrange Road)</t>
  </si>
  <si>
    <t>30 X 91</t>
  </si>
  <si>
    <t>Distinctive, Remarkably Spacious! You Will Love Owning This Stunning Tudor 2 Story TownHome in Prestigious Westchester Place! Contemporary Open Floor Plan - Perfect for Today's LifeStyes! Dramatic 2 Story Living Rm w/FP. Gorgeous KIT &amp; Patio. Need a 1st FL Bedrm &amp; Bath? It's here! 2nd FL Loft &amp; Stunning Master Bedrm/Bath &amp; Balcony! Finished Basement w/ Rec Room &amp; Loads of Extra Space! Fabulous Grounds - Don't Miss!</t>
  </si>
  <si>
    <t>Foyer, Mud Room, Play Room, Recreation Room</t>
  </si>
  <si>
    <t>Humidifier, CO Detectors, Sump Pump</t>
  </si>
  <si>
    <t>Use Showing Assist - Must Have Confirmed Appointment!</t>
  </si>
  <si>
    <t>Licensed Agent Must Accompany All Showings, Please use Multi-Board Contract 6.0,</t>
  </si>
  <si>
    <t>Route 34 to Sycamore to Chestnut Lane to Home</t>
  </si>
  <si>
    <t>This lovely town home is in EXCELLENT condition and is neutrally decorated and Gorgeous!  What a great opportunity awaits you!  Featuring two large bedrooms, master with private bath and large walk in closet.  Family room off kitchen.  All appliances stay, including the washer and dryer and new refrigerator.  Lower level is finished and could be a great third bedroom!  Manageable taxes and association fees!</t>
  </si>
  <si>
    <t>Excellent Condition.</t>
  </si>
  <si>
    <t>111TH EAST OR WEST  TO ADDRESS (Between Kedzie and Pulaski)</t>
  </si>
  <si>
    <t>24 X 126</t>
  </si>
  <si>
    <t>2 Bedroom, 1 Bath Brick 2 story Townhouse with 1 Garage Space. Features Hardwood Floors, Eat-In Kitchen, and a full finished Basement with Family Room and extra Bath. HUD owned Home. Sold "AS IS". Case #137-632085. Insured Status: IE (Insured with Escrow). Escrow amount $2,200.</t>
  </si>
  <si>
    <t>For more Information go to www.hudpemco.com and To place Bid go to www.HUDHomestore.com. â€œPlumbing failed to hold pressure at time of initial inspection please see HUD PCR report for details.â€</t>
  </si>
  <si>
    <t>INNSBROOK</t>
  </si>
  <si>
    <t>BARTLETT RD -S- OF IRVING PK TO INNSBROOK DR and West</t>
  </si>
  <si>
    <t>35X100</t>
  </si>
  <si>
    <t>Great investment in this NO ASSOCIATION duplex. 2-bedrooms, 1 1/2- bath,  large living room, dining room, nice kitchen. Fenced in private yard, 1-car attached garage.</t>
  </si>
  <si>
    <t>OAKHILL ELEMENTARY SCHOOL</t>
  </si>
  <si>
    <t>E-Z to show call Bob 708-717-2388</t>
  </si>
  <si>
    <t>Realty Champions, Inc.</t>
  </si>
  <si>
    <t>(773) 286-2000</t>
  </si>
  <si>
    <t>Robert Obrzut</t>
  </si>
  <si>
    <t>cell # 708-717-2388</t>
  </si>
  <si>
    <t>Blakely</t>
  </si>
  <si>
    <t>OGDEN OR 75TH TO FORT HILL TO BLAKELY (WEST) / ENTRY FACES WOODED AREA.</t>
  </si>
  <si>
    <t>STUNNING  BROWNSTONE. UPGRADES GALORE &amp; BEST LOCATION IN THE VINTAGE CLUB FRONTING WOODED AREA. BEAUTIFUL HARDWOOD ON THE 1ST FLOOR &amp; OPEN STAIRCASE. EXTENSIVE MILLWORK. GOURMET KITCHEN FEATURES CHERRY CABINETRY, GRANITE &amp; SS APPL. 3 SIDED FIREPLACE ADJACENT TO BAR W/ WINE FRIG OPENS TO LIVING / DINING  RM &amp; KIT. LUXURY MASTER BATH W/ SPA SHOWER &amp; WHIRLPOOL. WALK-OUT LOWER LEVEL WOULD BE PERFECT FAM RM, OFFICE OR BR.</t>
  </si>
  <si>
    <t>Oven-Double, Oven/Range, Microwave, Dishwasher, Refrigerator, Washer, Dryer, Disposal, All Stainless Steel Kitchen Appliances, Wine Cooler/Refrigerator</t>
  </si>
  <si>
    <t>Mary Ann Sullivan, CRS,GRI</t>
  </si>
  <si>
    <t>(630) 730-8271</t>
  </si>
  <si>
    <t>630-730-8271</t>
  </si>
  <si>
    <t>CUSTOM BROWNSTONE W/ QUIET &amp; PRIVATE WOODED LOCATION.</t>
  </si>
  <si>
    <t>Fairfax</t>
  </si>
  <si>
    <t>Hankes Road, to Fairfax, South to home</t>
  </si>
  <si>
    <t>105X46</t>
  </si>
  <si>
    <t>Beautiful 2 bedroom/2 bathroom home in a great location! Spacious rooms, well maintained, 2 car garage, full basement.... the list goes on! Priced to sell, this one has it all and won't last! Choose FHA financing to qualify for $100 down payment. Ask your Agent for details. Sold as-is. Equal Housing Opportunity</t>
  </si>
  <si>
    <t>18X32</t>
  </si>
  <si>
    <t>Case#137-567489.INSURED STATUS:Insured. Up to 3% co-op Offers to be submitted on-line Off. must be registered and have a NAID# Go to hudhomestore.com 4 online bidding. Questions to fsrhomes@aol.com SOLD AS-IS www.hometelosfirst.com</t>
  </si>
  <si>
    <t>Gary south of Army Trail to Elk Trail w to Bluff left to Horizon left to Legends right to Arbor left</t>
  </si>
  <si>
    <t>54X12X16X70X43X91</t>
  </si>
  <si>
    <t>Awesome light &amp; bright corner Duplex. Newer: siding, soffit &amp; fascia, windows, sliding door &amp; front door, 2nd flr hardwood floor, carpet Living &amp; Dining Rm, W/H &amp; cement driveway. Lge eat-in Kitchen freshly painted. Soaring ceiling in Living Rm w/wall of windows. Loft overlooks Living Room.  Master Suite w/vaulted ceiling. 1st floor laundry. Oversized 2 car garage. No Association Fees. Other 1/2 duplex for sale too!</t>
  </si>
  <si>
    <t>2 1/2% -$100 (on Net SP)</t>
  </si>
  <si>
    <t>Pam Murray</t>
  </si>
  <si>
    <t>(630) 660-5193</t>
  </si>
  <si>
    <t>111TH STREET EAST OR WEST TO ST. LOUIS-BUILDING IN BACK</t>
  </si>
  <si>
    <t>MT.GREENWOOD CONDO. MODERN W/EXPOSED BRICK WALL, CUSTOM TILED BTHRM, IN-UNIT LAUNDRY HOOK-UP, NICE SIZE BDRMS W/DOUBLE DOOR CLOSETS, UPDATED KITCHEN AND MORE! HEAT INCLUDED. Property being sold as is; seller will not provide/pay for a survey/survey affidavit; R.E. taxes prorated at 100% based on most recent full yr tax bill. Freddie Mac/HomeSteps 1st Look applies to 10/23/14. HIGHEST &amp; BEST DUE FRI 2/6/15 BY 4P.</t>
  </si>
  <si>
    <t>Heat, Water, Exterior Maintenance, Lawn Care, Scavenger, Snow Removal</t>
  </si>
  <si>
    <t>2.5% OF GROSS SALES PRICE (on Gross SP)</t>
  </si>
  <si>
    <t>(See forms) Please submit offers with the pre-offer Questionnaire, owner OCC, current POF/pre-approval VIA FAX 773-632-2032 or E-mail sales@rlbrealtygroup.com. URGENT MULTIPLE OFFER SITUATION!!! HIGHEST &amp; BEST DUE FRI 2/6/15 BY 4P.</t>
  </si>
  <si>
    <t>Wilbur</t>
  </si>
  <si>
    <t>Milwaukee (Rt. 21) North of 120 - Manchester - west to Dunham - right to Wilbur - cul de sac</t>
  </si>
  <si>
    <t>Stunning duplex in sought out Heather Ridge subdivision. Impressive Cherry Hardwood floors throughout. 2story living room with stack stone wood burning fireplace. Breathtaking kitchen with 42" Maple cabinets, can lights, granite tops, butlers pantry, SS appliances includes dual fuel convection stove, &amp; breakfast bar. Baths have been recently updated. Fresh paint through out. Too much to list, but well worth a look!!</t>
  </si>
  <si>
    <t>Bike Room/Bike Trails, Park/Playground, Party Room, Pool-Outdoors, Tennis Court/s</t>
  </si>
  <si>
    <t>Oven/Range, Dishwasher, Refrigerator, High End Refrigerator, Washer, Dryer, Disposal, All Stainless Steel Kitchen Appliances</t>
  </si>
  <si>
    <t>Security, Clubhouse, Pool, Scavenger, Snow Removal</t>
  </si>
  <si>
    <t>Recreation Room, Walk In Closet, Other</t>
  </si>
  <si>
    <t>CALL LISTING OFFICE ,1HR NOTICE PREFERRED</t>
  </si>
  <si>
    <t>Roberto Sanchez</t>
  </si>
  <si>
    <t>847-833-4978</t>
  </si>
  <si>
    <t>Beautiful unit with so many upgrades including top if the line SS appliances, light fixtures , ceiling fans and more . Loft is used as Loft bedroom as it has plenty of closet space .Not a short sale .</t>
  </si>
  <si>
    <t>Plainfield to Wolf S to Ashbrook E entrance</t>
  </si>
  <si>
    <t>Luxury 2Br,3.1BthTownhome+Loft.On Water w/fountain views.Vaulted Ceilings/FamRm w/double sided fireplace.Formal DR,open Kitchen w/granite Ctops,brkfst bar&amp;brkfst nook.Radio intercom.Hrdwd flrs thru 1st L.1st flr Lndry.2nd flr master suite w/italian marble,jacuzzi tub,shower,walk-in closet.Sunny Finished walk-out LL w/full bath.New furnace.New Windows install by 6/25,New stove,Dishwasher,New Garbage Disposal,HWH 2012</t>
  </si>
  <si>
    <t>27X27</t>
  </si>
  <si>
    <t>Storage, Park/Playground, Sundeck, Security Door Locks, Whirlpool, Curbs/Gutters, Sidewalks, Street Lights, Street Paved</t>
  </si>
  <si>
    <t>Common Grounds, Landscaped Professionally, Pond, Water View, Wooded</t>
  </si>
  <si>
    <t>Breakfast Room, Loft, Recreation Room, Utility Room-1st Floor</t>
  </si>
  <si>
    <t>Humidifier, TV-Cable, Security System, Fire Sprinklers, CO Detectors, Ceiling Fan, Sump Pump, Sprinkler-Lawn, Air Cleaner, Air Exchanger</t>
  </si>
  <si>
    <t>Click Showing assist</t>
  </si>
  <si>
    <t>Pavlina Pacasova-Albert</t>
  </si>
  <si>
    <t>(708) 822-8882</t>
  </si>
  <si>
    <t>ROUTE 30 TO PRESCOTT (S) TO TROON AND TAKE A RIGHT TO GALLANT FOX AND TAKE A RIGHT TO HOME</t>
  </si>
  <si>
    <t>Popular Everton model 2-sty Townhome, open floor plan, 2 bdrm, 2.1 bath w/large loft, upgraded Kitchen w/42â€ maple cabinets &amp; some newer appliances. Family rm w/fireplace &amp; ceiling fan. 6 panel doors, oak railings &amp; wood laminate flrs. Mst Bdrm w/vaulted ceiling, WIC. 2nd fl laundry. Home backs to bike path near park &amp; playground. Short sale home, process has been started just waiting for offer.</t>
  </si>
  <si>
    <t>Vacant, use show assist.</t>
  </si>
  <si>
    <t>Carla Tsoris</t>
  </si>
  <si>
    <t>(630) 337-5440</t>
  </si>
  <si>
    <t>CC: Pursuant to Short Sale. Vacant, FHA ok, rentals are also OK. Short sale process started. Attorney working with bank. just need offer.</t>
  </si>
  <si>
    <t>Cane Garden</t>
  </si>
  <si>
    <t>Diamond Bay</t>
  </si>
  <si>
    <t>McCoy, W on Frontenac, N on Cane Garden Cir</t>
  </si>
  <si>
    <t>Two car end unit townhome with beautiful view of open hillside &amp; bike/jogging path. This 2 bdrm 2+1/2 bath home has lots of storage space, a newly finished bsmt w/ full bath, sink rough-in &amp; oven/mini-kitchen space. Vaulted ceiling in LR has two fans. Master has fan w/ lights, palladium window &amp; 9X4 walk-in closet. Elevated wood deck overlooks restful view and is semi-private. Award winning Dist 204 schools.  Enjoy!</t>
  </si>
  <si>
    <t>Bike Room/Bike Trails, Boat Dock, Storage, Park/Playground, Curbs/Gutters, Sidewalks, Street Lights, Street Paved</t>
  </si>
  <si>
    <t>TV-Cable, TV-Dish, CO Detectors, Ceiling Fan, Sump Pump</t>
  </si>
  <si>
    <t>Appt required; call OOR: 630-664-3896</t>
  </si>
  <si>
    <t>630-664-3896</t>
  </si>
  <si>
    <t>Chris Macak, CRS,e-PRO,GRI,SFR</t>
  </si>
  <si>
    <t>(630) 585-7050</t>
  </si>
  <si>
    <t>Cell: 630-715-8000</t>
  </si>
  <si>
    <t>An excellent home!</t>
  </si>
  <si>
    <t>83rd Street to Piers~north to Wharf</t>
  </si>
  <si>
    <t>LARGEST</t>
  </si>
  <si>
    <t>Seemingly the best location and largest unit in this subdivision! Sun-filled, fabulous 2nd floor end unit with open living room and dining room with corner fireplace. Great location convenient to I-355, Pace, Metra &amp; local shopping. Enjoy amenities such as the park/playground, party room, outdoor pool, and bike trails. Detached garage on site. Large Master Bedroom with walk-in closet and full bath. Move-in condition!</t>
  </si>
  <si>
    <t>Party Room, Pool-Outdoors, Security Door Locks, Sidewalks, Street Lights, Street Paved</t>
  </si>
  <si>
    <t>Please call LA-630-362-8258</t>
  </si>
  <si>
    <t>Costello</t>
  </si>
  <si>
    <t>Valerie Jungels</t>
  </si>
  <si>
    <t>(630) 455-8349</t>
  </si>
  <si>
    <t>BARTON</t>
  </si>
  <si>
    <t>DEERPATH CROSSING</t>
  </si>
  <si>
    <t>Randall Road to West on McKee to South on Barton</t>
  </si>
  <si>
    <t>AVALON</t>
  </si>
  <si>
    <t>Much sought after first floor master end unit. Two-story living area has FR/living rm &amp; dining rm w/walls of windows. 1st flr MBR has private bth w/whirlpool &amp; WIC. BR 2 has access to bth &amp; lrg upstairs loft is convenient for office, hobbies or guests &amp; has lots of closet space. Kit has tile backsplash &amp; eating area w/slider to patio. Drywalled garage has panels in door for keeping cold out &amp; cool in! Enjoy life here</t>
  </si>
  <si>
    <t>GRACE MCWAYNE ELEMENTARY SCHOOL</t>
  </si>
  <si>
    <t>Call 855 746-9100 / Must confirm / Prefer 2 hr notice, if possible</t>
  </si>
  <si>
    <t>Lynn Purcell</t>
  </si>
  <si>
    <t>(630) 380-6427</t>
  </si>
  <si>
    <t>Taxes have a senior exemption as well as homeowner exemption...Nice unit...Well maintained...Town home is not backing to retail...  Please use 6.0 contract.</t>
  </si>
  <si>
    <t>MONTGOMERY WEST OF ROUTE 59 TO WHITE EAGLE TO ABERDEEN</t>
  </si>
  <si>
    <t>RENTALS ONLY ALLOWED AFTER ONE YEAR OF OWNERSHIP Highest, best and final offers due 1/9/15 at 3:00 pm</t>
  </si>
  <si>
    <t>Springdale</t>
  </si>
  <si>
    <t>SCHICK RD TO BLOOMFIELD PARRKWAY, SOUTH ON CLUBHOUSE DR, RIGHT ON BENTON LN, LEFT ON SPRINGDALE LN</t>
  </si>
  <si>
    <t>Be prepared to be WOWED!!! Sophisticated, chic, contemporary all wrapped up in this gem of an end unit. Hand scraped walnut hardwood floors, travertine tile, quartz counters, oil rubbed bronze fixtures, stainless appliances, plantation shutters - every inch of this unit completely redone, updated with quality. Unpack and enjoy your spectacular new home within the country club lifestyle of Bloomfield Club. Don't Miss!</t>
  </si>
  <si>
    <t>Exercise Room, Party Room, Sundeck, Pool-Indoors, Pool-Outdoors, Tennis Court/s, Sidewalks, Street Paved</t>
  </si>
  <si>
    <t>3%-$250 (on Gross SP)</t>
  </si>
  <si>
    <t>SHOWINGS NOT TO BEGIN UNTIL SATURDAY, OCTOBER 11, 2014.  Appts Required  Owner will let you in and remove dog.  Notice required due to work schedule.  Refrigerator in garage is included!</t>
  </si>
  <si>
    <t>Melrose</t>
  </si>
  <si>
    <t>Main to Duane, West to Melrose, South to 410 Melrose</t>
  </si>
  <si>
    <t>Location! Talk about convenient!  Walk to everything Glen Ellyn has to offer from this 2 bedroom, 2 bath condo in the Heart of The Village. Big living rm with corner fireplace opens out to ground floor patio &amp; overlooks beautiful grounds. Dining rm with 2 built-in china cabinets.  Master bedrm has it's own pvt bath &amp; walk-in closet. 2nd full bath. In-unit laundry/utility rm incl washer &amp; dryer. Good storage space.</t>
  </si>
  <si>
    <t>1020-C</t>
  </si>
  <si>
    <t>Highland S Of 88 to Mistwood. W on Mistwood. Turn right on Braemoor to home.</t>
  </si>
  <si>
    <t>C W/WALK OUT BASEMENT</t>
  </si>
  <si>
    <t>CONTINUE TO SHOW! Tree top living in this desirable ranch end unit w/ Den. Freshly painted &amp; new carpet &amp; vaulted ceils. Spacious kit w/ custom oak cabs, gleaming counters, SS appls, &amp; new wood laminate flr. Sliders 2 private balcony. Formal DR &amp;LR w/brick FP. SGD to 2nd balcony! Enjoy Master suite w/jet tub, sep shower, doub sink &amp;2 walk in closets. 1st flr laundry. Full walk out bsmt ready to finish w/full bth.</t>
  </si>
  <si>
    <t>CONTINUE TO SHOW! Monthly Assessment will increase to $425 as of 1/1/15</t>
  </si>
  <si>
    <t>LOYOLA</t>
  </si>
  <si>
    <t>RANDALL S OF 20 E ON SOUTH ST TO LOYOLA S</t>
  </si>
  <si>
    <t>FABULOUS 2 BR 2 BA CONDO DECORATED IN TODAYS COLORS. FEATURES SPACIOUS LR W/VAULTED CEILING &amp; IMPRESSIVE GAS FP W/NATURAL STONE, KITCHEN W/SS APPLIANCES, QUARTZ COUNTERTOP, SUBWAY TILE BACKSPLASH &amp; UPDATED BATHS. NEW LAMINATE FLOORING IN KIT &amp; DR, PREMIUM CARPET THROUGHOUT LR &amp; BEDROOMS. UNIT IS WIRED FOR 2 ZONE SPEAKER SYSTEM &amp; A NEW GARAGE OPENER W/APP ACCESSIBILITY. EXCELLENT VIEWS OF GREENBELT. SCHOOL DISTRICT301</t>
  </si>
  <si>
    <t>CALL LISTING OFFICE OR USE SHOWING ASSIST</t>
  </si>
  <si>
    <t>Karen Dumais, GRI</t>
  </si>
  <si>
    <t>(847) 806-8334</t>
  </si>
  <si>
    <t>STOVE TO BE REPLACED WITH SS FRIGIDAIRE STOVE</t>
  </si>
  <si>
    <t>Holmes</t>
  </si>
  <si>
    <t>PARK WILLOW</t>
  </si>
  <si>
    <t>Rte 83 (Kingery Hwy) to 55th St. W on 55th to Holmes Ave. S on Holmes to 5725</t>
  </si>
  <si>
    <t>Spacious 2 Bedroom condo located at the end of the building, so no neighbors  next to the bedrooms! 2 parking spaces &amp; 1 Car Det Garage is great storage! Highly desirable location close to everything! High School is Hinsdale Central! Large bedrooms, large kitchen, great living space- you can't beat the price! Water and Gas/Heat/Direct TV included in association fee.</t>
  </si>
  <si>
    <t>Coin Laundry, Storage, Curbs/Gutters, Sidewalks</t>
  </si>
  <si>
    <t>Condo, Garden Complex, Low Rise (1-3 Stories)</t>
  </si>
  <si>
    <t>3%- $200 (on Net SP)</t>
  </si>
  <si>
    <t>Click "Schedule a Showing" for quick response or call LA after hours.</t>
  </si>
  <si>
    <t>Cynthia Windeler</t>
  </si>
  <si>
    <t>(630) 776-4020</t>
  </si>
  <si>
    <t>Big Rail</t>
  </si>
  <si>
    <t>Washington to Spring (West) to Big Rail Drive (North).</t>
  </si>
  <si>
    <t>Beautiful brick townhome in Downtown Naperville and 1 block from the Metra station! Birch hardwood floors in LR, DR and kitchen, stone fire place, pillars, arches, balcony, and patio.Kitchen with large island, new SS appliances, custom pantry roll-outs and eat in area. Spacious master suite w/ jetted tub and W/I closet. 2nd bed w/ private bath.  3rd floor laundry, finished basement. 2 car garage. Spectacular location</t>
  </si>
  <si>
    <t>3% -$100 (on Net SP)</t>
  </si>
  <si>
    <t>CSS 877-977-1010 must be confirmed</t>
  </si>
  <si>
    <t>Direct all questions and offers to co-lister Keith Sennstrom 630-802-8033.</t>
  </si>
  <si>
    <t>Kerrybrook</t>
  </si>
  <si>
    <t>Rt 23 N to Woodgate drive right to Longwood right to Kerrybrook right to home.</t>
  </si>
  <si>
    <t>Time to make your move to this affordable end unit ranch condo. This unit features 2 bedrooms, 1 bath, kitchen with pantry, eating area with sliders to deck, laundry area, and large living room. Full unfinished basement that could be finished for added living space and extra storage, plus a one car attached garage. This is a Fannie Mae HomePath property.</t>
  </si>
  <si>
    <t>Seller directs all offers be submitted at www.homepath.com. All inspections are at buyers expense. Seller will not provide survey. Prorations 100%. See Add'l info. No Personal Property Included.</t>
  </si>
  <si>
    <t>Dancer</t>
  </si>
  <si>
    <t>Churchill Club</t>
  </si>
  <si>
    <t>Ogden Ave to 5th St, S to Bluegrass Pkwy, E to Dancer, S to home on right</t>
  </si>
  <si>
    <t>SWALE</t>
  </si>
  <si>
    <t>gorgeous townhome | 9 ft ceilings on first floor | hardwood floors | upgraded maple cabinets | updated staircase | fresh paint | includes membership in Churchill Club | swimming pools, clubhouse, fitness room, party room, tennis, basketball, volleyball courts &amp; more |  grade and middle schools onsite | next to huge open field |  move in ready and NOT a short sale |  flooring credit/repair available | welcome home!</t>
  </si>
  <si>
    <t>Bike Room/Bike Trails, Exercise Room, Park/Playground, Party Room, Sundeck, Pool-Outdoors, Tennis Court/s, Business Center, Curbs/Gutters, Gated Entry, Sidewalks, Street Lights, Street Paved</t>
  </si>
  <si>
    <t>1 hour Notice required.  Text/Call LA for Combo.</t>
  </si>
  <si>
    <t>Megan Mileham</t>
  </si>
  <si>
    <t>CHIP</t>
  </si>
  <si>
    <t>Rte. 21 &amp; Gages Lake, W2 Colby, S2 Dunham, E2 Chip (on corner)</t>
  </si>
  <si>
    <t>EXPANDED BIRCH</t>
  </si>
  <si>
    <t>Terrific value on this 2 Bedroom &amp; loft 2 bath Expanded Birch model townhome with 1 car detached garage.  Home features a remodeled kitchen with new cabinets, counters, and appliances. New windows, furnace, and central air.  Living room features vaulted ceiling &amp; fireplace. FHA financing is fine. Complex features on-site security, tennis courts, golf, and beautiful grounds. See it today!</t>
  </si>
  <si>
    <t>Water, Security, Clubhouse, Pool, Exterior Maintenance, Lawn Care, Scavenger, Snow Removal</t>
  </si>
  <si>
    <t>Disclosures on ConnectMLS. Taxes do not reflect homeowner exemption.</t>
  </si>
  <si>
    <t>63rd St east of Harlem to Gullikson north to 6262</t>
  </si>
  <si>
    <t>Come home to this sought after Clearing condo where desire meets affordability. This unit boasts a good size kitchen, gas fireplace, in-unit laundry, balcony, along with a one car garage. . Walk to the corner and catch a Cta bus to the Midway Airport stop of the Orange Line. Close to shopping and I-55 making this a great home for a busy busy traveler. Ask a lender about IDHA's $7500 down payment for 1st time buyers.</t>
  </si>
  <si>
    <t>2.5% - $225 (on Gross SP)</t>
  </si>
  <si>
    <t>Click Showing Assistant Below</t>
  </si>
  <si>
    <t>Christine Bell</t>
  </si>
  <si>
    <t>Joe Kenny</t>
  </si>
  <si>
    <t>(630) 334-2858</t>
  </si>
  <si>
    <t>Non Sentrilock Key Holders please call listing agent and allow 24 hour notice 630-334-2858. Not FHA approved.</t>
  </si>
  <si>
    <t>HAWLEY</t>
  </si>
  <si>
    <t>Wolfs Crossing to Prescott Mill Entrance North to Hawley left to home</t>
  </si>
  <si>
    <t>BEST LOCATION IN PRESCOTT MILL! NATURAL PRAIRIE POND VIEW FROM REAR OF HOME.  HARDWOOD FLOORS IN KITCHEN AND DINING ROOM.  KITCHEN HAS STAINLESS STEEL APPLIANCES. NEUTRAL PAINT THROUGHOUT. LARGE MASTER BEDROOM WITH MASTER BATH. SECOND FLOOR LOFT GREAT FOR OFFICE OR FAMILY ROOM.   GREAT LAYOUT WITH TWO AND HALF BATHS AND TWO CAR GARAGE. SHOWS LIKE A MODEL HOME!!!</t>
  </si>
  <si>
    <t>Common Grounds, Nature Preserve Adjacent, Pond, Water View</t>
  </si>
  <si>
    <t>CALL CENTRALIZED SHOWING 1-877-977-1010</t>
  </si>
  <si>
    <t>CURRENTLY RENTED UNTIL NOV 30TH.  PLEASE EXCLUDE TENANT PROPERTY INCLUDING:  DRAPES;  SHELVING UNITS (NOT ATTACHED) IN GARAGE; REFRIG IN GARAGE.  (TAXES DO NOT REFLECT HOMESTEAD EXPEMPTION).</t>
  </si>
  <si>
    <t>Stonegate West</t>
  </si>
  <si>
    <t>Indian Trail (between Eola &amp; Farnsworth) to Felton South to Foxridge Ct left to 1870</t>
  </si>
  <si>
    <t>ATWATER</t>
  </si>
  <si>
    <t>Unique ranch-style townhome overlooking the pond! Ideal community location! Open floor plan, vaulted ceilings, living &amp; dining areas, efficiently designed kitchen, fireplace, walk-in closets, 2-full baths, step-in shower, laundry, 2-car garage has bump-out, private driveway+shared storage. Amenities include clubhouse, pool, 3 large ponds. Close to I-88 &amp; Metra, Fox Valley Mall, Premium Outlets, downtown Aurora.</t>
  </si>
  <si>
    <t>MABEL ODONNELL ELEMENTARY SCHOOL</t>
  </si>
  <si>
    <t>C F SIMMONS MIDDLE SCHOOL</t>
  </si>
  <si>
    <t>Common Insurance, Clubhouse, Exercise Facilities, Pool, Exterior Maintenance, Snow Removal</t>
  </si>
  <si>
    <t>Contact LA</t>
  </si>
  <si>
    <t>Sharon Riegert, ABR,GRI</t>
  </si>
  <si>
    <t>(630) 718-7523</t>
  </si>
  <si>
    <t>No rentals or FHA allowed in the community. No age restrictions.</t>
  </si>
  <si>
    <t>Addison Rd to Elizabeth Dr West to Home (South of Irving Park, West of Lake St)</t>
  </si>
  <si>
    <t>First floor 2 bedroom, 2 bath condo. Very private location. Needs work, can make this your own with a little TLC. Attached garage and in unit laundry. New patio. Convenient to town, transportation and expressways. Don't miss out on this deal.</t>
  </si>
  <si>
    <t>Michele Frontier</t>
  </si>
  <si>
    <t>cell 630-935-0649</t>
  </si>
  <si>
    <t>Sold "As-Is" Needs work. Additional property reports available upon request. Unit is on the first floor - left side.</t>
  </si>
  <si>
    <t>FALLBROOK</t>
  </si>
  <si>
    <t>ARMY TRAIL TO CARDINAL S TO FALLBROOK W</t>
  </si>
  <si>
    <t>38X115X39X112</t>
  </si>
  <si>
    <t>GREAT OPPORTUNITY FHS APPROVED/NO ASSOCIATION!! SINCE THERE ARE NO MONTHLY DUES YOU'RE ABLE TO QUALIFY FOR A MORTGAGE AT THIS PRICE, LIGHT OAK CABS, TILE IN KITCHEN &amp; BATHS, TOTALLY REMODELED 1/2 BATH W/NEW HIGH VANITY, NEWER DRIVEWAY, FENCED BACKYARD W/PATIO, TEAR-OFF ROOF '13, FURNACE/AC '14, CLOSE TO TONS OF SHOPPING &amp; RESTAURANTS.</t>
  </si>
  <si>
    <t>Shane Crawford</t>
  </si>
  <si>
    <t>(630) 539-4003</t>
  </si>
  <si>
    <t>75th (W OF 355) TO WOODWARD-S, TO COUNTRY CLUB-R</t>
  </si>
  <si>
    <t>2 BEDROOM UNIT ON TOP FLOOR IN WELL MAINTAINED COMPLEX WITH LAKE VIEW.  LAMINATE FLOORING-LR AND DR.  WHITE CABINETS.  SOLD AS IS, TAXES AT 100%.  BUYERS NEED GOOD PRE-APPROVAL WITH DOWN PAYMENT VERIFIED FOR OFFERS PER SELLER.  CASH BUYERS NEED ALL FUNDS VERIFIED.  SIGN ADDENDUM, DISCLOSURES, &amp; REO SALES HELP SHEET- IN ADDITIONAL INFORMATION.  PUBLIC ACT 94-1049 MAY APPLY.</t>
  </si>
  <si>
    <t>Coin Laundry, Pool-Outdoors, Security Door Locks, Curbs/Gutters, Sidewalks, Street Lights, Street Paved</t>
  </si>
  <si>
    <t>Heat, Water, Gas, Parking, Common Insurance, Clubhouse, Pool, Exterior Maintenance, Lawn Care, Snow Removal</t>
  </si>
  <si>
    <t>PLEASE READ ALL OF SHOWING ASSIST-</t>
  </si>
  <si>
    <t>Harlem to Palmer, west to 72nd Ct.</t>
  </si>
  <si>
    <t>MOVE RIGHT IN TO THIS BEAUTIFUL ELMWOOD PARK CONDO WITH 2BR, 2BTHS, NEWER KITCHEN CABINETS, APPLIANCES, HARDWOOD FLOORS, GRANITE COUNTERS, RECESSED LIGHTING, BALCONY, AND  IN-UNIT WASHER/DRYER.</t>
  </si>
  <si>
    <t>Central Air, Space Pac</t>
  </si>
  <si>
    <t>(773) 465-4200</t>
  </si>
  <si>
    <t>Silvia Delgado</t>
  </si>
  <si>
    <t>(773) 699-9076</t>
  </si>
  <si>
    <t>EASY TO SHOW</t>
  </si>
  <si>
    <t>LAKEPOINTE</t>
  </si>
  <si>
    <t>Route 176, east of Main St to Hill St, north to Edgewater, west to Lake St, north to Court.</t>
  </si>
  <si>
    <t>NAUTICA</t>
  </si>
  <si>
    <t>Breathtaking lakefront views from the balcony! Ranch-style townhome offers vacation-like living! Beautiful wood floors, skylights &amp; fireplace enhance the living &amp; dining room. Bright kitchen enjoys white cabinets, solid surface counters &amp; bayed eating area. Master suite boasts private bath &amp; generous closet space. Den could be 3rd bedroom. Community includes private beach, pool, boat launch &amp; available boat slips.</t>
  </si>
  <si>
    <t>Boat Dock, Park/Playground, Pool-Outdoors, Street Lights, Street Paved</t>
  </si>
  <si>
    <t>Common Insurance, Pool, Exterior Maintenance, Lawn Care, Snow Removal, Lake Rights</t>
  </si>
  <si>
    <t>Call Listing Office or Use ShowingAssist - Must Confirm</t>
  </si>
  <si>
    <t>Christine Bong</t>
  </si>
  <si>
    <t>(847) 367-1171x229</t>
  </si>
  <si>
    <t>847-624-4693</t>
  </si>
  <si>
    <t>Home shows wonderfully. Seller requested not to include additional interior photos.</t>
  </si>
  <si>
    <t>Take York to Grand, east to 130 Grand</t>
  </si>
  <si>
    <t>This address has excellent location for access to several major highways such as 355, 90 and 290!  Unit is well kept and has long balcony facing the south side.  Indoor parking spot as well as storage locker.  Commercial laundry room located on each floor.  Two bedrooms, master bedroom very good size!  Kitchen area is accessible and dining room and living room combined.</t>
  </si>
  <si>
    <t>Coin Laundry, Elevator, Storage</t>
  </si>
  <si>
    <t>Call LA for all showings - unit is occupied, can only show from noon to 6pm please!!!</t>
  </si>
  <si>
    <t>Property Management Realty Inc</t>
  </si>
  <si>
    <t>(630) 584-0209</t>
  </si>
  <si>
    <t>Brian Pregler</t>
  </si>
  <si>
    <t>(847) 208-4754</t>
  </si>
  <si>
    <t>This unit is being sold AS IS.  Please do not lock the door lock, only secure the upper lock-deadbolt.</t>
  </si>
  <si>
    <t>KILDARE</t>
  </si>
  <si>
    <t>MERBACH SOUTH OF ARMY TRAIL TO STONEWOOD WEST TO KILDARE CT</t>
  </si>
  <si>
    <t>DARBY</t>
  </si>
  <si>
    <t>TERRIFIC 2+BDRM 2.5BATH W/FULL BASEMENT ON A CUL DE SAC** MOVE IN COND NORMAL SALE. DRAMATIC SOARING CEILING, SKYLIGHTS, FRPLC &amp; HRDWD FLRS. MSTR &amp; GUEST BRS UP EACH HAVE A FULL PVT BATH. NEW MAPLE &amp; CT KIT W/NEWER APPLS. LL HAS 3RD BR &amp; TONS OF STORAGE. HEAT, AC &amp; HWH ONLY 3YRS OLD. RELAX ON THE COVERED PATIO THAT BACKS TO OPEN AREA. WALK TO PARK &amp; 1 BLK TO ELEMENTARY SCHOOL. GREAT LOC. TAKE THE TOUR AND CALL TO SEE</t>
  </si>
  <si>
    <t>Park/Playground, Curbs/Gutters, Sidewalks</t>
  </si>
  <si>
    <t>LO OR LAG AFTER HOURS OCCUPIED NEED NOTICE PLZ</t>
  </si>
  <si>
    <t>Mike Dybas, CRS,e-PRO,GRI</t>
  </si>
  <si>
    <t>(847) 334-6400</t>
  </si>
  <si>
    <t>VERY NICE UNIT. OCCUPIED HOME SO SOME NOTICE HELPFUL.</t>
  </si>
  <si>
    <t>0N094</t>
  </si>
  <si>
    <t>Vermont</t>
  </si>
  <si>
    <t>SHELBURNE FARMS</t>
  </si>
  <si>
    <t>Highlake to Shelburne Farms Dr to Vermont Ct.</t>
  </si>
  <si>
    <t>Tucked away next to the Forest Preserve on quiet court this modern townhome with sleek lines features dramatic 2  story living rm, big open kitchen w/island, lots of counter space,  SS appliances. Balcony is great for the grill. 2 bedroom suites w/full baths are great for related living or guests. 2 car garage to keep your cars nice &amp; warm. Fresh paint and move in ready! Close to shopping and walk to commuter train.</t>
  </si>
  <si>
    <t>Call or text Diane 630-254-4226 to schedule appt. Prefer advance notice if possible. Must confirm</t>
  </si>
  <si>
    <t>Diane Lynch</t>
  </si>
  <si>
    <t>assessment increase of $20.53 for 2015. Don't let Sonny out - friendly tiny dog.</t>
  </si>
  <si>
    <t>Ogden &amp; Main: Main St (S) of the tracks to Curtiss, L to Washington, Left on Burlington Avenue.</t>
  </si>
  <si>
    <t>JUST IN TIME FOR THE HOLIDAYS! A NORTH VIEW EXPOSURE, 2 BEDROOMS, 2.1 BATHS, PLUS DEN. IN-UNIT LAUNDRY ROOM, FULLY APPLIANCED STAINLESS KITCHEN, HARDWOOD FLOORS. IN LIVING/DINING ROOM, SLATE FLOOR IN KITCHEN AND MANY UPGRADES COMPLIMENT THIS UNIT. BALCONY, SECURITY DOOR, ELEVATOR &amp; UNDERGROUND, HEATED PARKING. A LIFESTYLE OF COMFORT AND CONVENIENCE.</t>
  </si>
  <si>
    <t>CALL LISTING AGENT FOR FRONT DOOR ENTRANCE CODE BEFORE USING THE SENTRILOCK.</t>
  </si>
  <si>
    <t>Jude Marchetti</t>
  </si>
  <si>
    <t>(630) 776-2768</t>
  </si>
  <si>
    <t>heyjude@judemarchetti.com</t>
  </si>
  <si>
    <t>CALL LISTING AGENT FOR FRONT DOOR CODE BEFORE USING SENTRILOCK. MOVE-IN FEE REQUIRED.</t>
  </si>
  <si>
    <t>Daybreak</t>
  </si>
  <si>
    <t>RT 34-EOLA S -HAFENRICHTER W-BARRINGTONS-DAYBREAK</t>
  </si>
  <si>
    <t>Super sharp 2 story featuring a spacious and open floor plan with 9ft ceilings, 3 sided fireplace, rounded corners, stainless appliances, Nice and plentiful  kitchen cabinetry, Big Vaulted Master bedroom, plant ledge, huge luxury bath, neutral decor, lower level family room/den or 3 rd bedroom, 2 car garage, balcony off dinette, newer hardware and flooring!</t>
  </si>
  <si>
    <t>Use showing assist!</t>
  </si>
  <si>
    <t>ElizaBeth Schoonenberg</t>
  </si>
  <si>
    <t>(630) 606-9057</t>
  </si>
  <si>
    <t>Some Relo addendums may apply</t>
  </si>
  <si>
    <t>75TH</t>
  </si>
  <si>
    <t>75TH &amp; DIVERSEY</t>
  </si>
  <si>
    <t>WELCOME TO YOUR NEW HOME! BEAUTIFUL 2BR/2BA CONDOMINIUM BUILT IN 2007! LOCATED NEAR ALL LOCAL CONVENIENCES. GRANITE COUNTERTOPS, SS APPLIANCES, HARDWOOD FLOORS, INDOOR GARAGE PARKING, IN-UNIT LAUNDRY, TWO WALK-OUT BALCONIES! COME SEE AND OWN IT!!!</t>
  </si>
  <si>
    <t>Intercom, Fire Sprinklers</t>
  </si>
  <si>
    <t>schedule showing online below</t>
  </si>
  <si>
    <t>Edyta Moczybroda</t>
  </si>
  <si>
    <t>(773) 416-4163</t>
  </si>
  <si>
    <t>WASHINGTON &amp; HAINESVILLE S 2 BIG HORN W 2 HOME</t>
  </si>
  <si>
    <t>HUD OWNED PROPERTY CASE #: 137-391359. AN EQUAL HOUSING OPPORTUNITY. ALL HUD HOMES ARE SOLD AS-IS.  END UNIT, 2 BED, LOFT, FAMILY ROOM,2.1 BATH.  CHECK THE HUDHOMESTORE SITE FOR MORE INFO.  HOS IS $205 PER MONTH</t>
  </si>
  <si>
    <t>IMMACULATE 2ND-FLOOR RANCH!  GENEROUS FLOORPLAN INCLUDES 2 BEDROOMS, 2 BATHROOMS, 2 LIVING SPACES, SOARING VAULTED CEILING, UPDATED &amp; OPEN KITCHEN WITH 42" CABINETS. FRESHLY PAINTED (INC TRIM/DOORS) AND NEW LIGHT FIXTURES.  IN-UNIT WASHER/DRYER,OPEN FLOORPLAN, ATTACHED GARAGE.</t>
  </si>
  <si>
    <t>TEXT CO-LIST 815-762-1325. Some notice needed</t>
  </si>
  <si>
    <t>ALISON</t>
  </si>
  <si>
    <t>Katie Navratil-Dilger, SFR</t>
  </si>
  <si>
    <t>(630) 926-1824</t>
  </si>
  <si>
    <t>CONTACT CO-LIST FOR ALL QUESTIONS.  TEXT FOR FASTER RESPONSE.</t>
  </si>
  <si>
    <t>Chantecleer Lakes</t>
  </si>
  <si>
    <t>RAYMOND NORTH OF OGDEN TO MCDOWELL WEST</t>
  </si>
  <si>
    <t>Wonderful first floor unit that is in great shape and wonderfully decorated in neutral colors. This unit has it all, 2 bedrooms - both with walk in closets, 2 full baths, 2 patios with sliding glass doors and a spacious, open floor plan.  The kitchen is a great size and has plenty of counter and cabinet space.  Your association dues includes your water bill and access to the pool, clubhouse and exercise room. WOW!</t>
  </si>
  <si>
    <t>Bike Room/Bike Trails, Exercise Room, On Site Manager/Engineer, Party Room, Pool-Outdoors, Curbs/Gutters, Sidewalks, Street Lights</t>
  </si>
  <si>
    <t>Common Grounds, Nature Preserve Adjacent, Pond</t>
  </si>
  <si>
    <t>Day before notice appreciated but not mandatory.  Call CSS 877-977-1010</t>
  </si>
  <si>
    <t>Joanne Grzetic, CSC,SFR</t>
  </si>
  <si>
    <t>(630) 235-4610</t>
  </si>
  <si>
    <t>Guest parking is not usually an issue. One assigned space comes with the unit, a second space can be rented for $100/month or $480 prepaid for 6 months.</t>
  </si>
  <si>
    <t>Rt 59 south to 87th to Sheehan</t>
  </si>
  <si>
    <t>BEAUTIFULLY UPDATED HOME IN DESIRABLE AREA W NEUQUA VALLEY SCHOOLS. GEORGEOUS BALTERIO FLOORS MAIN LEVEL, KITCHEN W 42" CUSTOM CHERRY CABINETS, UPDATED LIGHT FIXTURES, NEWER APPLIANCES, TILE FLOORING,  DOUBLE PANE WINDOWS 2012, TWO STORY FAMILY ROOM W OPEN FLOORPLAN, LIGHT AND BRIGHT. MASTER W VAULTED CEILINGS, HUGE WALK-IN CLOSET, CLOSE TO SHOPPING,RESTAURANTS, THEATER. MOVE IN READY, YOU WILL LOVE IT!</t>
  </si>
  <si>
    <t>APPT. REQ. TEXT BOBBI 630-631-7926. TURN OFF LIGHTS AND LOCK D</t>
  </si>
  <si>
    <t>Bobbi Banfield</t>
  </si>
  <si>
    <t>(630) 631-7926</t>
  </si>
  <si>
    <t>GN</t>
  </si>
  <si>
    <t>DAN RYAN TO 55TH TO PRAIRIE TO PROPERTY</t>
  </si>
  <si>
    <t>GORGEOUS 2BR/2BTH CONDO BAMBOO FLRS.THROUGHOUT,GRANITE CT, MAPLE OR CHERRY CABS MARBLE BTH WITH JACUZZI GAS FP STAINLESS STEEL APPL. IN-UNIT -LAUNDRY WITH WASHER AND DRYER. SECURITY SYS &amp; INTERCOM. DON'T MISS THIS BEAUTIFUL UNIT BATHED IN EXPENSIVE OAK TRIM. PKING INCL.</t>
  </si>
  <si>
    <t>CALL LISTING AGENT FOR ACCESS (773) 851-1061</t>
  </si>
  <si>
    <t>Andre L Furcron, SFR</t>
  </si>
  <si>
    <t>(773) 851-1061</t>
  </si>
  <si>
    <t>Motivated Seller!! Call agent for access, tenant occupied, please give advance notice.</t>
  </si>
  <si>
    <t>RT 59 TO NEW YORK; WEST ON NEW YORK TO  COMMONS; SOUTH ON COMMONS TO RAINTREE, TO  GREGORY - RIGHT</t>
  </si>
  <si>
    <t>WONDERFUL SPACIOUS END UNIT WITH EXTRA WINDOWS AND A PRIVATE SIDE PATIO. OPEN LIVING ROOM &amp; DINING ROOM AREA WITH BREAKFAST BAR TO KITCHEN. 1ST FLOOR HALF BATH. GENEROUS CLOSETS ON BOTH 1ST &amp; 2ND FLOOR; PLUS 2ND FLOOR LAUNDRY!! LARGE MASTER BEDROOM WITH WALK-IN CLOSET. PULL DOWN STAIRS IN HALLWAY TO ATTIC. NEW ROOF IN 2011, NEWER LAMINATE FLOORS, 1ST FLR FRESHLY PAINTED. CLOSE TO SHOPPING, HIGHWAYS &amp; TRAIN.</t>
  </si>
  <si>
    <t>CALL OUR SHOWING APPOINTMENT DESK FOR APPOINTMENT 866-571-7181</t>
  </si>
  <si>
    <t>Kimberly Thurm, ABR,CRS,GRI,SFR</t>
  </si>
  <si>
    <t>(630) 580-7336</t>
  </si>
  <si>
    <t>630-464-1181</t>
  </si>
  <si>
    <t>AGENTS MUST ACCOMPANY THEIR BUYER/CLIENTS AT ALL TIMES.</t>
  </si>
  <si>
    <t>22ND STREET TO MAIN SOUTH TO ARBORETUM W TO HOME</t>
  </si>
  <si>
    <t>Completely Remodeled 2 story townhouse with patio facing large open area, Fireplace, 2 master bed suites w/private updated baths, cathedral ceiling. Loft w/skylight could be a sitting room or an office. Granite tops w/SS apps, Breakfast bar &amp; ceramic backsplash.  2nd flr laundry w/new washer &amp; dryer. Large yard w/playground, 2min to I-355, I-88 &amp; Yorktown Shopping.</t>
  </si>
  <si>
    <t>Contact Steve/Owner at 630-327-7007 for showings, appraisals,  inspections, and all access requests</t>
  </si>
  <si>
    <t>Contact Steve/Owner at 630-327-7007 for showings, appraisals,  inspections, or any and all access requests. Email offers to sales@bergproperties.com or Fax offers to (888) 615-0169.</t>
  </si>
  <si>
    <t>Roosevelt to President north, just south of the tracks on the east side. Park in rear of building</t>
  </si>
  <si>
    <t>Location for this 2 bedroom condo is only 1/2 block to the commuter train &amp; less than a mile to downtown Wheaton. Newly updated bathrm  2104 &amp; new kitchen cabinets/counters make this a gem. new SS dishwsher &amp; micro laminate hardwd flring throughout minus carpet in LR.  Extra lg LR w/slider out to the patio. Laundry &amp; storage on same level. Well maintained bldg w/ low monthly assessment includes gas &amp; water-low taxes</t>
  </si>
  <si>
    <t>Coin Laundry, Storage, Sidewalks, Street Lights</t>
  </si>
  <si>
    <t>Please try to give 2 hrs. notice - Call Showing desk @ 855-746-9100</t>
  </si>
  <si>
    <t>Michelle Scholl, CSC</t>
  </si>
  <si>
    <t>(630) 207-2116</t>
  </si>
  <si>
    <t>cell : 630-207-2116</t>
  </si>
  <si>
    <t>Sellers have some final touches to finish still.  2nd parking space available. New roof on building in 2007. Storage &amp; Laundry on same level as the condo.</t>
  </si>
  <si>
    <t>RT 72 TO RICHARD BROWN 2 WESTER  TO CAMBRIDGE TO CLOVER</t>
  </si>
  <si>
    <t>Nice Norfolk Model with bright floorplan! This is a Homepath property.  This property is now under auction terms. Pre-sale bids should be submitted through auction website. This property is subject to a 5% buyerâ€™s premium pursuant to the Auction Terms &amp; Conditions (minimums may apply).</t>
  </si>
  <si>
    <t>ow under auction terms. Pre-sale bids should be submitted through www.Auction.com. This property is subject to a 5% buyerâ€™s premium subject to the Auction Terms &amp; Conditions (minimums may apply). Note that the commission %'s may change.</t>
  </si>
  <si>
    <t>Rt. 47 to Prairie Valley to 3rd St, south to Willow, west to Home</t>
  </si>
  <si>
    <t>Pristine 2+ bed, 3 full bath raised ranch townhouse is ready to move right in! Vaulted ceilings, hardwood floors, new carpet, stainless kitchen appliances, front load washer &amp; dryer, finished look-out basement, the list goes on and on!  The open floorplan and neutral decor is sure to please.  Convenient access to shopping &amp; restaurants - close to Rt. 38, Rt. 47 and Metra for easy commute.  This is a must see!</t>
  </si>
  <si>
    <t>Leslie Layne, CNC</t>
  </si>
  <si>
    <t>(630) 567-8906</t>
  </si>
  <si>
    <t>Very well maintained unit; easy to show.</t>
  </si>
  <si>
    <t>Edward</t>
  </si>
  <si>
    <t>RT 34 W OF RT 47 TO MITCHEL TO EDWARD TO COURTNEY</t>
  </si>
  <si>
    <t>AUSTIN MODEL</t>
  </si>
  <si>
    <t>41X130</t>
  </si>
  <si>
    <t>In good condition throughout,  CENTRAL AIR, 924 SQ FT W/2 bedrooms, 1.1 BATHS,Huge master suite with separate bathroom. Upgraded kitchen with oak cabs and black and white Appliances. Large family room and dining room with sliding door to patio.   Sold as-is.  No disclosures or survey.  There are water line leaks in the property. Cash offers only.  Seller will not repair.</t>
  </si>
  <si>
    <t>Employees and family members residing with employees of JPMorgan Chase Bank, N.A., its affiliates or subsidiaries are strictly prohibited from directly or indirectly purchasing any property owned by JPMorgan Chase Bank, N.A.</t>
  </si>
  <si>
    <t>FOX HIGHLANDS</t>
  </si>
  <si>
    <t>Rt 47 S on 71 to Village View Dr R on St. Josephs way to Muirfield</t>
  </si>
  <si>
    <t>Great freshly painted 2 BR home, laundry hook-up! New carpet has been installed throughout! This is a Fannie Mae HomePath property.</t>
  </si>
  <si>
    <t>Bennett Lot # 2504</t>
  </si>
  <si>
    <t>ALLERTON-3</t>
  </si>
  <si>
    <t>New Construction the "Allerton" Of Easton Park! 9 Ft. Ceilings on Main Level. Kitchen w/Upgraded 42" Cabinetry, Granite &amp; SS Appl's. Hardwood Flooring. 2S Great Room. Master Suite Features Volume Ceiling &amp; Luxury Bath. Upgraded Stained Rails + Spindles! Easy Access to 355. Transferable 30 Year Structural Builder Warranty.100% Energy Star. Photos are Of a Model Home CLOSING COST INCENTIVES APPLY WITH M/I FINANCIAL!</t>
  </si>
  <si>
    <t>Call Kris @ 630-631-6550 or use Showing Assist</t>
  </si>
  <si>
    <t>Agent must accompany buyers on first visit. Please register your clients with Kris Shannon @ 630-631-6550 Commission paid on base price.</t>
  </si>
  <si>
    <t>COURTYARDS OF HARWOOD HEIGHTS</t>
  </si>
  <si>
    <t>Lawrence Ave. West of Harlem (Corner of Oketo &amp; Lawrence)</t>
  </si>
  <si>
    <t>Meticulously maintained 2br 2bth unit w/ balcony in sought after Courtyards of Harwood Hts. Open floor plan. Hardwood floors t-out. Master suite w/ private bathroom (double sink, open tub, separate shower) and walk-in closet. Same floor storage, in-unit washer and dryer, 2 car heated garage parking. Maine South H.S. Close to shopping, restaurants and public transportation. Low taxes. A must see!</t>
  </si>
  <si>
    <t>Elevator, Storage, On Site Manager/Engineer, Security Door Locks</t>
  </si>
  <si>
    <t>Click on a schedule on showing link</t>
  </si>
  <si>
    <t>Peter Bellert</t>
  </si>
  <si>
    <t>(773) 860-6955</t>
  </si>
  <si>
    <t>RT 53 TO 59TH ST TO MEADOWS EDGE LN TO LAWRENCE LN</t>
  </si>
  <si>
    <t>28X65</t>
  </si>
  <si>
    <t>ENJOY THIS WONDERFUL MOVE IN READY 2 BED 3.5 BATH TOWNHOME LOCATED IN MEADOWS EDGE SUBDIVISION.  GREAT OPEN FLOOR PLAN, LARGE ROOMS, FULL BASEMENT! ALL INFO IS APPROX AND ESTIMATED.  SOLD AS IS. TAXES ARE PRORATED AT 100%. BUYER RESPONSIBLE FOR SURVEY, TRANSFER STAMPS, INSPECTIONS, UTILITIES AND ESCROWS.Public Act 94-1049 May Apply. Property is eligible under the Freddie Mac First Look Initiative through 11/10/14</t>
  </si>
  <si>
    <t>SELLER HAS VERBALLY ACCEPTED AN OFFER 1-8-2015.  PLEASE SUBMIT ALL OFFERS TO OFFERS@SMITHREO.COM / MUST INCLUDE PROOF OF FUNDS.</t>
  </si>
  <si>
    <t>Bedford</t>
  </si>
  <si>
    <t>County Farm Rd to Lies Rd E to Bedford N to home</t>
  </si>
  <si>
    <t>Gorgeous 2 story end unit with welcoming foyer! Oak staircase leads to open ranch floor plan. Living room features enchanting see through fireplace to dining room. Both bedrooms on upper level have separate bathrooms &amp; spacious closets. Convenient laundry room. Attached 1 car garage. No seller disclosures. HUD HOME SOLD AS-IS. INFORMATION DEEMED RELIABLE BUT NOT GUARANTEED. SELLING BROKER TO VERIFY ALL INFORMATION.</t>
  </si>
  <si>
    <t>Case #137-506925. Insured Status: IN. Up to 3% Co-op. Offers submitted on-line. Office must be HUD registered. See attached HUD Guidelines. Go to HUDhomestore.com and hudpemco.com. Questions? HUD@tanisgroupllc.com.</t>
  </si>
  <si>
    <t>REMINGTON GLEN</t>
  </si>
  <si>
    <t>Rt. 64 West to Peck, turn right on Peck, right on Woodward, left on Remington to home</t>
  </si>
  <si>
    <t>Live the lifestyle you deserve in this gorgous 2 bed, 3.1 bath town home w/a private court yard entrance! Kitchen boasting granite counters &amp; a stunningly detailed island. FR w/FP &amp; hrdwd floors! Expansive &amp; romantic master suite featuring a vaulted ceiling, walk in closet &amp; an ultra luxurius master bath. 2nd bdrm &amp; loft area! Finished bsmt w/full bath, large rec rm &amp; storage. Brick paver patio! Model perfect!</t>
  </si>
  <si>
    <t>25X27</t>
  </si>
  <si>
    <t>Oven/Range, Microwave, Dishwasher, Refrigerator, Freezer, Washer</t>
  </si>
  <si>
    <t>Humidifier, Water-Softener Rented, CO Detectors, Ceiling Fan, Sump Pump</t>
  </si>
  <si>
    <t>Drapes in master bdrm &amp; dining room slider in are NOT included in sale. Walking distance from the beautiful Great Western Trail &amp; LeRoy Oaks Forest Preserve. You've found the one to call home!</t>
  </si>
  <si>
    <t>County Farm to Stearns west to Longford to 1178 on left</t>
  </si>
  <si>
    <t>Spacious, end unit townhouse with 1,723 sq ft on a cul-de-sac plus a full, finished basement. Huge master bedroom has walk-in closet, soaking tub. Abundant storage in garage &amp; basement. LR gas, wood burning fireplace. Just minutes to train &amp; expressway. Loft can easily be made into 3rd bedroom. Newer windows. Short Sale.</t>
  </si>
  <si>
    <t>Dishwasher, Refrigerator</t>
  </si>
  <si>
    <t>Call LA-708-508-2596 with 24 hr notice please.</t>
  </si>
  <si>
    <t>Gerry Blaskey, e-PRO,GRI</t>
  </si>
  <si>
    <t>(708) 508-2596</t>
  </si>
  <si>
    <t>CC: Pursuant to Short Sale. Buyers and/or agent responsible for any village/lender required repairs. Roof repair completed for 2nd fl hallway leak. Repairs completed on dishwasher leak that damaged bsmt ceiling tiles. Buyer to finish MBR bath remodel. SOLD AS-IS</t>
  </si>
  <si>
    <t>Route 59 to Montgomery Rd west to Normantown south to driveway(south of Braymore north of Tara Belle</t>
  </si>
  <si>
    <t>Enter off private patio onto wood laminate floored,freshly painted, living room.Open feel spreads to kitchen via stool height breakfast bar. Oven/range, micro,refrigerator,dishwasher,disposal await cook's arrival.1st floor updated powder room.1 piece tub/shower in main bath=ez cleaning.2nd floor laundry,front load wash &amp; dry stay.Master bed room w walk-in closet.White trim throughout. Garage w edo.Newer water heater.</t>
  </si>
  <si>
    <t>Fire Sprinklers, CO Detectors, Ceiling Fan, Fan-Attic Exhaust</t>
  </si>
  <si>
    <t>Call agent for appointment,easy to show.On Sentrilock.</t>
  </si>
  <si>
    <t>Not a ss/foreclosure. Liquid, decisive seller can make decision.Quick close possible.You will be paid a full cc.Nice unit at an attractive price. Needs nothing to move-in.</t>
  </si>
  <si>
    <t>415B</t>
  </si>
  <si>
    <t>Main street north of Ogden to 41st, west (left) to building entrance on left, before Saratoga.</t>
  </si>
  <si>
    <t>Rarely available 2 bedroom, 2 bathroom penthouse unit in Westbrook South. Laminate floors throughout open living space.  Kitchen has stainless steel appliances and breakfast bar with room for a table too.  Wood burning fireplace and tree-top views from balcony.  Large master with wall of closets and full bathroom.  Under building garage parking included with unit.  Too many amenities to list!</t>
  </si>
  <si>
    <t>Coin Laundry, Elevator, Exercise Room, Storage, Party Room, Pool-Outdoors, Receiving Room, Security Door Locks, Curbs/Gutters, Sidewalks, Street Lights, Street Paved</t>
  </si>
  <si>
    <t>Call1.855.746.9100 for appointment.  Buyer's agent must accompany.</t>
  </si>
  <si>
    <t>Cathy Mead</t>
  </si>
  <si>
    <t>(630) 964-4108</t>
  </si>
  <si>
    <t>Easy to show - call 1.855.746.9100 for appointment.  Parking spot is #47B in garage.  Laundry is on 3rd floor.</t>
  </si>
  <si>
    <t>FHA &amp; VA Approved!!!  "We offer the combination of Newer Construction and Gorgeous Views that no one else in the area has to offer. "Freshly painted and newly carpeted spacious condo for sale, huge private terrace, serene private lake setting, tremendous value, in unit laundry, gas cooking, indoor parking and storage included. Community Features: Club, heated outdoor pool, fitness center, saunas, beach and fire pit.</t>
  </si>
  <si>
    <t>FHA Approved!!!  The number one selling point of this home is the amazing outdoor space with lake views.</t>
  </si>
  <si>
    <t>Abingdon</t>
  </si>
  <si>
    <t>Rt 21 north of Rt 120 to Heather Ridge Dr, left on Leonard, right on Abingdon</t>
  </si>
  <si>
    <t>Available NOW! Newer Kitchen and Baths. Newer Paint &amp; Carpet throughout. Newer windows. Ready to go! Two Bedroom. Two Bath. Plus Loft. First and second floor masters? Vaulted Family Room. One car garage. Private patio. Plenty of guest parking. Beautiful area with covered bridge, golf course, ponds, club house and inground pool. For now, can be purchased then rented out, but be sure to confirm with management company.</t>
  </si>
  <si>
    <t>Golf Course, Park/Playground, Party Room, Pool-Outdoors, Tennis Court/s, Curbs/Gutters, Street Lights, Street Paved</t>
  </si>
  <si>
    <t>Visitor Parking</t>
  </si>
  <si>
    <t>Easy to show. Call listing office or use ShowingTime</t>
  </si>
  <si>
    <t>Elizabeth Bryant</t>
  </si>
  <si>
    <t>(847) 814-7895</t>
  </si>
  <si>
    <t>Easy to show. Call listing office or use ShowingTime. Brand new skylight just installed. Painting trim soon.</t>
  </si>
  <si>
    <t>Rte. 59 N of Rte. 20 to Laurel Oaks Dr turn W2 home.</t>
  </si>
  <si>
    <t>31 X 127 APPROX</t>
  </si>
  <si>
    <t>SPACIOUS HOME ON QUIET, PRIVATE, CUL DE SAC LOT W/REMODELED MASTER BATH W/SEPERATE SHOWER &amp; SOAKING TUB (2012), UPDATED APPLIANCES, CERAMIC FLOORS, GRANITE COUNTERS &amp; PAINTED INT. HUGE KIT W/EATING AREA &amp; BAY WINDOW, NEW FURNACE/CENTRAL AIR/HWH (2012). NEW (2014)CONCRETE WALKWAY &amp; PATIO LANDSCAPE W/PRIVATE LARGE LOT. WORRY FREE LIVING JUST MIN TO MAJOR HIGHWAYS &amp; SHOPPING.</t>
  </si>
  <si>
    <t>Loft, Mud Room, Walk In Closet</t>
  </si>
  <si>
    <t>Quiet location, family room currently used as formal dining room. Relocation Rider must be included with offer. Seller protested taxes &amp; they were lowered to current amount.</t>
  </si>
  <si>
    <t>Sandalwood</t>
  </si>
  <si>
    <t>WATER TOWER COURTS</t>
  </si>
  <si>
    <t>Lemont Rd to Beller (Between Plainfield Rd and 87th St. West on Beller then North ton Sandalwood.</t>
  </si>
  <si>
    <t>51X177X63X173</t>
  </si>
  <si>
    <t>Updated with new wood floors, granite counters, and new carpet on stairs and second floor.  Newly painted.  Open floor plan. Dramatic living room with arched windows,cathedral ceiling, and fireplace with gas logs.  Unusually large private yard and patio accessed through French door. Cozy breakfast area with beautiful courtyard style view.  Finished basement with a rec room  and additional bedroom/playroom/de</t>
  </si>
  <si>
    <t>Call listing agent then us Lock Box</t>
  </si>
  <si>
    <t>Berkshire Hathaway HomeServices MAC Real Estate</t>
  </si>
  <si>
    <t>(815) 436-5300</t>
  </si>
  <si>
    <t>Barbara Callahan</t>
  </si>
  <si>
    <t>(630) 697-3707</t>
  </si>
  <si>
    <t>Updated.  One of the largest lots with a beautiful private backyard retreat.</t>
  </si>
  <si>
    <t>GARDEN CRESCENT</t>
  </si>
  <si>
    <t>RT.31 TO WING ST. W TO GARDEN CRESCENT (JUST WEST OF WING PARK) N TO 1ST. LEFT IS GARDEN CRESCENT CT</t>
  </si>
  <si>
    <t>End unit ranch w/full basement!  Vaulted LR &amp; DR w/ceramic FP.  Updated, eat in kitchen w/newer SS appliances.  Newer carpet &amp; freshly painted.  Master offers private bath w/whirpool tub, sep shower &amp; dual sinks  + walk in closet.  French doors to 2nd bdrm. Basement offers rec room, 1/2 bath, work area &amp; plenty of storage.  (Room for 3rd bdr) Completely neutral &amp; move in ready! Xtra parking across from unit! Hurry!</t>
  </si>
  <si>
    <t>Humidifier, TV-Cable, TV Antenna, CO Detectors, Ceiling Fan, Sump Pump, Air Cleaner</t>
  </si>
  <si>
    <t>4H</t>
  </si>
  <si>
    <t>Seasons Ridge</t>
  </si>
  <si>
    <t>RT 30 to Douglas N, to Seasons Ridge W to Grandview Place.</t>
  </si>
  <si>
    <t>Bright &amp; Spacious Rehabbed End Unit in Seasons Ridge. Private Entrance. Three floors of living w/new neutral paint &amp; carpet, oil rubbed light fixtures &amp; new kitchen appliances.  Large eat in kitchen with slider to balcony. Two large bedrooms with WICs.  Full finished English basement w/wood laminate flooring. 2nd Floor Laundry. New ceramic in front hall &amp; basement landing. Oversized 2 Car garage. Oswego Schl Dist 308</t>
  </si>
  <si>
    <t>2.5%LESS $150 (on Net SP)</t>
  </si>
  <si>
    <t>Use Showing Asssit</t>
  </si>
  <si>
    <t>Advantage Realty Group</t>
  </si>
  <si>
    <t>(630) 778-7653</t>
  </si>
  <si>
    <t>Bob Hudetz</t>
  </si>
  <si>
    <t>Fax No.  630-369-4593</t>
  </si>
  <si>
    <t>This agent got a great deal for her buyer :)</t>
  </si>
  <si>
    <t>Summerwind</t>
  </si>
  <si>
    <t>Orchard Rd, WEST on Galena, Right on Concord, right on Summerwind</t>
  </si>
  <si>
    <t>Cozy half duplex close to everything! Large, eat-in kitchen, laundry room, wide-open floorplan, WIC in MA bed. Large, shared bathroom with dual sinks. Deep, two-car garage, sliding glass door in kitchen leads to large yard. Close to schools, shopping, parks, everything! Own for much less than rent. Investors, you can rent this out! What a steal!</t>
  </si>
  <si>
    <t>Property is being sold in online auction event. See homesearch.com for more details. ALL financed offers must be prequaled through Greenlight loans 888-668-5832 BEFORE offer. To submit offer BERFORE auction sales@homesearch.com</t>
  </si>
  <si>
    <t>Wolf Road to Ashbrook subdivision (East side of street), between Plainfield Rd. &amp; Joliet Rd.</t>
  </si>
  <si>
    <t>28X105</t>
  </si>
  <si>
    <t>Sun drenched Ashbrook townhome near shopping, train &amp; expressways!  Gracious entry, HW flrs, formal DR open to soaring 2-story LR w/ 2-sided f/p to FR.  Bright kitchen open to FR, 1st flr ldy &amp; 2 car att garage.  Inviting MBR suite w/vaulted ceiling, WIC &amp; more! 2nd flr loft &amp; spacious 2nd BR. Full unfinished bmt w/roughed in plumbing for BA! Secluded back yard setting w/ patio, radon system ('14) &amp; new roof in 2011.</t>
  </si>
  <si>
    <t>20X5</t>
  </si>
  <si>
    <t>Foyer, Loft, Utility Room-Lower Level, Walk In Closet</t>
  </si>
  <si>
    <t>Humidifier, Intercom, CO Detectors, Ceiling Fan, Sump Pump, Radon Mitigation System(s)</t>
  </si>
  <si>
    <t>Call Centralized Showings 877-977-1010 for appointment. Prior day notice for Non-Sentrilock users.</t>
  </si>
  <si>
    <t>Licensed Agent must be present for all showings. Please use Multi-Board Contract 6.0. Units may be rented with a minimum of 1 year lease.  The management company must have all information regarding rental. Exclude: Powder room mirror.</t>
  </si>
  <si>
    <t>On Irving Park Road (Just East of Walnut)</t>
  </si>
  <si>
    <t>Outstanding downtown Itasca location! Close to Metra Station, Park District, Schools and Highways. Enjoy the view of Usher Park! This 2 bedroom, 2 bath condo is approximately 1300 sq ft. Spacious living room with sliding glass door to patio. Fully applianced kitchen with breakfast bar and eating area. Two nice sized bedrooms. Huge storage area and laundry in basement.</t>
  </si>
  <si>
    <t>Bike Room/Bike Trails, Coin Laundry, Storage, On Site Manager/Engineer</t>
  </si>
  <si>
    <t>Kenneth and Grace Schroeder</t>
  </si>
  <si>
    <t>No investors - unit can not be rented!</t>
  </si>
  <si>
    <t>Lemont Rd to Plainfield Rd (E) to Darien Lakes Dr (S)</t>
  </si>
  <si>
    <t>Beautiful Darien Lakes Townhome with a private patio backing up to trees, all new windows, new roof in 2013, new patio door and storm door, Community pool, tennis, clubhouse and pond, minutes to I-88, I-55, 355 &amp; I - 294</t>
  </si>
  <si>
    <t>Bike Room/Bike Trails, Pool-Outdoors, Tennis Court/s, Curbs/Gutters, Street Lights, Street Paved</t>
  </si>
  <si>
    <t>2.5%-$200 (ON NET SP) (on Net SP)</t>
  </si>
  <si>
    <t>4 hr notice required, Call or Text LA @ 815-823-2529</t>
  </si>
  <si>
    <t>Sesterhenn</t>
  </si>
  <si>
    <t>Susan Meadows</t>
  </si>
  <si>
    <t>22nd (East of Highland) to Grace N. to St. Regis Dr 2020</t>
  </si>
  <si>
    <t>Beautiful 2 bed, 2 bath condo with open floor plan, eat-in kitchen, huge and bright living room, bedrooms with a lot of closet space, master bath with jetted tub, new carpet and spacious balcony! Great location, close to shopping, restaurants and transportation! Enjoy the swimming pool, clubhouse and party room! This is a Fannie Mae HomePath property.</t>
  </si>
  <si>
    <t>Submit all offers to www.homepath.com.  Offer Instructions sheet in â€œAdditional Information". Buyer responsible for 6 months HOA fees per IL Public Act 94-1049.</t>
  </si>
  <si>
    <t>Milton</t>
  </si>
  <si>
    <t>BLOOMINGDALE TO GREENWAY EAST TO MILTON</t>
  </si>
  <si>
    <t>This is a beautiful two bedroom one  bathroom great end unit quad! Enter into a nicely sized kitchen and living room followed by a huge master bedroom with walk in closet! Walk to elementary school  and park! Close to highways and shopping! Show and sell! This is a Fannie Mae HomePath property.</t>
  </si>
  <si>
    <t>Click below show assistant, vacant easy to show.</t>
  </si>
  <si>
    <t>Questions? Use email. Transfer stamps are a buyer charge. Offers must be at www.Homepath.com; all forms on line.</t>
  </si>
  <si>
    <t>Roosevelt Rd West on Main St east of County Farm Rd To Timber Trail South to Woodcutter</t>
  </si>
  <si>
    <t>This home qualifies for special government funding, all buyer needs is $1099 down to buy! No Joke! Ends 11/28! BEAUTIFUL COMPLETELY REDONE 2 STORY CONDO IN DESIRABLE TREES OF WHEATON!  NEW CARPET AND PAINT.  COMPLETE KITCHEN REMODEL WITH NEW FLOORS, NEW SS APPLIANCES AND GRANITE COUNTERTOPS.  MASTER WITH LARGE WALK IN CLOSET AND UPDATED BATH WITH WHIRLPOOL TUB.  ENJOY THE POOL AND LOVELY GROUNDS!  JUST MOVE IN!</t>
  </si>
  <si>
    <t>CENTRALIZED SHOWINGS PH 877-977-1010</t>
  </si>
  <si>
    <t>FRIENDLY SELLER WANTS OFFER!  EASY TO SHOW AND SELL. NOT A SHORT SALE OR FORECLOSURE. NOT FHA APPROVED. NO RENTALS. TEXT CO LISTER WITH QUESTIONS 630-334-5355.</t>
  </si>
  <si>
    <t>Wolf Road south to 72nd Street about 2 blocks, then right at property</t>
  </si>
  <si>
    <t>24X93X25X101</t>
  </si>
  <si>
    <t>Move right in!  Two story townhouse with pond view and private deck.  Master suite with walk in closet and full bath.  Kitchen with lots of cabinets, pantry, granite countertops, island and separate eating area. Separate dining room. Finished basement with family room and bathroom. Attached 2 car garage with lots of storage.  Close to I55 and 294.</t>
  </si>
  <si>
    <t>Please click on SHOWING ASSIST. Cats.  Occupied and must be confirmed.  Sentrilock on Front door</t>
  </si>
  <si>
    <t>Sheila Gentile, CSC</t>
  </si>
  <si>
    <t>(708) 220-2174</t>
  </si>
  <si>
    <t>The seller will be providing the unit with a different refrigerator in the kitchen.  The seller will be taking all the fabric window treatments.</t>
  </si>
  <si>
    <t>8E</t>
  </si>
  <si>
    <t>71ST STREET TO CRANDON, NORTH TO ADDRESS</t>
  </si>
  <si>
    <t>Terrific unobstructed city views can be yours at a very affordable price.  Spacious 2 bedroom, 2 bath condo and garage parking available.  Unit has arched door ways,  ten feet ceilings, en suite master bedroom, separate dining that has lake and city views, an eat-in kitchen with butler pantry, many of closets, and a wall of cedar lined closets. With a few updates this could be a stunning apartment.</t>
  </si>
  <si>
    <t>use showing assist - agent shows.</t>
  </si>
  <si>
    <t>Monique S Washington, GRI</t>
  </si>
  <si>
    <t>(773) 624-2100</t>
  </si>
  <si>
    <t>781-609-16371 - fax</t>
  </si>
  <si>
    <t>Building association is not FHA approved</t>
  </si>
  <si>
    <t>BLOOMINGDALE S OF NORTH 2 SHOREWOOD W2 KINGSTON S 2 HOME</t>
  </si>
  <si>
    <t>Want A Dream Kitchen, Here It IS~Granite Counter Tops &amp; Tile Backsplash~Open Floor Plan w/Lots of Natural Light~Skylight &amp; Vaulted Ceilings  As Well~Bath Had Been Updated~All Fresh Paint and New Carpet~Home Ownership is Easy At This Price~ This is a Fannie Mae Home Path Property.</t>
  </si>
  <si>
    <t>Aster</t>
  </si>
  <si>
    <t>Lemont Road north of 87th to Beller, west to Sandalwood, south to Aster Lane</t>
  </si>
  <si>
    <t>8371 SQUARE FEET</t>
  </si>
  <si>
    <t>Highly sought after ranch end unit with basement. Hardwood floors and cozy fireplace in LR. Bright kitchen with skylight and breakfast bar. Large master suite with private bath. Spacious laundry room. Newer AC, furnace and sump pump. Nice outside patio area, sprinkler system. Attached 2 car garage.  Very clean, well maintained.  Close to expressways and shopping</t>
  </si>
  <si>
    <t>TV-Cable, Sump Pump, Sprinkler-Lawn</t>
  </si>
  <si>
    <t>2.5 LESS $250 (on Net SP)</t>
  </si>
  <si>
    <t>Jeanne Pahlke</t>
  </si>
  <si>
    <t>(630) 202-6567</t>
  </si>
  <si>
    <t>RANDALL TO N. GLEN CIRCLE BETWEEN ILLINOIS AND INDIAN TRAIL</t>
  </si>
  <si>
    <t>NICE TOWNHOUSE WITH A MOTIVATED SELLER!  IT OFFERS; 2 BEDROOMS,DINING ROOM AND ATTACHED 1 CAR GARAGE. ! PROPERTY IS PART OF A 9 PROPERTY PORTFOLIO THAT CAN BE BOUGHT AS A PACKAGE.</t>
  </si>
  <si>
    <t>2% - $250 (on Gross SP)</t>
  </si>
  <si>
    <t>Call Tom (Not Listing Broker) for Access (630)800-9634.  Tenant Occupied Showings Wed and Sat ONLY</t>
  </si>
  <si>
    <t>Sellers Motivated.</t>
  </si>
  <si>
    <t>JASON</t>
  </si>
  <si>
    <t>ON THE PARK</t>
  </si>
  <si>
    <t>WEST OF BLOOMINGDALE RD, LAKE STREET TO WILLIAMS WAY(AT PEDESTRIAN OVERPASS), SOUTH TO JASON COURT</t>
  </si>
  <si>
    <t>$5,000 BUYER CREDIT ATOC! DYNAMITE OPPORTUNITY-YOU SNOOZE, YOU LOSE! OPEN AND AIRY FLOOR PLAN. SPACIOUS TWO-STORY LR &amp; DR W/SKYLITES &amp; VOLUME CEILINGS WITH MULTI-SIDED FP. U-SHAPED KIT W/MERILLAT CABINETS &amp; NEW SS APPLIANCES. 1ST FLOOR MASTER BEDROOM SUITE W/WHIRLPOOL. 2ND BDRM SUITE WITH BATH. LOFT WITH 1/2 BATH CAN BE POSSIBLE 3RD BDRM SUITE. 1ST FLOOR LAUNDRY. FULL BSMT. LARGE 18X12 DECK. NEW ROOF AND DRIVEWAY.</t>
  </si>
  <si>
    <t>Whirlpool, Separate Shower, Bidet</t>
  </si>
  <si>
    <t>PLEASE CALL LISTING OFFICE TO SHOW 630-333-1500</t>
  </si>
  <si>
    <t>Experience the thrill of owning a brand new townhouse! You'll appreciate the spacious open floor plan w/the vaulted 2 story ceilings in the foyer &amp; LR. Huge loft overlooks main level of home. Enjoy cooking in the dream kitchen w/plenty of cabinet &amp; counter space. MBR w/walk in closet &amp; full bath. Sliding glass doors to patio. Photos of spec home. Price includes builder incentive, must use Ryland's Preferred Lender.</t>
  </si>
  <si>
    <t>Price includes builder incentive, must use Ryland's Preferred Lender. Agent must accompany client on first visit. Per HOA, 2 pet maximum, no rules on size.</t>
  </si>
  <si>
    <t>Lillian</t>
  </si>
  <si>
    <t>Willow Creek</t>
  </si>
  <si>
    <t>Rt 59 S of Rt 64 to Ingalton E to Lillian</t>
  </si>
  <si>
    <t>Clean, smart and ready to move in under value listed home with 3 full baths plus half bath and full finished basement with extra storage and full bath and possible bedroom!  Back yard opens to nice green space! 1st floor laundry, 2 car garage...huge loft area for possible 3rd bedroom if needed.. Everything you ever wanted! Hurry and claim your new home today..</t>
  </si>
  <si>
    <t>WEGNER ELEMENTARY SCHOOL</t>
  </si>
  <si>
    <t>3% MINUS $100 (on Net SP)</t>
  </si>
  <si>
    <t>Showing Time 800-746-9464</t>
  </si>
  <si>
    <t>CC: Pursuant to Short Sale. Commission based upon bank approval for short sale.</t>
  </si>
  <si>
    <t>NORTH AVE TO SCHMALE NORTH TO GOLFVIEW EAST TO UNIT (ON LEFT SIDE ABOUT A BLOCK INTO COMPLEX)</t>
  </si>
  <si>
    <t>HIDDEN PINES</t>
  </si>
  <si>
    <t>LEMONT  North of 75th TO CLAREMONT, W TO 1036</t>
  </si>
  <si>
    <t>OAKWOOD</t>
  </si>
  <si>
    <t>28X90</t>
  </si>
  <si>
    <t>Gorgeous Open Floor Plan Two Story TH. Vaulted Ceilings. Loft overlooking LR. Large Kitchen, first floor laundry and Powder Rm. Lux Bath w/whirlpool tub and sep shower. Skylight in bath. Spacious MBR w/ vaulted ceiling. Full Unfin Basement provides storage. Quiet location at the back of the complex. Patio and trees in the back. Easy access to all expressways, and commuter bus to train. Close to shopping.</t>
  </si>
  <si>
    <t>Humidifier, Central Vacuum, Sump Pump, Radon Mitigation System(s)</t>
  </si>
  <si>
    <t>2.5%-$50.00 (on Net SP)</t>
  </si>
  <si>
    <t>Please use Showing Assist or call: 800 746-9464. Appointment Required 2 hour notice.</t>
  </si>
  <si>
    <t>The Roof was replaced in May of 2011. The Loft could be enclosed for a 3rd Bedroom.</t>
  </si>
  <si>
    <t>CINNAMON GLEN</t>
  </si>
  <si>
    <t>Bilter/Dupage pkwy 2 Big Woods 2 Prairieview 2 Stanton</t>
  </si>
  <si>
    <t>CVOMMON</t>
  </si>
  <si>
    <t>Very neat &amp; clean townhouse that is ready to move into.  All kitchen appliances stay plus a washer &amp; dryer.  Lots of storage in the garage.  Newer roof and windows.  This townhouse has been freshly painted and has new carpet through out.  Great location with lots of shopping close by and also close to the interstate.   204 school district.  Don't miss this one!!</t>
  </si>
  <si>
    <t>3% - 150 (on Net SP)</t>
  </si>
  <si>
    <t>Call L/O to set up</t>
  </si>
  <si>
    <t>James Chione</t>
  </si>
  <si>
    <t>(630) 533-8344</t>
  </si>
  <si>
    <t>VALLEY</t>
  </si>
  <si>
    <t>Ogden East of River, to Valley, south to Building on right</t>
  </si>
  <si>
    <t>Fabulously well maintained home. End unit with extra windows and sunlight.  Two bedrooms, two full bathrooms. wonderful private patio. Newer kitchen includes stainless appliances and granite counters. In unit laundry and storage. Newer furnace and A/C. Unit has own one car garage and one marked parking space. Close to downtown, bike and walking trails. Easy to get to train station.</t>
  </si>
  <si>
    <t>Oven/Range, Dishwasher, High End Refrigerator, Washer, Dryer, Disposal, All Stainless Steel Kitchen Appliances</t>
  </si>
  <si>
    <t>GK</t>
  </si>
  <si>
    <t>David Gebraski, CNC</t>
  </si>
  <si>
    <t>(630) 609-6998</t>
  </si>
  <si>
    <t>Great first floor condo.  Cannot be rented.</t>
  </si>
  <si>
    <t>Randall South of 20 to College Green East to Lancaster Left to home</t>
  </si>
  <si>
    <t>The spacious dover model will exceed your expectations! The open floor plan with cathedral ceilings and loft provides a spectacular atmosphere.  The property is centrally located close to Elgin Community College, shopping and entertainment. Fannie Mae HomePath Property, 100 tax proration!</t>
  </si>
  <si>
    <t>Lawn Care, Scavenger, Snow Removal</t>
  </si>
  <si>
    <t>Please see All Doc under additional info, All offers made through HomePath.com and send the same doc's to my email and I will confirm receipt. Have your buyer(s) select &amp; initial title option in section 10. Thank You.</t>
  </si>
  <si>
    <t>Garden Crescent</t>
  </si>
  <si>
    <t>REGENCY WOODS CONDOS</t>
  </si>
  <si>
    <t>Wing Street to Garden Crescent</t>
  </si>
  <si>
    <t>Located 1/2 block from Wing Park, this property is secluded in the Regency Woods!  The master bedroom suite sits on it's own private level away from the secondary bedroom, laundry room, family room and kitchen.  This is a Fannie Mae HomePath Property, 100% tax proration.</t>
  </si>
  <si>
    <t>Kimball Middle School</t>
  </si>
  <si>
    <t>CONV LOAN ONLY!! Please see attached docs under add info. All offers must be made on Homepath.com. Also,send the same docs to Ndismuke@starckrealtors.com &amp;will confirm receipt.Have your buyer(s) select &amp; Initial title option in Section 10</t>
  </si>
  <si>
    <t>Southwicke</t>
  </si>
  <si>
    <t>SOUTHWICKE</t>
  </si>
  <si>
    <t>Rt59 N of Rt20 to Southwicke West-</t>
  </si>
  <si>
    <t>MOTIVATED SELLER has done it all top to bottom!First floor mstr suite/w private bath &amp; W/I closet.  Center entry separates the spacious living rm &amp; formal dining rm. Kitchen has a charming breakfast nook w/granite tops, and newer black appl, Home offers second bdrm, full bath walk-in closet w/cust alpha shelving in all closets. Huge sun drenched loft as well as a finished lower level w/kit cab, rec rm, ofc, full bath</t>
  </si>
  <si>
    <t>Loft, Office, Recreation Room</t>
  </si>
  <si>
    <t>30W024</t>
  </si>
  <si>
    <t>MAPLE HILL</t>
  </si>
  <si>
    <t>Route 59 to Willow Lane, left on Penny, right on Redwood</t>
  </si>
  <si>
    <t>Wonderful light &amp; bright townhome in beautiful Maple Hill! 2 story living room w/ "Palladian" window &amp; upgraded fireplace! Fully applianced kitchen w/ ceramic tile &amp; ceiling fan! Large master bedroom with vaulted ceiling &amp; private bath. Open loft could be 3rd bedroom or office. New furnace in 2014, HWH in 2008.  Convenient location-minutes to both train lines &amp; hwys. Close to pool, clubhouse &amp; walking path!</t>
  </si>
  <si>
    <t>Bidet</t>
  </si>
  <si>
    <t>Use Secure ShowingAssist Instructions</t>
  </si>
  <si>
    <t>Open House this Sunday 10/19/14 from 3pm- 5pm! Prior deal fell because the buyer didn't get financing.</t>
  </si>
  <si>
    <t>HARLEM SOUTH OF GRAND TO FULLERTON, WEST TO PROPERTY</t>
  </si>
  <si>
    <t>GREAT UNIT IN EXCELLENT CONDITION, NEW MODERN BATHROOM WITH CERAMIC FLOORING, NEW ROOF, TUCKPOINTING, NEW LIGHT FIXTURES, HARDWOOD FLOORS THROUGHOUT. HUGE KITCHEN WITH SS APPLIANCES. COIN LAUNDRY AND STORAGE AVAILABLE. ASSIGNED PARKING SPACE. CLOSE TO SCHOOLS &amp; TRANSPORTATION. THANK YOU FOR SHOWING!</t>
  </si>
  <si>
    <t>Oven/Range, Microwave, Refrigerator, All Stainless Steel Kitchen Appliances</t>
  </si>
  <si>
    <t>EASY TO SHOW, NEED SOME NOTICE CALL/TEXT L/A 708-228-8783</t>
  </si>
  <si>
    <t>ABRAHAM SANDOVAL</t>
  </si>
  <si>
    <t>Jacqueline Betancourt</t>
  </si>
  <si>
    <t>(773) 388-8564</t>
  </si>
  <si>
    <t>ASSEMENT INCLUDES HEAT. UNITS CAN BE RENTED!</t>
  </si>
  <si>
    <t>N on Main to Mt. Hunger Rd to Penny Ln N</t>
  </si>
  <si>
    <t>45X130</t>
  </si>
  <si>
    <t>Just like New...2 bedroom, 2 bath ranch duplex features living room with fireplace, first floor laundry, private master bath, hardwood floors, 3 season  room, deck, full unfinished basement, and 2 car garage. This is a Fannie Mae Home Path property.</t>
  </si>
  <si>
    <t>8X1</t>
  </si>
  <si>
    <t>Sundeck, Sidewalks, Street Lights, Street Paved</t>
  </si>
  <si>
    <t>Meredith</t>
  </si>
  <si>
    <t>Oaks at Hidden Glen</t>
  </si>
  <si>
    <t>Irving Park to Bartlett south to Samuel E to Merideth North</t>
  </si>
  <si>
    <t>Outstanding 2 bedroom 2.1 unit that features a 2 car garage, fireplace, new carpet, new kitchen cabinets, new counter tops, private balcony and has been freshly painted throughout. Just minutes from public transportation and shopping. TAXES 100%, submit through homepath.  BUYER IS RESPONSIBLE FOR PREVIOUS 6 MONTHS HOA FEES, Buyer is responsible for any village required repairs.buyer responsible for survey</t>
  </si>
  <si>
    <t>TAXES 100%, submit through homepath.com  BUYER IS RESPONSIBLE FOR PREVIOUS 6 MONTHS HOA FEES, Buyer is responsible for any village required repairs. FHA IS ALLOWED</t>
  </si>
  <si>
    <t>N 1ST</t>
  </si>
  <si>
    <t>STATE STREET TO 1ST STREET, NORTH ON 1ST ST TO HOME</t>
  </si>
  <si>
    <t>New construction in the heart of downtown Geneva! A rare opportunity to own a brand new home in the heart of Geneva. Low maintenance living, these duplexes feature 3 bedrooms and 2.5 baths with finished basements (not included in list sq ft). Beautiful features such as granite ctrs, SS appliances, hardwood floors, upgraded cabinetry and ceramic tile in baths all included in the value. Only 2 available so don't wait!</t>
  </si>
  <si>
    <t>CALL 630.232.8181 TO SCHEDULE SHOWING</t>
  </si>
  <si>
    <t>SHODEEN HOMES</t>
  </si>
  <si>
    <t>Olin Ray Realty Partners LLC</t>
  </si>
  <si>
    <t>(630) 989-0524</t>
  </si>
  <si>
    <t>Nathan Amidon</t>
  </si>
  <si>
    <t>Brand new construction ready for early spring delivery.  Homes under construction now.  Call 630.232.8181 for more information</t>
  </si>
  <si>
    <t>Irving Park Rd W of barrington Rd to McKool S to 1813 on left</t>
  </si>
  <si>
    <t>20X54</t>
  </si>
  <si>
    <t>2 Story Townhouse need some work. Will not go FHA or VA .</t>
  </si>
  <si>
    <t>Pool, Exterior Maintenance, Scavenger, Snow Removal</t>
  </si>
  <si>
    <t>sold as-is  taxes pro rated 100%.  All financed offers must include Caliber Home Loan Preapproval ask LA buyer responsible for all inspection/utility costs</t>
  </si>
  <si>
    <t>LARKSPUR</t>
  </si>
  <si>
    <t>Irving Park E of Barrington Rd. to Kingsbury N to 1341</t>
  </si>
  <si>
    <t>Large 2 bedroom, 1 bath condo with 1 car garage in 211 School district - balcony off kitchen - all appliances, ready to go. Short sale so buyers must be fully approved, willing to wait for 3 to 6 months bank approval.  Excellent location - close to shopping, schools &amp; tollwa. Metra station 3 miles away. Showing appt 24 hrs - Dog.  Show &amp; sel.  Sold as is.</t>
  </si>
  <si>
    <t>Please call 1-855-746-9100 for appointment - 24 hrs needed for dogs</t>
  </si>
  <si>
    <t>Maria Wildoer, CSC</t>
  </si>
  <si>
    <t>(847) 912-3997</t>
  </si>
  <si>
    <t>4M</t>
  </si>
  <si>
    <t>Rt. 53 West to Four Lakes Ave. to Oakwood Dr. Third Right to Oakwood</t>
  </si>
  <si>
    <t>Sun soaked, spacious end unit in secure elevator building with Southern/Eastern exposures!  Newer furnace with 10 yr warranty. Marble tile wood burning fireplace.  In unit laundry. Each bedroom and LR/DR has own sliding door leading to wooded views. Plenty of kitchen cabinet space.  Cable/internet ready. Window treatments installed before closing.1 storage space. Assigned parking C-70 / Guest parking in adjacent lot</t>
  </si>
  <si>
    <t>Bike Room/Bike Trails, Boat Dock, Elevator, Storage, Pool-Outdoors, Security Door Locks, Tennis Court/s, Street Lights, Street Paved, Other</t>
  </si>
  <si>
    <t>Common Grounds, Landscaped Professionally, Water Rights, Wooded</t>
  </si>
  <si>
    <t>Water, Parking, Security, Pool, Exterior Maintenance, Lawn Care, Scavenger, Snow Removal, Lake Rights, Other</t>
  </si>
  <si>
    <t>Conventional, VA, Other</t>
  </si>
  <si>
    <t>2% -$100 (on Gross SP)</t>
  </si>
  <si>
    <t>using showing and text agent with id and date/time to show</t>
  </si>
  <si>
    <t>Joanne Spyridakos</t>
  </si>
  <si>
    <t>Ready to go! Shows well. Immediate close available.  several area amenities along with commuter bus to local BNSF Metra line and close proximity to I-88 and Bendictine University make this unit a plus! showings after 4pm from 10/27-10-31</t>
  </si>
  <si>
    <t>RTE. 72E TO RTE.68NE (BARRINGTON AVE.) TO VILLAGE GREEN</t>
  </si>
  <si>
    <t>Att'n Seniors - 2 BR end unit condo in secure 2nd flr location in elevator bldg - Vill Green of East Dundee! Fully appliances kit w/upgrd refrig - w/d in unit. Enjoy tree-lined views from priv patio! Mo assessmt pays all utilities, provides housekeeping 2x/mo, linen changes &amp; more! Ask me about the optional meal plan! Common areas plus Wellness Ctr, Phys/Occup Therapy Ctr.  Isn't it time for a lifestyle change?</t>
  </si>
  <si>
    <t>Commissary, Elevator, Exercise Room, Storage, On Site Manager/Engineer, Party Room, Receiving Room, Security Door Locks, Curbs/Gutters, Street Paved</t>
  </si>
  <si>
    <t>Nice end unit condo on 2nd floor</t>
  </si>
  <si>
    <t>A104</t>
  </si>
  <si>
    <t>OAK BROOK CLUB</t>
  </si>
  <si>
    <t>16TH STREET BETWEEN RT 83 AND SPRING RD</t>
  </si>
  <si>
    <t>NICE TWO BEDROOM, TWO BATH 1ST FLOOR UNIT IN THE UPSCALE OAK BROOK CLUB.  FRESHLY PAINTED. FLEXIBLE FLOOR PLAN. GAS FIREPLACE. GREAT FIRST FLOOR LOCATION...VERY PRIVATE. FLOORING YOUR CHOICE EITHER CARPET OR WOOD.  STORAGE ON SAME FLOOR.  EASY ACCESS TO STAIRWAY TO GARAGE.</t>
  </si>
  <si>
    <t>Elevator, Exercise Room, Storage, On Site Manager/Engineer, Party Room, Pool-Outdoors, Curbs/Gutters, Gated Entry, Sidewalks, Street Lights, Street Paved</t>
  </si>
  <si>
    <t>Water, Gas, Parking, Common Insurance, Security, TV/Cable, Clubhouse, Exercise Facilities, Pool, Exterior Maintenance, Lawn Care, Scavenger, Snow Removal, Other</t>
  </si>
  <si>
    <t>CALL BARBARA 630-430-7203</t>
  </si>
  <si>
    <t>Barbara Nasharr</t>
  </si>
  <si>
    <t>(630) 430-7203</t>
  </si>
  <si>
    <t>92nd</t>
  </si>
  <si>
    <t>INDIANA TO 92ND, EAST TO ADDRESS</t>
  </si>
  <si>
    <t>Townhouse in great location with deck, driveway and yard. Hardwood floors and full basement ready for ideas!  Owner Occupants eligible for home warranty incentive; must request on initial offer.</t>
  </si>
  <si>
    <t>As-is. Buyer to verify rm count, zoning/dim, school distr, inspections, compli, escrws. Submit offers on www.offerpresentation.com. Earnest $ MUST be cashiers check. Addenda apply upon acceptance. Any incentive visit www.homesteps.com.</t>
  </si>
  <si>
    <t>95th to Book Rd, North to Tamahawk East to home</t>
  </si>
  <si>
    <t>Beautiful townhome has spacious 2 story great room w/ fireplc, dining area &amp; wood lam. flrs. The  eat-in kitchen has updated ss appliances &amp; washer /dryer. Large Master &amp; 2nd Bedrooms, Bathroom suite w/ separate shower, soaker tub &amp; double vanity.  Great finished basement area with plenty of storage space. 2 car garage, fantastic location is close to everything: shopping, dining, YMCA, Neuqua Valley HS. Quick Close!</t>
  </si>
  <si>
    <t>24 hr Notice:  Call Centralized Showing For Appointment 877-977-1010</t>
  </si>
  <si>
    <t>NOT A SHORT SALE OR FORECLOSURE CAN CLOSE QUICKLY!</t>
  </si>
  <si>
    <t>BRIARWOOD LOOP</t>
  </si>
  <si>
    <t>WEST OF 83/31STREET TO REGENT NORTH TO BRIARWOOD LAKES GATEHOUSE</t>
  </si>
  <si>
    <t>RANCH HOME ON NORTH LAKE WITH AMAZING YARD. KITCHEN HAS CUSTOM CABINETRY AND GRANITE COUNTERS-HIGH END APPLIANCES  MSTR BEDROOM  MAIN LEVEL WITH CUSTOM CABINETRY BATH &amp; DRESSING RM. GREAT ROOM HAS WALL OF CABINETRY PERFECT FOR YOUR BIG SCREEN. STEPS TO GUEST BEDRM, BATH &amp; OFFICE.  LOWER LEVEL FAMILY RM w/ AMPLE STORAGE  OUTSTANDING HOME W/WATERFRONT LOCATION. CUSTM WINDOW SHADES. PELLA DOORS NEWER   55 plus COMMUNITY</t>
  </si>
  <si>
    <t>BROOK FOREST ELEMENTARY SCHOOL</t>
  </si>
  <si>
    <t>BUTLER JUNIOR HIGH SCHOOL</t>
  </si>
  <si>
    <t>On Site Manager/Engineer, Curbs/Gutters, Gated Entry, Street Lights, Street Paved</t>
  </si>
  <si>
    <t>Oven-Double, Microwave, Dishwasher, Refrigerator, Freezer, Washer, Dryer, Disposal</t>
  </si>
  <si>
    <t>Common Grounds, Lake Front</t>
  </si>
  <si>
    <t>Common Insurance, Exterior Maintenance, Lawn Care, Snow Removal, Lake Rights, Other, Wi-Fi, Internet Access</t>
  </si>
  <si>
    <t>CALL LISTING AGENTS / KATHLEEN 630-460-7530 OR BARBARA 630-430-7203</t>
  </si>
  <si>
    <t>Kathleen Steber</t>
  </si>
  <si>
    <t>(630) 928-8841</t>
  </si>
  <si>
    <t>EASY TO SHOW, JUST CALL US.</t>
  </si>
  <si>
    <t>Yates</t>
  </si>
  <si>
    <t>East/West on 95th Street to Yates, South to Address</t>
  </si>
  <si>
    <t>STOP PAYING YOUR LANDLORD. COME PUT YOUR FINISHING TOUCHES ON THSI 2BED/1BATH ROW HOME LOCATED IN JEFFREY MANOR. FEATURES INCLUDE HARDWOOD FLOORS, SIDE DRIVE, APPLIANCES, NOT A SHORT SALE OR FORECLOSURE AND READY FOR A QUICK CLOSE.  MAKE AN APPOINTMENT TODAY.</t>
  </si>
  <si>
    <t>PLEASE CLICK SHOWING ASSIST</t>
  </si>
  <si>
    <t>Ware Realty Group, LLC</t>
  </si>
  <si>
    <t>(312) 376-1448</t>
  </si>
  <si>
    <t>Sarah Ware</t>
  </si>
  <si>
    <t>(312) 376-1448x101</t>
  </si>
  <si>
    <t>W208</t>
  </si>
  <si>
    <t>59, just south of Diehl Road to Pebblewood W.  1st right -- go to second building in the back.</t>
  </si>
  <si>
    <t>Beautiful 2 bedroom, 1.1 bath condo.  large rooms and plenty of storage.  Newer appliances include stainless ref, oven/range, dishwasher and microwave.  Also newer are the washer &amp; dryer in the unit.  Freshly painted.  New balcony faces east for great morning sun.  Underground heated parking garage.  Parking space #82.  Quiet, well landscaped grounds.  Easy access to I-88.  Plenty of parking for guests.</t>
  </si>
  <si>
    <t>See showing instructions</t>
  </si>
  <si>
    <t>630-881-8786</t>
  </si>
  <si>
    <t>Fran Holdren</t>
  </si>
  <si>
    <t>(630) 276-7665</t>
  </si>
  <si>
    <t>No rentals.  Not FHA approved. Seller has paid the special assessment for the balcony.  Parking is best behind the building as the keybox is on the south-west entrance to building 5S040.  Can enter by that door, or the front.</t>
  </si>
  <si>
    <t>LOCKSLEY</t>
  </si>
  <si>
    <t>IRVING PARK TO PARK N TO CAMBRIDGE TO LOCKSLEY TO HOME</t>
  </si>
  <si>
    <t>EXCALIBUR</t>
  </si>
  <si>
    <t>75X91X46X92</t>
  </si>
  <si>
    <t>NICE CLEAN HOME WITH NOTHING TO DO BUT MOVE IN! BRAND NEW CARPET AND FRESHLY PAINTED THROUGH OUT!!! NICE OPEN KITCHEN WITH NEW FLOORING!! SPACIOUS LOFT COULD BE USED FOR 3RD BEDROOM. NICE END UNIT AND PRIVATE LOCATION.</t>
  </si>
  <si>
    <t>630-980-4440</t>
  </si>
  <si>
    <t>REFRIGERATOR IN GARAGE STAYS</t>
  </si>
  <si>
    <t>BARTLETT RD N OF LAKE ST(S OF RT.19) 2 TALLTREE E2 ESSEX</t>
  </si>
  <si>
    <t>Lovely 2 bed, 1.5 bath townhouse features spacious living room, nice size bedrooms with a lot of closet space, full finished basement and private patio! Great potential, must see! This is a Fannie Mae HomePath property.</t>
  </si>
  <si>
    <t>60 2 LAKEVIEW N2 HAWTHORN PKWY W2 INDIANWOOD N2 ECHO</t>
  </si>
  <si>
    <t>Price, Location and Condition! This totally upgraded unit is a superstar! Spacious rooms w/new pergo floor &amp; fresh paint in modern neutrals. SS appls suite. Eat in kitchen w/TONS of cabs. New wash/dry in unit! Great views off large private Balcony. Walk to lake, jogging, bike paths, fitness, pool, softball, MEGA shopping and restaurants! Assoc includes heat, gas, water, garb. Available at closing.</t>
  </si>
  <si>
    <t>Bike Room/Bike Trails, Storage, Park/Playground, Pool-Outdoors, Security Door Locks</t>
  </si>
  <si>
    <t>12-HOUR NOTICE REQUIRED! PLEASE USE "SCHEDULE A SHOWING" ICON, THEN CALL L/A @ 847.687.7771.</t>
  </si>
  <si>
    <t>Synergy Realty and Property Management Inc.</t>
  </si>
  <si>
    <t>(847) 687-7771</t>
  </si>
  <si>
    <t>Aleksandr Katsman, ABR,SFR</t>
  </si>
  <si>
    <t>WASHINGTON TO AURORA TO WEST TO RIVERPLACE</t>
  </si>
  <si>
    <t>Immaculate 2 bedroom, 2 bath End Unit with dual balcony and gorgeous views. Located in the heart of Downtown Naperville. Open floor plan with huge master suite w/walk-in-closet and full bath. Laundry room in Unit! Amenities include *Elevator *Private Path to River Walk*24 hr fit cntr w/hot tub*Shuttle to train*Daily Continental Breakfast in Party Rm*On-site maintenance*Asmts include utilities &amp; cable.</t>
  </si>
  <si>
    <t>Elevator, Exercise Room, Storage, On Site Manager/Engineer, Party Room, Sundeck, Security Door Locks, Service Elevator, Whirlpool, Curbs/Gutters, Sidewalks, Street Lights, Street Paved</t>
  </si>
  <si>
    <t>Cul-de-sac, Landscaped Professionally, Water View, Wooded</t>
  </si>
  <si>
    <t>Heat, Air Conditioning, Water, Electric, Gas, Parking, Common Insurance, Security, TV/Cable, Clubhouse, Exercise Facilities, Exterior Maintenance, Lawn Care, Scavenger, Snow Removal, Other, Wi-Fi, Internet Access</t>
  </si>
  <si>
    <t>Humidifier, TV-Cable, Fire Sprinklers, Ceiling Fan</t>
  </si>
  <si>
    <t>Assigned Spaces, Unassigned, Visitor Parking, Underground/Covered</t>
  </si>
  <si>
    <t>Call/Text Agent leave message.</t>
  </si>
  <si>
    <t>630-207-6584</t>
  </si>
  <si>
    <t>Susan Peloso, CSC</t>
  </si>
  <si>
    <t>(630) 207-6584</t>
  </si>
  <si>
    <t>This is the best unit in the building. Sentri box in foyer.</t>
  </si>
  <si>
    <t>ROLLINS &amp; CEDAR LAKE N TO MEADOWGREEN W TO HOME</t>
  </si>
  <si>
    <t>REGULAR SALE! BEAUTIFUL END UNIT TOWNHOME IN ROUND LAKE BEACH, ALL YOU NEED TO DO IS MOVE IN.  2 BEDROOMS, 1 FULL UPDATED BATH UPSTAIRS AND HALF BATH ON MAIN LEVEL..STAY OUT OF THE ELEMENTS WHEN YOU GET HOME WITH THE ATTACHED GARAGE...GORGEOUS VIEW FROM THE MASTER BEDROOM BALCONY...LAUNDRY HOOK UP IN THE UNIT, EVEN COMES WITH A WASHER AND DRYER!!  DON'T MISS THE OPPORTUNITY TO OWN THIS BEAUTIFUL PROPERTY BY THE LAKES</t>
  </si>
  <si>
    <t>Park/Playground, Pool-Outdoors, Street Lights, Street Paved</t>
  </si>
  <si>
    <t>REGULAR SALE!!! SOLD 'AS-IS' PLEASE LOCK DOORS AND TURN OFF LIGHTS...THANK YOU FOR SHOWING</t>
  </si>
  <si>
    <t>RT 60 &amp; LAKEVIEW, N TO COVENTRY, W TO 224</t>
  </si>
  <si>
    <t>Great 2nd floor unit in the Manor Homes. 2BRs &amp; 2BAs w/oversized living room w/a WB fireplace, &amp; separate dining room. Nice kitchen w/ pantry closet and eating area opening to spacious deck. Nice master suite w/bath &amp; walk in closet. Spacious 2nd BR w/large closet. Blinds at all windows. Ceiling fans. Laundry in unit-W&amp;D included. Clean unit. New AC - 2013. Att 1 car garage w/opener. Quick close possible.</t>
  </si>
  <si>
    <t>Park/Playground, Pool-Outdoors, Security Door Locks, Tennis Court/s, Curbs/Gutters, Sidewalks, Street Lights, Street Paved</t>
  </si>
  <si>
    <t>Common Insurance, Pool, Exterior Maintenance, Lawn Care, Scavenger, Snow Removal, Lake Rights</t>
  </si>
  <si>
    <t>Sara Farrington</t>
  </si>
  <si>
    <t>(224) 513-3946</t>
  </si>
  <si>
    <t>Lock box on Post to the right of the front door.  3 keys-engraved. Front is the vestibule door.  Unit up the stairs and to the left-Home.</t>
  </si>
  <si>
    <t>Narragansett is 6400 West</t>
  </si>
  <si>
    <t>Fantastic deal on this 2 bedroom - 2 bath condo, located in great area.  Features include In Unit Washer and Dryer, Central Air and Heat.  Master bedroom bath with shower. All appliances stay - Move in condition - Some newer windows.</t>
  </si>
  <si>
    <t>Dishwasher, Washer, Dryer</t>
  </si>
  <si>
    <t>3.0 -100 (on Net SP)</t>
  </si>
  <si>
    <t>CC: Pursuant to Short Sale. Short Sale, Bank of America - only 1 lender - paperwork is already done</t>
  </si>
  <si>
    <t>MICHIGAN</t>
  </si>
  <si>
    <t>Rt. 60 east of Butterfield, Lakeview north to Hawthorn west to Indianwood north to Michigan east.</t>
  </si>
  <si>
    <t>BACK ON THE MARKET, PREVIOUS BUYER DEFAULTED. SHORT SALE APPROVED AT $120,000. WALK TO THE ELEMENTARY &amp; MIDDLE SCHOOLS FROM THIS REMODELED 2-BR TH FACING THE PARK &amp; PLAYGROUND. OUTDOOR SWIMMING POOL IN COMPLEX. NEAR SHOPS, RESTAURANTS, PUBLIC TRANSPORTATION, &amp; HAWTHORN SHOPPING MALL. VERNON HILLS HS. OWNER CAN RENT AFTER 12 MONTHS.</t>
  </si>
  <si>
    <t>Common Grounds, Cul-de-sac, Nature Preserve Adjacent, Park Adjacent, Water View</t>
  </si>
  <si>
    <t>Parking, Common Insurance, Pool, Exterior Maintenance, Lawn Care, Snow Removal, Lake Rights</t>
  </si>
  <si>
    <t>Text LA 847-529-2500</t>
  </si>
  <si>
    <t>Cynthia Jeon</t>
  </si>
  <si>
    <t>847-529-2500 Cell</t>
  </si>
  <si>
    <t>CC: Pursuant to Short Sale. EXPERT SHORT SALE ATTORNEY IN CONTACT WITH BANK. QUICK CLOSE POSSIBLE. ANY COMMISSION REDUCTION ORDERED BY THE BANK WILL BE SPLIT 50/50. 3% EM AT ACCEPTANCE, H&amp;B BY NOON ON WED. 11/5/14.</t>
  </si>
  <si>
    <t>King Arthur</t>
  </si>
  <si>
    <t>KING ARTHUR COURT</t>
  </si>
  <si>
    <t>NORTH (rt 64) TO WOLF N TO FULLERTON W TO KING ARTHUR</t>
  </si>
  <si>
    <t>Very affordable, 1 bedroom unit near SHOPPING, TRAIN STOP, &amp; BUS STOP OUT FRONT. UNIT NEEDS SOME REPAIRS, SHORT SALE. EXPERIENCE SHORT SALE TEAM THAT GETS THESE CLOSED ON A MONTHLY BASIS. PROPERTY SOLD AS-IS, SHORT-SALE, PRE-FORECLOUSURE, SPECIAL ADDENDUMS REQUIRED, ALL OFFERS SUBJECT TO LIEN HOLDER'S APPROVAL, SUBMIT PROOF OF FUNDS.</t>
  </si>
  <si>
    <t>Coin Laundry, Storage, Pool-Outdoors, Tennis Court/s, Curbs/Gutters, Street Lights, Street Paved</t>
  </si>
  <si>
    <t>CALL L.A</t>
  </si>
  <si>
    <t>Great Homes Real Estate, Inc</t>
  </si>
  <si>
    <t>(847) 930-5080</t>
  </si>
  <si>
    <t>Ramon Chavez</t>
  </si>
  <si>
    <t>(708) 228-9463</t>
  </si>
  <si>
    <t>708-228-9463</t>
  </si>
  <si>
    <t>CC: Pursuant to Short Sale. EXPERIENCE SHORT SALE TEAM THAT CLOSES THESE ON A REGULAR BASIS</t>
  </si>
  <si>
    <t>RT 38 to GLENGARRY~NORTH to HOME (next to Clubhouse)</t>
  </si>
  <si>
    <t>Cluster, Townhouse-TriLevel</t>
  </si>
  <si>
    <t>Hawley West of Midlothian to Woodhaven, rt to Woodcrest, left to number</t>
  </si>
  <si>
    <t>BANK APPROVED SHORT SALE!  Please allow time for bank response but should be within 60 days  Neutrally decorated townhome with 2 large bedrooms, 2 bathrooms on the 2nd floor/ powder on the main level.  Triple sliders opening to rear yard and patio area.  Fully applianced.  Large living room.  Separate utility area leading to garage.  Some rooms have been freshly painted.  Wood laminate floor in living room area.</t>
  </si>
  <si>
    <t>Call LO -- EZ to show</t>
  </si>
  <si>
    <t>CC: Pursuant to Short Sale. All contracts &amp; commissions subject to lien holders approval.  Any reduction in compensation by the lender will be shared 50/50 by the agents.</t>
  </si>
  <si>
    <t>Liberty west of Eola to Ashbury north to Parkhill right to Woodview unit on right</t>
  </si>
  <si>
    <t>BRIGHT , OPEN AND AIRY TOWNHOME WITH GREAT REAR EXPOSURE TO OPEN AREA WITH NATURE VIEW. LOTS OF UPDATES INCLUDING OAK CABINETS AND SIX PANEL DOORS ALL APPLIANCES AND LOTS OR WOOD RAILINGS MAKE THIS AN IDEAL HOME TO ENJOY A QUIET SETTING.</t>
  </si>
  <si>
    <t>Park/Playground, Party Room, Pool-Outdoors, Tennis Court/s, Sidewalks, Street Lights, Street Paved</t>
  </si>
  <si>
    <t>call L/A 708-508-7290 then show</t>
  </si>
  <si>
    <t>Edward Bedard, ABR</t>
  </si>
  <si>
    <t>CC: Pursuant to Short Sale. short sale Attorney is very experienced. Any reduction in commission as a result of short sale negotiations will be shared equally between brokers.</t>
  </si>
  <si>
    <t>timber ridge</t>
  </si>
  <si>
    <t>GENEVA RD. E. OF PRESIDENT TURN N. ON TIMBER RIDGE.</t>
  </si>
  <si>
    <t>SHARP CLEAN UNIT, ON BORDERS OF CS., WHEATON AND JUST W. OF GLEN ELLYN. THE TIMBER RIDGE COMPLEX HAS  POOL, CLUB HOUSE, TENNIS COURT. THE GROSERY STORE IS ACROSS THE STREET. CLOSE TO WHEATON METRA. NEWER FURNACE &amp; NICE KIT W/ GRANITE COUNTERTOPS AND BATHS W/ MARMOL FLOORS. ALL APPLIANCES STAY. GARAGE RIGHT OUTSIDE BACK DOOR, SGD TO PATIO.***AS IS CONDITION***iiiiiiiiiiiSHORT   SALE   APPROVED!!!!!!!!!!</t>
  </si>
  <si>
    <t>09X05</t>
  </si>
  <si>
    <t>Coin Laundry, Storage, Party Room, Pool-Outdoors, Curbs/Gutters, Sidewalks, Street Lights, Street Paved</t>
  </si>
  <si>
    <t>TV Antenna, CO Detectors, Ceiling Fan</t>
  </si>
  <si>
    <t>Call LA 630 430-7231</t>
  </si>
  <si>
    <t>DiBlain Lopez</t>
  </si>
  <si>
    <t>(630) 430-7231</t>
  </si>
  <si>
    <t>CC: Pursuant to Short Sale. Buyer walked out SS approved at listing price, ALL INSPECTIONS @ BUYER'S EXPENSE, COPY OF CERTIFY EM, DISCLOSURES/ADDENDUMS &amp; PREAPROVAL/PROOF OF FUNDS MUST ACOMPANY YOUR OFFER OR WON'T BE PRESENTED. EMAIL OFFERS @ DIBLOPEZ@SBCGLOBAL.NET</t>
  </si>
  <si>
    <t>Gilbert</t>
  </si>
  <si>
    <t>ROUTE 31 S TO STATE ST E  TO GILBERT N TO PARKING LOT</t>
  </si>
  <si>
    <t>New Construction Model for Sale! Give up the maintenance worries in this Active Adult Community of River Crossing! Must be 50+ years old. Building has secure access, under-ground heated parking garage, exercise room &amp; community rooms, storage.  Dakota Model has large corner  balcony, laundry in-unit, all appliances included, large breakfast island, walk-in closets, luxury en-suite, 9' ceilings! FHA &amp; VA Approved.</t>
  </si>
  <si>
    <t>CLINTON elementary school</t>
  </si>
  <si>
    <t>KENYON WOODS Middle School</t>
  </si>
  <si>
    <t>SOUTH ELGIN High school</t>
  </si>
  <si>
    <t>Elevator, Exercise Room, Storage, On Site Manager/Engineer, Party Room, Security Door Locks, Curbs/Gutters, Sidewalks, Street Lights, Street Paved</t>
  </si>
  <si>
    <t>Water-Softener Owned, TV-Cable, TV-Dish, TV Antenna, Security System, Intercom, Fire Sprinklers, CO Detectors, Ceiling Fan</t>
  </si>
  <si>
    <t>Call 1-855-746-9100</t>
  </si>
  <si>
    <t>50+ to purchase new construction units. Customize by choosing colors, floor, cabinets, counters, tile, etc. Standard pricing includes solid surface kitchen counters, ceramic floor, laminate or carpet. All appliances. Please use 6.0 contract</t>
  </si>
  <si>
    <t>Rt 31 S to State St. E to Gilbert N to parking lot</t>
  </si>
  <si>
    <t>KYLA</t>
  </si>
  <si>
    <t>Active Adult improve your quality of life! Give up the maintenance worries in this 55+ Community of River Crossing!  Custom Builder ready to complete this 1st Floor 2BR, 2BA condo to your specifications! Building features secure access, heated parking garage, exercise room &amp; community room, storage. Patio, laundry room, all appliances included, walk-in closets, luxury master suite.FHA &amp; VA approved owner financing</t>
  </si>
  <si>
    <t>NEW Will Build to Suit</t>
  </si>
  <si>
    <t>Elevator, Exercise Room, Storage, On Site Manager/Engineer, Party Room, Receiving Room, Security Door Locks, Curbs/Gutters, Sidewalks, Street Lights, Street Paved</t>
  </si>
  <si>
    <t>1-855-746-9100</t>
  </si>
  <si>
    <t>50+ to purchase new construction units. Choosing colors, floor, cabinets, counters, tile, etc. Standard pricing includes solid surface kitchen counters, ceramic floor, laminate or carpet. All appliances. Please use 6.0 contract.</t>
  </si>
  <si>
    <t>Sutton Ridge Secluded Area Tucked Away By The Cook County Forest Preserve! Private Cul-De-Sac! Luxury Ranch TH Features 42" Kit Cabs w/Granite w/Island, &amp; Hrdwd Flrs! Vaulted Ceils in Liv/Din Rms &amp; Master Suite w/Pvt Lux Bth, Sep Shower &amp; Tub! Deep Pour Look-Out Basement. Extended Deck/Lot #1602 Transferable 30 Year Builders Warranty/Energy Star/Photo's Are the Subject Home is Ready FOR IMMEDIATE DELIVERY NOW!</t>
  </si>
  <si>
    <t>3%-$200 ON BASE PRICE + $3000 BONUS IF CLOSED BY 10-31-14 (on Net SP)</t>
  </si>
  <si>
    <t>Please call Sales Agent Sue Avicola 847-323-1897 By Apt ONLY</t>
  </si>
  <si>
    <t>630-540-1000</t>
  </si>
  <si>
    <t>Agent must accompany buyers. Register with Sue Avicola 847-323-1897 Showings by Apt ONLY! Commission paid on Base Price! SPECIAL RATES Available, * * $3000 BONUS If Closed By 10-31-14 Buyer Must Use M/I Financial.</t>
  </si>
  <si>
    <t>NEWPORT VILLAGE</t>
  </si>
  <si>
    <t>North Ave North to Munson Dr East to Teton Cir to Colorado.</t>
  </si>
  <si>
    <t>107X73X107X72</t>
  </si>
  <si>
    <t>###</t>
  </si>
  <si>
    <t>Updated townhouse has cathedral ceilings &amp; open staircase to 2nd floor. Upgrades throughout. 42' kit cabinets, granite countertops, appliances &amp; ceramic tile floor new in 2014. Energy effecient wiindows &amp; doors thruout. Brazilian hrdwd flr in living/dining rms new in 2013. Oak floors in 2nd floor BRS new in 2010. New carpet in finished basement, Dec 2014. Whole house fan &amp; ceiling fans with remotes. It's a charmer!</t>
  </si>
  <si>
    <t>ROY DE SHANE ELEMENTARY SCHOOL</t>
  </si>
  <si>
    <t>Common Insurance, Exercise Facilities, Pool, Exterior Maintenance, Lawn Care</t>
  </si>
  <si>
    <t>Call LA at 630-586-5774. Leave message, show</t>
  </si>
  <si>
    <t>Totally renovated!! Move right in!</t>
  </si>
  <si>
    <t>medinahonthelake@gmail.com APPOINTMENT RECOMENDED agent on site Fri, Sat &amp; by appointment</t>
  </si>
  <si>
    <t>FHA, VA &amp; Fannie Freddie Approved!!  Totally Warrantable for all Lenders!!!  Investor Closeout!!! Agent on site Fri, Sat &amp; by appointment.</t>
  </si>
  <si>
    <t>FHA, VA and Fannie Freddie Approved!!! "We offer the combination of Newer Construction and Gorgeous Nature Views that no one else in the area has to offer." Spacious condo for sale, serene private lake setting, tremendous value, in unit laundry, gas cooking, fireplace, top floor, hardwood flooring throughout, indoor parking and storage included. Clubhouse, heated outdoor pool, fitness center, saunas, beach, fr Pit</t>
  </si>
  <si>
    <t>medinahonthelake@gmail.com APPPOINTMENT RECOMMENDED Agent on site Fri, Sat and by appiintment</t>
  </si>
  <si>
    <t>Investor Closeout!!! FHA, VA and Fannie Freddie Approved!! Totally Warrantable for all loan types and all lenders.</t>
  </si>
  <si>
    <t>Contract</t>
  </si>
  <si>
    <t>RT 12 N TO STATE PARK RD TO VACA VILLAGE or GRASS LAKE RD W OF 59 TO STATE PARK RD S TO VACA VILLAGE</t>
  </si>
  <si>
    <t>FANTASTIC LOCATION w/WOODED &amp; WATER VIEWS. MAIN LEVEL w/NEW PORCELAIN TILE FLOORS. KIT w/SS APPLS &amp; BRKFST BAR. LR w/WB FIREPLACE, BRICK WALL &amp; SLIDERS TO PATIO. EACH BR w/SLIDER TO BALCONY. NEW WTR HTR. A/C &amp; FP JUST SERVICED. 2 STORAGE SHEDS. TURN-KEY RESORT CONDO COMES FURNISHED AS SEEN. CHAIN O'LAKES BOAT SLIP AVAILABLE, BEACH, POOL, CLUB HOUSE, TENNIS COURTS, TRAILS &amp; MORE! * * OWNER FINANCING AVAILABLE * *</t>
  </si>
  <si>
    <t>BROKERS... PLEASE MAKE YOUR BUYERS AWARE OF ALL THE AMENITIES OFFERED, INCLUDING ASSOC RUN GAS DOCK WITH DISC FUEL FOR RESIDENTS, $600 BOAT SLIP FEE INCLUDES TRLR STOR, $200 ON SITE WINTER BOAT STORAGE &amp; "TRAM". *OWNER FINANCING AVAILABLE*</t>
  </si>
  <si>
    <t>BARTLETT RD N OF IRVING PARK TO STREAMWOOD W TO HOOVER</t>
  </si>
  <si>
    <t>SAWGRASS</t>
  </si>
  <si>
    <t>Sun Filled Rooms and Breathtaking Views of Golf Course &amp; Wetlands from Private Balcony!!! Private Entry. Spacious Vaulted Living Room with Ceiling Fan &amp; Slider to Balcony. Eat-In Kitchen with Slider to Balcony, Updated Appliances and Pantry Closet. Formal Dining Room. Master Suite with Ceiling Fan, Walk-In Closet &amp; Private Bath. Newer HVAC and Sliders. Attached Garage. Minutes to Shopping, Metra and the Expressways.</t>
  </si>
  <si>
    <t>Common Grounds, Cul-de-sac, Golf Course Lot, Wetlands Adjacent</t>
  </si>
  <si>
    <t>CLICK BELOW OR CALL SHOWING DESK FOR APPOINTMENT 866-571-7181</t>
  </si>
  <si>
    <t>Joe Stacy</t>
  </si>
  <si>
    <t>(847) 874-6731</t>
  </si>
  <si>
    <t>FAX #847-983-6731</t>
  </si>
  <si>
    <t>Wilton</t>
  </si>
  <si>
    <t>RT 56 to EOLA SOUTH TO BILTER WEST TO WILTON</t>
  </si>
  <si>
    <t>NAPERVILLE SCHOOLS AND SO AFFORDABLE!OPEN FLOOR PLAN W/3 SIDED FIREPLACE.GREAT KITCHEN WITH HUGE PANTRY. LOTS OF DETAIL WORK, INCLUDING GORGEOUS MASTER CLOSET BUILT-INS. SEPARATE FAMILY ROOM, IN ADDITION TO TWO EATING AREAS. HIGH/VAULTED CEILINGS CREATE AN 'EXTRA LARGE' FEEL. MST BATH W/DOUBLE SINKS, SOAKER TUB, &amp; RAIN SHOWER. CONVENIENT TO EVERYTHING IN AN ACTIVE, FRIENDLY NEIGHBORHOOD.</t>
  </si>
  <si>
    <t>CALL CSS 1-877-977-1010</t>
  </si>
  <si>
    <t>SHOWS BEAUTIFULLY! MASTER ASSOC FEE IS ANNUAL.</t>
  </si>
  <si>
    <t>FINLEY</t>
  </si>
  <si>
    <t>ROOSEVELT TO FINLEY SOUTH TO POINT WEST</t>
  </si>
  <si>
    <t>WOW, PRICED TO SELL. METICULOUSLY MAINTAINED UNIT IN POPULAR &amp; CONVENIENT POINT WEST SUBDIVISION. RECENTLY UPDATED EAT-IN KITCHEN WITH  NEWER STAINLESS STEEL APPLIANCES. BOTH BATHS ARE UPDATED. PLENTY OF PARKING, STORAGE &amp; CLOSETS. CONDO HAS REVERSE OSMOSIS WATER FILTER SYSTEM, POOL AND AN ELEVATOR. CLOSE TO SHOPPING, EXPRESSWAYS AND RESTAURANTS. RENTALS ALLOWED!</t>
  </si>
  <si>
    <t>Coin Laundry, Elevator, Storage, Pool-Outdoors, Security Door Locks, Tennis Court/s</t>
  </si>
  <si>
    <t>Heat, Water, Gas, Parking, Pool, Exterior Maintenance, Scavenger, Snow Removal</t>
  </si>
  <si>
    <t>CALL LISTING AGENT @ 847 809-3432</t>
  </si>
  <si>
    <t>Fasahat Khan</t>
  </si>
  <si>
    <t>(847) 809-3432</t>
  </si>
  <si>
    <t>Lemont Rd S to Westgate(E) to frontage to Waterfall Glen-Building Furthest back from Xprssway</t>
  </si>
  <si>
    <t>Spacious end unit in elevator building with double balconies overlooking pond and forest preserve.  Large floorplan includes living AND family rooms â€“ so much extra space!  Beautifully upgraded kitchen with granite countertops &amp; backsplash and all stainless steel appliances. Master bedroom features large walk-in closet, double bowl sinks, and separate shower &amp; tub.  In-unit washer and dryer &amp; heated garage parking.</t>
  </si>
  <si>
    <t>OAKWOOD ELEMENTARY SCHOOL</t>
  </si>
  <si>
    <t>OLD QUARRY MIDDLE SCHOOL</t>
  </si>
  <si>
    <t>LEMONT TWP HIGH SCHOOL</t>
  </si>
  <si>
    <t>113A</t>
  </si>
  <si>
    <t>2.5% MINUS $250 (on Net SP)</t>
  </si>
  <si>
    <t>630.421.9900</t>
  </si>
  <si>
    <t>LAKE SHORE</t>
  </si>
  <si>
    <t>2508N</t>
  </si>
  <si>
    <t>NEWPORT CONDOMINIUMS</t>
  </si>
  <si>
    <t>47TH OR 51ST TO CORNELL, CORNELL TO 49TH ST, EAST TO PROPERTY</t>
  </si>
  <si>
    <t>Must see! Elegantly &amp; completely remodeled condo. Too many upgrades to list! All new: windows; oak floors, oak moldings &amp; doors; circuit breakers, GE A/Cs, BR carpet, pleated rm drkng shades &amp; vertical blinds. All new open kitchen w/brkfst bar: SS appliances, Grohe faucet, granite, birch cabinets. All new marble baths: heated floors, Jacuzzi shower, Toto &amp; Grohe fixtures. Rental parking possibly available in bldg.</t>
  </si>
  <si>
    <t>Bike Room/Bike Trails, Door Person, Coin Laundry, Elevator, Storage, Health Club, On Site Manager/Engineer, Pool-Indoors, Receiving Room, Security Door Locks, Service Elevator, Valet/Cleaner, Curbs/Gutters, Sidewalks, Street Lights, Street Paved</t>
  </si>
  <si>
    <t>Heat, Water, Common Insurance, Security, Doorman, TV/Cable, Exterior Maintenance, Lawn Care, Scavenger, Snow Removal</t>
  </si>
  <si>
    <t>S (South), W (West), City</t>
  </si>
  <si>
    <t>Gas, Radiant, Radiators</t>
  </si>
  <si>
    <t>Listing Agent Must Accompany</t>
  </si>
  <si>
    <t>Deborah Lewis</t>
  </si>
  <si>
    <t>(773) 451-5751</t>
  </si>
  <si>
    <t>BARRINGTON EAST</t>
  </si>
  <si>
    <t>Main St. E Hwy. 14 to Barrington East Condos North; past garages to back building; 2nd floor unit</t>
  </si>
  <si>
    <t>Sun filled 2 bedroom/ 2 bath condo with large bedrooms, fresh paint and bright white kitchen.  Large entry with eating area; breakfast bar, LR with sliders to prvt balcony.  Master bedroom with prvt master bath.  Unit has it's own garage and complex has serene center courtyard.  Quiet location yet so close to downtown amenities.</t>
  </si>
  <si>
    <t>ARNETT C LINES ELEMENTARY SCHOOL</t>
  </si>
  <si>
    <t>Heat, Water</t>
  </si>
  <si>
    <t>Call Showing Time for appointment 855.746.9020</t>
  </si>
  <si>
    <t>847-409-0297</t>
  </si>
  <si>
    <t>Garage door transmitter is located in kitchen drawer</t>
  </si>
  <si>
    <t>TOWER HILL</t>
  </si>
  <si>
    <t>RT 64 W OF RANDALL 2 CAMPTON HILLS W2 TOWER HILL S2 HOME</t>
  </si>
  <si>
    <t>SAVANNAH</t>
  </si>
  <si>
    <t>Great end-unit townhome with tons of privacy!!  First floor features hardwood floors and open layout!  Kitchen features tons of cabinet space with chef's island.  All appliances stay!! **REGULAR SALE**  Nothing to do but move right in!  Upstairs features 2 bedrooms and a loft!  2 car attached garage!</t>
  </si>
  <si>
    <t>Water-Softener Rented, Security System, Ceiling Fan</t>
  </si>
  <si>
    <t>Don't waste time with short sales!  Regular sale and ready to close when you are!  Earnest money can be held by seller's attorney Edward Kusta.  Please email questions or offers to asifsells@Yahoo.com.  No sign at property.</t>
  </si>
  <si>
    <t>RT 31, SOUTH OF STATE ST TO WOODRIDGE CIRCLE, TO 280- 1ST BUILDING ON RIGHT</t>
  </si>
  <si>
    <t>Open floor plan in this 2 bedroom, features gas fireplace in living room newer flooring in kitchen and bath Master bedroom has walk in closet, laundry in unit. Ground floor entrance on North side of building. 2 car garage District 303 schools</t>
  </si>
  <si>
    <t>Tenant lease expires March 1st Please give 2 hour notice, any showing after 6 pm will need special arrangements  CAN BE A RENTAL     Checking on FHA APP.</t>
  </si>
  <si>
    <t>103rd</t>
  </si>
  <si>
    <t>103rd West to 1629 West</t>
  </si>
  <si>
    <t>SHARP BEVERLY CONDO READY TO MOVE IN! RECENTLY UPGRADED KITCHEN W/ SS APPLIANCES GRANITE TOPS, CROWN MOLDINGS  UNIT FEATURES A GARAGE BEAUTIFUL HARDWOOD FLOORS &amp; DECK FOR YOUR ENJOYMENT $2,000 E.M CERTIFIED FUNDS CONTACT LISTING AGENT FOR SELLER DISCLOSURE FORM PRIOR TO WRITING AN OFFER. SELLER REQUIRES THAT POTENTIAL BUYERS EXECUTE THE DISCLOSURE AND SUBMIT WITH THEIR OFFER IN ORDER TO BE CONSIDERED.EMAIL ALL OFFERS</t>
  </si>
  <si>
    <t>Oven/Range, Microwave, Dishwasher, Refrigerator, Washer, Dryer, Compactor-Trash, All Stainless Steel Kitchen Appliances</t>
  </si>
  <si>
    <t>CALL LISTING OFFICE (708)499-5600</t>
  </si>
  <si>
    <t>Roanoake</t>
  </si>
  <si>
    <t>Stonebrook</t>
  </si>
  <si>
    <t>Grand and Hunt club,west to Stonebrook Drive,south to Roanoake Court</t>
  </si>
  <si>
    <t>Fantastic unit with full finished basement! Two bedrooms plus a loft/3rd bedroom option. Beautiful wood floors throughout! Kitchen w/ newer stainless steel appliances and eating area. Formal dining area, 2 story Living Room with wood burning fireplace. Newer over sized deck that faces private treed area! 1st floor laundry with washer and dryer that stay!  Great location w/ guest parking nearby! Move in ready!!</t>
  </si>
  <si>
    <t>Call Listing Office-Call showing desk</t>
  </si>
  <si>
    <t>Laura Reilly</t>
  </si>
  <si>
    <t>(847) 738-0408</t>
  </si>
  <si>
    <t>Additional relocation addendums are required. Seller to be listed as Cartus Financial Corporation. Fantastic unit, thanks for showing!</t>
  </si>
  <si>
    <t>Carlton</t>
  </si>
  <si>
    <t>BUTTERFIELD RD TO COMMONWEALTH, SOUTH</t>
  </si>
  <si>
    <t>Stunning end unit w/ luxury updates completed in entire house over last 2yrs in sought-after Astoria Place. Light bright eat-in kitch. New hrwd fl. vaulted ceiling in liv/din area adds beauty &amp; natural bright light. 2nd fl laundry, 2+ car gar. Marble fireplace w/upgrd gas logs framed by a Williamsburg mantle. Much storage. Low txs/assessments! Great location! Move-in ready &amp; maintenance free living at its finest!</t>
  </si>
  <si>
    <t>call showing time 855-746-9020</t>
  </si>
  <si>
    <t>RT 59 NORTH OF 95th TO LAVERENZE E TO BARTLET CT.</t>
  </si>
  <si>
    <t>GREAT 2 BEDROOM TOWNHOUSE IN 204 SCHOOL DISTRICT!  WALKING DISTANCE TO SCHOOL AND MANY RETAIL LOCATIONS / PROPERTY FEATURES A 1 CAR GARAGE / PRIVATE BALCONY / LARGE MASTER BEDROOM WITH PRIVATE MASTER BATH / IN UNIT LAUNDRY HOOK UP / GENEROUS ROOM SIZES THROUGHOUT / WELL MAINTAINED EXTERIOR AND GROUNS / BUYER TO VERIFY HOA INFORMATION / SELLER WILL NOT ACTIVATE UTILITIES</t>
  </si>
  <si>
    <t>PROPERTY SOLD AS-IS VIA ONLINE AUCTION / ALL BIDS MUST BE SUBMITTED VIA HUBZU.COM / BUYER TO PAY $299 TECHNOLOGY FEE &amp; BUYER'S PREMIUM TO HUBZU AT CLOSING - SEE WEBSITE FOR DETAILS / FOR ASSISTANCE CALL 1-855-882-1314 OR VISIT WWW.HUBZU.COM</t>
  </si>
  <si>
    <t>Ogden Ave to Maple Ave North to Property (South of Tracks)</t>
  </si>
  <si>
    <t>52X60X50X46</t>
  </si>
  <si>
    <t>Modern Townhouse in Brookfield.  5 Rooms, Living Room,  2 Bedrooms, Master Bedroom with large closet,  updated Kitchen with Oak cabinets, 1st floor Launry Room, Parking exterior space. Newer Windows.  LT High School District. Walk to commuter train.Property sold as is buyer is responsible for any village repairs. em must be cert funds  any cash offers must have updated proof of funds. fin offers must have pr approval</t>
  </si>
  <si>
    <t>Michael Scola</t>
  </si>
  <si>
    <t>(708) 387-3165</t>
  </si>
  <si>
    <t>FAX 708-788-2256</t>
  </si>
  <si>
    <t>all offers must be submitted by the buyers agent via offersubmission.com id#899143 buyer pays $300 at closing offer submission fee.</t>
  </si>
  <si>
    <t>The Willows</t>
  </si>
  <si>
    <t>63rd  to Clarendon Hills S. First complex on the left-  go east to the last unit.</t>
  </si>
  <si>
    <t>1ST FLOOR END UNIT</t>
  </si>
  <si>
    <t>Best location in The Willows. Immaculate end unit with south view of grassy common area. Updated eat-in kitchen with granite counters.  2 Updated baths. Beautiful engineered hardwood flooring in LR, DR &amp; hall - NEW in 2014.  Furnace/air NEW (2010).  HWH NEW 2015. Attached garage.  Stone frpl in LR.  In-unit laundry.  Garage has a sep tax #0923120035 $133 for 2013. Seller requires a closing no earlier than March.</t>
  </si>
  <si>
    <t>use secure showing</t>
  </si>
  <si>
    <t>Use Secure showing.  Park on N side of building.  It is the eastern most unit in the complex.  No pets.</t>
  </si>
  <si>
    <t>Woodward South to 83rd Street, West to Wharf Drive.</t>
  </si>
  <si>
    <t>BEAUTIFUL 1ST FLOOR UNIT FACING POND.  WONDERFUL VIEWS IN THE SUMMERTIME AND STEPS FROM THE POOL. TWO BEDROOM, TWO BATH CONDO WITH GAS FIREPLACE. LARGE KITCHEN WITH PLENTY OF CABINET SPACE AND BREAKFAST BAR. SPACIOUS BEDROOMS, LAUNDRY ROOM IN UNIT, INCLUDES 1-CAR GARAGE. PRICED TO SELL!</t>
  </si>
  <si>
    <t>Common Grounds, Corner, Pond, Water View</t>
  </si>
  <si>
    <t>USE SHOWING ASSIST.  24 HOUR NOTICE PREFERRED.</t>
  </si>
  <si>
    <t>Lorena Mendez</t>
  </si>
  <si>
    <t>(630) 205-8875</t>
  </si>
  <si>
    <t>GREAT LOCATION. JUST MINUTES FROM I-355, PROMENADE, CYPRESS COVE WATER PARK RIGHT ACROSS THE STREET. SOLD "AS IS".  Seller is a Licensed Illinois Real Estate Broker</t>
  </si>
  <si>
    <t>LANDMARK</t>
  </si>
  <si>
    <t>LONGFORD LAKES</t>
  </si>
  <si>
    <t>RT47 TO LANDMARK GO East to home</t>
  </si>
  <si>
    <t>Beautiful end unit in an excellent location. Close to shopping . Neat and clean as can be and a great floor plan. 2 story foyer leads to spacious living room, a very generous kitchen with lots of cabinets, stainless steel appliances, handy 1st floor laundry. 2 bedrooms and 2 baths up, master is very large, with huge walkin closet.Excellent floor plan, lot backs up to mature trees. Move in ready, a great buy!</t>
  </si>
  <si>
    <t>Easy to show, call office or agent</t>
  </si>
  <si>
    <t>Swanson Real Estate</t>
  </si>
  <si>
    <t>(815) 786-9418</t>
  </si>
  <si>
    <t>Joe Frieders</t>
  </si>
  <si>
    <t>(815) 693-4958</t>
  </si>
  <si>
    <t>47 S of 88-to Galena Rd-to Rosenwinkle-to Bertram to end</t>
  </si>
  <si>
    <t>***EQUAL HOUSING OPPORTUNITY*** Cute Condo! Detached 1 Car Garage Included! Property is insurable- repair escrow $1100.00.</t>
  </si>
  <si>
    <t>Zoned</t>
  </si>
  <si>
    <t>Bike Room/Bike Trails, Exercise Room, Park/Playground, Party Room, Pool-Outdoors, Receiving Room, Tennis Court/s, Curbs/Gutters, Sidewalks, Street Lights, Street Paved</t>
  </si>
  <si>
    <t>Electric, Indv Controls, Zoned</t>
  </si>
  <si>
    <t>CHECK AVAILABILITY ON HUDHOMESTORE.COM B-4 SHOWING. For OFFER submission, see HudHomestore.com, Case# 137-393325 Broker must have active NAID # to place BID electronically. Sold as-is.</t>
  </si>
  <si>
    <t>TAYLOR</t>
  </si>
  <si>
    <t>Rt 21 to Heather Ridge, W to Leonard, S to Taylor, N to #</t>
  </si>
  <si>
    <t>Priced to move! This 1200 sq ft 2 bedroom 2 bath first floor Pine model condo features newer furnace and central air. Mirrored closet doors. Pine model floor plan includes dining room and large master bedroom. Double sliding doors for extra energy efficiency.  An exceptional condo in move-in condition! Underground parking. Complex features on-site security, golf course, swimming pool, beautiful grounds and more!</t>
  </si>
  <si>
    <t>Bike Room/Bike Trails, Elevator, Exercise Room, Storage, Golf Course, Party Room, Pool-Outdoors, Tennis Court/s</t>
  </si>
  <si>
    <t>Water, Common Insurance, Security, Clubhouse, Pool, Exterior Maintenance, Lawn Care, Scavenger, Snow Removal</t>
  </si>
  <si>
    <t>MCCOY EAST OF EOLA TO AUTUMN LAKES NORTH TO WATERS EDGE WEST TO HOME.</t>
  </si>
  <si>
    <t>** GORGEOUS 2 BED, 2.1 BATH AUTUMN LAKES 2 STORY TH ** NAPERVILLE D204 SCHOOLS ** PRISTINE CONDITION &amp; MOVE IN READY ** UPDATES INCLUDE: NEW HW FLOOR ~ BRUSHED NICKLE LIGHT FIXTURES ~ NEW CARPET ~ NEW SS APP'S ~ NEW WINDOW TREATMENTS ~ CUSTOM CLOSETS ~ FRONT LOAD W &amp; D ~ NEW WATER HTR ~ PALLADIUM WINDOWS ~ WHITE TRIM ~ 6 PANEL DOORS ~ EPOXY GARAGE FLOOR ~ BLACK OUT SHADES ~ HUGE WIC ~ DON'T MISS - THIS IS THE ONE!!</t>
  </si>
  <si>
    <t>CLICK ON SHOWING INSTRUCTIONS BELOW. EZ TO SHOW. 2 HRS NOTICE APPRECIATED. OCCUPIED.</t>
  </si>
  <si>
    <t>STACEY</t>
  </si>
  <si>
    <t>The master association covers all the common areas of oakhurst. Insurance. Landscaping. Monuments/signage. Snow plow. And the oakhurst community park. Which includes the playground. Tennis volleyball courts. Baseball diamonds. Bike path. Et</t>
  </si>
  <si>
    <t>ROSELLE RD ( JUST NORTH OF IRVING PARK)TO HATTENDORF GO E TO 17</t>
  </si>
  <si>
    <t>Sharp 2 bed, 2 full bath condo, 2 indoor heated parkng spaces #14,15, Fully applianced kitch w/ eat-in area, ceramic flrs &amp; oak cabinets,Washer/dryer in unit, MBR w/ walk-in closet &amp; bth w/ shower. Whirlpool tub in 2nd bth, easy maintenance wood laminate flooring throughout, canned lights, Radiant heated flrs,interior heated car wash bay in garage-PLEASE EXCLUDE: Longhorn in LR &amp; Speaker brackets</t>
  </si>
  <si>
    <t>Text or Call LA 630-212-9410-KB on back door railing of 27 Hattendorf</t>
  </si>
  <si>
    <t>Corinne Sciacqua, CSC</t>
  </si>
  <si>
    <t>(630) 767-7768</t>
  </si>
  <si>
    <t>Text or call 630-212-9410 w/ agent ID to sho-front door key in Sentrilock on railing at back door of 27 Hattendorf building.appt required-pls make all offers to seller: WHR Group Inc- on purchase contracts-</t>
  </si>
  <si>
    <t>College Trail</t>
  </si>
  <si>
    <t>Washington W of 45 to Atkinson S to Cambridge E to Essex S to 884.</t>
  </si>
  <si>
    <t>Beautiful home in coveted College Trail!  Top of the line 3 bedroom townhome. 3 newly remodeled bathrooms. Upgraded kitchen with SS appliances.  Large loft and 2 bedrooms/2 bathrooms upstairs.  Large lower level bedroom.  Plenty of storage space and closets.  Hardwood flooring on main level and stairways.  2 car garage.  Parks, walking paths, and soccer fields nearby.  Rollins Savannah forest preserve a block away.</t>
  </si>
  <si>
    <t>Common Grounds, Nature Preserve Adjacent, Landscaped Professionally</t>
  </si>
  <si>
    <t>4hr notice please. use showing assist or call L.O.</t>
  </si>
  <si>
    <t>Took off market during holidays and clients remodeled and upgraded all 3 bathrooms.</t>
  </si>
  <si>
    <t>Bloomingdale North of Army Trail to Greenway, East to College, turn Right and take that to Indiana</t>
  </si>
  <si>
    <t>Charming 2 bed end unit ranch townhome. Brand new kitchen and appliances. New carpet and freshly painted. Full finished basement. 1 car attached garage. Move-in ready. FHA Approved. A must see! See attachment for PAS requirements and WFHM offer submittal information the MLS document section.  ***Multiple offers.  Highest and best due 01/15/2015 by 6pm***</t>
  </si>
  <si>
    <t>Call 1.866.571.7181 for appointment. Easy to show.</t>
  </si>
  <si>
    <t>708-347-1350</t>
  </si>
  <si>
    <t>See attachment for PAS requirements and WFHM offer submittal information in MLS document section. ALL OFFERS MUST INCL-CONTRACT/PRE-APPR/POF IF CASH-COPY EARNEST. *OFFER RQ.UNDER DISCS* EMAIL fgrabowski@koenigrubloff.com or FAX 630-580-7454</t>
  </si>
  <si>
    <t>New York Street W of Eola to Park Avenue entrance to 2416 Stoughton Circle</t>
  </si>
  <si>
    <t>A newly updated kitchen awaits...just move right in. Brand new SS appliances, fixtures &amp; hardware throughout. Backs to large green space. Ample room sizes/lots of natural light. Upstairs loft is great "flex" space &amp; could be 3rd bedroom. Large master suite features dressing area &amp; WIC. DR flows into LR featuring gas fireplace. Plenty of storage, including walk-in pantry. Neutral colors. 2nd floor laundry. 204 schools</t>
  </si>
  <si>
    <t>CALL/TEXT LA 630-946-4688   MUST CONFIRM.</t>
  </si>
  <si>
    <t>Kenneth Gerrans</t>
  </si>
  <si>
    <t>(630) 946-4688</t>
  </si>
  <si>
    <t>***SELLER HAS VERBALLY ACCEPTED OFFER...WAITING FOR SIGNATURES***</t>
  </si>
  <si>
    <t>75th to Brookdale. Located inbetween Plainfield rd and 75th where they meet</t>
  </si>
  <si>
    <t>VALUE IN THIS FANTASTIC SECURE 2ND FLOOR END UNIT CONDO WITH NICE VIEWS. INVESTORS SHOULD MAKE AN APPOINTMENT RIGHT AWAY TO SEE THIS NICE HOME WITH A TON OF UPGRADES. GREAT TENANTS ON SECOND YEAR THROUGH 11/30/15=CASH FLOW. LOTS OF PARKING,BIG BRIGHT ROOMS, BALCONY, ALL TILE AND LAMINATE FLOORING, IN UNIT BOSCH LAUNDRY, SWIMMING POOL, PARK, HINSDALE S. HIGH SCHOOL! A MUST SEE</t>
  </si>
  <si>
    <t>Bike Room/Bike Trails, Pool-Outdoors</t>
  </si>
  <si>
    <t>Heat, Common Insurance, Pool, Exterior Maintenance, Lawn Care, Scavenger, Snow Removal</t>
  </si>
  <si>
    <t>CALL SHOWING TIME 800-746-9464 occupied must confirm</t>
  </si>
  <si>
    <t>tenants and seller says do not show while contingent</t>
  </si>
  <si>
    <t>Bridgewater</t>
  </si>
  <si>
    <t>North Aurora Rd east of route 59 to Golden Gate north</t>
  </si>
  <si>
    <t>ANTICOH</t>
  </si>
  <si>
    <t>Move in ready 2BR/2BA End unit Ranch TH with 2 car gar in  Naperville SD 204. Totally remodeled kitchen features 18" CT floor, new cabinets w/soft close doors, SS appliances, granite CT's with tile and glass backsplash. Open floor plan with9 ft ceilings. WIC in MBR, CT floor in both baths, Gas FP w/wood mantle in FR. Great view of pond and green space from patio. Convenient to I88, restaurants &amp; Metra.</t>
  </si>
  <si>
    <t>online or call showing time 855-746-9093</t>
  </si>
  <si>
    <t>Nice and neat ready to move in. FHA approved.</t>
  </si>
  <si>
    <t>2S638</t>
  </si>
  <si>
    <t>RT 59 TO BATAVIA RD-E, TO ENRICO FERMI CT-N</t>
  </si>
  <si>
    <t>END UNIT TOWN HOME W/FIREPLACE IN LIVING ROOM, UPDATED BATHS, PARTIALLY FINISHED BASEMENT W/FAMILY ROOM &amp; OFFICE/REC ROOM, ATTACHED 2 CAR GARAGE.  PRICED FOR YOUR BUYERS WHO LIKE TO DECORATE.  FINANCED BUYERS=PRE-APPROVAL WITH DOWN PAYMENT VERIFIED.  CASH=ALL FUNDS TO CLOSE VERIFIED.  SOLD AS IS, PUBLIC ACT 94-1049 MAY APPLY WAITING FOR HOA 2 CONFIRM. BUYER RESPONSIBLE CITY INSPECTION REPAIRS AFTER CLOSING.</t>
  </si>
  <si>
    <t>Health Club, Park/Playground, Party Room, Pool-Outdoors, Tennis Court/s, Street Lights, Street Paved</t>
  </si>
  <si>
    <t>9N</t>
  </si>
  <si>
    <t>OAK BROOK TOWERS</t>
  </si>
  <si>
    <t>NE Corner of Meyers and Butterfield</t>
  </si>
  <si>
    <t>CORNER UNIT</t>
  </si>
  <si>
    <t>WOW! What a Beauty! What a Price! Perfect in Every Way! Must See to Believe! Great SE corner w/stunning views. Freshly painted thru-out. 5yr old Kit &amp; BAs. Spacious rms, balcony,xtra closets, assessment includes heat, water, gas, cable TV, pool, party rm &amp; exercise rm. Indoor pkg $60/month, exterior pkg also available. Top close-to-everything area. This is a prize. Additional  info feature sheet can be found in unit.</t>
  </si>
  <si>
    <t>Coin Laundry, Elevator, Exercise Room, Storage, On Site Manager/Engineer, Party Room, Pool-Outdoors, Restaurant, Security Door Locks, Curbs/Gutters, Street Lights, Street Paved</t>
  </si>
  <si>
    <t>Oven/Range, Microwave, Dishwasher, High End Refrigerator</t>
  </si>
  <si>
    <t>Double Sink, No Tub</t>
  </si>
  <si>
    <t>Heat, Water, Gas, Common Insurance, TV/Cable, Exercise Facilities, Pool, Exterior Maintenance, Lawn Care, Scavenger, Snow Removal</t>
  </si>
  <si>
    <t>Call LA 708-287-6616 EASY TO SHOW</t>
  </si>
  <si>
    <t>Ceil McGuire Dunn, CRS</t>
  </si>
  <si>
    <t>(708) 287-6616</t>
  </si>
  <si>
    <t>Buyers will love the condition, location and price this unit offers. Best value for 2-BR/2-BTH in area and/or complex.</t>
  </si>
  <si>
    <t>Route 59 South of I-88 to 95th St.  Turn right (west) on 95th St. 3/4 mile to Carillon Club entrance</t>
  </si>
  <si>
    <t>Available this Spring - NEW construction.  END unit. Beautiful Bruges ranch style town home with 2 bedrooms, 2 bathrooms, sunroom.  Upgrades include wood floors, cabinets, carpeting and ceramic floors in the bathrooms.  Custom paint throughout.  Huge kitchen with upgraded appliances.  55+ community with club house and numerous activities.</t>
  </si>
  <si>
    <t>Open 7 days a week. Call 847-984-4857 for more info or visit the sales center at 4027 Idlewild Lane</t>
  </si>
  <si>
    <t>Must bring client on FIRST visit and register for agent to receive commission.  Open 7 days a week.  Hours are 10 - 6 Tue - Sat; 11 - 6 Sun; 1 - 6 on Mon.</t>
  </si>
  <si>
    <t>GANT</t>
  </si>
  <si>
    <t>WEST OF SHAUMBURG RD TO BARRINGTON RD TO NORTH PARK BLVD</t>
  </si>
  <si>
    <t>pursuant to short sale</t>
  </si>
  <si>
    <t>2%-$250 (on Gross SP)</t>
  </si>
  <si>
    <t>CALL L.A. AT 773-719-2053 AND TEXT</t>
  </si>
  <si>
    <t>Urszula Topolewicz, BPOR,SFR</t>
  </si>
  <si>
    <t>(773) 719-2053</t>
  </si>
  <si>
    <t>CC: Pursuant to Short Sale. Pursuant to Short Sale. 1 Lien.ALL TERMS/CONDITIONS/PAYOUTS/OFFERS-SUBJECT TO 3rd PARTY APPROVAL 90/120 days-SOLD AS-IS TAX-100% NO SURVEY IF COMM. IS REDUCED ON OR BEFORE CLOSING IT WILL BE SPLIT 50%Selling office(-$225) /50% Listing Offic</t>
  </si>
  <si>
    <t>9S110</t>
  </si>
  <si>
    <t>LAKE, Bldg 14,</t>
  </si>
  <si>
    <t>STRATFORD GREEN</t>
  </si>
  <si>
    <t>RT 83 TO MIDWAY W TO ELEANOR S TO COMPLEX, BUILDING 14</t>
  </si>
  <si>
    <t>LOCATION, CONDITION &amp; PRICE! UPDATED  WITH 6 PANEL DRS, PERGO THRUOUT, FRESH PAINT IN DECORATOR COLORS, NEWER APPLS, PATIO AND BATH. LARGE WALK-IN CLOSET IN MSTR W/ALCOVE THAT COULD BE LAUNDRY/LINEN CLOSET. NEAR CLUB HOUSE &amp; POOL. CLUBHOUSE RECENTLY REDONE W/MANY AMENITITES. CONVENIENT TO HWYS. PRIVATE VIEWS FACING GORGEOUS WOODS &amp; STREAM WITH WILDLIFE. WELCOME HOME!</t>
  </si>
  <si>
    <t>Coin Laundry, Exercise Room, Storage, On Site Manager/Engineer, Park/Playground, Party Room, Sundeck, Pool-Outdoors, Security Door Locks, Steam Room, Curbs/Gutters, Sidewalks, Street Lights, Street Paved</t>
  </si>
  <si>
    <t>Heat, Water, Gas, Parking, Common Insurance, Security System, Clubhouse, Exercise Facilities, Pool, Exterior Maintenance, Lawn Care, Scavenger, Snow Removal</t>
  </si>
  <si>
    <t>CALL LA:630.780.1212;CELL630.258.6272</t>
  </si>
  <si>
    <t>Sharon Sodikoff</t>
  </si>
  <si>
    <t>(630) 780-1212</t>
  </si>
  <si>
    <t>NONE</t>
  </si>
  <si>
    <t>D1</t>
  </si>
  <si>
    <t>Roosevelt (Route 38) to Shaffner, South to County Farm, Left to Stonebridge Circle.</t>
  </si>
  <si>
    <t>Sharp, 1st floor, 2 bedroom, 2 bathroom garden level condominium, features private walk-out patio, master suite with walk-in closet and private bath.  Upgrades including, fresh paint, new carpeting, new range, microwave and dishwasher. This is a Fannie Mae Homepath property</t>
  </si>
  <si>
    <t>No Disclosures, personal property or survey. Seller requests all offers be submitted to www.homepath.com</t>
  </si>
  <si>
    <t>Prestbury</t>
  </si>
  <si>
    <t>Hankes to Merrill New to Hillcrest</t>
  </si>
  <si>
    <t>Beautifully maintained 2 bedroom ranch in sought after Blackberie Hill.  Sunken living room with soaring ceilings and cozy fireplace, separate dining room and spacious kitchen with Corian counters and center island.  Patio and deck are private and look over open space.  Finished basement with additional fireplace, full bath and additional bonus room with big walk-in closet.  This one won't disappoint!</t>
  </si>
  <si>
    <t>Illinois Math and Science Academy</t>
  </si>
  <si>
    <t>Bonus room in basement is set up as a bedroom.  Escape window is in the walk-in closet.</t>
  </si>
  <si>
    <t>47th</t>
  </si>
  <si>
    <t>47th street &amp; princeton</t>
  </si>
  <si>
    <t>15X100</t>
  </si>
  <si>
    <t>ALL BRICK TOWNHOME SOLD AS-IS AT A GREAT PRICE. THIS UNIT IS NOT BANK OWNED AND IS AVAILABLE IMMEDIATELY FOR SHOWING.  SPECIAL WARRANTY DEED AT CLOSING, 100% TAX PRORATIONS. NO INSPECTION CONTINGENCY, THIS IS SOLD AS-IS, YOU MUST INSPECT PRIOR TO SUBMITTING AN OFFER.  CASH DEALS ONLY    SELLER IS CLEANING OUT FURNITURE, NO OTHER WORK WILL BE DONE BY SELLER</t>
  </si>
  <si>
    <t>ROOM SIZES ESTIMATED, SOLD AS-IS. BUYER MUST INSPECT FIRST BEFORE SUBMITTING AN OFFER.</t>
  </si>
  <si>
    <t>Split Oak</t>
  </si>
  <si>
    <t>Fairfield Village</t>
  </si>
  <si>
    <t>Fairfield N of 134 to Mayfield, Right on Village, Right on Split Oak to 1404</t>
  </si>
  <si>
    <t>A must see!! Great 2 bedroom/2.5 bathroom home in an excellent location! Very spacious rooms, nice patio, PLUS a 1 car garage! Priced to sell, this one has it all and won't last! Choose FHA financing to qualify for $100 down payment. Ask your Agent for details. Sold as-is. Equal Housing Opportunity</t>
  </si>
  <si>
    <t>Case#137-316563.INS.STATUS:Insured.Up to 3% co-op Offers 2B put on-line Off.must be registered &amp; have a NAID# Go to hudhomestore.com 4 online bidding SEE PCR UNDER ADDENDUMâ€™S TAB.?â€™s to fsrhomes@aol.com.SOLD AS-IS.www.hometelosfirst.com</t>
  </si>
  <si>
    <t>WAVERLY COMMONS</t>
  </si>
  <si>
    <t>Routes 58 &amp; 25. Go East on Rt 58 (Summit St) to Waverly Dr, left (North) on Waverly to 635 Right</t>
  </si>
  <si>
    <t>This well maintained &amp; secure 1st floor Condo is one of the larger models in the subdivision. Large master bedroom with walk-in closet &amp; full bath. A bright &amp; sunny kitchen with eating area, pantry, desk &amp; sliding door leading to patio. Large Living Room with 8â€™ Slider to Deck. Foyer w/large closet, Guest bedroom w/2 closets. Extra storage off Deck. Large 1Â½ Car garage.</t>
  </si>
  <si>
    <t>Park/Playground, Security Door Locks, Curbs/Gutters, Sidewalks, Street Lights, Street Paved</t>
  </si>
  <si>
    <t>Oven/Range, Refrigerator, Washer, Dryer, Disposal</t>
  </si>
  <si>
    <t>Humidifier, TV-Cable, Security System, Intercom, CO Detectors, Ceiling Fan</t>
  </si>
  <si>
    <t>Call Showing desk 855.746.9100 M-Sat 8am-9pm/Sun 8am-6pm</t>
  </si>
  <si>
    <t>Ted Tesmer, ABR,SFR,SRES</t>
  </si>
  <si>
    <t>(847) 284-0239</t>
  </si>
  <si>
    <t>**Per Association rules only 20% of units can be rented at any one time; Presently no units can be rented. **Water Heater-2012, Refrigerator-2008, Furnace-2005, A/C-2005 **Buyer requires Pre-Approval Key Mortgage - Mike Tobin 847-815-4870</t>
  </si>
  <si>
    <t>63rd St to Clarendon Hills south to the "Willows" next to Midtown.</t>
  </si>
  <si>
    <t>Spacious,immaculate and quiet. Updated 2nd floor in desireable Willow Commons, 4 units per building. Open floor-plan, lots of storage. Beautifully remodeled baths, updated kitchen, WS/DR, Garage. Lrg Master suite w/ walk-in Cal closet. 2nd BR w/ custom closet. Low assessments. Move in condition. Beautifully remodeled! Centrally located to 83,55,294 and 88. Balcony for summer entertaining.</t>
  </si>
  <si>
    <t>Easy to Show Text or email Charna</t>
  </si>
  <si>
    <t>Oz Realty Group</t>
  </si>
  <si>
    <t>(312) 813-3290</t>
  </si>
  <si>
    <t>Charna Thomas Osmundson</t>
  </si>
  <si>
    <t>Text or Email Charna 312-813-3290</t>
  </si>
  <si>
    <t>Bloomingdale Rd, North of Army Trail to Dunteman West to Waters Edge and go straight into culdesac</t>
  </si>
  <si>
    <t>3RD FLOOR</t>
  </si>
  <si>
    <t>Top floor two bedroom two bathroom REO subject to sellers addendums to be provided upon agreement of price and terms. Employees &amp; family members residing with employees of JPMorgan Chase Bank, NA its affiliates or subsidiaries are strictly prohibited from directly or indirectly purchasing any property owned by JPMorgan Chase Bank, NA. Buyer responsible for all inspections and costs pof of funds and em with offers.</t>
  </si>
  <si>
    <t>email broker agent ID for lockbox combo</t>
  </si>
  <si>
    <t>Include proof of funds or prequalification and a copy of earnest money check.</t>
  </si>
  <si>
    <t>Barron Blvd to Lexington Ln. Lexington to Stockton. Stockton to Longchamps. Longchamps to property.</t>
  </si>
  <si>
    <t>Lovely 2bed/2.1bath townhouse in the Briargate neighborhood. Master bath with soaking tub and separate shower. Tons of closet space including a walk-in closet in the master bedroom. Dining room combined with living room that can be used for additional living space or for a formal dining room. Spacious kitchen. Patio in rear with a view of greenery. This is a Fannie Mae HomePath property.</t>
  </si>
  <si>
    <t>LARGE LUXURY condominium conveniently located near I-294, I-290 &amp; shopping galore! Spacious 2/2. unit with granite kitchen counter, island, SS appliances &amp; new carpet - gracious master suite with separate tub and shower and walk in closet. Abundant storage,in-unit laundry room &amp; large balcony with lovely west exposure. 1 free parking spot in heated garage + 1 in outdoor lot. Seller financing available - FHA Approved!</t>
  </si>
  <si>
    <t>Call or text LA</t>
  </si>
  <si>
    <t>Unit will be completely updated! FHA approved and 5% down seller financing available. Photos of model unit with identical layout.</t>
  </si>
  <si>
    <t>Vallette</t>
  </si>
  <si>
    <t>St. Charles to Poplar south to Vallette, east to home</t>
  </si>
  <si>
    <t>27 X 125</t>
  </si>
  <si>
    <t>Rare opportunity to own a fully remodeled townhome overlooking the Prairie Path in Jefferson School District.  Don't miss this 2 BR 1 1/2 BA end unit with a granite and stainless kitchen open to living room with a breakfast bar.  Features hardwood floors, updated baths, and lower level family room currently set up as a third bedroom.  New landscaping and paver patio in front.  Low taxes and no monthly assessments!</t>
  </si>
  <si>
    <t>JEFFERSON ELEMENTARY SCHOOL</t>
  </si>
  <si>
    <t>BRYAN MIDDLE SCHOOL</t>
  </si>
  <si>
    <t>Call or text listing agent at 847-302-8029.  Appt required, dog in house.</t>
  </si>
  <si>
    <t>Judy Dabertin</t>
  </si>
  <si>
    <t>847-302-8029</t>
  </si>
  <si>
    <t>102-W</t>
  </si>
  <si>
    <t>Take Cottage Grove to 78th -East to address</t>
  </si>
  <si>
    <t>Beautifully rehabbed Fannie Mae Condo.  2 bedrooms, 2 full  baths.  Hardwood floors thru- out.  In unit laundry.  And,  priced to sell.</t>
  </si>
  <si>
    <t>Call list agent</t>
  </si>
  <si>
    <t>Seller requires all offer thru HomePath.com.  Go to Homepath.com to submit all offers.  20 day first look applies</t>
  </si>
  <si>
    <t>Northcreek</t>
  </si>
  <si>
    <t>Janes to 83rd, West on 83rd to Adbeth, South on Adbeth to North Creek, West on North Creek to Condo.</t>
  </si>
  <si>
    <t>Light &amp; Bright, Open,&amp; Remodeled!This open, airy, unit boasts a brand new kitchen,skylights,beautiful wood laminate flooring,1.1 bathrooms, vaulted ceilings,&amp; has been lovingly maintained! Enjoy warm evenings on the private balcony,or entertain inside as well! Laundry is in-unit for extra convenience. There is one garage space (garage is extra deep),an xtra parking space,&amp;storage!Conveniently Located!Just Move In!</t>
  </si>
  <si>
    <t>JOHN L SIPLEY ELEMENTARY SCHOOL</t>
  </si>
  <si>
    <t>3 Hour Notice Please click on Showing Assist to Schedule</t>
  </si>
  <si>
    <t>Beautiful Unit! Easy to show! Your buyers will fall in love!!</t>
  </si>
  <si>
    <t>Arlington</t>
  </si>
  <si>
    <t>St. Charles Rd, past Main to President.  Right on President to Arlington Ct, Left on Arlington Ct.</t>
  </si>
  <si>
    <t>End unit with pond location and green space. Owner relocating, clean and nicely decorated.  Recent 2013 upgrades include, granite counters and backsplash in kitchen, fireplace surround, whole house light fixtures, kitchen floor ceramic tile, hardwood floors foyer, new carpet.  New 2014 furnace and AC. Move in Ready!!!</t>
  </si>
  <si>
    <t>2.5% -$55 (on Net SP)</t>
  </si>
  <si>
    <t>12 Hour notice due to work schedule. Call agent: 630-207-5035.</t>
  </si>
  <si>
    <t>Patricia Coleman, CNC</t>
  </si>
  <si>
    <t>(630) 207-5035</t>
  </si>
  <si>
    <t>KOLIN</t>
  </si>
  <si>
    <t>63RD ST WEST TO KOLIN NORTH TO 6200</t>
  </si>
  <si>
    <t>THIS IS A 2BD/1BA CONDO. HARDWOOD FLOORS, LARGE LIVING ROOM. VINTAGE BUILDING. 1 CAR GARAGE INCLUDED. BLOCKS FROM MIDWAY AIRPORT &amp; PUBLIC TRANSPORTATION.</t>
  </si>
  <si>
    <t>Water, Common Insurance, Scavenger, Snow Removal</t>
  </si>
  <si>
    <t>EM in CERT FUNDS.SOLD AS IS-NO REPAIRS/BCC.SUBJCT TO HUD GUIDELINES 24 CFR 206.125 Min dep on cash offers to be 10%/$1,000 min;which is greater.All FIN offers to be 1% or $1,000 min,whichever is greater.***VERBALLY ACCEPTED***</t>
  </si>
  <si>
    <t>ESPRIT</t>
  </si>
  <si>
    <t>SCHICK RD TO LORRAINE CIR NORTH TO VERSAILLES CT RIGHT TO ESPRIT CT LEFT</t>
  </si>
  <si>
    <t>40X79</t>
  </si>
  <si>
    <t>RARE RANCH W/LAKEVIEW BY WALKING PATH. OPEN FLOOR PLAN W/SKYLIGHTS &amp; VAULTED CEILINGS~HARDWOOD FLOORS IN BEDROOMS~NEW IN LAST 2 YRS: CARPETING, STOVE, MICROWAVE, WASHER &amp; DRYER~LIVING/DINING ROOM COMBO W/MARBLE GAS FIREPLACE~KITCHEN W/CERAMIC FLRS~EATING AREA~SLIDING DOORS TO DECK &amp; BACKYARD. MASTER SUITE W/ LRG WALK-IN-CLOSET~WHIRLPOOL BATH~SEP.SHOWER~FULL PARTIALLY FIN. BSMT~2ND KITCHEN IN BASEMENT~TONS OF STORAGE!</t>
  </si>
  <si>
    <t>45X16</t>
  </si>
  <si>
    <t>2nd Kitchen, Recreation Room, Other</t>
  </si>
  <si>
    <t>Humidifier, TV-Cable, Security System, CO Detectors, Ceiling Fan, Sump Pump, Air Cleaner</t>
  </si>
  <si>
    <t>2.5%-250.00 (on Net SP)</t>
  </si>
  <si>
    <t>Call 855.919.0376, APPT REQUIRED, EZ SHOW</t>
  </si>
  <si>
    <t>Donna Catanese</t>
  </si>
  <si>
    <t>(630) 339-4018</t>
  </si>
  <si>
    <t>630-669-8592</t>
  </si>
  <si>
    <t>Please remove shoes, turn off light, SECURE DOOR.  Feedback is greatly appreciated!  DO NOT LOCK INSIDE DOOR LEADING TO GARAGE PLEASE</t>
  </si>
  <si>
    <t>Brainerd</t>
  </si>
  <si>
    <t>Rt. 176 West of Rt 21 to Brainerd North to Condo on East side of street.</t>
  </si>
  <si>
    <t>Fabulous In Town Location. Large 1st floor unit w/assigned 1 car garage and storage shed. Brand new carpet. Kitchen features solid upgraded Oak cabinets. Living Room has slider to outside balcony. Bathroom with 36" height oak cabinets. Building offers laundry room recreational room, full kitchen and convenient bathroom in basement for resident use.</t>
  </si>
  <si>
    <t>Storage, Party Room, Security Door Locks, Curbs/Gutters, Sidewalks, Street Lights, Street Paved</t>
  </si>
  <si>
    <t>use showing assist or call 855-746-9020</t>
  </si>
  <si>
    <t>Mary Gibbs Moodhe</t>
  </si>
  <si>
    <t>(847) 902-3357</t>
  </si>
  <si>
    <t>New Carpet.  Please remove shoes. turn off all lights and lock door.</t>
  </si>
  <si>
    <t>VILLAGE CIRCLE</t>
  </si>
  <si>
    <t>Willow Springs Rd to Archer (East) to 1st Drive/street on left</t>
  </si>
  <si>
    <t>Start Packing!  2nd largest unit in bldg-This 2BR/2BA with HUGE laundry room is a rare find!  Beautifully decorated &amp; updated- breakfast bar, eat in kitchen, granite counter tops, 2 large full baths-Master Bath has a tub &amp; shower in it!  AMAZING WALK IN CLOSET in the master bedroom w/chandelier! Huge rooms and tons of space/storage-2 garage spots, balcony- bike trails &amp; Commuter train just steps away! Welcome Home!</t>
  </si>
  <si>
    <t>ARGO COMMUNITY HIGH SCHOOL</t>
  </si>
  <si>
    <t>Water, Parking, Common Insurance, Security, Security System, TV/Cable, Exercise Facilities, Exterior Maintenance, Lawn Care, Scavenger, Snow Removal</t>
  </si>
  <si>
    <t>2 hour notice preferred-call/text LA 708-466-0979 need time to remove small dog from unit</t>
  </si>
  <si>
    <t>Kim Blaze Joseph</t>
  </si>
  <si>
    <t>(708) 466-0979</t>
  </si>
  <si>
    <t>Huge unit tastefully decorated- show and sell with confidence!  Unit shows GREAT!  2 Indoor Garage spots included, new carpet in living room, lots of updates!</t>
  </si>
  <si>
    <t>5804A</t>
  </si>
  <si>
    <t>Ridgewood Oaks</t>
  </si>
  <si>
    <t>Wolf Rd south of 55th Street to Ridgewood Oaks on west side of street</t>
  </si>
  <si>
    <t>Beautifully decorated, 1st flr, 2BR 2BTH model has a custom, cherry KIT w/SS appl pkg &amp; solid surface tops, pantry w/pull out shelves &amp; lots of drawers for EZ storage. Priv Mstr Bth w/full size, W/I shower, glass doors, grab bars &amp; cer tile surround. Guest Bth also updtd &amp; has cer tile surround. Neutral carpet/paint. Loads of closets. Att gar &amp; storage room conveniently 2nd from door. 20' cement patio w/south exposur</t>
  </si>
  <si>
    <t>Storage, Curbs/Gutters, Street Paved</t>
  </si>
  <si>
    <t>Humidifier, Intercom</t>
  </si>
  <si>
    <t>Todd Farm</t>
  </si>
  <si>
    <t>RT 31 to Big Timber to Todd farm</t>
  </si>
  <si>
    <t>Randall Rd to Binnie Rd, West to Gleneagle Drive, North to Orchard, Right to 2091.</t>
  </si>
  <si>
    <t>LOOKING FOR THE PERFECT PLACE!! YOU HAVE ARRIVED. WONDERFUL 2 BEDROM UNIT WITH 1.1 BATHROOMS AND ATTACHED GARAGE. PROPERTY SOLD IN AS IS CONDITION, PLEASE PROVIDE PROOF OF FUNDS WITH ALL OFFERS.</t>
  </si>
  <si>
    <t>RT 31 TO MILLER W TO SLEEPY HOLLOW N TO BLUE RIDGE</t>
  </si>
  <si>
    <t>Great interior location for this two-story town home with an open high ceiling in the entry and part of the living room,  kitchen with eating area/dining room overlooking a small yard and some trees, an attached garage.  Freshly painted and new carpet. It has a very nice flow and floor plan.  It's very light and open. Fannie Mae HomePath property. Tax pro 100%, no discl/survey.</t>
  </si>
  <si>
    <t>Call 866-852-8313 to schedule appt</t>
  </si>
  <si>
    <t>Patty Ancona</t>
  </si>
  <si>
    <t>(847) 217-2514</t>
  </si>
  <si>
    <t>847-217-2514</t>
  </si>
  <si>
    <t>The seller has directed that all offers must be made online via HomePath.com. Please go to HomePath.com to make an offer........Not FHA approved</t>
  </si>
  <si>
    <t>COTTAGE GROVE</t>
  </si>
  <si>
    <t>95TH TO COTTAGE GROVE N. TO ADD</t>
  </si>
  <si>
    <t>This is a Fannie Mae Homepath property.  Nice clean 2 bed 1 bath condo ready for occupancy!  Close to shopping and transportation.  Save on rent and make the move into home ownership.  View this home today and start packing!</t>
  </si>
  <si>
    <t>3% - $1,000.00 MINIMUM (on Net SP)</t>
  </si>
  <si>
    <t>Direct offers to www.homepath.com - This is a Fannie Mae Homepath property - Sale subject to Illinois Condominium ACT - as is sale no repairs or survey - REO/corporate owned - email agent with questions.</t>
  </si>
  <si>
    <t>Thorndale to Park, south to Millers Crossing</t>
  </si>
  <si>
    <t>Spectacular updated townhome in quiet Wildspring. Fantastic kit remodel boasts cherry cabs, granite counter &amp; breakfast bar. 2 story liv rm features vaulted ceiling, oak floors &amp; fireplace. 2nd level offers 2 spacious bedrooms, updated baths w/high end finishes like granite, glass tiles &amp; vanities. Loft w/custom book cases makes for perfect office. Newer Anderson windows, furnace &amp; AC. Impressive &amp; move in ready.</t>
  </si>
  <si>
    <t>Master bath steam feature "As-Is". When submitting an offer please use the 6.0 contract.</t>
  </si>
  <si>
    <t>Diamond Harbor</t>
  </si>
  <si>
    <t>From Route 12, east on Grand, Forest north to Howard west to property</t>
  </si>
  <si>
    <t>Stunning. Prepare to be wowed! Lake Rights! Bring your boat! Enjoy resort like living year round! Gorgeous Kitchen w/ granite surface, designer tile backsplash, Cherry RP cabinets, breakfast bar &amp; Stainless Steel Appliances! Need a Master Bedroom fit for a KING? Look no further! Dual Closets, Private Luxury Bath! Guest Bedroom big enough for guest to sprawl and enjoy! Extra deep attached Garage! End unit! Turn-Key!</t>
  </si>
  <si>
    <t>Landscaped Professionally, Water Rights, Water View</t>
  </si>
  <si>
    <t>Please use 6.0 contract for all offers.   Not rentable.  $175 Seasonal boat slip fee - must have boat</t>
  </si>
  <si>
    <t>30W006</t>
  </si>
  <si>
    <t>Route 59 S of Roosevelt rd to Willow west to cul-de-sac.</t>
  </si>
  <si>
    <t>Former builder's model it is stunning!  Hardwood floors, soaring ceilings, lovely view from deck...  Fantastic home, nothing to do - just move in.Quiet cul-de-sac location near pool, versatile floor plan... Bright, neutral and light. Large eat-in kitchen. Master suite with luxury bath and walk in closet. Bring you buyers, they'll love it!!!!!!!!!!!!!</t>
  </si>
  <si>
    <t>Kenneth Swindell</t>
  </si>
  <si>
    <t>(630) 251-5521</t>
  </si>
  <si>
    <t>Normal sale, can close quick.</t>
  </si>
  <si>
    <t>Drexel Parc Lofts</t>
  </si>
  <si>
    <t>Dan Ryan to 47th Street, East to Drexel, North to address</t>
  </si>
  <si>
    <t>2 bdrm/1 bath Loft, High Ceilings, Custom Fireplace, marble bathroom with soaker tub, in-unit washer/dryer hook-up, maple kitchen cabinets, private balcony, deeded offstreet parking space included. Central air unit does not work. Property being Sold "AS IS".  Short Sale subject to bank approval.</t>
  </si>
  <si>
    <t>Heat, Water, Parking, TV/Cable, Exercise Facilities, Exterior Maintenance, Lawn Care, Scavenger</t>
  </si>
  <si>
    <t>(708) 957-1199</t>
  </si>
  <si>
    <t>Tonya Corder, SFR</t>
  </si>
  <si>
    <t>(708) 213-6079</t>
  </si>
  <si>
    <t>CC: Pursuant to Short Sale. Short Sale subject to bank's approval. Any commission reduction will be shared 50/50 with selling agent/company.    Central air unit does not work.</t>
  </si>
  <si>
    <t>LAKE E OF BARTLETT RD 2 CLUBTREE N2 VALLEY L (END UNIT)</t>
  </si>
  <si>
    <t>AMAZING PRICE ........  END UNIT RANCH WITH A BASEMENT . FREDDIE MAC OWNED TOWNHOME BEING SOLD AS IS WHERE IS . TAXES BEING PRO RATED AT 100% . THIS HOME IS UNDER THE FREDDIE MAC FIRST LOOK INITIATIVE THRU 02/03/2015. UPDATED KITCHEN  WITH BLACK APPLIANCES AND NEWER CABINETS . THIS WILL NOT LAST LONG!</t>
  </si>
  <si>
    <t>Eating Area, Storage</t>
  </si>
  <si>
    <t>Overlook</t>
  </si>
  <si>
    <t>West of RT 59 on North Aurora - to Genesee North - to Overlook Cour</t>
  </si>
  <si>
    <t>Donâ€™t OVERLOOK this opportunity. AMAZING hand scraped hardwood floors in the living room, dining room, and kitchen.  Wonderful VIEWS from all the windows.  TODAYâ€™s colors, SS appliances in the delightful kitchen, SPACIOUS master bedroom with large WALK-IN closet and private master bath. You'll feel the WARMTH and COMFORT the minute you walk in the door.  Convenient to shopping, expressway and parks. Home Sweet Home!</t>
  </si>
  <si>
    <t>Park/Playground, Gated Entry, Sidewalks, Street Lights, Street Paved</t>
  </si>
  <si>
    <t>CALL B&amp;W APPOINTMENT DESK 855-746-9100 - 1 HOUR NOTICE A MUST- HOMEOWNER WORKS FROM HOME</t>
  </si>
  <si>
    <t>Judy Bruscianelli, CSC</t>
  </si>
  <si>
    <t>(630) 718-3462</t>
  </si>
  <si>
    <t>630-718-3462</t>
  </si>
  <si>
    <t>Buyers' agent must accompany all buyers during showings.  Seller is fully aware she is upside down and prepared to move on.</t>
  </si>
  <si>
    <t>VAUGHN</t>
  </si>
  <si>
    <t>EOLA S- NEW YORK W- VAUGHN N- PROPERTY</t>
  </si>
  <si>
    <t>IMMACULATE! QUICK CLOSE POSSIBLE! FANTASTIC END UNIT IN WOODLAND LAKES! 2 BED W/HUGE LOFT! 3 1/2 BATH! FINISHED BASEMENT W/FULL BATH! OPEN FLOOR PLAN!  LIVING ROOM W/GAS FIREPLACE! GOURMET KITCHEN W/HARDWOOD FLOORS, UPGRADED  CABINETS &amp; DINING AREA! MASTER SUITE W/LUXURY BATH, SEPARATE SHOWER, DUAL SINKS &amp; HUGE CLOSET! DECK! 2 CAR GARAGE! AWARD WINNING DISTRICT #204 SCHOOLS!  A MUST SEE!</t>
  </si>
  <si>
    <t>Vinyl Siding, Cedar, Stone</t>
  </si>
  <si>
    <t>call css 1-877-977-1010, easy show!</t>
  </si>
  <si>
    <t>FANTASTIC END UNIT.... FINISHED BASEMENT</t>
  </si>
  <si>
    <t>1S117</t>
  </si>
  <si>
    <t>W Roosevelt Rd to S Michigan Ave</t>
  </si>
  <si>
    <t>1226 SQ.FT.</t>
  </si>
  <si>
    <t>Beautiful 2 Story 2 Bedrooms 1.1 Baths Townhome with an assigned parking space. Very spacious, full basement with utility room. Nice neighborhood with 1 seasonal swimming pool, 1 clubhouse and several playgrounds. This is a Fannie Mae HomePath property. Property is under auction terms.</t>
  </si>
  <si>
    <t>0.01% (on Net SP)</t>
  </si>
  <si>
    <t>Pre-sale bids should be submitted through â€œAuction.comâ€. It's subject to a 5% buyerâ€™s premium pursuant to the Auction Terms&amp;Conditions (min may apply). The commission percentages may change between the pre-sale and auction periods.</t>
  </si>
  <si>
    <t>West of river rd on Irving Park Rd. Across from park</t>
  </si>
  <si>
    <t>WOW!! Fully renovated unit with tons of natural sunlight! Kitchen features exotic granite, high end stainless steel appliances from ABT!!! Brand new bathroom includes tiles &amp; fixtures!! Gleaming freshly refinished hardwood floors throughout the living &amp; bedrooms!! One parking space included!!</t>
  </si>
  <si>
    <t>Complex is rentable. Fully remodeled! Your clients will not be disappointed!!! Listing agent is owner.</t>
  </si>
  <si>
    <t>75TH STREET TO WOODWARD AVENUE SOUTH TO COUNTRY CLUB DRIVE.</t>
  </si>
  <si>
    <t>BRIGHT CLEAN  2 BED CONDO. GARDEN LEVEL. NEW CARPET. NEW LAMINATE FLOORING.FRESHLY PAINTED. NEW INTERIOR DOORS. WALK IN MASTER CLOSET AND PLENTY OF CLOSET SPACE. SS APPLIANCES. PLENTY OF PARKING. CLOSE TO 1355, SHOPPING AND DINING.</t>
  </si>
  <si>
    <t>Water, Gas, Parking, Common Insurance, Clubhouse, Pool, Exterior Maintenance, Lawn Care, Snow Removal</t>
  </si>
  <si>
    <t>click on link below</t>
  </si>
  <si>
    <t>There is a sentrilock box in the entryway of the building - use the key with UNIT 2 on it to get into the lobby. Key to the unit is in the lockbox on the front door of the unit. NO THIRD PARTY APPROVAL. CAN CLOSE QUICKLY.</t>
  </si>
  <si>
    <t>Rosenwinkle, West on Bertram to home</t>
  </si>
  <si>
    <t>Well maintained 2 bedroom/2 bathroom home in a great location! Spacious rooms, nice patio, PLUS a garage spot! Priced to sell, this one has it all and won't last!Choose FHA financing to qualify for $100 down payment. Ask your Agent for details. Sold as-is. Equal Housing Opportunity</t>
  </si>
  <si>
    <t>Case#137-358894.INS.STATUS:IE. Up to 3% co-op Offers 2B submitted on-line Off.must be registered &amp; have a NAID# Go to hudhomestore.com 4 online bidding SEE PCR UNDER ADDENDUMâ€™S TAB.?â€™s to fsrhomes@aol.com.SOLD AS-IS.www.hometelosfirst.com</t>
  </si>
  <si>
    <t>Randall to Wilson(West) to North Barton Trail (North).  Home is on the east side of the street</t>
  </si>
  <si>
    <t>Fresh paint, brand new carpeting, white trim, vaulted ceilings &amp; lots of windows.SUPER CLEAN!! A perfectly move-in ready home or investment property in a quiet neighborhood just blocks from all the conveniences of Randall Road.Master suite w/huge WIC/full bth w/double sinks! High efficiency heating&amp;AC system new in 2012=low utility bills!Enjoy the green space as your backyard. Great location for commuters! It's a 10!</t>
  </si>
  <si>
    <t>5X14</t>
  </si>
  <si>
    <t>CALL 877.977.1010 TO SET AN APPOINTMENT.  EASY TO SHOW!</t>
  </si>
  <si>
    <t>Easy to show. Immediate possession. Immaculately clean with new  paint/flooring/carpeting. Hi efficiency furnace and central air unit both less than 3 years old. Your buyer can move right in!</t>
  </si>
  <si>
    <t>Valley</t>
  </si>
  <si>
    <t>West Of Ogden to Valley Drive</t>
  </si>
  <si>
    <t>Great unit with 2 Bedrooms, 2 bath condo in conveniently located North Naperville. Kitchen with space for table. Spacious living and dining room with high ceiling and beautiful fire place. Private balcony. Laundry in unit Plus a one car garage. This home qualifies for FHA Financing!</t>
  </si>
  <si>
    <t>Lockbox on garage door, NOT service door. BID AT HomeTelosFirst.com or- HUDHomeStore.com FHA Insured (IN) SOLD AS-IS  CASE# 137-423923 UP TO 3% CC. $100.00 DWN PYMT INSURABILITY SUBJECT TO BUYERâ€S APPRAISAL (Over Bid Rules Attached)</t>
  </si>
  <si>
    <t>Monroe</t>
  </si>
  <si>
    <t>SOUTHEAST  CORNER  OF  MANNHIEM AND  MONROE STREET.</t>
  </si>
  <si>
    <t>100 X 125</t>
  </si>
  <si>
    <t>READY  TO   SELL ,  SHORT SALE</t>
  </si>
  <si>
    <t>$1000 -$ 200 (on Gross SP)</t>
  </si>
  <si>
    <t>CALL  LISTING  AGENT</t>
  </si>
  <si>
    <t>OWNER  OF  RECORD</t>
  </si>
  <si>
    <t>ELEVEN HILLS, LLC</t>
  </si>
  <si>
    <t>(630) 870-1000</t>
  </si>
  <si>
    <t>Ken Aifuwa</t>
  </si>
  <si>
    <t>CC: Pursuant to Short Sale. SHORT   SALE    ,PROPERTY  IS  SUBJECT  TO BANK APPROVAL     NOTE  THAT   THE   E. MONEY   MIN .  $1000 ****** HIGHEST  AND  BEST  TILL  02/05/2015   5pm******</t>
  </si>
  <si>
    <t>Rt 60 to Lakeview Parkway, North to Brook, West to Streamwood</t>
  </si>
  <si>
    <t>Seldom Available 1st Floor Unit Overlooking Big Bear Lake! NEW Carpet throughout, NEW Windows, NEW Washer/Dryer and NEW paint make this 2 bedroom, 1 Bath unit a can't miss! Enjoy fantastic views of the Park and Lake from eat-in kitchen with pantry. Sliders leading to private patio offer lots of light. Master Bedroom has double doors and W/I Closet! Excellent Location! Close to everything Vernon Hills has to offer!</t>
  </si>
  <si>
    <t>The garage for this unit is furthest left of entry on the end. New Water Heater 2012, Stove and Furnace 2009.</t>
  </si>
  <si>
    <t>LAKE CENTER PLACE</t>
  </si>
  <si>
    <t>Route 83 and Rt 120 North to Center Street West to Address, park in rear of the building.</t>
  </si>
  <si>
    <t>Condo living at its finest with 1792 sq ft of living space in this building w/secured entry. Walk downtown to shops, restaurants &amp; train. Super kitchen with two pantries, stainless steel appliances, recessed lights &amp; honey oak cabinets.  Huge living &amp; dining room great for entertaining. Master bedroom has double sinks, soaker tub, shower &amp; walk in closet. Covered Patio too. Beautiful building.</t>
  </si>
  <si>
    <t>Use Showing Desk</t>
  </si>
  <si>
    <t>Jay E. Reid Real Estate, Inc.</t>
  </si>
  <si>
    <t>(847) 791-5491</t>
  </si>
  <si>
    <t>Jay Reid</t>
  </si>
  <si>
    <t>WEST OF THATCHER ON GRAND AVE</t>
  </si>
  <si>
    <t>SPACIOUS 2 BED/2 BATH CONDO IN RIVER GROVE. WOOD LAMINATE FLOORS, GRANITE COUNTERTOPS IN KITCHEN WITH BREAKFAST AREA. SS APPLIANCES. GREAT LOCATION, CLOSE TO SCHOOLS, PARKS, SHOPPING AND PUBLIC TRANSPORTATION. IN-UNIT WASHER/DRYER AND PLENTY OF STORAGE. VISITOR PARKING IN BACK.</t>
  </si>
  <si>
    <t>Elevator, Storage, Party Room, Curbs/Gutters, Sidewalks</t>
  </si>
  <si>
    <t>USE SHOWING ASSIST OR CALL LISTING OFFICE 847-790-8400</t>
  </si>
  <si>
    <t>OWNER ON RECORD</t>
  </si>
  <si>
    <t>Pete Mangione</t>
  </si>
  <si>
    <t>(847) 790-8456</t>
  </si>
  <si>
    <t>CC: Pursuant to Short Sale. ANY REDUCTIONS IN COMMISSIONS WILL BE SPLIT 50/50. SHORT SALE ADDENDUM IS IN ADDITIONAL INFO. MUST BE SIGNED AND SENT WITH OFFER. PARKING SPACE 16.</t>
  </si>
  <si>
    <t>Bloomingdale Rd S.of Schick to Dunteman, W to your new home</t>
  </si>
  <si>
    <t>Outstanding 3rd floor unit, freshly painted throughout and new carpet installed in January of 2015.  Kitchen has wood lam. flooring, nice counter space, and a 12 x 6 balcony overlooking courtyard.  2 window/wall air cond. units, master bedroom has a full wall of closet space, and all closets have new wood doors. 1 parking space included along with a storage closet by the back door.  Can be rented.  Great buy-buy now</t>
  </si>
  <si>
    <t>2.5%-275 (on Net SP)</t>
  </si>
  <si>
    <t>Paul Leanes</t>
  </si>
  <si>
    <t>(847) 401-3656</t>
  </si>
  <si>
    <t>Not F.H.A. approved, please remove shoes when showing.</t>
  </si>
  <si>
    <t>ROUTE 120 AND HAINESVILLE ROAD, WEST TO ROUTE 134 WEST TO CRANBERRY LAKE DRIVE N TO HOLIDAY TO HOME</t>
  </si>
  <si>
    <t>WOW PRICE REDUCTION!!! Beautiful 2 bedroom/2.5 bathroom home in an excellent location! Spacious rooms, nice patio, 2 car garage, PLUS a basement! Priced to sell, this one has it all! Choose FHA financing to qualify for $100 down payment. Ask your Agent for details. Sold as-is. Equal Housing Opportunity</t>
  </si>
  <si>
    <t>Case#137-714935.INS.STATUS:Insured. Up to 3% co-op Offers 2B put on-line Off.must be registered &amp; have a NAID# Go to hudhomestore.com 4 online bidding SEE PCR UNDER ADDENDUMâ€™S TAB.?â€™s to fsrhomes@aol.com.SOLD AS-IS.www.hometelosfirst.com</t>
  </si>
  <si>
    <t>Dr Martin Luther King Jr</t>
  </si>
  <si>
    <t>55TH(GARFIELD) EAST TO KING DR SOUTH TO ADDRESS</t>
  </si>
  <si>
    <t>Please email agent with request lavondriacobb@gmail.com, 48 hours notice required.</t>
  </si>
  <si>
    <t>Paradigm Realty, L.L.C.</t>
  </si>
  <si>
    <t>(888) 698-0849</t>
  </si>
  <si>
    <t>Lavondria Cobb</t>
  </si>
  <si>
    <t>Running Creek</t>
  </si>
  <si>
    <t>Brookside</t>
  </si>
  <si>
    <t>Route 132 and Hunt Club west to Brookside, North to Running Creek to home on cul-de-sac.</t>
  </si>
  <si>
    <t>Coveted and hard to find ranch end-unit on low-traffic cul-de-sac overlooks open space! Desirable floor plan. New carpeting. Hardwood floors.  Large windows allow plenty of light to shine through.  Sunny kitchen opens to family room w/FP.  Vaulted master BR has private bath.  2-car attached garage. View of mature trees from patio. Great location...close to everything!</t>
  </si>
  <si>
    <t>Park/Playground, Party Room, Tennis Court/s, Sidewalks, Street Lights</t>
  </si>
  <si>
    <t>2-1/2% -$235 (on Gross SP)</t>
  </si>
  <si>
    <t>Call listing office or use showing assist.</t>
  </si>
  <si>
    <t>Mary Tokarz</t>
  </si>
  <si>
    <t>(847) 542-8666</t>
  </si>
  <si>
    <t>Special assessment for roof has been paid in full by the seller so no additional fees will be transferred to the new buyer. Owners brother is currently living in home and will be moving the middle of February.</t>
  </si>
  <si>
    <t>BARRINGTON RD, S OF BODE TO QUAKER HOLLOW E TO 2017</t>
  </si>
  <si>
    <t>BEAUTIFUL LIGHT &amp; BRIGHT END UNIT w/ A PRIVATE ENTRANCE OFFERS WINDOWS GALORE and BACKS TO SINGLE FAMILY W/BIG YARDS. HIGH CATHEDRAL CEILINGS IN THE LIVING &amp; DINING ROOMS.  WARM FIREPLACE WITH GAS LOGS. LARGE EAT-IN-KITCHEN w/CERAMIC TILE FLOOR and ALL APPLIANCES.  BEAUTIFUL MASTER W/PRIVATE BATH~SOAKER TUB &amp; SEP. SHOWER.  DOUBLE DOORS TO PRIVATE DEN. SCHAUMBURG SCHL &amp; PK DIST-IN GREAT SHAPE/BEING SOLD as-is, FHA OK</t>
  </si>
  <si>
    <t>JOHN MUIR ELEMENTARY SCHOOL</t>
  </si>
  <si>
    <t>FHA approved</t>
  </si>
  <si>
    <t>Irving Park Rd to Wood Dale Rd South to Brookwood Entrance  West</t>
  </si>
  <si>
    <t>This lovely 1400 sq ft 2 bdrm, 2 bath condo has been recently updated &amp; includes a 25' balcony overlooking the golf course. Garage parking, pool, party room, unlimited outside parking, &amp; separate storage space. Close to everything!  Washer and dryer is on the same floor! UNIT CAN BE RENTED AFTER 2 YEARS.</t>
  </si>
  <si>
    <t>Coin Laundry, Elevator, Storage, On Site Manager/Engineer, Party Room, Sundeck, Pool-Outdoors, Security Door Locks, Curbs/Gutters, Sidewalks, Street Lights, Street Paved</t>
  </si>
  <si>
    <t>Text LA at 708-691-4203. 24h notice required.</t>
  </si>
  <si>
    <t>Leader Realty, Inc.</t>
  </si>
  <si>
    <t>(773) 888-7341</t>
  </si>
  <si>
    <t>Anita Kwasny</t>
  </si>
  <si>
    <t>(708) 691-4203</t>
  </si>
  <si>
    <t>Please email offers to akwasny10@gmail.com</t>
  </si>
  <si>
    <t>75th Street E or W to Fairview-North to 74th Street West to Property.</t>
  </si>
  <si>
    <t>Beautiful Condo w/cherry hardwood floors in bedrooms.   Freshly painted w/neutral colors, brand new ceramic tile in kitchen baths &amp; entry way.  Modern Eat In Kitchen- plenty of counter space, modern sleek hardware, Separate storage area, buggy &amp; bike storage, in building laundry. Community has newly remodeled tennis courts, pool, &amp; clubhouse.  Assigned Parking.  Everything you need is right here waiting for you.</t>
  </si>
  <si>
    <t>Use Showing Assist Please allow 12 hour notice.  Owner Occupied</t>
  </si>
  <si>
    <t>Balcony is brand new and sliding glass doors are new as well.  Neat and clean and ready for move in. This unit can be rented.</t>
  </si>
  <si>
    <t>1S085</t>
  </si>
  <si>
    <t>1-B</t>
  </si>
  <si>
    <t>ARBOR 40</t>
  </si>
  <si>
    <t>E OF 83 N OF 16TH ACROSS FROM DRURY LANE</t>
  </si>
  <si>
    <t>EVERGREEN</t>
  </si>
  <si>
    <t>PERHAPS ONE OF THE FINEST COUNTRY RESIDENCES IN OB  AREA "ARBOR 40"THE ULTIMATE EXPRESSION OF GRACIOUS LIVING THIS SPACIOUS MOST SOUGHT AFTER 1ST FLR SUITE TOTALLY UPDATED W/HARDWD. FLRS,BEAUTIFUL CABINETRY &amp; EAT-IN KIT. HUGE LR W/GAS FP FORMAL DR. UPDATE BATHS LG PATIO OVERLOOKING BEAUTIFUL GROUNDS &amp; POOL THIS EXECUTIVE LIFE STYLE SUITE IS THE PERFECT ENVIRONMENT TO OFFSET DAILY STRESS.WALK OB CTR. WELCOME HOME!!</t>
  </si>
  <si>
    <t>Storage, Pool-Outdoors, Security Door Locks, Sidewalks, Street Lights, Street Paved</t>
  </si>
  <si>
    <t>Heat, Water, Gas, Parking, Common Insurance, Security, Security System, Pool, Exterior Maintenance, Lawn Care, Scavenger, Snow Removal</t>
  </si>
  <si>
    <t>CALL BUZZ 630.833.1977 HM. 630.833.1700 OFFICE</t>
  </si>
  <si>
    <t>GREAT LOCATION, MINUTES TO ELMHURST HOSP. , WALK TO OAK BROOK SHOPPING AND FINE DINNING &amp; A SKIP AND JUMP TO DRURY LANE LIVE THEATER. AND BANQUET . BEAUTIFULLY UPDATED SUITE, NEWER FURN '03 AND A/C '14 NEW BEDROOMS WINDOWS '15</t>
  </si>
  <si>
    <t>Deerpath Crossing</t>
  </si>
  <si>
    <t>Randall Rd to Wilson W, to Barton Trail South to home</t>
  </si>
  <si>
    <t>Perfectly Located~  Light and Bright End Unit! Two Story LR/DR with Fireplace! Very spacious Kitchen has Nice Applncs, Eating Area, Loads of Cabinets.  Sliding Glass Door to Lovely Patio! First Floor Office with French Doors. Master Bedroom has Vaulted Ceiling, Walk in Closet, Linen Closet &amp; Private Bath! Spacious Second Bedroom. Hall Bath w/ Tub. First Floor Laundry. Washer &amp; Dryer Stays. Block from Park~ Must See!</t>
  </si>
  <si>
    <t>Eating Area, Foyer, Office</t>
  </si>
  <si>
    <t>Call Showingime 1-855-746-9200</t>
  </si>
  <si>
    <t>Bridget Wagner</t>
  </si>
  <si>
    <t>630-400-0658</t>
  </si>
  <si>
    <t>Shows Beautifully and EZ.  Please Remove Shoes or Use Booties.  Thanks much!</t>
  </si>
  <si>
    <t>ROYAL GLEN</t>
  </si>
  <si>
    <t>329C</t>
  </si>
  <si>
    <t>Royal Glen</t>
  </si>
  <si>
    <t>Finley to Roosevelt, west to Royal Glen, north to building</t>
  </si>
  <si>
    <t>Lovely, 2 BR Unit on 3rd FL in Elevator Building-Move in Ready! Close to Shopping, Schools &amp; Major Roads! You &amp; Your Guests will be Impressed with the Beautiful Stone Fireplace in the Lobby of the Well Maintained Building. Garage space is available for rent from Association. Nice balcony off of living room. Many Amenities -Pool, Exercise Room &amp; More! Sorry no pets allowed. Cheaper than Rent! Great Place to Call Home!</t>
  </si>
  <si>
    <t>Coin Laundry, Elevator, On Site Manager/Engineer, Party Room, Pool-Outdoors, Receiving Room, Security Door Locks, Service Elevator, Street Lights, Street Paved</t>
  </si>
  <si>
    <t>Heat, Water, Gas, Parking, Security, Pool, Exterior Maintenance, Lawn Care, Scavenger, Snow Removal</t>
  </si>
  <si>
    <t>Call Showing Desk   630-790-1776</t>
  </si>
  <si>
    <t>Garry Vallo</t>
  </si>
  <si>
    <t>SOLD DURING PROCESSING</t>
  </si>
  <si>
    <t>Fulton</t>
  </si>
  <si>
    <t>THE GROVES</t>
  </si>
  <si>
    <t>SCHICK E OF COUNTY FARM TO BELL, N TO FULTON, W</t>
  </si>
  <si>
    <t>36 X 120</t>
  </si>
  <si>
    <t>Duplex with No Assessment Fee. Convenient location. Selling strictly in AS-IS condition. Special addendum required on final sales contract. Pre/approved buyers only, Cash offers must ne verified. Buyer responsible for survey. Taxes pro rated 100%. Home needs work. Great for a rehabber/handyman/investor. Build sweat equity.</t>
  </si>
  <si>
    <t>ELSIE JOHNSON ELEMENTARY SCHOOL</t>
  </si>
  <si>
    <t>Washer, Dryer</t>
  </si>
  <si>
    <t>Submit offers to stevebihun@gmail.com. Please submit offers in pdf format.</t>
  </si>
  <si>
    <t>TWELVE OAKS CONDOS</t>
  </si>
  <si>
    <t>LAWRENCE WEST OF RIVER RD TO WESLEY NORTH TO KELVIN</t>
  </si>
  <si>
    <t>Totally remodeled 2 bedroom, one bath condo. Freshly painted throughout w/new hardwood floors &amp; baseboards. Kitchen w/new cabinets, appliances, granite countertops, backsplash. Completely redone bathroom w/new fixtures &amp; stone tiles. Unit features new deck &amp; 2 parking spaces. Complex w/ fitness club, outdoor swimming pool, laundry. Close to expressway, blue line train, Metra station, shopping mall, parks. Bonus!!!</t>
  </si>
  <si>
    <t>Exercise Room, Health Club, Pool-Outdoors, Security Door Locks, Curbs/Gutters, Street Lights, Street Paved</t>
  </si>
  <si>
    <t>2.5%-$250 + $500 BONUS IF CONTRACT BY 2/15/15 (on Gross SP)</t>
  </si>
  <si>
    <t>Text or call la w/agent id, date &amp; time. Vacant, easy to show.</t>
  </si>
  <si>
    <t>Home-Site Realty, Inc.</t>
  </si>
  <si>
    <t>(773) 792-8600</t>
  </si>
  <si>
    <t>Magdalena Galinska</t>
  </si>
  <si>
    <t>(847) 707-0302</t>
  </si>
  <si>
    <t>Bonus $500 if contract by 2/15/15.</t>
  </si>
  <si>
    <t>Wolf Road (N of Joliet Rd &amp;  S of Plainfield) to Acacia Drive East to Acacia Circle</t>
  </si>
  <si>
    <t>Rarely available 2 BR/2 BA floorplan located in the newest building of Wilshire Green, where the grounds are lushly landscaped &amp; enveloped w/mature trees. Maintenance-free, resort-like living featuring a Clubhouse, Indoor/Outdoor Pools, Fitness Studio, Tennis Courts, Billiards &amp; Gathering Rooms. Underground Parking, On-Site Maintenance, Elevator &amp; Secure Storage. New HVAC, lighting &amp; appliances. In-Unit Laundry Room!</t>
  </si>
  <si>
    <t>Elevator, Exercise Room, Storage, On Site Manager/Engineer, Pool-Indoors, Pool-Outdoors, Security Door Locks, Tennis Court/s, Curbs/Gutters, Street Paved</t>
  </si>
  <si>
    <t>TV Antenna, Intercom, Fire Sprinklers, CO Detectors, Ceiling Fan</t>
  </si>
  <si>
    <t>SHOWING ASSIST; MUST BE CONFIRMED</t>
  </si>
  <si>
    <t>SHOWS BEAUTIFULLY &amp; READY TO MOVE IN TODAY. PARKING SPACE #27.  SECURE STORAGE JUST STEPS DOWN THE HALL-1ST SPACE ON THE RIGHT.</t>
  </si>
  <si>
    <t>TOWNES</t>
  </si>
  <si>
    <t>EOLA TO STONEBRIDGE BLVD, WEST TO TOWNES CIRCLE, RIGHT TO HOME</t>
  </si>
  <si>
    <t>PUT THIS ON YOUR "MUST SEE" LIST! Luxury Stonebridge home offers quality appointments &amp; a wide open floor plan that just feel right. Gourmet KIT w/upscale appliances, granite counter tops and rich cherry cabinetry. Hardwood floors entire 1st floor. Wood blinds/custom window treatments on every window. Stunning architectural detail thru out - curves, arches, angles-Wow! Easy access to train, I-88 &amp; Dist 204 schls-RUN!</t>
  </si>
  <si>
    <t>Oven-Double, Oven/Range, Microwave, Dishwasher, Refrigerator, Disposal</t>
  </si>
  <si>
    <t>Cul-de-sac, Pond</t>
  </si>
  <si>
    <t>Ceiling Fan, Sump Pump, Sprinkler-Lawn</t>
  </si>
  <si>
    <t>CALL THE B&amp;W APPT CENTER @ 855-746-9100.  AFTER HOURS, CALL LA.</t>
  </si>
  <si>
    <t>BECAUSE TENANTS ARE IN THE HOME, OCCUPANCY MUST BE MAY 31 OR LATER-CAN CLOSE SOONER IF DESIRED.  **THERE IS NO HOMESTEAD EXEMPTION TAKEN FOR THIS PROPERTY. IF EXEMPTION IS TAKEN, BASED ON 2013 TAX RATE, 2014 TAXES WILL BE APPROX $6798.67**</t>
  </si>
  <si>
    <t>19F</t>
  </si>
  <si>
    <t>55th St to South Shore Dr to property</t>
  </si>
  <si>
    <t>This Hyde Park lakefront co-op, "The Promontory Apartments" was designed by Mies van der Rohe. This National Register building was completed in 1949. This 19th floor unit has western (great sunsets) and southern exposures (57th St beach). This is a 2 bed/2bath unit that could use some updating, but is certainly in move-in condition. The monthly assessment includes everything, even taxes. Bldg. requires 20% down.</t>
  </si>
  <si>
    <t>Heat, Air Conditioning, Water, Tax, Common Insurance, Doorman, TV/Cable, Exterior Maintenance, Lawn Care, Scavenger, Snow Removal</t>
  </si>
  <si>
    <t>S (South), W (West), City, Lake/Water</t>
  </si>
  <si>
    <t>24 Hour notice. Lister must accompany</t>
  </si>
  <si>
    <t>Board interview and references required.</t>
  </si>
  <si>
    <t>3NE</t>
  </si>
  <si>
    <t>LSD TO HYDE PARK BLVD(51ST) TO KIMBARK SOUTH TO PROPERTY</t>
  </si>
  <si>
    <t>Fannie Mae 2BD/2BA located in the Hyde Park. Beautiful Exposed brick with hardwood floors through out condo. Living Room/Dining Combo, Master Bathroom with double sink/vanity and a Gorgeous front court yard. Minutes from University of Chicago, Museum of Science and Industry and Kenwood Park. Lots of public transportation and just a short drive to Lake Shore Drive.</t>
  </si>
  <si>
    <t>Seller has directed all offers to be made via Homepath.com. For additional information, please see additional information tab.</t>
  </si>
  <si>
    <t>RT 134 &amp; FAIRFIELD N TO MAYFIELD W TO VILLAGE N TO RED OAK TO HOME.</t>
  </si>
  <si>
    <t>You'll love this cheerful home with its comfortable open floor plan. Bright sunny rooms with lots of windows for an abundance of natural light. Desirable first floor location. Easy access for pet lovers to open space behind home.  Great condition, well cared for. Laundry in unit w/washer &amp; dryer. MBR w/big walk-in closet, full bath. Hardwood floors. Newer furnace, refrigerator. New dishwasher, H2O heater. Near Metra.</t>
  </si>
  <si>
    <t>NEW YORK JUST WEST OF MALL TO FRONTENAC TO GREGORY Somerset ct</t>
  </si>
  <si>
    <t>***NO SHORT-SALE***   ABSOLUTELY PRISTINE CONDITION! 2-BEDROOM MAIN FLOOR RANCH CONDO! VANITY SINK AREA OUTSIDE MASTER BEDROOM! HEATED FLOOR IN BATHROOM! COMPLETELY UPDATED! LAUNDRY IN CONDO! EAT IN KITCHEN! ALL APPLIANCES STAY! FIREPLACE! CEILING FAN! DINING ROOM FEATURES BAR/COMPUTER AREA! JUST PAINTED! 1CAR ATTACHED GARAGE! MINUTES TO FOX VALLEY MALL, I-88, METRA! NAPERVILLE SCHOOLS!  QUICK CLOSE POSSIBLE.</t>
  </si>
  <si>
    <t>CALL SHOWING TIME1 877 746 9081</t>
  </si>
  <si>
    <t>6.0 Contract Only</t>
  </si>
  <si>
    <t>UNIT CAN ONLY BE RENTED TO IMMEDIATE FAMILY, IT IS IN THE BY-LAWS!</t>
  </si>
  <si>
    <t>FHA / VA Approved! North facing 2nd floor unit features custom cabinets, granite counter tops, stainless steel appliances, in-unit washer / dryer, storage and underground garage parking. Hardwood flooring to be added prior to closing.  5 similar units sold in the past two months - this one won't last! Fitness center &amp; social room on site.  Luxury living in the heart of downtown; steps to the Metra and local shops.</t>
  </si>
  <si>
    <t>2.5%-$325 (ON NET PRICE) (on Net SP)</t>
  </si>
  <si>
    <t>Call or Text Jon (773) 307-9175 or jmillikin@jameson.com</t>
  </si>
  <si>
    <t>TAKE 75TH TO CLARENDON HILLS ROAD. SOUTH 1 BLOCK TO SHERIDAN ROAD</t>
  </si>
  <si>
    <t>THIS BRIGHT AND CHEERY 2 BDRM 2 BATH CONDO HAS RECENTLY BEEN REHABBED. NICE OPEN FLOOR PLAN. THE LARGE LIVRM/DINRM COMBINATION HAS A GAS LOG FRPLC, EXPOSED BRICK WALL AND WALK-OUT BALCONY. KITCHEN HAS NEW: CABINETS, GRANITE, FLOORING, LIGHTING AND NEWER APPLIANCES. THE LARGE BDRMS HAVE AMPLE CLOSETS AND SLIDING DOORS THAT LEAD TO A BALCONY. NEW CARPETING AND PAINT THROUGHOUT. THIS HOME IS IN ABSOLUTE MOVE-IN CONDITIO</t>
  </si>
  <si>
    <t>Click Link Below</t>
  </si>
  <si>
    <t>Jim Loayza, CNC</t>
  </si>
  <si>
    <t>(708) 288-9929</t>
  </si>
  <si>
    <t>LOWER LEVEL UTILITY ROOM, STORAGE AREA AND 1 CAR ATTACHED GARAGE +1 ASSIGNED PARKING SPACE. WALK TO SCHOOLS. CLOSE TO SHOPPING AND EXPRESSWAYS. NICE RESIDENTIAL NEIGHBORHOOD.</t>
  </si>
  <si>
    <t>Brewster</t>
  </si>
  <si>
    <t>Bloomingdale S of Lake St to Fairfield E-Milford N-Brewster W to home</t>
  </si>
  <si>
    <t>Cute as a button 2 bedrooms, 1 bath in the heart of Bloomingdale. Kitchen updated in 2009 w/cabinets/countertops/appliances. Bathroom updated 2009. New kitchen floor installed 2014. Hot water heater: 2012/furnace: 2009. Private end unit w/patio. Clubhouse w/pool. Low monthly assessments. Close to library/school/parks/shopping. Not a short sale or foreclosure. Look for updates under additional info.</t>
  </si>
  <si>
    <t>Call office 630-543-5640 **Give notice small child**NO showings AFTER 7:30pm</t>
  </si>
  <si>
    <t>Aviva Beal, CNC,CSC,SFR</t>
  </si>
  <si>
    <t>(630) 740-5165</t>
  </si>
  <si>
    <t>Please give some notice small child in home. NO showings after 7:30 PM.</t>
  </si>
  <si>
    <t>504E</t>
  </si>
  <si>
    <t>WILSHIRE GREEN</t>
  </si>
  <si>
    <t>Wolf Rd (South of Plainfield &amp; N of Joliet Rd) to Acacia Cir to 129 Acacia</t>
  </si>
  <si>
    <t>Spectacular Penthouse end unit which is spacious , beautifully updated &amp; decorated. Large living room w/SGD  to balcony, family room w/fireplace. Master bedroom suite w/walk in closet and lots of storage. Updated hall bath. Full size washer &amp; dryer. Enjoy club house  tennis court, exercise room, &amp; party room, Inviting indoor &amp; outdoor pool  Enjoy the beautifully landscaped grounds and walkways.</t>
  </si>
  <si>
    <t>Elevator, Exercise Room, Storage, On Site Manager/Engineer, Party Room, Pool-Indoors, Pool-Outdoors, Security Door Locks, Tennis Court/s, Street Paved</t>
  </si>
  <si>
    <t>Call Listing Agent (708)352-1522</t>
  </si>
  <si>
    <t>352-1522</t>
  </si>
  <si>
    <t>Custom California Closet organizers. Newer windows in   living room and  both bedrooms. Corner unit has a great view of the pool from the top floor. Move in condition! 2 parking spaces in tandem # 62 &amp; 63</t>
  </si>
  <si>
    <t>stoughton</t>
  </si>
  <si>
    <t>RT. 59 TO NEW YORK WEST 2 MILES TO STOUGHTON CIRCLE SOUTH</t>
  </si>
  <si>
    <t>FORMER MODEL! FRESHLY PAINTED, NEW CARPET THROUGHOUT! 2 BR AND LOFT, 2 1/2 BATHS,FIREPLACE IN  LR,WALKIN PANTRY,SECOND FLOOR LAUNDRY AND FULL BASEMENT! CAN LIGHTING,6 PANEL DOORS THROUGHOUT. HARDWOOD FLOOR IN KITCHEN,PANTRY,FOYER AND POWDER ROOM. CERAMIC TILE IN BOTH BATHROOMS. VAULTED CEILING IN MASTER BEDROOM,WALKIN CLOSET,CEILING FANS IN BOTH BEDROOMS. ALL APPLIANCES STAY. BACKS TO LARGE OPEN AREA. 204 SCHOOLS.</t>
  </si>
  <si>
    <t>TEXT 630-373-2581 FOR SCHEDULING --SHOW ANYTIME</t>
  </si>
  <si>
    <t>Randy Freeman, ABR</t>
  </si>
  <si>
    <t>(630) 373-2581</t>
  </si>
  <si>
    <t>NEW CARPET --- PLEASE REMOVE SHOES</t>
  </si>
  <si>
    <t>Russell</t>
  </si>
  <si>
    <t>DUNDEE AVE, S. of LAKE-COOK TO RUSSELL ST, W. TO HOME</t>
  </si>
  <si>
    <t>LOCATIONx3!!! FABULOUS 1,788 sq ft, urban style town home located in heart of the village of Barrington. Brick walls, granite counters,stainless appliances, maple cabinets, hardwoods, dry bar,1 car garage, entertain outdoors on front or back patio!  Walk out family room(or 3rd bedroom)w/full bath. ALL NEW WINDOWS coming by Spring! Pond view. Easy walk to Metra, schools and shopping in minutes. VA/FHA APPROVED!</t>
  </si>
  <si>
    <t>Exercise Room, On Site Manager/Engineer, Party Room, Street Lights, Street Paved</t>
  </si>
  <si>
    <t>2.5%, -$200 (on Net SP)</t>
  </si>
  <si>
    <t>Call Showing Desk 866.852.8313 for appointment</t>
  </si>
  <si>
    <t>Susan Ferry, SFR</t>
  </si>
  <si>
    <t>(847) 404-5040</t>
  </si>
  <si>
    <t>847-404-5040</t>
  </si>
  <si>
    <t>Lovely unit! Show with pride. Priced lower than others of the same size in development.  Lockbox located on fence next to front door.</t>
  </si>
  <si>
    <t>Waterford</t>
  </si>
  <si>
    <t>Eola to Bilter to Dupage Parkway to Big Woods to Prairieview to Waterford</t>
  </si>
  <si>
    <t>Wonderful 2 bedroom 2-story townhouse in great location. Freshly painted t/o, new carpeting on stairs, laminate floor elsewhere. 1-car attached carage. Very sunny! Naperville school district 204. Easy access to I-88, steps from Aurora Outlet Mall. Move right in and make it your home!</t>
  </si>
  <si>
    <t>Ellen Vasiliauskiene, GRI</t>
  </si>
  <si>
    <t>Please email offers to amberrealty@gmail.com or fax 847 660 6023. Pre-approval letter or proof of funds should accompany all offers. An "as-is" sale, 100% tax proration, no survey. IL condo act may apply.</t>
  </si>
  <si>
    <t>GOLF RIDGE</t>
  </si>
  <si>
    <t>RT 59 TO DIEHL/LEFT ON SHORE/LEFT ON GOLF RIDGE</t>
  </si>
  <si>
    <t>2000 SQUARE FEET OF HIGH QUALITY FINISHED LIVING SPACE BACKS TO LAKE &amp; NATURE PRESERVE,HARWOOD FIRST FLOOR,LIVING ROOM W GAS FIREPLACE LEADING TO DECK OVERLOOKS OPEN SPACE,POTTERY BARN INTERIOR,FULL DRY PROFESSIONALLY FINISHED LOOKOUT BASEMENT INCLUDES OPEN FAMILY ROOM-OFFICE W FRENCH DOORS-STORAGE AREA,GRANITE KITCHEN W UPGRADED CABS,MASTER SUITE W SPA BATH CERAMIC FLOOR &amp; WHIRPOOL SURROUND,FF LAUNDRY W CUSTOM CABS</t>
  </si>
  <si>
    <t>Common Grounds, Cul-de-sac, Nature Preserve Adjacent, Landscaped Professionally, Pond, Water View</t>
  </si>
  <si>
    <t>Office, Storage</t>
  </si>
  <si>
    <t>EASY 2 HOUR NOTICE CALL OR TEXT STEPHANIE 815-954-7799</t>
  </si>
  <si>
    <t>Stephanie Sergent</t>
  </si>
  <si>
    <t>(815) 954-7799</t>
  </si>
  <si>
    <t>815-954-7799</t>
  </si>
  <si>
    <t>LISTING AGENT RELATED TO SELLER,ADD "LISTING AGENT RELATED TO SELLER" ON MULTI-BOARD 6.0 LINE 320,NOT FHA APPROVED,UPGRADED LIGHTING,OIL RUB HARDWARE,SECURITY SYSTEM,**SECOND DRIVEWAY ON RIGHT DO NOT PARK IN THE FIRST DRIVEWAY**</t>
  </si>
  <si>
    <t>MATTANDE</t>
  </si>
  <si>
    <t>Chicago Ave to Charles (N) to Mattande (W)</t>
  </si>
  <si>
    <t>25 X 88</t>
  </si>
  <si>
    <t>RELAXED, MODERN STYLE~WALK TO TRAIN! Beautiful updated home offers everything you want at a great price~Natural hardwood floors~Kitchen w/crisp white cabinetry &amp; quartz counters~Vaulted ceilings~Ample windows/light~Sought after location just a 15 min walk to train~Top ranked Naperville 203 schs~Newer HVAC, most windows, appls, hdwd, paint &amp; lighting. Want more? How about an attached 2 car garage &amp; full basement! WOW!</t>
  </si>
  <si>
    <t>25X25</t>
  </si>
  <si>
    <t>TV-Cable, CO Detectors, Ceiling Fan, Sump Pump, Air Cleaner</t>
  </si>
  <si>
    <t>3 hour notice preferred, 2 hour notice required. Call 855-746-9100</t>
  </si>
  <si>
    <t>Great unit in Highlands/Kennedy/NNHS attendance area. A lot of home for the money. See add'l info for full list of updates.</t>
  </si>
  <si>
    <t>55th St south on Kimbark to 5616</t>
  </si>
  <si>
    <t>Stunning, abundant natural woodwork throughout Wonderful light Wood burning fireplace with adjoining leaded glass cabinets  Dining room has stained glass window and original coffered and beamed ceiling Attractive bathroom with upgraded features Charming kitchen with wooden cabinets, great built-ins and new backsplash and granite counters Heated back sunroom adjoins kitchen Rotating garage (more in agent's notes)</t>
  </si>
  <si>
    <t>Bike Room/Bike Trails, Storage</t>
  </si>
  <si>
    <t>Condo, Vintage</t>
  </si>
  <si>
    <t>2.5 % LESS $295 (on Net SP)</t>
  </si>
  <si>
    <t>Call lister Lee Cook cell 773-919-9119 24 hour notice please</t>
  </si>
  <si>
    <t>Elizabeth Cook</t>
  </si>
  <si>
    <t>(773) 451-5753</t>
  </si>
  <si>
    <t>Recently sanded floors Lovely backyard Pets welcome This unit has had access to a rotating garage for the past 16 years ($50 per month) Board allows in unit installation of washer/dryers but there are 2 sets of new free machines in basement</t>
  </si>
  <si>
    <t>Lakewood Crossing</t>
  </si>
  <si>
    <t>Big Timber west of route 47 to Ridgecrest right to Lakewood crossings subdivsion</t>
  </si>
  <si>
    <t>THE BEVERLEY</t>
  </si>
  <si>
    <t>The Beverley features a generously sized kitchen w/an optional island, a delightful great room perfect for entertaining! 2 bedrooms,1.5 baths &amp; the utility room is located on the 2nd level. Include a private patio w/ this model and relax under the evening stars. Be a part of a caring community w/a park, tennis court,pool,&amp; a clubhouse.</t>
  </si>
  <si>
    <t>Park/Playground, Pool-Outdoors, Tennis Court/s, Sidewalks, Street Lights</t>
  </si>
  <si>
    <t>3% ON BASE SALE (on Net SP)</t>
  </si>
  <si>
    <t>CALL SHOWING DESK 888-362-3222. Have client fill out form under add. info. send to models.</t>
  </si>
  <si>
    <t>847-683-4200</t>
  </si>
  <si>
    <t>Ryland Homes Values Realtor participation, even if your client has previously visited Lakewood Crossing, please call Sarah at the Sales Office or Natalee Dismuke, Listing agent.</t>
  </si>
  <si>
    <t>Bloomingdale to Schick W to Castle Rock N to Royal W to building</t>
  </si>
  <si>
    <t>Executive living on the top floor,end unit.Features: remodeled kitchen w/ maple cabinets, granite counters, SS appliances &amp; breakfast bar. Open fl.plan. Bright liv.room w/ wood burning fireplace &amp; sliding glass doors to balcony w/Chicago view-on good whether days.Mast. bed.w/2 large closets and full bath. Laundry in unit. Luxury amenities include indoor pool, exercise, game &amp; party rooms and more.1car Gar &amp; storage</t>
  </si>
  <si>
    <t>Elevator, Exercise Room, Storage, On Site Manager/Engineer, Party Room, Sundeck, Pool-Indoors, Security Door Locks, Whirlpool, Curbs/Gutters, Sidewalks, Street Lights, Street Paved, Other</t>
  </si>
  <si>
    <t>Water, Common Insurance, Security, Exercise Facilities, Pool, Exterior Maintenance, Lawn Care, Scavenger, Snow Removal, Other</t>
  </si>
  <si>
    <t>N (North), E (East), City</t>
  </si>
  <si>
    <t>2.5%-$200 (ON GROSS SP) (on Gross SP)</t>
  </si>
  <si>
    <t>Call showing desk 1-866-852-8313 to make appt</t>
  </si>
  <si>
    <t>No Rentals,regular sale,CLOSE THE UNIT DOOR MANUALLY-DO NOT SLAM/automatic-closing door  SLAM/</t>
  </si>
  <si>
    <t>From 75th turn South on Woodward Ave, West on Country Club Drive</t>
  </si>
  <si>
    <t>Absolutely no work needed here! 2nd floor with balcony. Nice end unit. Rehabbed 2 years ago with new Furnace, A/C, kitchen cabinets, countertop, appliances including dishwasher, faucets, bathroom vanity, tub, tub enclosure, tub faucet, medicine cabinet, doors, light fixtures, floors. Owner allowed to rent.</t>
  </si>
  <si>
    <t>07X11</t>
  </si>
  <si>
    <t>24 Hours notice requred</t>
  </si>
  <si>
    <t>Leto Realty Services</t>
  </si>
  <si>
    <t>(630) 971-9052</t>
  </si>
  <si>
    <t>Nicole Carton</t>
  </si>
  <si>
    <t>309-945-5095 Cell</t>
  </si>
  <si>
    <t>44X50</t>
  </si>
  <si>
    <t>Great 1/2 duplex in town location. Home has just been freshly painted, new carpet and other misc. repairs have been completed.  Full partially finished basement for extra living space. Deck off of dining room to backyard. 2 bedrooms and 2 1/2 baths. This is a Fannie Mae HomePath property. No personal property included.</t>
  </si>
  <si>
    <t>19A</t>
  </si>
  <si>
    <t>RT83 TO 91ST ST WEST TO CLARENDON HILLS RD LEFT TO KINGERY QUARTER</t>
  </si>
  <si>
    <t>Great first floor 2 bedroom unit located across the street from the clubhouse and pool. Easy access to I-55, shopping, restaurants and within half an hour from both Midway &amp; Oâ€™Hare Airports. REO/Lender owned all rules apply.</t>
  </si>
  <si>
    <t>Heat, Air Conditioning, Water, Gas, Parking, Common Insurance, Clubhouse, Exercise Facilities, Pool, Exterior Maintenance, Lawn Care, Scavenger, Snow Removal</t>
  </si>
  <si>
    <t>For all offer submissions please use the link: https://agent.res.net/Offers.aspx?-939359</t>
  </si>
  <si>
    <t>Medinah Lakes</t>
  </si>
  <si>
    <t>LAKE ST  TO GLEN ELLYN  S TO DEER GLEN E TO HOME</t>
  </si>
  <si>
    <t>Located on Bloomingdale Golf Course. Just remodeled w/ full finish basement.Open fl.plan great for entertaining.2 story great room w/fireplace,skylights &amp; 2 patio sliders leading to the backyard. Kitch.w/ breakfast bar SS applian,granite countertops.Stunning master bath w/soaker tub,double sink &amp; separate shower.Lover level has full bath,3rd bed,recreation room &amp; bar area.Just move in.....</t>
  </si>
  <si>
    <t>Bonus, Loft, Recreation Room</t>
  </si>
  <si>
    <t>Manor Home/Coach House/Villa, Townhouse-2 Story</t>
  </si>
  <si>
    <t>3hr notice will be appreciate-baby in the house.</t>
  </si>
  <si>
    <t>ROHLWING</t>
  </si>
  <si>
    <t>GA</t>
  </si>
  <si>
    <t>ROHLWING RD S OF LAKE N. OF ARMY TRL TO FUDRUCKERS GO W.</t>
  </si>
  <si>
    <t>Excellent investor opportunity! 1st floor 2 bedroom condo! Great square footage! Large Living and dining room! Spacious kitchen with room for eating area. In-unit laundry! Sliders to patio! Large master bedroom with his-n-hers closets! 1 full bath! extra half bath! Low taxes! Extra storage in basement!</t>
  </si>
  <si>
    <t>Washer/Dryer AS IS. Parking space #11. Storage in Basement.   Please use 6.0 contract in additional info in MLS for all offers  NOT FHA approved</t>
  </si>
  <si>
    <t>Lakewood Village</t>
  </si>
  <si>
    <t>Butterfield south of 60, W to Orleans Dr to #.</t>
  </si>
  <si>
    <t>DARCY</t>
  </si>
  <si>
    <t>2 bed, 2.5 bath, vaulted ceilings. Needs updates. Close to everything</t>
  </si>
  <si>
    <t>2.5%- $295 (on Gross SP)</t>
  </si>
  <si>
    <t>text L/A at 224-622-2892. 24 hours notice please!</t>
  </si>
  <si>
    <t>Gaiva Leoniene</t>
  </si>
  <si>
    <t>(224) 622-2892</t>
  </si>
  <si>
    <t>CC: Pursuant to Short Sale. Pursuant to Short Sale. Any reduction in commissions will be split 50/50. As-is</t>
  </si>
  <si>
    <t>Roosevelt to Timber S to Woodcutter, W to 1545</t>
  </si>
  <si>
    <t>Gorgeous custom built kitchen cabinets with pull out drawers, stainless steel appliances, washer/dryer, wood laminate floors and 1st floor powder room. Bright sunny Southern exposure in quiet courtyard close to the pool.  Nicely maintained throughout. 1 car private garage with EDO and key pad. Turn key ready to enjoy.</t>
  </si>
  <si>
    <t>Sundeck, Pool-Outdoors, Street Lights, Street Paved</t>
  </si>
  <si>
    <t>Water, Parking, Common Insurance, Pool, Exterior Maintenance, Lawn Care, Scavenger</t>
  </si>
  <si>
    <t>Call LO 630-653-1900 ext.0 for apt 2 hr notice please call LA after hours</t>
  </si>
  <si>
    <t>Camille Baker, GRI</t>
  </si>
  <si>
    <t>(630) 602-6825</t>
  </si>
  <si>
    <t>Powder room is major bonus! Kitchen is fabulous!</t>
  </si>
  <si>
    <t>South of Army Trail, Glen Ellyn Road to Gregory WEST.  to Somerset</t>
  </si>
  <si>
    <t>Great for investors, good rent, good tenants,  Sold as is,  24HRS notice for showings.</t>
  </si>
  <si>
    <t>Key at Listing Office 24HRS Notice Required</t>
  </si>
  <si>
    <t>ENR Realty &amp; Management LLC</t>
  </si>
  <si>
    <t>(630) 283-5762</t>
  </si>
  <si>
    <t>Enza Randazzo</t>
  </si>
  <si>
    <t>(630) 816-4042</t>
  </si>
  <si>
    <t>Rt. 31 to Illinois W to Foran Ln. N to Richards E to property.</t>
  </si>
  <si>
    <t>Light and Bright 2 Bedroom Townhouse, Neutral Colors Throughout, Freshly Painted, Newer Carpet, Spacious Kitchen with Ample Cabinet Space.  All Appliances Stay! Quiet End Unit Ready for New Owner!  Deeded Garage ($35.44 Taxes)  Easy to Show, Quick close possible!</t>
  </si>
  <si>
    <t>2.5% + $750 BONUS FOR ACCEPTED CONTRACT BY 3/15/15! (on Gross SP)</t>
  </si>
  <si>
    <t>Call Listing Office 630-897-3211 or Click "Schedule a Showing"</t>
  </si>
  <si>
    <t>Linda Pilmer, ABRM,CRB,CRS,GRI</t>
  </si>
  <si>
    <t>(630) 844-8050</t>
  </si>
  <si>
    <t>Show with confidence, quick close possible, Traditional Sale.</t>
  </si>
  <si>
    <t>Bailey Park</t>
  </si>
  <si>
    <t>Plainfield Road, W of Cass, to Bailey Road, S to Barrymore, Turn right to first right.</t>
  </si>
  <si>
    <t>27 X 60</t>
  </si>
  <si>
    <t>Beautiful new hdwd floors, freshly painted, move-right-in! Former sales Model near lake &amp; woods, on interior lot w/sunny, south exposure. Vaulted ceiling w/skylite, open stairway leads to Loft/3rd bedroom upstairs. Eat-in Kit w/bay window. Oversized 2-car garage. Extra-large deck. Very bright and spacious. You won't be disappointed!</t>
  </si>
  <si>
    <t>Call Anna 630-336-1883 or Tina 630-215-7228 for KB info.</t>
  </si>
  <si>
    <t>Tina Porterfield, GRI</t>
  </si>
  <si>
    <t>(630) 780-1234</t>
  </si>
  <si>
    <t>Cell: 630-215-7228</t>
  </si>
  <si>
    <t>Take advantage of this exceptional deal - owners paid $260,000, installed hdwd floors and painted throughout. New Job in another state necessitates the sale.</t>
  </si>
  <si>
    <t>Butterfield N of Rt 60 2 Hawthorn Pkwy, E 2 Indianwood  Dr N 2 Crestview E to #</t>
  </si>
  <si>
    <t>Maintance Free Living, with Two bedrooms, One and Half Bathrooms, In unit Washer and Dryer area, View of pond From Balcony and Heat and Water included in HOA.   Sold As is, No survey, 100% Tax Pro rations, Buyer pays all inspections.</t>
  </si>
  <si>
    <t>Call 1-800 746-9464, Easy to show, on lock box</t>
  </si>
  <si>
    <t>Go to WWW.HUDHOMESTORE.COM to place bid. Buyers broker must have NAID# to place bid. Check Eligible Status &amp; property Condition report. Info should be Verified.   Case#137-157873. No one may alter or occupy property until after Closing.</t>
  </si>
  <si>
    <t>25TH AVE TO ADDISON ST., WEST TO RUBY ST., NORTH TO CONDO BUILDING</t>
  </si>
  <si>
    <t>1st FLOOR UNIT READY TO MOVE INTO.  HARDWOOD FLOORS THROUGHOUT. NEWER WINDOWS.  MASTER BEDROOM HAS A FULL WALL OF CLOSETS.  CERAMIC TILE BATH.  REMODELED KITCHEN.  STORAGE. IN UNIT  LAUNDRY.  2 ASSIGNED PARKING SPACES OFF STREET.  ASSESSMENT INCLUDES HEAT.  RENTALS ARE ALLOWED.  1 PET PER UNIT.  QUICK CLOSE AND IMMEDIATE POSSESSION.  TAXES LISTED HAVE NO EXEMPTIONS AND REFLECT THE NEW AMOUNT AFTER BEING APPEALED.</t>
  </si>
  <si>
    <t>Donna Raven, CNC</t>
  </si>
  <si>
    <t>(847) 302-9348</t>
  </si>
  <si>
    <t>The unit has 2 assigned off street parking spaces.  They are by the side/back door of the building.  They are marked 18 1E.  Please park in those to show.</t>
  </si>
  <si>
    <t>Sand Lake Rd and Rt 45 south, W on Falling Waters Blvd, R on FW Lane to home on right.</t>
  </si>
  <si>
    <t>Spacious open floor plan awaits the new owner of this home. Perfect for entertaining or close family times. The kitchen has plenty of cabinets and counter space so the chef in the family will appreciate that .  Upstairs are the bedrooms, both sharing a Jack and Jill bath making it seem like you have 2 master suites.  This home is conveniently located with easy commutes to either Chicago or Milwaukee. Attached garage.</t>
  </si>
  <si>
    <t>Viloria</t>
  </si>
  <si>
    <t>Email all offers to Ronbecker2300@gmail.com</t>
  </si>
  <si>
    <t>LONG</t>
  </si>
  <si>
    <t>63RD STREET TO LONG AVE, SOUTH TO ADDRESS</t>
  </si>
  <si>
    <t>2% - $150 (on Net SP)</t>
  </si>
  <si>
    <t>Access Realtors, INC.</t>
  </si>
  <si>
    <t>(773) 586-1066</t>
  </si>
  <si>
    <t>Deanna Ryan</t>
  </si>
  <si>
    <t>773 - 255 - 8956</t>
  </si>
  <si>
    <t>SIERRA RIDGE</t>
  </si>
  <si>
    <t>College Green E of Randall to Mesa</t>
  </si>
  <si>
    <t>CHEROKEE</t>
  </si>
  <si>
    <t>LOVELY 2 BDRM W/LOFT IN SIERRA RIDGE*2 STY LIV RM W/SGD TO PATIO, OPEN AREA &amp; WALKING PATH*LRG KIT FEAT. 9' CEIL, WALK-IN PANTRY, ALL APPLIANCES*DIN RM W/ARCHED OPEN ENTRY TO LIV RM &amp; 9' CEIL*MBR BOASTS VAULTED CEIL, WIC, PRIV BTH W/DBL SINK, SEP SHOWR &amp; LINEN CLOSET*2ND BDRM W/DBL CLOSETS*LOFT OVERLOOKS LIV RM*2ND FLR LAUNDRY*INSULATED &amp; DRY-WALLED 2 CAR ATT GARAGE*NEW CARPET-STAIRS &amp; BDRMS*NEW ROOF*GREAT LOCATION!!</t>
  </si>
  <si>
    <t>USE SHOWING ASSIST OR CALL 855-919-0376 (MUST CONFIRM, SOME NOTICE PLEASE)</t>
  </si>
  <si>
    <t>Route 34 OR McCoy to Frontenac, west on Echo Lane</t>
  </si>
  <si>
    <t>1st floor, 2 bedrooms and beautifully updated.  Washer/Dryer in unit.  Fresh, clean, and bright with new flooring and paint.  Eat-in kitchen with sliding glass door to patio backing to open area. Naperville schools, fantastic location, minutes to shopping, dining, expressway.  Heat, water, sewer, garbage, lawn care and snow removal all included in Association fees.</t>
  </si>
  <si>
    <t>3.0% - $150 (on Gross SP)</t>
  </si>
  <si>
    <t>Please Use Showing Assist button below</t>
  </si>
  <si>
    <t>Connie Carls Ott, CNC,GRI,SRES</t>
  </si>
  <si>
    <t>(815) 378-8359</t>
  </si>
  <si>
    <t>C-14</t>
  </si>
  <si>
    <t>RT 53 SOUTH TO 83RD, LEFT TO FIRST DRIVE TO THE RIGHT</t>
  </si>
  <si>
    <t>Spacious and open living rm and dining rm with slider to balcony. Oak laminate floors, Oak cabinets in kitchen and baths, ceramic floor in master bath, freshly painted, Neutral decor. Assessment includes heat, gas and more! Move right in! This property is under the FIRST LOOK program until 2/08/2015 Sold As-Is.</t>
  </si>
  <si>
    <t>2 (Window/Wall Unit), None</t>
  </si>
  <si>
    <t>2.5% ON GROSS (on Gross SP)</t>
  </si>
  <si>
    <t>SOLD AS IS. NO DISCLOSURES/SURVEY. PRO-RATIONS 100%. PRE-APPROVAL/POF &amp; OFFER SUBMISSION FORM AT TIME OF OFFER. SAMPLE ADDENDUMS IN ADDTIONAL INFORMATION. offers to reooffers@ryanhillrealty.com Buyer responsible for village escrow</t>
  </si>
  <si>
    <t>East of Cottage Grove on 60th south at Ingleside to address</t>
  </si>
  <si>
    <t>Beautiful condo located steps from U of C. Kitchen w/granite and breakfast bar. Large master bedroom suite. Hardwood floors throughout Open layout. In unit laundry . SOLD AS-IS. SUBMIT EARNEST MONEY AS CERTIFIED FUNDS. PROVIDE PROOF OF FUNDS OR PRE-APPROVAL. INFORMATION NOT GUARANTEED. TAX PRORATION 100%.AS-IS. FIRST LOOK INITIATIVE FOR OWNER OCCUPANTS ONLY THROUGH 02/08/2015.</t>
  </si>
  <si>
    <t>2.5% OR $1500 (WHICHEVER IS GREATER) (on Net SP)</t>
  </si>
  <si>
    <t>VISIT ADDITIONAL INFO FOR SELLER FORMS/SUBMIT OFFERS to http://goo.gl/pMU4b4 (copy &amp; paste)AND ALL QUESTION PLEASE DIRECT TO REO@PEARSONREALTYGROUP.COM /HOMESTEPS.COM FOR PROMOS/SEE ALL ATTACHED FORMS.</t>
  </si>
  <si>
    <t>Warren</t>
  </si>
  <si>
    <t>Ogden west to Main st., south to Warren, go east</t>
  </si>
  <si>
    <t>The New 922s, 3 story walkup luxury townhomes, with rooftop deck!!! Suburban living with an Urban feel. This fantastic home features 3 levels of living space, bamboo flooring,custom window treatments, gorgeous gourmet kitchen, granite coutnertops, ss app, 2 car garage, rooftop deck ( has that city feel ),In the HEART of downtown Downers Grove, the list goes on...</t>
  </si>
  <si>
    <t>Please call/text LA for combo, easy to show.</t>
  </si>
  <si>
    <t>Gia Devenyi</t>
  </si>
  <si>
    <t>(773) 569-7049</t>
  </si>
  <si>
    <t>Home is gorgeous, like brand new! Interior finishes from 2012, seller hated to leave, but had to relocate for job. These homes are rarely on market, and will go quickly.</t>
  </si>
  <si>
    <t>59 S OF IRVING TO LAUREL OAKS WEST TO HOME. HOME ON LEFT AS YOU DRIVE IN.</t>
  </si>
  <si>
    <t>Original owner loves the single family feel of this wonderful large townhome filled with amazing morning sun &amp; twilight evenings on the patio. From the moment you pull up to the private drive to when you enter the large foyer &amp; turn into the very spacious eat-in kitchen, you'll know this is the one. Great nursery/office off master suite is a nice feature. This unit has all your storage needs. New roof '11. Sharp!</t>
  </si>
  <si>
    <t>Nursery</t>
  </si>
  <si>
    <t>Eating Area-Table Space, Island, Pantry-Butler</t>
  </si>
  <si>
    <t>Foyer, Loft, Nursery</t>
  </si>
  <si>
    <t>Must call listing office to confirm 630-830-9100. Some notice pls. EZ to show.</t>
  </si>
  <si>
    <t>Delany &amp; Yorkhouse West to Monterey South to Sawgrass west to unit</t>
  </si>
  <si>
    <t>BEAUTIFUL 3 LEVELS OF LIVING IN POPULAR MIDLANE CLUB COMPLEX OFFERING GOLF, CLUBHOUSE, EXERCISE FACILITY &amp; POOL. IMPECCABLY MAINTAINED AND DECORATED IN TODAYS COLORS. JUST MOVE RIGHT IN AND ENJOY. FINISHED ENGLISH BASEMENT IS PERFECT FOR THE BIG SCREEN TV OR EXERCISE EQUIPMENT. OPEN AND FLOWING FLOOR PLAN W/2 SIDED FIREPLACE IS GREAT FOR RELAXING OR ENTERTAINING. EXPANSIVE MASTER SUITE W/PVT BATH &amp; LGE WALKIN CLOSET!</t>
  </si>
  <si>
    <t>Exercise Room, Health Club, Pool-Outdoors, Curbs/Gutters, Sidewalks, Street Lights, Street Paved</t>
  </si>
  <si>
    <t>CALL CSS 877-977-1010 - MIN 2 HR NOTICE REQUIRED</t>
  </si>
  <si>
    <t>Realty Executives Cornerstone</t>
  </si>
  <si>
    <t>(815) 788-9000</t>
  </si>
  <si>
    <t>Rick O'Connor, GRI</t>
  </si>
  <si>
    <t>(815) 477-3000x104</t>
  </si>
  <si>
    <t>A NORMAL SALE!!!</t>
  </si>
  <si>
    <t>Beresford</t>
  </si>
  <si>
    <t>ORCHARD TO MILL WEST TO BIG ROCK. CORNER OF BERESFORD AND BIG ROCK</t>
  </si>
  <si>
    <t>This is a GREAT move in ready rental! New APPLIANCES, very CLEAN home w/ 2 beds upstairs and 1 in basement. Fresh paint, great kitchen, move in READY!!! NEW CARPET EXTRA PADED neutral carpet! Located 1 mile from PARK and RIDE!</t>
  </si>
  <si>
    <t>Additional Pet Rent</t>
  </si>
  <si>
    <t>Ondrea Weikum, CNC,CSC,SFR</t>
  </si>
  <si>
    <t>(630) 878-9403</t>
  </si>
  <si>
    <t>83rd St. east of Janes Ave. to Piers Drive, north follow around to the right to Wharf.</t>
  </si>
  <si>
    <t>Unit was rehabbed 3  years ago.  These units cannot be rented with a possible exception of family members.</t>
  </si>
  <si>
    <t>Party Room, Pool-Outdoors, Curbs/Gutters, Sidewalks, Street Paved</t>
  </si>
  <si>
    <t>2 1/2% LESS $250.00 (on Net SP)</t>
  </si>
  <si>
    <t>Kathi Petricek</t>
  </si>
  <si>
    <t>(630) 215-7498</t>
  </si>
  <si>
    <t>Unit was rehabbed 3 years ago and was just recently painted. Unit cannot be rented with a possible exception of renting to family members.</t>
  </si>
  <si>
    <t>Ogden Ave to Fort Hill north to Carrolwood west</t>
  </si>
  <si>
    <t>Desirable End Unit w/LOFT &amp; Loads of Light! Gorgeous 2BR, 2.1Bath townhome with NEW granite counters in the kitchen with counter seating.New glass tile backsplash. Newer carpeting throughout! Spacious LR/DR with SGD leading out to the patio. Huge master bedroom with private bath. Newer Ceramic tile flooring in upstairs baths. Updated powder room. Loft is perfect for home office! 2nd floor laundry. Model perfect!</t>
  </si>
  <si>
    <t>Foyer, Loft, Utility Room-2nd Floor</t>
  </si>
  <si>
    <t>Corbin</t>
  </si>
  <si>
    <t>Cindee Potilechio, CNC</t>
  </si>
  <si>
    <t>(630) 660-1742</t>
  </si>
  <si>
    <t>Sentrilock is located on the flagpole holder by the garage</t>
  </si>
  <si>
    <t>31 Washington Blvd</t>
  </si>
  <si>
    <t>***SHORT SALE*** PRICE IS NOT APPROVED AT THIS TIME. PLEASE ALLOW TIME FOR THE BANK TO RESPOND. PROPERTY IS IN GOOD CONDITION, SOLD AS IS. SUBJECT TO SHORT SALE APPROVAL OF SELLER'S SATISFACTION. PURCHASER MUST BE PRE APPROVED BY SELLER'S PREFERRED LENDER. BUILDING IS FINANCEABLE. PURCHASER WILL NEED TO PAY SPECIAL ASSESSMENT IN THE AMOUNT OF $3500 (may be less). Special $131.56 through July 2017. Park in any space.</t>
  </si>
  <si>
    <t>Email lauren@laurenproperties.com</t>
  </si>
  <si>
    <t>CC: Pursuant to Short Sale. Please see mls for list of seller's preferred lenders &amp; short sale addendum. Investors are allowed to rent. No rental restrictions or caps. Leases must be for 1 year. No pet restrictions. Reserves $77,000. Only 1 loan with Ocwen 2 negotiate</t>
  </si>
  <si>
    <t>DIAMOND POINTE</t>
  </si>
  <si>
    <t>RT45/ALLANSON TO DIAMOND POINTE, TO FOUNTAINVIEW</t>
  </si>
  <si>
    <t>End Unit. Freshly painted,spacious and sunfilled! Brand new carpet, stainless appliances. Gas fireplace in large living room. Big dining room features sliding glass door to deck. Ceramic floor and back splash in kitchen, 42" Maple cabinets. second bedroom has private bath. Bank Owned, sold as is, taxes prorated 100%, no survey provided.</t>
  </si>
  <si>
    <t>Corner, Landscaped Professionally, Pond, Water View</t>
  </si>
  <si>
    <t>Heidi Bolger</t>
  </si>
  <si>
    <t>(312) 404-8280</t>
  </si>
  <si>
    <t>Very nice bank reconditioned unit sold as is, taxes prorated 100%. no survey. Public Act 94-1049 may apply. Earnest money must be certified checks only. Proof of funds for down pmt, pre approval needed at offer submission</t>
  </si>
  <si>
    <t>RT 59 SOUTH OF 95TH ST TO ROLLINGRIDGE ROAD W TO SAGANASHKEE N TO HOME</t>
  </si>
  <si>
    <t>MOVE RIGHT IN! NUMEROUS UPGRADES INCLUDE REFINISHED HARDWOOD FLRS AND NEW CARPET*OPEN STAIRCASE W/IRON SPINDLES*VAULTED CEILINGS IN THE KITCHEN, DR &amp; LR*KITCHEN FEATURES BRK BAR, SOLID SURFACE TOPS &amp; STAINLESS APPLIANCES*1ST FLR DEN/OFFC &amp; LUXURY MASTER BR SUITE*LOWER LVL FR W/FIREPLACE, FULL BATH &amp; 2ND BR*FULL BMT FOR ADDITIONAL SPACE*CLOSE TO SCHOOLS, SHOPPING &amp; ENTERTAINMENT*SWIM &amp; TENNIS COMMUNITY WITH CLUBHOUSE!</t>
  </si>
  <si>
    <t>Pool-Outdoors, Tennis Court/s, Curbs/Gutters, Sidewalks, Street Lights, Street Paved</t>
  </si>
  <si>
    <t>Unfinished, Sub-Basement</t>
  </si>
  <si>
    <t>Common Insurance, Clubhouse, Pool, Lawn Care, Scavenger, Snow Removal</t>
  </si>
  <si>
    <t>PLEASE CALL B &amp; W APPOINTMENT CENTER @ 855-746-9100 EASY TO SHOW</t>
  </si>
  <si>
    <t>Richard Hagmeyer</t>
  </si>
  <si>
    <t>(630) 602-8187</t>
  </si>
  <si>
    <t>630-602-8187</t>
  </si>
  <si>
    <t>FABULOUS CONDITION AND A PLEASURE TO SHOW - QUICK CLOSING AVAILABLE!</t>
  </si>
  <si>
    <t>ENNIS</t>
  </si>
  <si>
    <t>&amp; ROOSEVELT TO ADARE SOUTH TO ENNIS EAST</t>
  </si>
  <si>
    <t>WHITEHALL</t>
  </si>
  <si>
    <t>Wonderful opportunity to own this updated townhome located in the pristine Adare Farms community.  Take a tour of this open floor plan with gleaming hardwood floors, vaulted ceilings, and plush carpet throughout this eye-catching townhouse.  open loft could be 3rd bedroom. Donâ€™t let this opportunity pass you by. This is a Fannie Mae HomePath Property!</t>
  </si>
  <si>
    <t>This is a Fannie Mae HomePath Property! All offers must be sent to homepath.com per sellers request. No personal property included on this sale.</t>
  </si>
  <si>
    <t>Carillon</t>
  </si>
  <si>
    <t>Rollins Rd. to Carillon North Community. South to Carillon Drive. Right.</t>
  </si>
  <si>
    <t>BRIGHT &amp; SUNNY LARGE RANCH-STYLE HOME! HUGE MASTER SUITE W/SITTING AREA! LUX BTH W/DUAL SINKS &amp; SEP SHOWER! 3â€ PLANTATION SHUTTERS! 42" MAPLE CABINETS/ISLAND! ALL APPL! NEWER CARPET! GAS FIREPLACE! FULL BMT-8 Â½â€™ CEILINGS! LDY RM HAS DEEP UTILITY SINK! END UNIT! SECURITY SYSTEM! ENJOY THE CLUBHOUSE W/INDOOR POOL &amp; SPA-EXERCISE RM-SPACE FOR SOCIAL GATHERINGS-INTERNETCAFÃ‰-LIBRARY-GOLF- TENNIS-MAINTENANCE FREE LIVING!</t>
  </si>
  <si>
    <t>Exercise Room, Golf Course, Health Club, On Site Manager/Engineer, Party Room, Sundeck, Pool-Indoors, Tennis Court/s, Whirlpool, Business Center, Curbs/Gutters, Gated Entry, Sidewalks, Street Lights, Street Paved</t>
  </si>
  <si>
    <t>Water-Softener Owned, Water-Softener Rented, TV-Cable, Security System, CO Detectors, Ceiling Fan, Sump Pump, Air Cleaner</t>
  </si>
  <si>
    <t>Text or Call Debbie Paoli 847.845.3021 Notice required. Confirmation needed.</t>
  </si>
  <si>
    <t>Deborah Paoli</t>
  </si>
  <si>
    <t>Original Owners. First time on! Beautiful and well kept! Exclude 2 stained glass transom windows. And wooden shelf in family room. Homeowner will sell stained glass and other personal property.</t>
  </si>
  <si>
    <t>Fredericksburg</t>
  </si>
  <si>
    <t>Rt 34 to Farnsworth south. Right on Summerlin, left on Fredericksburg</t>
  </si>
  <si>
    <t>This wonderful 2 bedroom, 2 bath townhome offers ranch style living at its best. As an end unit with 9 foot ceilings and generous room sizes, this home offers bright, open living spaces throughout. The fully insulated garage boasts an epoxy floor, canned lights, and a gas heater. Inside the home there is new carpet and newer laminate flooring. Close to hospital, shopping, and you can walk to the park.</t>
  </si>
  <si>
    <t>Ryan Moran</t>
  </si>
  <si>
    <t>(630) 460-2035</t>
  </si>
  <si>
    <t>Rt 47 to Galena Rd (E) to Rosenwinkle (N) to Bertram (W) to Unit 224</t>
  </si>
  <si>
    <t>A must see! Great 2 bedroom/2 bathroom home in a great location! Spacious rooms, nice patio, PLUS a garage! Priced to sell, this one has it all and won't last! Choose FHA financing to qualify for $100 down payment. Ask your Agent for details. Sold as-is. Equal Housing Opportunity</t>
  </si>
  <si>
    <t>Case#137-342802.INS.STATUS:Insured. Up to 3% co-op Offers 2B put on-line Off.must be registered &amp; have a NAID# Go to hudhomestore.com 4 online bidding SEE PCR UNDER ADDENDUMâ€™S TAB.?â€™s to fsrhomes@aol.com.SOLD AS-IS.www.hometelosfirst.com</t>
  </si>
  <si>
    <t>Randall Rd to Miller E to Sierra Woods</t>
  </si>
  <si>
    <t>Updated 2 Bedroom Townhome Ready for New Owners! Eat-In Kitchen w/ an Abundance of Solid-Wood Cabinetry &amp; All Appliances. Living Room w/ Cozy Fireplace w/ New Gas Logs &amp; Wall of Windows allows for Tons of Natural Light. Sliding Glass Door to Private Deck! Spacious Master with Vaulted Ceilings &amp; Skylights! Great Location~Close to Shopping, Restaurants, and Rt. 90! New Ceiling Fans.</t>
  </si>
  <si>
    <t>FHA expired 2/1/15, but the association is working on getting it approved again.</t>
  </si>
  <si>
    <t>WALNUT HILL</t>
  </si>
  <si>
    <t>Division to Tyler (N) to Walnut Hill (W) to 1477</t>
  </si>
  <si>
    <t>Fabulous Eastside location for this 2 BR 2.1 Bath w/attached garage!  Antique Kitchen Cabinets with newer appliances.  First floor has 9 foot ceilings.  Master bedroom w/his/her closets &amp; full bath.  Convenient 2nd floor laundry.  Close to elem school, downtown St Charles &amp; Geneva &amp; local park, Only 5 blocks from river &amp; right off rt. 38.</t>
  </si>
  <si>
    <t>24 Hours Notice Requested. See Agent Remarks. Email danield@dreamtown.com</t>
  </si>
  <si>
    <t>(773) 326-6500</t>
  </si>
  <si>
    <t>Daniel DePaepe</t>
  </si>
  <si>
    <t>(773) 294-4250</t>
  </si>
  <si>
    <t>Showings - 24hrs requested / no showings from 9am to 11am and 1pm to 3pm (nap time).  All kitchen appliances replaced in 2012 (except microwave).  Taxes don't reflect exemptions.</t>
  </si>
  <si>
    <t>406A</t>
  </si>
  <si>
    <t>Main to Saratoga (just west of Main), North to 4221; Keybox on top part of front railing</t>
  </si>
  <si>
    <t>Want to make the 'right move'?  Be sure to see this wonderful 2BR/2Bth condo in convenient Downers Grove location near expressways /restaurants/banks/groceries/pharmacy. Heated underground parking/elevator building! Lots of fresh paint. Large balcony with sunset views.  Enjoy the lovely pool all summer long. Heat included in assessment; a wonderful lifestyle &amp; location.</t>
  </si>
  <si>
    <t>Coin Laundry, Elevator, Storage, Sundeck, Pool-Outdoors, Curbs/Gutters, Sidewalks, Street Lights, Street Paved</t>
  </si>
  <si>
    <t>call 877-977-1010 to schedule; Sentrilock on top part of front rail</t>
  </si>
  <si>
    <t>Liz Chalberg</t>
  </si>
  <si>
    <t>(630) 660-6767</t>
  </si>
  <si>
    <t>630-660-6767 cell</t>
  </si>
  <si>
    <t>Villa St. south of Chicago west on Lake St. to 236</t>
  </si>
  <si>
    <t>BROOKSTONE</t>
  </si>
  <si>
    <t>Desirable Brookstone model.  Great views of historic Elgin and Fox River from the rooftop deck.  Kitchen has granite counter tops w/breakfast bar and hardwood floors.   9 and 10 ft. ceilings throughout make this already 1,970 sq. ft. townhome feel enormous.  Parks, entertainment, dining,  train, and shopping all within walking distance.</t>
  </si>
  <si>
    <t>Bike Room/Bike Trails, Storage, Sundeck, Curbs/Gutters, Sidewalks, Street Lights, Street Paved</t>
  </si>
  <si>
    <t>Eric Jelen</t>
  </si>
  <si>
    <t>847-456-5089</t>
  </si>
  <si>
    <t>Come see this spacious townhome in the heart of beautiful downtown Elgin     Agent owned</t>
  </si>
  <si>
    <t>104th</t>
  </si>
  <si>
    <t>Pulaski to 104th St. East on 104th st to 3939 West. 1st Floor Unit. Separate Entrance</t>
  </si>
  <si>
    <t>Nicely updated 1st floor unit, no more stairs. 2 bed and 1 bathroom. Solid 6 panel doors. Pergo Floors in the living room, dining room and kitchen. Large bedrooms. Sliding glass doors lead to a balcony/patio. Separate Entrance from the other units. Storage and Laundry room is directly below the unit. Parking is located directly in front of the unit. Perfect for a city worker or someone looking to downsize</t>
  </si>
  <si>
    <t>USE SHOWING ASSIST. EASY TO SHOW</t>
  </si>
  <si>
    <t>OnLine Realty Professionals.com</t>
  </si>
  <si>
    <t>(773) 239-8100</t>
  </si>
  <si>
    <t>Erin Lorenz</t>
  </si>
  <si>
    <t>Well managed condo association.  Tons of closet space. 2nd bedroom has a 4x6 Walk in Closet.</t>
  </si>
  <si>
    <t>Mitchell</t>
  </si>
  <si>
    <t>Hobson to Woodridge S to Mitchell E</t>
  </si>
  <si>
    <t>Wonderful 2nd floor 2 BR, 2 BTH unit. Galley kitchen w/ all appliances has ample cabinets and tons of counter space. Huge LR/DR combination features neutral carpet and large windows. Master BR has updated bath &amp; custom closet organizers. Hall bath completely updated. You will love all the closet space. Laundry &amp; storage unit located on 2nd floor. Assessment includes gas, heat, water &amp; garbage. FHA approved.</t>
  </si>
  <si>
    <t>call listing agent  630-697-6934</t>
  </si>
  <si>
    <t>Catherine Allen</t>
  </si>
  <si>
    <t>(630) 637-2524</t>
  </si>
  <si>
    <t>0N064</t>
  </si>
  <si>
    <t>Forsythe</t>
  </si>
  <si>
    <t>High Lake West of Winfield Road to Shelburne Farms Drive North to Forsythe Court</t>
  </si>
  <si>
    <t>Immaculate townhome near downtown Winfield filled w/upgrades &amp; updates. Open floor plan w/eat in kitchen boasts loads of maple cabinets, island, + stainless steel appliances. Family room w/14' ceilings. Dark gleaming hardwood on lower level &amp; whole 1st floor. Large bedrooms w/private baths. White trim &amp; 6 panel doors. Private balcony off of kitchen. Laundry room, 2 car garage + plenty of storage. Walk to Metra &amp; CDH.</t>
  </si>
  <si>
    <t>Call the B&amp;W Appointment Center @ 855.746.9100 w/1 hour notice. Occupied, MUST confirm.</t>
  </si>
  <si>
    <t>Kevin Dahm</t>
  </si>
  <si>
    <t>(630) 718-3463</t>
  </si>
  <si>
    <t>Cell 815.280.9233</t>
  </si>
  <si>
    <t>Lightly lived in and ready for a new owner. Awesome opportunity to be in a convenient location for a great price.</t>
  </si>
  <si>
    <t>RIDGE CROSSING</t>
  </si>
  <si>
    <t>COUNTY FARM TO SUNSET E TO RIDGE CROSSING RIGHT TO HOME</t>
  </si>
  <si>
    <t>GORGEOUS HOME WITH DRAMATIC LAYOUT! TWO STORY LIVING ROOM WITH FIREPLACE AND HARDWOOD FLOORS. HUGE DINING ROOM WITH SLIDING DOORS LEADING TO DECK. SPACIOUS KITCHEN WITH STAINLESS STEEL APPLIANCES AND CERAMIC TILE. MASTER BEDROOM SUITE FEATURES HUGE CLOSET AND HARDWOOD FLOORS. SPACIOUS SECOND BEDROOM AND LOFT THAT CAN BE CONVERTED TO THIRD BEDROOM. FULL WALKOUT BASEMENT! CLOSE TO TRAIN AND EXPRESSWAY! SMOKING DEAL!</t>
  </si>
  <si>
    <t>2.5%-$200.00 (on Gross SP)</t>
  </si>
  <si>
    <t>Call 855-919-0376- 2 HOURS NOTICE PLEASE</t>
  </si>
  <si>
    <t>Angela Lotz</t>
  </si>
  <si>
    <t>(630) 439-1115</t>
  </si>
  <si>
    <t>630-640-4026</t>
  </si>
  <si>
    <t>RALEIGH</t>
  </si>
  <si>
    <t>IRVING PARK TO ADDISON S TO ELIZABETH W TO RALEIGH</t>
  </si>
  <si>
    <t>PRICE REDUCTION! RARELY AVAILABLE AVALON 1st FLR END UNIT! PRIVATE SETTING W/FIREPLACE &amp; GARAGE. MAINTENANCE FREE LIVING!  WELL MAINTAINED &amp; SPACIOUS RM SIZES. LRG LV RM W/GAS FP &amp; SLIDERS TO PRIVATE PATIO. KIT. W/UPDATED APPS, PLENTY OF ROOM FOR A TABLE &amp; SLIDERS TO PATIO. MSTR W/SHARED BATH. LAUNDRY IN UNIT &amp; 1 CAR ATTACHED GARAGE.  ALL THIS, ON THE END OF A PRIVATE STREET. NEUTRAL DECOR &amp; LOADED W/NATURAL LIGHT!</t>
  </si>
  <si>
    <t>CALL LO FOR INSTRUCTIONS 847-295-0800. REMOVE SHOES/LEAVE CARD</t>
  </si>
  <si>
    <t>Fresno</t>
  </si>
  <si>
    <t>Sierra Blanca</t>
  </si>
  <si>
    <t>Lake St. E of Elgin-O'Hare to Greenbrook Blvd S to Amarillo Rt(N) to Fresno Ct.</t>
  </si>
  <si>
    <t>Awesome rehabbed condo. Brand new kitchen, granite counters, ss appliances, granite island, recessed lighting under cabinets. Just to move in without having to do a thing! All is NEW. full size washer and dryer. Refinished hardwood floors, one year old HAC and more...... Call for an apt. easy to show. Bring your demanding clients. A pride to show.</t>
  </si>
  <si>
    <t>Text</t>
  </si>
  <si>
    <t>Obdulia Garcia-Bailey</t>
  </si>
  <si>
    <t>(847) 489-7787</t>
  </si>
  <si>
    <t>It is a very nice condo.</t>
  </si>
  <si>
    <t>From Route 173 Go South on Kenosha Rd. Turn Right on Highland. Left on Freedom Ct</t>
  </si>
  <si>
    <t>BEAUTIFUL! NEWLY RENOVATED TOWNHOME. 2 MSTR BR AND 1 BSMNT BR. NEW KITCHEN CABINETS, COUNTERTOPS, SINK. NEW BATHRM TILE. NEW CARPET T/O. BREAKFAST BAR, DINING AREA, LIVING ROOM, LRG WALKIN CLOSETS IN BEDROOM &amp; THROUGHOUT. LAUNDRY RM, FINISHED BSMNT, 2CAR GARAGE, 2.1 BATHROOMS, BALCONY, ADT SECURITY, BREATHTAKING VIEWS, CRAWL SPACE. 2MIN FROM WALMART, 5MIN FROM D/T ZION, 10M FROM BEACH, MINUTES FROM OUTLET MALL.</t>
  </si>
  <si>
    <t>Use Showing Assist or Call ShowingTime - 800-746-9464</t>
  </si>
  <si>
    <t>Dennis Toomey, ABR,CRS,GRI</t>
  </si>
  <si>
    <t>(847) 338-0180</t>
  </si>
  <si>
    <t>Fax 888-207-0410</t>
  </si>
  <si>
    <t>BEAUTIFUL FINISHED - MUST SEE.  Special assessment for new roof, 3 years at $89 per month.</t>
  </si>
  <si>
    <t>Route 176 west to Fairfield south on Crestview to home</t>
  </si>
  <si>
    <t>First floor beauty with beautiful views.  Upgraded kitchen cabinets with ceramic backsplash with hardwood floors and eating area.  Ceramic floors in bathrooms and neutral carpet in bedrooms.  Security building and one car attached garage with interior access.</t>
  </si>
  <si>
    <t>please call keller williams showing time 855-746-9976</t>
  </si>
  <si>
    <t>Keller Williams Premier Realty</t>
  </si>
  <si>
    <t>(847) 383-6600</t>
  </si>
  <si>
    <t>Warren Bremer</t>
  </si>
  <si>
    <t>(847) 456-6334</t>
  </si>
  <si>
    <t>Easy to show, no notice required</t>
  </si>
  <si>
    <t>104TH</t>
  </si>
  <si>
    <t>Pulaski to 104th st. east on 104th to 3935w, to unit 3B</t>
  </si>
  <si>
    <t>THIS IS A FANNIE MAE HOMEPATH PROPERTY! SPACIOUS 2 BR 1 BA CONDO WITH BALOCNY OVERLOOKING COURTYARD LAUNDRY AREA IN BUILDING.  ASSIGNED PARKING TOO.  FABULOUS FAR WEST CHICAGO LOCATION.  THIS BUILDING IS NOT FHA APPROVED</t>
  </si>
  <si>
    <t>08X16</t>
  </si>
  <si>
    <t>THE SELLER REQUESTS THAT ALL OFFERS BE SUBMITTED VIA HOMEPATH.COM  USE ATTACHED CONTRACT PKG</t>
  </si>
  <si>
    <t>Marquette (66th St.) to Kimbark. Go 1 way S to Kimbark</t>
  </si>
  <si>
    <t>PER CONDO</t>
  </si>
  <si>
    <t>Gorgeous penthouse condo with turret, private decks, hardwood floors, marble baths w/jacuzzi tub, and in unit washer and dryer. Great open floorplan flooded with sunlight, the kitchen has granite &amp; stainless steel, the Parking is included right out back. Gorgeous construction!</t>
  </si>
  <si>
    <t>Text/Email LA 773-991-6805 escalanteandrea@gmail.com</t>
  </si>
  <si>
    <t>Andrea Escalante</t>
  </si>
  <si>
    <t>(773) 991-6805</t>
  </si>
  <si>
    <t>Wolf to Regency to Kings Ct. Left to unit.</t>
  </si>
  <si>
    <t>Looking for easy living, low maintenance? This is the home for you! Enjoy this 2BD, 2BA one level living. Great location, blks to park, Mariano's, restaurants &amp; salon! Cozy gas FRPLC to keep you warm in the winter. Enjoy a cup of coffee in your eat-in kitchen &amp; DR. Sliding glass drs lead to private patio viewing nature. Lock the door &amp; go! Enjoy life w/no worries of snow removal/lawn care. Don't hesitate. Come see!</t>
  </si>
  <si>
    <t>Robert Bakas, CNC,SFR</t>
  </si>
  <si>
    <t>(630) 534-0722</t>
  </si>
  <si>
    <t>Handicap accessible ramp in garage will be removed if buyer does not want it.</t>
  </si>
  <si>
    <t>Blackberry Knoll</t>
  </si>
  <si>
    <t>Orchard Rd(S) to Galena(W) Concord(S) to Grape Vine Trail to Home.</t>
  </si>
  <si>
    <t>Exceptionally maintained end unit with security system! Living room and dining area host plenty of natural light with open layout throughout first floor. Kitchen hosts plenty of cabinetry with breakfast bar. Garage hosts shelving and is drywalled throughout. Loft on 2nd level provides a family escape! Laundry on 2nd level as well as both full baths. Tenant occupied until 03/31/15.</t>
  </si>
  <si>
    <t>Water-Softener Owned, TV-Cable, Security System, CO Detectors, Ceiling Fan</t>
  </si>
  <si>
    <t>2.50% (on Net SP)</t>
  </si>
  <si>
    <t>Call CSS : 877-977-1010 (Prior Day Notice)</t>
  </si>
  <si>
    <t>Chicagoland Realty Group Partners LLC</t>
  </si>
  <si>
    <t>(630) 318-6900</t>
  </si>
  <si>
    <t>Sean Morrissey, ABR,CNC,SFR,SRES</t>
  </si>
  <si>
    <t>Rented through 03/31/15. Motivated Seller! Taxes do not reflect homeowner exemption.</t>
  </si>
  <si>
    <t>SARSON</t>
  </si>
  <si>
    <t>IRVING PK TO OLDE SALEM N TO HARTMANN E TO SARSON WAY S</t>
  </si>
  <si>
    <t>EXTENDED LOFT</t>
  </si>
  <si>
    <t>26.5X76.39</t>
  </si>
  <si>
    <t>LOVINGLY MAINTAINED END LOCATION 2STORY TOWNHOME IN SCHAUMBURG SCHOOL DISTRICT! COZY FIREPLACE FOR SNUGGLING! NEW WOOD LAMINATE FLOORS IN LOFT MASTER BEDROOM AND 2ND BEDROOM! ALL APPLIANCES STAY INCLUDING 2YR NEW FRIDGE. 2YEAR NEW WINDOWS,DOORS &amp; PATIO DOOR! NEWER(2011) FURNACE AND AC! NEAR TRAIN &amp; ELGIN-O'HARE EXPY! SOLD-AS-IS BUT NOT YOUR AVERAGE SHORT SALE! BETTER HURRY ON THIS GREAT HOME AT A SUPER PRICE!</t>
  </si>
  <si>
    <t>Park/Playground, Party Room, Pool-Outdoors, Street Lights, Street Paved</t>
  </si>
  <si>
    <t>CALL CENTRALIZED SHOWING SERVICE:877-977-1010</t>
  </si>
  <si>
    <t>JOANNE V. ISSEL</t>
  </si>
  <si>
    <t>CC: Pursuant to Short Sale. EXPERIENCED CDPE SHORT SALE AGENT AND ATTORNEY. 1 LOAN. SOLD AS-IS. ANY COMMISSION REDUCTION WILL BE SPLIT 50/50. ONLY 1 CONTRACT WILL BE PRESENTED TO BANK FOR APPROVAL.</t>
  </si>
  <si>
    <t>ROOSEVELT RD TO FINLEY SOUTH TO COMPLEX ON EAST SIDE OF STREET</t>
  </si>
  <si>
    <t>MOVE IN READY AND PRICED TO SELL. ENTIRE CONDO FRESHLY PAINTED NEUTRAL BEIGE. UPDATED BATHROOM.  LOTS OF STORAGE.   BALCONY. MASTER BR WITH VANITY AREA AND HALF BATH.  3 A/C UNIT.  STORAGE AND COIN LAUNDRY ON SAME FLOOR.  CLOSE IN TIME TO ENJOY THE TENNIS COURTS AND OUTDOOR POOL.  GREAT LOCATION &amp; CLOSE TO SHOPPING/EXPRESSWAYS/RESTAURANTS.  WHAT ARE YOU WAITING FOR?   CHEAPER THAN RENT!</t>
  </si>
  <si>
    <t>Coin Laundry, Elevator, Storage, Park/Playground, Pool-Outdoors, Security Door Locks, Tennis Court/s, Sidewalks</t>
  </si>
  <si>
    <t>Call Showing Time Appt Center: 855-746-9200. 2 hour notice, please.</t>
  </si>
  <si>
    <t>Linda Reilly</t>
  </si>
  <si>
    <t>(630) 269-2473</t>
  </si>
  <si>
    <t>SENTRILOCK LOCATED ON WEST SIDE OF BLDG ON RAIL WHICH IS TUCKED AWAY BEHIND THE BRICK FACADE</t>
  </si>
  <si>
    <t>Stonehill</t>
  </si>
  <si>
    <t>WOODSIDE</t>
  </si>
  <si>
    <t>Roosevelt West to Shaffner S to County Farm E to Stonehill Ct.</t>
  </si>
  <si>
    <t>WOW! Just What You Are Looking For. First Floor Condo End Unit. Big Ticket Items Taken Care Of For You. 2015: Water Heater. 2014:All New Windows &amp; Screens, Sliding Glass Door, A/C, Microwave. 2013: Dryer. 2010 Washer, Oven Range. Custom Hunter Douglas Blinds Throughout. Updated Baths. Eat in Kitchen. Private Patio Overlooking Large Treed Open Area, Great For Entertaining. Inside Access to Garage. Ample Guest Parking.</t>
  </si>
  <si>
    <t>Must call Showing Time for an appointment. 855-746-9100.</t>
  </si>
  <si>
    <t>Judy Stowe, CNC,SFR,TRC</t>
  </si>
  <si>
    <t>(630) 858-2522</t>
  </si>
  <si>
    <t>Buyer's agent must accompany client for all showings.</t>
  </si>
  <si>
    <t>Brookhaven</t>
  </si>
  <si>
    <t>Rt 21 and Washington - East, to O'Plaine - North, to Brookhaven - East, to unit on left</t>
  </si>
  <si>
    <t>Light and bright! Cathedral ceiling in Living Room &amp; lovely loft, with skylight and Southern exposure. Clean and well maintained â€“ move-in ready. New A/C, water heater and roof. Storage space in extra-large one-car garage. Semi-private patio surrounded by beautiful birch trees. Great Location! Close to I94 and Rt. 41, across the street from Library and Police Station. Walking distance to Viking Park and schools.</t>
  </si>
  <si>
    <t>2.5% - $235 (ON GROSS SP) (on Gross SP)</t>
  </si>
  <si>
    <t>Appointment required. Use Showing Assist or Call Office</t>
  </si>
  <si>
    <t>Cell:  847-337-4599</t>
  </si>
  <si>
    <t>Some furniture in town home is also for sale. If your client is interested let me know.</t>
  </si>
  <si>
    <t>Randall South of I90 to Royal Blvd East to Colorado South</t>
  </si>
  <si>
    <t>2 BDR / 1.1 BA in Valley Creek Subdivision.  Allow 2 to 3 business days for seller response to offers. Sold As is. Bank of America, N.A. employees &amp; employeesâ€™ household members (including persons deriving their primary means of financial support from a Bank employee), and HTS business partners of the bank, are prohibited from purchasing this property,whether directly or indirectly.</t>
  </si>
  <si>
    <t>3% OR $1500 WHICHEVER IS GREATER. (on Net SP)</t>
  </si>
  <si>
    <t>Bank of America, N.A. employees and employeesâ€™ household members (including persons deriving their primary means of financial support from a Bank employee), and HTS business partners of the bank, are prohibited from purchasing this property</t>
  </si>
  <si>
    <t>HAMPTON OAKS</t>
  </si>
  <si>
    <t>IRVING PK RD W OF BARTLETT RD TO COLONIAL CT  N</t>
  </si>
  <si>
    <t>Spacious 2-bed, 2.5-bath townhouse is ready for you to move-in! Large living room with fireplace, neutral color pallet, loft office space in second floor, vaulted ceilings, private deck to rear yard, full unfinished basement with high ceilings and excellent potential.  Attached garage. This one is must see! This is Fannie Mae HomePath property. HIGHEST AND BEST DUE Feb 05, 2015, 05:29:00 PM (EST)</t>
  </si>
  <si>
    <t>Submit all offers to www.homepath.com . Offer Instructions sheet in â€œAdditional Information". Buyer responsible for 6 months HOA fees per IL Public Act 94-1049.</t>
  </si>
  <si>
    <t>Rte 64 to Smith Rd, N to Pheasant Trl</t>
  </si>
  <si>
    <t>FOXMOOR</t>
  </si>
  <si>
    <t>20X98X21X98</t>
  </si>
  <si>
    <t>Here's what you've been waiting for.  Brand new and beautiful!   Gorgeous Brazilian Cherry floors, all new mechanicals, most windows are new, new granite and glass tile backsplash in kitchen, w/new appliances.  2 full and 2 half baths.  Lower level has cozy heated floors.  Neutral throughout, absolute move-in condition.  Nothing has been overlooked.  Nice floor plan with 2 huge bedrooms and a loft.  LL could be BR 3.</t>
  </si>
  <si>
    <t>Balcony, Eating Area, Loft, Walk In Closet</t>
  </si>
  <si>
    <t>Call 877-404-1743, Must Confirm</t>
  </si>
  <si>
    <t>Marsha Wallace</t>
  </si>
  <si>
    <t>(630) 232-3908</t>
  </si>
  <si>
    <t>Upgraded to the max.  Show with confidence.  Can close quick.</t>
  </si>
  <si>
    <t>RTE 134 &amp; FAIRFIELD N TO MAIN W TO CLEAR WATER N 2 CRYST</t>
  </si>
  <si>
    <t>Great 2 bedroom condo located on the second floor with balcony overlooking mature landscape. The unit has a nice floorplan. The kitchen offers breakfast bar and space for table. The unit also offers washer &amp; dryer. Detached 1 car garage across from main entrance. Please allow time for third party approval.</t>
  </si>
  <si>
    <t>Call 1-855-746-9100 M-Sun 8AM-10PM to schedule appointment</t>
  </si>
  <si>
    <t>63rd to Cass South to Piers- 1st  left into parking</t>
  </si>
  <si>
    <t>THIS IS A MUST SEE SPACIOUS 2ND FLOOR UNIT WHICH FEATURES A LARGE BALCONY THAT OVERLOOKS A GORGEOUS COURTYARD, THE UNIT HAS BEEN UPDATED WITH NEW CARPET, FRESH PAINT, NEW APPLIANCES AND IS MOVE IN READY. UNIT FEATURES 2 BEDROOM, 2 BATHS AND IS IN A GREAT LOCATION. THIS IS A FANNIE MAE HOMEPATH PROPERTY, ALL INFORMATION IS ESTIMATED. TAXES PRO RATED AT 100% Public Act 94-1049 May Apply</t>
  </si>
  <si>
    <t>Parking, Common Insurance, Clubhouse, Pool, Exterior Maintenance, Lawn Care, Scavenger, Snow Removal, Other</t>
  </si>
  <si>
    <t>SELLER HAS VERBALLY ACCEPTED AN OFFER 5-7-2015.  Act now - $1000 Buyer's Agent Bonus! Click HomePath.com for details or ask me. Restrictions apply! PLEASE SUBMIT OFFERS ON HOMEPATH.COM, email offers@smithreo.com for offer questions</t>
  </si>
  <si>
    <t>Route 47 S to Garden St W to Garden Circle</t>
  </si>
  <si>
    <t>45X66</t>
  </si>
  <si>
    <t>Rare opportunity in Prairie Garden Active Adult community; Upgraded panel doors, lever handles, Cherry wood floors and kit cabinets. Master bedroom with large walk in closet. Paneled sun room and deck facing open area. Full partially finished english basement. Good clean condition. One resident required to be over 55.  Sold "as is", No disclosures. RE tax prorated @100%  IN NEGOTIATIONS</t>
  </si>
  <si>
    <t>17X6</t>
  </si>
  <si>
    <t>text agent  630-640-2784 or email j.caffero@comcast.net</t>
  </si>
  <si>
    <t>JLC Properties</t>
  </si>
  <si>
    <t>(630) 640-2784</t>
  </si>
  <si>
    <t>Joeine Caffero, e-PRO,SFR,SRES</t>
  </si>
  <si>
    <t>To submit an offer on the property for consideration, click on the following link to submit through RES.NET: RES.NET Property Offer</t>
  </si>
  <si>
    <t>Country Fours</t>
  </si>
  <si>
    <t>BLOOMINGDALE RD S OF LAKE TO GREENWAY</t>
  </si>
  <si>
    <t>METICULOUSLY MAINTAINED QUAD READY FOR A NEW OWNER. NEW FLOORING IN KITCHEN/BATHROOM/LAUNDRY ROOM. NEW COUNTERS IN KITCHEN. LARGE MASTER BEDROOM W/WALK IN CLOSET. INVESTORS: UNIT CAN BE RENTED. CURRENT LEASE UP 10/31/2014. TENANT MAY STAY MONTH TO MONTH IF  NEW OWNER INTERESTED.</t>
  </si>
  <si>
    <t>24 hour notice required call office 630-543-5640</t>
  </si>
  <si>
    <t>24 hour notice for showings please...photos prior to tenant moving in.</t>
  </si>
  <si>
    <t>West of Willow Springs Rd/104th Ave on Archer to Willow Creek Lane</t>
  </si>
  <si>
    <t>33X79X33X78</t>
  </si>
  <si>
    <t>FIND THE FREEDOM TO RELAX IN THIS 2 STORY CORNER T-HOME LOCATED IN SMALL,SCENIC&amp;SECURE GATED COMMUNITY,EXCEPTIONAL CONTEMPORARY FLR PLAN W/LARGE GREAT RM,(FAM RM+DIN RM)UPDATED EAT-IN KITCHEN W/GRANITE C-TOPS,BOTH BDRMS W/VAULTED CEIL.&amp;BALCONYS,FIN BMT W/REC RM,THEATER RM&amp;EXTRA RM(OFFICE/WORK-OUT RM?)RESTFUL DECK OVERLOOKING RAVINE/CREEK,MINS FROM FOREST PRES/BIKE TRAILS,TRAIN&amp;X-WAYS,STAGG HS DIS&amp;MORE!TRULY MUST SEE!</t>
  </si>
  <si>
    <t>19X6</t>
  </si>
  <si>
    <t>Theatre Room</t>
  </si>
  <si>
    <t>Channel Front, Forest Preserve Adjacent</t>
  </si>
  <si>
    <t>Breakfast Room, Foyer, Recreation Room, Theatre Room, Other</t>
  </si>
  <si>
    <t>PLEASE CALL LISTING OFFICE</t>
  </si>
  <si>
    <t>Thomas Domasik</t>
  </si>
  <si>
    <t>34W680</t>
  </si>
  <si>
    <t>WHITMORE PLACE</t>
  </si>
  <si>
    <t>Rt.25 (N of Army Trail) to Carl Lee Rd. W to home</t>
  </si>
  <si>
    <t>Beautiful! better then new, Totally upgraded! Whitmore Place of St Charles, 9' 1st flr ceilings &amp; hardwood floors. Eat in Kitchen,42"Cab"s SS appliances, Breakfast bar&amp; Breakfast Bay Window. Master Bedroom w/Volume Ceiling Double sink &amp; ceramic .Lg closets. 2nd flr. laundry, Loft,Open Floor plan, Stained Rails &amp; Spindles, Finished BASEMENT!, 2car gar w shelving. Energy Star Home. 30 Yr Transf. Builder Warranty</t>
  </si>
  <si>
    <t>Park/Playground, Street Paved</t>
  </si>
  <si>
    <t>Loft, Recreation Room, Utility Room-2nd Floor</t>
  </si>
  <si>
    <t>Barbara Boisacy</t>
  </si>
  <si>
    <t>(630) 561-4614</t>
  </si>
  <si>
    <t>Rt 59, East on 87th, South on Sheehan, 1st Right on Rutland</t>
  </si>
  <si>
    <t>WARM&amp;WELCOMING END UNIT-1ST FLR ENTRY LEADS TO SPACIOUS&amp;BRIGHT 2nd FLR W/ SOARING VLTD CEILINGS. NEW SS APPL AND WASHER&amp;DRYER. HW STAIRS, WOOD LAM THROUGHOUT(TILE MA BATH), UPDATED LIGHT FIX, GRANITE IN 2ND BA-FEATURES DUAL ACCESS FROM LIV ROOM &amp; 2ND BED. 1 OWNER-CONSTR UPGRADE 2 SKYLIGHTS &amp; WHIRLPOOL TUB&amp;SEP SHWR. BALC OVERLOOKS BEAUTIFUL COURTYARD. LOVELY NEIGHBORHOOD, CONV ACCESS TO SHOP/DINE/ENT. WALK TO ELEM&amp;HS</t>
  </si>
  <si>
    <t>2 HRS NOTICE, CALL/TEXT LA W/ AGENT ID, DAY&amp;TIME. PLEASE REMOVE SHOES, LEAVE CARD &amp; FEEDBACK</t>
  </si>
  <si>
    <t>EASY TO SHOW, WELL CARED FOR CLEAN &amp; NEAT.</t>
  </si>
  <si>
    <t>STOUGHTON</t>
  </si>
  <si>
    <t>59 or Eola to NEW YORK (W) TO STOUGHTON (S) TO HOME</t>
  </si>
  <si>
    <t>Hard to find immaculate 2 bedroom, 2 bath FIRST FLOOR RANCH home in Park Avenue with PREMIUM LOCATION!!! Patio overlooks open area &amp; trees giving summer privacy! Upgraded cabinets &amp; flooring, lots of windows, gas log fireplace. White raised panel doors, white trim! Spacious master has private bath, walk in closet + 2nd closet! All appliances incl. Neutral carpet &amp; neutral ceramic tile. DISTRICT 204 SCHOOLS. Perfect!</t>
  </si>
  <si>
    <t>Curbs/Gutters, Street Lights</t>
  </si>
  <si>
    <t>Call 855-746-9100 for appt., Easy to show. Please remove shoes, turn off all lights, thx.</t>
  </si>
  <si>
    <t>Nancy Cox, ABR</t>
  </si>
  <si>
    <t>(630) 262-7154</t>
  </si>
  <si>
    <t>Cell 630-732-6829</t>
  </si>
  <si>
    <t>Great ranch TH.Rare to find w/ FP,ok to switch on but PLS TURN OFF! Super views best in subd &amp; does NOT back to road! Rods &amp; blinds stay,excl.curtains/valance. Pls don't touch DR floor lamp-on timer. H/D Blinds/valances in garage stay.Use6</t>
  </si>
  <si>
    <t>On Finley between 22nd St and Roosevelt</t>
  </si>
  <si>
    <t>Large 2Bd/2Bth Condo w/ newly rehabbed kitchen &amp; bathroom. 2 separate Balconies w/ large space. Walk in closet w/ Custom Shelving. Nicely maintained tile flooring &amp; fresh paint. Master Bedroom w/ Big Bathroom. Located in Scenic Building w/ Pool, Clubhouse, Fitness Center, &amp; Pond. Large 4'x8' Storage Unit Included &amp; on same Floor!</t>
  </si>
  <si>
    <t>Coin Laundry, Elevator, Exercise Room, Storage, Party Room, Pool-Outdoors, Security Door Locks</t>
  </si>
  <si>
    <t>Water, Common Insurance, Security System, TV/Cable, Clubhouse, Pool, Exterior Maintenance, Lawn Care, Scavenger, Snow Removal</t>
  </si>
  <si>
    <t>Kyle Jorgensen</t>
  </si>
  <si>
    <t>(630) 667-6557</t>
  </si>
  <si>
    <t>HOA requires 2 years of ownership before unit can be rented  Tenant Occupied 24 Hour Notice to Show  Laundry on 6th Fl  Building is not FHA approved</t>
  </si>
  <si>
    <t>Courtyards Of Orchard Valley</t>
  </si>
  <si>
    <t>ORCHARD RD TO INDIAN TRAIL. WEST TO VILLAGE CENTER PKWY.</t>
  </si>
  <si>
    <t>START 2015 MOVING INTO LIKE NEW CONSTRUCTION! SPACIOUS COMPLETE RENOVATION W/UPGRADES THROUGHOUT! NEW(CARPET, CABINETS W/ SOFT CLOSE DOORS, PAINT, 12MM FLOORING, GRANITE COUNTERTOPS, BREAKFAST BAR, &amp; STAINLESS STEEL APPLIANCES). LARGE FAMILY ROOM, 9FT CEILINGS, 2ND FLR LAUNDRY. BONUS RM MAY BE 3RD BEDROOM OR DEN. PRIVATE DECK &amp; ATTACHED 2-CAR GARAGE.NEAR SCHOOLS, SHOPPING, DINING &amp; I88. BROKER OWND. Quick close!</t>
  </si>
  <si>
    <t>Golf Course, Park/Playground, Restaurant, Curbs/Gutters, Sidewalks, Street Lights, Street Paved</t>
  </si>
  <si>
    <t>SHOW ANYTIME WITH COMBO. TURN OFF LIGHTS. PLEASE USE SHOE COVERS OR REMOVE SHOES INSIDE FRONT DOOR!!</t>
  </si>
  <si>
    <t>Rt. 176 E of Main Street to Hill to Stillwater</t>
  </si>
  <si>
    <t>End Unit - Beautiful 1st floor ranch with private entrance &amp; private back yard makes it feel more like a home without the exterior maintenance! Updated Kitchen with oodles of cabinets and newer applainces.  Spacious dining area with bay window.  Master Bedroom with 2 sets of closets &amp; private bath. Additional Bedroom &amp; Full Bath! Newer Carpet! Furnace 2013! Some newer windows! Beach*Lake*Pool Amenities! Fun! Fun! Fun</t>
  </si>
  <si>
    <t>Boat Dock, Pool-Outdoors, Sidewalks, Street Lights, Street Paved</t>
  </si>
  <si>
    <t>Double Sink, Garden Tub</t>
  </si>
  <si>
    <t>2.5% -295 (on Net SP)</t>
  </si>
  <si>
    <t>Fred &amp; Allison Solway</t>
  </si>
  <si>
    <t>847-650-8686</t>
  </si>
  <si>
    <t>Rarely available - Beuatiful  End unit on 1st floor.</t>
  </si>
  <si>
    <t>56 to  Briarcliffe N to Lakecliffe E or Blanchard S of President to Briarcliff S to Lakecliffe</t>
  </si>
  <si>
    <t>Kitchen updated w/new SS appliances and freshly painted unit with 2 bedrooms, brand new wood laminate floors, new decorative lighting. Washer and dryer in unit,SGD to patio and common area,1 car attached garage,1st floor unit is great for easy access.Snow removal, landscaping included so you can relax.Convenient location close to shopping and park.Close to COD. FP will be taken out w/flooring, paint and drywall done!</t>
  </si>
  <si>
    <t>Click Showing Assist or call Showing Time 800-746-9464</t>
  </si>
  <si>
    <t>Fireplace is not operable as it is. Owner will remove or modify to meet city codes. If buyer prefers it can be modified to work. Seller will give credit if that is the choice.</t>
  </si>
  <si>
    <t>O'Connor</t>
  </si>
  <si>
    <t>BELMONT SOUTH ON 80TH TO O'CONNOR DRIVE - WEST TO 8025</t>
  </si>
  <si>
    <t>REALLY NICE! 2 BEDROOM, 1.5 BATH 3RD FLR UNIT IN GROVE TOWER THREE.  NORTH EXPOSURE WITH WOODED VIEW FROM BALCONY. ELEVATOR BUILDING. LARGE LIVING ROOM/DINING ROOM W/NEWER CARPETING THRU-OUT. UPDATED KITCHEN W/ NEWER CABINETS &amp; WHITE APPLIANCES. CERAMIC TILE IN KITCHEN &amp; HALLWAY.   UPDATED BATHS. LARGE MASTER BDRM W/WALK-IN CLOSET AND 1/2 BATH.  1 CAR GARAGE. 1 STORAGE SPACE. COIN LAUNDRY ON SAME FLOOR.  EASY TO SHOW</t>
  </si>
  <si>
    <t>CALL OR TEXT LAG 708-373-2306</t>
  </si>
  <si>
    <t>Joan Kaniecki</t>
  </si>
  <si>
    <t>(708) 452-8086</t>
  </si>
  <si>
    <t>2Q</t>
  </si>
  <si>
    <t>From Roosevelt; south on Park to Raintree to last building on right hand side.</t>
  </si>
  <si>
    <t>Spacious 2nd floor end unit with love south and west views. Sought after Ashfield House. Home features 2 bedrooms and t2 full baths. Entertain with big living room and nice size dining room that have access to patio. Heated garage. Storage unit in garage area as well as on the 2nd floor. Plenty of closet space. Elevator building. Membership to swimming pool, club house and tennis courts.</t>
  </si>
  <si>
    <t>2.5%-$250.00 (on Net SP)</t>
  </si>
  <si>
    <t>Call Charlie @ 630-244-0883</t>
  </si>
  <si>
    <t>Nettleton Real Estate</t>
  </si>
  <si>
    <t>(630) 833-2611</t>
  </si>
  <si>
    <t>Charles Nettleton</t>
  </si>
  <si>
    <t>(630) 244-0883</t>
  </si>
  <si>
    <t>Subject to Court Approval. The court approval is needed because the owner is being taken care of by the Public Guardian.</t>
  </si>
  <si>
    <t>STONEHILL</t>
  </si>
  <si>
    <t>Woodside</t>
  </si>
  <si>
    <t>Rt. 38 West of County Farm to Schaffner S. to County Farm then E to Stonehill, S 2nd building.</t>
  </si>
  <si>
    <t>The Largest Model, 2 bed plus a den!! Light &amp; Bright this very clean, open floor plan has large FR w/FP. Kitchen has space for table, oak cab, newer counters, appls &amp; fixtures. Seperate DR. Enjoy the beautiful view from the Deck, open space with big trees!  Spacious Mstr-bed with WIC &amp; dressing area.  Nice size laundry room.  Very quite cul-de-sac!!  Welcome home!</t>
  </si>
  <si>
    <t>3 Hour Notice, must confirm, click on showing assist</t>
  </si>
  <si>
    <t>Willows of Fox Valley</t>
  </si>
  <si>
    <t>Route 59, 2 McCoy, W2 Gregory</t>
  </si>
  <si>
    <t>Fantastic location! Light and bright 2 bedroom, 1 and a half bathroom condo on the 2nd floor. Fresh paint, new flooring, laundry in-unit, large living room. Heat, water, gas, garbage, lawn care and snow removal included in the association fees. Close to shopping mall, school district 204. This is not a short sale/foreclosure, can close quickly, easy to show</t>
  </si>
  <si>
    <t>Text Listing agent 773-370-7008 or email at carolinadauksa@hotmail.com</t>
  </si>
  <si>
    <t>Carolina Dauksa</t>
  </si>
  <si>
    <t>(773) 581-9600x116</t>
  </si>
  <si>
    <t>RT 176 W OF DARRELL ROAD TO WATERS EDGE S TO #4348</t>
  </si>
  <si>
    <t>GREAT SECOND FLOOR RANCH WITH LARGE ROOMS AND LOTS OF LIGHT. GREAT POTENTIAL FOR INVESTORS OR OWNER OCCUPANTS WILLING TO DO SOME WORK. 2 LARGE BEDROOMS AND 2 FULL BATHS. ATTACHED 1 CAR GARAGE. BRING YOUR DECORATING IDEAS FOR A GREAT HOME OR RENTAL. REO-BANK OWNED/PROPERTY SOLD â€œAS ISâ€ WITHOUT REPAIRS â€œSELLER WILL NOT ACTIVATE ANY UTILITIESâ€  CASH &amp; CONVENTIONAL OFFERS ONLY.</t>
  </si>
  <si>
    <t>OCWEN LOAN SERVICING,LLC.</t>
  </si>
  <si>
    <t>Your Choice Real Estate Serv</t>
  </si>
  <si>
    <t>(847) 426-7899</t>
  </si>
  <si>
    <t>Robyn Huffar</t>
  </si>
  <si>
    <t>(847) 426-8230</t>
  </si>
  <si>
    <t>SUBMIT ALL OFFERS TO WWW.HUBZU.COM, BUYER TO PAY $299 TECHNOLOGY FEE AND BUYERS PREMIUM OF 4.5% AT CLOSE. SELLER WILL NOT ACTIVATE UTILITIES/BUYER RESPONSIBILITY.</t>
  </si>
  <si>
    <t>LIBERTY</t>
  </si>
  <si>
    <t>COURTHOUSE SQUARE</t>
  </si>
  <si>
    <t>ROOSEVELT TO NAPERVILLE NORTH. CORNER OF NAPERVILLE &amp; LIBERTY</t>
  </si>
  <si>
    <t>CITY LIFESTYLE W/MAGNIFICENT VIEWS OFFERS LARGEST PENTHOUSE W/2162 SF OF OPEN LIVING SPACE*FABULOUS FEAT. INC: STATE OF THE ART KITCHEN W/GRANITE &amp; SS APPL'S; GRAND LR/DR W/OPEN FPLC TO HUGE DEN; MBR W/OPEN FPLC TO LUXURY BTH; 2ND BR W/PRIV. BTH; ADD'L HALF BTH; GREAT CLOSETS; 2 HEATED GAR. &amp; STORAGE SPACES; 2 TERRACES TO ENJOY MORNING COFFEE OR EVENING SUNSETS; CLUBHOUSE W/EXERCISE FACILITY, OUTDR POOL, &amp; MTG RM.</t>
  </si>
  <si>
    <t>29X23</t>
  </si>
  <si>
    <t>Bike Room/Bike Trails, Elevator, Exercise Room, Storage, Party Room, Sundeck, Pool-Outdoors, Security Door Locks, Sidewalks, Street Lights, Street Paved</t>
  </si>
  <si>
    <t>Den, Other</t>
  </si>
  <si>
    <t>TV-Cable, Security System, Intercom, Fire Sprinklers, CO Detectors, Ceiling Fan, Sprinkler-Lawn</t>
  </si>
  <si>
    <t>CALL LAG AT 630-913-5780 FOR APPT. DAY BEFORE REQ'D. ASSISTED SHOWINGS.</t>
  </si>
  <si>
    <t>Robin Vandiver</t>
  </si>
  <si>
    <t>(630) 913-5780</t>
  </si>
  <si>
    <t>630-913-5780</t>
  </si>
  <si>
    <t>YOUR BUYERS WILL LOVE IT! TERRIFIC FLR PLAN! PLS PARK IN FRONT OF BLDG OR ON REBER IN FRONT OF  COURTHOUSE. TRUE WALK TO EVERYTHING LOCATION! ASSOC. DUES INC. ALL BUT ELECTRICITY/PHONE/COMCAST. TWO FPLCS HEAT NICELY. $180 ANNUALLY DOG FEE.</t>
  </si>
  <si>
    <t>From Rte 72 W of Rte 47 - to Runge N to Jake - left to Karen</t>
  </si>
  <si>
    <t>60X134</t>
  </si>
  <si>
    <t>Custom built ranch, high end, 1/2 Duplex backs to forest area! Don't miss this one! Bright open flr plan, w/cathedral ceilings, Oak flrs, Frple &amp; screened Deck are just some of the extras. Gourmet kitchen inclds Granite counters, walnut cabs &amp; stainless steel appliances. Main flr Office &amp; Laundry/mud room. Partially finished bsmt inclds Family rm, 3rd Bed and Full bath w/plenty of room for Storage or family fun.</t>
  </si>
  <si>
    <t>18X23</t>
  </si>
  <si>
    <t>Eating Area, Enclosed Porch, Foyer, Office</t>
  </si>
  <si>
    <t>Call Listing office or text agent after hours</t>
  </si>
  <si>
    <t>This one is ready to move in! Rare find in Hampshire-High end 1/2 duplex.</t>
  </si>
  <si>
    <t>HARPER PLACE</t>
  </si>
  <si>
    <t>53rd Street East or West to Harper south property</t>
  </si>
  <si>
    <t>Harper Place Condominiums is a newer conversion just 9 years old. Completely renovated, this just painted two bedroom, two bath home boasts newly refinished hardwood floors throughout, individual heat and air, newer windows, in-unit circuit breakers, in-unit washer/dryer, living room fireplace, private outdoor balcony and a gorgeous granite and stainless steel kitchen with extended cabinets. Best Hyde Park location!</t>
  </si>
  <si>
    <t>Bike Room/Bike Trails, Exercise Room, Storage, Curbs/Gutters, Gated Entry, Sidewalks, Street Lights, Street Paved</t>
  </si>
  <si>
    <t>LISTING AGENT MUST ACCOMPANY</t>
  </si>
  <si>
    <t>Nearby rental parking possibilities.</t>
  </si>
  <si>
    <t>FALLCREEK</t>
  </si>
  <si>
    <t>FERNWOOD GARDENS</t>
  </si>
  <si>
    <t>ROUTE 30 TO DOUGLAS SOUTH*FERNWOOD RT*FALLCREEK RT</t>
  </si>
  <si>
    <t>46X141X45X140</t>
  </si>
  <si>
    <t>HARD TO FIND TOWNHOME IN 55+ ADULT COMMUNITY-LOW ASSESSMENTS-TAXES DO NOT REFLECT HOMESTEAD EXEMPTION*NEW CARPET THRUOUT*HOME HAS ONE OF THE LARGEST &amp; VERY OPEN KITCHENS W/ALL APPLS*SEP. DIN AREA W/ACCESS TO OVERSIZED SUNNY PATIO &amp; FANTASTIC PRIVATE YARD*MASTER SUITE-PRIV BATH &amp; HUGE WALK-IN CLOSET*SPACIOUS 2ND BR*LNDRY/MUD RM OFF KIT W/STORAGE CABINETS,UTILITY SINK,WASHER &amp; DRYER*UPGRADED LIGHT FIXTURES*2 CAR GARAGE</t>
  </si>
  <si>
    <t>DO NOT TEXT*CALL LA TO SHOW</t>
  </si>
  <si>
    <t>630-753-1333</t>
  </si>
  <si>
    <t>Linda Price, ABR,CRS,e-PRO,GRI,SRES</t>
  </si>
  <si>
    <t>(630) 753-1333</t>
  </si>
  <si>
    <t>MONTGOMERY WATER RECLAMATION SSA OF $15/MONTH FOR IMPROVEMENTS TO WATER LINES*TELEVISION ANTENNA BELONGS TO HOA*</t>
  </si>
  <si>
    <t>PEMBROOKE COURTS</t>
  </si>
  <si>
    <t>CHICAGO AVE TO OLESEN SOUTH TO PEMBROKE COURTS (ON  RIGHT)</t>
  </si>
  <si>
    <t>IMPECCABLE 1ST FLOOR UNIT! NICE FLOOR PLAN! LIVING ROOM W/FIREPLACE! DINING ROOM W/DRY BAR &amp; CABINETS! EAT-IN KITCHEN!  TWO PATIOS! COURTYARD VIEW! NICE SIZED BEDROOMS! MASTER BEDR00M WITH PRIVATE BATH &amp; WALK IN CLOSET! LOTS OF STORAGE SPACE! IN -UNIT LAUNDRY! ONE CAR GARAGE &amp; 1 EXTRA PARKING SPACE  EXTRA STORAGE SPACE BY PATIO. NEAR DOWNTOWN, METRA &amp; I-88-PLUS SHOPPING ETC. ! FHA APPROVED! NO RENTALS!</t>
  </si>
  <si>
    <t>PRAIRIE ELEMENTARY SCHOOL</t>
  </si>
  <si>
    <t>See through/Multi Sided, Wood Burning, Attached Fireplace Doors/Screen</t>
  </si>
  <si>
    <t>CLICK "SCHEDULE SHOWING" BELOW</t>
  </si>
  <si>
    <t>THANK YOU FOR SHOWING OUR LISTING. 6.0 CONTRACTS ONLY. EFAX 630-206-0909 OR EMAIL SALES@PAGONISGROUP.COM. DISCLOSURES IN ADDITIONAL ITEMS.</t>
  </si>
  <si>
    <t>RT59 TO BROOKDALE ROAD TO BOND TO SHERIDAN CIR</t>
  </si>
  <si>
    <t>BEAUTIFUL 2 STORY TOWNHOUSE WALK 2 I-88 &amp; TRAIN. EAT IN KITCHEN W/PANTRY AND STAINLESS APPLIANCES, DINING &amp; LIVING ROOM- 1/2 BTH, 2ND FL LNDRY, MASTER W/ VLTD CEILING &amp; WALK IN, JUNIOR SUITE W/ON SUITE BATH, NEW PLUSH CARPETING THROUGHOUT  &amp; FRESHLY PAINTED - PREMIUM LOT IN A PARKLIKE SETTING W/ATTACHED PATIO. JUST MOVE IN AND START LIVING!  AWESOME COMMUNITY! JUST REDUCED! HURRY!</t>
  </si>
  <si>
    <t>19X08</t>
  </si>
  <si>
    <t>Lease/Purchase, Rent w/ Option</t>
  </si>
  <si>
    <t>GO/SHOW, PLEASE TEXT LISTING AGENT 630-803-9554</t>
  </si>
  <si>
    <t>Pamela Peterson</t>
  </si>
  <si>
    <t>CELL 630-803-9554</t>
  </si>
  <si>
    <t>MILL</t>
  </si>
  <si>
    <t>RANDALL TO MCKEE E. TO MILL N.</t>
  </si>
  <si>
    <t>O</t>
  </si>
  <si>
    <t>End unit, great location on cul de sac with no back yard neighbors in Mill pond.   Newer kitchen and brand new furnace.  Freshly painted with a spacious loft, volume ceilings, table space in kitchen plus a dining room.  There are two and a half baths, two bedrooms and upstairs laundry room. Convenient location to movies, restaurants, shopping and post office.  Don't wait, this won't last</t>
  </si>
  <si>
    <t>2.5% - 150.00 (on Net SP)</t>
  </si>
  <si>
    <t>855-746-9093</t>
  </si>
  <si>
    <t>Rita Schoenthal</t>
  </si>
  <si>
    <t>(630) 262-4385</t>
  </si>
  <si>
    <t>630-205-6965</t>
  </si>
  <si>
    <t>Rt. 59 south of 95th St. to Crystal Rock south to home on right</t>
  </si>
  <si>
    <t>Welcome home! Seldom available model with views overlooking pond &amp; fountains. Abundance of natural light, 2 story living rm, 1st fl office &amp; hardwood fl on entire 1st level. Spacious eat-in kitchen with stainless appl. 2nd level features master with spacious walk in closet, vaulted clg &amp; private bath. All appl incl. new commodes. Great side street cul de sac location. Walk to elem school, shops, restaurants and more!</t>
  </si>
  <si>
    <t>Landscaped Professionally, Pond, Water View</t>
  </si>
  <si>
    <t>Call B&amp;W appt  center  855-746-9100</t>
  </si>
  <si>
    <t>Audrey Mital, CNC,CSC,SFR</t>
  </si>
  <si>
    <t>(630) 664-2175</t>
  </si>
  <si>
    <t>Seller is offering a $2,500 closing cost credit. We have 2 estimates for carpet replacement.</t>
  </si>
  <si>
    <t>RT 59 S OF 87TH TO LEVERENZ, EAST TO SHEEHAN, NORTH.</t>
  </si>
  <si>
    <t>Check out this well maintained large townhome in Napervilleâ€™s Windridge sub-division.  Vaulted ceilings with skylights, this end-unit lets in lots of light. Granite counters in the kitchen and hardwood floors on first floor. The master suite has a full bath and walk-in closet. View of the pond from every window. The added bonus is that there is a FULL FINISHED BASEMENT. Welsch/Scullen/Nequa District 204- FHA approved</t>
  </si>
  <si>
    <t>31X22</t>
  </si>
  <si>
    <t>Loft, Recreation Room, Utility Room-1st Floor, Workroom</t>
  </si>
  <si>
    <t>Dogs OK, Cats OK</t>
  </si>
  <si>
    <t>2.5% LESS $350 (on Net SP)</t>
  </si>
  <si>
    <t>email JeffreyNobleza@yahoo.com</t>
  </si>
  <si>
    <t>CC: Pursuant to Short Sale. info deemed accurate but not guaranteed, buyer to verify, short sale, sold as is</t>
  </si>
  <si>
    <t>Rt N of Galena to Park turn W to home on right side</t>
  </si>
  <si>
    <t>Mint condition and very inviting ~ plenty of windows and lots of light. Open concept layout with 9 ft ceilings. Large Liv Rm &amp; formal dining. Upgraded 42in cabinets, ceramic floors, ldy room w/cabinets &amp; combo washer &amp; dryer. Many upgrades including lighting fixtures. Master with vaulted ceiling &amp; mstr bath w/soaker tub &amp; sep shower. FP w/gas log.  Patio &amp; front porch. 2 car gar w/extra cabinets &amp; expoxy floor. Nice</t>
  </si>
  <si>
    <t>Call Showing Time 855-919-0376 Confirmation needed prefer notice if possible-will try to accomodate</t>
  </si>
  <si>
    <t>Vicki Scharenberg</t>
  </si>
  <si>
    <t>(630) 553-6318</t>
  </si>
  <si>
    <t>630-464-4897</t>
  </si>
  <si>
    <t>Quick close possible. Not distressed. Roof replaced within last 12 months.</t>
  </si>
  <si>
    <t>NORMANDIE</t>
  </si>
  <si>
    <t>Beautifully renovated home in great neighborhood! Brand new kitchen with new appliances, cabinets, countertops and glass backsplash! Updated bathrooms, new carpet and fresh paint! Features 2 bedrooms, 1.1 baths, fireplace and 1 car garage. Sliding door off kitchen to private patio! Low association dues!</t>
  </si>
  <si>
    <t>Katie Skorija</t>
  </si>
  <si>
    <t>(224) 260-6104</t>
  </si>
  <si>
    <t>Agent Owned. Listing Broker does not hold earnest money. FHA offers cannot be accepted until March 18, 2015. NO RENTALS ALLOWED FOR FIVE YEARS (must be owner occupied for first five years of ownership).</t>
  </si>
  <si>
    <t>9S220</t>
  </si>
  <si>
    <t>Frontage (Building 18)</t>
  </si>
  <si>
    <t>RT 83 to MIDWAY W, ELEANOR S, FRONTAGE S, PASS LAKE R &amp; R - Building 18</t>
  </si>
  <si>
    <t>Completely Remodeled Lake View corner unit. Very Low property taxes, Updated with NEW cabinets, granite, stainless apps, laminate floors &amp; carpet. Each room has double closets. Enjoy huge club house with indoor basketball court, pool, party room &amp; more. 5min walk to Target, shopping &amp; I-55 hwy.</t>
  </si>
  <si>
    <t>Bike Room/Bike Trails, Coin Laundry, Exercise Room, Storage, Health Club, On Site Manager/Engineer, Park/Playground, Pool-Outdoors, Security Door Locks, Steam Room, Whirlpool</t>
  </si>
  <si>
    <t>Contact owner/Steve at 630-327-7007 for showings and all access requests</t>
  </si>
  <si>
    <t>All lock boxes located under the bulletin board by building 23 in parking lot. Contact owner/Steve at 630-327-2007 for showings and all access requests. Email offers to email sales@bergproperties.com or Fax offers to (888) 615-0169.</t>
  </si>
  <si>
    <t>Chesapeake Commons</t>
  </si>
  <si>
    <t>Kirk Rd to Geneva Rd West to Arlington Ct to home</t>
  </si>
  <si>
    <t>ALEXANDRIA</t>
  </si>
  <si>
    <t>WOW! ATTRACTIVE Townhome offers a nice location. EAT-IN Kitchen boasts designer touches. NEWER SS Appliances &amp; Wood Laminate floors. Spacious Living Room opens to a DECK &amp; GREEN SPACE VIEW. Full Basement has finished Family Room. Washer &amp; Dryer included. Common clubhouse &amp; Pool nearby. Det Garage with storage PARK &amp; PLAYGROUND nearby. EZ access to Kirk Rd. Harrison School, Great Buy!</t>
  </si>
  <si>
    <t>Exercise Room, Party Room, Pool-Outdoors, Sidewalks, Street Lights, Street Paved</t>
  </si>
  <si>
    <t>Call 855-746-9093  1 hr notice appt must be confirmed.</t>
  </si>
  <si>
    <t>630-262-9273</t>
  </si>
  <si>
    <t>Ken Ward, CRS,GRI</t>
  </si>
  <si>
    <t>(630) 262-9273</t>
  </si>
  <si>
    <t>www.wardteam.com</t>
  </si>
  <si>
    <t>Very Attractive and Well Priced!  Garage Door Opener (2015), Stainless Steel Microwave (2010), Dryer (2009), Finished Basement (2008), Berber Carpeting (2007), Ceramic Tile Floor (2007), Stainless Steel Fridge, , Dishwasher &amp; Stove (2005),</t>
  </si>
  <si>
    <t>NORTH OF 55TH STREET SOUTH OF NAPERVILLE ROAD TO 210 N CASS</t>
  </si>
  <si>
    <t>GORGEOUS TOWNHOME LOCATED IN DOWNTOWN WESTMONT IN WALK TO TRAIN,TOWN &amp; EVERYTHING LOCATION. FEATURING 9' CEILINGS ON 1ST &amp; 2ND FLOORS,FORMAL DINING RM W/CRYSTAL CHANDELIER, KITCHEN W/GRANITE COUNTERS,SS APPLIANCES,WALK-IN PANTRY, ISLAND,BUILT-IN DESK,FAMILYROOM W/FIREPLACE,MASTER SUITE W/WHIRLPOOL TUB,SEP SHOWER,HARDWOOD FLOORS,2ND FL LAUNDRY,2 CAR HEATED PARKING,CUSTOM PLANTATION SHUTTERS THROUGHOUT,3 BALCONIES</t>
  </si>
  <si>
    <t>Storage, Whirlpool, Curbs/Gutters, Sidewalks, Street Lights, Street Paved</t>
  </si>
  <si>
    <t>Call Showing Assist 855-746-9100</t>
  </si>
  <si>
    <t>Kelly Norton, ABR,SFR</t>
  </si>
  <si>
    <t>(630) 915-8383</t>
  </si>
  <si>
    <t>Buyers agent must accompany showings</t>
  </si>
  <si>
    <t>Town Center Condo</t>
  </si>
  <si>
    <t>Irving to York S to Roosevelt W to Address</t>
  </si>
  <si>
    <t>Hurry on over !  You will be amazed at this spacious 2 bedroom , 2 bath condo  with huge great room with a fireplace as its focal point and formal dining room w/ windows everywhere , laundry in unit .Desirable location. Large rooms and is close to everything . This Freddie Mac owned condo is being sold as is where is . Taxes being pro rated at 100% .This is under the  FREDDIE MAC 1st look initiative thru 03/01/2015.</t>
  </si>
  <si>
    <t>N FRONTAGE ROAD W OF CLARENDON HILLS RD TO PORTSMOUTH</t>
  </si>
  <si>
    <t>2 story townhome with a basement and attached garage. All freshly painted, brand new carpet throughout. Nice kitchen with newer ,contemporary cabinets. Great location -close to RTE 83 and I-55. This is a Fannie Mae HomePath property. No rentals allowed. No FHA approved.</t>
  </si>
  <si>
    <t>3% OR MIN. $ 1,000 (on Net SP)</t>
  </si>
  <si>
    <t>e-mail ID, date &amp; time to homes@selectrealtyusa.com  OK to show, Vacant, Key box  on front door</t>
  </si>
  <si>
    <t>Congress</t>
  </si>
  <si>
    <t>34C</t>
  </si>
  <si>
    <t>EOLA S-E HAFENRICHTER-S BARRINGTON TO HILLSBORRO TO PROP</t>
  </si>
  <si>
    <t>GREAT TOWNHOME IN WASHINGTON SQUARE!  FHA APPROVED! FRESH PAINT THROUGHOUT,LIKE NEW CARPETS,2 BEDROOMS - BOTH BEDROOMS ARE SUITES WITH FULL BATHS, STAINLESS APPLIANCES, 2 STORY LIVING ROOM, 2 CAR ATTACHED GARAGE, OSWEGO SCHOOL DIST 308-NOT A SHORT SALE OF FORECLOSURE!!! HURRY WON'T LAST LONG.  QUICK CLOSE POSSIBLE!</t>
  </si>
  <si>
    <t>MURPHY JUNIOR HIGH SCHOOL</t>
  </si>
  <si>
    <t>Michelle Kohl</t>
  </si>
  <si>
    <t>(630) 294-5844</t>
  </si>
  <si>
    <t>Vacant - easy to show.  Not a short sale or a foreclosure.  Quick close.   Please call or text LA for any questions  630-294-5844</t>
  </si>
  <si>
    <t>Liberty</t>
  </si>
  <si>
    <t>Roosevelt to North on Naperville Rd, to Liberty Dr, turn Left onto circle drive in front of building</t>
  </si>
  <si>
    <t>Courthouse Square blends the best of condo living in luxury with the small town living of historic downtown Wheaton. Spacious 2 bed 2 bath corner end unit has new hardwood floors throughout, plantation shutters, granite SS eat-in kitchen, laundry room &amp; double French Doors to den with wall of custom Cherry built-in cabinetry. Heated garage,work-out center &amp; Pool.  Prairie Path and downtown Wheaton right at your door!</t>
  </si>
  <si>
    <t>Bike Room/Bike Trails, Elevator, Exercise Room, Storage, Park/Playground, Party Room, Sundeck, Pool-Outdoors, Curbs/Gutters, Sidewalks, Street Lights, Street Paved</t>
  </si>
  <si>
    <t>Call showing desk 866 571 7181, in Parcel Room of Vestibule.</t>
  </si>
  <si>
    <t>Katie Marxhausen</t>
  </si>
  <si>
    <t>(630) 780-1238</t>
  </si>
  <si>
    <t>Dale's Cell 630-235-3928</t>
  </si>
  <si>
    <t>School Bus Service, Commuter Bus, Commuter Train, Interstate Access, Non-Smoking Building</t>
  </si>
  <si>
    <t>Closing can be 30 days after contract is agreed upoon.</t>
  </si>
  <si>
    <t>Route 34 W to Waubonsee to Hoffman Right to home.</t>
  </si>
  <si>
    <t>37X120</t>
  </si>
  <si>
    <t>Nice open floor plan in this 1\2 Duplex close to the Plano Waubonsee College location. 2 bedrooms, 1 &amp; 1\2 bath ranch home. Open concept Kitchen, Dining Area &amp; Living Rm. One+ car garage. All appliances stay. Great view of the Pond. very good condition. Brand new dishwasher but not hooked up. Not a short sale or a foreclosure. Quick close possible.</t>
  </si>
  <si>
    <t>EMILY G JOHNS INTERMEDIATE SCHOOL</t>
  </si>
  <si>
    <t>CALL OFFICE, DAY PRIOR NOTICE, MUST CONFIRM LOCKBOX</t>
  </si>
  <si>
    <t>Linda Swanson</t>
  </si>
  <si>
    <t>(630) 436-5152</t>
  </si>
  <si>
    <t>630-632-5595</t>
  </si>
  <si>
    <t>SHOWS WELL. DAY PRIOR NOTICE, DOGS.</t>
  </si>
  <si>
    <t>Hunt Club &amp; Gages Lake Rd. East to Colby to Chandler</t>
  </si>
  <si>
    <t>26X36X23X10X26</t>
  </si>
  <si>
    <t>Best location in Heather Ridge! At 9th tee, private patio &amp; balcony safe from golf balls. Gorgeous water &amp; golf course view. End unit. White cabinetry in kitchen w/peninsula, all appliances brand new built-in microwave, new kitchen and bathroom floors. Newer carpeting on 1st floor. Freshly painted and neutral. Stone fireplace with built-ins. Newer windows! One car garage space. Two blocks from clubhouse &amp; pool.</t>
  </si>
  <si>
    <t>Golf Course, Pool-Outdoors, Tennis Court/s, Street Lights</t>
  </si>
  <si>
    <t>Golf Course Lot, Pond, Water View</t>
  </si>
  <si>
    <t>Parking, Common Insurance, Security, Clubhouse, Pool, Lawn Care, Scavenger, Snow Removal</t>
  </si>
  <si>
    <t>Owner of Reord</t>
  </si>
  <si>
    <t>Karen White, CSC</t>
  </si>
  <si>
    <t>(847) 644-3115</t>
  </si>
  <si>
    <t>Truly one of the best locations in all of Heather Ridge!</t>
  </si>
  <si>
    <t>Harlem</t>
  </si>
  <si>
    <t>Harlem Avenue N of Diversey on W side of street</t>
  </si>
  <si>
    <t>2B/2B</t>
  </si>
  <si>
    <t>Lovely 2BR/2BA end unit condo with airy views. Generous room sizes make this home enjoyable. Foyer w/ guest closet, leads to spacious LR/DR. Triple glass sliders provide expansive views and lead to balcony. Eat in kitchen. MBR has private bath with step in shower and large closet. Roomy 2nd BR. 2nd bath equipped with tub. Efficient, new HVAC (2014). Deeded pkg. Elevator &amp; large storage unit. A well cared for home.</t>
  </si>
  <si>
    <t>Coin Laundry, Elevator, Storage, Curbs/Gutters, Sidewalks, Street Lights, Street Paved</t>
  </si>
  <si>
    <t>Use Showing Assist or Call Showingtime 800-746-9464</t>
  </si>
  <si>
    <t>Legal owner of record</t>
  </si>
  <si>
    <t>Stella Catalano, ABR,CNC,CRS,GRI,SFR</t>
  </si>
  <si>
    <t>(630) 408-3560</t>
  </si>
  <si>
    <t>Fax: 847-352-5201</t>
  </si>
  <si>
    <t>New HVAC is efficient &amp; economical. Average elec. bill: $139/mo. RE taxes w/o exemptions = $3,071.  Max of 3 units in bldg can be rented. That cap has been reached at present. Parking space = 20. Storage #4B in bsmt.</t>
  </si>
  <si>
    <t>0S600</t>
  </si>
  <si>
    <t>S York Rd to Lexington St to Old York Rd</t>
  </si>
  <si>
    <t>Beautiful 2 bedrooms 1 bath Condo unit in great location! 2 assigned parking spaces labeled #204. 5 rooms total, spacious with a big bedrooms. Storage located on the first floor. Pets welcome: 1 dog under 40 pounds or 2 cats. Rentals are allowed as well. Sliding door from the living room leading to a balcony. This is Fannie Mae Homepath property. First Look expires 02/12/2015. Can be rented out after 1 year. NO FHA.</t>
  </si>
  <si>
    <t>Water, Gas, Common Insurance, Lawn Care, Scavenger, Snow Removal, Other</t>
  </si>
  <si>
    <t>PLEASE, CLICK BELOW TO SCHEDULE A SHOWIING</t>
  </si>
  <si>
    <t>ALL OFFERS MUST BE SUBMITTED ONLINE AT WWW.HOMEPATH.COM. Submit POF or pre-qual and disclosures with offer. Buyer to be prepared to pay up to 6 months past due assessments, plus any legal and late fees if applicable. Rentals not allowed.</t>
  </si>
  <si>
    <t>ROUTE 53 JUST SOUTH OF 75TH ST. - To FOX RIDGE RIGHT AND THEN FOLLOW TO 3185</t>
  </si>
  <si>
    <t>SADDLEBROOK</t>
  </si>
  <si>
    <t>26 X 76</t>
  </si>
  <si>
    <t>Super light &amp; bright townhouse tucked away in a quiet, private location. Spacious, open floor plan with cathedral ceilings. Roomy, eat-in kitchen with loads of cabinets and counter space, separate dining room for entertaining family and friends. Large master bedroom with walk in closet and large ensuite bath. Full basement &amp; two car garage offer abundant storage. Plans for 3rd bedroom done by architect and available!</t>
  </si>
  <si>
    <t>School Bus Service, None</t>
  </si>
  <si>
    <t>Show with Confidence. Professionally painted with designer colors. Ready for a new owner! Professional architectural drawings available for 3rd bedroom. ALL BUYERS MUST BE ACCOMPANIED BY THEIR BUYERS AGENT.</t>
  </si>
  <si>
    <t>Route 47 to West Park To Your Dream Home ;)</t>
  </si>
  <si>
    <t>MARLFIELD</t>
  </si>
  <si>
    <t>BEST IN SHOW! Truly Head &amp; Shoulders Above The Crowd!  STUNNING Expanded Marlfield (Only A Few Ever Available!) Gourmet Kitchen, Granite Tops, Hardwood Flrs, Upgraded Cabinetry &amp; SS Appls And Sunny Breakfast Area! Large Living Room w/ Upgraded Carpet &amp; Pad, Elegant 1st Flr Master Ste w/ Private Luxury Bath, UNBELIEVABLE 2nd Level Finished 23x13 Loft, 2nd Bdrm &amp; Full Bath! 6 Panel Doors, Limestone Tile Baths! A 1</t>
  </si>
  <si>
    <t>22X08</t>
  </si>
  <si>
    <t>Den, Foyer, Loft, Utility Room-1st Floor, Other</t>
  </si>
  <si>
    <t>TRULY the  Best - You won't find another to compare!  Just lovely! Backs to the Field and No Distress - Show with complete confidence!  See List of Upgrades and Amenities in MLS</t>
  </si>
  <si>
    <t>66-4</t>
  </si>
  <si>
    <t>120 &amp; 134 North to Cranberry East to Centenial Left to Holiday</t>
  </si>
  <si>
    <t>CHALET</t>
  </si>
  <si>
    <t>PERFECT 2 STORY TOWNHOME SHOWS LIKE A MODEL. THIS IMMACULATE HOME IS TRULY MOVE IN READY! NEW CARPET AND WOOD LAMINATE FLOORING THROUGHOUT. INTERIOR HAS BEEN TASTEFULLY PAINTED THROUGHOUT. TONS OF WALK IN CLOSET SPACE IN BOTH BEDROOMS AND A WALK IN PANTRY! FINISHED LOWER LEVEL PERFECT FOR OFFICE, DEN OR THIRD BEDROOM. EVEN THE GARAGE IS DIALED IN WITH EPOXY FLOOR COATING! DON'T MISS THIS TURN KEY HOME.</t>
  </si>
  <si>
    <t>2.5% MINUS $195 (on Gross SP)</t>
  </si>
  <si>
    <t>CLICK ON ICON BELOW OR  CALL LO 847-381-8800</t>
  </si>
  <si>
    <t>Todd Gagliano, SFR</t>
  </si>
  <si>
    <t>(847) 815-9902</t>
  </si>
  <si>
    <t>Eola to Stonebridge Blvd (west) to Woodglen</t>
  </si>
  <si>
    <t>32 X 89 X 33 X 99</t>
  </si>
  <si>
    <t>Beautifully maintained &amp; updated duplex in prestigious Stonebridge! Close to I-88 &amp; Metra! Open floor plan w/soaring ceilings, hardwood floors &amp; oak railings! Large loft area can be used as den! Updated kitchen w/granite counters &amp; high end stainless steel appliances! Master bedroom has vaulted ceilings, walk-in closet &amp; luxury bath! 2nd bedroom has full private bath! New windows &amp; roof! Acclaimed Dist 204 schools!</t>
  </si>
  <si>
    <t>CASTLEWOOD</t>
  </si>
  <si>
    <t>Gary Avenue to to Travis Pkwy East to Brittania Way Right to Castlewood Court Right.</t>
  </si>
  <si>
    <t>NOTTINGHAM</t>
  </si>
  <si>
    <t>You'll know this is "the one" from the moment you enter. Incredibly updated end unit townhome. High End Stainless Appliances, Hardwd Flrs, Updated Baths, Finished Garage Floor, Can Lighting, New HVAC w/Humidifier, Master Shower w/wall jets, &amp; Custom Closet Organizers. Each BR has a Private Bath &amp; WIC. 1st Floor Office could be enclosed to be 3rd Bedroom. Convenient Location to Expressways/Train/Shopping/Parks.</t>
  </si>
  <si>
    <t>Kindly omit Master BRM Drapes and Rods (the areas will be patched &amp; repainted) as well as omit the cabinets in the garage (they are not attached) &amp; the side storage rails in garage. Over $35,000 of improvements made recently-quality done!</t>
  </si>
  <si>
    <t>Marilyn</t>
  </si>
  <si>
    <t>Glen Ellyn 2 Fullerton E 2 Jill S to Marilyn E</t>
  </si>
  <si>
    <t>Bright and clean end unit town home with no association fees! Wood burning fireplace!  Hardwood and pergo floors throughout!  Remodeled powder room in 2013. Vaulted Ceilings in  Master Bedroom with walk-in closet and changing area. Fenced back yard with paver brick patio. 8 foot garage can accommodate a large vehicle.  A rare opportunity!</t>
  </si>
  <si>
    <t>Oven/Range, Microwave, Dishwasher, Dishwasher-Portable, Refrigerator, Disposal</t>
  </si>
  <si>
    <t>Easy to show. Please click on Showing Assist.</t>
  </si>
  <si>
    <t>Suburban Home Realty</t>
  </si>
  <si>
    <t>(630) 855-3999</t>
  </si>
  <si>
    <t>Dorothy Zabinski</t>
  </si>
  <si>
    <t>(630) 742-0898</t>
  </si>
  <si>
    <t>Washer/dryer negotiable. Owner would like to take some flower plants and 3 small bushes from patio area-due to sentimental value.</t>
  </si>
  <si>
    <t>Foxcroft</t>
  </si>
  <si>
    <t>23-139</t>
  </si>
  <si>
    <t>Washington South of 75th to Foxcroft West to Complex.</t>
  </si>
  <si>
    <t>Outstanding 1st floor unit in a great Naperville location.  Close to everything â€“ shopping, schools, parks, transportation and Napervilleâ€™s Riverwalk Trails.  This unit includes an upgraded kitchen with hardwood floors, granite counters and stainless steel appliances.  Unit includes a garage to avoid the snowy/icy winters.  Complex offers a clubhouse and swimming pool.</t>
  </si>
  <si>
    <t>Call SS @ 877-977-1010 for appt.  Easy Show.</t>
  </si>
  <si>
    <t>Sentrilock is on the front door.</t>
  </si>
  <si>
    <t>BLUFF</t>
  </si>
  <si>
    <t>RT 59 N OF MILLER TO LBS ENTR,ASK GUARD FOR DIRECTIONS</t>
  </si>
  <si>
    <t>EASTWOOD</t>
  </si>
  <si>
    <t>EVERYTHING ON ONE FIRST FLOOR LEVEL. 2 Bedrooms, 2.1 Bath &amp; 2 Car Garage. HUD HOME SALE CASE NUMBER 137-612594. FHA INSURABILITY STATUS "IN". 203K Eligible. REPAIR ESCROW: $0.00. â€œEqual Housing Opportunityâ€. List Date: JANUARY 23, 2015. â€œSOLD AS-ISâ€. VIRTUAL TOUR.  NOTE: OWNER/ OCCUPANTS HAVE 15 DAY FIRST LOOK. ALL INFO SHOULD BE VERIFIED. POSSIBLE MOLD</t>
  </si>
  <si>
    <t>Exercise Room, Golf Course, Health Club, On Site Manager/Engineer, Park/Playground, Party Room, Pool-Indoors, Pool-Outdoors, Restaurant, Tennis Court/s, Gated Entry, Street Paved</t>
  </si>
  <si>
    <t>(WWW.HUDHOMESTORE.COM: FOR MORE INFO) (WWW.OFORIREO.COM) CONTRACT INFO 770-955-5880). (UTILITY ACTIVATIONS: CONTACT PK MANAGEMENT 786-507-6020). SELLING BROKER TO VERIFY ALL INFORMATION, NOTE: OWNER OCCUPANTS HAVE 15 DAY FIRST LOOK</t>
  </si>
  <si>
    <t>5F</t>
  </si>
  <si>
    <t>Park Grove</t>
  </si>
  <si>
    <t>Main To Grove West To Building</t>
  </si>
  <si>
    <t>Beautifully Rehabbed Condo In Downtown Downers Grove Steps From Metra Station, Upscale Restaurants, Parks &amp; Shopping! Totally Updated Kitchen W/Newer HW Cabinets, Counters, SS Appliances &amp; Fixtures &amp; Gut Rehabbed Baths W/ Custom Tile, Vanity &amp; Top Of The Line Fixtures. Newer 6 Panel Doors, Baseboard &amp; Window Hardware. Newer Carpet &amp; Freshly Painted. 1 Covered &amp; 1 Open Parking Space. Great Views From Private Balcony!</t>
  </si>
  <si>
    <t>Coin Laundry, Elevator, Storage, Receiving Room, Security Door Locks</t>
  </si>
  <si>
    <t>Heat, Air Conditioning, Water, Gas, Common Insurance, Security System, Exterior Maintenance, Lawn Care, Scavenger, Snow Removal</t>
  </si>
  <si>
    <t>Gas, Forced Air, Hot Water/Steam, Indv Controls, Zoned</t>
  </si>
  <si>
    <t>Call Showing Assist 1-855-746-9100 - 2 Hour Minimum Notice - No Showings Noon-3pm Young Children</t>
  </si>
  <si>
    <t>Russell Clements</t>
  </si>
  <si>
    <t>(630) 854-5162</t>
  </si>
  <si>
    <t>630.854.5162</t>
  </si>
  <si>
    <t>BUYERS AGENT MUST ACCOMPANY ALL SHOWINGS. Sentrilock For Main Door On Bike Rake In Back.  Sentrilock On Unit Door For Unit.  No Showings From Noon-3PM Due To Small Children Nap Time. Covered Parking Space #16, Open Parking Space #52.</t>
  </si>
  <si>
    <t>Bright, spacious &amp; updated end unit ready for you to move right in! Hwood flrs on main level plus new carpet throughout! Beautiful kitchen w/granite counters &amp; backsplash, sunny eat are w/exposed brick! Living/dining combo boasts bar w/wine rack! Finished lower level offers fam rm w/sliding glass door to patio! Plenty of storage! 1 car garage plus tons of parking! Excellent location just blocks from downtown &amp; Metra!</t>
  </si>
  <si>
    <t>Common Insurance, Clubhouse, Exercise Facilities, Exterior Maintenance, Snow Removal</t>
  </si>
  <si>
    <t>Alise@HomesByMarco.com</t>
  </si>
  <si>
    <t>Association will be replacing all windows this spring! Please direct all inquiries to the co-list, Alise Luke, 847-668-6197</t>
  </si>
  <si>
    <t>White Thorn</t>
  </si>
  <si>
    <t>windridge</t>
  </si>
  <si>
    <t>Route 59, E to 87th, S to Sheehan, 2nd L White Thorn, 2nd Bldg on R, End Unit on R</t>
  </si>
  <si>
    <t>WOW! UPDATED END UNIT FEATURES 42" CHERRY CAB&amp;NEW SS MICRO; UPDATED LIGHT FIX, OUTLETS &amp; SWITCHES, PLUMB FIX THRUOUT; NEWER CARPET(2012) &amp; HW HTR(2013), LAUNDRY RENO W/CABS, FULL BATH UPDATE-NEW TILE, LIFT FIX, FAUCET&amp;SHOWER HEAD; MSTR WALK-IN RENO-BUILT-IN SYSTEM&amp;IMPORT ITALIAN MARGARITELLI HW FLR. SKYLIGHT&amp;OAK RAIL/BANISTER BLDR UPGRADES. MOVE IN READY, CONV LOCATION, WALK TO ELEM&amp;NVHS, SHOP, DINE, ENTERTN</t>
  </si>
  <si>
    <t>2.5% NET -$200 (on Net SP)</t>
  </si>
  <si>
    <t>2 HR NOTICE - CLICK SHOWING ASSIST FOR INSTRUCTIONS</t>
  </si>
  <si>
    <t>2 FRIENDLY DOGS CRATED IN MASTER ~ PLEASE EXCLUDE W/D ~ PLEASE REMOVE SHOES, LEAVE CARD &amp; FEEDBACK</t>
  </si>
  <si>
    <t>Route 59 to Montgomery Road West to Normantown Road South to 1616</t>
  </si>
  <si>
    <t>Don't miss this affordable updated townhome in District 204 schools. You'll notice right away the hardwood flooring, granite tops, tile backsplash, crown molding, under cabinet lighting, stainless appliances, &amp; updated baths. But know it is a wise investment w/the new energy efficient windows, increased attic insulation, &amp; newer hot H2O heater (still under warranty). Low HOA fees include H2O &amp; sewer. Welcome Home!</t>
  </si>
  <si>
    <t>Extra storage in attic. Wood floors are Mohawk engineered wood. They are able to be sanded 3 times over the life of the floor. There is a vapor barrier over the concrete subfloor with a silent step padding unde the hardwood.</t>
  </si>
  <si>
    <t>WILLOW SPRINGS RD TO 64TH STREET EAST TO COMPLEX.</t>
  </si>
  <si>
    <t>174X285</t>
  </si>
  <si>
    <t>SIMPLY LOVELY CONDO W/IN-UNIT LAUNDRY &amp; FIREPLACE! QUIET LOCATION BUT CLOSE TO EVERYTHING! MO.ASSESSMENT INCL: HEAT, WATER, GAS, COMMON INS, LAWN CARE, SCAVENGER SERV, SNOW REMOVAL. SMALL DOG/CAT ALLOWED. WELL MAINTAINED &amp; MANAGED HIGHLY SOUGHT AFTER OAKWOOD GLEN CONDO COMPLEX LOCATED IN LTHS (204) HS DISTRICT. NEW ROOF REPLACED 2014. (SOLD AS-IS PER ESTATE).</t>
  </si>
  <si>
    <t>Bike Room/Bike Trails, Storage, Security Door Locks, Curbs/Gutters, Sidewalks, Street Lights, Street Paved</t>
  </si>
  <si>
    <t>Cats OK, Dogs OK, Neutered and/or Declawed Only, Pet Count Limitation</t>
  </si>
  <si>
    <t>USE SHOWING ASSIST - MUST CONFIRM.</t>
  </si>
  <si>
    <t>Christina Moscinski</t>
  </si>
  <si>
    <t>(708) 369-8094</t>
  </si>
  <si>
    <t>NON-FHA APPROVED BUILDING - NO FHA FINANCING.</t>
  </si>
  <si>
    <t>Main St N of Roosevelt to CORNER OF MAIN &amp; ASH</t>
  </si>
  <si>
    <t>COOPER</t>
  </si>
  <si>
    <t>Beautiful luxurious condo with 2 underground heated parking spaces.  Right by Lombard's Prairie Path. Just 2 blocks to downtown and train. Easy access to I-55 and I-88.  Hardwood Floors, Granite Kitchen Counters, SS Kitchen Appliances, Front load Washer and Dryer and a Cozy fireplace.  Flat screen TV "as is".  Same floor storage closet North-H.  Garage spots P-5 &amp; P-43.</t>
  </si>
  <si>
    <t>Bike Room/Bike Trails, Elevator, Storage, Security Door Locks, Sidewalks, Street Lights</t>
  </si>
  <si>
    <t>Use Secure showing</t>
  </si>
  <si>
    <t>24 hr notice to show * use Secure Showing * rented to April 1</t>
  </si>
  <si>
    <t>Heritage Of Oswego</t>
  </si>
  <si>
    <t>RT 34 TO HERITAGE TO NEWPORT CT TO HOUSE</t>
  </si>
  <si>
    <t>41X151</t>
  </si>
  <si>
    <t>RANCH  1/2 DUPLEX WITH LIVING ROOM, DINING ROOM, SLIDING GLASS DOOR TO DECK, 2 GOOD SIZE BEDROOMS, CLOSE TO SHOPPING AND ARE AMENITIES**Sold as-is. Seller does not provide survey, termite or disclosures. Tax proration 100%.*This property is eligible under the Freddie Mac First Look Initiative 1RST 20 DAYS OF LISTING EXCLUSIVE FOR OWNER OCCUPANTS GOOD THROUGH 02/25/2015</t>
  </si>
  <si>
    <t>Secure Showing Assist, click on schedule a showing.</t>
  </si>
  <si>
    <t>Crest Hill</t>
  </si>
  <si>
    <t>Grass Lake Rd E of St Park Rd or W of Rt 59 to Leisure Village Thru gate on Leisure vlg Dr to Crest</t>
  </si>
  <si>
    <t>Leisure Village is an active adult 55+ exclusive gated community: Offered is this wonderful 2 Bedroom, 1 Bath Ranch Style Duplex unit with a 1 car garage and 3 season room. The unit is located within walking distance to all amenities including Recreation Center with fitness room, Swimming Pool, Tennis Courts and Golf Course, large picnic/BBQ family area and a boating/fishing pond. All exterior maintenance is included</t>
  </si>
  <si>
    <t>GRASS LAKE ELEMENTARY SCHOOL</t>
  </si>
  <si>
    <t>Bike Room/Bike Trails, Boat Dock, Exercise Room, Golf Course, Health Club, On Site Manager/Engineer, Sundeck, Pool-Outdoors, Tennis Court/s, Curbs/Gutters, Gated Entry, Sidewalks, Street Lights, Street Paved</t>
  </si>
  <si>
    <t>Common Grounds, Cul-de-sac, Forest Preserve Adjacent, Nature Preserve Adjacent, Wetlands Adjacent, Landscaped Professionally</t>
  </si>
  <si>
    <t>Parking, Common Insurance, Security System, Clubhouse, Exercise Facilities, Pool, Exterior Maintenance, Lawn Care, Snow Removal, Lake Rights, Other</t>
  </si>
  <si>
    <t>Enclosed Porch, Foyer, Walk In Closet</t>
  </si>
  <si>
    <t>TV-Cable, Ceiling Fan, Sprinkler-Lawn</t>
  </si>
  <si>
    <t>3% - $250 (on Gross SP)</t>
  </si>
  <si>
    <t>Contact owner at 224-612-4758 for showings, for appraisals, inspections and all access requests</t>
  </si>
  <si>
    <t>224-612-4758</t>
  </si>
  <si>
    <t>CContact owner at 224-612-4758 for showings, for appraisals, inspections and all access requests. Email offers to email sales@bergproperties.com or Fax offers to (888) 615-0169.</t>
  </si>
  <si>
    <t>Bode west of Barrington to Garden Circle south to home.</t>
  </si>
  <si>
    <t>Nice clean unit. Some upgrades. Some paint has been done recently. Newer appliances. Heat and a/c unit new. Sliders off the living room. Stackable washer/dryer in the unit. Garage. Nice location. A whole lot and more then you expect.  NOT A SHORT SALE OR FORECLOSURE. Seller says sell. Great spot, great unit, great deal. Make this one the next unit your client should see.</t>
  </si>
  <si>
    <t>847-524-4444</t>
  </si>
  <si>
    <t>630-267-4460</t>
  </si>
  <si>
    <t>Owner works from home. Will be there for daytime showings. Master Assoc. is for pool. Please remove shoes and leave a card. 2nd bedroom vent as is.</t>
  </si>
  <si>
    <t>NORTH AVE W TO GARY N TO ELK TRAIL W</t>
  </si>
  <si>
    <t>Carol Stream Has Much To Offer-Park District-Parks, City Center w/Restaurants &amp; More~Generous 2 Bedroom Unit~Great Size Kitchen and Bedrooms~Washer &amp; Dryer in Unit~3rd Floor Privacy and Views~HOA includes Water and Heat~This is A Fannie Mae Homepath Property~</t>
  </si>
  <si>
    <t>Heat, Water, Parking, Common Insurance, Exterior Maintenance, Snow Removal</t>
  </si>
  <si>
    <t>vincennes</t>
  </si>
  <si>
    <t>BRONZEVILLE</t>
  </si>
  <si>
    <t>Off DanRyan exit 43rd st East, 43 st East, past Martin Luther Kind Drive to Vincennes, Turn South.</t>
  </si>
  <si>
    <t>Don't miss out! Stop paying rent! Your monthly cost could be lower to own than you may think. Great location. One outdoor assigned space is included. This unit would make a great investment also; the units can be rented out. Lots of closet space. Open kitchen. Don't let this one get away! This is a Fannie Mae Homepath property. All measurements are estimates. Buyer to verify room size and use. NOTE: this building is</t>
  </si>
  <si>
    <t>17X24</t>
  </si>
  <si>
    <t>This is a Fannie Mae owned property. the sellers have asked that all offers be made on their online offer system. please submit all offers at homepath.com. thanks</t>
  </si>
  <si>
    <t>94 N to 173, exit W to 36, S to W Grass Lake rd, S to Benton, SE to Winchester, S to Tyler ct</t>
  </si>
  <si>
    <t>Spectacular 2 story 2 bed 2.1 bath Lake Villa town-home featuring a soaring vaulted ceiling, open floor plan, gleaming new hardwood floors, 42" cabinets, deck off kitchen, enormous backyard, separate family room, den, utility room and 2 car garage. Tons of space! Enough room for 3rd bedroom to be added downstairs! Property Sold AS-IS.</t>
  </si>
  <si>
    <t>Text (773)946-1705 w/ agent Id and showing request</t>
  </si>
  <si>
    <t>Memo Vulic</t>
  </si>
  <si>
    <t>(773) 946-1705</t>
  </si>
  <si>
    <t>Easy to show. Property sold As Is. Seller will not consider credits or reductions pending inspection or attorney review. Buyer subject to liens and violations on property if any.  Not FHA approved</t>
  </si>
  <si>
    <t>Neubauer</t>
  </si>
  <si>
    <t>HERITAGE PARK</t>
  </si>
  <si>
    <t>9RT 45 &amp; GRAND, N TO COUNTRY PL, W TO FARMINGTON, LEFT TO NEUBAUER, PARK@T REAR OF UNIT, WALK TO SID</t>
  </si>
  <si>
    <t>Beautiful end unit that offers you the most privacy. Hardwood floor, vaulted ceilings, corian counters, stainless steel appliances, which all are staying so you can just move in and enjoy. Wonderful walking path to the park and forest preserve. Large closets and extra storage in the garage.</t>
  </si>
  <si>
    <t>CLO dog needs to be removed</t>
  </si>
  <si>
    <t>HEARTLANDS</t>
  </si>
  <si>
    <t>Naper/Plainfield or 59 to 95th. 95th to Book Road North one block to Tamahawk, East to 1959</t>
  </si>
  <si>
    <t>WOW!  Shows like a model!  Stunning 2 story condo/townhome with finished bmt.  Beautiful fireplace in living room.  Kitchen with granite and stone backsplash. Large bedrooms with lots of storage.  Great rec room in large finished basement.  Paver and stone patio with knee/sitting walls.  2-car garage.  Walk to Dist 204 schools: Clow, Gregory &amp; Neuqua Valley!!  Couple blocks to shopping &amp; forest preserve.</t>
  </si>
  <si>
    <t>3.0-$200 (on Net SP)</t>
  </si>
  <si>
    <t>sentrilock</t>
  </si>
  <si>
    <t>Peggy Blankschein, CSC</t>
  </si>
  <si>
    <t>Buckingham</t>
  </si>
  <si>
    <t>CHICAGO ST EAST OF RT 25 TO WOODVIEW THEN 1ST LEFT</t>
  </si>
  <si>
    <t>NICE END UNIT WITH PATIO. MASTER SUITE INCLUDES PRIVATE BATH WALK IN CLOSET. THERE IS A GAS LOG FIRE PLACE IN THE LARGE LIVING ROOM AND THE KITCHEN HAS A BREAKFAST BAR. ITEMS THAT HAVE BEEN REPLACED WITHIN THE LAST 3YRS: CARPET, RANGE HOOD, PATIO DOOR, GARBAGE DISPOSAL, FURNACE AND HAS BEEN FRESHLY PAINTED. THIS IS IN MOVE IN CONDITION AND HAS A  NO STAIR ENTRY</t>
  </si>
  <si>
    <t>Wanda Brost, GRI</t>
  </si>
  <si>
    <t>(630) 707-4663</t>
  </si>
  <si>
    <t>THIS IS A REGULAR SALE. NOT AN FHA APPROVED COMPLEX</t>
  </si>
  <si>
    <t>Colby</t>
  </si>
  <si>
    <t>Grand &amp; Milwaukee (21) south to Manchester. West to Colby CT.</t>
  </si>
  <si>
    <t>Affordable, available and fast close possible! Newer baths, windows, furnace, A/C, sliders and roof.  Vaulted living room with floor-to-ceiling stone wood burning fireplace. First floor bedroom with built-ins. Eat-in kitchen. Private patio and 2nd floor balcony. One car garage and plenty of guest parking. Enjoy the good life â€“ pool, recreation center and golf course. Possible rental property.</t>
  </si>
  <si>
    <t>Golf Course, On Site Manager/Engineer, Park/Playground, Party Room, Pool-Outdoors, Tennis Court/s, Street Lights, Street Paved</t>
  </si>
  <si>
    <t>3% - $235 (on Gross SP)</t>
  </si>
  <si>
    <t>Call Listing Office or Use Showing Assist</t>
  </si>
  <si>
    <t>847-951-6599</t>
  </si>
  <si>
    <t>Motivated Seller. Easy to show!</t>
  </si>
  <si>
    <t>Orchard to Rte. 30 west to Gordon N to Simpson E to Waverly to home</t>
  </si>
  <si>
    <t>Bright and airy with 2 story living room, 2 bedrooms, 2.5 baths, eat-in kitchen with island and 2 car garage. Move-in ready. This property is under the FIRST LOOK program until 2/14/2015 Sold As-Is. **Highest and best due by 10am on 3/13** Please use multiple offer form</t>
  </si>
  <si>
    <t>Creekside Pointe</t>
  </si>
  <si>
    <t>Rt 59 north to property on left; south of Rt 14</t>
  </si>
  <si>
    <t>Luxury condo in downtown Barrington.  2nd floor end unit features open floor plan, high ceilings, 2 large bedrooms &amp; 2 full baths, in-unit laundry hookups.  New carpet throughout; Kitchen has pantry closet &amp; eating area, lots of cabinets &amp; includes appliances. Natural light streams throughout w/large balcony, heated garage, elevator building abundant storage &amp; plenty of visitor parking! Walking distance to town!</t>
  </si>
  <si>
    <t>ROSLYN ROAD ELEMENTARY SCHOOL</t>
  </si>
  <si>
    <t>Parking, Common Insurance, Exercise Facilities, Exterior Maintenance, Lawn Care, Snow Removal, Other</t>
  </si>
  <si>
    <t>Gloucester</t>
  </si>
  <si>
    <t>Army Trail Rd to Woodlake South to Seabury East to Gloucester North to Home</t>
  </si>
  <si>
    <t>33X112X68X97</t>
  </si>
  <si>
    <t>AWESOME END UNIT W/ VERSATILE FLOOR PLAN! MASTER BEDROOMS WITH FULL BATHS ON BOTH LEVELS! HUGE LOFT CAN BE CONVERTED TO THIRD BEDROOM TOO! HUGE LIVING ROOM WITH GORGEOUS WOOD BURNING FIREPLACE! FULL KITCHEN WITH ALL APPLIANCES INCLUDED! ASSOCIATION DID FULL MAKEOVER WITH ROOFS AND SIDING! WALK TO LAKE, PARKS, SCHOOLS &amp; STORES! THIS IS A SMOKING HOT DEAL PRICED MUCH LOWER THAN COMPARABLE HOMES! AS IS SALE! HURRY HOME!</t>
  </si>
  <si>
    <t>Call 855-919-0376</t>
  </si>
  <si>
    <t>104W</t>
  </si>
  <si>
    <t>I-88 to Orchard Rd, S to Galena Blvd, E to the corner of Galena &amp; Rosedale. Enter off of Rosedale.</t>
  </si>
  <si>
    <t>Edgelawn West is a convenient, secure, 34 units complex, which is a 100% owner-occupied building of residences 55 years of age and above. Unit 104W is a sunny location w/ south &amp; west exposures. Large rooms w/ each bedroom in its own wing. In-unit laundry; washer and dryer incl. Elevator to heated underground garage.  All new: kitchen appliances, light fixtures, master bathroom walk-in shower and wood laminate floors</t>
  </si>
  <si>
    <t>Waubonsee Community College</t>
  </si>
  <si>
    <t>Elevator, Storage, On Site Manager/Engineer, Security Door Locks, Sidewalks, Street Lights</t>
  </si>
  <si>
    <t>Water, Parking, Common Insurance, Security, Security System, TV/Cable, Exterior Maintenance, Lawn Care, Scavenger, Snow Removal</t>
  </si>
  <si>
    <t>Call directly for an appointment @ 630-674-9184 and ask for Mary K.</t>
  </si>
  <si>
    <t>Call directly for an appointment @ 630-674-9184 and ask for Mary K.  Fax or email offers to listing agent.  Listing company does not hold earnest money.  Note:  The complex is not FHA approved.</t>
  </si>
  <si>
    <t>OAKFIELD</t>
  </si>
  <si>
    <t>EOLA S*HAFENRICHTER RT*BARRINGTON RT*OAKFIELD DR RT*STAY TO THE RIGHT FOR OAKFIELD CT.</t>
  </si>
  <si>
    <t>UPDATED &amp; ELEGANT*2 STORY FOYER*AMAZING KITCHEN W/42â€ CABINETS,ALL APPLS INCLUDING NEWER SS FRIGE &amp; DW*SLIDING GLASS DOOR TO PRIV DECK*1ST FLR LDY-NEWER WASHER/DRYER*SUNNY LR/DR HAS 3-SIDED GAS FP W/LOGS*1ST FLR POWDER RM-NEW VANITY W/GRANITE COUNTER*DBL  DOORS LEAD TO PRIV MASTER SUITE W/HUGE WALK-IN CLOSET &amp; LUX MASTR BTH-DOUBLE SINK VANITY*BR 2 ENSUITE BATHROOM*FIN LOWER LEVEL FAM RM*2 CAR GAR*OSWEGO #308 SCHOOLS</t>
  </si>
  <si>
    <t>CALL L.A.*MUST HAVE CONFIRMED APPT.*DAYSLEEPER</t>
  </si>
  <si>
    <t>JOSEPH AND KATHRYN GUIDICE</t>
  </si>
  <si>
    <t>OGDEN POINTE AT THE WHEATLANDS IS NOT FHA APPROVED*LOCATED IN CITY OF AURORA SSA'S 34-B,42,34-X ALL LINE ITEMS ON TAX BILL AND INCLUDED IN DISCLOSED AMOUNT*EXCLUDES DINING ROOM MIRROR AND SCONCES</t>
  </si>
  <si>
    <t>IRVING PK TO WOOD DALE RD. SOUTH TO PROPERTY.</t>
  </si>
  <si>
    <t>GORGEOUS NEWLY REMODELED CORNER UNIT W/GREAT LARGE BALCONY.SPACIOUS LR&amp;DR,HUGE ISLAND,MODEL STYLE STUNNING BRAND NEW KITCHEN CABINETS,NEW SS APPLIANCES,QUARTZ C-TOPS,STONE ISLAND,GLASS B-SPL.,BEAUTIFULLY REMODELED BATHS, NEW LIGHTS,ELECTRICITY,PLUMBING,HRDW FLOORS EVERYWHERE, NEW DOORS,WOOD TRIMS&amp; HARDWARE. BEDROOMS W/ LOTS OF CUSTOM CLOSETS SPACE PROFESS.ORGANIZED,2 GAR.SPACES. ELEVATOR BLD! YOU MUT SEE TO BELIEVE!</t>
  </si>
  <si>
    <t>Oven/Range, Microwave, Dishwasher, Refrigerator, Refrigerator-Bar, Disposal, All Stainless Steel Kitchen Appliances, Wine Cooler/Refrigerator</t>
  </si>
  <si>
    <t>Separate Shower, European Shower, Full Body Spray Shower</t>
  </si>
  <si>
    <t>Water, Parking, Common Insurance, Clubhouse, Exercise Facilities, Exterior Maintenance, Scavenger, Snow Removal</t>
  </si>
  <si>
    <t>Call or text Ilona 773 716-4700 - some notice required</t>
  </si>
  <si>
    <t>Arc Realtors, Inc</t>
  </si>
  <si>
    <t>(773) 303-7416</t>
  </si>
  <si>
    <t>Ilona Kapustka</t>
  </si>
  <si>
    <t>(773) 716-4700</t>
  </si>
  <si>
    <t>ilonak@core.com or FAX 847 583-8099</t>
  </si>
  <si>
    <t>Maple Meadows GOLF COURSE NEARBY! UNIT REMODELED FROM A-Z! MODERN LIKE A MODEL LARGE CONDO.   Unit can be rented.   GARAGE SPACES# 2N &amp; 3N. Plenty of guest pkg. Pool &amp; party room!   PLEASURE TO SHOW!</t>
  </si>
  <si>
    <t>New York St to Frontenac south to Sandpebble to Windstream Ct.</t>
  </si>
  <si>
    <t>First floor unit. 2 bedroom. Laminate flooring. Stainless steel appliances. In unit laundry room. Patio. 1 car secure garage is private. Close to shopping, entertainment access to I-88</t>
  </si>
  <si>
    <t>Manorhomes of Springlake Condominium Association No. 2. 2nd bedroom is currently used as a den.</t>
  </si>
  <si>
    <t>Lawrence to building, take driveway west of building to back of building.</t>
  </si>
  <si>
    <t>Impressive interior 2 BR, 2 BA unit w/lovely courtyard views. Enjoy the open KIT/LR/DR floor plan, perfect for entertaining! L-shaped kit w/island seats 4. LR sliding door leads to patio. Master suite features spacious walk-in closet &amp; master BA w/double vanity, soaking tub &amp; separate shower. Furnace, AC, lighting &amp; windows have been replaced. Steps to heated garage, add'l storage. Don't miss this pristine unit!</t>
  </si>
  <si>
    <t>Elevator, Storage, On Site Manager/Engineer, Party Room, Security Door Locks</t>
  </si>
  <si>
    <t>Click on "Schedule a showing" or call 1-877-494-1772. 4 hours notice.</t>
  </si>
  <si>
    <t>RE/MAX In The Village Realtors</t>
  </si>
  <si>
    <t>(708) 386-1400</t>
  </si>
  <si>
    <t>Steve Nasralla</t>
  </si>
  <si>
    <t>(708) 386-1400x121</t>
  </si>
  <si>
    <t>708-359-1632</t>
  </si>
  <si>
    <t>Well-maintained interior unit w/courtyard views. Not FHA approved building. LB is on railing literally on the NW corner of building. Remax biz. card is on back of lockbox. Contact Kris w/questions /offers--708.359.1632 or kdsagan@gmail.com.</t>
  </si>
  <si>
    <t>Washington to Bellwood Ave To property</t>
  </si>
  <si>
    <t>20X50</t>
  </si>
  <si>
    <t>2 FLAT ATTACHED TOWNHOME. BIG LIVING ROOM WITH HARDWOOD FLOORS. SEPARATE DINING AREA OFF KITCHEN. 2 BIG BEDROOMS ON THE SECOND LEVEL. FULL BASEMENT. THIS IS A FANNIE MAE HOMEPATH PROPERTY</t>
  </si>
  <si>
    <t>AGENTS SUBMIT OFFERS ON HOMEPATH.COM. BUYER RESPONSIBLE FOR VILLAGE REQUIREMENTS IF ANY. BUYER RESPONSIBLE FOR HOA DUES IF ANY PER ILLINOIS STATUTE. CURRENTLY NOT AWARE OF ANY HOA</t>
  </si>
  <si>
    <t>Thorntree</t>
  </si>
  <si>
    <t>NEVON E OF MAIN L WILMINGTON R NEWPORT R TO THORNTREE</t>
  </si>
  <si>
    <t>Sharp 2 bedroom 2 bath ground floor unit that features an open layout, 1 car garage, private patio and is just minutes from public transportation, expressways and shopping. TAXES 100%, This is a homepath property please submit through homepath website BUYER IS RESPONSIBLE FOR PREVIOUS 6 MONTHS HOA FEES, buyer is responsible for survey AND ANY VILLAGE REQUIRED REPAIRS, SEE VILLAGE INSPECTION ATTACHED.</t>
  </si>
  <si>
    <t>RENTALS ALLOWED, PAST DUE BALANCE AS OF 08/05/2014 470.68 FHA IS NOT ALLOWED.TAXES 100%, This is a homepath property please submit through homepath website BUYER IS RESPONSIBLE FOR PREVIOUS 6 MONTHS HOA FEES, buyer is responsible for survey</t>
  </si>
  <si>
    <t>45 or Butterfield to Allanson L to Washington, north (building is at the Washington and Orchard)</t>
  </si>
  <si>
    <t>***HURRY IN TO THIS AMAZING HOME***MAKE IT YOUR OWN WITH SOME TLC*** EXCELLENT LOCATION AND PRICE! ALL INFORMATION DEEMED RELIABLE BUT NOT GUARANTEED INSURED ESCROW</t>
  </si>
  <si>
    <t>Owner Occupts, NPOs &amp; Gov't Agencies bidding @ www.hudhomestore.com ref. 137-386416 Up to 3% CC. NAID# needed to bid. Exclusive bidding thru 2/8. Daily after if available. More info @ www.hudpemco.com. ALL BIDDERS AFTER .</t>
  </si>
  <si>
    <t>Devon to Newport N west of Ontarioville Rd.</t>
  </si>
  <si>
    <t>HUD FORECLOSURE CASE #137-508563, SOLD "AS-IS", CODE "IE" INSURED W/ESCROW. BUYER RESPONSIBLE FOR ($1500 A/C UNIT), 203K ELIGIBLE. OWNER OCCUPANTS, NONPROFITS &amp; GOVERNMENT AGENCIES ONLY THRU 2/11/15. ALL BIDS SEALED THRU 2/8/15. 2 BEDROOM/1BATH MASTER ACCESS TO SHARED BATH.  FIRST FLOOR UNIT.****EQUAL HOUSING OPPORTUNITY****</t>
  </si>
  <si>
    <t>ENTER COOPERATIVE COMPENSATION AMOUNT WHEN PLACING BID. HUD CASE #137-508563, SOLD "AS-IS". GO TO HUDHOMESTORE.COM OR OFORIREO.COM FOR BIDDING INFO.</t>
  </si>
  <si>
    <t>Butterfield &amp; Hawthorn Pkwy,  E2 Lafayette, N2 Washington to 338</t>
  </si>
  <si>
    <t>AWESOME CONDITION AND LOCATION and priced to sell quickly! Brand new carpeting and professional paint job! Extensive list of changed or newer items including furnace, kitchen and bathroom cabinets, appliances, hwh, humidifier &amp; egdo, light fixtures &amp;  tile. Good closet space plus pantry! Great Storage in Garage! Patio, Courtyard Location plus  Extra Parking Close By! Walk to Schools with great location near entrance!</t>
  </si>
  <si>
    <t>Park/Playground, Pool-Outdoors, Curbs/Gutters, Street Lights, Street Paved</t>
  </si>
  <si>
    <t>CALL L.O. OR AGENT AFTER HOURS</t>
  </si>
  <si>
    <t>SWANSON</t>
  </si>
  <si>
    <t>May continue to show with 1 days notice. Master Assoc Fee is Annual and is for the pool.</t>
  </si>
  <si>
    <t>Church Lot# 19.02</t>
  </si>
  <si>
    <t>BRAEDEN-A1</t>
  </si>
  <si>
    <t>Savannah Crossing Full LOOK-OUT  BASEMENT w/Rough-In Plumbing, BACKING TO POND! 9' Ceiling On 1st Flr. 2 Bedrooms+Loft. Upgraded Flooring Throughout. SS Appl's.  100% Energy Star. 30 Yr. Structural Transferrable Builder Warranty. Awesome Batavia Dist Schools. Award Winning Fox Valley Park District, Close to Shopping &amp; I88.</t>
  </si>
  <si>
    <t>Please call Sue Avicola 847-323-1897 or use Showing Assist</t>
  </si>
  <si>
    <t>Agent must accompany buyers on first visit. Call Sue Avicola @ 847-323-1897 with any questions. Commission paid on base price. Contract MUST be written on builders contract.</t>
  </si>
  <si>
    <t>Treeline</t>
  </si>
  <si>
    <t>NAPER S OF 75TH TO HARLOWE W TO TREELINE S TO HOME</t>
  </si>
  <si>
    <t>FABULOUS UPSCALE TOWNHOME WITH OPEN, SPACIOUS, VERSATILE FLOOR PLAN! ALL NEW GORGEOUS DECOR, UPDATED KITCHEN WITH GRANITE COUNTERTOPS, DESIGNER TOUCHES THROUGHOUT, POTTERY BARN COLOR SCHEME, FAMILY ROOM WITH FIREPLACE, FORMAL LIVING ROOM AND DINING ROOM, KITCHEN W SUNNY BREAKFAST ROOM, VAULTED MASTER BEDROOM WITH TWO CLOSETS AND PRIVATE BATH, FINISHED LOWER LEVEL WITH REC ROOM, EXERCISE ROOM, AND MORE! SPECTACULAR!</t>
  </si>
  <si>
    <t>MAPLEBROOK ELEMENTARY SCHOOL</t>
  </si>
  <si>
    <t>33X20</t>
  </si>
  <si>
    <t>Under contract</t>
  </si>
  <si>
    <t>Kerri Forest, CSC</t>
  </si>
  <si>
    <t>(630) 204-0880</t>
  </si>
  <si>
    <t>Breezewood</t>
  </si>
  <si>
    <t>BARRINGTON RD TO LAKE ST WEST TO SCOTT NORTH TO HOME</t>
  </si>
  <si>
    <t>Great property for the first time owner! Property is in need of some cosmetic updating. However could easily be updated to be a great home. Property is being sold as is. Seller does not provide survey, taxes prorated at 100%. This property is eligible under the first look program until 2/16/15. EM must be cashiers check.</t>
  </si>
  <si>
    <t>Heat, Water, Gas, Parking, Common Insurance, Exterior Maintenance</t>
  </si>
  <si>
    <t>Please call Listing office to pick up keys. HOA does not allow lockboxes.</t>
  </si>
  <si>
    <t>HOA allows up to 3 cars to be registered, also interview with a member of the condominium association board is required.  Please email all offers to arcenio@crosstown-realty.com Please submit contract along with FMAC docs</t>
  </si>
  <si>
    <t>Misty Creek</t>
  </si>
  <si>
    <t>Eola to Hafenrichter Rd to Pebblestone to Misty Creek to Wisteria</t>
  </si>
  <si>
    <t>Check out this great 2 bedroom townhome in Aurora.  Oswego School District 308. This townhome features vaulted/cathedral ceilings. Spacious eat-in kitchen w/Island. Large bathroom w/whirlpool tub. Close to schools &amp; shopping.  Make your appointment today!  Relocation addendums required (please call agent for further details)</t>
  </si>
  <si>
    <t>Please use showing assist.</t>
  </si>
  <si>
    <t>Julie Oswald</t>
  </si>
  <si>
    <t>(815) 483-1470</t>
  </si>
  <si>
    <t>Additional Paperwork Required...Corporate Relocation. Please contact agent with questions. ***This subdivision is not FHA approved***</t>
  </si>
  <si>
    <t>CAMBERLEY</t>
  </si>
  <si>
    <t>SCHICK TO MAYFLOWER TO COLUMBIA TO CAMBERLEY</t>
  </si>
  <si>
    <t>WELL MAINTAINED BRISTOL MODEL PRICED TO SELL! NEWER FURNACE, CENTRAL AIR AND APPLIANCES. SUN KISSED KITCHEN WITH PANTRY. SPACIOUS MASTER SUITE WITH PRIVATE BATH AND WALK-IN CLOSET. GUEST BEDROOM AND COMFORTABE DEN. ATTACHED 2 CAR GARAGE. CUL-DE-SAC LOCATION. READY TO MOVE IN!!  NOT A SHORT SALE OR A FORECLOSURE.</t>
  </si>
  <si>
    <t>Humidifier, Water-Softener Rented, TV-Cable, Fire Sprinklers, CO Detectors, Ceiling Fan</t>
  </si>
  <si>
    <t>Great unit in Fairfax Commons. 2 bedrooms , 2 baths with office. Neutral dÃ©cor. New carpet. This property is under the FIRST LOOK program until 2/22/2015 Sold As-Is</t>
  </si>
  <si>
    <t>Annie Glidden Rd N to Bethany E to to Sanagamon N to Culter W to Kenwood</t>
  </si>
  <si>
    <t>DUHAM</t>
  </si>
  <si>
    <t>88X32</t>
  </si>
  <si>
    <t>Priced to Sell...Not a Short Sale or Forclosure!Prime location-near school. End unit offers 3 exposures, open space behind unit, large great room with fireplace, dining area &amp; spacious kitchen has a walk-in pantry. 2nd level has a private master bedroom suite. Lower level has a large family room, 2nd bedroom and full bathroom. Many upgrades including new carpet throughout</t>
  </si>
  <si>
    <t>Call Centralized showing 877-977-1010</t>
  </si>
  <si>
    <t>(708) 361-0800</t>
  </si>
  <si>
    <t>Donna Shelton</t>
  </si>
  <si>
    <t>708-296-8421</t>
  </si>
  <si>
    <t>There is a charge for water, sewer, and refuse pick-up  Taxes do not have home owners exemption</t>
  </si>
  <si>
    <t>LOUISE</t>
  </si>
  <si>
    <t>STATION WALK</t>
  </si>
  <si>
    <t>IRVING PARK TO WOOD DALE RD S TO DIVISION E TO LOUISE S</t>
  </si>
  <si>
    <t>BEAUTIFULLY APPOINTED AND MAINTAINED 2 STORY TOWN HOME WITH MANY UPGRADES INCLUDING EXPANDED LOFT FOR CASUAL RELAXING OR OFFICE AREA, HARDWOOD FLOORS, CERAMIC TILES, LARGE FINISHED BASEMENT , DECK, SKYLIGHTS, MANY MORE AMENITIES. NOTE THE FIRST FLOOR BEDRM FOR POSSIBLE IN-LAW ARRANGE, CLOSE TO POST OFFICE, BANK, WATER PARK, LIBRARY, AND 1 BLOCK TO TRAIN. AS IS WHERE IS, MLS INFO ESTIMATED, BUYER TO VERIFY ALL.</t>
  </si>
  <si>
    <t>click on show assist below</t>
  </si>
  <si>
    <t>ALL OFFERS MUST BE SUBMITTED BY THE BUYERS AGENT VIA OFFERSUBMISSION.COM, ID# 970563. NO PAPERWORK REQUIRED UNTIL TERMS ACCEPTED. BUYER PAYS $300 FEE AT CLOSING. email agent with any questions, not FHA approved per HOA</t>
  </si>
  <si>
    <t>PEMBROOK</t>
  </si>
  <si>
    <t>NORTH AVE  W OF BLOOMINGDALE 2 PRESIDENT S2 PEMBROOK</t>
  </si>
  <si>
    <t>FHA App!End unit/Very open~a perfect 10!  Newer wood floors.  Large eat-in kitchen W/ New Stainless Appl &amp; bkfst bar.Spacious two story L/R. Vaulted ceiling in master bedroom with seating area &amp; walk-in closet.  Oak rails. Updated Bathrooms. Tons of storage. Laundry on 2nd floor w/Newer Washer/Dryer! Furnace &amp; Water Htr 1 Year NEW.Well Maintained-Great location, minutes to Rt.64/355, and shopping. Wheaton Dist 200</t>
  </si>
  <si>
    <t>2.5%  -$225 (on Net SP)</t>
  </si>
  <si>
    <t>855-746-9200 (Showing Time) 2 HR notice please</t>
  </si>
  <si>
    <t>Diane Christian, ABR,CSC</t>
  </si>
  <si>
    <t>(847) 431-0250</t>
  </si>
  <si>
    <t>847-431-0250</t>
  </si>
  <si>
    <t>4N</t>
  </si>
  <si>
    <t>STONEY TO MARQUETTE, WEST TO INGLESIDE, SOUTH TO 6617.</t>
  </si>
  <si>
    <t>2 bedroom top floor condo with hardwood flooring throughout, carpeted bedrooms, master bedroom has full bath, updated modern kitchen, and secured parking in the rear.  Case # 137-580181.</t>
  </si>
  <si>
    <t>Call CSS (877) 977-1010</t>
  </si>
  <si>
    <t>LaShandria Sanderson</t>
  </si>
  <si>
    <t>Place bid on hudhomestore.com or bidselect.com.  Must be NAID registered to submit bid.</t>
  </si>
  <si>
    <t>95TH TO DAMEN-NORTH TO 93RD STR-EAST TO LONGWOOD-NORTH</t>
  </si>
  <si>
    <t>STUNNING REHABBED 2 BEDROOM &amp; 2 BATHROOM PENTHOUSE CONDO! MOVE IN CONDITION. HARDWOOD FLOORS &amp; FRESHLY PAINTED THROUGH OUT. TRUE MASTER SUITE WITH PRIVATE BATHROOM. BALCONY IN THE FRONT OF THE UNIT OVERLOOKS THE PARK. UPDATED WASHROOMS. CHANDALIER IN LIVING ROOM. LOVELY KITCHEN WITH CERAMIC COUNTERTOPS. SOLD "AS-IS".</t>
  </si>
  <si>
    <t>Fenced Yard, Forest Preserve Adjacent, Park Adjacent</t>
  </si>
  <si>
    <t>Water, Gas, Common Insurance, Lawn Care, Other</t>
  </si>
  <si>
    <t>USE SHOWING ASSIST MISSING KEYS PLEASE CHECK BACK FOR UPDATE.</t>
  </si>
  <si>
    <t>SEE ATTACHMENT FOR PAS REQUIREMENTS &amp;WFHM OFFER SUBMITTAL INFO IN MLS DOCUMENT SECTION(ADDTL INFO TAB). SUBMIT OFFERS TO micasaassist@gmail.com. ***VERBALLY ACCEPTED***</t>
  </si>
  <si>
    <t>0N074</t>
  </si>
  <si>
    <t>VERMONT</t>
  </si>
  <si>
    <t>Highlake Road, West of Winfield Road to Shelburne Farms Drive, North to Vermont Court</t>
  </si>
  <si>
    <t>THE DIVERSEY</t>
  </si>
  <si>
    <t>Stunning Ranch w/open floor plan*2 Story Foyer*Beautiful hardwood floors*Freshly cleaned carpets*Kitchen w/stainless steel appliances, breakfast bar &amp; pantry*Dining room w/SGD to balcony*Large Master w/private bath &amp; 2 WIC*2nd Bedroom w/WIC*Big Family Room*The office w/double French Door entry, can easily be converted to a 3rd bedroom and w/the third full bath downstairs, it is the perfect in-law or teen arrangement!</t>
  </si>
  <si>
    <t>Not FHA Approved  !  Feedback is Greatly Appreciated.</t>
  </si>
  <si>
    <t>Serendipity</t>
  </si>
  <si>
    <t>HOMETOWN</t>
  </si>
  <si>
    <t>West of Eola to Montgomery Rd North of Ogden to Hometown</t>
  </si>
  <si>
    <t>Beautiful, Cozy, Super Clean, Wood Laminated floors through out, Nothing to do but Move in, Spacious Layout, all flooring done 2 years ago. Easy to Show</t>
  </si>
  <si>
    <t>Water, Parking, Common Insurance, Clubhouse, Lawn Care, Snow Removal</t>
  </si>
  <si>
    <t>text LA Joanne 847-305-9388</t>
  </si>
  <si>
    <t>New Generation Realty</t>
  </si>
  <si>
    <t>(847) 305-9388</t>
  </si>
  <si>
    <t>Joanne Shim</t>
  </si>
  <si>
    <t>Please, remove shoes, No signs at the property</t>
  </si>
  <si>
    <t>Roosevelt to Naperville Rd north to 255 Liberty</t>
  </si>
  <si>
    <t>Premium 6th floor luxury condo overlooking downtown Wheaton and your own putting green. Walk to the train, shopping and enjoy all the local establishments that downtown Wheaton has to offer. Condo is also for rent at $2,100 a month.</t>
  </si>
  <si>
    <t>Text 630/335-9940 24 HR Notice</t>
  </si>
  <si>
    <t>Parade of Homes, Inc.</t>
  </si>
  <si>
    <t>(630) 372-0700</t>
  </si>
  <si>
    <t>Robert Burress</t>
  </si>
  <si>
    <t>(630) 335-9940</t>
  </si>
  <si>
    <t>JUNIPER</t>
  </si>
  <si>
    <t>OAK STREET EAST OF RANDALL TO WALNUT S TO HARMONY EAST TO JUNIPER</t>
  </si>
  <si>
    <t>6098 SQ FT</t>
  </si>
  <si>
    <t>WONDERFUL 2 BEDROOM RANCH WITH BAYED LIVING ROOM.  THIS HOME HAS BERGER CARPET, DINING AREA OFF LIVING ROOM AND KITCHEN.  KITCHEN HAS LOTS OF CABINET AND COUNTER SPACE.  ALL APPLIANCES ARE IN GREAT CONDITION.  MASTER BEDROOM HAS MASTER BATH WITH SHOWER.  FULL HALL BATH WITH TUB/SHOWER COMBO. NICE SIZED BEDROOMS. FULL UNFINISHED BASEMENT WITH WORKBENCH AND STORAGE. 2 CAR GARAGE. QUIET LOCATION WITH NICE YARD.</t>
  </si>
  <si>
    <t>Cul-de-sac, Irregular, Landscaped Professionally</t>
  </si>
  <si>
    <t>USE SHOWING ASSISTANT OR CALL 855-746-9093</t>
  </si>
  <si>
    <t>Pamela Raver, ABR</t>
  </si>
  <si>
    <t>(630) 513-3189</t>
  </si>
  <si>
    <t>VERY NICE HOME.  CLEAN AND NEUTRAL APPLIANCE GREAT CONDITION</t>
  </si>
  <si>
    <t>County Line</t>
  </si>
  <si>
    <t>Eola to Liberty West to Reflections Dr North to County Line North to Home</t>
  </si>
  <si>
    <t>Run - Don't Walk - Just rehabbed!! New Porcelain tile baths, carpet, paint, white 2 panel doors &amp; wide trim, oil rubbed bronze, 2" white blinds | End Unit w loads of natural light| Fireplace | Eat in kitchen w hardwood | Huge master retreat w volume ceiling, WIC &amp; sitting room | 2nd floor laundry w new washer &amp; dryer | Oversized 2 car garage | 3' crawl &amp; attic for more storage | Walk to elementary l Close to shopping</t>
  </si>
  <si>
    <t>3% MINUS $200 (on Gross SP)</t>
  </si>
  <si>
    <t>Fletcher</t>
  </si>
  <si>
    <t>630.605.3500</t>
  </si>
  <si>
    <t>Garage Refrig stays | Assoc covers into primer in home | Access 3' crawl through back door closet</t>
  </si>
  <si>
    <t>Hale</t>
  </si>
  <si>
    <t>W Fullerton Ave to Hale St</t>
  </si>
  <si>
    <t>Lovely 2 bedrooms 1 full bath Condo with assigned parking space. Property has big living room, dining area, big bedrooms with lots of closets space. Balcony with a nice view. Unit is approx 864 sq.ft. Well maintained building located in great are, near parks, schools and shopping. Easy access to major streets and hwy. This is Fannie Mae Homepath property. See it today! H&amp;B deadline 3/24 @ 9AM. Submit disclosures.</t>
  </si>
  <si>
    <t>ALL OFFERS MUST BE SUBMITTED ONLINE AT WWW.HOMEPATH.COM. Submit POF or pre-qual and disclosures with offer on Homepath.com Buyer to be prepared to pay up to 6 months past due assessments, prior to FC, plus legal, late fee's if applicable.</t>
  </si>
  <si>
    <t>Att'n Seniors! Upgraded 2 BR condo with 2 full BAs in 55+ community of Vill Green of ED! Features incl Corian kit with walnut built-in cabinetry, tile backsplash, washer/dryer in unit, step-in shower in MB suite. Mo assessment of $1,094 pays all utilities, provides bi-mo housekeeping, wkly linen changes and more. Ask me about the optional meal plan/garages avail for extra fee. Wellness &amp; Therapy Ctrs on site - hurry!</t>
  </si>
  <si>
    <t>Commissary, Elevator, Exercise Room, Storage, On Site Manager/Engineer, Party Room, Receiving Room, Security Door Locks, Curbs/Gutters, Street Lights, Street Paved</t>
  </si>
  <si>
    <t>Heat, Air Conditioning, Water, Electric, Common Insurance, TV/Cable, Exterior Maintenance, Lawn Care, Scavenger, Snow Removal</t>
  </si>
  <si>
    <t>Upgraded 2 BR condo - lst floor so small dogs allowed!</t>
  </si>
  <si>
    <t>405B</t>
  </si>
  <si>
    <t>Joliet Rd to Wolf Rd S to Bldg</t>
  </si>
  <si>
    <t>Beautiful condo! Property features a total of 2 bedrooms, 2 full bathrooms, balcony, 2 assigned parking spaces, and common area outdoor pool. Close proximity to parks, school, and highways! This is a Fannie Mae HomePath property.</t>
  </si>
  <si>
    <t>First Look through 3/3/15. Buyer to verify rm count, zon/dim, school distr, inspects, compli, liens, escrws. Seller requires all offers to be submitted with the Fannie Offer Package using the HomePath Online Offer system at www.homepath.com</t>
  </si>
  <si>
    <t>Ashton Pointe</t>
  </si>
  <si>
    <t>Huge 2 Bed/2.1 Bath Townhouse with Large Den, which could be used  as a 3rd Bedroom.  Vaulted entrance with LR/DR combo, Kitchen and Powder Room located on the 1st floor.  2nd floor, includes Vaulted Master BD suite, with Master Bath and Walk In Closet, 2nd Bedroom with 2nd private bath, and Bonus Room/Den.  2nd Floor Laundry as well!  Cul-de-sac setting, with Sliding Glass Doors off DR to picturesque outdoor patio.</t>
  </si>
  <si>
    <t>Vacant.  Call Lynn Pratt - 312-860-3008.  Leave date/time/show.  Please leave biz card.</t>
  </si>
  <si>
    <t>Robert Pratt</t>
  </si>
  <si>
    <t>(312) 307-3007</t>
  </si>
  <si>
    <t>Great unit - show with confidence. Freshly painted and move in condition</t>
  </si>
  <si>
    <t>Army Trail West of County Farm to Bennington South to Ridgefield West to Home</t>
  </si>
  <si>
    <t>AINSLEY</t>
  </si>
  <si>
    <t>26X112</t>
  </si>
  <si>
    <t>Best of Everything â€“ Location, Condition &amp; Amenities! Stunning luxury townhome overlooking beautiful lake featuring remodeled kitchen w/maple cabinets, granite counters, marble flooring, large pantry &amp; breakfast bar counter, separate breakfast area, formal DR &amp; LR w/vaulted ceiling, skylights &amp; FP, loft, luxury master suite w/spa bath &amp; WIC, a 2 car gar. &amp; more. Itâ€™s like owning your own private vacation retreat!</t>
  </si>
  <si>
    <t>Lake Front, Landscaped Professionally, Park Adjacent, Water View</t>
  </si>
  <si>
    <t>Alarm-must call listing office 630-653-1900 ext.0. If closed call Roger 630-215-7610</t>
  </si>
  <si>
    <t>630-215-7610</t>
  </si>
  <si>
    <t>Must confirm appointment with listing office 630-653-1900 ext.0. Alarm system must be de-activated. Please remove shoes. Please turn off lights, lock doors and re-arm alarm before leaving.</t>
  </si>
  <si>
    <t>Randall to Big Timber E to Lyle N to Creekside W</t>
  </si>
  <si>
    <t>BROOKSHIRE</t>
  </si>
  <si>
    <t>DON'T PAY RENT! Affordable living. GREAT neighborhood known for serene landscaped pond and flowing streams! Relax on balc w/picturesque view of wooded area or enjoy afternoon on the TENNIS COURT. Cozy LR w/gas log FP. Tile entry. Bright, eat-in kitchen, formal dining area. Master BR w/full bath &amp; wlk-in closet. Walk to train station, mins from Sherman Hosp.  Secure building awaiting your personal touch/updates. AS-IS</t>
  </si>
  <si>
    <t>Security Door Locks, Tennis Court/s, Curbs/Gutters, Sidewalks, Street Lights, Street Paved</t>
  </si>
  <si>
    <t>Call showing desk: 888-362-3222</t>
  </si>
  <si>
    <t>Belinda Bermea</t>
  </si>
  <si>
    <t>(847) 347-6876</t>
  </si>
  <si>
    <t>Extremely clean/well cared for. Move in ready. Superior location, walking distance to train. Secure building, inside access to garage with built in shelving. Just painted. Bring your clients! Ask how your buyers can purchase a home warranty</t>
  </si>
  <si>
    <t>Sweetbriar</t>
  </si>
  <si>
    <t>CARRIAGE HOMES OF PLANO</t>
  </si>
  <si>
    <t>Center St north To Sweetbriar Place</t>
  </si>
  <si>
    <t>46X145</t>
  </si>
  <si>
    <t>BRAND NEW PAINT AND CARPET! ENJOY A MAINTANENCE FREE LIFESTYLE-SUPER CHEAP $40/MONTH FOR SNOW REMOVAL AND LAWN CARE! BRICK/VINYL EXTERIOR. THIS FANTASTIC RANCH TOWNH0ME FEATURES: VAULTED CEILINGS~FIREPLACE~SKYLIGHTS~GENEROUS ROOM SIZES~SPACIOUS 3 SEASON ROOM~FULL BASEMENT THAT HAS BEEN PROFESSIONALLY FINISHED TO INCLUDE AN ADD'L BEDROOM AND FULL BATHROOM. THIS IS A QUALITY BUILT HOME AND NICE FLOOR PLAN-RARE FIND!</t>
  </si>
  <si>
    <t>5X12</t>
  </si>
  <si>
    <t>Oven/Range, Microwave, Refrigerator, Dryer, Disposal</t>
  </si>
  <si>
    <t>Recreation Room, Storage, Sun/Florida Room, Utility Room-Lower Level, Workroom</t>
  </si>
  <si>
    <t>PLEASE SCHEDULE USING LINK BELOW</t>
  </si>
  <si>
    <t>Ryan Kurtz, CNC</t>
  </si>
  <si>
    <t>(630) 251-5386</t>
  </si>
  <si>
    <t>Solid home! Professionally painted and carpeted in Feb 2015. NO SSA's! Show with confidence. Carriage Homes of Plano is a short little street of matching townhomes.</t>
  </si>
  <si>
    <t>ORCHARD RD. TO INDIAN TR. W TO COURTYARD CIRCLE</t>
  </si>
  <si>
    <t>Beautiful 2 bed/2.5 bath town home ready to move in and enjoy! Totally updated kitchen features granite and stainless steel appliances. Extras incl. 9' ceilings, see thru fireplace, 2nd floor laundry! Master Suite w/walk in closet and luxury bath with dbl vanity and soaker tub. 2nd Bed w/ its own private bath! 2nd fl. laundry. Possible 3rd bed in finished lower! Two car garage! Newer carpet and paint! See it today!</t>
  </si>
  <si>
    <t>24 hour or prior day notice please! Call CSS 877-977-1010</t>
  </si>
  <si>
    <t>Ron Donavon</t>
  </si>
  <si>
    <t>(630) 740-5093</t>
  </si>
  <si>
    <t>Cell 630-740-5093</t>
  </si>
  <si>
    <t>59 to LBS entrance- turn L onto Shoreline- L onto Oak Hill- about 1/4 mile on your left</t>
  </si>
  <si>
    <t>ARDSLEY</t>
  </si>
  <si>
    <t>NO STAIRS HERE, NOT EVEN FROM THE FOYER INTO THE LIVING ROOM! 2 BEDROOM, 1.1 BATH AND A PRIVATE PATIO OVERLOOKING THE GOLF COURSE.  NEW CARPET THROUGHOUT.  UPDATED KITCHEN WITH NEW CABINETS, CORIAN COUNTERTOPS AND AN EATING AREA. PRIVATE MASTER BATH WITH WALK-IN SHOWER AND SEAT. STORMS ON ALL WINDOWS. JUST MOVE IN AND ENJOY THE GATED LBS LIFESTYLE!!  MOTIVATED SELLER!</t>
  </si>
  <si>
    <t>Bike Room/Bike Trails, Boat Dock, Exercise Room, Golf Course, Health Club, Party Room, Pool-Indoors, Pool-Outdoors, Restaurant, Sauna, Tennis Court/s, Whirlpool, Gated Entry, Street Lights, Street Paved</t>
  </si>
  <si>
    <t>Water, Common Insurance, Security, Clubhouse, Exercise Facilities, Pool, Exterior Maintenance, Lawn Care, Scavenger, Snow Removal, Lake Rights</t>
  </si>
  <si>
    <t>Electric, Heat Pump</t>
  </si>
  <si>
    <t>PLEASE CALL 855-746-9200 FOR APPOINTMENTS</t>
  </si>
  <si>
    <t>Wendy Jordt</t>
  </si>
  <si>
    <t>(708) 494-1582</t>
  </si>
  <si>
    <t>BUYER PAYS 3 MO. SURCHARGE PLUS $150 APP FEE.</t>
  </si>
  <si>
    <t>GOLF &amp; GARFIELD N TO COMPLEX W TO #. 2ND FLOOR UNIT ON SOUTH SIDE OF HALLWAY</t>
  </si>
  <si>
    <t>Spacious, light bright and airy end unit located in much sought after Cambridge Square.Two bedroom, two bath with full sized washer and dryer in unit. L shaped Living room, Dining room. Kitchen has lots of cabinets and table space. One car garage and additional storage closet. Great schools, walk to town and Metra. Close to tollway and shopping. NO INVESTORS</t>
  </si>
  <si>
    <t>2.5 - $225 (on Gross SP)</t>
  </si>
  <si>
    <t>Marie Neutz</t>
  </si>
  <si>
    <t>(847) 687-6725</t>
  </si>
  <si>
    <t>This home needs a makeover and is priced accordingly. Last sale for 2 bedroom was $145,000 mls number 08721658.</t>
  </si>
  <si>
    <t>83 W on Lexington S on Stockton West on Remington Rt to home.</t>
  </si>
  <si>
    <t>68X18</t>
  </si>
  <si>
    <t>Fabulous Town Home on Quiet Cul-De-Sac Boasts Awesome Kitchen with Granite Counters, Glass Tile Back Splash &amp; Stainless Steel Appliances. Gorgeous Living/Dining Room with Hardwood floors &amp; Sliders to Patio for Entertaining! All New Carpet. Second Floor Laundry Room. Large Master Bedroom with H/H Closets. Great Office Loft on Second Floor. This Home is Picture Perfect! School, Park, Bike &amp; Walking Trails all Close By!</t>
  </si>
  <si>
    <t>Cheryl Duhig</t>
  </si>
  <si>
    <t>Please make an appointment medinahonthelake@gmail.com 1.708.571.8770</t>
  </si>
  <si>
    <t>Investor Closeout!!! FHA, VA and Fannie Freddie Approved!!  Completely warrantable to all loan types and lenders.</t>
  </si>
  <si>
    <t>Chard</t>
  </si>
  <si>
    <t>Rt 83 South of Washington 2 Quail Creek East 2 Ziegler R 2 Chard R</t>
  </si>
  <si>
    <t>TWO STORY TOWNHOUSE</t>
  </si>
  <si>
    <t>Maintance free living in this Two story Townhome with 2 bedrooms, One and Half Bathrooms, Main Floor Family rm, Partially Finished Basement and Garage. Sold As is, No Survey, 100 % Tax Pro rations. Buyer pays all inspections. No More RENTALS</t>
  </si>
  <si>
    <t>Call 1-800-746-9464, Easy to Show on Lock box.</t>
  </si>
  <si>
    <t>Go to WWW.HUDHOMESTORE.COM to place bid. Buyers  broker must have NAID#to place bid. Check Eligible Bidder Status &amp; Property condition report. Info Should be Verified. Case#131-865210. No one may alter or Occupy property until after Closing</t>
  </si>
  <si>
    <t>Wolf Road north of Joliet, South of Plainfield to Acacia entrance, east to Acacia Circle</t>
  </si>
  <si>
    <t>Enjoy carefree condo living in maintenance free Wilshire Green.  Amenities include clubhouse w/fireplace, indoor and outdoor pools, exercise and billard rooms. 2 bedrm, 2 full bath unit features large master suite w/walk-in closet,  large living &amp; dining rooms plus in-unit laundry.  Newer furnace and hot water heater. Conveniently located close to elevator, parking &amp; storage area.</t>
  </si>
  <si>
    <t>Balcony, Breakfast Room, Foyer</t>
  </si>
  <si>
    <t>Call or email Maureen - advance notice appreciated.  Wheelchair owner will be home</t>
  </si>
  <si>
    <t>George Zielak</t>
  </si>
  <si>
    <t>Wheelchair owner will be home during showings.  Buzz George Zielak at front door to let you in.  Home not in show shape.  Same model at 601, A/I, but not clear of stuff, hospital bed, etc. Serious buyers only pls. Caregiver until 5:00 daily</t>
  </si>
  <si>
    <t>Preston</t>
  </si>
  <si>
    <t>RT 25 TO CONDGON AVE, EAST TO PRESTON,SOUTH TO LOFT</t>
  </si>
  <si>
    <t>LOFT</t>
  </si>
  <si>
    <t>UNIQUE 2 BDR,2 BATH, BEAUTIFUL LOFT CONDO!!  GRANITE IN KITCHEN &amp; BATHS;CENTER ISLAND IN KITCHEN COMFORTABLY SEATS 6 ;STAINLESS APPLIANCES INCLUDED; HUGE MASTER BDR WITH WALK-IN CLOSET; MASTER BATH WITH WALK-IN CERAMIC TILE SHOWER; RANCH LEVEL,LOW-E ENERGY EFF. WINDOWS THRU-OUT; VENTED,GAS FIREPLACE;1 CAR GARAGE WITH PULL DOWN STAIR FOR STORAGE ABOVE;</t>
  </si>
  <si>
    <t>Common Grounds, Corner, Fenced Yard, Landscaped Professionally</t>
  </si>
  <si>
    <t>clo</t>
  </si>
  <si>
    <t>James Swanson, GRI</t>
  </si>
  <si>
    <t>(630) 587-2445</t>
  </si>
  <si>
    <t>WWW.JIMRSWANSON.COM</t>
  </si>
  <si>
    <t>HARRIS</t>
  </si>
  <si>
    <t>STATION SQUARE AT PRAIRIE CROSSING</t>
  </si>
  <si>
    <t>FROM 45 &amp; 120 S TO CASEY RD RIGHT TO HARRIS RD RIGHT/LEFT AT THE "T" TO BUILDING ON RIGHT</t>
  </si>
  <si>
    <t>STUNNING SUN DRENCHED 3RD FLOOR CORNER UNIT W/VIEWS 4 MILES IN STATION SQUARE. LARGE WRAP AROUND BALCONY W/BUILT IN PLANTERS. BRIGHT &amp; OPEN FLR PLAN W/WINDOWS GALORE. CUSTOM KITCHEN W/42" MAPLE CABINETS, SOLID SURFCACE COUNTER TOPS THAT OPENS INTO THE LIVING/DINING ROOM COMBO 4 EASY ENTERAINING/FAMILY TIME. ENJOY FITNESS CTR, LAKE, TRAILS, CLUBHOUSE &amp; MORE. AWESOME LOCATION NEAR COMMUTER TRAIN STATION! ELEVATOR BLDG!</t>
  </si>
  <si>
    <t>Bike Room/Bike Trails, Elevator, Exercise Room, Storage, Park/Playground, Restaurant, Security Door Locks, Curbs/Gutters, Sidewalks, Street Lights, Street Paved</t>
  </si>
  <si>
    <t>Common Grounds, Irregular, Landscaped Professionally, Park Adjacent</t>
  </si>
  <si>
    <t>Water, Parking, Common Insurance, Clubhouse, Exercise Facilities, Exterior Maintenance, Lawn Care, Scavenger, Snow Removal</t>
  </si>
  <si>
    <t>Freddie Mac First Look-Owner Occupant offers only considered the first 20 days*FMFL expired 11/13*Investors Eligible  *AS IS*100%Tax Proration of most recent full yr tax bill*No Survey or survey affidavit provided*</t>
  </si>
  <si>
    <t>Fairview Commons</t>
  </si>
  <si>
    <t>75th to Fairview North, Fairview Commons entrance on West, side. Go right &amp; follow to unit.</t>
  </si>
  <si>
    <t>Location! Location! Near park &amp; ride to train and shopping. 2 BR, 2 BA end-unit on 1st floor overlooking green space.  Tennis, pool &amp; clubhouse nearby.  Clean, well-maintained...just needs some updating.  Nice room sizes, good closets.  Assessments include heat, water &amp; gas.  Coin operated laundry &amp; additional storage in basement.  Bike/stroller storage on 1st floor.  Investors welcome</t>
  </si>
  <si>
    <t>Estate sale.  Some flooring repairs needed.  Assigned space #29.  2nd on left as you are facing entry.</t>
  </si>
  <si>
    <t>Farnsworth Ave to Moliter Rd E to Tall Oaks Dr N</t>
  </si>
  <si>
    <t>Fannie Mae Homepath Property!  Pleasant 2 Bdrm, 2 bth condo on 2nd floor.   Crown molding. Fireplace in living rm. HW floors in kitchen. In unit washer/dryer. 2 balconies. Good location. HOA fees include gas &amp; water. See attached docs prior to submitting an offer on Homepath.</t>
  </si>
  <si>
    <t>Water, Gas, Common Insurance, Snow Removal</t>
  </si>
  <si>
    <t>Buyer may be responsible for up to six months past due HOA fees. Please see the attached docs. The seller has directed that all offers be made on Homepath.com.  Pre-approval/POF required with all offers.</t>
  </si>
  <si>
    <t>LANDRETH</t>
  </si>
  <si>
    <t>OGDEN (RT 34) TO FARNSWORTH, NORTH TO LANDRETH</t>
  </si>
  <si>
    <t>GORGEOUS 2-STORY TOWNHOME IN BRIARCOURT VILLAS. HOME FEATURES LARGE EAT-IN KITCHEN W/ BREAKFAST BAR + NEWER APPLIANCES. LARGE LIVING/DINING ROOM W/ WOOD-BURNING FIREPLACE + WIRED SURROUND SOUND. LARGE PAVER PATIO. MASTER BED W/ WALK-IN-CLOSET, VAULTED CEILING + ENSUITE BATH. 2ND FLOOR LAUNDRY W/ NEW W/D. FINISHED BASEMENT W/ HUGE REC. ROOM, 3RD BED + AMPLE STORAGE. SPACIOUS 2 CAR ATTACHED GARAGE. OSWEGO SCHOOLS.</t>
  </si>
  <si>
    <t>Park/Playground, Curbs/Gutters, Street Paved</t>
  </si>
  <si>
    <t>TV Antenna, CO Detectors, Ceiling Fan, Sump Pump</t>
  </si>
  <si>
    <t>Use Showing Assist  24 Hr Notice, Time 11-1pm</t>
  </si>
  <si>
    <t>J Maggio, SFR</t>
  </si>
  <si>
    <t>(312) 450-0012</t>
  </si>
  <si>
    <t>SMALL CHILD + DOG, NOTICE GREATLY APPRECIATED.  SEE ATTACHED LIST OF IMPROVEMENTS</t>
  </si>
  <si>
    <t>Third</t>
  </si>
  <si>
    <t>York to 3rd (w) to Addison (s) to Market Square</t>
  </si>
  <si>
    <t>Outstanding Market Square (End Unit) TownHome in The Heart of Uptown. Largest Unit In The Complex. Formal Living Rm W/A Fire Place. Formal Dining. Gourmet Eat-in Kitchen W/SS Appliances. Two Master Suites on 2nd Flr, Both W/Private Baths And Large Closets. Family Rm W/French Doors To The Paver Patio. Finished Sub Basement. 2.5 Car Garage. Hardwd. 1st Flr. Plantation. Molding. Balcony. The Works. Walk To Everything!</t>
  </si>
  <si>
    <t>Finished, Sub-Basement, Exterior Access</t>
  </si>
  <si>
    <t>Must Have Appt.</t>
  </si>
  <si>
    <t>GRAND AVE WEST OF RIVER RD NORTH SIDE OF STREET</t>
  </si>
  <si>
    <t>Move right into this top floor two bedroom-two bath condo in a great Franklin Park location. This freshly painted two condo features laminate flooring, ample closet space, a private balcony and off street parking. This is a Fannie Mae HomePath property.</t>
  </si>
  <si>
    <t>331-1</t>
  </si>
  <si>
    <t>fairfax commons</t>
  </si>
  <si>
    <t>Army tr west of county farm, turn north on Fairfax to ashford circle</t>
  </si>
  <si>
    <t>Fabulous one level living! White &amp; bright eat in kitchen, Vaulted Living &amp; Dining Rm with FP &amp; skylights!  Two bedrooms + Den, Master has walk in closet &amp; wardrobe closet- bath has walk in shower &amp; dual vanity's.  Hall bath has tub/shower combo.  Light and bright end unit with six panel doors, neutral carpet, security system, two car garage, sliding doors to patio, Tile floors in kitchen, foyer &amp; baths! Move in Now!</t>
  </si>
  <si>
    <t>Den, Eating Area, Foyer</t>
  </si>
  <si>
    <t>Water-Softener Owned, Security System, Ceiling Fan</t>
  </si>
  <si>
    <t>855-919-0200</t>
  </si>
  <si>
    <t>property in an estate- sold as is- rentals allowed.  move in condition- great sunny end unit ranch with attached garage!  New roof!</t>
  </si>
  <si>
    <t>8th</t>
  </si>
  <si>
    <t>VILLA VENICE</t>
  </si>
  <si>
    <t>LAGRANGE ROAD TO 51ST-EAST TO BETWEEN 8TH &amp; 9TH AVE. PARK ON 51ST, EAST SIDE OF BUILDING</t>
  </si>
  <si>
    <t>TOTALLY UPDATED UNIT W/UPDATED FEATURES!  KITCHEN W/SS APPLS, &amp; MARBLE FLR, CORIAN COUNTERTOPS, &amp; BREAKFAST BAR. NEUTRAL PAINT, NEUTRAL CARPET W/HW FLRS UNDERNEATH. BATH WITH MOSIAC TILE FLR &amp; LARGE VANITY. 2 WALL A/C UNITS INCLD. ENJOY YOUR OWN PARKING SPACE, PLUS A PRIVATE GARAGE &amp; STORAGE  IN BMT INCLD IN PRICE. OUTDOOR POOL. COIN-OP WASHERS &amp; DRYERS IN BMT. CONVENIENT TO ALL LOCATION! UPDATES W/I LAST 5 YRS. NCNC</t>
  </si>
  <si>
    <t>SEVENTH AVE ELEMENTARY SCHOOL</t>
  </si>
  <si>
    <t>20X6</t>
  </si>
  <si>
    <t>Coin Laundry, Storage, Pool-Outdoors, Security Door Locks, Curbs/Gutters, Sidewalks, Street Lights, Street Paved</t>
  </si>
  <si>
    <t>Heat, Water, Parking, Security, Pool, Exterior Maintenance, Lawn Care, Scavenger, Snow Removal</t>
  </si>
  <si>
    <t>CALL LA, ALEX LABELLE AT 708-205-6937 TO SHOW/MUST CONFIRM SENTRILOCK ON RAILING, GARAGE SIDE ENTRY.</t>
  </si>
  <si>
    <t>708-205-6937</t>
  </si>
  <si>
    <t>Alex LaBelle</t>
  </si>
  <si>
    <t>(708) 588-2070</t>
  </si>
  <si>
    <t>CALL LA, ALEX LABELLE AT 708-205-6937 TO SHOW/MUST CONFIRM SENTRILOCK ON RAILING, GARAGE SIDE ENTRY. TAXES FOR CONDO: $1,653.15, TAXES FOR GARAGE: $134.16, TOTAL: $1,787.31, NO EXEMPTIONS. GARAGE #71, PARKING SPACE #105, STORAGE # 3. NCNC.</t>
  </si>
  <si>
    <t>Poplar to Vallette east to home. Corner of Vallette and Edgewood</t>
  </si>
  <si>
    <t>31 X 110</t>
  </si>
  <si>
    <t>Recently rehabbed brick townhome across from Prairie Path.  Hardwood floors. Updated kitchen with stainless steel appliances. Updated baths and finished recreation room in basement. Newer furnace, air, windows and hot water heater. Large utility room. Washer/dryer stay. Freshly painted. Private backyard and patio. 2 car garage. End unit. Elmhurst District 205 schools.</t>
  </si>
  <si>
    <t>Text Sue to show 630-921-0833</t>
  </si>
  <si>
    <t>Susan Nagel, ABR,GRI</t>
  </si>
  <si>
    <t>(630) 921-0833</t>
  </si>
  <si>
    <t>Recently rehabbed end unit. New kitchen, hardwood floors, 2 car garage and finished basement.</t>
  </si>
  <si>
    <t>W 65th St to Latrobe Ave to 64th Pl</t>
  </si>
  <si>
    <t>4125 SQ.FT.</t>
  </si>
  <si>
    <t>Lovely 2 bedrooms 2 full baths Duplex with a 2 car detached garage and full finished basement. Built in 1941 brick home is approx 992 sq.ft. conveniently located near parks, schools and shopping. Easy access to major streets. Property was built prior to 1978 and lead based paint potentially exists. Proof of funds required on cash transactions; Lender PreÂApproval letter for financed offers (dated within last 30 days)</t>
  </si>
  <si>
    <t>The property is uninhabitable AND/OR severely damaged with deteriorated paint surfaces that will not be treated by VA and which will need to be opened or removed. Submit offer: http://www.callzteam.net/property_n/5184_W_64TH_PLACE</t>
  </si>
  <si>
    <t>4 streets west of LaGrange Rd &amp; just south of Ogden Ave &amp; the Burlington RR tracks.</t>
  </si>
  <si>
    <t>2 Bedroom, 1.5 Bath 4th floor Condo unit near downtown Lagrange. Freshly Painted and new Carpeting. Features Hardwood Floors, Dining Area, Master Suite with walk-in Closet and double Vanity, washer/dryer Hook-up, Balcony and 1 Deeded Garage Space. Walk to Metra, Shopping and Dining. This property is eligible for the Freddie Mac First Look Initiative through 2/19/15.</t>
  </si>
  <si>
    <t>Elevator, Security Door Locks</t>
  </si>
  <si>
    <t>Please download and submit additional applicable forms when submitting your offer. Fax 312-454-4465</t>
  </si>
  <si>
    <t>Beech</t>
  </si>
  <si>
    <t>Army Trail to Merbach South to Beech Ct to your new home</t>
  </si>
  <si>
    <t>15X171X96X123</t>
  </si>
  <si>
    <t>Single Family attached home (Duplex) No Assn Dues! Large Back Yard* Attached garage w/Private Driveway*Big stuff is done: Newer Furnace &amp; A/C 2011* Newer Roof 2009* Owner has lived in home for over 24 years, house needs Carpet &amp; Paint: offering a $2000 allowance* Open 2-story concept with Large eat in Kit, Large LR and Formal DR (could be used as office) walk to schools, stores etc.. Cul-de-sac** Priced to sell quick</t>
  </si>
  <si>
    <t>call 877-977-1010</t>
  </si>
  <si>
    <t>GilMore Realty, Inc.</t>
  </si>
  <si>
    <t>(630) 443-8977</t>
  </si>
  <si>
    <t>Pamela Gilmore, ABR,CRS,GRI,SFR</t>
  </si>
  <si>
    <t>630-308-4155 cell</t>
  </si>
  <si>
    <t>POLK</t>
  </si>
  <si>
    <t>IRVING PARK TO OLD SALEM TO ROOSEVELT E TO POLK</t>
  </si>
  <si>
    <t>30X84</t>
  </si>
  <si>
    <t>Kirk Rd to Division to Walnut Hill to Home</t>
  </si>
  <si>
    <t>Great east side location! Beautifully updated condo w open foyer, kitchen w new white cabinets, counter tops &amp; sink, ss appliances, new flooring on first floor, entire unit freshly painted including white trim &amp; doors, full bath for each bedroom on second floor, new carpet on second floor &amp; staircase, second floor laundry w washer &amp; dryer - Only blocks from the river between downtown St. Charles &amp; Geneva! A must see!</t>
  </si>
  <si>
    <t>MUNHALL ELEMENTARY SCHOOL</t>
  </si>
  <si>
    <t>Easy to Show - Call CSS 877-977-1010</t>
  </si>
  <si>
    <t>Kelly Bitto, SFR</t>
  </si>
  <si>
    <t>(630) 484-8785</t>
  </si>
  <si>
    <t>OFFERS 866-754-1518</t>
  </si>
  <si>
    <t>Please secure doors, turn off all lights and leave business card. Thank you for showing!</t>
  </si>
  <si>
    <t>Galway</t>
  </si>
  <si>
    <t>IL-72 TO REINKING S TO CAMBRIDGE LAKES W TO GALWAY N</t>
  </si>
  <si>
    <t>Gorgeous home awaits new owners! Brand new carpeting and fresh paint. Stunning kitchen with wood flooring and SS appliances. Two bedrooms plus spacious loft. Move in ready with a quick close possible. Welcome home!!</t>
  </si>
  <si>
    <t>Bike Room/Bike Trails, Exercise Room, Health Club, Park/Playground, Party Room, Pool-Outdoors, Curbs/Gutters, Sidewalks, Street Lights, Street Paved</t>
  </si>
  <si>
    <t>Go and Show, please use showing assist</t>
  </si>
  <si>
    <t>Shannon Hannemann</t>
  </si>
  <si>
    <t>(708) 567-1509</t>
  </si>
  <si>
    <t>708-567-1509</t>
  </si>
  <si>
    <t>Gorgeous home! Show and Sell! No For Sale sign on property.</t>
  </si>
  <si>
    <t>Spruce</t>
  </si>
  <si>
    <t>PARK ROYAL</t>
  </si>
  <si>
    <t>South on 83 to Sherwood Drive West to Hiawatha Trail West to Spruce, North to 121</t>
  </si>
  <si>
    <t>Spacious two bedroom, two bath unit featuring separate dining room. Kitchen features beautiful oak cabinets with huge table space. Living room has sliding glass doors out to balcony. Home has many built in like washer and dryer in master bath suite and wet bar off the dining room. Home has been loved and lived in, bring your decorating ideas. It has great potential.</t>
  </si>
  <si>
    <t>Coin Laundry, Elevator, Exercise Room, Storage, Party Room, Pool-Outdoors, Curbs/Gutters, Street Lights, Street Paved</t>
  </si>
  <si>
    <t>2.5-$250.00 (on Net SP)</t>
  </si>
  <si>
    <t>Call Bob Bauers @630-2446576</t>
  </si>
  <si>
    <t>Robert Bauers</t>
  </si>
  <si>
    <t>(630) 832-9406</t>
  </si>
  <si>
    <t>Can you please give me a 2 hour notice of when you want to show the unit. The owner is an older person. Thanks</t>
  </si>
  <si>
    <t>Irving Pk Rd. to Wood Dale Rd. S to Brookwood on the Greens entrance W</t>
  </si>
  <si>
    <t>Delightful 6th floor condo offering 2 bdrms, 2 full baths and 2 balconies, overlooking the For.Pre.,  western exposure. Neutrally decorated and lovely.   Garage parking #40LLe, storage space #H102,plenty of guest parking.  Beautiful outdoor pool, sundeck &amp; party room in this secure elevator building.  Well maintained building, conveniently located to Metra, expressways and shopping.  Pristine condition! Furn. neg.</t>
  </si>
  <si>
    <t>Coin Laundry, Elevator, Storage, On Site Manager/Engineer, Party Room, Sundeck, Pool-Outdoors, Security Door Locks, Curbs/Gutters, Street Lights, Street Paved</t>
  </si>
  <si>
    <t>Cul-de-sac, Forest Preserve Adjacent</t>
  </si>
  <si>
    <t>Air Conditioning, Water, Parking, Common Insurance, TV/Cable, Pool, Exterior Maintenance, Lawn Care, Scavenger, Snow Removal</t>
  </si>
  <si>
    <t>Call 855-746-9100 to schedule an appt.</t>
  </si>
  <si>
    <t>Unit can be rented after owner lives in unit for 2 years.</t>
  </si>
  <si>
    <t>WILLOWS</t>
  </si>
  <si>
    <t>OGDEN TO GREGORY, NORTH TO WILLOWS COMPLEX</t>
  </si>
  <si>
    <t>Charming Two bedroom 1.5 bath home in the Willows complex.  Home has been repaired and ready to move in.  Large living room/dining room combo, spacious bedrooms and large kitchen.  This is a Fannie Mae HomePath Property.</t>
  </si>
  <si>
    <t>Heat, Water, Common Insurance, Pool, Exterior Maintenance</t>
  </si>
  <si>
    <t>THATCHER SOUTH OF BELMONT TO OCONNOR-EAST TO PROPERTY</t>
  </si>
  <si>
    <t>SPACIOUS 2 BRM PENTHOUSE CONDO FEATURES LARGE LR-DR COMBO-EAT-IN KITCHEN-MASTER BRM W/FULL BATH-LARGE BALCONY-HEATED GARAGE PARKING-LARGE STORAGE SPACE IN GARAGE-WELL MAINTAINED AND MANAGED BUILDING-</t>
  </si>
  <si>
    <t>Coin Laundry, Elevator, Storage, Party Room, Curbs/Gutters, Sidewalks, Street Lights, Street Paved</t>
  </si>
  <si>
    <t>USE SHOWING ASST OF CALL LO EZ TO SHOW</t>
  </si>
  <si>
    <t>Tony Guggino</t>
  </si>
  <si>
    <t>(708) 583-5301</t>
  </si>
  <si>
    <t>312-318-6240</t>
  </si>
  <si>
    <t>NO RENTALS OR PETS</t>
  </si>
  <si>
    <t>Route 59 N of Butterfield Rd to Winchester Circle E to home</t>
  </si>
  <si>
    <t>Very functional 2 story quad level home with 2 bedrooms &amp; 1 1/2 baths. Galley kitchen with breakfast bar. Partial finished basement with an extra bathroom. Very spacious. 1 car attached garage included. Close to schools, great shopping and transportation. No seller disclosures. HUD HOME SOLD AS-IS. INFORMATION DEEMED RELIABLE BUT NOT GUARANTEED. SELLING BROKER TO VERIFY ALL INFORMATION.</t>
  </si>
  <si>
    <t>Frame, Stucco</t>
  </si>
  <si>
    <t>Case #137-083192. Insured Status: IN.  Up to 3% Co-op. Offers submitted on-line. Office must be HUD registered. See attached Guidelines. Go to HUDhomestore.com</t>
  </si>
  <si>
    <t>Lake to Swift go south to Tamarac, make a left. To Tamarac Blvd, make left.</t>
  </si>
  <si>
    <t>Welcome to our desirable Tamarac subdivision. This beautifully updated two story town home features neutral laminate flooring flowing throughout the entrance, living room, dining room and bedrooms. Custom "wood look" porcelain tile in the kitchen, and both bathrooms floor, tub and shower surround. New appliances in the kitchen. All new windows, and lighting. HVAC appx 2 yrs old. HWH '08. Regular sale!! Quick close.</t>
  </si>
  <si>
    <t>2.25% -$100.00 (on Net SP)</t>
  </si>
  <si>
    <t>Easy to show. Please use showing assist</t>
  </si>
  <si>
    <t>Sanchez</t>
  </si>
  <si>
    <t>Century 21 TK  Realty</t>
  </si>
  <si>
    <t>(630) 543-7000</t>
  </si>
  <si>
    <t>Effy Delmedico</t>
  </si>
  <si>
    <t>(630) 533-3291</t>
  </si>
  <si>
    <t>Washer &amp; dryer in AS IS condition. Office does not hold earnest money. It will be held by seller's attorney. NOT a short sale or foreclosure. Quick close. Beautifully done. Town home is set up as a town home NOT a condo.</t>
  </si>
  <si>
    <t>Geneva Rd to President north to Timber Ridge east.  On east side of complex</t>
  </si>
  <si>
    <t>Sought after 2nd floor unit with a garage.  Clean! Clean! Clean! Freshly painted. New carpet. New kitchen. Large balcony. Large closets. Extra storage locker.  End unit brings in the sunlight. Garage right outside building, #K5. Glen Ellyn Schools. Walk to shopping.  Enjoy clubhouse, pool &amp; tennis. Units can be rented after one year of ownership. No dogs but Cats are allowed. FHA Approved Complex</t>
  </si>
  <si>
    <t>Storage, Party Room, Pool-Outdoors, Tennis Court/s, Curbs/Gutters, Sidewalks, Street Paved</t>
  </si>
  <si>
    <t>Call listing office 630-653-1900 ext.0.</t>
  </si>
  <si>
    <t>Florence Chillemi, CNC,CSC</t>
  </si>
  <si>
    <t>(630) 300-8091</t>
  </si>
  <si>
    <t>key box inside doorway across from the mailboxes. Please make sure doors are locked. Note extra Assoc fee for garage is $240 annually. Seller is related to listing agent. FHA approved complex</t>
  </si>
  <si>
    <t>Aspen</t>
  </si>
  <si>
    <t>Rt 25 to Butterfield - go East 1 block - turn L into Woodland Lakes - L on Aspen</t>
  </si>
  <si>
    <t>Priced to sell, this 2 story townhouse has a fireplace and a basement.  Vaulted Ceilings are awesome!  2 bedrooms and 1.1 baths.  The master bath is shared.  This property will be offered at an auction event. See additional information tab.</t>
  </si>
  <si>
    <t>1% (on Gross SP)</t>
  </si>
  <si>
    <t>Property is under auction terms at (homesearch.com) 5% Buyers Premium applies. Greenlight Loans Prequalification (866â€250â€7143) is required at time of offer submission to sales@homesearch.com and CRES listing agent.</t>
  </si>
  <si>
    <t>Army Trail to Schmale S to Golfview E to Golfview Ct</t>
  </si>
  <si>
    <t>SHOWS LIKE A MODEL!  THIS HOME IS TRULY MOVE-IN PERFECT!! List of all the news &amp; updates!  Granite countertops, carpeting throughout, windows, furnace, A/C, H20 heater, bathrooms, garage door,   6 panel oak doors, and wood trim, OAK CROWN moulding HOME OVERLOOKS POND &amp; GOLF COURSE.  Neutral colors, all appliances.  PRACTICLY PERFECT IN EVERY WAY!</t>
  </si>
  <si>
    <t>Golf Course, Park/Playground, Party Room, Pool-Outdoors, Curbs/Gutters, Sidewalks, Street Lights, Street Paved</t>
  </si>
  <si>
    <t>AMBER FIELDS</t>
  </si>
  <si>
    <t>EOLA S OF 34 2 HAFNRCHTR, RT FRNSWRTH 2 FRED L 1ST BLK L</t>
  </si>
  <si>
    <t>Priced to sell!! This wonderful 2 bed, 1.5 bath is ready for you to move in. This home features an open floor concept, great for entertaining. Dark hardwood floors throughout. Beautiful updated kitchen with 42" cherry cabinets, canned lighting, granite countertops &amp; black appliances. Eat-in kitchen walks out to a builders upgrade large deck. Large Master suite with walk-in closet. And second floor laundry!!!</t>
  </si>
  <si>
    <t>(630) 445-8367</t>
  </si>
  <si>
    <t>Melissa Shankland</t>
  </si>
  <si>
    <t>(815) 641-0117</t>
  </si>
  <si>
    <t>Easy Show. Regular Sale. Bring serious buyers.</t>
  </si>
  <si>
    <t>The Glens</t>
  </si>
  <si>
    <t>Lake E of Barrington Rd to Sacramento N to Kit Carson W</t>
  </si>
  <si>
    <t>Fabulous remodeled 2nd floor unit with private entrance. Kitch has tile floor and St Steel appliances. Laminate flooring in living room, dining room and bdrms. Ceramic tile floor and tub surround in bath. Walkin closet in 2nd bdrm. Crown molding. Storage closet. Balcony. Newer d/w, stove, washer. Clean, neutral and move in ready. Garage access from entrance to unit- it is the 2nd garage Tenant moving out end of March</t>
  </si>
  <si>
    <t>2.5-$225 (on Net SP)</t>
  </si>
  <si>
    <t>Need 1 day notice. Call showing desk - 855-746-9200, confirm. required</t>
  </si>
  <si>
    <t>Dorie Ballati, GRI</t>
  </si>
  <si>
    <t>(847) 858-6940</t>
  </si>
  <si>
    <t>ECLIPSE</t>
  </si>
  <si>
    <t>Gary Ave. to Lies right to Idaho left to Elk Trail left to Hoover right to Eclipse left on Eclipse.</t>
  </si>
  <si>
    <t>BAYSHORE</t>
  </si>
  <si>
    <t>Beautiful 2 bed 2 bath townhouse. Huge MB with private bath &amp; WIC, nice size 2nd bedroom also with a WIC. Gorgeous bamboo flrs throughout dining and living room with a dual sided travertine fireplace. Balcony and front stairs redone in 2013 with trex wood. So many updates in the last few years - A/C, hot water tank, appliances, sliding glass door, living room windows &amp; light fixtures. Hurry, this home won't last!!</t>
  </si>
  <si>
    <t>2.5%-$350 (on Net SP)</t>
  </si>
  <si>
    <t>USE SHOWING ASSISTANT (MUST CONFIRM APPT)</t>
  </si>
  <si>
    <t>Kristen Williams</t>
  </si>
  <si>
    <t>630-461-4831</t>
  </si>
  <si>
    <t>Agents all curtains throughout &amp; TV/TV Mount in Kitchen is excluded. This Subdivision Is Not FHA Approved. Email all offers with contract, disclosures, POF or pre-approval to kwilliams@buyit2.com. EM must be Certified Funds Only.</t>
  </si>
  <si>
    <t>GRAND AVE W OF HUNT CLUB TO BRIDLEWOOD, N TO SALISBURY</t>
  </si>
  <si>
    <t>Fabulous 2 story townhome in excellent condition! Ready for you to move right in with all new carpet, paint, fixtures &amp; appliances! Bright open floor plan! Laminate wood floors! Spacious master with private full bath! Convenient 2nd floor laundry room! Intercom/sound system throughout entire home plus garage &amp; patio too! Great location close to abundant shopping &amp; dining, easy access to major roads &amp; tollway!</t>
  </si>
  <si>
    <t>Direct all inquiries to the co-list, Jackie Koukol, 847-736-4610. NOT FHA Approved.  Contact Jim Frazier from Citibank - 847-970-2843 for Special Financing to Qualified Buyers.</t>
  </si>
  <si>
    <t>Rt 59 to 87th East to Waterleaf  to Property</t>
  </si>
  <si>
    <t>Freshly painted new carpet great location Two Story Foyer Vaulted Ceilings Skylights dining room features sliding doors out to wood deck. Property being sold as is will qualify for all types of financing. Complex is FHA approved. Buyer responsible for all real estate transfer taxes. Minutes to Train Shopping Downtown Laundry in Unit. Seller provides $500 toward home warranty on owner occupant offers. Private Entrance</t>
  </si>
  <si>
    <t>Homesteps</t>
  </si>
  <si>
    <t>Dow Realty</t>
  </si>
  <si>
    <t>(815) 730-1900</t>
  </si>
  <si>
    <t>Thomas Mulvey, CRB,CRS,GRI</t>
  </si>
  <si>
    <t>Property Eligible Under Freddie Mac 1st Look Initiative through 04/07 for owner occupants. POF/Pre-approval on all offers. No contingencies on sale or closing EM must be cashiers check. See additional information for offer requirements</t>
  </si>
  <si>
    <t>WAYFARING</t>
  </si>
  <si>
    <t>Maple to Benedictine S 2 Weeping Willow 2 Wayfaring</t>
  </si>
  <si>
    <t>NOT 2, NOT 3, BUT 4 LEVELS OF LIVING IN THIS RECENTLY UPDATED AND SPARKLING END UNIT TOWNHOME. NEW KITCHEN, UPDATED DECK, NEW CARPET, PAINT, REFINISHED HW FLOORS AND MORE. NOTHING TO DO BUT MOVE IN AND ENJOY. NEAR  BENEDICTINE UNIVERSITY, BENET ACADEMY, SHOPPING, PUBLIC TRANSPORT AND MORE! UNDER THE HOMESTEPS FIRST LOOK PROGRAM, OWNER OCCUPANTS HAVE EXCLUSIVE RIGHT TO MAE AN OFFER THRU 2/17/15.</t>
  </si>
  <si>
    <t>CALL 855-957-1408 TO SCHEDULE SHOWING OR CLICK BELOW</t>
  </si>
  <si>
    <t>REO@WR-KP.COM FAX: 630-658-0546</t>
  </si>
  <si>
    <t>MULTIPLE OFFER SIT. H&amp;B BY 10AM WED, MARCH 4,2015. SOLD AS-IS. TAXES 100%. PURSUANT TO IL CONDO ACT BUYER RESP FOR UP TO 6 MONTHS HOA FEES + HOA ATTY FEES PRIOR TO THE FC. FAX OFFERS TO 630-658-0546 OR EMAIL TO REO@WR-KP.COM</t>
  </si>
  <si>
    <t>FOUR LAKES VILLAGE</t>
  </si>
  <si>
    <t>RT 53 SOUTH OF MAPLE TO 4 LAKES WEST TO OAKWOOD RIGHT TO BUILDING 5810</t>
  </si>
  <si>
    <t>PRICED TO SELL!! Spacious 2 bedroom end unit in secure elevator building. Sliding glass doors with views of tree top from every room. Enjoy all the amenities Four Lakes has to offer.</t>
  </si>
  <si>
    <t>Bike Room/Bike Trails, Elevator, Storage, On Site Manager/Engineer, Party Room, Pool-Outdoors, Restaurant, Tennis Court/s, Street Lights, Street Paved</t>
  </si>
  <si>
    <t>CONFIRM W/SELLER SMALL BABY. 630-251-7464 KB ON RAIL, KEY FOB FOR SECURITY DOOR BOTTOM OF CALL BOX</t>
  </si>
  <si>
    <t>Margaret Noldan, CNC</t>
  </si>
  <si>
    <t>(630) 841-6865</t>
  </si>
  <si>
    <t>630-841-6865</t>
  </si>
  <si>
    <t>Diamond Pointe</t>
  </si>
  <si>
    <t>Route 45 (Lake St),  East on Allanson, South on Diamond Pointe Drive</t>
  </si>
  <si>
    <t>END-UNIT</t>
  </si>
  <si>
    <t>Sun drenched end-unit Trilevel town home. Freshly painted, hardwood floors, walk-out basement, 2 master bedrooms with their own bathrooms, located in the back of the complex backing to the serenity of trees. Very quiet and secluded. Meticulously maintained. Brand new carpet in office. This one is priced to sell and will not last long. Owner relocating.</t>
  </si>
  <si>
    <t>07X05</t>
  </si>
  <si>
    <t>06X05</t>
  </si>
  <si>
    <t>Common Grounds, Corner, Fenced Yard, Landscaped Professionally, Water View, Wooded</t>
  </si>
  <si>
    <t>Eating Area, Foyer, Office, Walk In Closet</t>
  </si>
  <si>
    <t>Humidifier, TV-Cable, Security System, Fire Sprinklers, CO Detectors, Ceiling Fan</t>
  </si>
  <si>
    <t>N (North), E (East), Lake/Water</t>
  </si>
  <si>
    <t>CALL 855-746-9200 OR USE SHOWING ASSIST BELOW</t>
  </si>
  <si>
    <t>HUHRA</t>
  </si>
  <si>
    <t>Kay Phillips, GRI</t>
  </si>
  <si>
    <t>(972) 977-8926</t>
  </si>
  <si>
    <t>Kay's Cell:  (972) 977-8926</t>
  </si>
  <si>
    <t>Bentley</t>
  </si>
  <si>
    <t>Wilson to Prairie; South to Carlisle; East to Bentley; South to #</t>
  </si>
  <si>
    <t>Premium location w/pond views! Upgrades include ceramic tile flooring in foyer, kit &amp; dng rm; new SS appls &amp; breakfast bar; new hot water heater; spacious Master BR w/luxury bath incls soaker tub, sep shower &amp; double vanity; large walk-in closet; 1st flr Laundry Rm; spacious 2nd flr loft; 9ft ceilings; move-in condition! Not a short or foreclosure, so come see and can close quick! Great unit at a great price!</t>
  </si>
  <si>
    <t>89X156X97X156</t>
  </si>
  <si>
    <t>You're going to love all the space of this 3 lev twnhm! Main flr LR/DR area sep by a 3sded FP comp w/gas lgs! Eatin Kit offers 42" cab, new SS appls 2014 beautiful wd lam flrs &amp; all app are incl! Upstrs MB has WIC &amp; priv bath! 2nd bedroom also has a full priv bath! Perfect for a roommate, guests or kids! English bsemnt offers an add rec room area! 2 Car garage, main flr lndy, white 6 pnl door &amp; trim thru out.</t>
  </si>
  <si>
    <t>See through/Multi Sided, Gas Logs, Gas Starter, Heatilator Type System</t>
  </si>
  <si>
    <t>1 Hr showing notice, no showings after 7pm 800-746-9464</t>
  </si>
  <si>
    <t>Seller's atty will hold earnest money. Seller will pay off special assessment at closing.</t>
  </si>
  <si>
    <t>Point West</t>
  </si>
  <si>
    <t>FINLEY ROAD (SOUTH OF ROOSEVELT ROAD)</t>
  </si>
  <si>
    <t>MULTIPLE OFFERS PRESENTED.  TOP 4TH FLOOR UNIT IN POINT WEST.  2 BEDROOMS, 1.5 BATHS.  KITCHEN UPDATED WITH GRANITE COUNTERS.  SOLD AS IS ONLY, TAXES AT 100%.  FINANCED BUYERS NEED PRE-APPROVAL PLUS VERIFICATION OF DOWN PAYMENT.  CASH BUYERS NEED ALL FUNDS TO CLOSE VERIFIED PER SELLER FOR OFFERS.  PLEASE SIGN ADDENDUM, DISCLOSURES FOR OFFERS.  SEE REO SALES HELP SHEET.  PUBLIC ACT 94-1049 MAY APPLY=HOA STATES $0.</t>
  </si>
  <si>
    <t>Coin Laundry, Elevator, Storage, Park/Playground, Pool-Outdoors, Security Door Locks, Tennis Court/s, Sidewalks, Street Lights</t>
  </si>
  <si>
    <t>GREEN WILLOW</t>
  </si>
  <si>
    <t>Take Sheridan DR. south off 75th ST. to BUILDING 324</t>
  </si>
  <si>
    <t>FIRST FLOOR END UNIT COURTYARD CONDO - BEAUTIFULLY MAINTAINED, CITY LOFT LIVING - TWO BEDROOMS TWO BATHS - CORNER FIREPLACE - KITCHEN WITH LARGE PICTURE WINDOW - TWO SETS OF BALCONIES - MASTER BEDROOM WITH PRIVATE BATH -HARDWOOD FLOORS, GRANITE TOP, SS APPLIANCES. ONE CAR ATTACHED GARAGE THAT OPENS TO A UTILITY ROOM AND INSIDE ACCESS TO UNIT.</t>
  </si>
  <si>
    <t>3S016</t>
  </si>
  <si>
    <t>Rte 59 to Meadow, east to Timber Drive</t>
  </si>
  <si>
    <t>All the work is done for you!  Updated 2 sty 2br w/large loft, volume ceilings 1.1 baths &amp; 2C gar. Wood lamiate floors in Brk area &amp; Kit. Newer highend stainless appliances, newer wash/dryer, newer kit sink, newer carpet in liv rm, updated vanity in 1/2 bath. Loft has skylites and newer ceiling fan. Dbl bowl vanity in Master w/tub &amp; separate shower. White trim &amp; doors thru-out. Roof 05',furnace 07', CAC 03', HWH 06'</t>
  </si>
  <si>
    <t>Johnson Elementary School</t>
  </si>
  <si>
    <t>Check showing assist</t>
  </si>
  <si>
    <t>Brookdale Estates</t>
  </si>
  <si>
    <t>Army Trail Rd, East of Glen Ellyn Rd to Creekside Dr, North, then West to Brookdale, North to home.</t>
  </si>
  <si>
    <t>38 X 152</t>
  </si>
  <si>
    <t>Great 2 bedroom, 2.5 bath Ranch duplex in Brookdale Estates. Many upgrades include eat-in kitchen, skylights, track lighting, cathedral/vaulted ceilings, gas fireplace, finished basement, brick paver patio.  Private yard backs up to wooded area. Lots of storage and best of all,   NO ASSOCIATION FEES.  Show and sell!</t>
  </si>
  <si>
    <t>Foyer, Workroom</t>
  </si>
  <si>
    <t>TV-Cable, Ceiling Fan, Sump Pump, Backup Sump Pump</t>
  </si>
  <si>
    <t>Cedar, Masonite</t>
  </si>
  <si>
    <t>Call Office or use Showing Assist.</t>
  </si>
  <si>
    <t>Cherie King</t>
  </si>
  <si>
    <t>(630) 307-7001</t>
  </si>
  <si>
    <t>Cell:  708-751-4910</t>
  </si>
  <si>
    <t>Desirable Ranch Floor plan!  Large wooded setting!</t>
  </si>
  <si>
    <t>0N061</t>
  </si>
  <si>
    <t>Creekside Lot # 207.6</t>
  </si>
  <si>
    <t>Winfield Rd. North to High Lake West to Community on your Right</t>
  </si>
  <si>
    <t>DIVERSEY</t>
  </si>
  <si>
    <t>New Construction/Shelburne Crossing. LAST CHANCE TO OWN THIS MOST POPULAR MODEL!  End Unit w/Dramatic Ceilings In Grt Rm, Kit &amp; Hall. Kitchen w/42" Cabinetry, Granite. Volume Ceilings.  Hardwood Flooring. Master Bedroom with Pvt Luxury Bth. Fireplace.  Den &amp; Bath in LL. Minutes to CD Hospital. 30 Yr Transferable Structural Warranty, 100% Energy Star, Photos Are of Subject Home, Ready For Immediate Delivery!</t>
  </si>
  <si>
    <t>Den, Deck, Eating Area, Great Room</t>
  </si>
  <si>
    <t>Please call the Sales Office 630-456-4626 or use Showing Assist</t>
  </si>
  <si>
    <t>Agent must accompany buyers on first visit. Register your clients with Kris Shannon. Commission paid on base price. Finished LL included in Sq.Ft. 630-631-6550 call Kris with any questions.</t>
  </si>
  <si>
    <t>Mansfield</t>
  </si>
  <si>
    <t>Turnberry Manor</t>
  </si>
  <si>
    <t>GARY AVE OR RODENBURG TO TRAVIS TO MANSFIELD TO property</t>
  </si>
  <si>
    <t>Completely remodeled end unit with NEW kitchen cabinets, granite, stainless steel apps, breakfast bar, laminate wood, granite/ceramic tiles in bathrooms &amp; more. Enjoy separate bathroom entrance from master, walking closet &amp; washer &amp; dryer. Great location, 2min walk to Park, Schaumburg Metra station &amp; I-390 Elgin O'hare Hwy. plenty of visitors parking, Cul de Sac &amp; playground.</t>
  </si>
  <si>
    <t>Contact owner/Steve  @ 630-327-7007  for showings.</t>
  </si>
  <si>
    <t>Contact owner/Steve @ 630-327-7007 at  for showings. Email offers to email sales@bergproperties.com or Fax offers to (888) 615-0169.</t>
  </si>
  <si>
    <t>TREELINE</t>
  </si>
  <si>
    <t>NAPER SOUTH OF 75TH TO HARLOWE RIGHT TO TREELINE LEFT</t>
  </si>
  <si>
    <t>Wonderfully Open 2 story townhome in Bailywood. Pristine condition with Vaulted Great Room Ceilings, Frplc, formal Dining Room, Spaciously bright kitchen with plentiful cabinetry and breakfast area,  Luxury Master bedroom with updated bath, 2nd floor loft overlooking Great Room, Nice finished lower level family/rec room with office area and full bath, great storage, 2 car, turn key, Naperville School distr. #203!</t>
  </si>
  <si>
    <t>Eating Area, Loft, Utility Room-1st Floor</t>
  </si>
  <si>
    <t>Desmarais</t>
  </si>
  <si>
    <t>Pristinge condition</t>
  </si>
  <si>
    <t>RT 59 TO 75TH W TO MEADOWRIDGE TO SLATE TO BLACKSTONE</t>
  </si>
  <si>
    <t>26X130</t>
  </si>
  <si>
    <t>FABULOUS TOWNHOME WITH PREMIUM LOCATION AND HUGE BACKYARD. KITCHEN FEATURES MAPLE CABINETRY, DESIGNER CEILING FAN, RECESSED LIGHTING AND HARDWOOD FLOOR. THE INVITING BREAKFAST BAR OPENS TO THE LIVING ROOM WITH COZY FIREPLACE. THE DINING ROOM PATIO DOOR OFFERS ACCESS TO THE BRICK PAVER PATIO AND HUGE BACKYARD. UPSTAIRS, THE SPACIOUS LOFT CAN EASILY BE CONVERTED INTO A 3RD BEDROOM. 204 SCHOOLS, CLOSE TO EVERYTHING!</t>
  </si>
  <si>
    <t>CALL BAIRD &amp; WARNER SHOWING DESK 855-746-9100</t>
  </si>
  <si>
    <t>One block East of York St. on Park</t>
  </si>
  <si>
    <t>Richard &amp; Diane Tonielli</t>
  </si>
  <si>
    <t>Patricia Peiffle, ABR,CNC</t>
  </si>
  <si>
    <t>(630) 205-6434</t>
  </si>
  <si>
    <t>H108</t>
  </si>
  <si>
    <t>OGDEN WEST 2 SARATOGA N 2 WESTBROOK COMPLEX 2 BLDG</t>
  </si>
  <si>
    <t>GORGEOUS 2 BR UNIT WITH NOTHING TO DO BUT MOVE-IN. FRESHLY PAINTED WITH BEAUTIFUL MAPLE CABINETS, ALL NEWER APPLIANCES, GRANITE COUNTER TOPS, CERAMIC FLOORS, NEWER WINDOWS AND GLASS DOOR TO PATIO, TRACK LIGHTS AND CAN LIGHTS, CEILING FANS AND NEUTRAL CARPET. LAUNDRY ONLY STEPS FROM UNIT PLUS INDIVIDUAL STORAGE UNITS. WALK TO EVERYTHING, CLOSE TO EXPRESSWAYS PLUS COMMUTER BUS TO TRAIN. SHOW BEFORE IT'S GONE!!!!!</t>
  </si>
  <si>
    <t>Bike Room/Bike Trails, Coin Laundry, Storage, Pool-Outdoors, Security Door Locks</t>
  </si>
  <si>
    <t>Heat, Water, Common Insurance, Clubhouse, Pool, Exterior Maintenance, Lawn Care, Scavenger, Snow Removal</t>
  </si>
  <si>
    <t>Gas, Baseboard, Indv Controls</t>
  </si>
  <si>
    <t>CALL LA EASY TO SHOW 708-707-6447</t>
  </si>
  <si>
    <t>DONNA SINGLEMAN</t>
  </si>
  <si>
    <t>Denise Sinadinos</t>
  </si>
  <si>
    <t>(708) 707-6447</t>
  </si>
  <si>
    <t>PLEASE CALL LA FIRST MUST HAVE APPOINTMENT. KEY AT LO JUST A COUPLE OF BLOCKS AWAY FROM PROPERTY.  LA DENISE SINADINOS #708-707-6447.</t>
  </si>
  <si>
    <t>Adell</t>
  </si>
  <si>
    <t>Museum Square</t>
  </si>
  <si>
    <t>1st block East of Cottage Hill and 1 Street West of York. Off of Adelaide.</t>
  </si>
  <si>
    <t>BOTERO TOWN HOME</t>
  </si>
  <si>
    <t>Rarely available Museum Square town home priced for quick sale. Walk to train, town, library, schools from this 1935 sq ft unit with wrought iron gate, 2 bedrms, 2.1 baths, &amp; only 2 levels. 2 heated parking spots. Meticulously maintained &amp; all new windows which seller paid for. Gas fireplace, 2nd fl laundry, hardwood floors on 1st floor. Nice master w/ bath &amp; 2 walk-in closets. Island in kitchen plus dining room.</t>
  </si>
  <si>
    <t>Exercise Room, Storage, Receiving Room, Security Door Locks, Sidewalks, Street Lights, Street Paved</t>
  </si>
  <si>
    <t>Parking spots are #7 and #99. Separate pins for prkg spots. Taxes shown include both. Orign owner had builder put up a wall which can come down for more open concept if wanted.They made 2 separate areas which include a LR and a Den with FP.</t>
  </si>
  <si>
    <t>RT 34 to Douglas go N. to Farmington Lakes Drive to Springbrook Trail North to Brookside to home</t>
  </si>
  <si>
    <t>26X80X25X80</t>
  </si>
  <si>
    <t>FRESH &amp; READY! POTTERY BARN COLORS THRU-OUT! UPGRADED W/GORGEOUS WHITE CROWN MOLDING, WHITE DOORS AND TRIM, 9FT. CEILINGS! SPACIOUS LIV RM FEAT GAS FIREPLACE &amp; OAK MANTLE! PARTY SIZED KITCHEN W/42" MAPLE CABINETS &amp; ALL APPLIANCES FLOW INTO DIN RM W/SGD TO PATIO &amp; TREELINE! OAK RAILED STAIRCASE LEADS TO HUGE OPEN LOFT! MASTER BEDRM W/WALK IN CLOSET! CEILING FANS W/LIGHTS IN LOFT &amp; BOTH BDRMS! 2ND FLR LNDRY! STUNNING**</t>
  </si>
  <si>
    <t>TEXT L.A. 630-728-4412 FULL INFO AND GIVE 3 HOUR NOTICE, THANKS</t>
  </si>
  <si>
    <t>Terry Pazo</t>
  </si>
  <si>
    <t>(630) 728-4412</t>
  </si>
  <si>
    <t>REALLY NICE REGULAR SALE! EASY TO SELL, EASY TO CLOSE! LOVELY NATURE WALKING TRAILS, IDEAL LOCATION!</t>
  </si>
  <si>
    <t>PARK BLVD 2 RAINTREE DR 2 RAINTREE CT N 2  BROMLEY HOUSE</t>
  </si>
  <si>
    <t>The VERY BEST Raintree unit available.  All updated bright cheery end unit w/ beautiful southern views &amp; light.  Newly painted throughout,  new carpeting, new kitchen &amp; bath flooring.  One of the few units available with LAUNDRY IN THE UNIT.  Newer bright white kitchen with Corian counters, w/open floor plan.  Private balcony for summer evenings. Pool, clubhouse, tennis courts--feels like a resort. Lives like a dream</t>
  </si>
  <si>
    <t>Coin Laundry, Elevator, Exercise Room, Storage, On Site Manager/Engineer, Party Room, Pool-Outdoors, Tennis Court/s</t>
  </si>
  <si>
    <t>Beth Gorz</t>
  </si>
  <si>
    <t>(630) 361-4288</t>
  </si>
  <si>
    <t>Parking space #4.</t>
  </si>
  <si>
    <t>CARRIAGE PLACE CONDOS</t>
  </si>
  <si>
    <t>Cossitt Ave. to 6th.  North on 6th to 90 (corner of Cossitt &amp; 6th)</t>
  </si>
  <si>
    <t>This condo is a breath of fresh air!Gleaming Hardwood floors in the neutrally painted Dining &amp; Living Rooms! Upgraded dining chandelier Sliders lead to new balcony! Spacious kitchen w/ all appliances, storage &amp; eating area! Beautiful master bedroom w/hardwood floors! Guest Bedroom w/hardwood floors.Walk to Downtown LaGrange, transportation,dining,entertainment!Extra Storage/Bike Storage!Shows in Turn Key condition!</t>
  </si>
  <si>
    <t>No rentals allowed. Not FHA approved  Please use 6.0 contract for all offers.</t>
  </si>
  <si>
    <t>ROUTE 59 TO NORTH AURORA RD (WEST) TO PENNSBURY (SOUTH) TO BROMLEY (RIGHT)</t>
  </si>
  <si>
    <t>Well maintained townhome with a two story living room &amp; view of landscaped backyard~all appliances included~Neutral decor~Huge master bedroom with walk in closet &amp; private bath~2nd floor laundry ~Add. bedroom with bath~Cozy loft for desk or comfy reading nook~Big kitchen with walk in pantry~ Large patio~ Quick close okay! Excellent District 204 schools &amp; close to METRA train and I-88 too. Welcome home!</t>
  </si>
  <si>
    <t>Call Showing Time 800-746-9464.</t>
  </si>
  <si>
    <t>Kathryn Hoffman, ABR,CNC,CRS,GRI</t>
  </si>
  <si>
    <t>Confirm with Vanguard about tenants and renting.  Info current as of list  time</t>
  </si>
  <si>
    <t>Dartmouth</t>
  </si>
  <si>
    <t>DARTMOUTH VILLAGE</t>
  </si>
  <si>
    <t>Roosevelt Rd to Westhaven south to Dartmouth to 1042</t>
  </si>
  <si>
    <t>One level living plus a full finished basement. Comfortable floor plan. Re-designed kitchen has lovely cherry cabinets, a breakfast bar island and a swanstone sink. Gleaming hardwood floors. Fireplace &amp; sliding doors to enclosed courtyard in the family room. Rec room &amp; office in basement. Bay window with a window seat in the living room. 2 car garage. Near shopping, schools, METRA &amp; expressways</t>
  </si>
  <si>
    <t>Humidifier, Intercom, Radon Mitigation System(s)</t>
  </si>
  <si>
    <t>Courtyard, Quad-Ranch, Townhouse-Ranch</t>
  </si>
  <si>
    <t>Call LA at 630-215-8617 Click on showing assist for more info</t>
  </si>
  <si>
    <t>Lee Smith</t>
  </si>
  <si>
    <t>(630) 665-5663</t>
  </si>
  <si>
    <t>Emerald Bay</t>
  </si>
  <si>
    <t>Rte 120, W of Fairfield 1/4 mile, to Jade (Emerald Bay), N to # on the left, end unit.</t>
  </si>
  <si>
    <t>Fabulous Linden Model END UNIT has breathtaking sunsets, privacy &amp; adjacent to woods. FULL BSMT ready for your finishing touches! This home was customized and features island with brkfst bar, pantry, stainless appliances, granite counters and white cabinets. Open loft could be 3rd bedroom, is currently light filled and inspiring office. Master bath w/ ceramic tile, jetted tub and separate shower. Shows like a model.</t>
  </si>
  <si>
    <t>Millie Kepler, CRS,GRI</t>
  </si>
  <si>
    <t>(847) 557-1604</t>
  </si>
  <si>
    <t>End Unit with wooded views and full basement!</t>
  </si>
  <si>
    <t>55TH STREET TO HOLMES SOUTH TO CLARENDON COURT EAST</t>
  </si>
  <si>
    <t>Move right in! Extremely well-maintained â€œPottery Barnâ€ style 2-story Twnhm features 2 BR, 2.1BA in highly desirable Hinsdale Cent HS Dist. Bright op flr pln, vaulted ceilings thru-out,  1st fl Frplc, priv deck, fin BSMT w/full bath (BR 3?), attch Grge, part fin attic w/lots of storage. Quiet location, nicely wooded &amp; managed nghbrhd. Walk dist to Metra/cozy Dwntwn Clar Hills. Rt 83 close. Dwntwn Chicago 15 min drv.</t>
  </si>
  <si>
    <t>CALL 877-977-1010 Showings Th thru Sun much preferred</t>
  </si>
  <si>
    <t>Co-LA E-M: lukeb@selectafee.com</t>
  </si>
  <si>
    <t>Disclosures online. E-mail w. 6.0 contract to LA/Co-LA, Luke Brown, lukeb@selectafee.com. Call cnfrm rcv'd Items not incl: Dcrtv shlvng in BR, LR, on porch. Drapes, Hrdwr both BR's/Bsmnt. Iron chandelier-Fm Rm. Mirrors-Pwdr Rm, Bsmnt Bth.</t>
  </si>
  <si>
    <t>Tangueray Meadows</t>
  </si>
  <si>
    <t>Grass Lake &amp; Hunt Club Rd. W to Tangueray. N to Sterling to property on right.</t>
  </si>
  <si>
    <t>Wonderful 2bed/1.1 bath townhouse with loft. Large living room with tons of sunlight. Spacious bedrooms and a master walk-in closet. Balcony off kitchen. 2 car attached garage. Low taxes. This is a Fannie Mae HomePath property.</t>
  </si>
  <si>
    <t>19W155</t>
  </si>
  <si>
    <t>AVENUE ROYAL</t>
  </si>
  <si>
    <t>CHAMBORD</t>
  </si>
  <si>
    <t>31ST ST W OF MEYERS TO AVE LATOURS TO AVE ROYAL</t>
  </si>
  <si>
    <t>You'll enjoy living and entertaining in this beautiful end unit. Lots of light shines through its newer windows. Open floor plan w/cathedral ceilings, 3 sided gas FP, and refinished hardwood floors. Maple kitchen w/ newer appliances. W&amp;D on 1st floor. FR is being used as a breakfast area. Full unfinished Bsmt. Lots of storage. Tankless HWH and newer furnace. Complex w/pool &amp; tennis close to shopping &amp; restaurants</t>
  </si>
  <si>
    <t>Oven-Double, Microwave, Dishwasher, Refrigerator, Washer, Dryer</t>
  </si>
  <si>
    <t>CALL LISTING OFFICE OR USE SHOWINGASSIST - No showings after 6PM, please.</t>
  </si>
  <si>
    <t>Robert Fogler</t>
  </si>
  <si>
    <t>annual pool fee $420. No showings after 6pm, please.</t>
  </si>
  <si>
    <t>Cass Avenue to Plainfield Road, West to Darien Lake Drive, South and west to address</t>
  </si>
  <si>
    <t>113X17</t>
  </si>
  <si>
    <t>ON WATER. NEWLY PAINTED THRU OUT (NEUTRAL). ALL NEWER APPLIANCES(WASHER &amp; DRYER ALS0), FURNACE 2013,NEW CARPETING 2013 FANS IN LR &amp; MBR. SKYLIGHTS, VAULTED CEILING. STONE FIREPLACE IN GREAT ROOM-BREAKFAST BAR OPEN TO GREAT ROOM, PULL DOWN STAIRS IN GARAGE. HARDWOOD IN KITCHEN,POWDER ROOM &amp; FOYER. CLOSE TO #294,I55 &amp; I355. POOL, TENNIS COURTS &amp; PLAY AREA. MOVE IN AND ENJOY. AVAILABLE IMMEDIATELY.</t>
  </si>
  <si>
    <t>2.5%-$250. (on Gross SP)</t>
  </si>
  <si>
    <t>CALL OR TEXT LISTER AND SHOW ON SENTRILOCK BOX.</t>
  </si>
  <si>
    <t>Mary Anne Walsh Hoey, GRI</t>
  </si>
  <si>
    <t>(708) 951-5555</t>
  </si>
  <si>
    <t>WONDERFUL AREA.GREAT NEIGHBORS!GREAT SCHOOLS.THANK YOU FOR SHOWING.  PLEASE REMOVE SHOES AND TURN OFF LIGHTS WHEN LEAVING.  SLIDING GLASS DOORS ARE NEW.</t>
  </si>
  <si>
    <t>TERRACE POINT CONDOS</t>
  </si>
  <si>
    <t>BETWEEN LAWRENCE AND MONTROSE.</t>
  </si>
  <si>
    <t>IMMACULATE, NEUTRAL DECOR. FULLY APPL EAT-IN KITCHEN W/ OAK CABINETS. LARGE FORMAL DR. FORMAL LR W/SGD TO 14X6 BALCONY. MASTER BEDROOM SUITE W/2 CLOSETS &amp; FULL  BATH. NEW CPTG. THRU-OUT. GORGEOUS SOLID OAK DOORS &amp; TRIM. CT ENTRY W/LARGE WALK-IN CLOSET. HANDICAP ACCESSIBLE. RADIANT HEATED FLOORS. IN-UNIT LAUNDRY. FLEXICORE CONSTRUCTION. HUGE WALK-IN STORAGE LOCKER. DEEDED GARAGE SPACE #19.CLOSE TO PACE AND SHOPPING.</t>
  </si>
  <si>
    <t>JOHN V LEIGH ELEMENTARY SCHOOL</t>
  </si>
  <si>
    <t>2.5%-$ 295 (on Net SP)</t>
  </si>
  <si>
    <t>PLEASE CALL LISTING OFFICE TO SHOW  630-333-1500</t>
  </si>
  <si>
    <t>* NOT A SHORT SALE OR FORECLOSURE! **FURNITURE FOR SALE.</t>
  </si>
  <si>
    <t>W INDIAN TRAIL L2 HIGHLAND R2 OLD INDIAN TRAIL L2 FORAN L2 RICHARD L2 HOME</t>
  </si>
  <si>
    <t>Cute Townhouse Centrally Located! Living Room With Picture Window Overlooks Green Area. Laundry Available In Unit. Spacious Kitchen Has Tons Of Cabinet Space. Large Master Bedroom With Walk In Closet and Extra Storage. One Car Detached Garage With Extra Parking In Back. Close To Interstate and Shopping. Close To Schools and River. THIS IS A FANNIE MAE HOMEPATH PROPERTY.</t>
  </si>
  <si>
    <t>Water, Exterior Maintenance, Snow Removal</t>
  </si>
  <si>
    <t>CALL 630-608-4777 IF QUESTIONS AFTER SHOWING. **KEYBOX ON FRONT DOOR.** PLEASE LOCK ALL DOORS &amp; TURN OFF LIGHTS. SELLER REQUESTS ALL OFFERS SUBMITTED THRU HOMEPATH.COM.**BUYER RESPONSIBLE FOR TRANSFER STAMPS.</t>
  </si>
  <si>
    <t>mill street west on Kensington ct. south of bauer</t>
  </si>
  <si>
    <t>Great northside location!  End unit with fireplace NEW KITCHEN WITH MAPLE CABINETS, NEW BATHROOM CABINETS, NEW LIGHTING, NEW CARPET AND FRESHLY PAINTED!!  NEW WINDOWS NEW FURNACE AND AIR CONDITIONER!  WASHER AND DRYER INCLUDED!  NOTHING TO DO BUT MOVE RIGHT IN!!!! WALK TO TRAIN AND TOWN 5 MINUTES TO i88. LARGE MASTER WITH WIC AND 2ND CLOSET!  SCHOOL DISTRICT 203!  DOESN'T GET ANY BETTER!!</t>
  </si>
  <si>
    <t>VACANT PLS LOCK UP</t>
  </si>
  <si>
    <t>estate of Nancy Mann</t>
  </si>
  <si>
    <t>Adele Jensen</t>
  </si>
  <si>
    <t>(630) 215-4550</t>
  </si>
  <si>
    <t>one of the largest units, new carpet, cabinets, paint, furnace ,windows and air conditioning washer and dryer inc. ! shows well!!</t>
  </si>
  <si>
    <t>RT 120 W OF RT 83 TO ALLEGHANY S2 STATION PARK E2 HOME</t>
  </si>
  <si>
    <t>ANNAPOLIS</t>
  </si>
  <si>
    <t>Love to work or play in the City? Prefer a more peaceful living environment? Then this is the place for you!  Contemporary &amp; beautifully appointed 2 bed/2.1 bath townhome is in walking distance of the Metra!  Gleaming hwd flrs on main! SS appliances! Corian counters &amp; maple cabs in kit! 1st flr laundry! Vaulted ceilings in MB w/priv bath! Fin English bsmt! 2-Car Att Garage! Backs to open space!  Clean &amp; immaculate!</t>
  </si>
  <si>
    <t>Call listing office.  1 HR Notice Preferred.</t>
  </si>
  <si>
    <t>PRIVATE</t>
  </si>
  <si>
    <t>Candy Hill</t>
  </si>
  <si>
    <t>(224) 588-2131</t>
  </si>
  <si>
    <t>Fax:  847-356-5794</t>
  </si>
  <si>
    <t>Quick close possible!</t>
  </si>
  <si>
    <t>RT 60 TO BUTTERFIELD SOUTH TO ORLEANS &amp; WEST</t>
  </si>
  <si>
    <t>Spacious 2 story end unit townhome in Lakewood Village! Beautiful laminate wood floors on main level! Kitchen boasts new fridge &amp; new dishwasher, large pantry, eating area w/sliding glass doors to patio! Walk in closets in both bedrooms! Private master bath! Convenient 2nd floor laundry w/new washer! Great storage! Excellent location near abundant shopping &amp; dining! Hawthorn Schools! NOT A Short Sale Or Foreclosure!</t>
  </si>
  <si>
    <t>847-367-4886</t>
  </si>
  <si>
    <t>ROUTE 45 &amp; 132, N TO COUNTRY PLACE, W TO FARMINGTON, S TO NEUBAUER CIRCLE, RIGHT AFTER STOP SIGN.</t>
  </si>
  <si>
    <t>WINDHAM</t>
  </si>
  <si>
    <t>NOTHING TO DO BUT MOVE IN TO THIS LUXURY END UNIT, SURROUNDED BY OPEN SPACE &amp; PARK. 42" CHERRY CABINETS. QUARTZ COUNTERS. SS FULLY APPLIANCED. BRKFST BAR. ENTIRE HOME JUST PAINTED &amp; NEW BLINDS THRU-OUT. MASTER W/SITTING RM, DOUBLE VANITIES &amp; WALK-IN CLOSET. VOLUME CEILINGS THRU-OUT W/TONS OF CAN LIGHTING. LOWER LEVEL FEATURES PRIVATE BEDRM, BATH &amp; FAMILY RM. 2-CAR GARAGE. A 10+</t>
  </si>
  <si>
    <t>JEFF CLARK: 708-494-2378</t>
  </si>
  <si>
    <t>FANTASTIC LOCATION. FEELS LIKE YOU ARE IN A SINGLE FAMILY HOME. VIEW IS PHENOMENAL. IN PRISTINE &amp; PERFECT CONDITION. AWESOME SOUGHT AFTER SCHOOLS. PERFECT FOR RELATED LIVING. VERY FEW OF THIS MODEL IN SUBDIVISION.</t>
  </si>
  <si>
    <t>Butterfield to Creekside to Muirwood Ct</t>
  </si>
  <si>
    <t>Great location. End unit with finished basement. Pergo floors throughout first floor. Living room with crown moldings. Kitchen with newer maple cabinets and breakfast area. All appliances included. Remodeled baths. Attached garage with storage. Ready to move in.</t>
  </si>
  <si>
    <t>Pool-Outdoors, Street Lights, Street Paved</t>
  </si>
  <si>
    <t>Common Insurance, Pool, Exterior Maintenance, Lawn Care, Scavenger, Snow Removal, Other</t>
  </si>
  <si>
    <t>call LO</t>
  </si>
  <si>
    <t>Please call 847-984-4872 to schedule an appt. Hours daily 10-5, Monday 1-5, Sunday 11-5</t>
  </si>
  <si>
    <t>Agents must accompany client on initial visit to qualify for compensation. Please call the Sales Office at 847-984-4872. Hours Daily 10-6, Sunday 11-6, Monday 1-6. "Ask about builders lender DHI Mortgage financing rewards"</t>
  </si>
  <si>
    <t>21W507</t>
  </si>
  <si>
    <t>TANAGER</t>
  </si>
  <si>
    <t>MAPLE HOLLOW</t>
  </si>
  <si>
    <t>NORTH AVENUE TO SWIFT ROAD.  SOUTH TO TANAGER.</t>
  </si>
  <si>
    <t>Cul-de-sac location. Impeccably maintained &amp; decorated. Living rm with hardwood floor (currently used as formal dining rm), family rm, kitchen s/stainless appliances, granite  &amp; pantry closet. 2nd flr loft. Master suite w/volume ceiling. 2nd floor laundry. Private rear patio overlooking park-like space. Close to expressways, shopping &amp; Churchill Woods Forest Preserve. GLEN ELLYN SCHOOLS - BEN FRANKLIN ELEMENTARY.</t>
  </si>
  <si>
    <t>CALL LISTING AGENT FOR APPOINTMENT 630-417-6206</t>
  </si>
  <si>
    <t>Sandie Wilson</t>
  </si>
  <si>
    <t>(630) 417-6206</t>
  </si>
  <si>
    <t>630-417-6206     fax-781-609-9431</t>
  </si>
  <si>
    <t>ABSOLUTELY BEAUTIFUL UNIT.  WILL NOT LAST LONG!</t>
  </si>
  <si>
    <t>ROUTE 59 TO MCCOY, WEST TO GREGORY, NORTH TO BUILDING ~ ON RIGHT SIDE</t>
  </si>
  <si>
    <t>Fresh &amp; Fabulous 2nd flr End Unit is Bright &amp; Beautiful! All new Stainless Steel appliances in remodeled kitchen~a wall of cabinets! Full bath remodeled~powder room updated, new ceramic floors, on trend colors &amp; light fixtures, laundry in unit! Uber convenient to shopping/Xways/Metra/Dining/more! Peaceful Courtyard views from big balcony! Asst incls: Heat/Gas/Water/Pool/Clubhse/Lawncare/Snow removal/more - Ready NOW!</t>
  </si>
  <si>
    <t>Storage, Party Room, Pool-Outdoors, Security Door Locks, Curbs/Gutters, Sidewalks, Street Lights, Street Paved</t>
  </si>
  <si>
    <t>Call Showing Desk 1-866-571-7181 for appt. Show with Confidence! Combo box to the left of back door.</t>
  </si>
  <si>
    <t>Call Co-List Pamela at 630-217-9450</t>
  </si>
  <si>
    <t>Please contact co-list Pamela Trinco 630.217.9450 with all questions/offers.  **Home Warranty transferable to new owners!**  Great Unit! Combo code provided with your confirmed appointment.</t>
  </si>
  <si>
    <t>MAIN ST NORTH OF THE TRACKS TO ROGERS EAST TO HOME (keybox on railing)</t>
  </si>
  <si>
    <t>RARE IN TOWN LOCATION! EAT IN KITCHEN WITH GRANITE COUNTERS, CHERRY WOOD CABINETS, SPACIOUS LIVING ROOM WITH DOOR TO PRIVATE BALCONY, 6 PANEL DOORS, IN UNIT WASHER AND DRYER, 2ND BEDROOM CURRENTLY USED AS DEN. STORAGE SPACE ON SAME FLOOR, GARAGE PARKING SPACE #16. WALK TO TRAIN, RESTAURANTS, PARKS, &amp; SHOPPING.</t>
  </si>
  <si>
    <t>CALL CENTRALIZED SHOWING FOR APPOINTMENT 877-977-1010</t>
  </si>
  <si>
    <t>Diane Coyle, CNC</t>
  </si>
  <si>
    <t>(630) 435-3535</t>
  </si>
  <si>
    <t>Go left off the elevator. ALL BUYERS MUST BE ACCOMPANIED BY THEIR BUYERS AGENT.</t>
  </si>
  <si>
    <t>SOUTHSHORE</t>
  </si>
  <si>
    <t>South Shore Dr. East to property</t>
  </si>
  <si>
    <t>Large, very bright sunny 2 bedroom unit with stunning lake views!  Recently painted. Laminated floors. Full amenity building, 24 hour doorman, lake front terrace, exercise room, party room, laundry room, valet cleaners, storage,  bike room, on site Manager/Engineer. Close to transportation, golf course, bike trails, park and lake. Parking spot cannot be transferred, $65/month leased from building, wait-list.</t>
  </si>
  <si>
    <t>22X24</t>
  </si>
  <si>
    <t>Bike Room/Bike Trails, Door Person, Elevator, Exercise Room, Storage, On Site Manager/Engineer</t>
  </si>
  <si>
    <t>Lake Front, Park Adjacent, Water View</t>
  </si>
  <si>
    <t>Heat, Water, Common Insurance, Doorman, Exterior Maintenance, Lawn Care, Scavenger, Snow Removal</t>
  </si>
  <si>
    <t>Evelyn Fred</t>
  </si>
  <si>
    <t>(773) 981-2005</t>
  </si>
  <si>
    <t>Showing Agent must accompany clients.  Parking not transferable, $65/month leased, waitlist.</t>
  </si>
  <si>
    <t>RT 25 N OF RT 68 W ON LAKE MARION TO BROOKDALE S TO HOME</t>
  </si>
  <si>
    <t>NICELY UPDATED! WHITE CABINETS IN THE KITCHEN. NEUTRAL DECOR THAT FEATURES AN OPEN FLOOR PLAN, WHITE 6 PANEL DOORS &amp; TRIM. LARGE MASTER BEDROOM CONNECTS TO BATH WITH SEPARATE SINKS AREA A "JACK N JILL" BATH. 2ND FLOOR LAUNDRY, GENEROUS SIZED CLOSETS AND A WALK OUT PATIO. LOTS OF UPGRADES! GREAT LOCATION CLOSE TO SHOPPING, TRANSPORTATION &amp; EXPRESSWAYS!</t>
  </si>
  <si>
    <t>2.5%ON NET SELLING PRICE- $200 (on Net SP)</t>
  </si>
  <si>
    <t>Maria P Ruiz</t>
  </si>
  <si>
    <t>(815) 236-1543</t>
  </si>
  <si>
    <t>Easy to show, beautiful unit ready for the next owner. NO FHA approved !</t>
  </si>
  <si>
    <t>Take Lake Park to 53rd st. Turn right on 53rd to Harper. Make a left on Harper. Property on left.</t>
  </si>
  <si>
    <t>172X265</t>
  </si>
  <si>
    <t>Unit is in great condition and in a great neighborhood. 2 bed 2 bath condo, hardwood floors throughout, SS appliances with in unit W/D and central air. Property is close to dining and shopping and it gets even better! You are just steps away from the lake front, Lake Shore Dr and the metra and bus stops.</t>
  </si>
  <si>
    <t>15X25</t>
  </si>
  <si>
    <t>Monica Magee</t>
  </si>
  <si>
    <t>Great Unit. Buyer can negotiate a parking spot with the bank around the corner for a fee. That arrangement has nothing to do with the association.</t>
  </si>
  <si>
    <t>Glasgow</t>
  </si>
  <si>
    <t>Schick (W) of County Farm to Morton (N) to Camden (W) to Glasgow</t>
  </si>
  <si>
    <t>IMPECCABLY MAINTAINED TOWNHOUSE IN DESIRABLE MAYFAIR STATION*EAT-IN KITCHEN W/NEWER CABS, GRANITE TOPS, HRDWD FLRS &amp; PANTRY CLOSET*2 STY SUN DRENCHED LIV RM*DIN RM W/SGD TO PATIO*MSTR STE W/VAULTED CEILINGS, HIS/HER CLOSETS, PRIV BTH W/STEP IN SHOWR, DBL BOWL VANITY*LRG 2ND BED &amp; HALL BATH*LOFT OVERLOOKS LIV RM &amp; CAN EASILY BE CONVERTED TO 3RD BED*ATTACHED GARAGE W/ROOM FOR STORAGE*GREAT LOCATION!*BARTLETT SCHOOLS!!</t>
  </si>
  <si>
    <t>USE SHOWING ASSIST OR CALL 855-919-0376, MUST CONFIRM</t>
  </si>
  <si>
    <t>Call or e-mail Co-List Rick Fisher with any questions: 630-605-4962 or rickf.realtor@comcast.net</t>
  </si>
  <si>
    <t>Westmore/Meyers north of Roosevelt  to Wilson east to home.</t>
  </si>
  <si>
    <t>Gorgeous 2 Bedrooms 2.1 Baths Townhouse with a single car attached garage! Fabulous open floor plan! Master bedroom with Vaulted ceilings. 2nd bedroom with walk-in closet and separate bath. Gourmet eat-in kitchen with granite counters, breakfast bar and breakfast area leads to dining and living room.  Sliding doors from living room leads to patio&amp;open green area. Low monthly assessment. Great location! See it today!</t>
  </si>
  <si>
    <t>18X4</t>
  </si>
  <si>
    <t>Aiste Buinauskaite</t>
  </si>
  <si>
    <t>Please, email your offers to aiste@callzteam.com Other items included:   Closest Organizers &amp; Living Room entertainment center (Excluding Television and electronics within the unit). Property is occupied. 2h notice is required.</t>
  </si>
  <si>
    <t>ARMY TRAIL TO GLEN ELLYN S TO FULLERTON TO PROPERTY</t>
  </si>
  <si>
    <t>Fully rehabbed  2 bedroom condo on the first floor is waiting for you, move right in! Nice and clean, very spacious rooms and closets,  eat in kitchen, patio, assigned parking, laundry in the building. Come see it today!</t>
  </si>
  <si>
    <t>Conventional, VA, Cash Only</t>
  </si>
  <si>
    <t>2.5%-195 (on Gross SP)</t>
  </si>
  <si>
    <t>BOOK THRU SCHEDULE A SHOWING</t>
  </si>
  <si>
    <t>Gabriela Docarova</t>
  </si>
  <si>
    <t>(773) 484-5665</t>
  </si>
  <si>
    <t>PLEASE SEND YOUR OFFER TO: GABRIELA.DOCAROVA@YAHOO.COM</t>
  </si>
  <si>
    <t>HERITAGE</t>
  </si>
  <si>
    <t>RT.34 TO HERITAGE NORTH &amp; WEST</t>
  </si>
  <si>
    <t>38X145</t>
  </si>
  <si>
    <t>Well maintained 2 bedroom/1.5 bathroom home in a great location! Spacious rooms, nice patio, PLUS a 1 car garage! Priced to sell! Choose FHA financing to qualify for $100 down payment. Ask your Agent for details. Sold as-is. Equal Housing Opportunity</t>
  </si>
  <si>
    <t>Case#137-481524.INS.STATUS:INSURED.Up to 3% co-op Offers 2B put on-line Off.must be registered &amp; have a NAID# Go to hudhomestore.com 4 online bidding SEE PCR UNDER ADDENDUMâ€™S TAB.?â€™s to fsrhomes@aol.com.SOLD AS-IS.www.hometelosfirst.com</t>
  </si>
  <si>
    <t>Corner of Harlem Ave and  Wrightwood (Just North of Planet Fitness)</t>
  </si>
  <si>
    <t>Perfect Location! Adorable 2 Bedrm 1.1 Bath Unit w/Balcony in Quiet Secure Building. Nice Unit Large Liv rm/Dining-rm Combo &amp; Eat-In Kitchen. 2 Good size Bedrms &amp; Lots of Closets, Master Bedrm has Attached 1/2 Bath &amp; Double Closet! New Windows &amp; A/C (2)Wall Units. Coin Lndry In Building. Storage Closet &amp; Assigned Parking Space. Transportation Shopping Banking Fitness &amp; Schools - Walk to Everything!  Sold As-Is No FHA</t>
  </si>
  <si>
    <t>(773) 637-6500</t>
  </si>
  <si>
    <t>Laurie Catallo</t>
  </si>
  <si>
    <t>(773) 386-1238</t>
  </si>
  <si>
    <t>Sold As-Is Listing Agent Must Accompany All Showings Unit is Rentable  Not FHA Approved</t>
  </si>
  <si>
    <t>Roosevelt to Ardmore, north to building.</t>
  </si>
  <si>
    <t>Penthouse with Sunny Southern Exposure! Meticulously maintained features vaulted ceilings, Pergo floors, recessed ceiling lighting and ceiling fan. Huge Living Room with sliding glass doors to balcony. Spacious kitchen with a nice size eating area.  Laundry room with shelving.  This quiet secure building offers indoor parking, large storage unit, indoor pool, fitness room and hot tub.  Just Move in and Relax!</t>
  </si>
  <si>
    <t>Call LA, must have owner apt.</t>
  </si>
  <si>
    <t>Office/ Den being converted back to 2nd bedroom!</t>
  </si>
  <si>
    <t>PARK TERRACE CONDOS</t>
  </si>
  <si>
    <t>19 &amp; Willard North to Terrace West to Building</t>
  </si>
  <si>
    <t>Elgin / Park Terrace / 2 Bedroom / 1 Bathroom / 1st Floor Condo / Living Room - Dining Room Combo with Patio Door to Deck / Galley Kitchen / Bedroom #1 with Patio Door to Deck / In-Unit Utility Room with Laundry Hook-Up / Large Parking Lot / New Lower Property Taxes / $25/mo Special Assessment thru June / Rentals OK / Crawl Space Access to Common Plumbing in Utility Room /  HUD Owned / Qualifies for FHA Financing</t>
  </si>
  <si>
    <t>BIDDING GO TO HUDPemco.com NAID# REGISTRATION  HUDHomeStore.com FHA Insured with Escrow(IE) HUD HOMES SOLD AS-IS CASE# 137-468425 HOTLINE 630-236-1050 UP TO 3% CC. $100.00 DOWN PYMT (See Over Bidding Rules)Keybox on tree by front door.</t>
  </si>
  <si>
    <t>WHEATON PLACE</t>
  </si>
  <si>
    <t>From Main Street just north of railroad tracks, go west on Wesley to corner of Wesley and Wheaton</t>
  </si>
  <si>
    <t>Magnificent renewal of a DOWNTOWN Wheaton classic! Island kitchen has all new cabinets, fixtures, 1 1/4" granite, upgraded stainless steel appliances. New bamboo floors, new master carpet, updated lighting. Stunning master bath with dual vanity. New trim throughout. Washer-dryer hookup in unit. Gas fireplace and spacious balcony. Attached garage space, storage and fitness room on unit's level (3rd floor). Perfect!</t>
  </si>
  <si>
    <t>5X11</t>
  </si>
  <si>
    <t>Elevator, Exercise Room, Storage, Security Door Locks, Sidewalks, Street Paved</t>
  </si>
  <si>
    <t>Easy to Show.  Click "Schedule a Showing" below.</t>
  </si>
  <si>
    <t>773-732-9898 Eric's Cell</t>
  </si>
  <si>
    <t>Principal of the owner is an Illinois Real Estate Licensee. Garage space is deeded. 05-16-340-095. Taxes are $133.26/yr. Additional parking space can be rented from the city of Wheaton parking garage adjacent to the building for $150/qtr</t>
  </si>
  <si>
    <t>75th to Rickert N to Poplar N to Tennyson Ln</t>
  </si>
  <si>
    <t>WELCOME TO THIS IMMACUATE 2 BEDROOM TOWN HOME. CLOSE TO DOWNTOWN, SHOPPING &amp; SCHOOLS. NEW AC, FURNACE, REFRIGERATOR, BACKSPLASH &amp; DECORATOR PAINT. KITCHEN HAS STAINLESS APPLIANCES &amp; DINING AREA.  LIVING ROOM HAS GAS LOG FIREPLACE WITH SLIDING GLASS DOOR TO PATIO. MASTER BR HAS LARGE BATHROOM SUITE &amp; WALK-IN CLOSET. LARGE SECOND BEDROOM. NICELY UPDATED. EXCELLENT 204 SCHOOLS!</t>
  </si>
  <si>
    <t>18X07</t>
  </si>
  <si>
    <t>USE SHOWING ASSIST; CLICK LINK BELOW</t>
  </si>
  <si>
    <t>Debra Jurgensen</t>
  </si>
  <si>
    <t>(630) 803-7388</t>
  </si>
  <si>
    <t>SWIFT RD (S) OF ARMY TRAIL TO BELLA OAKS, GO RIGHT</t>
  </si>
  <si>
    <t>Gorgeous townhome with all the plus's. Marble entry, new engineered wood floors/Nov. '14. Fireplace. Kitchen w/GE Stainless Steel Appliances. Cherry cabinets &amp; tile floor. Balcony. Mini-bar w/fridge. 2 walk-in closets. Master Suite w/Hunter Fan. Crawl space. Double bowl sink. 6 panel white doors. English lookout finished basement. Amazing views of forest preserve. Agent related to seller.</t>
  </si>
  <si>
    <t>Forest Preserve Adjacent, Landscaped Professionally, Pond</t>
  </si>
  <si>
    <t>PLEASE GIVE 3-HRS NOTICE-CALL OFFICE 630-543-5640</t>
  </si>
  <si>
    <t>Dana Anest</t>
  </si>
  <si>
    <t>(630) 351-3200</t>
  </si>
  <si>
    <t>Agent related to Seller &amp; lives at the property.</t>
  </si>
  <si>
    <t>Wolcott</t>
  </si>
  <si>
    <t>HERITAGE RIDGE</t>
  </si>
  <si>
    <t>Randall Rd to McKee, West to Trentt, North to Wolcott.</t>
  </si>
  <si>
    <t>This dramatic home backs to open space.  Located within a quiet, professionally maintained subdivision.  Natural light flows the two story living room.  At night, enjoy a fire as you entertain in this generously sized open concept home. The deep pour English Basement just waits for your finishing touches.  First Time Buyer 3% Down Finance Eligible.  This home finishes miles ahead of renting!!!</t>
  </si>
  <si>
    <t>Call List Agent. (Not FHA approved)(Sorry,No Rentals)</t>
  </si>
  <si>
    <t>Joe Morrissey</t>
  </si>
  <si>
    <t>630-715-1360</t>
  </si>
  <si>
    <t>Corporate Relocation. Show Cartus Financial as Seller.  Allow time for documents to be signed. Rentals not allowed &amp; NOT FHA Approved.  Motivated Seller For A Fast Close!!!!  See info on 3% First Time Buyer Program under additional info tab</t>
  </si>
  <si>
    <t>BARRINGTON RD SOUTH OF BODE TO QUAKER HOLLOW</t>
  </si>
  <si>
    <t>RARELY AVAILABLE--DORSET MODEL ! ! ! END UNIT, PRIVATE ENTRANCE,  TONS OF WINDOWS   2 BEDROOMS, 2 FULL BATH,RANCH STYLE TOWN HOME. SPACIOUS L.R./D.R.  LARGE EAT-IN-KITCHEN WITH OAK CABINETS, ALL APPLS, MASTER BED ROOM WITH W.I.C., MASTER BATH WITH DUAL SINKS, SOAKING TUB, SEP SHOWER,1 CAR ATTACHED GARAGE WITH DIRECT ACCESS TO HOME. CLOSE TO EVERYTHING. ASSOC INCLUDES WATER, GARBAGE, EXT MAINT, LAWN CARE, SNOW REMOVAL</t>
  </si>
  <si>
    <t>Shirley Spencer</t>
  </si>
  <si>
    <t>(708) 347-6403</t>
  </si>
  <si>
    <t>PRICED TO SELL!!!! EXCLUDE DINING ROOM CHANDELIER</t>
  </si>
  <si>
    <t>Arapaho</t>
  </si>
  <si>
    <t>Rickert to Whispering Hills W to Arapaho Ct S</t>
  </si>
  <si>
    <t>24X89</t>
  </si>
  <si>
    <t>You'll be thrilled when you see this fabulous, immaculate, updated townhouse! It boasts soaring ceilings, open floor plan, first floor office, multi-use loft space, updated kitchen &amp; baths, new carpeting, and fresh paint. Second floor laundry with newer washer &amp; dryer. Lovely views of green space from concrete patio. Quiet cul de sac location near shopping and easy access to major roads &amp; Metra.</t>
  </si>
  <si>
    <t>Call or text Kathy at 630-973-0698</t>
  </si>
  <si>
    <t>Kathy Van Teylingen, CNC,CRS,CSC,GRI,SFR</t>
  </si>
  <si>
    <t>(630) 973-0698</t>
  </si>
  <si>
    <t>Prefer showings after 5 p.m. M-F, anytime weekends. Must have appointment</t>
  </si>
  <si>
    <t>MYSTIC TRACE</t>
  </si>
  <si>
    <t>CASS AVE. N OR I-55 TO HINSWOOD E TO RIPPLE RIDGE S TO MYSTIC TRACE</t>
  </si>
  <si>
    <t>OUTSTANDING 2-STORY END UNIT HOME W/LAMINATE FLRS THRU-OUT 1ST FLR. KITCHEN HAS GRANITE CTRS, BREAKFAST BAR &amp; STAINLESS APPLS., SINK &amp; EATING AREA. DINING RM W/SLIDERS TO PATIO &amp; OPEN AREA. NEWER CARPET THRU-OUT 2ND FLR. LOFT AREA PERFECT FOR DEN OR OFFICE. MASTER HAS VAULTED CEILINGS, WALK-IN CLOSET &amp; PRIVATE BATH. 2ND FLR LAUNDRY. FRESHLY PAINTED W/NEUTRAL TONES. CLOSE TO I-55 AND SHOPPING! A MUST SEE HOME!!</t>
  </si>
  <si>
    <t>CALL LISTING OFFICE 24-HR NOTICE!! REMOVE SHOES!!!</t>
  </si>
  <si>
    <t>Michael Ibarra</t>
  </si>
  <si>
    <t>(630) 269-1600</t>
  </si>
  <si>
    <t>630-269-1600</t>
  </si>
  <si>
    <t>GREAT HOME GREAT LOCATION BRING YOUR BUYERS THEY WON'T BE DISAPPOINTED!!</t>
  </si>
  <si>
    <t>2 blocks west of Harlem.  NE corner of Lawrence and Olcott Avenue.</t>
  </si>
  <si>
    <t>Classy condo w/2 bed, 2.1 baths Plus Separate Dining Room/Den.  Hardwood Floors, Open Floor Plan, Kitchen w/SS Appl, Granite, Upgraded Custom Cabinets/Backsplash etc.  4 Walk In closets w/custom shelving. Washer/Dryer in Unit. TWO balconies. 2100 sq ft. Intercom, Exercise Room, 2 Elevators, Indoor Parking Space, Car Wash Stall in Heated Garage. Storage Unit. This unit is larger than most homes! It's Awesome!</t>
  </si>
  <si>
    <t>Elevator, Exercise Room, Storage, Curbs/Gutters, Sidewalks, Street Lights</t>
  </si>
  <si>
    <t>Heat, Water, Gas, Parking, Common Insurance, Security System, TV/Cable, Exercise Facilities, Exterior Maintenance, Lawn Care, Scavenger, Snow Removal, Wi-Fi, Internet Access</t>
  </si>
  <si>
    <t>2.5 - $200.00 (on Net SP)</t>
  </si>
  <si>
    <t>Call Listing Agent - EZ to show - 773-771-3550</t>
  </si>
  <si>
    <t>Hinman</t>
  </si>
  <si>
    <t>773-350-3550</t>
  </si>
  <si>
    <t>RE/MAX Properties Northwest</t>
  </si>
  <si>
    <t>(847) 698-7000</t>
  </si>
  <si>
    <t>John Downes</t>
  </si>
  <si>
    <t>(773) 771-3550</t>
  </si>
  <si>
    <t>773-771-3550</t>
  </si>
  <si>
    <t>Easy to Show - Largest Unit in Building and in wonderful condition. Not a Short Sale - Great Building indoor parking, fitness center and all the bells and whistles in the unit.</t>
  </si>
  <si>
    <t>Immaculate 1st floor ranch townhome in Ashbrook--designed for the quiet life--Gracious entry--Neutrally decorated--Truly move-in condition--Open floor plan w/volume ceilings--sliding glass doors to patio/large open landscaped area--Master BA w/soaking tub and separate shower--Gourmet kitchen with island and bright breakfast room--First floor LDY--Finished LL rec room with sunny workroom and lots of storage--2 car GAR</t>
  </si>
  <si>
    <t>OOO</t>
  </si>
  <si>
    <t>Laurie Riggs, ABR,e-PRO</t>
  </si>
  <si>
    <t>(708) 205-9497</t>
  </si>
  <si>
    <t>Some lights are on timers. Turn off all lights you turn on.  Alarm system works but has been turned off for showings.  Please remove shoes or wear shoe coverings provided.  Please leave your card.</t>
  </si>
  <si>
    <t>IRVING TO MADISON N TO STREAMWOOD E TO TAFT N TO HOME</t>
  </si>
  <si>
    <t>A must see! Great 2 bedroom/1 bathroom home in a great location! Nice patio, spacious rooms, PLUS a 1 car garage! Priced to sell, this one has it all and won't last! Choose FHA financing to qualify for $100 down payment. Ask your Agent for details. Sold as-is. Equal Housing Opportunity</t>
  </si>
  <si>
    <t>Case#137-356067.INS.STATUS:Insured. Up to 3% co-op Offers 2B put on-line Off.must be registered &amp; have a NAID# Go to hudhomestore.com 4 online bidding SEE PCR UNDER ADDENDUMâ€™S TAB.?â€™s to fsrhomes@aol.com.SOLD AS-IS.www.hometelosfirst.com</t>
  </si>
  <si>
    <t>RANDALL S TO MILLER WEST TO ORCHARD LN TURN SOUTH</t>
  </si>
  <si>
    <t>BEAUTIFULLY UPDATED 2 BED 1.5 BATH TOWNHOME WITH AN ATTACHED 2 CAR GARAGE+DEN THAT CAN EASILY SERVE AS A 3RD BEDROOM! UPDATES INCLUDE: KITCHEN WITH NEW 1.25'' GRANITE,NEW STAINLESS STEEL APPLIANCES &amp; NEW PORCELAIN FLOOR TILE,NEW GRANITE COUNTERTOPS IN BATHROOM,NEW LIGHTING+PLUMBING FIXTURES EVERYWHERE,NEW FULL SIZE W/D,NEW INTERIOR DOORS &amp; HARDWARE,NEW CARPETING THROUGHOUT 2ND LEVEL &amp; FRESH PAINT EVERYWHERE! SO NICE!</t>
  </si>
  <si>
    <t>Rentals allowed. Please email offers to chris@northshoreholdingsltd.com or fax to 847-400-5053. Property disclosures located under additional information tab.</t>
  </si>
  <si>
    <t>Moore</t>
  </si>
  <si>
    <t>Rt 64 (North Ave,Main Street) to 7th Ave. South to Moore Ave, East to Moore Ct.</t>
  </si>
  <si>
    <t>The largest unit in in Tanglewood (end unit) w/ 2 car garage! 9' ceilings and 2 story living-room make this a must see. Lots of updates: New kitchen with maple cabinets/granite tops. All stainless appliances stay. Vaulted ceiling in Master bedroom, loft area. Mechanicals have all been replaced: furnace, A/C, water heater, roof. Lots of green space surrounding this unit. Close to bike paths, the Fox river and parks.</t>
  </si>
  <si>
    <t>Oven/Range, Dishwasher-Portable, Refrigerator, Washer, Dryer, All Stainless Steel Kitchen Appliances</t>
  </si>
  <si>
    <t>2.5% - 195 (on Net SP)</t>
  </si>
  <si>
    <t>call centralized 877-977-1010 or log on to showings.com</t>
  </si>
  <si>
    <t>John Sommer</t>
  </si>
  <si>
    <t>(630) 269-0202</t>
  </si>
  <si>
    <t>RT 60 North Of 176 To Cedar Lake Rd South To Jonathan East To 652</t>
  </si>
  <si>
    <t>24X150X25X154</t>
  </si>
  <si>
    <t>Spacious 2 story townhome in Lakewood Grove! Fremont Schools! All new carpet &amp; fresh paint throughout! Living rm opens to din rm w/sliding glass doors to private patio! Large master bdrm boasts walk in closet plus additional wall closet &amp; access to shared hall bth w/dual sinks! Convenient 2nd floor laundry room! 2 car attached garage! Great community w/clubhouse, pool &amp; park! A Fannie Mae Homepath property!</t>
  </si>
  <si>
    <t>REO#C130VRS, MUST Submit offers on Homepath.com, see additional info for contract/addendums! As/is, No Repairs, No Survey! Buyer assumes violations/city inspec items if any. Direct inquiries to co-list, Jackie Koukol, 847-736-4610</t>
  </si>
  <si>
    <t>FAIRWAY</t>
  </si>
  <si>
    <t>SCHMALE N OF NORTH AVE (RTE 64) 2 GOLFVIEW E2 FAIRWAY</t>
  </si>
  <si>
    <t>BEAUTIFUL REMODELED TOWNHOME IN WONDERFUL GLENDALE LAKES SUBDVSN W/ OPEN GOLF COURSE VIEWS. CUSTOM CABINETRY KITCHEN W/ SS APPLS &amp; MARGLE TOPS. 2 BED 2.5 BATH 1 CAR GARAGE. EACH BED HAS ITS OWN BATH. BACKYARD HAS MATURE TREES FOR PRIVACY AND CLOSE TO POOL.  NEW PATIO DOOR, SKYLIGHT, ROOF-2013. CLOSE TO SHOPPING, HIGHWAYS. LOOK AT THE PICTURES A PERFECT UNIT AT A PERFECT PRICE! NOTHING TO DO BUT MOVE IN!!!</t>
  </si>
  <si>
    <t>Golf Course, Park/Playground, Pool-Outdoors, Curbs/Gutters, Sidewalks, Street Lights, Street Paved</t>
  </si>
  <si>
    <t>Humidifier, TV Antenna, CO Detectors</t>
  </si>
  <si>
    <t>2.5%-$250 (ON NET SP) (on Net SP)</t>
  </si>
  <si>
    <t>Please use Showing time or  text 224.715.4686 for confirmation.</t>
  </si>
  <si>
    <t>Aga Czechura</t>
  </si>
  <si>
    <t>(224) 715-4686</t>
  </si>
  <si>
    <t>Unique entertainment center (Built-in Audio), UV light w/ Furnace. Draperies/Curtains excluded.    SHOWINGS: Mon - Fri: 5PM-6:30PM, Sat - Sun: 9AM-6:30PM. 2Hr notice required.  Listing Agent to confirm showing.</t>
  </si>
  <si>
    <t>Henley Lot#0203</t>
  </si>
  <si>
    <t>Rt. 59 north of 75th St. to Audrey E. Left on Blakely to Dunraven to Henley/Behind Whole Foods</t>
  </si>
  <si>
    <t>ADAMS-1</t>
  </si>
  <si>
    <t>Introducing the NEW GRANT PARK SERIES in Beautiful "Mayfair" of Naperville.  FULL WALK-OUT BASEMENT! 9' Ceilings on 1st Floor. Kitchen Features Stainless Steel Appliances, Granite Counter Tops, &amp; Wood Floors.  Stained Rails+Spindles. 30 yr Transferable Warranty. Awesome 204 School District. Close to Shopping. FINISHED BASEMENT NOW INCLUDED FOR APRIL MOVE-IN. SQ FT INCLUDES THE FINISHED BMT.</t>
  </si>
  <si>
    <t>PLEASE CALL MAYFAIR 630-857-9180 OR USE SHOWING ASSIST</t>
  </si>
  <si>
    <t>Agent must accompany buyers on first visit. Please register with Marty 11-6. Call her cell with any questions. 847-338-9635.</t>
  </si>
  <si>
    <t>Schaumburg Rd. to East Ave S to Juniper E to home</t>
  </si>
  <si>
    <t>42 X 115</t>
  </si>
  <si>
    <t>Very comfortable living in this charming ranch duplex with 2 bedrooms in Streamwood Glen. Kitchen and dining room finished with ceramic tile flooring. Vaulted ceiling plus bright skylights. Spacious bedrooms with plenty of closet room. Attached 2 car garage. Sold As-Is. Taxes 100%. Special Addendums required after offer is accepted.</t>
  </si>
  <si>
    <t>CONV 20%, CASH OR REHAB LOAN ONLY   SUBMIT OFFERS TO TANISOFFERS.COM  DOCUMENTS REQ ON INITIAL SUBMISSION:  SELLER DISCLOSURE &amp; MO FORM FOUND UNDER ADD INFORMATION  PRE-APP or POF DATED WITHIN 30 DAYS HIGHEST AND BEST DUE 3/25 @ 9AM USE FOR</t>
  </si>
  <si>
    <t>COVES OF HARBOR SPRINGS</t>
  </si>
  <si>
    <t>Rt. 34/Ogden to Farnsworth, South to Hafenrichter to Middlebury to Ketch Ct.</t>
  </si>
  <si>
    <t>Freshly painted new carpet great location faces cul-de-sac. Family room with fireplace, dining room features sliding doors out wood deck. Property being sold as is but will qualify for all types of financing. Complex is FHA approved.  Buyer responsible for all real estate transfer taxes. Walk to park. Second Floor Laundry. Seller will provide $500 toward home warranty on owner occupant offers. A must see!!</t>
  </si>
  <si>
    <t>Property Eligible Under Freddie Mac 1st Look Initiative through 03/04 for owner occupants. POF/Pre-approval on all offers. No contingencies on sale or closing EM must be cashiers check. See additional information for offer requirements</t>
  </si>
  <si>
    <t>83RD E. OF JANES TO PIERS DR. N, RIGHT ON WHARF</t>
  </si>
  <si>
    <t>Really sharp and spacious unit- 2 bedrooms-2 full baths-Very nice open floorplan with dining area open to large living room with corner fireplace. Nice eat in kitchen-master bdrm has full bath and walk-in closet. large in unit laundry room(washer and dryer will stay). Very nice setting-unit also offers 1 car detached garage.  Great location close to Interstate and shopping.</t>
  </si>
  <si>
    <t>2.5-$300 (on Gross SP)</t>
  </si>
  <si>
    <t>Call office easy to show short notice possible</t>
  </si>
  <si>
    <t>(815) 485-4421</t>
  </si>
  <si>
    <t>Scott Walsh</t>
  </si>
  <si>
    <t>(708) 738-7359</t>
  </si>
  <si>
    <t>Immaculate unit-great floorplan-Easy to show short notice possible- call office after hours call listing agent Scott Walsh 708-738-7359</t>
  </si>
  <si>
    <t>RIDGEFIELD</t>
  </si>
  <si>
    <t>ARMY TRAIL TO BENNINGTON S TO ROCKPORT W TO RIDGEFIELD N TO PROPERTY</t>
  </si>
  <si>
    <t>CUL-Â­DE-Â­SAC LOCATION AT BENNINGTON ON THE LAKE! TWO STORY TOWNHOUSE OFFERS OPEN FLOOR PLAN FEATURING LARGE KITCHEN WITH GENEROUS CABINET SPACE. LIVING AND DINING ROOMS OFFER VIEWS OF PATIO AND BEAUTIFULLY LANDSCAPED GROUNDS. MASTER BEDROOM WITH VAULTED CEILING, WALKÂ­-IN CLOSET, AND SEPARATE VANITY. REGULAR SALE. EXCELLENT VALUE.</t>
  </si>
  <si>
    <t>TEXT/CALL LA @ 630-890-2182. 24 HOUR NOTICE!</t>
  </si>
  <si>
    <t>James Ziltz</t>
  </si>
  <si>
    <t>(630) 890-2182</t>
  </si>
  <si>
    <t>*PRICE IS FIRM Â­ SELLER NEEDS LIST PRICE TO MAKE DEAL "WHOLE". UNIT IS BEING SOLD "ASÂ­IS". REGULAR SALE. NOT FHA APPROVED. UNIT CAN BE RENTED!</t>
  </si>
  <si>
    <t>King Henry</t>
  </si>
  <si>
    <t>ROUTE 64 2 KIRK, NORTH TO FOXFIELD, EAST TO KING HENRY</t>
  </si>
  <si>
    <t>THE BROOKFIELD</t>
  </si>
  <si>
    <t>END UNIT Luxury townhome w/views. Immaculately maintained &amp; tastefully decorated. Vaulted living rm; gas FP; Granite Counters, cherry cabinets, new range, Bosch dishwasher &amp; disposal. 1st floor laundry w/custom cabinets. Paver patio w/semi-private landscaping. Lrg master BR and w/in closet; new frameless sliding shower doors in master bath. 400Sq. Ft. finished family rm in basement w/addl space for storage or BR/BTH</t>
  </si>
  <si>
    <t>Exterior Maintenance, Lawn Care, Snow Removal, Other</t>
  </si>
  <si>
    <t>Den, Foyer, Recreation Room</t>
  </si>
  <si>
    <t>$1 (on Net SP)</t>
  </si>
  <si>
    <t>Call owner directly for showings. Jerrimiah: 630-204-7068</t>
  </si>
  <si>
    <t>Jerrimiah &amp; Mary Blaisdell</t>
  </si>
  <si>
    <t>Call owner directly for showings. Jerrimiah: 630-204-7068. Fax or Email offers to listing agent. Listing company DOES NOT hold earnest money. Co-op is correct per home owner. Chandelier light in 1st floor half bath NOT Included in sale.</t>
  </si>
  <si>
    <t>22nd to Main, north to 20th St, west to home</t>
  </si>
  <si>
    <t>Wonderful Elizabeth Crossing townhome w/great location backing to single family homes. Light &amp; bright unit w/loft perfect for ofc; 2nd flr laundry rm w/folding table &amp; shelving. Each bdrm has private bath. Remodeled kit '09 w/granite counters, bksplsh, new cabinets w/soft close drawers, pantry. Deck off LR w/stairs to yard. Fin walkout LL, sep stg, space for office/exercise equip/play area. Close to shopping &amp; dining</t>
  </si>
  <si>
    <t>Eating Area, Loft, Play Room, Storage</t>
  </si>
  <si>
    <t>Humidifier, Fire Sprinklers, CO Detectors, Ceiling Fan, Sump Pump</t>
  </si>
  <si>
    <t>Use Showing Link below to schedule appt. Must be confirmed; notice preferred.</t>
  </si>
  <si>
    <t>EFAX 781-810-9075</t>
  </si>
  <si>
    <t>NO SHOWINGS ON SUNDAY, MARCH 15! 2nd bedroom valance excluded. Use Multi-Board 6.0 contract. Buyer's agent must accompany showings; if LA shows then 50/50 split due.</t>
  </si>
  <si>
    <t>Lake Street East of Gary to Williams Way, (at pedestrian overpass)to Woodland Way, to Ashley Way.</t>
  </si>
  <si>
    <t>Premier location with exquisite view! Nicest unit available in highly desired ON THE PARK! Original owners chose their striking location for the view! You will love the privacy and beauty of the lake from all back windows and door! First floor master*2nd story bdrm with loft that can be converted to large 3rd bedroom*unique library sits overlooking huge living area with custom-design fireplace*HUGE basement*</t>
  </si>
  <si>
    <t>15X3</t>
  </si>
  <si>
    <t>Library, Loft</t>
  </si>
  <si>
    <t>CALL LA DIANA 847-894-0115.  NEED JUST AN HOUR NOTICE</t>
  </si>
  <si>
    <t>Diana Ahlf</t>
  </si>
  <si>
    <t>(847) 894-0115</t>
  </si>
  <si>
    <t>CHALET ON THE LAKE</t>
  </si>
  <si>
    <t>York road to George street E to Chalet On The Lake Complex</t>
  </si>
  <si>
    <t>Renovated to perfection! Exquisite style can be found in this 2 BDRM, 1 BTH condo. You will find new vinyl wood flooring, new light fix. &amp; freshly painted walls thru out this open floor plan. New Kit. inc. granite counters w/breakfast bar, subway tile back splash, new cabinets &amp; SS appliances.  Fully remodeled bth offers custom tile, new vanity &amp; new lighting. Spacious master w/XL WIC. Patio for entertaining. No FHA.</t>
  </si>
  <si>
    <t>Please schedule appointment thru Showing Assist.</t>
  </si>
  <si>
    <t>Christine Leonchik 312-303-0094</t>
  </si>
  <si>
    <t>Contact Christine Leonchik with all questions!</t>
  </si>
  <si>
    <t>Light</t>
  </si>
  <si>
    <t>ROUTE 31 TO LIGHT ROAD TO BACK OF COMPLEX</t>
  </si>
  <si>
    <t>Charming Two bedroom Condo.  Home has been repaired with fresh paint and flooring. Large Living Room, Eat in Kitchen and spacious bedrooms.  Enjoy this condo in the summer with the outdoor pool.  This is a Fannie Mae HomePath Property</t>
  </si>
  <si>
    <t>Heat, Water, Clubhouse, Pool, Exterior Maintenance, Lawn Care, Snow Removal</t>
  </si>
  <si>
    <t>Steel Siding, Brick</t>
  </si>
  <si>
    <t>Enjoy this Private Setting Townhome that offers Tons of Sunlight.  Open Floor Plan with Updated Kitchen With Large Table Space, Plenty of Cabinets and Counters &amp; Hardwood Floors, Separate Dining for Entertaining, Living Room offers an  Inviting Fireplace and Cathedral Ceiling, Master Suite with Walk-In Closet, Laundry on 1st Floor,  Full Basement, Brick Paver Patio, 2 Car Garage, Newer Furnace and A/C, Move In Ready</t>
  </si>
  <si>
    <t>2.5 - $295 (on Net SP)</t>
  </si>
  <si>
    <t>Call B&amp;W Showing Desk - 855.746.9100----2hr notice</t>
  </si>
  <si>
    <t>Farthing</t>
  </si>
  <si>
    <t>Buyers agent must accompany all showings</t>
  </si>
  <si>
    <t>TYLER TOWERS</t>
  </si>
  <si>
    <t>McLean North of Larkin, South of Wing to Plymouth Ln West to building</t>
  </si>
  <si>
    <t>Tyler Towers penthouse offers fantastic roof top views, wonderful floor plan, offers nice kitchen large room sizes, Large loft area perfect for office or play room. Two indoor parking spots, master suite with new carpet and fresh paint. Conveniently located new Wing Park and Kimball Middle school.  Buyer is responsible for 6 months HOA dues as required by IL Condo Act</t>
  </si>
  <si>
    <t>Elevator, Exercise Room, Storage, Party Room, Pool-Outdoors, Receiving Room, Security Door Locks</t>
  </si>
  <si>
    <t>Water, Common Insurance, Clubhouse, Exercise Facilities, Pool, Exterior Maintenance, Lawn Care, Scavenger</t>
  </si>
  <si>
    <t>HomePath.com for First Look period. Follow offer instructions. Offers made using HomePath.com First time buyers complete Ready Buyer Homeownership course on HomePath.com. Submit Certificate and request up to 3% Closing cost assistance</t>
  </si>
  <si>
    <t>Ogden to Valley Drive</t>
  </si>
  <si>
    <t>24 X 46</t>
  </si>
  <si>
    <t>2 Story town home located Close to down town Naperville filled with the River-walk &amp; the many restaurants and stores, or bike through the nearby Forest Preserve Trails! This 2 bd 1.1 bath has lots of space and closets! SS appliances and subway tile back splash in kitchen w/ little laundry nook! Beautiful upstairs bath! Shared Garage Space and yard!</t>
  </si>
  <si>
    <t>use showing asst</t>
  </si>
  <si>
    <t>Michael LaFido</t>
  </si>
  <si>
    <t>(630) 674-3488</t>
  </si>
  <si>
    <t>Clean &amp; updated unit! All new appliances, new flooring on first floor! Unit comes with one outdoor parking space, and one space in a large two car garage.</t>
  </si>
  <si>
    <t>Lemont Rd S of 75th to Woodmere  East to Windsor</t>
  </si>
  <si>
    <t>DANDELION</t>
  </si>
  <si>
    <t>SOUGHT AFTER END-UNIT TOWNHOME W/PRIVATE VIEWS! DESIRABLE FLOOR PLAN - SPACIOUS LIV RM &amp; DIN W/BAY WINDOW. BRIGHT &amp; SUNNY EAT-IN KITCH W/CENTER ISLAND/BRKFST BAR &amp; SLIDING GLASS DOOR TO LARGE DECK. UPPER LEVEL BDRMS &amp; LOFT/OFFC (CAN BE BR 3) OFFERS A PVT MSTR SUITE &amp; MSTR BATH W/WHRLPL. LOWER LEVEL FAM RM/EXERC RM &amp; ATT 2-CAR GARAGE. EXCELLENT SCHL DIST 66/99. GREAT LOCATION, EZ ACCESS TO XWAY,SHOPPING &amp; RESTAURANTS.</t>
  </si>
  <si>
    <t>PLEASE CALL LA 630-674-9063 OR 630-319-5006;4 HR NOTC PLS</t>
  </si>
  <si>
    <t>Anne Storer Gravante</t>
  </si>
  <si>
    <t>EZ TO SHOW- CALL &amp; CONFIRM APPT.  ***13 MO HOME WARRANTY INCLUDED AT CLOSE***</t>
  </si>
  <si>
    <t>Route 21 and Gages Lake North to Heather Ridge East to Leonard to Taylor</t>
  </si>
  <si>
    <t>Gorgeous remodeled Penthouse! Largest model! Beautiful view of 1st &amp; 2nd holes. Remodeled! New kitchen cabinets, counters, flooring, sink, faucet. New bathroom vanities, commodes, counters, mirrors, &amp; flooring. All freshly painted, new carpeting. New light fixtures &amp; ceiling fans. Gorgeous built-ins in massive living room. Just move in &amp; enjoy swimming pools, golf,clubhouse, bar/cabana. Heated underground parking.</t>
  </si>
  <si>
    <t>28X16</t>
  </si>
  <si>
    <t>Elevator, Storage, Golf Course, Pool-Outdoors, Street Lights</t>
  </si>
  <si>
    <t>Call Showing Times 855-746-9020</t>
  </si>
  <si>
    <t>Rentals are restricted.</t>
  </si>
  <si>
    <t>Roosevelt to Adare Dr. South to Creekside East to Wexford Cir. West to Home</t>
  </si>
  <si>
    <t>Fantastic Adare ranch recently remodeled. All new Pella windows, bamboo flooring on main level, ceramic floors in kitchen and entry. New crown molding and chairrail. Bright step saver kitchen with custom shaker style cabinets w/sliding  drawers and ceramic back splash. Remodeled baths w/ceramic. master with oversized shower. Newer furnace/air Finished basement w endless possibilities. Across from Hurley Gardens Park.</t>
  </si>
  <si>
    <t>ST. Francis High School</t>
  </si>
  <si>
    <t>Landscaped Professionally, Park Adjacent, Wooded</t>
  </si>
  <si>
    <t>Recreation Room, Theatre Room</t>
  </si>
  <si>
    <t>Please call LA at 630-430-7896 to set an appointment</t>
  </si>
  <si>
    <t>owner of recvord</t>
  </si>
  <si>
    <t>Lizz Sokolowski</t>
  </si>
  <si>
    <t>(630) 868-6346</t>
  </si>
  <si>
    <t>Present owner put in all flooring, windows, kitchen cabinets &amp; appliances, furnace &amp; air, new roof. Prof landscaping.   First floor utility.Complete list under additional information. Please note that assessments are paid quarterly at $847.</t>
  </si>
  <si>
    <t>RT 25 TO LAKE MARION (WEST) TO BROOKDALE SOUTH TO 1308</t>
  </si>
  <si>
    <t>Property is ready for new owners! In need of some paint and a good cleaning but you can make it work! Great starter home for a new family</t>
  </si>
  <si>
    <t>Kymberli Saragaglia</t>
  </si>
  <si>
    <t>(847) 924-2304</t>
  </si>
  <si>
    <t>Property is being sold AS IS   Sold in Auction at www.Homesearch.com.  Please make sure to add agents name when registering, any financed offers please call Greenlight  866-250-7143.  There will be a 5% premium added to winning offer</t>
  </si>
  <si>
    <t>ROOSEVELT RD TO FINLEY RD, SOUTH TO BUILDING ON LEFT</t>
  </si>
  <si>
    <t>REMODELED 2 BEDROOM, 2 BATH ON 3RD FLOOR! FRESH PAINT, NEW CARPETING, STAINLESS STEEL APPLIANCES. SPACIOUS ROOM SIZES. THIS BUILDING OFFERS A POOL, CLUBHOUSE AND A GYM!</t>
  </si>
  <si>
    <t>Coin Laundry, Elevator, Exercise Room, Storage, Party Room, Pool-Indoors, Receiving Room, Security Door Locks</t>
  </si>
  <si>
    <t>Water, Parking, Common Insurance, Security System, TV/Cable, Clubhouse, Exercise Facilities, Pool, Exterior Maintenance, Lawn Care, Scavenger, Snow Removal</t>
  </si>
  <si>
    <t>CALL AGENT RAY AT 312-671-0777</t>
  </si>
  <si>
    <t>NOT FHA APPROVED.</t>
  </si>
  <si>
    <t>RT 120 W of RT 134 2 Wildspring Rd.(Entrance to Madrona Sub) R at Providence Ln.R on Rosehall 3rd R</t>
  </si>
  <si>
    <t>Madrona Village 2 Bed 2.1 Bath Townhouse W/3 Levels of Living Space  Open Flr Plan/ Kitchen has Granite, 42" Maple Cab,Mosaic Backsplash,   Pantry,Slider to Balcony/Living &amp; Dining Rm has Crown Moldng/Cust   Window Treat T/O Vaulted Ceilings/Master W/Large WIC &amp; Double Sink Vanity,Showr &amp; Tub/2nd Flr has 2 Mstr Suites/Hardwood Staircase Leads 2 Family Rm/2 Car Gar W/Storage /Close To School &amp; Park  GRAYSLAKE SCHOOLS</t>
  </si>
  <si>
    <t>2.5%-$295 ON NET (ON NET SP) (on Net SP)</t>
  </si>
  <si>
    <t>Call Showing desk for Appointment 855-746-9100</t>
  </si>
  <si>
    <t>847-791-1284</t>
  </si>
  <si>
    <t>Carol Wilcox, ABR</t>
  </si>
  <si>
    <t>(847) 818-6055</t>
  </si>
  <si>
    <t>THIS UPGRADED UNIT WILL NOT LAST !Townhouse has Large Garage w/Tons of Storage Options / Attic has Staircase for additional Storage   Low Association Fees and Master Association is $61.00 Quarterly  Sought After School District in Grayslake</t>
  </si>
  <si>
    <t>2S416</t>
  </si>
  <si>
    <t>RT 59 2 BATAVIA RD. E2 EMERALD GREEN N2 STOP SIGN GO RIGHT, UNIT ON LEFT</t>
  </si>
  <si>
    <t>GREAT 1ST FLOOR CONDO! MASTER BDRM BOASTS WALK-IN CLOSET &amp; UPDATED FULL PRIVATE BATH W/STEP-IN SHOWER*2ND BEDROOM W/LARGE CLOSET*UPDATED FULL HALL BATH*HUGE LIVING RM FEATURES BRICK FIREPLACE W/RAISED HEARTH &amp; WOOD MANTLE FLANKED BY SLIDING GLASS DRS LEADING TO THE LARGE PATIO*KITCHEN W/CERAMIC FLOOR &amp; BACKSPLASH, CHERRY CABINETS, NEWER DISHWASHER &amp; EATING AREA W/SLIDING GLASS DR*IN UNIT LAUNDRY*1 CAR ATTACHED GAR</t>
  </si>
  <si>
    <t>Exercise Room, Party Room, Pool-Outdoors, Tennis Court/s, Street Lights, Street Paved</t>
  </si>
  <si>
    <t>Water-Softener Owned, Intercom</t>
  </si>
  <si>
    <t>Call or e-mail Co-List Rick Fisher with any questions: 630-605-4962 or rickf.realtor@comcast.net **OWNERS CAN RENT TO FAMILY MEMBERS ONLY**</t>
  </si>
  <si>
    <t>King Charles</t>
  </si>
  <si>
    <t>Rt. 64 to Kirk Rd., North to Foxfield To King Charles Lane</t>
  </si>
  <si>
    <t>32X81</t>
  </si>
  <si>
    <t>Impeccable End Unit Townhome feels like single family! Dramatic entry with two story living room! Volume Celings! Fireplace with custom mantle! 1st floor master bedroom with walk in closet &amp; private bath with dual vanity! Hardwood floors on 1st floor, stairs and upstairs hallway! Nice kitchen open to dinette! Upstairs loft area, bedroom &amp; office! Full basement! Great location with open area views! *Motivated Seller*</t>
  </si>
  <si>
    <t>Loft, Office</t>
  </si>
  <si>
    <t>CLICK "SCHEDULE SHOWING" BELOW-*Overnight Notice please*</t>
  </si>
  <si>
    <t>Thank you for showing our listing. Disclosures in Additional Items. EFax 630-206-0909 or email sales@pagonigroup.com.</t>
  </si>
  <si>
    <t>King Dr to property</t>
  </si>
  <si>
    <t>Condo across from Washington Park! This unit features hardwood floors and newer finishes throughout, plus washer and dryer hookups. Enjoy your morning coffee on your charming balcony overlooking the courtyard and grill or entertain in the evenings on your back deck! Easy access to public transit and steps from U of C campus.</t>
  </si>
  <si>
    <t>$2500 (on Net SP)</t>
  </si>
  <si>
    <t>Submit offers to info@krain-chicago.com</t>
  </si>
  <si>
    <t>DOWNTOWN BARTLETT DIRECTLY ACROSS FROM METRA STATION</t>
  </si>
  <si>
    <t>PERFECT CONDITION AND LOCATION ON THIS LARGE 2 BED 2 BATH DOWNTOWN BARTLETT CONDO IN AN ALL BRICK AND STONE BUILDING. 2 CAR GARAGE PARKING INCLUDED IN THE PRICE! BEST PRICED UNIT IN THE BUILDING. WALK TO METRA/DOWNTOWN BARTLETT. GREAT UNIT WITH HARDWOOD FLOORS, LARGE MASTER SUIT AND SPLIT BEDROOM FLOOR PLAN. OPEN KITCHEN WITH AMPLE CABINETS AND LARGE DINING AREA. IN UNIT LAUNDRY ROOM. BUILDING IS RENTABLE. READY!</t>
  </si>
  <si>
    <t>Seller's attorney will hold Earnest Money. EM info, Disclosures and MBC are online under additional information. For additional information please text @ 630.283.2111 for best response time.</t>
  </si>
  <si>
    <t>75th St to Janes St S to Spring West to bidg.</t>
  </si>
  <si>
    <t>Very convenient location close to I55 &amp; I355 &amp; shopping. Balcony overlooks courtyard &amp; pond. Freshly painted walls / trim, new carpet, ceramic tile in bathroom, new appliances.</t>
  </si>
  <si>
    <t>%2.5-$150 (on Net SP)</t>
  </si>
  <si>
    <t>Call LA @ 630 670 0879</t>
  </si>
  <si>
    <t>Tom Orzechowski</t>
  </si>
  <si>
    <t>WILLOWS OF FOX VALLEY</t>
  </si>
  <si>
    <t>RT 59 TO MCCOY, WEST TO GREGORY NORTH</t>
  </si>
  <si>
    <t>Beautiful condo with new carpet, fresh neutral paint, and new in-unit washer and dryer as of 2014. Spacious kitchen with updated birch cabinets.  Two bedrooms, 1.5 baths with an open floorplan. Newer balcony overlooks a serene green area.  All this and close to the mall and train. Naperville 204 school district! Condo fees include pool and clubhouse maintenance, garbage, water, gas, and a storage closet.</t>
  </si>
  <si>
    <t>Water, Gas, Clubhouse, Pool, Exterior Maintenance, Lawn Care, Snow Removal</t>
  </si>
  <si>
    <t>Bernadette Fulco</t>
  </si>
  <si>
    <t>(630) 930-9388</t>
  </si>
  <si>
    <t>Sentrilock on back door - facing parking lot.  Keys are for front door - walk around to the front.  Thanks for showing.  Beautiful move-in ready!</t>
  </si>
  <si>
    <t>ARMY TRAIL 2 COUNTY FARM S 2 WOODHILL E TO KINGSBRIDGE</t>
  </si>
  <si>
    <t>30 X 76</t>
  </si>
  <si>
    <t>GORGEOUS REMODELED END UNIT SET DEEP IN THE HEART OF SOUGHT-AFTER SUBDIVISION BACKING TO SINGLE FAMILY HOMES. INCREDIBLE OPEN LIVING ROOM W/SOARING CATHEDRAL CEILINGS, SKYLIGHTS &amp; BRICK FIREPLACE, SEPARATE DINING AREA OPENS TO PRIVATE PATIO,  NEW KITCHEN  ALL APPLIANCES, MASTER SUITE W/ VAULTED CEILINGS, WALK-IN CLOSET &amp; HUGE LUXURY BATH TUB, SEPARATE SHOWER &amp; DOUBLE SINK. EVERYTHING IS NEW, READY TO MOVE IN.</t>
  </si>
  <si>
    <t>3.5%-299 (on Net SP)</t>
  </si>
  <si>
    <t>showing assist</t>
  </si>
  <si>
    <t>City Habitat Realty LLC</t>
  </si>
  <si>
    <t>(773) 856-0552</t>
  </si>
  <si>
    <t>Cristian Merdariu</t>
  </si>
  <si>
    <t>(773) 501-6879</t>
  </si>
  <si>
    <t>Goldfinch</t>
  </si>
  <si>
    <t>RAINTREE VILLAGE</t>
  </si>
  <si>
    <t>ROUTE 71 TO 126 SOUTH TO RAINTREE SUBDIVISION</t>
  </si>
  <si>
    <t>DEARBORN</t>
  </si>
  <si>
    <t>IRREGULAR</t>
  </si>
  <si>
    <t>Beautiful two bedroom town home with 2 1/2 baths, two car attached garage, 2nd floor laundry, large kitchen and dining area.  Located minutes from the Yorkville middle school and park!! Home has just been freshly painted with new carpet throughout. This one is a must see! No personal property included. This is a Fannie Mae HomePath property.</t>
  </si>
  <si>
    <t>ALL OFFERS MUST BE SUBMITTED USING THE HOMEPATH ONLINE OFFER SYSTEM - FOR MORE INFO. VISIT WWW.HOMEPATH.COM. PAPERWORK FOUND IN ADDITIONAL INFO. TO SUBMIT OFFER - For investors - Only one rental per building/one unit is already rented.</t>
  </si>
  <si>
    <t>3S121</t>
  </si>
  <si>
    <t>Rt 59 then East on Meadow North on Timber to property</t>
  </si>
  <si>
    <t>Great end unit with private patio! Open floor plan, vaulted ceilings throughout.  Neutral tones! Large Living Room, open to Dining Room and 2nd floor loft. Great galley kitchen. First floor laundry! Two spacious bedrooms with vaulted ceilings! Master w/ Lg W/I closet. Loft is open and bright with private balcony. New furnace and new A coil in AC. Close to shopping and restaurants! Great Location!</t>
  </si>
  <si>
    <t>call Centralized showings 1-877-977-1010</t>
  </si>
  <si>
    <t>Unit owned by member of agents family.</t>
  </si>
  <si>
    <t>Westmore to light at Wilson. East to home on North side.</t>
  </si>
  <si>
    <t>L@@king to live the life of luxury in a nice large 2 bedroom townhome with a loft, 2 full bathrooms, wide-open living room, eat-in kitchen, separate formal dining room, laundry room attached garage. Fresh paint throughout. Patio w/ lovely trees and view of pond. Master bedroom boasts dressing area and walk-in closet.</t>
  </si>
  <si>
    <t>COD</t>
  </si>
  <si>
    <t>Oven/Range, Microwave, Dishwasher, High End Refrigerator, Washer, Dryer</t>
  </si>
  <si>
    <t>2.5 % - $200 (on Net SP)</t>
  </si>
  <si>
    <t>Jeff O'Rourke</t>
  </si>
  <si>
    <t>Alan Holtz</t>
  </si>
  <si>
    <t>(815) 592-2255</t>
  </si>
  <si>
    <t>Traditional sale! That's right no one to mess up your paycheck</t>
  </si>
  <si>
    <t>Willowgate</t>
  </si>
  <si>
    <t>Route 31 to Willowgate Lane. On the East side of Route 31.</t>
  </si>
  <si>
    <t>.068 ACRE</t>
  </si>
  <si>
    <t>The greatly sought-after Willowgate!...A 3900 sq ft+ beauty on the Fox River with views. A unique opportunity in the Fox River Valley. Customized with entertainment and comfort in mind. Upstairs Loft, Large Dressing Area in Master, Craft Room, Lower Level Guest Suite, Butler's Pantry, Bar and more. NEW roof 2014! Main Dining Room seats up to 14. Three Season Room on Lower Level. Storage! Two fireplaces to enjoy!</t>
  </si>
  <si>
    <t>19X41</t>
  </si>
  <si>
    <t>14X28</t>
  </si>
  <si>
    <t>18X19</t>
  </si>
  <si>
    <t>Sewing Room</t>
  </si>
  <si>
    <t>Oven-Double, Microwave, Dishwasher, Refrigerator, Refrigerator-Bar, Washer, Dryer, Disposal, Compactor-Trash</t>
  </si>
  <si>
    <t>Common Grounds, Landscaped Professionally, River Front, Water View, Wooded</t>
  </si>
  <si>
    <t>Breakfast Room, Loft, Sewing Room, Sun/Florida Room Heated, Other</t>
  </si>
  <si>
    <t>Security System, Sump Pump, Sprinkler-Lawn</t>
  </si>
  <si>
    <t>Forced Air, Zoned</t>
  </si>
  <si>
    <t>Easy to show. Master Suite on second level, not main floor. Additional bdr on Walkout Basement level.</t>
  </si>
  <si>
    <t>PALAZZO</t>
  </si>
  <si>
    <t>MILL S OF ARMY TRAIL 2 NATALIE W TO PALAZZO S</t>
  </si>
  <si>
    <t>Great condition describes this unit with 2nd floor laundry, all appliances, upgraded kitchen with premium options. Items to shout about: END UNIT PLUS LARGEST UNIT IN THE COMMUNITY! OPEN FLOOR PLAN! BREAKFAST BAR! CATHEDRAL CEILING! BRIGHT &amp; AIRY! BEAUTIFUL BRICK WOOD BURNING WITH GAS START FIREPLACE! FINISHED BASMT W/ STORAGE RM AND OFFICE! GIGABIT ETHERNET NETWORK! LARGE WRAP AROUND FRONT PORCH VIEWING OPEN SPACE</t>
  </si>
  <si>
    <t>ARMY TRAIL ELEMENTARY SCHOOL</t>
  </si>
  <si>
    <t>Den, Eating Area, Recreation Room, Workroom</t>
  </si>
  <si>
    <t>Kathy Jansen</t>
  </si>
  <si>
    <t>(847) 274-6683</t>
  </si>
  <si>
    <t>Home also has battery back up that is includeded PLUS a Whole Home Surge Suppressor.   email offer to kjansen1234@yahoo.com  Park by gazebo and follow sidewalk around till it ends in front of last unit on the left.</t>
  </si>
  <si>
    <t>75TH TO RICKERT N TO RIVER N TO RHODES E</t>
  </si>
  <si>
    <t>GORGEOUS UPDATED GROUND FLOOR RANCH. SPACIOUS KITCHEN WITH CORIAN COUNTERS,HARDWOOD FLOORS. GRANITE IN BATHS. FRESHLY PAINTED IN TODAY'S COLORS, NEW CARPET. UPDATED PLUMBING AND LIGHT FIXTURES. 9 FOOT CEILINGS, WHITE TRIM.  PATIO WITH PARK VIEWS. FABULOUS LOCATION, CLOSE TO DOWNTOWN NAPERVILLE &amp; TRAIN, WALK TO SHOPPING &amp; DINING. ACCESS TO TOLLWAYS. NAPERVILLE 204 SCHOOLS, METEA VALLEY HIGH SCHOOL.</t>
  </si>
  <si>
    <t>PLEASE CALL B&amp;W APPOINTMENT CENTER @ 855-746-9100</t>
  </si>
  <si>
    <t>RENTALS ARE PERMITTED, BUT AT THIS TIME THERE IS A WAITING LIST FOR PERMISSION TO RENT.</t>
  </si>
  <si>
    <t>Neltnor</t>
  </si>
  <si>
    <t>B-2A</t>
  </si>
  <si>
    <t>autumn crest</t>
  </si>
  <si>
    <t>Neltnor Blvd (RT 59) N. of Washington 2 Grandlake E 2 1st driveway to building.</t>
  </si>
  <si>
    <t>Complete rehab: brand new stainless appliances with new kitchen cabinets/countertop/ sink, new bedroom windows, new 6 panel doors, new bathroom vanities with ceramic tile floors, updated light fixtures with new mirrors, new custom wire shelving in all closets, new carpeting/paint and trim throughout.</t>
  </si>
  <si>
    <t>TURNER ELEMENTARY SCHOOL</t>
  </si>
  <si>
    <t>Coin Laundry, Security Door Locks, Sidewalks, Street Lights</t>
  </si>
  <si>
    <t>2.50%-$250 (on Net SP)</t>
  </si>
  <si>
    <t>Easy Show call office for appointment. After hours call agent 630-309-3054</t>
  </si>
  <si>
    <t>Naomi Lacheta, CNC</t>
  </si>
  <si>
    <t>(630) 309-3054</t>
  </si>
  <si>
    <t>Lock box is on the Chain Link Fence on the west side of driveway as you face side of the building by dumpster.</t>
  </si>
  <si>
    <t>Sommerset</t>
  </si>
  <si>
    <t>Rt 19 Irving Pk Rd (E. Chicago St) W of Rt 59 to Woodview Circle S and W to Sommerset</t>
  </si>
  <si>
    <t>Picture Perfect condo w/upgrades galore! Brand new windows, Kitch includes new cabinetry, counters, backsplash, flooring &amp; SS appliances. Spacious Master bdrm suite has a walk-in closet &amp; a 'spa like' master bath. 2nd bdrm has beautiful built-in cabinetry &amp; a window seat. Custom crown moldings &amp; trim thru out, new hall bath &amp; built-in entertainment center in Living room. 1st floor, easy access unit w/a private patio.</t>
  </si>
  <si>
    <t>Joanne Marzano</t>
  </si>
  <si>
    <t>(847) 809-8156</t>
  </si>
</sst>
</file>

<file path=xl/styles.xml><?xml version="1.0" encoding="utf-8"?>
<styleSheet xmlns="http://schemas.openxmlformats.org/spreadsheetml/2006/main">
  <numFmts count="2">
    <numFmt numFmtId="164" formatCode="&quot;$&quot;#,##0.00;[Red]\-&quot;$&quot;#,##0.00"/>
    <numFmt numFmtId="165" formatCode="&quot;$&quot;#,##0;[Red]\-&quot;$&quot;#,##0"/>
  </numFmts>
  <fonts count="1">
    <font>
      <sz val="12"/>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applyFont="1" applyAlignment="1"/>
    <xf numFmtId="0" fontId="0" fillId="0" borderId="0" xfId="0" applyFont="1"/>
    <xf numFmtId="14" fontId="0" fillId="0" borderId="0" xfId="0" applyNumberFormat="1" applyFont="1"/>
    <xf numFmtId="3" fontId="0" fillId="0" borderId="0" xfId="0" applyNumberFormat="1" applyFont="1"/>
    <xf numFmtId="164" fontId="0" fillId="0" borderId="0" xfId="0" applyNumberFormat="1" applyFont="1"/>
    <xf numFmtId="4" fontId="0" fillId="0" borderId="0" xfId="0" applyNumberFormat="1" applyFont="1"/>
    <xf numFmtId="165" fontId="0" fillId="0" borderId="0" xfId="0" applyNumberFormat="1" applyFont="1"/>
    <xf numFmtId="16" fontId="0" fillId="0" borderId="0" xfId="0" applyNumberFormat="1" applyFont="1"/>
    <xf numFmtId="18" fontId="0" fillId="0" borderId="0" xfId="0" applyNumberFormat="1"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M2633"/>
  <sheetViews>
    <sheetView tabSelected="1" workbookViewId="0">
      <selection activeCell="B2" sqref="B2"/>
    </sheetView>
  </sheetViews>
  <sheetFormatPr defaultColWidth="13.5" defaultRowHeight="15" customHeight="1"/>
  <cols>
    <col min="1" max="195" width="10.5" customWidth="1"/>
  </cols>
  <sheetData>
    <row r="1" spans="1:19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row>
    <row r="2" spans="1:195">
      <c r="A2" s="1">
        <v>182500</v>
      </c>
      <c r="B2" s="1" t="s">
        <v>195</v>
      </c>
      <c r="C2" s="1" t="str">
        <f>"08757210"</f>
        <v>08757210</v>
      </c>
      <c r="D2" s="1" t="s">
        <v>196</v>
      </c>
      <c r="F2" s="1" t="str">
        <f>"137"</f>
        <v>137</v>
      </c>
      <c r="G2" s="2">
        <v>41932</v>
      </c>
      <c r="H2" s="1">
        <v>209900</v>
      </c>
      <c r="I2" s="1">
        <v>189900</v>
      </c>
      <c r="J2" s="1">
        <v>182500</v>
      </c>
      <c r="K2" s="2">
        <v>41931</v>
      </c>
      <c r="L2" s="1">
        <v>101</v>
      </c>
      <c r="M2" s="2">
        <v>42031</v>
      </c>
      <c r="N2" s="1">
        <v>101</v>
      </c>
      <c r="O2" s="2">
        <v>42031</v>
      </c>
      <c r="P2" s="1">
        <v>23076</v>
      </c>
      <c r="Q2" s="1" t="s">
        <v>197</v>
      </c>
      <c r="R2" s="2">
        <v>42089</v>
      </c>
      <c r="S2" s="1">
        <v>233713</v>
      </c>
      <c r="U2" s="1">
        <v>470</v>
      </c>
      <c r="V2" s="1" t="s">
        <v>198</v>
      </c>
      <c r="W2" s="1" t="s">
        <v>199</v>
      </c>
      <c r="X2" s="1">
        <v>102</v>
      </c>
      <c r="Y2" s="1">
        <v>75</v>
      </c>
      <c r="Z2" s="1" t="s">
        <v>200</v>
      </c>
      <c r="AA2" s="1" t="s">
        <v>201</v>
      </c>
      <c r="AB2" s="1">
        <v>60137</v>
      </c>
      <c r="AD2" s="1" t="s">
        <v>202</v>
      </c>
      <c r="AE2" s="1" t="s">
        <v>203</v>
      </c>
      <c r="AF2" s="1">
        <v>1983</v>
      </c>
      <c r="AG2" s="1" t="s">
        <v>204</v>
      </c>
      <c r="AH2" s="1" t="s">
        <v>205</v>
      </c>
      <c r="AI2" s="1" t="s">
        <v>206</v>
      </c>
      <c r="AJ2" s="1" t="s">
        <v>207</v>
      </c>
      <c r="AK2" s="1" t="s">
        <v>208</v>
      </c>
      <c r="AL2" s="1">
        <v>6</v>
      </c>
      <c r="AM2" s="1">
        <v>2</v>
      </c>
      <c r="AN2" s="1">
        <v>2</v>
      </c>
      <c r="AO2" s="1">
        <v>0</v>
      </c>
      <c r="AP2" s="1" t="s">
        <v>209</v>
      </c>
      <c r="AQ2" s="1">
        <v>0</v>
      </c>
      <c r="AR2" s="1" t="s">
        <v>210</v>
      </c>
      <c r="AS2" s="1" t="s">
        <v>204</v>
      </c>
      <c r="AT2" s="1" t="s">
        <v>211</v>
      </c>
      <c r="AU2" s="1">
        <v>1</v>
      </c>
      <c r="AW2" s="1" t="s">
        <v>204</v>
      </c>
      <c r="AX2" s="1" t="s">
        <v>212</v>
      </c>
      <c r="AZ2" s="1">
        <v>3426</v>
      </c>
      <c r="BA2" s="1">
        <v>2013</v>
      </c>
      <c r="BB2" s="1" t="s">
        <v>210</v>
      </c>
      <c r="BE2" s="1">
        <v>1600</v>
      </c>
      <c r="BF2" s="1">
        <v>1</v>
      </c>
      <c r="BG2" s="1">
        <v>0</v>
      </c>
      <c r="BL2" s="1">
        <v>504</v>
      </c>
      <c r="BM2" s="1" t="s">
        <v>204</v>
      </c>
      <c r="BN2" s="1" t="s">
        <v>213</v>
      </c>
      <c r="BO2" s="1">
        <v>30</v>
      </c>
      <c r="BP2" s="1" t="s">
        <v>204</v>
      </c>
      <c r="BR2" s="1" t="str">
        <f>"0523323002"</f>
        <v>0523323002</v>
      </c>
      <c r="BT2" s="1" t="s">
        <v>214</v>
      </c>
      <c r="BU2" s="1" t="s">
        <v>215</v>
      </c>
      <c r="BV2" s="1" t="s">
        <v>216</v>
      </c>
      <c r="BW2" s="1" t="s">
        <v>217</v>
      </c>
      <c r="BX2" s="1">
        <v>89</v>
      </c>
      <c r="BY2" s="1">
        <v>89</v>
      </c>
      <c r="BZ2" s="1">
        <v>87</v>
      </c>
      <c r="CB2" s="1" t="str">
        <f t="shared" ref="CB2:CC2" si="0">"0"</f>
        <v>0</v>
      </c>
      <c r="CC2" s="1" t="str">
        <f t="shared" si="0"/>
        <v>0</v>
      </c>
      <c r="CD2" s="1">
        <v>22</v>
      </c>
      <c r="CE2" s="1">
        <v>1</v>
      </c>
      <c r="CG2" s="1" t="s">
        <v>218</v>
      </c>
      <c r="CH2" s="1" t="s">
        <v>219</v>
      </c>
      <c r="CI2" s="1" t="s">
        <v>220</v>
      </c>
      <c r="CK2" s="1" t="s">
        <v>221</v>
      </c>
      <c r="CL2" s="1" t="s">
        <v>219</v>
      </c>
      <c r="CM2" s="1" t="s">
        <v>220</v>
      </c>
      <c r="CO2" s="1" t="s">
        <v>222</v>
      </c>
      <c r="CP2" s="1" t="s">
        <v>219</v>
      </c>
      <c r="CQ2" s="1" t="s">
        <v>220</v>
      </c>
      <c r="CS2" s="1" t="s">
        <v>223</v>
      </c>
      <c r="CT2" s="1" t="s">
        <v>219</v>
      </c>
      <c r="CU2" s="1" t="s">
        <v>220</v>
      </c>
      <c r="CX2" s="1" t="s">
        <v>224</v>
      </c>
      <c r="DB2" s="1" t="s">
        <v>224</v>
      </c>
      <c r="DE2" s="1" t="s">
        <v>225</v>
      </c>
      <c r="DF2" s="1" t="s">
        <v>219</v>
      </c>
      <c r="DG2" s="1" t="s">
        <v>226</v>
      </c>
      <c r="DJ2" s="1" t="s">
        <v>224</v>
      </c>
      <c r="DM2" s="1" t="s">
        <v>227</v>
      </c>
      <c r="DR2" s="1" t="s">
        <v>228</v>
      </c>
      <c r="DS2" s="1" t="s">
        <v>219</v>
      </c>
      <c r="DT2" s="1" t="s">
        <v>229</v>
      </c>
      <c r="DW2" s="1" t="s">
        <v>230</v>
      </c>
      <c r="EA2" s="1" t="s">
        <v>230</v>
      </c>
      <c r="EE2" s="1" t="s">
        <v>230</v>
      </c>
      <c r="EI2" s="1" t="s">
        <v>230</v>
      </c>
      <c r="EL2" s="1" t="s">
        <v>231</v>
      </c>
      <c r="EM2" s="1" t="s">
        <v>232</v>
      </c>
      <c r="EN2" s="1" t="s">
        <v>233</v>
      </c>
      <c r="EO2" s="1" t="s">
        <v>234</v>
      </c>
      <c r="EP2" s="1" t="s">
        <v>235</v>
      </c>
      <c r="EQ2" s="1" t="s">
        <v>236</v>
      </c>
      <c r="ER2" s="1" t="s">
        <v>210</v>
      </c>
      <c r="ES2" s="1" t="s">
        <v>237</v>
      </c>
      <c r="ET2" s="1" t="s">
        <v>238</v>
      </c>
      <c r="EU2" s="1" t="s">
        <v>239</v>
      </c>
      <c r="EV2" s="1" t="s">
        <v>240</v>
      </c>
      <c r="EW2" s="1" t="s">
        <v>241</v>
      </c>
      <c r="EY2" s="1" t="s">
        <v>242</v>
      </c>
      <c r="EZ2" s="1" t="s">
        <v>227</v>
      </c>
      <c r="FA2" s="1" t="s">
        <v>243</v>
      </c>
      <c r="FB2" s="1" t="s">
        <v>244</v>
      </c>
      <c r="FC2" s="1" t="s">
        <v>245</v>
      </c>
      <c r="FD2" s="1" t="s">
        <v>246</v>
      </c>
      <c r="FE2" s="1" t="s">
        <v>247</v>
      </c>
      <c r="FF2" s="1" t="s">
        <v>248</v>
      </c>
      <c r="FH2" s="1" t="s">
        <v>249</v>
      </c>
      <c r="FI2" s="1" t="s">
        <v>250</v>
      </c>
      <c r="FL2" s="1" t="s">
        <v>251</v>
      </c>
      <c r="FM2" s="1" t="s">
        <v>252</v>
      </c>
      <c r="FN2" s="1" t="s">
        <v>213</v>
      </c>
      <c r="FO2" s="1" t="s">
        <v>213</v>
      </c>
      <c r="FQ2" s="1" t="s">
        <v>253</v>
      </c>
      <c r="FR2" s="1" t="s">
        <v>210</v>
      </c>
      <c r="FS2" s="1" t="s">
        <v>254</v>
      </c>
      <c r="FT2" s="1" t="s">
        <v>255</v>
      </c>
      <c r="FU2" s="1" t="s">
        <v>204</v>
      </c>
      <c r="FW2" s="1" t="s">
        <v>256</v>
      </c>
      <c r="FX2" s="1">
        <v>25163</v>
      </c>
      <c r="FY2" s="1" t="s">
        <v>257</v>
      </c>
      <c r="FZ2" s="1" t="s">
        <v>258</v>
      </c>
      <c r="GA2" s="1">
        <v>256804</v>
      </c>
      <c r="GB2" s="1" t="s">
        <v>259</v>
      </c>
      <c r="GE2" s="1" t="s">
        <v>210</v>
      </c>
      <c r="GI2" s="1" t="s">
        <v>213</v>
      </c>
      <c r="GJ2" s="1" t="s">
        <v>260</v>
      </c>
      <c r="GK2" s="1" t="s">
        <v>261</v>
      </c>
      <c r="GL2" s="2">
        <v>42090</v>
      </c>
      <c r="GM2" s="1" t="s">
        <v>262</v>
      </c>
    </row>
    <row r="3" spans="1:195">
      <c r="A3" s="1">
        <v>115000</v>
      </c>
      <c r="B3" s="1" t="s">
        <v>195</v>
      </c>
      <c r="C3" s="1" t="str">
        <f>"08754531"</f>
        <v>08754531</v>
      </c>
      <c r="D3" s="1" t="s">
        <v>196</v>
      </c>
      <c r="F3" s="1" t="str">
        <f>"172"</f>
        <v>172</v>
      </c>
      <c r="G3" s="2">
        <v>41928</v>
      </c>
      <c r="H3" s="1">
        <v>110000</v>
      </c>
      <c r="I3" s="1">
        <v>110000</v>
      </c>
      <c r="J3" s="1">
        <v>115000</v>
      </c>
      <c r="K3" s="2">
        <v>41928</v>
      </c>
      <c r="L3" s="1">
        <v>7</v>
      </c>
      <c r="M3" s="2">
        <v>41934</v>
      </c>
      <c r="N3" s="1">
        <v>7</v>
      </c>
      <c r="O3" s="2">
        <v>41934</v>
      </c>
      <c r="P3" s="1">
        <v>84320</v>
      </c>
      <c r="Q3" s="1" t="s">
        <v>197</v>
      </c>
      <c r="R3" s="2">
        <v>41976</v>
      </c>
      <c r="S3" s="1">
        <v>875471</v>
      </c>
      <c r="U3" s="1">
        <v>1116</v>
      </c>
      <c r="V3" s="1" t="s">
        <v>263</v>
      </c>
      <c r="W3" s="1" t="s">
        <v>264</v>
      </c>
      <c r="X3" s="1" t="s">
        <v>265</v>
      </c>
      <c r="Y3" s="1">
        <v>8</v>
      </c>
      <c r="Z3" s="1" t="s">
        <v>249</v>
      </c>
      <c r="AA3" s="1" t="s">
        <v>266</v>
      </c>
      <c r="AB3" s="1">
        <v>60172</v>
      </c>
      <c r="AD3" s="1" t="s">
        <v>267</v>
      </c>
      <c r="AE3" s="1" t="s">
        <v>268</v>
      </c>
      <c r="AF3" s="1">
        <v>1982</v>
      </c>
      <c r="AG3" s="1" t="s">
        <v>204</v>
      </c>
      <c r="AH3" s="1" t="s">
        <v>269</v>
      </c>
      <c r="AI3" s="1" t="s">
        <v>206</v>
      </c>
      <c r="AJ3" s="1" t="s">
        <v>269</v>
      </c>
      <c r="AK3" s="1" t="s">
        <v>270</v>
      </c>
      <c r="AL3" s="1">
        <v>5</v>
      </c>
      <c r="AM3" s="1">
        <v>2</v>
      </c>
      <c r="AN3" s="1">
        <v>2</v>
      </c>
      <c r="AO3" s="1">
        <v>0</v>
      </c>
      <c r="AP3" s="1" t="s">
        <v>209</v>
      </c>
      <c r="AQ3" s="1">
        <v>1</v>
      </c>
      <c r="AR3" s="1" t="s">
        <v>210</v>
      </c>
      <c r="AS3" s="1" t="s">
        <v>204</v>
      </c>
      <c r="AT3" s="1" t="s">
        <v>271</v>
      </c>
      <c r="AV3" s="1">
        <v>2</v>
      </c>
      <c r="AW3" s="1" t="s">
        <v>213</v>
      </c>
      <c r="AX3" s="1" t="s">
        <v>270</v>
      </c>
      <c r="AZ3" s="1">
        <v>1711</v>
      </c>
      <c r="BA3" s="1">
        <v>2013</v>
      </c>
      <c r="BB3" s="1" t="s">
        <v>210</v>
      </c>
      <c r="BE3" s="1">
        <v>1200</v>
      </c>
      <c r="BF3" s="1">
        <v>2</v>
      </c>
      <c r="BG3" s="1">
        <v>0</v>
      </c>
      <c r="BL3" s="1">
        <v>218</v>
      </c>
      <c r="BM3" s="1" t="s">
        <v>204</v>
      </c>
      <c r="BN3" s="1" t="s">
        <v>213</v>
      </c>
      <c r="BO3" s="1">
        <v>35</v>
      </c>
      <c r="BP3" s="1" t="s">
        <v>204</v>
      </c>
      <c r="BR3" s="1" t="str">
        <f>"0209306088"</f>
        <v>0209306088</v>
      </c>
      <c r="BT3" s="1" t="s">
        <v>272</v>
      </c>
      <c r="BU3" s="1" t="s">
        <v>273</v>
      </c>
      <c r="BV3" s="1" t="s">
        <v>274</v>
      </c>
      <c r="BW3" s="1" t="s">
        <v>275</v>
      </c>
      <c r="BX3" s="1">
        <v>20</v>
      </c>
      <c r="BY3" s="1">
        <v>20</v>
      </c>
      <c r="BZ3" s="1">
        <v>108</v>
      </c>
      <c r="CB3" s="1" t="str">
        <f>"6"</f>
        <v>6</v>
      </c>
      <c r="CC3" s="1" t="str">
        <f t="shared" ref="CC3:CC5" si="1">"0"</f>
        <v>0</v>
      </c>
      <c r="CD3" s="1">
        <v>24</v>
      </c>
      <c r="CE3" s="1">
        <v>0</v>
      </c>
      <c r="CG3" s="1" t="s">
        <v>276</v>
      </c>
      <c r="CH3" s="1" t="s">
        <v>277</v>
      </c>
      <c r="CI3" s="1" t="s">
        <v>220</v>
      </c>
      <c r="CK3" s="1" t="s">
        <v>278</v>
      </c>
      <c r="CL3" s="1" t="s">
        <v>277</v>
      </c>
      <c r="CM3" s="1" t="s">
        <v>220</v>
      </c>
      <c r="CO3" s="1" t="s">
        <v>279</v>
      </c>
      <c r="CP3" s="1" t="s">
        <v>277</v>
      </c>
      <c r="CQ3" s="1" t="s">
        <v>220</v>
      </c>
      <c r="CS3" s="1" t="s">
        <v>280</v>
      </c>
      <c r="CT3" s="1" t="s">
        <v>277</v>
      </c>
      <c r="CU3" s="1" t="s">
        <v>220</v>
      </c>
      <c r="CX3" s="1" t="s">
        <v>224</v>
      </c>
      <c r="DB3" s="1" t="s">
        <v>224</v>
      </c>
      <c r="DE3" s="1" t="s">
        <v>281</v>
      </c>
      <c r="DF3" s="1" t="s">
        <v>277</v>
      </c>
      <c r="DG3" s="1" t="s">
        <v>226</v>
      </c>
      <c r="DJ3" s="1" t="s">
        <v>224</v>
      </c>
      <c r="DS3" s="1" t="s">
        <v>230</v>
      </c>
      <c r="DW3" s="1" t="s">
        <v>230</v>
      </c>
      <c r="EA3" s="1" t="s">
        <v>230</v>
      </c>
      <c r="EE3" s="1" t="s">
        <v>230</v>
      </c>
      <c r="EI3" s="1" t="s">
        <v>230</v>
      </c>
      <c r="EL3" s="1" t="s">
        <v>231</v>
      </c>
      <c r="EM3" s="1" t="s">
        <v>232</v>
      </c>
      <c r="EN3" s="1" t="s">
        <v>282</v>
      </c>
      <c r="EO3" s="1" t="s">
        <v>234</v>
      </c>
      <c r="EP3" s="1" t="s">
        <v>283</v>
      </c>
      <c r="EQ3" s="1" t="s">
        <v>284</v>
      </c>
      <c r="ER3" s="1" t="s">
        <v>210</v>
      </c>
      <c r="EU3" s="1" t="s">
        <v>285</v>
      </c>
      <c r="EV3" s="1" t="s">
        <v>240</v>
      </c>
      <c r="EW3" s="1" t="s">
        <v>286</v>
      </c>
      <c r="EY3" s="1" t="s">
        <v>242</v>
      </c>
      <c r="EZ3" s="1" t="s">
        <v>287</v>
      </c>
      <c r="FA3" s="1" t="s">
        <v>288</v>
      </c>
      <c r="FB3" s="1" t="s">
        <v>289</v>
      </c>
      <c r="FD3" s="1" t="s">
        <v>290</v>
      </c>
      <c r="FE3" s="1" t="s">
        <v>247</v>
      </c>
      <c r="FF3" s="1" t="s">
        <v>248</v>
      </c>
      <c r="FH3" s="1" t="s">
        <v>249</v>
      </c>
      <c r="FK3" s="1" t="s">
        <v>291</v>
      </c>
      <c r="FL3" s="1" t="s">
        <v>292</v>
      </c>
      <c r="FM3" s="1" t="s">
        <v>252</v>
      </c>
      <c r="FN3" s="1" t="s">
        <v>213</v>
      </c>
      <c r="FO3" s="1" t="s">
        <v>204</v>
      </c>
      <c r="FQ3" s="1" t="s">
        <v>293</v>
      </c>
      <c r="FR3" s="1" t="s">
        <v>210</v>
      </c>
      <c r="FS3" s="1" t="s">
        <v>294</v>
      </c>
      <c r="FT3" s="1" t="s">
        <v>295</v>
      </c>
      <c r="FU3" s="1" t="s">
        <v>213</v>
      </c>
      <c r="FW3" s="1" t="s">
        <v>296</v>
      </c>
      <c r="FX3" s="1">
        <v>25832</v>
      </c>
      <c r="FY3" s="1" t="s">
        <v>297</v>
      </c>
      <c r="FZ3" s="1" t="s">
        <v>298</v>
      </c>
      <c r="GA3" s="1">
        <v>240361</v>
      </c>
      <c r="GB3" s="1" t="s">
        <v>299</v>
      </c>
      <c r="GE3" s="1" t="s">
        <v>210</v>
      </c>
      <c r="GI3" s="1" t="s">
        <v>204</v>
      </c>
      <c r="GJ3" s="1" t="s">
        <v>300</v>
      </c>
      <c r="GK3" s="1" t="s">
        <v>210</v>
      </c>
      <c r="GL3" s="2">
        <v>41978</v>
      </c>
      <c r="GM3" s="1" t="s">
        <v>301</v>
      </c>
    </row>
    <row r="4" spans="1:195">
      <c r="A4" s="1">
        <v>81000</v>
      </c>
      <c r="B4" s="1" t="s">
        <v>195</v>
      </c>
      <c r="C4" s="1" t="str">
        <f>"08753555"</f>
        <v>08753555</v>
      </c>
      <c r="D4" s="1" t="s">
        <v>196</v>
      </c>
      <c r="F4" s="1" t="str">
        <f>"176"</f>
        <v>176</v>
      </c>
      <c r="G4" s="2">
        <v>41927</v>
      </c>
      <c r="H4" s="1">
        <v>79900</v>
      </c>
      <c r="I4" s="1">
        <v>79900</v>
      </c>
      <c r="J4" s="1">
        <v>81000</v>
      </c>
      <c r="K4" s="2">
        <v>41927</v>
      </c>
      <c r="L4" s="1">
        <v>4</v>
      </c>
      <c r="M4" s="2">
        <v>41930</v>
      </c>
      <c r="N4" s="1">
        <v>4</v>
      </c>
      <c r="O4" s="2">
        <v>41930</v>
      </c>
      <c r="P4" s="1">
        <v>84157</v>
      </c>
      <c r="Q4" s="1" t="s">
        <v>302</v>
      </c>
      <c r="R4" s="2">
        <v>41975</v>
      </c>
      <c r="S4" s="1">
        <v>103284</v>
      </c>
      <c r="U4" s="1">
        <v>9815</v>
      </c>
      <c r="V4" s="1" t="s">
        <v>303</v>
      </c>
      <c r="W4" s="1" t="s">
        <v>304</v>
      </c>
      <c r="X4" s="1" t="s">
        <v>305</v>
      </c>
      <c r="Y4" s="1">
        <v>17</v>
      </c>
      <c r="Z4" s="1" t="s">
        <v>249</v>
      </c>
      <c r="AA4" s="1" t="s">
        <v>306</v>
      </c>
      <c r="AB4" s="1">
        <v>60176</v>
      </c>
      <c r="AD4" s="1" t="s">
        <v>307</v>
      </c>
      <c r="AE4" s="1" t="s">
        <v>308</v>
      </c>
      <c r="AF4" s="1">
        <v>1978</v>
      </c>
      <c r="AG4" s="1" t="s">
        <v>204</v>
      </c>
      <c r="AH4" s="1" t="s">
        <v>309</v>
      </c>
      <c r="AI4" s="1" t="s">
        <v>310</v>
      </c>
      <c r="AJ4" s="1" t="s">
        <v>311</v>
      </c>
      <c r="AL4" s="1">
        <v>5</v>
      </c>
      <c r="AM4" s="1">
        <v>2</v>
      </c>
      <c r="AN4" s="1">
        <v>2</v>
      </c>
      <c r="AO4" s="1">
        <v>0</v>
      </c>
      <c r="AP4" s="1" t="s">
        <v>209</v>
      </c>
      <c r="AR4" s="1" t="s">
        <v>210</v>
      </c>
      <c r="AS4" s="1" t="s">
        <v>204</v>
      </c>
      <c r="AT4" s="1" t="s">
        <v>271</v>
      </c>
      <c r="AV4" s="1">
        <v>1</v>
      </c>
      <c r="AW4" s="1" t="s">
        <v>204</v>
      </c>
      <c r="AX4" s="1" t="s">
        <v>212</v>
      </c>
      <c r="AZ4" s="1">
        <v>2997.08</v>
      </c>
      <c r="BA4" s="1">
        <v>2013</v>
      </c>
      <c r="BB4" s="1" t="s">
        <v>210</v>
      </c>
      <c r="BE4" s="1">
        <v>0</v>
      </c>
      <c r="BF4" s="1">
        <v>3</v>
      </c>
      <c r="BG4" s="1">
        <v>0</v>
      </c>
      <c r="BL4" s="1">
        <v>241</v>
      </c>
      <c r="BM4" s="1" t="s">
        <v>204</v>
      </c>
      <c r="BN4" s="1" t="s">
        <v>213</v>
      </c>
      <c r="BO4" s="1">
        <v>99</v>
      </c>
      <c r="BP4" s="1" t="s">
        <v>204</v>
      </c>
      <c r="BR4" s="1" t="str">
        <f>"12162040471014"</f>
        <v>12162040471014</v>
      </c>
      <c r="BT4" s="1" t="s">
        <v>312</v>
      </c>
      <c r="BW4" s="1" t="s">
        <v>313</v>
      </c>
      <c r="BX4" s="1">
        <v>81</v>
      </c>
      <c r="BY4" s="1">
        <v>81</v>
      </c>
      <c r="BZ4" s="1">
        <v>212</v>
      </c>
      <c r="CB4" s="1" t="str">
        <f>"4800"</f>
        <v>4800</v>
      </c>
      <c r="CC4" s="1" t="str">
        <f t="shared" si="1"/>
        <v>0</v>
      </c>
      <c r="CD4" s="1">
        <v>9800</v>
      </c>
      <c r="CE4" s="1">
        <v>0</v>
      </c>
      <c r="CG4" s="1" t="s">
        <v>314</v>
      </c>
      <c r="CH4" s="1" t="s">
        <v>219</v>
      </c>
      <c r="CI4" s="1" t="s">
        <v>220</v>
      </c>
      <c r="CK4" s="1" t="s">
        <v>315</v>
      </c>
      <c r="CL4" s="1" t="s">
        <v>219</v>
      </c>
      <c r="CM4" s="1" t="s">
        <v>220</v>
      </c>
      <c r="CO4" s="1" t="s">
        <v>316</v>
      </c>
      <c r="CP4" s="1" t="s">
        <v>219</v>
      </c>
      <c r="CQ4" s="1" t="s">
        <v>229</v>
      </c>
      <c r="CS4" s="1" t="s">
        <v>317</v>
      </c>
      <c r="CT4" s="1" t="s">
        <v>219</v>
      </c>
      <c r="CU4" s="1" t="s">
        <v>220</v>
      </c>
      <c r="CX4" s="1" t="s">
        <v>224</v>
      </c>
      <c r="DB4" s="1" t="s">
        <v>224</v>
      </c>
      <c r="DE4" s="1" t="s">
        <v>318</v>
      </c>
      <c r="DF4" s="1" t="s">
        <v>219</v>
      </c>
      <c r="DG4" s="1" t="s">
        <v>229</v>
      </c>
      <c r="DJ4" s="1" t="s">
        <v>224</v>
      </c>
      <c r="DS4" s="1" t="s">
        <v>230</v>
      </c>
      <c r="DW4" s="1" t="s">
        <v>230</v>
      </c>
      <c r="EA4" s="1" t="s">
        <v>230</v>
      </c>
      <c r="EE4" s="1" t="s">
        <v>230</v>
      </c>
      <c r="EI4" s="1" t="s">
        <v>230</v>
      </c>
      <c r="EL4" s="1" t="s">
        <v>231</v>
      </c>
      <c r="EM4" s="1" t="s">
        <v>319</v>
      </c>
      <c r="EN4" s="1" t="s">
        <v>282</v>
      </c>
      <c r="EO4" s="1" t="s">
        <v>234</v>
      </c>
      <c r="EP4" s="1" t="s">
        <v>320</v>
      </c>
      <c r="EQ4" s="1" t="s">
        <v>321</v>
      </c>
      <c r="ER4" s="1" t="s">
        <v>210</v>
      </c>
      <c r="ES4" s="1" t="s">
        <v>322</v>
      </c>
      <c r="ET4" s="1" t="s">
        <v>323</v>
      </c>
      <c r="EV4" s="1" t="s">
        <v>324</v>
      </c>
      <c r="EW4" s="1" t="s">
        <v>325</v>
      </c>
      <c r="EZ4" s="1" t="s">
        <v>287</v>
      </c>
      <c r="FB4" s="1" t="s">
        <v>289</v>
      </c>
      <c r="FC4" s="1" t="s">
        <v>326</v>
      </c>
      <c r="FD4" s="1" t="s">
        <v>246</v>
      </c>
      <c r="FE4" s="1" t="s">
        <v>247</v>
      </c>
      <c r="FF4" s="1" t="s">
        <v>248</v>
      </c>
      <c r="FH4" s="1" t="s">
        <v>249</v>
      </c>
      <c r="FK4" s="1" t="s">
        <v>327</v>
      </c>
      <c r="FL4" s="1" t="s">
        <v>328</v>
      </c>
      <c r="FM4" s="1" t="s">
        <v>252</v>
      </c>
      <c r="FN4" s="1" t="s">
        <v>213</v>
      </c>
      <c r="FO4" s="1" t="s">
        <v>213</v>
      </c>
      <c r="FQ4" s="1" t="s">
        <v>329</v>
      </c>
      <c r="FR4" s="1" t="s">
        <v>210</v>
      </c>
      <c r="FS4" s="1" t="s">
        <v>330</v>
      </c>
      <c r="FT4" s="1" t="s">
        <v>295</v>
      </c>
      <c r="FU4" s="1" t="s">
        <v>204</v>
      </c>
      <c r="FW4" s="1" t="s">
        <v>331</v>
      </c>
      <c r="FX4" s="1">
        <v>8540</v>
      </c>
      <c r="FY4" s="1" t="s">
        <v>332</v>
      </c>
      <c r="FZ4" s="1" t="s">
        <v>333</v>
      </c>
      <c r="GA4" s="1">
        <v>88604</v>
      </c>
      <c r="GB4" s="1" t="s">
        <v>334</v>
      </c>
      <c r="GE4" s="1" t="s">
        <v>335</v>
      </c>
      <c r="GI4" s="1" t="s">
        <v>213</v>
      </c>
      <c r="GJ4" s="1" t="s">
        <v>260</v>
      </c>
      <c r="GK4" s="1" t="s">
        <v>210</v>
      </c>
      <c r="GL4" s="2">
        <v>41976</v>
      </c>
    </row>
    <row r="5" spans="1:195">
      <c r="A5" s="1">
        <v>63500</v>
      </c>
      <c r="B5" s="1" t="s">
        <v>195</v>
      </c>
      <c r="C5" s="1" t="str">
        <f>"08755688"</f>
        <v>08755688</v>
      </c>
      <c r="D5" s="1" t="s">
        <v>196</v>
      </c>
      <c r="F5" s="1" t="str">
        <f>"103"</f>
        <v>103</v>
      </c>
      <c r="G5" s="2">
        <v>41929</v>
      </c>
      <c r="H5" s="1">
        <v>64900</v>
      </c>
      <c r="I5" s="1">
        <v>64900</v>
      </c>
      <c r="J5" s="1">
        <v>63500</v>
      </c>
      <c r="K5" s="2">
        <v>41928</v>
      </c>
      <c r="L5" s="1">
        <v>6</v>
      </c>
      <c r="M5" s="2">
        <v>41933</v>
      </c>
      <c r="N5" s="1">
        <v>6</v>
      </c>
      <c r="O5" s="2">
        <v>41933</v>
      </c>
      <c r="P5" s="1">
        <v>25200</v>
      </c>
      <c r="Q5" s="1" t="s">
        <v>302</v>
      </c>
      <c r="R5" s="2">
        <v>42090</v>
      </c>
      <c r="S5" s="1">
        <v>259007</v>
      </c>
      <c r="U5" s="1">
        <v>1385</v>
      </c>
      <c r="V5" s="1" t="s">
        <v>336</v>
      </c>
      <c r="W5" s="1" t="s">
        <v>264</v>
      </c>
      <c r="X5" s="1">
        <v>1385</v>
      </c>
      <c r="Y5" s="1">
        <v>4</v>
      </c>
      <c r="Z5" s="1" t="s">
        <v>249</v>
      </c>
      <c r="AA5" s="1" t="s">
        <v>337</v>
      </c>
      <c r="AB5" s="1">
        <v>60133</v>
      </c>
      <c r="AE5" s="1" t="s">
        <v>338</v>
      </c>
      <c r="AF5" s="1">
        <v>1978</v>
      </c>
      <c r="AG5" s="1" t="s">
        <v>204</v>
      </c>
      <c r="AH5" s="1" t="s">
        <v>339</v>
      </c>
      <c r="AI5" s="1" t="s">
        <v>206</v>
      </c>
      <c r="AJ5" s="1" t="s">
        <v>269</v>
      </c>
      <c r="AL5" s="1">
        <v>5</v>
      </c>
      <c r="AM5" s="1">
        <v>2</v>
      </c>
      <c r="AN5" s="1">
        <v>1</v>
      </c>
      <c r="AO5" s="1">
        <v>1</v>
      </c>
      <c r="AP5" s="1" t="s">
        <v>210</v>
      </c>
      <c r="AR5" s="1" t="s">
        <v>209</v>
      </c>
      <c r="AS5" s="1" t="s">
        <v>204</v>
      </c>
      <c r="AT5" s="1" t="s">
        <v>211</v>
      </c>
      <c r="AU5" s="1">
        <v>1</v>
      </c>
      <c r="AW5" s="1" t="s">
        <v>204</v>
      </c>
      <c r="AX5" s="1" t="s">
        <v>212</v>
      </c>
      <c r="AZ5" s="1">
        <v>2640</v>
      </c>
      <c r="BA5" s="1">
        <v>2013</v>
      </c>
      <c r="BB5" s="1" t="s">
        <v>210</v>
      </c>
      <c r="BE5" s="1">
        <v>1332</v>
      </c>
      <c r="BF5" s="1">
        <v>1</v>
      </c>
      <c r="BG5" s="1">
        <v>0</v>
      </c>
      <c r="BL5" s="1">
        <v>181</v>
      </c>
      <c r="BM5" s="1" t="s">
        <v>204</v>
      </c>
      <c r="BN5" s="1" t="s">
        <v>213</v>
      </c>
      <c r="BO5" s="1">
        <v>0</v>
      </c>
      <c r="BP5" s="1" t="s">
        <v>204</v>
      </c>
      <c r="BR5" s="1" t="str">
        <f>"0206105079"</f>
        <v>0206105079</v>
      </c>
      <c r="BT5" s="1" t="s">
        <v>340</v>
      </c>
      <c r="BU5" s="1" t="s">
        <v>341</v>
      </c>
      <c r="BV5" s="1" t="s">
        <v>274</v>
      </c>
      <c r="BW5" s="1" t="s">
        <v>275</v>
      </c>
      <c r="BX5" s="1">
        <v>20</v>
      </c>
      <c r="BY5" s="1">
        <v>20</v>
      </c>
      <c r="BZ5" s="1">
        <v>108</v>
      </c>
      <c r="CB5" s="1" t="str">
        <f>"7"</f>
        <v>7</v>
      </c>
      <c r="CC5" s="1" t="str">
        <f t="shared" si="1"/>
        <v>0</v>
      </c>
      <c r="CD5" s="1">
        <v>26</v>
      </c>
      <c r="CE5" s="1">
        <v>0</v>
      </c>
      <c r="CG5" s="1" t="s">
        <v>228</v>
      </c>
      <c r="CH5" s="1" t="s">
        <v>219</v>
      </c>
      <c r="CI5" s="1" t="s">
        <v>342</v>
      </c>
      <c r="CJ5" s="1" t="s">
        <v>343</v>
      </c>
      <c r="CK5" s="1" t="s">
        <v>344</v>
      </c>
      <c r="CL5" s="1" t="s">
        <v>277</v>
      </c>
      <c r="CM5" s="1" t="s">
        <v>220</v>
      </c>
      <c r="CN5" s="1" t="s">
        <v>343</v>
      </c>
      <c r="CO5" s="1" t="s">
        <v>345</v>
      </c>
      <c r="CP5" s="1" t="s">
        <v>219</v>
      </c>
      <c r="CQ5" s="1" t="s">
        <v>342</v>
      </c>
      <c r="CR5" s="1" t="s">
        <v>343</v>
      </c>
      <c r="CS5" s="1" t="s">
        <v>346</v>
      </c>
      <c r="CT5" s="1" t="s">
        <v>277</v>
      </c>
      <c r="CU5" s="1" t="s">
        <v>347</v>
      </c>
      <c r="CV5" s="1" t="s">
        <v>343</v>
      </c>
      <c r="CX5" s="1" t="s">
        <v>224</v>
      </c>
      <c r="DB5" s="1" t="s">
        <v>224</v>
      </c>
      <c r="DE5" s="1" t="s">
        <v>348</v>
      </c>
      <c r="DF5" s="1" t="s">
        <v>219</v>
      </c>
      <c r="DG5" s="1" t="s">
        <v>342</v>
      </c>
      <c r="DH5" s="1" t="s">
        <v>343</v>
      </c>
      <c r="DJ5" s="1" t="s">
        <v>224</v>
      </c>
      <c r="DS5" s="1" t="s">
        <v>230</v>
      </c>
      <c r="DW5" s="1" t="s">
        <v>230</v>
      </c>
      <c r="EA5" s="1" t="s">
        <v>230</v>
      </c>
      <c r="EE5" s="1" t="s">
        <v>230</v>
      </c>
      <c r="EI5" s="1" t="s">
        <v>230</v>
      </c>
      <c r="EL5" s="1" t="s">
        <v>231</v>
      </c>
      <c r="EM5" s="1" t="s">
        <v>319</v>
      </c>
      <c r="EN5" s="1" t="s">
        <v>282</v>
      </c>
      <c r="EO5" s="1" t="s">
        <v>234</v>
      </c>
      <c r="EP5" s="1" t="s">
        <v>349</v>
      </c>
      <c r="EQ5" s="1" t="s">
        <v>350</v>
      </c>
      <c r="ER5" s="1" t="s">
        <v>351</v>
      </c>
      <c r="EV5" s="1" t="s">
        <v>352</v>
      </c>
      <c r="EW5" s="1" t="s">
        <v>353</v>
      </c>
      <c r="EY5" s="1" t="s">
        <v>242</v>
      </c>
      <c r="EZ5" s="1" t="s">
        <v>287</v>
      </c>
      <c r="FA5" s="1" t="s">
        <v>354</v>
      </c>
      <c r="FB5" s="1" t="s">
        <v>289</v>
      </c>
      <c r="FD5" s="1" t="s">
        <v>246</v>
      </c>
      <c r="FE5" s="1" t="s">
        <v>355</v>
      </c>
      <c r="FF5" s="1" t="s">
        <v>248</v>
      </c>
      <c r="FH5" s="1" t="s">
        <v>356</v>
      </c>
      <c r="FI5" s="1" t="s">
        <v>357</v>
      </c>
      <c r="FL5" s="1" t="s">
        <v>358</v>
      </c>
      <c r="FM5" s="1" t="s">
        <v>252</v>
      </c>
      <c r="FN5" s="1" t="s">
        <v>213</v>
      </c>
      <c r="FO5" s="1" t="s">
        <v>213</v>
      </c>
      <c r="FQ5" s="1" t="s">
        <v>359</v>
      </c>
      <c r="FR5" s="1" t="s">
        <v>360</v>
      </c>
      <c r="FS5" s="1" t="s">
        <v>361</v>
      </c>
      <c r="FT5" s="1" t="s">
        <v>362</v>
      </c>
      <c r="FU5" s="1" t="s">
        <v>204</v>
      </c>
      <c r="FW5" s="1" t="s">
        <v>363</v>
      </c>
      <c r="FX5" s="1">
        <v>8970</v>
      </c>
      <c r="FY5" s="1" t="s">
        <v>364</v>
      </c>
      <c r="FZ5" s="1" t="s">
        <v>365</v>
      </c>
      <c r="GA5" s="1">
        <v>243080</v>
      </c>
      <c r="GD5" s="1" t="s">
        <v>366</v>
      </c>
      <c r="GE5" s="1" t="s">
        <v>210</v>
      </c>
      <c r="GI5" s="1" t="s">
        <v>213</v>
      </c>
      <c r="GJ5" s="1" t="s">
        <v>260</v>
      </c>
      <c r="GK5" s="1" t="s">
        <v>210</v>
      </c>
      <c r="GL5" s="2">
        <v>42090</v>
      </c>
      <c r="GM5" s="1" t="s">
        <v>367</v>
      </c>
    </row>
    <row r="6" spans="1:195">
      <c r="A6" s="1">
        <v>70000</v>
      </c>
      <c r="B6" s="1" t="s">
        <v>195</v>
      </c>
      <c r="C6" s="1" t="str">
        <f>"08757005"</f>
        <v>08757005</v>
      </c>
      <c r="D6" s="1" t="s">
        <v>196</v>
      </c>
      <c r="F6" s="1" t="str">
        <f>"104"</f>
        <v>104</v>
      </c>
      <c r="G6" s="2">
        <v>41932</v>
      </c>
      <c r="H6" s="1">
        <v>49900</v>
      </c>
      <c r="I6" s="1">
        <v>75000</v>
      </c>
      <c r="J6" s="1">
        <v>70000</v>
      </c>
      <c r="K6" s="2">
        <v>41932</v>
      </c>
      <c r="L6" s="1">
        <v>917</v>
      </c>
      <c r="M6" s="2">
        <v>42031</v>
      </c>
      <c r="N6" s="1">
        <v>100</v>
      </c>
      <c r="O6" s="2">
        <v>42031</v>
      </c>
      <c r="P6" s="1">
        <v>24303</v>
      </c>
      <c r="Q6" s="1" t="s">
        <v>302</v>
      </c>
      <c r="R6" s="2">
        <v>42124</v>
      </c>
      <c r="S6" s="1">
        <v>255094</v>
      </c>
      <c r="U6" s="1">
        <v>331</v>
      </c>
      <c r="V6" s="1" t="s">
        <v>368</v>
      </c>
      <c r="W6" s="1" t="s">
        <v>304</v>
      </c>
      <c r="X6" s="1" t="s">
        <v>369</v>
      </c>
      <c r="Y6" s="1">
        <v>4</v>
      </c>
      <c r="Z6" s="1" t="s">
        <v>370</v>
      </c>
      <c r="AA6" s="1" t="s">
        <v>371</v>
      </c>
      <c r="AB6" s="1">
        <v>60103</v>
      </c>
      <c r="AE6" s="1" t="s">
        <v>372</v>
      </c>
      <c r="AF6" s="1">
        <v>1991</v>
      </c>
      <c r="AG6" s="1" t="s">
        <v>204</v>
      </c>
      <c r="AH6" s="1" t="s">
        <v>373</v>
      </c>
      <c r="AI6" s="1" t="s">
        <v>310</v>
      </c>
      <c r="AJ6" s="1" t="s">
        <v>374</v>
      </c>
      <c r="AL6" s="1">
        <v>5</v>
      </c>
      <c r="AM6" s="1">
        <v>2</v>
      </c>
      <c r="AN6" s="1">
        <v>2</v>
      </c>
      <c r="AO6" s="1">
        <v>0</v>
      </c>
      <c r="AP6" s="1" t="s">
        <v>209</v>
      </c>
      <c r="AR6" s="1" t="s">
        <v>210</v>
      </c>
      <c r="AS6" s="1" t="s">
        <v>204</v>
      </c>
      <c r="AT6" s="1" t="s">
        <v>375</v>
      </c>
      <c r="AU6" s="1">
        <v>1</v>
      </c>
      <c r="AV6" s="1">
        <v>1</v>
      </c>
      <c r="AW6" s="1" t="s">
        <v>204</v>
      </c>
      <c r="AX6" s="1" t="s">
        <v>270</v>
      </c>
      <c r="AZ6" s="1">
        <v>2000</v>
      </c>
      <c r="BA6" s="1">
        <v>2012</v>
      </c>
      <c r="BE6" s="1">
        <v>850</v>
      </c>
      <c r="BF6" s="1">
        <v>2</v>
      </c>
      <c r="BG6" s="1">
        <v>1</v>
      </c>
      <c r="BL6" s="1">
        <v>222</v>
      </c>
      <c r="BM6" s="1" t="s">
        <v>204</v>
      </c>
      <c r="BN6" s="1" t="s">
        <v>213</v>
      </c>
      <c r="BO6" s="1">
        <v>10</v>
      </c>
      <c r="BP6" s="1" t="s">
        <v>204</v>
      </c>
      <c r="BR6" s="1" t="str">
        <f>"06354001171239"</f>
        <v>06354001171239</v>
      </c>
      <c r="BT6" s="1" t="s">
        <v>376</v>
      </c>
      <c r="BX6" s="1">
        <v>46</v>
      </c>
      <c r="BY6" s="1">
        <v>46</v>
      </c>
      <c r="BZ6" s="1">
        <v>46</v>
      </c>
      <c r="CB6" s="1" t="str">
        <f t="shared" ref="CB6:CC6" si="2">""</f>
        <v/>
      </c>
      <c r="CC6" s="1" t="str">
        <f t="shared" si="2"/>
        <v/>
      </c>
      <c r="CG6" s="1" t="s">
        <v>377</v>
      </c>
      <c r="CH6" s="1" t="s">
        <v>219</v>
      </c>
      <c r="CK6" s="1" t="s">
        <v>378</v>
      </c>
      <c r="CL6" s="1" t="s">
        <v>219</v>
      </c>
      <c r="CP6" s="1" t="s">
        <v>224</v>
      </c>
      <c r="CS6" s="1" t="s">
        <v>379</v>
      </c>
      <c r="CT6" s="1" t="s">
        <v>219</v>
      </c>
      <c r="CX6" s="1" t="s">
        <v>224</v>
      </c>
      <c r="DB6" s="1" t="s">
        <v>224</v>
      </c>
      <c r="DE6" s="1" t="s">
        <v>380</v>
      </c>
      <c r="DF6" s="1" t="s">
        <v>219</v>
      </c>
      <c r="DJ6" s="1" t="s">
        <v>224</v>
      </c>
      <c r="DM6" s="1" t="s">
        <v>381</v>
      </c>
      <c r="DR6" s="1" t="s">
        <v>318</v>
      </c>
      <c r="DS6" s="1" t="s">
        <v>219</v>
      </c>
      <c r="DW6" s="1" t="s">
        <v>230</v>
      </c>
      <c r="EA6" s="1" t="s">
        <v>230</v>
      </c>
      <c r="EE6" s="1" t="s">
        <v>230</v>
      </c>
      <c r="EI6" s="1" t="s">
        <v>230</v>
      </c>
      <c r="EL6" s="1" t="s">
        <v>382</v>
      </c>
      <c r="EM6" s="1" t="s">
        <v>319</v>
      </c>
      <c r="EN6" s="1" t="s">
        <v>282</v>
      </c>
      <c r="EO6" s="1" t="s">
        <v>234</v>
      </c>
      <c r="ER6" s="1" t="s">
        <v>383</v>
      </c>
      <c r="EW6" s="1" t="s">
        <v>384</v>
      </c>
      <c r="EZ6" s="1" t="s">
        <v>381</v>
      </c>
      <c r="FD6" s="1" t="s">
        <v>385</v>
      </c>
      <c r="FE6" s="1" t="s">
        <v>386</v>
      </c>
      <c r="FF6" s="1" t="s">
        <v>387</v>
      </c>
      <c r="FH6" s="1" t="s">
        <v>388</v>
      </c>
      <c r="FK6" s="1" t="s">
        <v>389</v>
      </c>
      <c r="FL6" s="1" t="s">
        <v>358</v>
      </c>
      <c r="FM6" s="1" t="s">
        <v>252</v>
      </c>
      <c r="FN6" s="1" t="s">
        <v>204</v>
      </c>
      <c r="FO6" s="1" t="s">
        <v>213</v>
      </c>
      <c r="FQ6" s="1" t="s">
        <v>390</v>
      </c>
      <c r="FR6" s="1" t="s">
        <v>360</v>
      </c>
      <c r="FS6" s="1" t="s">
        <v>391</v>
      </c>
      <c r="FT6" s="1" t="s">
        <v>392</v>
      </c>
      <c r="FU6" s="1" t="s">
        <v>204</v>
      </c>
      <c r="FW6" s="1" t="s">
        <v>393</v>
      </c>
      <c r="FX6" s="1">
        <v>24250</v>
      </c>
      <c r="FY6" s="1" t="s">
        <v>394</v>
      </c>
      <c r="FZ6" s="1" t="s">
        <v>395</v>
      </c>
      <c r="GA6" s="1">
        <v>240009</v>
      </c>
      <c r="GB6" s="1" t="s">
        <v>396</v>
      </c>
      <c r="GE6" s="1" t="s">
        <v>210</v>
      </c>
      <c r="GI6" s="1" t="s">
        <v>213</v>
      </c>
      <c r="GJ6" s="1" t="s">
        <v>260</v>
      </c>
      <c r="GK6" s="1" t="s">
        <v>210</v>
      </c>
      <c r="GL6" s="2">
        <v>42125</v>
      </c>
      <c r="GM6" s="1" t="s">
        <v>397</v>
      </c>
    </row>
    <row r="7" spans="1:195">
      <c r="A7" s="1">
        <v>25100</v>
      </c>
      <c r="B7" s="1" t="s">
        <v>195</v>
      </c>
      <c r="C7" s="1" t="str">
        <f>"08754606"</f>
        <v>08754606</v>
      </c>
      <c r="D7" s="1" t="s">
        <v>196</v>
      </c>
      <c r="F7" s="1" t="str">
        <f>"8040"</f>
        <v>8040</v>
      </c>
      <c r="G7" s="2">
        <v>41928</v>
      </c>
      <c r="H7" s="1">
        <v>26900</v>
      </c>
      <c r="I7" s="1">
        <v>26900</v>
      </c>
      <c r="J7" s="1">
        <v>25100</v>
      </c>
      <c r="K7" s="2">
        <v>41927</v>
      </c>
      <c r="L7" s="1">
        <v>21</v>
      </c>
      <c r="M7" s="2">
        <v>41947</v>
      </c>
      <c r="N7" s="1">
        <v>21</v>
      </c>
      <c r="O7" s="2">
        <v>41947</v>
      </c>
      <c r="P7" s="1">
        <v>85861</v>
      </c>
      <c r="Q7" s="1" t="s">
        <v>302</v>
      </c>
      <c r="R7" s="2">
        <v>41985</v>
      </c>
      <c r="S7" s="1">
        <v>152101</v>
      </c>
      <c r="U7" s="1">
        <v>5734</v>
      </c>
      <c r="V7" s="1" t="s">
        <v>398</v>
      </c>
      <c r="W7" s="1" t="s">
        <v>264</v>
      </c>
      <c r="X7" s="1" t="s">
        <v>399</v>
      </c>
      <c r="Y7" s="1">
        <v>40</v>
      </c>
      <c r="Z7" s="1" t="s">
        <v>249</v>
      </c>
      <c r="AA7" s="1" t="s">
        <v>400</v>
      </c>
      <c r="AB7" s="1">
        <v>60637</v>
      </c>
      <c r="AE7" s="1" t="s">
        <v>401</v>
      </c>
      <c r="AF7" s="1" t="s">
        <v>402</v>
      </c>
      <c r="AG7" s="1" t="s">
        <v>213</v>
      </c>
      <c r="AH7" s="1" t="s">
        <v>403</v>
      </c>
      <c r="AI7" s="1" t="s">
        <v>310</v>
      </c>
      <c r="AJ7" s="1" t="s">
        <v>404</v>
      </c>
      <c r="AL7" s="1">
        <v>5</v>
      </c>
      <c r="AM7" s="1">
        <v>2</v>
      </c>
      <c r="AN7" s="1">
        <v>1</v>
      </c>
      <c r="AO7" s="1">
        <v>0</v>
      </c>
      <c r="AP7" s="1" t="s">
        <v>210</v>
      </c>
      <c r="AR7" s="1" t="s">
        <v>210</v>
      </c>
      <c r="AS7" s="1" t="s">
        <v>204</v>
      </c>
      <c r="AT7" s="1" t="s">
        <v>210</v>
      </c>
      <c r="AW7" s="1" t="s">
        <v>204</v>
      </c>
      <c r="AX7" s="1" t="s">
        <v>212</v>
      </c>
      <c r="AZ7" s="1">
        <v>1026</v>
      </c>
      <c r="BA7" s="1">
        <v>2013</v>
      </c>
      <c r="BB7" s="1" t="s">
        <v>405</v>
      </c>
      <c r="BE7" s="1">
        <v>800</v>
      </c>
      <c r="BF7" s="1">
        <v>2</v>
      </c>
      <c r="BG7" s="1">
        <v>30</v>
      </c>
      <c r="BL7" s="1">
        <v>100</v>
      </c>
      <c r="BM7" s="1" t="s">
        <v>204</v>
      </c>
      <c r="BN7" s="1" t="s">
        <v>213</v>
      </c>
      <c r="BO7" s="1">
        <v>50</v>
      </c>
      <c r="BP7" s="1" t="s">
        <v>204</v>
      </c>
      <c r="BR7" s="1" t="str">
        <f>"20151180221019"</f>
        <v>20151180221019</v>
      </c>
      <c r="BT7" s="1" t="s">
        <v>406</v>
      </c>
      <c r="BX7" s="1">
        <v>299</v>
      </c>
      <c r="BY7" s="1">
        <v>299</v>
      </c>
      <c r="BZ7" s="1">
        <v>299</v>
      </c>
      <c r="CB7" s="1" t="str">
        <f>"0"</f>
        <v>0</v>
      </c>
      <c r="CC7" s="1" t="str">
        <f>"400"</f>
        <v>400</v>
      </c>
      <c r="CD7" s="1">
        <v>0</v>
      </c>
      <c r="CE7" s="1">
        <v>5734</v>
      </c>
      <c r="CG7" s="1" t="s">
        <v>407</v>
      </c>
      <c r="CH7" s="1" t="s">
        <v>219</v>
      </c>
      <c r="CK7" s="1" t="s">
        <v>408</v>
      </c>
      <c r="CL7" s="1" t="s">
        <v>219</v>
      </c>
      <c r="CP7" s="1" t="s">
        <v>224</v>
      </c>
      <c r="CS7" s="1" t="s">
        <v>409</v>
      </c>
      <c r="CT7" s="1" t="s">
        <v>219</v>
      </c>
      <c r="CX7" s="1" t="s">
        <v>224</v>
      </c>
      <c r="DB7" s="1" t="s">
        <v>224</v>
      </c>
      <c r="DE7" s="1" t="s">
        <v>410</v>
      </c>
      <c r="DF7" s="1" t="s">
        <v>219</v>
      </c>
      <c r="DJ7" s="1" t="s">
        <v>224</v>
      </c>
      <c r="DM7" s="1" t="s">
        <v>411</v>
      </c>
      <c r="DR7" s="1" t="s">
        <v>412</v>
      </c>
      <c r="DS7" s="1" t="s">
        <v>219</v>
      </c>
      <c r="DW7" s="1" t="s">
        <v>230</v>
      </c>
      <c r="EA7" s="1" t="s">
        <v>230</v>
      </c>
      <c r="EE7" s="1" t="s">
        <v>230</v>
      </c>
      <c r="EI7" s="1" t="s">
        <v>230</v>
      </c>
      <c r="EL7" s="1" t="s">
        <v>413</v>
      </c>
      <c r="EM7" s="1" t="s">
        <v>319</v>
      </c>
      <c r="EN7" s="1" t="s">
        <v>282</v>
      </c>
      <c r="EO7" s="1" t="s">
        <v>234</v>
      </c>
      <c r="ER7" s="1" t="s">
        <v>210</v>
      </c>
      <c r="EW7" s="1" t="s">
        <v>325</v>
      </c>
      <c r="EZ7" s="1" t="s">
        <v>411</v>
      </c>
      <c r="FD7" s="1" t="s">
        <v>246</v>
      </c>
      <c r="FE7" s="1" t="s">
        <v>247</v>
      </c>
      <c r="FF7" s="1" t="s">
        <v>248</v>
      </c>
      <c r="FH7" s="1" t="s">
        <v>249</v>
      </c>
      <c r="FL7" s="1" t="s">
        <v>414</v>
      </c>
      <c r="FM7" s="1" t="s">
        <v>252</v>
      </c>
      <c r="FN7" s="1" t="s">
        <v>213</v>
      </c>
      <c r="FO7" s="1" t="s">
        <v>213</v>
      </c>
      <c r="FQ7" s="1" t="s">
        <v>415</v>
      </c>
      <c r="FR7" s="1" t="s">
        <v>210</v>
      </c>
      <c r="FS7" s="1" t="s">
        <v>416</v>
      </c>
      <c r="FT7" s="1" t="s">
        <v>295</v>
      </c>
      <c r="FU7" s="1" t="s">
        <v>204</v>
      </c>
      <c r="FW7" s="1" t="s">
        <v>417</v>
      </c>
      <c r="FX7" s="1">
        <v>16795</v>
      </c>
      <c r="FY7" s="1" t="s">
        <v>418</v>
      </c>
      <c r="FZ7" s="1" t="s">
        <v>419</v>
      </c>
      <c r="GA7" s="1">
        <v>110590</v>
      </c>
      <c r="GB7" s="1" t="s">
        <v>420</v>
      </c>
      <c r="GC7" s="1">
        <v>185513</v>
      </c>
      <c r="GE7" s="1" t="s">
        <v>210</v>
      </c>
      <c r="GH7" s="1" t="s">
        <v>421</v>
      </c>
      <c r="GI7" s="1" t="s">
        <v>213</v>
      </c>
      <c r="GJ7" s="1" t="s">
        <v>260</v>
      </c>
      <c r="GK7" s="1" t="s">
        <v>210</v>
      </c>
      <c r="GL7" s="2">
        <v>41985</v>
      </c>
      <c r="GM7" s="1" t="s">
        <v>422</v>
      </c>
    </row>
    <row r="8" spans="1:195">
      <c r="A8" s="1">
        <v>115000</v>
      </c>
      <c r="B8" s="1" t="s">
        <v>195</v>
      </c>
      <c r="C8" s="1" t="str">
        <f>"08757107"</f>
        <v>08757107</v>
      </c>
      <c r="D8" s="1" t="s">
        <v>196</v>
      </c>
      <c r="F8" s="1" t="str">
        <f>"160"</f>
        <v>160</v>
      </c>
      <c r="G8" s="2">
        <v>41932</v>
      </c>
      <c r="H8" s="1">
        <v>119000</v>
      </c>
      <c r="I8" s="1">
        <v>109900</v>
      </c>
      <c r="J8" s="1">
        <v>115000</v>
      </c>
      <c r="K8" s="2">
        <v>41932</v>
      </c>
      <c r="L8" s="1">
        <v>137</v>
      </c>
      <c r="M8" s="2">
        <v>42068</v>
      </c>
      <c r="N8" s="1">
        <v>137</v>
      </c>
      <c r="O8" s="2">
        <v>42068</v>
      </c>
      <c r="P8" s="1">
        <v>13691</v>
      </c>
      <c r="Q8" s="1" t="s">
        <v>423</v>
      </c>
      <c r="R8" s="2">
        <v>42107</v>
      </c>
      <c r="S8" s="1">
        <v>112960</v>
      </c>
      <c r="U8" s="1">
        <v>1528</v>
      </c>
      <c r="V8" s="1" t="s">
        <v>424</v>
      </c>
      <c r="W8" s="1" t="s">
        <v>425</v>
      </c>
      <c r="Y8" s="1">
        <v>2</v>
      </c>
      <c r="Z8" s="1" t="s">
        <v>200</v>
      </c>
      <c r="AA8" s="1" t="s">
        <v>426</v>
      </c>
      <c r="AB8" s="1">
        <v>60160</v>
      </c>
      <c r="AE8" s="1" t="s">
        <v>427</v>
      </c>
      <c r="AF8" s="1">
        <v>1942</v>
      </c>
      <c r="AG8" s="1" t="s">
        <v>213</v>
      </c>
      <c r="AH8" s="1" t="s">
        <v>428</v>
      </c>
      <c r="AI8" s="1" t="s">
        <v>310</v>
      </c>
      <c r="AJ8" s="1" t="s">
        <v>429</v>
      </c>
      <c r="AK8" s="1" t="s">
        <v>430</v>
      </c>
      <c r="AL8" s="1">
        <v>5</v>
      </c>
      <c r="AM8" s="1">
        <v>2</v>
      </c>
      <c r="AN8" s="1">
        <v>2</v>
      </c>
      <c r="AO8" s="1">
        <v>0</v>
      </c>
      <c r="AP8" s="1" t="s">
        <v>210</v>
      </c>
      <c r="AR8" s="1" t="s">
        <v>209</v>
      </c>
      <c r="AS8" s="1" t="s">
        <v>213</v>
      </c>
      <c r="AT8" s="1" t="s">
        <v>211</v>
      </c>
      <c r="AU8" s="1">
        <v>1</v>
      </c>
      <c r="AW8" s="1" t="s">
        <v>204</v>
      </c>
      <c r="AX8" s="1" t="s">
        <v>431</v>
      </c>
      <c r="AZ8" s="1">
        <v>3200</v>
      </c>
      <c r="BA8" s="1">
        <v>2013</v>
      </c>
      <c r="BB8" s="1" t="s">
        <v>210</v>
      </c>
      <c r="BE8" s="1">
        <v>950</v>
      </c>
      <c r="BF8" s="1">
        <v>1</v>
      </c>
      <c r="BG8" s="1">
        <v>0</v>
      </c>
      <c r="BL8" s="1">
        <v>0</v>
      </c>
      <c r="BM8" s="1" t="s">
        <v>204</v>
      </c>
      <c r="BN8" s="1" t="s">
        <v>213</v>
      </c>
      <c r="BO8" s="1" t="s">
        <v>432</v>
      </c>
      <c r="BP8" s="1" t="s">
        <v>204</v>
      </c>
      <c r="BR8" s="1" t="str">
        <f>"15031280400000"</f>
        <v>15031280400000</v>
      </c>
      <c r="BT8" s="1" t="s">
        <v>433</v>
      </c>
      <c r="BU8" s="1" t="s">
        <v>434</v>
      </c>
      <c r="BV8" s="1" t="s">
        <v>435</v>
      </c>
      <c r="BW8" s="1" t="s">
        <v>436</v>
      </c>
      <c r="BX8" s="1">
        <v>89</v>
      </c>
      <c r="BY8" s="1">
        <v>89</v>
      </c>
      <c r="BZ8" s="1">
        <v>209</v>
      </c>
      <c r="CB8" s="1" t="str">
        <f t="shared" ref="CB8:CC8" si="3">""</f>
        <v/>
      </c>
      <c r="CC8" s="1" t="str">
        <f t="shared" si="3"/>
        <v/>
      </c>
      <c r="CG8" s="1" t="s">
        <v>437</v>
      </c>
      <c r="CH8" s="1" t="s">
        <v>219</v>
      </c>
      <c r="CI8" s="1" t="s">
        <v>438</v>
      </c>
      <c r="CJ8" s="1" t="s">
        <v>439</v>
      </c>
      <c r="CK8" s="1" t="s">
        <v>437</v>
      </c>
      <c r="CL8" s="1" t="s">
        <v>277</v>
      </c>
      <c r="CM8" s="1" t="s">
        <v>438</v>
      </c>
      <c r="CN8" s="1" t="s">
        <v>439</v>
      </c>
      <c r="CO8" s="1" t="s">
        <v>409</v>
      </c>
      <c r="CP8" s="1" t="s">
        <v>219</v>
      </c>
      <c r="CQ8" s="1" t="s">
        <v>342</v>
      </c>
      <c r="CR8" s="1" t="s">
        <v>210</v>
      </c>
      <c r="CS8" s="1" t="s">
        <v>378</v>
      </c>
      <c r="CT8" s="1" t="s">
        <v>277</v>
      </c>
      <c r="CU8" s="1" t="s">
        <v>438</v>
      </c>
      <c r="CV8" s="1" t="s">
        <v>439</v>
      </c>
      <c r="CX8" s="1" t="s">
        <v>224</v>
      </c>
      <c r="DB8" s="1" t="s">
        <v>224</v>
      </c>
      <c r="DE8" s="1" t="s">
        <v>281</v>
      </c>
      <c r="DF8" s="1" t="s">
        <v>219</v>
      </c>
      <c r="DG8" s="1" t="s">
        <v>342</v>
      </c>
      <c r="DH8" s="1" t="s">
        <v>439</v>
      </c>
      <c r="DJ8" s="1" t="s">
        <v>224</v>
      </c>
      <c r="DS8" s="1" t="s">
        <v>230</v>
      </c>
      <c r="DW8" s="1" t="s">
        <v>230</v>
      </c>
      <c r="EA8" s="1" t="s">
        <v>230</v>
      </c>
      <c r="EE8" s="1" t="s">
        <v>230</v>
      </c>
      <c r="EI8" s="1" t="s">
        <v>230</v>
      </c>
      <c r="EL8" s="1" t="s">
        <v>440</v>
      </c>
      <c r="EM8" s="1" t="s">
        <v>232</v>
      </c>
      <c r="EN8" s="1" t="s">
        <v>282</v>
      </c>
      <c r="EO8" s="1" t="s">
        <v>234</v>
      </c>
      <c r="EQ8" s="1" t="s">
        <v>350</v>
      </c>
      <c r="ER8" s="1" t="s">
        <v>351</v>
      </c>
      <c r="ES8" s="1" t="s">
        <v>322</v>
      </c>
      <c r="EW8" s="1" t="s">
        <v>210</v>
      </c>
      <c r="EY8" s="1" t="s">
        <v>441</v>
      </c>
      <c r="EZ8" s="1" t="s">
        <v>287</v>
      </c>
      <c r="FD8" s="1" t="s">
        <v>246</v>
      </c>
      <c r="FE8" s="1" t="s">
        <v>247</v>
      </c>
      <c r="FF8" s="1" t="s">
        <v>248</v>
      </c>
      <c r="FH8" s="1" t="s">
        <v>442</v>
      </c>
      <c r="FI8" s="1" t="s">
        <v>357</v>
      </c>
      <c r="FL8" s="1" t="s">
        <v>358</v>
      </c>
      <c r="FM8" s="1" t="s">
        <v>252</v>
      </c>
      <c r="FN8" s="1" t="s">
        <v>213</v>
      </c>
      <c r="FO8" s="1" t="s">
        <v>213</v>
      </c>
      <c r="FQ8" s="1" t="s">
        <v>329</v>
      </c>
      <c r="FR8" s="1" t="s">
        <v>210</v>
      </c>
      <c r="FS8" s="1" t="s">
        <v>443</v>
      </c>
      <c r="FT8" s="1" t="s">
        <v>295</v>
      </c>
      <c r="FU8" s="1" t="s">
        <v>204</v>
      </c>
      <c r="FW8" s="1" t="s">
        <v>444</v>
      </c>
      <c r="FX8" s="1">
        <v>90330</v>
      </c>
      <c r="FY8" s="1" t="s">
        <v>445</v>
      </c>
      <c r="FZ8" s="1" t="s">
        <v>446</v>
      </c>
      <c r="GA8" s="1">
        <v>900694</v>
      </c>
      <c r="GE8" s="1" t="s">
        <v>210</v>
      </c>
      <c r="GH8" s="1" t="s">
        <v>230</v>
      </c>
      <c r="GI8" s="1" t="s">
        <v>213</v>
      </c>
      <c r="GJ8" s="1" t="s">
        <v>260</v>
      </c>
      <c r="GK8" s="1" t="s">
        <v>210</v>
      </c>
      <c r="GL8" s="2">
        <v>42107</v>
      </c>
      <c r="GM8" s="1" t="s">
        <v>447</v>
      </c>
    </row>
    <row r="9" spans="1:195">
      <c r="A9" s="1">
        <v>122000</v>
      </c>
      <c r="B9" s="1" t="s">
        <v>195</v>
      </c>
      <c r="C9" s="1" t="str">
        <f>"08755173"</f>
        <v>08755173</v>
      </c>
      <c r="D9" s="1" t="s">
        <v>196</v>
      </c>
      <c r="F9" s="1" t="str">
        <f>"538"</f>
        <v>538</v>
      </c>
      <c r="G9" s="2">
        <v>41929</v>
      </c>
      <c r="H9" s="1">
        <v>120000</v>
      </c>
      <c r="I9" s="1">
        <v>120000</v>
      </c>
      <c r="J9" s="1">
        <v>122000</v>
      </c>
      <c r="K9" s="2">
        <v>41929</v>
      </c>
      <c r="L9" s="1">
        <v>101</v>
      </c>
      <c r="M9" s="2">
        <v>41935</v>
      </c>
      <c r="N9" s="1">
        <v>7</v>
      </c>
      <c r="O9" s="2">
        <v>41935</v>
      </c>
      <c r="P9" s="1">
        <v>60120</v>
      </c>
      <c r="Q9" s="1" t="s">
        <v>423</v>
      </c>
      <c r="R9" s="2">
        <v>41985</v>
      </c>
      <c r="S9" s="1">
        <v>235308</v>
      </c>
      <c r="T9" s="1">
        <v>4000</v>
      </c>
      <c r="U9" s="1">
        <v>2195</v>
      </c>
      <c r="V9" s="1" t="s">
        <v>448</v>
      </c>
      <c r="W9" s="1" t="s">
        <v>449</v>
      </c>
      <c r="Y9" s="1">
        <v>2</v>
      </c>
      <c r="Z9" s="1" t="s">
        <v>370</v>
      </c>
      <c r="AA9" s="1" t="s">
        <v>450</v>
      </c>
      <c r="AB9" s="1">
        <v>60538</v>
      </c>
      <c r="AE9" s="1" t="s">
        <v>451</v>
      </c>
      <c r="AF9" s="1">
        <v>2001</v>
      </c>
      <c r="AG9" s="1" t="s">
        <v>204</v>
      </c>
      <c r="AH9" s="1" t="s">
        <v>452</v>
      </c>
      <c r="AI9" s="1" t="s">
        <v>453</v>
      </c>
      <c r="AJ9" s="1" t="s">
        <v>454</v>
      </c>
      <c r="AL9" s="1">
        <v>6</v>
      </c>
      <c r="AM9" s="1">
        <v>2</v>
      </c>
      <c r="AN9" s="1">
        <v>1</v>
      </c>
      <c r="AO9" s="1">
        <v>1</v>
      </c>
      <c r="AP9" s="1" t="s">
        <v>455</v>
      </c>
      <c r="AR9" s="1" t="s">
        <v>210</v>
      </c>
      <c r="AS9" s="1" t="s">
        <v>204</v>
      </c>
      <c r="AT9" s="1" t="s">
        <v>211</v>
      </c>
      <c r="AU9" s="1">
        <v>1</v>
      </c>
      <c r="AW9" s="1" t="s">
        <v>204</v>
      </c>
      <c r="AX9" s="1" t="s">
        <v>456</v>
      </c>
      <c r="AZ9" s="1">
        <v>4239.3599999999997</v>
      </c>
      <c r="BA9" s="1">
        <v>2013</v>
      </c>
      <c r="BB9" s="1" t="s">
        <v>405</v>
      </c>
      <c r="BE9" s="1">
        <v>1300</v>
      </c>
      <c r="BF9" s="1">
        <v>1</v>
      </c>
      <c r="BG9" s="1">
        <v>0</v>
      </c>
      <c r="BL9" s="1">
        <v>82</v>
      </c>
      <c r="BM9" s="1" t="s">
        <v>213</v>
      </c>
      <c r="BN9" s="1" t="s">
        <v>213</v>
      </c>
      <c r="BO9" s="1" t="s">
        <v>432</v>
      </c>
      <c r="BP9" s="1" t="s">
        <v>204</v>
      </c>
      <c r="BR9" s="1" t="str">
        <f>"0202202071"</f>
        <v>0202202071</v>
      </c>
      <c r="BT9" s="1" t="s">
        <v>457</v>
      </c>
      <c r="BU9" s="1" t="s">
        <v>458</v>
      </c>
      <c r="BV9" s="1" t="s">
        <v>459</v>
      </c>
      <c r="BW9" s="1" t="s">
        <v>460</v>
      </c>
      <c r="BX9" s="1">
        <v>308</v>
      </c>
      <c r="BY9" s="1">
        <v>308</v>
      </c>
      <c r="BZ9" s="1">
        <v>308</v>
      </c>
      <c r="CB9" s="1" t="str">
        <f t="shared" ref="CB9:CC9" si="4">""</f>
        <v/>
      </c>
      <c r="CC9" s="1" t="str">
        <f t="shared" si="4"/>
        <v/>
      </c>
      <c r="CG9" s="1" t="s">
        <v>461</v>
      </c>
      <c r="CH9" s="1" t="s">
        <v>219</v>
      </c>
      <c r="CI9" s="1" t="s">
        <v>220</v>
      </c>
      <c r="CJ9" s="1" t="s">
        <v>343</v>
      </c>
      <c r="CK9" s="1" t="s">
        <v>462</v>
      </c>
      <c r="CL9" s="1" t="s">
        <v>277</v>
      </c>
      <c r="CM9" s="1" t="s">
        <v>220</v>
      </c>
      <c r="CN9" s="1" t="s">
        <v>343</v>
      </c>
      <c r="CO9" s="1" t="s">
        <v>461</v>
      </c>
      <c r="CP9" s="1" t="s">
        <v>219</v>
      </c>
      <c r="CQ9" s="1" t="s">
        <v>220</v>
      </c>
      <c r="CR9" s="1" t="s">
        <v>343</v>
      </c>
      <c r="CS9" s="1" t="s">
        <v>408</v>
      </c>
      <c r="CT9" s="1" t="s">
        <v>277</v>
      </c>
      <c r="CU9" s="1" t="s">
        <v>220</v>
      </c>
      <c r="CV9" s="1" t="s">
        <v>343</v>
      </c>
      <c r="CX9" s="1" t="s">
        <v>224</v>
      </c>
      <c r="DB9" s="1" t="s">
        <v>224</v>
      </c>
      <c r="DE9" s="1" t="s">
        <v>378</v>
      </c>
      <c r="DF9" s="1" t="s">
        <v>219</v>
      </c>
      <c r="DG9" s="1" t="s">
        <v>342</v>
      </c>
      <c r="DH9" s="1" t="s">
        <v>463</v>
      </c>
      <c r="DJ9" s="1" t="s">
        <v>224</v>
      </c>
      <c r="DM9" s="1" t="s">
        <v>464</v>
      </c>
      <c r="DR9" s="1" t="s">
        <v>465</v>
      </c>
      <c r="DS9" s="1" t="s">
        <v>277</v>
      </c>
      <c r="DT9" s="1" t="s">
        <v>220</v>
      </c>
      <c r="DU9" s="1" t="s">
        <v>343</v>
      </c>
      <c r="DW9" s="1" t="s">
        <v>230</v>
      </c>
      <c r="EA9" s="1" t="s">
        <v>230</v>
      </c>
      <c r="EE9" s="1" t="s">
        <v>230</v>
      </c>
      <c r="EI9" s="1" t="s">
        <v>230</v>
      </c>
      <c r="EL9" s="1" t="s">
        <v>466</v>
      </c>
      <c r="EM9" s="1" t="s">
        <v>319</v>
      </c>
      <c r="EN9" s="1" t="s">
        <v>282</v>
      </c>
      <c r="EO9" s="1" t="s">
        <v>234</v>
      </c>
      <c r="EP9" s="1" t="s">
        <v>467</v>
      </c>
      <c r="EQ9" s="1" t="s">
        <v>468</v>
      </c>
      <c r="ER9" s="1" t="s">
        <v>383</v>
      </c>
      <c r="ES9" s="1" t="s">
        <v>469</v>
      </c>
      <c r="EV9" s="1" t="s">
        <v>324</v>
      </c>
      <c r="EW9" s="1" t="s">
        <v>470</v>
      </c>
      <c r="EY9" s="1" t="s">
        <v>242</v>
      </c>
      <c r="EZ9" s="1" t="s">
        <v>464</v>
      </c>
      <c r="FA9" s="1" t="s">
        <v>471</v>
      </c>
      <c r="FD9" s="1" t="s">
        <v>246</v>
      </c>
      <c r="FE9" s="1" t="s">
        <v>472</v>
      </c>
      <c r="FF9" s="1" t="s">
        <v>248</v>
      </c>
      <c r="FH9" s="1" t="s">
        <v>442</v>
      </c>
      <c r="FI9" s="1" t="s">
        <v>473</v>
      </c>
      <c r="FL9" s="1" t="s">
        <v>358</v>
      </c>
      <c r="FM9" s="1" t="s">
        <v>252</v>
      </c>
      <c r="FN9" s="1" t="s">
        <v>213</v>
      </c>
      <c r="FO9" s="1" t="s">
        <v>213</v>
      </c>
      <c r="FQ9" s="1" t="s">
        <v>474</v>
      </c>
      <c r="FR9" s="1" t="s">
        <v>210</v>
      </c>
      <c r="FS9" s="1" t="s">
        <v>475</v>
      </c>
      <c r="FT9" s="1" t="s">
        <v>295</v>
      </c>
      <c r="FU9" s="1" t="s">
        <v>204</v>
      </c>
      <c r="FW9" s="1" t="s">
        <v>476</v>
      </c>
      <c r="FX9" s="1">
        <v>79988</v>
      </c>
      <c r="FY9" s="1" t="s">
        <v>477</v>
      </c>
      <c r="FZ9" s="1" t="s">
        <v>478</v>
      </c>
      <c r="GA9" s="1">
        <v>703445</v>
      </c>
      <c r="GB9" s="1" t="s">
        <v>479</v>
      </c>
      <c r="GE9" s="1" t="s">
        <v>480</v>
      </c>
      <c r="GI9" s="1" t="s">
        <v>213</v>
      </c>
      <c r="GJ9" s="1" t="s">
        <v>260</v>
      </c>
      <c r="GK9" s="1" t="s">
        <v>210</v>
      </c>
      <c r="GL9" s="2">
        <v>41985</v>
      </c>
      <c r="GM9" s="1" t="s">
        <v>481</v>
      </c>
    </row>
    <row r="10" spans="1:195">
      <c r="A10" s="1">
        <v>54000</v>
      </c>
      <c r="B10" s="1" t="s">
        <v>195</v>
      </c>
      <c r="C10" s="1" t="str">
        <f>"08755387"</f>
        <v>08755387</v>
      </c>
      <c r="D10" s="1" t="s">
        <v>196</v>
      </c>
      <c r="F10" s="1" t="str">
        <f>"560"</f>
        <v>560</v>
      </c>
      <c r="G10" s="2">
        <v>41929</v>
      </c>
      <c r="H10" s="1">
        <v>73900</v>
      </c>
      <c r="I10" s="1">
        <v>73900</v>
      </c>
      <c r="J10" s="1">
        <v>54000</v>
      </c>
      <c r="K10" s="2">
        <v>41929</v>
      </c>
      <c r="L10" s="1">
        <v>46</v>
      </c>
      <c r="M10" s="2">
        <v>41974</v>
      </c>
      <c r="N10" s="1">
        <v>46</v>
      </c>
      <c r="O10" s="2">
        <v>41974</v>
      </c>
      <c r="P10" s="1">
        <v>25769</v>
      </c>
      <c r="Q10" s="1" t="s">
        <v>302</v>
      </c>
      <c r="R10" s="2">
        <v>42061</v>
      </c>
      <c r="S10" s="1">
        <v>221260</v>
      </c>
      <c r="U10" s="1">
        <v>234</v>
      </c>
      <c r="V10" s="1" t="s">
        <v>482</v>
      </c>
      <c r="W10" s="1" t="s">
        <v>264</v>
      </c>
      <c r="X10" s="1" t="s">
        <v>483</v>
      </c>
      <c r="Y10" s="1">
        <v>16</v>
      </c>
      <c r="Z10" s="1" t="s">
        <v>249</v>
      </c>
      <c r="AA10" s="1" t="s">
        <v>484</v>
      </c>
      <c r="AB10" s="1">
        <v>60560</v>
      </c>
      <c r="AD10" s="1" t="s">
        <v>485</v>
      </c>
      <c r="AE10" s="1" t="s">
        <v>486</v>
      </c>
      <c r="AF10" s="1">
        <v>2006</v>
      </c>
      <c r="AG10" s="1" t="s">
        <v>204</v>
      </c>
      <c r="AH10" s="1" t="s">
        <v>487</v>
      </c>
      <c r="AI10" s="1" t="s">
        <v>453</v>
      </c>
      <c r="AJ10" s="1" t="s">
        <v>454</v>
      </c>
      <c r="AL10" s="1">
        <v>5</v>
      </c>
      <c r="AM10" s="1">
        <v>2</v>
      </c>
      <c r="AN10" s="1">
        <v>2</v>
      </c>
      <c r="AO10" s="1">
        <v>0</v>
      </c>
      <c r="AP10" s="1" t="s">
        <v>209</v>
      </c>
      <c r="AR10" s="1" t="s">
        <v>210</v>
      </c>
      <c r="AS10" s="1" t="s">
        <v>204</v>
      </c>
      <c r="AT10" s="1" t="s">
        <v>211</v>
      </c>
      <c r="AU10" s="1">
        <v>1</v>
      </c>
      <c r="AW10" s="1" t="s">
        <v>204</v>
      </c>
      <c r="AX10" s="1" t="s">
        <v>212</v>
      </c>
      <c r="AZ10" s="1">
        <v>3500.1</v>
      </c>
      <c r="BA10" s="1">
        <v>2013</v>
      </c>
      <c r="BB10" s="1" t="s">
        <v>405</v>
      </c>
      <c r="BE10" s="1">
        <v>1049</v>
      </c>
      <c r="BF10" s="1">
        <v>1</v>
      </c>
      <c r="BG10" s="1">
        <v>0</v>
      </c>
      <c r="BL10" s="1">
        <v>224</v>
      </c>
      <c r="BM10" s="1" t="s">
        <v>413</v>
      </c>
      <c r="BN10" s="1" t="s">
        <v>213</v>
      </c>
      <c r="BO10" s="1">
        <v>0</v>
      </c>
      <c r="BP10" s="1" t="s">
        <v>204</v>
      </c>
      <c r="BR10" s="1" t="str">
        <f>"0204390248"</f>
        <v>0204390248</v>
      </c>
      <c r="BT10" s="1" t="s">
        <v>488</v>
      </c>
      <c r="BX10" s="1">
        <v>115</v>
      </c>
      <c r="BY10" s="1">
        <v>115</v>
      </c>
      <c r="BZ10" s="1">
        <v>115</v>
      </c>
      <c r="CB10" s="1" t="str">
        <f t="shared" ref="CB10:CC10" si="5">""</f>
        <v/>
      </c>
      <c r="CC10" s="1" t="str">
        <f t="shared" si="5"/>
        <v/>
      </c>
      <c r="CG10" s="1" t="s">
        <v>344</v>
      </c>
      <c r="CH10" s="1" t="s">
        <v>219</v>
      </c>
      <c r="CI10" s="1" t="s">
        <v>220</v>
      </c>
      <c r="CK10" s="1" t="s">
        <v>437</v>
      </c>
      <c r="CL10" s="1" t="s">
        <v>219</v>
      </c>
      <c r="CM10" s="1" t="s">
        <v>220</v>
      </c>
      <c r="CO10" s="1" t="s">
        <v>489</v>
      </c>
      <c r="CP10" s="1" t="s">
        <v>219</v>
      </c>
      <c r="CQ10" s="1" t="s">
        <v>220</v>
      </c>
      <c r="CS10" s="1" t="s">
        <v>490</v>
      </c>
      <c r="CT10" s="1" t="s">
        <v>219</v>
      </c>
      <c r="CU10" s="1" t="s">
        <v>220</v>
      </c>
      <c r="CX10" s="1" t="s">
        <v>224</v>
      </c>
      <c r="DB10" s="1" t="s">
        <v>224</v>
      </c>
      <c r="DE10" s="1" t="s">
        <v>379</v>
      </c>
      <c r="DF10" s="1" t="s">
        <v>219</v>
      </c>
      <c r="DG10" s="1" t="s">
        <v>342</v>
      </c>
      <c r="DJ10" s="1" t="s">
        <v>224</v>
      </c>
      <c r="DS10" s="1" t="s">
        <v>230</v>
      </c>
      <c r="DW10" s="1" t="s">
        <v>230</v>
      </c>
      <c r="EA10" s="1" t="s">
        <v>230</v>
      </c>
      <c r="EE10" s="1" t="s">
        <v>230</v>
      </c>
      <c r="EI10" s="1" t="s">
        <v>230</v>
      </c>
      <c r="EL10" s="1" t="s">
        <v>491</v>
      </c>
      <c r="EM10" s="1" t="s">
        <v>319</v>
      </c>
      <c r="EN10" s="1" t="s">
        <v>282</v>
      </c>
      <c r="EO10" s="1" t="s">
        <v>234</v>
      </c>
      <c r="EQ10" s="1" t="s">
        <v>492</v>
      </c>
      <c r="ER10" s="1" t="s">
        <v>210</v>
      </c>
      <c r="ES10" s="1" t="s">
        <v>493</v>
      </c>
      <c r="EV10" s="1" t="s">
        <v>240</v>
      </c>
      <c r="EW10" s="1" t="s">
        <v>494</v>
      </c>
      <c r="EY10" s="1" t="s">
        <v>242</v>
      </c>
      <c r="EZ10" s="1" t="s">
        <v>287</v>
      </c>
      <c r="FD10" s="1" t="s">
        <v>495</v>
      </c>
      <c r="FE10" s="1" t="s">
        <v>496</v>
      </c>
      <c r="FF10" s="1" t="s">
        <v>248</v>
      </c>
      <c r="FH10" s="1" t="s">
        <v>249</v>
      </c>
      <c r="FL10" s="1" t="s">
        <v>292</v>
      </c>
      <c r="FM10" s="1" t="s">
        <v>252</v>
      </c>
      <c r="FN10" s="1" t="s">
        <v>204</v>
      </c>
      <c r="FO10" s="1" t="s">
        <v>213</v>
      </c>
      <c r="FQ10" s="1" t="s">
        <v>497</v>
      </c>
      <c r="FR10" s="1" t="s">
        <v>360</v>
      </c>
      <c r="FS10" s="1" t="s">
        <v>498</v>
      </c>
      <c r="FT10" s="1" t="s">
        <v>362</v>
      </c>
      <c r="FU10" s="1" t="s">
        <v>204</v>
      </c>
      <c r="FW10" s="1" t="s">
        <v>499</v>
      </c>
      <c r="FX10" s="1">
        <v>22934</v>
      </c>
      <c r="FY10" s="1" t="s">
        <v>500</v>
      </c>
      <c r="FZ10" s="1" t="s">
        <v>501</v>
      </c>
      <c r="GA10" s="1">
        <v>230321</v>
      </c>
      <c r="GB10" s="1" t="s">
        <v>500</v>
      </c>
      <c r="GE10" s="1" t="s">
        <v>210</v>
      </c>
      <c r="GI10" s="1" t="s">
        <v>204</v>
      </c>
      <c r="GJ10" s="1" t="s">
        <v>260</v>
      </c>
      <c r="GK10" s="1" t="s">
        <v>210</v>
      </c>
      <c r="GL10" s="2">
        <v>42063</v>
      </c>
      <c r="GM10" s="1" t="s">
        <v>502</v>
      </c>
    </row>
    <row r="11" spans="1:195">
      <c r="A11" s="1">
        <v>105500</v>
      </c>
      <c r="B11" s="1" t="s">
        <v>195</v>
      </c>
      <c r="C11" s="1" t="str">
        <f>"08755975"</f>
        <v>08755975</v>
      </c>
      <c r="D11" s="1" t="s">
        <v>196</v>
      </c>
      <c r="F11" s="1" t="str">
        <f>"61"</f>
        <v>61</v>
      </c>
      <c r="G11" s="2">
        <v>41929</v>
      </c>
      <c r="H11" s="1">
        <v>105500</v>
      </c>
      <c r="I11" s="1">
        <v>105500</v>
      </c>
      <c r="J11" s="1">
        <v>105500</v>
      </c>
      <c r="K11" s="2">
        <v>41928</v>
      </c>
      <c r="L11" s="1">
        <v>1</v>
      </c>
      <c r="M11" s="2">
        <v>41928</v>
      </c>
      <c r="N11" s="1">
        <v>1</v>
      </c>
      <c r="O11" s="2">
        <v>41928</v>
      </c>
      <c r="P11" s="1">
        <v>25042</v>
      </c>
      <c r="Q11" s="1" t="s">
        <v>197</v>
      </c>
      <c r="R11" s="2">
        <v>41974</v>
      </c>
      <c r="S11" s="1">
        <v>56100</v>
      </c>
      <c r="U11" s="1">
        <v>336</v>
      </c>
      <c r="V11" s="1" t="s">
        <v>503</v>
      </c>
      <c r="W11" s="1" t="s">
        <v>504</v>
      </c>
      <c r="X11" s="1">
        <v>336</v>
      </c>
      <c r="Y11" s="1">
        <v>4</v>
      </c>
      <c r="Z11" s="1" t="s">
        <v>249</v>
      </c>
      <c r="AA11" s="1" t="s">
        <v>505</v>
      </c>
      <c r="AB11" s="1">
        <v>60061</v>
      </c>
      <c r="AD11" s="1" t="s">
        <v>506</v>
      </c>
      <c r="AE11" s="1" t="s">
        <v>507</v>
      </c>
      <c r="AF11" s="1">
        <v>1975</v>
      </c>
      <c r="AG11" s="1" t="s">
        <v>213</v>
      </c>
      <c r="AH11" s="1" t="s">
        <v>508</v>
      </c>
      <c r="AI11" s="1" t="s">
        <v>509</v>
      </c>
      <c r="AJ11" s="1" t="s">
        <v>510</v>
      </c>
      <c r="AL11" s="1">
        <v>5</v>
      </c>
      <c r="AM11" s="1">
        <v>2</v>
      </c>
      <c r="AN11" s="1">
        <v>1</v>
      </c>
      <c r="AO11" s="1">
        <v>1</v>
      </c>
      <c r="AP11" s="1" t="s">
        <v>210</v>
      </c>
      <c r="AR11" s="1" t="s">
        <v>210</v>
      </c>
      <c r="AS11" s="1" t="s">
        <v>204</v>
      </c>
      <c r="AT11" s="1" t="s">
        <v>211</v>
      </c>
      <c r="AU11" s="1">
        <v>1</v>
      </c>
      <c r="AW11" s="1" t="s">
        <v>204</v>
      </c>
      <c r="AX11" s="1" t="s">
        <v>212</v>
      </c>
      <c r="AZ11" s="1">
        <v>2388.38</v>
      </c>
      <c r="BA11" s="1">
        <v>2012</v>
      </c>
      <c r="BB11" s="1" t="s">
        <v>405</v>
      </c>
      <c r="BE11" s="1">
        <v>1012</v>
      </c>
      <c r="BF11" s="1">
        <v>1</v>
      </c>
      <c r="BG11" s="1">
        <v>30</v>
      </c>
      <c r="BL11" s="1">
        <v>187</v>
      </c>
      <c r="BM11" s="1" t="s">
        <v>204</v>
      </c>
      <c r="BN11" s="1" t="s">
        <v>213</v>
      </c>
      <c r="BO11" s="1">
        <v>50</v>
      </c>
      <c r="BP11" s="1" t="s">
        <v>204</v>
      </c>
      <c r="BR11" s="1" t="str">
        <f>"15053010180000"</f>
        <v>15053010180000</v>
      </c>
      <c r="BT11" s="1" t="s">
        <v>511</v>
      </c>
      <c r="BU11" s="1" t="s">
        <v>512</v>
      </c>
      <c r="BV11" s="1" t="s">
        <v>513</v>
      </c>
      <c r="BW11" s="1" t="s">
        <v>514</v>
      </c>
      <c r="BX11" s="1">
        <v>73</v>
      </c>
      <c r="BY11" s="1">
        <v>73</v>
      </c>
      <c r="BZ11" s="1">
        <v>128</v>
      </c>
      <c r="CB11" s="1" t="str">
        <f t="shared" ref="CB11:CC11" si="6">""</f>
        <v/>
      </c>
      <c r="CC11" s="1" t="str">
        <f t="shared" si="6"/>
        <v/>
      </c>
      <c r="CG11" s="1" t="s">
        <v>515</v>
      </c>
      <c r="CH11" s="1" t="s">
        <v>219</v>
      </c>
      <c r="CK11" s="1" t="s">
        <v>223</v>
      </c>
      <c r="CL11" s="1" t="s">
        <v>277</v>
      </c>
      <c r="CO11" s="1" t="s">
        <v>516</v>
      </c>
      <c r="CP11" s="1" t="s">
        <v>219</v>
      </c>
      <c r="CS11" s="1" t="s">
        <v>346</v>
      </c>
      <c r="CT11" s="1" t="s">
        <v>277</v>
      </c>
      <c r="CX11" s="1" t="s">
        <v>224</v>
      </c>
      <c r="DB11" s="1" t="s">
        <v>224</v>
      </c>
      <c r="DE11" s="1" t="s">
        <v>516</v>
      </c>
      <c r="DF11" s="1" t="s">
        <v>219</v>
      </c>
      <c r="DJ11" s="1" t="s">
        <v>224</v>
      </c>
      <c r="DS11" s="1" t="s">
        <v>230</v>
      </c>
      <c r="DW11" s="1" t="s">
        <v>230</v>
      </c>
      <c r="EA11" s="1" t="s">
        <v>230</v>
      </c>
      <c r="EE11" s="1" t="s">
        <v>230</v>
      </c>
      <c r="EI11" s="1" t="s">
        <v>230</v>
      </c>
      <c r="EL11" s="1" t="s">
        <v>231</v>
      </c>
      <c r="EM11" s="1" t="s">
        <v>232</v>
      </c>
      <c r="EN11" s="1" t="s">
        <v>282</v>
      </c>
      <c r="EO11" s="1" t="s">
        <v>234</v>
      </c>
      <c r="ER11" s="1" t="s">
        <v>210</v>
      </c>
      <c r="EW11" s="1" t="s">
        <v>517</v>
      </c>
      <c r="EY11" s="1" t="s">
        <v>242</v>
      </c>
      <c r="EZ11" s="1" t="s">
        <v>287</v>
      </c>
      <c r="FD11" s="1" t="s">
        <v>246</v>
      </c>
      <c r="FE11" s="1" t="s">
        <v>355</v>
      </c>
      <c r="FF11" s="1" t="s">
        <v>248</v>
      </c>
      <c r="FH11" s="1" t="s">
        <v>249</v>
      </c>
      <c r="FI11" s="1" t="s">
        <v>357</v>
      </c>
      <c r="FJ11" s="1" t="s">
        <v>518</v>
      </c>
      <c r="FL11" s="1" t="s">
        <v>358</v>
      </c>
      <c r="FM11" s="1" t="s">
        <v>252</v>
      </c>
      <c r="FN11" s="1" t="s">
        <v>213</v>
      </c>
      <c r="FO11" s="1" t="s">
        <v>213</v>
      </c>
      <c r="FQ11" s="1" t="s">
        <v>519</v>
      </c>
      <c r="FR11" s="1" t="s">
        <v>210</v>
      </c>
      <c r="FS11" s="1" t="s">
        <v>475</v>
      </c>
      <c r="FT11" s="1" t="s">
        <v>520</v>
      </c>
      <c r="FU11" s="1" t="s">
        <v>204</v>
      </c>
      <c r="FW11" s="1" t="s">
        <v>521</v>
      </c>
      <c r="FX11" s="1">
        <v>5098</v>
      </c>
      <c r="FY11" s="1" t="s">
        <v>522</v>
      </c>
      <c r="FZ11" s="1" t="s">
        <v>523</v>
      </c>
      <c r="GA11" s="1">
        <v>56100</v>
      </c>
      <c r="GD11" s="1" t="s">
        <v>524</v>
      </c>
      <c r="GE11" s="1" t="s">
        <v>210</v>
      </c>
      <c r="GI11" s="1" t="s">
        <v>204</v>
      </c>
      <c r="GJ11" s="1" t="s">
        <v>260</v>
      </c>
      <c r="GK11" s="1" t="s">
        <v>210</v>
      </c>
      <c r="GL11" s="2">
        <v>41975</v>
      </c>
    </row>
    <row r="12" spans="1:195">
      <c r="A12" s="1">
        <v>151500</v>
      </c>
      <c r="B12" s="1" t="s">
        <v>195</v>
      </c>
      <c r="C12" s="1" t="str">
        <f>"08756520"</f>
        <v>08756520</v>
      </c>
      <c r="D12" s="1" t="s">
        <v>196</v>
      </c>
      <c r="F12" s="1" t="str">
        <f>"47"</f>
        <v>47</v>
      </c>
      <c r="G12" s="2">
        <v>41931</v>
      </c>
      <c r="H12" s="1">
        <v>159900</v>
      </c>
      <c r="I12" s="1">
        <v>154900</v>
      </c>
      <c r="J12" s="1">
        <v>151500</v>
      </c>
      <c r="K12" s="2">
        <v>41931</v>
      </c>
      <c r="L12" s="1">
        <v>39</v>
      </c>
      <c r="M12" s="2">
        <v>41969</v>
      </c>
      <c r="N12" s="1">
        <v>39</v>
      </c>
      <c r="O12" s="2">
        <v>41969</v>
      </c>
      <c r="P12" s="1">
        <v>6076</v>
      </c>
      <c r="Q12" s="1" t="s">
        <v>302</v>
      </c>
      <c r="R12" s="2">
        <v>41990</v>
      </c>
      <c r="S12" s="1">
        <v>61872</v>
      </c>
      <c r="U12" s="1">
        <v>110</v>
      </c>
      <c r="V12" s="1" t="s">
        <v>525</v>
      </c>
      <c r="W12" s="1" t="s">
        <v>526</v>
      </c>
      <c r="X12" s="1" t="s">
        <v>527</v>
      </c>
      <c r="Y12" s="1">
        <v>4</v>
      </c>
      <c r="Z12" s="1" t="s">
        <v>370</v>
      </c>
      <c r="AA12" s="1" t="s">
        <v>528</v>
      </c>
      <c r="AB12" s="1">
        <v>60047</v>
      </c>
      <c r="AD12" s="1" t="s">
        <v>529</v>
      </c>
      <c r="AE12" s="1" t="s">
        <v>530</v>
      </c>
      <c r="AF12" s="1">
        <v>1985</v>
      </c>
      <c r="AG12" s="1" t="s">
        <v>204</v>
      </c>
      <c r="AH12" s="1" t="s">
        <v>531</v>
      </c>
      <c r="AI12" s="1" t="s">
        <v>509</v>
      </c>
      <c r="AJ12" s="1" t="s">
        <v>532</v>
      </c>
      <c r="AL12" s="1">
        <v>6</v>
      </c>
      <c r="AM12" s="1">
        <v>2</v>
      </c>
      <c r="AN12" s="1">
        <v>1</v>
      </c>
      <c r="AO12" s="1">
        <v>1</v>
      </c>
      <c r="AP12" s="1" t="s">
        <v>210</v>
      </c>
      <c r="AR12" s="1" t="s">
        <v>209</v>
      </c>
      <c r="AS12" s="1" t="s">
        <v>204</v>
      </c>
      <c r="AT12" s="1" t="s">
        <v>211</v>
      </c>
      <c r="AU12" s="1">
        <v>1</v>
      </c>
      <c r="AW12" s="1" t="s">
        <v>204</v>
      </c>
      <c r="AX12" s="1" t="s">
        <v>533</v>
      </c>
      <c r="AZ12" s="1">
        <v>3159.14</v>
      </c>
      <c r="BA12" s="1">
        <v>2013</v>
      </c>
      <c r="BB12" s="1" t="s">
        <v>405</v>
      </c>
      <c r="BE12" s="1">
        <v>1017</v>
      </c>
      <c r="BF12" s="1">
        <v>1</v>
      </c>
      <c r="BG12" s="1">
        <v>0</v>
      </c>
      <c r="BL12" s="1">
        <v>125</v>
      </c>
      <c r="BM12" s="1" t="s">
        <v>204</v>
      </c>
      <c r="BN12" s="1" t="s">
        <v>213</v>
      </c>
      <c r="BO12" s="1">
        <v>99</v>
      </c>
      <c r="BP12" s="1" t="s">
        <v>204</v>
      </c>
      <c r="BR12" s="1" t="str">
        <f>"14202030590000"</f>
        <v>14202030590000</v>
      </c>
      <c r="BT12" s="1" t="s">
        <v>534</v>
      </c>
      <c r="BU12" s="1" t="s">
        <v>535</v>
      </c>
      <c r="BV12" s="1" t="s">
        <v>536</v>
      </c>
      <c r="BW12" s="1" t="s">
        <v>537</v>
      </c>
      <c r="BX12" s="1">
        <v>95</v>
      </c>
      <c r="BY12" s="1">
        <v>95</v>
      </c>
      <c r="BZ12" s="1">
        <v>95</v>
      </c>
      <c r="CB12" s="1" t="str">
        <f>"22"</f>
        <v>22</v>
      </c>
      <c r="CC12" s="1" t="str">
        <f>""</f>
        <v/>
      </c>
      <c r="CD12" s="1">
        <v>23</v>
      </c>
      <c r="CG12" s="1" t="s">
        <v>538</v>
      </c>
      <c r="CH12" s="1" t="s">
        <v>219</v>
      </c>
      <c r="CI12" s="1" t="s">
        <v>220</v>
      </c>
      <c r="CJ12" s="1" t="s">
        <v>252</v>
      </c>
      <c r="CK12" s="1" t="s">
        <v>539</v>
      </c>
      <c r="CL12" s="1" t="s">
        <v>277</v>
      </c>
      <c r="CM12" s="1" t="s">
        <v>220</v>
      </c>
      <c r="CN12" s="1" t="s">
        <v>343</v>
      </c>
      <c r="CO12" s="1" t="s">
        <v>348</v>
      </c>
      <c r="CP12" s="1" t="s">
        <v>219</v>
      </c>
      <c r="CQ12" s="1" t="s">
        <v>220</v>
      </c>
      <c r="CR12" s="1" t="s">
        <v>252</v>
      </c>
      <c r="CS12" s="1" t="s">
        <v>379</v>
      </c>
      <c r="CT12" s="1" t="s">
        <v>277</v>
      </c>
      <c r="CU12" s="1" t="s">
        <v>220</v>
      </c>
      <c r="CV12" s="1" t="s">
        <v>343</v>
      </c>
      <c r="CX12" s="1" t="s">
        <v>224</v>
      </c>
      <c r="DB12" s="1" t="s">
        <v>224</v>
      </c>
      <c r="DE12" s="1" t="s">
        <v>540</v>
      </c>
      <c r="DF12" s="1" t="s">
        <v>219</v>
      </c>
      <c r="DG12" s="1" t="s">
        <v>438</v>
      </c>
      <c r="DH12" s="1" t="s">
        <v>210</v>
      </c>
      <c r="DI12" s="1" t="s">
        <v>541</v>
      </c>
      <c r="DJ12" s="1" t="s">
        <v>43</v>
      </c>
      <c r="DK12" s="1" t="s">
        <v>342</v>
      </c>
      <c r="DL12" s="1" t="s">
        <v>252</v>
      </c>
      <c r="DS12" s="1" t="s">
        <v>230</v>
      </c>
      <c r="DW12" s="1" t="s">
        <v>230</v>
      </c>
      <c r="EA12" s="1" t="s">
        <v>230</v>
      </c>
      <c r="EE12" s="1" t="s">
        <v>230</v>
      </c>
      <c r="EI12" s="1" t="s">
        <v>230</v>
      </c>
      <c r="EL12" s="1" t="s">
        <v>542</v>
      </c>
      <c r="EM12" s="1" t="s">
        <v>319</v>
      </c>
      <c r="EN12" s="1" t="s">
        <v>282</v>
      </c>
      <c r="EO12" s="1" t="s">
        <v>234</v>
      </c>
      <c r="EP12" s="1" t="s">
        <v>543</v>
      </c>
      <c r="EQ12" s="1" t="s">
        <v>492</v>
      </c>
      <c r="ER12" s="1" t="s">
        <v>544</v>
      </c>
      <c r="ES12" s="1" t="s">
        <v>545</v>
      </c>
      <c r="EU12" s="1" t="s">
        <v>546</v>
      </c>
      <c r="EV12" s="1" t="s">
        <v>240</v>
      </c>
      <c r="EW12" s="1" t="s">
        <v>547</v>
      </c>
      <c r="EZ12" s="1" t="s">
        <v>287</v>
      </c>
      <c r="FB12" s="1" t="s">
        <v>244</v>
      </c>
      <c r="FC12" s="1" t="s">
        <v>548</v>
      </c>
      <c r="FD12" s="1" t="s">
        <v>246</v>
      </c>
      <c r="FE12" s="1" t="s">
        <v>549</v>
      </c>
      <c r="FF12" s="1" t="s">
        <v>248</v>
      </c>
      <c r="FH12" s="1" t="s">
        <v>550</v>
      </c>
      <c r="FI12" s="1" t="s">
        <v>357</v>
      </c>
      <c r="FJ12" s="1" t="s">
        <v>518</v>
      </c>
      <c r="FL12" s="1" t="s">
        <v>358</v>
      </c>
      <c r="FM12" s="1" t="s">
        <v>252</v>
      </c>
      <c r="FN12" s="1" t="s">
        <v>213</v>
      </c>
      <c r="FO12" s="1" t="s">
        <v>213</v>
      </c>
      <c r="FQ12" s="1" t="s">
        <v>551</v>
      </c>
      <c r="FR12" s="1" t="s">
        <v>210</v>
      </c>
      <c r="FS12" s="1" t="s">
        <v>552</v>
      </c>
      <c r="FT12" s="1" t="s">
        <v>553</v>
      </c>
      <c r="FU12" s="1" t="s">
        <v>204</v>
      </c>
      <c r="FW12" s="1" t="s">
        <v>554</v>
      </c>
      <c r="FX12" s="1">
        <v>6076</v>
      </c>
      <c r="FY12" s="1" t="s">
        <v>555</v>
      </c>
      <c r="FZ12" s="1" t="s">
        <v>556</v>
      </c>
      <c r="GA12" s="1">
        <v>62250</v>
      </c>
      <c r="GB12" s="1" t="s">
        <v>557</v>
      </c>
      <c r="GC12" s="1">
        <v>62362</v>
      </c>
      <c r="GD12" s="1" t="s">
        <v>558</v>
      </c>
      <c r="GE12" s="1" t="s">
        <v>480</v>
      </c>
      <c r="GI12" s="1" t="s">
        <v>213</v>
      </c>
      <c r="GJ12" s="1" t="s">
        <v>260</v>
      </c>
      <c r="GK12" s="1" t="s">
        <v>210</v>
      </c>
      <c r="GL12" s="2">
        <v>41990</v>
      </c>
      <c r="GM12" s="1" t="s">
        <v>559</v>
      </c>
    </row>
    <row r="13" spans="1:195">
      <c r="A13" s="1">
        <v>130000</v>
      </c>
      <c r="B13" s="1" t="s">
        <v>195</v>
      </c>
      <c r="C13" s="1" t="str">
        <f>"08768160"</f>
        <v>08768160</v>
      </c>
      <c r="D13" s="1" t="s">
        <v>196</v>
      </c>
      <c r="F13" s="1" t="str">
        <f>"8041"</f>
        <v>8041</v>
      </c>
      <c r="G13" s="2">
        <v>41947</v>
      </c>
      <c r="H13" s="1">
        <v>196000</v>
      </c>
      <c r="I13" s="1">
        <v>179000</v>
      </c>
      <c r="J13" s="1">
        <v>130000</v>
      </c>
      <c r="K13" s="2">
        <v>41947</v>
      </c>
      <c r="L13" s="1">
        <v>126</v>
      </c>
      <c r="M13" s="2">
        <v>42072</v>
      </c>
      <c r="N13" s="1">
        <v>126</v>
      </c>
      <c r="O13" s="2">
        <v>42072</v>
      </c>
      <c r="P13" s="1">
        <v>85110</v>
      </c>
      <c r="Q13" s="1" t="s">
        <v>302</v>
      </c>
      <c r="R13" s="2">
        <v>42123</v>
      </c>
      <c r="S13" s="1">
        <v>148474</v>
      </c>
      <c r="U13" s="1">
        <v>5400</v>
      </c>
      <c r="V13" s="1" t="s">
        <v>560</v>
      </c>
      <c r="W13" s="1" t="s">
        <v>425</v>
      </c>
      <c r="X13" s="1">
        <v>1402</v>
      </c>
      <c r="Y13" s="1">
        <v>48</v>
      </c>
      <c r="Z13" s="1" t="s">
        <v>249</v>
      </c>
      <c r="AA13" s="1" t="s">
        <v>400</v>
      </c>
      <c r="AB13" s="1">
        <v>60615</v>
      </c>
      <c r="AE13" s="1" t="s">
        <v>561</v>
      </c>
      <c r="AF13" s="1">
        <v>2003</v>
      </c>
      <c r="AG13" s="1" t="s">
        <v>204</v>
      </c>
      <c r="AH13" s="1" t="s">
        <v>403</v>
      </c>
      <c r="AI13" s="1" t="s">
        <v>310</v>
      </c>
      <c r="AJ13" s="1" t="s">
        <v>562</v>
      </c>
      <c r="AL13" s="1">
        <v>4</v>
      </c>
      <c r="AM13" s="1">
        <v>2</v>
      </c>
      <c r="AN13" s="1">
        <v>1</v>
      </c>
      <c r="AO13" s="1">
        <v>0</v>
      </c>
      <c r="AP13" s="1" t="s">
        <v>210</v>
      </c>
      <c r="AR13" s="1" t="s">
        <v>210</v>
      </c>
      <c r="AS13" s="1" t="s">
        <v>204</v>
      </c>
      <c r="AT13" s="1" t="s">
        <v>210</v>
      </c>
      <c r="AW13" s="1" t="s">
        <v>204</v>
      </c>
      <c r="AX13" s="1" t="s">
        <v>270</v>
      </c>
      <c r="AZ13" s="1">
        <v>988.04</v>
      </c>
      <c r="BA13" s="1">
        <v>2013</v>
      </c>
      <c r="BE13" s="1">
        <v>1000</v>
      </c>
      <c r="BF13" s="1">
        <v>14</v>
      </c>
      <c r="BG13" s="1">
        <v>0</v>
      </c>
      <c r="BL13" s="1">
        <v>393</v>
      </c>
      <c r="BM13" s="1" t="s">
        <v>204</v>
      </c>
      <c r="BN13" s="1" t="s">
        <v>213</v>
      </c>
      <c r="BO13" s="1">
        <v>999</v>
      </c>
      <c r="BP13" s="1" t="s">
        <v>204</v>
      </c>
      <c r="BR13" s="1" t="str">
        <f>"20114250401046"</f>
        <v>20114250401046</v>
      </c>
      <c r="BT13" s="1" t="s">
        <v>563</v>
      </c>
      <c r="BX13" s="1">
        <v>299</v>
      </c>
      <c r="BY13" s="1">
        <v>299</v>
      </c>
      <c r="BZ13" s="1">
        <v>299</v>
      </c>
      <c r="CB13" s="1" t="str">
        <f>"0"</f>
        <v>0</v>
      </c>
      <c r="CC13" s="1" t="str">
        <f>"1500"</f>
        <v>1500</v>
      </c>
      <c r="CD13" s="1">
        <v>0</v>
      </c>
      <c r="CE13" s="1">
        <v>5400</v>
      </c>
      <c r="CG13" s="1" t="s">
        <v>564</v>
      </c>
      <c r="CH13" s="1" t="s">
        <v>219</v>
      </c>
      <c r="CI13" s="1" t="s">
        <v>438</v>
      </c>
      <c r="CK13" s="1" t="s">
        <v>539</v>
      </c>
      <c r="CL13" s="1" t="s">
        <v>219</v>
      </c>
      <c r="CM13" s="1" t="s">
        <v>220</v>
      </c>
      <c r="CP13" s="1" t="s">
        <v>224</v>
      </c>
      <c r="CS13" s="1" t="s">
        <v>317</v>
      </c>
      <c r="CT13" s="1" t="s">
        <v>219</v>
      </c>
      <c r="CU13" s="1" t="s">
        <v>220</v>
      </c>
      <c r="CX13" s="1" t="s">
        <v>224</v>
      </c>
      <c r="DB13" s="1" t="s">
        <v>224</v>
      </c>
      <c r="DE13" s="1" t="s">
        <v>565</v>
      </c>
      <c r="DF13" s="1" t="s">
        <v>219</v>
      </c>
      <c r="DG13" s="1" t="s">
        <v>566</v>
      </c>
      <c r="DJ13" s="1" t="s">
        <v>224</v>
      </c>
      <c r="DS13" s="1" t="s">
        <v>230</v>
      </c>
      <c r="DW13" s="1" t="s">
        <v>230</v>
      </c>
      <c r="EA13" s="1" t="s">
        <v>230</v>
      </c>
      <c r="EE13" s="1" t="s">
        <v>230</v>
      </c>
      <c r="EI13" s="1" t="s">
        <v>230</v>
      </c>
      <c r="EL13" s="1" t="s">
        <v>466</v>
      </c>
      <c r="EM13" s="1" t="s">
        <v>232</v>
      </c>
      <c r="EN13" s="1" t="s">
        <v>282</v>
      </c>
      <c r="EO13" s="1" t="s">
        <v>234</v>
      </c>
      <c r="EP13" s="1" t="s">
        <v>567</v>
      </c>
      <c r="ER13" s="1" t="s">
        <v>210</v>
      </c>
      <c r="EW13" s="1" t="s">
        <v>568</v>
      </c>
      <c r="EZ13" s="1" t="s">
        <v>287</v>
      </c>
      <c r="FB13" s="1" t="s">
        <v>289</v>
      </c>
      <c r="FD13" s="1" t="s">
        <v>246</v>
      </c>
      <c r="FE13" s="1" t="s">
        <v>247</v>
      </c>
      <c r="FF13" s="1" t="s">
        <v>248</v>
      </c>
      <c r="FH13" s="1" t="s">
        <v>249</v>
      </c>
      <c r="FL13" s="1" t="s">
        <v>358</v>
      </c>
      <c r="FM13" s="1" t="s">
        <v>252</v>
      </c>
      <c r="FN13" s="1" t="s">
        <v>213</v>
      </c>
      <c r="FO13" s="1" t="s">
        <v>213</v>
      </c>
      <c r="FQ13" s="1" t="s">
        <v>569</v>
      </c>
      <c r="FR13" s="1" t="s">
        <v>210</v>
      </c>
      <c r="FS13" s="1" t="s">
        <v>570</v>
      </c>
      <c r="FT13" s="1" t="s">
        <v>362</v>
      </c>
      <c r="FU13" s="1" t="s">
        <v>204</v>
      </c>
      <c r="FW13" s="1" t="s">
        <v>571</v>
      </c>
      <c r="FX13" s="1">
        <v>84992</v>
      </c>
      <c r="FY13" s="1" t="s">
        <v>572</v>
      </c>
      <c r="FZ13" s="1" t="s">
        <v>573</v>
      </c>
      <c r="GA13" s="1">
        <v>101514</v>
      </c>
      <c r="GB13" s="1" t="s">
        <v>574</v>
      </c>
      <c r="GE13" s="1" t="s">
        <v>210</v>
      </c>
      <c r="GH13" s="1" t="s">
        <v>421</v>
      </c>
      <c r="GI13" s="1" t="s">
        <v>213</v>
      </c>
      <c r="GJ13" s="1" t="s">
        <v>260</v>
      </c>
      <c r="GK13" s="1" t="s">
        <v>210</v>
      </c>
      <c r="GL13" s="2">
        <v>42123</v>
      </c>
      <c r="GM13" s="1" t="s">
        <v>575</v>
      </c>
    </row>
    <row r="14" spans="1:195">
      <c r="A14" s="1">
        <v>94900</v>
      </c>
      <c r="B14" s="1" t="s">
        <v>195</v>
      </c>
      <c r="C14" s="1" t="str">
        <f>"08845936"</f>
        <v>08845936</v>
      </c>
      <c r="D14" s="1" t="s">
        <v>196</v>
      </c>
      <c r="F14" s="1" t="str">
        <f>"61"</f>
        <v>61</v>
      </c>
      <c r="G14" s="2">
        <v>42059</v>
      </c>
      <c r="H14" s="1">
        <v>94900</v>
      </c>
      <c r="I14" s="1">
        <v>94900</v>
      </c>
      <c r="J14" s="1">
        <v>94900</v>
      </c>
      <c r="K14" s="2">
        <v>42059</v>
      </c>
      <c r="L14" s="1">
        <v>11</v>
      </c>
      <c r="M14" s="2">
        <v>42069</v>
      </c>
      <c r="N14" s="1">
        <v>11</v>
      </c>
      <c r="O14" s="2">
        <v>42069</v>
      </c>
      <c r="P14" s="1">
        <v>1586</v>
      </c>
      <c r="Q14" s="1" t="s">
        <v>197</v>
      </c>
      <c r="R14" s="2">
        <v>42104</v>
      </c>
      <c r="S14" s="1">
        <v>27630</v>
      </c>
      <c r="U14" s="1">
        <v>264</v>
      </c>
      <c r="V14" s="1" t="s">
        <v>576</v>
      </c>
      <c r="X14" s="1" t="s">
        <v>577</v>
      </c>
      <c r="Y14" s="1">
        <v>6</v>
      </c>
      <c r="Z14" s="1" t="s">
        <v>249</v>
      </c>
      <c r="AA14" s="1" t="s">
        <v>505</v>
      </c>
      <c r="AB14" s="1">
        <v>60061</v>
      </c>
      <c r="AD14" s="1" t="s">
        <v>576</v>
      </c>
      <c r="AE14" s="1" t="s">
        <v>578</v>
      </c>
      <c r="AF14" s="1">
        <v>1980</v>
      </c>
      <c r="AG14" s="1" t="s">
        <v>204</v>
      </c>
      <c r="AH14" s="1" t="s">
        <v>508</v>
      </c>
      <c r="AI14" s="1" t="s">
        <v>509</v>
      </c>
      <c r="AJ14" s="1" t="s">
        <v>510</v>
      </c>
      <c r="AL14" s="1">
        <v>5</v>
      </c>
      <c r="AM14" s="1">
        <v>2</v>
      </c>
      <c r="AN14" s="1">
        <v>2</v>
      </c>
      <c r="AO14" s="1">
        <v>0</v>
      </c>
      <c r="AP14" s="1" t="s">
        <v>209</v>
      </c>
      <c r="AR14" s="1" t="s">
        <v>210</v>
      </c>
      <c r="AS14" s="1" t="s">
        <v>204</v>
      </c>
      <c r="AT14" s="1" t="s">
        <v>271</v>
      </c>
      <c r="AV14" s="1">
        <v>1</v>
      </c>
      <c r="AW14" s="1" t="s">
        <v>204</v>
      </c>
      <c r="AX14" s="1" t="s">
        <v>579</v>
      </c>
      <c r="AZ14" s="1">
        <v>2284</v>
      </c>
      <c r="BA14" s="1">
        <v>2013</v>
      </c>
      <c r="BE14" s="1">
        <v>935</v>
      </c>
      <c r="BF14" s="1">
        <v>2</v>
      </c>
      <c r="BG14" s="1">
        <v>0</v>
      </c>
      <c r="BL14" s="1">
        <v>316</v>
      </c>
      <c r="BM14" s="1" t="s">
        <v>413</v>
      </c>
      <c r="BN14" s="1" t="s">
        <v>213</v>
      </c>
      <c r="BO14" s="1">
        <v>0</v>
      </c>
      <c r="BP14" s="1" t="s">
        <v>204</v>
      </c>
      <c r="BR14" s="1" t="str">
        <f>"15072030680000"</f>
        <v>15072030680000</v>
      </c>
      <c r="BT14" s="1" t="s">
        <v>580</v>
      </c>
      <c r="BX14" s="1">
        <v>96</v>
      </c>
      <c r="BY14" s="1">
        <v>96</v>
      </c>
      <c r="BZ14" s="1">
        <v>125</v>
      </c>
      <c r="CB14" s="1" t="str">
        <f t="shared" ref="CB14:CC14" si="7">""</f>
        <v/>
      </c>
      <c r="CC14" s="1" t="str">
        <f t="shared" si="7"/>
        <v/>
      </c>
      <c r="CG14" s="1" t="s">
        <v>581</v>
      </c>
      <c r="CH14" s="1" t="s">
        <v>219</v>
      </c>
      <c r="CK14" s="1" t="s">
        <v>278</v>
      </c>
      <c r="CL14" s="1" t="s">
        <v>219</v>
      </c>
      <c r="CO14" s="1" t="s">
        <v>318</v>
      </c>
      <c r="CP14" s="1" t="s">
        <v>219</v>
      </c>
      <c r="CS14" s="1" t="s">
        <v>379</v>
      </c>
      <c r="CT14" s="1" t="s">
        <v>219</v>
      </c>
      <c r="CX14" s="1" t="s">
        <v>224</v>
      </c>
      <c r="DB14" s="1" t="s">
        <v>224</v>
      </c>
      <c r="DE14" s="1" t="s">
        <v>409</v>
      </c>
      <c r="DF14" s="1" t="s">
        <v>219</v>
      </c>
      <c r="DJ14" s="1" t="s">
        <v>224</v>
      </c>
      <c r="DS14" s="1" t="s">
        <v>230</v>
      </c>
      <c r="DW14" s="1" t="s">
        <v>230</v>
      </c>
      <c r="EA14" s="1" t="s">
        <v>230</v>
      </c>
      <c r="EE14" s="1" t="s">
        <v>230</v>
      </c>
      <c r="EI14" s="1" t="s">
        <v>230</v>
      </c>
      <c r="EL14" s="1" t="s">
        <v>231</v>
      </c>
      <c r="EM14" s="1" t="s">
        <v>319</v>
      </c>
      <c r="EN14" s="1" t="s">
        <v>282</v>
      </c>
      <c r="EO14" s="1" t="s">
        <v>234</v>
      </c>
      <c r="ER14" s="1" t="s">
        <v>210</v>
      </c>
      <c r="EW14" s="1" t="s">
        <v>286</v>
      </c>
      <c r="EY14" s="1" t="s">
        <v>242</v>
      </c>
      <c r="EZ14" s="1" t="s">
        <v>287</v>
      </c>
      <c r="FB14" s="1" t="s">
        <v>289</v>
      </c>
      <c r="FD14" s="1" t="s">
        <v>246</v>
      </c>
      <c r="FE14" s="1" t="s">
        <v>247</v>
      </c>
      <c r="FF14" s="1" t="s">
        <v>248</v>
      </c>
      <c r="FH14" s="1" t="s">
        <v>249</v>
      </c>
      <c r="FL14" s="1" t="s">
        <v>414</v>
      </c>
      <c r="FM14" s="1" t="s">
        <v>252</v>
      </c>
      <c r="FN14" s="1" t="s">
        <v>213</v>
      </c>
      <c r="FO14" s="1" t="s">
        <v>213</v>
      </c>
      <c r="FQ14" s="1" t="s">
        <v>582</v>
      </c>
      <c r="FR14" s="1" t="s">
        <v>210</v>
      </c>
      <c r="FS14" s="1" t="s">
        <v>583</v>
      </c>
      <c r="FT14" s="1" t="s">
        <v>584</v>
      </c>
      <c r="FU14" s="1" t="s">
        <v>204</v>
      </c>
      <c r="FW14" s="1" t="s">
        <v>585</v>
      </c>
      <c r="FX14" s="1">
        <v>8002</v>
      </c>
      <c r="FY14" s="1" t="s">
        <v>586</v>
      </c>
      <c r="FZ14" s="1" t="s">
        <v>587</v>
      </c>
      <c r="GA14" s="1">
        <v>89090</v>
      </c>
      <c r="GB14" s="1" t="s">
        <v>588</v>
      </c>
      <c r="GC14" s="1">
        <v>35055</v>
      </c>
      <c r="GE14" s="1" t="s">
        <v>480</v>
      </c>
      <c r="GH14" s="1" t="s">
        <v>589</v>
      </c>
      <c r="GI14" s="1" t="s">
        <v>213</v>
      </c>
      <c r="GJ14" s="1" t="s">
        <v>260</v>
      </c>
      <c r="GK14" s="1" t="s">
        <v>210</v>
      </c>
      <c r="GL14" s="2">
        <v>42104</v>
      </c>
      <c r="GM14" s="1" t="s">
        <v>590</v>
      </c>
    </row>
    <row r="15" spans="1:195">
      <c r="A15" s="1">
        <v>90000</v>
      </c>
      <c r="B15" s="1" t="s">
        <v>195</v>
      </c>
      <c r="C15" s="1" t="str">
        <f>"08758693"</f>
        <v>08758693</v>
      </c>
      <c r="D15" s="1" t="s">
        <v>196</v>
      </c>
      <c r="F15" s="1" t="str">
        <f>"20"</f>
        <v>20</v>
      </c>
      <c r="G15" s="2">
        <v>41934</v>
      </c>
      <c r="H15" s="1">
        <v>99900</v>
      </c>
      <c r="I15" s="1">
        <v>99900</v>
      </c>
      <c r="J15" s="1">
        <v>90000</v>
      </c>
      <c r="K15" s="2">
        <v>41933</v>
      </c>
      <c r="L15" s="1">
        <v>133</v>
      </c>
      <c r="M15" s="2">
        <v>42065</v>
      </c>
      <c r="N15" s="1">
        <v>133</v>
      </c>
      <c r="O15" s="2">
        <v>42065</v>
      </c>
      <c r="P15" s="1">
        <v>2644</v>
      </c>
      <c r="Q15" s="1" t="s">
        <v>197</v>
      </c>
      <c r="R15" s="2">
        <v>42104</v>
      </c>
      <c r="S15" s="1">
        <v>21045</v>
      </c>
      <c r="U15" s="1">
        <v>7129</v>
      </c>
      <c r="V15" s="1" t="s">
        <v>591</v>
      </c>
      <c r="W15" s="1" t="s">
        <v>504</v>
      </c>
      <c r="X15" s="1">
        <v>173</v>
      </c>
      <c r="Y15" s="1">
        <v>2</v>
      </c>
      <c r="Z15" s="1" t="s">
        <v>249</v>
      </c>
      <c r="AA15" s="1" t="s">
        <v>592</v>
      </c>
      <c r="AB15" s="1">
        <v>60020</v>
      </c>
      <c r="AD15" s="1" t="s">
        <v>593</v>
      </c>
      <c r="AE15" s="1" t="s">
        <v>594</v>
      </c>
      <c r="AF15" s="1">
        <v>1972</v>
      </c>
      <c r="AG15" s="1" t="s">
        <v>213</v>
      </c>
      <c r="AH15" s="1" t="s">
        <v>595</v>
      </c>
      <c r="AI15" s="1" t="s">
        <v>509</v>
      </c>
      <c r="AJ15" s="1" t="s">
        <v>596</v>
      </c>
      <c r="AK15" s="1" t="s">
        <v>597</v>
      </c>
      <c r="AL15" s="1">
        <v>4</v>
      </c>
      <c r="AM15" s="1">
        <v>2</v>
      </c>
      <c r="AN15" s="1">
        <v>1</v>
      </c>
      <c r="AO15" s="1">
        <v>1</v>
      </c>
      <c r="AP15" s="1" t="s">
        <v>210</v>
      </c>
      <c r="AR15" s="1" t="s">
        <v>210</v>
      </c>
      <c r="AS15" s="1" t="s">
        <v>204</v>
      </c>
      <c r="AT15" s="1" t="s">
        <v>211</v>
      </c>
      <c r="AU15" s="1">
        <v>1</v>
      </c>
      <c r="AW15" s="1" t="s">
        <v>204</v>
      </c>
      <c r="AX15" s="1" t="s">
        <v>212</v>
      </c>
      <c r="AZ15" s="1" t="s">
        <v>598</v>
      </c>
      <c r="BA15" s="1">
        <v>2013</v>
      </c>
      <c r="BB15" s="1" t="s">
        <v>599</v>
      </c>
      <c r="BE15" s="1">
        <v>1147</v>
      </c>
      <c r="BF15" s="1">
        <v>1</v>
      </c>
      <c r="BG15" s="1">
        <v>30</v>
      </c>
      <c r="BL15" s="1">
        <v>281</v>
      </c>
      <c r="BM15" s="1" t="s">
        <v>413</v>
      </c>
      <c r="BN15" s="1" t="s">
        <v>213</v>
      </c>
      <c r="BO15" s="1">
        <v>80</v>
      </c>
      <c r="BP15" s="1" t="s">
        <v>204</v>
      </c>
      <c r="BR15" s="1" t="str">
        <f>"01283000380000"</f>
        <v>01283000380000</v>
      </c>
      <c r="BT15" s="1" t="s">
        <v>600</v>
      </c>
      <c r="BX15" s="1">
        <v>114</v>
      </c>
      <c r="BY15" s="1">
        <v>114</v>
      </c>
      <c r="BZ15" s="1">
        <v>124</v>
      </c>
      <c r="CB15" s="1" t="str">
        <f>"37"</f>
        <v>37</v>
      </c>
      <c r="CC15" s="1" t="str">
        <f>"0"</f>
        <v>0</v>
      </c>
      <c r="CD15" s="1">
        <v>28</v>
      </c>
      <c r="CE15" s="1">
        <v>0</v>
      </c>
      <c r="CG15" s="1" t="s">
        <v>601</v>
      </c>
      <c r="CH15" s="1" t="s">
        <v>219</v>
      </c>
      <c r="CI15" s="1" t="s">
        <v>220</v>
      </c>
      <c r="CK15" s="1" t="s">
        <v>602</v>
      </c>
      <c r="CL15" s="1" t="s">
        <v>219</v>
      </c>
      <c r="CM15" s="1" t="s">
        <v>220</v>
      </c>
      <c r="CP15" s="1" t="s">
        <v>224</v>
      </c>
      <c r="CS15" s="1" t="s">
        <v>317</v>
      </c>
      <c r="CT15" s="1" t="s">
        <v>219</v>
      </c>
      <c r="CU15" s="1" t="s">
        <v>220</v>
      </c>
      <c r="CX15" s="1" t="s">
        <v>224</v>
      </c>
      <c r="DB15" s="1" t="s">
        <v>224</v>
      </c>
      <c r="DE15" s="1" t="s">
        <v>461</v>
      </c>
      <c r="DF15" s="1" t="s">
        <v>219</v>
      </c>
      <c r="DG15" s="1" t="s">
        <v>342</v>
      </c>
      <c r="DJ15" s="1" t="s">
        <v>224</v>
      </c>
      <c r="DM15" s="1" t="s">
        <v>603</v>
      </c>
      <c r="DR15" s="1" t="s">
        <v>604</v>
      </c>
      <c r="DS15" s="1" t="s">
        <v>219</v>
      </c>
      <c r="DT15" s="1" t="s">
        <v>220</v>
      </c>
      <c r="DW15" s="1" t="s">
        <v>230</v>
      </c>
      <c r="EA15" s="1" t="s">
        <v>230</v>
      </c>
      <c r="EE15" s="1" t="s">
        <v>230</v>
      </c>
      <c r="EI15" s="1" t="s">
        <v>230</v>
      </c>
      <c r="EL15" s="1" t="s">
        <v>605</v>
      </c>
      <c r="EM15" s="1" t="s">
        <v>319</v>
      </c>
      <c r="EN15" s="1" t="s">
        <v>282</v>
      </c>
      <c r="EO15" s="1" t="s">
        <v>234</v>
      </c>
      <c r="EP15" s="1" t="s">
        <v>606</v>
      </c>
      <c r="EQ15" s="1" t="s">
        <v>607</v>
      </c>
      <c r="ER15" s="1" t="s">
        <v>210</v>
      </c>
      <c r="ES15" s="1" t="s">
        <v>608</v>
      </c>
      <c r="ET15" s="1" t="s">
        <v>609</v>
      </c>
      <c r="EU15" s="1" t="s">
        <v>610</v>
      </c>
      <c r="EV15" s="1" t="s">
        <v>240</v>
      </c>
      <c r="EW15" s="1" t="s">
        <v>611</v>
      </c>
      <c r="EY15" s="1" t="s">
        <v>612</v>
      </c>
      <c r="EZ15" s="1" t="s">
        <v>603</v>
      </c>
      <c r="FB15" s="1" t="s">
        <v>613</v>
      </c>
      <c r="FD15" s="1" t="s">
        <v>246</v>
      </c>
      <c r="FE15" s="1" t="s">
        <v>247</v>
      </c>
      <c r="FF15" s="1" t="s">
        <v>248</v>
      </c>
      <c r="FH15" s="1" t="s">
        <v>249</v>
      </c>
      <c r="FI15" s="1" t="s">
        <v>473</v>
      </c>
      <c r="FJ15" s="1" t="s">
        <v>518</v>
      </c>
      <c r="FL15" s="1" t="s">
        <v>614</v>
      </c>
      <c r="FM15" s="1" t="s">
        <v>252</v>
      </c>
      <c r="FN15" s="1" t="s">
        <v>213</v>
      </c>
      <c r="FO15" s="1" t="s">
        <v>213</v>
      </c>
      <c r="FQ15" s="1" t="s">
        <v>615</v>
      </c>
      <c r="FR15" s="1" t="s">
        <v>210</v>
      </c>
      <c r="FS15" s="1" t="s">
        <v>616</v>
      </c>
      <c r="FT15" s="1" t="s">
        <v>617</v>
      </c>
      <c r="FU15" s="1" t="s">
        <v>204</v>
      </c>
      <c r="FW15" s="1" t="s">
        <v>618</v>
      </c>
      <c r="FX15" s="1">
        <v>2643</v>
      </c>
      <c r="FY15" s="1" t="s">
        <v>619</v>
      </c>
      <c r="FZ15" s="1" t="s">
        <v>620</v>
      </c>
      <c r="GA15" s="1">
        <v>12693</v>
      </c>
      <c r="GB15" s="1" t="s">
        <v>621</v>
      </c>
      <c r="GD15" s="1" t="s">
        <v>622</v>
      </c>
      <c r="GE15" s="1" t="s">
        <v>623</v>
      </c>
      <c r="GI15" s="1" t="s">
        <v>213</v>
      </c>
      <c r="GJ15" s="1" t="s">
        <v>260</v>
      </c>
      <c r="GK15" s="1" t="s">
        <v>210</v>
      </c>
      <c r="GL15" s="2">
        <v>42104</v>
      </c>
      <c r="GM15" s="1" t="s">
        <v>624</v>
      </c>
    </row>
    <row r="16" spans="1:195">
      <c r="A16" s="1">
        <v>145000</v>
      </c>
      <c r="B16" s="1" t="s">
        <v>195</v>
      </c>
      <c r="C16" s="1" t="str">
        <f>"08760152"</f>
        <v>08760152</v>
      </c>
      <c r="D16" s="1" t="s">
        <v>196</v>
      </c>
      <c r="F16" s="1" t="str">
        <f>"160"</f>
        <v>160</v>
      </c>
      <c r="G16" s="2">
        <v>41935</v>
      </c>
      <c r="H16" s="1">
        <v>175000</v>
      </c>
      <c r="I16" s="1">
        <v>175000</v>
      </c>
      <c r="J16" s="1">
        <v>145000</v>
      </c>
      <c r="K16" s="2">
        <v>41935</v>
      </c>
      <c r="L16" s="1">
        <v>143</v>
      </c>
      <c r="M16" s="2">
        <v>42077</v>
      </c>
      <c r="N16" s="1">
        <v>143</v>
      </c>
      <c r="O16" s="2">
        <v>42077</v>
      </c>
      <c r="P16" s="1">
        <v>90812</v>
      </c>
      <c r="Q16" s="1" t="s">
        <v>197</v>
      </c>
      <c r="R16" s="2">
        <v>42103</v>
      </c>
      <c r="S16" s="1">
        <v>901699</v>
      </c>
      <c r="U16" s="1">
        <v>1700</v>
      </c>
      <c r="V16" s="1" t="s">
        <v>625</v>
      </c>
      <c r="W16" s="1" t="s">
        <v>264</v>
      </c>
      <c r="X16" s="1">
        <v>612</v>
      </c>
      <c r="Y16" s="1">
        <v>120</v>
      </c>
      <c r="Z16" s="1" t="s">
        <v>249</v>
      </c>
      <c r="AA16" s="1" t="s">
        <v>426</v>
      </c>
      <c r="AB16" s="1">
        <v>60160</v>
      </c>
      <c r="AE16" s="1" t="s">
        <v>626</v>
      </c>
      <c r="AF16" s="1">
        <v>2002</v>
      </c>
      <c r="AG16" s="1" t="s">
        <v>204</v>
      </c>
      <c r="AH16" s="1" t="s">
        <v>428</v>
      </c>
      <c r="AI16" s="1" t="s">
        <v>310</v>
      </c>
      <c r="AJ16" s="1" t="s">
        <v>429</v>
      </c>
      <c r="AL16" s="1">
        <v>5</v>
      </c>
      <c r="AM16" s="1">
        <v>2</v>
      </c>
      <c r="AN16" s="1">
        <v>2</v>
      </c>
      <c r="AO16" s="1">
        <v>0</v>
      </c>
      <c r="AP16" s="1" t="s">
        <v>209</v>
      </c>
      <c r="AR16" s="1" t="s">
        <v>210</v>
      </c>
      <c r="AS16" s="1" t="s">
        <v>204</v>
      </c>
      <c r="AT16" s="1" t="s">
        <v>211</v>
      </c>
      <c r="AU16" s="1">
        <v>1</v>
      </c>
      <c r="AW16" s="1" t="s">
        <v>204</v>
      </c>
      <c r="AX16" s="1" t="s">
        <v>212</v>
      </c>
      <c r="AZ16" s="1">
        <v>3444.09</v>
      </c>
      <c r="BA16" s="1">
        <v>2013</v>
      </c>
      <c r="BB16" s="1" t="s">
        <v>405</v>
      </c>
      <c r="BE16" s="1">
        <v>1292</v>
      </c>
      <c r="BF16" s="1">
        <v>6</v>
      </c>
      <c r="BG16" s="1">
        <v>0</v>
      </c>
      <c r="BL16" s="1">
        <v>301</v>
      </c>
      <c r="BM16" s="1" t="s">
        <v>204</v>
      </c>
      <c r="BN16" s="1" t="s">
        <v>213</v>
      </c>
      <c r="BO16" s="1">
        <v>40</v>
      </c>
      <c r="BP16" s="1" t="s">
        <v>204</v>
      </c>
      <c r="BR16" s="1" t="str">
        <f>"15022010131098"</f>
        <v>15022010131098</v>
      </c>
      <c r="BT16" s="1" t="s">
        <v>627</v>
      </c>
      <c r="BU16" s="1" t="s">
        <v>434</v>
      </c>
      <c r="BV16" s="1" t="s">
        <v>435</v>
      </c>
      <c r="BW16" s="1" t="s">
        <v>436</v>
      </c>
      <c r="BX16" s="1">
        <v>89</v>
      </c>
      <c r="BY16" s="1">
        <v>89</v>
      </c>
      <c r="BZ16" s="1">
        <v>209</v>
      </c>
      <c r="CB16" s="1" t="str">
        <f t="shared" ref="CB16:CC16" si="8">""</f>
        <v/>
      </c>
      <c r="CC16" s="1" t="str">
        <f t="shared" si="8"/>
        <v/>
      </c>
      <c r="CG16" s="1" t="s">
        <v>628</v>
      </c>
      <c r="CH16" s="1" t="s">
        <v>219</v>
      </c>
      <c r="CI16" s="1" t="s">
        <v>438</v>
      </c>
      <c r="CJ16" s="1" t="s">
        <v>343</v>
      </c>
      <c r="CK16" s="1" t="s">
        <v>437</v>
      </c>
      <c r="CL16" s="1" t="s">
        <v>219</v>
      </c>
      <c r="CM16" s="1" t="s">
        <v>438</v>
      </c>
      <c r="CN16" s="1" t="s">
        <v>343</v>
      </c>
      <c r="CO16" s="1" t="s">
        <v>629</v>
      </c>
      <c r="CP16" s="1" t="s">
        <v>219</v>
      </c>
      <c r="CQ16" s="1" t="s">
        <v>438</v>
      </c>
      <c r="CR16" s="1" t="s">
        <v>210</v>
      </c>
      <c r="CS16" s="1" t="s">
        <v>318</v>
      </c>
      <c r="CT16" s="1" t="s">
        <v>219</v>
      </c>
      <c r="CU16" s="1" t="s">
        <v>438</v>
      </c>
      <c r="CV16" s="1" t="s">
        <v>343</v>
      </c>
      <c r="CX16" s="1" t="s">
        <v>224</v>
      </c>
      <c r="DB16" s="1" t="s">
        <v>224</v>
      </c>
      <c r="DE16" s="1" t="s">
        <v>630</v>
      </c>
      <c r="DF16" s="1" t="s">
        <v>219</v>
      </c>
      <c r="DG16" s="1" t="s">
        <v>226</v>
      </c>
      <c r="DH16" s="1" t="s">
        <v>210</v>
      </c>
      <c r="DJ16" s="1" t="s">
        <v>224</v>
      </c>
      <c r="DS16" s="1" t="s">
        <v>230</v>
      </c>
      <c r="DW16" s="1" t="s">
        <v>230</v>
      </c>
      <c r="EA16" s="1" t="s">
        <v>230</v>
      </c>
      <c r="EE16" s="1" t="s">
        <v>230</v>
      </c>
      <c r="EI16" s="1" t="s">
        <v>230</v>
      </c>
      <c r="EL16" s="1" t="s">
        <v>466</v>
      </c>
      <c r="EM16" s="1" t="s">
        <v>232</v>
      </c>
      <c r="EN16" s="1" t="s">
        <v>282</v>
      </c>
      <c r="EO16" s="1" t="s">
        <v>234</v>
      </c>
      <c r="EQ16" s="1" t="s">
        <v>492</v>
      </c>
      <c r="ER16" s="1" t="s">
        <v>210</v>
      </c>
      <c r="ES16" s="1" t="s">
        <v>545</v>
      </c>
      <c r="EU16" s="1" t="s">
        <v>631</v>
      </c>
      <c r="EV16" s="1" t="s">
        <v>240</v>
      </c>
      <c r="EW16" s="1" t="s">
        <v>632</v>
      </c>
      <c r="EY16" s="1" t="s">
        <v>612</v>
      </c>
      <c r="EZ16" s="1" t="s">
        <v>287</v>
      </c>
      <c r="FB16" s="1" t="s">
        <v>289</v>
      </c>
      <c r="FC16" s="1" t="s">
        <v>633</v>
      </c>
      <c r="FD16" s="1" t="s">
        <v>290</v>
      </c>
      <c r="FE16" s="1" t="s">
        <v>247</v>
      </c>
      <c r="FF16" s="1" t="s">
        <v>387</v>
      </c>
      <c r="FH16" s="1" t="s">
        <v>249</v>
      </c>
      <c r="FI16" s="1" t="s">
        <v>634</v>
      </c>
      <c r="FJ16" s="1" t="s">
        <v>197</v>
      </c>
      <c r="FL16" s="1" t="s">
        <v>414</v>
      </c>
      <c r="FM16" s="1" t="s">
        <v>252</v>
      </c>
      <c r="FN16" s="1" t="s">
        <v>213</v>
      </c>
      <c r="FO16" s="1" t="s">
        <v>213</v>
      </c>
      <c r="FQ16" s="1" t="s">
        <v>635</v>
      </c>
      <c r="FR16" s="1" t="s">
        <v>210</v>
      </c>
      <c r="FS16" s="1" t="s">
        <v>636</v>
      </c>
      <c r="FT16" s="1" t="s">
        <v>362</v>
      </c>
      <c r="FU16" s="1" t="s">
        <v>204</v>
      </c>
      <c r="FW16" s="1" t="s">
        <v>637</v>
      </c>
      <c r="FX16" s="1">
        <v>90812</v>
      </c>
      <c r="FY16" s="1" t="s">
        <v>638</v>
      </c>
      <c r="FZ16" s="1" t="s">
        <v>639</v>
      </c>
      <c r="GA16" s="1">
        <v>900560</v>
      </c>
      <c r="GB16" s="1" t="s">
        <v>640</v>
      </c>
      <c r="GD16" s="1" t="s">
        <v>641</v>
      </c>
      <c r="GE16" s="1" t="s">
        <v>623</v>
      </c>
      <c r="GI16" s="1" t="s">
        <v>213</v>
      </c>
      <c r="GJ16" s="1" t="s">
        <v>260</v>
      </c>
      <c r="GK16" s="1" t="s">
        <v>210</v>
      </c>
      <c r="GL16" s="2">
        <v>42115</v>
      </c>
      <c r="GM16" s="1" t="s">
        <v>642</v>
      </c>
    </row>
    <row r="17" spans="1:195">
      <c r="A17" s="1">
        <v>63114</v>
      </c>
      <c r="B17" s="1" t="s">
        <v>195</v>
      </c>
      <c r="C17" s="1" t="str">
        <f>"08760391"</f>
        <v>08760391</v>
      </c>
      <c r="D17" s="1" t="s">
        <v>196</v>
      </c>
      <c r="F17" s="1" t="str">
        <f>"513"</f>
        <v>513</v>
      </c>
      <c r="G17" s="2">
        <v>41935</v>
      </c>
      <c r="H17" s="1">
        <v>100000</v>
      </c>
      <c r="I17" s="1">
        <v>90000</v>
      </c>
      <c r="J17" s="1">
        <v>63114</v>
      </c>
      <c r="K17" s="2">
        <v>41935</v>
      </c>
      <c r="L17" s="1">
        <v>85</v>
      </c>
      <c r="M17" s="2">
        <v>42019</v>
      </c>
      <c r="N17" s="1">
        <v>85</v>
      </c>
      <c r="O17" s="2">
        <v>42019</v>
      </c>
      <c r="P17" s="1">
        <v>23688</v>
      </c>
      <c r="Q17" s="1" t="s">
        <v>347</v>
      </c>
      <c r="R17" s="2">
        <v>42069</v>
      </c>
      <c r="S17" s="1">
        <v>231179</v>
      </c>
      <c r="U17" s="1">
        <v>9007</v>
      </c>
      <c r="V17" s="1" t="s">
        <v>643</v>
      </c>
      <c r="W17" s="1" t="s">
        <v>425</v>
      </c>
      <c r="Y17" s="1">
        <v>4</v>
      </c>
      <c r="Z17" s="1" t="s">
        <v>200</v>
      </c>
      <c r="AA17" s="1" t="s">
        <v>644</v>
      </c>
      <c r="AB17" s="1">
        <v>60513</v>
      </c>
      <c r="AE17" s="1" t="s">
        <v>645</v>
      </c>
      <c r="AF17" s="1">
        <v>1959</v>
      </c>
      <c r="AG17" s="1" t="s">
        <v>213</v>
      </c>
      <c r="AH17" s="1" t="s">
        <v>646</v>
      </c>
      <c r="AI17" s="1" t="s">
        <v>310</v>
      </c>
      <c r="AJ17" s="1" t="s">
        <v>429</v>
      </c>
      <c r="AL17" s="1">
        <v>5</v>
      </c>
      <c r="AM17" s="1">
        <v>2</v>
      </c>
      <c r="AN17" s="1">
        <v>1</v>
      </c>
      <c r="AO17" s="1">
        <v>0</v>
      </c>
      <c r="AP17" s="1" t="s">
        <v>210</v>
      </c>
      <c r="AR17" s="1" t="s">
        <v>210</v>
      </c>
      <c r="AS17" s="1" t="s">
        <v>204</v>
      </c>
      <c r="AT17" s="1" t="s">
        <v>210</v>
      </c>
      <c r="AW17" s="1" t="s">
        <v>204</v>
      </c>
      <c r="AX17" s="1" t="s">
        <v>212</v>
      </c>
      <c r="AZ17" s="1">
        <v>3504</v>
      </c>
      <c r="BA17" s="1">
        <v>2012</v>
      </c>
      <c r="BE17" s="1">
        <v>981</v>
      </c>
      <c r="BF17" s="1">
        <v>1</v>
      </c>
      <c r="BG17" s="1">
        <v>0</v>
      </c>
      <c r="BL17" s="1">
        <v>0</v>
      </c>
      <c r="BM17" s="1" t="s">
        <v>413</v>
      </c>
      <c r="BN17" s="1" t="s">
        <v>213</v>
      </c>
      <c r="BO17" s="1">
        <v>0</v>
      </c>
      <c r="BP17" s="1" t="s">
        <v>204</v>
      </c>
      <c r="BR17" s="1" t="str">
        <f>"15344290240000"</f>
        <v>15344290240000</v>
      </c>
      <c r="BT17" s="1" t="s">
        <v>647</v>
      </c>
      <c r="BX17" s="1">
        <v>102</v>
      </c>
      <c r="BY17" s="1">
        <v>102</v>
      </c>
      <c r="BZ17" s="1">
        <v>208</v>
      </c>
      <c r="CB17" s="1" t="str">
        <f t="shared" ref="CB17:CC17" si="9">"0"</f>
        <v>0</v>
      </c>
      <c r="CC17" s="1" t="str">
        <f t="shared" si="9"/>
        <v>0</v>
      </c>
      <c r="CD17" s="1">
        <v>11</v>
      </c>
      <c r="CE17" s="1">
        <v>4</v>
      </c>
      <c r="CG17" s="1" t="s">
        <v>648</v>
      </c>
      <c r="CH17" s="1" t="s">
        <v>219</v>
      </c>
      <c r="CI17" s="1" t="s">
        <v>220</v>
      </c>
      <c r="CK17" s="1" t="s">
        <v>461</v>
      </c>
      <c r="CL17" s="1" t="s">
        <v>277</v>
      </c>
      <c r="CM17" s="1" t="s">
        <v>438</v>
      </c>
      <c r="CO17" s="1" t="s">
        <v>629</v>
      </c>
      <c r="CP17" s="1" t="s">
        <v>219</v>
      </c>
      <c r="CQ17" s="1" t="s">
        <v>220</v>
      </c>
      <c r="CS17" s="1" t="s">
        <v>346</v>
      </c>
      <c r="CT17" s="1" t="s">
        <v>277</v>
      </c>
      <c r="CU17" s="1" t="s">
        <v>438</v>
      </c>
      <c r="CX17" s="1" t="s">
        <v>224</v>
      </c>
      <c r="DB17" s="1" t="s">
        <v>224</v>
      </c>
      <c r="DE17" s="1" t="s">
        <v>379</v>
      </c>
      <c r="DF17" s="1" t="s">
        <v>219</v>
      </c>
      <c r="DG17" s="1" t="s">
        <v>226</v>
      </c>
      <c r="DJ17" s="1" t="s">
        <v>224</v>
      </c>
      <c r="DS17" s="1" t="s">
        <v>230</v>
      </c>
      <c r="DW17" s="1" t="s">
        <v>230</v>
      </c>
      <c r="EA17" s="1" t="s">
        <v>230</v>
      </c>
      <c r="EE17" s="1" t="s">
        <v>230</v>
      </c>
      <c r="EI17" s="1" t="s">
        <v>230</v>
      </c>
      <c r="EL17" s="1" t="s">
        <v>649</v>
      </c>
      <c r="EM17" s="1" t="s">
        <v>232</v>
      </c>
      <c r="EN17" s="1" t="s">
        <v>282</v>
      </c>
      <c r="EO17" s="1" t="s">
        <v>234</v>
      </c>
      <c r="EP17" s="1" t="s">
        <v>650</v>
      </c>
      <c r="ER17" s="1" t="s">
        <v>210</v>
      </c>
      <c r="ES17" s="1" t="s">
        <v>322</v>
      </c>
      <c r="EW17" s="1" t="s">
        <v>210</v>
      </c>
      <c r="EZ17" s="1" t="s">
        <v>287</v>
      </c>
      <c r="FD17" s="1" t="s">
        <v>246</v>
      </c>
      <c r="FE17" s="1" t="s">
        <v>651</v>
      </c>
      <c r="FF17" s="1" t="s">
        <v>248</v>
      </c>
      <c r="FH17" s="1" t="s">
        <v>550</v>
      </c>
      <c r="FL17" s="1" t="s">
        <v>358</v>
      </c>
      <c r="FM17" s="1" t="s">
        <v>252</v>
      </c>
      <c r="FN17" s="1" t="s">
        <v>213</v>
      </c>
      <c r="FO17" s="1" t="s">
        <v>213</v>
      </c>
      <c r="FQ17" s="1" t="s">
        <v>582</v>
      </c>
      <c r="FR17" s="1" t="s">
        <v>652</v>
      </c>
      <c r="FS17" s="1" t="s">
        <v>653</v>
      </c>
      <c r="FT17" s="1" t="s">
        <v>654</v>
      </c>
      <c r="FU17" s="1" t="s">
        <v>204</v>
      </c>
      <c r="FW17" s="1" t="s">
        <v>655</v>
      </c>
      <c r="FX17" s="1">
        <v>10841</v>
      </c>
      <c r="FY17" s="1" t="s">
        <v>656</v>
      </c>
      <c r="FZ17" s="1" t="s">
        <v>657</v>
      </c>
      <c r="GA17" s="1">
        <v>109860</v>
      </c>
      <c r="GB17" s="1" t="s">
        <v>656</v>
      </c>
      <c r="GE17" s="1" t="s">
        <v>658</v>
      </c>
      <c r="GI17" s="1" t="s">
        <v>204</v>
      </c>
      <c r="GJ17" s="1" t="s">
        <v>260</v>
      </c>
      <c r="GK17" s="1" t="s">
        <v>210</v>
      </c>
      <c r="GL17" s="2">
        <v>42069</v>
      </c>
      <c r="GM17" s="1" t="s">
        <v>659</v>
      </c>
    </row>
    <row r="18" spans="1:195">
      <c r="A18" s="1">
        <v>176000</v>
      </c>
      <c r="B18" s="1" t="s">
        <v>195</v>
      </c>
      <c r="C18" s="1" t="str">
        <f>"08764249"</f>
        <v>08764249</v>
      </c>
      <c r="D18" s="1" t="s">
        <v>196</v>
      </c>
      <c r="F18" s="1" t="str">
        <f>"134"</f>
        <v>134</v>
      </c>
      <c r="G18" s="2">
        <v>41941</v>
      </c>
      <c r="H18" s="1">
        <v>179800</v>
      </c>
      <c r="I18" s="1">
        <v>179800</v>
      </c>
      <c r="J18" s="1">
        <v>176000</v>
      </c>
      <c r="K18" s="2">
        <v>41941</v>
      </c>
      <c r="L18" s="1">
        <v>6</v>
      </c>
      <c r="M18" s="2">
        <v>41946</v>
      </c>
      <c r="N18" s="1">
        <v>6</v>
      </c>
      <c r="O18" s="2">
        <v>41946</v>
      </c>
      <c r="P18" s="1">
        <v>25792</v>
      </c>
      <c r="Q18" s="1" t="s">
        <v>197</v>
      </c>
      <c r="R18" s="2">
        <v>41969</v>
      </c>
      <c r="S18" s="1">
        <v>220418</v>
      </c>
      <c r="U18" s="1">
        <v>2816</v>
      </c>
      <c r="V18" s="1" t="s">
        <v>660</v>
      </c>
      <c r="W18" s="1" t="s">
        <v>504</v>
      </c>
      <c r="Y18" s="1">
        <v>4</v>
      </c>
      <c r="Z18" s="1" t="s">
        <v>370</v>
      </c>
      <c r="AA18" s="1" t="s">
        <v>661</v>
      </c>
      <c r="AB18" s="1">
        <v>60134</v>
      </c>
      <c r="AD18" s="1" t="s">
        <v>662</v>
      </c>
      <c r="AE18" s="1" t="s">
        <v>663</v>
      </c>
      <c r="AF18" s="1">
        <v>1997</v>
      </c>
      <c r="AG18" s="1" t="s">
        <v>204</v>
      </c>
      <c r="AH18" s="1" t="s">
        <v>664</v>
      </c>
      <c r="AI18" s="1" t="s">
        <v>665</v>
      </c>
      <c r="AJ18" s="1" t="s">
        <v>664</v>
      </c>
      <c r="AK18" s="1" t="s">
        <v>666</v>
      </c>
      <c r="AL18" s="1">
        <v>6</v>
      </c>
      <c r="AM18" s="1">
        <v>2</v>
      </c>
      <c r="AN18" s="1">
        <v>1</v>
      </c>
      <c r="AO18" s="1">
        <v>1</v>
      </c>
      <c r="AP18" s="1" t="s">
        <v>667</v>
      </c>
      <c r="AR18" s="1" t="s">
        <v>210</v>
      </c>
      <c r="AS18" s="1" t="s">
        <v>204</v>
      </c>
      <c r="AT18" s="1" t="s">
        <v>211</v>
      </c>
      <c r="AU18" s="1">
        <v>2</v>
      </c>
      <c r="AW18" s="1" t="s">
        <v>204</v>
      </c>
      <c r="AX18" s="1" t="s">
        <v>212</v>
      </c>
      <c r="AZ18" s="1">
        <v>5092.1400000000003</v>
      </c>
      <c r="BA18" s="1">
        <v>2013</v>
      </c>
      <c r="BB18" s="1" t="s">
        <v>405</v>
      </c>
      <c r="BE18" s="1">
        <v>1544</v>
      </c>
      <c r="BF18" s="1">
        <v>1</v>
      </c>
      <c r="BG18" s="1">
        <v>0</v>
      </c>
      <c r="BL18" s="1">
        <v>167</v>
      </c>
      <c r="BM18" s="1" t="s">
        <v>204</v>
      </c>
      <c r="BN18" s="1" t="s">
        <v>213</v>
      </c>
      <c r="BO18" s="1">
        <v>999</v>
      </c>
      <c r="BP18" s="1" t="s">
        <v>204</v>
      </c>
      <c r="BR18" s="1" t="str">
        <f>"1208127014"</f>
        <v>1208127014</v>
      </c>
      <c r="BT18" s="1" t="s">
        <v>668</v>
      </c>
      <c r="BX18" s="1">
        <v>304</v>
      </c>
      <c r="BY18" s="1">
        <v>304</v>
      </c>
      <c r="BZ18" s="1">
        <v>304</v>
      </c>
      <c r="CB18" s="1" t="str">
        <f t="shared" ref="CB18:CB20" si="10">"0"</f>
        <v>0</v>
      </c>
      <c r="CC18" s="1" t="str">
        <f>""</f>
        <v/>
      </c>
      <c r="CD18" s="1">
        <v>37</v>
      </c>
      <c r="CG18" s="1" t="s">
        <v>669</v>
      </c>
      <c r="CH18" s="1" t="s">
        <v>219</v>
      </c>
      <c r="CI18" s="1" t="s">
        <v>220</v>
      </c>
      <c r="CJ18" s="1" t="s">
        <v>252</v>
      </c>
      <c r="CK18" s="1" t="s">
        <v>669</v>
      </c>
      <c r="CL18" s="1" t="s">
        <v>277</v>
      </c>
      <c r="CM18" s="1" t="s">
        <v>220</v>
      </c>
      <c r="CN18" s="1" t="s">
        <v>252</v>
      </c>
      <c r="CO18" s="1" t="s">
        <v>379</v>
      </c>
      <c r="CP18" s="1" t="s">
        <v>219</v>
      </c>
      <c r="CQ18" s="1" t="s">
        <v>220</v>
      </c>
      <c r="CR18" s="1" t="s">
        <v>252</v>
      </c>
      <c r="CS18" s="1" t="s">
        <v>465</v>
      </c>
      <c r="CT18" s="1" t="s">
        <v>277</v>
      </c>
      <c r="CU18" s="1" t="s">
        <v>220</v>
      </c>
      <c r="CV18" s="1" t="s">
        <v>252</v>
      </c>
      <c r="CX18" s="1" t="s">
        <v>224</v>
      </c>
      <c r="DB18" s="1" t="s">
        <v>224</v>
      </c>
      <c r="DE18" s="1" t="s">
        <v>379</v>
      </c>
      <c r="DF18" s="1" t="s">
        <v>219</v>
      </c>
      <c r="DG18" s="1" t="s">
        <v>226</v>
      </c>
      <c r="DH18" s="1" t="s">
        <v>210</v>
      </c>
      <c r="DJ18" s="1" t="s">
        <v>224</v>
      </c>
      <c r="DM18" s="1" t="s">
        <v>464</v>
      </c>
      <c r="DR18" s="1" t="s">
        <v>539</v>
      </c>
      <c r="DS18" s="1" t="s">
        <v>277</v>
      </c>
      <c r="DT18" s="1" t="s">
        <v>220</v>
      </c>
      <c r="DU18" s="1" t="s">
        <v>252</v>
      </c>
      <c r="DW18" s="1" t="s">
        <v>230</v>
      </c>
      <c r="EA18" s="1" t="s">
        <v>230</v>
      </c>
      <c r="EE18" s="1" t="s">
        <v>230</v>
      </c>
      <c r="EI18" s="1" t="s">
        <v>230</v>
      </c>
      <c r="EL18" s="1" t="s">
        <v>670</v>
      </c>
      <c r="EM18" s="1" t="s">
        <v>319</v>
      </c>
      <c r="EN18" s="1" t="s">
        <v>282</v>
      </c>
      <c r="EO18" s="1" t="s">
        <v>234</v>
      </c>
      <c r="EP18" s="1" t="s">
        <v>650</v>
      </c>
      <c r="EQ18" s="1" t="s">
        <v>671</v>
      </c>
      <c r="ER18" s="1" t="s">
        <v>210</v>
      </c>
      <c r="ES18" s="1" t="s">
        <v>322</v>
      </c>
      <c r="EW18" s="1" t="s">
        <v>547</v>
      </c>
      <c r="EY18" s="1" t="s">
        <v>242</v>
      </c>
      <c r="EZ18" s="1" t="s">
        <v>464</v>
      </c>
      <c r="FA18" s="1" t="s">
        <v>672</v>
      </c>
      <c r="FB18" s="1" t="s">
        <v>289</v>
      </c>
      <c r="FD18" s="1" t="s">
        <v>246</v>
      </c>
      <c r="FE18" s="1" t="s">
        <v>355</v>
      </c>
      <c r="FF18" s="1" t="s">
        <v>248</v>
      </c>
      <c r="FH18" s="1" t="s">
        <v>550</v>
      </c>
      <c r="FJ18" s="1" t="s">
        <v>197</v>
      </c>
      <c r="FL18" s="1" t="s">
        <v>358</v>
      </c>
      <c r="FM18" s="1" t="s">
        <v>252</v>
      </c>
      <c r="FN18" s="1" t="s">
        <v>213</v>
      </c>
      <c r="FO18" s="1" t="s">
        <v>213</v>
      </c>
      <c r="FQ18" s="1" t="s">
        <v>673</v>
      </c>
      <c r="FR18" s="1" t="s">
        <v>210</v>
      </c>
      <c r="FS18" s="1" t="s">
        <v>674</v>
      </c>
      <c r="FT18" s="1" t="s">
        <v>675</v>
      </c>
      <c r="FU18" s="1" t="s">
        <v>204</v>
      </c>
      <c r="FW18" s="1" t="s">
        <v>676</v>
      </c>
      <c r="FX18" s="1">
        <v>30</v>
      </c>
      <c r="FY18" s="1" t="s">
        <v>677</v>
      </c>
      <c r="FZ18" s="1" t="s">
        <v>678</v>
      </c>
      <c r="GA18" s="1">
        <v>329</v>
      </c>
      <c r="GB18" s="1" t="s">
        <v>679</v>
      </c>
      <c r="GE18" s="1" t="s">
        <v>480</v>
      </c>
      <c r="GI18" s="1" t="s">
        <v>213</v>
      </c>
      <c r="GJ18" s="1" t="s">
        <v>260</v>
      </c>
      <c r="GK18" s="1" t="s">
        <v>210</v>
      </c>
      <c r="GL18" s="2">
        <v>41969</v>
      </c>
      <c r="GM18" s="1" t="s">
        <v>680</v>
      </c>
    </row>
    <row r="19" spans="1:195">
      <c r="A19" s="1">
        <v>51900</v>
      </c>
      <c r="B19" s="1" t="s">
        <v>195</v>
      </c>
      <c r="C19" s="1" t="str">
        <f>"08754002"</f>
        <v>08754002</v>
      </c>
      <c r="D19" s="1" t="s">
        <v>196</v>
      </c>
      <c r="F19" s="1" t="str">
        <f>"8058"</f>
        <v>8058</v>
      </c>
      <c r="G19" s="2">
        <v>41927</v>
      </c>
      <c r="H19" s="1">
        <v>53900</v>
      </c>
      <c r="I19" s="1">
        <v>53900</v>
      </c>
      <c r="J19" s="1">
        <v>51900</v>
      </c>
      <c r="K19" s="2">
        <v>41925</v>
      </c>
      <c r="L19" s="1">
        <v>43</v>
      </c>
      <c r="M19" s="2">
        <v>41967</v>
      </c>
      <c r="N19" s="1">
        <v>43</v>
      </c>
      <c r="O19" s="2">
        <v>41967</v>
      </c>
      <c r="P19" s="1">
        <v>24922</v>
      </c>
      <c r="Q19" s="1" t="s">
        <v>302</v>
      </c>
      <c r="R19" s="2">
        <v>42041</v>
      </c>
      <c r="S19" s="1">
        <v>221898</v>
      </c>
      <c r="U19" s="1">
        <v>4150</v>
      </c>
      <c r="V19" s="1" t="s">
        <v>681</v>
      </c>
      <c r="W19" s="1" t="s">
        <v>425</v>
      </c>
      <c r="X19" s="1">
        <v>4</v>
      </c>
      <c r="Y19" s="1">
        <v>4</v>
      </c>
      <c r="Z19" s="1" t="s">
        <v>249</v>
      </c>
      <c r="AA19" s="1" t="s">
        <v>400</v>
      </c>
      <c r="AB19" s="1">
        <v>60609</v>
      </c>
      <c r="AE19" s="1" t="s">
        <v>682</v>
      </c>
      <c r="AF19" s="1">
        <v>2008</v>
      </c>
      <c r="AG19" s="1" t="s">
        <v>204</v>
      </c>
      <c r="AH19" s="1" t="s">
        <v>403</v>
      </c>
      <c r="AI19" s="1" t="s">
        <v>310</v>
      </c>
      <c r="AJ19" s="1" t="s">
        <v>683</v>
      </c>
      <c r="AL19" s="1">
        <v>5</v>
      </c>
      <c r="AM19" s="1">
        <v>2</v>
      </c>
      <c r="AN19" s="1">
        <v>2</v>
      </c>
      <c r="AO19" s="1">
        <v>0</v>
      </c>
      <c r="AP19" s="1" t="s">
        <v>209</v>
      </c>
      <c r="AR19" s="1" t="s">
        <v>210</v>
      </c>
      <c r="AS19" s="1" t="s">
        <v>204</v>
      </c>
      <c r="AT19" s="1" t="s">
        <v>271</v>
      </c>
      <c r="AV19" s="1">
        <v>1</v>
      </c>
      <c r="AW19" s="1" t="s">
        <v>204</v>
      </c>
      <c r="AX19" s="1" t="s">
        <v>212</v>
      </c>
      <c r="AZ19" s="1">
        <v>6063</v>
      </c>
      <c r="BA19" s="1">
        <v>2013</v>
      </c>
      <c r="BE19" s="1">
        <v>0</v>
      </c>
      <c r="BF19" s="1">
        <v>4</v>
      </c>
      <c r="BG19" s="1">
        <v>30</v>
      </c>
      <c r="BL19" s="1">
        <v>315</v>
      </c>
      <c r="BM19" s="1" t="s">
        <v>413</v>
      </c>
      <c r="BN19" s="1" t="s">
        <v>213</v>
      </c>
      <c r="BO19" s="1">
        <v>999</v>
      </c>
      <c r="BP19" s="1" t="s">
        <v>204</v>
      </c>
      <c r="BR19" s="1" t="str">
        <f>"19012151731004"</f>
        <v>19012151731004</v>
      </c>
      <c r="BT19" s="1" t="s">
        <v>684</v>
      </c>
      <c r="BX19" s="1">
        <v>299</v>
      </c>
      <c r="BY19" s="1">
        <v>299</v>
      </c>
      <c r="BZ19" s="1">
        <v>299</v>
      </c>
      <c r="CB19" s="1" t="str">
        <f t="shared" si="10"/>
        <v>0</v>
      </c>
      <c r="CC19" s="1" t="str">
        <f t="shared" ref="CC19:CC21" si="11">"0"</f>
        <v>0</v>
      </c>
      <c r="CD19" s="1">
        <v>2400</v>
      </c>
      <c r="CE19" s="1">
        <v>4150</v>
      </c>
      <c r="CG19" s="1" t="s">
        <v>628</v>
      </c>
      <c r="CH19" s="1" t="s">
        <v>685</v>
      </c>
      <c r="CK19" s="1" t="s">
        <v>602</v>
      </c>
      <c r="CL19" s="1" t="s">
        <v>685</v>
      </c>
      <c r="CO19" s="1" t="s">
        <v>686</v>
      </c>
      <c r="CP19" s="1" t="s">
        <v>685</v>
      </c>
      <c r="CS19" s="1" t="s">
        <v>346</v>
      </c>
      <c r="CT19" s="1" t="s">
        <v>685</v>
      </c>
      <c r="CX19" s="1" t="s">
        <v>224</v>
      </c>
      <c r="DB19" s="1" t="s">
        <v>224</v>
      </c>
      <c r="DE19" s="1" t="s">
        <v>687</v>
      </c>
      <c r="DF19" s="1" t="s">
        <v>685</v>
      </c>
      <c r="DJ19" s="1" t="s">
        <v>224</v>
      </c>
      <c r="DS19" s="1" t="s">
        <v>230</v>
      </c>
      <c r="DW19" s="1" t="s">
        <v>230</v>
      </c>
      <c r="EA19" s="1" t="s">
        <v>230</v>
      </c>
      <c r="EE19" s="1" t="s">
        <v>230</v>
      </c>
      <c r="EI19" s="1" t="s">
        <v>230</v>
      </c>
      <c r="EL19" s="1" t="s">
        <v>491</v>
      </c>
      <c r="EM19" s="1" t="s">
        <v>319</v>
      </c>
      <c r="EN19" s="1" t="s">
        <v>210</v>
      </c>
      <c r="EO19" s="1" t="s">
        <v>234</v>
      </c>
      <c r="ER19" s="1" t="s">
        <v>210</v>
      </c>
      <c r="EW19" s="1" t="s">
        <v>347</v>
      </c>
      <c r="EZ19" s="1" t="s">
        <v>287</v>
      </c>
      <c r="FD19" s="1" t="s">
        <v>246</v>
      </c>
      <c r="FE19" s="1" t="s">
        <v>247</v>
      </c>
      <c r="FF19" s="1" t="s">
        <v>248</v>
      </c>
      <c r="FH19" s="1" t="s">
        <v>249</v>
      </c>
      <c r="FK19" s="1" t="s">
        <v>688</v>
      </c>
      <c r="FL19" s="1" t="s">
        <v>358</v>
      </c>
      <c r="FM19" s="1" t="s">
        <v>252</v>
      </c>
      <c r="FN19" s="1" t="s">
        <v>213</v>
      </c>
      <c r="FO19" s="1" t="s">
        <v>213</v>
      </c>
      <c r="FQ19" s="1" t="s">
        <v>689</v>
      </c>
      <c r="FR19" s="1" t="s">
        <v>210</v>
      </c>
      <c r="FS19" s="1" t="s">
        <v>690</v>
      </c>
      <c r="FT19" s="1" t="s">
        <v>691</v>
      </c>
      <c r="FU19" s="1" t="s">
        <v>204</v>
      </c>
      <c r="FW19" s="1" t="s">
        <v>692</v>
      </c>
      <c r="FX19" s="1">
        <v>3510</v>
      </c>
      <c r="FY19" s="1" t="s">
        <v>693</v>
      </c>
      <c r="FZ19" s="1" t="s">
        <v>694</v>
      </c>
      <c r="GA19" s="1">
        <v>36019</v>
      </c>
      <c r="GB19" s="1" t="s">
        <v>693</v>
      </c>
      <c r="GE19" s="1" t="s">
        <v>210</v>
      </c>
      <c r="GH19" s="1" t="s">
        <v>421</v>
      </c>
      <c r="GI19" s="1" t="s">
        <v>213</v>
      </c>
      <c r="GJ19" s="1" t="s">
        <v>260</v>
      </c>
      <c r="GK19" s="1" t="s">
        <v>210</v>
      </c>
      <c r="GL19" s="2">
        <v>42041</v>
      </c>
      <c r="GM19" s="1" t="s">
        <v>695</v>
      </c>
    </row>
    <row r="20" spans="1:195">
      <c r="A20" s="1">
        <v>165000</v>
      </c>
      <c r="B20" s="1" t="s">
        <v>195</v>
      </c>
      <c r="C20" s="1" t="str">
        <f>"08754135"</f>
        <v>08754135</v>
      </c>
      <c r="D20" s="1" t="s">
        <v>196</v>
      </c>
      <c r="F20" s="1" t="str">
        <f>"522"</f>
        <v>522</v>
      </c>
      <c r="G20" s="2">
        <v>41927</v>
      </c>
      <c r="H20" s="1">
        <v>179900</v>
      </c>
      <c r="I20" s="1">
        <v>174900</v>
      </c>
      <c r="J20" s="1">
        <v>165000</v>
      </c>
      <c r="K20" s="2">
        <v>41927</v>
      </c>
      <c r="L20" s="1">
        <v>155</v>
      </c>
      <c r="M20" s="2">
        <v>42081</v>
      </c>
      <c r="N20" s="1">
        <v>155</v>
      </c>
      <c r="O20" s="2">
        <v>42081</v>
      </c>
      <c r="P20" s="1">
        <v>85895</v>
      </c>
      <c r="Q20" s="1" t="s">
        <v>197</v>
      </c>
      <c r="R20" s="2">
        <v>42123</v>
      </c>
      <c r="S20" s="1">
        <v>877353</v>
      </c>
      <c r="U20" s="1">
        <v>140</v>
      </c>
      <c r="V20" s="1" t="s">
        <v>696</v>
      </c>
      <c r="W20" s="1" t="s">
        <v>264</v>
      </c>
      <c r="X20" s="1" t="s">
        <v>697</v>
      </c>
      <c r="Y20" s="1">
        <v>24</v>
      </c>
      <c r="Z20" s="1" t="s">
        <v>249</v>
      </c>
      <c r="AA20" s="1" t="s">
        <v>698</v>
      </c>
      <c r="AB20" s="1">
        <v>60527</v>
      </c>
      <c r="AD20" s="1" t="s">
        <v>699</v>
      </c>
      <c r="AE20" s="1" t="s">
        <v>700</v>
      </c>
      <c r="AF20" s="1">
        <v>1972</v>
      </c>
      <c r="AG20" s="1" t="s">
        <v>213</v>
      </c>
      <c r="AH20" s="1" t="s">
        <v>701</v>
      </c>
      <c r="AI20" s="1" t="s">
        <v>310</v>
      </c>
      <c r="AJ20" s="1" t="s">
        <v>702</v>
      </c>
      <c r="AL20" s="1">
        <v>5</v>
      </c>
      <c r="AM20" s="1">
        <v>2</v>
      </c>
      <c r="AN20" s="1">
        <v>2</v>
      </c>
      <c r="AO20" s="1">
        <v>0</v>
      </c>
      <c r="AP20" s="1" t="s">
        <v>209</v>
      </c>
      <c r="AQ20" s="1">
        <v>1</v>
      </c>
      <c r="AR20" s="1" t="s">
        <v>210</v>
      </c>
      <c r="AS20" s="1" t="s">
        <v>204</v>
      </c>
      <c r="AT20" s="1" t="s">
        <v>211</v>
      </c>
      <c r="AU20" s="1">
        <v>1</v>
      </c>
      <c r="AW20" s="1" t="s">
        <v>204</v>
      </c>
      <c r="AX20" s="1" t="s">
        <v>212</v>
      </c>
      <c r="AZ20" s="1">
        <v>1692</v>
      </c>
      <c r="BA20" s="1">
        <v>2013</v>
      </c>
      <c r="BB20" s="1" t="s">
        <v>405</v>
      </c>
      <c r="BE20" s="1">
        <v>0</v>
      </c>
      <c r="BF20" s="1">
        <v>2</v>
      </c>
      <c r="BG20" s="1">
        <v>14</v>
      </c>
      <c r="BL20" s="1">
        <v>343</v>
      </c>
      <c r="BM20" s="1" t="s">
        <v>204</v>
      </c>
      <c r="BN20" s="1" t="s">
        <v>213</v>
      </c>
      <c r="BO20" s="1">
        <v>20</v>
      </c>
      <c r="BP20" s="1" t="s">
        <v>204</v>
      </c>
      <c r="BR20" s="1" t="str">
        <f>"18193070071253"</f>
        <v>18193070071253</v>
      </c>
      <c r="BT20" s="1" t="s">
        <v>703</v>
      </c>
      <c r="BU20" s="1" t="s">
        <v>704</v>
      </c>
      <c r="BV20" s="1" t="s">
        <v>705</v>
      </c>
      <c r="BW20" s="1" t="s">
        <v>706</v>
      </c>
      <c r="BX20" s="1">
        <v>107</v>
      </c>
      <c r="BY20" s="1">
        <v>107</v>
      </c>
      <c r="BZ20" s="1">
        <v>204</v>
      </c>
      <c r="CB20" s="1" t="str">
        <f t="shared" si="10"/>
        <v>0</v>
      </c>
      <c r="CC20" s="1" t="str">
        <f t="shared" si="11"/>
        <v>0</v>
      </c>
      <c r="CD20" s="1">
        <v>7</v>
      </c>
      <c r="CE20" s="1">
        <v>14</v>
      </c>
      <c r="CG20" s="1" t="s">
        <v>707</v>
      </c>
      <c r="CH20" s="1" t="s">
        <v>219</v>
      </c>
      <c r="CI20" s="1" t="s">
        <v>220</v>
      </c>
      <c r="CJ20" s="1" t="s">
        <v>463</v>
      </c>
      <c r="CK20" s="1" t="s">
        <v>708</v>
      </c>
      <c r="CL20" s="1" t="s">
        <v>219</v>
      </c>
      <c r="CM20" s="1" t="s">
        <v>220</v>
      </c>
      <c r="CN20" s="1" t="s">
        <v>463</v>
      </c>
      <c r="CO20" s="1" t="s">
        <v>379</v>
      </c>
      <c r="CP20" s="1" t="s">
        <v>219</v>
      </c>
      <c r="CQ20" s="1" t="s">
        <v>220</v>
      </c>
      <c r="CS20" s="1" t="s">
        <v>317</v>
      </c>
      <c r="CT20" s="1" t="s">
        <v>219</v>
      </c>
      <c r="CU20" s="1" t="s">
        <v>220</v>
      </c>
      <c r="CX20" s="1" t="s">
        <v>224</v>
      </c>
      <c r="DB20" s="1" t="s">
        <v>224</v>
      </c>
      <c r="DE20" s="1" t="s">
        <v>380</v>
      </c>
      <c r="DF20" s="1" t="s">
        <v>219</v>
      </c>
      <c r="DG20" s="1" t="s">
        <v>226</v>
      </c>
      <c r="DJ20" s="1" t="s">
        <v>224</v>
      </c>
      <c r="DM20" s="1" t="s">
        <v>709</v>
      </c>
      <c r="DR20" s="1" t="s">
        <v>710</v>
      </c>
      <c r="DS20" s="1" t="s">
        <v>219</v>
      </c>
      <c r="DT20" s="1" t="s">
        <v>226</v>
      </c>
      <c r="DW20" s="1" t="s">
        <v>230</v>
      </c>
      <c r="EA20" s="1" t="s">
        <v>230</v>
      </c>
      <c r="EE20" s="1" t="s">
        <v>230</v>
      </c>
      <c r="EI20" s="1" t="s">
        <v>230</v>
      </c>
      <c r="EL20" s="1" t="s">
        <v>605</v>
      </c>
      <c r="EM20" s="1" t="s">
        <v>232</v>
      </c>
      <c r="EN20" s="1" t="s">
        <v>282</v>
      </c>
      <c r="EO20" s="1" t="s">
        <v>234</v>
      </c>
      <c r="EP20" s="1" t="s">
        <v>711</v>
      </c>
      <c r="EQ20" s="1" t="s">
        <v>284</v>
      </c>
      <c r="ER20" s="1" t="s">
        <v>210</v>
      </c>
      <c r="ES20" s="1" t="s">
        <v>322</v>
      </c>
      <c r="EU20" s="1" t="s">
        <v>712</v>
      </c>
      <c r="EV20" s="1" t="s">
        <v>240</v>
      </c>
      <c r="EW20" s="1" t="s">
        <v>713</v>
      </c>
      <c r="EY20" s="1" t="s">
        <v>242</v>
      </c>
      <c r="EZ20" s="1" t="s">
        <v>709</v>
      </c>
      <c r="FA20" s="1" t="s">
        <v>714</v>
      </c>
      <c r="FD20" s="1" t="s">
        <v>290</v>
      </c>
      <c r="FE20" s="1" t="s">
        <v>247</v>
      </c>
      <c r="FF20" s="1" t="s">
        <v>248</v>
      </c>
      <c r="FG20" s="1" t="s">
        <v>715</v>
      </c>
      <c r="FH20" s="1" t="s">
        <v>716</v>
      </c>
      <c r="FL20" s="1" t="s">
        <v>358</v>
      </c>
      <c r="FM20" s="1" t="s">
        <v>252</v>
      </c>
      <c r="FN20" s="1" t="s">
        <v>213</v>
      </c>
      <c r="FO20" s="1" t="s">
        <v>213</v>
      </c>
      <c r="FQ20" s="1" t="s">
        <v>717</v>
      </c>
      <c r="FR20" s="1" t="s">
        <v>210</v>
      </c>
      <c r="FS20" s="1" t="s">
        <v>718</v>
      </c>
      <c r="FT20" s="1" t="s">
        <v>362</v>
      </c>
      <c r="FU20" s="1" t="s">
        <v>204</v>
      </c>
      <c r="FW20" s="1" t="s">
        <v>719</v>
      </c>
      <c r="FX20" s="1">
        <v>22029</v>
      </c>
      <c r="FY20" s="1" t="s">
        <v>720</v>
      </c>
      <c r="FZ20" s="1" t="s">
        <v>721</v>
      </c>
      <c r="GA20" s="1">
        <v>238079</v>
      </c>
      <c r="GB20" s="1" t="s">
        <v>722</v>
      </c>
      <c r="GE20" s="1" t="s">
        <v>210</v>
      </c>
      <c r="GI20" s="1" t="s">
        <v>204</v>
      </c>
      <c r="GJ20" s="1" t="s">
        <v>260</v>
      </c>
      <c r="GK20" s="1" t="s">
        <v>261</v>
      </c>
      <c r="GL20" s="2">
        <v>42123</v>
      </c>
      <c r="GM20" s="1" t="s">
        <v>723</v>
      </c>
    </row>
    <row r="21" spans="1:195">
      <c r="A21" s="1">
        <v>67000</v>
      </c>
      <c r="B21" s="1" t="s">
        <v>195</v>
      </c>
      <c r="C21" s="1" t="str">
        <f>"08757638"</f>
        <v>08757638</v>
      </c>
      <c r="D21" s="1" t="s">
        <v>196</v>
      </c>
      <c r="F21" s="1" t="str">
        <f>"176"</f>
        <v>176</v>
      </c>
      <c r="G21" s="2">
        <v>41932</v>
      </c>
      <c r="H21" s="1">
        <v>78000</v>
      </c>
      <c r="I21" s="1">
        <v>78000</v>
      </c>
      <c r="J21" s="1">
        <v>67000</v>
      </c>
      <c r="K21" s="2">
        <v>41931</v>
      </c>
      <c r="L21" s="1">
        <v>61</v>
      </c>
      <c r="M21" s="2">
        <v>41991</v>
      </c>
      <c r="N21" s="1">
        <v>61</v>
      </c>
      <c r="O21" s="2">
        <v>41991</v>
      </c>
      <c r="P21" s="1">
        <v>24929</v>
      </c>
      <c r="Q21" s="1" t="s">
        <v>302</v>
      </c>
      <c r="R21" s="2">
        <v>42003</v>
      </c>
      <c r="S21" s="1">
        <v>235281</v>
      </c>
      <c r="U21" s="1">
        <v>3806</v>
      </c>
      <c r="V21" s="1" t="s">
        <v>724</v>
      </c>
      <c r="W21" s="1" t="s">
        <v>725</v>
      </c>
      <c r="X21" s="1" t="s">
        <v>726</v>
      </c>
      <c r="Y21" s="1">
        <v>18</v>
      </c>
      <c r="Z21" s="1" t="s">
        <v>249</v>
      </c>
      <c r="AA21" s="1" t="s">
        <v>306</v>
      </c>
      <c r="AB21" s="1">
        <v>60176</v>
      </c>
      <c r="AE21" s="1" t="s">
        <v>727</v>
      </c>
      <c r="AF21" s="1" t="s">
        <v>402</v>
      </c>
      <c r="AG21" s="1" t="s">
        <v>213</v>
      </c>
      <c r="AH21" s="1" t="s">
        <v>309</v>
      </c>
      <c r="AI21" s="1" t="s">
        <v>310</v>
      </c>
      <c r="AJ21" s="1" t="s">
        <v>311</v>
      </c>
      <c r="AL21" s="1">
        <v>5</v>
      </c>
      <c r="AM21" s="1">
        <v>2</v>
      </c>
      <c r="AN21" s="1">
        <v>1</v>
      </c>
      <c r="AO21" s="1">
        <v>0</v>
      </c>
      <c r="AP21" s="1" t="s">
        <v>210</v>
      </c>
      <c r="AR21" s="1" t="s">
        <v>210</v>
      </c>
      <c r="AS21" s="1" t="s">
        <v>204</v>
      </c>
      <c r="AT21" s="1" t="s">
        <v>271</v>
      </c>
      <c r="AV21" s="1">
        <v>2</v>
      </c>
      <c r="AW21" s="1" t="s">
        <v>204</v>
      </c>
      <c r="AX21" s="1" t="s">
        <v>212</v>
      </c>
      <c r="AZ21" s="1">
        <v>3177.94</v>
      </c>
      <c r="BA21" s="1">
        <v>2013</v>
      </c>
      <c r="BE21" s="1">
        <v>900</v>
      </c>
      <c r="BF21" s="1">
        <v>2</v>
      </c>
      <c r="BG21" s="1">
        <v>10</v>
      </c>
      <c r="BL21" s="1">
        <v>217</v>
      </c>
      <c r="BM21" s="1" t="s">
        <v>204</v>
      </c>
      <c r="BN21" s="1" t="s">
        <v>213</v>
      </c>
      <c r="BO21" s="1">
        <v>25</v>
      </c>
      <c r="BP21" s="1" t="s">
        <v>204</v>
      </c>
      <c r="BR21" s="1" t="str">
        <f>"12212210741004"</f>
        <v>12212210741004</v>
      </c>
      <c r="BT21" s="1" t="s">
        <v>728</v>
      </c>
      <c r="BX21" s="1">
        <v>81</v>
      </c>
      <c r="BY21" s="1">
        <v>81</v>
      </c>
      <c r="BZ21" s="1">
        <v>212</v>
      </c>
      <c r="CB21" s="1" t="str">
        <f>"4"</f>
        <v>4</v>
      </c>
      <c r="CC21" s="1" t="str">
        <f t="shared" si="11"/>
        <v>0</v>
      </c>
      <c r="CD21" s="1">
        <v>11</v>
      </c>
      <c r="CE21" s="1">
        <v>0</v>
      </c>
      <c r="CG21" s="1" t="s">
        <v>729</v>
      </c>
      <c r="CH21" s="1" t="s">
        <v>219</v>
      </c>
      <c r="CI21" s="1" t="s">
        <v>438</v>
      </c>
      <c r="CK21" s="1" t="s">
        <v>539</v>
      </c>
      <c r="CL21" s="1" t="s">
        <v>219</v>
      </c>
      <c r="CM21" s="1" t="s">
        <v>438</v>
      </c>
      <c r="CO21" s="1" t="s">
        <v>629</v>
      </c>
      <c r="CP21" s="1" t="s">
        <v>219</v>
      </c>
      <c r="CS21" s="1" t="s">
        <v>346</v>
      </c>
      <c r="CT21" s="1" t="s">
        <v>219</v>
      </c>
      <c r="CU21" s="1" t="s">
        <v>438</v>
      </c>
      <c r="CX21" s="1" t="s">
        <v>224</v>
      </c>
      <c r="DB21" s="1" t="s">
        <v>224</v>
      </c>
      <c r="DE21" s="1" t="s">
        <v>465</v>
      </c>
      <c r="DF21" s="1" t="s">
        <v>219</v>
      </c>
      <c r="DG21" s="1" t="s">
        <v>226</v>
      </c>
      <c r="DJ21" s="1" t="s">
        <v>224</v>
      </c>
      <c r="DS21" s="1" t="s">
        <v>230</v>
      </c>
      <c r="DW21" s="1" t="s">
        <v>230</v>
      </c>
      <c r="EA21" s="1" t="s">
        <v>230</v>
      </c>
      <c r="EE21" s="1" t="s">
        <v>230</v>
      </c>
      <c r="EI21" s="1" t="s">
        <v>230</v>
      </c>
      <c r="EL21" s="1" t="s">
        <v>413</v>
      </c>
      <c r="EM21" s="1" t="s">
        <v>730</v>
      </c>
      <c r="EN21" s="1" t="s">
        <v>731</v>
      </c>
      <c r="EO21" s="1" t="s">
        <v>234</v>
      </c>
      <c r="EP21" s="1" t="s">
        <v>732</v>
      </c>
      <c r="ER21" s="1" t="s">
        <v>210</v>
      </c>
      <c r="EU21" s="1" t="s">
        <v>712</v>
      </c>
      <c r="EW21" s="1" t="s">
        <v>733</v>
      </c>
      <c r="EY21" s="1" t="s">
        <v>242</v>
      </c>
      <c r="EZ21" s="1" t="s">
        <v>287</v>
      </c>
      <c r="FA21" s="1" t="s">
        <v>471</v>
      </c>
      <c r="FB21" s="1" t="s">
        <v>734</v>
      </c>
      <c r="FC21" s="1" t="s">
        <v>735</v>
      </c>
      <c r="FD21" s="1" t="s">
        <v>736</v>
      </c>
      <c r="FE21" s="1" t="s">
        <v>247</v>
      </c>
      <c r="FF21" s="1" t="s">
        <v>248</v>
      </c>
      <c r="FH21" s="1" t="s">
        <v>249</v>
      </c>
      <c r="FK21" s="1" t="s">
        <v>291</v>
      </c>
      <c r="FL21" s="1" t="s">
        <v>414</v>
      </c>
      <c r="FM21" s="1" t="s">
        <v>252</v>
      </c>
      <c r="FN21" s="1" t="s">
        <v>213</v>
      </c>
      <c r="FO21" s="1" t="s">
        <v>213</v>
      </c>
      <c r="FQ21" s="1" t="s">
        <v>689</v>
      </c>
      <c r="FR21" s="1" t="s">
        <v>210</v>
      </c>
      <c r="FS21" s="1" t="s">
        <v>737</v>
      </c>
      <c r="FT21" s="1" t="s">
        <v>584</v>
      </c>
      <c r="FU21" s="1" t="s">
        <v>204</v>
      </c>
      <c r="FW21" s="1" t="s">
        <v>738</v>
      </c>
      <c r="FX21" s="1">
        <v>8758</v>
      </c>
      <c r="FY21" s="1" t="s">
        <v>739</v>
      </c>
      <c r="FZ21" s="1" t="s">
        <v>740</v>
      </c>
      <c r="GA21" s="1">
        <v>29594</v>
      </c>
      <c r="GB21" s="1" t="s">
        <v>741</v>
      </c>
      <c r="GE21" s="1" t="s">
        <v>335</v>
      </c>
      <c r="GI21" s="1" t="s">
        <v>213</v>
      </c>
      <c r="GJ21" s="1" t="s">
        <v>260</v>
      </c>
      <c r="GK21" s="1" t="s">
        <v>210</v>
      </c>
      <c r="GL21" s="2">
        <v>42003</v>
      </c>
      <c r="GM21" s="1" t="s">
        <v>742</v>
      </c>
    </row>
    <row r="22" spans="1:195">
      <c r="A22" s="1">
        <v>147355</v>
      </c>
      <c r="B22" s="1" t="s">
        <v>195</v>
      </c>
      <c r="C22" s="1" t="str">
        <f>"08809164"</f>
        <v>08809164</v>
      </c>
      <c r="D22" s="1" t="s">
        <v>196</v>
      </c>
      <c r="F22" s="1" t="str">
        <f>"140"</f>
        <v>140</v>
      </c>
      <c r="G22" s="2">
        <v>42008</v>
      </c>
      <c r="H22" s="1">
        <v>147355</v>
      </c>
      <c r="I22" s="1">
        <v>147355</v>
      </c>
      <c r="J22" s="1">
        <v>147355</v>
      </c>
      <c r="K22" s="2">
        <v>42008</v>
      </c>
      <c r="L22" s="1">
        <v>34</v>
      </c>
      <c r="M22" s="2">
        <v>42041</v>
      </c>
      <c r="N22" s="1">
        <v>34</v>
      </c>
      <c r="O22" s="2">
        <v>42041</v>
      </c>
      <c r="P22" s="1">
        <v>37</v>
      </c>
      <c r="Q22" s="1" t="s">
        <v>197</v>
      </c>
      <c r="R22" s="2">
        <v>42073</v>
      </c>
      <c r="S22" s="1">
        <v>8763</v>
      </c>
      <c r="U22" s="1">
        <v>1454</v>
      </c>
      <c r="V22" s="1" t="s">
        <v>743</v>
      </c>
      <c r="W22" s="1" t="s">
        <v>304</v>
      </c>
      <c r="X22" s="1">
        <v>4082</v>
      </c>
      <c r="Y22" s="1">
        <v>4</v>
      </c>
      <c r="Z22" s="1" t="s">
        <v>370</v>
      </c>
      <c r="AA22" s="1" t="s">
        <v>744</v>
      </c>
      <c r="AB22" s="1">
        <v>60140</v>
      </c>
      <c r="AD22" s="1" t="s">
        <v>745</v>
      </c>
      <c r="AE22" s="1" t="s">
        <v>746</v>
      </c>
      <c r="AF22" s="1">
        <v>2014</v>
      </c>
      <c r="AG22" s="1" t="s">
        <v>204</v>
      </c>
      <c r="AH22" s="1" t="s">
        <v>747</v>
      </c>
      <c r="AI22" s="1" t="s">
        <v>665</v>
      </c>
      <c r="AJ22" s="1" t="s">
        <v>748</v>
      </c>
      <c r="AK22" s="1" t="s">
        <v>749</v>
      </c>
      <c r="AL22" s="1">
        <v>6</v>
      </c>
      <c r="AM22" s="1">
        <v>2</v>
      </c>
      <c r="AN22" s="1">
        <v>2</v>
      </c>
      <c r="AO22" s="1">
        <v>1</v>
      </c>
      <c r="AP22" s="1" t="s">
        <v>209</v>
      </c>
      <c r="AR22" s="1" t="s">
        <v>210</v>
      </c>
      <c r="AT22" s="1" t="s">
        <v>375</v>
      </c>
      <c r="AU22" s="1">
        <v>2</v>
      </c>
      <c r="AV22" s="1">
        <v>2</v>
      </c>
      <c r="AW22" s="1" t="s">
        <v>204</v>
      </c>
      <c r="AX22" s="1" t="s">
        <v>750</v>
      </c>
      <c r="AZ22" s="1" t="s">
        <v>751</v>
      </c>
      <c r="BA22" s="1">
        <v>2013</v>
      </c>
      <c r="BE22" s="1">
        <v>1467</v>
      </c>
      <c r="BF22" s="1">
        <v>1</v>
      </c>
      <c r="BG22" s="1">
        <v>0</v>
      </c>
      <c r="BL22" s="1">
        <v>193</v>
      </c>
      <c r="BM22" s="1" t="s">
        <v>204</v>
      </c>
      <c r="BN22" s="1" t="s">
        <v>213</v>
      </c>
      <c r="BO22" s="1" t="s">
        <v>432</v>
      </c>
      <c r="BP22" s="1" t="s">
        <v>213</v>
      </c>
      <c r="BQ22" s="2">
        <v>42034</v>
      </c>
      <c r="BR22" s="1" t="str">
        <f>"0229401005"</f>
        <v>0229401005</v>
      </c>
      <c r="BT22" s="1" t="s">
        <v>752</v>
      </c>
      <c r="BU22" s="1" t="s">
        <v>753</v>
      </c>
      <c r="BV22" s="1" t="s">
        <v>754</v>
      </c>
      <c r="BW22" s="1" t="s">
        <v>755</v>
      </c>
      <c r="BX22" s="1">
        <v>300</v>
      </c>
      <c r="BY22" s="1">
        <v>300</v>
      </c>
      <c r="BZ22" s="1">
        <v>300</v>
      </c>
      <c r="CB22" s="1" t="str">
        <f t="shared" ref="CB22:CC22" si="12">""</f>
        <v/>
      </c>
      <c r="CC22" s="1" t="str">
        <f t="shared" si="12"/>
        <v/>
      </c>
      <c r="CF22" s="1" t="s">
        <v>756</v>
      </c>
      <c r="CG22" s="1" t="s">
        <v>757</v>
      </c>
      <c r="CH22" s="1" t="s">
        <v>219</v>
      </c>
      <c r="CI22" s="1" t="s">
        <v>220</v>
      </c>
      <c r="CJ22" s="1" t="s">
        <v>210</v>
      </c>
      <c r="CK22" s="1" t="s">
        <v>437</v>
      </c>
      <c r="CL22" s="1" t="s">
        <v>277</v>
      </c>
      <c r="CM22" s="1" t="s">
        <v>220</v>
      </c>
      <c r="CN22" s="1" t="s">
        <v>210</v>
      </c>
      <c r="CO22" s="1" t="s">
        <v>758</v>
      </c>
      <c r="CP22" s="1" t="s">
        <v>219</v>
      </c>
      <c r="CQ22" s="1" t="s">
        <v>342</v>
      </c>
      <c r="CR22" s="1" t="s">
        <v>210</v>
      </c>
      <c r="CS22" s="1" t="s">
        <v>759</v>
      </c>
      <c r="CT22" s="1" t="s">
        <v>277</v>
      </c>
      <c r="CU22" s="1" t="s">
        <v>220</v>
      </c>
      <c r="CV22" s="1" t="s">
        <v>210</v>
      </c>
      <c r="CX22" s="1" t="s">
        <v>224</v>
      </c>
      <c r="DB22" s="1" t="s">
        <v>224</v>
      </c>
      <c r="DE22" s="1" t="s">
        <v>758</v>
      </c>
      <c r="DF22" s="1" t="s">
        <v>219</v>
      </c>
      <c r="DG22" s="1" t="s">
        <v>342</v>
      </c>
      <c r="DH22" s="1" t="s">
        <v>210</v>
      </c>
      <c r="DJ22" s="1" t="s">
        <v>224</v>
      </c>
      <c r="DM22" s="1" t="s">
        <v>464</v>
      </c>
      <c r="DR22" s="1" t="s">
        <v>346</v>
      </c>
      <c r="DS22" s="1" t="s">
        <v>277</v>
      </c>
      <c r="DT22" s="1" t="s">
        <v>220</v>
      </c>
      <c r="DU22" s="1" t="s">
        <v>210</v>
      </c>
      <c r="DW22" s="1" t="s">
        <v>230</v>
      </c>
      <c r="EA22" s="1" t="s">
        <v>230</v>
      </c>
      <c r="EE22" s="1" t="s">
        <v>230</v>
      </c>
      <c r="EI22" s="1" t="s">
        <v>230</v>
      </c>
      <c r="EL22" s="1" t="s">
        <v>760</v>
      </c>
      <c r="EM22" s="1" t="s">
        <v>761</v>
      </c>
      <c r="EN22" s="1" t="s">
        <v>282</v>
      </c>
      <c r="EO22" s="1" t="s">
        <v>234</v>
      </c>
      <c r="EP22" s="1" t="s">
        <v>762</v>
      </c>
      <c r="EQ22" s="1" t="s">
        <v>350</v>
      </c>
      <c r="ER22" s="1" t="s">
        <v>210</v>
      </c>
      <c r="ES22" s="1" t="s">
        <v>469</v>
      </c>
      <c r="ET22" s="1" t="s">
        <v>323</v>
      </c>
      <c r="EU22" s="1" t="s">
        <v>610</v>
      </c>
      <c r="EV22" s="1" t="s">
        <v>240</v>
      </c>
      <c r="EW22" s="1" t="s">
        <v>763</v>
      </c>
      <c r="EX22" s="1" t="s">
        <v>764</v>
      </c>
      <c r="EY22" s="1" t="s">
        <v>441</v>
      </c>
      <c r="EZ22" s="1" t="s">
        <v>464</v>
      </c>
      <c r="FB22" s="1" t="s">
        <v>244</v>
      </c>
      <c r="FC22" s="1" t="s">
        <v>633</v>
      </c>
      <c r="FD22" s="1" t="s">
        <v>246</v>
      </c>
      <c r="FE22" s="1" t="s">
        <v>765</v>
      </c>
      <c r="FF22" s="1" t="s">
        <v>248</v>
      </c>
      <c r="FH22" s="1" t="s">
        <v>766</v>
      </c>
      <c r="FI22" s="1" t="s">
        <v>767</v>
      </c>
      <c r="FJ22" s="1" t="s">
        <v>518</v>
      </c>
      <c r="FK22" s="1" t="s">
        <v>768</v>
      </c>
      <c r="FL22" s="1" t="s">
        <v>414</v>
      </c>
      <c r="FM22" s="1" t="s">
        <v>769</v>
      </c>
      <c r="FN22" s="1" t="s">
        <v>213</v>
      </c>
      <c r="FO22" s="1" t="s">
        <v>213</v>
      </c>
      <c r="FQ22" s="1" t="s">
        <v>582</v>
      </c>
      <c r="FR22" s="1" t="s">
        <v>210</v>
      </c>
      <c r="FS22" s="1" t="s">
        <v>770</v>
      </c>
      <c r="FT22" s="1" t="s">
        <v>771</v>
      </c>
      <c r="FU22" s="1" t="s">
        <v>204</v>
      </c>
      <c r="FW22" s="1" t="s">
        <v>772</v>
      </c>
      <c r="FX22" s="1">
        <v>92038</v>
      </c>
      <c r="FY22" s="1" t="s">
        <v>773</v>
      </c>
      <c r="FZ22" s="1" t="s">
        <v>774</v>
      </c>
      <c r="GA22" s="1">
        <v>21137</v>
      </c>
      <c r="GB22" s="1" t="s">
        <v>775</v>
      </c>
      <c r="GE22" s="1" t="s">
        <v>776</v>
      </c>
      <c r="GI22" s="1" t="s">
        <v>204</v>
      </c>
      <c r="GJ22" s="1" t="s">
        <v>260</v>
      </c>
      <c r="GK22" s="1" t="s">
        <v>210</v>
      </c>
      <c r="GL22" s="2">
        <v>42082</v>
      </c>
      <c r="GM22" s="1" t="s">
        <v>777</v>
      </c>
    </row>
    <row r="23" spans="1:195">
      <c r="A23" s="1">
        <v>66500</v>
      </c>
      <c r="B23" s="1" t="s">
        <v>195</v>
      </c>
      <c r="C23" s="1" t="str">
        <f>"08753643"</f>
        <v>08753643</v>
      </c>
      <c r="D23" s="1" t="s">
        <v>196</v>
      </c>
      <c r="F23" s="1" t="str">
        <f>"8042"</f>
        <v>8042</v>
      </c>
      <c r="G23" s="2">
        <v>41927</v>
      </c>
      <c r="H23" s="1">
        <v>90000</v>
      </c>
      <c r="I23" s="1">
        <v>66500</v>
      </c>
      <c r="J23" s="1">
        <v>66500</v>
      </c>
      <c r="K23" s="2">
        <v>41927</v>
      </c>
      <c r="L23" s="1">
        <v>87</v>
      </c>
      <c r="M23" s="2">
        <v>42013</v>
      </c>
      <c r="N23" s="1">
        <v>87</v>
      </c>
      <c r="O23" s="2">
        <v>42013</v>
      </c>
      <c r="P23" s="1">
        <v>84992</v>
      </c>
      <c r="Q23" s="1" t="s">
        <v>302</v>
      </c>
      <c r="R23" s="2">
        <v>42097</v>
      </c>
      <c r="S23" s="1">
        <v>159060</v>
      </c>
      <c r="U23" s="1">
        <v>1552</v>
      </c>
      <c r="V23" s="1" t="s">
        <v>778</v>
      </c>
      <c r="W23" s="1" t="s">
        <v>779</v>
      </c>
      <c r="X23" s="1">
        <v>3</v>
      </c>
      <c r="Y23" s="1">
        <v>6</v>
      </c>
      <c r="Z23" s="1" t="s">
        <v>249</v>
      </c>
      <c r="AA23" s="1" t="s">
        <v>400</v>
      </c>
      <c r="AB23" s="1">
        <v>60637</v>
      </c>
      <c r="AE23" s="1" t="s">
        <v>780</v>
      </c>
      <c r="AF23" s="1" t="s">
        <v>402</v>
      </c>
      <c r="AG23" s="1" t="s">
        <v>213</v>
      </c>
      <c r="AH23" s="1" t="s">
        <v>403</v>
      </c>
      <c r="AI23" s="1" t="s">
        <v>310</v>
      </c>
      <c r="AJ23" s="1" t="s">
        <v>562</v>
      </c>
      <c r="AK23" s="1" t="s">
        <v>781</v>
      </c>
      <c r="AL23" s="1">
        <v>5</v>
      </c>
      <c r="AM23" s="1">
        <v>2</v>
      </c>
      <c r="AN23" s="1">
        <v>1</v>
      </c>
      <c r="AO23" s="1">
        <v>0</v>
      </c>
      <c r="AP23" s="1" t="s">
        <v>667</v>
      </c>
      <c r="AQ23" s="1">
        <v>0</v>
      </c>
      <c r="AR23" s="1" t="s">
        <v>209</v>
      </c>
      <c r="AS23" s="1" t="s">
        <v>204</v>
      </c>
      <c r="AT23" s="1" t="s">
        <v>211</v>
      </c>
      <c r="AU23" s="1">
        <v>1</v>
      </c>
      <c r="AW23" s="1" t="s">
        <v>204</v>
      </c>
      <c r="AX23" s="1" t="s">
        <v>782</v>
      </c>
      <c r="AZ23" s="1">
        <v>1780.65</v>
      </c>
      <c r="BA23" s="1">
        <v>2012</v>
      </c>
      <c r="BB23" s="1" t="s">
        <v>405</v>
      </c>
      <c r="BE23" s="1">
        <v>1200</v>
      </c>
      <c r="BF23" s="1">
        <v>3</v>
      </c>
      <c r="BG23" s="1">
        <v>0</v>
      </c>
      <c r="BJ23" s="1">
        <v>100</v>
      </c>
      <c r="BL23" s="1">
        <v>180</v>
      </c>
      <c r="BM23" s="1" t="s">
        <v>204</v>
      </c>
      <c r="BN23" s="1" t="s">
        <v>213</v>
      </c>
      <c r="BO23" s="1">
        <v>0</v>
      </c>
      <c r="BP23" s="1" t="s">
        <v>204</v>
      </c>
      <c r="BR23" s="1" t="str">
        <f>"20232190531005"</f>
        <v>20232190531005</v>
      </c>
      <c r="BT23" s="1" t="s">
        <v>783</v>
      </c>
      <c r="BX23" s="1">
        <v>299</v>
      </c>
      <c r="BY23" s="1">
        <v>299</v>
      </c>
      <c r="BZ23" s="1">
        <v>299</v>
      </c>
      <c r="CB23" s="1" t="str">
        <f>"0"</f>
        <v>0</v>
      </c>
      <c r="CC23" s="1" t="str">
        <f>"6300"</f>
        <v>6300</v>
      </c>
      <c r="CD23" s="1">
        <v>0</v>
      </c>
      <c r="CE23" s="1">
        <v>1552</v>
      </c>
      <c r="CG23" s="1" t="s">
        <v>437</v>
      </c>
      <c r="CH23" s="1" t="s">
        <v>784</v>
      </c>
      <c r="CI23" s="1" t="s">
        <v>438</v>
      </c>
      <c r="CK23" s="1" t="s">
        <v>539</v>
      </c>
      <c r="CL23" s="1" t="s">
        <v>784</v>
      </c>
      <c r="CM23" s="1" t="s">
        <v>220</v>
      </c>
      <c r="CO23" s="1" t="s">
        <v>785</v>
      </c>
      <c r="CP23" s="1" t="s">
        <v>784</v>
      </c>
      <c r="CQ23" s="1" t="s">
        <v>438</v>
      </c>
      <c r="CS23" s="1" t="s">
        <v>539</v>
      </c>
      <c r="CT23" s="1" t="s">
        <v>784</v>
      </c>
      <c r="CU23" s="1" t="s">
        <v>220</v>
      </c>
      <c r="CX23" s="1" t="s">
        <v>224</v>
      </c>
      <c r="DB23" s="1" t="s">
        <v>224</v>
      </c>
      <c r="DE23" s="1" t="s">
        <v>786</v>
      </c>
      <c r="DF23" s="1" t="s">
        <v>784</v>
      </c>
      <c r="DG23" s="1" t="s">
        <v>438</v>
      </c>
      <c r="DH23" s="1" t="s">
        <v>210</v>
      </c>
      <c r="DJ23" s="1" t="s">
        <v>224</v>
      </c>
      <c r="DM23" s="1" t="s">
        <v>603</v>
      </c>
      <c r="DR23" s="1" t="s">
        <v>785</v>
      </c>
      <c r="DS23" s="1" t="s">
        <v>219</v>
      </c>
      <c r="DT23" s="1" t="s">
        <v>438</v>
      </c>
      <c r="DU23" s="1" t="s">
        <v>210</v>
      </c>
      <c r="DW23" s="1" t="s">
        <v>230</v>
      </c>
      <c r="EA23" s="1" t="s">
        <v>230</v>
      </c>
      <c r="EE23" s="1" t="s">
        <v>230</v>
      </c>
      <c r="EI23" s="1" t="s">
        <v>230</v>
      </c>
      <c r="EL23" s="1" t="s">
        <v>787</v>
      </c>
      <c r="EM23" s="1" t="s">
        <v>232</v>
      </c>
      <c r="EN23" s="1" t="s">
        <v>282</v>
      </c>
      <c r="EO23" s="1" t="s">
        <v>234</v>
      </c>
      <c r="EP23" s="1" t="s">
        <v>788</v>
      </c>
      <c r="EQ23" s="1" t="s">
        <v>492</v>
      </c>
      <c r="ER23" s="1" t="s">
        <v>789</v>
      </c>
      <c r="EU23" s="1" t="s">
        <v>546</v>
      </c>
      <c r="EW23" s="1" t="s">
        <v>286</v>
      </c>
      <c r="EY23" s="1" t="s">
        <v>790</v>
      </c>
      <c r="EZ23" s="1" t="s">
        <v>603</v>
      </c>
      <c r="FA23" s="1" t="s">
        <v>791</v>
      </c>
      <c r="FB23" s="1" t="s">
        <v>734</v>
      </c>
      <c r="FC23" s="1" t="s">
        <v>792</v>
      </c>
      <c r="FD23" s="1" t="s">
        <v>246</v>
      </c>
      <c r="FE23" s="1" t="s">
        <v>247</v>
      </c>
      <c r="FF23" s="1" t="s">
        <v>387</v>
      </c>
      <c r="FH23" s="1" t="s">
        <v>249</v>
      </c>
      <c r="FI23" s="1" t="s">
        <v>357</v>
      </c>
      <c r="FL23" s="1" t="s">
        <v>358</v>
      </c>
      <c r="FM23" s="1" t="s">
        <v>252</v>
      </c>
      <c r="FN23" s="1" t="s">
        <v>213</v>
      </c>
      <c r="FO23" s="1" t="s">
        <v>213</v>
      </c>
      <c r="FQ23" s="1" t="s">
        <v>793</v>
      </c>
      <c r="FR23" s="1" t="s">
        <v>360</v>
      </c>
      <c r="FS23" s="1" t="s">
        <v>794</v>
      </c>
      <c r="FT23" s="1" t="s">
        <v>295</v>
      </c>
      <c r="FU23" s="1" t="s">
        <v>204</v>
      </c>
      <c r="FW23" s="1" t="s">
        <v>795</v>
      </c>
      <c r="FX23" s="1">
        <v>85175</v>
      </c>
      <c r="FY23" s="1" t="s">
        <v>796</v>
      </c>
      <c r="FZ23" s="1" t="s">
        <v>797</v>
      </c>
      <c r="GA23" s="1">
        <v>106251</v>
      </c>
      <c r="GB23" s="1" t="s">
        <v>798</v>
      </c>
      <c r="GD23" s="1" t="s">
        <v>799</v>
      </c>
      <c r="GE23" s="1" t="s">
        <v>658</v>
      </c>
      <c r="GH23" s="1" t="s">
        <v>800</v>
      </c>
      <c r="GI23" s="1" t="s">
        <v>213</v>
      </c>
      <c r="GJ23" s="1" t="s">
        <v>260</v>
      </c>
      <c r="GK23" s="1" t="s">
        <v>210</v>
      </c>
      <c r="GL23" s="2">
        <v>42100</v>
      </c>
      <c r="GM23" s="1" t="s">
        <v>801</v>
      </c>
    </row>
    <row r="24" spans="1:195">
      <c r="A24" s="1">
        <v>104000</v>
      </c>
      <c r="B24" s="1" t="s">
        <v>195</v>
      </c>
      <c r="C24" s="1" t="str">
        <f>"08770428"</f>
        <v>08770428</v>
      </c>
      <c r="D24" s="1" t="s">
        <v>196</v>
      </c>
      <c r="F24" s="1" t="str">
        <f>"110"</f>
        <v>110</v>
      </c>
      <c r="G24" s="2">
        <v>41949</v>
      </c>
      <c r="H24" s="1">
        <v>115900</v>
      </c>
      <c r="I24" s="1">
        <v>115900</v>
      </c>
      <c r="J24" s="1">
        <v>104000</v>
      </c>
      <c r="K24" s="2">
        <v>41949</v>
      </c>
      <c r="L24" s="1">
        <v>36</v>
      </c>
      <c r="M24" s="2">
        <v>41984</v>
      </c>
      <c r="N24" s="1">
        <v>36</v>
      </c>
      <c r="O24" s="2">
        <v>41984</v>
      </c>
      <c r="P24" s="1">
        <v>5030</v>
      </c>
      <c r="Q24" s="1" t="s">
        <v>197</v>
      </c>
      <c r="R24" s="2">
        <v>42109</v>
      </c>
      <c r="S24" s="1">
        <v>55952</v>
      </c>
      <c r="U24" s="1">
        <v>2075</v>
      </c>
      <c r="V24" s="1" t="s">
        <v>802</v>
      </c>
      <c r="W24" s="1" t="s">
        <v>504</v>
      </c>
      <c r="Y24" s="1">
        <v>6</v>
      </c>
      <c r="Z24" s="1" t="s">
        <v>370</v>
      </c>
      <c r="AA24" s="1" t="s">
        <v>803</v>
      </c>
      <c r="AB24" s="1">
        <v>60110</v>
      </c>
      <c r="AE24" s="1" t="s">
        <v>804</v>
      </c>
      <c r="AF24" s="1">
        <v>2003</v>
      </c>
      <c r="AG24" s="1" t="s">
        <v>204</v>
      </c>
      <c r="AH24" s="1" t="s">
        <v>805</v>
      </c>
      <c r="AI24" s="1" t="s">
        <v>665</v>
      </c>
      <c r="AJ24" s="1" t="s">
        <v>805</v>
      </c>
      <c r="AL24" s="1">
        <v>5</v>
      </c>
      <c r="AM24" s="1">
        <v>2</v>
      </c>
      <c r="AN24" s="1">
        <v>1</v>
      </c>
      <c r="AO24" s="1">
        <v>1</v>
      </c>
      <c r="AP24" s="1" t="s">
        <v>667</v>
      </c>
      <c r="AR24" s="1" t="s">
        <v>210</v>
      </c>
      <c r="AS24" s="1" t="s">
        <v>204</v>
      </c>
      <c r="AT24" s="1" t="s">
        <v>211</v>
      </c>
      <c r="AU24" s="1">
        <v>1</v>
      </c>
      <c r="AW24" s="1" t="s">
        <v>204</v>
      </c>
      <c r="AX24" s="1" t="s">
        <v>212</v>
      </c>
      <c r="AZ24" s="1">
        <v>2447.56</v>
      </c>
      <c r="BA24" s="1">
        <v>2013</v>
      </c>
      <c r="BB24" s="1" t="s">
        <v>405</v>
      </c>
      <c r="BE24" s="1">
        <v>1088</v>
      </c>
      <c r="BF24" s="1">
        <v>1</v>
      </c>
      <c r="BG24" s="1">
        <v>0</v>
      </c>
      <c r="BL24" s="1">
        <v>95</v>
      </c>
      <c r="BM24" s="1" t="s">
        <v>204</v>
      </c>
      <c r="BN24" s="1" t="s">
        <v>213</v>
      </c>
      <c r="BO24" s="1">
        <v>999</v>
      </c>
      <c r="BP24" s="1" t="s">
        <v>204</v>
      </c>
      <c r="BR24" s="1" t="str">
        <f>"0302427065"</f>
        <v>0302427065</v>
      </c>
      <c r="BT24" s="1" t="s">
        <v>806</v>
      </c>
      <c r="BU24" s="1" t="s">
        <v>807</v>
      </c>
      <c r="BV24" s="1" t="s">
        <v>808</v>
      </c>
      <c r="BW24" s="1" t="s">
        <v>809</v>
      </c>
      <c r="BX24" s="1">
        <v>300</v>
      </c>
      <c r="BY24" s="1">
        <v>300</v>
      </c>
      <c r="BZ24" s="1">
        <v>300</v>
      </c>
      <c r="CB24" s="1" t="str">
        <f t="shared" ref="CB24:CC24" si="13">""</f>
        <v/>
      </c>
      <c r="CC24" s="1" t="str">
        <f t="shared" si="13"/>
        <v/>
      </c>
      <c r="CG24" s="1" t="s">
        <v>581</v>
      </c>
      <c r="CH24" s="1" t="s">
        <v>219</v>
      </c>
      <c r="CI24" s="1" t="s">
        <v>220</v>
      </c>
      <c r="CJ24" s="1" t="s">
        <v>343</v>
      </c>
      <c r="CK24" s="1" t="s">
        <v>344</v>
      </c>
      <c r="CL24" s="1" t="s">
        <v>277</v>
      </c>
      <c r="CM24" s="1" t="s">
        <v>220</v>
      </c>
      <c r="CN24" s="1" t="s">
        <v>343</v>
      </c>
      <c r="CP24" s="1" t="s">
        <v>224</v>
      </c>
      <c r="CS24" s="1" t="s">
        <v>318</v>
      </c>
      <c r="CT24" s="1" t="s">
        <v>277</v>
      </c>
      <c r="CU24" s="1" t="s">
        <v>220</v>
      </c>
      <c r="CV24" s="1" t="s">
        <v>343</v>
      </c>
      <c r="CX24" s="1" t="s">
        <v>224</v>
      </c>
      <c r="DB24" s="1" t="s">
        <v>224</v>
      </c>
      <c r="DE24" s="1" t="s">
        <v>379</v>
      </c>
      <c r="DF24" s="1" t="s">
        <v>219</v>
      </c>
      <c r="DG24" s="1" t="s">
        <v>229</v>
      </c>
      <c r="DJ24" s="1" t="s">
        <v>224</v>
      </c>
      <c r="DM24" s="1" t="s">
        <v>464</v>
      </c>
      <c r="DR24" s="1" t="s">
        <v>785</v>
      </c>
      <c r="DS24" s="1" t="s">
        <v>277</v>
      </c>
      <c r="DW24" s="1" t="s">
        <v>230</v>
      </c>
      <c r="EA24" s="1" t="s">
        <v>230</v>
      </c>
      <c r="EE24" s="1" t="s">
        <v>230</v>
      </c>
      <c r="EI24" s="1" t="s">
        <v>230</v>
      </c>
      <c r="EL24" s="1" t="s">
        <v>466</v>
      </c>
      <c r="EM24" s="1" t="s">
        <v>319</v>
      </c>
      <c r="EN24" s="1" t="s">
        <v>282</v>
      </c>
      <c r="EO24" s="1" t="s">
        <v>234</v>
      </c>
      <c r="ER24" s="1" t="s">
        <v>210</v>
      </c>
      <c r="EW24" s="1" t="s">
        <v>353</v>
      </c>
      <c r="EZ24" s="1" t="s">
        <v>464</v>
      </c>
      <c r="FA24" s="1" t="s">
        <v>471</v>
      </c>
      <c r="FD24" s="1" t="s">
        <v>246</v>
      </c>
      <c r="FE24" s="1" t="s">
        <v>765</v>
      </c>
      <c r="FF24" s="1" t="s">
        <v>248</v>
      </c>
      <c r="FH24" s="1" t="s">
        <v>550</v>
      </c>
      <c r="FI24" s="1" t="s">
        <v>473</v>
      </c>
      <c r="FL24" s="1" t="s">
        <v>810</v>
      </c>
      <c r="FM24" s="1" t="s">
        <v>252</v>
      </c>
      <c r="FN24" s="1" t="s">
        <v>213</v>
      </c>
      <c r="FO24" s="1" t="s">
        <v>213</v>
      </c>
      <c r="FQ24" s="1" t="s">
        <v>811</v>
      </c>
      <c r="FR24" s="1" t="s">
        <v>360</v>
      </c>
      <c r="FS24" s="1" t="s">
        <v>812</v>
      </c>
      <c r="FT24" s="1" t="s">
        <v>295</v>
      </c>
      <c r="FU24" s="1" t="s">
        <v>204</v>
      </c>
      <c r="FW24" s="1" t="s">
        <v>813</v>
      </c>
      <c r="FX24" s="1">
        <v>5030</v>
      </c>
      <c r="FY24" s="1" t="s">
        <v>814</v>
      </c>
      <c r="FZ24" s="1" t="s">
        <v>815</v>
      </c>
      <c r="GA24" s="1">
        <v>55952</v>
      </c>
      <c r="GE24" s="1" t="s">
        <v>480</v>
      </c>
      <c r="GI24" s="1" t="s">
        <v>213</v>
      </c>
      <c r="GJ24" s="1" t="s">
        <v>260</v>
      </c>
      <c r="GK24" s="1" t="s">
        <v>210</v>
      </c>
      <c r="GL24" s="2">
        <v>42115</v>
      </c>
      <c r="GM24" s="1" t="s">
        <v>816</v>
      </c>
    </row>
    <row r="25" spans="1:195">
      <c r="A25" s="1">
        <v>12000</v>
      </c>
      <c r="B25" s="1" t="s">
        <v>195</v>
      </c>
      <c r="C25" s="1" t="str">
        <f>"08758214"</f>
        <v>08758214</v>
      </c>
      <c r="D25" s="1" t="s">
        <v>196</v>
      </c>
      <c r="F25" s="1" t="str">
        <f>"8053"</f>
        <v>8053</v>
      </c>
      <c r="G25" s="2">
        <v>41933</v>
      </c>
      <c r="H25" s="1">
        <v>11900</v>
      </c>
      <c r="I25" s="1">
        <v>11900</v>
      </c>
      <c r="J25" s="1">
        <v>12000</v>
      </c>
      <c r="K25" s="2">
        <v>41932</v>
      </c>
      <c r="L25" s="1">
        <v>34</v>
      </c>
      <c r="M25" s="2">
        <v>41965</v>
      </c>
      <c r="N25" s="1">
        <v>34</v>
      </c>
      <c r="O25" s="2">
        <v>41965</v>
      </c>
      <c r="P25" s="1">
        <v>60035</v>
      </c>
      <c r="Q25" s="1" t="s">
        <v>302</v>
      </c>
      <c r="R25" s="2">
        <v>42010</v>
      </c>
      <c r="S25" s="1">
        <v>601752</v>
      </c>
      <c r="U25" s="1">
        <v>11563</v>
      </c>
      <c r="V25" s="1" t="s">
        <v>817</v>
      </c>
      <c r="W25" s="1" t="s">
        <v>725</v>
      </c>
      <c r="Y25" s="1">
        <v>2</v>
      </c>
      <c r="Z25" s="1" t="s">
        <v>200</v>
      </c>
      <c r="AA25" s="1" t="s">
        <v>400</v>
      </c>
      <c r="AB25" s="1">
        <v>60643</v>
      </c>
      <c r="AE25" s="1" t="s">
        <v>818</v>
      </c>
      <c r="AF25" s="1">
        <v>1962</v>
      </c>
      <c r="AG25" s="1" t="s">
        <v>213</v>
      </c>
      <c r="AH25" s="1" t="s">
        <v>403</v>
      </c>
      <c r="AI25" s="1" t="s">
        <v>310</v>
      </c>
      <c r="AJ25" s="1" t="s">
        <v>683</v>
      </c>
      <c r="AL25" s="1">
        <v>4</v>
      </c>
      <c r="AM25" s="1">
        <v>2</v>
      </c>
      <c r="AN25" s="1">
        <v>1</v>
      </c>
      <c r="AO25" s="1">
        <v>1</v>
      </c>
      <c r="AP25" s="1" t="s">
        <v>210</v>
      </c>
      <c r="AR25" s="1" t="s">
        <v>209</v>
      </c>
      <c r="AS25" s="1" t="s">
        <v>213</v>
      </c>
      <c r="AT25" s="1" t="s">
        <v>210</v>
      </c>
      <c r="AW25" s="1" t="s">
        <v>204</v>
      </c>
      <c r="AX25" s="1" t="s">
        <v>819</v>
      </c>
      <c r="AZ25" s="1">
        <v>286</v>
      </c>
      <c r="BA25" s="1">
        <v>2012</v>
      </c>
      <c r="BE25" s="1">
        <v>0</v>
      </c>
      <c r="BF25" s="1">
        <v>1</v>
      </c>
      <c r="BG25" s="1">
        <v>0</v>
      </c>
      <c r="BL25" s="1">
        <v>0</v>
      </c>
      <c r="BM25" s="1" t="s">
        <v>413</v>
      </c>
      <c r="BN25" s="1" t="s">
        <v>213</v>
      </c>
      <c r="BO25" s="1">
        <v>0</v>
      </c>
      <c r="BP25" s="1" t="s">
        <v>204</v>
      </c>
      <c r="BR25" s="1" t="str">
        <f>"25204040980000"</f>
        <v>25204040980000</v>
      </c>
      <c r="BT25" s="1" t="s">
        <v>820</v>
      </c>
      <c r="BX25" s="1">
        <v>299</v>
      </c>
      <c r="BY25" s="1">
        <v>299</v>
      </c>
      <c r="BZ25" s="1">
        <v>299</v>
      </c>
      <c r="CB25" s="1" t="str">
        <f t="shared" ref="CB25:CC25" si="14">"0"</f>
        <v>0</v>
      </c>
      <c r="CC25" s="1" t="str">
        <f t="shared" si="14"/>
        <v>0</v>
      </c>
      <c r="CD25" s="1">
        <v>900</v>
      </c>
      <c r="CE25" s="1">
        <v>11563</v>
      </c>
      <c r="CG25" s="1" t="s">
        <v>581</v>
      </c>
      <c r="CH25" s="1" t="s">
        <v>219</v>
      </c>
      <c r="CI25" s="1" t="s">
        <v>220</v>
      </c>
      <c r="CK25" s="1" t="s">
        <v>465</v>
      </c>
      <c r="CL25" s="1" t="s">
        <v>219</v>
      </c>
      <c r="CM25" s="1" t="s">
        <v>438</v>
      </c>
      <c r="CP25" s="1" t="s">
        <v>224</v>
      </c>
      <c r="CS25" s="1" t="s">
        <v>821</v>
      </c>
      <c r="CT25" s="1" t="s">
        <v>219</v>
      </c>
      <c r="CU25" s="1" t="s">
        <v>342</v>
      </c>
      <c r="CX25" s="1" t="s">
        <v>224</v>
      </c>
      <c r="DB25" s="1" t="s">
        <v>224</v>
      </c>
      <c r="DE25" s="1" t="s">
        <v>380</v>
      </c>
      <c r="DF25" s="1" t="s">
        <v>822</v>
      </c>
      <c r="DG25" s="1" t="s">
        <v>226</v>
      </c>
      <c r="DJ25" s="1" t="s">
        <v>224</v>
      </c>
      <c r="DS25" s="1" t="s">
        <v>230</v>
      </c>
      <c r="DW25" s="1" t="s">
        <v>230</v>
      </c>
      <c r="EA25" s="1" t="s">
        <v>230</v>
      </c>
      <c r="EE25" s="1" t="s">
        <v>230</v>
      </c>
      <c r="EI25" s="1" t="s">
        <v>230</v>
      </c>
      <c r="EL25" s="1" t="s">
        <v>649</v>
      </c>
      <c r="EM25" s="1" t="s">
        <v>232</v>
      </c>
      <c r="EN25" s="1" t="s">
        <v>282</v>
      </c>
      <c r="EO25" s="1" t="s">
        <v>234</v>
      </c>
      <c r="ER25" s="1" t="s">
        <v>823</v>
      </c>
      <c r="ES25" s="1" t="s">
        <v>824</v>
      </c>
      <c r="EW25" s="1" t="s">
        <v>210</v>
      </c>
      <c r="EZ25" s="1" t="s">
        <v>287</v>
      </c>
      <c r="FD25" s="1" t="s">
        <v>246</v>
      </c>
      <c r="FE25" s="1" t="s">
        <v>651</v>
      </c>
      <c r="FF25" s="1" t="s">
        <v>248</v>
      </c>
      <c r="FH25" s="1" t="s">
        <v>825</v>
      </c>
      <c r="FL25" s="1" t="s">
        <v>358</v>
      </c>
      <c r="FM25" s="1" t="s">
        <v>252</v>
      </c>
      <c r="FN25" s="1" t="s">
        <v>213</v>
      </c>
      <c r="FO25" s="1" t="s">
        <v>213</v>
      </c>
      <c r="FQ25" s="1" t="s">
        <v>826</v>
      </c>
      <c r="FR25" s="1" t="s">
        <v>210</v>
      </c>
      <c r="FS25" s="1" t="s">
        <v>653</v>
      </c>
      <c r="FT25" s="1" t="s">
        <v>295</v>
      </c>
      <c r="FU25" s="1" t="s">
        <v>204</v>
      </c>
      <c r="FW25" s="1" t="s">
        <v>655</v>
      </c>
      <c r="FX25" s="1">
        <v>10841</v>
      </c>
      <c r="FY25" s="1" t="s">
        <v>656</v>
      </c>
      <c r="FZ25" s="1" t="s">
        <v>657</v>
      </c>
      <c r="GA25" s="1">
        <v>109860</v>
      </c>
      <c r="GB25" s="1" t="s">
        <v>656</v>
      </c>
      <c r="GE25" s="1" t="s">
        <v>210</v>
      </c>
      <c r="GH25" s="1" t="s">
        <v>421</v>
      </c>
      <c r="GI25" s="1" t="s">
        <v>213</v>
      </c>
      <c r="GJ25" s="1" t="s">
        <v>260</v>
      </c>
      <c r="GK25" s="1" t="s">
        <v>210</v>
      </c>
      <c r="GL25" s="2">
        <v>42011</v>
      </c>
      <c r="GM25" s="1" t="s">
        <v>827</v>
      </c>
    </row>
    <row r="26" spans="1:195">
      <c r="A26" s="1">
        <v>179000</v>
      </c>
      <c r="B26" s="1" t="s">
        <v>195</v>
      </c>
      <c r="C26" s="1" t="str">
        <f>"08755410"</f>
        <v>08755410</v>
      </c>
      <c r="D26" s="1" t="s">
        <v>196</v>
      </c>
      <c r="F26" s="1" t="str">
        <f t="shared" ref="F26:F27" si="15">"108"</f>
        <v>108</v>
      </c>
      <c r="G26" s="2">
        <v>41929</v>
      </c>
      <c r="H26" s="1">
        <v>184900</v>
      </c>
      <c r="I26" s="1">
        <v>184900</v>
      </c>
      <c r="J26" s="1">
        <v>179000</v>
      </c>
      <c r="K26" s="2">
        <v>41929</v>
      </c>
      <c r="L26" s="1">
        <v>216</v>
      </c>
      <c r="M26" s="2">
        <v>41962</v>
      </c>
      <c r="N26" s="1">
        <v>34</v>
      </c>
      <c r="O26" s="2">
        <v>41962</v>
      </c>
      <c r="P26" s="1">
        <v>8073</v>
      </c>
      <c r="Q26" s="1" t="s">
        <v>423</v>
      </c>
      <c r="R26" s="2">
        <v>42003</v>
      </c>
      <c r="S26" s="1">
        <v>231761</v>
      </c>
      <c r="U26" s="1">
        <v>105</v>
      </c>
      <c r="V26" s="1" t="s">
        <v>828</v>
      </c>
      <c r="W26" s="1" t="s">
        <v>264</v>
      </c>
      <c r="X26" s="1">
        <v>403</v>
      </c>
      <c r="Y26" s="1">
        <v>92</v>
      </c>
      <c r="Z26" s="1" t="s">
        <v>249</v>
      </c>
      <c r="AA26" s="1" t="s">
        <v>829</v>
      </c>
      <c r="AB26" s="1">
        <v>60108</v>
      </c>
      <c r="AD26" s="1" t="s">
        <v>830</v>
      </c>
      <c r="AE26" s="1" t="s">
        <v>831</v>
      </c>
      <c r="AF26" s="1">
        <v>2008</v>
      </c>
      <c r="AG26" s="1" t="s">
        <v>204</v>
      </c>
      <c r="AH26" s="1" t="s">
        <v>269</v>
      </c>
      <c r="AI26" s="1" t="s">
        <v>206</v>
      </c>
      <c r="AJ26" s="1" t="s">
        <v>269</v>
      </c>
      <c r="AL26" s="1">
        <v>5</v>
      </c>
      <c r="AM26" s="1">
        <v>2</v>
      </c>
      <c r="AN26" s="1">
        <v>2</v>
      </c>
      <c r="AO26" s="1">
        <v>0</v>
      </c>
      <c r="AP26" s="1" t="s">
        <v>209</v>
      </c>
      <c r="AR26" s="1" t="s">
        <v>210</v>
      </c>
      <c r="AS26" s="1" t="s">
        <v>204</v>
      </c>
      <c r="AT26" s="1" t="s">
        <v>211</v>
      </c>
      <c r="AU26" s="1">
        <v>1</v>
      </c>
      <c r="AW26" s="1" t="s">
        <v>213</v>
      </c>
      <c r="AX26" s="1" t="s">
        <v>212</v>
      </c>
      <c r="AZ26" s="1">
        <v>3006.68</v>
      </c>
      <c r="BA26" s="1">
        <v>2013</v>
      </c>
      <c r="BE26" s="1">
        <v>1204</v>
      </c>
      <c r="BF26" s="1">
        <v>4</v>
      </c>
      <c r="BG26" s="1">
        <v>0</v>
      </c>
      <c r="BL26" s="1">
        <v>179</v>
      </c>
      <c r="BM26" s="1" t="s">
        <v>413</v>
      </c>
      <c r="BN26" s="1" t="s">
        <v>213</v>
      </c>
      <c r="BO26" s="1">
        <v>999</v>
      </c>
      <c r="BP26" s="1" t="s">
        <v>204</v>
      </c>
      <c r="BR26" s="1" t="str">
        <f>"0214118006"</f>
        <v>0214118006</v>
      </c>
      <c r="BT26" s="1" t="s">
        <v>832</v>
      </c>
      <c r="BU26" s="1" t="s">
        <v>833</v>
      </c>
      <c r="BV26" s="1" t="s">
        <v>834</v>
      </c>
      <c r="BW26" s="1" t="s">
        <v>275</v>
      </c>
      <c r="BX26" s="1">
        <v>13</v>
      </c>
      <c r="BY26" s="1">
        <v>13</v>
      </c>
      <c r="BZ26" s="1">
        <v>108</v>
      </c>
      <c r="CB26" s="1" t="str">
        <f>"4"</f>
        <v>4</v>
      </c>
      <c r="CC26" s="1" t="str">
        <f>"0"</f>
        <v>0</v>
      </c>
      <c r="CD26" s="1">
        <v>22</v>
      </c>
      <c r="CE26" s="1">
        <v>0</v>
      </c>
      <c r="CG26" s="1" t="s">
        <v>835</v>
      </c>
      <c r="CH26" s="1" t="s">
        <v>219</v>
      </c>
      <c r="CI26" s="1" t="s">
        <v>220</v>
      </c>
      <c r="CJ26" s="1" t="s">
        <v>210</v>
      </c>
      <c r="CK26" s="1" t="s">
        <v>757</v>
      </c>
      <c r="CL26" s="1" t="s">
        <v>219</v>
      </c>
      <c r="CM26" s="1" t="s">
        <v>220</v>
      </c>
      <c r="CN26" s="1" t="s">
        <v>210</v>
      </c>
      <c r="CO26" s="1" t="s">
        <v>629</v>
      </c>
      <c r="CP26" s="1" t="s">
        <v>219</v>
      </c>
      <c r="CS26" s="1" t="s">
        <v>836</v>
      </c>
      <c r="CT26" s="1" t="s">
        <v>219</v>
      </c>
      <c r="CX26" s="1" t="s">
        <v>224</v>
      </c>
      <c r="DB26" s="1" t="s">
        <v>224</v>
      </c>
      <c r="DE26" s="1" t="s">
        <v>837</v>
      </c>
      <c r="DF26" s="1" t="s">
        <v>219</v>
      </c>
      <c r="DG26" s="1" t="s">
        <v>226</v>
      </c>
      <c r="DH26" s="1" t="s">
        <v>210</v>
      </c>
      <c r="DJ26" s="1" t="s">
        <v>224</v>
      </c>
      <c r="DM26" s="1" t="s">
        <v>838</v>
      </c>
      <c r="DR26" s="1" t="s">
        <v>839</v>
      </c>
      <c r="DS26" s="1" t="s">
        <v>219</v>
      </c>
      <c r="DW26" s="1" t="s">
        <v>230</v>
      </c>
      <c r="EA26" s="1" t="s">
        <v>230</v>
      </c>
      <c r="EE26" s="1" t="s">
        <v>230</v>
      </c>
      <c r="EI26" s="1" t="s">
        <v>230</v>
      </c>
      <c r="EL26" s="1" t="s">
        <v>491</v>
      </c>
      <c r="EM26" s="1" t="s">
        <v>319</v>
      </c>
      <c r="EN26" s="1" t="s">
        <v>282</v>
      </c>
      <c r="EO26" s="1" t="s">
        <v>840</v>
      </c>
      <c r="EP26" s="1" t="s">
        <v>841</v>
      </c>
      <c r="EQ26" s="1" t="s">
        <v>236</v>
      </c>
      <c r="ER26" s="1" t="s">
        <v>210</v>
      </c>
      <c r="ES26" s="1" t="s">
        <v>493</v>
      </c>
      <c r="ET26" s="1" t="s">
        <v>842</v>
      </c>
      <c r="EU26" s="1" t="s">
        <v>843</v>
      </c>
      <c r="EV26" s="1" t="s">
        <v>240</v>
      </c>
      <c r="EW26" s="1" t="s">
        <v>844</v>
      </c>
      <c r="EY26" s="1" t="s">
        <v>242</v>
      </c>
      <c r="EZ26" s="1" t="s">
        <v>838</v>
      </c>
      <c r="FA26" s="1" t="s">
        <v>845</v>
      </c>
      <c r="FB26" s="1" t="s">
        <v>846</v>
      </c>
      <c r="FD26" s="1" t="s">
        <v>246</v>
      </c>
      <c r="FE26" s="1" t="s">
        <v>847</v>
      </c>
      <c r="FF26" s="1" t="s">
        <v>248</v>
      </c>
      <c r="FH26" s="1" t="s">
        <v>249</v>
      </c>
      <c r="FI26" s="1" t="s">
        <v>848</v>
      </c>
      <c r="FL26" s="1" t="s">
        <v>358</v>
      </c>
      <c r="FM26" s="1" t="s">
        <v>252</v>
      </c>
      <c r="FN26" s="1" t="s">
        <v>213</v>
      </c>
      <c r="FO26" s="1" t="s">
        <v>213</v>
      </c>
      <c r="FQ26" s="1" t="s">
        <v>849</v>
      </c>
      <c r="FR26" s="1" t="s">
        <v>210</v>
      </c>
      <c r="FS26" s="1" t="s">
        <v>850</v>
      </c>
      <c r="FT26" s="1" t="s">
        <v>851</v>
      </c>
      <c r="FU26" s="1" t="s">
        <v>213</v>
      </c>
      <c r="FW26" s="1" t="s">
        <v>852</v>
      </c>
      <c r="FX26" s="1">
        <v>22250</v>
      </c>
      <c r="FY26" s="1" t="s">
        <v>853</v>
      </c>
      <c r="FZ26" s="1" t="s">
        <v>854</v>
      </c>
      <c r="GA26" s="1">
        <v>242148</v>
      </c>
      <c r="GE26" s="1" t="s">
        <v>480</v>
      </c>
      <c r="GI26" s="1" t="s">
        <v>213</v>
      </c>
      <c r="GJ26" s="1" t="s">
        <v>260</v>
      </c>
      <c r="GK26" s="1" t="s">
        <v>210</v>
      </c>
      <c r="GL26" s="2">
        <v>42004</v>
      </c>
      <c r="GM26" s="1" t="s">
        <v>855</v>
      </c>
    </row>
    <row r="27" spans="1:195">
      <c r="A27" s="1">
        <v>239000</v>
      </c>
      <c r="B27" s="1" t="s">
        <v>195</v>
      </c>
      <c r="C27" s="1" t="str">
        <f>"08755911"</f>
        <v>08755911</v>
      </c>
      <c r="D27" s="1" t="s">
        <v>196</v>
      </c>
      <c r="F27" s="1" t="str">
        <f t="shared" si="15"/>
        <v>108</v>
      </c>
      <c r="G27" s="2">
        <v>41929</v>
      </c>
      <c r="H27" s="1">
        <v>239900</v>
      </c>
      <c r="I27" s="1">
        <v>239900</v>
      </c>
      <c r="J27" s="1">
        <v>239000</v>
      </c>
      <c r="K27" s="2">
        <v>41929</v>
      </c>
      <c r="L27" s="1">
        <v>5</v>
      </c>
      <c r="M27" s="2">
        <v>41933</v>
      </c>
      <c r="N27" s="1">
        <v>5</v>
      </c>
      <c r="O27" s="2">
        <v>41933</v>
      </c>
      <c r="P27" s="1">
        <v>25005</v>
      </c>
      <c r="Q27" s="1" t="s">
        <v>197</v>
      </c>
      <c r="R27" s="2">
        <v>41983</v>
      </c>
      <c r="S27" s="1">
        <v>251221</v>
      </c>
      <c r="U27" s="1">
        <v>124</v>
      </c>
      <c r="V27" s="1" t="s">
        <v>856</v>
      </c>
      <c r="W27" s="1" t="s">
        <v>304</v>
      </c>
      <c r="Y27" s="1">
        <v>5</v>
      </c>
      <c r="Z27" s="1" t="s">
        <v>370</v>
      </c>
      <c r="AA27" s="1" t="s">
        <v>829</v>
      </c>
      <c r="AB27" s="1">
        <v>60108</v>
      </c>
      <c r="AD27" s="1" t="s">
        <v>857</v>
      </c>
      <c r="AE27" s="1" t="s">
        <v>858</v>
      </c>
      <c r="AF27" s="1">
        <v>1995</v>
      </c>
      <c r="AG27" s="1" t="s">
        <v>204</v>
      </c>
      <c r="AH27" s="1" t="s">
        <v>269</v>
      </c>
      <c r="AI27" s="1" t="s">
        <v>206</v>
      </c>
      <c r="AJ27" s="1" t="s">
        <v>269</v>
      </c>
      <c r="AK27" s="1" t="s">
        <v>859</v>
      </c>
      <c r="AL27" s="1">
        <v>8</v>
      </c>
      <c r="AM27" s="1">
        <v>2</v>
      </c>
      <c r="AN27" s="1">
        <v>3</v>
      </c>
      <c r="AO27" s="1">
        <v>1</v>
      </c>
      <c r="AP27" s="1" t="s">
        <v>209</v>
      </c>
      <c r="AQ27" s="1">
        <v>1</v>
      </c>
      <c r="AR27" s="1" t="s">
        <v>209</v>
      </c>
      <c r="AS27" s="1" t="s">
        <v>213</v>
      </c>
      <c r="AT27" s="1" t="s">
        <v>211</v>
      </c>
      <c r="AU27" s="1">
        <v>2</v>
      </c>
      <c r="AW27" s="1" t="s">
        <v>204</v>
      </c>
      <c r="AX27" s="1">
        <v>1282</v>
      </c>
      <c r="AZ27" s="1">
        <v>5581.5</v>
      </c>
      <c r="BA27" s="1">
        <v>2013</v>
      </c>
      <c r="BB27" s="1" t="s">
        <v>405</v>
      </c>
      <c r="BE27" s="1">
        <v>1761</v>
      </c>
      <c r="BF27" s="1">
        <v>1</v>
      </c>
      <c r="BG27" s="1">
        <v>30</v>
      </c>
      <c r="BL27" s="1">
        <v>200</v>
      </c>
      <c r="BM27" s="1" t="s">
        <v>204</v>
      </c>
      <c r="BN27" s="1" t="s">
        <v>213</v>
      </c>
      <c r="BO27" s="1" t="s">
        <v>432</v>
      </c>
      <c r="BP27" s="1" t="s">
        <v>204</v>
      </c>
      <c r="BR27" s="1" t="str">
        <f>"0215208075"</f>
        <v>0215208075</v>
      </c>
      <c r="BT27" s="1" t="s">
        <v>860</v>
      </c>
      <c r="BU27" s="1" t="s">
        <v>833</v>
      </c>
      <c r="BV27" s="1" t="s">
        <v>834</v>
      </c>
      <c r="BW27" s="1" t="s">
        <v>275</v>
      </c>
      <c r="BX27" s="1">
        <v>13</v>
      </c>
      <c r="BY27" s="1">
        <v>13</v>
      </c>
      <c r="BZ27" s="1">
        <v>108</v>
      </c>
      <c r="CB27" s="1" t="str">
        <f t="shared" ref="CB27:CC27" si="16">""</f>
        <v/>
      </c>
      <c r="CC27" s="1" t="str">
        <f t="shared" si="16"/>
        <v/>
      </c>
      <c r="CG27" s="1" t="s">
        <v>861</v>
      </c>
      <c r="CH27" s="1" t="s">
        <v>219</v>
      </c>
      <c r="CI27" s="1" t="s">
        <v>438</v>
      </c>
      <c r="CJ27" s="1" t="s">
        <v>252</v>
      </c>
      <c r="CK27" s="1" t="s">
        <v>862</v>
      </c>
      <c r="CL27" s="1" t="s">
        <v>277</v>
      </c>
      <c r="CM27" s="1" t="s">
        <v>220</v>
      </c>
      <c r="CN27" s="1" t="s">
        <v>252</v>
      </c>
      <c r="CO27" s="1" t="s">
        <v>465</v>
      </c>
      <c r="CP27" s="1" t="s">
        <v>219</v>
      </c>
      <c r="CQ27" s="1" t="s">
        <v>438</v>
      </c>
      <c r="CR27" s="1" t="s">
        <v>252</v>
      </c>
      <c r="CS27" s="1" t="s">
        <v>378</v>
      </c>
      <c r="CT27" s="1" t="s">
        <v>277</v>
      </c>
      <c r="CU27" s="1" t="s">
        <v>220</v>
      </c>
      <c r="CV27" s="1" t="s">
        <v>252</v>
      </c>
      <c r="CX27" s="1" t="s">
        <v>224</v>
      </c>
      <c r="DB27" s="1" t="s">
        <v>224</v>
      </c>
      <c r="DE27" s="1" t="s">
        <v>669</v>
      </c>
      <c r="DF27" s="1" t="s">
        <v>219</v>
      </c>
      <c r="DG27" s="1" t="s">
        <v>342</v>
      </c>
      <c r="DH27" s="1" t="s">
        <v>252</v>
      </c>
      <c r="DI27" s="1" t="s">
        <v>863</v>
      </c>
      <c r="DJ27" s="1" t="s">
        <v>43</v>
      </c>
      <c r="DK27" s="1" t="s">
        <v>220</v>
      </c>
      <c r="DL27" s="1" t="s">
        <v>252</v>
      </c>
      <c r="DM27" s="1" t="s">
        <v>464</v>
      </c>
      <c r="DN27" s="1" t="s">
        <v>381</v>
      </c>
      <c r="DP27" s="1" t="s">
        <v>709</v>
      </c>
      <c r="DR27" s="1" t="s">
        <v>465</v>
      </c>
      <c r="DS27" s="1" t="s">
        <v>277</v>
      </c>
      <c r="DT27" s="1" t="s">
        <v>220</v>
      </c>
      <c r="DU27" s="1" t="s">
        <v>252</v>
      </c>
      <c r="DV27" s="1" t="s">
        <v>630</v>
      </c>
      <c r="DW27" s="1" t="s">
        <v>219</v>
      </c>
      <c r="DX27" s="1" t="s">
        <v>226</v>
      </c>
      <c r="DY27" s="1" t="s">
        <v>252</v>
      </c>
      <c r="EA27" s="1" t="s">
        <v>230</v>
      </c>
      <c r="ED27" s="1" t="s">
        <v>864</v>
      </c>
      <c r="EE27" s="1" t="s">
        <v>219</v>
      </c>
      <c r="EF27" s="1" t="s">
        <v>226</v>
      </c>
      <c r="EG27" s="1" t="s">
        <v>252</v>
      </c>
      <c r="EI27" s="1" t="s">
        <v>230</v>
      </c>
      <c r="EL27" s="1" t="s">
        <v>670</v>
      </c>
      <c r="EM27" s="1" t="s">
        <v>232</v>
      </c>
      <c r="EN27" s="1" t="s">
        <v>282</v>
      </c>
      <c r="EO27" s="1" t="s">
        <v>234</v>
      </c>
      <c r="EQ27" s="1" t="s">
        <v>236</v>
      </c>
      <c r="ER27" s="1" t="s">
        <v>544</v>
      </c>
      <c r="ES27" s="1" t="s">
        <v>865</v>
      </c>
      <c r="ET27" s="1" t="s">
        <v>866</v>
      </c>
      <c r="EU27" s="1" t="s">
        <v>712</v>
      </c>
      <c r="EV27" s="1" t="s">
        <v>324</v>
      </c>
      <c r="EW27" s="1" t="s">
        <v>867</v>
      </c>
      <c r="EZ27" s="1" t="s">
        <v>868</v>
      </c>
      <c r="FA27" s="1" t="s">
        <v>869</v>
      </c>
      <c r="FB27" s="1" t="s">
        <v>289</v>
      </c>
      <c r="FD27" s="1" t="s">
        <v>246</v>
      </c>
      <c r="FE27" s="1" t="s">
        <v>870</v>
      </c>
      <c r="FF27" s="1" t="s">
        <v>248</v>
      </c>
      <c r="FG27" s="1" t="s">
        <v>871</v>
      </c>
      <c r="FH27" s="1" t="s">
        <v>550</v>
      </c>
      <c r="FI27" s="1" t="s">
        <v>473</v>
      </c>
      <c r="FL27" s="1" t="s">
        <v>358</v>
      </c>
      <c r="FM27" s="1" t="s">
        <v>252</v>
      </c>
      <c r="FN27" s="1" t="s">
        <v>213</v>
      </c>
      <c r="FO27" s="1" t="s">
        <v>213</v>
      </c>
      <c r="FQ27" s="1" t="s">
        <v>793</v>
      </c>
      <c r="FR27" s="1" t="s">
        <v>210</v>
      </c>
      <c r="FS27" s="1" t="s">
        <v>872</v>
      </c>
      <c r="FT27" s="1" t="s">
        <v>295</v>
      </c>
      <c r="FU27" s="1" t="s">
        <v>204</v>
      </c>
      <c r="FW27" s="1" t="s">
        <v>873</v>
      </c>
      <c r="FX27" s="1">
        <v>25309</v>
      </c>
      <c r="FY27" s="1" t="s">
        <v>874</v>
      </c>
      <c r="FZ27" s="1" t="s">
        <v>875</v>
      </c>
      <c r="GA27" s="1">
        <v>256018</v>
      </c>
      <c r="GB27" s="1" t="s">
        <v>876</v>
      </c>
      <c r="GE27" s="1" t="s">
        <v>210</v>
      </c>
      <c r="GH27" s="1" t="s">
        <v>421</v>
      </c>
      <c r="GI27" s="1" t="s">
        <v>213</v>
      </c>
      <c r="GJ27" s="1" t="s">
        <v>260</v>
      </c>
      <c r="GK27" s="1" t="s">
        <v>261</v>
      </c>
      <c r="GL27" s="2">
        <v>41983</v>
      </c>
    </row>
    <row r="28" spans="1:195">
      <c r="A28" s="1">
        <v>65000</v>
      </c>
      <c r="B28" s="1" t="s">
        <v>195</v>
      </c>
      <c r="C28" s="1" t="str">
        <f>"08760972"</f>
        <v>08760972</v>
      </c>
      <c r="D28" s="1" t="s">
        <v>196</v>
      </c>
      <c r="F28" s="1" t="str">
        <f>"174"</f>
        <v>174</v>
      </c>
      <c r="G28" s="2">
        <v>41936</v>
      </c>
      <c r="H28" s="1">
        <v>69900</v>
      </c>
      <c r="I28" s="1">
        <v>69900</v>
      </c>
      <c r="J28" s="1">
        <v>65000</v>
      </c>
      <c r="K28" s="2">
        <v>41936</v>
      </c>
      <c r="L28" s="1">
        <v>72</v>
      </c>
      <c r="M28" s="2">
        <v>41956</v>
      </c>
      <c r="N28" s="1">
        <v>21</v>
      </c>
      <c r="O28" s="2">
        <v>41956</v>
      </c>
      <c r="P28" s="1">
        <v>31580</v>
      </c>
      <c r="Q28" s="1" t="s">
        <v>197</v>
      </c>
      <c r="R28" s="2">
        <v>42003</v>
      </c>
      <c r="S28" s="1">
        <v>315810</v>
      </c>
      <c r="T28" s="1">
        <v>3</v>
      </c>
      <c r="U28" s="1" t="s">
        <v>877</v>
      </c>
      <c r="V28" s="1" t="s">
        <v>878</v>
      </c>
      <c r="W28" s="1" t="s">
        <v>264</v>
      </c>
      <c r="X28" s="1" t="s">
        <v>800</v>
      </c>
      <c r="Y28" s="1">
        <v>4</v>
      </c>
      <c r="Z28" s="1" t="s">
        <v>249</v>
      </c>
      <c r="AA28" s="1" t="s">
        <v>879</v>
      </c>
      <c r="AB28" s="1">
        <v>60174</v>
      </c>
      <c r="AD28" s="1" t="s">
        <v>880</v>
      </c>
      <c r="AE28" s="1" t="s">
        <v>881</v>
      </c>
      <c r="AF28" s="1">
        <v>1981</v>
      </c>
      <c r="AG28" s="1" t="s">
        <v>204</v>
      </c>
      <c r="AH28" s="1" t="s">
        <v>882</v>
      </c>
      <c r="AI28" s="1" t="s">
        <v>665</v>
      </c>
      <c r="AJ28" s="1" t="s">
        <v>883</v>
      </c>
      <c r="AL28" s="1">
        <v>4</v>
      </c>
      <c r="AM28" s="1">
        <v>2</v>
      </c>
      <c r="AN28" s="1">
        <v>1</v>
      </c>
      <c r="AO28" s="1">
        <v>0</v>
      </c>
      <c r="AP28" s="1" t="s">
        <v>210</v>
      </c>
      <c r="AQ28" s="1">
        <v>0</v>
      </c>
      <c r="AR28" s="1" t="s">
        <v>210</v>
      </c>
      <c r="AS28" s="1" t="s">
        <v>204</v>
      </c>
      <c r="AT28" s="1" t="s">
        <v>375</v>
      </c>
      <c r="AU28" s="1">
        <v>1</v>
      </c>
      <c r="AV28" s="1">
        <v>2</v>
      </c>
      <c r="AW28" s="1" t="s">
        <v>204</v>
      </c>
      <c r="AX28" s="1" t="s">
        <v>212</v>
      </c>
      <c r="AZ28" s="1">
        <v>1932.22</v>
      </c>
      <c r="BA28" s="1">
        <v>2013</v>
      </c>
      <c r="BB28" s="1" t="s">
        <v>210</v>
      </c>
      <c r="BE28" s="1">
        <v>900</v>
      </c>
      <c r="BF28" s="1">
        <v>1</v>
      </c>
      <c r="BG28" s="1">
        <v>0</v>
      </c>
      <c r="BL28" s="1">
        <v>100</v>
      </c>
      <c r="BM28" s="1" t="s">
        <v>204</v>
      </c>
      <c r="BN28" s="1" t="s">
        <v>213</v>
      </c>
      <c r="BO28" s="1">
        <v>25</v>
      </c>
      <c r="BP28" s="1" t="s">
        <v>204</v>
      </c>
      <c r="BR28" s="1" t="str">
        <f>"0911356030"</f>
        <v>0911356030</v>
      </c>
      <c r="BT28" s="1" t="s">
        <v>884</v>
      </c>
      <c r="BX28" s="1">
        <v>303</v>
      </c>
      <c r="BY28" s="1">
        <v>303</v>
      </c>
      <c r="BZ28" s="1">
        <v>303</v>
      </c>
      <c r="CB28" s="1" t="str">
        <f t="shared" ref="CB28:CC28" si="17">""</f>
        <v/>
      </c>
      <c r="CC28" s="1" t="str">
        <f t="shared" si="17"/>
        <v/>
      </c>
      <c r="CG28" s="1" t="s">
        <v>885</v>
      </c>
      <c r="CH28" s="1" t="s">
        <v>219</v>
      </c>
      <c r="CI28" s="1" t="s">
        <v>220</v>
      </c>
      <c r="CK28" s="1" t="s">
        <v>539</v>
      </c>
      <c r="CL28" s="1" t="s">
        <v>219</v>
      </c>
      <c r="CM28" s="1" t="s">
        <v>220</v>
      </c>
      <c r="CP28" s="1" t="s">
        <v>224</v>
      </c>
      <c r="CS28" s="1" t="s">
        <v>379</v>
      </c>
      <c r="CT28" s="1" t="s">
        <v>219</v>
      </c>
      <c r="CU28" s="1" t="s">
        <v>220</v>
      </c>
      <c r="CX28" s="1" t="s">
        <v>224</v>
      </c>
      <c r="DB28" s="1" t="s">
        <v>224</v>
      </c>
      <c r="DE28" s="1" t="s">
        <v>886</v>
      </c>
      <c r="DF28" s="1" t="s">
        <v>219</v>
      </c>
      <c r="DG28" s="1" t="s">
        <v>229</v>
      </c>
      <c r="DJ28" s="1" t="s">
        <v>224</v>
      </c>
      <c r="DS28" s="1" t="s">
        <v>230</v>
      </c>
      <c r="DW28" s="1" t="s">
        <v>230</v>
      </c>
      <c r="EA28" s="1" t="s">
        <v>230</v>
      </c>
      <c r="EE28" s="1" t="s">
        <v>230</v>
      </c>
      <c r="EI28" s="1" t="s">
        <v>230</v>
      </c>
      <c r="EL28" s="1" t="s">
        <v>231</v>
      </c>
      <c r="EM28" s="1" t="s">
        <v>319</v>
      </c>
      <c r="EN28" s="1" t="s">
        <v>282</v>
      </c>
      <c r="EO28" s="1" t="s">
        <v>234</v>
      </c>
      <c r="EQ28" s="1" t="s">
        <v>468</v>
      </c>
      <c r="ER28" s="1" t="s">
        <v>383</v>
      </c>
      <c r="ES28" s="1" t="s">
        <v>322</v>
      </c>
      <c r="ET28" s="1" t="s">
        <v>609</v>
      </c>
      <c r="EU28" s="1" t="s">
        <v>631</v>
      </c>
      <c r="EW28" s="1" t="s">
        <v>887</v>
      </c>
      <c r="EZ28" s="1" t="s">
        <v>287</v>
      </c>
      <c r="FA28" s="1" t="s">
        <v>471</v>
      </c>
      <c r="FD28" s="1" t="s">
        <v>888</v>
      </c>
      <c r="FE28" s="1" t="s">
        <v>889</v>
      </c>
      <c r="FF28" s="1" t="s">
        <v>248</v>
      </c>
      <c r="FH28" s="1" t="s">
        <v>890</v>
      </c>
      <c r="FI28" s="1" t="s">
        <v>473</v>
      </c>
      <c r="FJ28" s="1" t="s">
        <v>197</v>
      </c>
      <c r="FK28" s="1" t="s">
        <v>891</v>
      </c>
      <c r="FL28" s="1" t="s">
        <v>358</v>
      </c>
      <c r="FM28" s="1" t="s">
        <v>252</v>
      </c>
      <c r="FN28" s="1" t="s">
        <v>213</v>
      </c>
      <c r="FO28" s="1" t="s">
        <v>213</v>
      </c>
      <c r="FQ28" s="1" t="s">
        <v>892</v>
      </c>
      <c r="FR28" s="1" t="s">
        <v>210</v>
      </c>
      <c r="FS28" s="1" t="s">
        <v>893</v>
      </c>
      <c r="FT28" s="1" t="s">
        <v>894</v>
      </c>
      <c r="FU28" s="1" t="s">
        <v>204</v>
      </c>
      <c r="FW28" s="1" t="s">
        <v>676</v>
      </c>
      <c r="FX28" s="1">
        <v>30</v>
      </c>
      <c r="FY28" s="1" t="s">
        <v>677</v>
      </c>
      <c r="FZ28" s="1" t="s">
        <v>895</v>
      </c>
      <c r="GA28" s="1">
        <v>538</v>
      </c>
      <c r="GB28" s="1" t="s">
        <v>896</v>
      </c>
      <c r="GE28" s="1" t="s">
        <v>210</v>
      </c>
      <c r="GI28" s="1" t="s">
        <v>213</v>
      </c>
      <c r="GJ28" s="1" t="s">
        <v>260</v>
      </c>
      <c r="GK28" s="1" t="s">
        <v>210</v>
      </c>
      <c r="GL28" s="2">
        <v>42009</v>
      </c>
      <c r="GM28" s="1" t="s">
        <v>897</v>
      </c>
    </row>
    <row r="29" spans="1:195">
      <c r="A29" s="1">
        <v>155000</v>
      </c>
      <c r="B29" s="1" t="s">
        <v>195</v>
      </c>
      <c r="C29" s="1" t="str">
        <f>"08760588"</f>
        <v>08760588</v>
      </c>
      <c r="D29" s="1" t="s">
        <v>196</v>
      </c>
      <c r="F29" s="1" t="str">
        <f>"562"</f>
        <v>562</v>
      </c>
      <c r="G29" s="2">
        <v>41936</v>
      </c>
      <c r="H29" s="1">
        <v>189900</v>
      </c>
      <c r="I29" s="1">
        <v>169900</v>
      </c>
      <c r="J29" s="1">
        <v>155000</v>
      </c>
      <c r="K29" s="2">
        <v>41936</v>
      </c>
      <c r="L29" s="1">
        <v>102</v>
      </c>
      <c r="M29" s="2">
        <v>42037</v>
      </c>
      <c r="N29" s="1">
        <v>102</v>
      </c>
      <c r="O29" s="2">
        <v>42037</v>
      </c>
      <c r="P29" s="1">
        <v>22076</v>
      </c>
      <c r="Q29" s="1" t="s">
        <v>302</v>
      </c>
      <c r="R29" s="2">
        <v>42058</v>
      </c>
      <c r="S29" s="1">
        <v>222189</v>
      </c>
      <c r="U29" s="1">
        <v>8295</v>
      </c>
      <c r="V29" s="1" t="s">
        <v>898</v>
      </c>
      <c r="W29" s="1" t="s">
        <v>304</v>
      </c>
      <c r="X29" s="1">
        <v>8295</v>
      </c>
      <c r="Y29" s="1">
        <v>4</v>
      </c>
      <c r="Z29" s="1" t="s">
        <v>370</v>
      </c>
      <c r="AA29" s="1" t="s">
        <v>899</v>
      </c>
      <c r="AB29" s="1">
        <v>60561</v>
      </c>
      <c r="AD29" s="1" t="s">
        <v>900</v>
      </c>
      <c r="AE29" s="1" t="s">
        <v>901</v>
      </c>
      <c r="AF29" s="1">
        <v>1994</v>
      </c>
      <c r="AG29" s="1" t="s">
        <v>204</v>
      </c>
      <c r="AH29" s="1" t="s">
        <v>902</v>
      </c>
      <c r="AI29" s="1" t="s">
        <v>206</v>
      </c>
      <c r="AJ29" s="1" t="s">
        <v>903</v>
      </c>
      <c r="AK29" s="1" t="s">
        <v>904</v>
      </c>
      <c r="AL29" s="1">
        <v>5</v>
      </c>
      <c r="AM29" s="1">
        <v>2</v>
      </c>
      <c r="AN29" s="1">
        <v>2</v>
      </c>
      <c r="AO29" s="1">
        <v>1</v>
      </c>
      <c r="AP29" s="1" t="s">
        <v>209</v>
      </c>
      <c r="AQ29" s="1">
        <v>1</v>
      </c>
      <c r="AR29" s="1" t="s">
        <v>210</v>
      </c>
      <c r="AS29" s="1" t="s">
        <v>204</v>
      </c>
      <c r="AT29" s="1" t="s">
        <v>375</v>
      </c>
      <c r="AU29" s="1">
        <v>1</v>
      </c>
      <c r="AV29" s="1">
        <v>2</v>
      </c>
      <c r="AW29" s="1" t="s">
        <v>204</v>
      </c>
      <c r="AX29" s="1" t="s">
        <v>905</v>
      </c>
      <c r="AZ29" s="1">
        <v>3553</v>
      </c>
      <c r="BA29" s="1">
        <v>2013</v>
      </c>
      <c r="BE29" s="1">
        <v>1400</v>
      </c>
      <c r="BF29" s="1">
        <v>1</v>
      </c>
      <c r="BG29" s="1">
        <v>30</v>
      </c>
      <c r="BL29" s="1">
        <v>193</v>
      </c>
      <c r="BM29" s="1" t="s">
        <v>204</v>
      </c>
      <c r="BN29" s="1" t="s">
        <v>213</v>
      </c>
      <c r="BO29" s="1">
        <v>0</v>
      </c>
      <c r="BP29" s="1" t="s">
        <v>204</v>
      </c>
      <c r="BR29" s="1" t="str">
        <f>"0934123019"</f>
        <v>0934123019</v>
      </c>
      <c r="BT29" s="1" t="s">
        <v>906</v>
      </c>
      <c r="BW29" s="1" t="s">
        <v>907</v>
      </c>
      <c r="BX29" s="1">
        <v>63</v>
      </c>
      <c r="BY29" s="1">
        <v>63</v>
      </c>
      <c r="BZ29" s="1">
        <v>86</v>
      </c>
      <c r="CB29" s="1" t="str">
        <f t="shared" ref="CB29:CC29" si="18">""</f>
        <v/>
      </c>
      <c r="CC29" s="1" t="str">
        <f t="shared" si="18"/>
        <v/>
      </c>
      <c r="CD29" s="1">
        <v>17</v>
      </c>
      <c r="CE29" s="1">
        <v>9</v>
      </c>
      <c r="CG29" s="1" t="s">
        <v>908</v>
      </c>
      <c r="CH29" s="1" t="s">
        <v>219</v>
      </c>
      <c r="CI29" s="1" t="s">
        <v>220</v>
      </c>
      <c r="CJ29" s="1" t="s">
        <v>909</v>
      </c>
      <c r="CK29" s="1" t="s">
        <v>602</v>
      </c>
      <c r="CL29" s="1" t="s">
        <v>277</v>
      </c>
      <c r="CM29" s="1" t="s">
        <v>220</v>
      </c>
      <c r="CN29" s="1" t="s">
        <v>909</v>
      </c>
      <c r="CO29" s="1" t="s">
        <v>629</v>
      </c>
      <c r="CP29" s="1" t="s">
        <v>219</v>
      </c>
      <c r="CQ29" s="1" t="s">
        <v>220</v>
      </c>
      <c r="CR29" s="1" t="s">
        <v>210</v>
      </c>
      <c r="CS29" s="1" t="s">
        <v>346</v>
      </c>
      <c r="CT29" s="1" t="s">
        <v>277</v>
      </c>
      <c r="CU29" s="1" t="s">
        <v>220</v>
      </c>
      <c r="CV29" s="1" t="s">
        <v>463</v>
      </c>
      <c r="CX29" s="1" t="s">
        <v>224</v>
      </c>
      <c r="DB29" s="1" t="s">
        <v>224</v>
      </c>
      <c r="DE29" s="1" t="s">
        <v>379</v>
      </c>
      <c r="DF29" s="1" t="s">
        <v>219</v>
      </c>
      <c r="DG29" s="1" t="s">
        <v>438</v>
      </c>
      <c r="DH29" s="1" t="s">
        <v>210</v>
      </c>
      <c r="DJ29" s="1" t="s">
        <v>224</v>
      </c>
      <c r="DM29" s="1" t="s">
        <v>709</v>
      </c>
      <c r="DR29" s="1" t="s">
        <v>910</v>
      </c>
      <c r="DS29" s="1" t="s">
        <v>219</v>
      </c>
      <c r="DT29" s="1" t="s">
        <v>438</v>
      </c>
      <c r="DW29" s="1" t="s">
        <v>230</v>
      </c>
      <c r="EA29" s="1" t="s">
        <v>230</v>
      </c>
      <c r="EE29" s="1" t="s">
        <v>230</v>
      </c>
      <c r="EI29" s="1" t="s">
        <v>230</v>
      </c>
      <c r="EL29" s="1" t="s">
        <v>670</v>
      </c>
      <c r="EM29" s="1" t="s">
        <v>232</v>
      </c>
      <c r="EN29" s="1" t="s">
        <v>282</v>
      </c>
      <c r="EO29" s="1" t="s">
        <v>234</v>
      </c>
      <c r="EQ29" s="1" t="s">
        <v>236</v>
      </c>
      <c r="ER29" s="1" t="s">
        <v>210</v>
      </c>
      <c r="ES29" s="1" t="s">
        <v>322</v>
      </c>
      <c r="EV29" s="1" t="s">
        <v>240</v>
      </c>
      <c r="EW29" s="1" t="s">
        <v>911</v>
      </c>
      <c r="EZ29" s="1" t="s">
        <v>709</v>
      </c>
      <c r="FD29" s="1" t="s">
        <v>246</v>
      </c>
      <c r="FE29" s="1" t="s">
        <v>355</v>
      </c>
      <c r="FF29" s="1" t="s">
        <v>248</v>
      </c>
      <c r="FG29" s="1" t="s">
        <v>912</v>
      </c>
      <c r="FH29" s="1" t="s">
        <v>550</v>
      </c>
      <c r="FL29" s="1" t="s">
        <v>358</v>
      </c>
      <c r="FM29" s="1" t="s">
        <v>252</v>
      </c>
      <c r="FN29" s="1" t="s">
        <v>213</v>
      </c>
      <c r="FO29" s="1" t="s">
        <v>213</v>
      </c>
      <c r="FQ29" s="1" t="s">
        <v>913</v>
      </c>
      <c r="FR29" s="1" t="s">
        <v>210</v>
      </c>
      <c r="FS29" s="1" t="s">
        <v>914</v>
      </c>
      <c r="FT29" s="1" t="s">
        <v>295</v>
      </c>
      <c r="FU29" s="1" t="s">
        <v>204</v>
      </c>
      <c r="FW29" s="1" t="s">
        <v>915</v>
      </c>
      <c r="FX29" s="1">
        <v>22076</v>
      </c>
      <c r="FY29" s="1" t="s">
        <v>916</v>
      </c>
      <c r="FZ29" s="1" t="s">
        <v>917</v>
      </c>
      <c r="GA29" s="1">
        <v>222189</v>
      </c>
      <c r="GB29" s="1" t="s">
        <v>918</v>
      </c>
      <c r="GE29" s="1" t="s">
        <v>480</v>
      </c>
      <c r="GI29" s="1" t="s">
        <v>213</v>
      </c>
      <c r="GJ29" s="1" t="s">
        <v>260</v>
      </c>
      <c r="GK29" s="1" t="s">
        <v>210</v>
      </c>
      <c r="GL29" s="2">
        <v>42058</v>
      </c>
      <c r="GM29" s="1" t="s">
        <v>919</v>
      </c>
    </row>
    <row r="30" spans="1:195">
      <c r="A30" s="1">
        <v>234900</v>
      </c>
      <c r="B30" s="1" t="s">
        <v>195</v>
      </c>
      <c r="C30" s="1" t="str">
        <f>"08754937"</f>
        <v>08754937</v>
      </c>
      <c r="D30" s="1" t="s">
        <v>196</v>
      </c>
      <c r="F30" s="1" t="str">
        <f>"540"</f>
        <v>540</v>
      </c>
      <c r="G30" s="2">
        <v>41928</v>
      </c>
      <c r="H30" s="1">
        <v>249900</v>
      </c>
      <c r="I30" s="1">
        <v>249900</v>
      </c>
      <c r="J30" s="1">
        <v>234900</v>
      </c>
      <c r="K30" s="2">
        <v>41928</v>
      </c>
      <c r="L30" s="1">
        <v>104</v>
      </c>
      <c r="M30" s="2">
        <v>42031</v>
      </c>
      <c r="N30" s="1">
        <v>104</v>
      </c>
      <c r="O30" s="2">
        <v>42031</v>
      </c>
      <c r="P30" s="1">
        <v>4475</v>
      </c>
      <c r="Q30" s="1" t="s">
        <v>197</v>
      </c>
      <c r="R30" s="2">
        <v>42125</v>
      </c>
      <c r="S30" s="1">
        <v>38351</v>
      </c>
      <c r="U30" s="1">
        <v>1563</v>
      </c>
      <c r="V30" s="1" t="s">
        <v>920</v>
      </c>
      <c r="W30" s="1" t="s">
        <v>449</v>
      </c>
      <c r="Y30" s="1">
        <v>4</v>
      </c>
      <c r="Z30" s="1" t="s">
        <v>249</v>
      </c>
      <c r="AA30" s="1" t="s">
        <v>921</v>
      </c>
      <c r="AB30" s="1">
        <v>60565</v>
      </c>
      <c r="AD30" s="1" t="s">
        <v>922</v>
      </c>
      <c r="AE30" s="1" t="s">
        <v>923</v>
      </c>
      <c r="AF30" s="1">
        <v>1996</v>
      </c>
      <c r="AG30" s="1" t="s">
        <v>204</v>
      </c>
      <c r="AH30" s="1" t="s">
        <v>924</v>
      </c>
      <c r="AI30" s="1" t="s">
        <v>206</v>
      </c>
      <c r="AJ30" s="1" t="s">
        <v>925</v>
      </c>
      <c r="AK30" s="1" t="s">
        <v>926</v>
      </c>
      <c r="AL30" s="1">
        <v>7</v>
      </c>
      <c r="AM30" s="1">
        <v>2</v>
      </c>
      <c r="AN30" s="1">
        <v>3</v>
      </c>
      <c r="AO30" s="1">
        <v>0</v>
      </c>
      <c r="AP30" s="1" t="s">
        <v>209</v>
      </c>
      <c r="AQ30" s="1">
        <v>1</v>
      </c>
      <c r="AR30" s="1" t="s">
        <v>209</v>
      </c>
      <c r="AS30" s="1" t="s">
        <v>213</v>
      </c>
      <c r="AT30" s="1" t="s">
        <v>211</v>
      </c>
      <c r="AU30" s="1">
        <v>2</v>
      </c>
      <c r="AW30" s="1" t="s">
        <v>204</v>
      </c>
      <c r="AX30" s="1" t="s">
        <v>212</v>
      </c>
      <c r="AZ30" s="1">
        <v>4623</v>
      </c>
      <c r="BA30" s="1">
        <v>2013</v>
      </c>
      <c r="BB30" s="1" t="s">
        <v>210</v>
      </c>
      <c r="BC30" s="1">
        <v>0</v>
      </c>
      <c r="BD30" s="1">
        <v>2014</v>
      </c>
      <c r="BE30" s="1">
        <v>1768</v>
      </c>
      <c r="BF30" s="1">
        <v>2</v>
      </c>
      <c r="BG30" s="1">
        <v>0</v>
      </c>
      <c r="BJ30" s="1">
        <v>100</v>
      </c>
      <c r="BL30" s="1">
        <v>373</v>
      </c>
      <c r="BM30" s="1" t="s">
        <v>204</v>
      </c>
      <c r="BN30" s="1" t="s">
        <v>213</v>
      </c>
      <c r="BO30" s="1">
        <v>0</v>
      </c>
      <c r="BP30" s="1" t="s">
        <v>204</v>
      </c>
      <c r="BR30" s="1" t="str">
        <f>"0829312109"</f>
        <v>0829312109</v>
      </c>
      <c r="BT30" s="1" t="s">
        <v>927</v>
      </c>
      <c r="BU30" s="1" t="s">
        <v>928</v>
      </c>
      <c r="BV30" s="1" t="s">
        <v>929</v>
      </c>
      <c r="BW30" s="1" t="s">
        <v>930</v>
      </c>
      <c r="BX30" s="1">
        <v>203</v>
      </c>
      <c r="BY30" s="1">
        <v>203</v>
      </c>
      <c r="BZ30" s="1">
        <v>203</v>
      </c>
      <c r="CB30" s="1" t="str">
        <f t="shared" ref="CB30:CC30" si="19">"0"</f>
        <v>0</v>
      </c>
      <c r="CC30" s="1" t="str">
        <f t="shared" si="19"/>
        <v>0</v>
      </c>
      <c r="CD30" s="1">
        <v>25</v>
      </c>
      <c r="CE30" s="1">
        <v>8</v>
      </c>
      <c r="CG30" s="1" t="s">
        <v>931</v>
      </c>
      <c r="CH30" s="1" t="s">
        <v>219</v>
      </c>
      <c r="CI30" s="1" t="s">
        <v>220</v>
      </c>
      <c r="CK30" s="1" t="s">
        <v>669</v>
      </c>
      <c r="CL30" s="1" t="s">
        <v>219</v>
      </c>
      <c r="CM30" s="1" t="s">
        <v>220</v>
      </c>
      <c r="CO30" s="1" t="s">
        <v>317</v>
      </c>
      <c r="CP30" s="1" t="s">
        <v>219</v>
      </c>
      <c r="CQ30" s="1" t="s">
        <v>226</v>
      </c>
      <c r="CS30" s="1" t="s">
        <v>932</v>
      </c>
      <c r="CT30" s="1" t="s">
        <v>219</v>
      </c>
      <c r="CU30" s="1" t="s">
        <v>220</v>
      </c>
      <c r="CX30" s="1" t="s">
        <v>224</v>
      </c>
      <c r="DB30" s="1" t="s">
        <v>224</v>
      </c>
      <c r="DE30" s="1" t="s">
        <v>933</v>
      </c>
      <c r="DF30" s="1" t="s">
        <v>219</v>
      </c>
      <c r="DG30" s="1" t="s">
        <v>226</v>
      </c>
      <c r="DI30" s="1" t="s">
        <v>315</v>
      </c>
      <c r="DJ30" s="1" t="s">
        <v>219</v>
      </c>
      <c r="DK30" s="1" t="s">
        <v>220</v>
      </c>
      <c r="DM30" s="1" t="s">
        <v>934</v>
      </c>
      <c r="DR30" s="1" t="s">
        <v>935</v>
      </c>
      <c r="DS30" s="1" t="s">
        <v>822</v>
      </c>
      <c r="DT30" s="1" t="s">
        <v>220</v>
      </c>
      <c r="DW30" s="1" t="s">
        <v>230</v>
      </c>
      <c r="EA30" s="1" t="s">
        <v>230</v>
      </c>
      <c r="EE30" s="1" t="s">
        <v>230</v>
      </c>
      <c r="EI30" s="1" t="s">
        <v>230</v>
      </c>
      <c r="EL30" s="1" t="s">
        <v>670</v>
      </c>
      <c r="EM30" s="1" t="s">
        <v>232</v>
      </c>
      <c r="EN30" s="1" t="s">
        <v>282</v>
      </c>
      <c r="EO30" s="1" t="s">
        <v>234</v>
      </c>
      <c r="EP30" s="1" t="s">
        <v>936</v>
      </c>
      <c r="ER30" s="1" t="s">
        <v>544</v>
      </c>
      <c r="ES30" s="1" t="s">
        <v>322</v>
      </c>
      <c r="EV30" s="1" t="s">
        <v>324</v>
      </c>
      <c r="EW30" s="1" t="s">
        <v>937</v>
      </c>
      <c r="EZ30" s="1" t="s">
        <v>934</v>
      </c>
      <c r="FA30" s="1" t="s">
        <v>938</v>
      </c>
      <c r="FD30" s="1" t="s">
        <v>246</v>
      </c>
      <c r="FE30" s="1" t="s">
        <v>247</v>
      </c>
      <c r="FF30" s="1" t="s">
        <v>248</v>
      </c>
      <c r="FG30" s="1" t="s">
        <v>939</v>
      </c>
      <c r="FH30" s="1" t="s">
        <v>940</v>
      </c>
      <c r="FL30" s="1" t="s">
        <v>358</v>
      </c>
      <c r="FM30" s="1" t="s">
        <v>252</v>
      </c>
      <c r="FN30" s="1" t="s">
        <v>213</v>
      </c>
      <c r="FO30" s="1" t="s">
        <v>213</v>
      </c>
      <c r="FQ30" s="1" t="s">
        <v>913</v>
      </c>
      <c r="FR30" s="1" t="s">
        <v>210</v>
      </c>
      <c r="FS30" s="1" t="s">
        <v>941</v>
      </c>
      <c r="FT30" s="1" t="s">
        <v>942</v>
      </c>
      <c r="FU30" s="1" t="s">
        <v>204</v>
      </c>
      <c r="FW30" s="1" t="s">
        <v>943</v>
      </c>
      <c r="FX30" s="1">
        <v>23120</v>
      </c>
      <c r="FY30" s="1" t="s">
        <v>944</v>
      </c>
      <c r="FZ30" s="1" t="s">
        <v>945</v>
      </c>
      <c r="GA30" s="1">
        <v>214831</v>
      </c>
      <c r="GB30" s="1" t="s">
        <v>944</v>
      </c>
      <c r="GE30" s="1" t="s">
        <v>210</v>
      </c>
      <c r="GI30" s="1" t="s">
        <v>213</v>
      </c>
      <c r="GJ30" s="1" t="s">
        <v>260</v>
      </c>
      <c r="GK30" s="1" t="s">
        <v>210</v>
      </c>
      <c r="GL30" s="2">
        <v>42128</v>
      </c>
    </row>
    <row r="31" spans="1:195">
      <c r="A31" s="1">
        <v>125000</v>
      </c>
      <c r="B31" s="1" t="s">
        <v>195</v>
      </c>
      <c r="C31" s="1" t="str">
        <f>"08755317"</f>
        <v>08755317</v>
      </c>
      <c r="D31" s="1" t="s">
        <v>196</v>
      </c>
      <c r="F31" s="1" t="str">
        <f>"510"</f>
        <v>510</v>
      </c>
      <c r="G31" s="2">
        <v>41929</v>
      </c>
      <c r="H31" s="1">
        <v>139900</v>
      </c>
      <c r="I31" s="1">
        <v>139900</v>
      </c>
      <c r="J31" s="1">
        <v>125000</v>
      </c>
      <c r="K31" s="2">
        <v>41929</v>
      </c>
      <c r="L31" s="1">
        <v>105</v>
      </c>
      <c r="M31" s="2">
        <v>42033</v>
      </c>
      <c r="N31" s="1">
        <v>105</v>
      </c>
      <c r="O31" s="2">
        <v>42033</v>
      </c>
      <c r="P31" s="1">
        <v>30</v>
      </c>
      <c r="Q31" s="1" t="s">
        <v>302</v>
      </c>
      <c r="R31" s="2">
        <v>42060</v>
      </c>
      <c r="S31" s="1">
        <v>1405</v>
      </c>
      <c r="U31" s="1">
        <v>122</v>
      </c>
      <c r="V31" s="1" t="s">
        <v>946</v>
      </c>
      <c r="W31" s="1" t="s">
        <v>526</v>
      </c>
      <c r="Y31" s="1">
        <v>4</v>
      </c>
      <c r="Z31" s="1" t="s">
        <v>370</v>
      </c>
      <c r="AA31" s="1" t="s">
        <v>947</v>
      </c>
      <c r="AB31" s="1">
        <v>60510</v>
      </c>
      <c r="AE31" s="1" t="s">
        <v>948</v>
      </c>
      <c r="AF31" s="1">
        <v>1996</v>
      </c>
      <c r="AG31" s="1" t="s">
        <v>204</v>
      </c>
      <c r="AH31" s="1" t="s">
        <v>949</v>
      </c>
      <c r="AI31" s="1" t="s">
        <v>665</v>
      </c>
      <c r="AJ31" s="1" t="s">
        <v>949</v>
      </c>
      <c r="AL31" s="1">
        <v>6</v>
      </c>
      <c r="AM31" s="1">
        <v>2</v>
      </c>
      <c r="AN31" s="1">
        <v>2</v>
      </c>
      <c r="AO31" s="1">
        <v>1</v>
      </c>
      <c r="AP31" s="1" t="s">
        <v>209</v>
      </c>
      <c r="AQ31" s="1">
        <v>1</v>
      </c>
      <c r="AR31" s="1" t="s">
        <v>210</v>
      </c>
      <c r="AT31" s="1" t="s">
        <v>211</v>
      </c>
      <c r="AU31" s="1">
        <v>2</v>
      </c>
      <c r="AW31" s="1" t="s">
        <v>204</v>
      </c>
      <c r="AX31" s="1" t="s">
        <v>212</v>
      </c>
      <c r="AZ31" s="1">
        <v>4956</v>
      </c>
      <c r="BA31" s="1">
        <v>2013</v>
      </c>
      <c r="BB31" s="1" t="s">
        <v>405</v>
      </c>
      <c r="BE31" s="1">
        <v>0</v>
      </c>
      <c r="BF31" s="1">
        <v>1</v>
      </c>
      <c r="BG31" s="1">
        <v>0</v>
      </c>
      <c r="BL31" s="1">
        <v>195</v>
      </c>
      <c r="BM31" s="1" t="s">
        <v>204</v>
      </c>
      <c r="BN31" s="1" t="s">
        <v>213</v>
      </c>
      <c r="BO31" s="1">
        <v>999</v>
      </c>
      <c r="BP31" s="1" t="s">
        <v>204</v>
      </c>
      <c r="BR31" s="1" t="str">
        <f>"1220275033"</f>
        <v>1220275033</v>
      </c>
      <c r="BT31" s="1" t="s">
        <v>950</v>
      </c>
      <c r="BX31" s="1">
        <v>101</v>
      </c>
      <c r="BY31" s="1">
        <v>101</v>
      </c>
      <c r="BZ31" s="1">
        <v>101</v>
      </c>
      <c r="CB31" s="1" t="str">
        <f t="shared" ref="CB31:CC31" si="20">""</f>
        <v/>
      </c>
      <c r="CC31" s="1" t="str">
        <f t="shared" si="20"/>
        <v/>
      </c>
      <c r="CH31" s="1" t="s">
        <v>224</v>
      </c>
      <c r="CK31" s="1" t="s">
        <v>932</v>
      </c>
      <c r="CL31" s="1" t="s">
        <v>277</v>
      </c>
      <c r="CM31" s="1" t="s">
        <v>220</v>
      </c>
      <c r="CO31" s="1" t="s">
        <v>951</v>
      </c>
      <c r="CP31" s="1" t="s">
        <v>219</v>
      </c>
      <c r="CQ31" s="1" t="s">
        <v>438</v>
      </c>
      <c r="CR31" s="1" t="s">
        <v>343</v>
      </c>
      <c r="CS31" s="1" t="s">
        <v>318</v>
      </c>
      <c r="CT31" s="1" t="s">
        <v>277</v>
      </c>
      <c r="CU31" s="1" t="s">
        <v>220</v>
      </c>
      <c r="CX31" s="1" t="s">
        <v>224</v>
      </c>
      <c r="DB31" s="1" t="s">
        <v>224</v>
      </c>
      <c r="DE31" s="1" t="s">
        <v>952</v>
      </c>
      <c r="DF31" s="1" t="s">
        <v>219</v>
      </c>
      <c r="DG31" s="1" t="s">
        <v>226</v>
      </c>
      <c r="DH31" s="1" t="s">
        <v>343</v>
      </c>
      <c r="DI31" s="1" t="s">
        <v>280</v>
      </c>
      <c r="DJ31" s="1" t="s">
        <v>219</v>
      </c>
      <c r="DK31" s="1" t="s">
        <v>438</v>
      </c>
      <c r="DM31" s="1" t="s">
        <v>464</v>
      </c>
      <c r="DR31" s="1" t="s">
        <v>516</v>
      </c>
      <c r="DS31" s="1" t="s">
        <v>277</v>
      </c>
      <c r="DT31" s="1" t="s">
        <v>220</v>
      </c>
      <c r="DW31" s="1" t="s">
        <v>230</v>
      </c>
      <c r="EA31" s="1" t="s">
        <v>230</v>
      </c>
      <c r="EE31" s="1" t="s">
        <v>230</v>
      </c>
      <c r="EI31" s="1" t="s">
        <v>230</v>
      </c>
      <c r="EL31" s="1" t="s">
        <v>670</v>
      </c>
      <c r="EM31" s="1" t="s">
        <v>319</v>
      </c>
      <c r="EN31" s="1" t="s">
        <v>282</v>
      </c>
      <c r="EO31" s="1" t="s">
        <v>234</v>
      </c>
      <c r="EQ31" s="1" t="s">
        <v>953</v>
      </c>
      <c r="ER31" s="1" t="s">
        <v>210</v>
      </c>
      <c r="ES31" s="1" t="s">
        <v>954</v>
      </c>
      <c r="EV31" s="1" t="s">
        <v>324</v>
      </c>
      <c r="EW31" s="1" t="s">
        <v>867</v>
      </c>
      <c r="EZ31" s="1" t="s">
        <v>464</v>
      </c>
      <c r="FA31" s="1" t="s">
        <v>955</v>
      </c>
      <c r="FD31" s="1" t="s">
        <v>246</v>
      </c>
      <c r="FE31" s="1" t="s">
        <v>355</v>
      </c>
      <c r="FF31" s="1" t="s">
        <v>248</v>
      </c>
      <c r="FH31" s="1" t="s">
        <v>550</v>
      </c>
      <c r="FL31" s="1" t="s">
        <v>358</v>
      </c>
      <c r="FM31" s="1" t="s">
        <v>252</v>
      </c>
      <c r="FN31" s="1" t="s">
        <v>213</v>
      </c>
      <c r="FO31" s="1" t="s">
        <v>213</v>
      </c>
      <c r="FQ31" s="1" t="s">
        <v>956</v>
      </c>
      <c r="FR31" s="1" t="s">
        <v>360</v>
      </c>
      <c r="FS31" s="1" t="s">
        <v>957</v>
      </c>
      <c r="FT31" s="1" t="s">
        <v>295</v>
      </c>
      <c r="FU31" s="1" t="s">
        <v>204</v>
      </c>
      <c r="FW31" s="1" t="s">
        <v>958</v>
      </c>
      <c r="FX31" s="1">
        <v>93094</v>
      </c>
      <c r="FY31" s="1" t="s">
        <v>959</v>
      </c>
      <c r="FZ31" s="1" t="s">
        <v>960</v>
      </c>
      <c r="GA31" s="1">
        <v>930256</v>
      </c>
      <c r="GB31" s="1" t="s">
        <v>961</v>
      </c>
      <c r="GE31" s="1" t="s">
        <v>210</v>
      </c>
      <c r="GH31" s="1" t="s">
        <v>421</v>
      </c>
      <c r="GI31" s="1" t="s">
        <v>213</v>
      </c>
      <c r="GJ31" s="1" t="s">
        <v>260</v>
      </c>
      <c r="GK31" s="1" t="s">
        <v>210</v>
      </c>
      <c r="GL31" s="2">
        <v>42060</v>
      </c>
      <c r="GM31" s="1" t="s">
        <v>962</v>
      </c>
    </row>
    <row r="32" spans="1:195">
      <c r="A32" s="1">
        <v>100000</v>
      </c>
      <c r="B32" s="1" t="s">
        <v>195</v>
      </c>
      <c r="C32" s="1" t="str">
        <f>"08759592"</f>
        <v>08759592</v>
      </c>
      <c r="D32" s="1" t="s">
        <v>196</v>
      </c>
      <c r="F32" s="1" t="str">
        <f>"187"</f>
        <v>187</v>
      </c>
      <c r="G32" s="2">
        <v>41934</v>
      </c>
      <c r="H32" s="1">
        <v>114000</v>
      </c>
      <c r="I32" s="1">
        <v>113900</v>
      </c>
      <c r="J32" s="1">
        <v>100000</v>
      </c>
      <c r="K32" s="2">
        <v>41934</v>
      </c>
      <c r="L32" s="1">
        <v>31</v>
      </c>
      <c r="M32" s="2">
        <v>41964</v>
      </c>
      <c r="N32" s="1">
        <v>31</v>
      </c>
      <c r="O32" s="2">
        <v>41964</v>
      </c>
      <c r="P32" s="1">
        <v>25200</v>
      </c>
      <c r="Q32" s="1" t="s">
        <v>197</v>
      </c>
      <c r="R32" s="2">
        <v>42002</v>
      </c>
      <c r="S32" s="1">
        <v>259409</v>
      </c>
      <c r="U32" s="1">
        <v>1665</v>
      </c>
      <c r="V32" s="1" t="s">
        <v>963</v>
      </c>
      <c r="W32" s="1" t="s">
        <v>304</v>
      </c>
      <c r="X32" s="1" t="s">
        <v>527</v>
      </c>
      <c r="Y32" s="1">
        <v>4</v>
      </c>
      <c r="Z32" s="1" t="s">
        <v>370</v>
      </c>
      <c r="AA32" s="1" t="s">
        <v>964</v>
      </c>
      <c r="AB32" s="1">
        <v>60189</v>
      </c>
      <c r="AD32" s="1" t="s">
        <v>965</v>
      </c>
      <c r="AE32" s="1" t="s">
        <v>966</v>
      </c>
      <c r="AF32" s="1">
        <v>1977</v>
      </c>
      <c r="AG32" s="1" t="s">
        <v>213</v>
      </c>
      <c r="AH32" s="1" t="s">
        <v>967</v>
      </c>
      <c r="AI32" s="1" t="s">
        <v>206</v>
      </c>
      <c r="AJ32" s="1" t="s">
        <v>207</v>
      </c>
      <c r="AL32" s="1">
        <v>5</v>
      </c>
      <c r="AM32" s="1">
        <v>2</v>
      </c>
      <c r="AN32" s="1">
        <v>1</v>
      </c>
      <c r="AO32" s="1">
        <v>0</v>
      </c>
      <c r="AP32" s="1" t="s">
        <v>210</v>
      </c>
      <c r="AR32" s="1" t="s">
        <v>210</v>
      </c>
      <c r="AS32" s="1" t="s">
        <v>204</v>
      </c>
      <c r="AT32" s="1" t="s">
        <v>211</v>
      </c>
      <c r="AU32" s="1">
        <v>1</v>
      </c>
      <c r="AW32" s="1" t="s">
        <v>204</v>
      </c>
      <c r="AX32" s="1" t="s">
        <v>212</v>
      </c>
      <c r="AZ32" s="1">
        <v>3186.12</v>
      </c>
      <c r="BA32" s="1">
        <v>2013</v>
      </c>
      <c r="BB32" s="1" t="s">
        <v>405</v>
      </c>
      <c r="BE32" s="1">
        <v>968</v>
      </c>
      <c r="BF32" s="1">
        <v>2</v>
      </c>
      <c r="BG32" s="1">
        <v>0</v>
      </c>
      <c r="BL32" s="1">
        <v>148</v>
      </c>
      <c r="BM32" s="1" t="s">
        <v>204</v>
      </c>
      <c r="BN32" s="1" t="s">
        <v>213</v>
      </c>
      <c r="BO32" s="1">
        <v>999</v>
      </c>
      <c r="BP32" s="1" t="s">
        <v>204</v>
      </c>
      <c r="BR32" s="1" t="str">
        <f>"0527106035"</f>
        <v>0527106035</v>
      </c>
      <c r="BT32" s="1" t="s">
        <v>968</v>
      </c>
      <c r="BU32" s="1" t="s">
        <v>969</v>
      </c>
      <c r="BV32" s="1" t="s">
        <v>970</v>
      </c>
      <c r="BW32" s="1" t="s">
        <v>971</v>
      </c>
      <c r="BX32" s="1">
        <v>200</v>
      </c>
      <c r="BY32" s="1">
        <v>200</v>
      </c>
      <c r="BZ32" s="1">
        <v>200</v>
      </c>
      <c r="CB32" s="1" t="str">
        <f t="shared" ref="CB32:CC32" si="21">"0"</f>
        <v>0</v>
      </c>
      <c r="CC32" s="1" t="str">
        <f t="shared" si="21"/>
        <v>0</v>
      </c>
      <c r="CD32" s="1">
        <v>23</v>
      </c>
      <c r="CE32" s="1">
        <v>2</v>
      </c>
      <c r="CG32" s="1" t="s">
        <v>315</v>
      </c>
      <c r="CH32" s="1" t="s">
        <v>277</v>
      </c>
      <c r="CI32" s="1" t="s">
        <v>220</v>
      </c>
      <c r="CK32" s="1" t="s">
        <v>972</v>
      </c>
      <c r="CL32" s="1" t="s">
        <v>277</v>
      </c>
      <c r="CM32" s="1" t="s">
        <v>220</v>
      </c>
      <c r="CO32" s="1" t="s">
        <v>630</v>
      </c>
      <c r="CP32" s="1" t="s">
        <v>277</v>
      </c>
      <c r="CQ32" s="1" t="s">
        <v>220</v>
      </c>
      <c r="CS32" s="1" t="s">
        <v>687</v>
      </c>
      <c r="CT32" s="1" t="s">
        <v>277</v>
      </c>
      <c r="CU32" s="1" t="s">
        <v>220</v>
      </c>
      <c r="CX32" s="1" t="s">
        <v>224</v>
      </c>
      <c r="DB32" s="1" t="s">
        <v>224</v>
      </c>
      <c r="DE32" s="1" t="s">
        <v>973</v>
      </c>
      <c r="DF32" s="1" t="s">
        <v>277</v>
      </c>
      <c r="DG32" s="1" t="s">
        <v>347</v>
      </c>
      <c r="DJ32" s="1" t="s">
        <v>224</v>
      </c>
      <c r="DS32" s="1" t="s">
        <v>230</v>
      </c>
      <c r="DW32" s="1" t="s">
        <v>230</v>
      </c>
      <c r="EA32" s="1" t="s">
        <v>230</v>
      </c>
      <c r="EE32" s="1" t="s">
        <v>230</v>
      </c>
      <c r="EI32" s="1" t="s">
        <v>230</v>
      </c>
      <c r="EL32" s="1" t="s">
        <v>231</v>
      </c>
      <c r="EM32" s="1" t="s">
        <v>232</v>
      </c>
      <c r="EN32" s="1" t="s">
        <v>282</v>
      </c>
      <c r="EO32" s="1" t="s">
        <v>234</v>
      </c>
      <c r="EP32" s="1" t="s">
        <v>974</v>
      </c>
      <c r="EQ32" s="1" t="s">
        <v>236</v>
      </c>
      <c r="ER32" s="1" t="s">
        <v>210</v>
      </c>
      <c r="EU32" s="1" t="s">
        <v>712</v>
      </c>
      <c r="EV32" s="1" t="s">
        <v>240</v>
      </c>
      <c r="EW32" s="1" t="s">
        <v>887</v>
      </c>
      <c r="EZ32" s="1" t="s">
        <v>287</v>
      </c>
      <c r="FA32" s="1" t="s">
        <v>471</v>
      </c>
      <c r="FB32" s="1" t="s">
        <v>289</v>
      </c>
      <c r="FD32" s="1" t="s">
        <v>246</v>
      </c>
      <c r="FE32" s="1" t="s">
        <v>975</v>
      </c>
      <c r="FF32" s="1" t="s">
        <v>248</v>
      </c>
      <c r="FH32" s="1" t="s">
        <v>249</v>
      </c>
      <c r="FL32" s="1" t="s">
        <v>358</v>
      </c>
      <c r="FM32" s="1" t="s">
        <v>252</v>
      </c>
      <c r="FN32" s="1" t="s">
        <v>213</v>
      </c>
      <c r="FO32" s="1" t="s">
        <v>213</v>
      </c>
      <c r="FQ32" s="1" t="s">
        <v>913</v>
      </c>
      <c r="FR32" s="1" t="s">
        <v>210</v>
      </c>
      <c r="FS32" s="1" t="s">
        <v>976</v>
      </c>
      <c r="FT32" s="1" t="s">
        <v>295</v>
      </c>
      <c r="FU32" s="1" t="s">
        <v>204</v>
      </c>
      <c r="FW32" s="1" t="s">
        <v>977</v>
      </c>
      <c r="FX32" s="1">
        <v>25266</v>
      </c>
      <c r="FY32" s="1" t="s">
        <v>978</v>
      </c>
      <c r="FZ32" s="1" t="s">
        <v>979</v>
      </c>
      <c r="GA32" s="1">
        <v>231049</v>
      </c>
      <c r="GB32" s="1" t="s">
        <v>980</v>
      </c>
      <c r="GE32" s="1" t="s">
        <v>981</v>
      </c>
      <c r="GI32" s="1" t="s">
        <v>213</v>
      </c>
      <c r="GJ32" s="1" t="s">
        <v>260</v>
      </c>
      <c r="GK32" s="1" t="s">
        <v>210</v>
      </c>
      <c r="GL32" s="2">
        <v>42003</v>
      </c>
    </row>
    <row r="33" spans="1:195">
      <c r="A33" s="1">
        <v>59864</v>
      </c>
      <c r="B33" s="1" t="s">
        <v>195</v>
      </c>
      <c r="C33" s="1" t="str">
        <f>"08758561"</f>
        <v>08758561</v>
      </c>
      <c r="D33" s="1" t="s">
        <v>196</v>
      </c>
      <c r="F33" s="1" t="str">
        <f>"555"</f>
        <v>555</v>
      </c>
      <c r="G33" s="2">
        <v>41933</v>
      </c>
      <c r="H33" s="1">
        <v>47000</v>
      </c>
      <c r="I33" s="1">
        <v>47000</v>
      </c>
      <c r="J33" s="1">
        <v>59864</v>
      </c>
      <c r="K33" s="2">
        <v>41933</v>
      </c>
      <c r="L33" s="1">
        <v>11</v>
      </c>
      <c r="M33" s="2">
        <v>41943</v>
      </c>
      <c r="N33" s="1">
        <v>11</v>
      </c>
      <c r="O33" s="2">
        <v>41943</v>
      </c>
      <c r="P33" s="1">
        <v>25457</v>
      </c>
      <c r="Q33" s="1" t="s">
        <v>302</v>
      </c>
      <c r="R33" s="2">
        <v>41993</v>
      </c>
      <c r="S33" s="1">
        <v>259403</v>
      </c>
      <c r="U33" s="1" t="s">
        <v>982</v>
      </c>
      <c r="V33" s="1" t="s">
        <v>983</v>
      </c>
      <c r="W33" s="1" t="s">
        <v>449</v>
      </c>
      <c r="X33" s="1">
        <v>2</v>
      </c>
      <c r="Y33" s="1">
        <v>4</v>
      </c>
      <c r="Z33" s="1" t="s">
        <v>249</v>
      </c>
      <c r="AA33" s="1" t="s">
        <v>984</v>
      </c>
      <c r="AB33" s="1">
        <v>60555</v>
      </c>
      <c r="AD33" s="1" t="s">
        <v>983</v>
      </c>
      <c r="AE33" s="1" t="s">
        <v>985</v>
      </c>
      <c r="AF33" s="1">
        <v>1978</v>
      </c>
      <c r="AG33" s="1" t="s">
        <v>204</v>
      </c>
      <c r="AH33" s="1" t="s">
        <v>986</v>
      </c>
      <c r="AI33" s="1" t="s">
        <v>206</v>
      </c>
      <c r="AJ33" s="1" t="s">
        <v>987</v>
      </c>
      <c r="AL33" s="1">
        <v>5</v>
      </c>
      <c r="AM33" s="1">
        <v>2</v>
      </c>
      <c r="AN33" s="1">
        <v>1</v>
      </c>
      <c r="AO33" s="1">
        <v>0</v>
      </c>
      <c r="AP33" s="1" t="s">
        <v>210</v>
      </c>
      <c r="AR33" s="1" t="s">
        <v>209</v>
      </c>
      <c r="AS33" s="1" t="s">
        <v>213</v>
      </c>
      <c r="AT33" s="1" t="s">
        <v>211</v>
      </c>
      <c r="AU33" s="1">
        <v>1</v>
      </c>
      <c r="AW33" s="1" t="s">
        <v>204</v>
      </c>
      <c r="AX33" s="1" t="s">
        <v>212</v>
      </c>
      <c r="AZ33" s="1">
        <v>1676</v>
      </c>
      <c r="BA33" s="1">
        <v>2013</v>
      </c>
      <c r="BE33" s="1">
        <v>966</v>
      </c>
      <c r="BF33" s="1">
        <v>4</v>
      </c>
      <c r="BG33" s="1">
        <v>30</v>
      </c>
      <c r="BL33" s="1">
        <v>180</v>
      </c>
      <c r="BM33" s="1" t="s">
        <v>204</v>
      </c>
      <c r="BN33" s="1" t="s">
        <v>213</v>
      </c>
      <c r="BO33" s="1">
        <v>0</v>
      </c>
      <c r="BP33" s="1" t="s">
        <v>204</v>
      </c>
      <c r="BR33" s="1" t="str">
        <f>"0427307254"</f>
        <v>0427307254</v>
      </c>
      <c r="BT33" s="1" t="s">
        <v>988</v>
      </c>
      <c r="BU33" s="1" t="s">
        <v>989</v>
      </c>
      <c r="BV33" s="1" t="s">
        <v>990</v>
      </c>
      <c r="BX33" s="1">
        <v>200</v>
      </c>
      <c r="BY33" s="1">
        <v>200</v>
      </c>
      <c r="BZ33" s="1">
        <v>200</v>
      </c>
      <c r="CB33" s="1" t="str">
        <f t="shared" ref="CB33:CC33" si="22">"0"</f>
        <v>0</v>
      </c>
      <c r="CC33" s="1" t="str">
        <f t="shared" si="22"/>
        <v>0</v>
      </c>
      <c r="CD33" s="1">
        <v>29</v>
      </c>
      <c r="CE33" s="1">
        <v>2</v>
      </c>
      <c r="CG33" s="1" t="s">
        <v>228</v>
      </c>
      <c r="CH33" s="1" t="s">
        <v>219</v>
      </c>
      <c r="CI33" s="1" t="s">
        <v>220</v>
      </c>
      <c r="CK33" s="1" t="s">
        <v>344</v>
      </c>
      <c r="CL33" s="1" t="s">
        <v>277</v>
      </c>
      <c r="CM33" s="1" t="s">
        <v>220</v>
      </c>
      <c r="CO33" s="1" t="s">
        <v>316</v>
      </c>
      <c r="CP33" s="1" t="s">
        <v>219</v>
      </c>
      <c r="CQ33" s="1" t="s">
        <v>438</v>
      </c>
      <c r="CS33" s="1" t="s">
        <v>346</v>
      </c>
      <c r="CT33" s="1" t="s">
        <v>277</v>
      </c>
      <c r="CU33" s="1" t="s">
        <v>220</v>
      </c>
      <c r="CX33" s="1" t="s">
        <v>224</v>
      </c>
      <c r="DB33" s="1" t="s">
        <v>224</v>
      </c>
      <c r="DE33" s="1" t="s">
        <v>316</v>
      </c>
      <c r="DF33" s="1" t="s">
        <v>219</v>
      </c>
      <c r="DG33" s="1" t="s">
        <v>438</v>
      </c>
      <c r="DJ33" s="1" t="s">
        <v>224</v>
      </c>
      <c r="DS33" s="1" t="s">
        <v>230</v>
      </c>
      <c r="DW33" s="1" t="s">
        <v>230</v>
      </c>
      <c r="EA33" s="1" t="s">
        <v>230</v>
      </c>
      <c r="EE33" s="1" t="s">
        <v>230</v>
      </c>
      <c r="EI33" s="1" t="s">
        <v>230</v>
      </c>
      <c r="EL33" s="1" t="s">
        <v>231</v>
      </c>
      <c r="EM33" s="1" t="s">
        <v>319</v>
      </c>
      <c r="EN33" s="1" t="s">
        <v>282</v>
      </c>
      <c r="EO33" s="1" t="s">
        <v>234</v>
      </c>
      <c r="ER33" s="1" t="s">
        <v>351</v>
      </c>
      <c r="ES33" s="1" t="s">
        <v>545</v>
      </c>
      <c r="EU33" s="1" t="s">
        <v>239</v>
      </c>
      <c r="EV33" s="1" t="s">
        <v>324</v>
      </c>
      <c r="EW33" s="1" t="s">
        <v>991</v>
      </c>
      <c r="EZ33" s="1" t="s">
        <v>287</v>
      </c>
      <c r="FC33" s="1" t="s">
        <v>633</v>
      </c>
      <c r="FD33" s="1" t="s">
        <v>246</v>
      </c>
      <c r="FE33" s="1" t="s">
        <v>870</v>
      </c>
      <c r="FF33" s="1" t="s">
        <v>248</v>
      </c>
      <c r="FH33" s="1" t="s">
        <v>992</v>
      </c>
      <c r="FL33" s="1" t="s">
        <v>358</v>
      </c>
      <c r="FM33" s="1" t="s">
        <v>252</v>
      </c>
      <c r="FN33" s="1" t="s">
        <v>213</v>
      </c>
      <c r="FO33" s="1" t="s">
        <v>213</v>
      </c>
      <c r="FQ33" s="1" t="s">
        <v>673</v>
      </c>
      <c r="FR33" s="1" t="s">
        <v>210</v>
      </c>
      <c r="FS33" s="1" t="s">
        <v>993</v>
      </c>
      <c r="FT33" s="1" t="s">
        <v>295</v>
      </c>
      <c r="FU33" s="1" t="s">
        <v>204</v>
      </c>
      <c r="FW33" s="1" t="s">
        <v>994</v>
      </c>
      <c r="FX33" s="1">
        <v>84690</v>
      </c>
      <c r="FY33" s="1" t="s">
        <v>995</v>
      </c>
      <c r="FZ33" s="1" t="s">
        <v>996</v>
      </c>
      <c r="GA33" s="1">
        <v>145229</v>
      </c>
      <c r="GB33" s="1" t="s">
        <v>997</v>
      </c>
      <c r="GE33" s="1" t="s">
        <v>210</v>
      </c>
      <c r="GI33" s="1" t="s">
        <v>213</v>
      </c>
      <c r="GJ33" s="1" t="s">
        <v>260</v>
      </c>
      <c r="GK33" s="1" t="s">
        <v>210</v>
      </c>
      <c r="GL33" s="2">
        <v>41993</v>
      </c>
      <c r="GM33" s="1" t="s">
        <v>998</v>
      </c>
    </row>
    <row r="34" spans="1:195">
      <c r="A34" s="1">
        <v>136000</v>
      </c>
      <c r="B34" s="1" t="s">
        <v>195</v>
      </c>
      <c r="C34" s="1" t="str">
        <f>"08759811"</f>
        <v>08759811</v>
      </c>
      <c r="D34" s="1" t="s">
        <v>196</v>
      </c>
      <c r="F34" s="1" t="str">
        <f>"108"</f>
        <v>108</v>
      </c>
      <c r="G34" s="2">
        <v>41935</v>
      </c>
      <c r="H34" s="1">
        <v>141500</v>
      </c>
      <c r="I34" s="1">
        <v>141500</v>
      </c>
      <c r="J34" s="1">
        <v>136000</v>
      </c>
      <c r="K34" s="2">
        <v>41935</v>
      </c>
      <c r="L34" s="1">
        <v>97</v>
      </c>
      <c r="M34" s="2">
        <v>42031</v>
      </c>
      <c r="N34" s="1">
        <v>97</v>
      </c>
      <c r="O34" s="2">
        <v>42031</v>
      </c>
      <c r="P34" s="1">
        <v>22739</v>
      </c>
      <c r="Q34" s="1" t="s">
        <v>197</v>
      </c>
      <c r="R34" s="2">
        <v>42095</v>
      </c>
      <c r="S34" s="1">
        <v>239555</v>
      </c>
      <c r="U34" s="1">
        <v>309</v>
      </c>
      <c r="V34" s="1" t="s">
        <v>999</v>
      </c>
      <c r="W34" s="1" t="s">
        <v>304</v>
      </c>
      <c r="X34" s="1" t="s">
        <v>1000</v>
      </c>
      <c r="Y34" s="1">
        <v>4</v>
      </c>
      <c r="Z34" s="1" t="s">
        <v>370</v>
      </c>
      <c r="AA34" s="1" t="s">
        <v>829</v>
      </c>
      <c r="AB34" s="1">
        <v>60108</v>
      </c>
      <c r="AD34" s="1" t="s">
        <v>1001</v>
      </c>
      <c r="AE34" s="1" t="s">
        <v>1002</v>
      </c>
      <c r="AF34" s="1">
        <v>1973</v>
      </c>
      <c r="AG34" s="1" t="s">
        <v>213</v>
      </c>
      <c r="AH34" s="1" t="s">
        <v>269</v>
      </c>
      <c r="AI34" s="1" t="s">
        <v>206</v>
      </c>
      <c r="AJ34" s="1" t="s">
        <v>269</v>
      </c>
      <c r="AK34" s="1" t="s">
        <v>1000</v>
      </c>
      <c r="AL34" s="1">
        <v>7</v>
      </c>
      <c r="AM34" s="1">
        <v>2</v>
      </c>
      <c r="AN34" s="1">
        <v>1</v>
      </c>
      <c r="AO34" s="1">
        <v>0</v>
      </c>
      <c r="AP34" s="1" t="s">
        <v>210</v>
      </c>
      <c r="AQ34" s="1">
        <v>0</v>
      </c>
      <c r="AR34" s="1" t="s">
        <v>209</v>
      </c>
      <c r="AS34" s="1" t="s">
        <v>204</v>
      </c>
      <c r="AT34" s="1" t="s">
        <v>211</v>
      </c>
      <c r="AU34" s="1">
        <v>1</v>
      </c>
      <c r="AW34" s="1" t="s">
        <v>204</v>
      </c>
      <c r="AX34" s="1" t="s">
        <v>212</v>
      </c>
      <c r="AZ34" s="1">
        <v>3149</v>
      </c>
      <c r="BA34" s="1">
        <v>2013</v>
      </c>
      <c r="BE34" s="1">
        <v>1080</v>
      </c>
      <c r="BF34" s="1">
        <v>2</v>
      </c>
      <c r="BG34" s="1">
        <v>0</v>
      </c>
      <c r="BL34" s="1">
        <v>195</v>
      </c>
      <c r="BM34" s="1" t="s">
        <v>204</v>
      </c>
      <c r="BN34" s="1" t="s">
        <v>213</v>
      </c>
      <c r="BO34" s="1">
        <v>0</v>
      </c>
      <c r="BP34" s="1" t="s">
        <v>204</v>
      </c>
      <c r="BR34" s="1" t="str">
        <f>"0223118015"</f>
        <v>0223118015</v>
      </c>
      <c r="BT34" s="1" t="s">
        <v>1003</v>
      </c>
      <c r="BX34" s="1">
        <v>15</v>
      </c>
      <c r="BY34" s="1">
        <v>15</v>
      </c>
      <c r="BZ34" s="1">
        <v>87</v>
      </c>
      <c r="CB34" s="1" t="str">
        <f t="shared" ref="CB34:CC34" si="23">""</f>
        <v/>
      </c>
      <c r="CC34" s="1" t="str">
        <f t="shared" si="23"/>
        <v/>
      </c>
      <c r="CG34" s="1" t="s">
        <v>908</v>
      </c>
      <c r="CH34" s="1" t="s">
        <v>219</v>
      </c>
      <c r="CI34" s="1" t="s">
        <v>229</v>
      </c>
      <c r="CK34" s="1" t="s">
        <v>564</v>
      </c>
      <c r="CL34" s="1" t="s">
        <v>277</v>
      </c>
      <c r="CM34" s="1" t="s">
        <v>229</v>
      </c>
      <c r="CO34" s="1" t="s">
        <v>409</v>
      </c>
      <c r="CP34" s="1" t="s">
        <v>219</v>
      </c>
      <c r="CQ34" s="1" t="s">
        <v>229</v>
      </c>
      <c r="CS34" s="1" t="s">
        <v>379</v>
      </c>
      <c r="CT34" s="1" t="s">
        <v>277</v>
      </c>
      <c r="CU34" s="1" t="s">
        <v>229</v>
      </c>
      <c r="CX34" s="1" t="s">
        <v>224</v>
      </c>
      <c r="DB34" s="1" t="s">
        <v>224</v>
      </c>
      <c r="DE34" s="1" t="s">
        <v>409</v>
      </c>
      <c r="DF34" s="1" t="s">
        <v>219</v>
      </c>
      <c r="DG34" s="1" t="s">
        <v>229</v>
      </c>
      <c r="DI34" s="1" t="s">
        <v>1004</v>
      </c>
      <c r="DJ34" s="1" t="s">
        <v>43</v>
      </c>
      <c r="DK34" s="1" t="s">
        <v>220</v>
      </c>
      <c r="DM34" s="1" t="s">
        <v>1005</v>
      </c>
      <c r="DR34" s="1" t="s">
        <v>316</v>
      </c>
      <c r="DS34" s="1" t="s">
        <v>43</v>
      </c>
      <c r="DT34" s="1" t="s">
        <v>220</v>
      </c>
      <c r="DW34" s="1" t="s">
        <v>230</v>
      </c>
      <c r="EA34" s="1" t="s">
        <v>230</v>
      </c>
      <c r="EE34" s="1" t="s">
        <v>230</v>
      </c>
      <c r="EI34" s="1" t="s">
        <v>230</v>
      </c>
      <c r="EL34" s="1" t="s">
        <v>605</v>
      </c>
      <c r="EM34" s="1" t="s">
        <v>319</v>
      </c>
      <c r="EN34" s="1" t="s">
        <v>282</v>
      </c>
      <c r="EO34" s="1" t="s">
        <v>234</v>
      </c>
      <c r="EQ34" s="1" t="s">
        <v>492</v>
      </c>
      <c r="ER34" s="1" t="s">
        <v>544</v>
      </c>
      <c r="ES34" s="1" t="s">
        <v>545</v>
      </c>
      <c r="EV34" s="1" t="s">
        <v>240</v>
      </c>
      <c r="EW34" s="1" t="s">
        <v>887</v>
      </c>
      <c r="EY34" s="1" t="s">
        <v>242</v>
      </c>
      <c r="EZ34" s="1" t="s">
        <v>1005</v>
      </c>
      <c r="FD34" s="1" t="s">
        <v>246</v>
      </c>
      <c r="FE34" s="1" t="s">
        <v>1006</v>
      </c>
      <c r="FF34" s="1" t="s">
        <v>248</v>
      </c>
      <c r="FH34" s="1" t="s">
        <v>249</v>
      </c>
      <c r="FL34" s="1" t="s">
        <v>358</v>
      </c>
      <c r="FM34" s="1" t="s">
        <v>252</v>
      </c>
      <c r="FN34" s="1" t="s">
        <v>213</v>
      </c>
      <c r="FO34" s="1" t="s">
        <v>213</v>
      </c>
      <c r="FQ34" s="1" t="s">
        <v>1007</v>
      </c>
      <c r="FR34" s="1" t="s">
        <v>210</v>
      </c>
      <c r="FS34" s="1" t="s">
        <v>1008</v>
      </c>
      <c r="FT34" s="1" t="s">
        <v>295</v>
      </c>
      <c r="FU34" s="1" t="s">
        <v>204</v>
      </c>
      <c r="FW34" s="1" t="s">
        <v>943</v>
      </c>
      <c r="FX34" s="1">
        <v>23120</v>
      </c>
      <c r="FY34" s="1" t="s">
        <v>944</v>
      </c>
      <c r="FZ34" s="1" t="s">
        <v>1009</v>
      </c>
      <c r="GA34" s="1">
        <v>225948</v>
      </c>
      <c r="GB34" s="1" t="s">
        <v>1010</v>
      </c>
      <c r="GE34" s="1" t="s">
        <v>210</v>
      </c>
      <c r="GI34" s="1" t="s">
        <v>213</v>
      </c>
      <c r="GJ34" s="1" t="s">
        <v>260</v>
      </c>
      <c r="GK34" s="1" t="s">
        <v>210</v>
      </c>
      <c r="GL34" s="2">
        <v>42096</v>
      </c>
      <c r="GM34" s="1" t="s">
        <v>1011</v>
      </c>
    </row>
    <row r="35" spans="1:195">
      <c r="A35" s="1">
        <v>80500</v>
      </c>
      <c r="B35" s="1" t="s">
        <v>195</v>
      </c>
      <c r="C35" s="1" t="str">
        <f>"08759848"</f>
        <v>08759848</v>
      </c>
      <c r="D35" s="1" t="s">
        <v>196</v>
      </c>
      <c r="F35" s="1" t="str">
        <f>"19"</f>
        <v>19</v>
      </c>
      <c r="G35" s="2">
        <v>41935</v>
      </c>
      <c r="H35" s="1">
        <v>74500</v>
      </c>
      <c r="I35" s="1">
        <v>74500</v>
      </c>
      <c r="J35" s="1">
        <v>80500</v>
      </c>
      <c r="K35" s="2">
        <v>41934</v>
      </c>
      <c r="L35" s="1">
        <v>86</v>
      </c>
      <c r="M35" s="2">
        <v>42019</v>
      </c>
      <c r="N35" s="1">
        <v>86</v>
      </c>
      <c r="O35" s="2">
        <v>42019</v>
      </c>
      <c r="P35" s="1">
        <v>2626</v>
      </c>
      <c r="Q35" s="1" t="s">
        <v>197</v>
      </c>
      <c r="R35" s="2">
        <v>42048</v>
      </c>
      <c r="S35" s="1">
        <v>26391</v>
      </c>
      <c r="U35" s="1">
        <v>407</v>
      </c>
      <c r="V35" s="1" t="s">
        <v>1012</v>
      </c>
      <c r="W35" s="1" t="s">
        <v>449</v>
      </c>
      <c r="Y35" s="1">
        <v>6</v>
      </c>
      <c r="Z35" s="1" t="s">
        <v>200</v>
      </c>
      <c r="AA35" s="1" t="s">
        <v>1013</v>
      </c>
      <c r="AB35" s="1">
        <v>60020</v>
      </c>
      <c r="AD35" s="1" t="s">
        <v>1012</v>
      </c>
      <c r="AE35" s="1" t="s">
        <v>1014</v>
      </c>
      <c r="AF35" s="1">
        <v>2005</v>
      </c>
      <c r="AG35" s="1" t="s">
        <v>204</v>
      </c>
      <c r="AH35" s="1" t="s">
        <v>1015</v>
      </c>
      <c r="AI35" s="1" t="s">
        <v>509</v>
      </c>
      <c r="AJ35" s="1" t="s">
        <v>1016</v>
      </c>
      <c r="AK35" s="1" t="s">
        <v>1017</v>
      </c>
      <c r="AL35" s="1">
        <v>5</v>
      </c>
      <c r="AM35" s="1">
        <v>2</v>
      </c>
      <c r="AN35" s="1">
        <v>1</v>
      </c>
      <c r="AO35" s="1">
        <v>1</v>
      </c>
      <c r="AP35" s="1" t="s">
        <v>210</v>
      </c>
      <c r="AR35" s="1" t="s">
        <v>210</v>
      </c>
      <c r="AS35" s="1" t="s">
        <v>204</v>
      </c>
      <c r="AT35" s="1" t="s">
        <v>211</v>
      </c>
      <c r="AU35" s="1">
        <v>2</v>
      </c>
      <c r="AW35" s="1" t="s">
        <v>204</v>
      </c>
      <c r="AX35" s="1" t="s">
        <v>1018</v>
      </c>
      <c r="AZ35" s="1">
        <v>1950.43</v>
      </c>
      <c r="BA35" s="1">
        <v>2013</v>
      </c>
      <c r="BB35" s="1" t="s">
        <v>210</v>
      </c>
      <c r="BE35" s="1">
        <v>1144</v>
      </c>
      <c r="BF35" s="1">
        <v>1</v>
      </c>
      <c r="BG35" s="1">
        <v>0</v>
      </c>
      <c r="BJ35" s="1">
        <v>90</v>
      </c>
      <c r="BL35" s="1">
        <v>125</v>
      </c>
      <c r="BM35" s="1" t="s">
        <v>204</v>
      </c>
      <c r="BN35" s="1" t="s">
        <v>213</v>
      </c>
      <c r="BO35" s="1">
        <v>75</v>
      </c>
      <c r="BP35" s="1" t="s">
        <v>204</v>
      </c>
      <c r="BR35" s="1" t="str">
        <f>"05224010320000"</f>
        <v>05224010320000</v>
      </c>
      <c r="BT35" s="1" t="s">
        <v>1019</v>
      </c>
      <c r="BU35" s="1" t="str">
        <f>"0"</f>
        <v>0</v>
      </c>
      <c r="BV35" s="1">
        <v>27</v>
      </c>
      <c r="BW35" s="1">
        <v>0</v>
      </c>
      <c r="BY35" s="1" t="s">
        <v>344</v>
      </c>
      <c r="BZ35" s="1" t="s">
        <v>219</v>
      </c>
      <c r="CA35" s="1" t="s">
        <v>220</v>
      </c>
      <c r="CC35" s="1" t="s">
        <v>602</v>
      </c>
      <c r="CD35" s="1" t="s">
        <v>277</v>
      </c>
      <c r="CE35" s="1" t="s">
        <v>220</v>
      </c>
      <c r="CF35" s="1" t="s">
        <v>210</v>
      </c>
      <c r="CG35" s="1" t="s">
        <v>346</v>
      </c>
      <c r="CH35" s="1" t="s">
        <v>219</v>
      </c>
      <c r="CI35" s="1" t="s">
        <v>342</v>
      </c>
      <c r="CK35" s="1" t="s">
        <v>379</v>
      </c>
      <c r="CL35" s="1" t="s">
        <v>277</v>
      </c>
      <c r="CM35" s="1" t="s">
        <v>220</v>
      </c>
      <c r="CP35" s="1" t="s">
        <v>224</v>
      </c>
      <c r="CT35" s="1" t="s">
        <v>224</v>
      </c>
      <c r="CW35" s="1" t="s">
        <v>380</v>
      </c>
      <c r="CX35" s="1" t="s">
        <v>219</v>
      </c>
      <c r="CY35" s="1" t="s">
        <v>342</v>
      </c>
      <c r="DB35" s="1" t="s">
        <v>224</v>
      </c>
      <c r="DK35" s="1" t="s">
        <v>230</v>
      </c>
      <c r="DO35" s="1" t="s">
        <v>230</v>
      </c>
      <c r="DS35" s="1" t="s">
        <v>230</v>
      </c>
      <c r="DW35" s="1" t="s">
        <v>230</v>
      </c>
      <c r="EA35" s="1" t="s">
        <v>230</v>
      </c>
      <c r="ED35" s="1" t="s">
        <v>491</v>
      </c>
      <c r="EE35" s="1" t="s">
        <v>232</v>
      </c>
      <c r="EF35" s="1" t="s">
        <v>282</v>
      </c>
      <c r="EG35" s="1" t="s">
        <v>1020</v>
      </c>
      <c r="EH35" s="1" t="s">
        <v>543</v>
      </c>
      <c r="EI35" s="1" t="s">
        <v>468</v>
      </c>
      <c r="EJ35" s="1" t="s">
        <v>210</v>
      </c>
      <c r="EK35" s="1" t="s">
        <v>322</v>
      </c>
      <c r="EM35" s="1" t="s">
        <v>239</v>
      </c>
      <c r="EN35" s="1" t="s">
        <v>352</v>
      </c>
      <c r="EO35" s="1" t="s">
        <v>1021</v>
      </c>
      <c r="ER35" s="1" t="s">
        <v>287</v>
      </c>
      <c r="EV35" s="1" t="s">
        <v>246</v>
      </c>
      <c r="EW35" s="1" t="s">
        <v>386</v>
      </c>
      <c r="EX35" s="1" t="s">
        <v>387</v>
      </c>
      <c r="EZ35" s="1" t="s">
        <v>550</v>
      </c>
      <c r="FA35" s="1" t="s">
        <v>357</v>
      </c>
      <c r="FB35" s="1" t="s">
        <v>518</v>
      </c>
      <c r="FD35" s="1" t="s">
        <v>358</v>
      </c>
      <c r="FE35" s="1" t="s">
        <v>252</v>
      </c>
      <c r="FF35" s="1" t="s">
        <v>213</v>
      </c>
      <c r="FG35" s="1" t="s">
        <v>213</v>
      </c>
      <c r="FI35" s="1" t="s">
        <v>849</v>
      </c>
      <c r="FJ35" s="1" t="s">
        <v>210</v>
      </c>
      <c r="FK35" s="1" t="s">
        <v>443</v>
      </c>
      <c r="FL35" s="1" t="s">
        <v>295</v>
      </c>
      <c r="FM35" s="1" t="s">
        <v>204</v>
      </c>
      <c r="FO35" s="1" t="s">
        <v>256</v>
      </c>
      <c r="FP35" s="1">
        <v>2648</v>
      </c>
      <c r="FQ35" s="1" t="s">
        <v>1022</v>
      </c>
      <c r="FR35" s="1" t="s">
        <v>1023</v>
      </c>
      <c r="FS35" s="1">
        <v>13380</v>
      </c>
      <c r="FT35" s="1" t="s">
        <v>1024</v>
      </c>
      <c r="FW35" s="1" t="s">
        <v>210</v>
      </c>
      <c r="GA35" s="1" t="s">
        <v>213</v>
      </c>
      <c r="GB35" s="1" t="s">
        <v>260</v>
      </c>
      <c r="GC35" s="1" t="s">
        <v>210</v>
      </c>
      <c r="GD35" s="2">
        <v>42051</v>
      </c>
      <c r="GE35" s="1" t="s">
        <v>1025</v>
      </c>
    </row>
    <row r="36" spans="1:195">
      <c r="A36" s="1">
        <v>99000</v>
      </c>
      <c r="B36" s="1" t="s">
        <v>195</v>
      </c>
      <c r="C36" s="1" t="str">
        <f>"08763904"</f>
        <v>08763904</v>
      </c>
      <c r="D36" s="1" t="s">
        <v>196</v>
      </c>
      <c r="F36" s="1" t="str">
        <f>"73"</f>
        <v>73</v>
      </c>
      <c r="G36" s="2">
        <v>41941</v>
      </c>
      <c r="H36" s="1">
        <v>94900</v>
      </c>
      <c r="I36" s="1">
        <v>94900</v>
      </c>
      <c r="J36" s="1">
        <v>99000</v>
      </c>
      <c r="K36" s="2">
        <v>41941</v>
      </c>
      <c r="L36" s="1">
        <v>15</v>
      </c>
      <c r="M36" s="2">
        <v>41955</v>
      </c>
      <c r="N36" s="1">
        <v>15</v>
      </c>
      <c r="O36" s="2">
        <v>41955</v>
      </c>
      <c r="P36" s="1">
        <v>2411</v>
      </c>
      <c r="Q36" s="1" t="s">
        <v>197</v>
      </c>
      <c r="R36" s="2">
        <v>42013</v>
      </c>
      <c r="S36" s="1">
        <v>15497</v>
      </c>
      <c r="U36" s="1">
        <v>5</v>
      </c>
      <c r="V36" s="1" t="s">
        <v>1026</v>
      </c>
      <c r="W36" s="1" t="s">
        <v>504</v>
      </c>
      <c r="Y36" s="1">
        <v>2</v>
      </c>
      <c r="Z36" s="1" t="s">
        <v>200</v>
      </c>
      <c r="AA36" s="1" t="s">
        <v>1027</v>
      </c>
      <c r="AB36" s="1">
        <v>60073</v>
      </c>
      <c r="AE36" s="1" t="s">
        <v>1028</v>
      </c>
      <c r="AF36" s="1">
        <v>1993</v>
      </c>
      <c r="AG36" s="1" t="s">
        <v>204</v>
      </c>
      <c r="AH36" s="1" t="s">
        <v>1029</v>
      </c>
      <c r="AI36" s="1" t="s">
        <v>509</v>
      </c>
      <c r="AJ36" s="1" t="s">
        <v>1016</v>
      </c>
      <c r="AL36" s="1">
        <v>5</v>
      </c>
      <c r="AM36" s="1">
        <v>2</v>
      </c>
      <c r="AN36" s="1">
        <v>1</v>
      </c>
      <c r="AO36" s="1">
        <v>1</v>
      </c>
      <c r="AP36" s="1" t="s">
        <v>667</v>
      </c>
      <c r="AR36" s="1" t="s">
        <v>210</v>
      </c>
      <c r="AS36" s="1" t="s">
        <v>204</v>
      </c>
      <c r="AT36" s="1" t="s">
        <v>211</v>
      </c>
      <c r="AU36" s="1">
        <v>2</v>
      </c>
      <c r="AW36" s="1" t="s">
        <v>204</v>
      </c>
      <c r="AX36" s="1">
        <v>6098</v>
      </c>
      <c r="AZ36" s="1">
        <v>3794.99</v>
      </c>
      <c r="BA36" s="1">
        <v>2012</v>
      </c>
      <c r="BE36" s="1">
        <v>1264</v>
      </c>
      <c r="BF36" s="1">
        <v>1</v>
      </c>
      <c r="BG36" s="1">
        <v>0</v>
      </c>
      <c r="BL36" s="1">
        <v>0</v>
      </c>
      <c r="BM36" s="1" t="s">
        <v>413</v>
      </c>
      <c r="BN36" s="1" t="s">
        <v>213</v>
      </c>
      <c r="BO36" s="1">
        <v>50</v>
      </c>
      <c r="BP36" s="1" t="s">
        <v>204</v>
      </c>
      <c r="BR36" s="1" t="str">
        <f>"06084100140000"</f>
        <v>06084100140000</v>
      </c>
      <c r="BT36" s="1" t="s">
        <v>1030</v>
      </c>
      <c r="BX36" s="1">
        <v>116</v>
      </c>
      <c r="BY36" s="1">
        <v>116</v>
      </c>
      <c r="BZ36" s="1">
        <v>116</v>
      </c>
      <c r="CB36" s="1" t="str">
        <f t="shared" ref="CB36:CC36" si="24">""</f>
        <v/>
      </c>
      <c r="CC36" s="1" t="str">
        <f t="shared" si="24"/>
        <v/>
      </c>
      <c r="CG36" s="1" t="s">
        <v>228</v>
      </c>
      <c r="CH36" s="1" t="s">
        <v>219</v>
      </c>
      <c r="CK36" s="1" t="s">
        <v>278</v>
      </c>
      <c r="CL36" s="1" t="s">
        <v>277</v>
      </c>
      <c r="CO36" s="1" t="s">
        <v>380</v>
      </c>
      <c r="CP36" s="1" t="s">
        <v>219</v>
      </c>
      <c r="CS36" s="1" t="s">
        <v>346</v>
      </c>
      <c r="CT36" s="1" t="s">
        <v>277</v>
      </c>
      <c r="CX36" s="1" t="s">
        <v>224</v>
      </c>
      <c r="DB36" s="1" t="s">
        <v>224</v>
      </c>
      <c r="DE36" s="1" t="s">
        <v>344</v>
      </c>
      <c r="DF36" s="1" t="s">
        <v>219</v>
      </c>
      <c r="DJ36" s="1" t="s">
        <v>224</v>
      </c>
      <c r="DS36" s="1" t="s">
        <v>230</v>
      </c>
      <c r="DW36" s="1" t="s">
        <v>230</v>
      </c>
      <c r="EA36" s="1" t="s">
        <v>230</v>
      </c>
      <c r="EE36" s="1" t="s">
        <v>230</v>
      </c>
      <c r="EI36" s="1" t="s">
        <v>230</v>
      </c>
      <c r="EL36" s="1" t="s">
        <v>382</v>
      </c>
      <c r="EM36" s="1" t="s">
        <v>319</v>
      </c>
      <c r="EN36" s="1" t="s">
        <v>282</v>
      </c>
      <c r="EO36" s="1" t="s">
        <v>234</v>
      </c>
      <c r="ER36" s="1" t="s">
        <v>210</v>
      </c>
      <c r="EW36" s="1" t="s">
        <v>210</v>
      </c>
      <c r="EZ36" s="1" t="s">
        <v>287</v>
      </c>
      <c r="FD36" s="1" t="s">
        <v>246</v>
      </c>
      <c r="FE36" s="1" t="s">
        <v>1031</v>
      </c>
      <c r="FF36" s="1" t="s">
        <v>248</v>
      </c>
      <c r="FH36" s="1" t="s">
        <v>442</v>
      </c>
      <c r="FL36" s="1" t="s">
        <v>358</v>
      </c>
      <c r="FM36" s="1" t="s">
        <v>252</v>
      </c>
      <c r="FN36" s="1" t="s">
        <v>213</v>
      </c>
      <c r="FO36" s="1" t="s">
        <v>213</v>
      </c>
      <c r="FQ36" s="1" t="s">
        <v>1032</v>
      </c>
      <c r="FR36" s="1" t="s">
        <v>210</v>
      </c>
      <c r="FS36" s="1" t="s">
        <v>1033</v>
      </c>
      <c r="FT36" s="1" t="s">
        <v>295</v>
      </c>
      <c r="FU36" s="1" t="s">
        <v>204</v>
      </c>
      <c r="FW36" s="1" t="s">
        <v>1034</v>
      </c>
      <c r="FX36" s="1">
        <v>1998</v>
      </c>
      <c r="FY36" s="1" t="s">
        <v>1035</v>
      </c>
      <c r="FZ36" s="1" t="s">
        <v>1036</v>
      </c>
      <c r="GA36" s="1">
        <v>923034</v>
      </c>
      <c r="GB36" s="1" t="s">
        <v>1037</v>
      </c>
      <c r="GE36" s="1" t="s">
        <v>210</v>
      </c>
      <c r="GH36" s="1" t="s">
        <v>589</v>
      </c>
      <c r="GI36" s="1" t="s">
        <v>213</v>
      </c>
      <c r="GJ36" s="1" t="s">
        <v>260</v>
      </c>
      <c r="GK36" s="1" t="s">
        <v>210</v>
      </c>
      <c r="GL36" s="2">
        <v>42013</v>
      </c>
      <c r="GM36" s="1" t="s">
        <v>1038</v>
      </c>
    </row>
    <row r="37" spans="1:195">
      <c r="A37" s="1">
        <v>80000</v>
      </c>
      <c r="B37" s="1" t="s">
        <v>195</v>
      </c>
      <c r="C37" s="1" t="str">
        <f>"08755491"</f>
        <v>08755491</v>
      </c>
      <c r="D37" s="1" t="s">
        <v>196</v>
      </c>
      <c r="F37" s="1" t="str">
        <f>"187"</f>
        <v>187</v>
      </c>
      <c r="G37" s="2">
        <v>41929</v>
      </c>
      <c r="H37" s="1">
        <v>92000</v>
      </c>
      <c r="I37" s="1">
        <v>83000</v>
      </c>
      <c r="J37" s="1">
        <v>80000</v>
      </c>
      <c r="K37" s="2">
        <v>41928</v>
      </c>
      <c r="L37" s="1">
        <v>47</v>
      </c>
      <c r="M37" s="2">
        <v>41974</v>
      </c>
      <c r="N37" s="1">
        <v>47</v>
      </c>
      <c r="O37" s="2">
        <v>41974</v>
      </c>
      <c r="P37" s="1" t="s">
        <v>1039</v>
      </c>
      <c r="Q37" s="1" t="s">
        <v>302</v>
      </c>
      <c r="R37" s="2">
        <v>41996</v>
      </c>
      <c r="S37" s="1">
        <v>99999</v>
      </c>
      <c r="U37" s="1">
        <v>1464</v>
      </c>
      <c r="V37" s="1" t="s">
        <v>1040</v>
      </c>
      <c r="W37" s="1" t="s">
        <v>449</v>
      </c>
      <c r="X37" s="1" t="s">
        <v>1041</v>
      </c>
      <c r="Y37" s="1">
        <v>12</v>
      </c>
      <c r="Z37" s="1" t="s">
        <v>370</v>
      </c>
      <c r="AA37" s="1" t="s">
        <v>964</v>
      </c>
      <c r="AB37" s="1">
        <v>60187</v>
      </c>
      <c r="AD37" s="1" t="s">
        <v>1042</v>
      </c>
      <c r="AE37" s="1" t="s">
        <v>1043</v>
      </c>
      <c r="AF37" s="1">
        <v>1982</v>
      </c>
      <c r="AG37" s="1" t="s">
        <v>204</v>
      </c>
      <c r="AH37" s="1" t="s">
        <v>967</v>
      </c>
      <c r="AI37" s="1" t="s">
        <v>206</v>
      </c>
      <c r="AJ37" s="1" t="s">
        <v>207</v>
      </c>
      <c r="AL37" s="1">
        <v>5</v>
      </c>
      <c r="AM37" s="1">
        <v>2</v>
      </c>
      <c r="AN37" s="1">
        <v>2</v>
      </c>
      <c r="AO37" s="1">
        <v>0</v>
      </c>
      <c r="AP37" s="1" t="s">
        <v>209</v>
      </c>
      <c r="AQ37" s="1">
        <v>0</v>
      </c>
      <c r="AR37" s="1" t="s">
        <v>210</v>
      </c>
      <c r="AS37" s="1" t="s">
        <v>204</v>
      </c>
      <c r="AT37" s="1" t="s">
        <v>271</v>
      </c>
      <c r="AV37" s="1">
        <v>1</v>
      </c>
      <c r="AW37" s="1" t="s">
        <v>204</v>
      </c>
      <c r="AX37" s="1" t="s">
        <v>212</v>
      </c>
      <c r="AZ37" s="1">
        <v>2611</v>
      </c>
      <c r="BA37" s="1">
        <v>2013</v>
      </c>
      <c r="BB37" s="1" t="s">
        <v>210</v>
      </c>
      <c r="BE37" s="1">
        <v>994</v>
      </c>
      <c r="BF37" s="1">
        <v>2</v>
      </c>
      <c r="BG37" s="1">
        <v>0</v>
      </c>
      <c r="BL37" s="1">
        <v>264</v>
      </c>
      <c r="BM37" s="1" t="s">
        <v>204</v>
      </c>
      <c r="BN37" s="1" t="s">
        <v>213</v>
      </c>
      <c r="BO37" s="1">
        <v>100</v>
      </c>
      <c r="BP37" s="1" t="s">
        <v>204</v>
      </c>
      <c r="BR37" s="1" t="str">
        <f>"0519414053"</f>
        <v>0519414053</v>
      </c>
      <c r="BT37" s="1" t="s">
        <v>1044</v>
      </c>
      <c r="BX37" s="1">
        <v>200</v>
      </c>
      <c r="BY37" s="1">
        <v>200</v>
      </c>
      <c r="BZ37" s="1">
        <v>200</v>
      </c>
      <c r="CB37" s="1" t="str">
        <f t="shared" ref="CB37:CC37" si="25">"0"</f>
        <v>0</v>
      </c>
      <c r="CC37" s="1" t="str">
        <f t="shared" si="25"/>
        <v>0</v>
      </c>
      <c r="CD37" s="1">
        <v>26</v>
      </c>
      <c r="CE37" s="1">
        <v>1</v>
      </c>
      <c r="CG37" s="1" t="s">
        <v>1045</v>
      </c>
      <c r="CH37" s="1" t="s">
        <v>277</v>
      </c>
      <c r="CI37" s="1" t="s">
        <v>220</v>
      </c>
      <c r="CK37" s="1" t="s">
        <v>539</v>
      </c>
      <c r="CL37" s="1" t="s">
        <v>277</v>
      </c>
      <c r="CM37" s="1" t="s">
        <v>220</v>
      </c>
      <c r="CO37" s="1" t="s">
        <v>409</v>
      </c>
      <c r="CP37" s="1" t="s">
        <v>277</v>
      </c>
      <c r="CQ37" s="1" t="s">
        <v>220</v>
      </c>
      <c r="CR37" s="1" t="s">
        <v>210</v>
      </c>
      <c r="CS37" s="1" t="s">
        <v>1046</v>
      </c>
      <c r="CT37" s="1" t="s">
        <v>277</v>
      </c>
      <c r="CU37" s="1" t="s">
        <v>220</v>
      </c>
      <c r="CX37" s="1" t="s">
        <v>224</v>
      </c>
      <c r="DB37" s="1" t="s">
        <v>224</v>
      </c>
      <c r="DE37" s="1" t="s">
        <v>316</v>
      </c>
      <c r="DF37" s="1" t="s">
        <v>277</v>
      </c>
      <c r="DG37" s="1" t="s">
        <v>347</v>
      </c>
      <c r="DH37" s="1" t="s">
        <v>210</v>
      </c>
      <c r="DJ37" s="1" t="s">
        <v>224</v>
      </c>
      <c r="DS37" s="1" t="s">
        <v>230</v>
      </c>
      <c r="DW37" s="1" t="s">
        <v>230</v>
      </c>
      <c r="EA37" s="1" t="s">
        <v>230</v>
      </c>
      <c r="EE37" s="1" t="s">
        <v>230</v>
      </c>
      <c r="EI37" s="1" t="s">
        <v>230</v>
      </c>
      <c r="EL37" s="1" t="s">
        <v>231</v>
      </c>
      <c r="EM37" s="1" t="s">
        <v>319</v>
      </c>
      <c r="EN37" s="1" t="s">
        <v>282</v>
      </c>
      <c r="EO37" s="1" t="s">
        <v>234</v>
      </c>
      <c r="EP37" s="1" t="s">
        <v>1047</v>
      </c>
      <c r="ER37" s="1" t="s">
        <v>210</v>
      </c>
      <c r="EV37" s="1" t="s">
        <v>240</v>
      </c>
      <c r="EW37" s="1" t="s">
        <v>937</v>
      </c>
      <c r="EZ37" s="1" t="s">
        <v>287</v>
      </c>
      <c r="FA37" s="1" t="s">
        <v>1048</v>
      </c>
      <c r="FB37" s="1" t="s">
        <v>289</v>
      </c>
      <c r="FD37" s="1" t="s">
        <v>246</v>
      </c>
      <c r="FE37" s="1" t="s">
        <v>651</v>
      </c>
      <c r="FF37" s="1" t="s">
        <v>248</v>
      </c>
      <c r="FH37" s="1" t="s">
        <v>249</v>
      </c>
      <c r="FK37" s="1" t="s">
        <v>291</v>
      </c>
      <c r="FL37" s="1" t="s">
        <v>292</v>
      </c>
      <c r="FM37" s="1" t="s">
        <v>252</v>
      </c>
      <c r="FN37" s="1" t="s">
        <v>213</v>
      </c>
      <c r="FO37" s="1" t="s">
        <v>213</v>
      </c>
      <c r="FQ37" s="1" t="s">
        <v>582</v>
      </c>
      <c r="FR37" s="1" t="s">
        <v>210</v>
      </c>
      <c r="FS37" s="1" t="s">
        <v>1049</v>
      </c>
      <c r="FT37" s="1" t="s">
        <v>295</v>
      </c>
      <c r="FU37" s="1" t="s">
        <v>204</v>
      </c>
      <c r="FW37" s="1" t="s">
        <v>1050</v>
      </c>
      <c r="FX37" s="1">
        <v>23025</v>
      </c>
      <c r="FY37" s="1" t="s">
        <v>1051</v>
      </c>
      <c r="FZ37" s="1" t="s">
        <v>1052</v>
      </c>
      <c r="GA37" s="1">
        <v>233762</v>
      </c>
      <c r="GB37" s="1" t="s">
        <v>1053</v>
      </c>
      <c r="GE37" s="1" t="s">
        <v>210</v>
      </c>
      <c r="GI37" s="1" t="s">
        <v>213</v>
      </c>
      <c r="GJ37" s="1" t="s">
        <v>260</v>
      </c>
      <c r="GK37" s="1" t="s">
        <v>210</v>
      </c>
      <c r="GL37" s="2">
        <v>41996</v>
      </c>
      <c r="GM37" s="1" t="s">
        <v>1054</v>
      </c>
    </row>
    <row r="38" spans="1:195">
      <c r="A38" s="1">
        <v>130000</v>
      </c>
      <c r="B38" s="1" t="s">
        <v>195</v>
      </c>
      <c r="C38" s="1" t="str">
        <f>"08756577"</f>
        <v>08756577</v>
      </c>
      <c r="D38" s="1" t="s">
        <v>196</v>
      </c>
      <c r="F38" s="1" t="str">
        <f>"31"</f>
        <v>31</v>
      </c>
      <c r="G38" s="2">
        <v>41931</v>
      </c>
      <c r="H38" s="1">
        <v>130000</v>
      </c>
      <c r="I38" s="1">
        <v>130000</v>
      </c>
      <c r="J38" s="1">
        <v>130000</v>
      </c>
      <c r="K38" s="2">
        <v>41931</v>
      </c>
      <c r="L38" s="1">
        <v>12</v>
      </c>
      <c r="M38" s="2">
        <v>41942</v>
      </c>
      <c r="N38" s="1">
        <v>12</v>
      </c>
      <c r="O38" s="2">
        <v>41942</v>
      </c>
      <c r="P38" s="1">
        <v>2138</v>
      </c>
      <c r="Q38" s="1" t="s">
        <v>197</v>
      </c>
      <c r="R38" s="2">
        <v>41982</v>
      </c>
      <c r="S38" s="1">
        <v>19222</v>
      </c>
      <c r="U38" s="1">
        <v>744</v>
      </c>
      <c r="V38" s="1" t="s">
        <v>1055</v>
      </c>
      <c r="W38" s="1" t="s">
        <v>1056</v>
      </c>
      <c r="Y38" s="1">
        <v>6</v>
      </c>
      <c r="Z38" s="1" t="s">
        <v>370</v>
      </c>
      <c r="AA38" s="1" t="s">
        <v>1057</v>
      </c>
      <c r="AB38" s="1">
        <v>60031</v>
      </c>
      <c r="AD38" s="1" t="s">
        <v>1058</v>
      </c>
      <c r="AE38" s="1" t="s">
        <v>1059</v>
      </c>
      <c r="AF38" s="1">
        <v>1976</v>
      </c>
      <c r="AG38" s="1" t="s">
        <v>213</v>
      </c>
      <c r="AH38" s="1" t="s">
        <v>1060</v>
      </c>
      <c r="AI38" s="1" t="s">
        <v>509</v>
      </c>
      <c r="AJ38" s="1" t="s">
        <v>1061</v>
      </c>
      <c r="AK38" s="1" t="s">
        <v>1062</v>
      </c>
      <c r="AL38" s="1">
        <v>5</v>
      </c>
      <c r="AM38" s="1">
        <v>2</v>
      </c>
      <c r="AN38" s="1">
        <v>2</v>
      </c>
      <c r="AO38" s="1">
        <v>0</v>
      </c>
      <c r="AP38" s="1" t="s">
        <v>209</v>
      </c>
      <c r="AQ38" s="1">
        <v>1</v>
      </c>
      <c r="AR38" s="1" t="s">
        <v>210</v>
      </c>
      <c r="AS38" s="1" t="s">
        <v>204</v>
      </c>
      <c r="AT38" s="1" t="s">
        <v>211</v>
      </c>
      <c r="AU38" s="1">
        <v>1</v>
      </c>
      <c r="AW38" s="1" t="s">
        <v>204</v>
      </c>
      <c r="AX38" s="1" t="s">
        <v>212</v>
      </c>
      <c r="AZ38" s="1">
        <v>2230.81</v>
      </c>
      <c r="BA38" s="1">
        <v>2013</v>
      </c>
      <c r="BB38" s="1" t="s">
        <v>405</v>
      </c>
      <c r="BE38" s="1">
        <v>1282</v>
      </c>
      <c r="BF38" s="1">
        <v>1</v>
      </c>
      <c r="BG38" s="1">
        <v>0</v>
      </c>
      <c r="BL38" s="1">
        <v>355</v>
      </c>
      <c r="BM38" s="1" t="s">
        <v>204</v>
      </c>
      <c r="BN38" s="1" t="s">
        <v>213</v>
      </c>
      <c r="BO38" s="1">
        <v>999</v>
      </c>
      <c r="BP38" s="1" t="s">
        <v>204</v>
      </c>
      <c r="BR38" s="1" t="str">
        <f>"07284010030000"</f>
        <v>07284010030000</v>
      </c>
      <c r="BT38" s="1" t="s">
        <v>1063</v>
      </c>
      <c r="BU38" s="1" t="s">
        <v>1064</v>
      </c>
      <c r="BV38" s="1" t="s">
        <v>1065</v>
      </c>
      <c r="BW38" s="1" t="s">
        <v>1066</v>
      </c>
      <c r="BX38" s="1">
        <v>50</v>
      </c>
      <c r="BY38" s="1">
        <v>50</v>
      </c>
      <c r="BZ38" s="1">
        <v>121</v>
      </c>
      <c r="CA38" s="1">
        <v>532</v>
      </c>
      <c r="CB38" s="1" t="str">
        <f t="shared" ref="CB38:CC38" si="26">""</f>
        <v/>
      </c>
      <c r="CC38" s="1" t="str">
        <f t="shared" si="26"/>
        <v/>
      </c>
      <c r="CF38" s="1" t="s">
        <v>1067</v>
      </c>
      <c r="CG38" s="1" t="s">
        <v>628</v>
      </c>
      <c r="CH38" s="1" t="s">
        <v>219</v>
      </c>
      <c r="CI38" s="1" t="s">
        <v>220</v>
      </c>
      <c r="CJ38" s="1" t="s">
        <v>439</v>
      </c>
      <c r="CK38" s="1" t="s">
        <v>932</v>
      </c>
      <c r="CL38" s="1" t="s">
        <v>277</v>
      </c>
      <c r="CM38" s="1" t="s">
        <v>220</v>
      </c>
      <c r="CO38" s="1" t="s">
        <v>629</v>
      </c>
      <c r="CP38" s="1" t="s">
        <v>219</v>
      </c>
      <c r="CQ38" s="1" t="s">
        <v>220</v>
      </c>
      <c r="CS38" s="1" t="s">
        <v>539</v>
      </c>
      <c r="CT38" s="1" t="s">
        <v>219</v>
      </c>
      <c r="CU38" s="1" t="s">
        <v>220</v>
      </c>
      <c r="CV38" s="1" t="s">
        <v>439</v>
      </c>
      <c r="CX38" s="1" t="s">
        <v>224</v>
      </c>
      <c r="DB38" s="1" t="s">
        <v>224</v>
      </c>
      <c r="DE38" s="1" t="s">
        <v>379</v>
      </c>
      <c r="DF38" s="1" t="s">
        <v>219</v>
      </c>
      <c r="DG38" s="1" t="s">
        <v>226</v>
      </c>
      <c r="DJ38" s="1" t="s">
        <v>224</v>
      </c>
      <c r="DM38" s="1" t="s">
        <v>347</v>
      </c>
      <c r="DR38" s="1" t="s">
        <v>346</v>
      </c>
      <c r="DS38" s="1" t="s">
        <v>277</v>
      </c>
      <c r="DT38" s="1" t="s">
        <v>220</v>
      </c>
      <c r="DU38" s="1" t="s">
        <v>343</v>
      </c>
      <c r="DW38" s="1" t="s">
        <v>230</v>
      </c>
      <c r="EA38" s="1" t="s">
        <v>230</v>
      </c>
      <c r="EE38" s="1" t="s">
        <v>230</v>
      </c>
      <c r="EI38" s="1" t="s">
        <v>230</v>
      </c>
      <c r="EL38" s="1" t="s">
        <v>231</v>
      </c>
      <c r="EM38" s="1" t="s">
        <v>319</v>
      </c>
      <c r="EN38" s="1" t="s">
        <v>282</v>
      </c>
      <c r="EO38" s="1" t="s">
        <v>234</v>
      </c>
      <c r="EP38" s="1" t="s">
        <v>1068</v>
      </c>
      <c r="EQ38" s="1" t="s">
        <v>236</v>
      </c>
      <c r="ER38" s="1" t="s">
        <v>1069</v>
      </c>
      <c r="ET38" s="1" t="s">
        <v>323</v>
      </c>
      <c r="EU38" s="1" t="s">
        <v>1070</v>
      </c>
      <c r="EW38" s="1" t="s">
        <v>1071</v>
      </c>
      <c r="EY38" s="1" t="s">
        <v>242</v>
      </c>
      <c r="EZ38" s="1" t="s">
        <v>347</v>
      </c>
      <c r="FA38" s="1" t="s">
        <v>1072</v>
      </c>
      <c r="FD38" s="1" t="s">
        <v>246</v>
      </c>
      <c r="FE38" s="1" t="s">
        <v>889</v>
      </c>
      <c r="FF38" s="1" t="s">
        <v>248</v>
      </c>
      <c r="FG38" s="1" t="s">
        <v>939</v>
      </c>
      <c r="FH38" s="1" t="s">
        <v>550</v>
      </c>
      <c r="FI38" s="1" t="s">
        <v>473</v>
      </c>
      <c r="FL38" s="1" t="s">
        <v>1073</v>
      </c>
      <c r="FM38" s="1" t="s">
        <v>252</v>
      </c>
      <c r="FN38" s="1" t="s">
        <v>213</v>
      </c>
      <c r="FO38" s="1" t="s">
        <v>213</v>
      </c>
      <c r="FQ38" s="1" t="s">
        <v>1074</v>
      </c>
      <c r="FR38" s="1" t="s">
        <v>210</v>
      </c>
      <c r="FS38" s="1" t="s">
        <v>1075</v>
      </c>
      <c r="FT38" s="1" t="s">
        <v>1076</v>
      </c>
      <c r="FU38" s="1" t="s">
        <v>204</v>
      </c>
      <c r="FW38" s="1" t="s">
        <v>1077</v>
      </c>
      <c r="FX38" s="1">
        <v>2752</v>
      </c>
      <c r="FY38" s="1" t="s">
        <v>1078</v>
      </c>
      <c r="FZ38" s="1" t="s">
        <v>1079</v>
      </c>
      <c r="GA38" s="1">
        <v>20946</v>
      </c>
      <c r="GB38" s="1" t="s">
        <v>1080</v>
      </c>
      <c r="GD38" s="1" t="s">
        <v>1081</v>
      </c>
      <c r="GE38" s="1" t="s">
        <v>480</v>
      </c>
      <c r="GI38" s="1" t="s">
        <v>213</v>
      </c>
      <c r="GJ38" s="1" t="s">
        <v>260</v>
      </c>
      <c r="GK38" s="1" t="s">
        <v>210</v>
      </c>
      <c r="GL38" s="2">
        <v>41983</v>
      </c>
      <c r="GM38" s="1" t="s">
        <v>1082</v>
      </c>
    </row>
    <row r="39" spans="1:195">
      <c r="A39" s="1">
        <v>134500</v>
      </c>
      <c r="B39" s="1" t="s">
        <v>195</v>
      </c>
      <c r="C39" s="1" t="str">
        <f>"08756190"</f>
        <v>08756190</v>
      </c>
      <c r="D39" s="1" t="s">
        <v>196</v>
      </c>
      <c r="F39" s="1" t="str">
        <f>"188"</f>
        <v>188</v>
      </c>
      <c r="G39" s="2">
        <v>41930</v>
      </c>
      <c r="H39" s="1">
        <v>139900</v>
      </c>
      <c r="I39" s="1">
        <v>139900</v>
      </c>
      <c r="J39" s="1">
        <v>134500</v>
      </c>
      <c r="K39" s="2">
        <v>41929</v>
      </c>
      <c r="L39" s="1">
        <v>7</v>
      </c>
      <c r="M39" s="2">
        <v>41935</v>
      </c>
      <c r="N39" s="1">
        <v>7</v>
      </c>
      <c r="O39" s="2">
        <v>41935</v>
      </c>
      <c r="P39" s="1">
        <v>24007</v>
      </c>
      <c r="Q39" s="1" t="s">
        <v>197</v>
      </c>
      <c r="R39" s="2">
        <v>41975</v>
      </c>
      <c r="S39" s="1">
        <v>219233</v>
      </c>
      <c r="U39" s="1">
        <v>388</v>
      </c>
      <c r="V39" s="1" t="s">
        <v>1083</v>
      </c>
      <c r="W39" s="1" t="s">
        <v>304</v>
      </c>
      <c r="Y39" s="1">
        <v>3</v>
      </c>
      <c r="Z39" s="1" t="s">
        <v>200</v>
      </c>
      <c r="AA39" s="1" t="s">
        <v>1084</v>
      </c>
      <c r="AB39" s="1">
        <v>60188</v>
      </c>
      <c r="AD39" s="1" t="s">
        <v>1085</v>
      </c>
      <c r="AE39" s="1" t="s">
        <v>1086</v>
      </c>
      <c r="AF39" s="1">
        <v>1989</v>
      </c>
      <c r="AG39" s="1" t="s">
        <v>204</v>
      </c>
      <c r="AH39" s="1" t="s">
        <v>1087</v>
      </c>
      <c r="AI39" s="1" t="s">
        <v>206</v>
      </c>
      <c r="AJ39" s="1" t="s">
        <v>269</v>
      </c>
      <c r="AK39" s="1" t="s">
        <v>1088</v>
      </c>
      <c r="AL39" s="1">
        <v>5</v>
      </c>
      <c r="AM39" s="1">
        <v>2</v>
      </c>
      <c r="AN39" s="1">
        <v>1</v>
      </c>
      <c r="AO39" s="1">
        <v>1</v>
      </c>
      <c r="AP39" s="1" t="s">
        <v>209</v>
      </c>
      <c r="AQ39" s="1">
        <v>0</v>
      </c>
      <c r="AR39" s="1" t="s">
        <v>210</v>
      </c>
      <c r="AS39" s="1" t="s">
        <v>204</v>
      </c>
      <c r="AT39" s="1" t="s">
        <v>211</v>
      </c>
      <c r="AU39" s="1">
        <v>1</v>
      </c>
      <c r="AW39" s="1" t="s">
        <v>204</v>
      </c>
      <c r="AX39" s="1" t="s">
        <v>212</v>
      </c>
      <c r="AZ39" s="1">
        <v>1965</v>
      </c>
      <c r="BA39" s="1">
        <v>2013</v>
      </c>
      <c r="BB39" s="1" t="s">
        <v>599</v>
      </c>
      <c r="BE39" s="1">
        <v>1232</v>
      </c>
      <c r="BF39" s="1">
        <v>1</v>
      </c>
      <c r="BG39" s="1">
        <v>0</v>
      </c>
      <c r="BL39" s="1">
        <v>236</v>
      </c>
      <c r="BM39" s="1" t="s">
        <v>204</v>
      </c>
      <c r="BN39" s="1" t="s">
        <v>213</v>
      </c>
      <c r="BO39" s="1">
        <v>999</v>
      </c>
      <c r="BP39" s="1" t="s">
        <v>204</v>
      </c>
      <c r="BR39" s="1" t="str">
        <f>"0219401052"</f>
        <v>0219401052</v>
      </c>
      <c r="BT39" s="1" t="s">
        <v>1089</v>
      </c>
      <c r="BU39" s="1" t="s">
        <v>1090</v>
      </c>
      <c r="BV39" s="1" t="s">
        <v>1091</v>
      </c>
      <c r="BW39" s="1" t="s">
        <v>1092</v>
      </c>
      <c r="BX39" s="1">
        <v>93</v>
      </c>
      <c r="BY39" s="1">
        <v>93</v>
      </c>
      <c r="BZ39" s="1">
        <v>87</v>
      </c>
      <c r="CB39" s="1" t="str">
        <f>"4"</f>
        <v>4</v>
      </c>
      <c r="CC39" s="1" t="str">
        <f>"0"</f>
        <v>0</v>
      </c>
      <c r="CD39" s="1">
        <v>26</v>
      </c>
      <c r="CE39" s="1">
        <v>0</v>
      </c>
      <c r="CG39" s="1" t="s">
        <v>228</v>
      </c>
      <c r="CH39" s="1" t="s">
        <v>219</v>
      </c>
      <c r="CI39" s="1" t="s">
        <v>220</v>
      </c>
      <c r="CK39" s="1" t="s">
        <v>344</v>
      </c>
      <c r="CL39" s="1" t="s">
        <v>219</v>
      </c>
      <c r="CM39" s="1" t="s">
        <v>220</v>
      </c>
      <c r="CO39" s="1" t="s">
        <v>409</v>
      </c>
      <c r="CP39" s="1" t="s">
        <v>219</v>
      </c>
      <c r="CQ39" s="1" t="s">
        <v>220</v>
      </c>
      <c r="CS39" s="1" t="s">
        <v>281</v>
      </c>
      <c r="CT39" s="1" t="s">
        <v>219</v>
      </c>
      <c r="CU39" s="1" t="s">
        <v>220</v>
      </c>
      <c r="CX39" s="1" t="s">
        <v>224</v>
      </c>
      <c r="DB39" s="1" t="s">
        <v>224</v>
      </c>
      <c r="DE39" s="1" t="s">
        <v>516</v>
      </c>
      <c r="DF39" s="1" t="s">
        <v>219</v>
      </c>
      <c r="DG39" s="1" t="s">
        <v>226</v>
      </c>
      <c r="DJ39" s="1" t="s">
        <v>224</v>
      </c>
      <c r="DS39" s="1" t="s">
        <v>230</v>
      </c>
      <c r="DW39" s="1" t="s">
        <v>230</v>
      </c>
      <c r="EA39" s="1" t="s">
        <v>230</v>
      </c>
      <c r="EE39" s="1" t="s">
        <v>230</v>
      </c>
      <c r="EI39" s="1" t="s">
        <v>230</v>
      </c>
      <c r="EL39" s="1" t="s">
        <v>382</v>
      </c>
      <c r="EM39" s="1" t="s">
        <v>232</v>
      </c>
      <c r="EN39" s="1" t="s">
        <v>282</v>
      </c>
      <c r="EO39" s="1" t="s">
        <v>234</v>
      </c>
      <c r="EP39" s="1" t="s">
        <v>1093</v>
      </c>
      <c r="EQ39" s="1" t="s">
        <v>1094</v>
      </c>
      <c r="ER39" s="1" t="s">
        <v>210</v>
      </c>
      <c r="EV39" s="1" t="s">
        <v>352</v>
      </c>
      <c r="EW39" s="1" t="s">
        <v>353</v>
      </c>
      <c r="EY39" s="1" t="s">
        <v>441</v>
      </c>
      <c r="EZ39" s="1" t="s">
        <v>287</v>
      </c>
      <c r="FD39" s="1" t="s">
        <v>246</v>
      </c>
      <c r="FE39" s="1" t="s">
        <v>472</v>
      </c>
      <c r="FF39" s="1" t="s">
        <v>248</v>
      </c>
      <c r="FH39" s="1" t="s">
        <v>825</v>
      </c>
      <c r="FI39" s="1" t="s">
        <v>473</v>
      </c>
      <c r="FJ39" s="1" t="s">
        <v>197</v>
      </c>
      <c r="FL39" s="1" t="s">
        <v>358</v>
      </c>
      <c r="FM39" s="1" t="s">
        <v>252</v>
      </c>
      <c r="FN39" s="1" t="s">
        <v>213</v>
      </c>
      <c r="FO39" s="1" t="s">
        <v>213</v>
      </c>
      <c r="FQ39" s="1" t="s">
        <v>1095</v>
      </c>
      <c r="FR39" s="1" t="s">
        <v>210</v>
      </c>
      <c r="FS39" s="1" t="s">
        <v>1096</v>
      </c>
      <c r="FT39" s="1" t="s">
        <v>255</v>
      </c>
      <c r="FU39" s="1" t="s">
        <v>204</v>
      </c>
      <c r="FW39" s="1" t="s">
        <v>1097</v>
      </c>
      <c r="FX39" s="1">
        <v>25005</v>
      </c>
      <c r="FY39" s="1" t="s">
        <v>1098</v>
      </c>
      <c r="FZ39" s="1" t="s">
        <v>1099</v>
      </c>
      <c r="GA39" s="1">
        <v>254114</v>
      </c>
      <c r="GB39" s="1" t="s">
        <v>1100</v>
      </c>
      <c r="GC39" s="1">
        <v>253729</v>
      </c>
      <c r="GE39" s="1" t="s">
        <v>210</v>
      </c>
      <c r="GI39" s="1" t="s">
        <v>213</v>
      </c>
      <c r="GJ39" s="1" t="s">
        <v>260</v>
      </c>
      <c r="GK39" s="1" t="s">
        <v>210</v>
      </c>
      <c r="GL39" s="2">
        <v>41976</v>
      </c>
    </row>
    <row r="40" spans="1:195">
      <c r="A40" s="1">
        <v>130000</v>
      </c>
      <c r="B40" s="1" t="s">
        <v>195</v>
      </c>
      <c r="C40" s="1" t="str">
        <f>"08764116"</f>
        <v>08764116</v>
      </c>
      <c r="D40" s="1" t="s">
        <v>196</v>
      </c>
      <c r="F40" s="1" t="str">
        <f>"137"</f>
        <v>137</v>
      </c>
      <c r="G40" s="2">
        <v>41941</v>
      </c>
      <c r="H40" s="1">
        <v>149000</v>
      </c>
      <c r="I40" s="1">
        <v>145000</v>
      </c>
      <c r="J40" s="1">
        <v>130000</v>
      </c>
      <c r="K40" s="2">
        <v>41941</v>
      </c>
      <c r="L40" s="1">
        <v>55</v>
      </c>
      <c r="M40" s="2">
        <v>41995</v>
      </c>
      <c r="N40" s="1">
        <v>55</v>
      </c>
      <c r="O40" s="2">
        <v>41995</v>
      </c>
      <c r="P40" s="1">
        <v>20001</v>
      </c>
      <c r="Q40" s="1" t="s">
        <v>302</v>
      </c>
      <c r="R40" s="2">
        <v>42062</v>
      </c>
      <c r="S40" s="1">
        <v>213691</v>
      </c>
      <c r="U40" s="1">
        <v>448</v>
      </c>
      <c r="V40" s="1" t="s">
        <v>1101</v>
      </c>
      <c r="W40" s="1" t="s">
        <v>304</v>
      </c>
      <c r="X40" s="1" t="s">
        <v>1102</v>
      </c>
      <c r="Y40" s="1">
        <v>75</v>
      </c>
      <c r="Z40" s="1" t="s">
        <v>249</v>
      </c>
      <c r="AA40" s="1" t="s">
        <v>201</v>
      </c>
      <c r="AB40" s="1">
        <v>60137</v>
      </c>
      <c r="AD40" s="1" t="s">
        <v>1101</v>
      </c>
      <c r="AE40" s="1" t="s">
        <v>1103</v>
      </c>
      <c r="AF40" s="1">
        <v>1974</v>
      </c>
      <c r="AG40" s="1" t="s">
        <v>213</v>
      </c>
      <c r="AH40" s="1" t="s">
        <v>205</v>
      </c>
      <c r="AI40" s="1" t="s">
        <v>206</v>
      </c>
      <c r="AJ40" s="1" t="s">
        <v>207</v>
      </c>
      <c r="AL40" s="1">
        <v>5</v>
      </c>
      <c r="AM40" s="1">
        <v>2</v>
      </c>
      <c r="AN40" s="1">
        <v>2</v>
      </c>
      <c r="AO40" s="1">
        <v>0</v>
      </c>
      <c r="AP40" s="1" t="s">
        <v>209</v>
      </c>
      <c r="AR40" s="1" t="s">
        <v>210</v>
      </c>
      <c r="AS40" s="1" t="s">
        <v>204</v>
      </c>
      <c r="AT40" s="1" t="s">
        <v>211</v>
      </c>
      <c r="AU40" s="1">
        <v>1</v>
      </c>
      <c r="AW40" s="1" t="s">
        <v>204</v>
      </c>
      <c r="AX40" s="1">
        <v>1420</v>
      </c>
      <c r="AZ40" s="1">
        <v>2494.1999999999998</v>
      </c>
      <c r="BA40" s="1">
        <v>2013</v>
      </c>
      <c r="BB40" s="1" t="s">
        <v>405</v>
      </c>
      <c r="BE40" s="1">
        <v>1420</v>
      </c>
      <c r="BF40" s="1">
        <v>5</v>
      </c>
      <c r="BG40" s="1">
        <v>0</v>
      </c>
      <c r="BJ40" s="1">
        <v>100</v>
      </c>
      <c r="BL40" s="1">
        <v>306</v>
      </c>
      <c r="BM40" s="1" t="s">
        <v>204</v>
      </c>
      <c r="BN40" s="1" t="s">
        <v>204</v>
      </c>
      <c r="BP40" s="1" t="s">
        <v>204</v>
      </c>
      <c r="BR40" s="1" t="str">
        <f>"0523319072"</f>
        <v>0523319072</v>
      </c>
      <c r="BT40" s="1" t="s">
        <v>1104</v>
      </c>
      <c r="BU40" s="1" t="s">
        <v>215</v>
      </c>
      <c r="BV40" s="1" t="s">
        <v>216</v>
      </c>
      <c r="BW40" s="1" t="s">
        <v>217</v>
      </c>
      <c r="BX40" s="1">
        <v>89</v>
      </c>
      <c r="BY40" s="1">
        <v>89</v>
      </c>
      <c r="BZ40" s="1">
        <v>87</v>
      </c>
      <c r="CB40" s="1" t="str">
        <f t="shared" ref="CB40:CC40" si="27">"0"</f>
        <v>0</v>
      </c>
      <c r="CC40" s="1" t="str">
        <f t="shared" si="27"/>
        <v>0</v>
      </c>
      <c r="CD40" s="1">
        <v>22</v>
      </c>
      <c r="CE40" s="1">
        <v>1</v>
      </c>
      <c r="CG40" s="1" t="s">
        <v>1105</v>
      </c>
      <c r="CH40" s="1" t="s">
        <v>219</v>
      </c>
      <c r="CI40" s="1" t="s">
        <v>438</v>
      </c>
      <c r="CK40" s="1" t="s">
        <v>1106</v>
      </c>
      <c r="CL40" s="1" t="s">
        <v>219</v>
      </c>
      <c r="CM40" s="1" t="s">
        <v>438</v>
      </c>
      <c r="CO40" s="1" t="s">
        <v>836</v>
      </c>
      <c r="CP40" s="1" t="s">
        <v>219</v>
      </c>
      <c r="CQ40" s="1" t="s">
        <v>438</v>
      </c>
      <c r="CS40" s="1" t="s">
        <v>1107</v>
      </c>
      <c r="CT40" s="1" t="s">
        <v>219</v>
      </c>
      <c r="CU40" s="1" t="s">
        <v>438</v>
      </c>
      <c r="CX40" s="1" t="s">
        <v>224</v>
      </c>
      <c r="DB40" s="1" t="s">
        <v>224</v>
      </c>
      <c r="DE40" s="1" t="s">
        <v>408</v>
      </c>
      <c r="DF40" s="1" t="s">
        <v>219</v>
      </c>
      <c r="DG40" s="1" t="s">
        <v>438</v>
      </c>
      <c r="DJ40" s="1" t="s">
        <v>224</v>
      </c>
      <c r="DS40" s="1" t="s">
        <v>230</v>
      </c>
      <c r="DW40" s="1" t="s">
        <v>230</v>
      </c>
      <c r="EA40" s="1" t="s">
        <v>230</v>
      </c>
      <c r="EE40" s="1" t="s">
        <v>230</v>
      </c>
      <c r="EI40" s="1" t="s">
        <v>230</v>
      </c>
      <c r="EL40" s="1" t="s">
        <v>231</v>
      </c>
      <c r="EM40" s="1" t="s">
        <v>232</v>
      </c>
      <c r="EN40" s="1" t="s">
        <v>282</v>
      </c>
      <c r="EO40" s="1" t="s">
        <v>234</v>
      </c>
      <c r="EP40" s="1" t="s">
        <v>1108</v>
      </c>
      <c r="EQ40" s="1" t="s">
        <v>1109</v>
      </c>
      <c r="ER40" s="1" t="s">
        <v>210</v>
      </c>
      <c r="EU40" s="1" t="s">
        <v>1110</v>
      </c>
      <c r="EV40" s="1" t="s">
        <v>324</v>
      </c>
      <c r="EW40" s="1" t="s">
        <v>1111</v>
      </c>
      <c r="EZ40" s="1" t="s">
        <v>287</v>
      </c>
      <c r="FB40" s="1" t="s">
        <v>244</v>
      </c>
      <c r="FC40" s="1" t="s">
        <v>633</v>
      </c>
      <c r="FD40" s="1" t="s">
        <v>1112</v>
      </c>
      <c r="FE40" s="1" t="s">
        <v>247</v>
      </c>
      <c r="FF40" s="1" t="s">
        <v>1113</v>
      </c>
      <c r="FH40" s="1" t="s">
        <v>249</v>
      </c>
      <c r="FI40" s="1" t="s">
        <v>1114</v>
      </c>
      <c r="FL40" s="1" t="s">
        <v>1073</v>
      </c>
      <c r="FM40" s="1" t="s">
        <v>252</v>
      </c>
      <c r="FN40" s="1" t="s">
        <v>213</v>
      </c>
      <c r="FO40" s="1" t="s">
        <v>213</v>
      </c>
      <c r="FQ40" s="1" t="s">
        <v>1115</v>
      </c>
      <c r="FR40" s="1" t="s">
        <v>210</v>
      </c>
      <c r="FS40" s="1" t="s">
        <v>1116</v>
      </c>
      <c r="FT40" s="1" t="s">
        <v>295</v>
      </c>
      <c r="FU40" s="1" t="s">
        <v>204</v>
      </c>
      <c r="FW40" s="1" t="s">
        <v>1117</v>
      </c>
      <c r="FX40" s="1">
        <v>22218</v>
      </c>
      <c r="FY40" s="1" t="s">
        <v>1118</v>
      </c>
      <c r="FZ40" s="1" t="s">
        <v>1119</v>
      </c>
      <c r="GA40" s="1">
        <v>228074</v>
      </c>
      <c r="GE40" s="1" t="s">
        <v>1120</v>
      </c>
      <c r="GI40" s="1" t="s">
        <v>204</v>
      </c>
      <c r="GJ40" s="1" t="s">
        <v>260</v>
      </c>
      <c r="GK40" s="1" t="s">
        <v>210</v>
      </c>
      <c r="GL40" s="2">
        <v>42074</v>
      </c>
      <c r="GM40" s="1" t="s">
        <v>1121</v>
      </c>
    </row>
    <row r="41" spans="1:195">
      <c r="A41" s="1">
        <v>138000</v>
      </c>
      <c r="B41" s="1" t="s">
        <v>195</v>
      </c>
      <c r="C41" s="1" t="str">
        <f>"08760367"</f>
        <v>08760367</v>
      </c>
      <c r="D41" s="1" t="s">
        <v>196</v>
      </c>
      <c r="F41" s="1" t="str">
        <f>"507"</f>
        <v>507</v>
      </c>
      <c r="G41" s="2">
        <v>41935</v>
      </c>
      <c r="H41" s="1">
        <v>144900</v>
      </c>
      <c r="I41" s="1">
        <v>144900</v>
      </c>
      <c r="J41" s="1">
        <v>138000</v>
      </c>
      <c r="K41" s="2">
        <v>41935</v>
      </c>
      <c r="L41" s="1">
        <v>55</v>
      </c>
      <c r="M41" s="2">
        <v>41989</v>
      </c>
      <c r="N41" s="1">
        <v>55</v>
      </c>
      <c r="O41" s="2">
        <v>41989</v>
      </c>
      <c r="P41" s="1">
        <v>300</v>
      </c>
      <c r="Q41" s="1" t="s">
        <v>423</v>
      </c>
      <c r="R41" s="2">
        <v>42068</v>
      </c>
      <c r="S41" s="1">
        <v>8504</v>
      </c>
      <c r="T41" s="1">
        <v>3000</v>
      </c>
      <c r="U41" s="1">
        <v>2265</v>
      </c>
      <c r="V41" s="1" t="s">
        <v>1122</v>
      </c>
      <c r="W41" s="1" t="s">
        <v>264</v>
      </c>
      <c r="Y41" s="1">
        <v>6</v>
      </c>
      <c r="Z41" s="1" t="s">
        <v>370</v>
      </c>
      <c r="AA41" s="1" t="s">
        <v>1123</v>
      </c>
      <c r="AB41" s="1">
        <v>60502</v>
      </c>
      <c r="AD41" s="1" t="s">
        <v>1124</v>
      </c>
      <c r="AE41" s="1" t="s">
        <v>1125</v>
      </c>
      <c r="AF41" s="1">
        <v>1999</v>
      </c>
      <c r="AG41" s="1" t="s">
        <v>204</v>
      </c>
      <c r="AH41" s="1" t="s">
        <v>1126</v>
      </c>
      <c r="AI41" s="1" t="s">
        <v>206</v>
      </c>
      <c r="AJ41" s="1" t="s">
        <v>924</v>
      </c>
      <c r="AK41" s="1" t="s">
        <v>1127</v>
      </c>
      <c r="AL41" s="1">
        <v>5</v>
      </c>
      <c r="AM41" s="1">
        <v>2</v>
      </c>
      <c r="AN41" s="1">
        <v>2</v>
      </c>
      <c r="AO41" s="1">
        <v>1</v>
      </c>
      <c r="AP41" s="1" t="s">
        <v>209</v>
      </c>
      <c r="AR41" s="1" t="s">
        <v>210</v>
      </c>
      <c r="AS41" s="1" t="s">
        <v>204</v>
      </c>
      <c r="AT41" s="1" t="s">
        <v>375</v>
      </c>
      <c r="AU41" s="1">
        <v>2</v>
      </c>
      <c r="AV41" s="1">
        <v>2</v>
      </c>
      <c r="AW41" s="1" t="s">
        <v>204</v>
      </c>
      <c r="AX41" s="1" t="s">
        <v>212</v>
      </c>
      <c r="AZ41" s="1">
        <v>3385</v>
      </c>
      <c r="BA41" s="1">
        <v>2013</v>
      </c>
      <c r="BE41" s="1">
        <v>1404</v>
      </c>
      <c r="BF41" s="1">
        <v>1</v>
      </c>
      <c r="BG41" s="1">
        <v>0</v>
      </c>
      <c r="BL41" s="1">
        <v>185</v>
      </c>
      <c r="BM41" s="1" t="s">
        <v>204</v>
      </c>
      <c r="BN41" s="1" t="s">
        <v>213</v>
      </c>
      <c r="BO41" s="1">
        <v>0</v>
      </c>
      <c r="BP41" s="1" t="s">
        <v>204</v>
      </c>
      <c r="BR41" s="1" t="str">
        <f>"0719104078"</f>
        <v>0719104078</v>
      </c>
      <c r="BT41" s="1" t="s">
        <v>1128</v>
      </c>
      <c r="BU41" s="1" t="s">
        <v>1129</v>
      </c>
      <c r="BV41" s="1" t="s">
        <v>1130</v>
      </c>
      <c r="BW41" s="1" t="s">
        <v>1131</v>
      </c>
      <c r="BX41" s="1">
        <v>204</v>
      </c>
      <c r="BY41" s="1">
        <v>204</v>
      </c>
      <c r="BZ41" s="1">
        <v>204</v>
      </c>
      <c r="CB41" s="1" t="str">
        <f t="shared" ref="CB41:CC41" si="28">""</f>
        <v/>
      </c>
      <c r="CC41" s="1" t="str">
        <f t="shared" si="28"/>
        <v/>
      </c>
      <c r="CG41" s="1" t="s">
        <v>1132</v>
      </c>
      <c r="CH41" s="1" t="s">
        <v>219</v>
      </c>
      <c r="CI41" s="1" t="s">
        <v>220</v>
      </c>
      <c r="CJ41" s="1" t="s">
        <v>343</v>
      </c>
      <c r="CK41" s="1" t="s">
        <v>1132</v>
      </c>
      <c r="CL41" s="1" t="s">
        <v>277</v>
      </c>
      <c r="CM41" s="1" t="s">
        <v>220</v>
      </c>
      <c r="CN41" s="1" t="s">
        <v>343</v>
      </c>
      <c r="CO41" s="1" t="s">
        <v>316</v>
      </c>
      <c r="CP41" s="1" t="s">
        <v>219</v>
      </c>
      <c r="CQ41" s="1" t="s">
        <v>226</v>
      </c>
      <c r="CR41" s="1" t="s">
        <v>343</v>
      </c>
      <c r="CS41" s="1" t="s">
        <v>465</v>
      </c>
      <c r="CT41" s="1" t="s">
        <v>277</v>
      </c>
      <c r="CU41" s="1" t="s">
        <v>220</v>
      </c>
      <c r="CV41" s="1" t="s">
        <v>343</v>
      </c>
      <c r="CX41" s="1" t="s">
        <v>224</v>
      </c>
      <c r="DB41" s="1" t="s">
        <v>224</v>
      </c>
      <c r="DE41" s="1" t="s">
        <v>1133</v>
      </c>
      <c r="DF41" s="1" t="s">
        <v>219</v>
      </c>
      <c r="DG41" s="1" t="s">
        <v>226</v>
      </c>
      <c r="DH41" s="1" t="s">
        <v>343</v>
      </c>
      <c r="DJ41" s="1" t="s">
        <v>224</v>
      </c>
      <c r="DS41" s="1" t="s">
        <v>230</v>
      </c>
      <c r="DW41" s="1" t="s">
        <v>230</v>
      </c>
      <c r="EA41" s="1" t="s">
        <v>230</v>
      </c>
      <c r="EE41" s="1" t="s">
        <v>230</v>
      </c>
      <c r="EI41" s="1" t="s">
        <v>230</v>
      </c>
      <c r="EL41" s="1" t="s">
        <v>670</v>
      </c>
      <c r="EM41" s="1" t="s">
        <v>319</v>
      </c>
      <c r="EN41" s="1" t="s">
        <v>282</v>
      </c>
      <c r="EO41" s="1" t="s">
        <v>840</v>
      </c>
      <c r="EP41" s="1" t="s">
        <v>650</v>
      </c>
      <c r="EQ41" s="1" t="s">
        <v>492</v>
      </c>
      <c r="ER41" s="1" t="s">
        <v>383</v>
      </c>
      <c r="ES41" s="1" t="s">
        <v>322</v>
      </c>
      <c r="EU41" s="1" t="s">
        <v>712</v>
      </c>
      <c r="EW41" s="1" t="s">
        <v>1134</v>
      </c>
      <c r="EY41" s="1" t="s">
        <v>790</v>
      </c>
      <c r="EZ41" s="1" t="s">
        <v>287</v>
      </c>
      <c r="FB41" s="1" t="s">
        <v>289</v>
      </c>
      <c r="FC41" s="1" t="s">
        <v>633</v>
      </c>
      <c r="FD41" s="1" t="s">
        <v>246</v>
      </c>
      <c r="FE41" s="1" t="s">
        <v>1031</v>
      </c>
      <c r="FF41" s="1" t="s">
        <v>248</v>
      </c>
      <c r="FH41" s="1" t="s">
        <v>550</v>
      </c>
      <c r="FI41" s="1" t="s">
        <v>357</v>
      </c>
      <c r="FJ41" s="1" t="s">
        <v>1135</v>
      </c>
      <c r="FK41" s="1" t="s">
        <v>1136</v>
      </c>
      <c r="FL41" s="1" t="s">
        <v>358</v>
      </c>
      <c r="FM41" s="1" t="s">
        <v>252</v>
      </c>
      <c r="FN41" s="1" t="s">
        <v>213</v>
      </c>
      <c r="FO41" s="1" t="s">
        <v>213</v>
      </c>
      <c r="FQ41" s="1" t="s">
        <v>1137</v>
      </c>
      <c r="FR41" s="1" t="s">
        <v>210</v>
      </c>
      <c r="FS41" s="1" t="s">
        <v>1138</v>
      </c>
      <c r="FT41" s="1" t="s">
        <v>1139</v>
      </c>
      <c r="FU41" s="1" t="s">
        <v>204</v>
      </c>
      <c r="FW41" s="1" t="s">
        <v>1140</v>
      </c>
      <c r="FX41" s="1">
        <v>21621</v>
      </c>
      <c r="FY41" s="1" t="s">
        <v>1141</v>
      </c>
      <c r="FZ41" s="1" t="s">
        <v>1142</v>
      </c>
      <c r="GA41" s="1">
        <v>242499</v>
      </c>
      <c r="GB41" s="1" t="s">
        <v>1143</v>
      </c>
      <c r="GC41" s="1">
        <v>233344</v>
      </c>
      <c r="GD41" s="1" t="s">
        <v>1144</v>
      </c>
      <c r="GE41" s="1" t="s">
        <v>1145</v>
      </c>
      <c r="GI41" s="1" t="s">
        <v>213</v>
      </c>
      <c r="GJ41" s="1" t="s">
        <v>260</v>
      </c>
      <c r="GK41" s="1" t="s">
        <v>210</v>
      </c>
      <c r="GL41" s="2">
        <v>42068</v>
      </c>
      <c r="GM41" s="1" t="s">
        <v>1146</v>
      </c>
    </row>
    <row r="42" spans="1:195">
      <c r="A42" s="1">
        <v>120000</v>
      </c>
      <c r="B42" s="1" t="s">
        <v>195</v>
      </c>
      <c r="C42" s="1" t="str">
        <f>"08764586"</f>
        <v>08764586</v>
      </c>
      <c r="D42" s="1" t="s">
        <v>196</v>
      </c>
      <c r="F42" s="1" t="str">
        <f>"525"</f>
        <v>525</v>
      </c>
      <c r="G42" s="2">
        <v>41941</v>
      </c>
      <c r="H42" s="1">
        <v>112875</v>
      </c>
      <c r="I42" s="1">
        <v>112875</v>
      </c>
      <c r="J42" s="1">
        <v>120000</v>
      </c>
      <c r="K42" s="2">
        <v>41941</v>
      </c>
      <c r="L42" s="1">
        <v>3</v>
      </c>
      <c r="M42" s="2">
        <v>41943</v>
      </c>
      <c r="N42" s="1">
        <v>3</v>
      </c>
      <c r="O42" s="2">
        <v>41943</v>
      </c>
      <c r="P42" s="1">
        <v>22375</v>
      </c>
      <c r="Q42" s="1" t="s">
        <v>197</v>
      </c>
      <c r="R42" s="2">
        <v>41989</v>
      </c>
      <c r="S42" s="1">
        <v>224155</v>
      </c>
      <c r="T42" s="1">
        <v>3000</v>
      </c>
      <c r="U42" s="1">
        <v>81</v>
      </c>
      <c r="V42" s="1" t="s">
        <v>1147</v>
      </c>
      <c r="W42" s="1" t="s">
        <v>425</v>
      </c>
      <c r="X42" s="1">
        <v>206</v>
      </c>
      <c r="Y42" s="1">
        <v>18</v>
      </c>
      <c r="Z42" s="1" t="s">
        <v>249</v>
      </c>
      <c r="AA42" s="1" t="s">
        <v>1148</v>
      </c>
      <c r="AB42" s="1">
        <v>60525</v>
      </c>
      <c r="AE42" s="1" t="s">
        <v>1149</v>
      </c>
      <c r="AF42" s="1">
        <v>1965</v>
      </c>
      <c r="AG42" s="1" t="s">
        <v>213</v>
      </c>
      <c r="AH42" s="1" t="s">
        <v>1150</v>
      </c>
      <c r="AI42" s="1" t="s">
        <v>310</v>
      </c>
      <c r="AJ42" s="1" t="s">
        <v>702</v>
      </c>
      <c r="AK42" s="1" t="s">
        <v>1151</v>
      </c>
      <c r="AL42" s="1">
        <v>5</v>
      </c>
      <c r="AM42" s="1">
        <v>2</v>
      </c>
      <c r="AN42" s="1">
        <v>1</v>
      </c>
      <c r="AO42" s="1">
        <v>0</v>
      </c>
      <c r="AP42" s="1" t="s">
        <v>210</v>
      </c>
      <c r="AQ42" s="1">
        <v>0</v>
      </c>
      <c r="AR42" s="1" t="s">
        <v>210</v>
      </c>
      <c r="AS42" s="1" t="s">
        <v>204</v>
      </c>
      <c r="AT42" s="1" t="s">
        <v>271</v>
      </c>
      <c r="AV42" s="1">
        <v>2</v>
      </c>
      <c r="AW42" s="1" t="s">
        <v>204</v>
      </c>
      <c r="AX42" s="1" t="s">
        <v>212</v>
      </c>
      <c r="AZ42" s="1">
        <v>2024.79</v>
      </c>
      <c r="BA42" s="1">
        <v>2013</v>
      </c>
      <c r="BB42" s="1" t="s">
        <v>599</v>
      </c>
      <c r="BE42" s="1">
        <v>900</v>
      </c>
      <c r="BF42" s="1">
        <v>2</v>
      </c>
      <c r="BG42" s="1">
        <v>30</v>
      </c>
      <c r="BJ42" s="1">
        <v>100</v>
      </c>
      <c r="BL42" s="1">
        <v>297</v>
      </c>
      <c r="BM42" s="1" t="s">
        <v>204</v>
      </c>
      <c r="BN42" s="1" t="s">
        <v>204</v>
      </c>
      <c r="BP42" s="1" t="s">
        <v>204</v>
      </c>
      <c r="BR42" s="1" t="str">
        <f>"18042310381012"</f>
        <v>18042310381012</v>
      </c>
      <c r="BT42" s="1" t="s">
        <v>1152</v>
      </c>
      <c r="BU42" s="1" t="s">
        <v>1153</v>
      </c>
      <c r="BV42" s="1" t="s">
        <v>1154</v>
      </c>
      <c r="BW42" s="1" t="s">
        <v>706</v>
      </c>
      <c r="BX42" s="1">
        <v>102</v>
      </c>
      <c r="BY42" s="1">
        <v>102</v>
      </c>
      <c r="BZ42" s="1">
        <v>204</v>
      </c>
      <c r="CB42" s="1" t="str">
        <f t="shared" ref="CB42:CC42" si="29">"0"</f>
        <v>0</v>
      </c>
      <c r="CC42" s="1" t="str">
        <f t="shared" si="29"/>
        <v>0</v>
      </c>
      <c r="CD42" s="1">
        <v>12</v>
      </c>
      <c r="CE42" s="1">
        <v>4</v>
      </c>
      <c r="CG42" s="1" t="s">
        <v>1155</v>
      </c>
      <c r="CH42" s="1" t="s">
        <v>219</v>
      </c>
      <c r="CI42" s="1" t="s">
        <v>438</v>
      </c>
      <c r="CJ42" s="1" t="s">
        <v>210</v>
      </c>
      <c r="CK42" s="1" t="s">
        <v>344</v>
      </c>
      <c r="CL42" s="1" t="s">
        <v>219</v>
      </c>
      <c r="CM42" s="1" t="s">
        <v>220</v>
      </c>
      <c r="CN42" s="1" t="s">
        <v>343</v>
      </c>
      <c r="CO42" s="1" t="s">
        <v>1156</v>
      </c>
      <c r="CP42" s="1" t="s">
        <v>219</v>
      </c>
      <c r="CQ42" s="1" t="s">
        <v>438</v>
      </c>
      <c r="CR42" s="1" t="s">
        <v>343</v>
      </c>
      <c r="CS42" s="1" t="s">
        <v>465</v>
      </c>
      <c r="CT42" s="1" t="s">
        <v>219</v>
      </c>
      <c r="CU42" s="1" t="s">
        <v>220</v>
      </c>
      <c r="CV42" s="1" t="s">
        <v>343</v>
      </c>
      <c r="CX42" s="1" t="s">
        <v>224</v>
      </c>
      <c r="DB42" s="1" t="s">
        <v>224</v>
      </c>
      <c r="DE42" s="1" t="s">
        <v>1157</v>
      </c>
      <c r="DF42" s="1" t="s">
        <v>219</v>
      </c>
      <c r="DG42" s="1" t="s">
        <v>226</v>
      </c>
      <c r="DH42" s="1" t="s">
        <v>463</v>
      </c>
      <c r="DJ42" s="1" t="s">
        <v>224</v>
      </c>
      <c r="DS42" s="1" t="s">
        <v>230</v>
      </c>
      <c r="DW42" s="1" t="s">
        <v>230</v>
      </c>
      <c r="EA42" s="1" t="s">
        <v>230</v>
      </c>
      <c r="EE42" s="1" t="s">
        <v>230</v>
      </c>
      <c r="EI42" s="1" t="s">
        <v>230</v>
      </c>
      <c r="EL42" s="1" t="s">
        <v>605</v>
      </c>
      <c r="EM42" s="1" t="s">
        <v>232</v>
      </c>
      <c r="EN42" s="1" t="s">
        <v>1158</v>
      </c>
      <c r="EO42" s="1" t="s">
        <v>234</v>
      </c>
      <c r="EP42" s="1" t="s">
        <v>1159</v>
      </c>
      <c r="EQ42" s="1" t="s">
        <v>492</v>
      </c>
      <c r="ER42" s="1" t="s">
        <v>210</v>
      </c>
      <c r="ES42" s="1" t="s">
        <v>1160</v>
      </c>
      <c r="ET42" s="1" t="s">
        <v>1161</v>
      </c>
      <c r="EU42" s="1" t="s">
        <v>712</v>
      </c>
      <c r="EV42" s="1" t="s">
        <v>240</v>
      </c>
      <c r="EW42" s="1" t="s">
        <v>1162</v>
      </c>
      <c r="EY42" s="1" t="s">
        <v>242</v>
      </c>
      <c r="EZ42" s="1" t="s">
        <v>287</v>
      </c>
      <c r="FA42" s="1" t="s">
        <v>1163</v>
      </c>
      <c r="FB42" s="1" t="s">
        <v>289</v>
      </c>
      <c r="FC42" s="1" t="s">
        <v>633</v>
      </c>
      <c r="FD42" s="1" t="s">
        <v>1112</v>
      </c>
      <c r="FE42" s="1" t="s">
        <v>247</v>
      </c>
      <c r="FF42" s="1" t="s">
        <v>248</v>
      </c>
      <c r="FH42" s="1" t="s">
        <v>249</v>
      </c>
      <c r="FJ42" s="1" t="s">
        <v>518</v>
      </c>
      <c r="FK42" s="1" t="s">
        <v>291</v>
      </c>
      <c r="FL42" s="1" t="s">
        <v>1164</v>
      </c>
      <c r="FM42" s="1" t="s">
        <v>252</v>
      </c>
      <c r="FN42" s="1" t="s">
        <v>213</v>
      </c>
      <c r="FO42" s="1" t="s">
        <v>213</v>
      </c>
      <c r="FQ42" s="1" t="s">
        <v>329</v>
      </c>
      <c r="FR42" s="1" t="s">
        <v>210</v>
      </c>
      <c r="FS42" s="1" t="s">
        <v>1165</v>
      </c>
      <c r="FT42" s="1" t="s">
        <v>295</v>
      </c>
      <c r="FU42" s="1" t="s">
        <v>204</v>
      </c>
      <c r="FW42" s="1" t="s">
        <v>585</v>
      </c>
      <c r="FX42" s="1">
        <v>23610</v>
      </c>
      <c r="FY42" s="1" t="s">
        <v>1166</v>
      </c>
      <c r="FZ42" s="1" t="s">
        <v>1167</v>
      </c>
      <c r="GA42" s="1">
        <v>228155</v>
      </c>
      <c r="GB42" s="1" t="s">
        <v>1168</v>
      </c>
      <c r="GC42" s="1">
        <v>235512</v>
      </c>
      <c r="GD42" s="1" t="s">
        <v>1169</v>
      </c>
      <c r="GE42" s="1" t="s">
        <v>1170</v>
      </c>
      <c r="GI42" s="1" t="s">
        <v>213</v>
      </c>
      <c r="GJ42" s="1" t="s">
        <v>260</v>
      </c>
      <c r="GK42" s="1" t="s">
        <v>210</v>
      </c>
      <c r="GL42" s="2">
        <v>41989</v>
      </c>
      <c r="GM42" s="1" t="s">
        <v>1171</v>
      </c>
    </row>
    <row r="43" spans="1:195">
      <c r="A43" s="1">
        <v>95000</v>
      </c>
      <c r="B43" s="1" t="s">
        <v>195</v>
      </c>
      <c r="C43" s="1" t="str">
        <f>"08758764"</f>
        <v>08758764</v>
      </c>
      <c r="D43" s="1" t="s">
        <v>196</v>
      </c>
      <c r="F43" s="1" t="str">
        <f>"123"</f>
        <v>123</v>
      </c>
      <c r="G43" s="2">
        <v>41934</v>
      </c>
      <c r="H43" s="1">
        <v>107000</v>
      </c>
      <c r="I43" s="1">
        <v>102900</v>
      </c>
      <c r="J43" s="1">
        <v>95000</v>
      </c>
      <c r="K43" s="2">
        <v>41934</v>
      </c>
      <c r="L43" s="1">
        <v>101</v>
      </c>
      <c r="M43" s="2">
        <v>42034</v>
      </c>
      <c r="N43" s="1">
        <v>101</v>
      </c>
      <c r="O43" s="2">
        <v>42034</v>
      </c>
      <c r="P43" s="1">
        <v>7450</v>
      </c>
      <c r="Q43" s="1" t="s">
        <v>197</v>
      </c>
      <c r="R43" s="2">
        <v>42082</v>
      </c>
      <c r="S43" s="1">
        <v>70016</v>
      </c>
      <c r="U43" s="1">
        <v>1940</v>
      </c>
      <c r="V43" s="1" t="s">
        <v>1172</v>
      </c>
      <c r="W43" s="1" t="s">
        <v>304</v>
      </c>
      <c r="X43" s="1" t="s">
        <v>527</v>
      </c>
      <c r="Y43" s="1">
        <v>4</v>
      </c>
      <c r="Z43" s="1" t="s">
        <v>249</v>
      </c>
      <c r="AA43" s="1" t="s">
        <v>1173</v>
      </c>
      <c r="AB43" s="1">
        <v>60123</v>
      </c>
      <c r="AE43" s="1" t="s">
        <v>1174</v>
      </c>
      <c r="AF43" s="1">
        <v>1994</v>
      </c>
      <c r="AG43" s="1" t="s">
        <v>204</v>
      </c>
      <c r="AH43" s="1" t="s">
        <v>1175</v>
      </c>
      <c r="AI43" s="1" t="s">
        <v>665</v>
      </c>
      <c r="AJ43" s="1" t="s">
        <v>1175</v>
      </c>
      <c r="AL43" s="1">
        <v>4</v>
      </c>
      <c r="AM43" s="1">
        <v>2</v>
      </c>
      <c r="AN43" s="1">
        <v>2</v>
      </c>
      <c r="AO43" s="1">
        <v>0</v>
      </c>
      <c r="AP43" s="1" t="s">
        <v>209</v>
      </c>
      <c r="AQ43" s="1">
        <v>1</v>
      </c>
      <c r="AR43" s="1" t="s">
        <v>210</v>
      </c>
      <c r="AS43" s="1" t="s">
        <v>204</v>
      </c>
      <c r="AT43" s="1" t="s">
        <v>211</v>
      </c>
      <c r="AU43" s="1">
        <v>1</v>
      </c>
      <c r="AW43" s="1" t="s">
        <v>204</v>
      </c>
      <c r="AX43" s="1">
        <v>0</v>
      </c>
      <c r="AZ43" s="1">
        <v>3569.62</v>
      </c>
      <c r="BA43" s="1">
        <v>2012</v>
      </c>
      <c r="BB43" s="1" t="s">
        <v>210</v>
      </c>
      <c r="BE43" s="1">
        <v>1153</v>
      </c>
      <c r="BF43" s="1">
        <v>1</v>
      </c>
      <c r="BG43" s="1">
        <v>10</v>
      </c>
      <c r="BL43" s="1">
        <v>165</v>
      </c>
      <c r="BM43" s="1" t="s">
        <v>204</v>
      </c>
      <c r="BN43" s="1" t="s">
        <v>213</v>
      </c>
      <c r="BO43" s="1">
        <v>30</v>
      </c>
      <c r="BP43" s="1" t="s">
        <v>204</v>
      </c>
      <c r="BR43" s="1" t="str">
        <f>"0604431075"</f>
        <v>0604431075</v>
      </c>
      <c r="BT43" s="1" t="s">
        <v>1176</v>
      </c>
      <c r="BX43" s="1">
        <v>46</v>
      </c>
      <c r="BY43" s="1">
        <v>46</v>
      </c>
      <c r="BZ43" s="1">
        <v>46</v>
      </c>
      <c r="CB43" s="1" t="str">
        <f t="shared" ref="CB43:CC43" si="30">""</f>
        <v/>
      </c>
      <c r="CC43" s="1" t="str">
        <f t="shared" si="30"/>
        <v/>
      </c>
      <c r="CG43" s="1" t="s">
        <v>1177</v>
      </c>
      <c r="CH43" s="1" t="s">
        <v>219</v>
      </c>
      <c r="CI43" s="1" t="s">
        <v>220</v>
      </c>
      <c r="CJ43" s="1" t="s">
        <v>343</v>
      </c>
      <c r="CK43" s="1" t="s">
        <v>932</v>
      </c>
      <c r="CL43" s="1" t="s">
        <v>219</v>
      </c>
      <c r="CM43" s="1" t="s">
        <v>220</v>
      </c>
      <c r="CN43" s="1" t="s">
        <v>343</v>
      </c>
      <c r="CP43" s="1" t="s">
        <v>224</v>
      </c>
      <c r="CS43" s="1" t="s">
        <v>346</v>
      </c>
      <c r="CT43" s="1" t="s">
        <v>219</v>
      </c>
      <c r="CU43" s="1" t="s">
        <v>220</v>
      </c>
      <c r="CV43" s="1" t="s">
        <v>343</v>
      </c>
      <c r="CX43" s="1" t="s">
        <v>224</v>
      </c>
      <c r="DB43" s="1" t="s">
        <v>224</v>
      </c>
      <c r="DE43" s="1" t="s">
        <v>1178</v>
      </c>
      <c r="DF43" s="1" t="s">
        <v>219</v>
      </c>
      <c r="DG43" s="1" t="s">
        <v>342</v>
      </c>
      <c r="DH43" s="1" t="s">
        <v>343</v>
      </c>
      <c r="DJ43" s="1" t="s">
        <v>224</v>
      </c>
      <c r="DM43" s="1" t="s">
        <v>709</v>
      </c>
      <c r="DR43" s="1" t="s">
        <v>839</v>
      </c>
      <c r="DS43" s="1" t="s">
        <v>219</v>
      </c>
      <c r="DT43" s="1" t="s">
        <v>342</v>
      </c>
      <c r="DW43" s="1" t="s">
        <v>230</v>
      </c>
      <c r="EA43" s="1" t="s">
        <v>230</v>
      </c>
      <c r="EE43" s="1" t="s">
        <v>230</v>
      </c>
      <c r="EI43" s="1" t="s">
        <v>230</v>
      </c>
      <c r="EL43" s="1" t="s">
        <v>382</v>
      </c>
      <c r="EM43" s="1" t="s">
        <v>319</v>
      </c>
      <c r="EN43" s="1" t="s">
        <v>282</v>
      </c>
      <c r="EO43" s="1" t="s">
        <v>234</v>
      </c>
      <c r="ER43" s="1" t="s">
        <v>210</v>
      </c>
      <c r="EW43" s="1" t="s">
        <v>887</v>
      </c>
      <c r="EZ43" s="1" t="s">
        <v>709</v>
      </c>
      <c r="FB43" s="1" t="s">
        <v>289</v>
      </c>
      <c r="FD43" s="1" t="s">
        <v>495</v>
      </c>
      <c r="FE43" s="1" t="s">
        <v>247</v>
      </c>
      <c r="FF43" s="1" t="s">
        <v>248</v>
      </c>
      <c r="FG43" s="1" t="s">
        <v>912</v>
      </c>
      <c r="FH43" s="1" t="s">
        <v>249</v>
      </c>
      <c r="FI43" s="1" t="s">
        <v>473</v>
      </c>
      <c r="FJ43" s="1" t="s">
        <v>1179</v>
      </c>
      <c r="FL43" s="1" t="s">
        <v>414</v>
      </c>
      <c r="FM43" s="1" t="s">
        <v>252</v>
      </c>
      <c r="FN43" s="1" t="s">
        <v>213</v>
      </c>
      <c r="FO43" s="1" t="s">
        <v>204</v>
      </c>
      <c r="FQ43" s="1" t="s">
        <v>1180</v>
      </c>
      <c r="FR43" s="1" t="s">
        <v>210</v>
      </c>
      <c r="FS43" s="1" t="s">
        <v>1181</v>
      </c>
      <c r="FT43" s="1" t="s">
        <v>1182</v>
      </c>
      <c r="FU43" s="1" t="s">
        <v>204</v>
      </c>
      <c r="FW43" s="1" t="s">
        <v>1183</v>
      </c>
      <c r="FX43" s="1">
        <v>1384</v>
      </c>
      <c r="FY43" s="1" t="s">
        <v>1184</v>
      </c>
      <c r="FZ43" s="1" t="s">
        <v>1185</v>
      </c>
      <c r="GA43" s="1">
        <v>240250</v>
      </c>
      <c r="GB43" s="1" t="s">
        <v>1186</v>
      </c>
      <c r="GE43" s="1" t="s">
        <v>1187</v>
      </c>
      <c r="GI43" s="1" t="s">
        <v>213</v>
      </c>
      <c r="GJ43" s="1" t="s">
        <v>300</v>
      </c>
      <c r="GK43" s="1" t="s">
        <v>210</v>
      </c>
      <c r="GL43" s="2">
        <v>42084</v>
      </c>
      <c r="GM43" s="1" t="s">
        <v>1188</v>
      </c>
    </row>
    <row r="44" spans="1:195">
      <c r="A44" s="1">
        <v>232000</v>
      </c>
      <c r="B44" s="1" t="s">
        <v>195</v>
      </c>
      <c r="C44" s="1" t="str">
        <f>"08764858"</f>
        <v>08764858</v>
      </c>
      <c r="D44" s="1" t="s">
        <v>196</v>
      </c>
      <c r="F44" s="1" t="str">
        <f>"154"</f>
        <v>154</v>
      </c>
      <c r="G44" s="2">
        <v>41942</v>
      </c>
      <c r="H44" s="1">
        <v>230000</v>
      </c>
      <c r="I44" s="1">
        <v>230000</v>
      </c>
      <c r="J44" s="1">
        <v>232000</v>
      </c>
      <c r="K44" s="2">
        <v>41942</v>
      </c>
      <c r="L44" s="1">
        <v>5</v>
      </c>
      <c r="M44" s="2">
        <v>41946</v>
      </c>
      <c r="N44" s="1">
        <v>5</v>
      </c>
      <c r="O44" s="2">
        <v>41946</v>
      </c>
      <c r="P44" s="1">
        <v>25160</v>
      </c>
      <c r="Q44" s="1" t="s">
        <v>302</v>
      </c>
      <c r="R44" s="2">
        <v>41983</v>
      </c>
      <c r="S44" s="1">
        <v>223387</v>
      </c>
      <c r="U44" s="1">
        <v>8</v>
      </c>
      <c r="V44" s="1" t="s">
        <v>1189</v>
      </c>
      <c r="W44" s="1" t="s">
        <v>304</v>
      </c>
      <c r="Y44" s="1">
        <v>6</v>
      </c>
      <c r="Z44" s="1" t="s">
        <v>249</v>
      </c>
      <c r="AA44" s="1" t="s">
        <v>1190</v>
      </c>
      <c r="AB44" s="1">
        <v>60154</v>
      </c>
      <c r="AD44" s="1" t="s">
        <v>1191</v>
      </c>
      <c r="AE44" s="1" t="s">
        <v>1192</v>
      </c>
      <c r="AF44" s="1">
        <v>1986</v>
      </c>
      <c r="AG44" s="1" t="s">
        <v>204</v>
      </c>
      <c r="AH44" s="1" t="s">
        <v>1193</v>
      </c>
      <c r="AI44" s="1" t="s">
        <v>310</v>
      </c>
      <c r="AJ44" s="1" t="s">
        <v>429</v>
      </c>
      <c r="AL44" s="1">
        <v>5</v>
      </c>
      <c r="AM44" s="1">
        <v>2</v>
      </c>
      <c r="AN44" s="1">
        <v>2</v>
      </c>
      <c r="AO44" s="1">
        <v>0</v>
      </c>
      <c r="AP44" s="1" t="s">
        <v>209</v>
      </c>
      <c r="AQ44" s="1">
        <v>1</v>
      </c>
      <c r="AR44" s="1" t="s">
        <v>210</v>
      </c>
      <c r="AS44" s="1" t="s">
        <v>204</v>
      </c>
      <c r="AT44" s="1" t="s">
        <v>211</v>
      </c>
      <c r="AU44" s="1">
        <v>1</v>
      </c>
      <c r="AW44" s="1" t="s">
        <v>204</v>
      </c>
      <c r="AX44" s="1" t="s">
        <v>212</v>
      </c>
      <c r="AZ44" s="1">
        <v>3220.54</v>
      </c>
      <c r="BA44" s="1">
        <v>2013</v>
      </c>
      <c r="BB44" s="1" t="s">
        <v>599</v>
      </c>
      <c r="BE44" s="1">
        <v>0</v>
      </c>
      <c r="BF44" s="1">
        <v>1</v>
      </c>
      <c r="BG44" s="1">
        <v>0</v>
      </c>
      <c r="BJ44" s="1">
        <v>100</v>
      </c>
      <c r="BL44" s="1">
        <v>584</v>
      </c>
      <c r="BM44" s="1" t="s">
        <v>204</v>
      </c>
      <c r="BN44" s="1" t="s">
        <v>213</v>
      </c>
      <c r="BO44" s="1">
        <v>25</v>
      </c>
      <c r="BP44" s="1" t="s">
        <v>204</v>
      </c>
      <c r="BR44" s="1" t="str">
        <f>"15293000291079"</f>
        <v>15293000291079</v>
      </c>
      <c r="BT44" s="1" t="s">
        <v>1194</v>
      </c>
      <c r="BU44" s="1" t="s">
        <v>1195</v>
      </c>
      <c r="BV44" s="1" t="s">
        <v>1196</v>
      </c>
      <c r="BW44" s="1" t="s">
        <v>1197</v>
      </c>
      <c r="BX44" s="1">
        <v>92.5</v>
      </c>
      <c r="BY44" s="1">
        <v>92.5</v>
      </c>
      <c r="BZ44" s="1">
        <v>209</v>
      </c>
      <c r="CA44" s="1">
        <v>92.5</v>
      </c>
      <c r="CB44" s="1" t="str">
        <f t="shared" ref="CB44:CC44" si="31">""</f>
        <v/>
      </c>
      <c r="CC44" s="1" t="str">
        <f t="shared" si="31"/>
        <v/>
      </c>
      <c r="CF44" s="1" t="s">
        <v>1198</v>
      </c>
      <c r="CG44" s="1" t="s">
        <v>628</v>
      </c>
      <c r="CH44" s="1" t="s">
        <v>219</v>
      </c>
      <c r="CI44" s="1" t="s">
        <v>220</v>
      </c>
      <c r="CJ44" s="1" t="s">
        <v>1199</v>
      </c>
      <c r="CK44" s="1" t="s">
        <v>1200</v>
      </c>
      <c r="CL44" s="1" t="s">
        <v>219</v>
      </c>
      <c r="CM44" s="1" t="s">
        <v>220</v>
      </c>
      <c r="CN44" s="1" t="s">
        <v>1199</v>
      </c>
      <c r="CP44" s="1" t="s">
        <v>224</v>
      </c>
      <c r="CS44" s="1" t="s">
        <v>539</v>
      </c>
      <c r="CT44" s="1" t="s">
        <v>219</v>
      </c>
      <c r="CU44" s="1" t="s">
        <v>220</v>
      </c>
      <c r="CV44" s="1" t="s">
        <v>1199</v>
      </c>
      <c r="CX44" s="1" t="s">
        <v>224</v>
      </c>
      <c r="DB44" s="1" t="s">
        <v>224</v>
      </c>
      <c r="DE44" s="1" t="s">
        <v>344</v>
      </c>
      <c r="DF44" s="1" t="s">
        <v>219</v>
      </c>
      <c r="DG44" s="1" t="s">
        <v>229</v>
      </c>
      <c r="DJ44" s="1" t="s">
        <v>224</v>
      </c>
      <c r="DM44" s="1" t="s">
        <v>381</v>
      </c>
      <c r="DR44" s="1" t="s">
        <v>837</v>
      </c>
      <c r="DS44" s="1" t="s">
        <v>219</v>
      </c>
      <c r="DT44" s="1" t="s">
        <v>229</v>
      </c>
      <c r="DU44" s="1" t="s">
        <v>1199</v>
      </c>
      <c r="DW44" s="1" t="s">
        <v>230</v>
      </c>
      <c r="EA44" s="1" t="s">
        <v>230</v>
      </c>
      <c r="EE44" s="1" t="s">
        <v>230</v>
      </c>
      <c r="EI44" s="1" t="s">
        <v>230</v>
      </c>
      <c r="EL44" s="1" t="s">
        <v>542</v>
      </c>
      <c r="EM44" s="1" t="s">
        <v>232</v>
      </c>
      <c r="EN44" s="1" t="s">
        <v>282</v>
      </c>
      <c r="EO44" s="1" t="s">
        <v>234</v>
      </c>
      <c r="EQ44" s="1" t="s">
        <v>236</v>
      </c>
      <c r="ER44" s="1" t="s">
        <v>1069</v>
      </c>
      <c r="ES44" s="1" t="s">
        <v>322</v>
      </c>
      <c r="ET44" s="1" t="s">
        <v>1201</v>
      </c>
      <c r="EU44" s="1" t="s">
        <v>1202</v>
      </c>
      <c r="EW44" s="1" t="s">
        <v>353</v>
      </c>
      <c r="EY44" s="1" t="s">
        <v>242</v>
      </c>
      <c r="EZ44" s="1" t="s">
        <v>381</v>
      </c>
      <c r="FA44" s="1" t="s">
        <v>1203</v>
      </c>
      <c r="FB44" s="1" t="s">
        <v>734</v>
      </c>
      <c r="FC44" s="1" t="s">
        <v>633</v>
      </c>
      <c r="FD44" s="1" t="s">
        <v>495</v>
      </c>
      <c r="FE44" s="1" t="s">
        <v>549</v>
      </c>
      <c r="FF44" s="1" t="s">
        <v>248</v>
      </c>
      <c r="FG44" s="1" t="s">
        <v>1204</v>
      </c>
      <c r="FH44" s="1" t="s">
        <v>1205</v>
      </c>
      <c r="FI44" s="1" t="s">
        <v>473</v>
      </c>
      <c r="FL44" s="1" t="s">
        <v>358</v>
      </c>
      <c r="FM44" s="1" t="s">
        <v>252</v>
      </c>
      <c r="FN44" s="1" t="s">
        <v>213</v>
      </c>
      <c r="FO44" s="1" t="s">
        <v>213</v>
      </c>
      <c r="FQ44" s="1" t="s">
        <v>615</v>
      </c>
      <c r="FR44" s="1" t="s">
        <v>210</v>
      </c>
      <c r="FS44" s="1" t="s">
        <v>1206</v>
      </c>
      <c r="FT44" s="1" t="s">
        <v>295</v>
      </c>
      <c r="FU44" s="1" t="s">
        <v>204</v>
      </c>
      <c r="FW44" s="1" t="s">
        <v>915</v>
      </c>
      <c r="FX44" s="1">
        <v>22076</v>
      </c>
      <c r="FY44" s="1" t="s">
        <v>916</v>
      </c>
      <c r="FZ44" s="1" t="s">
        <v>1207</v>
      </c>
      <c r="GA44" s="1">
        <v>225570</v>
      </c>
      <c r="GB44" s="1" t="s">
        <v>1208</v>
      </c>
      <c r="GE44" s="1" t="s">
        <v>210</v>
      </c>
      <c r="GI44" s="1" t="s">
        <v>213</v>
      </c>
      <c r="GJ44" s="1" t="s">
        <v>260</v>
      </c>
      <c r="GK44" s="1" t="s">
        <v>210</v>
      </c>
      <c r="GL44" s="2">
        <v>41983</v>
      </c>
      <c r="GM44" s="1" t="s">
        <v>1209</v>
      </c>
    </row>
    <row r="45" spans="1:195">
      <c r="A45" s="1">
        <v>152000</v>
      </c>
      <c r="B45" s="1" t="s">
        <v>195</v>
      </c>
      <c r="C45" s="1" t="str">
        <f>"08769472"</f>
        <v>08769472</v>
      </c>
      <c r="D45" s="1" t="s">
        <v>196</v>
      </c>
      <c r="F45" s="1" t="str">
        <f>"107"</f>
        <v>107</v>
      </c>
      <c r="G45" s="2">
        <v>41948</v>
      </c>
      <c r="H45" s="1">
        <v>159000</v>
      </c>
      <c r="I45" s="1">
        <v>159000</v>
      </c>
      <c r="J45" s="1">
        <v>152000</v>
      </c>
      <c r="K45" s="2">
        <v>41948</v>
      </c>
      <c r="L45" s="1">
        <v>17</v>
      </c>
      <c r="M45" s="2">
        <v>41964</v>
      </c>
      <c r="N45" s="1">
        <v>17</v>
      </c>
      <c r="O45" s="2">
        <v>41964</v>
      </c>
      <c r="P45" s="1">
        <v>8015</v>
      </c>
      <c r="Q45" s="1" t="s">
        <v>423</v>
      </c>
      <c r="R45" s="2">
        <v>42020</v>
      </c>
      <c r="S45" s="1">
        <v>920159</v>
      </c>
      <c r="U45" s="1">
        <v>74</v>
      </c>
      <c r="V45" s="1" t="s">
        <v>1210</v>
      </c>
      <c r="W45" s="1" t="s">
        <v>425</v>
      </c>
      <c r="Y45" s="1">
        <v>6</v>
      </c>
      <c r="Z45" s="1" t="s">
        <v>370</v>
      </c>
      <c r="AA45" s="1" t="s">
        <v>1211</v>
      </c>
      <c r="AB45" s="1">
        <v>60107</v>
      </c>
      <c r="AD45" s="1" t="s">
        <v>1212</v>
      </c>
      <c r="AE45" s="1" t="s">
        <v>1213</v>
      </c>
      <c r="AF45" s="1">
        <v>1995</v>
      </c>
      <c r="AG45" s="1" t="s">
        <v>204</v>
      </c>
      <c r="AH45" s="1" t="s">
        <v>1214</v>
      </c>
      <c r="AI45" s="1" t="s">
        <v>310</v>
      </c>
      <c r="AJ45" s="1" t="s">
        <v>374</v>
      </c>
      <c r="AL45" s="1">
        <v>5</v>
      </c>
      <c r="AM45" s="1">
        <v>2</v>
      </c>
      <c r="AN45" s="1">
        <v>2</v>
      </c>
      <c r="AO45" s="1">
        <v>1</v>
      </c>
      <c r="AP45" s="1" t="s">
        <v>209</v>
      </c>
      <c r="AR45" s="1" t="s">
        <v>210</v>
      </c>
      <c r="AT45" s="1" t="s">
        <v>211</v>
      </c>
      <c r="AU45" s="1">
        <v>2</v>
      </c>
      <c r="AW45" s="1" t="s">
        <v>204</v>
      </c>
      <c r="AX45" s="1" t="s">
        <v>212</v>
      </c>
      <c r="AZ45" s="1">
        <v>3812</v>
      </c>
      <c r="BA45" s="1">
        <v>2012</v>
      </c>
      <c r="BE45" s="1">
        <v>1406</v>
      </c>
      <c r="BF45" s="1">
        <v>1</v>
      </c>
      <c r="BG45" s="1">
        <v>0</v>
      </c>
      <c r="BL45" s="1">
        <v>175</v>
      </c>
      <c r="BM45" s="1" t="s">
        <v>204</v>
      </c>
      <c r="BN45" s="1" t="s">
        <v>213</v>
      </c>
      <c r="BO45" s="1">
        <v>100</v>
      </c>
      <c r="BP45" s="1" t="s">
        <v>204</v>
      </c>
      <c r="BR45" s="1" t="str">
        <f>"06261130080000"</f>
        <v>06261130080000</v>
      </c>
      <c r="BT45" s="1" t="s">
        <v>1215</v>
      </c>
      <c r="BU45" s="1" t="s">
        <v>1216</v>
      </c>
      <c r="BW45" s="1" t="s">
        <v>1217</v>
      </c>
      <c r="BX45" s="1">
        <v>46</v>
      </c>
      <c r="BY45" s="1">
        <v>46</v>
      </c>
      <c r="BZ45" s="1">
        <v>46</v>
      </c>
      <c r="CB45" s="1" t="str">
        <f t="shared" ref="CB45:CC45" si="32">""</f>
        <v/>
      </c>
      <c r="CC45" s="1" t="str">
        <f t="shared" si="32"/>
        <v/>
      </c>
      <c r="CG45" s="1" t="s">
        <v>1004</v>
      </c>
      <c r="CH45" s="1" t="s">
        <v>219</v>
      </c>
      <c r="CI45" s="1" t="s">
        <v>220</v>
      </c>
      <c r="CJ45" s="1" t="s">
        <v>343</v>
      </c>
      <c r="CK45" s="1" t="s">
        <v>228</v>
      </c>
      <c r="CL45" s="1" t="s">
        <v>277</v>
      </c>
      <c r="CM45" s="1" t="s">
        <v>220</v>
      </c>
      <c r="CO45" s="1" t="s">
        <v>380</v>
      </c>
      <c r="CP45" s="1" t="s">
        <v>219</v>
      </c>
      <c r="CQ45" s="1" t="s">
        <v>229</v>
      </c>
      <c r="CR45" s="1" t="s">
        <v>343</v>
      </c>
      <c r="CS45" s="1" t="s">
        <v>378</v>
      </c>
      <c r="CT45" s="1" t="s">
        <v>277</v>
      </c>
      <c r="CU45" s="1" t="s">
        <v>220</v>
      </c>
      <c r="CX45" s="1" t="s">
        <v>224</v>
      </c>
      <c r="DB45" s="1" t="s">
        <v>224</v>
      </c>
      <c r="DE45" s="1" t="s">
        <v>281</v>
      </c>
      <c r="DF45" s="1" t="s">
        <v>219</v>
      </c>
      <c r="DG45" s="1" t="s">
        <v>229</v>
      </c>
      <c r="DJ45" s="1" t="s">
        <v>224</v>
      </c>
      <c r="DS45" s="1" t="s">
        <v>230</v>
      </c>
      <c r="DW45" s="1" t="s">
        <v>230</v>
      </c>
      <c r="EA45" s="1" t="s">
        <v>230</v>
      </c>
      <c r="EE45" s="1" t="s">
        <v>230</v>
      </c>
      <c r="EI45" s="1" t="s">
        <v>230</v>
      </c>
      <c r="EL45" s="1" t="s">
        <v>670</v>
      </c>
      <c r="EM45" s="1" t="s">
        <v>319</v>
      </c>
      <c r="EN45" s="1" t="s">
        <v>282</v>
      </c>
      <c r="EO45" s="1" t="s">
        <v>234</v>
      </c>
      <c r="EP45" s="1" t="s">
        <v>1218</v>
      </c>
      <c r="EQ45" s="1" t="s">
        <v>468</v>
      </c>
      <c r="ER45" s="1" t="s">
        <v>210</v>
      </c>
      <c r="ES45" s="1" t="s">
        <v>608</v>
      </c>
      <c r="ET45" s="1" t="s">
        <v>238</v>
      </c>
      <c r="EW45" s="1" t="s">
        <v>1219</v>
      </c>
      <c r="EZ45" s="1" t="s">
        <v>287</v>
      </c>
      <c r="FD45" s="1" t="s">
        <v>888</v>
      </c>
      <c r="FE45" s="1" t="s">
        <v>1220</v>
      </c>
      <c r="FF45" s="1" t="s">
        <v>248</v>
      </c>
      <c r="FH45" s="1" t="s">
        <v>550</v>
      </c>
      <c r="FI45" s="1" t="s">
        <v>473</v>
      </c>
      <c r="FL45" s="1" t="s">
        <v>414</v>
      </c>
      <c r="FM45" s="1" t="s">
        <v>252</v>
      </c>
      <c r="FN45" s="1" t="s">
        <v>213</v>
      </c>
      <c r="FO45" s="1" t="s">
        <v>213</v>
      </c>
      <c r="FQ45" s="1" t="s">
        <v>1221</v>
      </c>
      <c r="FR45" s="1" t="s">
        <v>210</v>
      </c>
      <c r="FS45" s="1" t="s">
        <v>1222</v>
      </c>
      <c r="FT45" s="1" t="s">
        <v>295</v>
      </c>
      <c r="FU45" s="1" t="s">
        <v>204</v>
      </c>
      <c r="FW45" s="1" t="s">
        <v>585</v>
      </c>
      <c r="FX45" s="1">
        <v>6026</v>
      </c>
      <c r="FY45" s="1" t="s">
        <v>1223</v>
      </c>
      <c r="FZ45" s="1" t="s">
        <v>1224</v>
      </c>
      <c r="GA45" s="1">
        <v>62334</v>
      </c>
      <c r="GB45" s="1" t="s">
        <v>1225</v>
      </c>
      <c r="GE45" s="1" t="s">
        <v>1226</v>
      </c>
      <c r="GI45" s="1" t="s">
        <v>213</v>
      </c>
      <c r="GJ45" s="1" t="s">
        <v>260</v>
      </c>
      <c r="GK45" s="1" t="s">
        <v>210</v>
      </c>
      <c r="GL45" s="2">
        <v>42021</v>
      </c>
      <c r="GM45" s="1" t="s">
        <v>1227</v>
      </c>
    </row>
    <row r="46" spans="1:195">
      <c r="A46" s="1">
        <v>96000</v>
      </c>
      <c r="B46" s="1" t="s">
        <v>195</v>
      </c>
      <c r="C46" s="1" t="str">
        <f>"08759798"</f>
        <v>08759798</v>
      </c>
      <c r="D46" s="1" t="s">
        <v>196</v>
      </c>
      <c r="F46" s="1" t="str">
        <f>"106"</f>
        <v>106</v>
      </c>
      <c r="G46" s="2">
        <v>41935</v>
      </c>
      <c r="H46" s="1">
        <v>98000</v>
      </c>
      <c r="I46" s="1">
        <v>105000</v>
      </c>
      <c r="J46" s="1">
        <v>96000</v>
      </c>
      <c r="K46" s="2">
        <v>41935</v>
      </c>
      <c r="L46" s="1">
        <v>115</v>
      </c>
      <c r="M46" s="2">
        <v>42049</v>
      </c>
      <c r="N46" s="1">
        <v>115</v>
      </c>
      <c r="O46" s="2">
        <v>42049</v>
      </c>
      <c r="P46" s="1">
        <v>18505</v>
      </c>
      <c r="Q46" s="1" t="s">
        <v>197</v>
      </c>
      <c r="R46" s="2">
        <v>42109</v>
      </c>
      <c r="S46" s="1">
        <v>127630</v>
      </c>
      <c r="U46" s="1">
        <v>928</v>
      </c>
      <c r="V46" s="1" t="s">
        <v>1228</v>
      </c>
      <c r="W46" s="1" t="s">
        <v>1056</v>
      </c>
      <c r="X46" s="1">
        <v>210</v>
      </c>
      <c r="Y46" s="1">
        <v>18</v>
      </c>
      <c r="Z46" s="1" t="s">
        <v>249</v>
      </c>
      <c r="AA46" s="1" t="s">
        <v>1229</v>
      </c>
      <c r="AB46" s="1">
        <v>60106</v>
      </c>
      <c r="AD46" s="1" t="s">
        <v>1230</v>
      </c>
      <c r="AE46" s="1" t="s">
        <v>1231</v>
      </c>
      <c r="AF46" s="1">
        <v>1979</v>
      </c>
      <c r="AG46" s="1" t="s">
        <v>204</v>
      </c>
      <c r="AH46" s="1" t="s">
        <v>1232</v>
      </c>
      <c r="AI46" s="1" t="s">
        <v>206</v>
      </c>
      <c r="AJ46" s="1" t="s">
        <v>1233</v>
      </c>
      <c r="AL46" s="1">
        <v>5</v>
      </c>
      <c r="AM46" s="1">
        <v>2</v>
      </c>
      <c r="AN46" s="1">
        <v>1</v>
      </c>
      <c r="AO46" s="1">
        <v>1</v>
      </c>
      <c r="AP46" s="1" t="s">
        <v>1234</v>
      </c>
      <c r="AR46" s="1" t="s">
        <v>210</v>
      </c>
      <c r="AS46" s="1" t="s">
        <v>204</v>
      </c>
      <c r="AT46" s="1" t="s">
        <v>211</v>
      </c>
      <c r="AU46" s="1">
        <v>1</v>
      </c>
      <c r="AW46" s="1" t="s">
        <v>204</v>
      </c>
      <c r="AX46" s="1" t="s">
        <v>212</v>
      </c>
      <c r="AZ46" s="1">
        <v>1802</v>
      </c>
      <c r="BA46" s="1">
        <v>2013</v>
      </c>
      <c r="BB46" s="1" t="s">
        <v>405</v>
      </c>
      <c r="BE46" s="1">
        <v>900</v>
      </c>
      <c r="BF46" s="1">
        <v>2</v>
      </c>
      <c r="BG46" s="1">
        <v>30</v>
      </c>
      <c r="BL46" s="1">
        <v>335</v>
      </c>
      <c r="BM46" s="1" t="s">
        <v>204</v>
      </c>
      <c r="BN46" s="1" t="s">
        <v>213</v>
      </c>
      <c r="BO46" s="1">
        <v>20</v>
      </c>
      <c r="BP46" s="1" t="s">
        <v>204</v>
      </c>
      <c r="BR46" s="1" t="str">
        <f>"0314124048"</f>
        <v>0314124048</v>
      </c>
      <c r="BT46" s="1" t="s">
        <v>1235</v>
      </c>
      <c r="BX46" s="1">
        <v>2</v>
      </c>
      <c r="BY46" s="1">
        <v>2</v>
      </c>
      <c r="BZ46" s="1">
        <v>100</v>
      </c>
      <c r="CB46" s="1" t="str">
        <f>"5"</f>
        <v>5</v>
      </c>
      <c r="CC46" s="1" t="str">
        <f>"0"</f>
        <v>0</v>
      </c>
      <c r="CD46" s="1">
        <v>5</v>
      </c>
      <c r="CE46" s="1">
        <v>0</v>
      </c>
      <c r="CG46" s="1" t="s">
        <v>729</v>
      </c>
      <c r="CH46" s="1" t="s">
        <v>277</v>
      </c>
      <c r="CI46" s="1" t="s">
        <v>226</v>
      </c>
      <c r="CK46" s="1" t="s">
        <v>757</v>
      </c>
      <c r="CL46" s="1" t="s">
        <v>277</v>
      </c>
      <c r="CM46" s="1" t="s">
        <v>1236</v>
      </c>
      <c r="CO46" s="1" t="s">
        <v>465</v>
      </c>
      <c r="CP46" s="1" t="s">
        <v>277</v>
      </c>
      <c r="CQ46" s="1" t="s">
        <v>1236</v>
      </c>
      <c r="CS46" s="1" t="s">
        <v>465</v>
      </c>
      <c r="CT46" s="1" t="s">
        <v>277</v>
      </c>
      <c r="CU46" s="1" t="s">
        <v>1236</v>
      </c>
      <c r="CX46" s="1" t="s">
        <v>224</v>
      </c>
      <c r="DB46" s="1" t="s">
        <v>224</v>
      </c>
      <c r="DE46" s="1" t="s">
        <v>465</v>
      </c>
      <c r="DF46" s="1" t="s">
        <v>277</v>
      </c>
      <c r="DG46" s="1" t="s">
        <v>1236</v>
      </c>
      <c r="DJ46" s="1" t="s">
        <v>224</v>
      </c>
      <c r="DS46" s="1" t="s">
        <v>230</v>
      </c>
      <c r="DW46" s="1" t="s">
        <v>230</v>
      </c>
      <c r="EA46" s="1" t="s">
        <v>230</v>
      </c>
      <c r="EE46" s="1" t="s">
        <v>230</v>
      </c>
      <c r="EI46" s="1" t="s">
        <v>230</v>
      </c>
      <c r="EL46" s="1" t="s">
        <v>231</v>
      </c>
      <c r="EM46" s="1" t="s">
        <v>319</v>
      </c>
      <c r="EN46" s="1" t="s">
        <v>1158</v>
      </c>
      <c r="EO46" s="1" t="s">
        <v>234</v>
      </c>
      <c r="EQ46" s="1" t="s">
        <v>492</v>
      </c>
      <c r="ER46" s="1" t="s">
        <v>210</v>
      </c>
      <c r="ES46" s="1" t="s">
        <v>469</v>
      </c>
      <c r="EV46" s="1" t="s">
        <v>240</v>
      </c>
      <c r="EW46" s="1" t="s">
        <v>1237</v>
      </c>
      <c r="EY46" s="1" t="s">
        <v>242</v>
      </c>
      <c r="EZ46" s="1" t="s">
        <v>287</v>
      </c>
      <c r="FA46" s="1" t="s">
        <v>1048</v>
      </c>
      <c r="FC46" s="1" t="s">
        <v>633</v>
      </c>
      <c r="FD46" s="1" t="s">
        <v>290</v>
      </c>
      <c r="FE46" s="1" t="s">
        <v>247</v>
      </c>
      <c r="FF46" s="1" t="s">
        <v>248</v>
      </c>
      <c r="FH46" s="1" t="s">
        <v>249</v>
      </c>
      <c r="FI46" s="1" t="s">
        <v>357</v>
      </c>
      <c r="FJ46" s="1" t="s">
        <v>197</v>
      </c>
      <c r="FL46" s="1" t="s">
        <v>1164</v>
      </c>
      <c r="FM46" s="1" t="s">
        <v>252</v>
      </c>
      <c r="FN46" s="1" t="s">
        <v>213</v>
      </c>
      <c r="FO46" s="1" t="s">
        <v>213</v>
      </c>
      <c r="FQ46" s="1" t="s">
        <v>329</v>
      </c>
      <c r="FR46" s="1" t="s">
        <v>210</v>
      </c>
      <c r="FS46" s="1" t="s">
        <v>1238</v>
      </c>
      <c r="FT46" s="1" t="s">
        <v>1182</v>
      </c>
      <c r="FU46" s="1" t="s">
        <v>204</v>
      </c>
      <c r="FW46" s="1" t="s">
        <v>1239</v>
      </c>
      <c r="FX46" s="1">
        <v>14316</v>
      </c>
      <c r="FY46" s="1" t="s">
        <v>1240</v>
      </c>
      <c r="FZ46" s="1" t="s">
        <v>1241</v>
      </c>
      <c r="GA46" s="1">
        <v>107678</v>
      </c>
      <c r="GB46" s="1" t="s">
        <v>1240</v>
      </c>
      <c r="GE46" s="1" t="s">
        <v>210</v>
      </c>
      <c r="GH46" s="1" t="s">
        <v>589</v>
      </c>
      <c r="GI46" s="1" t="s">
        <v>213</v>
      </c>
      <c r="GJ46" s="1" t="s">
        <v>260</v>
      </c>
      <c r="GK46" s="1" t="s">
        <v>210</v>
      </c>
      <c r="GL46" s="2">
        <v>42109</v>
      </c>
      <c r="GM46" s="1" t="s">
        <v>1242</v>
      </c>
    </row>
    <row r="47" spans="1:195">
      <c r="A47" s="1">
        <v>209000</v>
      </c>
      <c r="B47" s="1" t="s">
        <v>195</v>
      </c>
      <c r="C47" s="1" t="str">
        <f>"08766140"</f>
        <v>08766140</v>
      </c>
      <c r="D47" s="1" t="s">
        <v>196</v>
      </c>
      <c r="F47" s="1" t="str">
        <f>"540"</f>
        <v>540</v>
      </c>
      <c r="G47" s="2">
        <v>41943</v>
      </c>
      <c r="H47" s="1">
        <v>209000</v>
      </c>
      <c r="I47" s="1">
        <v>209000</v>
      </c>
      <c r="J47" s="1">
        <v>209000</v>
      </c>
      <c r="K47" s="2">
        <v>41943</v>
      </c>
      <c r="L47" s="1">
        <v>3</v>
      </c>
      <c r="M47" s="2">
        <v>41945</v>
      </c>
      <c r="N47" s="1">
        <v>3</v>
      </c>
      <c r="O47" s="2">
        <v>41945</v>
      </c>
      <c r="P47" s="1">
        <v>23030</v>
      </c>
      <c r="Q47" s="1" t="s">
        <v>197</v>
      </c>
      <c r="R47" s="2">
        <v>41985</v>
      </c>
      <c r="S47" s="1">
        <v>221059</v>
      </c>
      <c r="U47" s="1">
        <v>612</v>
      </c>
      <c r="V47" s="1" t="s">
        <v>1243</v>
      </c>
      <c r="W47" s="1" t="s">
        <v>304</v>
      </c>
      <c r="Y47" s="1">
        <v>6</v>
      </c>
      <c r="Z47" s="1" t="s">
        <v>249</v>
      </c>
      <c r="AA47" s="1" t="s">
        <v>921</v>
      </c>
      <c r="AB47" s="1">
        <v>60563</v>
      </c>
      <c r="AD47" s="1" t="s">
        <v>1244</v>
      </c>
      <c r="AE47" s="1" t="s">
        <v>1245</v>
      </c>
      <c r="AF47" s="1">
        <v>2003</v>
      </c>
      <c r="AG47" s="1" t="s">
        <v>204</v>
      </c>
      <c r="AH47" s="1" t="s">
        <v>924</v>
      </c>
      <c r="AI47" s="1" t="s">
        <v>206</v>
      </c>
      <c r="AJ47" s="1" t="s">
        <v>924</v>
      </c>
      <c r="AL47" s="1">
        <v>6</v>
      </c>
      <c r="AM47" s="1">
        <v>2</v>
      </c>
      <c r="AN47" s="1">
        <v>2</v>
      </c>
      <c r="AO47" s="1">
        <v>1</v>
      </c>
      <c r="AP47" s="1" t="s">
        <v>209</v>
      </c>
      <c r="AQ47" s="1">
        <v>0</v>
      </c>
      <c r="AR47" s="1" t="s">
        <v>209</v>
      </c>
      <c r="AS47" s="1" t="s">
        <v>204</v>
      </c>
      <c r="AT47" s="1" t="s">
        <v>211</v>
      </c>
      <c r="AU47" s="1">
        <v>2</v>
      </c>
      <c r="AW47" s="1" t="s">
        <v>204</v>
      </c>
      <c r="AX47" s="1" t="s">
        <v>212</v>
      </c>
      <c r="AZ47" s="1">
        <v>4566.62</v>
      </c>
      <c r="BA47" s="1">
        <v>2013</v>
      </c>
      <c r="BB47" s="1" t="s">
        <v>405</v>
      </c>
      <c r="BE47" s="1">
        <v>1552</v>
      </c>
      <c r="BF47" s="1">
        <v>1</v>
      </c>
      <c r="BG47" s="1">
        <v>30</v>
      </c>
      <c r="BL47" s="1">
        <v>193</v>
      </c>
      <c r="BM47" s="1" t="s">
        <v>204</v>
      </c>
      <c r="BN47" s="1" t="s">
        <v>213</v>
      </c>
      <c r="BO47" s="1">
        <v>100</v>
      </c>
      <c r="BP47" s="1" t="s">
        <v>204</v>
      </c>
      <c r="BR47" s="1" t="str">
        <f>"0715107072"</f>
        <v>0715107072</v>
      </c>
      <c r="BT47" s="1" t="s">
        <v>1246</v>
      </c>
      <c r="BU47" s="1" t="s">
        <v>1247</v>
      </c>
      <c r="BV47" s="1" t="s">
        <v>1248</v>
      </c>
      <c r="BW47" s="1" t="s">
        <v>1131</v>
      </c>
      <c r="BX47" s="1">
        <v>204</v>
      </c>
      <c r="BY47" s="1">
        <v>204</v>
      </c>
      <c r="BZ47" s="1">
        <v>204</v>
      </c>
      <c r="CB47" s="1" t="str">
        <f t="shared" ref="CB47:CC47" si="33">""</f>
        <v/>
      </c>
      <c r="CC47" s="1" t="str">
        <f t="shared" si="33"/>
        <v/>
      </c>
      <c r="CG47" s="1" t="s">
        <v>437</v>
      </c>
      <c r="CH47" s="1" t="s">
        <v>219</v>
      </c>
      <c r="CI47" s="1" t="s">
        <v>438</v>
      </c>
      <c r="CJ47" s="1" t="s">
        <v>252</v>
      </c>
      <c r="CK47" s="1" t="s">
        <v>221</v>
      </c>
      <c r="CL47" s="1" t="s">
        <v>277</v>
      </c>
      <c r="CM47" s="1" t="s">
        <v>220</v>
      </c>
      <c r="CN47" s="1" t="s">
        <v>252</v>
      </c>
      <c r="CO47" s="1" t="s">
        <v>346</v>
      </c>
      <c r="CP47" s="1" t="s">
        <v>219</v>
      </c>
      <c r="CQ47" s="1" t="s">
        <v>438</v>
      </c>
      <c r="CR47" s="1" t="s">
        <v>252</v>
      </c>
      <c r="CS47" s="1" t="s">
        <v>437</v>
      </c>
      <c r="CT47" s="1" t="s">
        <v>277</v>
      </c>
      <c r="CU47" s="1" t="s">
        <v>220</v>
      </c>
      <c r="CV47" s="1" t="s">
        <v>252</v>
      </c>
      <c r="CX47" s="1" t="s">
        <v>224</v>
      </c>
      <c r="DB47" s="1" t="s">
        <v>224</v>
      </c>
      <c r="DE47" s="1" t="s">
        <v>281</v>
      </c>
      <c r="DF47" s="1" t="s">
        <v>219</v>
      </c>
      <c r="DG47" s="1" t="s">
        <v>438</v>
      </c>
      <c r="DH47" s="1" t="s">
        <v>210</v>
      </c>
      <c r="DJ47" s="1" t="s">
        <v>224</v>
      </c>
      <c r="DM47" s="1" t="s">
        <v>464</v>
      </c>
      <c r="DR47" s="1" t="s">
        <v>346</v>
      </c>
      <c r="DS47" s="1" t="s">
        <v>277</v>
      </c>
      <c r="DT47" s="1" t="s">
        <v>220</v>
      </c>
      <c r="DU47" s="1" t="s">
        <v>252</v>
      </c>
      <c r="DW47" s="1" t="s">
        <v>230</v>
      </c>
      <c r="EA47" s="1" t="s">
        <v>230</v>
      </c>
      <c r="EE47" s="1" t="s">
        <v>230</v>
      </c>
      <c r="EI47" s="1" t="s">
        <v>230</v>
      </c>
      <c r="EL47" s="1" t="s">
        <v>466</v>
      </c>
      <c r="EM47" s="1" t="s">
        <v>232</v>
      </c>
      <c r="EN47" s="1" t="s">
        <v>282</v>
      </c>
      <c r="EO47" s="1" t="s">
        <v>234</v>
      </c>
      <c r="EQ47" s="1" t="s">
        <v>350</v>
      </c>
      <c r="ER47" s="1" t="s">
        <v>1249</v>
      </c>
      <c r="ES47" s="1" t="s">
        <v>545</v>
      </c>
      <c r="ET47" s="1" t="s">
        <v>238</v>
      </c>
      <c r="EU47" s="1" t="s">
        <v>1110</v>
      </c>
      <c r="EV47" s="1" t="s">
        <v>240</v>
      </c>
      <c r="EW47" s="1" t="s">
        <v>1250</v>
      </c>
      <c r="EZ47" s="1" t="s">
        <v>464</v>
      </c>
      <c r="FB47" s="1" t="s">
        <v>289</v>
      </c>
      <c r="FC47" s="1" t="s">
        <v>633</v>
      </c>
      <c r="FD47" s="1" t="s">
        <v>246</v>
      </c>
      <c r="FE47" s="1" t="s">
        <v>975</v>
      </c>
      <c r="FF47" s="1" t="s">
        <v>248</v>
      </c>
      <c r="FH47" s="1" t="s">
        <v>550</v>
      </c>
      <c r="FI47" s="1" t="s">
        <v>473</v>
      </c>
      <c r="FJ47" s="1" t="s">
        <v>1251</v>
      </c>
      <c r="FL47" s="1" t="s">
        <v>358</v>
      </c>
      <c r="FM47" s="1" t="s">
        <v>252</v>
      </c>
      <c r="FN47" s="1" t="s">
        <v>213</v>
      </c>
      <c r="FO47" s="1" t="s">
        <v>213</v>
      </c>
      <c r="FQ47" s="1" t="s">
        <v>849</v>
      </c>
      <c r="FR47" s="1" t="s">
        <v>210</v>
      </c>
      <c r="FS47" s="1" t="s">
        <v>1252</v>
      </c>
      <c r="FT47" s="1" t="s">
        <v>362</v>
      </c>
      <c r="FU47" s="1" t="s">
        <v>204</v>
      </c>
      <c r="FW47" s="1" t="s">
        <v>585</v>
      </c>
      <c r="FX47" s="1">
        <v>23156</v>
      </c>
      <c r="FY47" s="1" t="s">
        <v>1253</v>
      </c>
      <c r="FZ47" s="1" t="s">
        <v>1254</v>
      </c>
      <c r="GA47" s="1">
        <v>226904</v>
      </c>
      <c r="GB47" s="1" t="s">
        <v>1255</v>
      </c>
      <c r="GE47" s="1" t="s">
        <v>1256</v>
      </c>
      <c r="GI47" s="1" t="s">
        <v>213</v>
      </c>
      <c r="GJ47" s="1" t="s">
        <v>260</v>
      </c>
      <c r="GK47" s="1" t="s">
        <v>210</v>
      </c>
      <c r="GL47" s="2">
        <v>41985</v>
      </c>
      <c r="GM47" s="1" t="s">
        <v>1257</v>
      </c>
    </row>
    <row r="48" spans="1:195">
      <c r="A48" s="1">
        <v>123500</v>
      </c>
      <c r="B48" s="1" t="s">
        <v>195</v>
      </c>
      <c r="C48" s="1" t="str">
        <f>"08755105"</f>
        <v>08755105</v>
      </c>
      <c r="D48" s="1" t="s">
        <v>196</v>
      </c>
      <c r="F48" s="1" t="str">
        <f>"73"</f>
        <v>73</v>
      </c>
      <c r="G48" s="2">
        <v>41929</v>
      </c>
      <c r="H48" s="1">
        <v>127000</v>
      </c>
      <c r="I48" s="1">
        <v>127000</v>
      </c>
      <c r="J48" s="1">
        <v>123500</v>
      </c>
      <c r="K48" s="2">
        <v>41929</v>
      </c>
      <c r="L48" s="1">
        <v>186</v>
      </c>
      <c r="M48" s="2">
        <v>42114</v>
      </c>
      <c r="N48" s="1">
        <v>186</v>
      </c>
      <c r="O48" s="2">
        <v>42114</v>
      </c>
      <c r="P48" s="1">
        <v>3460</v>
      </c>
      <c r="Q48" s="1" t="s">
        <v>197</v>
      </c>
      <c r="R48" s="2">
        <v>42143</v>
      </c>
      <c r="S48" s="1">
        <v>33486</v>
      </c>
      <c r="T48" s="1">
        <v>2000</v>
      </c>
      <c r="U48" s="1">
        <v>1291</v>
      </c>
      <c r="V48" s="1" t="s">
        <v>1258</v>
      </c>
      <c r="W48" s="1" t="s">
        <v>304</v>
      </c>
      <c r="Y48" s="1">
        <v>5</v>
      </c>
      <c r="Z48" s="1" t="s">
        <v>370</v>
      </c>
      <c r="AA48" s="1" t="s">
        <v>1259</v>
      </c>
      <c r="AB48" s="1">
        <v>60073</v>
      </c>
      <c r="AD48" s="1" t="s">
        <v>1260</v>
      </c>
      <c r="AE48" s="1" t="s">
        <v>1261</v>
      </c>
      <c r="AF48" s="1">
        <v>2003</v>
      </c>
      <c r="AG48" s="1" t="s">
        <v>204</v>
      </c>
      <c r="AH48" s="1" t="s">
        <v>1262</v>
      </c>
      <c r="AI48" s="1" t="s">
        <v>509</v>
      </c>
      <c r="AJ48" s="1" t="s">
        <v>1263</v>
      </c>
      <c r="AK48" s="1" t="s">
        <v>1264</v>
      </c>
      <c r="AL48" s="1">
        <v>5</v>
      </c>
      <c r="AM48" s="1">
        <v>2</v>
      </c>
      <c r="AN48" s="1">
        <v>2</v>
      </c>
      <c r="AO48" s="1">
        <v>0</v>
      </c>
      <c r="AP48" s="1" t="s">
        <v>209</v>
      </c>
      <c r="AQ48" s="1">
        <v>1</v>
      </c>
      <c r="AR48" s="1" t="s">
        <v>210</v>
      </c>
      <c r="AS48" s="1" t="s">
        <v>204</v>
      </c>
      <c r="AT48" s="1" t="s">
        <v>211</v>
      </c>
      <c r="AU48" s="1">
        <v>2</v>
      </c>
      <c r="AW48" s="1" t="s">
        <v>204</v>
      </c>
      <c r="AX48" s="1" t="s">
        <v>1265</v>
      </c>
      <c r="AZ48" s="1">
        <v>3656.64</v>
      </c>
      <c r="BA48" s="1">
        <v>2013</v>
      </c>
      <c r="BB48" s="1" t="s">
        <v>405</v>
      </c>
      <c r="BE48" s="1">
        <v>1328</v>
      </c>
      <c r="BF48" s="1">
        <v>1</v>
      </c>
      <c r="BG48" s="1">
        <v>0</v>
      </c>
      <c r="BL48" s="1">
        <v>128</v>
      </c>
      <c r="BM48" s="1" t="s">
        <v>204</v>
      </c>
      <c r="BN48" s="1" t="s">
        <v>213</v>
      </c>
      <c r="BO48" s="1">
        <v>0</v>
      </c>
      <c r="BP48" s="1" t="s">
        <v>204</v>
      </c>
      <c r="BR48" s="1" t="str">
        <f>"06193030070000"</f>
        <v>06193030070000</v>
      </c>
      <c r="BT48" s="1" t="s">
        <v>1266</v>
      </c>
      <c r="BX48" s="1">
        <v>116</v>
      </c>
      <c r="BY48" s="1">
        <v>116</v>
      </c>
      <c r="BZ48" s="1">
        <v>116</v>
      </c>
      <c r="CB48" s="1" t="str">
        <f>"34"</f>
        <v>34</v>
      </c>
      <c r="CC48" s="1" t="str">
        <f>""</f>
        <v/>
      </c>
      <c r="CD48" s="1">
        <v>25</v>
      </c>
      <c r="CG48" s="1" t="s">
        <v>1267</v>
      </c>
      <c r="CH48" s="1" t="s">
        <v>219</v>
      </c>
      <c r="CI48" s="1" t="s">
        <v>220</v>
      </c>
      <c r="CJ48" s="1" t="s">
        <v>252</v>
      </c>
      <c r="CK48" s="1" t="s">
        <v>315</v>
      </c>
      <c r="CL48" s="1" t="s">
        <v>219</v>
      </c>
      <c r="CM48" s="1" t="s">
        <v>220</v>
      </c>
      <c r="CN48" s="1" t="s">
        <v>252</v>
      </c>
      <c r="CO48" s="1" t="s">
        <v>316</v>
      </c>
      <c r="CP48" s="1" t="s">
        <v>219</v>
      </c>
      <c r="CQ48" s="1" t="s">
        <v>220</v>
      </c>
      <c r="CR48" s="1" t="s">
        <v>252</v>
      </c>
      <c r="CS48" s="1" t="s">
        <v>346</v>
      </c>
      <c r="CT48" s="1" t="s">
        <v>219</v>
      </c>
      <c r="CU48" s="1" t="s">
        <v>220</v>
      </c>
      <c r="CV48" s="1" t="s">
        <v>252</v>
      </c>
      <c r="CX48" s="1" t="s">
        <v>224</v>
      </c>
      <c r="DB48" s="1" t="s">
        <v>224</v>
      </c>
      <c r="DE48" s="1" t="s">
        <v>686</v>
      </c>
      <c r="DF48" s="1" t="s">
        <v>219</v>
      </c>
      <c r="DG48" s="1" t="s">
        <v>438</v>
      </c>
      <c r="DH48" s="1" t="s">
        <v>252</v>
      </c>
      <c r="DJ48" s="1" t="s">
        <v>224</v>
      </c>
      <c r="DS48" s="1" t="s">
        <v>230</v>
      </c>
      <c r="DW48" s="1" t="s">
        <v>230</v>
      </c>
      <c r="EA48" s="1" t="s">
        <v>230</v>
      </c>
      <c r="EE48" s="1" t="s">
        <v>230</v>
      </c>
      <c r="EI48" s="1" t="s">
        <v>230</v>
      </c>
      <c r="EL48" s="1" t="s">
        <v>466</v>
      </c>
      <c r="EM48" s="1" t="s">
        <v>730</v>
      </c>
      <c r="EN48" s="1" t="s">
        <v>282</v>
      </c>
      <c r="EO48" s="1" t="s">
        <v>234</v>
      </c>
      <c r="EP48" s="1" t="s">
        <v>1268</v>
      </c>
      <c r="EQ48" s="1" t="s">
        <v>236</v>
      </c>
      <c r="ER48" s="1" t="s">
        <v>1269</v>
      </c>
      <c r="ES48" s="1" t="s">
        <v>824</v>
      </c>
      <c r="EV48" s="1" t="s">
        <v>240</v>
      </c>
      <c r="EW48" s="1" t="s">
        <v>887</v>
      </c>
      <c r="EY48" s="1" t="s">
        <v>242</v>
      </c>
      <c r="EZ48" s="1" t="s">
        <v>287</v>
      </c>
      <c r="FA48" s="1" t="s">
        <v>1270</v>
      </c>
      <c r="FB48" s="1" t="s">
        <v>289</v>
      </c>
      <c r="FC48" s="1" t="s">
        <v>548</v>
      </c>
      <c r="FD48" s="1" t="s">
        <v>246</v>
      </c>
      <c r="FE48" s="1" t="s">
        <v>975</v>
      </c>
      <c r="FF48" s="1" t="s">
        <v>248</v>
      </c>
      <c r="FG48" s="1" t="s">
        <v>1271</v>
      </c>
      <c r="FH48" s="1" t="s">
        <v>825</v>
      </c>
      <c r="FI48" s="1" t="s">
        <v>473</v>
      </c>
      <c r="FJ48" s="1" t="s">
        <v>197</v>
      </c>
      <c r="FL48" s="1" t="s">
        <v>358</v>
      </c>
      <c r="FM48" s="1" t="s">
        <v>252</v>
      </c>
      <c r="FN48" s="1" t="s">
        <v>213</v>
      </c>
      <c r="FO48" s="1" t="s">
        <v>213</v>
      </c>
      <c r="FQ48" s="1" t="s">
        <v>1272</v>
      </c>
      <c r="FR48" s="1" t="s">
        <v>210</v>
      </c>
      <c r="FS48" s="1" t="s">
        <v>1273</v>
      </c>
      <c r="FT48" s="1" t="s">
        <v>1274</v>
      </c>
      <c r="FU48" s="1" t="s">
        <v>204</v>
      </c>
      <c r="FW48" s="1" t="s">
        <v>1275</v>
      </c>
      <c r="FX48" s="1">
        <v>2700</v>
      </c>
      <c r="FY48" s="1" t="s">
        <v>1276</v>
      </c>
      <c r="FZ48" s="1" t="s">
        <v>1277</v>
      </c>
      <c r="GA48" s="1">
        <v>19248</v>
      </c>
      <c r="GE48" s="1" t="s">
        <v>1256</v>
      </c>
      <c r="GH48" s="1" t="s">
        <v>589</v>
      </c>
      <c r="GI48" s="1" t="s">
        <v>213</v>
      </c>
      <c r="GJ48" s="1" t="s">
        <v>260</v>
      </c>
      <c r="GK48" s="1" t="s">
        <v>210</v>
      </c>
      <c r="GL48" s="2">
        <v>42143</v>
      </c>
      <c r="GM48" s="1" t="s">
        <v>1278</v>
      </c>
    </row>
    <row r="49" spans="1:195">
      <c r="A49" s="1">
        <v>155000</v>
      </c>
      <c r="B49" s="1" t="s">
        <v>195</v>
      </c>
      <c r="C49" s="1" t="str">
        <f>"08763154"</f>
        <v>08763154</v>
      </c>
      <c r="D49" s="1" t="s">
        <v>196</v>
      </c>
      <c r="F49" s="1" t="str">
        <f>"525"</f>
        <v>525</v>
      </c>
      <c r="G49" s="2">
        <v>41940</v>
      </c>
      <c r="H49" s="1">
        <v>159900</v>
      </c>
      <c r="I49" s="1">
        <v>159900</v>
      </c>
      <c r="J49" s="1">
        <v>155000</v>
      </c>
      <c r="K49" s="2">
        <v>41940</v>
      </c>
      <c r="L49" s="1">
        <v>62</v>
      </c>
      <c r="M49" s="2">
        <v>42001</v>
      </c>
      <c r="N49" s="1">
        <v>62</v>
      </c>
      <c r="O49" s="2">
        <v>42001</v>
      </c>
      <c r="P49" s="1">
        <v>22010</v>
      </c>
      <c r="Q49" s="1" t="s">
        <v>197</v>
      </c>
      <c r="R49" s="2">
        <v>42065</v>
      </c>
      <c r="S49" s="1">
        <v>221673</v>
      </c>
      <c r="U49" s="1">
        <v>1411</v>
      </c>
      <c r="V49" s="1" t="s">
        <v>1279</v>
      </c>
      <c r="W49" s="1" t="s">
        <v>425</v>
      </c>
      <c r="X49" s="1" t="s">
        <v>1280</v>
      </c>
      <c r="Y49" s="1">
        <v>6</v>
      </c>
      <c r="Z49" s="1" t="s">
        <v>249</v>
      </c>
      <c r="AA49" s="1" t="s">
        <v>1148</v>
      </c>
      <c r="AB49" s="1">
        <v>60525</v>
      </c>
      <c r="AE49" s="1" t="s">
        <v>1281</v>
      </c>
      <c r="AF49" s="1" t="s">
        <v>402</v>
      </c>
      <c r="AG49" s="1" t="s">
        <v>213</v>
      </c>
      <c r="AH49" s="1" t="s">
        <v>1150</v>
      </c>
      <c r="AI49" s="1" t="s">
        <v>310</v>
      </c>
      <c r="AJ49" s="1" t="s">
        <v>702</v>
      </c>
      <c r="AL49" s="1">
        <v>4</v>
      </c>
      <c r="AM49" s="1">
        <v>2</v>
      </c>
      <c r="AN49" s="1">
        <v>1</v>
      </c>
      <c r="AO49" s="1">
        <v>0</v>
      </c>
      <c r="AP49" s="1" t="s">
        <v>210</v>
      </c>
      <c r="AR49" s="1" t="s">
        <v>210</v>
      </c>
      <c r="AS49" s="1" t="s">
        <v>204</v>
      </c>
      <c r="AT49" s="1" t="s">
        <v>271</v>
      </c>
      <c r="AV49" s="1">
        <v>1</v>
      </c>
      <c r="AW49" s="1" t="s">
        <v>204</v>
      </c>
      <c r="AX49" s="1" t="s">
        <v>270</v>
      </c>
      <c r="AZ49" s="1">
        <v>2880</v>
      </c>
      <c r="BA49" s="1">
        <v>2012</v>
      </c>
      <c r="BB49" s="1" t="s">
        <v>405</v>
      </c>
      <c r="BE49" s="1">
        <v>1000</v>
      </c>
      <c r="BF49" s="1">
        <v>1</v>
      </c>
      <c r="BG49" s="1">
        <v>10</v>
      </c>
      <c r="BL49" s="1">
        <v>238</v>
      </c>
      <c r="BM49" s="1" t="s">
        <v>204</v>
      </c>
      <c r="BN49" s="1" t="s">
        <v>213</v>
      </c>
      <c r="BO49" s="1">
        <v>999</v>
      </c>
      <c r="BP49" s="1" t="s">
        <v>204</v>
      </c>
      <c r="BR49" s="1" t="str">
        <f>"18054000141003"</f>
        <v>18054000141003</v>
      </c>
      <c r="BT49" s="1" t="s">
        <v>1282</v>
      </c>
      <c r="BU49" s="1" t="s">
        <v>1153</v>
      </c>
      <c r="BV49" s="1" t="s">
        <v>1154</v>
      </c>
      <c r="BW49" s="1" t="s">
        <v>706</v>
      </c>
      <c r="BX49" s="1">
        <v>102</v>
      </c>
      <c r="BY49" s="1">
        <v>102</v>
      </c>
      <c r="BZ49" s="1">
        <v>204</v>
      </c>
      <c r="CB49" s="1" t="str">
        <f t="shared" ref="CB49:CC49" si="34">""</f>
        <v/>
      </c>
      <c r="CC49" s="1" t="str">
        <f t="shared" si="34"/>
        <v/>
      </c>
      <c r="CG49" s="1" t="s">
        <v>648</v>
      </c>
      <c r="CH49" s="1" t="s">
        <v>219</v>
      </c>
      <c r="CI49" s="1" t="s">
        <v>438</v>
      </c>
      <c r="CJ49" s="1" t="s">
        <v>463</v>
      </c>
      <c r="CK49" s="1" t="s">
        <v>378</v>
      </c>
      <c r="CL49" s="1" t="s">
        <v>219</v>
      </c>
      <c r="CM49" s="1" t="s">
        <v>438</v>
      </c>
      <c r="CN49" s="1" t="s">
        <v>343</v>
      </c>
      <c r="CP49" s="1" t="s">
        <v>224</v>
      </c>
      <c r="CS49" s="1" t="s">
        <v>1046</v>
      </c>
      <c r="CT49" s="1" t="s">
        <v>219</v>
      </c>
      <c r="CU49" s="1" t="s">
        <v>438</v>
      </c>
      <c r="CV49" s="1" t="s">
        <v>343</v>
      </c>
      <c r="CX49" s="1" t="s">
        <v>224</v>
      </c>
      <c r="DB49" s="1" t="s">
        <v>224</v>
      </c>
      <c r="DE49" s="1" t="s">
        <v>228</v>
      </c>
      <c r="DF49" s="1" t="s">
        <v>219</v>
      </c>
      <c r="DG49" s="1" t="s">
        <v>226</v>
      </c>
      <c r="DH49" s="1" t="s">
        <v>343</v>
      </c>
      <c r="DJ49" s="1" t="s">
        <v>224</v>
      </c>
      <c r="DS49" s="1" t="s">
        <v>230</v>
      </c>
      <c r="DW49" s="1" t="s">
        <v>230</v>
      </c>
      <c r="EA49" s="1" t="s">
        <v>230</v>
      </c>
      <c r="EE49" s="1" t="s">
        <v>230</v>
      </c>
      <c r="EI49" s="1" t="s">
        <v>230</v>
      </c>
      <c r="EL49" s="1" t="s">
        <v>605</v>
      </c>
      <c r="EM49" s="1" t="s">
        <v>232</v>
      </c>
      <c r="EN49" s="1" t="s">
        <v>1158</v>
      </c>
      <c r="EO49" s="1" t="s">
        <v>234</v>
      </c>
      <c r="EP49" s="1" t="s">
        <v>1283</v>
      </c>
      <c r="EQ49" s="1" t="s">
        <v>1109</v>
      </c>
      <c r="ER49" s="1" t="s">
        <v>210</v>
      </c>
      <c r="ES49" s="1" t="s">
        <v>493</v>
      </c>
      <c r="EW49" s="1" t="s">
        <v>1284</v>
      </c>
      <c r="EZ49" s="1" t="s">
        <v>287</v>
      </c>
      <c r="FC49" s="1" t="s">
        <v>735</v>
      </c>
      <c r="FD49" s="1" t="s">
        <v>246</v>
      </c>
      <c r="FE49" s="1" t="s">
        <v>247</v>
      </c>
      <c r="FF49" s="1" t="s">
        <v>248</v>
      </c>
      <c r="FH49" s="1" t="s">
        <v>249</v>
      </c>
      <c r="FJ49" s="1" t="s">
        <v>518</v>
      </c>
      <c r="FK49" s="1" t="s">
        <v>291</v>
      </c>
      <c r="FL49" s="1" t="s">
        <v>1285</v>
      </c>
      <c r="FM49" s="1" t="s">
        <v>252</v>
      </c>
      <c r="FN49" s="1" t="s">
        <v>213</v>
      </c>
      <c r="FO49" s="1" t="s">
        <v>213</v>
      </c>
      <c r="FQ49" s="1" t="s">
        <v>1286</v>
      </c>
      <c r="FR49" s="1" t="s">
        <v>210</v>
      </c>
      <c r="FS49" s="1" t="s">
        <v>1287</v>
      </c>
      <c r="FT49" s="1" t="s">
        <v>362</v>
      </c>
      <c r="FU49" s="1" t="s">
        <v>204</v>
      </c>
      <c r="FW49" s="1" t="s">
        <v>1288</v>
      </c>
      <c r="FX49" s="1">
        <v>22097</v>
      </c>
      <c r="FY49" s="1" t="s">
        <v>1289</v>
      </c>
      <c r="FZ49" s="1" t="s">
        <v>1290</v>
      </c>
      <c r="GA49" s="1">
        <v>223617</v>
      </c>
      <c r="GB49" s="1" t="s">
        <v>1291</v>
      </c>
      <c r="GC49" s="1">
        <v>252272</v>
      </c>
      <c r="GE49" s="1" t="s">
        <v>1226</v>
      </c>
      <c r="GH49" s="1" t="s">
        <v>589</v>
      </c>
      <c r="GI49" s="1" t="s">
        <v>213</v>
      </c>
      <c r="GJ49" s="1" t="s">
        <v>260</v>
      </c>
      <c r="GK49" s="1" t="s">
        <v>210</v>
      </c>
      <c r="GL49" s="2">
        <v>42065</v>
      </c>
      <c r="GM49" s="1" t="s">
        <v>1292</v>
      </c>
    </row>
    <row r="50" spans="1:195">
      <c r="A50" s="1">
        <v>56000</v>
      </c>
      <c r="B50" s="1" t="s">
        <v>195</v>
      </c>
      <c r="C50" s="1" t="str">
        <f>"08762642"</f>
        <v>08762642</v>
      </c>
      <c r="D50" s="1" t="s">
        <v>196</v>
      </c>
      <c r="F50" s="1" t="str">
        <f>"515"</f>
        <v>515</v>
      </c>
      <c r="G50" s="2">
        <v>41939</v>
      </c>
      <c r="H50" s="1">
        <v>54900</v>
      </c>
      <c r="I50" s="1">
        <v>54900</v>
      </c>
      <c r="J50" s="1">
        <v>56000</v>
      </c>
      <c r="K50" s="2">
        <v>41939</v>
      </c>
      <c r="L50" s="1">
        <v>22</v>
      </c>
      <c r="M50" s="2">
        <v>41960</v>
      </c>
      <c r="N50" s="1">
        <v>22</v>
      </c>
      <c r="O50" s="2">
        <v>41960</v>
      </c>
      <c r="P50" s="1">
        <v>24773</v>
      </c>
      <c r="Q50" s="1" t="s">
        <v>302</v>
      </c>
      <c r="R50" s="2">
        <v>41969</v>
      </c>
      <c r="S50" s="1">
        <v>221372</v>
      </c>
      <c r="U50" s="1">
        <v>2205</v>
      </c>
      <c r="V50" s="1" t="s">
        <v>1293</v>
      </c>
      <c r="W50" s="1" t="s">
        <v>449</v>
      </c>
      <c r="X50" s="1">
        <v>2</v>
      </c>
      <c r="Y50" s="1">
        <v>4</v>
      </c>
      <c r="Z50" s="1" t="s">
        <v>249</v>
      </c>
      <c r="AA50" s="1" t="s">
        <v>1294</v>
      </c>
      <c r="AB50" s="1">
        <v>60515</v>
      </c>
      <c r="AE50" s="1" t="s">
        <v>1295</v>
      </c>
      <c r="AF50" s="1">
        <v>1981</v>
      </c>
      <c r="AG50" s="1" t="s">
        <v>204</v>
      </c>
      <c r="AH50" s="1" t="s">
        <v>903</v>
      </c>
      <c r="AI50" s="1" t="s">
        <v>206</v>
      </c>
      <c r="AJ50" s="1" t="s">
        <v>925</v>
      </c>
      <c r="AL50" s="1">
        <v>5</v>
      </c>
      <c r="AM50" s="1">
        <v>2</v>
      </c>
      <c r="AN50" s="1">
        <v>1</v>
      </c>
      <c r="AO50" s="1">
        <v>0</v>
      </c>
      <c r="AP50" s="1" t="s">
        <v>210</v>
      </c>
      <c r="AR50" s="1" t="s">
        <v>210</v>
      </c>
      <c r="AS50" s="1" t="s">
        <v>204</v>
      </c>
      <c r="AT50" s="1" t="s">
        <v>271</v>
      </c>
      <c r="AV50" s="1">
        <v>2</v>
      </c>
      <c r="AW50" s="1" t="s">
        <v>204</v>
      </c>
      <c r="AX50" s="1" t="s">
        <v>212</v>
      </c>
      <c r="AZ50" s="1">
        <v>2238</v>
      </c>
      <c r="BA50" s="1">
        <v>2013</v>
      </c>
      <c r="BE50" s="1">
        <v>0</v>
      </c>
      <c r="BF50" s="1">
        <v>2</v>
      </c>
      <c r="BG50" s="1">
        <v>30</v>
      </c>
      <c r="BL50" s="1">
        <v>240</v>
      </c>
      <c r="BM50" s="1" t="s">
        <v>204</v>
      </c>
      <c r="BN50" s="1" t="s">
        <v>213</v>
      </c>
      <c r="BO50" s="1">
        <v>50</v>
      </c>
      <c r="BP50" s="1" t="s">
        <v>204</v>
      </c>
      <c r="BR50" s="1" t="str">
        <f>"0801414042"</f>
        <v>0801414042</v>
      </c>
      <c r="BT50" s="1" t="s">
        <v>1296</v>
      </c>
      <c r="BX50" s="1">
        <v>58</v>
      </c>
      <c r="BY50" s="1">
        <v>58</v>
      </c>
      <c r="BZ50" s="1">
        <v>99</v>
      </c>
      <c r="CB50" s="1" t="str">
        <f t="shared" ref="CB50:CC50" si="35">""</f>
        <v/>
      </c>
      <c r="CC50" s="1" t="str">
        <f t="shared" si="35"/>
        <v/>
      </c>
      <c r="CG50" s="1" t="s">
        <v>729</v>
      </c>
      <c r="CH50" s="1" t="s">
        <v>219</v>
      </c>
      <c r="CK50" s="1" t="s">
        <v>757</v>
      </c>
      <c r="CL50" s="1" t="s">
        <v>219</v>
      </c>
      <c r="CO50" s="1" t="s">
        <v>489</v>
      </c>
      <c r="CP50" s="1" t="s">
        <v>219</v>
      </c>
      <c r="CS50" s="1" t="s">
        <v>1297</v>
      </c>
      <c r="CT50" s="1" t="s">
        <v>219</v>
      </c>
      <c r="CX50" s="1" t="s">
        <v>224</v>
      </c>
      <c r="DB50" s="1" t="s">
        <v>224</v>
      </c>
      <c r="DE50" s="1" t="s">
        <v>489</v>
      </c>
      <c r="DF50" s="1" t="s">
        <v>219</v>
      </c>
      <c r="DJ50" s="1" t="s">
        <v>224</v>
      </c>
      <c r="DS50" s="1" t="s">
        <v>230</v>
      </c>
      <c r="DW50" s="1" t="s">
        <v>230</v>
      </c>
      <c r="EA50" s="1" t="s">
        <v>230</v>
      </c>
      <c r="EE50" s="1" t="s">
        <v>230</v>
      </c>
      <c r="EI50" s="1" t="s">
        <v>230</v>
      </c>
      <c r="EL50" s="1" t="s">
        <v>231</v>
      </c>
      <c r="EM50" s="1" t="s">
        <v>319</v>
      </c>
      <c r="EN50" s="1" t="s">
        <v>210</v>
      </c>
      <c r="EO50" s="1" t="s">
        <v>234</v>
      </c>
      <c r="ER50" s="1" t="s">
        <v>210</v>
      </c>
      <c r="EW50" s="1" t="s">
        <v>1298</v>
      </c>
      <c r="EZ50" s="1" t="s">
        <v>287</v>
      </c>
      <c r="FD50" s="1" t="s">
        <v>246</v>
      </c>
      <c r="FE50" s="1" t="s">
        <v>247</v>
      </c>
      <c r="FF50" s="1" t="s">
        <v>248</v>
      </c>
      <c r="FH50" s="1" t="s">
        <v>249</v>
      </c>
      <c r="FL50" s="1" t="s">
        <v>1299</v>
      </c>
      <c r="FM50" s="1" t="s">
        <v>252</v>
      </c>
      <c r="FN50" s="1" t="s">
        <v>213</v>
      </c>
      <c r="FO50" s="1" t="s">
        <v>213</v>
      </c>
      <c r="FQ50" s="1" t="s">
        <v>1300</v>
      </c>
      <c r="FR50" s="1" t="s">
        <v>1301</v>
      </c>
      <c r="FS50" s="1" t="s">
        <v>1302</v>
      </c>
      <c r="FT50" s="1" t="s">
        <v>295</v>
      </c>
      <c r="FU50" s="1" t="s">
        <v>204</v>
      </c>
      <c r="FW50" s="1" t="s">
        <v>1303</v>
      </c>
      <c r="FX50" s="1">
        <v>24072</v>
      </c>
      <c r="FY50" s="1" t="s">
        <v>1304</v>
      </c>
      <c r="FZ50" s="1" t="s">
        <v>1305</v>
      </c>
      <c r="GA50" s="1">
        <v>222267</v>
      </c>
      <c r="GB50" s="1" t="s">
        <v>1304</v>
      </c>
      <c r="GC50" s="1">
        <v>871164</v>
      </c>
      <c r="GE50" s="1" t="s">
        <v>210</v>
      </c>
      <c r="GI50" s="1" t="s">
        <v>213</v>
      </c>
      <c r="GJ50" s="1" t="s">
        <v>260</v>
      </c>
      <c r="GK50" s="1" t="s">
        <v>210</v>
      </c>
      <c r="GL50" s="2">
        <v>41969</v>
      </c>
      <c r="GM50" s="1" t="s">
        <v>1306</v>
      </c>
    </row>
    <row r="51" spans="1:195">
      <c r="A51" s="1">
        <v>147800</v>
      </c>
      <c r="B51" s="1" t="s">
        <v>195</v>
      </c>
      <c r="C51" s="1" t="str">
        <f>"08757289"</f>
        <v>08757289</v>
      </c>
      <c r="D51" s="1" t="s">
        <v>196</v>
      </c>
      <c r="F51" s="1" t="str">
        <f>"507"</f>
        <v>507</v>
      </c>
      <c r="G51" s="2">
        <v>41932</v>
      </c>
      <c r="H51" s="1">
        <v>162900</v>
      </c>
      <c r="I51" s="1">
        <v>162900</v>
      </c>
      <c r="J51" s="1">
        <v>147800</v>
      </c>
      <c r="K51" s="2">
        <v>41932</v>
      </c>
      <c r="L51" s="1">
        <v>17</v>
      </c>
      <c r="M51" s="2">
        <v>41948</v>
      </c>
      <c r="N51" s="1">
        <v>17</v>
      </c>
      <c r="O51" s="2">
        <v>41948</v>
      </c>
      <c r="P51" s="1">
        <v>22029</v>
      </c>
      <c r="Q51" s="1" t="s">
        <v>197</v>
      </c>
      <c r="R51" s="2">
        <v>41990</v>
      </c>
      <c r="S51" s="1">
        <v>253302</v>
      </c>
      <c r="U51" s="1">
        <v>449</v>
      </c>
      <c r="V51" s="1" t="s">
        <v>1307</v>
      </c>
      <c r="W51" s="1" t="s">
        <v>725</v>
      </c>
      <c r="X51" s="1">
        <v>449</v>
      </c>
      <c r="Y51" s="1">
        <v>4</v>
      </c>
      <c r="Z51" s="1" t="s">
        <v>249</v>
      </c>
      <c r="AA51" s="1" t="s">
        <v>1123</v>
      </c>
      <c r="AB51" s="1">
        <v>60502</v>
      </c>
      <c r="AD51" s="1" t="s">
        <v>1308</v>
      </c>
      <c r="AE51" s="1" t="s">
        <v>1309</v>
      </c>
      <c r="AF51" s="1">
        <v>2005</v>
      </c>
      <c r="AG51" s="1" t="s">
        <v>204</v>
      </c>
      <c r="AH51" s="1" t="s">
        <v>1126</v>
      </c>
      <c r="AI51" s="1" t="s">
        <v>206</v>
      </c>
      <c r="AJ51" s="1" t="s">
        <v>924</v>
      </c>
      <c r="AK51" s="1" t="s">
        <v>1310</v>
      </c>
      <c r="AL51" s="1">
        <v>5</v>
      </c>
      <c r="AM51" s="1">
        <v>2</v>
      </c>
      <c r="AN51" s="1">
        <v>1</v>
      </c>
      <c r="AO51" s="1">
        <v>1</v>
      </c>
      <c r="AP51" s="1" t="s">
        <v>209</v>
      </c>
      <c r="AR51" s="1" t="s">
        <v>210</v>
      </c>
      <c r="AT51" s="1" t="s">
        <v>211</v>
      </c>
      <c r="AU51" s="1">
        <v>2</v>
      </c>
      <c r="AW51" s="1" t="s">
        <v>213</v>
      </c>
      <c r="AX51" s="1" t="s">
        <v>212</v>
      </c>
      <c r="AZ51" s="1">
        <v>3398</v>
      </c>
      <c r="BA51" s="1">
        <v>2013</v>
      </c>
      <c r="BB51" s="1" t="s">
        <v>405</v>
      </c>
      <c r="BE51" s="1">
        <v>1163</v>
      </c>
      <c r="BF51" s="1">
        <v>1</v>
      </c>
      <c r="BG51" s="1">
        <v>0</v>
      </c>
      <c r="BL51" s="1">
        <v>206</v>
      </c>
      <c r="BM51" s="1" t="s">
        <v>204</v>
      </c>
      <c r="BN51" s="1" t="s">
        <v>213</v>
      </c>
      <c r="BO51" s="1">
        <v>999</v>
      </c>
      <c r="BP51" s="1" t="s">
        <v>204</v>
      </c>
      <c r="BR51" s="1" t="str">
        <f>"0720109063"</f>
        <v>0720109063</v>
      </c>
      <c r="BT51" s="1" t="s">
        <v>1311</v>
      </c>
      <c r="BV51" s="1" t="s">
        <v>1130</v>
      </c>
      <c r="BW51" s="1" t="s">
        <v>1312</v>
      </c>
      <c r="BX51" s="1">
        <v>204</v>
      </c>
      <c r="BY51" s="1">
        <v>204</v>
      </c>
      <c r="BZ51" s="1">
        <v>204</v>
      </c>
      <c r="CB51" s="1" t="str">
        <f t="shared" ref="CB51:CC51" si="36">""</f>
        <v/>
      </c>
      <c r="CC51" s="1" t="str">
        <f t="shared" si="36"/>
        <v/>
      </c>
      <c r="CG51" s="1" t="s">
        <v>515</v>
      </c>
      <c r="CH51" s="1" t="s">
        <v>219</v>
      </c>
      <c r="CI51" s="1" t="s">
        <v>229</v>
      </c>
      <c r="CK51" s="1" t="s">
        <v>1045</v>
      </c>
      <c r="CL51" s="1" t="s">
        <v>219</v>
      </c>
      <c r="CM51" s="1" t="s">
        <v>220</v>
      </c>
      <c r="CO51" s="1" t="s">
        <v>409</v>
      </c>
      <c r="CP51" s="1" t="s">
        <v>219</v>
      </c>
      <c r="CQ51" s="1" t="s">
        <v>229</v>
      </c>
      <c r="CS51" s="1" t="s">
        <v>346</v>
      </c>
      <c r="CT51" s="1" t="s">
        <v>219</v>
      </c>
      <c r="CU51" s="1" t="s">
        <v>220</v>
      </c>
      <c r="CX51" s="1" t="s">
        <v>224</v>
      </c>
      <c r="DB51" s="1" t="s">
        <v>224</v>
      </c>
      <c r="DE51" s="1" t="s">
        <v>564</v>
      </c>
      <c r="DF51" s="1" t="s">
        <v>219</v>
      </c>
      <c r="DG51" s="1" t="s">
        <v>342</v>
      </c>
      <c r="DH51" s="1" t="s">
        <v>210</v>
      </c>
      <c r="DJ51" s="1" t="s">
        <v>224</v>
      </c>
      <c r="DN51" s="1" t="s">
        <v>709</v>
      </c>
      <c r="DS51" s="1" t="s">
        <v>230</v>
      </c>
      <c r="DV51" s="1" t="s">
        <v>1313</v>
      </c>
      <c r="DW51" s="1" t="s">
        <v>219</v>
      </c>
      <c r="DX51" s="1" t="s">
        <v>342</v>
      </c>
      <c r="DY51" s="1" t="s">
        <v>210</v>
      </c>
      <c r="EA51" s="1" t="s">
        <v>230</v>
      </c>
      <c r="EE51" s="1" t="s">
        <v>230</v>
      </c>
      <c r="EI51" s="1" t="s">
        <v>230</v>
      </c>
      <c r="EL51" s="1" t="s">
        <v>491</v>
      </c>
      <c r="EM51" s="1" t="s">
        <v>319</v>
      </c>
      <c r="EN51" s="1" t="s">
        <v>282</v>
      </c>
      <c r="EO51" s="1" t="s">
        <v>234</v>
      </c>
      <c r="EP51" s="1" t="s">
        <v>210</v>
      </c>
      <c r="EQ51" s="1" t="s">
        <v>236</v>
      </c>
      <c r="ER51" s="1" t="s">
        <v>383</v>
      </c>
      <c r="ES51" s="1" t="s">
        <v>824</v>
      </c>
      <c r="EU51" s="1" t="s">
        <v>1314</v>
      </c>
      <c r="EW51" s="1" t="s">
        <v>353</v>
      </c>
      <c r="EY51" s="1" t="s">
        <v>1315</v>
      </c>
      <c r="EZ51" s="1" t="s">
        <v>709</v>
      </c>
      <c r="FA51" s="1" t="s">
        <v>1072</v>
      </c>
      <c r="FD51" s="1" t="s">
        <v>246</v>
      </c>
      <c r="FE51" s="1" t="s">
        <v>566</v>
      </c>
      <c r="FF51" s="1" t="s">
        <v>248</v>
      </c>
      <c r="FH51" s="1" t="s">
        <v>1316</v>
      </c>
      <c r="FI51" s="1" t="s">
        <v>357</v>
      </c>
      <c r="FL51" s="1" t="s">
        <v>358</v>
      </c>
      <c r="FM51" s="1" t="s">
        <v>252</v>
      </c>
      <c r="FN51" s="1" t="s">
        <v>213</v>
      </c>
      <c r="FO51" s="1" t="s">
        <v>213</v>
      </c>
      <c r="FQ51" s="1" t="s">
        <v>1317</v>
      </c>
      <c r="FR51" s="1" t="s">
        <v>210</v>
      </c>
      <c r="FS51" s="1" t="s">
        <v>1318</v>
      </c>
      <c r="FT51" s="1" t="s">
        <v>295</v>
      </c>
      <c r="FU51" s="1" t="s">
        <v>204</v>
      </c>
      <c r="FV51" s="1" t="s">
        <v>1319</v>
      </c>
      <c r="FW51" s="1" t="s">
        <v>296</v>
      </c>
      <c r="FX51" s="1">
        <v>25832</v>
      </c>
      <c r="FY51" s="1" t="s">
        <v>297</v>
      </c>
      <c r="FZ51" s="1" t="s">
        <v>1320</v>
      </c>
      <c r="GA51" s="1">
        <v>259516</v>
      </c>
      <c r="GB51" s="1" t="s">
        <v>297</v>
      </c>
      <c r="GD51" s="1" t="s">
        <v>1321</v>
      </c>
      <c r="GE51" s="1" t="s">
        <v>480</v>
      </c>
      <c r="GI51" s="1" t="s">
        <v>204</v>
      </c>
      <c r="GJ51" s="1" t="s">
        <v>260</v>
      </c>
      <c r="GK51" s="1" t="s">
        <v>210</v>
      </c>
      <c r="GL51" s="2">
        <v>41990</v>
      </c>
      <c r="GM51" s="1" t="s">
        <v>1322</v>
      </c>
    </row>
    <row r="52" spans="1:195">
      <c r="A52" s="1">
        <v>175000</v>
      </c>
      <c r="B52" s="1" t="s">
        <v>195</v>
      </c>
      <c r="C52" s="1" t="str">
        <f>"08757119"</f>
        <v>08757119</v>
      </c>
      <c r="D52" s="1" t="s">
        <v>196</v>
      </c>
      <c r="F52" s="1" t="str">
        <f>"187"</f>
        <v>187</v>
      </c>
      <c r="G52" s="2">
        <v>41932</v>
      </c>
      <c r="H52" s="1">
        <v>184000</v>
      </c>
      <c r="I52" s="1">
        <v>184000</v>
      </c>
      <c r="J52" s="1">
        <v>175000</v>
      </c>
      <c r="K52" s="2">
        <v>41932</v>
      </c>
      <c r="L52" s="1">
        <v>57</v>
      </c>
      <c r="M52" s="2">
        <v>41942</v>
      </c>
      <c r="N52" s="1">
        <v>11</v>
      </c>
      <c r="O52" s="2">
        <v>41942</v>
      </c>
      <c r="P52" s="1">
        <v>25832</v>
      </c>
      <c r="Q52" s="1" t="s">
        <v>197</v>
      </c>
      <c r="R52" s="2">
        <v>41978</v>
      </c>
      <c r="S52" s="1">
        <v>259516</v>
      </c>
      <c r="T52" s="1">
        <v>1500</v>
      </c>
      <c r="U52" s="1">
        <v>927</v>
      </c>
      <c r="V52" s="1" t="s">
        <v>1323</v>
      </c>
      <c r="W52" s="1" t="s">
        <v>264</v>
      </c>
      <c r="X52" s="1" t="s">
        <v>483</v>
      </c>
      <c r="Y52" s="1">
        <v>4</v>
      </c>
      <c r="Z52" s="1" t="s">
        <v>370</v>
      </c>
      <c r="AA52" s="1" t="s">
        <v>964</v>
      </c>
      <c r="AB52" s="1">
        <v>60189</v>
      </c>
      <c r="AD52" s="1" t="s">
        <v>1324</v>
      </c>
      <c r="AE52" s="1" t="s">
        <v>1325</v>
      </c>
      <c r="AF52" s="1">
        <v>1985</v>
      </c>
      <c r="AG52" s="1" t="s">
        <v>204</v>
      </c>
      <c r="AH52" s="1" t="s">
        <v>967</v>
      </c>
      <c r="AI52" s="1" t="s">
        <v>206</v>
      </c>
      <c r="AJ52" s="1" t="s">
        <v>207</v>
      </c>
      <c r="AL52" s="1">
        <v>5</v>
      </c>
      <c r="AM52" s="1">
        <v>2</v>
      </c>
      <c r="AN52" s="1">
        <v>1</v>
      </c>
      <c r="AO52" s="1">
        <v>1</v>
      </c>
      <c r="AP52" s="1" t="s">
        <v>667</v>
      </c>
      <c r="AQ52" s="1">
        <v>1</v>
      </c>
      <c r="AR52" s="1" t="s">
        <v>210</v>
      </c>
      <c r="AS52" s="1" t="s">
        <v>204</v>
      </c>
      <c r="AT52" s="1" t="s">
        <v>211</v>
      </c>
      <c r="AU52" s="1">
        <v>2</v>
      </c>
      <c r="AW52" s="1" t="s">
        <v>204</v>
      </c>
      <c r="AX52" s="1" t="s">
        <v>212</v>
      </c>
      <c r="AZ52" s="1">
        <v>3332</v>
      </c>
      <c r="BA52" s="1">
        <v>2013</v>
      </c>
      <c r="BE52" s="1">
        <v>1151</v>
      </c>
      <c r="BF52" s="1">
        <v>2</v>
      </c>
      <c r="BG52" s="1">
        <v>0</v>
      </c>
      <c r="BL52" s="1">
        <v>300</v>
      </c>
      <c r="BM52" s="1" t="s">
        <v>204</v>
      </c>
      <c r="BN52" s="1" t="s">
        <v>213</v>
      </c>
      <c r="BO52" s="1">
        <v>0</v>
      </c>
      <c r="BP52" s="1" t="s">
        <v>204</v>
      </c>
      <c r="BR52" s="1" t="str">
        <f>"0519211128"</f>
        <v>0519211128</v>
      </c>
      <c r="BT52" s="1" t="s">
        <v>1326</v>
      </c>
      <c r="BU52" s="1" t="s">
        <v>1327</v>
      </c>
      <c r="BV52" s="1" t="s">
        <v>970</v>
      </c>
      <c r="BW52" s="1" t="s">
        <v>971</v>
      </c>
      <c r="BX52" s="1">
        <v>200</v>
      </c>
      <c r="BY52" s="1">
        <v>200</v>
      </c>
      <c r="BZ52" s="1">
        <v>200</v>
      </c>
      <c r="CB52" s="1" t="str">
        <f t="shared" ref="CB52:CC52" si="37">""</f>
        <v/>
      </c>
      <c r="CC52" s="1" t="str">
        <f t="shared" si="37"/>
        <v/>
      </c>
      <c r="CG52" s="1" t="s">
        <v>861</v>
      </c>
      <c r="CH52" s="1" t="s">
        <v>277</v>
      </c>
      <c r="CI52" s="1" t="s">
        <v>438</v>
      </c>
      <c r="CK52" s="1" t="s">
        <v>729</v>
      </c>
      <c r="CL52" s="1" t="s">
        <v>277</v>
      </c>
      <c r="CM52" s="1" t="s">
        <v>438</v>
      </c>
      <c r="CO52" s="1" t="s">
        <v>318</v>
      </c>
      <c r="CP52" s="1" t="s">
        <v>277</v>
      </c>
      <c r="CQ52" s="1" t="s">
        <v>438</v>
      </c>
      <c r="CS52" s="1" t="s">
        <v>932</v>
      </c>
      <c r="CT52" s="1" t="s">
        <v>277</v>
      </c>
      <c r="CU52" s="1" t="s">
        <v>438</v>
      </c>
      <c r="CX52" s="1" t="s">
        <v>224</v>
      </c>
      <c r="DB52" s="1" t="s">
        <v>224</v>
      </c>
      <c r="DE52" s="1" t="s">
        <v>346</v>
      </c>
      <c r="DF52" s="1" t="s">
        <v>277</v>
      </c>
      <c r="DG52" s="1" t="s">
        <v>438</v>
      </c>
      <c r="DJ52" s="1" t="s">
        <v>224</v>
      </c>
      <c r="DM52" s="1" t="s">
        <v>838</v>
      </c>
      <c r="DR52" s="1" t="s">
        <v>1328</v>
      </c>
      <c r="DS52" s="1" t="s">
        <v>277</v>
      </c>
      <c r="DW52" s="1" t="s">
        <v>230</v>
      </c>
      <c r="EA52" s="1" t="s">
        <v>230</v>
      </c>
      <c r="EE52" s="1" t="s">
        <v>230</v>
      </c>
      <c r="EI52" s="1" t="s">
        <v>230</v>
      </c>
      <c r="EL52" s="1" t="s">
        <v>542</v>
      </c>
      <c r="EM52" s="1" t="s">
        <v>232</v>
      </c>
      <c r="EN52" s="1" t="s">
        <v>282</v>
      </c>
      <c r="EO52" s="1" t="s">
        <v>234</v>
      </c>
      <c r="EQ52" s="1" t="s">
        <v>236</v>
      </c>
      <c r="ER52" s="1" t="s">
        <v>210</v>
      </c>
      <c r="EV52" s="1" t="s">
        <v>352</v>
      </c>
      <c r="EW52" s="1" t="s">
        <v>887</v>
      </c>
      <c r="EZ52" s="1" t="s">
        <v>838</v>
      </c>
      <c r="FD52" s="1" t="s">
        <v>246</v>
      </c>
      <c r="FE52" s="1" t="s">
        <v>386</v>
      </c>
      <c r="FF52" s="1" t="s">
        <v>387</v>
      </c>
      <c r="FH52" s="1" t="s">
        <v>388</v>
      </c>
      <c r="FL52" s="1" t="s">
        <v>358</v>
      </c>
      <c r="FM52" s="1" t="s">
        <v>252</v>
      </c>
      <c r="FN52" s="1" t="s">
        <v>213</v>
      </c>
      <c r="FO52" s="1" t="s">
        <v>213</v>
      </c>
      <c r="FQ52" s="1" t="s">
        <v>329</v>
      </c>
      <c r="FR52" s="1" t="s">
        <v>210</v>
      </c>
      <c r="FS52" s="1" t="s">
        <v>1329</v>
      </c>
      <c r="FT52" s="1" t="s">
        <v>362</v>
      </c>
      <c r="FU52" s="1" t="s">
        <v>204</v>
      </c>
      <c r="FW52" s="1" t="s">
        <v>585</v>
      </c>
      <c r="FX52" s="1">
        <v>25003</v>
      </c>
      <c r="FY52" s="1" t="s">
        <v>1330</v>
      </c>
      <c r="FZ52" s="1" t="s">
        <v>1331</v>
      </c>
      <c r="GA52" s="1">
        <v>252266</v>
      </c>
      <c r="GB52" s="1" t="s">
        <v>1332</v>
      </c>
      <c r="GC52" s="1">
        <v>259457</v>
      </c>
      <c r="GE52" s="1" t="s">
        <v>1333</v>
      </c>
      <c r="GI52" s="1" t="s">
        <v>213</v>
      </c>
      <c r="GJ52" s="1" t="s">
        <v>260</v>
      </c>
      <c r="GK52" s="1" t="s">
        <v>210</v>
      </c>
      <c r="GL52" s="2">
        <v>41981</v>
      </c>
    </row>
    <row r="53" spans="1:195">
      <c r="A53" s="1">
        <v>87102</v>
      </c>
      <c r="B53" s="1" t="s">
        <v>195</v>
      </c>
      <c r="C53" s="1" t="str">
        <f>"08760569"</f>
        <v>08760569</v>
      </c>
      <c r="D53" s="1" t="s">
        <v>196</v>
      </c>
      <c r="F53" s="1" t="str">
        <f>"545"</f>
        <v>545</v>
      </c>
      <c r="G53" s="2">
        <v>41936</v>
      </c>
      <c r="H53" s="1">
        <v>86900</v>
      </c>
      <c r="I53" s="1">
        <v>86900</v>
      </c>
      <c r="J53" s="1">
        <v>87102</v>
      </c>
      <c r="K53" s="2">
        <v>41935</v>
      </c>
      <c r="L53" s="1">
        <v>16</v>
      </c>
      <c r="M53" s="2">
        <v>41950</v>
      </c>
      <c r="N53" s="1">
        <v>16</v>
      </c>
      <c r="O53" s="2">
        <v>41950</v>
      </c>
      <c r="P53" s="1">
        <v>22993</v>
      </c>
      <c r="Q53" s="1" t="s">
        <v>302</v>
      </c>
      <c r="R53" s="2">
        <v>41982</v>
      </c>
      <c r="S53" s="1">
        <v>235152</v>
      </c>
      <c r="U53" s="1">
        <v>3319</v>
      </c>
      <c r="V53" s="1" t="s">
        <v>1334</v>
      </c>
      <c r="W53" s="1" t="s">
        <v>304</v>
      </c>
      <c r="Y53" s="1">
        <v>2</v>
      </c>
      <c r="Z53" s="1" t="s">
        <v>370</v>
      </c>
      <c r="AA53" s="1" t="s">
        <v>1335</v>
      </c>
      <c r="AB53" s="1">
        <v>60545</v>
      </c>
      <c r="AD53" s="1" t="s">
        <v>1336</v>
      </c>
      <c r="AE53" s="1" t="s">
        <v>1337</v>
      </c>
      <c r="AF53" s="1">
        <v>2006</v>
      </c>
      <c r="AG53" s="1" t="s">
        <v>204</v>
      </c>
      <c r="AH53" s="1" t="s">
        <v>1338</v>
      </c>
      <c r="AI53" s="1" t="s">
        <v>453</v>
      </c>
      <c r="AJ53" s="1" t="s">
        <v>1339</v>
      </c>
      <c r="AK53" s="1" t="s">
        <v>1340</v>
      </c>
      <c r="AL53" s="1">
        <v>5</v>
      </c>
      <c r="AM53" s="1">
        <v>2</v>
      </c>
      <c r="AN53" s="1">
        <v>2</v>
      </c>
      <c r="AO53" s="1">
        <v>1</v>
      </c>
      <c r="AP53" s="1" t="s">
        <v>209</v>
      </c>
      <c r="AR53" s="1" t="s">
        <v>210</v>
      </c>
      <c r="AT53" s="1" t="s">
        <v>211</v>
      </c>
      <c r="AU53" s="1">
        <v>1</v>
      </c>
      <c r="AW53" s="1" t="s">
        <v>204</v>
      </c>
      <c r="AX53" s="1" t="s">
        <v>1341</v>
      </c>
      <c r="AZ53" s="1">
        <v>3626</v>
      </c>
      <c r="BA53" s="1">
        <v>2013</v>
      </c>
      <c r="BB53" s="1" t="s">
        <v>405</v>
      </c>
      <c r="BE53" s="1">
        <v>1382</v>
      </c>
      <c r="BF53" s="1">
        <v>1</v>
      </c>
      <c r="BG53" s="1">
        <v>1</v>
      </c>
      <c r="BL53" s="1">
        <v>38</v>
      </c>
      <c r="BM53" s="1" t="s">
        <v>213</v>
      </c>
      <c r="BN53" s="1" t="s">
        <v>213</v>
      </c>
      <c r="BO53" s="1">
        <v>100</v>
      </c>
      <c r="BP53" s="1" t="s">
        <v>204</v>
      </c>
      <c r="BR53" s="1" t="str">
        <f>"0124120029"</f>
        <v>0124120029</v>
      </c>
      <c r="BT53" s="1" t="s">
        <v>1342</v>
      </c>
      <c r="BX53" s="1">
        <v>88</v>
      </c>
      <c r="BY53" s="1">
        <v>88</v>
      </c>
      <c r="BZ53" s="1">
        <v>88</v>
      </c>
      <c r="CB53" s="1" t="str">
        <f t="shared" ref="CB53:CC53" si="38">"0"</f>
        <v>0</v>
      </c>
      <c r="CC53" s="1" t="str">
        <f t="shared" si="38"/>
        <v>0</v>
      </c>
      <c r="CD53" s="1">
        <v>47</v>
      </c>
      <c r="CE53" s="1">
        <v>13</v>
      </c>
      <c r="CG53" s="1" t="s">
        <v>221</v>
      </c>
      <c r="CH53" s="1" t="s">
        <v>219</v>
      </c>
      <c r="CI53" s="1" t="s">
        <v>220</v>
      </c>
      <c r="CJ53" s="1" t="s">
        <v>343</v>
      </c>
      <c r="CK53" s="1" t="s">
        <v>885</v>
      </c>
      <c r="CL53" s="1" t="s">
        <v>277</v>
      </c>
      <c r="CM53" s="1" t="s">
        <v>220</v>
      </c>
      <c r="CN53" s="1" t="s">
        <v>252</v>
      </c>
      <c r="CP53" s="1" t="s">
        <v>224</v>
      </c>
      <c r="CS53" s="1" t="s">
        <v>346</v>
      </c>
      <c r="CT53" s="1" t="s">
        <v>277</v>
      </c>
      <c r="CU53" s="1" t="s">
        <v>220</v>
      </c>
      <c r="CV53" s="1" t="s">
        <v>252</v>
      </c>
      <c r="CX53" s="1" t="s">
        <v>224</v>
      </c>
      <c r="DB53" s="1" t="s">
        <v>224</v>
      </c>
      <c r="DE53" s="1" t="s">
        <v>539</v>
      </c>
      <c r="DF53" s="1" t="s">
        <v>219</v>
      </c>
      <c r="DG53" s="1" t="s">
        <v>342</v>
      </c>
      <c r="DH53" s="1" t="s">
        <v>343</v>
      </c>
      <c r="DJ53" s="1" t="s">
        <v>224</v>
      </c>
      <c r="DM53" s="1" t="s">
        <v>464</v>
      </c>
      <c r="DR53" s="1" t="s">
        <v>318</v>
      </c>
      <c r="DS53" s="1" t="s">
        <v>277</v>
      </c>
      <c r="DT53" s="1" t="s">
        <v>220</v>
      </c>
      <c r="DU53" s="1" t="s">
        <v>343</v>
      </c>
      <c r="DW53" s="1" t="s">
        <v>230</v>
      </c>
      <c r="EA53" s="1" t="s">
        <v>230</v>
      </c>
      <c r="EE53" s="1" t="s">
        <v>230</v>
      </c>
      <c r="EI53" s="1" t="s">
        <v>230</v>
      </c>
      <c r="EL53" s="1" t="s">
        <v>491</v>
      </c>
      <c r="EM53" s="1" t="s">
        <v>319</v>
      </c>
      <c r="EN53" s="1" t="s">
        <v>1343</v>
      </c>
      <c r="EO53" s="1" t="s">
        <v>234</v>
      </c>
      <c r="EQ53" s="1" t="s">
        <v>1344</v>
      </c>
      <c r="ER53" s="1" t="s">
        <v>383</v>
      </c>
      <c r="EU53" s="1" t="s">
        <v>1345</v>
      </c>
      <c r="EW53" s="1" t="s">
        <v>1346</v>
      </c>
      <c r="EZ53" s="1" t="s">
        <v>464</v>
      </c>
      <c r="FD53" s="1" t="s">
        <v>246</v>
      </c>
      <c r="FE53" s="1" t="s">
        <v>472</v>
      </c>
      <c r="FF53" s="1" t="s">
        <v>248</v>
      </c>
      <c r="FH53" s="1" t="s">
        <v>442</v>
      </c>
      <c r="FL53" s="1" t="s">
        <v>414</v>
      </c>
      <c r="FM53" s="1" t="s">
        <v>252</v>
      </c>
      <c r="FN53" s="1" t="s">
        <v>213</v>
      </c>
      <c r="FO53" s="1" t="s">
        <v>213</v>
      </c>
      <c r="FQ53" s="1" t="s">
        <v>582</v>
      </c>
      <c r="FR53" s="1" t="s">
        <v>210</v>
      </c>
      <c r="FS53" s="1" t="s">
        <v>1347</v>
      </c>
      <c r="FT53" s="1" t="s">
        <v>520</v>
      </c>
      <c r="FU53" s="1" t="s">
        <v>204</v>
      </c>
      <c r="FW53" s="1" t="s">
        <v>1348</v>
      </c>
      <c r="FX53" s="1">
        <v>83</v>
      </c>
      <c r="FY53" s="1" t="s">
        <v>1349</v>
      </c>
      <c r="FZ53" s="1" t="s">
        <v>1350</v>
      </c>
      <c r="GA53" s="1">
        <v>287</v>
      </c>
      <c r="GB53" s="1" t="s">
        <v>1351</v>
      </c>
      <c r="GE53" s="1" t="s">
        <v>210</v>
      </c>
      <c r="GI53" s="1" t="s">
        <v>213</v>
      </c>
      <c r="GJ53" s="1" t="s">
        <v>260</v>
      </c>
      <c r="GK53" s="1" t="s">
        <v>261</v>
      </c>
      <c r="GL53" s="2">
        <v>41983</v>
      </c>
      <c r="GM53" s="1" t="s">
        <v>1352</v>
      </c>
    </row>
    <row r="54" spans="1:195">
      <c r="A54" s="1">
        <v>250000</v>
      </c>
      <c r="B54" s="1" t="s">
        <v>195</v>
      </c>
      <c r="C54" s="1" t="str">
        <f>"08759400"</f>
        <v>08759400</v>
      </c>
      <c r="D54" s="1" t="s">
        <v>196</v>
      </c>
      <c r="F54" s="1" t="str">
        <f>"187"</f>
        <v>187</v>
      </c>
      <c r="G54" s="2">
        <v>41934</v>
      </c>
      <c r="H54" s="1">
        <v>279000</v>
      </c>
      <c r="I54" s="1">
        <v>265000</v>
      </c>
      <c r="J54" s="1">
        <v>250000</v>
      </c>
      <c r="K54" s="2">
        <v>41934</v>
      </c>
      <c r="L54" s="1">
        <v>83</v>
      </c>
      <c r="M54" s="2">
        <v>42016</v>
      </c>
      <c r="N54" s="1">
        <v>83</v>
      </c>
      <c r="O54" s="2">
        <v>42016</v>
      </c>
      <c r="P54" s="1">
        <v>24274</v>
      </c>
      <c r="Q54" s="1" t="s">
        <v>197</v>
      </c>
      <c r="R54" s="2">
        <v>42054</v>
      </c>
      <c r="S54" s="1">
        <v>240222</v>
      </c>
      <c r="U54" s="1">
        <v>1808</v>
      </c>
      <c r="V54" s="1" t="s">
        <v>1353</v>
      </c>
      <c r="W54" s="1" t="s">
        <v>264</v>
      </c>
      <c r="X54" s="1">
        <v>126</v>
      </c>
      <c r="Y54" s="1">
        <v>4</v>
      </c>
      <c r="Z54" s="1" t="s">
        <v>249</v>
      </c>
      <c r="AA54" s="1" t="s">
        <v>964</v>
      </c>
      <c r="AB54" s="1">
        <v>60189</v>
      </c>
      <c r="AD54" s="1" t="s">
        <v>1354</v>
      </c>
      <c r="AE54" s="1" t="s">
        <v>1355</v>
      </c>
      <c r="AF54" s="1">
        <v>1983</v>
      </c>
      <c r="AG54" s="1" t="s">
        <v>204</v>
      </c>
      <c r="AH54" s="1" t="s">
        <v>967</v>
      </c>
      <c r="AI54" s="1" t="s">
        <v>206</v>
      </c>
      <c r="AJ54" s="1" t="s">
        <v>207</v>
      </c>
      <c r="AL54" s="1">
        <v>6</v>
      </c>
      <c r="AM54" s="1">
        <v>2</v>
      </c>
      <c r="AN54" s="1">
        <v>2</v>
      </c>
      <c r="AO54" s="1">
        <v>1</v>
      </c>
      <c r="AP54" s="1" t="s">
        <v>209</v>
      </c>
      <c r="AQ54" s="1">
        <v>1</v>
      </c>
      <c r="AR54" s="1" t="s">
        <v>209</v>
      </c>
      <c r="AS54" s="1" t="s">
        <v>204</v>
      </c>
      <c r="AT54" s="1" t="s">
        <v>211</v>
      </c>
      <c r="AU54" s="1">
        <v>2</v>
      </c>
      <c r="AW54" s="1" t="s">
        <v>204</v>
      </c>
      <c r="AX54" s="1" t="s">
        <v>212</v>
      </c>
      <c r="AZ54" s="1">
        <v>6216</v>
      </c>
      <c r="BA54" s="1">
        <v>2013</v>
      </c>
      <c r="BB54" s="1" t="s">
        <v>405</v>
      </c>
      <c r="BE54" s="1">
        <v>1862</v>
      </c>
      <c r="BF54" s="1">
        <v>1</v>
      </c>
      <c r="BG54" s="1">
        <v>0</v>
      </c>
      <c r="BJ54" s="1">
        <v>100</v>
      </c>
      <c r="BL54" s="1">
        <v>857</v>
      </c>
      <c r="BM54" s="1" t="s">
        <v>204</v>
      </c>
      <c r="BN54" s="1" t="s">
        <v>213</v>
      </c>
      <c r="BO54" s="1">
        <v>999</v>
      </c>
      <c r="BP54" s="1" t="s">
        <v>204</v>
      </c>
      <c r="BR54" s="1" t="str">
        <f>"0519207026"</f>
        <v>0519207026</v>
      </c>
      <c r="BT54" s="1" t="s">
        <v>1356</v>
      </c>
      <c r="BU54" s="1" t="s">
        <v>1327</v>
      </c>
      <c r="BV54" s="1" t="s">
        <v>970</v>
      </c>
      <c r="BW54" s="1" t="s">
        <v>971</v>
      </c>
      <c r="BX54" s="1">
        <v>200</v>
      </c>
      <c r="BY54" s="1">
        <v>200</v>
      </c>
      <c r="BZ54" s="1">
        <v>200</v>
      </c>
      <c r="CB54" s="1" t="str">
        <f t="shared" ref="CB54:CC54" si="39">""</f>
        <v/>
      </c>
      <c r="CC54" s="1" t="str">
        <f t="shared" si="39"/>
        <v/>
      </c>
      <c r="CG54" s="1" t="s">
        <v>1357</v>
      </c>
      <c r="CH54" s="1" t="s">
        <v>219</v>
      </c>
      <c r="CI54" s="1" t="s">
        <v>220</v>
      </c>
      <c r="CJ54" s="1" t="s">
        <v>343</v>
      </c>
      <c r="CK54" s="1" t="s">
        <v>581</v>
      </c>
      <c r="CL54" s="1" t="s">
        <v>277</v>
      </c>
      <c r="CM54" s="1" t="s">
        <v>220</v>
      </c>
      <c r="CN54" s="1" t="s">
        <v>343</v>
      </c>
      <c r="CO54" s="1" t="s">
        <v>564</v>
      </c>
      <c r="CP54" s="1" t="s">
        <v>219</v>
      </c>
      <c r="CQ54" s="1" t="s">
        <v>220</v>
      </c>
      <c r="CR54" s="1" t="s">
        <v>343</v>
      </c>
      <c r="CS54" s="1" t="s">
        <v>465</v>
      </c>
      <c r="CT54" s="1" t="s">
        <v>277</v>
      </c>
      <c r="CU54" s="1" t="s">
        <v>220</v>
      </c>
      <c r="CV54" s="1" t="s">
        <v>343</v>
      </c>
      <c r="CX54" s="1" t="s">
        <v>224</v>
      </c>
      <c r="DB54" s="1" t="s">
        <v>224</v>
      </c>
      <c r="DE54" s="1" t="s">
        <v>539</v>
      </c>
      <c r="DF54" s="1" t="s">
        <v>219</v>
      </c>
      <c r="DG54" s="1" t="s">
        <v>438</v>
      </c>
      <c r="DH54" s="1" t="s">
        <v>343</v>
      </c>
      <c r="DI54" s="1" t="s">
        <v>1358</v>
      </c>
      <c r="DJ54" s="1" t="s">
        <v>219</v>
      </c>
      <c r="DK54" s="1" t="s">
        <v>438</v>
      </c>
      <c r="DL54" s="1" t="s">
        <v>1199</v>
      </c>
      <c r="DM54" s="1" t="s">
        <v>709</v>
      </c>
      <c r="DN54" s="1" t="s">
        <v>1359</v>
      </c>
      <c r="DR54" s="1" t="s">
        <v>839</v>
      </c>
      <c r="DS54" s="1" t="s">
        <v>219</v>
      </c>
      <c r="DT54" s="1" t="s">
        <v>226</v>
      </c>
      <c r="DV54" s="1" t="s">
        <v>1360</v>
      </c>
      <c r="DW54" s="1" t="s">
        <v>219</v>
      </c>
      <c r="EA54" s="1" t="s">
        <v>230</v>
      </c>
      <c r="EE54" s="1" t="s">
        <v>230</v>
      </c>
      <c r="EI54" s="1" t="s">
        <v>230</v>
      </c>
      <c r="EL54" s="1" t="s">
        <v>231</v>
      </c>
      <c r="EM54" s="1" t="s">
        <v>232</v>
      </c>
      <c r="EN54" s="1" t="s">
        <v>282</v>
      </c>
      <c r="EO54" s="1" t="s">
        <v>234</v>
      </c>
      <c r="EQ54" s="1" t="s">
        <v>284</v>
      </c>
      <c r="ER54" s="1" t="s">
        <v>351</v>
      </c>
      <c r="ES54" s="1" t="s">
        <v>322</v>
      </c>
      <c r="ET54" s="1" t="s">
        <v>842</v>
      </c>
      <c r="EV54" s="1" t="s">
        <v>352</v>
      </c>
      <c r="EW54" s="1" t="s">
        <v>353</v>
      </c>
      <c r="EY54" s="1" t="s">
        <v>441</v>
      </c>
      <c r="EZ54" s="1" t="s">
        <v>1361</v>
      </c>
      <c r="FC54" s="1" t="s">
        <v>1362</v>
      </c>
      <c r="FD54" s="1" t="s">
        <v>246</v>
      </c>
      <c r="FE54" s="1" t="s">
        <v>355</v>
      </c>
      <c r="FF54" s="1" t="s">
        <v>248</v>
      </c>
      <c r="FG54" s="1" t="s">
        <v>912</v>
      </c>
      <c r="FH54" s="1" t="s">
        <v>550</v>
      </c>
      <c r="FI54" s="1" t="s">
        <v>473</v>
      </c>
      <c r="FL54" s="1" t="s">
        <v>358</v>
      </c>
      <c r="FM54" s="1" t="s">
        <v>252</v>
      </c>
      <c r="FN54" s="1" t="s">
        <v>213</v>
      </c>
      <c r="FO54" s="1" t="s">
        <v>213</v>
      </c>
      <c r="FQ54" s="1" t="s">
        <v>1363</v>
      </c>
      <c r="FR54" s="1" t="s">
        <v>652</v>
      </c>
      <c r="FS54" s="1" t="s">
        <v>1364</v>
      </c>
      <c r="FT54" s="1" t="s">
        <v>295</v>
      </c>
      <c r="FU54" s="1" t="s">
        <v>204</v>
      </c>
      <c r="FW54" s="1" t="s">
        <v>256</v>
      </c>
      <c r="FX54" s="1">
        <v>25244</v>
      </c>
      <c r="FY54" s="1" t="s">
        <v>1365</v>
      </c>
      <c r="FZ54" s="1" t="s">
        <v>1366</v>
      </c>
      <c r="GA54" s="1">
        <v>258075</v>
      </c>
      <c r="GB54" s="1" t="s">
        <v>1367</v>
      </c>
      <c r="GE54" s="1" t="s">
        <v>480</v>
      </c>
      <c r="GI54" s="1" t="s">
        <v>213</v>
      </c>
      <c r="GJ54" s="1" t="s">
        <v>260</v>
      </c>
      <c r="GK54" s="1" t="s">
        <v>261</v>
      </c>
      <c r="GL54" s="2">
        <v>42054</v>
      </c>
      <c r="GM54" s="1" t="s">
        <v>1368</v>
      </c>
    </row>
    <row r="55" spans="1:195">
      <c r="A55" s="1">
        <v>25000</v>
      </c>
      <c r="B55" s="1" t="s">
        <v>195</v>
      </c>
      <c r="C55" s="1" t="str">
        <f>"08762802"</f>
        <v>08762802</v>
      </c>
      <c r="D55" s="1" t="s">
        <v>196</v>
      </c>
      <c r="F55" s="1" t="str">
        <f>"8041"</f>
        <v>8041</v>
      </c>
      <c r="G55" s="2">
        <v>41939</v>
      </c>
      <c r="H55" s="1">
        <v>29900</v>
      </c>
      <c r="I55" s="1">
        <v>29900</v>
      </c>
      <c r="J55" s="1">
        <v>25000</v>
      </c>
      <c r="K55" s="2">
        <v>41939</v>
      </c>
      <c r="L55" s="1">
        <v>16</v>
      </c>
      <c r="M55" s="2">
        <v>41954</v>
      </c>
      <c r="N55" s="1">
        <v>16</v>
      </c>
      <c r="O55" s="2">
        <v>41954</v>
      </c>
      <c r="P55" s="1">
        <v>23641</v>
      </c>
      <c r="Q55" s="1" t="s">
        <v>302</v>
      </c>
      <c r="R55" s="2">
        <v>42101</v>
      </c>
      <c r="S55" s="1">
        <v>236143</v>
      </c>
      <c r="U55" s="1">
        <v>915</v>
      </c>
      <c r="V55" s="1" t="s">
        <v>562</v>
      </c>
      <c r="W55" s="1" t="s">
        <v>199</v>
      </c>
      <c r="X55" s="1" t="s">
        <v>527</v>
      </c>
      <c r="Y55" s="1">
        <v>4</v>
      </c>
      <c r="Z55" s="1" t="s">
        <v>370</v>
      </c>
      <c r="AA55" s="1" t="s">
        <v>400</v>
      </c>
      <c r="AB55" s="1">
        <v>60615</v>
      </c>
      <c r="AE55" s="1" t="s">
        <v>1369</v>
      </c>
      <c r="AF55" s="1" t="s">
        <v>402</v>
      </c>
      <c r="AG55" s="1" t="s">
        <v>213</v>
      </c>
      <c r="AH55" s="1" t="s">
        <v>403</v>
      </c>
      <c r="AI55" s="1" t="s">
        <v>310</v>
      </c>
      <c r="AJ55" s="1" t="s">
        <v>562</v>
      </c>
      <c r="AL55" s="1">
        <v>5</v>
      </c>
      <c r="AM55" s="1">
        <v>2</v>
      </c>
      <c r="AN55" s="1">
        <v>1</v>
      </c>
      <c r="AO55" s="1">
        <v>1</v>
      </c>
      <c r="AP55" s="1" t="s">
        <v>210</v>
      </c>
      <c r="AR55" s="1" t="s">
        <v>210</v>
      </c>
      <c r="AT55" s="1" t="s">
        <v>210</v>
      </c>
      <c r="AW55" s="1" t="s">
        <v>204</v>
      </c>
      <c r="AX55" s="1" t="s">
        <v>212</v>
      </c>
      <c r="AZ55" s="1">
        <v>2143</v>
      </c>
      <c r="BA55" s="1">
        <v>2012</v>
      </c>
      <c r="BE55" s="1">
        <v>1500</v>
      </c>
      <c r="BF55" s="1">
        <v>1</v>
      </c>
      <c r="BG55" s="1">
        <v>0</v>
      </c>
      <c r="BL55" s="1">
        <v>253</v>
      </c>
      <c r="BM55" s="1" t="s">
        <v>213</v>
      </c>
      <c r="BN55" s="1" t="s">
        <v>213</v>
      </c>
      <c r="BO55" s="1">
        <v>999</v>
      </c>
      <c r="BP55" s="1" t="s">
        <v>204</v>
      </c>
      <c r="BR55" s="1" t="str">
        <f>"20113010221001"</f>
        <v>20113010221001</v>
      </c>
      <c r="BT55" s="1" t="s">
        <v>1370</v>
      </c>
      <c r="BX55" s="1">
        <v>299</v>
      </c>
      <c r="BY55" s="1">
        <v>299</v>
      </c>
      <c r="BZ55" s="1">
        <v>299</v>
      </c>
      <c r="CB55" s="1" t="str">
        <f>"0"</f>
        <v>0</v>
      </c>
      <c r="CC55" s="1" t="str">
        <f>"915"</f>
        <v>915</v>
      </c>
      <c r="CD55" s="1">
        <v>0</v>
      </c>
      <c r="CE55" s="1">
        <v>5100</v>
      </c>
      <c r="CG55" s="1" t="s">
        <v>1371</v>
      </c>
      <c r="CH55" s="1" t="s">
        <v>219</v>
      </c>
      <c r="CK55" s="1" t="s">
        <v>378</v>
      </c>
      <c r="CL55" s="1" t="s">
        <v>219</v>
      </c>
      <c r="CO55" s="1" t="s">
        <v>629</v>
      </c>
      <c r="CP55" s="1" t="s">
        <v>219</v>
      </c>
      <c r="CS55" s="1" t="s">
        <v>378</v>
      </c>
      <c r="CT55" s="1" t="s">
        <v>219</v>
      </c>
      <c r="CX55" s="1" t="s">
        <v>224</v>
      </c>
      <c r="DB55" s="1" t="s">
        <v>224</v>
      </c>
      <c r="DE55" s="1" t="s">
        <v>836</v>
      </c>
      <c r="DF55" s="1" t="s">
        <v>219</v>
      </c>
      <c r="DJ55" s="1" t="s">
        <v>224</v>
      </c>
      <c r="DS55" s="1" t="s">
        <v>230</v>
      </c>
      <c r="DW55" s="1" t="s">
        <v>230</v>
      </c>
      <c r="EA55" s="1" t="s">
        <v>230</v>
      </c>
      <c r="EE55" s="1" t="s">
        <v>230</v>
      </c>
      <c r="EI55" s="1" t="s">
        <v>230</v>
      </c>
      <c r="EL55" s="1" t="s">
        <v>413</v>
      </c>
      <c r="EM55" s="1" t="s">
        <v>319</v>
      </c>
      <c r="EN55" s="1" t="s">
        <v>210</v>
      </c>
      <c r="EO55" s="1" t="s">
        <v>234</v>
      </c>
      <c r="ER55" s="1" t="s">
        <v>210</v>
      </c>
      <c r="EW55" s="1" t="s">
        <v>1372</v>
      </c>
      <c r="EZ55" s="1" t="s">
        <v>287</v>
      </c>
      <c r="FD55" s="1" t="s">
        <v>246</v>
      </c>
      <c r="FE55" s="1" t="s">
        <v>247</v>
      </c>
      <c r="FF55" s="1" t="s">
        <v>248</v>
      </c>
      <c r="FH55" s="1" t="s">
        <v>1373</v>
      </c>
      <c r="FL55" s="1" t="s">
        <v>358</v>
      </c>
      <c r="FM55" s="1" t="s">
        <v>252</v>
      </c>
      <c r="FN55" s="1" t="s">
        <v>213</v>
      </c>
      <c r="FO55" s="1" t="s">
        <v>213</v>
      </c>
      <c r="FQ55" s="1" t="s">
        <v>689</v>
      </c>
      <c r="FR55" s="1" t="s">
        <v>360</v>
      </c>
      <c r="FS55" s="1" t="s">
        <v>1374</v>
      </c>
      <c r="FT55" s="1" t="s">
        <v>295</v>
      </c>
      <c r="FU55" s="1" t="s">
        <v>204</v>
      </c>
      <c r="FW55" s="1" t="s">
        <v>1375</v>
      </c>
      <c r="FX55" s="1">
        <v>23641</v>
      </c>
      <c r="FY55" s="1" t="s">
        <v>1376</v>
      </c>
      <c r="FZ55" s="1" t="s">
        <v>1377</v>
      </c>
      <c r="GA55" s="1">
        <v>240997</v>
      </c>
      <c r="GB55" s="1" t="s">
        <v>1378</v>
      </c>
      <c r="GE55" s="1" t="s">
        <v>1379</v>
      </c>
      <c r="GH55" s="1" t="s">
        <v>800</v>
      </c>
      <c r="GI55" s="1" t="s">
        <v>213</v>
      </c>
      <c r="GJ55" s="1" t="s">
        <v>260</v>
      </c>
      <c r="GK55" s="1" t="s">
        <v>210</v>
      </c>
      <c r="GL55" s="2">
        <v>42102</v>
      </c>
      <c r="GM55" s="1" t="s">
        <v>1380</v>
      </c>
    </row>
    <row r="56" spans="1:195">
      <c r="A56" s="1">
        <v>79500</v>
      </c>
      <c r="B56" s="1" t="s">
        <v>195</v>
      </c>
      <c r="C56" s="1" t="str">
        <f>"08763487"</f>
        <v>08763487</v>
      </c>
      <c r="D56" s="1" t="s">
        <v>196</v>
      </c>
      <c r="F56" s="1" t="str">
        <f>"108"</f>
        <v>108</v>
      </c>
      <c r="G56" s="2">
        <v>41940</v>
      </c>
      <c r="H56" s="1">
        <v>105000</v>
      </c>
      <c r="I56" s="1">
        <v>89900</v>
      </c>
      <c r="J56" s="1">
        <v>79500</v>
      </c>
      <c r="K56" s="2">
        <v>41940</v>
      </c>
      <c r="L56" s="1">
        <v>121</v>
      </c>
      <c r="M56" s="2">
        <v>42060</v>
      </c>
      <c r="N56" s="1">
        <v>121</v>
      </c>
      <c r="O56" s="2">
        <v>42060</v>
      </c>
      <c r="P56" s="1">
        <v>8012</v>
      </c>
      <c r="Q56" s="1" t="s">
        <v>197</v>
      </c>
      <c r="R56" s="2">
        <v>42110</v>
      </c>
      <c r="S56" s="1">
        <v>86697</v>
      </c>
      <c r="T56" s="1">
        <v>2385</v>
      </c>
      <c r="U56" s="1">
        <v>257</v>
      </c>
      <c r="V56" s="1" t="s">
        <v>1381</v>
      </c>
      <c r="W56" s="1" t="s">
        <v>504</v>
      </c>
      <c r="X56" s="1" t="s">
        <v>1382</v>
      </c>
      <c r="Y56" s="1">
        <v>10</v>
      </c>
      <c r="Z56" s="1" t="s">
        <v>249</v>
      </c>
      <c r="AA56" s="1" t="s">
        <v>829</v>
      </c>
      <c r="AB56" s="1">
        <v>60108</v>
      </c>
      <c r="AD56" s="1" t="s">
        <v>1383</v>
      </c>
      <c r="AE56" s="1" t="s">
        <v>1384</v>
      </c>
      <c r="AF56" s="1">
        <v>1982</v>
      </c>
      <c r="AG56" s="1" t="s">
        <v>204</v>
      </c>
      <c r="AH56" s="1" t="s">
        <v>269</v>
      </c>
      <c r="AI56" s="1" t="s">
        <v>206</v>
      </c>
      <c r="AJ56" s="1" t="s">
        <v>269</v>
      </c>
      <c r="AL56" s="1">
        <v>5</v>
      </c>
      <c r="AM56" s="1">
        <v>2</v>
      </c>
      <c r="AN56" s="1">
        <v>1</v>
      </c>
      <c r="AO56" s="1">
        <v>0</v>
      </c>
      <c r="AP56" s="1" t="s">
        <v>210</v>
      </c>
      <c r="AR56" s="1" t="s">
        <v>210</v>
      </c>
      <c r="AS56" s="1" t="s">
        <v>204</v>
      </c>
      <c r="AT56" s="1" t="s">
        <v>211</v>
      </c>
      <c r="AU56" s="1">
        <v>1</v>
      </c>
      <c r="AW56" s="1" t="s">
        <v>204</v>
      </c>
      <c r="AX56" s="1" t="s">
        <v>212</v>
      </c>
      <c r="AZ56" s="1">
        <v>1421</v>
      </c>
      <c r="BA56" s="1">
        <v>2013</v>
      </c>
      <c r="BB56" s="1" t="s">
        <v>405</v>
      </c>
      <c r="BE56" s="1">
        <v>1000</v>
      </c>
      <c r="BF56" s="1">
        <v>1</v>
      </c>
      <c r="BG56" s="1">
        <v>0</v>
      </c>
      <c r="BL56" s="1">
        <v>177</v>
      </c>
      <c r="BM56" s="1" t="s">
        <v>204</v>
      </c>
      <c r="BN56" s="1" t="s">
        <v>213</v>
      </c>
      <c r="BO56" s="1">
        <v>25</v>
      </c>
      <c r="BP56" s="1" t="s">
        <v>204</v>
      </c>
      <c r="BR56" s="1" t="str">
        <f>"0223214015"</f>
        <v>0223214015</v>
      </c>
      <c r="BT56" s="1" t="s">
        <v>1385</v>
      </c>
      <c r="BX56" s="1">
        <v>15</v>
      </c>
      <c r="BY56" s="1">
        <v>15</v>
      </c>
      <c r="BZ56" s="1">
        <v>87</v>
      </c>
      <c r="CB56" s="1" t="str">
        <f>"4"</f>
        <v>4</v>
      </c>
      <c r="CC56" s="1" t="str">
        <f>""</f>
        <v/>
      </c>
      <c r="CD56" s="1">
        <v>22</v>
      </c>
      <c r="CG56" s="1" t="s">
        <v>1045</v>
      </c>
      <c r="CH56" s="1" t="s">
        <v>219</v>
      </c>
      <c r="CI56" s="1" t="s">
        <v>229</v>
      </c>
      <c r="CK56" s="1" t="s">
        <v>564</v>
      </c>
      <c r="CL56" s="1" t="s">
        <v>219</v>
      </c>
      <c r="CO56" s="1" t="s">
        <v>630</v>
      </c>
      <c r="CP56" s="1" t="s">
        <v>219</v>
      </c>
      <c r="CQ56" s="1" t="s">
        <v>229</v>
      </c>
      <c r="CS56" s="1" t="s">
        <v>1046</v>
      </c>
      <c r="CT56" s="1" t="s">
        <v>219</v>
      </c>
      <c r="CX56" s="1" t="s">
        <v>224</v>
      </c>
      <c r="DB56" s="1" t="s">
        <v>224</v>
      </c>
      <c r="DE56" s="1" t="s">
        <v>687</v>
      </c>
      <c r="DF56" s="1" t="s">
        <v>219</v>
      </c>
      <c r="DG56" s="1" t="s">
        <v>226</v>
      </c>
      <c r="DJ56" s="1" t="s">
        <v>224</v>
      </c>
      <c r="DS56" s="1" t="s">
        <v>230</v>
      </c>
      <c r="DW56" s="1" t="s">
        <v>230</v>
      </c>
      <c r="EA56" s="1" t="s">
        <v>230</v>
      </c>
      <c r="EE56" s="1" t="s">
        <v>230</v>
      </c>
      <c r="EI56" s="1" t="s">
        <v>230</v>
      </c>
      <c r="EL56" s="1" t="s">
        <v>231</v>
      </c>
      <c r="EM56" s="1" t="s">
        <v>232</v>
      </c>
      <c r="EN56" s="1" t="s">
        <v>282</v>
      </c>
      <c r="EO56" s="1" t="s">
        <v>840</v>
      </c>
      <c r="EQ56" s="1" t="s">
        <v>1344</v>
      </c>
      <c r="ER56" s="1" t="s">
        <v>210</v>
      </c>
      <c r="ES56" s="1" t="s">
        <v>545</v>
      </c>
      <c r="EV56" s="1" t="s">
        <v>240</v>
      </c>
      <c r="EW56" s="1" t="s">
        <v>384</v>
      </c>
      <c r="EY56" s="1" t="s">
        <v>242</v>
      </c>
      <c r="EZ56" s="1" t="s">
        <v>287</v>
      </c>
      <c r="FC56" s="1" t="s">
        <v>1386</v>
      </c>
      <c r="FD56" s="1" t="s">
        <v>246</v>
      </c>
      <c r="FE56" s="1" t="s">
        <v>247</v>
      </c>
      <c r="FF56" s="1" t="s">
        <v>248</v>
      </c>
      <c r="FH56" s="1" t="s">
        <v>1387</v>
      </c>
      <c r="FL56" s="1" t="s">
        <v>358</v>
      </c>
      <c r="FM56" s="1" t="s">
        <v>252</v>
      </c>
      <c r="FN56" s="1" t="s">
        <v>213</v>
      </c>
      <c r="FO56" s="1" t="s">
        <v>213</v>
      </c>
      <c r="FQ56" s="1" t="s">
        <v>689</v>
      </c>
      <c r="FR56" s="1" t="s">
        <v>210</v>
      </c>
      <c r="FS56" s="1" t="s">
        <v>443</v>
      </c>
      <c r="FT56" s="1" t="s">
        <v>584</v>
      </c>
      <c r="FU56" s="1" t="s">
        <v>204</v>
      </c>
      <c r="FW56" s="1" t="s">
        <v>1388</v>
      </c>
      <c r="FX56" s="1">
        <v>23948</v>
      </c>
      <c r="FY56" s="1" t="s">
        <v>1389</v>
      </c>
      <c r="FZ56" s="1" t="s">
        <v>1390</v>
      </c>
      <c r="GA56" s="1">
        <v>214765</v>
      </c>
      <c r="GB56" s="1" t="s">
        <v>1391</v>
      </c>
      <c r="GE56" s="1" t="s">
        <v>210</v>
      </c>
      <c r="GI56" s="1" t="s">
        <v>213</v>
      </c>
      <c r="GJ56" s="1" t="s">
        <v>260</v>
      </c>
      <c r="GK56" s="1" t="s">
        <v>210</v>
      </c>
      <c r="GL56" s="2">
        <v>42110</v>
      </c>
      <c r="GM56" s="1" t="s">
        <v>1392</v>
      </c>
    </row>
    <row r="57" spans="1:195">
      <c r="A57" s="1">
        <v>125000</v>
      </c>
      <c r="B57" s="1" t="s">
        <v>195</v>
      </c>
      <c r="C57" s="1" t="str">
        <f>"08763546"</f>
        <v>08763546</v>
      </c>
      <c r="D57" s="1" t="s">
        <v>196</v>
      </c>
      <c r="F57" s="1" t="str">
        <f>"507"</f>
        <v>507</v>
      </c>
      <c r="G57" s="2">
        <v>41940</v>
      </c>
      <c r="H57" s="1">
        <v>129900</v>
      </c>
      <c r="I57" s="1">
        <v>125000</v>
      </c>
      <c r="J57" s="1">
        <v>125000</v>
      </c>
      <c r="K57" s="2">
        <v>41940</v>
      </c>
      <c r="L57" s="1">
        <v>175</v>
      </c>
      <c r="M57" s="2">
        <v>42032</v>
      </c>
      <c r="N57" s="1">
        <v>93</v>
      </c>
      <c r="O57" s="2">
        <v>42032</v>
      </c>
      <c r="P57" s="1">
        <v>21324</v>
      </c>
      <c r="Q57" s="1" t="s">
        <v>1393</v>
      </c>
      <c r="R57" s="2">
        <v>42062</v>
      </c>
      <c r="S57" s="1">
        <v>241635</v>
      </c>
      <c r="U57" s="1">
        <v>1854</v>
      </c>
      <c r="V57" s="1" t="s">
        <v>1394</v>
      </c>
      <c r="W57" s="1" t="s">
        <v>264</v>
      </c>
      <c r="X57" s="1">
        <v>1854</v>
      </c>
      <c r="Y57" s="1">
        <v>6</v>
      </c>
      <c r="Z57" s="1" t="s">
        <v>249</v>
      </c>
      <c r="AA57" s="1" t="s">
        <v>1123</v>
      </c>
      <c r="AB57" s="1">
        <v>60503</v>
      </c>
      <c r="AD57" s="1" t="s">
        <v>1395</v>
      </c>
      <c r="AE57" s="1" t="s">
        <v>1396</v>
      </c>
      <c r="AF57" s="1">
        <v>2001</v>
      </c>
      <c r="AG57" s="1" t="s">
        <v>204</v>
      </c>
      <c r="AH57" s="1" t="s">
        <v>1126</v>
      </c>
      <c r="AI57" s="1" t="s">
        <v>453</v>
      </c>
      <c r="AJ57" s="1" t="s">
        <v>1397</v>
      </c>
      <c r="AK57" s="1" t="s">
        <v>1398</v>
      </c>
      <c r="AL57" s="1">
        <v>5</v>
      </c>
      <c r="AM57" s="1">
        <v>2</v>
      </c>
      <c r="AN57" s="1">
        <v>1</v>
      </c>
      <c r="AO57" s="1">
        <v>1</v>
      </c>
      <c r="AP57" s="1" t="s">
        <v>667</v>
      </c>
      <c r="AQ57" s="1">
        <v>0</v>
      </c>
      <c r="AR57" s="1" t="s">
        <v>210</v>
      </c>
      <c r="AS57" s="1" t="s">
        <v>204</v>
      </c>
      <c r="AT57" s="1" t="s">
        <v>211</v>
      </c>
      <c r="AU57" s="1">
        <v>2</v>
      </c>
      <c r="AW57" s="1" t="s">
        <v>204</v>
      </c>
      <c r="AX57" s="1" t="s">
        <v>212</v>
      </c>
      <c r="AZ57" s="3">
        <v>4336</v>
      </c>
      <c r="BA57" s="1">
        <v>2012</v>
      </c>
      <c r="BB57" s="1" t="s">
        <v>405</v>
      </c>
      <c r="BE57" s="1">
        <v>1531</v>
      </c>
      <c r="BF57" s="1">
        <v>1</v>
      </c>
      <c r="BG57" s="1">
        <v>0</v>
      </c>
      <c r="BL57" s="1">
        <v>152</v>
      </c>
      <c r="BM57" s="1" t="s">
        <v>204</v>
      </c>
      <c r="BN57" s="1" t="s">
        <v>213</v>
      </c>
      <c r="BO57" s="1">
        <v>0</v>
      </c>
      <c r="BP57" s="1" t="s">
        <v>204</v>
      </c>
      <c r="BR57" s="1" t="str">
        <f>"0301222039"</f>
        <v>0301222039</v>
      </c>
      <c r="BT57" s="1" t="s">
        <v>1399</v>
      </c>
      <c r="BU57" s="1" t="s">
        <v>1400</v>
      </c>
      <c r="BW57" s="1" t="s">
        <v>1401</v>
      </c>
      <c r="BX57" s="1">
        <v>308</v>
      </c>
      <c r="BY57" s="1">
        <v>308</v>
      </c>
      <c r="BZ57" s="1">
        <v>308</v>
      </c>
      <c r="CB57" s="1" t="str">
        <f t="shared" ref="CB57:CC57" si="40">"0"</f>
        <v>0</v>
      </c>
      <c r="CC57" s="1" t="str">
        <f t="shared" si="40"/>
        <v>0</v>
      </c>
      <c r="CD57" s="1">
        <v>33</v>
      </c>
      <c r="CE57" s="1">
        <v>10</v>
      </c>
      <c r="CG57" s="1" t="s">
        <v>490</v>
      </c>
      <c r="CH57" s="1" t="s">
        <v>219</v>
      </c>
      <c r="CI57" s="1" t="s">
        <v>229</v>
      </c>
      <c r="CK57" s="1" t="s">
        <v>1402</v>
      </c>
      <c r="CL57" s="1" t="s">
        <v>277</v>
      </c>
      <c r="CM57" s="1" t="s">
        <v>220</v>
      </c>
      <c r="CO57" s="1" t="s">
        <v>1046</v>
      </c>
      <c r="CP57" s="1" t="s">
        <v>219</v>
      </c>
      <c r="CQ57" s="1" t="s">
        <v>229</v>
      </c>
      <c r="CS57" s="1" t="s">
        <v>836</v>
      </c>
      <c r="CT57" s="1" t="s">
        <v>277</v>
      </c>
      <c r="CU57" s="1" t="s">
        <v>220</v>
      </c>
      <c r="CX57" s="1" t="s">
        <v>224</v>
      </c>
      <c r="DB57" s="1" t="s">
        <v>224</v>
      </c>
      <c r="DE57" s="1" t="s">
        <v>1403</v>
      </c>
      <c r="DF57" s="1" t="s">
        <v>219</v>
      </c>
      <c r="DG57" s="1" t="s">
        <v>226</v>
      </c>
      <c r="DJ57" s="1" t="s">
        <v>224</v>
      </c>
      <c r="DS57" s="1" t="s">
        <v>230</v>
      </c>
      <c r="DW57" s="1" t="s">
        <v>230</v>
      </c>
      <c r="EA57" s="1" t="s">
        <v>230</v>
      </c>
      <c r="EE57" s="1" t="s">
        <v>230</v>
      </c>
      <c r="EI57" s="1" t="s">
        <v>230</v>
      </c>
      <c r="EL57" s="1" t="s">
        <v>466</v>
      </c>
      <c r="EM57" s="1" t="s">
        <v>319</v>
      </c>
      <c r="EN57" s="1" t="s">
        <v>282</v>
      </c>
      <c r="EO57" s="1" t="s">
        <v>840</v>
      </c>
      <c r="EP57" s="1" t="s">
        <v>543</v>
      </c>
      <c r="EQ57" s="1" t="s">
        <v>1094</v>
      </c>
      <c r="ER57" s="1" t="s">
        <v>210</v>
      </c>
      <c r="ES57" s="1" t="s">
        <v>322</v>
      </c>
      <c r="ET57" s="1" t="s">
        <v>1404</v>
      </c>
      <c r="EU57" s="1" t="s">
        <v>239</v>
      </c>
      <c r="EV57" s="1" t="s">
        <v>324</v>
      </c>
      <c r="EW57" s="1" t="s">
        <v>353</v>
      </c>
      <c r="EY57" s="1" t="s">
        <v>242</v>
      </c>
      <c r="EZ57" s="1" t="s">
        <v>287</v>
      </c>
      <c r="FA57" s="1" t="s">
        <v>672</v>
      </c>
      <c r="FB57" s="1" t="s">
        <v>289</v>
      </c>
      <c r="FC57" s="1" t="s">
        <v>1405</v>
      </c>
      <c r="FD57" s="1" t="s">
        <v>495</v>
      </c>
      <c r="FE57" s="1" t="s">
        <v>247</v>
      </c>
      <c r="FF57" s="1" t="s">
        <v>248</v>
      </c>
      <c r="FH57" s="1" t="s">
        <v>249</v>
      </c>
      <c r="FI57" s="1" t="s">
        <v>473</v>
      </c>
      <c r="FL57" s="1" t="s">
        <v>358</v>
      </c>
      <c r="FM57" s="1" t="s">
        <v>252</v>
      </c>
      <c r="FN57" s="1" t="s">
        <v>213</v>
      </c>
      <c r="FO57" s="1" t="s">
        <v>213</v>
      </c>
      <c r="FQ57" s="1" t="s">
        <v>1406</v>
      </c>
      <c r="FR57" s="1" t="s">
        <v>210</v>
      </c>
      <c r="FS57" s="1" t="s">
        <v>1407</v>
      </c>
      <c r="FT57" s="1" t="s">
        <v>1408</v>
      </c>
      <c r="FU57" s="1" t="s">
        <v>204</v>
      </c>
      <c r="FW57" s="1" t="s">
        <v>1409</v>
      </c>
      <c r="FX57" s="1">
        <v>22667</v>
      </c>
      <c r="FY57" s="1" t="s">
        <v>1410</v>
      </c>
      <c r="FZ57" s="1" t="s">
        <v>1411</v>
      </c>
      <c r="GA57" s="1">
        <v>220614</v>
      </c>
      <c r="GB57" s="1" t="s">
        <v>1412</v>
      </c>
      <c r="GC57" s="1">
        <v>228882</v>
      </c>
      <c r="GD57" s="1">
        <v>220614</v>
      </c>
      <c r="GE57" s="1" t="s">
        <v>480</v>
      </c>
      <c r="GI57" s="1" t="s">
        <v>204</v>
      </c>
      <c r="GJ57" s="1" t="s">
        <v>260</v>
      </c>
      <c r="GK57" s="1" t="s">
        <v>1413</v>
      </c>
      <c r="GL57" s="2">
        <v>42065</v>
      </c>
      <c r="GM57" s="1" t="s">
        <v>1414</v>
      </c>
    </row>
    <row r="58" spans="1:195">
      <c r="A58" s="1">
        <v>197000</v>
      </c>
      <c r="B58" s="1" t="s">
        <v>195</v>
      </c>
      <c r="C58" s="1" t="str">
        <f>"08761486"</f>
        <v>08761486</v>
      </c>
      <c r="D58" s="1" t="s">
        <v>196</v>
      </c>
      <c r="F58" s="1" t="str">
        <f>"516"</f>
        <v>516</v>
      </c>
      <c r="G58" s="2">
        <v>41937</v>
      </c>
      <c r="H58" s="1">
        <v>204515</v>
      </c>
      <c r="I58" s="1">
        <v>199999</v>
      </c>
      <c r="J58" s="1">
        <v>197000</v>
      </c>
      <c r="K58" s="2">
        <v>41937</v>
      </c>
      <c r="L58" s="1">
        <v>285</v>
      </c>
      <c r="M58" s="2">
        <v>42037</v>
      </c>
      <c r="N58" s="1">
        <v>101</v>
      </c>
      <c r="O58" s="2">
        <v>42037</v>
      </c>
      <c r="P58" s="1">
        <v>16700</v>
      </c>
      <c r="Q58" s="1" t="s">
        <v>197</v>
      </c>
      <c r="R58" s="2">
        <v>42083</v>
      </c>
      <c r="S58" s="1">
        <v>121433</v>
      </c>
      <c r="T58" s="1">
        <v>3000</v>
      </c>
      <c r="U58" s="1" t="s">
        <v>1415</v>
      </c>
      <c r="V58" s="1" t="s">
        <v>1416</v>
      </c>
      <c r="W58" s="1" t="s">
        <v>304</v>
      </c>
      <c r="Y58" s="1">
        <v>3</v>
      </c>
      <c r="Z58" s="1" t="s">
        <v>370</v>
      </c>
      <c r="AA58" s="1" t="s">
        <v>1417</v>
      </c>
      <c r="AB58" s="1">
        <v>60527</v>
      </c>
      <c r="AE58" s="1" t="s">
        <v>1418</v>
      </c>
      <c r="AF58" s="1">
        <v>1999</v>
      </c>
      <c r="AG58" s="1" t="s">
        <v>204</v>
      </c>
      <c r="AH58" s="1" t="s">
        <v>1419</v>
      </c>
      <c r="AI58" s="1" t="s">
        <v>206</v>
      </c>
      <c r="AJ58" s="1" t="s">
        <v>903</v>
      </c>
      <c r="AK58" s="1" t="s">
        <v>1420</v>
      </c>
      <c r="AL58" s="1">
        <v>6</v>
      </c>
      <c r="AM58" s="1">
        <v>2</v>
      </c>
      <c r="AN58" s="1">
        <v>1</v>
      </c>
      <c r="AO58" s="1">
        <v>1</v>
      </c>
      <c r="AP58" s="1" t="s">
        <v>455</v>
      </c>
      <c r="AQ58" s="1">
        <v>0</v>
      </c>
      <c r="AR58" s="1" t="s">
        <v>1421</v>
      </c>
      <c r="AS58" s="1" t="s">
        <v>204</v>
      </c>
      <c r="AT58" s="1" t="s">
        <v>211</v>
      </c>
      <c r="AU58" s="1">
        <v>2</v>
      </c>
      <c r="AW58" s="1" t="s">
        <v>204</v>
      </c>
      <c r="AX58" s="1" t="s">
        <v>212</v>
      </c>
      <c r="AZ58" s="1">
        <v>3485</v>
      </c>
      <c r="BA58" s="1">
        <v>2013</v>
      </c>
      <c r="BB58" s="1" t="s">
        <v>210</v>
      </c>
      <c r="BE58" s="1">
        <v>0</v>
      </c>
      <c r="BF58" s="1">
        <v>1</v>
      </c>
      <c r="BG58" s="1">
        <v>0</v>
      </c>
      <c r="BL58" s="1">
        <v>200</v>
      </c>
      <c r="BM58" s="1" t="s">
        <v>204</v>
      </c>
      <c r="BN58" s="1" t="s">
        <v>213</v>
      </c>
      <c r="BO58" s="1">
        <v>0</v>
      </c>
      <c r="BP58" s="1" t="s">
        <v>204</v>
      </c>
      <c r="BR58" s="1" t="str">
        <f>"1011303072"</f>
        <v>1011303072</v>
      </c>
      <c r="BT58" s="1" t="s">
        <v>1422</v>
      </c>
      <c r="BU58" s="1" t="s">
        <v>1423</v>
      </c>
      <c r="BV58" s="1" t="s">
        <v>1424</v>
      </c>
      <c r="BW58" s="1" t="s">
        <v>907</v>
      </c>
      <c r="BX58" s="1">
        <v>180</v>
      </c>
      <c r="BY58" s="1">
        <v>180</v>
      </c>
      <c r="BZ58" s="1">
        <v>86</v>
      </c>
      <c r="CB58" s="1" t="str">
        <f t="shared" ref="CB58:CC58" si="41">"0"</f>
        <v>0</v>
      </c>
      <c r="CC58" s="1" t="str">
        <f t="shared" si="41"/>
        <v>0</v>
      </c>
      <c r="CD58" s="1">
        <v>16</v>
      </c>
      <c r="CE58" s="1">
        <v>11</v>
      </c>
      <c r="CG58" s="1" t="s">
        <v>757</v>
      </c>
      <c r="CH58" s="1" t="s">
        <v>219</v>
      </c>
      <c r="CI58" s="1" t="s">
        <v>220</v>
      </c>
      <c r="CK58" s="1" t="s">
        <v>1425</v>
      </c>
      <c r="CL58" s="1" t="s">
        <v>277</v>
      </c>
      <c r="CM58" s="1" t="s">
        <v>220</v>
      </c>
      <c r="CO58" s="1" t="s">
        <v>951</v>
      </c>
      <c r="CP58" s="1" t="s">
        <v>219</v>
      </c>
      <c r="CQ58" s="1" t="s">
        <v>220</v>
      </c>
      <c r="CS58" s="1" t="s">
        <v>379</v>
      </c>
      <c r="CT58" s="1" t="s">
        <v>277</v>
      </c>
      <c r="CU58" s="1" t="s">
        <v>220</v>
      </c>
      <c r="CX58" s="1" t="s">
        <v>224</v>
      </c>
      <c r="DB58" s="1" t="s">
        <v>224</v>
      </c>
      <c r="DE58" s="1" t="s">
        <v>759</v>
      </c>
      <c r="DF58" s="1" t="s">
        <v>219</v>
      </c>
      <c r="DG58" s="1" t="s">
        <v>438</v>
      </c>
      <c r="DI58" s="1" t="s">
        <v>379</v>
      </c>
      <c r="DJ58" s="1" t="s">
        <v>822</v>
      </c>
      <c r="DK58" s="1" t="s">
        <v>220</v>
      </c>
      <c r="DS58" s="1" t="s">
        <v>230</v>
      </c>
      <c r="DW58" s="1" t="s">
        <v>230</v>
      </c>
      <c r="EA58" s="1" t="s">
        <v>230</v>
      </c>
      <c r="EE58" s="1" t="s">
        <v>230</v>
      </c>
      <c r="EI58" s="1" t="s">
        <v>230</v>
      </c>
      <c r="EL58" s="1" t="s">
        <v>466</v>
      </c>
      <c r="EM58" s="1" t="s">
        <v>232</v>
      </c>
      <c r="EN58" s="1" t="s">
        <v>282</v>
      </c>
      <c r="EO58" s="1" t="s">
        <v>234</v>
      </c>
      <c r="EP58" s="1" t="s">
        <v>650</v>
      </c>
      <c r="EQ58" s="1" t="s">
        <v>236</v>
      </c>
      <c r="ER58" s="1" t="s">
        <v>544</v>
      </c>
      <c r="ES58" s="1" t="s">
        <v>322</v>
      </c>
      <c r="EU58" s="1" t="s">
        <v>239</v>
      </c>
      <c r="EV58" s="1" t="s">
        <v>240</v>
      </c>
      <c r="EW58" s="1" t="s">
        <v>1426</v>
      </c>
      <c r="EY58" s="1" t="s">
        <v>242</v>
      </c>
      <c r="EZ58" s="1" t="s">
        <v>287</v>
      </c>
      <c r="FA58" s="1" t="s">
        <v>1427</v>
      </c>
      <c r="FB58" s="1" t="s">
        <v>289</v>
      </c>
      <c r="FC58" s="1" t="s">
        <v>326</v>
      </c>
      <c r="FD58" s="1" t="s">
        <v>246</v>
      </c>
      <c r="FE58" s="1" t="s">
        <v>472</v>
      </c>
      <c r="FF58" s="1" t="s">
        <v>248</v>
      </c>
      <c r="FH58" s="1" t="s">
        <v>1428</v>
      </c>
      <c r="FI58" s="1" t="s">
        <v>357</v>
      </c>
      <c r="FJ58" s="1" t="s">
        <v>1251</v>
      </c>
      <c r="FL58" s="1" t="s">
        <v>414</v>
      </c>
      <c r="FM58" s="1" t="s">
        <v>252</v>
      </c>
      <c r="FN58" s="1" t="s">
        <v>213</v>
      </c>
      <c r="FO58" s="1" t="s">
        <v>213</v>
      </c>
      <c r="FQ58" s="1" t="s">
        <v>793</v>
      </c>
      <c r="FR58" s="1" t="s">
        <v>210</v>
      </c>
      <c r="FS58" s="1" t="s">
        <v>1429</v>
      </c>
      <c r="FT58" s="1" t="s">
        <v>520</v>
      </c>
      <c r="FU58" s="1" t="s">
        <v>204</v>
      </c>
      <c r="FW58" s="1" t="s">
        <v>1430</v>
      </c>
      <c r="FX58" s="1">
        <v>21295</v>
      </c>
      <c r="FY58" s="1" t="s">
        <v>1431</v>
      </c>
      <c r="FZ58" s="1" t="s">
        <v>1432</v>
      </c>
      <c r="GA58" s="1">
        <v>228128</v>
      </c>
      <c r="GB58" s="1" t="s">
        <v>1433</v>
      </c>
      <c r="GD58" s="1" t="s">
        <v>1434</v>
      </c>
      <c r="GE58" s="1" t="s">
        <v>210</v>
      </c>
      <c r="GI58" s="1" t="s">
        <v>213</v>
      </c>
      <c r="GJ58" s="1" t="s">
        <v>260</v>
      </c>
      <c r="GK58" s="1" t="s">
        <v>210</v>
      </c>
      <c r="GL58" s="2">
        <v>42084</v>
      </c>
    </row>
    <row r="59" spans="1:195">
      <c r="A59" s="1">
        <v>96000</v>
      </c>
      <c r="B59" s="1" t="s">
        <v>195</v>
      </c>
      <c r="C59" s="1" t="str">
        <f>"08482135"</f>
        <v>08482135</v>
      </c>
      <c r="D59" s="1" t="s">
        <v>196</v>
      </c>
      <c r="F59" s="1" t="str">
        <f>"73"</f>
        <v>73</v>
      </c>
      <c r="G59" s="2">
        <v>41583</v>
      </c>
      <c r="H59" s="1">
        <v>124900</v>
      </c>
      <c r="I59" s="1">
        <v>96000</v>
      </c>
      <c r="J59" s="1">
        <v>96000</v>
      </c>
      <c r="K59" s="2">
        <v>41583</v>
      </c>
      <c r="L59" s="1">
        <v>359</v>
      </c>
      <c r="M59" s="2">
        <v>41941</v>
      </c>
      <c r="N59" s="1">
        <v>359</v>
      </c>
      <c r="O59" s="2">
        <v>41941</v>
      </c>
      <c r="P59" s="1">
        <v>2648</v>
      </c>
      <c r="Q59" s="1" t="s">
        <v>197</v>
      </c>
      <c r="R59" s="2">
        <v>42023</v>
      </c>
      <c r="S59" s="1">
        <v>15429</v>
      </c>
      <c r="U59" s="1">
        <v>426</v>
      </c>
      <c r="V59" s="1" t="s">
        <v>1435</v>
      </c>
      <c r="W59" s="1" t="s">
        <v>304</v>
      </c>
      <c r="Y59" s="1">
        <v>4</v>
      </c>
      <c r="Z59" s="1" t="s">
        <v>249</v>
      </c>
      <c r="AA59" s="1" t="s">
        <v>1027</v>
      </c>
      <c r="AB59" s="1">
        <v>60073</v>
      </c>
      <c r="AE59" s="1" t="s">
        <v>1436</v>
      </c>
      <c r="AF59" s="1">
        <v>2002</v>
      </c>
      <c r="AG59" s="1" t="s">
        <v>204</v>
      </c>
      <c r="AH59" s="1" t="s">
        <v>1029</v>
      </c>
      <c r="AI59" s="1" t="s">
        <v>509</v>
      </c>
      <c r="AJ59" s="1" t="s">
        <v>1437</v>
      </c>
      <c r="AL59" s="1">
        <v>6</v>
      </c>
      <c r="AM59" s="1">
        <v>2</v>
      </c>
      <c r="AN59" s="1">
        <v>2</v>
      </c>
      <c r="AO59" s="1">
        <v>1</v>
      </c>
      <c r="AP59" s="1" t="s">
        <v>209</v>
      </c>
      <c r="AQ59" s="1">
        <v>1</v>
      </c>
      <c r="AR59" s="1" t="s">
        <v>210</v>
      </c>
      <c r="AS59" s="1" t="s">
        <v>204</v>
      </c>
      <c r="AT59" s="1" t="s">
        <v>211</v>
      </c>
      <c r="AU59" s="1">
        <v>2</v>
      </c>
      <c r="AW59" s="1" t="s">
        <v>204</v>
      </c>
      <c r="AX59" s="1" t="s">
        <v>212</v>
      </c>
      <c r="AZ59" s="1">
        <v>3764.52</v>
      </c>
      <c r="BA59" s="1">
        <v>2012</v>
      </c>
      <c r="BB59" s="1" t="s">
        <v>405</v>
      </c>
      <c r="BE59" s="1">
        <v>0</v>
      </c>
      <c r="BF59" s="1">
        <v>1</v>
      </c>
      <c r="BG59" s="1">
        <v>1</v>
      </c>
      <c r="BL59" s="1">
        <v>197</v>
      </c>
      <c r="BM59" s="1" t="s">
        <v>204</v>
      </c>
      <c r="BN59" s="1" t="s">
        <v>213</v>
      </c>
      <c r="BO59" s="1">
        <v>30</v>
      </c>
      <c r="BP59" s="1" t="s">
        <v>204</v>
      </c>
      <c r="BR59" s="1" t="str">
        <f>"05251160250000"</f>
        <v>05251160250000</v>
      </c>
      <c r="BT59" s="1" t="s">
        <v>1438</v>
      </c>
      <c r="BX59" s="1">
        <v>38</v>
      </c>
      <c r="BY59" s="1">
        <v>38</v>
      </c>
      <c r="BZ59" s="1">
        <v>124</v>
      </c>
      <c r="CB59" s="1" t="str">
        <f t="shared" ref="CB59:CC59" si="42">""</f>
        <v/>
      </c>
      <c r="CC59" s="1" t="str">
        <f t="shared" si="42"/>
        <v/>
      </c>
      <c r="CG59" s="1" t="s">
        <v>757</v>
      </c>
      <c r="CH59" s="1" t="s">
        <v>219</v>
      </c>
      <c r="CI59" s="1" t="s">
        <v>220</v>
      </c>
      <c r="CJ59" s="1" t="s">
        <v>343</v>
      </c>
      <c r="CK59" s="1" t="s">
        <v>932</v>
      </c>
      <c r="CL59" s="1" t="s">
        <v>277</v>
      </c>
      <c r="CM59" s="1" t="s">
        <v>220</v>
      </c>
      <c r="CN59" s="1" t="s">
        <v>343</v>
      </c>
      <c r="CO59" s="1" t="s">
        <v>317</v>
      </c>
      <c r="CP59" s="1" t="s">
        <v>219</v>
      </c>
      <c r="CQ59" s="1" t="s">
        <v>347</v>
      </c>
      <c r="CR59" s="1" t="s">
        <v>343</v>
      </c>
      <c r="CS59" s="1" t="s">
        <v>465</v>
      </c>
      <c r="CT59" s="1" t="s">
        <v>277</v>
      </c>
      <c r="CU59" s="1" t="s">
        <v>220</v>
      </c>
      <c r="CV59" s="1" t="s">
        <v>343</v>
      </c>
      <c r="CX59" s="1" t="s">
        <v>224</v>
      </c>
      <c r="DB59" s="1" t="s">
        <v>224</v>
      </c>
      <c r="DE59" s="1" t="s">
        <v>687</v>
      </c>
      <c r="DF59" s="1" t="s">
        <v>219</v>
      </c>
      <c r="DG59" s="1" t="s">
        <v>347</v>
      </c>
      <c r="DH59" s="1" t="s">
        <v>343</v>
      </c>
      <c r="DJ59" s="1" t="s">
        <v>224</v>
      </c>
      <c r="DM59" s="1" t="s">
        <v>464</v>
      </c>
      <c r="DR59" s="1" t="s">
        <v>346</v>
      </c>
      <c r="DS59" s="1" t="s">
        <v>277</v>
      </c>
      <c r="DT59" s="1" t="s">
        <v>220</v>
      </c>
      <c r="DU59" s="1" t="s">
        <v>343</v>
      </c>
      <c r="DW59" s="1" t="s">
        <v>230</v>
      </c>
      <c r="EA59" s="1" t="s">
        <v>230</v>
      </c>
      <c r="EE59" s="1" t="s">
        <v>230</v>
      </c>
      <c r="EI59" s="1" t="s">
        <v>230</v>
      </c>
      <c r="EL59" s="1" t="s">
        <v>466</v>
      </c>
      <c r="EM59" s="1" t="s">
        <v>319</v>
      </c>
      <c r="EN59" s="1" t="s">
        <v>282</v>
      </c>
      <c r="EO59" s="1" t="s">
        <v>234</v>
      </c>
      <c r="EQ59" s="1" t="s">
        <v>1439</v>
      </c>
      <c r="ER59" s="1" t="s">
        <v>1269</v>
      </c>
      <c r="ES59" s="1" t="s">
        <v>824</v>
      </c>
      <c r="EV59" s="1" t="s">
        <v>324</v>
      </c>
      <c r="EW59" s="1" t="s">
        <v>1440</v>
      </c>
      <c r="EY59" s="1" t="s">
        <v>242</v>
      </c>
      <c r="EZ59" s="1" t="s">
        <v>464</v>
      </c>
      <c r="FD59" s="1" t="s">
        <v>246</v>
      </c>
      <c r="FE59" s="1" t="s">
        <v>472</v>
      </c>
      <c r="FF59" s="1" t="s">
        <v>248</v>
      </c>
      <c r="FG59" s="1" t="s">
        <v>912</v>
      </c>
      <c r="FH59" s="1" t="s">
        <v>550</v>
      </c>
      <c r="FI59" s="1" t="s">
        <v>473</v>
      </c>
      <c r="FL59" s="1" t="s">
        <v>358</v>
      </c>
      <c r="FM59" s="1" t="s">
        <v>252</v>
      </c>
      <c r="FN59" s="1" t="s">
        <v>213</v>
      </c>
      <c r="FO59" s="1" t="s">
        <v>213</v>
      </c>
      <c r="FQ59" s="1" t="s">
        <v>1441</v>
      </c>
      <c r="FR59" s="1" t="s">
        <v>360</v>
      </c>
      <c r="FS59" s="1" t="s">
        <v>1442</v>
      </c>
      <c r="FT59" s="1" t="s">
        <v>362</v>
      </c>
      <c r="FU59" s="1" t="s">
        <v>204</v>
      </c>
      <c r="FW59" s="1" t="s">
        <v>1443</v>
      </c>
      <c r="FX59" s="1">
        <v>25046</v>
      </c>
      <c r="FY59" s="1" t="s">
        <v>1444</v>
      </c>
      <c r="FZ59" s="1" t="s">
        <v>1445</v>
      </c>
      <c r="GA59" s="1">
        <v>238906</v>
      </c>
      <c r="GD59" s="1" t="s">
        <v>1446</v>
      </c>
      <c r="GE59" s="1" t="s">
        <v>480</v>
      </c>
      <c r="GH59" s="1" t="s">
        <v>230</v>
      </c>
      <c r="GI59" s="1" t="s">
        <v>213</v>
      </c>
      <c r="GJ59" s="1" t="s">
        <v>260</v>
      </c>
      <c r="GK59" s="1" t="s">
        <v>210</v>
      </c>
      <c r="GL59" s="2">
        <v>42024</v>
      </c>
      <c r="GM59" s="1" t="s">
        <v>1447</v>
      </c>
    </row>
    <row r="60" spans="1:195">
      <c r="A60" s="1">
        <v>169490</v>
      </c>
      <c r="B60" s="1" t="s">
        <v>195</v>
      </c>
      <c r="C60" s="1" t="str">
        <f>"08482330"</f>
        <v>08482330</v>
      </c>
      <c r="D60" s="1" t="s">
        <v>196</v>
      </c>
      <c r="F60" s="1" t="str">
        <f>"140"</f>
        <v>140</v>
      </c>
      <c r="G60" s="2">
        <v>41583</v>
      </c>
      <c r="H60" s="1">
        <v>189990</v>
      </c>
      <c r="I60" s="1">
        <v>169490</v>
      </c>
      <c r="J60" s="1">
        <v>169490</v>
      </c>
      <c r="K60" s="2">
        <v>41583</v>
      </c>
      <c r="L60" s="1">
        <v>348</v>
      </c>
      <c r="M60" s="2">
        <v>41930</v>
      </c>
      <c r="N60" s="1">
        <v>348</v>
      </c>
      <c r="O60" s="2">
        <v>41930</v>
      </c>
      <c r="P60" s="1">
        <v>8738</v>
      </c>
      <c r="Q60" s="1" t="s">
        <v>197</v>
      </c>
      <c r="R60" s="2">
        <v>41975</v>
      </c>
      <c r="S60" s="1">
        <v>81511</v>
      </c>
      <c r="U60" s="1">
        <v>1808</v>
      </c>
      <c r="V60" s="1" t="s">
        <v>1448</v>
      </c>
      <c r="W60" s="1" t="s">
        <v>504</v>
      </c>
      <c r="X60" s="1">
        <v>2281</v>
      </c>
      <c r="Y60" s="1">
        <v>2</v>
      </c>
      <c r="Z60" s="1" t="s">
        <v>370</v>
      </c>
      <c r="AA60" s="1" t="s">
        <v>744</v>
      </c>
      <c r="AB60" s="1">
        <v>60140</v>
      </c>
      <c r="AD60" s="1" t="s">
        <v>1449</v>
      </c>
      <c r="AE60" s="1" t="s">
        <v>1450</v>
      </c>
      <c r="AF60" s="1">
        <v>2013</v>
      </c>
      <c r="AG60" s="1" t="s">
        <v>204</v>
      </c>
      <c r="AH60" s="1" t="s">
        <v>747</v>
      </c>
      <c r="AI60" s="1" t="s">
        <v>665</v>
      </c>
      <c r="AJ60" s="1" t="s">
        <v>748</v>
      </c>
      <c r="AK60" s="1" t="s">
        <v>1451</v>
      </c>
      <c r="AL60" s="1">
        <v>5</v>
      </c>
      <c r="AM60" s="1">
        <v>2</v>
      </c>
      <c r="AN60" s="1">
        <v>2</v>
      </c>
      <c r="AO60" s="1">
        <v>0</v>
      </c>
      <c r="AP60" s="1" t="s">
        <v>209</v>
      </c>
      <c r="AR60" s="1" t="s">
        <v>210</v>
      </c>
      <c r="AS60" s="1" t="s">
        <v>204</v>
      </c>
      <c r="AT60" s="1" t="s">
        <v>211</v>
      </c>
      <c r="AU60" s="1">
        <v>2</v>
      </c>
      <c r="AW60" s="1" t="s">
        <v>204</v>
      </c>
      <c r="AX60" s="1" t="s">
        <v>1452</v>
      </c>
      <c r="AZ60" s="1" t="s">
        <v>751</v>
      </c>
      <c r="BA60" s="1">
        <v>2012</v>
      </c>
      <c r="BB60" s="1" t="s">
        <v>210</v>
      </c>
      <c r="BE60" s="1">
        <v>1401</v>
      </c>
      <c r="BF60" s="1">
        <v>1</v>
      </c>
      <c r="BG60" s="1">
        <v>0</v>
      </c>
      <c r="BL60" s="1">
        <v>186</v>
      </c>
      <c r="BM60" s="1" t="s">
        <v>204</v>
      </c>
      <c r="BN60" s="1" t="s">
        <v>213</v>
      </c>
      <c r="BO60" s="1">
        <v>999</v>
      </c>
      <c r="BP60" s="1" t="s">
        <v>213</v>
      </c>
      <c r="BQ60" s="2">
        <v>41583</v>
      </c>
      <c r="BR60" s="1" t="str">
        <f>"0228149016"</f>
        <v>0228149016</v>
      </c>
      <c r="BT60" s="1" t="s">
        <v>1453</v>
      </c>
      <c r="BX60" s="1">
        <v>300</v>
      </c>
      <c r="BY60" s="1">
        <v>300</v>
      </c>
      <c r="BZ60" s="1">
        <v>300</v>
      </c>
      <c r="CB60" s="1" t="str">
        <f t="shared" ref="CB60:CC60" si="43">""</f>
        <v/>
      </c>
      <c r="CC60" s="1" t="str">
        <f t="shared" si="43"/>
        <v/>
      </c>
      <c r="CG60" s="1" t="s">
        <v>757</v>
      </c>
      <c r="CH60" s="1" t="s">
        <v>219</v>
      </c>
      <c r="CI60" s="1" t="s">
        <v>438</v>
      </c>
      <c r="CJ60" s="1" t="s">
        <v>210</v>
      </c>
      <c r="CK60" s="1" t="s">
        <v>344</v>
      </c>
      <c r="CL60" s="1" t="s">
        <v>219</v>
      </c>
      <c r="CM60" s="1" t="s">
        <v>220</v>
      </c>
      <c r="CO60" s="1" t="s">
        <v>757</v>
      </c>
      <c r="CP60" s="1" t="s">
        <v>219</v>
      </c>
      <c r="CQ60" s="1" t="s">
        <v>438</v>
      </c>
      <c r="CR60" s="1" t="s">
        <v>210</v>
      </c>
      <c r="CS60" s="1" t="s">
        <v>318</v>
      </c>
      <c r="CT60" s="1" t="s">
        <v>219</v>
      </c>
      <c r="CU60" s="1" t="s">
        <v>220</v>
      </c>
      <c r="CX60" s="1" t="s">
        <v>224</v>
      </c>
      <c r="DB60" s="1" t="s">
        <v>224</v>
      </c>
      <c r="DE60" s="1" t="s">
        <v>1454</v>
      </c>
      <c r="DF60" s="1" t="s">
        <v>219</v>
      </c>
      <c r="DG60" s="1" t="s">
        <v>438</v>
      </c>
      <c r="DH60" s="1" t="s">
        <v>210</v>
      </c>
      <c r="DJ60" s="1" t="s">
        <v>224</v>
      </c>
      <c r="DS60" s="1" t="s">
        <v>230</v>
      </c>
      <c r="DW60" s="1" t="s">
        <v>230</v>
      </c>
      <c r="EA60" s="1" t="s">
        <v>230</v>
      </c>
      <c r="EE60" s="1" t="s">
        <v>230</v>
      </c>
      <c r="EI60" s="1" t="s">
        <v>230</v>
      </c>
      <c r="EL60" s="1" t="s">
        <v>1455</v>
      </c>
      <c r="EM60" s="1" t="s">
        <v>319</v>
      </c>
      <c r="EN60" s="1" t="s">
        <v>282</v>
      </c>
      <c r="EO60" s="1" t="s">
        <v>234</v>
      </c>
      <c r="EP60" s="1" t="s">
        <v>1456</v>
      </c>
      <c r="EQ60" s="1" t="s">
        <v>953</v>
      </c>
      <c r="ER60" s="1" t="s">
        <v>210</v>
      </c>
      <c r="ES60" s="1" t="s">
        <v>322</v>
      </c>
      <c r="ET60" s="1" t="s">
        <v>323</v>
      </c>
      <c r="EV60" s="1" t="s">
        <v>240</v>
      </c>
      <c r="EW60" s="1" t="s">
        <v>1457</v>
      </c>
      <c r="EY60" s="1" t="s">
        <v>790</v>
      </c>
      <c r="EZ60" s="1" t="s">
        <v>287</v>
      </c>
      <c r="FD60" s="1" t="s">
        <v>246</v>
      </c>
      <c r="FE60" s="1" t="s">
        <v>472</v>
      </c>
      <c r="FF60" s="1" t="s">
        <v>248</v>
      </c>
      <c r="FH60" s="1" t="s">
        <v>442</v>
      </c>
      <c r="FL60" s="1" t="s">
        <v>358</v>
      </c>
      <c r="FM60" s="1" t="s">
        <v>252</v>
      </c>
      <c r="FN60" s="1" t="s">
        <v>213</v>
      </c>
      <c r="FO60" s="1" t="s">
        <v>213</v>
      </c>
      <c r="FQ60" s="1" t="s">
        <v>582</v>
      </c>
      <c r="FR60" s="1" t="s">
        <v>210</v>
      </c>
      <c r="FS60" s="1" t="s">
        <v>1458</v>
      </c>
      <c r="FT60" s="1" t="s">
        <v>771</v>
      </c>
      <c r="FU60" s="1" t="s">
        <v>204</v>
      </c>
      <c r="FW60" s="1" t="s">
        <v>772</v>
      </c>
      <c r="FX60" s="1">
        <v>92038</v>
      </c>
      <c r="FY60" s="1" t="s">
        <v>773</v>
      </c>
      <c r="FZ60" s="1" t="s">
        <v>774</v>
      </c>
      <c r="GA60" s="1">
        <v>21137</v>
      </c>
      <c r="GB60" s="1" t="s">
        <v>775</v>
      </c>
      <c r="GE60" s="1" t="s">
        <v>623</v>
      </c>
      <c r="GI60" s="1" t="s">
        <v>204</v>
      </c>
      <c r="GJ60" s="1" t="s">
        <v>260</v>
      </c>
      <c r="GK60" s="1" t="s">
        <v>210</v>
      </c>
      <c r="GL60" s="2">
        <v>41980</v>
      </c>
      <c r="GM60" s="1" t="s">
        <v>1459</v>
      </c>
    </row>
    <row r="61" spans="1:195">
      <c r="A61" s="1">
        <v>110000</v>
      </c>
      <c r="B61" s="1" t="s">
        <v>195</v>
      </c>
      <c r="C61" s="1" t="str">
        <f>"08492595"</f>
        <v>08492595</v>
      </c>
      <c r="D61" s="1" t="s">
        <v>196</v>
      </c>
      <c r="F61" s="1" t="str">
        <f>"177"</f>
        <v>177</v>
      </c>
      <c r="G61" s="2">
        <v>41600</v>
      </c>
      <c r="H61" s="1">
        <v>125000</v>
      </c>
      <c r="I61" s="1">
        <v>110000</v>
      </c>
      <c r="J61" s="1">
        <v>110000</v>
      </c>
      <c r="K61" s="2">
        <v>41600</v>
      </c>
      <c r="L61" s="1">
        <v>422</v>
      </c>
      <c r="M61" s="2">
        <v>42021</v>
      </c>
      <c r="N61" s="1">
        <v>422</v>
      </c>
      <c r="O61" s="2">
        <v>42021</v>
      </c>
      <c r="P61" s="1">
        <v>41</v>
      </c>
      <c r="Q61" s="1" t="s">
        <v>302</v>
      </c>
      <c r="R61" s="2">
        <v>42032</v>
      </c>
      <c r="S61" s="1">
        <v>901</v>
      </c>
      <c r="U61" s="1">
        <v>1</v>
      </c>
      <c r="V61" s="1" t="s">
        <v>1460</v>
      </c>
      <c r="W61" s="1" t="s">
        <v>449</v>
      </c>
      <c r="X61" s="1" t="s">
        <v>527</v>
      </c>
      <c r="Y61" s="1">
        <v>4</v>
      </c>
      <c r="Z61" s="1" t="s">
        <v>370</v>
      </c>
      <c r="AA61" s="1" t="s">
        <v>1461</v>
      </c>
      <c r="AB61" s="1">
        <v>60177</v>
      </c>
      <c r="AD61" s="1" t="s">
        <v>1462</v>
      </c>
      <c r="AE61" s="1" t="s">
        <v>1463</v>
      </c>
      <c r="AF61" s="1">
        <v>1999</v>
      </c>
      <c r="AG61" s="1" t="s">
        <v>204</v>
      </c>
      <c r="AH61" s="1" t="s">
        <v>1464</v>
      </c>
      <c r="AI61" s="1" t="s">
        <v>665</v>
      </c>
      <c r="AJ61" s="1" t="s">
        <v>1175</v>
      </c>
      <c r="AL61" s="1">
        <v>6</v>
      </c>
      <c r="AM61" s="1">
        <v>2</v>
      </c>
      <c r="AN61" s="1">
        <v>1</v>
      </c>
      <c r="AO61" s="1">
        <v>1</v>
      </c>
      <c r="AP61" s="1" t="s">
        <v>210</v>
      </c>
      <c r="AQ61" s="1">
        <v>0</v>
      </c>
      <c r="AR61" s="1" t="s">
        <v>209</v>
      </c>
      <c r="AS61" s="1" t="s">
        <v>204</v>
      </c>
      <c r="AT61" s="1" t="s">
        <v>211</v>
      </c>
      <c r="AU61" s="1">
        <v>1</v>
      </c>
      <c r="AW61" s="1" t="s">
        <v>204</v>
      </c>
      <c r="AX61" s="1" t="s">
        <v>212</v>
      </c>
      <c r="AZ61" s="1">
        <v>3344</v>
      </c>
      <c r="BA61" s="1">
        <v>2013</v>
      </c>
      <c r="BE61" s="1">
        <v>1220</v>
      </c>
      <c r="BF61" s="1">
        <v>1</v>
      </c>
      <c r="BG61" s="1">
        <v>0</v>
      </c>
      <c r="BL61" s="1">
        <v>171</v>
      </c>
      <c r="BM61" s="1" t="s">
        <v>413</v>
      </c>
      <c r="BN61" s="1" t="s">
        <v>213</v>
      </c>
      <c r="BO61" s="1">
        <v>0</v>
      </c>
      <c r="BP61" s="1" t="s">
        <v>204</v>
      </c>
      <c r="BR61" s="1" t="str">
        <f>"0635355058"</f>
        <v>0635355058</v>
      </c>
      <c r="BT61" s="1" t="s">
        <v>1465</v>
      </c>
      <c r="BU61" s="1" t="s">
        <v>1466</v>
      </c>
      <c r="BV61" s="1" t="s">
        <v>1467</v>
      </c>
      <c r="BW61" s="1" t="s">
        <v>1468</v>
      </c>
      <c r="BX61" s="1">
        <v>46</v>
      </c>
      <c r="BY61" s="1">
        <v>46</v>
      </c>
      <c r="BZ61" s="1">
        <v>46</v>
      </c>
      <c r="CB61" s="1" t="str">
        <f>"8"</f>
        <v>8</v>
      </c>
      <c r="CC61" s="1" t="str">
        <f>"0"</f>
        <v>0</v>
      </c>
      <c r="CD61" s="1">
        <v>34</v>
      </c>
      <c r="CE61" s="1">
        <v>0</v>
      </c>
      <c r="CG61" s="1" t="s">
        <v>315</v>
      </c>
      <c r="CH61" s="1" t="s">
        <v>219</v>
      </c>
      <c r="CI61" s="1" t="s">
        <v>438</v>
      </c>
      <c r="CJ61" s="1" t="s">
        <v>210</v>
      </c>
      <c r="CK61" s="1" t="s">
        <v>1469</v>
      </c>
      <c r="CL61" s="1" t="s">
        <v>277</v>
      </c>
      <c r="CM61" s="1" t="s">
        <v>220</v>
      </c>
      <c r="CN61" s="1" t="s">
        <v>210</v>
      </c>
      <c r="CO61" s="1" t="s">
        <v>409</v>
      </c>
      <c r="CP61" s="1" t="s">
        <v>219</v>
      </c>
      <c r="CQ61" s="1" t="s">
        <v>438</v>
      </c>
      <c r="CR61" s="1" t="s">
        <v>210</v>
      </c>
      <c r="CS61" s="1" t="s">
        <v>1107</v>
      </c>
      <c r="CT61" s="1" t="s">
        <v>277</v>
      </c>
      <c r="CU61" s="1" t="s">
        <v>220</v>
      </c>
      <c r="CV61" s="1" t="s">
        <v>210</v>
      </c>
      <c r="CX61" s="1" t="s">
        <v>224</v>
      </c>
      <c r="DB61" s="1" t="s">
        <v>224</v>
      </c>
      <c r="DE61" s="1" t="s">
        <v>345</v>
      </c>
      <c r="DF61" s="1" t="s">
        <v>219</v>
      </c>
      <c r="DG61" s="1" t="s">
        <v>342</v>
      </c>
      <c r="DH61" s="1" t="s">
        <v>210</v>
      </c>
      <c r="DJ61" s="1" t="s">
        <v>224</v>
      </c>
      <c r="DM61" s="1" t="s">
        <v>464</v>
      </c>
      <c r="DR61" s="1" t="s">
        <v>1470</v>
      </c>
      <c r="DS61" s="1" t="s">
        <v>277</v>
      </c>
      <c r="DT61" s="1" t="s">
        <v>220</v>
      </c>
      <c r="DU61" s="1" t="s">
        <v>210</v>
      </c>
      <c r="DW61" s="1" t="s">
        <v>230</v>
      </c>
      <c r="EA61" s="1" t="s">
        <v>230</v>
      </c>
      <c r="EE61" s="1" t="s">
        <v>230</v>
      </c>
      <c r="EI61" s="1" t="s">
        <v>230</v>
      </c>
      <c r="EL61" s="1" t="s">
        <v>670</v>
      </c>
      <c r="EM61" s="1" t="s">
        <v>319</v>
      </c>
      <c r="EN61" s="1" t="s">
        <v>282</v>
      </c>
      <c r="EO61" s="1" t="s">
        <v>234</v>
      </c>
      <c r="EQ61" s="1" t="s">
        <v>284</v>
      </c>
      <c r="ER61" s="1" t="s">
        <v>1249</v>
      </c>
      <c r="EW61" s="1" t="s">
        <v>1471</v>
      </c>
      <c r="EZ61" s="1" t="s">
        <v>464</v>
      </c>
      <c r="FD61" s="1" t="s">
        <v>246</v>
      </c>
      <c r="FE61" s="1" t="s">
        <v>472</v>
      </c>
      <c r="FF61" s="1" t="s">
        <v>248</v>
      </c>
      <c r="FH61" s="1" t="s">
        <v>249</v>
      </c>
      <c r="FJ61" s="1" t="s">
        <v>1472</v>
      </c>
      <c r="FL61" s="1" t="s">
        <v>358</v>
      </c>
      <c r="FM61" s="1" t="s">
        <v>252</v>
      </c>
      <c r="FN61" s="1" t="s">
        <v>213</v>
      </c>
      <c r="FO61" s="1" t="s">
        <v>213</v>
      </c>
      <c r="FQ61" s="1" t="s">
        <v>1473</v>
      </c>
      <c r="FR61" s="1" t="s">
        <v>360</v>
      </c>
      <c r="FS61" s="1" t="s">
        <v>1474</v>
      </c>
      <c r="FT61" s="1" t="s">
        <v>295</v>
      </c>
      <c r="FU61" s="1" t="s">
        <v>204</v>
      </c>
      <c r="FW61" s="1" t="s">
        <v>1475</v>
      </c>
      <c r="FX61" s="1">
        <v>23265</v>
      </c>
      <c r="FY61" s="1" t="s">
        <v>1476</v>
      </c>
      <c r="FZ61" s="1" t="s">
        <v>1477</v>
      </c>
      <c r="GA61" s="1">
        <v>217220</v>
      </c>
      <c r="GB61" s="1" t="s">
        <v>1478</v>
      </c>
      <c r="GE61" s="1" t="s">
        <v>480</v>
      </c>
      <c r="GI61" s="1" t="s">
        <v>213</v>
      </c>
      <c r="GJ61" s="1" t="s">
        <v>260</v>
      </c>
      <c r="GK61" s="1" t="s">
        <v>261</v>
      </c>
      <c r="GL61" s="2">
        <v>42032</v>
      </c>
      <c r="GM61" s="2" t="s">
        <v>1479</v>
      </c>
    </row>
    <row r="62" spans="1:195">
      <c r="A62" s="1">
        <v>61000</v>
      </c>
      <c r="B62" s="1" t="s">
        <v>195</v>
      </c>
      <c r="C62" s="1" t="str">
        <f>"08493243"</f>
        <v>08493243</v>
      </c>
      <c r="D62" s="1" t="s">
        <v>196</v>
      </c>
      <c r="F62" s="1" t="str">
        <f>"123"</f>
        <v>123</v>
      </c>
      <c r="G62" s="2">
        <v>41601</v>
      </c>
      <c r="H62" s="1">
        <v>57000</v>
      </c>
      <c r="I62" s="1">
        <v>57000</v>
      </c>
      <c r="J62" s="1">
        <v>61000</v>
      </c>
      <c r="K62" s="2">
        <v>41601</v>
      </c>
      <c r="L62" s="1">
        <v>340</v>
      </c>
      <c r="M62" s="2">
        <v>41940</v>
      </c>
      <c r="N62" s="1">
        <v>340</v>
      </c>
      <c r="O62" s="2">
        <v>41940</v>
      </c>
      <c r="P62" s="1">
        <v>7450</v>
      </c>
      <c r="Q62" s="1" t="s">
        <v>302</v>
      </c>
      <c r="R62" s="2">
        <v>41983</v>
      </c>
      <c r="S62" s="1">
        <v>1256</v>
      </c>
      <c r="U62" s="1">
        <v>466</v>
      </c>
      <c r="V62" s="1" t="s">
        <v>1480</v>
      </c>
      <c r="W62" s="1" t="s">
        <v>304</v>
      </c>
      <c r="X62" s="1">
        <v>466</v>
      </c>
      <c r="Y62" s="1">
        <v>2</v>
      </c>
      <c r="Z62" s="1" t="s">
        <v>200</v>
      </c>
      <c r="AA62" s="1" t="s">
        <v>1173</v>
      </c>
      <c r="AB62" s="1">
        <v>60123</v>
      </c>
      <c r="AC62" s="1">
        <v>6983</v>
      </c>
      <c r="AD62" s="1" t="s">
        <v>1481</v>
      </c>
      <c r="AE62" s="1" t="s">
        <v>1482</v>
      </c>
      <c r="AF62" s="1">
        <v>1979</v>
      </c>
      <c r="AG62" s="1" t="s">
        <v>204</v>
      </c>
      <c r="AH62" s="1" t="s">
        <v>1175</v>
      </c>
      <c r="AI62" s="1" t="s">
        <v>665</v>
      </c>
      <c r="AJ62" s="1" t="s">
        <v>1175</v>
      </c>
      <c r="AL62" s="1">
        <v>4</v>
      </c>
      <c r="AM62" s="1">
        <v>2</v>
      </c>
      <c r="AN62" s="1">
        <v>2</v>
      </c>
      <c r="AO62" s="1">
        <v>0</v>
      </c>
      <c r="AP62" s="1" t="s">
        <v>210</v>
      </c>
      <c r="AR62" s="1" t="s">
        <v>1483</v>
      </c>
      <c r="AS62" s="1" t="s">
        <v>213</v>
      </c>
      <c r="AT62" s="1" t="s">
        <v>211</v>
      </c>
      <c r="AU62" s="1">
        <v>1</v>
      </c>
      <c r="AW62" s="1" t="s">
        <v>204</v>
      </c>
      <c r="AX62" s="1" t="s">
        <v>1484</v>
      </c>
      <c r="AZ62" s="1">
        <v>2675.94</v>
      </c>
      <c r="BA62" s="1">
        <v>2012</v>
      </c>
      <c r="BE62" s="1">
        <v>867</v>
      </c>
      <c r="BF62" s="1">
        <v>1</v>
      </c>
      <c r="BG62" s="1">
        <v>0</v>
      </c>
      <c r="BL62" s="1">
        <v>0</v>
      </c>
      <c r="BM62" s="1" t="s">
        <v>413</v>
      </c>
      <c r="BN62" s="1" t="s">
        <v>213</v>
      </c>
      <c r="BO62" s="1">
        <v>999</v>
      </c>
      <c r="BP62" s="1" t="s">
        <v>204</v>
      </c>
      <c r="BR62" s="1" t="str">
        <f>"0621403017"</f>
        <v>0621403017</v>
      </c>
      <c r="BT62" s="1" t="s">
        <v>1485</v>
      </c>
      <c r="BU62" s="1" t="s">
        <v>1486</v>
      </c>
      <c r="BV62" s="1" t="s">
        <v>1487</v>
      </c>
      <c r="BW62" s="1" t="s">
        <v>1488</v>
      </c>
      <c r="BX62" s="1">
        <v>46</v>
      </c>
      <c r="BY62" s="1">
        <v>46</v>
      </c>
      <c r="BZ62" s="1">
        <v>46</v>
      </c>
      <c r="CB62" s="1" t="str">
        <f t="shared" ref="CB62:CC62" si="44">""</f>
        <v/>
      </c>
      <c r="CC62" s="1" t="str">
        <f t="shared" si="44"/>
        <v/>
      </c>
      <c r="CG62" s="1" t="s">
        <v>1045</v>
      </c>
      <c r="CH62" s="1" t="s">
        <v>219</v>
      </c>
      <c r="CK62" s="1" t="s">
        <v>1297</v>
      </c>
      <c r="CL62" s="1" t="s">
        <v>219</v>
      </c>
      <c r="CP62" s="1" t="s">
        <v>224</v>
      </c>
      <c r="CS62" s="1" t="s">
        <v>379</v>
      </c>
      <c r="CT62" s="1" t="s">
        <v>219</v>
      </c>
      <c r="CX62" s="1" t="s">
        <v>224</v>
      </c>
      <c r="DB62" s="1" t="s">
        <v>224</v>
      </c>
      <c r="DE62" s="1" t="s">
        <v>539</v>
      </c>
      <c r="DF62" s="1" t="s">
        <v>219</v>
      </c>
      <c r="DJ62" s="1" t="s">
        <v>224</v>
      </c>
      <c r="DS62" s="1" t="s">
        <v>230</v>
      </c>
      <c r="DW62" s="1" t="s">
        <v>230</v>
      </c>
      <c r="EA62" s="1" t="s">
        <v>230</v>
      </c>
      <c r="EE62" s="1" t="s">
        <v>230</v>
      </c>
      <c r="EI62" s="1" t="s">
        <v>230</v>
      </c>
      <c r="EL62" s="1" t="s">
        <v>231</v>
      </c>
      <c r="EM62" s="1" t="s">
        <v>319</v>
      </c>
      <c r="EN62" s="1" t="s">
        <v>282</v>
      </c>
      <c r="EO62" s="1" t="s">
        <v>234</v>
      </c>
      <c r="EP62" s="1" t="s">
        <v>1489</v>
      </c>
      <c r="EQ62" s="1" t="s">
        <v>1490</v>
      </c>
      <c r="ER62" s="1" t="s">
        <v>351</v>
      </c>
      <c r="ES62" s="1" t="s">
        <v>322</v>
      </c>
      <c r="EU62" s="1" t="s">
        <v>1491</v>
      </c>
      <c r="EW62" s="1" t="s">
        <v>210</v>
      </c>
      <c r="EY62" s="1" t="s">
        <v>790</v>
      </c>
      <c r="EZ62" s="1" t="s">
        <v>287</v>
      </c>
      <c r="FA62" s="1" t="s">
        <v>354</v>
      </c>
      <c r="FD62" s="1" t="s">
        <v>246</v>
      </c>
      <c r="FE62" s="1" t="s">
        <v>549</v>
      </c>
      <c r="FF62" s="1" t="s">
        <v>248</v>
      </c>
      <c r="FH62" s="1" t="s">
        <v>442</v>
      </c>
      <c r="FI62" s="1" t="s">
        <v>357</v>
      </c>
      <c r="FJ62" s="1" t="s">
        <v>1251</v>
      </c>
      <c r="FL62" s="1" t="s">
        <v>358</v>
      </c>
      <c r="FM62" s="1" t="s">
        <v>252</v>
      </c>
      <c r="FN62" s="1" t="s">
        <v>213</v>
      </c>
      <c r="FO62" s="1" t="s">
        <v>213</v>
      </c>
      <c r="FQ62" s="1" t="s">
        <v>689</v>
      </c>
      <c r="FR62" s="1" t="s">
        <v>210</v>
      </c>
      <c r="FS62" s="1" t="s">
        <v>1492</v>
      </c>
      <c r="FT62" s="1" t="s">
        <v>654</v>
      </c>
      <c r="FU62" s="1" t="s">
        <v>204</v>
      </c>
      <c r="FW62" s="1" t="s">
        <v>1493</v>
      </c>
      <c r="FX62" s="1">
        <v>73601</v>
      </c>
      <c r="FY62" s="1" t="s">
        <v>1494</v>
      </c>
      <c r="FZ62" s="1" t="s">
        <v>1495</v>
      </c>
      <c r="GA62" s="1">
        <v>701827</v>
      </c>
      <c r="GB62" s="1" t="s">
        <v>1496</v>
      </c>
      <c r="GC62" s="1">
        <v>700685</v>
      </c>
      <c r="GE62" s="1" t="s">
        <v>480</v>
      </c>
      <c r="GI62" s="1" t="s">
        <v>204</v>
      </c>
      <c r="GJ62" s="1" t="s">
        <v>260</v>
      </c>
      <c r="GK62" s="1" t="s">
        <v>210</v>
      </c>
      <c r="GL62" s="2">
        <v>41983</v>
      </c>
      <c r="GM62" s="1" t="s">
        <v>1497</v>
      </c>
    </row>
    <row r="63" spans="1:195">
      <c r="A63" s="1">
        <v>45000</v>
      </c>
      <c r="B63" s="1" t="s">
        <v>195</v>
      </c>
      <c r="C63" s="1" t="str">
        <f>"08499138"</f>
        <v>08499138</v>
      </c>
      <c r="D63" s="1" t="s">
        <v>196</v>
      </c>
      <c r="F63" s="1" t="str">
        <f>"188"</f>
        <v>188</v>
      </c>
      <c r="G63" s="2">
        <v>41613</v>
      </c>
      <c r="H63" s="1">
        <v>50000</v>
      </c>
      <c r="I63" s="1">
        <v>50000</v>
      </c>
      <c r="J63" s="1">
        <v>45000</v>
      </c>
      <c r="K63" s="2">
        <v>41611</v>
      </c>
      <c r="L63" s="1">
        <v>216</v>
      </c>
      <c r="M63" s="2">
        <v>41776</v>
      </c>
      <c r="N63" s="1">
        <v>166</v>
      </c>
      <c r="O63" s="2">
        <v>41776</v>
      </c>
      <c r="P63" s="1">
        <v>8073</v>
      </c>
      <c r="Q63" s="1" t="s">
        <v>302</v>
      </c>
      <c r="R63" s="2">
        <v>41983</v>
      </c>
      <c r="S63" s="1">
        <v>253331</v>
      </c>
      <c r="U63" s="1">
        <v>240</v>
      </c>
      <c r="V63" s="1" t="s">
        <v>1498</v>
      </c>
      <c r="W63" s="1" t="s">
        <v>304</v>
      </c>
      <c r="X63" s="1" t="s">
        <v>800</v>
      </c>
      <c r="Y63" s="1">
        <v>6</v>
      </c>
      <c r="Z63" s="1" t="s">
        <v>249</v>
      </c>
      <c r="AA63" s="1" t="s">
        <v>1084</v>
      </c>
      <c r="AB63" s="1">
        <v>60188</v>
      </c>
      <c r="AD63" s="1" t="s">
        <v>1498</v>
      </c>
      <c r="AE63" s="1" t="s">
        <v>1499</v>
      </c>
      <c r="AF63" s="1">
        <v>1980</v>
      </c>
      <c r="AG63" s="1" t="s">
        <v>204</v>
      </c>
      <c r="AH63" s="1" t="s">
        <v>1087</v>
      </c>
      <c r="AI63" s="1" t="s">
        <v>206</v>
      </c>
      <c r="AJ63" s="1" t="s">
        <v>269</v>
      </c>
      <c r="AK63" s="1" t="s">
        <v>800</v>
      </c>
      <c r="AL63" s="1">
        <v>5</v>
      </c>
      <c r="AM63" s="1">
        <v>2</v>
      </c>
      <c r="AN63" s="1">
        <v>1</v>
      </c>
      <c r="AO63" s="1">
        <v>1</v>
      </c>
      <c r="AP63" s="1" t="s">
        <v>1234</v>
      </c>
      <c r="AR63" s="1" t="s">
        <v>210</v>
      </c>
      <c r="AS63" s="1" t="s">
        <v>204</v>
      </c>
      <c r="AT63" s="1" t="s">
        <v>271</v>
      </c>
      <c r="AV63" s="1">
        <v>2</v>
      </c>
      <c r="AW63" s="1" t="s">
        <v>204</v>
      </c>
      <c r="AX63" s="1" t="s">
        <v>212</v>
      </c>
      <c r="AZ63" s="1">
        <v>1801</v>
      </c>
      <c r="BA63" s="1">
        <v>2013</v>
      </c>
      <c r="BB63" s="1" t="s">
        <v>405</v>
      </c>
      <c r="BE63" s="1">
        <v>845</v>
      </c>
      <c r="BF63" s="1">
        <v>3</v>
      </c>
      <c r="BG63" s="1">
        <v>5</v>
      </c>
      <c r="BJ63" s="1">
        <v>100</v>
      </c>
      <c r="BK63" s="1">
        <v>0.46</v>
      </c>
      <c r="BL63" s="1">
        <v>271</v>
      </c>
      <c r="BM63" s="1" t="s">
        <v>204</v>
      </c>
      <c r="BN63" s="1" t="s">
        <v>213</v>
      </c>
      <c r="BO63" s="1">
        <v>20</v>
      </c>
      <c r="BP63" s="1" t="s">
        <v>204</v>
      </c>
      <c r="BR63" s="1" t="str">
        <f>"0229117103"</f>
        <v>0229117103</v>
      </c>
      <c r="BT63" s="1" t="s">
        <v>1500</v>
      </c>
      <c r="BU63" s="1" t="s">
        <v>1501</v>
      </c>
      <c r="BV63" s="1" t="s">
        <v>1502</v>
      </c>
      <c r="BW63" s="1" t="s">
        <v>1092</v>
      </c>
      <c r="BX63" s="1">
        <v>93</v>
      </c>
      <c r="BY63" s="1">
        <v>93</v>
      </c>
      <c r="BZ63" s="1">
        <v>87</v>
      </c>
      <c r="CB63" s="1" t="str">
        <f>"3"</f>
        <v>3</v>
      </c>
      <c r="CC63" s="1" t="str">
        <f t="shared" ref="CC63:CC65" si="45">"0"</f>
        <v>0</v>
      </c>
      <c r="CD63" s="1">
        <v>25</v>
      </c>
      <c r="CE63" s="1">
        <v>0</v>
      </c>
      <c r="CG63" s="1" t="s">
        <v>315</v>
      </c>
      <c r="CH63" s="1" t="s">
        <v>784</v>
      </c>
      <c r="CK63" s="1" t="s">
        <v>757</v>
      </c>
      <c r="CL63" s="1" t="s">
        <v>784</v>
      </c>
      <c r="CO63" s="1" t="s">
        <v>837</v>
      </c>
      <c r="CP63" s="1" t="s">
        <v>784</v>
      </c>
      <c r="CS63" s="1" t="s">
        <v>346</v>
      </c>
      <c r="CT63" s="1" t="s">
        <v>784</v>
      </c>
      <c r="CX63" s="1" t="s">
        <v>224</v>
      </c>
      <c r="DB63" s="1" t="s">
        <v>224</v>
      </c>
      <c r="DE63" s="1" t="s">
        <v>318</v>
      </c>
      <c r="DF63" s="1" t="s">
        <v>784</v>
      </c>
      <c r="DH63" s="1" t="s">
        <v>210</v>
      </c>
      <c r="DJ63" s="1" t="s">
        <v>224</v>
      </c>
      <c r="DS63" s="1" t="s">
        <v>230</v>
      </c>
      <c r="DW63" s="1" t="s">
        <v>230</v>
      </c>
      <c r="EA63" s="1" t="s">
        <v>230</v>
      </c>
      <c r="EE63" s="1" t="s">
        <v>230</v>
      </c>
      <c r="EI63" s="1" t="s">
        <v>230</v>
      </c>
      <c r="EL63" s="1" t="s">
        <v>231</v>
      </c>
      <c r="EM63" s="1" t="s">
        <v>232</v>
      </c>
      <c r="EN63" s="1" t="s">
        <v>1158</v>
      </c>
      <c r="EO63" s="1" t="s">
        <v>234</v>
      </c>
      <c r="EP63" s="1" t="s">
        <v>1503</v>
      </c>
      <c r="ER63" s="1" t="s">
        <v>383</v>
      </c>
      <c r="EU63" s="1" t="s">
        <v>239</v>
      </c>
      <c r="EW63" s="1" t="s">
        <v>1504</v>
      </c>
      <c r="EY63" s="1" t="s">
        <v>790</v>
      </c>
      <c r="EZ63" s="1" t="s">
        <v>287</v>
      </c>
      <c r="FA63" s="1" t="s">
        <v>243</v>
      </c>
      <c r="FB63" s="1" t="s">
        <v>1505</v>
      </c>
      <c r="FC63" s="1" t="s">
        <v>633</v>
      </c>
      <c r="FD63" s="1" t="s">
        <v>246</v>
      </c>
      <c r="FE63" s="1" t="s">
        <v>247</v>
      </c>
      <c r="FF63" s="1" t="s">
        <v>248</v>
      </c>
      <c r="FH63" s="1" t="s">
        <v>249</v>
      </c>
      <c r="FK63" s="1" t="s">
        <v>891</v>
      </c>
      <c r="FL63" s="1" t="s">
        <v>614</v>
      </c>
      <c r="FM63" s="1" t="s">
        <v>252</v>
      </c>
      <c r="FN63" s="1" t="s">
        <v>213</v>
      </c>
      <c r="FO63" s="1" t="s">
        <v>213</v>
      </c>
      <c r="FQ63" s="1" t="s">
        <v>1506</v>
      </c>
      <c r="FR63" s="1" t="s">
        <v>360</v>
      </c>
      <c r="FS63" s="1" t="s">
        <v>1507</v>
      </c>
      <c r="FT63" s="1" t="s">
        <v>295</v>
      </c>
      <c r="FU63" s="1" t="s">
        <v>204</v>
      </c>
      <c r="FW63" s="1" t="s">
        <v>554</v>
      </c>
      <c r="FX63" s="1">
        <v>25215</v>
      </c>
      <c r="FY63" s="1" t="s">
        <v>1508</v>
      </c>
      <c r="FZ63" s="1" t="s">
        <v>1509</v>
      </c>
      <c r="GA63" s="1">
        <v>223473</v>
      </c>
      <c r="GB63" s="1" t="s">
        <v>1510</v>
      </c>
      <c r="GD63" s="1" t="s">
        <v>1511</v>
      </c>
      <c r="GE63" s="1" t="s">
        <v>210</v>
      </c>
      <c r="GI63" s="1" t="s">
        <v>213</v>
      </c>
      <c r="GJ63" s="1" t="s">
        <v>260</v>
      </c>
      <c r="GK63" s="1" t="s">
        <v>210</v>
      </c>
      <c r="GL63" s="2">
        <v>41983</v>
      </c>
      <c r="GM63" s="1" t="s">
        <v>1512</v>
      </c>
    </row>
    <row r="64" spans="1:195">
      <c r="A64" s="1">
        <v>130000</v>
      </c>
      <c r="B64" s="1" t="s">
        <v>195</v>
      </c>
      <c r="C64" s="1" t="str">
        <f>"08745827"</f>
        <v>08745827</v>
      </c>
      <c r="D64" s="1" t="s">
        <v>196</v>
      </c>
      <c r="F64" s="1" t="str">
        <f>"172"</f>
        <v>172</v>
      </c>
      <c r="G64" s="2">
        <v>41918</v>
      </c>
      <c r="H64" s="1">
        <v>135000</v>
      </c>
      <c r="I64" s="1">
        <v>135000</v>
      </c>
      <c r="J64" s="1">
        <v>130000</v>
      </c>
      <c r="K64" s="2">
        <v>41918</v>
      </c>
      <c r="L64" s="1">
        <v>22</v>
      </c>
      <c r="M64" s="2">
        <v>41939</v>
      </c>
      <c r="N64" s="1">
        <v>22</v>
      </c>
      <c r="O64" s="2">
        <v>41939</v>
      </c>
      <c r="P64" s="1">
        <v>10013</v>
      </c>
      <c r="Q64" s="1" t="s">
        <v>197</v>
      </c>
      <c r="R64" s="2">
        <v>41985</v>
      </c>
      <c r="S64" s="1">
        <v>117682</v>
      </c>
      <c r="U64" s="1">
        <v>362</v>
      </c>
      <c r="V64" s="1" t="s">
        <v>1513</v>
      </c>
      <c r="W64" s="1" t="s">
        <v>1056</v>
      </c>
      <c r="Y64" s="1">
        <v>1</v>
      </c>
      <c r="Z64" s="1" t="s">
        <v>200</v>
      </c>
      <c r="AA64" s="1" t="s">
        <v>266</v>
      </c>
      <c r="AB64" s="1">
        <v>60172</v>
      </c>
      <c r="AE64" s="1" t="s">
        <v>1514</v>
      </c>
      <c r="AF64" s="1">
        <v>1978</v>
      </c>
      <c r="AG64" s="1" t="s">
        <v>204</v>
      </c>
      <c r="AH64" s="1" t="s">
        <v>269</v>
      </c>
      <c r="AI64" s="1" t="s">
        <v>206</v>
      </c>
      <c r="AJ64" s="1" t="s">
        <v>269</v>
      </c>
      <c r="AL64" s="1">
        <v>5</v>
      </c>
      <c r="AM64" s="1">
        <v>2</v>
      </c>
      <c r="AN64" s="1">
        <v>1</v>
      </c>
      <c r="AO64" s="1">
        <v>1</v>
      </c>
      <c r="AP64" s="1" t="s">
        <v>667</v>
      </c>
      <c r="AR64" s="1" t="s">
        <v>210</v>
      </c>
      <c r="AT64" s="1" t="s">
        <v>211</v>
      </c>
      <c r="AU64" s="1">
        <v>1</v>
      </c>
      <c r="AW64" s="1" t="s">
        <v>204</v>
      </c>
      <c r="AX64" s="1" t="s">
        <v>1515</v>
      </c>
      <c r="AZ64" s="1">
        <v>2484</v>
      </c>
      <c r="BA64" s="1">
        <v>2013</v>
      </c>
      <c r="BE64" s="1">
        <v>1152</v>
      </c>
      <c r="BF64" s="1">
        <v>2</v>
      </c>
      <c r="BG64" s="1">
        <v>0</v>
      </c>
      <c r="BL64" s="1">
        <v>178</v>
      </c>
      <c r="BM64" s="1" t="s">
        <v>204</v>
      </c>
      <c r="BN64" s="1" t="s">
        <v>213</v>
      </c>
      <c r="BO64" s="1">
        <v>35</v>
      </c>
      <c r="BP64" s="1" t="s">
        <v>204</v>
      </c>
      <c r="BR64" s="1" t="str">
        <f>"0205407141"</f>
        <v>0205407141</v>
      </c>
      <c r="BT64" s="1" t="s">
        <v>1516</v>
      </c>
      <c r="BU64" s="1" t="s">
        <v>273</v>
      </c>
      <c r="BV64" s="1" t="s">
        <v>274</v>
      </c>
      <c r="BW64" s="1" t="s">
        <v>275</v>
      </c>
      <c r="BX64" s="1">
        <v>20</v>
      </c>
      <c r="BY64" s="1">
        <v>20</v>
      </c>
      <c r="BZ64" s="1">
        <v>108</v>
      </c>
      <c r="CB64" s="1" t="str">
        <f>"6"</f>
        <v>6</v>
      </c>
      <c r="CC64" s="1" t="str">
        <f t="shared" si="45"/>
        <v>0</v>
      </c>
      <c r="CD64" s="1">
        <v>24</v>
      </c>
      <c r="CE64" s="1">
        <v>0</v>
      </c>
      <c r="CG64" s="1" t="s">
        <v>315</v>
      </c>
      <c r="CH64" s="1" t="s">
        <v>219</v>
      </c>
      <c r="CI64" s="1" t="s">
        <v>229</v>
      </c>
      <c r="CK64" s="1" t="s">
        <v>221</v>
      </c>
      <c r="CL64" s="1" t="s">
        <v>219</v>
      </c>
      <c r="CM64" s="1" t="s">
        <v>220</v>
      </c>
      <c r="CO64" s="1" t="s">
        <v>223</v>
      </c>
      <c r="CP64" s="1" t="s">
        <v>219</v>
      </c>
      <c r="CQ64" s="1" t="s">
        <v>229</v>
      </c>
      <c r="CS64" s="1" t="s">
        <v>461</v>
      </c>
      <c r="CT64" s="1" t="s">
        <v>219</v>
      </c>
      <c r="CU64" s="1" t="s">
        <v>220</v>
      </c>
      <c r="CX64" s="1" t="s">
        <v>224</v>
      </c>
      <c r="DB64" s="1" t="s">
        <v>224</v>
      </c>
      <c r="DE64" s="1" t="s">
        <v>951</v>
      </c>
      <c r="DF64" s="1" t="s">
        <v>219</v>
      </c>
      <c r="DG64" s="1" t="s">
        <v>229</v>
      </c>
      <c r="DJ64" s="1" t="s">
        <v>224</v>
      </c>
      <c r="DS64" s="1" t="s">
        <v>230</v>
      </c>
      <c r="DW64" s="1" t="s">
        <v>230</v>
      </c>
      <c r="EA64" s="1" t="s">
        <v>230</v>
      </c>
      <c r="EE64" s="1" t="s">
        <v>230</v>
      </c>
      <c r="EI64" s="1" t="s">
        <v>230</v>
      </c>
      <c r="EL64" s="1" t="s">
        <v>231</v>
      </c>
      <c r="EM64" s="1" t="s">
        <v>232</v>
      </c>
      <c r="EN64" s="1" t="s">
        <v>282</v>
      </c>
      <c r="EO64" s="1" t="s">
        <v>234</v>
      </c>
      <c r="EP64" s="1" t="s">
        <v>1268</v>
      </c>
      <c r="EQ64" s="1" t="s">
        <v>1109</v>
      </c>
      <c r="ER64" s="1" t="s">
        <v>210</v>
      </c>
      <c r="ES64" s="1" t="s">
        <v>322</v>
      </c>
      <c r="EU64" s="1" t="s">
        <v>1517</v>
      </c>
      <c r="EV64" s="1" t="s">
        <v>324</v>
      </c>
      <c r="EW64" s="1" t="s">
        <v>353</v>
      </c>
      <c r="EY64" s="1" t="s">
        <v>242</v>
      </c>
      <c r="EZ64" s="1" t="s">
        <v>287</v>
      </c>
      <c r="FB64" s="1" t="s">
        <v>289</v>
      </c>
      <c r="FC64" s="1" t="s">
        <v>1405</v>
      </c>
      <c r="FD64" s="1" t="s">
        <v>888</v>
      </c>
      <c r="FE64" s="1" t="s">
        <v>472</v>
      </c>
      <c r="FF64" s="1" t="s">
        <v>248</v>
      </c>
      <c r="FH64" s="1" t="s">
        <v>550</v>
      </c>
      <c r="FL64" s="1" t="s">
        <v>414</v>
      </c>
      <c r="FM64" s="1" t="s">
        <v>252</v>
      </c>
      <c r="FN64" s="1" t="s">
        <v>213</v>
      </c>
      <c r="FO64" s="1" t="s">
        <v>213</v>
      </c>
      <c r="FQ64" s="1" t="s">
        <v>1518</v>
      </c>
      <c r="FR64" s="1" t="s">
        <v>210</v>
      </c>
      <c r="FS64" s="1" t="s">
        <v>1519</v>
      </c>
      <c r="FT64" s="1" t="s">
        <v>362</v>
      </c>
      <c r="FU64" s="1" t="s">
        <v>204</v>
      </c>
      <c r="FV64" s="1" t="s">
        <v>1520</v>
      </c>
      <c r="FW64" s="1" t="s">
        <v>1521</v>
      </c>
      <c r="FX64" s="1">
        <v>16645</v>
      </c>
      <c r="FY64" s="1" t="s">
        <v>1522</v>
      </c>
      <c r="FZ64" s="1" t="s">
        <v>1523</v>
      </c>
      <c r="GA64" s="1">
        <v>144314</v>
      </c>
      <c r="GB64" s="1" t="s">
        <v>1522</v>
      </c>
      <c r="GD64" s="1">
        <v>144314</v>
      </c>
      <c r="GE64" s="1" t="s">
        <v>658</v>
      </c>
      <c r="GI64" s="1" t="s">
        <v>204</v>
      </c>
      <c r="GJ64" s="1" t="s">
        <v>300</v>
      </c>
      <c r="GK64" s="1" t="s">
        <v>210</v>
      </c>
      <c r="GL64" s="2">
        <v>41992</v>
      </c>
      <c r="GM64" s="1" t="s">
        <v>1524</v>
      </c>
    </row>
    <row r="65" spans="1:195">
      <c r="A65" s="1">
        <v>135000</v>
      </c>
      <c r="B65" s="1" t="s">
        <v>195</v>
      </c>
      <c r="C65" s="1" t="str">
        <f>"08501742"</f>
        <v>08501742</v>
      </c>
      <c r="D65" s="1" t="s">
        <v>196</v>
      </c>
      <c r="F65" s="1" t="str">
        <f>"61"</f>
        <v>61</v>
      </c>
      <c r="G65" s="2">
        <v>41619</v>
      </c>
      <c r="H65" s="1">
        <v>139000</v>
      </c>
      <c r="I65" s="1">
        <v>137500</v>
      </c>
      <c r="J65" s="1">
        <v>135000</v>
      </c>
      <c r="K65" s="2">
        <v>41619</v>
      </c>
      <c r="L65" s="1">
        <v>246</v>
      </c>
      <c r="M65" s="2">
        <v>41864</v>
      </c>
      <c r="N65" s="1">
        <v>246</v>
      </c>
      <c r="O65" s="2">
        <v>41864</v>
      </c>
      <c r="P65" s="1">
        <v>25211</v>
      </c>
      <c r="Q65" s="1" t="s">
        <v>302</v>
      </c>
      <c r="R65" s="2">
        <v>41977</v>
      </c>
      <c r="S65" s="1">
        <v>221851</v>
      </c>
      <c r="U65" s="1">
        <v>935</v>
      </c>
      <c r="V65" s="1" t="s">
        <v>1525</v>
      </c>
      <c r="W65" s="1" t="s">
        <v>504</v>
      </c>
      <c r="X65" s="1">
        <v>935</v>
      </c>
      <c r="Y65" s="1">
        <v>7</v>
      </c>
      <c r="Z65" s="1" t="s">
        <v>249</v>
      </c>
      <c r="AA65" s="1" t="s">
        <v>505</v>
      </c>
      <c r="AB65" s="1">
        <v>60061</v>
      </c>
      <c r="AD65" s="1" t="s">
        <v>1526</v>
      </c>
      <c r="AE65" s="1" t="s">
        <v>1527</v>
      </c>
      <c r="AF65" s="1">
        <v>1993</v>
      </c>
      <c r="AG65" s="1" t="s">
        <v>204</v>
      </c>
      <c r="AH65" s="1" t="s">
        <v>508</v>
      </c>
      <c r="AI65" s="1" t="s">
        <v>509</v>
      </c>
      <c r="AJ65" s="1" t="s">
        <v>510</v>
      </c>
      <c r="AL65" s="1">
        <v>5</v>
      </c>
      <c r="AM65" s="1">
        <v>2</v>
      </c>
      <c r="AN65" s="1">
        <v>2</v>
      </c>
      <c r="AO65" s="1">
        <v>0</v>
      </c>
      <c r="AP65" s="1" t="s">
        <v>209</v>
      </c>
      <c r="AQ65" s="1">
        <v>1</v>
      </c>
      <c r="AR65" s="1" t="s">
        <v>210</v>
      </c>
      <c r="AS65" s="1" t="s">
        <v>204</v>
      </c>
      <c r="AT65" s="1" t="s">
        <v>211</v>
      </c>
      <c r="AU65" s="1">
        <v>1</v>
      </c>
      <c r="AW65" s="1" t="s">
        <v>204</v>
      </c>
      <c r="AX65" s="1" t="s">
        <v>1528</v>
      </c>
      <c r="AZ65" s="1">
        <v>4733</v>
      </c>
      <c r="BA65" s="1">
        <v>2012</v>
      </c>
      <c r="BB65" s="1" t="s">
        <v>405</v>
      </c>
      <c r="BE65" s="1">
        <v>1234</v>
      </c>
      <c r="BF65" s="1">
        <v>2</v>
      </c>
      <c r="BG65" s="1">
        <v>30</v>
      </c>
      <c r="BL65" s="1">
        <v>313</v>
      </c>
      <c r="BM65" s="1" t="s">
        <v>204</v>
      </c>
      <c r="BN65" s="1" t="s">
        <v>213</v>
      </c>
      <c r="BO65" s="1">
        <v>0</v>
      </c>
      <c r="BP65" s="1" t="s">
        <v>204</v>
      </c>
      <c r="BR65" s="1" t="str">
        <f>"15062060390000"</f>
        <v>15062060390000</v>
      </c>
      <c r="BT65" s="1" t="s">
        <v>1529</v>
      </c>
      <c r="BU65" s="1" t="s">
        <v>1530</v>
      </c>
      <c r="BV65" s="1" t="s">
        <v>1531</v>
      </c>
      <c r="BW65" s="1" t="s">
        <v>1532</v>
      </c>
      <c r="BX65" s="1">
        <v>76</v>
      </c>
      <c r="BY65" s="1">
        <v>76</v>
      </c>
      <c r="BZ65" s="1">
        <v>125</v>
      </c>
      <c r="CB65" s="1" t="str">
        <f>"25"</f>
        <v>25</v>
      </c>
      <c r="CC65" s="1" t="str">
        <f t="shared" si="45"/>
        <v>0</v>
      </c>
      <c r="CD65" s="1">
        <v>18</v>
      </c>
      <c r="CE65" s="1">
        <v>0</v>
      </c>
      <c r="CG65" s="1" t="s">
        <v>1004</v>
      </c>
      <c r="CH65" s="1" t="s">
        <v>277</v>
      </c>
      <c r="CI65" s="1" t="s">
        <v>220</v>
      </c>
      <c r="CJ65" s="1" t="s">
        <v>252</v>
      </c>
      <c r="CK65" s="1" t="s">
        <v>1533</v>
      </c>
      <c r="CL65" s="1" t="s">
        <v>277</v>
      </c>
      <c r="CM65" s="1" t="s">
        <v>220</v>
      </c>
      <c r="CN65" s="1" t="s">
        <v>252</v>
      </c>
      <c r="CO65" s="1" t="s">
        <v>1534</v>
      </c>
      <c r="CP65" s="1" t="s">
        <v>277</v>
      </c>
      <c r="CQ65" s="1" t="s">
        <v>220</v>
      </c>
      <c r="CS65" s="1" t="s">
        <v>379</v>
      </c>
      <c r="CT65" s="1" t="s">
        <v>277</v>
      </c>
      <c r="CU65" s="1" t="s">
        <v>220</v>
      </c>
      <c r="CV65" s="1" t="s">
        <v>252</v>
      </c>
      <c r="CX65" s="1" t="s">
        <v>224</v>
      </c>
      <c r="DB65" s="1" t="s">
        <v>224</v>
      </c>
      <c r="DE65" s="1" t="s">
        <v>378</v>
      </c>
      <c r="DF65" s="1" t="s">
        <v>277</v>
      </c>
      <c r="DG65" s="1" t="s">
        <v>226</v>
      </c>
      <c r="DH65" s="1" t="s">
        <v>252</v>
      </c>
      <c r="DJ65" s="1" t="s">
        <v>224</v>
      </c>
      <c r="DS65" s="1" t="s">
        <v>230</v>
      </c>
      <c r="DW65" s="1" t="s">
        <v>230</v>
      </c>
      <c r="EA65" s="1" t="s">
        <v>230</v>
      </c>
      <c r="EE65" s="1" t="s">
        <v>230</v>
      </c>
      <c r="EI65" s="1" t="s">
        <v>230</v>
      </c>
      <c r="EL65" s="1" t="s">
        <v>382</v>
      </c>
      <c r="EM65" s="1" t="s">
        <v>232</v>
      </c>
      <c r="EN65" s="1" t="s">
        <v>282</v>
      </c>
      <c r="EO65" s="1" t="s">
        <v>234</v>
      </c>
      <c r="EP65" s="1" t="s">
        <v>1093</v>
      </c>
      <c r="EQ65" s="1" t="s">
        <v>1094</v>
      </c>
      <c r="ER65" s="1" t="s">
        <v>210</v>
      </c>
      <c r="ES65" s="1" t="s">
        <v>824</v>
      </c>
      <c r="EU65" s="1" t="s">
        <v>1110</v>
      </c>
      <c r="EV65" s="1" t="s">
        <v>240</v>
      </c>
      <c r="EW65" s="1" t="s">
        <v>1426</v>
      </c>
      <c r="EY65" s="1" t="s">
        <v>242</v>
      </c>
      <c r="EZ65" s="1" t="s">
        <v>287</v>
      </c>
      <c r="FA65" s="1" t="s">
        <v>1270</v>
      </c>
      <c r="FD65" s="1" t="s">
        <v>246</v>
      </c>
      <c r="FE65" s="1" t="s">
        <v>247</v>
      </c>
      <c r="FF65" s="1" t="s">
        <v>248</v>
      </c>
      <c r="FH65" s="1" t="s">
        <v>249</v>
      </c>
      <c r="FI65" s="1" t="s">
        <v>473</v>
      </c>
      <c r="FL65" s="1" t="s">
        <v>358</v>
      </c>
      <c r="FM65" s="1" t="s">
        <v>252</v>
      </c>
      <c r="FN65" s="1" t="s">
        <v>213</v>
      </c>
      <c r="FO65" s="1" t="s">
        <v>213</v>
      </c>
      <c r="FQ65" s="1" t="s">
        <v>359</v>
      </c>
      <c r="FR65" s="1" t="s">
        <v>360</v>
      </c>
      <c r="FS65" s="1" t="s">
        <v>1535</v>
      </c>
      <c r="FT65" s="1" t="s">
        <v>1408</v>
      </c>
      <c r="FU65" s="1" t="s">
        <v>204</v>
      </c>
      <c r="FW65" s="1" t="s">
        <v>256</v>
      </c>
      <c r="FX65" s="1">
        <v>2648</v>
      </c>
      <c r="FY65" s="1" t="s">
        <v>1022</v>
      </c>
      <c r="FZ65" s="1" t="s">
        <v>1023</v>
      </c>
      <c r="GA65" s="1">
        <v>13380</v>
      </c>
      <c r="GB65" s="1" t="s">
        <v>1024</v>
      </c>
      <c r="GE65" s="1" t="s">
        <v>210</v>
      </c>
      <c r="GI65" s="1" t="s">
        <v>213</v>
      </c>
      <c r="GJ65" s="1" t="s">
        <v>260</v>
      </c>
      <c r="GK65" s="1" t="s">
        <v>210</v>
      </c>
      <c r="GL65" s="2">
        <v>41977</v>
      </c>
      <c r="GM65" s="1" t="s">
        <v>1536</v>
      </c>
    </row>
    <row r="66" spans="1:195">
      <c r="A66" s="1">
        <v>480390</v>
      </c>
      <c r="B66" s="1" t="s">
        <v>195</v>
      </c>
      <c r="C66" s="1" t="str">
        <f>"08503555"</f>
        <v>08503555</v>
      </c>
      <c r="D66" s="1" t="s">
        <v>196</v>
      </c>
      <c r="F66" s="1" t="str">
        <f>"521"</f>
        <v>521</v>
      </c>
      <c r="G66" s="2">
        <v>41622</v>
      </c>
      <c r="H66" s="1">
        <v>489000</v>
      </c>
      <c r="I66" s="1">
        <v>489000</v>
      </c>
      <c r="J66" s="1">
        <v>480390</v>
      </c>
      <c r="K66" s="2">
        <v>41622</v>
      </c>
      <c r="L66" s="1">
        <v>336</v>
      </c>
      <c r="M66" s="2">
        <v>41957</v>
      </c>
      <c r="N66" s="1">
        <v>336</v>
      </c>
      <c r="O66" s="2">
        <v>41957</v>
      </c>
      <c r="P66" s="1">
        <v>10900</v>
      </c>
      <c r="Q66" s="1" t="s">
        <v>302</v>
      </c>
      <c r="R66" s="2">
        <v>42047</v>
      </c>
      <c r="S66" s="1">
        <v>116598</v>
      </c>
      <c r="U66" s="1">
        <v>7</v>
      </c>
      <c r="V66" s="1" t="s">
        <v>1537</v>
      </c>
      <c r="W66" s="1" t="s">
        <v>504</v>
      </c>
      <c r="X66" s="1">
        <v>301</v>
      </c>
      <c r="Y66" s="1">
        <v>23</v>
      </c>
      <c r="Z66" s="1" t="s">
        <v>249</v>
      </c>
      <c r="AA66" s="1" t="s">
        <v>1538</v>
      </c>
      <c r="AB66" s="1">
        <v>60521</v>
      </c>
      <c r="AD66" s="1" t="s">
        <v>1539</v>
      </c>
      <c r="AE66" s="1" t="s">
        <v>1540</v>
      </c>
      <c r="AF66" s="1">
        <v>2013</v>
      </c>
      <c r="AG66" s="1" t="s">
        <v>204</v>
      </c>
      <c r="AH66" s="1" t="s">
        <v>1541</v>
      </c>
      <c r="AI66" s="1" t="s">
        <v>206</v>
      </c>
      <c r="AJ66" s="1" t="s">
        <v>903</v>
      </c>
      <c r="AK66" s="1" t="s">
        <v>1542</v>
      </c>
      <c r="AL66" s="1">
        <v>6</v>
      </c>
      <c r="AM66" s="1">
        <v>2</v>
      </c>
      <c r="AN66" s="1">
        <v>2</v>
      </c>
      <c r="AO66" s="1">
        <v>1</v>
      </c>
      <c r="AP66" s="1" t="s">
        <v>209</v>
      </c>
      <c r="AQ66" s="1">
        <v>1</v>
      </c>
      <c r="AR66" s="1" t="s">
        <v>210</v>
      </c>
      <c r="AS66" s="1" t="s">
        <v>204</v>
      </c>
      <c r="AT66" s="1" t="s">
        <v>211</v>
      </c>
      <c r="AU66" s="1">
        <v>1</v>
      </c>
      <c r="AW66" s="1" t="s">
        <v>204</v>
      </c>
      <c r="AX66" s="1" t="s">
        <v>212</v>
      </c>
      <c r="AZ66" s="1" t="s">
        <v>751</v>
      </c>
      <c r="BA66" s="1">
        <v>2013</v>
      </c>
      <c r="BE66" s="1">
        <v>1833</v>
      </c>
      <c r="BF66" s="1">
        <v>2</v>
      </c>
      <c r="BG66" s="1">
        <v>0</v>
      </c>
      <c r="BL66" s="1">
        <v>426</v>
      </c>
      <c r="BM66" s="1" t="s">
        <v>204</v>
      </c>
      <c r="BN66" s="1" t="s">
        <v>213</v>
      </c>
      <c r="BO66" s="1">
        <v>999</v>
      </c>
      <c r="BP66" s="1" t="s">
        <v>204</v>
      </c>
      <c r="BR66" s="1" t="str">
        <f>"0913104021"</f>
        <v>0913104021</v>
      </c>
      <c r="BT66" s="1" t="s">
        <v>1543</v>
      </c>
      <c r="BU66" s="1" t="s">
        <v>1544</v>
      </c>
      <c r="BV66" s="1" t="s">
        <v>1545</v>
      </c>
      <c r="BW66" s="1" t="s">
        <v>1546</v>
      </c>
      <c r="BX66" s="1">
        <v>181</v>
      </c>
      <c r="BY66" s="1">
        <v>181</v>
      </c>
      <c r="BZ66" s="1">
        <v>86</v>
      </c>
      <c r="CB66" s="1" t="str">
        <f t="shared" ref="CB66:CC66" si="46">""</f>
        <v/>
      </c>
      <c r="CC66" s="1" t="str">
        <f t="shared" si="46"/>
        <v/>
      </c>
      <c r="CG66" s="1" t="s">
        <v>1547</v>
      </c>
      <c r="CH66" s="1" t="s">
        <v>219</v>
      </c>
      <c r="CK66" s="1" t="s">
        <v>228</v>
      </c>
      <c r="CL66" s="1" t="s">
        <v>219</v>
      </c>
      <c r="CM66" s="1" t="s">
        <v>220</v>
      </c>
      <c r="CO66" s="1" t="s">
        <v>629</v>
      </c>
      <c r="CP66" s="1" t="s">
        <v>219</v>
      </c>
      <c r="CS66" s="1" t="s">
        <v>757</v>
      </c>
      <c r="CT66" s="1" t="s">
        <v>219</v>
      </c>
      <c r="CU66" s="1" t="s">
        <v>220</v>
      </c>
      <c r="CX66" s="1" t="s">
        <v>224</v>
      </c>
      <c r="DB66" s="1" t="s">
        <v>224</v>
      </c>
      <c r="DE66" s="1" t="s">
        <v>461</v>
      </c>
      <c r="DF66" s="1" t="s">
        <v>219</v>
      </c>
      <c r="DG66" s="1" t="s">
        <v>438</v>
      </c>
      <c r="DJ66" s="1" t="s">
        <v>224</v>
      </c>
      <c r="DM66" s="1" t="s">
        <v>1548</v>
      </c>
      <c r="DR66" s="1" t="s">
        <v>317</v>
      </c>
      <c r="DS66" s="1" t="s">
        <v>219</v>
      </c>
      <c r="DT66" s="1" t="s">
        <v>438</v>
      </c>
      <c r="DW66" s="1" t="s">
        <v>230</v>
      </c>
      <c r="EA66" s="1" t="s">
        <v>230</v>
      </c>
      <c r="EE66" s="1" t="s">
        <v>230</v>
      </c>
      <c r="EI66" s="1" t="s">
        <v>230</v>
      </c>
      <c r="EL66" s="1" t="s">
        <v>1549</v>
      </c>
      <c r="EM66" s="1" t="s">
        <v>232</v>
      </c>
      <c r="EN66" s="1" t="s">
        <v>282</v>
      </c>
      <c r="EO66" s="1" t="s">
        <v>234</v>
      </c>
      <c r="EP66" s="1" t="s">
        <v>1550</v>
      </c>
      <c r="EQ66" s="1" t="s">
        <v>1551</v>
      </c>
      <c r="ER66" s="1" t="s">
        <v>210</v>
      </c>
      <c r="ES66" s="1" t="s">
        <v>1552</v>
      </c>
      <c r="ET66" s="1" t="s">
        <v>866</v>
      </c>
      <c r="EU66" s="1" t="s">
        <v>712</v>
      </c>
      <c r="EV66" s="1" t="s">
        <v>1553</v>
      </c>
      <c r="EW66" s="1" t="s">
        <v>937</v>
      </c>
      <c r="EY66" s="1" t="s">
        <v>242</v>
      </c>
      <c r="EZ66" s="1" t="s">
        <v>1548</v>
      </c>
      <c r="FA66" s="1" t="s">
        <v>1554</v>
      </c>
      <c r="FB66" s="1" t="s">
        <v>289</v>
      </c>
      <c r="FC66" s="1" t="s">
        <v>1555</v>
      </c>
      <c r="FD66" s="1" t="s">
        <v>246</v>
      </c>
      <c r="FE66" s="1" t="s">
        <v>1556</v>
      </c>
      <c r="FF66" s="1" t="s">
        <v>248</v>
      </c>
      <c r="FH66" s="1" t="s">
        <v>716</v>
      </c>
      <c r="FI66" s="1" t="s">
        <v>250</v>
      </c>
      <c r="FL66" s="1" t="s">
        <v>358</v>
      </c>
      <c r="FM66" s="1" t="s">
        <v>252</v>
      </c>
      <c r="FN66" s="1" t="s">
        <v>213</v>
      </c>
      <c r="FO66" s="1" t="s">
        <v>213</v>
      </c>
      <c r="FQ66" s="1" t="s">
        <v>1557</v>
      </c>
      <c r="FR66" s="1" t="s">
        <v>210</v>
      </c>
      <c r="FS66" s="1" t="s">
        <v>1558</v>
      </c>
      <c r="FT66" s="1" t="s">
        <v>255</v>
      </c>
      <c r="FU66" s="1" t="s">
        <v>204</v>
      </c>
      <c r="FW66" s="1" t="s">
        <v>1559</v>
      </c>
      <c r="FX66" s="1">
        <v>10900</v>
      </c>
      <c r="FY66" s="1" t="s">
        <v>1560</v>
      </c>
      <c r="FZ66" s="1" t="s">
        <v>1561</v>
      </c>
      <c r="GA66" s="1">
        <v>116598</v>
      </c>
      <c r="GB66" s="1" t="s">
        <v>1562</v>
      </c>
      <c r="GE66" s="1" t="s">
        <v>658</v>
      </c>
      <c r="GH66" s="1" t="s">
        <v>800</v>
      </c>
      <c r="GI66" s="1" t="s">
        <v>213</v>
      </c>
      <c r="GJ66" s="1" t="s">
        <v>260</v>
      </c>
      <c r="GK66" s="1" t="s">
        <v>210</v>
      </c>
      <c r="GL66" s="2">
        <v>42048</v>
      </c>
      <c r="GM66" s="1" t="s">
        <v>1563</v>
      </c>
    </row>
    <row r="67" spans="1:195">
      <c r="A67" s="1">
        <v>98000</v>
      </c>
      <c r="B67" s="1" t="s">
        <v>195</v>
      </c>
      <c r="C67" s="1" t="str">
        <f>"08667402"</f>
        <v>08667402</v>
      </c>
      <c r="D67" s="1" t="s">
        <v>196</v>
      </c>
      <c r="F67" s="1" t="str">
        <f>"532"</f>
        <v>532</v>
      </c>
      <c r="G67" s="2">
        <v>41829</v>
      </c>
      <c r="H67" s="1">
        <v>99000</v>
      </c>
      <c r="I67" s="1">
        <v>89000</v>
      </c>
      <c r="J67" s="1">
        <v>98000</v>
      </c>
      <c r="K67" s="2">
        <v>41829</v>
      </c>
      <c r="L67" s="1">
        <v>79</v>
      </c>
      <c r="M67" s="2">
        <v>41907</v>
      </c>
      <c r="N67" s="1">
        <v>79</v>
      </c>
      <c r="O67" s="2">
        <v>41907</v>
      </c>
      <c r="P67" s="1">
        <v>40322</v>
      </c>
      <c r="Q67" s="1" t="s">
        <v>197</v>
      </c>
      <c r="R67" s="2">
        <v>41991</v>
      </c>
      <c r="S67" s="1">
        <v>406434</v>
      </c>
      <c r="T67" s="1">
        <v>5880</v>
      </c>
      <c r="U67" s="1">
        <v>5700</v>
      </c>
      <c r="V67" s="1" t="s">
        <v>1564</v>
      </c>
      <c r="W67" s="1" t="s">
        <v>504</v>
      </c>
      <c r="X67" s="1" t="s">
        <v>1565</v>
      </c>
      <c r="Y67" s="1">
        <v>48</v>
      </c>
      <c r="Z67" s="1" t="s">
        <v>249</v>
      </c>
      <c r="AA67" s="1" t="s">
        <v>1566</v>
      </c>
      <c r="AB67" s="1">
        <v>60532</v>
      </c>
      <c r="AD67" s="1" t="s">
        <v>1567</v>
      </c>
      <c r="AE67" s="1" t="s">
        <v>1568</v>
      </c>
      <c r="AF67" s="1">
        <v>1967</v>
      </c>
      <c r="AG67" s="1" t="s">
        <v>213</v>
      </c>
      <c r="AH67" s="1" t="s">
        <v>925</v>
      </c>
      <c r="AI67" s="1" t="s">
        <v>206</v>
      </c>
      <c r="AJ67" s="1" t="s">
        <v>925</v>
      </c>
      <c r="AK67" s="1" t="s">
        <v>1565</v>
      </c>
      <c r="AL67" s="1">
        <v>5</v>
      </c>
      <c r="AM67" s="1">
        <v>2</v>
      </c>
      <c r="AN67" s="1">
        <v>1</v>
      </c>
      <c r="AO67" s="1">
        <v>1</v>
      </c>
      <c r="AP67" s="1" t="s">
        <v>1234</v>
      </c>
      <c r="AQ67" s="1">
        <v>1</v>
      </c>
      <c r="AR67" s="1" t="s">
        <v>210</v>
      </c>
      <c r="AS67" s="1" t="s">
        <v>204</v>
      </c>
      <c r="AT67" s="1" t="s">
        <v>271</v>
      </c>
      <c r="AV67" s="1">
        <v>1</v>
      </c>
      <c r="AW67" s="1" t="s">
        <v>204</v>
      </c>
      <c r="AX67" s="1" t="s">
        <v>212</v>
      </c>
      <c r="AZ67" s="1">
        <v>2310</v>
      </c>
      <c r="BA67" s="1">
        <v>2013</v>
      </c>
      <c r="BB67" s="1" t="s">
        <v>405</v>
      </c>
      <c r="BE67" s="1">
        <v>880</v>
      </c>
      <c r="BF67" s="1">
        <v>1</v>
      </c>
      <c r="BG67" s="1">
        <v>0</v>
      </c>
      <c r="BL67" s="1">
        <v>351</v>
      </c>
      <c r="BM67" s="1" t="s">
        <v>204</v>
      </c>
      <c r="BN67" s="1" t="s">
        <v>213</v>
      </c>
      <c r="BO67" s="1">
        <v>0</v>
      </c>
      <c r="BP67" s="1" t="s">
        <v>204</v>
      </c>
      <c r="BR67" s="1" t="str">
        <f>"0815105455"</f>
        <v>0815105455</v>
      </c>
      <c r="BT67" s="1" t="s">
        <v>1569</v>
      </c>
      <c r="BX67" s="1">
        <v>68</v>
      </c>
      <c r="BY67" s="1">
        <v>68</v>
      </c>
      <c r="BZ67" s="1">
        <v>99</v>
      </c>
      <c r="CB67" s="1" t="str">
        <f t="shared" ref="CB67:CC67" si="47">"0"</f>
        <v>0</v>
      </c>
      <c r="CC67" s="1" t="str">
        <f t="shared" si="47"/>
        <v>0</v>
      </c>
      <c r="CD67" s="1">
        <v>23</v>
      </c>
      <c r="CE67" s="1">
        <v>6</v>
      </c>
      <c r="CG67" s="1" t="s">
        <v>1570</v>
      </c>
      <c r="CH67" s="1" t="s">
        <v>784</v>
      </c>
      <c r="CI67" s="1" t="s">
        <v>347</v>
      </c>
      <c r="CJ67" s="1" t="s">
        <v>210</v>
      </c>
      <c r="CK67" s="1" t="s">
        <v>278</v>
      </c>
      <c r="CL67" s="1" t="s">
        <v>784</v>
      </c>
      <c r="CM67" s="1" t="s">
        <v>347</v>
      </c>
      <c r="CO67" s="1" t="s">
        <v>1571</v>
      </c>
      <c r="CP67" s="1" t="s">
        <v>784</v>
      </c>
      <c r="CQ67" s="1" t="s">
        <v>226</v>
      </c>
      <c r="CS67" s="1" t="s">
        <v>1358</v>
      </c>
      <c r="CT67" s="1" t="s">
        <v>784</v>
      </c>
      <c r="CU67" s="1" t="s">
        <v>347</v>
      </c>
      <c r="CX67" s="1" t="s">
        <v>224</v>
      </c>
      <c r="DB67" s="1" t="s">
        <v>224</v>
      </c>
      <c r="DE67" s="1" t="s">
        <v>316</v>
      </c>
      <c r="DF67" s="1" t="s">
        <v>784</v>
      </c>
      <c r="DG67" s="1" t="s">
        <v>226</v>
      </c>
      <c r="DJ67" s="1" t="s">
        <v>224</v>
      </c>
      <c r="DS67" s="1" t="s">
        <v>230</v>
      </c>
      <c r="DW67" s="1" t="s">
        <v>230</v>
      </c>
      <c r="EA67" s="1" t="s">
        <v>230</v>
      </c>
      <c r="EE67" s="1" t="s">
        <v>230</v>
      </c>
      <c r="EI67" s="1" t="s">
        <v>230</v>
      </c>
      <c r="EL67" s="1" t="s">
        <v>605</v>
      </c>
      <c r="EM67" s="1" t="s">
        <v>232</v>
      </c>
      <c r="EN67" s="1" t="s">
        <v>282</v>
      </c>
      <c r="EO67" s="1" t="s">
        <v>234</v>
      </c>
      <c r="EP67" s="1" t="s">
        <v>1572</v>
      </c>
      <c r="EQ67" s="1" t="s">
        <v>350</v>
      </c>
      <c r="ER67" s="1" t="s">
        <v>210</v>
      </c>
      <c r="ES67" s="1" t="s">
        <v>545</v>
      </c>
      <c r="EU67" s="1" t="s">
        <v>1573</v>
      </c>
      <c r="EV67" s="1" t="s">
        <v>352</v>
      </c>
      <c r="EW67" s="1" t="s">
        <v>1574</v>
      </c>
      <c r="EZ67" s="1" t="s">
        <v>287</v>
      </c>
      <c r="FA67" s="1" t="s">
        <v>672</v>
      </c>
      <c r="FB67" s="1" t="s">
        <v>289</v>
      </c>
      <c r="FD67" s="1" t="s">
        <v>495</v>
      </c>
      <c r="FE67" s="1" t="s">
        <v>247</v>
      </c>
      <c r="FF67" s="1" t="s">
        <v>248</v>
      </c>
      <c r="FG67" s="1" t="s">
        <v>715</v>
      </c>
      <c r="FH67" s="1" t="s">
        <v>249</v>
      </c>
      <c r="FK67" s="1" t="s">
        <v>291</v>
      </c>
      <c r="FL67" s="1" t="s">
        <v>358</v>
      </c>
      <c r="FM67" s="1" t="s">
        <v>252</v>
      </c>
      <c r="FN67" s="1" t="s">
        <v>213</v>
      </c>
      <c r="FO67" s="1" t="s">
        <v>213</v>
      </c>
      <c r="FQ67" s="1" t="s">
        <v>689</v>
      </c>
      <c r="FR67" s="1" t="s">
        <v>210</v>
      </c>
      <c r="FS67" s="1" t="s">
        <v>1575</v>
      </c>
      <c r="FT67" s="1" t="s">
        <v>584</v>
      </c>
      <c r="FU67" s="1" t="s">
        <v>204</v>
      </c>
      <c r="FW67" s="1" t="s">
        <v>1388</v>
      </c>
      <c r="FX67" s="1">
        <v>23948</v>
      </c>
      <c r="FY67" s="1" t="s">
        <v>1389</v>
      </c>
      <c r="FZ67" s="1" t="s">
        <v>1390</v>
      </c>
      <c r="GA67" s="1">
        <v>214765</v>
      </c>
      <c r="GB67" s="1" t="s">
        <v>1391</v>
      </c>
      <c r="GE67" s="1" t="s">
        <v>1576</v>
      </c>
      <c r="GI67" s="1" t="s">
        <v>213</v>
      </c>
      <c r="GJ67" s="1" t="s">
        <v>260</v>
      </c>
      <c r="GK67" s="1" t="s">
        <v>210</v>
      </c>
      <c r="GL67" s="2">
        <v>41991</v>
      </c>
      <c r="GM67" s="1" t="s">
        <v>1577</v>
      </c>
    </row>
    <row r="68" spans="1:195">
      <c r="A68" s="1">
        <v>28000</v>
      </c>
      <c r="B68" s="1" t="s">
        <v>195</v>
      </c>
      <c r="C68" s="1" t="str">
        <f>"08489223"</f>
        <v>08489223</v>
      </c>
      <c r="D68" s="1" t="s">
        <v>196</v>
      </c>
      <c r="F68" s="1" t="str">
        <f t="shared" ref="F68:F69" si="48">"123"</f>
        <v>123</v>
      </c>
      <c r="G68" s="2">
        <v>41594</v>
      </c>
      <c r="H68" s="1">
        <v>65000</v>
      </c>
      <c r="I68" s="1">
        <v>29900</v>
      </c>
      <c r="J68" s="1">
        <v>28000</v>
      </c>
      <c r="K68" s="2">
        <v>41594</v>
      </c>
      <c r="L68" s="1">
        <v>382</v>
      </c>
      <c r="M68" s="2">
        <v>41975</v>
      </c>
      <c r="N68" s="1">
        <v>382</v>
      </c>
      <c r="O68" s="2">
        <v>41975</v>
      </c>
      <c r="P68" s="1">
        <v>8073</v>
      </c>
      <c r="Q68" s="1" t="s">
        <v>302</v>
      </c>
      <c r="R68" s="2">
        <v>41990</v>
      </c>
      <c r="S68" s="1">
        <v>81703</v>
      </c>
      <c r="U68" s="1">
        <v>801</v>
      </c>
      <c r="V68" s="1" t="s">
        <v>1578</v>
      </c>
      <c r="W68" s="1" t="s">
        <v>199</v>
      </c>
      <c r="X68" s="1">
        <v>122</v>
      </c>
      <c r="Y68" s="1">
        <v>90</v>
      </c>
      <c r="Z68" s="1" t="s">
        <v>249</v>
      </c>
      <c r="AA68" s="1" t="s">
        <v>1173</v>
      </c>
      <c r="AB68" s="1">
        <v>60123</v>
      </c>
      <c r="AC68" s="1">
        <v>2067</v>
      </c>
      <c r="AD68" s="1" t="s">
        <v>1579</v>
      </c>
      <c r="AE68" s="1" t="s">
        <v>1580</v>
      </c>
      <c r="AF68" s="1">
        <v>2002</v>
      </c>
      <c r="AG68" s="1" t="s">
        <v>204</v>
      </c>
      <c r="AH68" s="1" t="s">
        <v>1175</v>
      </c>
      <c r="AI68" s="1" t="s">
        <v>665</v>
      </c>
      <c r="AJ68" s="1" t="s">
        <v>1175</v>
      </c>
      <c r="AL68" s="1">
        <v>4</v>
      </c>
      <c r="AM68" s="1">
        <v>2</v>
      </c>
      <c r="AN68" s="1">
        <v>2</v>
      </c>
      <c r="AO68" s="1">
        <v>0</v>
      </c>
      <c r="AP68" s="1" t="s">
        <v>209</v>
      </c>
      <c r="AR68" s="1" t="s">
        <v>209</v>
      </c>
      <c r="AS68" s="1" t="s">
        <v>204</v>
      </c>
      <c r="AT68" s="1" t="s">
        <v>210</v>
      </c>
      <c r="AW68" s="1" t="s">
        <v>204</v>
      </c>
      <c r="AX68" s="1" t="s">
        <v>1581</v>
      </c>
      <c r="AZ68" s="1">
        <v>1862</v>
      </c>
      <c r="BA68" s="1">
        <v>2012</v>
      </c>
      <c r="BB68" s="1" t="s">
        <v>599</v>
      </c>
      <c r="BE68" s="1">
        <v>975</v>
      </c>
      <c r="BF68" s="1">
        <v>1</v>
      </c>
      <c r="BG68" s="1">
        <v>0</v>
      </c>
      <c r="BL68" s="1">
        <v>1279</v>
      </c>
      <c r="BM68" s="1" t="s">
        <v>204</v>
      </c>
      <c r="BN68" s="1" t="s">
        <v>213</v>
      </c>
      <c r="BO68" s="1">
        <v>20</v>
      </c>
      <c r="BP68" s="1" t="s">
        <v>204</v>
      </c>
      <c r="BR68" s="1" t="str">
        <f>"0610181095"</f>
        <v>0610181095</v>
      </c>
      <c r="BT68" s="1" t="s">
        <v>1582</v>
      </c>
      <c r="BX68" s="1">
        <v>46</v>
      </c>
      <c r="BY68" s="1">
        <v>46</v>
      </c>
      <c r="BZ68" s="1">
        <v>46</v>
      </c>
      <c r="CB68" s="1" t="str">
        <f>"12"</f>
        <v>12</v>
      </c>
      <c r="CC68" s="1" t="str">
        <f>"0"</f>
        <v>0</v>
      </c>
      <c r="CD68" s="1">
        <v>35</v>
      </c>
      <c r="CE68" s="1">
        <v>0</v>
      </c>
      <c r="CG68" s="1" t="s">
        <v>1267</v>
      </c>
      <c r="CH68" s="1" t="s">
        <v>219</v>
      </c>
      <c r="CI68" s="1" t="s">
        <v>220</v>
      </c>
      <c r="CJ68" s="1" t="s">
        <v>252</v>
      </c>
      <c r="CK68" s="1" t="s">
        <v>344</v>
      </c>
      <c r="CL68" s="1" t="s">
        <v>219</v>
      </c>
      <c r="CM68" s="1" t="s">
        <v>220</v>
      </c>
      <c r="CN68" s="1" t="s">
        <v>252</v>
      </c>
      <c r="CP68" s="1" t="s">
        <v>224</v>
      </c>
      <c r="CS68" s="1" t="s">
        <v>317</v>
      </c>
      <c r="CT68" s="1" t="s">
        <v>219</v>
      </c>
      <c r="CU68" s="1" t="s">
        <v>220</v>
      </c>
      <c r="CV68" s="1" t="s">
        <v>252</v>
      </c>
      <c r="CX68" s="1" t="s">
        <v>224</v>
      </c>
      <c r="DB68" s="1" t="s">
        <v>224</v>
      </c>
      <c r="DE68" s="1" t="s">
        <v>346</v>
      </c>
      <c r="DF68" s="1" t="s">
        <v>219</v>
      </c>
      <c r="DG68" s="1" t="s">
        <v>342</v>
      </c>
      <c r="DJ68" s="1" t="s">
        <v>224</v>
      </c>
      <c r="DS68" s="1" t="s">
        <v>230</v>
      </c>
      <c r="DW68" s="1" t="s">
        <v>230</v>
      </c>
      <c r="EA68" s="1" t="s">
        <v>230</v>
      </c>
      <c r="EE68" s="1" t="s">
        <v>230</v>
      </c>
      <c r="EI68" s="1" t="s">
        <v>230</v>
      </c>
      <c r="EL68" s="1" t="s">
        <v>466</v>
      </c>
      <c r="EM68" s="1" t="s">
        <v>319</v>
      </c>
      <c r="EN68" s="1" t="s">
        <v>282</v>
      </c>
      <c r="EO68" s="1" t="s">
        <v>234</v>
      </c>
      <c r="EP68" s="1" t="s">
        <v>1583</v>
      </c>
      <c r="EQ68" s="1" t="s">
        <v>468</v>
      </c>
      <c r="ER68" s="1" t="s">
        <v>1249</v>
      </c>
      <c r="ES68" s="1" t="s">
        <v>322</v>
      </c>
      <c r="ET68" s="1" t="s">
        <v>1584</v>
      </c>
      <c r="EU68" s="1" t="s">
        <v>239</v>
      </c>
      <c r="EW68" s="1" t="s">
        <v>1585</v>
      </c>
      <c r="EY68" s="1" t="s">
        <v>242</v>
      </c>
      <c r="EZ68" s="1" t="s">
        <v>287</v>
      </c>
      <c r="FA68" s="1" t="s">
        <v>1586</v>
      </c>
      <c r="FB68" s="1" t="s">
        <v>244</v>
      </c>
      <c r="FC68" s="1" t="s">
        <v>548</v>
      </c>
      <c r="FD68" s="1" t="s">
        <v>290</v>
      </c>
      <c r="FE68" s="1" t="s">
        <v>247</v>
      </c>
      <c r="FF68" s="1" t="s">
        <v>248</v>
      </c>
      <c r="FH68" s="1" t="s">
        <v>249</v>
      </c>
      <c r="FJ68" s="1" t="s">
        <v>197</v>
      </c>
      <c r="FL68" s="1" t="s">
        <v>358</v>
      </c>
      <c r="FM68" s="1" t="s">
        <v>252</v>
      </c>
      <c r="FN68" s="1" t="s">
        <v>213</v>
      </c>
      <c r="FO68" s="1" t="s">
        <v>213</v>
      </c>
      <c r="FQ68" s="1" t="s">
        <v>956</v>
      </c>
      <c r="FR68" s="1" t="s">
        <v>210</v>
      </c>
      <c r="FS68" s="1" t="s">
        <v>1587</v>
      </c>
      <c r="FT68" s="1" t="s">
        <v>1588</v>
      </c>
      <c r="FU68" s="1" t="s">
        <v>204</v>
      </c>
      <c r="FV68" s="1" t="s">
        <v>1589</v>
      </c>
      <c r="FW68" s="1" t="s">
        <v>1097</v>
      </c>
      <c r="FX68" s="1">
        <v>5153</v>
      </c>
      <c r="FY68" s="1" t="s">
        <v>1590</v>
      </c>
      <c r="FZ68" s="1" t="s">
        <v>1591</v>
      </c>
      <c r="GA68" s="1">
        <v>55327</v>
      </c>
      <c r="GB68" s="1" t="s">
        <v>1592</v>
      </c>
      <c r="GD68" s="1" t="s">
        <v>1593</v>
      </c>
      <c r="GE68" s="1" t="s">
        <v>623</v>
      </c>
      <c r="GH68" s="1" t="s">
        <v>230</v>
      </c>
      <c r="GI68" s="1" t="s">
        <v>213</v>
      </c>
      <c r="GJ68" s="1" t="s">
        <v>260</v>
      </c>
      <c r="GK68" s="1" t="s">
        <v>210</v>
      </c>
      <c r="GL68" s="2">
        <v>41990</v>
      </c>
      <c r="GM68" s="1" t="s">
        <v>1594</v>
      </c>
    </row>
    <row r="69" spans="1:195">
      <c r="A69" s="1">
        <v>67000</v>
      </c>
      <c r="B69" s="1" t="s">
        <v>195</v>
      </c>
      <c r="C69" s="1" t="str">
        <f>"08496878"</f>
        <v>08496878</v>
      </c>
      <c r="D69" s="1" t="s">
        <v>196</v>
      </c>
      <c r="F69" s="1" t="str">
        <f t="shared" si="48"/>
        <v>123</v>
      </c>
      <c r="G69" s="2">
        <v>41610</v>
      </c>
      <c r="H69" s="1">
        <v>84000</v>
      </c>
      <c r="I69" s="1">
        <v>72000</v>
      </c>
      <c r="J69" s="1">
        <v>67000</v>
      </c>
      <c r="K69" s="2">
        <v>41610</v>
      </c>
      <c r="L69" s="1">
        <v>369</v>
      </c>
      <c r="M69" s="2">
        <v>41978</v>
      </c>
      <c r="N69" s="1">
        <v>369</v>
      </c>
      <c r="O69" s="2">
        <v>41978</v>
      </c>
      <c r="P69" s="1">
        <v>372</v>
      </c>
      <c r="Q69" s="1" t="s">
        <v>197</v>
      </c>
      <c r="R69" s="2">
        <v>42054</v>
      </c>
      <c r="S69" s="1">
        <v>7968</v>
      </c>
      <c r="U69" s="1">
        <v>17</v>
      </c>
      <c r="V69" s="1" t="s">
        <v>1595</v>
      </c>
      <c r="W69" s="1" t="s">
        <v>449</v>
      </c>
      <c r="X69" s="1" t="s">
        <v>1000</v>
      </c>
      <c r="Y69" s="1">
        <v>8</v>
      </c>
      <c r="Z69" s="1" t="s">
        <v>370</v>
      </c>
      <c r="AA69" s="1" t="s">
        <v>1173</v>
      </c>
      <c r="AB69" s="1">
        <v>60123</v>
      </c>
      <c r="AE69" s="1" t="s">
        <v>1596</v>
      </c>
      <c r="AF69" s="1">
        <v>1987</v>
      </c>
      <c r="AG69" s="1" t="s">
        <v>204</v>
      </c>
      <c r="AH69" s="1" t="s">
        <v>1175</v>
      </c>
      <c r="AI69" s="1" t="s">
        <v>665</v>
      </c>
      <c r="AJ69" s="1" t="s">
        <v>805</v>
      </c>
      <c r="AL69" s="1">
        <v>5</v>
      </c>
      <c r="AM69" s="1">
        <v>2</v>
      </c>
      <c r="AN69" s="1">
        <v>2</v>
      </c>
      <c r="AO69" s="1">
        <v>0</v>
      </c>
      <c r="AP69" s="1" t="s">
        <v>209</v>
      </c>
      <c r="AR69" s="1" t="s">
        <v>210</v>
      </c>
      <c r="AS69" s="1" t="s">
        <v>204</v>
      </c>
      <c r="AT69" s="1" t="s">
        <v>211</v>
      </c>
      <c r="AU69" s="1">
        <v>1</v>
      </c>
      <c r="AW69" s="1" t="s">
        <v>204</v>
      </c>
      <c r="AX69" s="1" t="s">
        <v>212</v>
      </c>
      <c r="AZ69" s="1">
        <v>2850.04</v>
      </c>
      <c r="BA69" s="1">
        <v>2012</v>
      </c>
      <c r="BB69" s="1" t="s">
        <v>210</v>
      </c>
      <c r="BE69" s="1">
        <v>992</v>
      </c>
      <c r="BF69" s="1">
        <v>2</v>
      </c>
      <c r="BG69" s="1">
        <v>0</v>
      </c>
      <c r="BL69" s="1">
        <v>171</v>
      </c>
      <c r="BM69" s="1" t="s">
        <v>204</v>
      </c>
      <c r="BN69" s="1" t="s">
        <v>213</v>
      </c>
      <c r="BO69" s="1">
        <v>0</v>
      </c>
      <c r="BP69" s="1" t="s">
        <v>204</v>
      </c>
      <c r="BR69" s="1" t="str">
        <f>"0332400125"</f>
        <v>0332400125</v>
      </c>
      <c r="BT69" s="1" t="s">
        <v>1597</v>
      </c>
      <c r="BX69" s="1">
        <v>46</v>
      </c>
      <c r="BY69" s="1">
        <v>46</v>
      </c>
      <c r="BZ69" s="1">
        <v>46</v>
      </c>
      <c r="CB69" s="1" t="str">
        <f t="shared" ref="CB69:CC69" si="49">""</f>
        <v/>
      </c>
      <c r="CC69" s="1" t="str">
        <f t="shared" si="49"/>
        <v/>
      </c>
      <c r="CG69" s="1" t="s">
        <v>908</v>
      </c>
      <c r="CH69" s="1" t="s">
        <v>277</v>
      </c>
      <c r="CK69" s="1" t="s">
        <v>437</v>
      </c>
      <c r="CL69" s="1" t="s">
        <v>277</v>
      </c>
      <c r="CO69" s="1" t="s">
        <v>409</v>
      </c>
      <c r="CP69" s="1" t="s">
        <v>277</v>
      </c>
      <c r="CS69" s="1" t="s">
        <v>379</v>
      </c>
      <c r="CT69" s="1" t="s">
        <v>277</v>
      </c>
      <c r="CX69" s="1" t="s">
        <v>224</v>
      </c>
      <c r="DB69" s="1" t="s">
        <v>224</v>
      </c>
      <c r="DE69" s="1" t="s">
        <v>1598</v>
      </c>
      <c r="DF69" s="1" t="s">
        <v>277</v>
      </c>
      <c r="DJ69" s="1" t="s">
        <v>224</v>
      </c>
      <c r="DS69" s="1" t="s">
        <v>230</v>
      </c>
      <c r="DW69" s="1" t="s">
        <v>230</v>
      </c>
      <c r="EA69" s="1" t="s">
        <v>230</v>
      </c>
      <c r="EE69" s="1" t="s">
        <v>230</v>
      </c>
      <c r="EI69" s="1" t="s">
        <v>230</v>
      </c>
      <c r="EL69" s="1" t="s">
        <v>542</v>
      </c>
      <c r="EM69" s="1" t="s">
        <v>319</v>
      </c>
      <c r="EN69" s="1" t="s">
        <v>282</v>
      </c>
      <c r="EO69" s="1" t="s">
        <v>234</v>
      </c>
      <c r="ER69" s="1" t="s">
        <v>210</v>
      </c>
      <c r="EW69" s="1" t="s">
        <v>353</v>
      </c>
      <c r="EY69" s="1" t="s">
        <v>242</v>
      </c>
      <c r="EZ69" s="1" t="s">
        <v>287</v>
      </c>
      <c r="FD69" s="1" t="s">
        <v>246</v>
      </c>
      <c r="FE69" s="1" t="s">
        <v>549</v>
      </c>
      <c r="FF69" s="1" t="s">
        <v>248</v>
      </c>
      <c r="FH69" s="1" t="s">
        <v>1387</v>
      </c>
      <c r="FL69" s="1" t="s">
        <v>414</v>
      </c>
      <c r="FM69" s="1" t="s">
        <v>252</v>
      </c>
      <c r="FN69" s="1" t="s">
        <v>213</v>
      </c>
      <c r="FO69" s="1" t="s">
        <v>213</v>
      </c>
      <c r="FQ69" s="1" t="s">
        <v>1599</v>
      </c>
      <c r="FR69" s="1" t="s">
        <v>360</v>
      </c>
      <c r="FS69" s="1" t="s">
        <v>1600</v>
      </c>
      <c r="FT69" s="1" t="s">
        <v>295</v>
      </c>
      <c r="FU69" s="1" t="s">
        <v>204</v>
      </c>
      <c r="FW69" s="1" t="s">
        <v>1601</v>
      </c>
      <c r="FX69" s="1">
        <v>4621</v>
      </c>
      <c r="FY69" s="1" t="s">
        <v>1602</v>
      </c>
      <c r="FZ69" s="1" t="s">
        <v>1603</v>
      </c>
      <c r="GA69" s="1">
        <v>38257</v>
      </c>
      <c r="GB69" s="1" t="s">
        <v>1602</v>
      </c>
      <c r="GE69" s="1" t="s">
        <v>210</v>
      </c>
      <c r="GI69" s="1" t="s">
        <v>213</v>
      </c>
      <c r="GJ69" s="1" t="s">
        <v>260</v>
      </c>
      <c r="GK69" s="1" t="s">
        <v>210</v>
      </c>
      <c r="GL69" s="2">
        <v>42054</v>
      </c>
      <c r="GM69" s="1" t="s">
        <v>1604</v>
      </c>
    </row>
    <row r="70" spans="1:195">
      <c r="A70" s="1">
        <v>209299</v>
      </c>
      <c r="B70" s="1" t="s">
        <v>195</v>
      </c>
      <c r="C70" s="1" t="str">
        <f>"08510499"</f>
        <v>08510499</v>
      </c>
      <c r="D70" s="1" t="s">
        <v>196</v>
      </c>
      <c r="F70" s="1" t="str">
        <f>"108"</f>
        <v>108</v>
      </c>
      <c r="G70" s="2">
        <v>41642</v>
      </c>
      <c r="H70" s="1">
        <v>249900</v>
      </c>
      <c r="I70" s="1">
        <v>219900</v>
      </c>
      <c r="J70" s="1">
        <v>209299</v>
      </c>
      <c r="K70" s="2">
        <v>41642</v>
      </c>
      <c r="L70" s="1">
        <v>313</v>
      </c>
      <c r="M70" s="2">
        <v>41954</v>
      </c>
      <c r="N70" s="1">
        <v>313</v>
      </c>
      <c r="O70" s="2">
        <v>41954</v>
      </c>
      <c r="P70" s="1">
        <v>25215</v>
      </c>
      <c r="Q70" s="1" t="s">
        <v>197</v>
      </c>
      <c r="R70" s="2">
        <v>42002</v>
      </c>
      <c r="S70" s="1">
        <v>243820</v>
      </c>
      <c r="U70" s="1">
        <v>305</v>
      </c>
      <c r="V70" s="1" t="s">
        <v>1605</v>
      </c>
      <c r="W70" s="1" t="s">
        <v>449</v>
      </c>
      <c r="Y70" s="1">
        <v>4</v>
      </c>
      <c r="Z70" s="1" t="s">
        <v>370</v>
      </c>
      <c r="AA70" s="1" t="s">
        <v>829</v>
      </c>
      <c r="AB70" s="1">
        <v>60108</v>
      </c>
      <c r="AD70" s="1" t="s">
        <v>1606</v>
      </c>
      <c r="AE70" s="1" t="s">
        <v>1607</v>
      </c>
      <c r="AF70" s="1">
        <v>1993</v>
      </c>
      <c r="AG70" s="1" t="s">
        <v>204</v>
      </c>
      <c r="AH70" s="1" t="s">
        <v>269</v>
      </c>
      <c r="AI70" s="1" t="s">
        <v>206</v>
      </c>
      <c r="AJ70" s="1" t="s">
        <v>269</v>
      </c>
      <c r="AK70" s="1" t="s">
        <v>1608</v>
      </c>
      <c r="AL70" s="1">
        <v>7</v>
      </c>
      <c r="AM70" s="1">
        <v>2</v>
      </c>
      <c r="AN70" s="1">
        <v>2</v>
      </c>
      <c r="AO70" s="1">
        <v>1</v>
      </c>
      <c r="AP70" s="1" t="s">
        <v>209</v>
      </c>
      <c r="AQ70" s="1">
        <v>1</v>
      </c>
      <c r="AR70" s="1" t="s">
        <v>209</v>
      </c>
      <c r="AS70" s="1" t="s">
        <v>204</v>
      </c>
      <c r="AT70" s="1" t="s">
        <v>211</v>
      </c>
      <c r="AU70" s="1">
        <v>2</v>
      </c>
      <c r="AW70" s="1" t="s">
        <v>204</v>
      </c>
      <c r="AX70" s="1" t="s">
        <v>1609</v>
      </c>
      <c r="AZ70" s="1">
        <v>5587</v>
      </c>
      <c r="BA70" s="1">
        <v>2013</v>
      </c>
      <c r="BB70" s="1" t="s">
        <v>405</v>
      </c>
      <c r="BE70" s="1">
        <v>1668</v>
      </c>
      <c r="BF70" s="1">
        <v>1</v>
      </c>
      <c r="BG70" s="1">
        <v>0</v>
      </c>
      <c r="BJ70" s="1">
        <v>100</v>
      </c>
      <c r="BL70" s="1">
        <v>384</v>
      </c>
      <c r="BM70" s="1" t="s">
        <v>204</v>
      </c>
      <c r="BN70" s="1" t="s">
        <v>213</v>
      </c>
      <c r="BO70" s="1">
        <v>0</v>
      </c>
      <c r="BP70" s="1" t="s">
        <v>204</v>
      </c>
      <c r="BR70" s="1" t="str">
        <f>"0216301100"</f>
        <v>0216301100</v>
      </c>
      <c r="BT70" s="1" t="s">
        <v>1610</v>
      </c>
      <c r="BU70" s="1" t="s">
        <v>1611</v>
      </c>
      <c r="BV70" s="1" t="s">
        <v>834</v>
      </c>
      <c r="BW70" s="1" t="s">
        <v>275</v>
      </c>
      <c r="BX70" s="1">
        <v>13</v>
      </c>
      <c r="BY70" s="1">
        <v>13</v>
      </c>
      <c r="BZ70" s="1">
        <v>108</v>
      </c>
      <c r="CB70" s="1" t="str">
        <f t="shared" ref="CB70:CC70" si="50">""</f>
        <v/>
      </c>
      <c r="CC70" s="1" t="str">
        <f t="shared" si="50"/>
        <v/>
      </c>
      <c r="CG70" s="1" t="s">
        <v>1570</v>
      </c>
      <c r="CH70" s="1" t="s">
        <v>219</v>
      </c>
      <c r="CI70" s="1" t="s">
        <v>438</v>
      </c>
      <c r="CJ70" s="1" t="s">
        <v>343</v>
      </c>
      <c r="CK70" s="1" t="s">
        <v>221</v>
      </c>
      <c r="CL70" s="1" t="s">
        <v>219</v>
      </c>
      <c r="CM70" s="1" t="s">
        <v>220</v>
      </c>
      <c r="CN70" s="1" t="s">
        <v>463</v>
      </c>
      <c r="CP70" s="1" t="s">
        <v>224</v>
      </c>
      <c r="CS70" s="1" t="s">
        <v>344</v>
      </c>
      <c r="CT70" s="1" t="s">
        <v>277</v>
      </c>
      <c r="CU70" s="1" t="s">
        <v>220</v>
      </c>
      <c r="CX70" s="1" t="s">
        <v>224</v>
      </c>
      <c r="DB70" s="1" t="s">
        <v>224</v>
      </c>
      <c r="DE70" s="1" t="s">
        <v>1612</v>
      </c>
      <c r="DF70" s="1" t="s">
        <v>219</v>
      </c>
      <c r="DG70" s="1" t="s">
        <v>438</v>
      </c>
      <c r="DI70" s="1" t="s">
        <v>1613</v>
      </c>
      <c r="DJ70" s="1" t="s">
        <v>43</v>
      </c>
      <c r="DK70" s="1" t="s">
        <v>220</v>
      </c>
      <c r="DL70" s="1" t="s">
        <v>463</v>
      </c>
      <c r="DM70" s="1" t="s">
        <v>464</v>
      </c>
      <c r="DN70" s="1" t="s">
        <v>934</v>
      </c>
      <c r="DO70" s="1" t="s">
        <v>1614</v>
      </c>
      <c r="DR70" s="1" t="s">
        <v>1297</v>
      </c>
      <c r="DS70" s="1" t="s">
        <v>277</v>
      </c>
      <c r="DT70" s="1" t="s">
        <v>220</v>
      </c>
      <c r="DV70" s="1" t="s">
        <v>628</v>
      </c>
      <c r="DW70" s="1" t="s">
        <v>43</v>
      </c>
      <c r="DX70" s="1" t="s">
        <v>220</v>
      </c>
      <c r="DY70" s="1" t="s">
        <v>463</v>
      </c>
      <c r="DZ70" s="1" t="s">
        <v>1615</v>
      </c>
      <c r="EA70" s="1" t="s">
        <v>43</v>
      </c>
      <c r="EB70" s="1" t="s">
        <v>342</v>
      </c>
      <c r="EC70" s="1" t="s">
        <v>210</v>
      </c>
      <c r="EE70" s="1" t="s">
        <v>230</v>
      </c>
      <c r="EI70" s="1" t="s">
        <v>230</v>
      </c>
      <c r="EL70" s="1" t="s">
        <v>382</v>
      </c>
      <c r="EM70" s="1" t="s">
        <v>232</v>
      </c>
      <c r="EN70" s="1" t="s">
        <v>282</v>
      </c>
      <c r="EO70" s="1" t="s">
        <v>234</v>
      </c>
      <c r="EP70" s="1" t="s">
        <v>1616</v>
      </c>
      <c r="EQ70" s="1" t="s">
        <v>236</v>
      </c>
      <c r="ER70" s="1" t="s">
        <v>544</v>
      </c>
      <c r="ES70" s="1" t="s">
        <v>824</v>
      </c>
      <c r="ET70" s="1" t="s">
        <v>866</v>
      </c>
      <c r="EV70" s="1" t="s">
        <v>240</v>
      </c>
      <c r="EW70" s="1" t="s">
        <v>1617</v>
      </c>
      <c r="EZ70" s="1" t="s">
        <v>1618</v>
      </c>
      <c r="FA70" s="1" t="s">
        <v>1619</v>
      </c>
      <c r="FB70" s="1" t="s">
        <v>289</v>
      </c>
      <c r="FD70" s="1" t="s">
        <v>246</v>
      </c>
      <c r="FE70" s="1" t="s">
        <v>549</v>
      </c>
      <c r="FF70" s="1" t="s">
        <v>248</v>
      </c>
      <c r="FG70" s="1" t="s">
        <v>871</v>
      </c>
      <c r="FH70" s="1" t="s">
        <v>550</v>
      </c>
      <c r="FI70" s="1" t="s">
        <v>473</v>
      </c>
      <c r="FJ70" s="1" t="s">
        <v>1620</v>
      </c>
      <c r="FL70" s="1" t="s">
        <v>358</v>
      </c>
      <c r="FM70" s="1" t="s">
        <v>252</v>
      </c>
      <c r="FN70" s="1" t="s">
        <v>213</v>
      </c>
      <c r="FO70" s="1" t="s">
        <v>213</v>
      </c>
      <c r="FQ70" s="1" t="s">
        <v>1621</v>
      </c>
      <c r="FR70" s="1" t="s">
        <v>360</v>
      </c>
      <c r="FS70" s="1" t="s">
        <v>1622</v>
      </c>
      <c r="FT70" s="1" t="s">
        <v>520</v>
      </c>
      <c r="FU70" s="1" t="s">
        <v>204</v>
      </c>
      <c r="FW70" s="1" t="s">
        <v>873</v>
      </c>
      <c r="FX70" s="1">
        <v>25309</v>
      </c>
      <c r="FY70" s="1" t="s">
        <v>874</v>
      </c>
      <c r="FZ70" s="1" t="s">
        <v>1623</v>
      </c>
      <c r="GA70" s="1">
        <v>222292</v>
      </c>
      <c r="GB70" s="1" t="s">
        <v>1624</v>
      </c>
      <c r="GD70" s="1" t="s">
        <v>1625</v>
      </c>
      <c r="GE70" s="1" t="s">
        <v>480</v>
      </c>
      <c r="GI70" s="1" t="s">
        <v>213</v>
      </c>
      <c r="GJ70" s="1" t="s">
        <v>260</v>
      </c>
      <c r="GK70" s="1" t="s">
        <v>261</v>
      </c>
      <c r="GL70" s="2">
        <v>42002</v>
      </c>
      <c r="GM70" s="2" t="s">
        <v>1626</v>
      </c>
    </row>
    <row r="71" spans="1:195">
      <c r="A71" s="1">
        <v>79000</v>
      </c>
      <c r="B71" s="1" t="s">
        <v>195</v>
      </c>
      <c r="C71" s="1" t="str">
        <f>"08503846"</f>
        <v>08503846</v>
      </c>
      <c r="D71" s="1" t="s">
        <v>196</v>
      </c>
      <c r="F71" s="1" t="str">
        <f>"30"</f>
        <v>30</v>
      </c>
      <c r="G71" s="2">
        <v>41623</v>
      </c>
      <c r="H71" s="1">
        <v>79900</v>
      </c>
      <c r="I71" s="1">
        <v>79900</v>
      </c>
      <c r="J71" s="1">
        <v>79000</v>
      </c>
      <c r="K71" s="2">
        <v>41621</v>
      </c>
      <c r="L71" s="1">
        <v>10</v>
      </c>
      <c r="M71" s="2">
        <v>41630</v>
      </c>
      <c r="N71" s="1">
        <v>10</v>
      </c>
      <c r="O71" s="2">
        <v>41630</v>
      </c>
      <c r="P71" s="1">
        <v>2626</v>
      </c>
      <c r="Q71" s="1" t="s">
        <v>197</v>
      </c>
      <c r="R71" s="2">
        <v>42041</v>
      </c>
      <c r="S71" s="1">
        <v>20160</v>
      </c>
      <c r="U71" s="1">
        <v>513</v>
      </c>
      <c r="V71" s="1" t="s">
        <v>1627</v>
      </c>
      <c r="W71" s="1" t="s">
        <v>504</v>
      </c>
      <c r="Y71" s="1">
        <v>4</v>
      </c>
      <c r="Z71" s="1" t="s">
        <v>370</v>
      </c>
      <c r="AA71" s="1" t="s">
        <v>1628</v>
      </c>
      <c r="AB71" s="1">
        <v>60073</v>
      </c>
      <c r="AE71" s="1" t="s">
        <v>1629</v>
      </c>
      <c r="AF71" s="1">
        <v>2001</v>
      </c>
      <c r="AG71" s="1" t="s">
        <v>204</v>
      </c>
      <c r="AH71" s="1" t="s">
        <v>1630</v>
      </c>
      <c r="AI71" s="1" t="s">
        <v>509</v>
      </c>
      <c r="AJ71" s="1" t="s">
        <v>1263</v>
      </c>
      <c r="AL71" s="1">
        <v>6</v>
      </c>
      <c r="AM71" s="1">
        <v>2</v>
      </c>
      <c r="AN71" s="1">
        <v>1</v>
      </c>
      <c r="AO71" s="1">
        <v>1</v>
      </c>
      <c r="AP71" s="1" t="s">
        <v>667</v>
      </c>
      <c r="AR71" s="1" t="s">
        <v>1631</v>
      </c>
      <c r="AS71" s="1" t="s">
        <v>204</v>
      </c>
      <c r="AT71" s="1" t="s">
        <v>211</v>
      </c>
      <c r="AU71" s="1">
        <v>2</v>
      </c>
      <c r="AW71" s="1" t="s">
        <v>204</v>
      </c>
      <c r="AX71" s="1" t="s">
        <v>1632</v>
      </c>
      <c r="AZ71" s="1">
        <v>2823</v>
      </c>
      <c r="BA71" s="1">
        <v>2012</v>
      </c>
      <c r="BB71" s="1" t="s">
        <v>405</v>
      </c>
      <c r="BE71" s="1">
        <v>1280</v>
      </c>
      <c r="BF71" s="1">
        <v>1</v>
      </c>
      <c r="BG71" s="1">
        <v>0</v>
      </c>
      <c r="BL71" s="1">
        <v>193</v>
      </c>
      <c r="BM71" s="1" t="s">
        <v>204</v>
      </c>
      <c r="BN71" s="1" t="s">
        <v>213</v>
      </c>
      <c r="BO71" s="1">
        <v>100</v>
      </c>
      <c r="BP71" s="1" t="s">
        <v>204</v>
      </c>
      <c r="BR71" s="1" t="str">
        <f>"06284150380000"</f>
        <v>06284150380000</v>
      </c>
      <c r="BT71" s="1" t="s">
        <v>1633</v>
      </c>
      <c r="BX71" s="1">
        <v>116</v>
      </c>
      <c r="BY71" s="1">
        <v>116</v>
      </c>
      <c r="BZ71" s="1">
        <v>116</v>
      </c>
      <c r="CB71" s="1" t="str">
        <f t="shared" ref="CB71:CC71" si="51">""</f>
        <v/>
      </c>
      <c r="CC71" s="1" t="str">
        <f t="shared" si="51"/>
        <v/>
      </c>
      <c r="CG71" s="1" t="s">
        <v>1046</v>
      </c>
      <c r="CH71" s="1" t="s">
        <v>219</v>
      </c>
      <c r="CK71" s="1" t="s">
        <v>490</v>
      </c>
      <c r="CL71" s="1" t="s">
        <v>277</v>
      </c>
      <c r="CO71" s="1" t="s">
        <v>344</v>
      </c>
      <c r="CP71" s="1" t="s">
        <v>219</v>
      </c>
      <c r="CS71" s="1" t="s">
        <v>461</v>
      </c>
      <c r="CT71" s="1" t="s">
        <v>277</v>
      </c>
      <c r="CX71" s="1" t="s">
        <v>224</v>
      </c>
      <c r="DB71" s="1" t="s">
        <v>224</v>
      </c>
      <c r="DE71" s="1" t="s">
        <v>972</v>
      </c>
      <c r="DF71" s="1" t="s">
        <v>219</v>
      </c>
      <c r="DI71" s="1" t="s">
        <v>408</v>
      </c>
      <c r="DJ71" s="1" t="s">
        <v>822</v>
      </c>
      <c r="DS71" s="1" t="s">
        <v>230</v>
      </c>
      <c r="DW71" s="1" t="s">
        <v>230</v>
      </c>
      <c r="EA71" s="1" t="s">
        <v>230</v>
      </c>
      <c r="EE71" s="1" t="s">
        <v>230</v>
      </c>
      <c r="EI71" s="1" t="s">
        <v>230</v>
      </c>
      <c r="EL71" s="1" t="s">
        <v>466</v>
      </c>
      <c r="EM71" s="1" t="s">
        <v>232</v>
      </c>
      <c r="EN71" s="1" t="s">
        <v>282</v>
      </c>
      <c r="EO71" s="1" t="s">
        <v>234</v>
      </c>
      <c r="EQ71" s="1" t="s">
        <v>236</v>
      </c>
      <c r="ER71" s="1" t="s">
        <v>544</v>
      </c>
      <c r="ES71" s="1" t="s">
        <v>824</v>
      </c>
      <c r="EW71" s="1" t="s">
        <v>286</v>
      </c>
      <c r="EZ71" s="1" t="s">
        <v>287</v>
      </c>
      <c r="FD71" s="1" t="s">
        <v>246</v>
      </c>
      <c r="FE71" s="1" t="s">
        <v>472</v>
      </c>
      <c r="FF71" s="1" t="s">
        <v>248</v>
      </c>
      <c r="FH71" s="1" t="s">
        <v>1634</v>
      </c>
      <c r="FL71" s="1" t="s">
        <v>414</v>
      </c>
      <c r="FM71" s="1" t="s">
        <v>252</v>
      </c>
      <c r="FN71" s="1" t="s">
        <v>213</v>
      </c>
      <c r="FO71" s="1" t="s">
        <v>213</v>
      </c>
      <c r="FQ71" s="1" t="s">
        <v>1635</v>
      </c>
      <c r="FR71" s="1" t="s">
        <v>360</v>
      </c>
      <c r="FS71" s="1" t="s">
        <v>1636</v>
      </c>
      <c r="FT71" s="1" t="s">
        <v>295</v>
      </c>
      <c r="FU71" s="1" t="s">
        <v>204</v>
      </c>
      <c r="FW71" s="1" t="s">
        <v>1637</v>
      </c>
      <c r="FX71" s="1">
        <v>2626</v>
      </c>
      <c r="FY71" s="1" t="s">
        <v>1638</v>
      </c>
      <c r="FZ71" s="1" t="s">
        <v>1639</v>
      </c>
      <c r="GA71" s="1">
        <v>20160</v>
      </c>
      <c r="GB71" s="1" t="s">
        <v>1640</v>
      </c>
      <c r="GE71" s="1" t="s">
        <v>1256</v>
      </c>
      <c r="GI71" s="1" t="s">
        <v>213</v>
      </c>
      <c r="GJ71" s="1" t="s">
        <v>260</v>
      </c>
      <c r="GK71" s="1" t="s">
        <v>210</v>
      </c>
      <c r="GL71" s="2">
        <v>42048</v>
      </c>
      <c r="GM71" s="1" t="s">
        <v>1641</v>
      </c>
    </row>
    <row r="72" spans="1:195">
      <c r="A72" s="1">
        <v>103000</v>
      </c>
      <c r="B72" s="1" t="s">
        <v>195</v>
      </c>
      <c r="C72" s="1" t="str">
        <f>"08510048"</f>
        <v>08510048</v>
      </c>
      <c r="D72" s="1" t="s">
        <v>196</v>
      </c>
      <c r="F72" s="1" t="str">
        <f>"507"</f>
        <v>507</v>
      </c>
      <c r="G72" s="2">
        <v>41641</v>
      </c>
      <c r="H72" s="1">
        <v>95000</v>
      </c>
      <c r="I72" s="1">
        <v>95000</v>
      </c>
      <c r="J72" s="1">
        <v>103000</v>
      </c>
      <c r="K72" s="2">
        <v>41641</v>
      </c>
      <c r="L72" s="1">
        <v>98</v>
      </c>
      <c r="M72" s="2">
        <v>41738</v>
      </c>
      <c r="N72" s="1">
        <v>98</v>
      </c>
      <c r="O72" s="2">
        <v>41738</v>
      </c>
      <c r="P72" s="1">
        <v>1109</v>
      </c>
      <c r="Q72" s="1" t="s">
        <v>302</v>
      </c>
      <c r="R72" s="2">
        <v>42003</v>
      </c>
      <c r="S72" s="1">
        <v>80877</v>
      </c>
      <c r="U72" s="1">
        <v>97</v>
      </c>
      <c r="V72" s="1" t="s">
        <v>1642</v>
      </c>
      <c r="W72" s="1" t="s">
        <v>504</v>
      </c>
      <c r="X72" s="1">
        <v>97</v>
      </c>
      <c r="Y72" s="1">
        <v>4</v>
      </c>
      <c r="Z72" s="1" t="s">
        <v>249</v>
      </c>
      <c r="AA72" s="1" t="s">
        <v>1123</v>
      </c>
      <c r="AB72" s="1">
        <v>60504</v>
      </c>
      <c r="AD72" s="1" t="s">
        <v>1643</v>
      </c>
      <c r="AE72" s="1" t="s">
        <v>1644</v>
      </c>
      <c r="AF72" s="1">
        <v>1996</v>
      </c>
      <c r="AG72" s="1" t="s">
        <v>204</v>
      </c>
      <c r="AH72" s="1" t="s">
        <v>1126</v>
      </c>
      <c r="AI72" s="1" t="s">
        <v>206</v>
      </c>
      <c r="AJ72" s="1" t="s">
        <v>924</v>
      </c>
      <c r="AK72" s="1" t="s">
        <v>1645</v>
      </c>
      <c r="AL72" s="1">
        <v>5</v>
      </c>
      <c r="AM72" s="1">
        <v>2</v>
      </c>
      <c r="AN72" s="1">
        <v>2</v>
      </c>
      <c r="AO72" s="1">
        <v>1</v>
      </c>
      <c r="AP72" s="1" t="s">
        <v>209</v>
      </c>
      <c r="AQ72" s="1">
        <v>1</v>
      </c>
      <c r="AR72" s="1" t="s">
        <v>210</v>
      </c>
      <c r="AS72" s="1" t="s">
        <v>204</v>
      </c>
      <c r="AT72" s="1" t="s">
        <v>211</v>
      </c>
      <c r="AU72" s="1">
        <v>1</v>
      </c>
      <c r="AW72" s="1" t="s">
        <v>204</v>
      </c>
      <c r="AX72" s="1" t="s">
        <v>212</v>
      </c>
      <c r="AZ72" s="1">
        <v>2484</v>
      </c>
      <c r="BA72" s="1">
        <v>2013</v>
      </c>
      <c r="BB72" s="1" t="s">
        <v>405</v>
      </c>
      <c r="BE72" s="1">
        <v>1145</v>
      </c>
      <c r="BF72" s="1">
        <v>1</v>
      </c>
      <c r="BG72" s="1">
        <v>0</v>
      </c>
      <c r="BL72" s="1">
        <v>181</v>
      </c>
      <c r="BM72" s="1" t="s">
        <v>204</v>
      </c>
      <c r="BN72" s="1" t="s">
        <v>213</v>
      </c>
      <c r="BO72" s="1">
        <v>0</v>
      </c>
      <c r="BP72" s="1" t="s">
        <v>204</v>
      </c>
      <c r="BR72" s="1" t="str">
        <f>"0720314101"</f>
        <v>0720314101</v>
      </c>
      <c r="BT72" s="1" t="s">
        <v>1646</v>
      </c>
      <c r="BU72" s="1" t="s">
        <v>1647</v>
      </c>
      <c r="BV72" s="1" t="s">
        <v>1648</v>
      </c>
      <c r="BW72" s="1" t="s">
        <v>1312</v>
      </c>
      <c r="BX72" s="1">
        <v>204</v>
      </c>
      <c r="BY72" s="1">
        <v>204</v>
      </c>
      <c r="BZ72" s="1">
        <v>204</v>
      </c>
      <c r="CB72" s="1" t="str">
        <f t="shared" ref="CB72:CC72" si="52">""</f>
        <v/>
      </c>
      <c r="CC72" s="1" t="str">
        <f t="shared" si="52"/>
        <v/>
      </c>
      <c r="CG72" s="1" t="s">
        <v>223</v>
      </c>
      <c r="CH72" s="1" t="s">
        <v>219</v>
      </c>
      <c r="CI72" s="1" t="s">
        <v>220</v>
      </c>
      <c r="CJ72" s="1" t="s">
        <v>252</v>
      </c>
      <c r="CK72" s="1" t="s">
        <v>278</v>
      </c>
      <c r="CL72" s="1" t="s">
        <v>277</v>
      </c>
      <c r="CM72" s="1" t="s">
        <v>220</v>
      </c>
      <c r="CN72" s="1" t="s">
        <v>252</v>
      </c>
      <c r="CO72" s="1" t="s">
        <v>316</v>
      </c>
      <c r="CP72" s="1" t="s">
        <v>219</v>
      </c>
      <c r="CQ72" s="1" t="s">
        <v>220</v>
      </c>
      <c r="CR72" s="1" t="s">
        <v>252</v>
      </c>
      <c r="CS72" s="1" t="s">
        <v>379</v>
      </c>
      <c r="CT72" s="1" t="s">
        <v>277</v>
      </c>
      <c r="CU72" s="1" t="s">
        <v>220</v>
      </c>
      <c r="CV72" s="1" t="s">
        <v>252</v>
      </c>
      <c r="CX72" s="1" t="s">
        <v>224</v>
      </c>
      <c r="DB72" s="1" t="s">
        <v>224</v>
      </c>
      <c r="DE72" s="1" t="s">
        <v>318</v>
      </c>
      <c r="DF72" s="1" t="s">
        <v>219</v>
      </c>
      <c r="DG72" s="1" t="s">
        <v>438</v>
      </c>
      <c r="DH72" s="1" t="s">
        <v>252</v>
      </c>
      <c r="DJ72" s="1" t="s">
        <v>224</v>
      </c>
      <c r="DS72" s="1" t="s">
        <v>230</v>
      </c>
      <c r="DW72" s="1" t="s">
        <v>230</v>
      </c>
      <c r="EA72" s="1" t="s">
        <v>230</v>
      </c>
      <c r="EE72" s="1" t="s">
        <v>230</v>
      </c>
      <c r="EI72" s="1" t="s">
        <v>230</v>
      </c>
      <c r="EL72" s="1" t="s">
        <v>670</v>
      </c>
      <c r="EM72" s="1" t="s">
        <v>319</v>
      </c>
      <c r="EN72" s="1" t="s">
        <v>282</v>
      </c>
      <c r="EO72" s="1" t="s">
        <v>234</v>
      </c>
      <c r="EQ72" s="1" t="s">
        <v>236</v>
      </c>
      <c r="ER72" s="1" t="s">
        <v>383</v>
      </c>
      <c r="ES72" s="1" t="s">
        <v>322</v>
      </c>
      <c r="EU72" s="1" t="s">
        <v>239</v>
      </c>
      <c r="EV72" s="1" t="s">
        <v>324</v>
      </c>
      <c r="EW72" s="1" t="s">
        <v>547</v>
      </c>
      <c r="EY72" s="1" t="s">
        <v>790</v>
      </c>
      <c r="EZ72" s="1" t="s">
        <v>287</v>
      </c>
      <c r="FA72" s="1" t="s">
        <v>714</v>
      </c>
      <c r="FB72" s="1" t="s">
        <v>289</v>
      </c>
      <c r="FC72" s="1" t="s">
        <v>633</v>
      </c>
      <c r="FD72" s="1" t="s">
        <v>1649</v>
      </c>
      <c r="FE72" s="1" t="s">
        <v>975</v>
      </c>
      <c r="FF72" s="1" t="s">
        <v>248</v>
      </c>
      <c r="FG72" s="1" t="s">
        <v>912</v>
      </c>
      <c r="FH72" s="1" t="s">
        <v>249</v>
      </c>
      <c r="FI72" s="1" t="s">
        <v>473</v>
      </c>
      <c r="FJ72" s="1" t="s">
        <v>518</v>
      </c>
      <c r="FL72" s="1" t="s">
        <v>358</v>
      </c>
      <c r="FM72" s="1" t="s">
        <v>252</v>
      </c>
      <c r="FN72" s="1" t="s">
        <v>213</v>
      </c>
      <c r="FO72" s="1" t="s">
        <v>204</v>
      </c>
      <c r="FQ72" s="1" t="s">
        <v>1650</v>
      </c>
      <c r="FR72" s="1" t="s">
        <v>360</v>
      </c>
      <c r="FS72" s="1" t="s">
        <v>1651</v>
      </c>
      <c r="FT72" s="1" t="s">
        <v>255</v>
      </c>
      <c r="FU72" s="1" t="s">
        <v>204</v>
      </c>
      <c r="FW72" s="1" t="s">
        <v>1652</v>
      </c>
      <c r="FX72" s="1">
        <v>70269</v>
      </c>
      <c r="FY72" s="1" t="s">
        <v>1653</v>
      </c>
      <c r="FZ72" s="1" t="s">
        <v>1654</v>
      </c>
      <c r="GA72" s="1">
        <v>702786</v>
      </c>
      <c r="GB72" s="1" t="s">
        <v>1655</v>
      </c>
      <c r="GE72" s="1" t="s">
        <v>1379</v>
      </c>
      <c r="GI72" s="1" t="s">
        <v>213</v>
      </c>
      <c r="GJ72" s="1" t="s">
        <v>260</v>
      </c>
      <c r="GK72" s="1" t="s">
        <v>210</v>
      </c>
      <c r="GL72" s="2">
        <v>42003</v>
      </c>
      <c r="GM72" s="2" t="s">
        <v>1656</v>
      </c>
    </row>
    <row r="73" spans="1:195">
      <c r="A73" s="1">
        <v>97000</v>
      </c>
      <c r="B73" s="1" t="s">
        <v>195</v>
      </c>
      <c r="C73" s="1" t="str">
        <f>"08765398"</f>
        <v>08765398</v>
      </c>
      <c r="D73" s="1" t="s">
        <v>196</v>
      </c>
      <c r="F73" s="1" t="str">
        <f>"140"</f>
        <v>140</v>
      </c>
      <c r="G73" s="2">
        <v>41942</v>
      </c>
      <c r="H73" s="1">
        <v>99000</v>
      </c>
      <c r="I73" s="1">
        <v>99000</v>
      </c>
      <c r="J73" s="1">
        <v>97000</v>
      </c>
      <c r="K73" s="2">
        <v>41942</v>
      </c>
      <c r="L73" s="1">
        <v>42</v>
      </c>
      <c r="M73" s="2">
        <v>41983</v>
      </c>
      <c r="N73" s="1">
        <v>42</v>
      </c>
      <c r="O73" s="2">
        <v>41983</v>
      </c>
      <c r="P73" s="1">
        <v>25808</v>
      </c>
      <c r="Q73" s="1" t="s">
        <v>423</v>
      </c>
      <c r="R73" s="2">
        <v>42020</v>
      </c>
      <c r="S73" s="1">
        <v>242030</v>
      </c>
      <c r="U73" s="1">
        <v>1650</v>
      </c>
      <c r="V73" s="1" t="s">
        <v>1657</v>
      </c>
      <c r="W73" s="1" t="s">
        <v>264</v>
      </c>
      <c r="Y73" s="1">
        <v>2</v>
      </c>
      <c r="Z73" s="1" t="s">
        <v>200</v>
      </c>
      <c r="AA73" s="1" t="s">
        <v>1658</v>
      </c>
      <c r="AB73" s="1">
        <v>60140</v>
      </c>
      <c r="AE73" s="1" t="s">
        <v>1659</v>
      </c>
      <c r="AF73" s="1">
        <v>2007</v>
      </c>
      <c r="AG73" s="1" t="s">
        <v>204</v>
      </c>
      <c r="AH73" s="1" t="s">
        <v>1660</v>
      </c>
      <c r="AI73" s="1" t="s">
        <v>665</v>
      </c>
      <c r="AJ73" s="1" t="s">
        <v>748</v>
      </c>
      <c r="AL73" s="1">
        <v>5</v>
      </c>
      <c r="AM73" s="1">
        <v>2</v>
      </c>
      <c r="AN73" s="1">
        <v>1</v>
      </c>
      <c r="AO73" s="1">
        <v>1</v>
      </c>
      <c r="AP73" s="1" t="s">
        <v>209</v>
      </c>
      <c r="AR73" s="1" t="s">
        <v>210</v>
      </c>
      <c r="AS73" s="1" t="s">
        <v>204</v>
      </c>
      <c r="AT73" s="1" t="s">
        <v>211</v>
      </c>
      <c r="AU73" s="1">
        <v>1</v>
      </c>
      <c r="AW73" s="1" t="s">
        <v>204</v>
      </c>
      <c r="AX73" s="1" t="s">
        <v>212</v>
      </c>
      <c r="AZ73" s="1">
        <v>2993.24</v>
      </c>
      <c r="BA73" s="1">
        <v>2012</v>
      </c>
      <c r="BE73" s="1">
        <v>934</v>
      </c>
      <c r="BF73" s="1">
        <v>1</v>
      </c>
      <c r="BG73" s="1">
        <v>0</v>
      </c>
      <c r="BL73" s="1">
        <v>102</v>
      </c>
      <c r="BM73" s="1" t="s">
        <v>204</v>
      </c>
      <c r="BN73" s="1" t="s">
        <v>213</v>
      </c>
      <c r="BO73" s="1">
        <v>999</v>
      </c>
      <c r="BP73" s="1" t="s">
        <v>204</v>
      </c>
      <c r="BR73" s="1" t="str">
        <f>"0207353074"</f>
        <v>0207353074</v>
      </c>
      <c r="BT73" s="1" t="s">
        <v>1661</v>
      </c>
      <c r="BX73" s="1">
        <v>158</v>
      </c>
      <c r="BY73" s="1">
        <v>158</v>
      </c>
      <c r="BZ73" s="1">
        <v>158</v>
      </c>
      <c r="CB73" s="1" t="str">
        <f t="shared" ref="CB73:CC73" si="53">""</f>
        <v/>
      </c>
      <c r="CC73" s="1" t="str">
        <f t="shared" si="53"/>
        <v/>
      </c>
      <c r="CG73" s="1" t="s">
        <v>461</v>
      </c>
      <c r="CH73" s="1" t="s">
        <v>219</v>
      </c>
      <c r="CI73" s="1" t="s">
        <v>220</v>
      </c>
      <c r="CK73" s="1" t="s">
        <v>221</v>
      </c>
      <c r="CL73" s="1" t="s">
        <v>219</v>
      </c>
      <c r="CM73" s="1" t="s">
        <v>220</v>
      </c>
      <c r="CO73" s="1" t="s">
        <v>461</v>
      </c>
      <c r="CP73" s="1" t="s">
        <v>219</v>
      </c>
      <c r="CQ73" s="1" t="s">
        <v>220</v>
      </c>
      <c r="CS73" s="1" t="s">
        <v>379</v>
      </c>
      <c r="CT73" s="1" t="s">
        <v>219</v>
      </c>
      <c r="CU73" s="1" t="s">
        <v>220</v>
      </c>
      <c r="CX73" s="1" t="s">
        <v>224</v>
      </c>
      <c r="DB73" s="1" t="s">
        <v>224</v>
      </c>
      <c r="DE73" s="1" t="s">
        <v>318</v>
      </c>
      <c r="DF73" s="1" t="s">
        <v>219</v>
      </c>
      <c r="DJ73" s="1" t="s">
        <v>224</v>
      </c>
      <c r="DS73" s="1" t="s">
        <v>230</v>
      </c>
      <c r="DW73" s="1" t="s">
        <v>230</v>
      </c>
      <c r="EA73" s="1" t="s">
        <v>230</v>
      </c>
      <c r="EE73" s="1" t="s">
        <v>230</v>
      </c>
      <c r="EI73" s="1" t="s">
        <v>230</v>
      </c>
      <c r="EL73" s="1" t="s">
        <v>491</v>
      </c>
      <c r="EM73" s="1" t="s">
        <v>319</v>
      </c>
      <c r="EN73" s="1" t="s">
        <v>282</v>
      </c>
      <c r="EO73" s="1" t="s">
        <v>234</v>
      </c>
      <c r="EP73" s="1" t="s">
        <v>1268</v>
      </c>
      <c r="ER73" s="1" t="s">
        <v>210</v>
      </c>
      <c r="EW73" s="1" t="s">
        <v>1662</v>
      </c>
      <c r="EZ73" s="1" t="s">
        <v>287</v>
      </c>
      <c r="FB73" s="1" t="s">
        <v>289</v>
      </c>
      <c r="FD73" s="1" t="s">
        <v>246</v>
      </c>
      <c r="FE73" s="1" t="s">
        <v>472</v>
      </c>
      <c r="FF73" s="1" t="s">
        <v>248</v>
      </c>
      <c r="FH73" s="1" t="s">
        <v>442</v>
      </c>
      <c r="FL73" s="1" t="s">
        <v>414</v>
      </c>
      <c r="FM73" s="1" t="s">
        <v>252</v>
      </c>
      <c r="FN73" s="1" t="s">
        <v>213</v>
      </c>
      <c r="FO73" s="1" t="s">
        <v>213</v>
      </c>
      <c r="FQ73" s="1" t="s">
        <v>673</v>
      </c>
      <c r="FR73" s="1" t="s">
        <v>210</v>
      </c>
      <c r="FS73" s="1" t="s">
        <v>1663</v>
      </c>
      <c r="FT73" s="1" t="s">
        <v>295</v>
      </c>
      <c r="FU73" s="1" t="s">
        <v>204</v>
      </c>
      <c r="FW73" s="1" t="s">
        <v>1664</v>
      </c>
      <c r="FX73" s="1">
        <v>24145</v>
      </c>
      <c r="FY73" s="1" t="s">
        <v>1665</v>
      </c>
      <c r="FZ73" s="1" t="s">
        <v>1666</v>
      </c>
      <c r="GA73" s="1">
        <v>233839</v>
      </c>
      <c r="GB73" s="1" t="s">
        <v>1665</v>
      </c>
      <c r="GE73" s="1" t="s">
        <v>776</v>
      </c>
      <c r="GI73" s="1" t="s">
        <v>213</v>
      </c>
      <c r="GJ73" s="1" t="s">
        <v>300</v>
      </c>
      <c r="GK73" s="1" t="s">
        <v>210</v>
      </c>
      <c r="GL73" s="2">
        <v>42030</v>
      </c>
      <c r="GM73" s="1" t="s">
        <v>1667</v>
      </c>
    </row>
    <row r="74" spans="1:195">
      <c r="A74" s="1">
        <v>167000</v>
      </c>
      <c r="B74" s="1" t="s">
        <v>195</v>
      </c>
      <c r="C74" s="1" t="str">
        <f>"08786105"</f>
        <v>08786105</v>
      </c>
      <c r="D74" s="1" t="s">
        <v>196</v>
      </c>
      <c r="F74" s="1" t="str">
        <f>"555"</f>
        <v>555</v>
      </c>
      <c r="G74" s="2">
        <v>41957</v>
      </c>
      <c r="H74" s="1">
        <v>169900</v>
      </c>
      <c r="I74" s="1">
        <v>169900</v>
      </c>
      <c r="J74" s="1">
        <v>167000</v>
      </c>
      <c r="K74" s="2">
        <v>41957</v>
      </c>
      <c r="L74" s="1">
        <v>13</v>
      </c>
      <c r="M74" s="2">
        <v>41969</v>
      </c>
      <c r="N74" s="1">
        <v>13</v>
      </c>
      <c r="O74" s="2">
        <v>41969</v>
      </c>
      <c r="P74" s="1">
        <v>8079</v>
      </c>
      <c r="Q74" s="1" t="s">
        <v>197</v>
      </c>
      <c r="R74" s="2">
        <v>42020</v>
      </c>
      <c r="S74" s="1">
        <v>80727</v>
      </c>
      <c r="T74" s="1">
        <v>4000</v>
      </c>
      <c r="U74" s="1" t="s">
        <v>1668</v>
      </c>
      <c r="V74" s="1" t="s">
        <v>1669</v>
      </c>
      <c r="W74" s="1" t="s">
        <v>504</v>
      </c>
      <c r="Y74" s="1">
        <v>4</v>
      </c>
      <c r="Z74" s="1" t="s">
        <v>370</v>
      </c>
      <c r="AA74" s="1" t="s">
        <v>984</v>
      </c>
      <c r="AB74" s="1">
        <v>60555</v>
      </c>
      <c r="AD74" s="1" t="s">
        <v>1670</v>
      </c>
      <c r="AE74" s="1" t="s">
        <v>1671</v>
      </c>
      <c r="AF74" s="1">
        <v>1992</v>
      </c>
      <c r="AG74" s="1" t="s">
        <v>204</v>
      </c>
      <c r="AH74" s="1" t="s">
        <v>986</v>
      </c>
      <c r="AI74" s="1" t="s">
        <v>206</v>
      </c>
      <c r="AJ74" s="1" t="s">
        <v>987</v>
      </c>
      <c r="AL74" s="1">
        <v>6</v>
      </c>
      <c r="AM74" s="1">
        <v>2</v>
      </c>
      <c r="AN74" s="1">
        <v>2</v>
      </c>
      <c r="AO74" s="1">
        <v>1</v>
      </c>
      <c r="AP74" s="1" t="s">
        <v>209</v>
      </c>
      <c r="AQ74" s="1">
        <v>1</v>
      </c>
      <c r="AR74" s="1" t="s">
        <v>210</v>
      </c>
      <c r="AS74" s="1" t="s">
        <v>204</v>
      </c>
      <c r="AT74" s="1" t="s">
        <v>211</v>
      </c>
      <c r="AU74" s="1">
        <v>2</v>
      </c>
      <c r="AW74" s="1" t="s">
        <v>204</v>
      </c>
      <c r="AX74" s="1" t="s">
        <v>212</v>
      </c>
      <c r="AZ74" s="1">
        <v>5802</v>
      </c>
      <c r="BA74" s="1">
        <v>2013</v>
      </c>
      <c r="BB74" s="1" t="s">
        <v>405</v>
      </c>
      <c r="BE74" s="1">
        <v>1558</v>
      </c>
      <c r="BF74" s="1">
        <v>1</v>
      </c>
      <c r="BG74" s="1">
        <v>0</v>
      </c>
      <c r="BL74" s="1">
        <v>230</v>
      </c>
      <c r="BM74" s="1" t="s">
        <v>413</v>
      </c>
      <c r="BN74" s="1" t="s">
        <v>213</v>
      </c>
      <c r="BO74" s="1">
        <v>999</v>
      </c>
      <c r="BP74" s="1" t="s">
        <v>204</v>
      </c>
      <c r="BR74" s="1" t="str">
        <f>"0421418072"</f>
        <v>0421418072</v>
      </c>
      <c r="BT74" s="1" t="s">
        <v>1672</v>
      </c>
      <c r="BU74" s="1" t="s">
        <v>1673</v>
      </c>
      <c r="BV74" s="1" t="s">
        <v>1674</v>
      </c>
      <c r="BW74" s="1" t="s">
        <v>1675</v>
      </c>
      <c r="BX74" s="1">
        <v>33</v>
      </c>
      <c r="BY74" s="1">
        <v>33</v>
      </c>
      <c r="BZ74" s="1">
        <v>94</v>
      </c>
      <c r="CB74" s="1" t="str">
        <f t="shared" ref="CB74:CC74" si="54">"0"</f>
        <v>0</v>
      </c>
      <c r="CC74" s="1" t="str">
        <f t="shared" si="54"/>
        <v>0</v>
      </c>
      <c r="CD74" s="1">
        <v>30</v>
      </c>
      <c r="CE74" s="1">
        <v>3</v>
      </c>
      <c r="CH74" s="1" t="s">
        <v>224</v>
      </c>
      <c r="CK74" s="1" t="s">
        <v>344</v>
      </c>
      <c r="CL74" s="1" t="s">
        <v>277</v>
      </c>
      <c r="CM74" s="1" t="s">
        <v>220</v>
      </c>
      <c r="CN74" s="1" t="s">
        <v>343</v>
      </c>
      <c r="CO74" s="1" t="s">
        <v>346</v>
      </c>
      <c r="CP74" s="1" t="s">
        <v>219</v>
      </c>
      <c r="CQ74" s="1" t="s">
        <v>220</v>
      </c>
      <c r="CR74" s="1" t="s">
        <v>463</v>
      </c>
      <c r="CS74" s="1" t="s">
        <v>346</v>
      </c>
      <c r="CT74" s="1" t="s">
        <v>277</v>
      </c>
      <c r="CU74" s="1" t="s">
        <v>220</v>
      </c>
      <c r="CV74" s="1" t="s">
        <v>210</v>
      </c>
      <c r="CX74" s="1" t="s">
        <v>224</v>
      </c>
      <c r="DB74" s="1" t="s">
        <v>224</v>
      </c>
      <c r="DE74" s="1" t="s">
        <v>1046</v>
      </c>
      <c r="DF74" s="1" t="s">
        <v>219</v>
      </c>
      <c r="DG74" s="1" t="s">
        <v>342</v>
      </c>
      <c r="DH74" s="1" t="s">
        <v>210</v>
      </c>
      <c r="DJ74" s="1" t="s">
        <v>224</v>
      </c>
      <c r="DM74" s="1" t="s">
        <v>464</v>
      </c>
      <c r="DN74" s="1" t="s">
        <v>1676</v>
      </c>
      <c r="DR74" s="1" t="s">
        <v>1046</v>
      </c>
      <c r="DS74" s="1" t="s">
        <v>277</v>
      </c>
      <c r="DT74" s="1" t="s">
        <v>220</v>
      </c>
      <c r="DU74" s="1" t="s">
        <v>210</v>
      </c>
      <c r="DV74" s="1" t="s">
        <v>228</v>
      </c>
      <c r="DW74" s="1" t="s">
        <v>219</v>
      </c>
      <c r="DX74" s="1" t="s">
        <v>220</v>
      </c>
      <c r="DY74" s="1" t="s">
        <v>343</v>
      </c>
      <c r="EA74" s="1" t="s">
        <v>230</v>
      </c>
      <c r="EE74" s="1" t="s">
        <v>230</v>
      </c>
      <c r="EI74" s="1" t="s">
        <v>230</v>
      </c>
      <c r="EL74" s="1" t="s">
        <v>382</v>
      </c>
      <c r="EM74" s="1" t="s">
        <v>319</v>
      </c>
      <c r="EN74" s="1" t="s">
        <v>282</v>
      </c>
      <c r="EO74" s="1" t="s">
        <v>234</v>
      </c>
      <c r="EP74" s="1" t="s">
        <v>1677</v>
      </c>
      <c r="EQ74" s="1" t="s">
        <v>236</v>
      </c>
      <c r="ER74" s="1" t="s">
        <v>210</v>
      </c>
      <c r="ES74" s="1" t="s">
        <v>322</v>
      </c>
      <c r="ET74" s="1" t="s">
        <v>1678</v>
      </c>
      <c r="EU74" s="1" t="s">
        <v>1110</v>
      </c>
      <c r="EV74" s="1" t="s">
        <v>324</v>
      </c>
      <c r="EW74" s="1" t="s">
        <v>1679</v>
      </c>
      <c r="EY74" s="1" t="s">
        <v>441</v>
      </c>
      <c r="EZ74" s="1" t="s">
        <v>1680</v>
      </c>
      <c r="FA74" s="1" t="s">
        <v>1681</v>
      </c>
      <c r="FB74" s="1" t="s">
        <v>289</v>
      </c>
      <c r="FD74" s="1" t="s">
        <v>246</v>
      </c>
      <c r="FE74" s="1" t="s">
        <v>975</v>
      </c>
      <c r="FF74" s="1" t="s">
        <v>248</v>
      </c>
      <c r="FG74" s="1" t="s">
        <v>1682</v>
      </c>
      <c r="FH74" s="1" t="s">
        <v>550</v>
      </c>
      <c r="FI74" s="1" t="s">
        <v>473</v>
      </c>
      <c r="FJ74" s="1" t="s">
        <v>197</v>
      </c>
      <c r="FL74" s="1" t="s">
        <v>358</v>
      </c>
      <c r="FM74" s="1" t="s">
        <v>252</v>
      </c>
      <c r="FN74" s="1" t="s">
        <v>213</v>
      </c>
      <c r="FO74" s="1" t="s">
        <v>213</v>
      </c>
      <c r="FQ74" s="1" t="s">
        <v>1683</v>
      </c>
      <c r="FR74" s="1" t="s">
        <v>210</v>
      </c>
      <c r="FS74" s="1" t="s">
        <v>1684</v>
      </c>
      <c r="FT74" s="1" t="s">
        <v>1182</v>
      </c>
      <c r="FU74" s="1" t="s">
        <v>204</v>
      </c>
      <c r="FW74" s="1" t="s">
        <v>585</v>
      </c>
      <c r="FX74" s="1">
        <v>23156</v>
      </c>
      <c r="FY74" s="1" t="s">
        <v>1253</v>
      </c>
      <c r="FZ74" s="1" t="s">
        <v>1685</v>
      </c>
      <c r="GA74" s="1">
        <v>232124</v>
      </c>
      <c r="GB74" s="1" t="s">
        <v>1686</v>
      </c>
      <c r="GE74" s="1" t="s">
        <v>480</v>
      </c>
      <c r="GI74" s="1" t="s">
        <v>213</v>
      </c>
      <c r="GJ74" s="1" t="s">
        <v>260</v>
      </c>
      <c r="GK74" s="1" t="s">
        <v>210</v>
      </c>
      <c r="GL74" s="2">
        <v>42020</v>
      </c>
    </row>
    <row r="75" spans="1:195">
      <c r="A75" s="1">
        <v>96500</v>
      </c>
      <c r="B75" s="1" t="s">
        <v>195</v>
      </c>
      <c r="C75" s="1" t="str">
        <f>"08760232"</f>
        <v>08760232</v>
      </c>
      <c r="D75" s="1" t="s">
        <v>196</v>
      </c>
      <c r="F75" s="1" t="str">
        <f>"60"</f>
        <v>60</v>
      </c>
      <c r="G75" s="2">
        <v>41935</v>
      </c>
      <c r="H75" s="1">
        <v>89900</v>
      </c>
      <c r="I75" s="1">
        <v>99000</v>
      </c>
      <c r="J75" s="1">
        <v>96500</v>
      </c>
      <c r="K75" s="2">
        <v>41935</v>
      </c>
      <c r="L75" s="1">
        <v>13</v>
      </c>
      <c r="M75" s="2">
        <v>41947</v>
      </c>
      <c r="N75" s="1">
        <v>13</v>
      </c>
      <c r="O75" s="2">
        <v>41947</v>
      </c>
      <c r="P75" s="1">
        <v>26020</v>
      </c>
      <c r="Q75" s="1" t="s">
        <v>302</v>
      </c>
      <c r="R75" s="2">
        <v>42067</v>
      </c>
      <c r="S75" s="1">
        <v>87988</v>
      </c>
      <c r="U75" s="1">
        <v>1233</v>
      </c>
      <c r="V75" s="1" t="s">
        <v>1687</v>
      </c>
      <c r="W75" s="1" t="s">
        <v>779</v>
      </c>
      <c r="X75" s="1" t="s">
        <v>1688</v>
      </c>
      <c r="Y75" s="1">
        <v>10</v>
      </c>
      <c r="Z75" s="1" t="s">
        <v>249</v>
      </c>
      <c r="AA75" s="1" t="s">
        <v>1689</v>
      </c>
      <c r="AB75" s="1">
        <v>60060</v>
      </c>
      <c r="AD75" s="1" t="s">
        <v>1690</v>
      </c>
      <c r="AE75" s="1" t="s">
        <v>1691</v>
      </c>
      <c r="AF75" s="1">
        <v>1987</v>
      </c>
      <c r="AG75" s="1" t="s">
        <v>204</v>
      </c>
      <c r="AH75" s="1" t="s">
        <v>1692</v>
      </c>
      <c r="AI75" s="1" t="s">
        <v>509</v>
      </c>
      <c r="AJ75" s="1" t="s">
        <v>1693</v>
      </c>
      <c r="AK75" s="1" t="s">
        <v>1694</v>
      </c>
      <c r="AL75" s="1">
        <v>5</v>
      </c>
      <c r="AM75" s="1">
        <v>2</v>
      </c>
      <c r="AN75" s="1">
        <v>1</v>
      </c>
      <c r="AO75" s="1">
        <v>0</v>
      </c>
      <c r="AP75" s="1" t="s">
        <v>210</v>
      </c>
      <c r="AR75" s="1" t="s">
        <v>210</v>
      </c>
      <c r="AS75" s="1" t="s">
        <v>204</v>
      </c>
      <c r="AT75" s="1" t="s">
        <v>211</v>
      </c>
      <c r="AU75" s="1">
        <v>1</v>
      </c>
      <c r="AW75" s="1" t="s">
        <v>204</v>
      </c>
      <c r="AX75" s="1" t="s">
        <v>212</v>
      </c>
      <c r="AZ75" s="1">
        <v>2220.54</v>
      </c>
      <c r="BA75" s="1">
        <v>2013</v>
      </c>
      <c r="BB75" s="1" t="s">
        <v>405</v>
      </c>
      <c r="BE75" s="1">
        <v>1030</v>
      </c>
      <c r="BF75" s="1">
        <v>1</v>
      </c>
      <c r="BG75" s="1">
        <v>0</v>
      </c>
      <c r="BK75" s="1">
        <v>0</v>
      </c>
      <c r="BL75" s="1">
        <v>168</v>
      </c>
      <c r="BM75" s="1" t="s">
        <v>204</v>
      </c>
      <c r="BN75" s="1" t="s">
        <v>213</v>
      </c>
      <c r="BO75" s="1">
        <v>30</v>
      </c>
      <c r="BP75" s="1" t="s">
        <v>204</v>
      </c>
      <c r="BR75" s="1" t="str">
        <f>"11293001470000"</f>
        <v>11293001470000</v>
      </c>
      <c r="BT75" s="1" t="s">
        <v>1695</v>
      </c>
      <c r="BW75" s="1" t="s">
        <v>1696</v>
      </c>
      <c r="BX75" s="1">
        <v>73</v>
      </c>
      <c r="BY75" s="1">
        <v>73</v>
      </c>
      <c r="BZ75" s="1">
        <v>128</v>
      </c>
      <c r="CB75" s="1" t="str">
        <f>"27"</f>
        <v>27</v>
      </c>
      <c r="CC75" s="1" t="str">
        <f>"0"</f>
        <v>0</v>
      </c>
      <c r="CD75" s="1">
        <v>17</v>
      </c>
      <c r="CE75" s="1">
        <v>0</v>
      </c>
      <c r="CG75" s="1" t="s">
        <v>581</v>
      </c>
      <c r="CH75" s="1" t="s">
        <v>219</v>
      </c>
      <c r="CI75" s="1" t="s">
        <v>220</v>
      </c>
      <c r="CK75" s="1" t="s">
        <v>344</v>
      </c>
      <c r="CL75" s="1" t="s">
        <v>219</v>
      </c>
      <c r="CM75" s="1" t="s">
        <v>220</v>
      </c>
      <c r="CO75" s="1" t="s">
        <v>318</v>
      </c>
      <c r="CP75" s="1" t="s">
        <v>219</v>
      </c>
      <c r="CQ75" s="1" t="s">
        <v>220</v>
      </c>
      <c r="CS75" s="1" t="s">
        <v>346</v>
      </c>
      <c r="CT75" s="1" t="s">
        <v>219</v>
      </c>
      <c r="CU75" s="1" t="s">
        <v>220</v>
      </c>
      <c r="CX75" s="1" t="s">
        <v>224</v>
      </c>
      <c r="DB75" s="1" t="s">
        <v>224</v>
      </c>
      <c r="DE75" s="1" t="s">
        <v>318</v>
      </c>
      <c r="DF75" s="1" t="s">
        <v>219</v>
      </c>
      <c r="DG75" s="1" t="s">
        <v>342</v>
      </c>
      <c r="DH75" s="1" t="s">
        <v>210</v>
      </c>
      <c r="DJ75" s="1" t="s">
        <v>224</v>
      </c>
      <c r="DS75" s="1" t="s">
        <v>230</v>
      </c>
      <c r="DW75" s="1" t="s">
        <v>230</v>
      </c>
      <c r="EA75" s="1" t="s">
        <v>230</v>
      </c>
      <c r="EE75" s="1" t="s">
        <v>230</v>
      </c>
      <c r="EI75" s="1" t="s">
        <v>230</v>
      </c>
      <c r="EL75" s="1" t="s">
        <v>542</v>
      </c>
      <c r="EM75" s="1" t="s">
        <v>232</v>
      </c>
      <c r="EN75" s="1" t="s">
        <v>282</v>
      </c>
      <c r="EO75" s="1" t="s">
        <v>234</v>
      </c>
      <c r="EP75" s="1" t="s">
        <v>1697</v>
      </c>
      <c r="EQ75" s="1" t="s">
        <v>236</v>
      </c>
      <c r="ER75" s="1" t="s">
        <v>210</v>
      </c>
      <c r="ES75" s="1" t="s">
        <v>824</v>
      </c>
      <c r="EU75" s="1" t="s">
        <v>712</v>
      </c>
      <c r="EW75" s="1" t="s">
        <v>1698</v>
      </c>
      <c r="EY75" s="1" t="s">
        <v>242</v>
      </c>
      <c r="EZ75" s="1" t="s">
        <v>287</v>
      </c>
      <c r="FA75" s="1" t="s">
        <v>243</v>
      </c>
      <c r="FB75" s="1" t="s">
        <v>289</v>
      </c>
      <c r="FC75" s="1" t="s">
        <v>633</v>
      </c>
      <c r="FD75" s="1" t="s">
        <v>290</v>
      </c>
      <c r="FE75" s="1" t="s">
        <v>247</v>
      </c>
      <c r="FF75" s="1" t="s">
        <v>248</v>
      </c>
      <c r="FH75" s="1" t="s">
        <v>388</v>
      </c>
      <c r="FI75" s="1" t="s">
        <v>473</v>
      </c>
      <c r="FL75" s="1" t="s">
        <v>358</v>
      </c>
      <c r="FM75" s="1" t="s">
        <v>252</v>
      </c>
      <c r="FN75" s="1" t="s">
        <v>213</v>
      </c>
      <c r="FO75" s="1" t="s">
        <v>213</v>
      </c>
      <c r="FQ75" s="1" t="s">
        <v>1699</v>
      </c>
      <c r="FR75" s="1" t="s">
        <v>360</v>
      </c>
      <c r="FS75" s="1" t="s">
        <v>1700</v>
      </c>
      <c r="FT75" s="1" t="s">
        <v>1701</v>
      </c>
      <c r="FU75" s="1" t="s">
        <v>204</v>
      </c>
      <c r="FW75" s="1" t="s">
        <v>1702</v>
      </c>
      <c r="FX75" s="1">
        <v>17299</v>
      </c>
      <c r="FY75" s="1" t="s">
        <v>1703</v>
      </c>
      <c r="FZ75" s="1" t="s">
        <v>1704</v>
      </c>
      <c r="GA75" s="1">
        <v>181780</v>
      </c>
      <c r="GB75" s="1" t="s">
        <v>1705</v>
      </c>
      <c r="GE75" s="1" t="s">
        <v>210</v>
      </c>
      <c r="GI75" s="1" t="s">
        <v>213</v>
      </c>
      <c r="GJ75" s="1" t="s">
        <v>300</v>
      </c>
      <c r="GK75" s="1" t="s">
        <v>261</v>
      </c>
      <c r="GL75" s="2">
        <v>42068</v>
      </c>
      <c r="GM75" s="1" t="s">
        <v>397</v>
      </c>
    </row>
    <row r="76" spans="1:195">
      <c r="A76" s="1">
        <v>72500</v>
      </c>
      <c r="B76" s="1" t="s">
        <v>195</v>
      </c>
      <c r="C76" s="1" t="str">
        <f>"08765009"</f>
        <v>08765009</v>
      </c>
      <c r="D76" s="1" t="s">
        <v>196</v>
      </c>
      <c r="F76" s="1" t="str">
        <f>"177"</f>
        <v>177</v>
      </c>
      <c r="G76" s="2">
        <v>41942</v>
      </c>
      <c r="H76" s="1">
        <v>85000</v>
      </c>
      <c r="I76" s="1">
        <v>85000</v>
      </c>
      <c r="J76" s="1">
        <v>72500</v>
      </c>
      <c r="K76" s="2">
        <v>41942</v>
      </c>
      <c r="L76" s="1">
        <v>49</v>
      </c>
      <c r="M76" s="2">
        <v>41990</v>
      </c>
      <c r="N76" s="1">
        <v>49</v>
      </c>
      <c r="O76" s="2">
        <v>41990</v>
      </c>
      <c r="P76" s="1">
        <v>22029</v>
      </c>
      <c r="Q76" s="1" t="s">
        <v>197</v>
      </c>
      <c r="R76" s="2">
        <v>42037</v>
      </c>
      <c r="S76" s="1">
        <v>238079</v>
      </c>
      <c r="U76" s="1">
        <v>1045</v>
      </c>
      <c r="V76" s="1" t="s">
        <v>1706</v>
      </c>
      <c r="W76" s="1" t="s">
        <v>304</v>
      </c>
      <c r="X76" s="1">
        <v>1045</v>
      </c>
      <c r="Y76" s="1">
        <v>4</v>
      </c>
      <c r="Z76" s="1" t="s">
        <v>200</v>
      </c>
      <c r="AA76" s="1" t="s">
        <v>1461</v>
      </c>
      <c r="AB76" s="1">
        <v>60177</v>
      </c>
      <c r="AE76" s="1" t="s">
        <v>1707</v>
      </c>
      <c r="AF76" s="1">
        <v>1984</v>
      </c>
      <c r="AG76" s="1" t="s">
        <v>204</v>
      </c>
      <c r="AH76" s="1" t="s">
        <v>1464</v>
      </c>
      <c r="AI76" s="1" t="s">
        <v>665</v>
      </c>
      <c r="AJ76" s="1" t="s">
        <v>1175</v>
      </c>
      <c r="AL76" s="1">
        <v>5</v>
      </c>
      <c r="AM76" s="1">
        <v>2</v>
      </c>
      <c r="AN76" s="1">
        <v>1</v>
      </c>
      <c r="AO76" s="1">
        <v>0</v>
      </c>
      <c r="AP76" s="1" t="s">
        <v>210</v>
      </c>
      <c r="AQ76" s="1">
        <v>1</v>
      </c>
      <c r="AR76" s="1" t="s">
        <v>210</v>
      </c>
      <c r="AS76" s="1" t="s">
        <v>204</v>
      </c>
      <c r="AT76" s="1" t="s">
        <v>211</v>
      </c>
      <c r="AU76" s="1">
        <v>1</v>
      </c>
      <c r="AW76" s="1" t="s">
        <v>204</v>
      </c>
      <c r="AX76" s="1" t="s">
        <v>212</v>
      </c>
      <c r="AZ76" s="1">
        <v>1746.6</v>
      </c>
      <c r="BA76" s="1">
        <v>2013</v>
      </c>
      <c r="BB76" s="1" t="s">
        <v>405</v>
      </c>
      <c r="BE76" s="1">
        <v>1100</v>
      </c>
      <c r="BF76" s="1">
        <v>2</v>
      </c>
      <c r="BG76" s="1">
        <v>0</v>
      </c>
      <c r="BL76" s="1">
        <v>80</v>
      </c>
      <c r="BM76" s="1" t="s">
        <v>204</v>
      </c>
      <c r="BN76" s="1" t="s">
        <v>213</v>
      </c>
      <c r="BO76" s="1">
        <v>999</v>
      </c>
      <c r="BP76" s="1" t="s">
        <v>204</v>
      </c>
      <c r="BR76" s="1" t="str">
        <f>"0634127096"</f>
        <v>0634127096</v>
      </c>
      <c r="BT76" s="1" t="s">
        <v>1708</v>
      </c>
      <c r="BX76" s="1">
        <v>46</v>
      </c>
      <c r="BY76" s="1">
        <v>46</v>
      </c>
      <c r="BZ76" s="1">
        <v>46</v>
      </c>
      <c r="CB76" s="1" t="str">
        <f t="shared" ref="CB76:CC76" si="55">""</f>
        <v/>
      </c>
      <c r="CC76" s="1" t="str">
        <f t="shared" si="55"/>
        <v/>
      </c>
      <c r="CG76" s="1" t="s">
        <v>581</v>
      </c>
      <c r="CH76" s="1" t="s">
        <v>219</v>
      </c>
      <c r="CI76" s="1" t="s">
        <v>220</v>
      </c>
      <c r="CJ76" s="1" t="s">
        <v>252</v>
      </c>
      <c r="CK76" s="1" t="s">
        <v>729</v>
      </c>
      <c r="CL76" s="1" t="s">
        <v>219</v>
      </c>
      <c r="CM76" s="1" t="s">
        <v>220</v>
      </c>
      <c r="CN76" s="1" t="s">
        <v>252</v>
      </c>
      <c r="CO76" s="1" t="s">
        <v>317</v>
      </c>
      <c r="CP76" s="1" t="s">
        <v>219</v>
      </c>
      <c r="CQ76" s="1" t="s">
        <v>220</v>
      </c>
      <c r="CR76" s="1" t="s">
        <v>252</v>
      </c>
      <c r="CS76" s="1" t="s">
        <v>379</v>
      </c>
      <c r="CT76" s="1" t="s">
        <v>219</v>
      </c>
      <c r="CU76" s="1" t="s">
        <v>220</v>
      </c>
      <c r="CV76" s="1" t="s">
        <v>252</v>
      </c>
      <c r="CX76" s="1" t="s">
        <v>224</v>
      </c>
      <c r="DB76" s="1" t="s">
        <v>224</v>
      </c>
      <c r="DE76" s="1" t="s">
        <v>465</v>
      </c>
      <c r="DF76" s="1" t="s">
        <v>219</v>
      </c>
      <c r="DG76" s="1" t="s">
        <v>229</v>
      </c>
      <c r="DH76" s="1" t="s">
        <v>210</v>
      </c>
      <c r="DJ76" s="1" t="s">
        <v>224</v>
      </c>
      <c r="DS76" s="1" t="s">
        <v>230</v>
      </c>
      <c r="DW76" s="1" t="s">
        <v>230</v>
      </c>
      <c r="EA76" s="1" t="s">
        <v>230</v>
      </c>
      <c r="EE76" s="1" t="s">
        <v>230</v>
      </c>
      <c r="EI76" s="1" t="s">
        <v>230</v>
      </c>
      <c r="EL76" s="1" t="s">
        <v>542</v>
      </c>
      <c r="EM76" s="1" t="s">
        <v>319</v>
      </c>
      <c r="EN76" s="1" t="s">
        <v>282</v>
      </c>
      <c r="EO76" s="1" t="s">
        <v>234</v>
      </c>
      <c r="EP76" s="1" t="s">
        <v>650</v>
      </c>
      <c r="EQ76" s="1" t="s">
        <v>1094</v>
      </c>
      <c r="ER76" s="1" t="s">
        <v>210</v>
      </c>
      <c r="ES76" s="1" t="s">
        <v>824</v>
      </c>
      <c r="EU76" s="1" t="s">
        <v>239</v>
      </c>
      <c r="EV76" s="1" t="s">
        <v>240</v>
      </c>
      <c r="EW76" s="1" t="s">
        <v>353</v>
      </c>
      <c r="EZ76" s="1" t="s">
        <v>287</v>
      </c>
      <c r="FA76" s="1" t="s">
        <v>672</v>
      </c>
      <c r="FD76" s="1" t="s">
        <v>495</v>
      </c>
      <c r="FE76" s="1" t="s">
        <v>549</v>
      </c>
      <c r="FF76" s="1" t="s">
        <v>248</v>
      </c>
      <c r="FH76" s="1" t="s">
        <v>249</v>
      </c>
      <c r="FL76" s="1" t="s">
        <v>358</v>
      </c>
      <c r="FM76" s="1" t="s">
        <v>252</v>
      </c>
      <c r="FN76" s="1" t="s">
        <v>213</v>
      </c>
      <c r="FO76" s="1" t="s">
        <v>213</v>
      </c>
      <c r="FQ76" s="1" t="s">
        <v>913</v>
      </c>
      <c r="FR76" s="1" t="s">
        <v>210</v>
      </c>
      <c r="FS76" s="1" t="s">
        <v>1709</v>
      </c>
      <c r="FT76" s="1" t="s">
        <v>295</v>
      </c>
      <c r="FU76" s="1" t="s">
        <v>204</v>
      </c>
      <c r="FW76" s="1" t="s">
        <v>915</v>
      </c>
      <c r="FX76" s="1">
        <v>23591</v>
      </c>
      <c r="FY76" s="1" t="s">
        <v>1710</v>
      </c>
      <c r="FZ76" s="1" t="s">
        <v>1711</v>
      </c>
      <c r="GA76" s="1">
        <v>230506</v>
      </c>
      <c r="GB76" s="1" t="s">
        <v>1712</v>
      </c>
      <c r="GC76" s="1">
        <v>230508</v>
      </c>
      <c r="GE76" s="1" t="s">
        <v>210</v>
      </c>
      <c r="GI76" s="1" t="s">
        <v>213</v>
      </c>
      <c r="GJ76" s="1" t="s">
        <v>260</v>
      </c>
      <c r="GK76" s="1" t="s">
        <v>210</v>
      </c>
      <c r="GL76" s="2">
        <v>42037</v>
      </c>
      <c r="GM76" s="1" t="s">
        <v>1713</v>
      </c>
    </row>
    <row r="77" spans="1:195">
      <c r="A77" s="1">
        <v>97000</v>
      </c>
      <c r="B77" s="1" t="s">
        <v>195</v>
      </c>
      <c r="C77" s="1" t="str">
        <f>"08759209"</f>
        <v>08759209</v>
      </c>
      <c r="D77" s="1" t="s">
        <v>196</v>
      </c>
      <c r="F77" s="1" t="str">
        <f>"103"</f>
        <v>103</v>
      </c>
      <c r="G77" s="2">
        <v>41934</v>
      </c>
      <c r="H77" s="1">
        <v>89900</v>
      </c>
      <c r="I77" s="1">
        <v>89900</v>
      </c>
      <c r="J77" s="1">
        <v>97000</v>
      </c>
      <c r="K77" s="2">
        <v>41934</v>
      </c>
      <c r="L77" s="1">
        <v>6</v>
      </c>
      <c r="M77" s="2">
        <v>41939</v>
      </c>
      <c r="N77" s="1">
        <v>6</v>
      </c>
      <c r="O77" s="2">
        <v>41939</v>
      </c>
      <c r="P77" s="1">
        <v>5547</v>
      </c>
      <c r="Q77" s="1" t="s">
        <v>197</v>
      </c>
      <c r="R77" s="2">
        <v>41991</v>
      </c>
      <c r="S77" s="1">
        <v>55755</v>
      </c>
      <c r="U77" s="1">
        <v>7638</v>
      </c>
      <c r="V77" s="1" t="s">
        <v>1714</v>
      </c>
      <c r="X77" s="1">
        <v>7638</v>
      </c>
      <c r="Y77" s="1">
        <v>5</v>
      </c>
      <c r="Z77" s="1" t="s">
        <v>370</v>
      </c>
      <c r="AA77" s="1" t="s">
        <v>337</v>
      </c>
      <c r="AB77" s="1">
        <v>60133</v>
      </c>
      <c r="AD77" s="1" t="s">
        <v>1715</v>
      </c>
      <c r="AE77" s="1" t="s">
        <v>1716</v>
      </c>
      <c r="AF77" s="1">
        <v>1972</v>
      </c>
      <c r="AG77" s="1" t="s">
        <v>213</v>
      </c>
      <c r="AH77" s="1" t="s">
        <v>339</v>
      </c>
      <c r="AI77" s="1" t="s">
        <v>310</v>
      </c>
      <c r="AJ77" s="1" t="s">
        <v>1717</v>
      </c>
      <c r="AL77" s="1">
        <v>6</v>
      </c>
      <c r="AM77" s="1">
        <v>2</v>
      </c>
      <c r="AN77" s="1">
        <v>1</v>
      </c>
      <c r="AO77" s="1">
        <v>1</v>
      </c>
      <c r="AP77" s="1" t="s">
        <v>210</v>
      </c>
      <c r="AR77" s="1" t="s">
        <v>209</v>
      </c>
      <c r="AS77" s="1" t="s">
        <v>204</v>
      </c>
      <c r="AT77" s="1" t="s">
        <v>271</v>
      </c>
      <c r="AV77" s="1">
        <v>2</v>
      </c>
      <c r="AW77" s="1" t="s">
        <v>204</v>
      </c>
      <c r="AX77" s="1" t="s">
        <v>1718</v>
      </c>
      <c r="AZ77" s="1">
        <v>2794.66</v>
      </c>
      <c r="BA77" s="1">
        <v>2013</v>
      </c>
      <c r="BB77" s="1" t="s">
        <v>405</v>
      </c>
      <c r="BC77" s="1">
        <v>0</v>
      </c>
      <c r="BE77" s="1">
        <v>1456</v>
      </c>
      <c r="BF77" s="1">
        <v>1</v>
      </c>
      <c r="BG77" s="1">
        <v>0</v>
      </c>
      <c r="BL77" s="1">
        <v>202</v>
      </c>
      <c r="BM77" s="1" t="s">
        <v>204</v>
      </c>
      <c r="BN77" s="1" t="s">
        <v>213</v>
      </c>
      <c r="BO77" s="1">
        <v>0</v>
      </c>
      <c r="BP77" s="1" t="s">
        <v>204</v>
      </c>
      <c r="BR77" s="1" t="str">
        <f>"07304180010000"</f>
        <v>07304180010000</v>
      </c>
      <c r="BT77" s="1" t="s">
        <v>1719</v>
      </c>
      <c r="BU77" s="1" t="s">
        <v>1720</v>
      </c>
      <c r="BV77" s="1" t="s">
        <v>1721</v>
      </c>
      <c r="BW77" s="1" t="s">
        <v>1722</v>
      </c>
      <c r="BX77" s="1">
        <v>54</v>
      </c>
      <c r="BY77" s="1">
        <v>54</v>
      </c>
      <c r="BZ77" s="1">
        <v>211</v>
      </c>
      <c r="CB77" s="1" t="str">
        <f>"9"</f>
        <v>9</v>
      </c>
      <c r="CC77" s="1" t="str">
        <f>"0"</f>
        <v>0</v>
      </c>
      <c r="CD77" s="1">
        <v>26</v>
      </c>
      <c r="CE77" s="1">
        <v>0</v>
      </c>
      <c r="CG77" s="1" t="s">
        <v>1723</v>
      </c>
      <c r="CH77" s="1" t="s">
        <v>219</v>
      </c>
      <c r="CI77" s="1" t="s">
        <v>438</v>
      </c>
      <c r="CK77" s="1" t="s">
        <v>1045</v>
      </c>
      <c r="CL77" s="1" t="s">
        <v>277</v>
      </c>
      <c r="CM77" s="1" t="s">
        <v>220</v>
      </c>
      <c r="CO77" s="1" t="s">
        <v>1724</v>
      </c>
      <c r="CP77" s="1" t="s">
        <v>219</v>
      </c>
      <c r="CQ77" s="1" t="s">
        <v>438</v>
      </c>
      <c r="CS77" s="1" t="s">
        <v>1454</v>
      </c>
      <c r="CT77" s="1" t="s">
        <v>277</v>
      </c>
      <c r="CU77" s="1" t="s">
        <v>220</v>
      </c>
      <c r="CX77" s="1" t="s">
        <v>224</v>
      </c>
      <c r="DB77" s="1" t="s">
        <v>224</v>
      </c>
      <c r="DE77" s="1" t="s">
        <v>380</v>
      </c>
      <c r="DF77" s="1" t="s">
        <v>219</v>
      </c>
      <c r="DG77" s="1" t="s">
        <v>226</v>
      </c>
      <c r="DI77" s="1" t="s">
        <v>1358</v>
      </c>
      <c r="DJ77" s="1" t="s">
        <v>219</v>
      </c>
      <c r="DK77" s="1" t="s">
        <v>226</v>
      </c>
      <c r="DS77" s="1" t="s">
        <v>230</v>
      </c>
      <c r="DW77" s="1" t="s">
        <v>230</v>
      </c>
      <c r="EA77" s="1" t="s">
        <v>230</v>
      </c>
      <c r="EE77" s="1" t="s">
        <v>230</v>
      </c>
      <c r="EI77" s="1" t="s">
        <v>230</v>
      </c>
      <c r="EL77" s="1" t="s">
        <v>605</v>
      </c>
      <c r="EM77" s="1" t="s">
        <v>319</v>
      </c>
      <c r="EN77" s="1" t="s">
        <v>282</v>
      </c>
      <c r="EO77" s="1" t="s">
        <v>234</v>
      </c>
      <c r="EQ77" s="1" t="s">
        <v>1094</v>
      </c>
      <c r="ER77" s="1" t="s">
        <v>1249</v>
      </c>
      <c r="ES77" s="1" t="s">
        <v>322</v>
      </c>
      <c r="EU77" s="1" t="s">
        <v>1725</v>
      </c>
      <c r="EV77" s="1" t="s">
        <v>240</v>
      </c>
      <c r="EW77" s="1" t="s">
        <v>1679</v>
      </c>
      <c r="EY77" s="1" t="s">
        <v>242</v>
      </c>
      <c r="EZ77" s="1" t="s">
        <v>287</v>
      </c>
      <c r="FA77" s="1" t="s">
        <v>1726</v>
      </c>
      <c r="FD77" s="1" t="s">
        <v>495</v>
      </c>
      <c r="FE77" s="1" t="s">
        <v>472</v>
      </c>
      <c r="FF77" s="1" t="s">
        <v>248</v>
      </c>
      <c r="FH77" s="1" t="s">
        <v>550</v>
      </c>
      <c r="FK77" s="1" t="s">
        <v>291</v>
      </c>
      <c r="FL77" s="1" t="s">
        <v>358</v>
      </c>
      <c r="FM77" s="1" t="s">
        <v>252</v>
      </c>
      <c r="FN77" s="1" t="s">
        <v>213</v>
      </c>
      <c r="FO77" s="1" t="s">
        <v>213</v>
      </c>
      <c r="FQ77" s="1" t="s">
        <v>359</v>
      </c>
      <c r="FR77" s="1" t="s">
        <v>210</v>
      </c>
      <c r="FS77" s="1" t="s">
        <v>1727</v>
      </c>
      <c r="FT77" s="1" t="s">
        <v>295</v>
      </c>
      <c r="FU77" s="1" t="s">
        <v>204</v>
      </c>
      <c r="FW77" s="1" t="s">
        <v>1637</v>
      </c>
      <c r="FX77" s="1">
        <v>8055</v>
      </c>
      <c r="FY77" s="1" t="s">
        <v>1728</v>
      </c>
      <c r="FZ77" s="1" t="s">
        <v>1729</v>
      </c>
      <c r="GA77" s="1">
        <v>82036</v>
      </c>
      <c r="GB77" s="1" t="s">
        <v>1730</v>
      </c>
      <c r="GE77" s="1" t="s">
        <v>210</v>
      </c>
      <c r="GI77" s="1" t="s">
        <v>213</v>
      </c>
      <c r="GJ77" s="1" t="s">
        <v>260</v>
      </c>
      <c r="GK77" s="1" t="s">
        <v>210</v>
      </c>
      <c r="GL77" s="2">
        <v>41992</v>
      </c>
    </row>
    <row r="78" spans="1:195">
      <c r="A78" s="1">
        <v>100250</v>
      </c>
      <c r="B78" s="1" t="s">
        <v>195</v>
      </c>
      <c r="C78" s="1" t="str">
        <f>"08759387"</f>
        <v>08759387</v>
      </c>
      <c r="D78" s="1" t="s">
        <v>196</v>
      </c>
      <c r="F78" s="1" t="str">
        <f>"139"</f>
        <v>139</v>
      </c>
      <c r="G78" s="2">
        <v>41934</v>
      </c>
      <c r="H78" s="1">
        <v>113500</v>
      </c>
      <c r="I78" s="1">
        <v>109900</v>
      </c>
      <c r="J78" s="1">
        <v>100250</v>
      </c>
      <c r="K78" s="2">
        <v>41934</v>
      </c>
      <c r="L78" s="1">
        <v>84</v>
      </c>
      <c r="M78" s="2">
        <v>42017</v>
      </c>
      <c r="N78" s="1">
        <v>84</v>
      </c>
      <c r="O78" s="2">
        <v>42017</v>
      </c>
      <c r="P78" s="1">
        <v>25042</v>
      </c>
      <c r="Q78" s="1" t="s">
        <v>197</v>
      </c>
      <c r="R78" s="2">
        <v>42059</v>
      </c>
      <c r="S78" s="1">
        <v>218030</v>
      </c>
      <c r="U78" s="1">
        <v>132</v>
      </c>
      <c r="V78" s="1" t="s">
        <v>1731</v>
      </c>
      <c r="W78" s="1" t="s">
        <v>264</v>
      </c>
      <c r="X78" s="1">
        <v>132</v>
      </c>
      <c r="Y78" s="1">
        <v>4</v>
      </c>
      <c r="Z78" s="1" t="s">
        <v>249</v>
      </c>
      <c r="AA78" s="1" t="s">
        <v>1732</v>
      </c>
      <c r="AB78" s="1">
        <v>60139</v>
      </c>
      <c r="AD78" s="1" t="s">
        <v>1733</v>
      </c>
      <c r="AE78" s="1" t="s">
        <v>1734</v>
      </c>
      <c r="AF78" s="1">
        <v>1996</v>
      </c>
      <c r="AG78" s="1" t="s">
        <v>204</v>
      </c>
      <c r="AH78" s="1" t="s">
        <v>1735</v>
      </c>
      <c r="AI78" s="1" t="s">
        <v>206</v>
      </c>
      <c r="AJ78" s="1" t="s">
        <v>269</v>
      </c>
      <c r="AL78" s="1">
        <v>5</v>
      </c>
      <c r="AM78" s="1">
        <v>2</v>
      </c>
      <c r="AN78" s="1">
        <v>1</v>
      </c>
      <c r="AO78" s="1">
        <v>0</v>
      </c>
      <c r="AP78" s="1" t="s">
        <v>667</v>
      </c>
      <c r="AQ78" s="1">
        <v>1</v>
      </c>
      <c r="AR78" s="1" t="s">
        <v>210</v>
      </c>
      <c r="AS78" s="1" t="s">
        <v>204</v>
      </c>
      <c r="AT78" s="1" t="s">
        <v>211</v>
      </c>
      <c r="AU78" s="1">
        <v>1</v>
      </c>
      <c r="AW78" s="1" t="s">
        <v>204</v>
      </c>
      <c r="AX78" s="1" t="s">
        <v>212</v>
      </c>
      <c r="AZ78" s="1">
        <v>2181</v>
      </c>
      <c r="BA78" s="1">
        <v>2013</v>
      </c>
      <c r="BE78" s="1">
        <v>1249</v>
      </c>
      <c r="BF78" s="1">
        <v>2</v>
      </c>
      <c r="BG78" s="1">
        <v>20</v>
      </c>
      <c r="BL78" s="1">
        <v>259</v>
      </c>
      <c r="BM78" s="1" t="s">
        <v>413</v>
      </c>
      <c r="BN78" s="1" t="s">
        <v>213</v>
      </c>
      <c r="BO78" s="1">
        <v>50</v>
      </c>
      <c r="BP78" s="1" t="s">
        <v>204</v>
      </c>
      <c r="BR78" s="1" t="str">
        <f>"0222117086"</f>
        <v>0222117086</v>
      </c>
      <c r="BT78" s="1" t="s">
        <v>1736</v>
      </c>
      <c r="BX78" s="1">
        <v>15</v>
      </c>
      <c r="BY78" s="1">
        <v>15</v>
      </c>
      <c r="BZ78" s="1">
        <v>87</v>
      </c>
      <c r="CB78" s="1" t="str">
        <f t="shared" ref="CB78:CC78" si="56">""</f>
        <v/>
      </c>
      <c r="CC78" s="1" t="str">
        <f t="shared" si="56"/>
        <v/>
      </c>
      <c r="CG78" s="1" t="s">
        <v>1737</v>
      </c>
      <c r="CH78" s="1" t="s">
        <v>277</v>
      </c>
      <c r="CI78" s="1" t="s">
        <v>220</v>
      </c>
      <c r="CK78" s="1" t="s">
        <v>539</v>
      </c>
      <c r="CL78" s="1" t="s">
        <v>277</v>
      </c>
      <c r="CM78" s="1" t="s">
        <v>220</v>
      </c>
      <c r="CO78" s="1" t="s">
        <v>317</v>
      </c>
      <c r="CP78" s="1" t="s">
        <v>277</v>
      </c>
      <c r="CQ78" s="1" t="s">
        <v>220</v>
      </c>
      <c r="CS78" s="1" t="s">
        <v>346</v>
      </c>
      <c r="CT78" s="1" t="s">
        <v>277</v>
      </c>
      <c r="CU78" s="1" t="s">
        <v>220</v>
      </c>
      <c r="CX78" s="1" t="s">
        <v>224</v>
      </c>
      <c r="DB78" s="1" t="s">
        <v>224</v>
      </c>
      <c r="DE78" s="1" t="s">
        <v>886</v>
      </c>
      <c r="DF78" s="1" t="s">
        <v>277</v>
      </c>
      <c r="DG78" s="1" t="s">
        <v>342</v>
      </c>
      <c r="DJ78" s="1" t="s">
        <v>224</v>
      </c>
      <c r="DS78" s="1" t="s">
        <v>230</v>
      </c>
      <c r="DW78" s="1" t="s">
        <v>230</v>
      </c>
      <c r="EA78" s="1" t="s">
        <v>230</v>
      </c>
      <c r="EE78" s="1" t="s">
        <v>230</v>
      </c>
      <c r="EI78" s="1" t="s">
        <v>230</v>
      </c>
      <c r="EL78" s="1" t="s">
        <v>670</v>
      </c>
      <c r="EM78" s="1" t="s">
        <v>319</v>
      </c>
      <c r="EN78" s="1" t="s">
        <v>282</v>
      </c>
      <c r="EO78" s="1" t="s">
        <v>234</v>
      </c>
      <c r="EP78" s="1" t="s">
        <v>650</v>
      </c>
      <c r="EQ78" s="1" t="s">
        <v>1738</v>
      </c>
      <c r="ER78" s="1" t="s">
        <v>1269</v>
      </c>
      <c r="ES78" s="1" t="s">
        <v>322</v>
      </c>
      <c r="EU78" s="1" t="s">
        <v>239</v>
      </c>
      <c r="EV78" s="1" t="s">
        <v>240</v>
      </c>
      <c r="EW78" s="1" t="s">
        <v>353</v>
      </c>
      <c r="EY78" s="1" t="s">
        <v>242</v>
      </c>
      <c r="EZ78" s="1" t="s">
        <v>287</v>
      </c>
      <c r="FB78" s="1" t="s">
        <v>289</v>
      </c>
      <c r="FC78" s="1" t="s">
        <v>1739</v>
      </c>
      <c r="FD78" s="1" t="s">
        <v>246</v>
      </c>
      <c r="FE78" s="1" t="s">
        <v>651</v>
      </c>
      <c r="FF78" s="1" t="s">
        <v>248</v>
      </c>
      <c r="FH78" s="1" t="s">
        <v>388</v>
      </c>
      <c r="FJ78" s="1" t="s">
        <v>1472</v>
      </c>
      <c r="FL78" s="1" t="s">
        <v>358</v>
      </c>
      <c r="FM78" s="1" t="s">
        <v>252</v>
      </c>
      <c r="FN78" s="1" t="s">
        <v>213</v>
      </c>
      <c r="FO78" s="1" t="s">
        <v>213</v>
      </c>
      <c r="FQ78" s="1" t="s">
        <v>689</v>
      </c>
      <c r="FR78" s="1" t="s">
        <v>210</v>
      </c>
      <c r="FS78" s="1" t="s">
        <v>1740</v>
      </c>
      <c r="FT78" s="1" t="s">
        <v>1741</v>
      </c>
      <c r="FU78" s="1" t="s">
        <v>204</v>
      </c>
      <c r="FW78" s="1" t="s">
        <v>1742</v>
      </c>
      <c r="FX78" s="1">
        <v>25401</v>
      </c>
      <c r="FY78" s="1" t="s">
        <v>1743</v>
      </c>
      <c r="FZ78" s="1" t="s">
        <v>1744</v>
      </c>
      <c r="GA78" s="1">
        <v>231228</v>
      </c>
      <c r="GB78" s="1" t="s">
        <v>1743</v>
      </c>
      <c r="GD78" s="1" t="s">
        <v>1745</v>
      </c>
      <c r="GE78" s="1" t="s">
        <v>480</v>
      </c>
      <c r="GH78" s="1" t="s">
        <v>800</v>
      </c>
      <c r="GI78" s="1" t="s">
        <v>213</v>
      </c>
      <c r="GJ78" s="1" t="s">
        <v>260</v>
      </c>
      <c r="GK78" s="1" t="s">
        <v>210</v>
      </c>
      <c r="GL78" s="2">
        <v>42060</v>
      </c>
      <c r="GM78" s="1" t="s">
        <v>1746</v>
      </c>
    </row>
    <row r="79" spans="1:195">
      <c r="A79" s="1">
        <v>108000</v>
      </c>
      <c r="B79" s="1" t="s">
        <v>195</v>
      </c>
      <c r="C79" s="1" t="str">
        <f>"08760079"</f>
        <v>08760079</v>
      </c>
      <c r="D79" s="1" t="s">
        <v>196</v>
      </c>
      <c r="F79" s="1" t="str">
        <f>"137"</f>
        <v>137</v>
      </c>
      <c r="G79" s="2">
        <v>41935</v>
      </c>
      <c r="H79" s="1">
        <v>119900</v>
      </c>
      <c r="I79" s="1">
        <v>119900</v>
      </c>
      <c r="J79" s="1">
        <v>108000</v>
      </c>
      <c r="K79" s="2">
        <v>41935</v>
      </c>
      <c r="L79" s="1">
        <v>75</v>
      </c>
      <c r="M79" s="2">
        <v>42009</v>
      </c>
      <c r="N79" s="1">
        <v>75</v>
      </c>
      <c r="O79" s="2">
        <v>42009</v>
      </c>
      <c r="P79" s="1">
        <v>25792</v>
      </c>
      <c r="Q79" s="1" t="s">
        <v>197</v>
      </c>
      <c r="R79" s="2">
        <v>42053</v>
      </c>
      <c r="S79" s="1">
        <v>222669</v>
      </c>
      <c r="U79" s="1">
        <v>450</v>
      </c>
      <c r="V79" s="1" t="s">
        <v>1101</v>
      </c>
      <c r="W79" s="1" t="s">
        <v>304</v>
      </c>
      <c r="X79" s="1" t="s">
        <v>1747</v>
      </c>
      <c r="Y79" s="1">
        <v>48</v>
      </c>
      <c r="Z79" s="1" t="s">
        <v>370</v>
      </c>
      <c r="AA79" s="1" t="s">
        <v>201</v>
      </c>
      <c r="AB79" s="1">
        <v>60137</v>
      </c>
      <c r="AD79" s="1" t="s">
        <v>1101</v>
      </c>
      <c r="AE79" s="1" t="s">
        <v>1748</v>
      </c>
      <c r="AF79" s="1">
        <v>1971</v>
      </c>
      <c r="AG79" s="1" t="s">
        <v>213</v>
      </c>
      <c r="AH79" s="1" t="s">
        <v>205</v>
      </c>
      <c r="AI79" s="1" t="s">
        <v>206</v>
      </c>
      <c r="AJ79" s="1" t="s">
        <v>207</v>
      </c>
      <c r="AL79" s="1">
        <v>5</v>
      </c>
      <c r="AM79" s="1">
        <v>2</v>
      </c>
      <c r="AN79" s="1">
        <v>2</v>
      </c>
      <c r="AO79" s="1">
        <v>0</v>
      </c>
      <c r="AP79" s="1" t="s">
        <v>209</v>
      </c>
      <c r="AQ79" s="1">
        <v>0</v>
      </c>
      <c r="AR79" s="1" t="s">
        <v>210</v>
      </c>
      <c r="AS79" s="1" t="s">
        <v>204</v>
      </c>
      <c r="AT79" s="1" t="s">
        <v>375</v>
      </c>
      <c r="AU79" s="1">
        <v>1</v>
      </c>
      <c r="AV79" s="1">
        <v>1</v>
      </c>
      <c r="AW79" s="1" t="s">
        <v>204</v>
      </c>
      <c r="AX79" s="1" t="s">
        <v>212</v>
      </c>
      <c r="AZ79" s="4">
        <v>2422.8000000000002</v>
      </c>
      <c r="BA79" s="1">
        <v>2013</v>
      </c>
      <c r="BB79" s="1" t="s">
        <v>599</v>
      </c>
      <c r="BE79" s="1">
        <v>1215</v>
      </c>
      <c r="BF79" s="1">
        <v>3</v>
      </c>
      <c r="BG79" s="1">
        <v>0</v>
      </c>
      <c r="BL79" s="1">
        <v>381</v>
      </c>
      <c r="BM79" s="1" t="s">
        <v>204</v>
      </c>
      <c r="BN79" s="1" t="s">
        <v>204</v>
      </c>
      <c r="BP79" s="1" t="s">
        <v>204</v>
      </c>
      <c r="BR79" s="1" t="str">
        <f>"0523321103"</f>
        <v>0523321103</v>
      </c>
      <c r="BT79" s="1" t="s">
        <v>1749</v>
      </c>
      <c r="BU79" s="1" t="s">
        <v>215</v>
      </c>
      <c r="BV79" s="1" t="s">
        <v>216</v>
      </c>
      <c r="BW79" s="1" t="s">
        <v>217</v>
      </c>
      <c r="BX79" s="1">
        <v>89</v>
      </c>
      <c r="BY79" s="1">
        <v>89</v>
      </c>
      <c r="BZ79" s="1">
        <v>87</v>
      </c>
      <c r="CB79" s="1" t="str">
        <f t="shared" ref="CB79:CC79" si="57">""</f>
        <v/>
      </c>
      <c r="CC79" s="1" t="str">
        <f t="shared" si="57"/>
        <v/>
      </c>
      <c r="CG79" s="1" t="s">
        <v>628</v>
      </c>
      <c r="CH79" s="1" t="s">
        <v>219</v>
      </c>
      <c r="CI79" s="1" t="s">
        <v>229</v>
      </c>
      <c r="CJ79" s="1" t="s">
        <v>210</v>
      </c>
      <c r="CK79" s="1" t="s">
        <v>315</v>
      </c>
      <c r="CL79" s="1" t="s">
        <v>219</v>
      </c>
      <c r="CM79" s="1" t="s">
        <v>220</v>
      </c>
      <c r="CN79" s="1" t="s">
        <v>210</v>
      </c>
      <c r="CO79" s="1" t="s">
        <v>346</v>
      </c>
      <c r="CP79" s="1" t="s">
        <v>219</v>
      </c>
      <c r="CQ79" s="1" t="s">
        <v>226</v>
      </c>
      <c r="CR79" s="1" t="s">
        <v>210</v>
      </c>
      <c r="CS79" s="1" t="s">
        <v>757</v>
      </c>
      <c r="CT79" s="1" t="s">
        <v>219</v>
      </c>
      <c r="CU79" s="1" t="s">
        <v>220</v>
      </c>
      <c r="CV79" s="1" t="s">
        <v>463</v>
      </c>
      <c r="CX79" s="1" t="s">
        <v>224</v>
      </c>
      <c r="DB79" s="1" t="s">
        <v>224</v>
      </c>
      <c r="DE79" s="1" t="s">
        <v>346</v>
      </c>
      <c r="DF79" s="1" t="s">
        <v>219</v>
      </c>
      <c r="DG79" s="1" t="s">
        <v>226</v>
      </c>
      <c r="DH79" s="1" t="s">
        <v>210</v>
      </c>
      <c r="DJ79" s="1" t="s">
        <v>224</v>
      </c>
      <c r="DM79" s="1" t="s">
        <v>709</v>
      </c>
      <c r="DR79" s="1" t="s">
        <v>1750</v>
      </c>
      <c r="DS79" s="1" t="s">
        <v>219</v>
      </c>
      <c r="DT79" s="1" t="s">
        <v>226</v>
      </c>
      <c r="DU79" s="1" t="s">
        <v>210</v>
      </c>
      <c r="DW79" s="1" t="s">
        <v>230</v>
      </c>
      <c r="EA79" s="1" t="s">
        <v>230</v>
      </c>
      <c r="EE79" s="1" t="s">
        <v>230</v>
      </c>
      <c r="EI79" s="1" t="s">
        <v>230</v>
      </c>
      <c r="EL79" s="1" t="s">
        <v>605</v>
      </c>
      <c r="EM79" s="1" t="s">
        <v>232</v>
      </c>
      <c r="EN79" s="1" t="s">
        <v>282</v>
      </c>
      <c r="EO79" s="1" t="s">
        <v>1020</v>
      </c>
      <c r="EP79" s="1" t="s">
        <v>1751</v>
      </c>
      <c r="ER79" s="1" t="s">
        <v>210</v>
      </c>
      <c r="ET79" s="1" t="s">
        <v>1752</v>
      </c>
      <c r="EU79" s="1" t="s">
        <v>239</v>
      </c>
      <c r="EW79" s="1" t="s">
        <v>1753</v>
      </c>
      <c r="EY79" s="1" t="s">
        <v>441</v>
      </c>
      <c r="EZ79" s="1" t="s">
        <v>709</v>
      </c>
      <c r="FA79" s="1" t="s">
        <v>1754</v>
      </c>
      <c r="FB79" s="1" t="s">
        <v>1755</v>
      </c>
      <c r="FC79" s="1" t="s">
        <v>1555</v>
      </c>
      <c r="FD79" s="1" t="s">
        <v>1112</v>
      </c>
      <c r="FE79" s="1" t="s">
        <v>247</v>
      </c>
      <c r="FF79" s="1" t="s">
        <v>387</v>
      </c>
      <c r="FH79" s="1" t="s">
        <v>1756</v>
      </c>
      <c r="FI79" s="1" t="s">
        <v>250</v>
      </c>
      <c r="FK79" s="1" t="s">
        <v>1757</v>
      </c>
      <c r="FL79" s="1" t="s">
        <v>358</v>
      </c>
      <c r="FM79" s="1" t="s">
        <v>252</v>
      </c>
      <c r="FN79" s="1" t="s">
        <v>213</v>
      </c>
      <c r="FO79" s="1" t="s">
        <v>213</v>
      </c>
      <c r="FQ79" s="1" t="s">
        <v>1758</v>
      </c>
      <c r="FR79" s="1" t="s">
        <v>210</v>
      </c>
      <c r="FS79" s="1" t="s">
        <v>1759</v>
      </c>
      <c r="FT79" s="1" t="s">
        <v>1760</v>
      </c>
      <c r="FU79" s="1" t="s">
        <v>204</v>
      </c>
      <c r="FW79" s="1" t="s">
        <v>915</v>
      </c>
      <c r="FX79" s="1">
        <v>25088</v>
      </c>
      <c r="FY79" s="1" t="s">
        <v>1761</v>
      </c>
      <c r="FZ79" s="1" t="s">
        <v>1762</v>
      </c>
      <c r="GA79" s="1">
        <v>253450</v>
      </c>
      <c r="GB79" s="1" t="s">
        <v>1763</v>
      </c>
      <c r="GE79" s="1" t="s">
        <v>1764</v>
      </c>
      <c r="GI79" s="1" t="s">
        <v>213</v>
      </c>
      <c r="GJ79" s="1" t="s">
        <v>260</v>
      </c>
      <c r="GK79" s="1" t="s">
        <v>210</v>
      </c>
      <c r="GL79" s="2">
        <v>42053</v>
      </c>
      <c r="GM79" s="1" t="s">
        <v>1765</v>
      </c>
    </row>
    <row r="80" spans="1:195">
      <c r="A80" s="1">
        <v>106900</v>
      </c>
      <c r="B80" s="1" t="s">
        <v>195</v>
      </c>
      <c r="C80" s="1" t="str">
        <f>"08760463"</f>
        <v>08760463</v>
      </c>
      <c r="D80" s="1" t="s">
        <v>196</v>
      </c>
      <c r="F80" s="1" t="str">
        <f>"104"</f>
        <v>104</v>
      </c>
      <c r="G80" s="2">
        <v>41935</v>
      </c>
      <c r="H80" s="1">
        <v>108900</v>
      </c>
      <c r="I80" s="1">
        <v>108900</v>
      </c>
      <c r="J80" s="1">
        <v>106900</v>
      </c>
      <c r="K80" s="2">
        <v>41935</v>
      </c>
      <c r="L80" s="1">
        <v>7</v>
      </c>
      <c r="M80" s="2">
        <v>41941</v>
      </c>
      <c r="N80" s="1">
        <v>7</v>
      </c>
      <c r="O80" s="2">
        <v>41941</v>
      </c>
      <c r="P80" s="1">
        <v>7535</v>
      </c>
      <c r="Q80" s="1" t="s">
        <v>197</v>
      </c>
      <c r="R80" s="2">
        <v>41976</v>
      </c>
      <c r="S80" s="1">
        <v>77131</v>
      </c>
      <c r="U80" s="1">
        <v>636</v>
      </c>
      <c r="V80" s="1" t="s">
        <v>1766</v>
      </c>
      <c r="W80" s="1" t="s">
        <v>304</v>
      </c>
      <c r="X80" s="1" t="s">
        <v>1767</v>
      </c>
      <c r="Y80" s="1">
        <v>8</v>
      </c>
      <c r="Z80" s="1" t="s">
        <v>249</v>
      </c>
      <c r="AA80" s="1" t="s">
        <v>371</v>
      </c>
      <c r="AB80" s="1">
        <v>60103</v>
      </c>
      <c r="AE80" s="1" t="s">
        <v>1768</v>
      </c>
      <c r="AF80" s="1">
        <v>1988</v>
      </c>
      <c r="AG80" s="1" t="s">
        <v>204</v>
      </c>
      <c r="AH80" s="1" t="s">
        <v>373</v>
      </c>
      <c r="AI80" s="1" t="s">
        <v>310</v>
      </c>
      <c r="AJ80" s="1" t="s">
        <v>374</v>
      </c>
      <c r="AL80" s="1">
        <v>5</v>
      </c>
      <c r="AM80" s="1">
        <v>2</v>
      </c>
      <c r="AN80" s="1">
        <v>2</v>
      </c>
      <c r="AO80" s="1">
        <v>0</v>
      </c>
      <c r="AP80" s="1" t="s">
        <v>209</v>
      </c>
      <c r="AR80" s="1" t="s">
        <v>210</v>
      </c>
      <c r="AS80" s="1" t="s">
        <v>204</v>
      </c>
      <c r="AT80" s="1" t="s">
        <v>211</v>
      </c>
      <c r="AU80" s="1">
        <v>1</v>
      </c>
      <c r="AW80" s="1" t="s">
        <v>204</v>
      </c>
      <c r="AX80" s="1">
        <v>0</v>
      </c>
      <c r="AZ80" s="1">
        <v>1403.66</v>
      </c>
      <c r="BA80" s="1">
        <v>2013</v>
      </c>
      <c r="BE80" s="1">
        <v>1250</v>
      </c>
      <c r="BF80" s="1">
        <v>2</v>
      </c>
      <c r="BG80" s="1">
        <v>0</v>
      </c>
      <c r="BL80" s="1">
        <v>263</v>
      </c>
      <c r="BM80" s="1" t="s">
        <v>204</v>
      </c>
      <c r="BN80" s="1" t="s">
        <v>213</v>
      </c>
      <c r="BO80" s="1">
        <v>25</v>
      </c>
      <c r="BP80" s="1" t="s">
        <v>204</v>
      </c>
      <c r="BR80" s="1" t="str">
        <f>"06354001171337"</f>
        <v>06354001171337</v>
      </c>
      <c r="BT80" s="1" t="s">
        <v>1769</v>
      </c>
      <c r="BX80" s="1">
        <v>46</v>
      </c>
      <c r="BY80" s="1">
        <v>46</v>
      </c>
      <c r="BZ80" s="1">
        <v>46</v>
      </c>
      <c r="CB80" s="1" t="str">
        <f t="shared" ref="CB80:CC80" si="58">""</f>
        <v/>
      </c>
      <c r="CC80" s="1" t="str">
        <f t="shared" si="58"/>
        <v/>
      </c>
      <c r="CG80" s="1" t="s">
        <v>885</v>
      </c>
      <c r="CH80" s="1" t="s">
        <v>277</v>
      </c>
      <c r="CI80" s="1" t="s">
        <v>220</v>
      </c>
      <c r="CK80" s="1" t="s">
        <v>1178</v>
      </c>
      <c r="CL80" s="1" t="s">
        <v>277</v>
      </c>
      <c r="CM80" s="1" t="s">
        <v>220</v>
      </c>
      <c r="CO80" s="1" t="s">
        <v>409</v>
      </c>
      <c r="CP80" s="1" t="s">
        <v>277</v>
      </c>
      <c r="CQ80" s="1" t="s">
        <v>220</v>
      </c>
      <c r="CS80" s="1" t="s">
        <v>318</v>
      </c>
      <c r="CT80" s="1" t="s">
        <v>277</v>
      </c>
      <c r="CU80" s="1" t="s">
        <v>220</v>
      </c>
      <c r="CX80" s="1" t="s">
        <v>224</v>
      </c>
      <c r="DB80" s="1" t="s">
        <v>224</v>
      </c>
      <c r="DE80" s="1" t="s">
        <v>409</v>
      </c>
      <c r="DF80" s="1" t="s">
        <v>277</v>
      </c>
      <c r="DJ80" s="1" t="s">
        <v>224</v>
      </c>
      <c r="DM80" s="1" t="s">
        <v>709</v>
      </c>
      <c r="DN80" s="1" t="s">
        <v>1770</v>
      </c>
      <c r="DO80" s="1" t="s">
        <v>1771</v>
      </c>
      <c r="DP80" s="1" t="s">
        <v>838</v>
      </c>
      <c r="DR80" s="1" t="s">
        <v>1772</v>
      </c>
      <c r="DS80" s="1" t="s">
        <v>277</v>
      </c>
      <c r="DV80" s="1" t="s">
        <v>1773</v>
      </c>
      <c r="DW80" s="1" t="s">
        <v>277</v>
      </c>
      <c r="DX80" s="1" t="s">
        <v>342</v>
      </c>
      <c r="DZ80" s="1" t="s">
        <v>1774</v>
      </c>
      <c r="EA80" s="1" t="s">
        <v>277</v>
      </c>
      <c r="ED80" s="1" t="s">
        <v>710</v>
      </c>
      <c r="EE80" s="1" t="s">
        <v>277</v>
      </c>
      <c r="EI80" s="1" t="s">
        <v>230</v>
      </c>
      <c r="EL80" s="1" t="s">
        <v>542</v>
      </c>
      <c r="EM80" s="1" t="s">
        <v>319</v>
      </c>
      <c r="EN80" s="1" t="s">
        <v>282</v>
      </c>
      <c r="EO80" s="1" t="s">
        <v>234</v>
      </c>
      <c r="ER80" s="1" t="s">
        <v>210</v>
      </c>
      <c r="EW80" s="1" t="s">
        <v>991</v>
      </c>
      <c r="EZ80" s="1" t="s">
        <v>1775</v>
      </c>
      <c r="FD80" s="1" t="s">
        <v>246</v>
      </c>
      <c r="FE80" s="1" t="s">
        <v>1031</v>
      </c>
      <c r="FF80" s="1" t="s">
        <v>248</v>
      </c>
      <c r="FH80" s="1" t="s">
        <v>249</v>
      </c>
      <c r="FJ80" s="1" t="s">
        <v>197</v>
      </c>
      <c r="FL80" s="1" t="s">
        <v>358</v>
      </c>
      <c r="FM80" s="1" t="s">
        <v>252</v>
      </c>
      <c r="FN80" s="1" t="s">
        <v>213</v>
      </c>
      <c r="FO80" s="1" t="s">
        <v>213</v>
      </c>
      <c r="FQ80" s="1" t="s">
        <v>1776</v>
      </c>
      <c r="FR80" s="1" t="s">
        <v>210</v>
      </c>
      <c r="FS80" s="1" t="s">
        <v>1777</v>
      </c>
      <c r="FT80" s="1" t="s">
        <v>1778</v>
      </c>
      <c r="FU80" s="1" t="s">
        <v>204</v>
      </c>
      <c r="FW80" s="1" t="s">
        <v>1779</v>
      </c>
      <c r="FX80" s="1">
        <v>18505</v>
      </c>
      <c r="FY80" s="1" t="s">
        <v>1780</v>
      </c>
      <c r="FZ80" s="1" t="s">
        <v>1781</v>
      </c>
      <c r="GA80" s="1">
        <v>864634</v>
      </c>
      <c r="GB80" s="1" t="s">
        <v>1782</v>
      </c>
      <c r="GE80" s="1" t="s">
        <v>210</v>
      </c>
      <c r="GI80" s="1" t="s">
        <v>204</v>
      </c>
      <c r="GJ80" s="1" t="s">
        <v>260</v>
      </c>
      <c r="GK80" s="1" t="s">
        <v>210</v>
      </c>
      <c r="GL80" s="2">
        <v>41977</v>
      </c>
      <c r="GM80" s="1" t="s">
        <v>1783</v>
      </c>
    </row>
    <row r="81" spans="1:195">
      <c r="A81" s="1">
        <v>209990</v>
      </c>
      <c r="B81" s="1" t="s">
        <v>195</v>
      </c>
      <c r="C81" s="1" t="str">
        <f>"08759407"</f>
        <v>08759407</v>
      </c>
      <c r="D81" s="1" t="s">
        <v>196</v>
      </c>
      <c r="F81" s="1" t="str">
        <f>"140"</f>
        <v>140</v>
      </c>
      <c r="G81" s="2">
        <v>41934</v>
      </c>
      <c r="H81" s="1">
        <v>214990</v>
      </c>
      <c r="I81" s="1">
        <v>209990</v>
      </c>
      <c r="J81" s="1">
        <v>209990</v>
      </c>
      <c r="K81" s="2">
        <v>41934</v>
      </c>
      <c r="L81" s="1">
        <v>99</v>
      </c>
      <c r="M81" s="2">
        <v>42032</v>
      </c>
      <c r="N81" s="1">
        <v>99</v>
      </c>
      <c r="O81" s="2">
        <v>42032</v>
      </c>
      <c r="P81" s="1">
        <v>504</v>
      </c>
      <c r="Q81" s="1" t="s">
        <v>197</v>
      </c>
      <c r="R81" s="2">
        <v>42061</v>
      </c>
      <c r="S81" s="1">
        <v>8048</v>
      </c>
      <c r="U81" s="1">
        <v>648</v>
      </c>
      <c r="V81" s="1" t="s">
        <v>1784</v>
      </c>
      <c r="W81" s="1" t="s">
        <v>449</v>
      </c>
      <c r="X81" s="1">
        <v>1481</v>
      </c>
      <c r="Y81" s="1">
        <v>2</v>
      </c>
      <c r="Z81" s="1" t="s">
        <v>370</v>
      </c>
      <c r="AA81" s="1" t="s">
        <v>744</v>
      </c>
      <c r="AB81" s="1">
        <v>60140</v>
      </c>
      <c r="AD81" s="1" t="s">
        <v>1449</v>
      </c>
      <c r="AE81" s="1" t="s">
        <v>1785</v>
      </c>
      <c r="AF81" s="1">
        <v>2014</v>
      </c>
      <c r="AG81" s="1" t="s">
        <v>204</v>
      </c>
      <c r="AH81" s="1" t="s">
        <v>747</v>
      </c>
      <c r="AI81" s="1" t="s">
        <v>665</v>
      </c>
      <c r="AJ81" s="1" t="s">
        <v>748</v>
      </c>
      <c r="AK81" s="1" t="s">
        <v>1786</v>
      </c>
      <c r="AL81" s="1">
        <v>7</v>
      </c>
      <c r="AM81" s="1">
        <v>2</v>
      </c>
      <c r="AN81" s="1">
        <v>2</v>
      </c>
      <c r="AO81" s="1">
        <v>0</v>
      </c>
      <c r="AP81" s="1" t="s">
        <v>209</v>
      </c>
      <c r="AR81" s="1" t="s">
        <v>210</v>
      </c>
      <c r="AS81" s="1" t="s">
        <v>204</v>
      </c>
      <c r="AT81" s="1" t="s">
        <v>211</v>
      </c>
      <c r="AU81" s="1">
        <v>2</v>
      </c>
      <c r="AW81" s="1" t="s">
        <v>204</v>
      </c>
      <c r="AX81" s="1" t="s">
        <v>1452</v>
      </c>
      <c r="AZ81" s="1" t="s">
        <v>751</v>
      </c>
      <c r="BA81" s="1">
        <v>2013</v>
      </c>
      <c r="BE81" s="1">
        <v>1800</v>
      </c>
      <c r="BF81" s="1">
        <v>1</v>
      </c>
      <c r="BG81" s="1">
        <v>0</v>
      </c>
      <c r="BL81" s="1">
        <v>186</v>
      </c>
      <c r="BM81" s="1" t="s">
        <v>204</v>
      </c>
      <c r="BN81" s="1" t="s">
        <v>213</v>
      </c>
      <c r="BO81" s="1">
        <v>999</v>
      </c>
      <c r="BP81" s="1" t="s">
        <v>213</v>
      </c>
      <c r="BQ81" s="2">
        <v>41934</v>
      </c>
      <c r="BR81" s="1" t="str">
        <f>"0228127052"</f>
        <v>0228127052</v>
      </c>
      <c r="BT81" s="1" t="s">
        <v>1787</v>
      </c>
      <c r="BX81" s="1">
        <v>300</v>
      </c>
      <c r="BY81" s="1">
        <v>300</v>
      </c>
      <c r="BZ81" s="1">
        <v>300</v>
      </c>
      <c r="CB81" s="1" t="str">
        <f t="shared" ref="CB81:CC81" si="59">""</f>
        <v/>
      </c>
      <c r="CC81" s="1" t="str">
        <f t="shared" si="59"/>
        <v/>
      </c>
      <c r="CG81" s="1" t="s">
        <v>602</v>
      </c>
      <c r="CH81" s="1" t="s">
        <v>219</v>
      </c>
      <c r="CI81" s="1" t="s">
        <v>438</v>
      </c>
      <c r="CK81" s="1" t="s">
        <v>1788</v>
      </c>
      <c r="CL81" s="1" t="s">
        <v>219</v>
      </c>
      <c r="CM81" s="1" t="s">
        <v>220</v>
      </c>
      <c r="CO81" s="1" t="s">
        <v>602</v>
      </c>
      <c r="CP81" s="1" t="s">
        <v>219</v>
      </c>
      <c r="CQ81" s="1" t="s">
        <v>438</v>
      </c>
      <c r="CS81" s="1" t="s">
        <v>1107</v>
      </c>
      <c r="CT81" s="1" t="s">
        <v>219</v>
      </c>
      <c r="CU81" s="1" t="s">
        <v>220</v>
      </c>
      <c r="CX81" s="1" t="s">
        <v>224</v>
      </c>
      <c r="DB81" s="1" t="s">
        <v>224</v>
      </c>
      <c r="DE81" s="1" t="s">
        <v>1107</v>
      </c>
      <c r="DF81" s="1" t="s">
        <v>219</v>
      </c>
      <c r="DG81" s="1" t="s">
        <v>438</v>
      </c>
      <c r="DJ81" s="1" t="s">
        <v>224</v>
      </c>
      <c r="DM81" s="1" t="s">
        <v>1005</v>
      </c>
      <c r="DN81" s="1" t="s">
        <v>1789</v>
      </c>
      <c r="DR81" s="1" t="s">
        <v>348</v>
      </c>
      <c r="DS81" s="1" t="s">
        <v>219</v>
      </c>
      <c r="DT81" s="1" t="s">
        <v>220</v>
      </c>
      <c r="DV81" s="1" t="s">
        <v>837</v>
      </c>
      <c r="DW81" s="1" t="s">
        <v>219</v>
      </c>
      <c r="DX81" s="1" t="s">
        <v>438</v>
      </c>
      <c r="EA81" s="1" t="s">
        <v>230</v>
      </c>
      <c r="EE81" s="1" t="s">
        <v>230</v>
      </c>
      <c r="EI81" s="1" t="s">
        <v>230</v>
      </c>
      <c r="EL81" s="1" t="s">
        <v>1455</v>
      </c>
      <c r="EM81" s="1" t="s">
        <v>319</v>
      </c>
      <c r="EN81" s="1" t="s">
        <v>282</v>
      </c>
      <c r="EO81" s="1" t="s">
        <v>234</v>
      </c>
      <c r="EP81" s="1" t="s">
        <v>1790</v>
      </c>
      <c r="ER81" s="1" t="s">
        <v>383</v>
      </c>
      <c r="ES81" s="1" t="s">
        <v>1791</v>
      </c>
      <c r="ET81" s="1" t="s">
        <v>238</v>
      </c>
      <c r="EU81" s="1" t="s">
        <v>610</v>
      </c>
      <c r="EV81" s="1" t="s">
        <v>240</v>
      </c>
      <c r="EW81" s="1" t="s">
        <v>1792</v>
      </c>
      <c r="EX81" s="1" t="s">
        <v>1793</v>
      </c>
      <c r="EY81" s="1" t="s">
        <v>790</v>
      </c>
      <c r="EZ81" s="1" t="s">
        <v>1794</v>
      </c>
      <c r="FD81" s="1" t="s">
        <v>246</v>
      </c>
      <c r="FE81" s="1" t="s">
        <v>975</v>
      </c>
      <c r="FF81" s="1" t="s">
        <v>248</v>
      </c>
      <c r="FH81" s="1" t="s">
        <v>442</v>
      </c>
      <c r="FI81" s="1" t="s">
        <v>357</v>
      </c>
      <c r="FL81" s="1" t="s">
        <v>358</v>
      </c>
      <c r="FM81" s="1" t="s">
        <v>252</v>
      </c>
      <c r="FN81" s="1" t="s">
        <v>213</v>
      </c>
      <c r="FO81" s="1" t="s">
        <v>213</v>
      </c>
      <c r="FQ81" s="1" t="s">
        <v>582</v>
      </c>
      <c r="FR81" s="1" t="s">
        <v>210</v>
      </c>
      <c r="FS81" s="1" t="s">
        <v>1795</v>
      </c>
      <c r="FT81" s="1" t="s">
        <v>771</v>
      </c>
      <c r="FU81" s="1" t="s">
        <v>204</v>
      </c>
      <c r="FW81" s="1" t="s">
        <v>772</v>
      </c>
      <c r="FX81" s="1">
        <v>92038</v>
      </c>
      <c r="FY81" s="1" t="s">
        <v>773</v>
      </c>
      <c r="FZ81" s="1" t="s">
        <v>774</v>
      </c>
      <c r="GA81" s="1">
        <v>21137</v>
      </c>
      <c r="GB81" s="1" t="s">
        <v>775</v>
      </c>
      <c r="GE81" s="1" t="s">
        <v>1796</v>
      </c>
      <c r="GI81" s="1" t="s">
        <v>204</v>
      </c>
      <c r="GJ81" s="1" t="s">
        <v>260</v>
      </c>
      <c r="GK81" s="1" t="s">
        <v>210</v>
      </c>
      <c r="GL81" s="2">
        <v>42064</v>
      </c>
      <c r="GM81" s="1" t="s">
        <v>1797</v>
      </c>
    </row>
    <row r="82" spans="1:195">
      <c r="A82" s="1">
        <v>125000</v>
      </c>
      <c r="B82" s="1" t="s">
        <v>195</v>
      </c>
      <c r="C82" s="1" t="str">
        <f>"08761100"</f>
        <v>08761100</v>
      </c>
      <c r="D82" s="1" t="s">
        <v>196</v>
      </c>
      <c r="F82" s="1" t="str">
        <f>"507"</f>
        <v>507</v>
      </c>
      <c r="G82" s="2">
        <v>41936</v>
      </c>
      <c r="H82" s="1">
        <v>138900</v>
      </c>
      <c r="I82" s="1">
        <v>129900</v>
      </c>
      <c r="J82" s="1">
        <v>125000</v>
      </c>
      <c r="K82" s="2">
        <v>41936</v>
      </c>
      <c r="L82" s="1">
        <v>55</v>
      </c>
      <c r="M82" s="2">
        <v>41990</v>
      </c>
      <c r="N82" s="1">
        <v>55</v>
      </c>
      <c r="O82" s="2">
        <v>41990</v>
      </c>
      <c r="P82" s="1">
        <v>23534</v>
      </c>
      <c r="Q82" s="1" t="s">
        <v>197</v>
      </c>
      <c r="R82" s="2">
        <v>42048</v>
      </c>
      <c r="S82" s="1">
        <v>259235</v>
      </c>
      <c r="T82" s="1">
        <v>3000</v>
      </c>
      <c r="U82" s="1">
        <v>1950</v>
      </c>
      <c r="V82" s="1" t="s">
        <v>1798</v>
      </c>
      <c r="W82" s="1" t="s">
        <v>264</v>
      </c>
      <c r="Y82" s="1">
        <v>6</v>
      </c>
      <c r="Z82" s="1" t="s">
        <v>249</v>
      </c>
      <c r="AA82" s="1" t="s">
        <v>1123</v>
      </c>
      <c r="AB82" s="1">
        <v>60503</v>
      </c>
      <c r="AE82" s="1" t="s">
        <v>1799</v>
      </c>
      <c r="AF82" s="1">
        <v>2000</v>
      </c>
      <c r="AG82" s="1" t="s">
        <v>204</v>
      </c>
      <c r="AH82" s="1" t="s">
        <v>1126</v>
      </c>
      <c r="AI82" s="1" t="s">
        <v>1800</v>
      </c>
      <c r="AJ82" s="1" t="s">
        <v>1801</v>
      </c>
      <c r="AL82" s="1">
        <v>6</v>
      </c>
      <c r="AM82" s="1">
        <v>2</v>
      </c>
      <c r="AN82" s="1">
        <v>2</v>
      </c>
      <c r="AO82" s="1">
        <v>1</v>
      </c>
      <c r="AP82" s="1" t="s">
        <v>209</v>
      </c>
      <c r="AR82" s="1" t="s">
        <v>209</v>
      </c>
      <c r="AS82" s="1" t="s">
        <v>204</v>
      </c>
      <c r="AT82" s="1" t="s">
        <v>211</v>
      </c>
      <c r="AU82" s="1">
        <v>2</v>
      </c>
      <c r="AW82" s="1" t="s">
        <v>204</v>
      </c>
      <c r="AX82" s="1" t="s">
        <v>212</v>
      </c>
      <c r="AZ82" s="1">
        <v>4808</v>
      </c>
      <c r="BA82" s="1">
        <v>2012</v>
      </c>
      <c r="BE82" s="1">
        <v>1562</v>
      </c>
      <c r="BF82" s="1">
        <v>1</v>
      </c>
      <c r="BG82" s="1">
        <v>30</v>
      </c>
      <c r="BL82" s="1">
        <v>184</v>
      </c>
      <c r="BM82" s="1" t="s">
        <v>204</v>
      </c>
      <c r="BN82" s="1" t="s">
        <v>213</v>
      </c>
      <c r="BO82" s="1">
        <v>999</v>
      </c>
      <c r="BP82" s="1" t="s">
        <v>204</v>
      </c>
      <c r="BR82" s="1" t="str">
        <f>"01051040831001"</f>
        <v>01051040831001</v>
      </c>
      <c r="BT82" s="1" t="s">
        <v>1802</v>
      </c>
      <c r="BX82" s="1">
        <v>308</v>
      </c>
      <c r="BY82" s="1">
        <v>308</v>
      </c>
      <c r="BZ82" s="1">
        <v>308</v>
      </c>
      <c r="CB82" s="1" t="str">
        <f t="shared" ref="CB82:CC82" si="60">""</f>
        <v/>
      </c>
      <c r="CC82" s="1" t="str">
        <f t="shared" si="60"/>
        <v/>
      </c>
      <c r="CG82" s="1" t="s">
        <v>315</v>
      </c>
      <c r="CH82" s="1" t="s">
        <v>219</v>
      </c>
      <c r="CK82" s="1" t="s">
        <v>278</v>
      </c>
      <c r="CL82" s="1" t="s">
        <v>277</v>
      </c>
      <c r="CO82" s="1" t="s">
        <v>409</v>
      </c>
      <c r="CP82" s="1" t="s">
        <v>219</v>
      </c>
      <c r="CS82" s="1" t="s">
        <v>379</v>
      </c>
      <c r="CT82" s="1" t="s">
        <v>277</v>
      </c>
      <c r="CX82" s="1" t="s">
        <v>224</v>
      </c>
      <c r="DB82" s="1" t="s">
        <v>224</v>
      </c>
      <c r="DE82" s="1" t="s">
        <v>316</v>
      </c>
      <c r="DF82" s="1" t="s">
        <v>219</v>
      </c>
      <c r="DI82" s="1" t="s">
        <v>1803</v>
      </c>
      <c r="DJ82" s="1" t="s">
        <v>43</v>
      </c>
      <c r="DS82" s="1" t="s">
        <v>230</v>
      </c>
      <c r="DW82" s="1" t="s">
        <v>230</v>
      </c>
      <c r="EA82" s="1" t="s">
        <v>230</v>
      </c>
      <c r="EE82" s="1" t="s">
        <v>230</v>
      </c>
      <c r="EI82" s="1" t="s">
        <v>230</v>
      </c>
      <c r="EL82" s="1" t="s">
        <v>466</v>
      </c>
      <c r="EM82" s="1" t="s">
        <v>319</v>
      </c>
      <c r="EN82" s="1" t="s">
        <v>282</v>
      </c>
      <c r="EO82" s="1" t="s">
        <v>234</v>
      </c>
      <c r="ER82" s="1" t="s">
        <v>544</v>
      </c>
      <c r="EW82" s="1" t="s">
        <v>1804</v>
      </c>
      <c r="EZ82" s="1" t="s">
        <v>287</v>
      </c>
      <c r="FD82" s="1" t="s">
        <v>246</v>
      </c>
      <c r="FE82" s="1" t="s">
        <v>355</v>
      </c>
      <c r="FF82" s="1" t="s">
        <v>248</v>
      </c>
      <c r="FH82" s="1" t="s">
        <v>550</v>
      </c>
      <c r="FL82" s="1" t="s">
        <v>358</v>
      </c>
      <c r="FM82" s="1" t="s">
        <v>252</v>
      </c>
      <c r="FN82" s="1" t="s">
        <v>213</v>
      </c>
      <c r="FO82" s="1" t="s">
        <v>213</v>
      </c>
      <c r="FQ82" s="1" t="s">
        <v>582</v>
      </c>
      <c r="FR82" s="1" t="s">
        <v>210</v>
      </c>
      <c r="FS82" s="1" t="s">
        <v>1805</v>
      </c>
      <c r="FT82" s="1" t="s">
        <v>584</v>
      </c>
      <c r="FU82" s="1" t="s">
        <v>204</v>
      </c>
      <c r="FW82" s="1" t="s">
        <v>1806</v>
      </c>
      <c r="FX82" s="1">
        <v>25196</v>
      </c>
      <c r="FY82" s="1" t="s">
        <v>1807</v>
      </c>
      <c r="FZ82" s="1" t="s">
        <v>1808</v>
      </c>
      <c r="GA82" s="1">
        <v>214545</v>
      </c>
      <c r="GB82" s="1" t="s">
        <v>1807</v>
      </c>
      <c r="GC82" s="1">
        <v>240114</v>
      </c>
      <c r="GE82" s="1" t="s">
        <v>480</v>
      </c>
      <c r="GI82" s="1" t="s">
        <v>213</v>
      </c>
      <c r="GJ82" s="1" t="s">
        <v>260</v>
      </c>
      <c r="GK82" s="1" t="s">
        <v>210</v>
      </c>
      <c r="GL82" s="2">
        <v>42051</v>
      </c>
      <c r="GM82" s="1" t="s">
        <v>1809</v>
      </c>
    </row>
    <row r="83" spans="1:195">
      <c r="A83" s="1">
        <v>132714</v>
      </c>
      <c r="B83" s="1" t="s">
        <v>195</v>
      </c>
      <c r="C83" s="1" t="str">
        <f>"08760936"</f>
        <v>08760936</v>
      </c>
      <c r="D83" s="1" t="s">
        <v>196</v>
      </c>
      <c r="F83" s="1" t="str">
        <f>"104"</f>
        <v>104</v>
      </c>
      <c r="G83" s="2">
        <v>41936</v>
      </c>
      <c r="H83" s="1">
        <v>179900</v>
      </c>
      <c r="I83" s="1">
        <v>149900</v>
      </c>
      <c r="J83" s="1">
        <v>132714</v>
      </c>
      <c r="K83" s="2">
        <v>41936</v>
      </c>
      <c r="L83" s="1">
        <v>91</v>
      </c>
      <c r="M83" s="2">
        <v>42026</v>
      </c>
      <c r="N83" s="1">
        <v>91</v>
      </c>
      <c r="O83" s="2">
        <v>42026</v>
      </c>
      <c r="P83" s="1">
        <v>4599</v>
      </c>
      <c r="Q83" s="1" t="s">
        <v>302</v>
      </c>
      <c r="R83" s="2">
        <v>42055</v>
      </c>
      <c r="S83" s="1">
        <v>33842</v>
      </c>
      <c r="U83" s="1">
        <v>241</v>
      </c>
      <c r="V83" s="1" t="s">
        <v>1810</v>
      </c>
      <c r="W83" s="1" t="s">
        <v>725</v>
      </c>
      <c r="X83" s="1">
        <v>202</v>
      </c>
      <c r="Y83" s="1">
        <v>16</v>
      </c>
      <c r="Z83" s="1" t="s">
        <v>249</v>
      </c>
      <c r="AA83" s="1" t="s">
        <v>371</v>
      </c>
      <c r="AB83" s="1">
        <v>60103</v>
      </c>
      <c r="AD83" s="1" t="s">
        <v>1811</v>
      </c>
      <c r="AE83" s="1" t="s">
        <v>1812</v>
      </c>
      <c r="AF83" s="1">
        <v>2005</v>
      </c>
      <c r="AG83" s="1" t="s">
        <v>204</v>
      </c>
      <c r="AH83" s="1" t="s">
        <v>373</v>
      </c>
      <c r="AI83" s="1" t="s">
        <v>310</v>
      </c>
      <c r="AJ83" s="1" t="s">
        <v>374</v>
      </c>
      <c r="AL83" s="1">
        <v>4</v>
      </c>
      <c r="AM83" s="1">
        <v>2</v>
      </c>
      <c r="AN83" s="1">
        <v>2</v>
      </c>
      <c r="AO83" s="1">
        <v>0</v>
      </c>
      <c r="AP83" s="1" t="s">
        <v>209</v>
      </c>
      <c r="AR83" s="1" t="s">
        <v>210</v>
      </c>
      <c r="AS83" s="1" t="s">
        <v>204</v>
      </c>
      <c r="AT83" s="1" t="s">
        <v>271</v>
      </c>
      <c r="AV83" s="1">
        <v>1</v>
      </c>
      <c r="AW83" s="1" t="s">
        <v>204</v>
      </c>
      <c r="AX83" s="1" t="s">
        <v>1813</v>
      </c>
      <c r="AZ83" s="1">
        <v>3815</v>
      </c>
      <c r="BA83" s="1">
        <v>2012</v>
      </c>
      <c r="BE83" s="1">
        <v>1250</v>
      </c>
      <c r="BF83" s="1">
        <v>2</v>
      </c>
      <c r="BG83" s="1">
        <v>0</v>
      </c>
      <c r="BL83" s="1">
        <v>268</v>
      </c>
      <c r="BM83" s="1" t="s">
        <v>204</v>
      </c>
      <c r="BN83" s="1" t="s">
        <v>213</v>
      </c>
      <c r="BO83" s="1">
        <v>75</v>
      </c>
      <c r="BP83" s="1" t="s">
        <v>204</v>
      </c>
      <c r="BR83" s="1" t="str">
        <f>"06344100181002"</f>
        <v>06344100181002</v>
      </c>
      <c r="BT83" s="1" t="s">
        <v>1814</v>
      </c>
      <c r="BU83" s="1" t="s">
        <v>1815</v>
      </c>
      <c r="BV83" s="1" t="s">
        <v>1816</v>
      </c>
      <c r="BW83" s="1" t="s">
        <v>1468</v>
      </c>
      <c r="BX83" s="1">
        <v>46</v>
      </c>
      <c r="BY83" s="1">
        <v>46</v>
      </c>
      <c r="BZ83" s="1">
        <v>46</v>
      </c>
      <c r="CB83" s="1" t="str">
        <f>"6"</f>
        <v>6</v>
      </c>
      <c r="CC83" s="1" t="str">
        <f>"0"</f>
        <v>0</v>
      </c>
      <c r="CD83" s="1">
        <v>25</v>
      </c>
      <c r="CE83" s="1">
        <v>0</v>
      </c>
      <c r="CG83" s="1" t="s">
        <v>1817</v>
      </c>
      <c r="CH83" s="1" t="s">
        <v>219</v>
      </c>
      <c r="CI83" s="1" t="s">
        <v>438</v>
      </c>
      <c r="CK83" s="1" t="s">
        <v>377</v>
      </c>
      <c r="CL83" s="1" t="s">
        <v>219</v>
      </c>
      <c r="CM83" s="1" t="s">
        <v>220</v>
      </c>
      <c r="CP83" s="1" t="s">
        <v>224</v>
      </c>
      <c r="CS83" s="1" t="s">
        <v>1358</v>
      </c>
      <c r="CT83" s="1" t="s">
        <v>219</v>
      </c>
      <c r="CU83" s="1" t="s">
        <v>220</v>
      </c>
      <c r="CX83" s="1" t="s">
        <v>224</v>
      </c>
      <c r="DB83" s="1" t="s">
        <v>224</v>
      </c>
      <c r="DE83" s="1" t="s">
        <v>409</v>
      </c>
      <c r="DF83" s="1" t="s">
        <v>219</v>
      </c>
      <c r="DG83" s="1" t="s">
        <v>438</v>
      </c>
      <c r="DJ83" s="1" t="s">
        <v>224</v>
      </c>
      <c r="DS83" s="1" t="s">
        <v>230</v>
      </c>
      <c r="DW83" s="1" t="s">
        <v>230</v>
      </c>
      <c r="EA83" s="1" t="s">
        <v>230</v>
      </c>
      <c r="EE83" s="1" t="s">
        <v>230</v>
      </c>
      <c r="EI83" s="1" t="s">
        <v>230</v>
      </c>
      <c r="EL83" s="1" t="s">
        <v>491</v>
      </c>
      <c r="EM83" s="1" t="s">
        <v>761</v>
      </c>
      <c r="EN83" s="1" t="s">
        <v>282</v>
      </c>
      <c r="EO83" s="1" t="s">
        <v>234</v>
      </c>
      <c r="EP83" s="1" t="s">
        <v>1818</v>
      </c>
      <c r="EQ83" s="1" t="s">
        <v>1819</v>
      </c>
      <c r="ER83" s="1" t="s">
        <v>210</v>
      </c>
      <c r="ES83" s="1" t="s">
        <v>493</v>
      </c>
      <c r="ET83" s="1" t="s">
        <v>238</v>
      </c>
      <c r="EU83" s="1" t="s">
        <v>1820</v>
      </c>
      <c r="EV83" s="1" t="s">
        <v>240</v>
      </c>
      <c r="EW83" s="1" t="s">
        <v>1821</v>
      </c>
      <c r="EY83" s="1" t="s">
        <v>790</v>
      </c>
      <c r="EZ83" s="1" t="s">
        <v>287</v>
      </c>
      <c r="FA83" s="1" t="s">
        <v>1822</v>
      </c>
      <c r="FB83" s="1" t="s">
        <v>289</v>
      </c>
      <c r="FC83" s="1" t="s">
        <v>1386</v>
      </c>
      <c r="FD83" s="1" t="s">
        <v>290</v>
      </c>
      <c r="FE83" s="1" t="s">
        <v>1823</v>
      </c>
      <c r="FF83" s="1" t="s">
        <v>248</v>
      </c>
      <c r="FH83" s="1" t="s">
        <v>1824</v>
      </c>
      <c r="FK83" s="1" t="s">
        <v>1825</v>
      </c>
      <c r="FL83" s="1" t="s">
        <v>1826</v>
      </c>
      <c r="FM83" s="1" t="s">
        <v>252</v>
      </c>
      <c r="FN83" s="1" t="s">
        <v>213</v>
      </c>
      <c r="FO83" s="1" t="s">
        <v>213</v>
      </c>
      <c r="FQ83" s="1" t="s">
        <v>1300</v>
      </c>
      <c r="FR83" s="1" t="s">
        <v>210</v>
      </c>
      <c r="FS83" s="1" t="s">
        <v>1827</v>
      </c>
      <c r="FT83" s="1" t="s">
        <v>1828</v>
      </c>
      <c r="FU83" s="1" t="s">
        <v>204</v>
      </c>
      <c r="FW83" s="1" t="s">
        <v>1097</v>
      </c>
      <c r="FX83" s="1">
        <v>8094</v>
      </c>
      <c r="FY83" s="1" t="s">
        <v>1829</v>
      </c>
      <c r="FZ83" s="1" t="s">
        <v>1830</v>
      </c>
      <c r="GA83" s="1">
        <v>28736</v>
      </c>
      <c r="GB83" s="1" t="s">
        <v>1831</v>
      </c>
      <c r="GE83" s="1" t="s">
        <v>658</v>
      </c>
      <c r="GH83" s="1" t="s">
        <v>421</v>
      </c>
      <c r="GI83" s="1" t="s">
        <v>204</v>
      </c>
      <c r="GJ83" s="1" t="s">
        <v>260</v>
      </c>
      <c r="GK83" s="1" t="s">
        <v>210</v>
      </c>
      <c r="GL83" s="2">
        <v>42055</v>
      </c>
      <c r="GM83" s="1" t="s">
        <v>1832</v>
      </c>
    </row>
    <row r="84" spans="1:195">
      <c r="A84" s="1">
        <v>110000</v>
      </c>
      <c r="B84" s="1" t="s">
        <v>195</v>
      </c>
      <c r="C84" s="1" t="str">
        <f>"08767007"</f>
        <v>08767007</v>
      </c>
      <c r="D84" s="1" t="s">
        <v>196</v>
      </c>
      <c r="F84" s="1" t="str">
        <f>"30"</f>
        <v>30</v>
      </c>
      <c r="G84" s="2">
        <v>41948</v>
      </c>
      <c r="H84" s="1">
        <v>120000</v>
      </c>
      <c r="I84" s="1">
        <v>120000</v>
      </c>
      <c r="J84" s="1">
        <v>110000</v>
      </c>
      <c r="K84" s="2">
        <v>41948</v>
      </c>
      <c r="L84" s="1">
        <v>63</v>
      </c>
      <c r="M84" s="2">
        <v>42010</v>
      </c>
      <c r="N84" s="1">
        <v>63</v>
      </c>
      <c r="O84" s="2">
        <v>42010</v>
      </c>
      <c r="P84" s="1">
        <v>2643</v>
      </c>
      <c r="Q84" s="1" t="s">
        <v>197</v>
      </c>
      <c r="R84" s="2">
        <v>42054</v>
      </c>
      <c r="S84" s="1">
        <v>20245</v>
      </c>
      <c r="U84" s="1">
        <v>1412</v>
      </c>
      <c r="V84" s="1" t="s">
        <v>1833</v>
      </c>
      <c r="W84" s="1" t="s">
        <v>504</v>
      </c>
      <c r="Y84" s="1">
        <v>6</v>
      </c>
      <c r="Z84" s="1" t="s">
        <v>370</v>
      </c>
      <c r="AA84" s="1" t="s">
        <v>1834</v>
      </c>
      <c r="AB84" s="1">
        <v>60030</v>
      </c>
      <c r="AD84" s="1" t="s">
        <v>1835</v>
      </c>
      <c r="AE84" s="1" t="s">
        <v>1836</v>
      </c>
      <c r="AF84" s="1">
        <v>1997</v>
      </c>
      <c r="AG84" s="1" t="s">
        <v>204</v>
      </c>
      <c r="AH84" s="1" t="s">
        <v>1837</v>
      </c>
      <c r="AI84" s="1" t="s">
        <v>509</v>
      </c>
      <c r="AJ84" s="1" t="s">
        <v>1263</v>
      </c>
      <c r="AK84" s="1" t="s">
        <v>1838</v>
      </c>
      <c r="AL84" s="1">
        <v>5</v>
      </c>
      <c r="AM84" s="1">
        <v>2</v>
      </c>
      <c r="AN84" s="1">
        <v>1</v>
      </c>
      <c r="AO84" s="1">
        <v>1</v>
      </c>
      <c r="AP84" s="1" t="s">
        <v>210</v>
      </c>
      <c r="AR84" s="1" t="s">
        <v>210</v>
      </c>
      <c r="AS84" s="1" t="s">
        <v>204</v>
      </c>
      <c r="AT84" s="1" t="s">
        <v>211</v>
      </c>
      <c r="AU84" s="1">
        <v>1</v>
      </c>
      <c r="AW84" s="1" t="s">
        <v>204</v>
      </c>
      <c r="AX84" s="1" t="s">
        <v>1839</v>
      </c>
      <c r="AZ84" s="1">
        <v>3357</v>
      </c>
      <c r="BA84" s="1">
        <v>2013</v>
      </c>
      <c r="BB84" s="1" t="s">
        <v>405</v>
      </c>
      <c r="BE84" s="1">
        <v>1291</v>
      </c>
      <c r="BF84" s="1">
        <v>1</v>
      </c>
      <c r="BG84" s="1">
        <v>30</v>
      </c>
      <c r="BL84" s="1">
        <v>128</v>
      </c>
      <c r="BM84" s="1" t="s">
        <v>204</v>
      </c>
      <c r="BN84" s="1" t="s">
        <v>213</v>
      </c>
      <c r="BO84" s="1">
        <v>999</v>
      </c>
      <c r="BP84" s="1" t="s">
        <v>204</v>
      </c>
      <c r="BR84" s="1" t="str">
        <f>"06222094000000"</f>
        <v>06222094000000</v>
      </c>
      <c r="BT84" s="1" t="s">
        <v>1840</v>
      </c>
      <c r="BU84" s="1" t="s">
        <v>1841</v>
      </c>
      <c r="BV84" s="1" t="s">
        <v>1842</v>
      </c>
      <c r="BW84" s="1" t="s">
        <v>1843</v>
      </c>
      <c r="BX84" s="1">
        <v>46</v>
      </c>
      <c r="BY84" s="1">
        <v>46</v>
      </c>
      <c r="BZ84" s="1">
        <v>127</v>
      </c>
      <c r="CB84" s="1" t="str">
        <f t="shared" ref="CB84:CC84" si="61">""</f>
        <v/>
      </c>
      <c r="CC84" s="1" t="str">
        <f t="shared" si="61"/>
        <v/>
      </c>
      <c r="CG84" s="1" t="s">
        <v>564</v>
      </c>
      <c r="CH84" s="1" t="s">
        <v>219</v>
      </c>
      <c r="CI84" s="1" t="s">
        <v>438</v>
      </c>
      <c r="CJ84" s="1" t="s">
        <v>343</v>
      </c>
      <c r="CK84" s="1" t="s">
        <v>564</v>
      </c>
      <c r="CL84" s="1" t="s">
        <v>277</v>
      </c>
      <c r="CM84" s="1" t="s">
        <v>220</v>
      </c>
      <c r="CN84" s="1" t="s">
        <v>343</v>
      </c>
      <c r="CO84" s="1" t="s">
        <v>785</v>
      </c>
      <c r="CP84" s="1" t="s">
        <v>219</v>
      </c>
      <c r="CQ84" s="1" t="s">
        <v>438</v>
      </c>
      <c r="CR84" s="1" t="s">
        <v>343</v>
      </c>
      <c r="CS84" s="1" t="s">
        <v>465</v>
      </c>
      <c r="CT84" s="1" t="s">
        <v>277</v>
      </c>
      <c r="CU84" s="1" t="s">
        <v>220</v>
      </c>
      <c r="CV84" s="1" t="s">
        <v>343</v>
      </c>
      <c r="CX84" s="1" t="s">
        <v>224</v>
      </c>
      <c r="DB84" s="1" t="s">
        <v>224</v>
      </c>
      <c r="DE84" s="1" t="s">
        <v>346</v>
      </c>
      <c r="DF84" s="1" t="s">
        <v>219</v>
      </c>
      <c r="DG84" s="1" t="s">
        <v>438</v>
      </c>
      <c r="DJ84" s="1" t="s">
        <v>224</v>
      </c>
      <c r="DS84" s="1" t="s">
        <v>230</v>
      </c>
      <c r="DW84" s="1" t="s">
        <v>230</v>
      </c>
      <c r="EA84" s="1" t="s">
        <v>230</v>
      </c>
      <c r="EE84" s="1" t="s">
        <v>230</v>
      </c>
      <c r="EI84" s="1" t="s">
        <v>230</v>
      </c>
      <c r="EL84" s="1" t="s">
        <v>670</v>
      </c>
      <c r="EM84" s="1" t="s">
        <v>232</v>
      </c>
      <c r="EN84" s="1" t="s">
        <v>282</v>
      </c>
      <c r="EO84" s="1" t="s">
        <v>234</v>
      </c>
      <c r="EP84" s="1" t="s">
        <v>650</v>
      </c>
      <c r="EQ84" s="1" t="s">
        <v>236</v>
      </c>
      <c r="ER84" s="1" t="s">
        <v>210</v>
      </c>
      <c r="ES84" s="1" t="s">
        <v>322</v>
      </c>
      <c r="EV84" s="1" t="s">
        <v>324</v>
      </c>
      <c r="EW84" s="1" t="s">
        <v>867</v>
      </c>
      <c r="EY84" s="1" t="s">
        <v>242</v>
      </c>
      <c r="EZ84" s="1" t="s">
        <v>287</v>
      </c>
      <c r="FA84" s="1" t="s">
        <v>714</v>
      </c>
      <c r="FB84" s="1" t="s">
        <v>289</v>
      </c>
      <c r="FD84" s="1" t="s">
        <v>246</v>
      </c>
      <c r="FE84" s="1" t="s">
        <v>472</v>
      </c>
      <c r="FF84" s="1" t="s">
        <v>248</v>
      </c>
      <c r="FH84" s="1" t="s">
        <v>550</v>
      </c>
      <c r="FI84" s="1" t="s">
        <v>473</v>
      </c>
      <c r="FJ84" s="1" t="s">
        <v>518</v>
      </c>
      <c r="FL84" s="1" t="s">
        <v>414</v>
      </c>
      <c r="FM84" s="1" t="s">
        <v>252</v>
      </c>
      <c r="FN84" s="1" t="s">
        <v>213</v>
      </c>
      <c r="FO84" s="1" t="s">
        <v>213</v>
      </c>
      <c r="FQ84" s="1" t="s">
        <v>793</v>
      </c>
      <c r="FR84" s="1" t="s">
        <v>210</v>
      </c>
      <c r="FS84" s="1" t="s">
        <v>1844</v>
      </c>
      <c r="FT84" s="1" t="s">
        <v>1845</v>
      </c>
      <c r="FU84" s="1" t="s">
        <v>204</v>
      </c>
      <c r="FW84" s="1" t="s">
        <v>585</v>
      </c>
      <c r="FX84" s="1">
        <v>1837</v>
      </c>
      <c r="FY84" s="1" t="s">
        <v>1223</v>
      </c>
      <c r="FZ84" s="1" t="s">
        <v>1846</v>
      </c>
      <c r="GA84" s="1">
        <v>241088</v>
      </c>
      <c r="GB84" s="1" t="s">
        <v>1847</v>
      </c>
      <c r="GE84" s="1" t="s">
        <v>1256</v>
      </c>
      <c r="GI84" s="1" t="s">
        <v>213</v>
      </c>
      <c r="GJ84" s="1" t="s">
        <v>260</v>
      </c>
      <c r="GK84" s="1" t="s">
        <v>210</v>
      </c>
      <c r="GL84" s="2">
        <v>42054</v>
      </c>
      <c r="GM84" s="1" t="s">
        <v>1848</v>
      </c>
    </row>
    <row r="85" spans="1:195">
      <c r="A85" s="1">
        <v>60190</v>
      </c>
      <c r="B85" s="1" t="s">
        <v>195</v>
      </c>
      <c r="C85" s="1" t="str">
        <f>"08769178"</f>
        <v>08769178</v>
      </c>
      <c r="D85" s="1" t="s">
        <v>196</v>
      </c>
      <c r="F85" s="1" t="str">
        <f>"103"</f>
        <v>103</v>
      </c>
      <c r="G85" s="2">
        <v>41948</v>
      </c>
      <c r="H85" s="1">
        <v>60000</v>
      </c>
      <c r="I85" s="1">
        <v>60000</v>
      </c>
      <c r="J85" s="1">
        <v>60190</v>
      </c>
      <c r="K85" s="2">
        <v>41948</v>
      </c>
      <c r="L85" s="1">
        <v>77</v>
      </c>
      <c r="M85" s="2">
        <v>42024</v>
      </c>
      <c r="N85" s="1">
        <v>77</v>
      </c>
      <c r="O85" s="2">
        <v>42024</v>
      </c>
      <c r="P85" s="1">
        <v>25072</v>
      </c>
      <c r="Q85" s="1" t="s">
        <v>302</v>
      </c>
      <c r="R85" s="2">
        <v>42110</v>
      </c>
      <c r="S85" s="1">
        <v>256433</v>
      </c>
      <c r="U85" s="1">
        <v>6019</v>
      </c>
      <c r="V85" s="1" t="s">
        <v>1849</v>
      </c>
      <c r="W85" s="1" t="s">
        <v>264</v>
      </c>
      <c r="Y85" s="1">
        <v>4</v>
      </c>
      <c r="Z85" s="1" t="s">
        <v>370</v>
      </c>
      <c r="AA85" s="1" t="s">
        <v>337</v>
      </c>
      <c r="AB85" s="1">
        <v>60133</v>
      </c>
      <c r="AD85" s="1" t="s">
        <v>1850</v>
      </c>
      <c r="AE85" s="1" t="s">
        <v>1851</v>
      </c>
      <c r="AF85" s="1">
        <v>1972</v>
      </c>
      <c r="AG85" s="1" t="s">
        <v>213</v>
      </c>
      <c r="AH85" s="1" t="s">
        <v>339</v>
      </c>
      <c r="AI85" s="1" t="s">
        <v>206</v>
      </c>
      <c r="AJ85" s="1" t="s">
        <v>269</v>
      </c>
      <c r="AL85" s="1">
        <v>5</v>
      </c>
      <c r="AM85" s="1">
        <v>2</v>
      </c>
      <c r="AN85" s="1">
        <v>1</v>
      </c>
      <c r="AO85" s="1">
        <v>0</v>
      </c>
      <c r="AP85" s="1" t="s">
        <v>210</v>
      </c>
      <c r="AR85" s="1" t="s">
        <v>210</v>
      </c>
      <c r="AT85" s="1" t="s">
        <v>211</v>
      </c>
      <c r="AU85" s="1">
        <v>1</v>
      </c>
      <c r="AW85" s="1" t="s">
        <v>204</v>
      </c>
      <c r="AX85" s="1" t="s">
        <v>579</v>
      </c>
      <c r="AZ85" s="1">
        <v>2339</v>
      </c>
      <c r="BA85" s="1">
        <v>2013</v>
      </c>
      <c r="BB85" s="1" t="s">
        <v>405</v>
      </c>
      <c r="BE85" s="1">
        <v>889</v>
      </c>
      <c r="BF85" s="1">
        <v>1</v>
      </c>
      <c r="BG85" s="1">
        <v>0</v>
      </c>
      <c r="BL85" s="1">
        <v>132</v>
      </c>
      <c r="BM85" s="1" t="s">
        <v>213</v>
      </c>
      <c r="BN85" s="1" t="s">
        <v>213</v>
      </c>
      <c r="BO85" s="1">
        <v>999</v>
      </c>
      <c r="BP85" s="1" t="s">
        <v>204</v>
      </c>
      <c r="BR85" s="1" t="str">
        <f>"0206104053"</f>
        <v>0206104053</v>
      </c>
      <c r="BT85" s="1" t="s">
        <v>1852</v>
      </c>
      <c r="BX85" s="1">
        <v>20</v>
      </c>
      <c r="BY85" s="1">
        <v>20</v>
      </c>
      <c r="BZ85" s="1">
        <v>108</v>
      </c>
      <c r="CB85" s="1" t="str">
        <f t="shared" ref="CB85:CC85" si="62">""</f>
        <v/>
      </c>
      <c r="CC85" s="1" t="str">
        <f t="shared" si="62"/>
        <v/>
      </c>
      <c r="CG85" s="1" t="s">
        <v>1853</v>
      </c>
      <c r="CH85" s="1" t="s">
        <v>219</v>
      </c>
      <c r="CI85" s="1" t="s">
        <v>229</v>
      </c>
      <c r="CK85" s="1" t="s">
        <v>1854</v>
      </c>
      <c r="CL85" s="1" t="s">
        <v>219</v>
      </c>
      <c r="CM85" s="1" t="s">
        <v>347</v>
      </c>
      <c r="CO85" s="1" t="s">
        <v>345</v>
      </c>
      <c r="CP85" s="1" t="s">
        <v>219</v>
      </c>
      <c r="CQ85" s="1" t="s">
        <v>229</v>
      </c>
      <c r="CS85" s="1" t="s">
        <v>836</v>
      </c>
      <c r="CT85" s="1" t="s">
        <v>219</v>
      </c>
      <c r="CU85" s="1" t="s">
        <v>229</v>
      </c>
      <c r="CX85" s="1" t="s">
        <v>224</v>
      </c>
      <c r="DB85" s="1" t="s">
        <v>224</v>
      </c>
      <c r="DE85" s="1" t="s">
        <v>1855</v>
      </c>
      <c r="DF85" s="1" t="s">
        <v>219</v>
      </c>
      <c r="DG85" s="1" t="s">
        <v>229</v>
      </c>
      <c r="DJ85" s="1" t="s">
        <v>224</v>
      </c>
      <c r="DS85" s="1" t="s">
        <v>230</v>
      </c>
      <c r="DW85" s="1" t="s">
        <v>230</v>
      </c>
      <c r="EA85" s="1" t="s">
        <v>230</v>
      </c>
      <c r="EE85" s="1" t="s">
        <v>230</v>
      </c>
      <c r="EI85" s="1" t="s">
        <v>230</v>
      </c>
      <c r="EL85" s="1" t="s">
        <v>605</v>
      </c>
      <c r="EM85" s="1" t="s">
        <v>319</v>
      </c>
      <c r="EN85" s="1" t="s">
        <v>282</v>
      </c>
      <c r="EO85" s="1" t="s">
        <v>234</v>
      </c>
      <c r="ER85" s="1" t="s">
        <v>210</v>
      </c>
      <c r="ES85" s="1" t="s">
        <v>545</v>
      </c>
      <c r="EU85" s="1" t="s">
        <v>239</v>
      </c>
      <c r="EV85" s="1" t="s">
        <v>324</v>
      </c>
      <c r="EW85" s="1" t="s">
        <v>517</v>
      </c>
      <c r="EZ85" s="1" t="s">
        <v>287</v>
      </c>
      <c r="FA85" s="1" t="s">
        <v>471</v>
      </c>
      <c r="FB85" s="1" t="s">
        <v>289</v>
      </c>
      <c r="FD85" s="1" t="s">
        <v>495</v>
      </c>
      <c r="FE85" s="1" t="s">
        <v>975</v>
      </c>
      <c r="FF85" s="1" t="s">
        <v>248</v>
      </c>
      <c r="FH85" s="1" t="s">
        <v>825</v>
      </c>
      <c r="FL85" s="1" t="s">
        <v>358</v>
      </c>
      <c r="FM85" s="1" t="s">
        <v>252</v>
      </c>
      <c r="FN85" s="1" t="s">
        <v>213</v>
      </c>
      <c r="FO85" s="1" t="s">
        <v>213</v>
      </c>
      <c r="FQ85" s="1" t="s">
        <v>689</v>
      </c>
      <c r="FR85" s="1" t="s">
        <v>652</v>
      </c>
      <c r="FS85" s="1" t="s">
        <v>1856</v>
      </c>
      <c r="FT85" s="1" t="s">
        <v>654</v>
      </c>
      <c r="FU85" s="1" t="s">
        <v>204</v>
      </c>
      <c r="FW85" s="1" t="s">
        <v>1857</v>
      </c>
      <c r="FX85" s="1">
        <v>22993</v>
      </c>
      <c r="FY85" s="1" t="s">
        <v>1858</v>
      </c>
      <c r="FZ85" s="1" t="s">
        <v>1859</v>
      </c>
      <c r="GA85" s="1">
        <v>233401</v>
      </c>
      <c r="GB85" s="1" t="s">
        <v>1858</v>
      </c>
      <c r="GD85" s="1" t="s">
        <v>1860</v>
      </c>
      <c r="GE85" s="1" t="s">
        <v>210</v>
      </c>
      <c r="GI85" s="1" t="s">
        <v>213</v>
      </c>
      <c r="GJ85" s="1" t="s">
        <v>260</v>
      </c>
      <c r="GK85" s="1" t="s">
        <v>210</v>
      </c>
      <c r="GL85" s="2">
        <v>42110</v>
      </c>
      <c r="GM85" s="1" t="s">
        <v>1861</v>
      </c>
    </row>
    <row r="86" spans="1:195">
      <c r="A86" s="1">
        <v>222500</v>
      </c>
      <c r="B86" s="1" t="s">
        <v>195</v>
      </c>
      <c r="C86" s="1" t="str">
        <f>"08761834"</f>
        <v>08761834</v>
      </c>
      <c r="D86" s="1" t="s">
        <v>196</v>
      </c>
      <c r="F86" s="1" t="str">
        <f>"507"</f>
        <v>507</v>
      </c>
      <c r="G86" s="2">
        <v>41938</v>
      </c>
      <c r="H86" s="1">
        <v>234900</v>
      </c>
      <c r="I86" s="1">
        <v>224900</v>
      </c>
      <c r="J86" s="1">
        <v>222500</v>
      </c>
      <c r="K86" s="2">
        <v>41936</v>
      </c>
      <c r="L86" s="1">
        <v>60</v>
      </c>
      <c r="M86" s="2">
        <v>41995</v>
      </c>
      <c r="N86" s="1">
        <v>60</v>
      </c>
      <c r="O86" s="2">
        <v>41995</v>
      </c>
      <c r="P86" s="1">
        <v>23265</v>
      </c>
      <c r="Q86" s="1" t="s">
        <v>302</v>
      </c>
      <c r="R86" s="2">
        <v>42034</v>
      </c>
      <c r="S86" s="1">
        <v>221731</v>
      </c>
      <c r="U86" s="1">
        <v>4196</v>
      </c>
      <c r="V86" s="1" t="s">
        <v>1862</v>
      </c>
      <c r="W86" s="1" t="s">
        <v>504</v>
      </c>
      <c r="Y86" s="1">
        <v>6</v>
      </c>
      <c r="Z86" s="1" t="s">
        <v>370</v>
      </c>
      <c r="AA86" s="1" t="s">
        <v>1123</v>
      </c>
      <c r="AB86" s="1">
        <v>60504</v>
      </c>
      <c r="AD86" s="1" t="s">
        <v>1863</v>
      </c>
      <c r="AE86" s="1" t="s">
        <v>1864</v>
      </c>
      <c r="AF86" s="1">
        <v>2006</v>
      </c>
      <c r="AG86" s="1" t="s">
        <v>204</v>
      </c>
      <c r="AH86" s="1" t="s">
        <v>1126</v>
      </c>
      <c r="AI86" s="1" t="s">
        <v>206</v>
      </c>
      <c r="AJ86" s="1" t="s">
        <v>924</v>
      </c>
      <c r="AK86" s="1" t="s">
        <v>1865</v>
      </c>
      <c r="AL86" s="1">
        <v>7</v>
      </c>
      <c r="AM86" s="1">
        <v>2</v>
      </c>
      <c r="AN86" s="1">
        <v>2</v>
      </c>
      <c r="AO86" s="1">
        <v>1</v>
      </c>
      <c r="AP86" s="1" t="s">
        <v>209</v>
      </c>
      <c r="AQ86" s="1">
        <v>0</v>
      </c>
      <c r="AR86" s="1" t="s">
        <v>1421</v>
      </c>
      <c r="AS86" s="1" t="s">
        <v>204</v>
      </c>
      <c r="AT86" s="1" t="s">
        <v>211</v>
      </c>
      <c r="AU86" s="1">
        <v>2</v>
      </c>
      <c r="AW86" s="1" t="s">
        <v>204</v>
      </c>
      <c r="AX86" s="1" t="s">
        <v>212</v>
      </c>
      <c r="AZ86" s="1">
        <v>5246</v>
      </c>
      <c r="BA86" s="1">
        <v>2013</v>
      </c>
      <c r="BB86" s="1" t="s">
        <v>405</v>
      </c>
      <c r="BE86" s="1">
        <v>1598</v>
      </c>
      <c r="BF86" s="1">
        <v>1</v>
      </c>
      <c r="BG86" s="1">
        <v>0</v>
      </c>
      <c r="BL86" s="1">
        <v>175</v>
      </c>
      <c r="BM86" s="1" t="s">
        <v>204</v>
      </c>
      <c r="BN86" s="1" t="s">
        <v>213</v>
      </c>
      <c r="BO86" s="1">
        <v>999</v>
      </c>
      <c r="BP86" s="1" t="s">
        <v>204</v>
      </c>
      <c r="BR86" s="1" t="str">
        <f>"0721211033"</f>
        <v>0721211033</v>
      </c>
      <c r="BT86" s="1" t="s">
        <v>1866</v>
      </c>
      <c r="BX86" s="1">
        <v>204</v>
      </c>
      <c r="BY86" s="1">
        <v>204</v>
      </c>
      <c r="BZ86" s="1">
        <v>204</v>
      </c>
      <c r="CB86" s="1" t="str">
        <f t="shared" ref="CB86:CC86" si="63">"0"</f>
        <v>0</v>
      </c>
      <c r="CC86" s="1" t="str">
        <f t="shared" si="63"/>
        <v>0</v>
      </c>
      <c r="CD86" s="1">
        <v>30</v>
      </c>
      <c r="CE86" s="1">
        <v>6</v>
      </c>
      <c r="CG86" s="1" t="s">
        <v>669</v>
      </c>
      <c r="CH86" s="1" t="s">
        <v>219</v>
      </c>
      <c r="CI86" s="1" t="s">
        <v>220</v>
      </c>
      <c r="CJ86" s="1" t="s">
        <v>343</v>
      </c>
      <c r="CK86" s="1" t="s">
        <v>315</v>
      </c>
      <c r="CL86" s="1" t="s">
        <v>277</v>
      </c>
      <c r="CM86" s="1" t="s">
        <v>220</v>
      </c>
      <c r="CN86" s="1" t="s">
        <v>343</v>
      </c>
      <c r="CO86" s="1" t="s">
        <v>318</v>
      </c>
      <c r="CP86" s="1" t="s">
        <v>219</v>
      </c>
      <c r="CQ86" s="1" t="s">
        <v>438</v>
      </c>
      <c r="CR86" s="1" t="s">
        <v>343</v>
      </c>
      <c r="CS86" s="1" t="s">
        <v>408</v>
      </c>
      <c r="CT86" s="1" t="s">
        <v>277</v>
      </c>
      <c r="CU86" s="1" t="s">
        <v>220</v>
      </c>
      <c r="CV86" s="1" t="s">
        <v>343</v>
      </c>
      <c r="CX86" s="1" t="s">
        <v>224</v>
      </c>
      <c r="DB86" s="1" t="s">
        <v>224</v>
      </c>
      <c r="DE86" s="1" t="s">
        <v>1454</v>
      </c>
      <c r="DF86" s="1" t="s">
        <v>219</v>
      </c>
      <c r="DG86" s="1" t="s">
        <v>438</v>
      </c>
      <c r="DH86" s="1" t="s">
        <v>343</v>
      </c>
      <c r="DI86" s="1" t="s">
        <v>786</v>
      </c>
      <c r="DJ86" s="1" t="s">
        <v>822</v>
      </c>
      <c r="DK86" s="1" t="s">
        <v>220</v>
      </c>
      <c r="DL86" s="1" t="s">
        <v>343</v>
      </c>
      <c r="DM86" s="1" t="s">
        <v>464</v>
      </c>
      <c r="DR86" s="1" t="s">
        <v>408</v>
      </c>
      <c r="DS86" s="1" t="s">
        <v>277</v>
      </c>
      <c r="DT86" s="1" t="s">
        <v>220</v>
      </c>
      <c r="DU86" s="1" t="s">
        <v>343</v>
      </c>
      <c r="DW86" s="1" t="s">
        <v>230</v>
      </c>
      <c r="EA86" s="1" t="s">
        <v>230</v>
      </c>
      <c r="EE86" s="1" t="s">
        <v>230</v>
      </c>
      <c r="EI86" s="1" t="s">
        <v>230</v>
      </c>
      <c r="EL86" s="1" t="s">
        <v>491</v>
      </c>
      <c r="EM86" s="1" t="s">
        <v>319</v>
      </c>
      <c r="EN86" s="1" t="s">
        <v>282</v>
      </c>
      <c r="EO86" s="1" t="s">
        <v>234</v>
      </c>
      <c r="EP86" s="1" t="s">
        <v>650</v>
      </c>
      <c r="EQ86" s="1" t="s">
        <v>1867</v>
      </c>
      <c r="ER86" s="1" t="s">
        <v>544</v>
      </c>
      <c r="ES86" s="1" t="s">
        <v>1868</v>
      </c>
      <c r="ET86" s="1" t="s">
        <v>1869</v>
      </c>
      <c r="EU86" s="1" t="s">
        <v>1491</v>
      </c>
      <c r="EV86" s="1" t="s">
        <v>324</v>
      </c>
      <c r="EW86" s="1" t="s">
        <v>937</v>
      </c>
      <c r="EY86" s="1" t="s">
        <v>242</v>
      </c>
      <c r="EZ86" s="1" t="s">
        <v>464</v>
      </c>
      <c r="FB86" s="1" t="s">
        <v>289</v>
      </c>
      <c r="FD86" s="1" t="s">
        <v>246</v>
      </c>
      <c r="FE86" s="1" t="s">
        <v>386</v>
      </c>
      <c r="FF86" s="1" t="s">
        <v>248</v>
      </c>
      <c r="FH86" s="1" t="s">
        <v>940</v>
      </c>
      <c r="FI86" s="1" t="s">
        <v>357</v>
      </c>
      <c r="FJ86" s="1" t="s">
        <v>518</v>
      </c>
      <c r="FL86" s="1" t="s">
        <v>358</v>
      </c>
      <c r="FM86" s="1" t="s">
        <v>252</v>
      </c>
      <c r="FN86" s="1" t="s">
        <v>213</v>
      </c>
      <c r="FO86" s="1" t="s">
        <v>213</v>
      </c>
      <c r="FQ86" s="1" t="s">
        <v>582</v>
      </c>
      <c r="FR86" s="1" t="s">
        <v>210</v>
      </c>
      <c r="FS86" s="1" t="s">
        <v>1870</v>
      </c>
      <c r="FT86" s="1" t="s">
        <v>584</v>
      </c>
      <c r="FU86" s="1" t="s">
        <v>204</v>
      </c>
      <c r="FV86" s="1" t="s">
        <v>1871</v>
      </c>
      <c r="FW86" s="1" t="s">
        <v>1475</v>
      </c>
      <c r="FX86" s="1">
        <v>23265</v>
      </c>
      <c r="FY86" s="1" t="s">
        <v>1476</v>
      </c>
      <c r="FZ86" s="1" t="s">
        <v>1872</v>
      </c>
      <c r="GA86" s="1">
        <v>221731</v>
      </c>
      <c r="GB86" s="1" t="s">
        <v>1873</v>
      </c>
      <c r="GD86" s="1" t="s">
        <v>1874</v>
      </c>
      <c r="GE86" s="1" t="s">
        <v>480</v>
      </c>
      <c r="GI86" s="1" t="s">
        <v>213</v>
      </c>
      <c r="GJ86" s="1" t="s">
        <v>260</v>
      </c>
      <c r="GK86" s="1" t="s">
        <v>210</v>
      </c>
      <c r="GL86" s="2">
        <v>42034</v>
      </c>
      <c r="GM86" s="1" t="s">
        <v>1875</v>
      </c>
    </row>
    <row r="87" spans="1:195">
      <c r="A87" s="1">
        <v>151500</v>
      </c>
      <c r="B87" s="1" t="s">
        <v>195</v>
      </c>
      <c r="C87" s="1" t="str">
        <f>"08764389"</f>
        <v>08764389</v>
      </c>
      <c r="D87" s="1" t="s">
        <v>196</v>
      </c>
      <c r="F87" s="1" t="str">
        <f>"61"</f>
        <v>61</v>
      </c>
      <c r="G87" s="2">
        <v>41941</v>
      </c>
      <c r="H87" s="1">
        <v>160000</v>
      </c>
      <c r="I87" s="1">
        <v>160000</v>
      </c>
      <c r="J87" s="1">
        <v>151500</v>
      </c>
      <c r="K87" s="2">
        <v>41941</v>
      </c>
      <c r="L87" s="1">
        <v>16</v>
      </c>
      <c r="M87" s="2">
        <v>41956</v>
      </c>
      <c r="N87" s="1">
        <v>16</v>
      </c>
      <c r="O87" s="2">
        <v>41956</v>
      </c>
      <c r="P87" s="1">
        <v>2415</v>
      </c>
      <c r="Q87" s="1" t="s">
        <v>197</v>
      </c>
      <c r="R87" s="2">
        <v>42012</v>
      </c>
      <c r="S87" s="1">
        <v>242399</v>
      </c>
      <c r="U87" s="1">
        <v>225</v>
      </c>
      <c r="V87" s="1" t="s">
        <v>1876</v>
      </c>
      <c r="W87" s="1" t="s">
        <v>449</v>
      </c>
      <c r="X87" s="1">
        <v>225</v>
      </c>
      <c r="Y87" s="1">
        <v>4</v>
      </c>
      <c r="Z87" s="1" t="s">
        <v>200</v>
      </c>
      <c r="AA87" s="1" t="s">
        <v>505</v>
      </c>
      <c r="AB87" s="1">
        <v>60061</v>
      </c>
      <c r="AE87" s="1" t="s">
        <v>1877</v>
      </c>
      <c r="AF87" s="1">
        <v>1983</v>
      </c>
      <c r="AG87" s="1" t="s">
        <v>204</v>
      </c>
      <c r="AH87" s="1" t="s">
        <v>508</v>
      </c>
      <c r="AI87" s="1" t="s">
        <v>509</v>
      </c>
      <c r="AJ87" s="1" t="s">
        <v>510</v>
      </c>
      <c r="AL87" s="1">
        <v>5</v>
      </c>
      <c r="AM87" s="1">
        <v>2</v>
      </c>
      <c r="AN87" s="1">
        <v>2</v>
      </c>
      <c r="AO87" s="1">
        <v>0</v>
      </c>
      <c r="AP87" s="1" t="s">
        <v>209</v>
      </c>
      <c r="AR87" s="1" t="s">
        <v>210</v>
      </c>
      <c r="AS87" s="1" t="s">
        <v>204</v>
      </c>
      <c r="AT87" s="1" t="s">
        <v>211</v>
      </c>
      <c r="AU87" s="1">
        <v>1</v>
      </c>
      <c r="AW87" s="1" t="s">
        <v>204</v>
      </c>
      <c r="AX87" s="1" t="s">
        <v>212</v>
      </c>
      <c r="AZ87" s="1">
        <v>4331.6400000000003</v>
      </c>
      <c r="BA87" s="1">
        <v>2012</v>
      </c>
      <c r="BE87" s="1">
        <v>1246</v>
      </c>
      <c r="BF87" s="1">
        <v>2</v>
      </c>
      <c r="BG87" s="1">
        <v>0</v>
      </c>
      <c r="BL87" s="1">
        <v>229</v>
      </c>
      <c r="BM87" s="1" t="s">
        <v>204</v>
      </c>
      <c r="BN87" s="1" t="s">
        <v>213</v>
      </c>
      <c r="BO87" s="1">
        <v>0</v>
      </c>
      <c r="BP87" s="1" t="s">
        <v>204</v>
      </c>
      <c r="BR87" s="1" t="str">
        <f>"11331011740000"</f>
        <v>11331011740000</v>
      </c>
      <c r="BT87" s="1" t="s">
        <v>1878</v>
      </c>
      <c r="BU87" s="1" t="s">
        <v>1879</v>
      </c>
      <c r="BV87" s="1" t="s">
        <v>1880</v>
      </c>
      <c r="BW87" s="1" t="s">
        <v>514</v>
      </c>
      <c r="BX87" s="1">
        <v>73</v>
      </c>
      <c r="BY87" s="1">
        <v>73</v>
      </c>
      <c r="BZ87" s="1">
        <v>128</v>
      </c>
      <c r="CB87" s="1" t="str">
        <f t="shared" ref="CB87:CC87" si="64">""</f>
        <v/>
      </c>
      <c r="CC87" s="1" t="str">
        <f t="shared" si="64"/>
        <v/>
      </c>
      <c r="CG87" s="1" t="s">
        <v>861</v>
      </c>
      <c r="CH87" s="1" t="s">
        <v>277</v>
      </c>
      <c r="CI87" s="1" t="s">
        <v>220</v>
      </c>
      <c r="CJ87" s="1" t="s">
        <v>909</v>
      </c>
      <c r="CK87" s="1" t="s">
        <v>437</v>
      </c>
      <c r="CL87" s="1" t="s">
        <v>277</v>
      </c>
      <c r="CM87" s="1" t="s">
        <v>220</v>
      </c>
      <c r="CN87" s="1" t="s">
        <v>439</v>
      </c>
      <c r="CO87" s="1" t="s">
        <v>409</v>
      </c>
      <c r="CP87" s="1" t="s">
        <v>277</v>
      </c>
      <c r="CQ87" s="1" t="s">
        <v>220</v>
      </c>
      <c r="CS87" s="1" t="s">
        <v>346</v>
      </c>
      <c r="CT87" s="1" t="s">
        <v>277</v>
      </c>
      <c r="CU87" s="1" t="s">
        <v>220</v>
      </c>
      <c r="CV87" s="1" t="s">
        <v>439</v>
      </c>
      <c r="CX87" s="1" t="s">
        <v>224</v>
      </c>
      <c r="DB87" s="1" t="s">
        <v>224</v>
      </c>
      <c r="DE87" s="1" t="s">
        <v>1454</v>
      </c>
      <c r="DF87" s="1" t="s">
        <v>277</v>
      </c>
      <c r="DG87" s="1" t="s">
        <v>226</v>
      </c>
      <c r="DH87" s="1" t="s">
        <v>343</v>
      </c>
      <c r="DJ87" s="1" t="s">
        <v>224</v>
      </c>
      <c r="DS87" s="1" t="s">
        <v>230</v>
      </c>
      <c r="DW87" s="1" t="s">
        <v>230</v>
      </c>
      <c r="EA87" s="1" t="s">
        <v>230</v>
      </c>
      <c r="EE87" s="1" t="s">
        <v>230</v>
      </c>
      <c r="EI87" s="1" t="s">
        <v>230</v>
      </c>
      <c r="EL87" s="1" t="s">
        <v>231</v>
      </c>
      <c r="EM87" s="1" t="s">
        <v>232</v>
      </c>
      <c r="EN87" s="1" t="s">
        <v>282</v>
      </c>
      <c r="EO87" s="1" t="s">
        <v>234</v>
      </c>
      <c r="EP87" s="1" t="s">
        <v>1881</v>
      </c>
      <c r="EQ87" s="1" t="s">
        <v>236</v>
      </c>
      <c r="ER87" s="1" t="s">
        <v>210</v>
      </c>
      <c r="ES87" s="1" t="s">
        <v>824</v>
      </c>
      <c r="EV87" s="1" t="s">
        <v>352</v>
      </c>
      <c r="EW87" s="1" t="s">
        <v>1882</v>
      </c>
      <c r="EZ87" s="1" t="s">
        <v>287</v>
      </c>
      <c r="FD87" s="1" t="s">
        <v>246</v>
      </c>
      <c r="FE87" s="1" t="s">
        <v>1883</v>
      </c>
      <c r="FF87" s="1" t="s">
        <v>248</v>
      </c>
      <c r="FH87" s="1" t="s">
        <v>388</v>
      </c>
      <c r="FL87" s="1" t="s">
        <v>358</v>
      </c>
      <c r="FM87" s="1" t="s">
        <v>252</v>
      </c>
      <c r="FN87" s="1" t="s">
        <v>213</v>
      </c>
      <c r="FO87" s="1" t="s">
        <v>213</v>
      </c>
      <c r="FQ87" s="1" t="s">
        <v>1884</v>
      </c>
      <c r="FR87" s="1" t="s">
        <v>210</v>
      </c>
      <c r="FS87" s="1" t="s">
        <v>1885</v>
      </c>
      <c r="FT87" s="1" t="s">
        <v>362</v>
      </c>
      <c r="FU87" s="1" t="s">
        <v>213</v>
      </c>
      <c r="FW87" s="1" t="s">
        <v>943</v>
      </c>
      <c r="FX87" s="1">
        <v>23120</v>
      </c>
      <c r="FY87" s="1" t="s">
        <v>944</v>
      </c>
      <c r="FZ87" s="1" t="s">
        <v>1886</v>
      </c>
      <c r="GA87" s="1">
        <v>241879</v>
      </c>
      <c r="GE87" s="1" t="s">
        <v>480</v>
      </c>
      <c r="GI87" s="1" t="s">
        <v>213</v>
      </c>
      <c r="GJ87" s="1" t="s">
        <v>260</v>
      </c>
      <c r="GK87" s="1" t="s">
        <v>210</v>
      </c>
      <c r="GL87" s="2">
        <v>42014</v>
      </c>
      <c r="GM87" s="1" t="s">
        <v>1887</v>
      </c>
    </row>
    <row r="88" spans="1:195">
      <c r="A88" s="1">
        <v>125000</v>
      </c>
      <c r="B88" s="1" t="s">
        <v>195</v>
      </c>
      <c r="C88" s="1" t="str">
        <f>"08765396"</f>
        <v>08765396</v>
      </c>
      <c r="D88" s="1" t="s">
        <v>196</v>
      </c>
      <c r="F88" s="1" t="str">
        <f t="shared" ref="F88:F89" si="65">"540"</f>
        <v>540</v>
      </c>
      <c r="G88" s="2">
        <v>41942</v>
      </c>
      <c r="H88" s="1">
        <v>129000</v>
      </c>
      <c r="I88" s="1">
        <v>129000</v>
      </c>
      <c r="J88" s="1">
        <v>125000</v>
      </c>
      <c r="K88" s="2">
        <v>41942</v>
      </c>
      <c r="L88" s="1">
        <v>93</v>
      </c>
      <c r="M88" s="2">
        <v>42034</v>
      </c>
      <c r="N88" s="1">
        <v>93</v>
      </c>
      <c r="O88" s="2">
        <v>42034</v>
      </c>
      <c r="P88" s="1">
        <v>23076</v>
      </c>
      <c r="Q88" s="1" t="s">
        <v>197</v>
      </c>
      <c r="R88" s="2">
        <v>42080</v>
      </c>
      <c r="S88" s="1">
        <v>242225</v>
      </c>
      <c r="U88" s="1">
        <v>211</v>
      </c>
      <c r="V88" s="1" t="s">
        <v>1660</v>
      </c>
      <c r="W88" s="1" t="s">
        <v>304</v>
      </c>
      <c r="X88" s="1" t="s">
        <v>1888</v>
      </c>
      <c r="Y88" s="1">
        <v>4</v>
      </c>
      <c r="Z88" s="1" t="s">
        <v>370</v>
      </c>
      <c r="AA88" s="1" t="s">
        <v>921</v>
      </c>
      <c r="AB88" s="1">
        <v>60565</v>
      </c>
      <c r="AD88" s="1" t="s">
        <v>1889</v>
      </c>
      <c r="AE88" s="1" t="s">
        <v>1890</v>
      </c>
      <c r="AF88" s="1">
        <v>1986</v>
      </c>
      <c r="AG88" s="1" t="s">
        <v>204</v>
      </c>
      <c r="AH88" s="1" t="s">
        <v>924</v>
      </c>
      <c r="AI88" s="1" t="s">
        <v>206</v>
      </c>
      <c r="AJ88" s="1" t="s">
        <v>925</v>
      </c>
      <c r="AL88" s="1">
        <v>6</v>
      </c>
      <c r="AM88" s="1">
        <v>2</v>
      </c>
      <c r="AN88" s="1">
        <v>1</v>
      </c>
      <c r="AO88" s="1">
        <v>0</v>
      </c>
      <c r="AP88" s="1" t="s">
        <v>667</v>
      </c>
      <c r="AR88" s="1" t="s">
        <v>210</v>
      </c>
      <c r="AS88" s="1" t="s">
        <v>204</v>
      </c>
      <c r="AT88" s="1" t="s">
        <v>211</v>
      </c>
      <c r="AU88" s="1">
        <v>1</v>
      </c>
      <c r="AW88" s="1" t="s">
        <v>204</v>
      </c>
      <c r="AX88" s="1" t="s">
        <v>212</v>
      </c>
      <c r="AZ88" s="1">
        <v>2373</v>
      </c>
      <c r="BA88" s="1">
        <v>2013</v>
      </c>
      <c r="BE88" s="1">
        <v>1136</v>
      </c>
      <c r="BF88" s="1">
        <v>1</v>
      </c>
      <c r="BG88" s="1">
        <v>0</v>
      </c>
      <c r="BL88" s="1">
        <v>256</v>
      </c>
      <c r="BM88" s="1" t="s">
        <v>413</v>
      </c>
      <c r="BN88" s="1" t="s">
        <v>213</v>
      </c>
      <c r="BO88" s="1">
        <v>0</v>
      </c>
      <c r="BP88" s="1" t="s">
        <v>204</v>
      </c>
      <c r="BR88" s="1" t="str">
        <f>"0831412049"</f>
        <v>0831412049</v>
      </c>
      <c r="BT88" s="1" t="s">
        <v>1891</v>
      </c>
      <c r="BU88" s="1" t="s">
        <v>1892</v>
      </c>
      <c r="BV88" s="1" t="s">
        <v>929</v>
      </c>
      <c r="BW88" s="1" t="s">
        <v>930</v>
      </c>
      <c r="BX88" s="1">
        <v>203</v>
      </c>
      <c r="BY88" s="1">
        <v>203</v>
      </c>
      <c r="BZ88" s="1">
        <v>203</v>
      </c>
      <c r="CB88" s="1" t="str">
        <f t="shared" ref="CB88:CC88" si="66">"0"</f>
        <v>0</v>
      </c>
      <c r="CC88" s="1" t="str">
        <f t="shared" si="66"/>
        <v>0</v>
      </c>
      <c r="CD88" s="1">
        <v>26</v>
      </c>
      <c r="CE88" s="1">
        <v>10</v>
      </c>
      <c r="CG88" s="1" t="s">
        <v>538</v>
      </c>
      <c r="CH88" s="1" t="s">
        <v>219</v>
      </c>
      <c r="CI88" s="1" t="s">
        <v>229</v>
      </c>
      <c r="CJ88" s="1" t="s">
        <v>463</v>
      </c>
      <c r="CK88" s="1" t="s">
        <v>757</v>
      </c>
      <c r="CL88" s="1" t="s">
        <v>219</v>
      </c>
      <c r="CM88" s="1" t="s">
        <v>229</v>
      </c>
      <c r="CN88" s="1" t="s">
        <v>343</v>
      </c>
      <c r="CO88" s="1" t="s">
        <v>346</v>
      </c>
      <c r="CP88" s="1" t="s">
        <v>219</v>
      </c>
      <c r="CQ88" s="1" t="s">
        <v>229</v>
      </c>
      <c r="CS88" s="1" t="s">
        <v>346</v>
      </c>
      <c r="CT88" s="1" t="s">
        <v>219</v>
      </c>
      <c r="CU88" s="1" t="s">
        <v>229</v>
      </c>
      <c r="CV88" s="1" t="s">
        <v>343</v>
      </c>
      <c r="CX88" s="1" t="s">
        <v>224</v>
      </c>
      <c r="DB88" s="1" t="s">
        <v>224</v>
      </c>
      <c r="DE88" s="1" t="s">
        <v>821</v>
      </c>
      <c r="DF88" s="1" t="s">
        <v>219</v>
      </c>
      <c r="DG88" s="1" t="s">
        <v>226</v>
      </c>
      <c r="DJ88" s="1" t="s">
        <v>224</v>
      </c>
      <c r="DM88" s="1" t="s">
        <v>1548</v>
      </c>
      <c r="DR88" s="1" t="s">
        <v>489</v>
      </c>
      <c r="DS88" s="1" t="s">
        <v>219</v>
      </c>
      <c r="DT88" s="1" t="s">
        <v>226</v>
      </c>
      <c r="DU88" s="1" t="s">
        <v>343</v>
      </c>
      <c r="DW88" s="1" t="s">
        <v>230</v>
      </c>
      <c r="EA88" s="1" t="s">
        <v>230</v>
      </c>
      <c r="EE88" s="1" t="s">
        <v>230</v>
      </c>
      <c r="EI88" s="1" t="s">
        <v>230</v>
      </c>
      <c r="EL88" s="1" t="s">
        <v>542</v>
      </c>
      <c r="EM88" s="1" t="s">
        <v>232</v>
      </c>
      <c r="EN88" s="1" t="s">
        <v>282</v>
      </c>
      <c r="EO88" s="1" t="s">
        <v>234</v>
      </c>
      <c r="EP88" s="1" t="s">
        <v>1893</v>
      </c>
      <c r="EQ88" s="1" t="s">
        <v>350</v>
      </c>
      <c r="ER88" s="1" t="s">
        <v>210</v>
      </c>
      <c r="ES88" s="1" t="s">
        <v>322</v>
      </c>
      <c r="EU88" s="1" t="s">
        <v>1894</v>
      </c>
      <c r="EV88" s="1" t="s">
        <v>352</v>
      </c>
      <c r="EW88" s="1" t="s">
        <v>1895</v>
      </c>
      <c r="EZ88" s="1" t="s">
        <v>1548</v>
      </c>
      <c r="FA88" s="1" t="s">
        <v>471</v>
      </c>
      <c r="FB88" s="1" t="s">
        <v>289</v>
      </c>
      <c r="FD88" s="1" t="s">
        <v>495</v>
      </c>
      <c r="FE88" s="1" t="s">
        <v>355</v>
      </c>
      <c r="FF88" s="1" t="s">
        <v>248</v>
      </c>
      <c r="FH88" s="1" t="s">
        <v>388</v>
      </c>
      <c r="FI88" s="1" t="s">
        <v>357</v>
      </c>
      <c r="FJ88" s="1" t="s">
        <v>197</v>
      </c>
      <c r="FL88" s="1" t="s">
        <v>358</v>
      </c>
      <c r="FM88" s="1" t="s">
        <v>252</v>
      </c>
      <c r="FN88" s="1" t="s">
        <v>213</v>
      </c>
      <c r="FO88" s="1" t="s">
        <v>213</v>
      </c>
      <c r="FQ88" s="1" t="s">
        <v>1896</v>
      </c>
      <c r="FR88" s="1" t="s">
        <v>210</v>
      </c>
      <c r="FS88" s="1" t="s">
        <v>1897</v>
      </c>
      <c r="FT88" s="1" t="s">
        <v>255</v>
      </c>
      <c r="FU88" s="1" t="s">
        <v>204</v>
      </c>
      <c r="FW88" s="1" t="s">
        <v>1898</v>
      </c>
      <c r="FX88" s="1">
        <v>23030</v>
      </c>
      <c r="FY88" s="1" t="s">
        <v>1899</v>
      </c>
      <c r="FZ88" s="1" t="s">
        <v>1900</v>
      </c>
      <c r="GA88" s="1">
        <v>233664</v>
      </c>
      <c r="GB88" s="1" t="s">
        <v>1901</v>
      </c>
      <c r="GC88" s="1">
        <v>237015</v>
      </c>
      <c r="GE88" s="1" t="s">
        <v>658</v>
      </c>
      <c r="GI88" s="1" t="s">
        <v>213</v>
      </c>
      <c r="GJ88" s="1" t="s">
        <v>260</v>
      </c>
      <c r="GK88" s="1" t="s">
        <v>210</v>
      </c>
      <c r="GL88" s="2">
        <v>42082</v>
      </c>
      <c r="GM88" s="1" t="s">
        <v>1902</v>
      </c>
    </row>
    <row r="89" spans="1:195">
      <c r="A89" s="1">
        <v>73100</v>
      </c>
      <c r="B89" s="1" t="s">
        <v>195</v>
      </c>
      <c r="C89" s="1" t="str">
        <f>"08762897"</f>
        <v>08762897</v>
      </c>
      <c r="D89" s="1" t="s">
        <v>196</v>
      </c>
      <c r="F89" s="1" t="str">
        <f t="shared" si="65"/>
        <v>540</v>
      </c>
      <c r="G89" s="2">
        <v>41939</v>
      </c>
      <c r="H89" s="1">
        <v>89900</v>
      </c>
      <c r="I89" s="1">
        <v>74900</v>
      </c>
      <c r="J89" s="1">
        <v>73100</v>
      </c>
      <c r="K89" s="2">
        <v>41939</v>
      </c>
      <c r="L89" s="1">
        <v>99</v>
      </c>
      <c r="M89" s="2">
        <v>42037</v>
      </c>
      <c r="N89" s="1">
        <v>99</v>
      </c>
      <c r="O89" s="2">
        <v>42037</v>
      </c>
      <c r="P89" s="1">
        <v>23959</v>
      </c>
      <c r="Q89" s="1" t="s">
        <v>302</v>
      </c>
      <c r="R89" s="2">
        <v>42080</v>
      </c>
      <c r="S89" s="1">
        <v>229985</v>
      </c>
      <c r="T89" s="1">
        <v>1200</v>
      </c>
      <c r="U89" s="1">
        <v>528</v>
      </c>
      <c r="V89" s="1" t="s">
        <v>1903</v>
      </c>
      <c r="W89" s="1" t="s">
        <v>1056</v>
      </c>
      <c r="X89" s="1">
        <v>201</v>
      </c>
      <c r="Y89" s="1">
        <v>8</v>
      </c>
      <c r="Z89" s="1" t="s">
        <v>249</v>
      </c>
      <c r="AA89" s="1" t="s">
        <v>921</v>
      </c>
      <c r="AB89" s="1">
        <v>60565</v>
      </c>
      <c r="AE89" s="1" t="s">
        <v>1904</v>
      </c>
      <c r="AF89" s="1">
        <v>1980</v>
      </c>
      <c r="AG89" s="1" t="s">
        <v>204</v>
      </c>
      <c r="AH89" s="1" t="s">
        <v>924</v>
      </c>
      <c r="AI89" s="1" t="s">
        <v>206</v>
      </c>
      <c r="AJ89" s="1" t="s">
        <v>925</v>
      </c>
      <c r="AL89" s="1">
        <v>5</v>
      </c>
      <c r="AM89" s="1">
        <v>2</v>
      </c>
      <c r="AN89" s="1">
        <v>1</v>
      </c>
      <c r="AO89" s="1">
        <v>0</v>
      </c>
      <c r="AP89" s="1" t="s">
        <v>210</v>
      </c>
      <c r="AR89" s="1" t="s">
        <v>210</v>
      </c>
      <c r="AS89" s="1" t="s">
        <v>204</v>
      </c>
      <c r="AT89" s="1" t="s">
        <v>211</v>
      </c>
      <c r="AU89" s="1">
        <v>1</v>
      </c>
      <c r="AW89" s="1" t="s">
        <v>204</v>
      </c>
      <c r="AX89" s="1" t="s">
        <v>212</v>
      </c>
      <c r="AZ89" s="1">
        <v>1116</v>
      </c>
      <c r="BA89" s="1">
        <v>2013</v>
      </c>
      <c r="BE89" s="1">
        <v>958</v>
      </c>
      <c r="BF89" s="1">
        <v>1</v>
      </c>
      <c r="BG89" s="1">
        <v>15</v>
      </c>
      <c r="BL89" s="1">
        <v>300</v>
      </c>
      <c r="BM89" s="1" t="s">
        <v>204</v>
      </c>
      <c r="BN89" s="1" t="s">
        <v>213</v>
      </c>
      <c r="BO89" s="1">
        <v>30</v>
      </c>
      <c r="BP89" s="1" t="s">
        <v>204</v>
      </c>
      <c r="BR89" s="1" t="str">
        <f>"0832111053"</f>
        <v>0832111053</v>
      </c>
      <c r="BT89" s="1" t="s">
        <v>1905</v>
      </c>
      <c r="BX89" s="1">
        <v>203</v>
      </c>
      <c r="BY89" s="1">
        <v>203</v>
      </c>
      <c r="BZ89" s="1">
        <v>203</v>
      </c>
      <c r="CB89" s="1" t="str">
        <f t="shared" ref="CB89:CC89" si="67">"0"</f>
        <v>0</v>
      </c>
      <c r="CC89" s="1" t="str">
        <f t="shared" si="67"/>
        <v>0</v>
      </c>
      <c r="CD89" s="1">
        <v>25</v>
      </c>
      <c r="CE89" s="1">
        <v>9</v>
      </c>
      <c r="CG89" s="1" t="s">
        <v>757</v>
      </c>
      <c r="CH89" s="1" t="s">
        <v>219</v>
      </c>
      <c r="CK89" s="1" t="s">
        <v>315</v>
      </c>
      <c r="CL89" s="1" t="s">
        <v>219</v>
      </c>
      <c r="CO89" s="1" t="s">
        <v>379</v>
      </c>
      <c r="CP89" s="1" t="s">
        <v>219</v>
      </c>
      <c r="CS89" s="1" t="s">
        <v>757</v>
      </c>
      <c r="CT89" s="1" t="s">
        <v>219</v>
      </c>
      <c r="CX89" s="1" t="s">
        <v>224</v>
      </c>
      <c r="DB89" s="1" t="s">
        <v>224</v>
      </c>
      <c r="DE89" s="1" t="s">
        <v>379</v>
      </c>
      <c r="DF89" s="1" t="s">
        <v>219</v>
      </c>
      <c r="DJ89" s="1" t="s">
        <v>224</v>
      </c>
      <c r="DS89" s="1" t="s">
        <v>230</v>
      </c>
      <c r="DW89" s="1" t="s">
        <v>230</v>
      </c>
      <c r="EA89" s="1" t="s">
        <v>230</v>
      </c>
      <c r="EE89" s="1" t="s">
        <v>230</v>
      </c>
      <c r="EI89" s="1" t="s">
        <v>230</v>
      </c>
      <c r="EL89" s="1" t="s">
        <v>231</v>
      </c>
      <c r="EM89" s="1" t="s">
        <v>232</v>
      </c>
      <c r="EN89" s="1" t="s">
        <v>1158</v>
      </c>
      <c r="EO89" s="1" t="s">
        <v>234</v>
      </c>
      <c r="ER89" s="1" t="s">
        <v>210</v>
      </c>
      <c r="EU89" s="1" t="s">
        <v>239</v>
      </c>
      <c r="EW89" s="1" t="s">
        <v>1906</v>
      </c>
      <c r="EZ89" s="1" t="s">
        <v>287</v>
      </c>
      <c r="FD89" s="1" t="s">
        <v>888</v>
      </c>
      <c r="FE89" s="1" t="s">
        <v>247</v>
      </c>
      <c r="FF89" s="1" t="s">
        <v>248</v>
      </c>
      <c r="FH89" s="1" t="s">
        <v>249</v>
      </c>
      <c r="FL89" s="1" t="s">
        <v>1907</v>
      </c>
      <c r="FM89" s="1" t="s">
        <v>252</v>
      </c>
      <c r="FN89" s="1" t="s">
        <v>213</v>
      </c>
      <c r="FO89" s="1" t="s">
        <v>213</v>
      </c>
      <c r="FQ89" s="1" t="s">
        <v>689</v>
      </c>
      <c r="FR89" s="1" t="s">
        <v>210</v>
      </c>
      <c r="FS89" s="1" t="s">
        <v>1908</v>
      </c>
      <c r="FT89" s="1" t="s">
        <v>584</v>
      </c>
      <c r="FU89" s="1" t="s">
        <v>204</v>
      </c>
      <c r="FW89" s="1" t="s">
        <v>915</v>
      </c>
      <c r="FX89" s="1">
        <v>23076</v>
      </c>
      <c r="FY89" s="1" t="s">
        <v>1909</v>
      </c>
      <c r="FZ89" s="1" t="s">
        <v>1910</v>
      </c>
      <c r="GA89" s="1">
        <v>213408</v>
      </c>
      <c r="GB89" s="1" t="s">
        <v>1911</v>
      </c>
      <c r="GE89" s="1" t="s">
        <v>210</v>
      </c>
      <c r="GH89" s="1" t="s">
        <v>800</v>
      </c>
      <c r="GI89" s="1" t="s">
        <v>213</v>
      </c>
      <c r="GJ89" s="1" t="s">
        <v>300</v>
      </c>
      <c r="GK89" s="1" t="s">
        <v>210</v>
      </c>
      <c r="GL89" s="2">
        <v>42080</v>
      </c>
      <c r="GM89" s="1" t="s">
        <v>1912</v>
      </c>
    </row>
    <row r="90" spans="1:195">
      <c r="A90" s="1">
        <v>132500</v>
      </c>
      <c r="B90" s="1" t="s">
        <v>195</v>
      </c>
      <c r="C90" s="1" t="str">
        <f>"08760411"</f>
        <v>08760411</v>
      </c>
      <c r="D90" s="1" t="s">
        <v>196</v>
      </c>
      <c r="F90" s="1" t="str">
        <f>"190"</f>
        <v>190</v>
      </c>
      <c r="G90" s="2">
        <v>41935</v>
      </c>
      <c r="H90" s="1">
        <v>140000</v>
      </c>
      <c r="I90" s="1">
        <v>140000</v>
      </c>
      <c r="J90" s="1">
        <v>132500</v>
      </c>
      <c r="K90" s="2">
        <v>41935</v>
      </c>
      <c r="L90" s="1">
        <v>7</v>
      </c>
      <c r="M90" s="2">
        <v>41941</v>
      </c>
      <c r="N90" s="1">
        <v>7</v>
      </c>
      <c r="O90" s="2">
        <v>41941</v>
      </c>
      <c r="P90" s="1">
        <v>22029</v>
      </c>
      <c r="Q90" s="1" t="s">
        <v>197</v>
      </c>
      <c r="R90" s="2">
        <v>41992</v>
      </c>
      <c r="S90" s="1">
        <v>219680</v>
      </c>
      <c r="U90" s="1" t="s">
        <v>1913</v>
      </c>
      <c r="V90" s="1" t="s">
        <v>1914</v>
      </c>
      <c r="W90" s="1" t="s">
        <v>1056</v>
      </c>
      <c r="X90" s="1">
        <v>1205</v>
      </c>
      <c r="Y90" s="1">
        <v>4</v>
      </c>
      <c r="Z90" s="1" t="s">
        <v>370</v>
      </c>
      <c r="AA90" s="1" t="s">
        <v>1915</v>
      </c>
      <c r="AB90" s="1">
        <v>60190</v>
      </c>
      <c r="AD90" s="1" t="s">
        <v>1916</v>
      </c>
      <c r="AE90" s="1" t="s">
        <v>1917</v>
      </c>
      <c r="AF90" s="1">
        <v>1988</v>
      </c>
      <c r="AG90" s="1" t="s">
        <v>204</v>
      </c>
      <c r="AH90" s="1" t="s">
        <v>987</v>
      </c>
      <c r="AI90" s="1" t="s">
        <v>206</v>
      </c>
      <c r="AJ90" s="1" t="s">
        <v>987</v>
      </c>
      <c r="AL90" s="1">
        <v>5</v>
      </c>
      <c r="AM90" s="1">
        <v>2</v>
      </c>
      <c r="AN90" s="1">
        <v>2</v>
      </c>
      <c r="AO90" s="1">
        <v>0</v>
      </c>
      <c r="AP90" s="1" t="s">
        <v>209</v>
      </c>
      <c r="AR90" s="1" t="s">
        <v>210</v>
      </c>
      <c r="AT90" s="1" t="s">
        <v>211</v>
      </c>
      <c r="AU90" s="1">
        <v>1</v>
      </c>
      <c r="AW90" s="1" t="s">
        <v>213</v>
      </c>
      <c r="AX90" s="1" t="s">
        <v>212</v>
      </c>
      <c r="AZ90" s="1">
        <v>3824</v>
      </c>
      <c r="BA90" s="1">
        <v>2013</v>
      </c>
      <c r="BE90" s="1">
        <v>1096</v>
      </c>
      <c r="BF90" s="1">
        <v>2</v>
      </c>
      <c r="BG90" s="1">
        <v>1</v>
      </c>
      <c r="BL90" s="1">
        <v>250</v>
      </c>
      <c r="BM90" s="1" t="s">
        <v>204</v>
      </c>
      <c r="BN90" s="1" t="s">
        <v>213</v>
      </c>
      <c r="BO90" s="1">
        <v>999</v>
      </c>
      <c r="BP90" s="1" t="s">
        <v>204</v>
      </c>
      <c r="BR90" s="1" t="str">
        <f>"0412307165"</f>
        <v>0412307165</v>
      </c>
      <c r="BT90" s="1" t="s">
        <v>1918</v>
      </c>
      <c r="BX90" s="1">
        <v>34</v>
      </c>
      <c r="BY90" s="1">
        <v>34</v>
      </c>
      <c r="BZ90" s="1">
        <v>94</v>
      </c>
      <c r="CB90" s="1" t="str">
        <f t="shared" ref="CB90:CC90" si="68">""</f>
        <v/>
      </c>
      <c r="CC90" s="1" t="str">
        <f t="shared" si="68"/>
        <v/>
      </c>
      <c r="CG90" s="1" t="s">
        <v>885</v>
      </c>
      <c r="CH90" s="1" t="s">
        <v>277</v>
      </c>
      <c r="CK90" s="1" t="s">
        <v>1045</v>
      </c>
      <c r="CL90" s="1" t="s">
        <v>277</v>
      </c>
      <c r="CO90" s="1" t="s">
        <v>516</v>
      </c>
      <c r="CP90" s="1" t="s">
        <v>277</v>
      </c>
      <c r="CS90" s="1" t="s">
        <v>1297</v>
      </c>
      <c r="CT90" s="1" t="s">
        <v>277</v>
      </c>
      <c r="CX90" s="1" t="s">
        <v>224</v>
      </c>
      <c r="DB90" s="1" t="s">
        <v>224</v>
      </c>
      <c r="DE90" s="1" t="s">
        <v>516</v>
      </c>
      <c r="DF90" s="1" t="s">
        <v>277</v>
      </c>
      <c r="DJ90" s="1" t="s">
        <v>224</v>
      </c>
      <c r="DM90" s="1" t="s">
        <v>1770</v>
      </c>
      <c r="DR90" s="1" t="s">
        <v>1919</v>
      </c>
      <c r="DS90" s="1" t="s">
        <v>277</v>
      </c>
      <c r="DW90" s="1" t="s">
        <v>230</v>
      </c>
      <c r="EA90" s="1" t="s">
        <v>230</v>
      </c>
      <c r="EE90" s="1" t="s">
        <v>230</v>
      </c>
      <c r="EI90" s="1" t="s">
        <v>230</v>
      </c>
      <c r="EL90" s="1" t="s">
        <v>542</v>
      </c>
      <c r="EM90" s="1" t="s">
        <v>730</v>
      </c>
      <c r="EN90" s="1" t="s">
        <v>282</v>
      </c>
      <c r="EO90" s="1" t="s">
        <v>234</v>
      </c>
      <c r="ER90" s="1" t="s">
        <v>210</v>
      </c>
      <c r="EW90" s="1" t="s">
        <v>1920</v>
      </c>
      <c r="EZ90" s="1" t="s">
        <v>1770</v>
      </c>
      <c r="FD90" s="1" t="s">
        <v>246</v>
      </c>
      <c r="FE90" s="1" t="s">
        <v>355</v>
      </c>
      <c r="FF90" s="1" t="s">
        <v>248</v>
      </c>
      <c r="FH90" s="1" t="s">
        <v>388</v>
      </c>
      <c r="FL90" s="1" t="s">
        <v>414</v>
      </c>
      <c r="FM90" s="1" t="s">
        <v>210</v>
      </c>
      <c r="FN90" s="1" t="s">
        <v>204</v>
      </c>
      <c r="FO90" s="1" t="s">
        <v>204</v>
      </c>
      <c r="FQ90" s="1" t="s">
        <v>849</v>
      </c>
      <c r="FR90" s="1" t="s">
        <v>210</v>
      </c>
      <c r="FS90" s="1" t="s">
        <v>1921</v>
      </c>
      <c r="FT90" s="1" t="s">
        <v>362</v>
      </c>
      <c r="FU90" s="1" t="s">
        <v>204</v>
      </c>
      <c r="FW90" s="1" t="s">
        <v>1922</v>
      </c>
      <c r="FX90" s="1">
        <v>37420</v>
      </c>
      <c r="FY90" s="1" t="s">
        <v>1923</v>
      </c>
      <c r="FZ90" s="1" t="s">
        <v>1924</v>
      </c>
      <c r="GA90" s="1">
        <v>370440</v>
      </c>
      <c r="GB90" s="1" t="s">
        <v>1923</v>
      </c>
      <c r="GE90" s="1" t="s">
        <v>210</v>
      </c>
      <c r="GI90" s="1" t="s">
        <v>204</v>
      </c>
      <c r="GJ90" s="1" t="s">
        <v>260</v>
      </c>
      <c r="GK90" s="1" t="s">
        <v>210</v>
      </c>
      <c r="GL90" s="2">
        <v>42006</v>
      </c>
      <c r="GM90" s="1" t="s">
        <v>1925</v>
      </c>
    </row>
    <row r="91" spans="1:195">
      <c r="A91" s="1">
        <v>185000</v>
      </c>
      <c r="B91" s="1" t="s">
        <v>195</v>
      </c>
      <c r="C91" s="1" t="str">
        <f>"08763503"</f>
        <v>08763503</v>
      </c>
      <c r="D91" s="1" t="s">
        <v>196</v>
      </c>
      <c r="F91" s="1" t="str">
        <f>"148"</f>
        <v>148</v>
      </c>
      <c r="G91" s="2">
        <v>41940</v>
      </c>
      <c r="H91" s="1">
        <v>199900</v>
      </c>
      <c r="I91" s="1">
        <v>199900</v>
      </c>
      <c r="J91" s="1">
        <v>185000</v>
      </c>
      <c r="K91" s="2">
        <v>41940</v>
      </c>
      <c r="L91" s="1">
        <v>121</v>
      </c>
      <c r="M91" s="2">
        <v>42060</v>
      </c>
      <c r="N91" s="1">
        <v>121</v>
      </c>
      <c r="O91" s="2">
        <v>42060</v>
      </c>
      <c r="P91" s="1">
        <v>4442</v>
      </c>
      <c r="Q91" s="1" t="s">
        <v>302</v>
      </c>
      <c r="R91" s="2">
        <v>42083</v>
      </c>
      <c r="S91" s="1">
        <v>37348</v>
      </c>
      <c r="U91" s="1">
        <v>2030</v>
      </c>
      <c r="V91" s="1" t="s">
        <v>1926</v>
      </c>
      <c r="W91" s="1" t="s">
        <v>264</v>
      </c>
      <c r="X91" s="1">
        <v>310</v>
      </c>
      <c r="Y91" s="1">
        <v>35</v>
      </c>
      <c r="Z91" s="1" t="s">
        <v>249</v>
      </c>
      <c r="AA91" s="1" t="s">
        <v>1927</v>
      </c>
      <c r="AB91" s="1">
        <v>60148</v>
      </c>
      <c r="AD91" s="1" t="s">
        <v>1928</v>
      </c>
      <c r="AE91" s="1" t="s">
        <v>1929</v>
      </c>
      <c r="AF91" s="1">
        <v>2010</v>
      </c>
      <c r="AG91" s="1" t="s">
        <v>204</v>
      </c>
      <c r="AH91" s="1" t="s">
        <v>1930</v>
      </c>
      <c r="AI91" s="1" t="s">
        <v>206</v>
      </c>
      <c r="AJ91" s="1" t="s">
        <v>1608</v>
      </c>
      <c r="AK91" s="1" t="s">
        <v>1931</v>
      </c>
      <c r="AL91" s="1">
        <v>5</v>
      </c>
      <c r="AM91" s="1">
        <v>2</v>
      </c>
      <c r="AN91" s="1">
        <v>2</v>
      </c>
      <c r="AO91" s="1">
        <v>0</v>
      </c>
      <c r="AP91" s="1" t="s">
        <v>209</v>
      </c>
      <c r="AR91" s="1" t="s">
        <v>210</v>
      </c>
      <c r="AS91" s="1" t="s">
        <v>204</v>
      </c>
      <c r="AT91" s="1" t="s">
        <v>211</v>
      </c>
      <c r="AU91" s="1">
        <v>1</v>
      </c>
      <c r="AW91" s="1" t="s">
        <v>204</v>
      </c>
      <c r="AX91" s="1" t="s">
        <v>212</v>
      </c>
      <c r="AZ91" s="1">
        <v>3380</v>
      </c>
      <c r="BA91" s="1">
        <v>2013</v>
      </c>
      <c r="BB91" s="1" t="s">
        <v>405</v>
      </c>
      <c r="BE91" s="1">
        <v>1325</v>
      </c>
      <c r="BF91" s="1">
        <v>3</v>
      </c>
      <c r="BG91" s="1">
        <v>0</v>
      </c>
      <c r="BL91" s="1">
        <v>275</v>
      </c>
      <c r="BM91" s="1" t="s">
        <v>204</v>
      </c>
      <c r="BN91" s="1" t="s">
        <v>204</v>
      </c>
      <c r="BP91" s="1" t="s">
        <v>204</v>
      </c>
      <c r="BR91" s="1" t="str">
        <f>"0620417137"</f>
        <v>0620417137</v>
      </c>
      <c r="BT91" s="1" t="s">
        <v>1932</v>
      </c>
      <c r="BU91" s="1" t="s">
        <v>1933</v>
      </c>
      <c r="BV91" s="1" t="s">
        <v>1934</v>
      </c>
      <c r="BW91" s="1" t="s">
        <v>1935</v>
      </c>
      <c r="BX91" s="1">
        <v>44</v>
      </c>
      <c r="BY91" s="1">
        <v>44</v>
      </c>
      <c r="BZ91" s="1">
        <v>87</v>
      </c>
      <c r="CB91" s="1" t="str">
        <f t="shared" ref="CB91:CC91" si="69">""</f>
        <v/>
      </c>
      <c r="CC91" s="1" t="str">
        <f t="shared" si="69"/>
        <v/>
      </c>
      <c r="CG91" s="1" t="s">
        <v>1936</v>
      </c>
      <c r="CH91" s="1" t="s">
        <v>219</v>
      </c>
      <c r="CI91" s="1" t="s">
        <v>220</v>
      </c>
      <c r="CK91" s="1" t="s">
        <v>729</v>
      </c>
      <c r="CL91" s="1" t="s">
        <v>219</v>
      </c>
      <c r="CM91" s="1" t="s">
        <v>220</v>
      </c>
      <c r="CO91" s="1" t="s">
        <v>380</v>
      </c>
      <c r="CP91" s="1" t="s">
        <v>219</v>
      </c>
      <c r="CQ91" s="1" t="s">
        <v>220</v>
      </c>
      <c r="CS91" s="1" t="s">
        <v>465</v>
      </c>
      <c r="CT91" s="1" t="s">
        <v>219</v>
      </c>
      <c r="CU91" s="1" t="s">
        <v>220</v>
      </c>
      <c r="CX91" s="1" t="s">
        <v>224</v>
      </c>
      <c r="DB91" s="1" t="s">
        <v>224</v>
      </c>
      <c r="DE91" s="1" t="s">
        <v>379</v>
      </c>
      <c r="DF91" s="1" t="s">
        <v>219</v>
      </c>
      <c r="DG91" s="1" t="s">
        <v>342</v>
      </c>
      <c r="DJ91" s="1" t="s">
        <v>224</v>
      </c>
      <c r="DO91" s="1" t="s">
        <v>1771</v>
      </c>
      <c r="DP91" s="1" t="s">
        <v>838</v>
      </c>
      <c r="DS91" s="1" t="s">
        <v>230</v>
      </c>
      <c r="DW91" s="1" t="s">
        <v>230</v>
      </c>
      <c r="DZ91" s="1" t="s">
        <v>1937</v>
      </c>
      <c r="EA91" s="1" t="s">
        <v>219</v>
      </c>
      <c r="EB91" s="1" t="s">
        <v>220</v>
      </c>
      <c r="ED91" s="1" t="s">
        <v>1938</v>
      </c>
      <c r="EE91" s="1" t="s">
        <v>219</v>
      </c>
      <c r="EI91" s="1" t="s">
        <v>230</v>
      </c>
      <c r="EL91" s="1" t="s">
        <v>1549</v>
      </c>
      <c r="EM91" s="1" t="s">
        <v>730</v>
      </c>
      <c r="EN91" s="1" t="s">
        <v>282</v>
      </c>
      <c r="EO91" s="1" t="s">
        <v>1020</v>
      </c>
      <c r="EP91" s="1" t="s">
        <v>1939</v>
      </c>
      <c r="EQ91" s="1" t="s">
        <v>1109</v>
      </c>
      <c r="ER91" s="1" t="s">
        <v>210</v>
      </c>
      <c r="ES91" s="1" t="s">
        <v>824</v>
      </c>
      <c r="EU91" s="1" t="s">
        <v>239</v>
      </c>
      <c r="EV91" s="1" t="s">
        <v>324</v>
      </c>
      <c r="EW91" s="1" t="s">
        <v>1940</v>
      </c>
      <c r="EZ91" s="1" t="s">
        <v>1941</v>
      </c>
      <c r="FD91" s="1" t="s">
        <v>1112</v>
      </c>
      <c r="FE91" s="1" t="s">
        <v>247</v>
      </c>
      <c r="FF91" s="1" t="s">
        <v>248</v>
      </c>
      <c r="FH91" s="1" t="s">
        <v>1942</v>
      </c>
      <c r="FL91" s="1" t="s">
        <v>358</v>
      </c>
      <c r="FM91" s="1" t="s">
        <v>252</v>
      </c>
      <c r="FN91" s="1" t="s">
        <v>213</v>
      </c>
      <c r="FO91" s="1" t="s">
        <v>204</v>
      </c>
      <c r="FQ91" s="1" t="s">
        <v>956</v>
      </c>
      <c r="FR91" s="1" t="s">
        <v>210</v>
      </c>
      <c r="FS91" s="1" t="s">
        <v>1943</v>
      </c>
      <c r="FT91" s="1" t="s">
        <v>295</v>
      </c>
      <c r="FU91" s="1" t="s">
        <v>204</v>
      </c>
      <c r="FW91" s="1" t="s">
        <v>915</v>
      </c>
      <c r="FX91" s="1">
        <v>20179</v>
      </c>
      <c r="FY91" s="1" t="s">
        <v>1944</v>
      </c>
      <c r="FZ91" s="1" t="s">
        <v>1945</v>
      </c>
      <c r="GA91" s="1">
        <v>239974</v>
      </c>
      <c r="GB91" s="1" t="s">
        <v>1946</v>
      </c>
      <c r="GE91" s="1" t="s">
        <v>1764</v>
      </c>
      <c r="GI91" s="1" t="s">
        <v>213</v>
      </c>
      <c r="GJ91" s="1" t="s">
        <v>260</v>
      </c>
      <c r="GK91" s="1" t="s">
        <v>210</v>
      </c>
      <c r="GL91" s="2">
        <v>42083</v>
      </c>
      <c r="GM91" s="1" t="s">
        <v>1947</v>
      </c>
    </row>
    <row r="92" spans="1:195">
      <c r="A92" s="1">
        <v>136000</v>
      </c>
      <c r="B92" s="1" t="s">
        <v>195</v>
      </c>
      <c r="C92" s="1" t="str">
        <f>"08761610"</f>
        <v>08761610</v>
      </c>
      <c r="D92" s="1" t="s">
        <v>196</v>
      </c>
      <c r="F92" s="1" t="str">
        <f>"559"</f>
        <v>559</v>
      </c>
      <c r="G92" s="2">
        <v>41937</v>
      </c>
      <c r="H92" s="1">
        <v>184500</v>
      </c>
      <c r="I92" s="1">
        <v>154900</v>
      </c>
      <c r="J92" s="1">
        <v>136000</v>
      </c>
      <c r="K92" s="2">
        <v>41935</v>
      </c>
      <c r="L92" s="1">
        <v>98</v>
      </c>
      <c r="M92" s="2">
        <v>42032</v>
      </c>
      <c r="N92" s="1">
        <v>98</v>
      </c>
      <c r="O92" s="2">
        <v>42032</v>
      </c>
      <c r="P92" s="1">
        <v>85813</v>
      </c>
      <c r="Q92" s="1" t="s">
        <v>302</v>
      </c>
      <c r="R92" s="2">
        <v>42093</v>
      </c>
      <c r="S92" s="1">
        <v>878649</v>
      </c>
      <c r="U92" s="1">
        <v>511</v>
      </c>
      <c r="V92" s="1" t="s">
        <v>1948</v>
      </c>
      <c r="W92" s="1" t="s">
        <v>425</v>
      </c>
      <c r="X92" s="1" t="s">
        <v>1949</v>
      </c>
      <c r="Y92" s="1">
        <v>12</v>
      </c>
      <c r="Z92" s="1" t="s">
        <v>249</v>
      </c>
      <c r="AA92" s="1" t="s">
        <v>1950</v>
      </c>
      <c r="AB92" s="1">
        <v>60559</v>
      </c>
      <c r="AE92" s="1" t="s">
        <v>1951</v>
      </c>
      <c r="AF92" s="1">
        <v>2000</v>
      </c>
      <c r="AG92" s="1" t="s">
        <v>204</v>
      </c>
      <c r="AH92" s="1" t="s">
        <v>1952</v>
      </c>
      <c r="AI92" s="1" t="s">
        <v>206</v>
      </c>
      <c r="AJ92" s="1" t="s">
        <v>903</v>
      </c>
      <c r="AL92" s="1">
        <v>5</v>
      </c>
      <c r="AM92" s="1">
        <v>2</v>
      </c>
      <c r="AN92" s="1">
        <v>2</v>
      </c>
      <c r="AO92" s="1">
        <v>0</v>
      </c>
      <c r="AP92" s="1" t="s">
        <v>209</v>
      </c>
      <c r="AQ92" s="1">
        <v>1</v>
      </c>
      <c r="AR92" s="1" t="s">
        <v>210</v>
      </c>
      <c r="AS92" s="1" t="s">
        <v>204</v>
      </c>
      <c r="AT92" s="1" t="s">
        <v>375</v>
      </c>
      <c r="AU92" s="1">
        <v>1</v>
      </c>
      <c r="AV92" s="1">
        <v>1</v>
      </c>
      <c r="AW92" s="1" t="s">
        <v>204</v>
      </c>
      <c r="AX92" s="1" t="s">
        <v>212</v>
      </c>
      <c r="AZ92" s="1">
        <v>3987</v>
      </c>
      <c r="BA92" s="1">
        <v>2013</v>
      </c>
      <c r="BB92" s="1" t="s">
        <v>405</v>
      </c>
      <c r="BE92" s="1">
        <v>1400</v>
      </c>
      <c r="BF92" s="1">
        <v>3</v>
      </c>
      <c r="BG92" s="1">
        <v>0</v>
      </c>
      <c r="BJ92" s="1">
        <v>100</v>
      </c>
      <c r="BL92" s="1">
        <v>275</v>
      </c>
      <c r="BM92" s="1" t="s">
        <v>204</v>
      </c>
      <c r="BN92" s="1" t="s">
        <v>213</v>
      </c>
      <c r="BO92" s="1">
        <v>30</v>
      </c>
      <c r="BP92" s="1" t="s">
        <v>204</v>
      </c>
      <c r="BR92" s="1" t="str">
        <f>"0903317007"</f>
        <v>0903317007</v>
      </c>
      <c r="BT92" s="1" t="s">
        <v>1953</v>
      </c>
      <c r="BU92" s="1" t="s">
        <v>1954</v>
      </c>
      <c r="BV92" s="1" t="s">
        <v>1955</v>
      </c>
      <c r="BW92" s="1" t="s">
        <v>1956</v>
      </c>
      <c r="BX92" s="1">
        <v>201</v>
      </c>
      <c r="BY92" s="1">
        <v>201</v>
      </c>
      <c r="BZ92" s="1">
        <v>201</v>
      </c>
      <c r="CB92" s="1" t="str">
        <f t="shared" ref="CB92:CC92" si="70">""</f>
        <v/>
      </c>
      <c r="CC92" s="1" t="str">
        <f t="shared" si="70"/>
        <v/>
      </c>
      <c r="CG92" s="1" t="s">
        <v>1957</v>
      </c>
      <c r="CH92" s="1" t="s">
        <v>784</v>
      </c>
      <c r="CK92" s="1" t="s">
        <v>539</v>
      </c>
      <c r="CL92" s="1" t="s">
        <v>784</v>
      </c>
      <c r="CO92" s="1" t="s">
        <v>281</v>
      </c>
      <c r="CP92" s="1" t="s">
        <v>784</v>
      </c>
      <c r="CS92" s="1" t="s">
        <v>1358</v>
      </c>
      <c r="CT92" s="1" t="s">
        <v>784</v>
      </c>
      <c r="CX92" s="1" t="s">
        <v>224</v>
      </c>
      <c r="DB92" s="1" t="s">
        <v>224</v>
      </c>
      <c r="DE92" s="1" t="s">
        <v>1046</v>
      </c>
      <c r="DF92" s="1" t="s">
        <v>784</v>
      </c>
      <c r="DJ92" s="1" t="s">
        <v>224</v>
      </c>
      <c r="DS92" s="1" t="s">
        <v>230</v>
      </c>
      <c r="DW92" s="1" t="s">
        <v>230</v>
      </c>
      <c r="EA92" s="1" t="s">
        <v>230</v>
      </c>
      <c r="EE92" s="1" t="s">
        <v>230</v>
      </c>
      <c r="EI92" s="1" t="s">
        <v>230</v>
      </c>
      <c r="EL92" s="1" t="s">
        <v>466</v>
      </c>
      <c r="EM92" s="1" t="s">
        <v>232</v>
      </c>
      <c r="EN92" s="1" t="s">
        <v>282</v>
      </c>
      <c r="EO92" s="1" t="s">
        <v>234</v>
      </c>
      <c r="ER92" s="1" t="s">
        <v>210</v>
      </c>
      <c r="ET92" s="1" t="s">
        <v>1752</v>
      </c>
      <c r="EW92" s="1" t="s">
        <v>1111</v>
      </c>
      <c r="EZ92" s="1" t="s">
        <v>287</v>
      </c>
      <c r="FB92" s="1" t="s">
        <v>734</v>
      </c>
      <c r="FD92" s="1" t="s">
        <v>495</v>
      </c>
      <c r="FE92" s="1" t="s">
        <v>247</v>
      </c>
      <c r="FF92" s="1" t="s">
        <v>248</v>
      </c>
      <c r="FH92" s="1" t="s">
        <v>249</v>
      </c>
      <c r="FL92" s="1" t="s">
        <v>358</v>
      </c>
      <c r="FM92" s="1" t="s">
        <v>252</v>
      </c>
      <c r="FN92" s="1" t="s">
        <v>213</v>
      </c>
      <c r="FO92" s="1" t="s">
        <v>213</v>
      </c>
      <c r="FQ92" s="1" t="s">
        <v>689</v>
      </c>
      <c r="FR92" s="1" t="s">
        <v>210</v>
      </c>
      <c r="FS92" s="1" t="s">
        <v>1958</v>
      </c>
      <c r="FT92" s="1" t="s">
        <v>1959</v>
      </c>
      <c r="FU92" s="1" t="s">
        <v>204</v>
      </c>
      <c r="FV92" s="1" t="s">
        <v>1960</v>
      </c>
      <c r="FW92" s="1" t="s">
        <v>1961</v>
      </c>
      <c r="FX92" s="1">
        <v>20150</v>
      </c>
      <c r="FY92" s="1" t="s">
        <v>1962</v>
      </c>
      <c r="FZ92" s="1" t="s">
        <v>1963</v>
      </c>
      <c r="GA92" s="1">
        <v>211012</v>
      </c>
      <c r="GB92" s="1" t="s">
        <v>1964</v>
      </c>
      <c r="GE92" s="1" t="s">
        <v>1333</v>
      </c>
      <c r="GH92" s="1" t="s">
        <v>230</v>
      </c>
      <c r="GI92" s="1" t="s">
        <v>204</v>
      </c>
      <c r="GJ92" s="1" t="s">
        <v>260</v>
      </c>
      <c r="GK92" s="1" t="s">
        <v>261</v>
      </c>
      <c r="GL92" s="2">
        <v>42093</v>
      </c>
      <c r="GM92" s="1" t="s">
        <v>1965</v>
      </c>
    </row>
    <row r="93" spans="1:195">
      <c r="A93" s="1">
        <v>130000</v>
      </c>
      <c r="B93" s="1" t="s">
        <v>195</v>
      </c>
      <c r="C93" s="1" t="str">
        <f>"08768155"</f>
        <v>08768155</v>
      </c>
      <c r="D93" s="1" t="s">
        <v>196</v>
      </c>
      <c r="F93" s="1" t="str">
        <f>"191"</f>
        <v>191</v>
      </c>
      <c r="G93" s="2">
        <v>41947</v>
      </c>
      <c r="H93" s="1">
        <v>135000</v>
      </c>
      <c r="I93" s="1">
        <v>135000</v>
      </c>
      <c r="J93" s="1">
        <v>130000</v>
      </c>
      <c r="K93" s="2">
        <v>41947</v>
      </c>
      <c r="L93" s="1">
        <v>1</v>
      </c>
      <c r="M93" s="2">
        <v>41947</v>
      </c>
      <c r="N93" s="1">
        <v>1</v>
      </c>
      <c r="O93" s="2">
        <v>41947</v>
      </c>
      <c r="P93" s="1">
        <v>8005</v>
      </c>
      <c r="Q93" s="1" t="s">
        <v>197</v>
      </c>
      <c r="R93" s="2">
        <v>42003</v>
      </c>
      <c r="S93" s="1">
        <v>83789</v>
      </c>
      <c r="U93" s="1">
        <v>190</v>
      </c>
      <c r="V93" s="1" t="s">
        <v>1966</v>
      </c>
      <c r="W93" s="1" t="s">
        <v>1056</v>
      </c>
      <c r="X93" s="1">
        <v>1005</v>
      </c>
      <c r="Y93" s="1">
        <v>118</v>
      </c>
      <c r="Z93" s="1" t="s">
        <v>249</v>
      </c>
      <c r="AA93" s="1" t="s">
        <v>1966</v>
      </c>
      <c r="AB93" s="1">
        <v>60191</v>
      </c>
      <c r="AD93" s="1" t="s">
        <v>1967</v>
      </c>
      <c r="AE93" s="1" t="s">
        <v>1968</v>
      </c>
      <c r="AF93" s="1">
        <v>1971</v>
      </c>
      <c r="AG93" s="1" t="s">
        <v>213</v>
      </c>
      <c r="AH93" s="1" t="s">
        <v>1969</v>
      </c>
      <c r="AI93" s="1" t="s">
        <v>206</v>
      </c>
      <c r="AJ93" s="1" t="s">
        <v>1233</v>
      </c>
      <c r="AL93" s="1">
        <v>6</v>
      </c>
      <c r="AM93" s="1">
        <v>2</v>
      </c>
      <c r="AN93" s="1">
        <v>2</v>
      </c>
      <c r="AO93" s="1">
        <v>0</v>
      </c>
      <c r="AP93" s="1" t="s">
        <v>209</v>
      </c>
      <c r="AR93" s="1" t="s">
        <v>210</v>
      </c>
      <c r="AS93" s="1" t="s">
        <v>204</v>
      </c>
      <c r="AT93" s="1" t="s">
        <v>211</v>
      </c>
      <c r="AU93" s="1">
        <v>2</v>
      </c>
      <c r="AW93" s="1" t="s">
        <v>204</v>
      </c>
      <c r="AX93" s="1" t="s">
        <v>212</v>
      </c>
      <c r="AZ93" s="1">
        <v>2744</v>
      </c>
      <c r="BA93" s="1">
        <v>2013</v>
      </c>
      <c r="BB93" s="1" t="s">
        <v>599</v>
      </c>
      <c r="BE93" s="1">
        <v>1700</v>
      </c>
      <c r="BF93" s="1">
        <v>10</v>
      </c>
      <c r="BG93" s="1">
        <v>10</v>
      </c>
      <c r="BL93" s="1">
        <v>459</v>
      </c>
      <c r="BM93" s="1" t="s">
        <v>204</v>
      </c>
      <c r="BN93" s="1" t="s">
        <v>213</v>
      </c>
      <c r="BP93" s="1" t="s">
        <v>204</v>
      </c>
      <c r="BR93" s="1" t="str">
        <f>"0316405100"</f>
        <v>0316405100</v>
      </c>
      <c r="BT93" s="1" t="s">
        <v>1970</v>
      </c>
      <c r="BU93" s="1" t="s">
        <v>1971</v>
      </c>
      <c r="BV93" s="1" t="s">
        <v>1972</v>
      </c>
      <c r="BW93" s="1" t="s">
        <v>1973</v>
      </c>
      <c r="BX93" s="1">
        <v>7</v>
      </c>
      <c r="BY93" s="1">
        <v>7</v>
      </c>
      <c r="BZ93" s="1">
        <v>100</v>
      </c>
      <c r="CB93" s="1" t="str">
        <f>"5"</f>
        <v>5</v>
      </c>
      <c r="CC93" s="1" t="str">
        <f t="shared" ref="CC93:CC95" si="71">"0"</f>
        <v>0</v>
      </c>
      <c r="CD93" s="1">
        <v>15</v>
      </c>
      <c r="CE93" s="1">
        <v>0</v>
      </c>
      <c r="CG93" s="1" t="s">
        <v>1132</v>
      </c>
      <c r="CH93" s="1" t="s">
        <v>219</v>
      </c>
      <c r="CI93" s="1" t="s">
        <v>220</v>
      </c>
      <c r="CJ93" s="1" t="s">
        <v>252</v>
      </c>
      <c r="CK93" s="1" t="s">
        <v>314</v>
      </c>
      <c r="CL93" s="1" t="s">
        <v>219</v>
      </c>
      <c r="CM93" s="1" t="s">
        <v>220</v>
      </c>
      <c r="CN93" s="1" t="s">
        <v>252</v>
      </c>
      <c r="CO93" s="1" t="s">
        <v>318</v>
      </c>
      <c r="CP93" s="1" t="s">
        <v>219</v>
      </c>
      <c r="CQ93" s="1" t="s">
        <v>220</v>
      </c>
      <c r="CR93" s="1" t="s">
        <v>210</v>
      </c>
      <c r="CS93" s="1" t="s">
        <v>223</v>
      </c>
      <c r="CT93" s="1" t="s">
        <v>219</v>
      </c>
      <c r="CU93" s="1" t="s">
        <v>220</v>
      </c>
      <c r="CV93" s="1" t="s">
        <v>252</v>
      </c>
      <c r="CX93" s="1" t="s">
        <v>224</v>
      </c>
      <c r="DB93" s="1" t="s">
        <v>224</v>
      </c>
      <c r="DE93" s="1" t="s">
        <v>1974</v>
      </c>
      <c r="DF93" s="1" t="s">
        <v>219</v>
      </c>
      <c r="DG93" s="1" t="s">
        <v>220</v>
      </c>
      <c r="DH93" s="1" t="s">
        <v>210</v>
      </c>
      <c r="DJ93" s="1" t="s">
        <v>224</v>
      </c>
      <c r="DM93" s="1" t="s">
        <v>1005</v>
      </c>
      <c r="DN93" s="1" t="s">
        <v>709</v>
      </c>
      <c r="DR93" s="1" t="s">
        <v>344</v>
      </c>
      <c r="DS93" s="1" t="s">
        <v>219</v>
      </c>
      <c r="DT93" s="1" t="s">
        <v>220</v>
      </c>
      <c r="DU93" s="1" t="s">
        <v>252</v>
      </c>
      <c r="DV93" s="1" t="s">
        <v>910</v>
      </c>
      <c r="DW93" s="1" t="s">
        <v>219</v>
      </c>
      <c r="DX93" s="1" t="s">
        <v>220</v>
      </c>
      <c r="DY93" s="1" t="s">
        <v>210</v>
      </c>
      <c r="EA93" s="1" t="s">
        <v>230</v>
      </c>
      <c r="EE93" s="1" t="s">
        <v>230</v>
      </c>
      <c r="EI93" s="1" t="s">
        <v>230</v>
      </c>
      <c r="EL93" s="1" t="s">
        <v>605</v>
      </c>
      <c r="EM93" s="1" t="s">
        <v>232</v>
      </c>
      <c r="EN93" s="1" t="s">
        <v>282</v>
      </c>
      <c r="EO93" s="1" t="s">
        <v>234</v>
      </c>
      <c r="EP93" s="1" t="s">
        <v>1975</v>
      </c>
      <c r="EQ93" s="1" t="s">
        <v>350</v>
      </c>
      <c r="ER93" s="1" t="s">
        <v>210</v>
      </c>
      <c r="ES93" s="1" t="s">
        <v>824</v>
      </c>
      <c r="EV93" s="1" t="s">
        <v>352</v>
      </c>
      <c r="EW93" s="1" t="s">
        <v>1976</v>
      </c>
      <c r="EY93" s="1" t="s">
        <v>790</v>
      </c>
      <c r="EZ93" s="1" t="s">
        <v>1977</v>
      </c>
      <c r="FA93" s="1" t="s">
        <v>845</v>
      </c>
      <c r="FB93" s="1" t="s">
        <v>289</v>
      </c>
      <c r="FC93" s="1" t="s">
        <v>548</v>
      </c>
      <c r="FD93" s="1" t="s">
        <v>736</v>
      </c>
      <c r="FE93" s="1" t="s">
        <v>566</v>
      </c>
      <c r="FF93" s="1" t="s">
        <v>248</v>
      </c>
      <c r="FH93" s="1" t="s">
        <v>249</v>
      </c>
      <c r="FI93" s="1" t="s">
        <v>250</v>
      </c>
      <c r="FJ93" s="1" t="s">
        <v>1472</v>
      </c>
      <c r="FL93" s="1" t="s">
        <v>1073</v>
      </c>
      <c r="FM93" s="1" t="s">
        <v>252</v>
      </c>
      <c r="FN93" s="1" t="s">
        <v>213</v>
      </c>
      <c r="FO93" s="1" t="s">
        <v>213</v>
      </c>
      <c r="FQ93" s="1" t="s">
        <v>329</v>
      </c>
      <c r="FR93" s="1" t="s">
        <v>210</v>
      </c>
      <c r="FS93" s="1" t="s">
        <v>1978</v>
      </c>
      <c r="FT93" s="1" t="s">
        <v>295</v>
      </c>
      <c r="FU93" s="1" t="s">
        <v>204</v>
      </c>
      <c r="FW93" s="1" t="s">
        <v>585</v>
      </c>
      <c r="FX93" s="1">
        <v>8005</v>
      </c>
      <c r="FY93" s="1" t="s">
        <v>1979</v>
      </c>
      <c r="FZ93" s="1" t="s">
        <v>1980</v>
      </c>
      <c r="GA93" s="1">
        <v>83789</v>
      </c>
      <c r="GB93" s="1" t="s">
        <v>1981</v>
      </c>
      <c r="GE93" s="1" t="s">
        <v>1256</v>
      </c>
      <c r="GH93" s="1" t="s">
        <v>421</v>
      </c>
      <c r="GI93" s="1" t="s">
        <v>213</v>
      </c>
      <c r="GJ93" s="1" t="s">
        <v>260</v>
      </c>
      <c r="GK93" s="1" t="s">
        <v>210</v>
      </c>
      <c r="GL93" s="2">
        <v>42004</v>
      </c>
      <c r="GM93" s="1" t="s">
        <v>1982</v>
      </c>
    </row>
    <row r="94" spans="1:195">
      <c r="A94" s="1">
        <v>220000</v>
      </c>
      <c r="B94" s="1" t="s">
        <v>195</v>
      </c>
      <c r="C94" s="1" t="str">
        <f>"08769143"</f>
        <v>08769143</v>
      </c>
      <c r="D94" s="1" t="s">
        <v>196</v>
      </c>
      <c r="F94" s="1" t="str">
        <f>"10"</f>
        <v>10</v>
      </c>
      <c r="G94" s="2">
        <v>41948</v>
      </c>
      <c r="H94" s="1">
        <v>225000</v>
      </c>
      <c r="I94" s="1">
        <v>225000</v>
      </c>
      <c r="J94" s="1">
        <v>220000</v>
      </c>
      <c r="K94" s="2">
        <v>41948</v>
      </c>
      <c r="L94" s="1">
        <v>3</v>
      </c>
      <c r="M94" s="2">
        <v>41950</v>
      </c>
      <c r="N94" s="1">
        <v>3</v>
      </c>
      <c r="O94" s="2">
        <v>41950</v>
      </c>
      <c r="P94" s="1">
        <v>6026</v>
      </c>
      <c r="Q94" s="1" t="s">
        <v>197</v>
      </c>
      <c r="R94" s="2">
        <v>42004</v>
      </c>
      <c r="S94" s="1">
        <v>62933</v>
      </c>
      <c r="U94" s="1">
        <v>299</v>
      </c>
      <c r="V94" s="1" t="s">
        <v>1983</v>
      </c>
      <c r="W94" s="1" t="s">
        <v>1984</v>
      </c>
      <c r="X94" s="1" t="s">
        <v>483</v>
      </c>
      <c r="Y94" s="1">
        <v>4</v>
      </c>
      <c r="Z94" s="1" t="s">
        <v>200</v>
      </c>
      <c r="AA94" s="1" t="s">
        <v>1985</v>
      </c>
      <c r="AB94" s="1">
        <v>60010</v>
      </c>
      <c r="AD94" s="1" t="s">
        <v>1986</v>
      </c>
      <c r="AE94" s="1" t="s">
        <v>1987</v>
      </c>
      <c r="AF94" s="1">
        <v>1976</v>
      </c>
      <c r="AG94" s="1" t="s">
        <v>213</v>
      </c>
      <c r="AH94" s="1" t="s">
        <v>1988</v>
      </c>
      <c r="AI94" s="1" t="s">
        <v>509</v>
      </c>
      <c r="AJ94" s="1" t="s">
        <v>1989</v>
      </c>
      <c r="AK94" s="1" t="s">
        <v>1990</v>
      </c>
      <c r="AL94" s="1">
        <v>6</v>
      </c>
      <c r="AM94" s="1">
        <v>2</v>
      </c>
      <c r="AN94" s="1">
        <v>3</v>
      </c>
      <c r="AO94" s="1">
        <v>0</v>
      </c>
      <c r="AP94" s="1" t="s">
        <v>209</v>
      </c>
      <c r="AQ94" s="1">
        <v>1</v>
      </c>
      <c r="AR94" s="1" t="s">
        <v>1483</v>
      </c>
      <c r="AS94" s="1" t="s">
        <v>213</v>
      </c>
      <c r="AT94" s="1" t="s">
        <v>211</v>
      </c>
      <c r="AU94" s="1">
        <v>1</v>
      </c>
      <c r="AW94" s="1" t="s">
        <v>213</v>
      </c>
      <c r="AX94" s="1" t="s">
        <v>212</v>
      </c>
      <c r="AZ94" s="3">
        <v>4850</v>
      </c>
      <c r="BA94" s="1">
        <v>2012</v>
      </c>
      <c r="BB94" s="1" t="s">
        <v>405</v>
      </c>
      <c r="BE94" s="1">
        <v>1908</v>
      </c>
      <c r="BF94" s="1">
        <v>1</v>
      </c>
      <c r="BG94" s="1">
        <v>30</v>
      </c>
      <c r="BJ94" s="1">
        <v>95</v>
      </c>
      <c r="BK94" s="1">
        <v>0.8</v>
      </c>
      <c r="BL94" s="1">
        <v>485</v>
      </c>
      <c r="BM94" s="1" t="s">
        <v>204</v>
      </c>
      <c r="BN94" s="1" t="s">
        <v>213</v>
      </c>
      <c r="BO94" s="1">
        <v>25</v>
      </c>
      <c r="BP94" s="1" t="s">
        <v>204</v>
      </c>
      <c r="BR94" s="1" t="str">
        <f>"13114000440000"</f>
        <v>13114000440000</v>
      </c>
      <c r="BT94" s="1" t="s">
        <v>1991</v>
      </c>
      <c r="BU94" s="1" t="s">
        <v>1992</v>
      </c>
      <c r="BV94" s="1" t="s">
        <v>1993</v>
      </c>
      <c r="BW94" s="1" t="s">
        <v>1994</v>
      </c>
      <c r="BX94" s="1">
        <v>220</v>
      </c>
      <c r="BY94" s="1">
        <v>220</v>
      </c>
      <c r="BZ94" s="1">
        <v>220</v>
      </c>
      <c r="CB94" s="1" t="str">
        <f>"24"</f>
        <v>24</v>
      </c>
      <c r="CC94" s="1" t="str">
        <f t="shared" si="71"/>
        <v>0</v>
      </c>
      <c r="CD94" s="1">
        <v>26</v>
      </c>
      <c r="CE94" s="1">
        <v>0</v>
      </c>
      <c r="CG94" s="1" t="s">
        <v>1995</v>
      </c>
      <c r="CH94" s="1" t="s">
        <v>219</v>
      </c>
      <c r="CI94" s="1" t="s">
        <v>220</v>
      </c>
      <c r="CJ94" s="1" t="s">
        <v>343</v>
      </c>
      <c r="CK94" s="1" t="s">
        <v>1533</v>
      </c>
      <c r="CL94" s="1" t="s">
        <v>219</v>
      </c>
      <c r="CM94" s="1" t="s">
        <v>220</v>
      </c>
      <c r="CN94" s="1" t="s">
        <v>343</v>
      </c>
      <c r="CO94" s="1" t="s">
        <v>318</v>
      </c>
      <c r="CP94" s="1" t="s">
        <v>219</v>
      </c>
      <c r="CQ94" s="1" t="s">
        <v>220</v>
      </c>
      <c r="CR94" s="1" t="s">
        <v>439</v>
      </c>
      <c r="CS94" s="1" t="s">
        <v>1046</v>
      </c>
      <c r="CT94" s="1" t="s">
        <v>219</v>
      </c>
      <c r="CU94" s="1" t="s">
        <v>220</v>
      </c>
      <c r="CV94" s="1" t="s">
        <v>343</v>
      </c>
      <c r="CX94" s="1" t="s">
        <v>224</v>
      </c>
      <c r="DB94" s="1" t="s">
        <v>224</v>
      </c>
      <c r="DE94" s="1" t="s">
        <v>223</v>
      </c>
      <c r="DF94" s="1" t="s">
        <v>219</v>
      </c>
      <c r="DG94" s="1" t="s">
        <v>347</v>
      </c>
      <c r="DH94" s="1" t="s">
        <v>343</v>
      </c>
      <c r="DI94" s="1" t="s">
        <v>1996</v>
      </c>
      <c r="DJ94" s="1" t="s">
        <v>822</v>
      </c>
      <c r="DK94" s="1" t="s">
        <v>220</v>
      </c>
      <c r="DL94" s="1" t="s">
        <v>343</v>
      </c>
      <c r="DS94" s="1" t="s">
        <v>230</v>
      </c>
      <c r="DW94" s="1" t="s">
        <v>230</v>
      </c>
      <c r="EA94" s="1" t="s">
        <v>230</v>
      </c>
      <c r="EE94" s="1" t="s">
        <v>230</v>
      </c>
      <c r="EI94" s="1" t="s">
        <v>230</v>
      </c>
      <c r="EL94" s="1" t="s">
        <v>231</v>
      </c>
      <c r="EM94" s="1" t="s">
        <v>761</v>
      </c>
      <c r="EN94" s="1" t="s">
        <v>282</v>
      </c>
      <c r="EO94" s="1" t="s">
        <v>234</v>
      </c>
      <c r="EP94" s="1" t="s">
        <v>1997</v>
      </c>
      <c r="EQ94" s="1" t="s">
        <v>236</v>
      </c>
      <c r="ER94" s="1" t="s">
        <v>544</v>
      </c>
      <c r="ES94" s="1" t="s">
        <v>322</v>
      </c>
      <c r="EU94" s="1" t="s">
        <v>1998</v>
      </c>
      <c r="EV94" s="1" t="s">
        <v>1999</v>
      </c>
      <c r="EW94" s="1" t="s">
        <v>2000</v>
      </c>
      <c r="EZ94" s="1" t="s">
        <v>287</v>
      </c>
      <c r="FA94" s="1" t="s">
        <v>2001</v>
      </c>
      <c r="FB94" s="1" t="s">
        <v>244</v>
      </c>
      <c r="FC94" s="1" t="s">
        <v>2002</v>
      </c>
      <c r="FD94" s="1" t="s">
        <v>888</v>
      </c>
      <c r="FE94" s="1" t="s">
        <v>889</v>
      </c>
      <c r="FF94" s="1" t="s">
        <v>248</v>
      </c>
      <c r="FG94" s="1" t="s">
        <v>2003</v>
      </c>
      <c r="FH94" s="1" t="s">
        <v>249</v>
      </c>
      <c r="FI94" s="1" t="s">
        <v>357</v>
      </c>
      <c r="FL94" s="1" t="s">
        <v>1073</v>
      </c>
      <c r="FM94" s="1" t="s">
        <v>252</v>
      </c>
      <c r="FN94" s="1" t="s">
        <v>213</v>
      </c>
      <c r="FO94" s="1" t="s">
        <v>213</v>
      </c>
      <c r="FQ94" s="1" t="s">
        <v>2004</v>
      </c>
      <c r="FR94" s="1" t="s">
        <v>210</v>
      </c>
      <c r="FS94" s="1" t="s">
        <v>2005</v>
      </c>
      <c r="FT94" s="1" t="s">
        <v>295</v>
      </c>
      <c r="FU94" s="1" t="s">
        <v>204</v>
      </c>
      <c r="FW94" s="1" t="s">
        <v>2006</v>
      </c>
      <c r="FX94" s="1">
        <v>4777</v>
      </c>
      <c r="FY94" s="1" t="s">
        <v>2007</v>
      </c>
      <c r="FZ94" s="1" t="s">
        <v>2008</v>
      </c>
      <c r="GA94" s="1">
        <v>62531</v>
      </c>
      <c r="GB94" s="1" t="s">
        <v>2009</v>
      </c>
      <c r="GE94" s="1" t="s">
        <v>480</v>
      </c>
      <c r="GI94" s="1" t="s">
        <v>213</v>
      </c>
      <c r="GJ94" s="1" t="s">
        <v>260</v>
      </c>
      <c r="GK94" s="1" t="s">
        <v>210</v>
      </c>
      <c r="GL94" s="2">
        <v>42004</v>
      </c>
    </row>
    <row r="95" spans="1:195">
      <c r="A95" s="1">
        <v>126000</v>
      </c>
      <c r="B95" s="1" t="s">
        <v>195</v>
      </c>
      <c r="C95" s="1" t="str">
        <f>"08765229"</f>
        <v>08765229</v>
      </c>
      <c r="D95" s="1" t="s">
        <v>196</v>
      </c>
      <c r="F95" s="1" t="str">
        <f>"108"</f>
        <v>108</v>
      </c>
      <c r="G95" s="2">
        <v>41942</v>
      </c>
      <c r="H95" s="1">
        <v>135000</v>
      </c>
      <c r="I95" s="1">
        <v>135000</v>
      </c>
      <c r="J95" s="1">
        <v>126000</v>
      </c>
      <c r="K95" s="2">
        <v>41942</v>
      </c>
      <c r="L95" s="1">
        <v>19</v>
      </c>
      <c r="M95" s="2">
        <v>41960</v>
      </c>
      <c r="N95" s="1">
        <v>19</v>
      </c>
      <c r="O95" s="2">
        <v>41960</v>
      </c>
      <c r="P95" s="1">
        <v>8558</v>
      </c>
      <c r="Q95" s="1" t="s">
        <v>197</v>
      </c>
      <c r="R95" s="2">
        <v>41991</v>
      </c>
      <c r="S95" s="1">
        <v>84411</v>
      </c>
      <c r="U95" s="1">
        <v>216</v>
      </c>
      <c r="V95" s="1" t="s">
        <v>1381</v>
      </c>
      <c r="W95" s="1" t="s">
        <v>504</v>
      </c>
      <c r="X95" s="1" t="s">
        <v>2010</v>
      </c>
      <c r="Y95" s="1">
        <v>4</v>
      </c>
      <c r="Z95" s="1" t="s">
        <v>370</v>
      </c>
      <c r="AA95" s="1" t="s">
        <v>829</v>
      </c>
      <c r="AB95" s="1">
        <v>60108</v>
      </c>
      <c r="AD95" s="1" t="s">
        <v>2011</v>
      </c>
      <c r="AE95" s="1" t="s">
        <v>2012</v>
      </c>
      <c r="AF95" s="1">
        <v>1992</v>
      </c>
      <c r="AG95" s="1" t="s">
        <v>204</v>
      </c>
      <c r="AH95" s="1" t="s">
        <v>269</v>
      </c>
      <c r="AI95" s="1" t="s">
        <v>206</v>
      </c>
      <c r="AJ95" s="1" t="s">
        <v>269</v>
      </c>
      <c r="AL95" s="1">
        <v>5</v>
      </c>
      <c r="AM95" s="1">
        <v>2</v>
      </c>
      <c r="AN95" s="1">
        <v>2</v>
      </c>
      <c r="AO95" s="1">
        <v>0</v>
      </c>
      <c r="AP95" s="1" t="s">
        <v>209</v>
      </c>
      <c r="AQ95" s="1">
        <v>0</v>
      </c>
      <c r="AR95" s="1" t="s">
        <v>210</v>
      </c>
      <c r="AS95" s="1" t="s">
        <v>204</v>
      </c>
      <c r="AT95" s="1" t="s">
        <v>211</v>
      </c>
      <c r="AU95" s="1">
        <v>1</v>
      </c>
      <c r="AW95" s="1" t="s">
        <v>204</v>
      </c>
      <c r="AX95" s="1" t="s">
        <v>212</v>
      </c>
      <c r="AZ95" s="1">
        <v>2622</v>
      </c>
      <c r="BA95" s="1">
        <v>2013</v>
      </c>
      <c r="BB95" s="1" t="s">
        <v>405</v>
      </c>
      <c r="BE95" s="1">
        <v>1155</v>
      </c>
      <c r="BF95" s="1">
        <v>1</v>
      </c>
      <c r="BG95" s="1">
        <v>1</v>
      </c>
      <c r="BL95" s="1">
        <v>240</v>
      </c>
      <c r="BM95" s="1" t="s">
        <v>204</v>
      </c>
      <c r="BN95" s="1" t="s">
        <v>213</v>
      </c>
      <c r="BO95" s="1">
        <v>999</v>
      </c>
      <c r="BP95" s="1" t="s">
        <v>204</v>
      </c>
      <c r="BR95" s="1" t="str">
        <f>"0223216029"</f>
        <v>0223216029</v>
      </c>
      <c r="BT95" s="1" t="s">
        <v>2013</v>
      </c>
      <c r="BU95" s="1" t="s">
        <v>2014</v>
      </c>
      <c r="BV95" s="1" t="s">
        <v>2015</v>
      </c>
      <c r="BW95" s="1" t="s">
        <v>1935</v>
      </c>
      <c r="BX95" s="1">
        <v>15</v>
      </c>
      <c r="BY95" s="1">
        <v>15</v>
      </c>
      <c r="BZ95" s="1">
        <v>87</v>
      </c>
      <c r="CB95" s="1" t="str">
        <f>"4"</f>
        <v>4</v>
      </c>
      <c r="CC95" s="1" t="str">
        <f t="shared" si="71"/>
        <v>0</v>
      </c>
      <c r="CD95" s="1">
        <v>22</v>
      </c>
      <c r="CE95" s="1">
        <v>0</v>
      </c>
      <c r="CG95" s="1" t="s">
        <v>1004</v>
      </c>
      <c r="CH95" s="1" t="s">
        <v>219</v>
      </c>
      <c r="CI95" s="1" t="s">
        <v>220</v>
      </c>
      <c r="CK95" s="1" t="s">
        <v>221</v>
      </c>
      <c r="CL95" s="1" t="s">
        <v>219</v>
      </c>
      <c r="CM95" s="1" t="s">
        <v>220</v>
      </c>
      <c r="CO95" s="1" t="s">
        <v>318</v>
      </c>
      <c r="CP95" s="1" t="s">
        <v>219</v>
      </c>
      <c r="CQ95" s="1" t="s">
        <v>220</v>
      </c>
      <c r="CS95" s="1" t="s">
        <v>465</v>
      </c>
      <c r="CT95" s="1" t="s">
        <v>219</v>
      </c>
      <c r="CU95" s="1" t="s">
        <v>220</v>
      </c>
      <c r="CX95" s="1" t="s">
        <v>224</v>
      </c>
      <c r="DB95" s="1" t="s">
        <v>224</v>
      </c>
      <c r="DE95" s="1" t="s">
        <v>1297</v>
      </c>
      <c r="DF95" s="1" t="s">
        <v>219</v>
      </c>
      <c r="DJ95" s="1" t="s">
        <v>224</v>
      </c>
      <c r="DS95" s="1" t="s">
        <v>230</v>
      </c>
      <c r="DW95" s="1" t="s">
        <v>230</v>
      </c>
      <c r="EA95" s="1" t="s">
        <v>230</v>
      </c>
      <c r="EE95" s="1" t="s">
        <v>230</v>
      </c>
      <c r="EI95" s="1" t="s">
        <v>230</v>
      </c>
      <c r="EL95" s="1" t="s">
        <v>382</v>
      </c>
      <c r="EM95" s="1" t="s">
        <v>232</v>
      </c>
      <c r="EN95" s="1" t="s">
        <v>282</v>
      </c>
      <c r="EO95" s="1" t="s">
        <v>234</v>
      </c>
      <c r="EP95" s="1" t="s">
        <v>1047</v>
      </c>
      <c r="EQ95" s="1" t="s">
        <v>468</v>
      </c>
      <c r="ER95" s="1" t="s">
        <v>210</v>
      </c>
      <c r="ES95" s="1" t="s">
        <v>322</v>
      </c>
      <c r="EU95" s="1" t="s">
        <v>239</v>
      </c>
      <c r="EV95" s="1" t="s">
        <v>324</v>
      </c>
      <c r="EW95" s="1" t="s">
        <v>937</v>
      </c>
      <c r="EY95" s="1" t="s">
        <v>242</v>
      </c>
      <c r="EZ95" s="1" t="s">
        <v>287</v>
      </c>
      <c r="FB95" s="1" t="s">
        <v>1505</v>
      </c>
      <c r="FD95" s="1" t="s">
        <v>246</v>
      </c>
      <c r="FE95" s="1" t="s">
        <v>2016</v>
      </c>
      <c r="FF95" s="1" t="s">
        <v>248</v>
      </c>
      <c r="FH95" s="1" t="s">
        <v>388</v>
      </c>
      <c r="FI95" s="1" t="s">
        <v>473</v>
      </c>
      <c r="FL95" s="1" t="s">
        <v>414</v>
      </c>
      <c r="FM95" s="1" t="s">
        <v>252</v>
      </c>
      <c r="FN95" s="1" t="s">
        <v>213</v>
      </c>
      <c r="FO95" s="1" t="s">
        <v>213</v>
      </c>
      <c r="FQ95" s="1" t="s">
        <v>2017</v>
      </c>
      <c r="FR95" s="1" t="s">
        <v>210</v>
      </c>
      <c r="FS95" s="1" t="s">
        <v>2018</v>
      </c>
      <c r="FT95" s="1" t="s">
        <v>255</v>
      </c>
      <c r="FU95" s="1" t="s">
        <v>204</v>
      </c>
      <c r="FW95" s="1" t="s">
        <v>2019</v>
      </c>
      <c r="FX95" s="1">
        <v>24007</v>
      </c>
      <c r="FY95" s="1" t="s">
        <v>2020</v>
      </c>
      <c r="FZ95" s="1" t="s">
        <v>2021</v>
      </c>
      <c r="GA95" s="1">
        <v>222125</v>
      </c>
      <c r="GB95" s="1" t="s">
        <v>2022</v>
      </c>
      <c r="GE95" s="1" t="s">
        <v>480</v>
      </c>
      <c r="GI95" s="1" t="s">
        <v>213</v>
      </c>
      <c r="GJ95" s="1" t="s">
        <v>260</v>
      </c>
      <c r="GK95" s="1" t="s">
        <v>210</v>
      </c>
      <c r="GL95" s="2">
        <v>41992</v>
      </c>
      <c r="GM95" s="1" t="s">
        <v>2023</v>
      </c>
    </row>
    <row r="96" spans="1:195">
      <c r="A96" s="1">
        <v>85000</v>
      </c>
      <c r="B96" s="1" t="s">
        <v>195</v>
      </c>
      <c r="C96" s="1" t="str">
        <f>"08809994"</f>
        <v>08809994</v>
      </c>
      <c r="D96" s="1" t="s">
        <v>196</v>
      </c>
      <c r="F96" s="1" t="str">
        <f>"103"</f>
        <v>103</v>
      </c>
      <c r="G96" s="2">
        <v>42009</v>
      </c>
      <c r="H96" s="1">
        <v>85000</v>
      </c>
      <c r="I96" s="1">
        <v>85000</v>
      </c>
      <c r="J96" s="1">
        <v>85000</v>
      </c>
      <c r="K96" s="2">
        <v>42009</v>
      </c>
      <c r="L96" s="1">
        <v>38</v>
      </c>
      <c r="M96" s="2">
        <v>42046</v>
      </c>
      <c r="N96" s="1">
        <v>38</v>
      </c>
      <c r="O96" s="2">
        <v>42046</v>
      </c>
      <c r="P96" s="1">
        <v>25506</v>
      </c>
      <c r="Q96" s="1" t="s">
        <v>197</v>
      </c>
      <c r="R96" s="2">
        <v>42090</v>
      </c>
      <c r="S96" s="1">
        <v>241737</v>
      </c>
      <c r="U96" s="1">
        <v>1330</v>
      </c>
      <c r="V96" s="1" t="s">
        <v>2024</v>
      </c>
      <c r="W96" s="1" t="s">
        <v>264</v>
      </c>
      <c r="X96" s="1">
        <v>4</v>
      </c>
      <c r="Y96" s="1">
        <v>3</v>
      </c>
      <c r="Z96" s="1" t="s">
        <v>249</v>
      </c>
      <c r="AA96" s="1" t="s">
        <v>337</v>
      </c>
      <c r="AB96" s="1">
        <v>60133</v>
      </c>
      <c r="AC96" s="1">
        <v>7324</v>
      </c>
      <c r="AD96" s="1" t="s">
        <v>2025</v>
      </c>
      <c r="AE96" s="1" t="s">
        <v>2026</v>
      </c>
      <c r="AF96" s="1">
        <v>1972</v>
      </c>
      <c r="AG96" s="1" t="s">
        <v>213</v>
      </c>
      <c r="AH96" s="1" t="s">
        <v>339</v>
      </c>
      <c r="AI96" s="1" t="s">
        <v>310</v>
      </c>
      <c r="AJ96" s="1" t="s">
        <v>1717</v>
      </c>
      <c r="AK96" s="1" t="s">
        <v>2027</v>
      </c>
      <c r="AL96" s="1">
        <v>5</v>
      </c>
      <c r="AM96" s="1">
        <v>2</v>
      </c>
      <c r="AN96" s="1">
        <v>1</v>
      </c>
      <c r="AO96" s="1">
        <v>0</v>
      </c>
      <c r="AP96" s="1" t="s">
        <v>210</v>
      </c>
      <c r="AQ96" s="1">
        <v>0</v>
      </c>
      <c r="AR96" s="1" t="s">
        <v>210</v>
      </c>
      <c r="AT96" s="1" t="s">
        <v>211</v>
      </c>
      <c r="AU96" s="1">
        <v>1</v>
      </c>
      <c r="AW96" s="1" t="s">
        <v>213</v>
      </c>
      <c r="AX96" s="1" t="s">
        <v>212</v>
      </c>
      <c r="AZ96" s="1">
        <v>898.45</v>
      </c>
      <c r="BA96" s="1">
        <v>2013</v>
      </c>
      <c r="BB96" s="1" t="s">
        <v>405</v>
      </c>
      <c r="BE96" s="1">
        <v>0</v>
      </c>
      <c r="BF96" s="1">
        <v>2</v>
      </c>
      <c r="BG96" s="1">
        <v>0</v>
      </c>
      <c r="BL96" s="1">
        <v>106</v>
      </c>
      <c r="BM96" s="1" t="s">
        <v>204</v>
      </c>
      <c r="BN96" s="1" t="s">
        <v>213</v>
      </c>
      <c r="BO96" s="1">
        <v>999</v>
      </c>
      <c r="BP96" s="1" t="s">
        <v>204</v>
      </c>
      <c r="BR96" s="1" t="str">
        <f>"07303000081016"</f>
        <v>07303000081016</v>
      </c>
      <c r="BT96" s="1" t="s">
        <v>2028</v>
      </c>
      <c r="BU96" s="1" t="s">
        <v>2029</v>
      </c>
      <c r="BV96" s="1" t="s">
        <v>1721</v>
      </c>
      <c r="BW96" s="1" t="s">
        <v>2030</v>
      </c>
      <c r="BX96" s="1">
        <v>54</v>
      </c>
      <c r="BY96" s="1">
        <v>54</v>
      </c>
      <c r="BZ96" s="1">
        <v>211</v>
      </c>
      <c r="CB96" s="1" t="str">
        <f t="shared" ref="CB96:CC96" si="72">""</f>
        <v/>
      </c>
      <c r="CC96" s="1" t="str">
        <f t="shared" si="72"/>
        <v/>
      </c>
      <c r="CG96" s="1" t="s">
        <v>648</v>
      </c>
      <c r="CH96" s="1" t="s">
        <v>277</v>
      </c>
      <c r="CI96" s="1" t="s">
        <v>438</v>
      </c>
      <c r="CJ96" s="1" t="s">
        <v>343</v>
      </c>
      <c r="CK96" s="1" t="s">
        <v>539</v>
      </c>
      <c r="CL96" s="1" t="s">
        <v>277</v>
      </c>
      <c r="CM96" s="1" t="s">
        <v>220</v>
      </c>
      <c r="CN96" s="1" t="s">
        <v>343</v>
      </c>
      <c r="CO96" s="1" t="s">
        <v>516</v>
      </c>
      <c r="CP96" s="1" t="s">
        <v>277</v>
      </c>
      <c r="CQ96" s="1" t="s">
        <v>226</v>
      </c>
      <c r="CR96" s="1" t="s">
        <v>343</v>
      </c>
      <c r="CS96" s="1" t="s">
        <v>837</v>
      </c>
      <c r="CT96" s="1" t="s">
        <v>277</v>
      </c>
      <c r="CU96" s="1" t="s">
        <v>220</v>
      </c>
      <c r="CV96" s="1" t="s">
        <v>343</v>
      </c>
      <c r="CX96" s="1" t="s">
        <v>224</v>
      </c>
      <c r="DB96" s="1" t="s">
        <v>224</v>
      </c>
      <c r="DE96" s="1" t="s">
        <v>2031</v>
      </c>
      <c r="DF96" s="1" t="s">
        <v>277</v>
      </c>
      <c r="DG96" s="1" t="s">
        <v>226</v>
      </c>
      <c r="DH96" s="1" t="s">
        <v>210</v>
      </c>
      <c r="DJ96" s="1" t="s">
        <v>224</v>
      </c>
      <c r="DS96" s="1" t="s">
        <v>230</v>
      </c>
      <c r="DW96" s="1" t="s">
        <v>230</v>
      </c>
      <c r="EA96" s="1" t="s">
        <v>230</v>
      </c>
      <c r="EE96" s="1" t="s">
        <v>230</v>
      </c>
      <c r="EI96" s="1" t="s">
        <v>230</v>
      </c>
      <c r="EL96" s="1" t="s">
        <v>605</v>
      </c>
      <c r="EM96" s="1" t="s">
        <v>232</v>
      </c>
      <c r="EN96" s="1" t="s">
        <v>282</v>
      </c>
      <c r="EO96" s="1" t="s">
        <v>234</v>
      </c>
      <c r="EP96" s="1" t="s">
        <v>210</v>
      </c>
      <c r="EQ96" s="1" t="s">
        <v>1109</v>
      </c>
      <c r="ER96" s="1" t="s">
        <v>210</v>
      </c>
      <c r="ES96" s="1" t="s">
        <v>545</v>
      </c>
      <c r="EU96" s="1" t="s">
        <v>2032</v>
      </c>
      <c r="EV96" s="1" t="s">
        <v>352</v>
      </c>
      <c r="EW96" s="1" t="s">
        <v>887</v>
      </c>
      <c r="EY96" s="1" t="s">
        <v>790</v>
      </c>
      <c r="EZ96" s="1" t="s">
        <v>287</v>
      </c>
      <c r="FA96" s="1" t="s">
        <v>1072</v>
      </c>
      <c r="FB96" s="1" t="s">
        <v>1505</v>
      </c>
      <c r="FC96" s="1" t="s">
        <v>548</v>
      </c>
      <c r="FD96" s="1" t="s">
        <v>246</v>
      </c>
      <c r="FE96" s="1" t="s">
        <v>472</v>
      </c>
      <c r="FF96" s="1" t="s">
        <v>248</v>
      </c>
      <c r="FH96" s="1" t="s">
        <v>249</v>
      </c>
      <c r="FJ96" s="1" t="s">
        <v>197</v>
      </c>
      <c r="FL96" s="1" t="s">
        <v>358</v>
      </c>
      <c r="FM96" s="1" t="s">
        <v>252</v>
      </c>
      <c r="FN96" s="1" t="s">
        <v>213</v>
      </c>
      <c r="FO96" s="1" t="s">
        <v>213</v>
      </c>
      <c r="FQ96" s="1" t="s">
        <v>253</v>
      </c>
      <c r="FR96" s="1" t="s">
        <v>210</v>
      </c>
      <c r="FS96" s="1" t="s">
        <v>2033</v>
      </c>
      <c r="FT96" s="1" t="s">
        <v>362</v>
      </c>
      <c r="FU96" s="1" t="s">
        <v>204</v>
      </c>
      <c r="FW96" s="1" t="s">
        <v>1637</v>
      </c>
      <c r="FX96" s="1">
        <v>8059</v>
      </c>
      <c r="FY96" s="1" t="s">
        <v>2034</v>
      </c>
      <c r="FZ96" s="1" t="s">
        <v>2035</v>
      </c>
      <c r="GA96" s="1">
        <v>80667</v>
      </c>
      <c r="GB96" s="1" t="s">
        <v>2036</v>
      </c>
      <c r="GE96" s="1" t="s">
        <v>335</v>
      </c>
      <c r="GI96" s="1" t="s">
        <v>213</v>
      </c>
      <c r="GJ96" s="1" t="s">
        <v>260</v>
      </c>
      <c r="GK96" s="1" t="s">
        <v>210</v>
      </c>
      <c r="GL96" s="2">
        <v>42093</v>
      </c>
      <c r="GM96" s="1" t="s">
        <v>2037</v>
      </c>
    </row>
    <row r="97" spans="1:195">
      <c r="A97" s="1">
        <v>77800</v>
      </c>
      <c r="B97" s="1" t="s">
        <v>195</v>
      </c>
      <c r="C97" s="1" t="str">
        <f>"08764658"</f>
        <v>08764658</v>
      </c>
      <c r="D97" s="1" t="s">
        <v>196</v>
      </c>
      <c r="F97" s="1" t="str">
        <f t="shared" ref="F97:F98" si="73">"123"</f>
        <v>123</v>
      </c>
      <c r="G97" s="2">
        <v>41941</v>
      </c>
      <c r="H97" s="1">
        <v>95000</v>
      </c>
      <c r="I97" s="1">
        <v>95000</v>
      </c>
      <c r="J97" s="1">
        <v>77800</v>
      </c>
      <c r="K97" s="2">
        <v>41941</v>
      </c>
      <c r="L97" s="1">
        <v>80</v>
      </c>
      <c r="M97" s="2">
        <v>42020</v>
      </c>
      <c r="N97" s="1">
        <v>80</v>
      </c>
      <c r="O97" s="2">
        <v>42020</v>
      </c>
      <c r="P97" s="1">
        <v>74</v>
      </c>
      <c r="Q97" s="1" t="s">
        <v>302</v>
      </c>
      <c r="R97" s="2">
        <v>42032</v>
      </c>
      <c r="S97" s="1">
        <v>7710</v>
      </c>
      <c r="U97" s="1">
        <v>1450</v>
      </c>
      <c r="V97" s="1" t="s">
        <v>2038</v>
      </c>
      <c r="W97" s="1" t="s">
        <v>725</v>
      </c>
      <c r="X97" s="1" t="s">
        <v>2039</v>
      </c>
      <c r="Y97" s="1">
        <v>12</v>
      </c>
      <c r="Z97" s="1" t="s">
        <v>249</v>
      </c>
      <c r="AA97" s="1" t="s">
        <v>1173</v>
      </c>
      <c r="AB97" s="1">
        <v>60123</v>
      </c>
      <c r="AE97" s="1" t="s">
        <v>2040</v>
      </c>
      <c r="AF97" s="1">
        <v>1971</v>
      </c>
      <c r="AG97" s="1" t="s">
        <v>213</v>
      </c>
      <c r="AH97" s="1" t="s">
        <v>1175</v>
      </c>
      <c r="AI97" s="1" t="s">
        <v>665</v>
      </c>
      <c r="AJ97" s="1" t="s">
        <v>1175</v>
      </c>
      <c r="AL97" s="1">
        <v>5</v>
      </c>
      <c r="AM97" s="1">
        <v>2</v>
      </c>
      <c r="AN97" s="1">
        <v>1</v>
      </c>
      <c r="AO97" s="1">
        <v>1</v>
      </c>
      <c r="AP97" s="1" t="s">
        <v>210</v>
      </c>
      <c r="AR97" s="1" t="s">
        <v>210</v>
      </c>
      <c r="AS97" s="1" t="s">
        <v>204</v>
      </c>
      <c r="AT97" s="1" t="s">
        <v>211</v>
      </c>
      <c r="AU97" s="1">
        <v>1</v>
      </c>
      <c r="AW97" s="1" t="s">
        <v>204</v>
      </c>
      <c r="AX97" s="1" t="s">
        <v>212</v>
      </c>
      <c r="AZ97" s="1">
        <v>3375.22</v>
      </c>
      <c r="BA97" s="1">
        <v>2012</v>
      </c>
      <c r="BE97" s="1">
        <v>1268</v>
      </c>
      <c r="BF97" s="1">
        <v>1</v>
      </c>
      <c r="BG97" s="1">
        <v>15</v>
      </c>
      <c r="BL97" s="1">
        <v>192</v>
      </c>
      <c r="BM97" s="1" t="s">
        <v>413</v>
      </c>
      <c r="BN97" s="1" t="s">
        <v>204</v>
      </c>
      <c r="BP97" s="1" t="s">
        <v>204</v>
      </c>
      <c r="BR97" s="1" t="str">
        <f>"0610327023"</f>
        <v>0610327023</v>
      </c>
      <c r="BT97" s="1" t="s">
        <v>2041</v>
      </c>
      <c r="BX97" s="1">
        <v>46</v>
      </c>
      <c r="BY97" s="1">
        <v>46</v>
      </c>
      <c r="BZ97" s="1">
        <v>46</v>
      </c>
      <c r="CB97" s="1" t="str">
        <f t="shared" ref="CB97:CC97" si="74">""</f>
        <v/>
      </c>
      <c r="CC97" s="1" t="str">
        <f t="shared" si="74"/>
        <v/>
      </c>
      <c r="CG97" s="1" t="s">
        <v>2042</v>
      </c>
      <c r="CH97" s="1" t="s">
        <v>219</v>
      </c>
      <c r="CI97" s="1" t="s">
        <v>2043</v>
      </c>
      <c r="CK97" s="1" t="s">
        <v>669</v>
      </c>
      <c r="CL97" s="1" t="s">
        <v>219</v>
      </c>
      <c r="CM97" s="1" t="s">
        <v>2043</v>
      </c>
      <c r="CO97" s="1" t="s">
        <v>1046</v>
      </c>
      <c r="CP97" s="1" t="s">
        <v>219</v>
      </c>
      <c r="CQ97" s="1" t="s">
        <v>2043</v>
      </c>
      <c r="CS97" s="1" t="s">
        <v>346</v>
      </c>
      <c r="CT97" s="1" t="s">
        <v>219</v>
      </c>
      <c r="CU97" s="1" t="s">
        <v>2043</v>
      </c>
      <c r="CX97" s="1" t="s">
        <v>224</v>
      </c>
      <c r="DB97" s="1" t="s">
        <v>224</v>
      </c>
      <c r="DE97" s="1" t="s">
        <v>379</v>
      </c>
      <c r="DF97" s="1" t="s">
        <v>219</v>
      </c>
      <c r="DG97" s="1" t="s">
        <v>2043</v>
      </c>
      <c r="DJ97" s="1" t="s">
        <v>224</v>
      </c>
      <c r="DS97" s="1" t="s">
        <v>230</v>
      </c>
      <c r="DW97" s="1" t="s">
        <v>230</v>
      </c>
      <c r="EA97" s="1" t="s">
        <v>230</v>
      </c>
      <c r="EE97" s="1" t="s">
        <v>230</v>
      </c>
      <c r="EI97" s="1" t="s">
        <v>230</v>
      </c>
      <c r="EL97" s="1" t="s">
        <v>605</v>
      </c>
      <c r="EM97" s="1" t="s">
        <v>319</v>
      </c>
      <c r="EN97" s="1" t="s">
        <v>282</v>
      </c>
      <c r="EO97" s="1" t="s">
        <v>234</v>
      </c>
      <c r="EP97" s="1" t="s">
        <v>2044</v>
      </c>
      <c r="EQ97" s="1" t="s">
        <v>1109</v>
      </c>
      <c r="ER97" s="1" t="s">
        <v>210</v>
      </c>
      <c r="EU97" s="1" t="s">
        <v>2045</v>
      </c>
      <c r="EV97" s="1" t="s">
        <v>324</v>
      </c>
      <c r="EW97" s="1" t="s">
        <v>937</v>
      </c>
      <c r="EY97" s="1" t="s">
        <v>242</v>
      </c>
      <c r="EZ97" s="1" t="s">
        <v>287</v>
      </c>
      <c r="FB97" s="1" t="s">
        <v>244</v>
      </c>
      <c r="FC97" s="1" t="s">
        <v>2002</v>
      </c>
      <c r="FD97" s="1" t="s">
        <v>1112</v>
      </c>
      <c r="FE97" s="1" t="s">
        <v>247</v>
      </c>
      <c r="FF97" s="1" t="s">
        <v>248</v>
      </c>
      <c r="FH97" s="1" t="s">
        <v>249</v>
      </c>
      <c r="FJ97" s="1" t="s">
        <v>2046</v>
      </c>
      <c r="FL97" s="1" t="s">
        <v>358</v>
      </c>
      <c r="FM97" s="1" t="s">
        <v>252</v>
      </c>
      <c r="FN97" s="1" t="s">
        <v>213</v>
      </c>
      <c r="FO97" s="1" t="s">
        <v>213</v>
      </c>
      <c r="FQ97" s="1" t="s">
        <v>849</v>
      </c>
      <c r="FR97" s="1" t="s">
        <v>210</v>
      </c>
      <c r="FS97" s="1" t="s">
        <v>2047</v>
      </c>
      <c r="FT97" s="1" t="s">
        <v>2048</v>
      </c>
      <c r="FU97" s="1" t="s">
        <v>204</v>
      </c>
      <c r="FW97" s="1" t="s">
        <v>1742</v>
      </c>
      <c r="FX97" s="1">
        <v>25401</v>
      </c>
      <c r="FY97" s="1" t="s">
        <v>1743</v>
      </c>
      <c r="FZ97" s="1" t="s">
        <v>1744</v>
      </c>
      <c r="GA97" s="1">
        <v>231228</v>
      </c>
      <c r="GB97" s="1" t="s">
        <v>1743</v>
      </c>
      <c r="GD97" s="1" t="s">
        <v>1745</v>
      </c>
      <c r="GE97" s="1" t="s">
        <v>210</v>
      </c>
      <c r="GI97" s="1" t="s">
        <v>213</v>
      </c>
      <c r="GJ97" s="1" t="s">
        <v>260</v>
      </c>
      <c r="GK97" s="1" t="s">
        <v>210</v>
      </c>
      <c r="GL97" s="2">
        <v>42040</v>
      </c>
      <c r="GM97" s="1" t="s">
        <v>2049</v>
      </c>
    </row>
    <row r="98" spans="1:195">
      <c r="A98" s="1">
        <v>165000</v>
      </c>
      <c r="B98" s="1" t="s">
        <v>195</v>
      </c>
      <c r="C98" s="1" t="str">
        <f>"08764949"</f>
        <v>08764949</v>
      </c>
      <c r="D98" s="1" t="s">
        <v>196</v>
      </c>
      <c r="F98" s="1" t="str">
        <f t="shared" si="73"/>
        <v>123</v>
      </c>
      <c r="G98" s="2">
        <v>41942</v>
      </c>
      <c r="H98" s="1">
        <v>175900</v>
      </c>
      <c r="I98" s="1">
        <v>175900</v>
      </c>
      <c r="J98" s="1">
        <v>165000</v>
      </c>
      <c r="K98" s="2">
        <v>41942</v>
      </c>
      <c r="L98" s="1">
        <v>121</v>
      </c>
      <c r="M98" s="2">
        <v>42062</v>
      </c>
      <c r="N98" s="1">
        <v>121</v>
      </c>
      <c r="O98" s="2">
        <v>42062</v>
      </c>
      <c r="P98" s="1">
        <v>8059</v>
      </c>
      <c r="Q98" s="1" t="s">
        <v>2050</v>
      </c>
      <c r="R98" s="2">
        <v>42146</v>
      </c>
      <c r="S98" s="1">
        <v>83466</v>
      </c>
      <c r="U98" s="1">
        <v>181</v>
      </c>
      <c r="V98" s="1" t="s">
        <v>2051</v>
      </c>
      <c r="W98" s="1" t="s">
        <v>425</v>
      </c>
      <c r="X98" s="1">
        <v>181</v>
      </c>
      <c r="Y98" s="1">
        <v>8</v>
      </c>
      <c r="Z98" s="1" t="s">
        <v>370</v>
      </c>
      <c r="AA98" s="1" t="s">
        <v>1173</v>
      </c>
      <c r="AB98" s="1">
        <v>60120</v>
      </c>
      <c r="AD98" s="1" t="s">
        <v>2052</v>
      </c>
      <c r="AE98" s="1" t="s">
        <v>2053</v>
      </c>
      <c r="AF98" s="1">
        <v>2005</v>
      </c>
      <c r="AG98" s="1" t="s">
        <v>204</v>
      </c>
      <c r="AH98" s="1" t="s">
        <v>1175</v>
      </c>
      <c r="AI98" s="1" t="s">
        <v>665</v>
      </c>
      <c r="AJ98" s="1" t="s">
        <v>1175</v>
      </c>
      <c r="AL98" s="1">
        <v>6</v>
      </c>
      <c r="AM98" s="1">
        <v>2</v>
      </c>
      <c r="AN98" s="1">
        <v>2</v>
      </c>
      <c r="AO98" s="1">
        <v>1</v>
      </c>
      <c r="AP98" s="1" t="s">
        <v>209</v>
      </c>
      <c r="AQ98" s="1">
        <v>1</v>
      </c>
      <c r="AR98" s="1" t="s">
        <v>210</v>
      </c>
      <c r="AS98" s="1" t="s">
        <v>204</v>
      </c>
      <c r="AT98" s="1" t="s">
        <v>211</v>
      </c>
      <c r="AU98" s="1">
        <v>2</v>
      </c>
      <c r="AW98" s="1" t="s">
        <v>204</v>
      </c>
      <c r="AX98" s="1" t="s">
        <v>2054</v>
      </c>
      <c r="AZ98" s="1">
        <v>6276</v>
      </c>
      <c r="BA98" s="1">
        <v>2012</v>
      </c>
      <c r="BB98" s="1" t="s">
        <v>210</v>
      </c>
      <c r="BE98" s="1">
        <v>1875</v>
      </c>
      <c r="BF98" s="1">
        <v>1</v>
      </c>
      <c r="BG98" s="1">
        <v>30</v>
      </c>
      <c r="BL98" s="1">
        <v>200</v>
      </c>
      <c r="BM98" s="1" t="s">
        <v>204</v>
      </c>
      <c r="BN98" s="1" t="s">
        <v>213</v>
      </c>
      <c r="BO98" s="1">
        <v>999</v>
      </c>
      <c r="BP98" s="1" t="s">
        <v>204</v>
      </c>
      <c r="BR98" s="1" t="str">
        <f>"0613352069"</f>
        <v>0613352069</v>
      </c>
      <c r="BT98" s="1" t="s">
        <v>2055</v>
      </c>
      <c r="BU98" s="1" t="s">
        <v>2056</v>
      </c>
      <c r="BV98" s="1" t="s">
        <v>2057</v>
      </c>
      <c r="BW98" s="1" t="s">
        <v>2058</v>
      </c>
      <c r="BX98" s="1">
        <v>46</v>
      </c>
      <c r="BY98" s="1">
        <v>46</v>
      </c>
      <c r="BZ98" s="1">
        <v>46</v>
      </c>
      <c r="CB98" s="1" t="str">
        <f>"11"</f>
        <v>11</v>
      </c>
      <c r="CC98" s="1" t="str">
        <f>"0"</f>
        <v>0</v>
      </c>
      <c r="CD98" s="1">
        <v>33</v>
      </c>
      <c r="CE98" s="1">
        <v>0</v>
      </c>
      <c r="CG98" s="1" t="s">
        <v>862</v>
      </c>
      <c r="CH98" s="1" t="s">
        <v>277</v>
      </c>
      <c r="CI98" s="1" t="s">
        <v>438</v>
      </c>
      <c r="CK98" s="1" t="s">
        <v>221</v>
      </c>
      <c r="CL98" s="1" t="s">
        <v>784</v>
      </c>
      <c r="CM98" s="1" t="s">
        <v>438</v>
      </c>
      <c r="CO98" s="1" t="s">
        <v>1297</v>
      </c>
      <c r="CP98" s="1" t="s">
        <v>277</v>
      </c>
      <c r="CQ98" s="1" t="s">
        <v>438</v>
      </c>
      <c r="CS98" s="1" t="s">
        <v>1297</v>
      </c>
      <c r="CT98" s="1" t="s">
        <v>784</v>
      </c>
      <c r="CU98" s="1" t="s">
        <v>438</v>
      </c>
      <c r="CX98" s="1" t="s">
        <v>224</v>
      </c>
      <c r="DB98" s="1" t="s">
        <v>224</v>
      </c>
      <c r="DE98" s="1" t="s">
        <v>1737</v>
      </c>
      <c r="DF98" s="1" t="s">
        <v>277</v>
      </c>
      <c r="DG98" s="1" t="s">
        <v>438</v>
      </c>
      <c r="DI98" s="1" t="s">
        <v>221</v>
      </c>
      <c r="DJ98" s="1" t="s">
        <v>219</v>
      </c>
      <c r="DK98" s="1" t="s">
        <v>438</v>
      </c>
      <c r="DS98" s="1" t="s">
        <v>230</v>
      </c>
      <c r="DW98" s="1" t="s">
        <v>230</v>
      </c>
      <c r="EA98" s="1" t="s">
        <v>230</v>
      </c>
      <c r="EE98" s="1" t="s">
        <v>230</v>
      </c>
      <c r="EI98" s="1" t="s">
        <v>230</v>
      </c>
      <c r="EL98" s="1" t="s">
        <v>491</v>
      </c>
      <c r="EM98" s="1" t="s">
        <v>319</v>
      </c>
      <c r="EN98" s="1" t="s">
        <v>282</v>
      </c>
      <c r="EO98" s="1" t="s">
        <v>234</v>
      </c>
      <c r="EP98" s="1" t="s">
        <v>650</v>
      </c>
      <c r="ER98" s="1" t="s">
        <v>210</v>
      </c>
      <c r="ES98" s="1" t="s">
        <v>954</v>
      </c>
      <c r="ET98" s="1" t="s">
        <v>238</v>
      </c>
      <c r="EU98" s="1" t="s">
        <v>2059</v>
      </c>
      <c r="EV98" s="1" t="s">
        <v>240</v>
      </c>
      <c r="EW98" s="1" t="s">
        <v>887</v>
      </c>
      <c r="EY98" s="1" t="s">
        <v>1315</v>
      </c>
      <c r="EZ98" s="1" t="s">
        <v>287</v>
      </c>
      <c r="FB98" s="1" t="s">
        <v>289</v>
      </c>
      <c r="FC98" s="1" t="s">
        <v>633</v>
      </c>
      <c r="FD98" s="1" t="s">
        <v>246</v>
      </c>
      <c r="FE98" s="1" t="s">
        <v>247</v>
      </c>
      <c r="FF98" s="1" t="s">
        <v>248</v>
      </c>
      <c r="FG98" s="1" t="s">
        <v>2060</v>
      </c>
      <c r="FH98" s="1" t="s">
        <v>1428</v>
      </c>
      <c r="FJ98" s="1" t="s">
        <v>2046</v>
      </c>
      <c r="FL98" s="1" t="s">
        <v>414</v>
      </c>
      <c r="FM98" s="1" t="s">
        <v>252</v>
      </c>
      <c r="FN98" s="1" t="s">
        <v>213</v>
      </c>
      <c r="FO98" s="1" t="s">
        <v>213</v>
      </c>
      <c r="FQ98" s="1" t="s">
        <v>2061</v>
      </c>
      <c r="FR98" s="1" t="s">
        <v>210</v>
      </c>
      <c r="FS98" s="1" t="s">
        <v>2062</v>
      </c>
      <c r="FT98" s="1" t="s">
        <v>2063</v>
      </c>
      <c r="FU98" s="1" t="s">
        <v>204</v>
      </c>
      <c r="FW98" s="1" t="s">
        <v>585</v>
      </c>
      <c r="FX98" s="1">
        <v>1837</v>
      </c>
      <c r="FY98" s="1" t="s">
        <v>1223</v>
      </c>
      <c r="FZ98" s="1" t="s">
        <v>2064</v>
      </c>
      <c r="GA98" s="1">
        <v>238151</v>
      </c>
      <c r="GB98" s="1" t="s">
        <v>2065</v>
      </c>
      <c r="GC98" s="1">
        <v>238150</v>
      </c>
      <c r="GD98" s="1" t="s">
        <v>2066</v>
      </c>
      <c r="GE98" s="1" t="s">
        <v>658</v>
      </c>
      <c r="GH98" s="1" t="s">
        <v>421</v>
      </c>
      <c r="GI98" s="1" t="s">
        <v>213</v>
      </c>
      <c r="GJ98" s="1" t="s">
        <v>260</v>
      </c>
      <c r="GK98" s="1" t="s">
        <v>210</v>
      </c>
      <c r="GL98" s="2">
        <v>42146</v>
      </c>
      <c r="GM98" s="1" t="s">
        <v>2067</v>
      </c>
    </row>
    <row r="99" spans="1:195">
      <c r="A99" s="1">
        <v>89500</v>
      </c>
      <c r="B99" s="1" t="s">
        <v>195</v>
      </c>
      <c r="C99" s="1" t="str">
        <f>"08765261"</f>
        <v>08765261</v>
      </c>
      <c r="D99" s="1" t="s">
        <v>196</v>
      </c>
      <c r="F99" s="1" t="str">
        <f>"61"</f>
        <v>61</v>
      </c>
      <c r="G99" s="2">
        <v>41942</v>
      </c>
      <c r="H99" s="1">
        <v>85000</v>
      </c>
      <c r="I99" s="1">
        <v>85000</v>
      </c>
      <c r="J99" s="1">
        <v>89500</v>
      </c>
      <c r="K99" s="2">
        <v>41942</v>
      </c>
      <c r="L99" s="1">
        <v>27</v>
      </c>
      <c r="M99" s="2">
        <v>41968</v>
      </c>
      <c r="N99" s="1">
        <v>27</v>
      </c>
      <c r="O99" s="2">
        <v>41968</v>
      </c>
      <c r="P99" s="1">
        <v>8081</v>
      </c>
      <c r="Q99" s="1" t="s">
        <v>197</v>
      </c>
      <c r="R99" s="2">
        <v>42003</v>
      </c>
      <c r="S99" s="1">
        <v>82427</v>
      </c>
      <c r="U99" s="1">
        <v>210</v>
      </c>
      <c r="V99" s="1" t="s">
        <v>1915</v>
      </c>
      <c r="W99" s="1" t="s">
        <v>304</v>
      </c>
      <c r="Y99" s="1">
        <v>4</v>
      </c>
      <c r="Z99" s="1" t="s">
        <v>249</v>
      </c>
      <c r="AA99" s="1" t="s">
        <v>505</v>
      </c>
      <c r="AB99" s="1">
        <v>60061</v>
      </c>
      <c r="AD99" s="1" t="s">
        <v>506</v>
      </c>
      <c r="AE99" s="1" t="s">
        <v>2068</v>
      </c>
      <c r="AF99" s="1">
        <v>1977</v>
      </c>
      <c r="AG99" s="1" t="s">
        <v>213</v>
      </c>
      <c r="AH99" s="1" t="s">
        <v>508</v>
      </c>
      <c r="AI99" s="1" t="s">
        <v>509</v>
      </c>
      <c r="AJ99" s="1" t="s">
        <v>510</v>
      </c>
      <c r="AL99" s="1">
        <v>6</v>
      </c>
      <c r="AM99" s="1">
        <v>2</v>
      </c>
      <c r="AN99" s="1">
        <v>1</v>
      </c>
      <c r="AO99" s="1">
        <v>0</v>
      </c>
      <c r="AP99" s="1" t="s">
        <v>210</v>
      </c>
      <c r="AR99" s="1" t="s">
        <v>210</v>
      </c>
      <c r="AT99" s="1" t="s">
        <v>271</v>
      </c>
      <c r="AV99" s="1">
        <v>2</v>
      </c>
      <c r="AW99" s="1" t="s">
        <v>204</v>
      </c>
      <c r="AX99" s="1" t="s">
        <v>212</v>
      </c>
      <c r="AZ99" s="1">
        <v>1828</v>
      </c>
      <c r="BA99" s="1">
        <v>2012</v>
      </c>
      <c r="BE99" s="1">
        <v>0</v>
      </c>
      <c r="BF99" s="1">
        <v>1</v>
      </c>
      <c r="BG99" s="1">
        <v>0</v>
      </c>
      <c r="BL99" s="1">
        <v>183</v>
      </c>
      <c r="BM99" s="1" t="s">
        <v>204</v>
      </c>
      <c r="BN99" s="1" t="s">
        <v>213</v>
      </c>
      <c r="BO99" s="1">
        <v>0</v>
      </c>
      <c r="BP99" s="1" t="s">
        <v>204</v>
      </c>
      <c r="BR99" s="1" t="str">
        <f>"15053050050000"</f>
        <v>15053050050000</v>
      </c>
      <c r="BT99" s="1" t="s">
        <v>2069</v>
      </c>
      <c r="BX99" s="1">
        <v>73</v>
      </c>
      <c r="BY99" s="1">
        <v>73</v>
      </c>
      <c r="BZ99" s="1">
        <v>128</v>
      </c>
      <c r="CB99" s="1" t="str">
        <f t="shared" ref="CB99:CC99" si="75">""</f>
        <v/>
      </c>
      <c r="CC99" s="1" t="str">
        <f t="shared" si="75"/>
        <v/>
      </c>
      <c r="CG99" s="1" t="s">
        <v>1267</v>
      </c>
      <c r="CH99" s="1" t="s">
        <v>219</v>
      </c>
      <c r="CI99" s="1" t="s">
        <v>220</v>
      </c>
      <c r="CJ99" s="1" t="s">
        <v>909</v>
      </c>
      <c r="CK99" s="1" t="s">
        <v>2070</v>
      </c>
      <c r="CL99" s="1" t="s">
        <v>219</v>
      </c>
      <c r="CM99" s="1" t="s">
        <v>220</v>
      </c>
      <c r="CO99" s="1" t="s">
        <v>348</v>
      </c>
      <c r="CP99" s="1" t="s">
        <v>219</v>
      </c>
      <c r="CQ99" s="1" t="s">
        <v>220</v>
      </c>
      <c r="CR99" s="1" t="s">
        <v>909</v>
      </c>
      <c r="CS99" s="1" t="s">
        <v>379</v>
      </c>
      <c r="CT99" s="1" t="s">
        <v>219</v>
      </c>
      <c r="CU99" s="1" t="s">
        <v>220</v>
      </c>
      <c r="CX99" s="1" t="s">
        <v>224</v>
      </c>
      <c r="DB99" s="1" t="s">
        <v>224</v>
      </c>
      <c r="DE99" s="1" t="s">
        <v>516</v>
      </c>
      <c r="DF99" s="1" t="s">
        <v>219</v>
      </c>
      <c r="DG99" s="1" t="s">
        <v>342</v>
      </c>
      <c r="DH99" s="1" t="s">
        <v>909</v>
      </c>
      <c r="DI99" s="1" t="s">
        <v>2071</v>
      </c>
      <c r="DJ99" s="1" t="s">
        <v>219</v>
      </c>
      <c r="DK99" s="1" t="s">
        <v>220</v>
      </c>
      <c r="DL99" s="1" t="s">
        <v>909</v>
      </c>
      <c r="DS99" s="1" t="s">
        <v>230</v>
      </c>
      <c r="DW99" s="1" t="s">
        <v>230</v>
      </c>
      <c r="EA99" s="1" t="s">
        <v>230</v>
      </c>
      <c r="EE99" s="1" t="s">
        <v>230</v>
      </c>
      <c r="EI99" s="1" t="s">
        <v>230</v>
      </c>
      <c r="EL99" s="1" t="s">
        <v>231</v>
      </c>
      <c r="EM99" s="1" t="s">
        <v>319</v>
      </c>
      <c r="EN99" s="1" t="s">
        <v>282</v>
      </c>
      <c r="EO99" s="1" t="s">
        <v>234</v>
      </c>
      <c r="EP99" s="1" t="s">
        <v>2072</v>
      </c>
      <c r="ER99" s="1" t="s">
        <v>383</v>
      </c>
      <c r="EW99" s="1" t="s">
        <v>517</v>
      </c>
      <c r="EZ99" s="1" t="s">
        <v>287</v>
      </c>
      <c r="FB99" s="1" t="s">
        <v>244</v>
      </c>
      <c r="FC99" s="1" t="s">
        <v>2073</v>
      </c>
      <c r="FD99" s="1" t="s">
        <v>246</v>
      </c>
      <c r="FE99" s="1" t="s">
        <v>2074</v>
      </c>
      <c r="FF99" s="1" t="s">
        <v>248</v>
      </c>
      <c r="FH99" s="1" t="s">
        <v>2075</v>
      </c>
      <c r="FK99" s="1" t="s">
        <v>2076</v>
      </c>
      <c r="FL99" s="1" t="s">
        <v>358</v>
      </c>
      <c r="FM99" s="1" t="s">
        <v>252</v>
      </c>
      <c r="FN99" s="1" t="s">
        <v>213</v>
      </c>
      <c r="FO99" s="1" t="s">
        <v>213</v>
      </c>
      <c r="FQ99" s="1" t="s">
        <v>329</v>
      </c>
      <c r="FR99" s="1" t="s">
        <v>210</v>
      </c>
      <c r="FS99" s="1" t="s">
        <v>2077</v>
      </c>
      <c r="FT99" s="1" t="s">
        <v>295</v>
      </c>
      <c r="FU99" s="1" t="s">
        <v>204</v>
      </c>
      <c r="FW99" s="1" t="s">
        <v>2078</v>
      </c>
      <c r="FX99" s="1">
        <v>3884</v>
      </c>
      <c r="FY99" s="1" t="s">
        <v>2079</v>
      </c>
      <c r="FZ99" s="1" t="s">
        <v>2080</v>
      </c>
      <c r="GA99" s="1">
        <v>35772</v>
      </c>
      <c r="GB99" s="1" t="s">
        <v>2081</v>
      </c>
      <c r="GE99" s="1" t="s">
        <v>480</v>
      </c>
      <c r="GI99" s="1" t="s">
        <v>213</v>
      </c>
      <c r="GJ99" s="1" t="s">
        <v>260</v>
      </c>
      <c r="GK99" s="1" t="s">
        <v>210</v>
      </c>
      <c r="GL99" s="2">
        <v>42012</v>
      </c>
    </row>
    <row r="100" spans="1:195">
      <c r="A100" s="1">
        <v>308000</v>
      </c>
      <c r="B100" s="1" t="s">
        <v>195</v>
      </c>
      <c r="C100" s="1" t="str">
        <f>"08764959"</f>
        <v>08764959</v>
      </c>
      <c r="D100" s="1" t="s">
        <v>196</v>
      </c>
      <c r="F100" s="1" t="str">
        <f>"540"</f>
        <v>540</v>
      </c>
      <c r="G100" s="2">
        <v>41942</v>
      </c>
      <c r="H100" s="1">
        <v>324900</v>
      </c>
      <c r="I100" s="1">
        <v>319900</v>
      </c>
      <c r="J100" s="1">
        <v>308000</v>
      </c>
      <c r="K100" s="2">
        <v>41942</v>
      </c>
      <c r="L100" s="1">
        <v>72</v>
      </c>
      <c r="M100" s="2">
        <v>42013</v>
      </c>
      <c r="N100" s="1">
        <v>72</v>
      </c>
      <c r="O100" s="2">
        <v>42013</v>
      </c>
      <c r="P100" s="1">
        <v>31580</v>
      </c>
      <c r="Q100" s="1" t="s">
        <v>197</v>
      </c>
      <c r="R100" s="2">
        <v>42076</v>
      </c>
      <c r="S100" s="1">
        <v>8171</v>
      </c>
      <c r="T100" s="1">
        <v>1200</v>
      </c>
      <c r="U100" s="1">
        <v>934</v>
      </c>
      <c r="V100" s="1" t="s">
        <v>2082</v>
      </c>
      <c r="W100" s="1" t="s">
        <v>264</v>
      </c>
      <c r="X100" s="1">
        <v>934</v>
      </c>
      <c r="Y100" s="1">
        <v>5</v>
      </c>
      <c r="Z100" s="1" t="s">
        <v>370</v>
      </c>
      <c r="AA100" s="1" t="s">
        <v>921</v>
      </c>
      <c r="AB100" s="1">
        <v>60540</v>
      </c>
      <c r="AD100" s="1" t="s">
        <v>2083</v>
      </c>
      <c r="AE100" s="1" t="s">
        <v>2084</v>
      </c>
      <c r="AF100" s="1">
        <v>2003</v>
      </c>
      <c r="AG100" s="1" t="s">
        <v>204</v>
      </c>
      <c r="AH100" s="1" t="s">
        <v>924</v>
      </c>
      <c r="AI100" s="1" t="s">
        <v>206</v>
      </c>
      <c r="AJ100" s="1" t="s">
        <v>924</v>
      </c>
      <c r="AK100" s="1" t="s">
        <v>2085</v>
      </c>
      <c r="AL100" s="1">
        <v>6</v>
      </c>
      <c r="AM100" s="1">
        <v>2</v>
      </c>
      <c r="AN100" s="1">
        <v>2</v>
      </c>
      <c r="AO100" s="1">
        <v>1</v>
      </c>
      <c r="AP100" s="1" t="s">
        <v>209</v>
      </c>
      <c r="AQ100" s="1">
        <v>1</v>
      </c>
      <c r="AR100" s="1" t="s">
        <v>210</v>
      </c>
      <c r="AT100" s="1" t="s">
        <v>211</v>
      </c>
      <c r="AU100" s="1">
        <v>2</v>
      </c>
      <c r="AW100" s="1" t="s">
        <v>204</v>
      </c>
      <c r="AX100" s="1" t="s">
        <v>212</v>
      </c>
      <c r="AZ100" s="1">
        <v>7399.54</v>
      </c>
      <c r="BA100" s="1">
        <v>2013</v>
      </c>
      <c r="BB100" s="1" t="s">
        <v>405</v>
      </c>
      <c r="BE100" s="1">
        <v>2070</v>
      </c>
      <c r="BF100" s="1">
        <v>1</v>
      </c>
      <c r="BG100" s="1">
        <v>0</v>
      </c>
      <c r="BL100" s="1">
        <v>279</v>
      </c>
      <c r="BM100" s="1" t="s">
        <v>204</v>
      </c>
      <c r="BN100" s="1" t="s">
        <v>213</v>
      </c>
      <c r="BO100" s="1">
        <v>200</v>
      </c>
      <c r="BP100" s="1" t="s">
        <v>204</v>
      </c>
      <c r="BR100" s="1" t="str">
        <f>"0727109030"</f>
        <v>0727109030</v>
      </c>
      <c r="BT100" s="1" t="s">
        <v>2086</v>
      </c>
      <c r="BU100" s="1" t="s">
        <v>2087</v>
      </c>
      <c r="BV100" s="1" t="s">
        <v>1248</v>
      </c>
      <c r="BW100" s="1" t="s">
        <v>1131</v>
      </c>
      <c r="BX100" s="1">
        <v>204</v>
      </c>
      <c r="BY100" s="1">
        <v>204</v>
      </c>
      <c r="BZ100" s="1">
        <v>204</v>
      </c>
      <c r="CB100" s="1" t="str">
        <f t="shared" ref="CB100:CC100" si="76">"0"</f>
        <v>0</v>
      </c>
      <c r="CC100" s="1" t="str">
        <f t="shared" si="76"/>
        <v>0</v>
      </c>
      <c r="CD100" s="1">
        <v>29</v>
      </c>
      <c r="CE100" s="1">
        <v>8</v>
      </c>
      <c r="CG100" s="1" t="s">
        <v>932</v>
      </c>
      <c r="CH100" s="1" t="s">
        <v>277</v>
      </c>
      <c r="CI100" s="1" t="s">
        <v>438</v>
      </c>
      <c r="CJ100" s="1" t="s">
        <v>252</v>
      </c>
      <c r="CK100" s="1" t="s">
        <v>729</v>
      </c>
      <c r="CL100" s="1" t="s">
        <v>784</v>
      </c>
      <c r="CM100" s="1" t="s">
        <v>438</v>
      </c>
      <c r="CN100" s="1" t="s">
        <v>252</v>
      </c>
      <c r="CO100" s="1" t="s">
        <v>757</v>
      </c>
      <c r="CP100" s="1" t="s">
        <v>277</v>
      </c>
      <c r="CQ100" s="1" t="s">
        <v>438</v>
      </c>
      <c r="CR100" s="1" t="s">
        <v>210</v>
      </c>
      <c r="CS100" s="1" t="s">
        <v>223</v>
      </c>
      <c r="CT100" s="1" t="s">
        <v>784</v>
      </c>
      <c r="CU100" s="1" t="s">
        <v>438</v>
      </c>
      <c r="CV100" s="1" t="s">
        <v>252</v>
      </c>
      <c r="CX100" s="1" t="s">
        <v>224</v>
      </c>
      <c r="DB100" s="1" t="s">
        <v>224</v>
      </c>
      <c r="DE100" s="1" t="s">
        <v>218</v>
      </c>
      <c r="DF100" s="1" t="s">
        <v>277</v>
      </c>
      <c r="DG100" s="1" t="s">
        <v>438</v>
      </c>
      <c r="DH100" s="1" t="s">
        <v>252</v>
      </c>
      <c r="DI100" s="1" t="s">
        <v>885</v>
      </c>
      <c r="DJ100" s="1" t="s">
        <v>822</v>
      </c>
      <c r="DK100" s="1" t="s">
        <v>220</v>
      </c>
      <c r="DL100" s="1" t="s">
        <v>252</v>
      </c>
      <c r="DS100" s="1" t="s">
        <v>230</v>
      </c>
      <c r="DW100" s="1" t="s">
        <v>230</v>
      </c>
      <c r="EA100" s="1" t="s">
        <v>230</v>
      </c>
      <c r="EE100" s="1" t="s">
        <v>230</v>
      </c>
      <c r="EI100" s="1" t="s">
        <v>230</v>
      </c>
      <c r="EL100" s="1" t="s">
        <v>466</v>
      </c>
      <c r="EM100" s="1" t="s">
        <v>232</v>
      </c>
      <c r="EN100" s="1" t="s">
        <v>282</v>
      </c>
      <c r="EO100" s="1" t="s">
        <v>234</v>
      </c>
      <c r="EP100" s="1" t="s">
        <v>650</v>
      </c>
      <c r="EQ100" s="1" t="s">
        <v>236</v>
      </c>
      <c r="ER100" s="1" t="s">
        <v>210</v>
      </c>
      <c r="ES100" s="1" t="s">
        <v>608</v>
      </c>
      <c r="ET100" s="1" t="s">
        <v>238</v>
      </c>
      <c r="EU100" s="1" t="s">
        <v>2088</v>
      </c>
      <c r="EV100" s="1" t="s">
        <v>240</v>
      </c>
      <c r="EW100" s="1" t="s">
        <v>2089</v>
      </c>
      <c r="EY100" s="1" t="s">
        <v>242</v>
      </c>
      <c r="EZ100" s="1" t="s">
        <v>287</v>
      </c>
      <c r="FA100" s="1" t="s">
        <v>714</v>
      </c>
      <c r="FB100" s="1" t="s">
        <v>289</v>
      </c>
      <c r="FD100" s="1" t="s">
        <v>246</v>
      </c>
      <c r="FE100" s="1" t="s">
        <v>847</v>
      </c>
      <c r="FF100" s="1" t="s">
        <v>248</v>
      </c>
      <c r="FG100" s="1" t="s">
        <v>2090</v>
      </c>
      <c r="FH100" s="1" t="s">
        <v>1428</v>
      </c>
      <c r="FI100" s="1" t="s">
        <v>357</v>
      </c>
      <c r="FL100" s="1" t="s">
        <v>358</v>
      </c>
      <c r="FM100" s="1" t="s">
        <v>252</v>
      </c>
      <c r="FN100" s="1" t="s">
        <v>213</v>
      </c>
      <c r="FO100" s="1" t="s">
        <v>213</v>
      </c>
      <c r="FQ100" s="1" t="s">
        <v>2091</v>
      </c>
      <c r="FR100" s="1" t="s">
        <v>210</v>
      </c>
      <c r="FS100" s="1" t="s">
        <v>2092</v>
      </c>
      <c r="FT100" s="1" t="s">
        <v>295</v>
      </c>
      <c r="FU100" s="1" t="s">
        <v>204</v>
      </c>
      <c r="FW100" s="1" t="s">
        <v>2093</v>
      </c>
      <c r="FX100" s="1">
        <v>31580</v>
      </c>
      <c r="FY100" s="1" t="s">
        <v>2094</v>
      </c>
      <c r="FZ100" s="1" t="s">
        <v>2095</v>
      </c>
      <c r="GA100" s="1">
        <v>8171</v>
      </c>
      <c r="GB100" s="1" t="s">
        <v>2096</v>
      </c>
      <c r="GE100" s="1" t="s">
        <v>1576</v>
      </c>
      <c r="GI100" s="1" t="s">
        <v>213</v>
      </c>
      <c r="GJ100" s="1" t="s">
        <v>260</v>
      </c>
      <c r="GK100" s="1" t="s">
        <v>210</v>
      </c>
      <c r="GL100" s="2">
        <v>42077</v>
      </c>
    </row>
    <row r="101" spans="1:195">
      <c r="A101" s="1">
        <v>74900</v>
      </c>
      <c r="B101" s="1" t="s">
        <v>195</v>
      </c>
      <c r="C101" s="1" t="str">
        <f>"08766651"</f>
        <v>08766651</v>
      </c>
      <c r="D101" s="1" t="s">
        <v>196</v>
      </c>
      <c r="F101" s="1" t="str">
        <f>"186"</f>
        <v>186</v>
      </c>
      <c r="G101" s="2">
        <v>41944</v>
      </c>
      <c r="H101" s="1">
        <v>74900</v>
      </c>
      <c r="I101" s="1">
        <v>74900</v>
      </c>
      <c r="J101" s="1">
        <v>74900</v>
      </c>
      <c r="K101" s="2">
        <v>41942</v>
      </c>
      <c r="L101" s="1">
        <v>19</v>
      </c>
      <c r="M101" s="2">
        <v>41960</v>
      </c>
      <c r="N101" s="1">
        <v>19</v>
      </c>
      <c r="O101" s="2">
        <v>41960</v>
      </c>
      <c r="P101" s="1">
        <v>25097</v>
      </c>
      <c r="Q101" s="1" t="s">
        <v>197</v>
      </c>
      <c r="R101" s="2">
        <v>42018</v>
      </c>
      <c r="S101" s="1">
        <v>242398</v>
      </c>
      <c r="U101" s="1" t="s">
        <v>2097</v>
      </c>
      <c r="V101" s="1" t="s">
        <v>2098</v>
      </c>
      <c r="W101" s="1" t="s">
        <v>725</v>
      </c>
      <c r="Y101" s="1">
        <v>7</v>
      </c>
      <c r="Z101" s="1" t="s">
        <v>370</v>
      </c>
      <c r="AA101" s="1" t="s">
        <v>2099</v>
      </c>
      <c r="AB101" s="1">
        <v>60181</v>
      </c>
      <c r="AE101" s="1" t="s">
        <v>2100</v>
      </c>
      <c r="AF101" s="1">
        <v>1967</v>
      </c>
      <c r="AG101" s="1" t="s">
        <v>213</v>
      </c>
      <c r="AH101" s="1" t="s">
        <v>2101</v>
      </c>
      <c r="AI101" s="1" t="s">
        <v>206</v>
      </c>
      <c r="AJ101" s="1" t="s">
        <v>1608</v>
      </c>
      <c r="AL101" s="1">
        <v>6</v>
      </c>
      <c r="AM101" s="1">
        <v>2</v>
      </c>
      <c r="AN101" s="1">
        <v>1</v>
      </c>
      <c r="AO101" s="1">
        <v>1</v>
      </c>
      <c r="AP101" s="1" t="s">
        <v>210</v>
      </c>
      <c r="AR101" s="1" t="s">
        <v>209</v>
      </c>
      <c r="AS101" s="1" t="s">
        <v>204</v>
      </c>
      <c r="AT101" s="1" t="s">
        <v>271</v>
      </c>
      <c r="AV101" s="1">
        <v>1</v>
      </c>
      <c r="AW101" s="1" t="s">
        <v>204</v>
      </c>
      <c r="AX101" s="1">
        <v>1647</v>
      </c>
      <c r="AZ101" s="1">
        <v>1999</v>
      </c>
      <c r="BA101" s="1">
        <v>2013</v>
      </c>
      <c r="BE101" s="1">
        <v>1128</v>
      </c>
      <c r="BF101" s="1">
        <v>1</v>
      </c>
      <c r="BG101" s="1">
        <v>1</v>
      </c>
      <c r="BL101" s="1">
        <v>189</v>
      </c>
      <c r="BM101" s="1" t="s">
        <v>204</v>
      </c>
      <c r="BN101" s="1" t="s">
        <v>213</v>
      </c>
      <c r="BO101" s="1">
        <v>100</v>
      </c>
      <c r="BP101" s="1" t="s">
        <v>204</v>
      </c>
      <c r="BR101" s="1" t="str">
        <f>"0621210016"</f>
        <v>0621210016</v>
      </c>
      <c r="BT101" s="1" t="s">
        <v>2102</v>
      </c>
      <c r="BX101" s="1">
        <v>45</v>
      </c>
      <c r="BY101" s="1">
        <v>45</v>
      </c>
      <c r="BZ101" s="1">
        <v>88</v>
      </c>
      <c r="CB101" s="1" t="str">
        <f t="shared" ref="CB101:CC101" si="77">""</f>
        <v/>
      </c>
      <c r="CC101" s="1" t="str">
        <f t="shared" si="77"/>
        <v/>
      </c>
      <c r="CG101" s="1" t="s">
        <v>1045</v>
      </c>
      <c r="CH101" s="1" t="s">
        <v>219</v>
      </c>
      <c r="CK101" s="1" t="s">
        <v>278</v>
      </c>
      <c r="CL101" s="1" t="s">
        <v>277</v>
      </c>
      <c r="CO101" s="1" t="s">
        <v>2103</v>
      </c>
      <c r="CP101" s="1" t="s">
        <v>219</v>
      </c>
      <c r="CS101" s="1" t="s">
        <v>317</v>
      </c>
      <c r="CT101" s="1" t="s">
        <v>277</v>
      </c>
      <c r="CX101" s="1" t="s">
        <v>224</v>
      </c>
      <c r="DB101" s="1" t="s">
        <v>224</v>
      </c>
      <c r="DE101" s="1" t="s">
        <v>2104</v>
      </c>
      <c r="DF101" s="1" t="s">
        <v>219</v>
      </c>
      <c r="DI101" s="1" t="s">
        <v>276</v>
      </c>
      <c r="DJ101" s="1" t="s">
        <v>43</v>
      </c>
      <c r="DS101" s="1" t="s">
        <v>230</v>
      </c>
      <c r="DW101" s="1" t="s">
        <v>230</v>
      </c>
      <c r="EA101" s="1" t="s">
        <v>230</v>
      </c>
      <c r="EE101" s="1" t="s">
        <v>230</v>
      </c>
      <c r="EI101" s="1" t="s">
        <v>230</v>
      </c>
      <c r="EL101" s="1" t="s">
        <v>605</v>
      </c>
      <c r="EM101" s="1" t="s">
        <v>319</v>
      </c>
      <c r="EN101" s="1" t="s">
        <v>1158</v>
      </c>
      <c r="EO101" s="1" t="s">
        <v>234</v>
      </c>
      <c r="ER101" s="1" t="s">
        <v>351</v>
      </c>
      <c r="EW101" s="1" t="s">
        <v>2105</v>
      </c>
      <c r="EZ101" s="1" t="s">
        <v>287</v>
      </c>
      <c r="FD101" s="1" t="s">
        <v>246</v>
      </c>
      <c r="FE101" s="1" t="s">
        <v>247</v>
      </c>
      <c r="FF101" s="1" t="s">
        <v>248</v>
      </c>
      <c r="FH101" s="1" t="s">
        <v>550</v>
      </c>
      <c r="FL101" s="1" t="s">
        <v>328</v>
      </c>
      <c r="FM101" s="1" t="s">
        <v>252</v>
      </c>
      <c r="FN101" s="1" t="s">
        <v>213</v>
      </c>
      <c r="FO101" s="1" t="s">
        <v>213</v>
      </c>
      <c r="FQ101" s="1" t="s">
        <v>673</v>
      </c>
      <c r="FR101" s="1" t="s">
        <v>210</v>
      </c>
      <c r="FS101" s="1" t="s">
        <v>2106</v>
      </c>
      <c r="FT101" s="1" t="s">
        <v>2107</v>
      </c>
      <c r="FU101" s="1" t="s">
        <v>204</v>
      </c>
      <c r="FW101" s="1" t="s">
        <v>2108</v>
      </c>
      <c r="FX101" s="1">
        <v>5085</v>
      </c>
      <c r="FY101" s="1" t="s">
        <v>2109</v>
      </c>
      <c r="FZ101" s="1" t="s">
        <v>2110</v>
      </c>
      <c r="GA101" s="1">
        <v>55549</v>
      </c>
      <c r="GE101" s="1" t="s">
        <v>480</v>
      </c>
      <c r="GI101" s="1" t="s">
        <v>213</v>
      </c>
      <c r="GJ101" s="1" t="s">
        <v>260</v>
      </c>
      <c r="GK101" s="1" t="s">
        <v>210</v>
      </c>
      <c r="GL101" s="2">
        <v>42018</v>
      </c>
      <c r="GM101" s="1" t="s">
        <v>2111</v>
      </c>
    </row>
    <row r="102" spans="1:195">
      <c r="A102" s="1">
        <v>213000</v>
      </c>
      <c r="B102" s="1" t="s">
        <v>195</v>
      </c>
      <c r="C102" s="1" t="str">
        <f>"08761865"</f>
        <v>08761865</v>
      </c>
      <c r="D102" s="1" t="s">
        <v>196</v>
      </c>
      <c r="F102" s="1" t="str">
        <f>"174"</f>
        <v>174</v>
      </c>
      <c r="G102" s="2">
        <v>41938</v>
      </c>
      <c r="H102" s="1">
        <v>217750</v>
      </c>
      <c r="I102" s="1">
        <v>217750</v>
      </c>
      <c r="J102" s="1">
        <v>213000</v>
      </c>
      <c r="K102" s="2">
        <v>41937</v>
      </c>
      <c r="L102" s="1">
        <v>204</v>
      </c>
      <c r="M102" s="2">
        <v>41948</v>
      </c>
      <c r="N102" s="1">
        <v>12</v>
      </c>
      <c r="O102" s="2">
        <v>41948</v>
      </c>
      <c r="P102" s="1">
        <v>771</v>
      </c>
      <c r="Q102" s="1" t="s">
        <v>197</v>
      </c>
      <c r="R102" s="2">
        <v>41978</v>
      </c>
      <c r="S102" s="1">
        <v>330</v>
      </c>
      <c r="U102" s="1">
        <v>3168</v>
      </c>
      <c r="V102" s="1" t="s">
        <v>2112</v>
      </c>
      <c r="W102" s="1" t="s">
        <v>504</v>
      </c>
      <c r="Y102" s="1">
        <v>4</v>
      </c>
      <c r="Z102" s="1" t="s">
        <v>370</v>
      </c>
      <c r="AA102" s="1" t="s">
        <v>879</v>
      </c>
      <c r="AB102" s="1">
        <v>60175</v>
      </c>
      <c r="AD102" s="1" t="s">
        <v>2113</v>
      </c>
      <c r="AE102" s="1" t="s">
        <v>2114</v>
      </c>
      <c r="AF102" s="1">
        <v>2001</v>
      </c>
      <c r="AG102" s="1" t="s">
        <v>204</v>
      </c>
      <c r="AH102" s="1" t="s">
        <v>883</v>
      </c>
      <c r="AI102" s="1" t="s">
        <v>665</v>
      </c>
      <c r="AJ102" s="1" t="s">
        <v>2115</v>
      </c>
      <c r="AK102" s="1" t="s">
        <v>2116</v>
      </c>
      <c r="AL102" s="1">
        <v>7</v>
      </c>
      <c r="AM102" s="1">
        <v>2</v>
      </c>
      <c r="AN102" s="1">
        <v>2</v>
      </c>
      <c r="AO102" s="1">
        <v>2</v>
      </c>
      <c r="AP102" s="1" t="s">
        <v>209</v>
      </c>
      <c r="AQ102" s="1">
        <v>1</v>
      </c>
      <c r="AR102" s="1" t="s">
        <v>209</v>
      </c>
      <c r="AS102" s="1" t="s">
        <v>213</v>
      </c>
      <c r="AT102" s="1" t="s">
        <v>211</v>
      </c>
      <c r="AU102" s="1">
        <v>2</v>
      </c>
      <c r="AW102" s="1" t="s">
        <v>204</v>
      </c>
      <c r="AX102" s="1" t="s">
        <v>212</v>
      </c>
      <c r="AZ102" s="5">
        <v>6215.42</v>
      </c>
      <c r="BA102" s="1">
        <v>2013</v>
      </c>
      <c r="BE102" s="1">
        <v>1636</v>
      </c>
      <c r="BF102" s="1">
        <v>1</v>
      </c>
      <c r="BG102" s="1">
        <v>0</v>
      </c>
      <c r="BL102" s="1">
        <v>160</v>
      </c>
      <c r="BM102" s="1" t="s">
        <v>204</v>
      </c>
      <c r="BN102" s="1" t="s">
        <v>213</v>
      </c>
      <c r="BO102" s="1">
        <v>999</v>
      </c>
      <c r="BP102" s="1" t="s">
        <v>204</v>
      </c>
      <c r="BR102" s="1" t="str">
        <f>"0929303015"</f>
        <v>0929303015</v>
      </c>
      <c r="BT102" s="1" t="s">
        <v>2117</v>
      </c>
      <c r="BU102" s="1" t="s">
        <v>969</v>
      </c>
      <c r="BV102" s="1" t="s">
        <v>2118</v>
      </c>
      <c r="BW102" s="1" t="s">
        <v>2119</v>
      </c>
      <c r="BX102" s="1">
        <v>303</v>
      </c>
      <c r="BY102" s="1">
        <v>303</v>
      </c>
      <c r="BZ102" s="1">
        <v>303</v>
      </c>
      <c r="CB102" s="1" t="str">
        <f>"3"</f>
        <v>3</v>
      </c>
      <c r="CC102" s="1" t="str">
        <f>"0"</f>
        <v>0</v>
      </c>
      <c r="CD102" s="1">
        <v>37</v>
      </c>
      <c r="CE102" s="1">
        <v>0</v>
      </c>
      <c r="CG102" s="1" t="s">
        <v>2120</v>
      </c>
      <c r="CH102" s="1" t="s">
        <v>219</v>
      </c>
      <c r="CI102" s="1" t="s">
        <v>220</v>
      </c>
      <c r="CJ102" s="1" t="s">
        <v>343</v>
      </c>
      <c r="CK102" s="1" t="s">
        <v>2121</v>
      </c>
      <c r="CL102" s="1" t="s">
        <v>277</v>
      </c>
      <c r="CM102" s="1" t="s">
        <v>220</v>
      </c>
      <c r="CN102" s="1" t="s">
        <v>343</v>
      </c>
      <c r="CP102" s="1" t="s">
        <v>224</v>
      </c>
      <c r="CS102" s="1" t="s">
        <v>465</v>
      </c>
      <c r="CT102" s="1" t="s">
        <v>277</v>
      </c>
      <c r="CU102" s="1" t="s">
        <v>220</v>
      </c>
      <c r="CV102" s="1" t="s">
        <v>343</v>
      </c>
      <c r="CX102" s="1" t="s">
        <v>224</v>
      </c>
      <c r="DB102" s="1" t="s">
        <v>224</v>
      </c>
      <c r="DE102" s="1" t="s">
        <v>344</v>
      </c>
      <c r="DF102" s="1" t="s">
        <v>219</v>
      </c>
      <c r="DG102" s="1" t="s">
        <v>226</v>
      </c>
      <c r="DH102" s="1" t="s">
        <v>210</v>
      </c>
      <c r="DJ102" s="1" t="s">
        <v>224</v>
      </c>
      <c r="DM102" s="1" t="s">
        <v>1005</v>
      </c>
      <c r="DN102" s="1" t="s">
        <v>709</v>
      </c>
      <c r="DP102" s="1" t="s">
        <v>464</v>
      </c>
      <c r="DQ102" s="1" t="s">
        <v>934</v>
      </c>
      <c r="DR102" s="1" t="s">
        <v>2122</v>
      </c>
      <c r="DS102" s="1" t="s">
        <v>219</v>
      </c>
      <c r="DT102" s="1" t="s">
        <v>220</v>
      </c>
      <c r="DU102" s="1" t="s">
        <v>343</v>
      </c>
      <c r="DV102" s="1" t="s">
        <v>2123</v>
      </c>
      <c r="DW102" s="1" t="s">
        <v>219</v>
      </c>
      <c r="DX102" s="1" t="s">
        <v>226</v>
      </c>
      <c r="EA102" s="1" t="s">
        <v>230</v>
      </c>
      <c r="ED102" s="1" t="s">
        <v>461</v>
      </c>
      <c r="EE102" s="1" t="s">
        <v>277</v>
      </c>
      <c r="EF102" s="1" t="s">
        <v>220</v>
      </c>
      <c r="EG102" s="1" t="s">
        <v>210</v>
      </c>
      <c r="EH102" s="1" t="s">
        <v>2124</v>
      </c>
      <c r="EI102" s="1" t="s">
        <v>43</v>
      </c>
      <c r="EJ102" s="1" t="s">
        <v>220</v>
      </c>
      <c r="EK102" s="1" t="s">
        <v>210</v>
      </c>
      <c r="EL102" s="1" t="s">
        <v>466</v>
      </c>
      <c r="EM102" s="1" t="s">
        <v>319</v>
      </c>
      <c r="EN102" s="1" t="s">
        <v>282</v>
      </c>
      <c r="EO102" s="1" t="s">
        <v>234</v>
      </c>
      <c r="EQ102" s="1" t="s">
        <v>492</v>
      </c>
      <c r="ER102" s="1" t="s">
        <v>544</v>
      </c>
      <c r="ES102" s="1" t="s">
        <v>824</v>
      </c>
      <c r="ET102" s="1" t="s">
        <v>1404</v>
      </c>
      <c r="EU102" s="1" t="s">
        <v>610</v>
      </c>
      <c r="EW102" s="1" t="s">
        <v>353</v>
      </c>
      <c r="EY102" s="1" t="s">
        <v>441</v>
      </c>
      <c r="EZ102" s="1" t="s">
        <v>2125</v>
      </c>
      <c r="FA102" s="1" t="s">
        <v>2126</v>
      </c>
      <c r="FC102" s="1" t="s">
        <v>633</v>
      </c>
      <c r="FD102" s="1" t="s">
        <v>246</v>
      </c>
      <c r="FE102" s="1" t="s">
        <v>975</v>
      </c>
      <c r="FF102" s="1" t="s">
        <v>387</v>
      </c>
      <c r="FG102" s="1" t="s">
        <v>2127</v>
      </c>
      <c r="FH102" s="1" t="s">
        <v>550</v>
      </c>
      <c r="FI102" s="1" t="s">
        <v>473</v>
      </c>
      <c r="FL102" s="1" t="s">
        <v>358</v>
      </c>
      <c r="FM102" s="1" t="s">
        <v>252</v>
      </c>
      <c r="FN102" s="1" t="s">
        <v>213</v>
      </c>
      <c r="FO102" s="1" t="s">
        <v>213</v>
      </c>
      <c r="FQ102" s="1" t="s">
        <v>673</v>
      </c>
      <c r="FR102" s="1" t="s">
        <v>210</v>
      </c>
      <c r="FS102" s="1" t="s">
        <v>2128</v>
      </c>
      <c r="FT102" s="1" t="s">
        <v>2129</v>
      </c>
      <c r="FU102" s="1" t="s">
        <v>204</v>
      </c>
      <c r="FW102" s="1" t="s">
        <v>719</v>
      </c>
      <c r="FX102" s="1">
        <v>22029</v>
      </c>
      <c r="FY102" s="1" t="s">
        <v>720</v>
      </c>
      <c r="FZ102" s="1" t="s">
        <v>2130</v>
      </c>
      <c r="GA102" s="1">
        <v>225834</v>
      </c>
      <c r="GB102" s="1" t="s">
        <v>2131</v>
      </c>
      <c r="GE102" s="1" t="s">
        <v>480</v>
      </c>
      <c r="GI102" s="1" t="s">
        <v>204</v>
      </c>
      <c r="GJ102" s="1" t="s">
        <v>300</v>
      </c>
      <c r="GK102" s="1" t="s">
        <v>210</v>
      </c>
      <c r="GL102" s="2">
        <v>41984</v>
      </c>
      <c r="GM102" s="1" t="s">
        <v>2132</v>
      </c>
    </row>
    <row r="103" spans="1:195">
      <c r="A103" s="1">
        <v>87000</v>
      </c>
      <c r="B103" s="1" t="s">
        <v>195</v>
      </c>
      <c r="C103" s="1" t="str">
        <f>"08828401"</f>
        <v>08828401</v>
      </c>
      <c r="D103" s="1" t="s">
        <v>196</v>
      </c>
      <c r="F103" s="1" t="str">
        <f>"555"</f>
        <v>555</v>
      </c>
      <c r="G103" s="2">
        <v>42036</v>
      </c>
      <c r="H103" s="1">
        <v>92900</v>
      </c>
      <c r="I103" s="1">
        <v>92900</v>
      </c>
      <c r="J103" s="1">
        <v>87000</v>
      </c>
      <c r="K103" s="2">
        <v>42036</v>
      </c>
      <c r="L103" s="1">
        <v>57</v>
      </c>
      <c r="M103" s="2">
        <v>42092</v>
      </c>
      <c r="N103" s="1">
        <v>57</v>
      </c>
      <c r="O103" s="2">
        <v>42092</v>
      </c>
      <c r="P103" s="1">
        <v>37</v>
      </c>
      <c r="Q103" s="1" t="s">
        <v>302</v>
      </c>
      <c r="R103" s="2">
        <v>42114</v>
      </c>
      <c r="S103" s="1">
        <v>1750</v>
      </c>
      <c r="U103" s="1" t="s">
        <v>2133</v>
      </c>
      <c r="V103" s="1" t="s">
        <v>2134</v>
      </c>
      <c r="W103" s="1" t="s">
        <v>449</v>
      </c>
      <c r="X103" s="1">
        <v>3</v>
      </c>
      <c r="Y103" s="1">
        <v>4</v>
      </c>
      <c r="Z103" s="1" t="s">
        <v>249</v>
      </c>
      <c r="AA103" s="1" t="s">
        <v>984</v>
      </c>
      <c r="AB103" s="1">
        <v>60555</v>
      </c>
      <c r="AD103" s="1" t="s">
        <v>2135</v>
      </c>
      <c r="AE103" s="1" t="s">
        <v>2136</v>
      </c>
      <c r="AF103" s="1">
        <v>1979</v>
      </c>
      <c r="AG103" s="1" t="s">
        <v>204</v>
      </c>
      <c r="AH103" s="1" t="s">
        <v>986</v>
      </c>
      <c r="AI103" s="1" t="s">
        <v>206</v>
      </c>
      <c r="AJ103" s="1" t="s">
        <v>987</v>
      </c>
      <c r="AL103" s="1">
        <v>6</v>
      </c>
      <c r="AM103" s="1">
        <v>2</v>
      </c>
      <c r="AN103" s="1">
        <v>1</v>
      </c>
      <c r="AO103" s="1">
        <v>1</v>
      </c>
      <c r="AP103" s="1" t="s">
        <v>210</v>
      </c>
      <c r="AR103" s="1" t="s">
        <v>209</v>
      </c>
      <c r="AS103" s="1" t="s">
        <v>213</v>
      </c>
      <c r="AT103" s="1" t="s">
        <v>211</v>
      </c>
      <c r="AU103" s="1">
        <v>1</v>
      </c>
      <c r="AW103" s="1" t="s">
        <v>204</v>
      </c>
      <c r="AX103" s="1" t="s">
        <v>212</v>
      </c>
      <c r="AZ103" s="1">
        <v>1408</v>
      </c>
      <c r="BA103" s="1">
        <v>2013</v>
      </c>
      <c r="BB103" s="1" t="s">
        <v>210</v>
      </c>
      <c r="BE103" s="1">
        <v>966</v>
      </c>
      <c r="BF103" s="1">
        <v>1</v>
      </c>
      <c r="BG103" s="1">
        <v>0</v>
      </c>
      <c r="BL103" s="1">
        <v>200</v>
      </c>
      <c r="BM103" s="1" t="s">
        <v>204</v>
      </c>
      <c r="BN103" s="1" t="s">
        <v>213</v>
      </c>
      <c r="BO103" s="1">
        <v>0</v>
      </c>
      <c r="BP103" s="1" t="s">
        <v>204</v>
      </c>
      <c r="BR103" s="1" t="str">
        <f>"0427307171"</f>
        <v>0427307171</v>
      </c>
      <c r="BT103" s="1" t="s">
        <v>2137</v>
      </c>
      <c r="BU103" s="1" t="s">
        <v>989</v>
      </c>
      <c r="BV103" s="1" t="s">
        <v>990</v>
      </c>
      <c r="BW103" s="1" t="s">
        <v>971</v>
      </c>
      <c r="BX103" s="1">
        <v>200</v>
      </c>
      <c r="BY103" s="1">
        <v>200</v>
      </c>
      <c r="BZ103" s="1">
        <v>200</v>
      </c>
      <c r="CB103" s="1" t="str">
        <f t="shared" ref="CB103:CC103" si="78">""</f>
        <v/>
      </c>
      <c r="CC103" s="1" t="str">
        <f t="shared" si="78"/>
        <v/>
      </c>
      <c r="CG103" s="1" t="s">
        <v>885</v>
      </c>
      <c r="CH103" s="1" t="s">
        <v>219</v>
      </c>
      <c r="CI103" s="1" t="s">
        <v>220</v>
      </c>
      <c r="CJ103" s="1" t="s">
        <v>463</v>
      </c>
      <c r="CK103" s="1" t="s">
        <v>1297</v>
      </c>
      <c r="CL103" s="1" t="s">
        <v>277</v>
      </c>
      <c r="CM103" s="1" t="s">
        <v>220</v>
      </c>
      <c r="CN103" s="1" t="s">
        <v>463</v>
      </c>
      <c r="CO103" s="1" t="s">
        <v>348</v>
      </c>
      <c r="CP103" s="1" t="s">
        <v>219</v>
      </c>
      <c r="CQ103" s="1" t="s">
        <v>229</v>
      </c>
      <c r="CR103" s="1" t="s">
        <v>463</v>
      </c>
      <c r="CS103" s="1" t="s">
        <v>346</v>
      </c>
      <c r="CT103" s="1" t="s">
        <v>277</v>
      </c>
      <c r="CU103" s="1" t="s">
        <v>347</v>
      </c>
      <c r="CV103" s="1" t="s">
        <v>463</v>
      </c>
      <c r="CX103" s="1" t="s">
        <v>224</v>
      </c>
      <c r="DB103" s="1" t="s">
        <v>224</v>
      </c>
      <c r="DE103" s="1" t="s">
        <v>2138</v>
      </c>
      <c r="DF103" s="1" t="s">
        <v>219</v>
      </c>
      <c r="DG103" s="1" t="s">
        <v>229</v>
      </c>
      <c r="DH103" s="1" t="s">
        <v>210</v>
      </c>
      <c r="DJ103" s="1" t="s">
        <v>224</v>
      </c>
      <c r="DM103" s="1" t="s">
        <v>934</v>
      </c>
      <c r="DR103" s="1" t="s">
        <v>1267</v>
      </c>
      <c r="DS103" s="1" t="s">
        <v>43</v>
      </c>
      <c r="DT103" s="1" t="s">
        <v>220</v>
      </c>
      <c r="DW103" s="1" t="s">
        <v>230</v>
      </c>
      <c r="EA103" s="1" t="s">
        <v>230</v>
      </c>
      <c r="EE103" s="1" t="s">
        <v>230</v>
      </c>
      <c r="EI103" s="1" t="s">
        <v>230</v>
      </c>
      <c r="EL103" s="1" t="s">
        <v>231</v>
      </c>
      <c r="EM103" s="1" t="s">
        <v>319</v>
      </c>
      <c r="EN103" s="1" t="s">
        <v>282</v>
      </c>
      <c r="EO103" s="1" t="s">
        <v>234</v>
      </c>
      <c r="EP103" s="1" t="s">
        <v>2139</v>
      </c>
      <c r="EQ103" s="1" t="s">
        <v>350</v>
      </c>
      <c r="ER103" s="1" t="s">
        <v>544</v>
      </c>
      <c r="ES103" s="1" t="s">
        <v>545</v>
      </c>
      <c r="ET103" s="1" t="s">
        <v>2140</v>
      </c>
      <c r="EU103" s="1" t="s">
        <v>239</v>
      </c>
      <c r="EV103" s="1" t="s">
        <v>324</v>
      </c>
      <c r="EW103" s="1" t="s">
        <v>991</v>
      </c>
      <c r="EZ103" s="1" t="s">
        <v>934</v>
      </c>
      <c r="FA103" s="1" t="s">
        <v>2141</v>
      </c>
      <c r="FB103" s="1" t="s">
        <v>289</v>
      </c>
      <c r="FC103" s="1" t="s">
        <v>548</v>
      </c>
      <c r="FD103" s="1" t="s">
        <v>246</v>
      </c>
      <c r="FE103" s="1" t="s">
        <v>472</v>
      </c>
      <c r="FF103" s="1" t="s">
        <v>248</v>
      </c>
      <c r="FH103" s="1" t="s">
        <v>249</v>
      </c>
      <c r="FI103" s="1" t="s">
        <v>473</v>
      </c>
      <c r="FL103" s="1" t="s">
        <v>358</v>
      </c>
      <c r="FM103" s="1" t="s">
        <v>252</v>
      </c>
      <c r="FN103" s="1" t="s">
        <v>213</v>
      </c>
      <c r="FO103" s="1" t="s">
        <v>213</v>
      </c>
      <c r="FQ103" s="1" t="s">
        <v>2142</v>
      </c>
      <c r="FR103" s="1" t="s">
        <v>210</v>
      </c>
      <c r="FS103" s="1" t="s">
        <v>2143</v>
      </c>
      <c r="FT103" s="1" t="s">
        <v>362</v>
      </c>
      <c r="FU103" s="1" t="s">
        <v>204</v>
      </c>
      <c r="FW103" s="1" t="s">
        <v>2144</v>
      </c>
      <c r="FX103" s="1">
        <v>23163</v>
      </c>
      <c r="FY103" s="1" t="s">
        <v>2145</v>
      </c>
      <c r="FZ103" s="1" t="s">
        <v>2146</v>
      </c>
      <c r="GA103" s="1">
        <v>254277</v>
      </c>
      <c r="GB103" s="1" t="s">
        <v>2147</v>
      </c>
      <c r="GD103" s="1" t="s">
        <v>2148</v>
      </c>
      <c r="GE103" s="1" t="s">
        <v>658</v>
      </c>
      <c r="GI103" s="1" t="s">
        <v>213</v>
      </c>
      <c r="GJ103" s="1" t="s">
        <v>260</v>
      </c>
      <c r="GK103" s="1" t="s">
        <v>210</v>
      </c>
      <c r="GL103" s="2">
        <v>42114</v>
      </c>
      <c r="GM103" s="1" t="s">
        <v>2149</v>
      </c>
    </row>
    <row r="104" spans="1:195">
      <c r="A104" s="1">
        <v>20000</v>
      </c>
      <c r="B104" s="1" t="s">
        <v>195</v>
      </c>
      <c r="C104" s="1" t="str">
        <f>"08761322"</f>
        <v>08761322</v>
      </c>
      <c r="D104" s="1" t="s">
        <v>196</v>
      </c>
      <c r="F104" s="1" t="str">
        <f>"8043"</f>
        <v>8043</v>
      </c>
      <c r="G104" s="2">
        <v>41936</v>
      </c>
      <c r="H104" s="1">
        <v>25000</v>
      </c>
      <c r="I104" s="1">
        <v>25000</v>
      </c>
      <c r="J104" s="1">
        <v>20000</v>
      </c>
      <c r="K104" s="2">
        <v>41936</v>
      </c>
      <c r="L104" s="1">
        <v>13</v>
      </c>
      <c r="M104" s="2">
        <v>41948</v>
      </c>
      <c r="N104" s="1">
        <v>13</v>
      </c>
      <c r="O104" s="2">
        <v>41948</v>
      </c>
      <c r="P104" s="1">
        <v>18016</v>
      </c>
      <c r="Q104" s="1" t="s">
        <v>302</v>
      </c>
      <c r="R104" s="2">
        <v>42076</v>
      </c>
      <c r="S104" s="1">
        <v>868424</v>
      </c>
      <c r="U104" s="1">
        <v>1307</v>
      </c>
      <c r="V104" s="1" t="s">
        <v>2150</v>
      </c>
      <c r="W104" s="1" t="s">
        <v>779</v>
      </c>
      <c r="X104" s="1" t="s">
        <v>2151</v>
      </c>
      <c r="Y104" s="1">
        <v>26</v>
      </c>
      <c r="Z104" s="1" t="s">
        <v>249</v>
      </c>
      <c r="AA104" s="1" t="s">
        <v>400</v>
      </c>
      <c r="AB104" s="1">
        <v>60619</v>
      </c>
      <c r="AE104" s="1" t="s">
        <v>2152</v>
      </c>
      <c r="AF104" s="1">
        <v>1925</v>
      </c>
      <c r="AG104" s="1" t="s">
        <v>213</v>
      </c>
      <c r="AH104" s="1" t="s">
        <v>403</v>
      </c>
      <c r="AI104" s="1" t="s">
        <v>310</v>
      </c>
      <c r="AJ104" s="1" t="s">
        <v>562</v>
      </c>
      <c r="AL104" s="1">
        <v>4</v>
      </c>
      <c r="AM104" s="1">
        <v>2</v>
      </c>
      <c r="AN104" s="1">
        <v>1</v>
      </c>
      <c r="AO104" s="1">
        <v>0</v>
      </c>
      <c r="AP104" s="1" t="s">
        <v>210</v>
      </c>
      <c r="AR104" s="1" t="s">
        <v>209</v>
      </c>
      <c r="AS104" s="1" t="s">
        <v>204</v>
      </c>
      <c r="AT104" s="1" t="s">
        <v>210</v>
      </c>
      <c r="AW104" s="1" t="s">
        <v>204</v>
      </c>
      <c r="AX104" s="1" t="s">
        <v>212</v>
      </c>
      <c r="AZ104" s="1">
        <v>1123</v>
      </c>
      <c r="BA104" s="1">
        <v>2013</v>
      </c>
      <c r="BB104" s="1" t="s">
        <v>405</v>
      </c>
      <c r="BE104" s="1">
        <v>800</v>
      </c>
      <c r="BF104" s="1">
        <v>2</v>
      </c>
      <c r="BG104" s="1">
        <v>0</v>
      </c>
      <c r="BL104" s="1">
        <v>144</v>
      </c>
      <c r="BM104" s="1" t="s">
        <v>413</v>
      </c>
      <c r="BN104" s="1" t="s">
        <v>213</v>
      </c>
      <c r="BO104" s="1">
        <v>50</v>
      </c>
      <c r="BP104" s="1" t="s">
        <v>204</v>
      </c>
      <c r="BR104" s="1" t="str">
        <f>"20262050321025"</f>
        <v>20262050321025</v>
      </c>
      <c r="BT104" s="1" t="s">
        <v>2153</v>
      </c>
      <c r="BX104" s="1">
        <v>299</v>
      </c>
      <c r="BY104" s="1">
        <v>299</v>
      </c>
      <c r="BZ104" s="1">
        <v>299</v>
      </c>
      <c r="CB104" s="1" t="str">
        <f>"0"</f>
        <v>0</v>
      </c>
      <c r="CC104" s="1" t="str">
        <f>"1307"</f>
        <v>1307</v>
      </c>
      <c r="CD104" s="1">
        <v>0</v>
      </c>
      <c r="CE104" s="1">
        <v>7100</v>
      </c>
      <c r="CG104" s="1" t="s">
        <v>1045</v>
      </c>
      <c r="CH104" s="1" t="s">
        <v>219</v>
      </c>
      <c r="CI104" s="1" t="s">
        <v>438</v>
      </c>
      <c r="CK104" s="1" t="s">
        <v>461</v>
      </c>
      <c r="CL104" s="1" t="s">
        <v>219</v>
      </c>
      <c r="CM104" s="1" t="s">
        <v>438</v>
      </c>
      <c r="CP104" s="1" t="s">
        <v>224</v>
      </c>
      <c r="CS104" s="1" t="s">
        <v>379</v>
      </c>
      <c r="CT104" s="1" t="s">
        <v>219</v>
      </c>
      <c r="CU104" s="1" t="s">
        <v>438</v>
      </c>
      <c r="CX104" s="1" t="s">
        <v>224</v>
      </c>
      <c r="DB104" s="1" t="s">
        <v>224</v>
      </c>
      <c r="DE104" s="1" t="s">
        <v>281</v>
      </c>
      <c r="DF104" s="1" t="s">
        <v>219</v>
      </c>
      <c r="DG104" s="1" t="s">
        <v>226</v>
      </c>
      <c r="DJ104" s="1" t="s">
        <v>224</v>
      </c>
      <c r="DS104" s="1" t="s">
        <v>230</v>
      </c>
      <c r="DW104" s="1" t="s">
        <v>230</v>
      </c>
      <c r="EA104" s="1" t="s">
        <v>230</v>
      </c>
      <c r="EE104" s="1" t="s">
        <v>230</v>
      </c>
      <c r="EI104" s="1" t="s">
        <v>230</v>
      </c>
      <c r="EL104" s="1" t="s">
        <v>2154</v>
      </c>
      <c r="EM104" s="1" t="s">
        <v>730</v>
      </c>
      <c r="EN104" s="1" t="s">
        <v>282</v>
      </c>
      <c r="EO104" s="1" t="s">
        <v>234</v>
      </c>
      <c r="EQ104" s="1" t="s">
        <v>1109</v>
      </c>
      <c r="ER104" s="1" t="s">
        <v>351</v>
      </c>
      <c r="ET104" s="1" t="s">
        <v>1161</v>
      </c>
      <c r="EW104" s="1" t="s">
        <v>937</v>
      </c>
      <c r="EZ104" s="1" t="s">
        <v>287</v>
      </c>
      <c r="FB104" s="1" t="s">
        <v>734</v>
      </c>
      <c r="FD104" s="1" t="s">
        <v>246</v>
      </c>
      <c r="FE104" s="1" t="s">
        <v>247</v>
      </c>
      <c r="FF104" s="1" t="s">
        <v>248</v>
      </c>
      <c r="FH104" s="1" t="s">
        <v>249</v>
      </c>
      <c r="FJ104" s="1" t="s">
        <v>2046</v>
      </c>
      <c r="FL104" s="1" t="s">
        <v>414</v>
      </c>
      <c r="FM104" s="1" t="s">
        <v>252</v>
      </c>
      <c r="FN104" s="1" t="s">
        <v>213</v>
      </c>
      <c r="FO104" s="1" t="s">
        <v>213</v>
      </c>
      <c r="FQ104" s="1" t="s">
        <v>2155</v>
      </c>
      <c r="FR104" s="1" t="s">
        <v>360</v>
      </c>
      <c r="FS104" s="1" t="s">
        <v>2156</v>
      </c>
      <c r="FT104" s="1" t="s">
        <v>675</v>
      </c>
      <c r="FU104" s="1" t="s">
        <v>204</v>
      </c>
      <c r="FW104" s="1" t="s">
        <v>2157</v>
      </c>
      <c r="FX104" s="1">
        <v>57070</v>
      </c>
      <c r="FY104" s="1" t="s">
        <v>2158</v>
      </c>
      <c r="FZ104" s="1" t="s">
        <v>2159</v>
      </c>
      <c r="GA104" s="1">
        <v>231411</v>
      </c>
      <c r="GB104" s="1" t="s">
        <v>2160</v>
      </c>
      <c r="GE104" s="1" t="s">
        <v>480</v>
      </c>
      <c r="GH104" s="1" t="s">
        <v>800</v>
      </c>
      <c r="GI104" s="1" t="s">
        <v>213</v>
      </c>
      <c r="GJ104" s="1" t="s">
        <v>260</v>
      </c>
      <c r="GK104" s="1" t="s">
        <v>210</v>
      </c>
      <c r="GL104" s="2">
        <v>42081</v>
      </c>
      <c r="GM104" s="1" t="s">
        <v>397</v>
      </c>
    </row>
    <row r="105" spans="1:195">
      <c r="A105" s="1">
        <v>315000</v>
      </c>
      <c r="B105" s="1" t="s">
        <v>195</v>
      </c>
      <c r="C105" s="1" t="str">
        <f>"08760084"</f>
        <v>08760084</v>
      </c>
      <c r="D105" s="1" t="s">
        <v>196</v>
      </c>
      <c r="F105" s="1" t="str">
        <f>"137"</f>
        <v>137</v>
      </c>
      <c r="G105" s="2">
        <v>41935</v>
      </c>
      <c r="H105" s="1">
        <v>328449</v>
      </c>
      <c r="I105" s="1">
        <v>328449</v>
      </c>
      <c r="J105" s="1">
        <v>315000</v>
      </c>
      <c r="K105" s="2">
        <v>41934</v>
      </c>
      <c r="L105" s="1">
        <v>33</v>
      </c>
      <c r="M105" s="2">
        <v>41966</v>
      </c>
      <c r="N105" s="1">
        <v>33</v>
      </c>
      <c r="O105" s="2">
        <v>41966</v>
      </c>
      <c r="P105" s="1">
        <v>8059</v>
      </c>
      <c r="Q105" s="1" t="s">
        <v>197</v>
      </c>
      <c r="R105" s="2">
        <v>42034</v>
      </c>
      <c r="S105" s="1">
        <v>221783</v>
      </c>
      <c r="U105" s="1">
        <v>487</v>
      </c>
      <c r="V105" s="1" t="s">
        <v>2161</v>
      </c>
      <c r="W105" s="1" t="s">
        <v>425</v>
      </c>
      <c r="Y105" s="1">
        <v>6</v>
      </c>
      <c r="Z105" s="1" t="s">
        <v>249</v>
      </c>
      <c r="AA105" s="1" t="s">
        <v>201</v>
      </c>
      <c r="AB105" s="1">
        <v>60137</v>
      </c>
      <c r="AD105" s="1" t="s">
        <v>2162</v>
      </c>
      <c r="AE105" s="1" t="s">
        <v>2163</v>
      </c>
      <c r="AF105" s="1">
        <v>2014</v>
      </c>
      <c r="AG105" s="1" t="s">
        <v>204</v>
      </c>
      <c r="AH105" s="1" t="s">
        <v>205</v>
      </c>
      <c r="AI105" s="1" t="s">
        <v>206</v>
      </c>
      <c r="AJ105" s="1" t="s">
        <v>207</v>
      </c>
      <c r="AK105" s="1" t="s">
        <v>2164</v>
      </c>
      <c r="AL105" s="1">
        <v>6</v>
      </c>
      <c r="AM105" s="1">
        <v>2</v>
      </c>
      <c r="AN105" s="1">
        <v>2</v>
      </c>
      <c r="AO105" s="1">
        <v>1</v>
      </c>
      <c r="AP105" s="1" t="s">
        <v>209</v>
      </c>
      <c r="AQ105" s="1">
        <v>1</v>
      </c>
      <c r="AR105" s="1" t="s">
        <v>2165</v>
      </c>
      <c r="AS105" s="1" t="s">
        <v>204</v>
      </c>
      <c r="AT105" s="1" t="s">
        <v>211</v>
      </c>
      <c r="AU105" s="1">
        <v>2</v>
      </c>
      <c r="AW105" s="1" t="s">
        <v>204</v>
      </c>
      <c r="AX105" s="1" t="s">
        <v>212</v>
      </c>
      <c r="AZ105" s="1" t="s">
        <v>751</v>
      </c>
      <c r="BA105" s="1">
        <v>2013</v>
      </c>
      <c r="BE105" s="1">
        <v>1824</v>
      </c>
      <c r="BF105" s="1">
        <v>1</v>
      </c>
      <c r="BG105" s="1">
        <v>0</v>
      </c>
      <c r="BL105" s="1">
        <v>230</v>
      </c>
      <c r="BM105" s="1" t="s">
        <v>204</v>
      </c>
      <c r="BN105" s="1" t="s">
        <v>213</v>
      </c>
      <c r="BO105" s="1" t="s">
        <v>432</v>
      </c>
      <c r="BP105" s="1" t="s">
        <v>213</v>
      </c>
      <c r="BQ105" s="2">
        <v>41883</v>
      </c>
      <c r="BR105" s="1" t="str">
        <f>"0510409046"</f>
        <v>0510409046</v>
      </c>
      <c r="BT105" s="1" t="s">
        <v>2166</v>
      </c>
      <c r="BU105" s="1" t="s">
        <v>2167</v>
      </c>
      <c r="BV105" s="1" t="s">
        <v>2168</v>
      </c>
      <c r="BW105" s="1" t="s">
        <v>2169</v>
      </c>
      <c r="BX105" s="1">
        <v>41</v>
      </c>
      <c r="BY105" s="1">
        <v>41</v>
      </c>
      <c r="BZ105" s="1">
        <v>87</v>
      </c>
      <c r="CB105" s="1" t="str">
        <f t="shared" ref="CB105:CC105" si="79">""</f>
        <v/>
      </c>
      <c r="CC105" s="1" t="str">
        <f t="shared" si="79"/>
        <v/>
      </c>
      <c r="CG105" s="1" t="s">
        <v>2170</v>
      </c>
      <c r="CH105" s="1" t="s">
        <v>219</v>
      </c>
      <c r="CI105" s="1" t="s">
        <v>438</v>
      </c>
      <c r="CK105" s="1" t="s">
        <v>437</v>
      </c>
      <c r="CL105" s="1" t="s">
        <v>277</v>
      </c>
      <c r="CM105" s="1" t="s">
        <v>220</v>
      </c>
      <c r="CO105" s="1" t="s">
        <v>379</v>
      </c>
      <c r="CP105" s="1" t="s">
        <v>219</v>
      </c>
      <c r="CQ105" s="1" t="s">
        <v>438</v>
      </c>
      <c r="CS105" s="1" t="s">
        <v>538</v>
      </c>
      <c r="CT105" s="1" t="s">
        <v>277</v>
      </c>
      <c r="CU105" s="1" t="s">
        <v>220</v>
      </c>
      <c r="CX105" s="1" t="s">
        <v>224</v>
      </c>
      <c r="DB105" s="1" t="s">
        <v>224</v>
      </c>
      <c r="DE105" s="1" t="s">
        <v>1534</v>
      </c>
      <c r="DF105" s="1" t="s">
        <v>219</v>
      </c>
      <c r="DG105" s="1" t="s">
        <v>438</v>
      </c>
      <c r="DI105" s="1" t="s">
        <v>1297</v>
      </c>
      <c r="DJ105" s="1" t="s">
        <v>822</v>
      </c>
      <c r="DK105" s="1" t="s">
        <v>220</v>
      </c>
      <c r="DM105" s="1" t="s">
        <v>838</v>
      </c>
      <c r="DR105" s="1" t="s">
        <v>2171</v>
      </c>
      <c r="DS105" s="1" t="s">
        <v>219</v>
      </c>
      <c r="DW105" s="1" t="s">
        <v>230</v>
      </c>
      <c r="EA105" s="1" t="s">
        <v>230</v>
      </c>
      <c r="EE105" s="1" t="s">
        <v>230</v>
      </c>
      <c r="EI105" s="1" t="s">
        <v>230</v>
      </c>
      <c r="EL105" s="1" t="s">
        <v>1455</v>
      </c>
      <c r="EM105" s="1" t="s">
        <v>232</v>
      </c>
      <c r="EN105" s="1" t="s">
        <v>282</v>
      </c>
      <c r="EO105" s="1" t="s">
        <v>234</v>
      </c>
      <c r="EP105" s="1" t="s">
        <v>2172</v>
      </c>
      <c r="EQ105" s="1" t="s">
        <v>1867</v>
      </c>
      <c r="ER105" s="1" t="s">
        <v>823</v>
      </c>
      <c r="ES105" s="1" t="s">
        <v>824</v>
      </c>
      <c r="ET105" s="1" t="s">
        <v>842</v>
      </c>
      <c r="EW105" s="1" t="s">
        <v>547</v>
      </c>
      <c r="EY105" s="1" t="s">
        <v>242</v>
      </c>
      <c r="EZ105" s="1" t="s">
        <v>838</v>
      </c>
      <c r="FA105" s="1" t="s">
        <v>2173</v>
      </c>
      <c r="FD105" s="1" t="s">
        <v>495</v>
      </c>
      <c r="FE105" s="1" t="s">
        <v>247</v>
      </c>
      <c r="FF105" s="1" t="s">
        <v>248</v>
      </c>
      <c r="FG105" s="1" t="s">
        <v>2174</v>
      </c>
      <c r="FH105" s="1" t="s">
        <v>2175</v>
      </c>
      <c r="FL105" s="1" t="s">
        <v>358</v>
      </c>
      <c r="FM105" s="1" t="s">
        <v>252</v>
      </c>
      <c r="FN105" s="1" t="s">
        <v>213</v>
      </c>
      <c r="FO105" s="1" t="s">
        <v>213</v>
      </c>
      <c r="FQ105" s="1" t="s">
        <v>2176</v>
      </c>
      <c r="FR105" s="1" t="s">
        <v>411</v>
      </c>
      <c r="FS105" s="1" t="s">
        <v>2177</v>
      </c>
      <c r="FT105" s="1" t="s">
        <v>2178</v>
      </c>
      <c r="FU105" s="1" t="s">
        <v>204</v>
      </c>
      <c r="FW105" s="1" t="s">
        <v>2179</v>
      </c>
      <c r="FX105" s="1">
        <v>22039</v>
      </c>
      <c r="FY105" s="1" t="s">
        <v>2180</v>
      </c>
      <c r="FZ105" s="1" t="s">
        <v>2181</v>
      </c>
      <c r="GA105" s="1">
        <v>220163</v>
      </c>
      <c r="GB105" s="1" t="s">
        <v>2182</v>
      </c>
      <c r="GC105" s="1">
        <v>239827</v>
      </c>
      <c r="GE105" s="1" t="s">
        <v>1187</v>
      </c>
      <c r="GI105" s="1" t="s">
        <v>213</v>
      </c>
      <c r="GJ105" s="1" t="s">
        <v>260</v>
      </c>
      <c r="GK105" s="1" t="s">
        <v>210</v>
      </c>
      <c r="GL105" s="2">
        <v>42036</v>
      </c>
      <c r="GM105" s="1" t="s">
        <v>2183</v>
      </c>
    </row>
    <row r="106" spans="1:195">
      <c r="A106" s="1">
        <v>160000</v>
      </c>
      <c r="B106" s="1" t="s">
        <v>195</v>
      </c>
      <c r="C106" s="1" t="str">
        <f>"08763455"</f>
        <v>08763455</v>
      </c>
      <c r="D106" s="1" t="s">
        <v>196</v>
      </c>
      <c r="F106" s="1" t="str">
        <f>"61"</f>
        <v>61</v>
      </c>
      <c r="G106" s="2">
        <v>41940</v>
      </c>
      <c r="H106" s="1">
        <v>174900</v>
      </c>
      <c r="I106" s="1">
        <v>174900</v>
      </c>
      <c r="J106" s="1">
        <v>160000</v>
      </c>
      <c r="K106" s="2">
        <v>41940</v>
      </c>
      <c r="L106" s="1">
        <v>3</v>
      </c>
      <c r="M106" s="2">
        <v>41942</v>
      </c>
      <c r="N106" s="1">
        <v>3</v>
      </c>
      <c r="O106" s="2">
        <v>41942</v>
      </c>
      <c r="P106" s="1">
        <v>2648</v>
      </c>
      <c r="Q106" s="1" t="s">
        <v>197</v>
      </c>
      <c r="R106" s="2">
        <v>41988</v>
      </c>
      <c r="S106" s="1">
        <v>19057</v>
      </c>
      <c r="U106" s="1">
        <v>1404</v>
      </c>
      <c r="V106" s="1" t="s">
        <v>2184</v>
      </c>
      <c r="W106" s="1" t="s">
        <v>304</v>
      </c>
      <c r="X106" s="1">
        <v>1404</v>
      </c>
      <c r="Y106" s="1">
        <v>4</v>
      </c>
      <c r="Z106" s="1" t="s">
        <v>370</v>
      </c>
      <c r="AA106" s="1" t="s">
        <v>505</v>
      </c>
      <c r="AB106" s="1">
        <v>60061</v>
      </c>
      <c r="AD106" s="1" t="s">
        <v>2185</v>
      </c>
      <c r="AE106" s="1" t="s">
        <v>2186</v>
      </c>
      <c r="AF106" s="1">
        <v>1983</v>
      </c>
      <c r="AG106" s="1" t="s">
        <v>204</v>
      </c>
      <c r="AH106" s="1" t="s">
        <v>508</v>
      </c>
      <c r="AI106" s="1" t="s">
        <v>509</v>
      </c>
      <c r="AJ106" s="1" t="s">
        <v>1693</v>
      </c>
      <c r="AL106" s="1">
        <v>6</v>
      </c>
      <c r="AM106" s="1">
        <v>2</v>
      </c>
      <c r="AN106" s="1">
        <v>2</v>
      </c>
      <c r="AO106" s="1">
        <v>0</v>
      </c>
      <c r="AP106" s="1" t="s">
        <v>209</v>
      </c>
      <c r="AR106" s="1" t="s">
        <v>210</v>
      </c>
      <c r="AS106" s="1" t="s">
        <v>204</v>
      </c>
      <c r="AT106" s="1" t="s">
        <v>375</v>
      </c>
      <c r="AU106" s="1">
        <v>1</v>
      </c>
      <c r="AV106" s="1">
        <v>0</v>
      </c>
      <c r="AW106" s="1" t="s">
        <v>204</v>
      </c>
      <c r="AX106" s="1" t="s">
        <v>212</v>
      </c>
      <c r="AZ106" s="1">
        <v>3901</v>
      </c>
      <c r="BA106" s="1">
        <v>2013</v>
      </c>
      <c r="BE106" s="1">
        <v>1246</v>
      </c>
      <c r="BF106" s="1">
        <v>2</v>
      </c>
      <c r="BG106" s="1">
        <v>0</v>
      </c>
      <c r="BL106" s="1">
        <v>245</v>
      </c>
      <c r="BM106" s="1" t="s">
        <v>204</v>
      </c>
      <c r="BN106" s="1" t="s">
        <v>213</v>
      </c>
      <c r="BO106" s="1">
        <v>0</v>
      </c>
      <c r="BP106" s="1" t="s">
        <v>204</v>
      </c>
      <c r="BR106" s="1" t="str">
        <f>"11331011700000"</f>
        <v>11331011700000</v>
      </c>
      <c r="BT106" s="1" t="s">
        <v>2187</v>
      </c>
      <c r="BU106" s="1" t="s">
        <v>1879</v>
      </c>
      <c r="BV106" s="1" t="s">
        <v>1880</v>
      </c>
      <c r="BW106" s="1" t="s">
        <v>514</v>
      </c>
      <c r="BX106" s="1">
        <v>73</v>
      </c>
      <c r="BY106" s="1">
        <v>73</v>
      </c>
      <c r="BZ106" s="1">
        <v>128</v>
      </c>
      <c r="CB106" s="1" t="str">
        <f t="shared" ref="CB106:CC106" si="80">""</f>
        <v/>
      </c>
      <c r="CC106" s="1" t="str">
        <f t="shared" si="80"/>
        <v/>
      </c>
      <c r="CG106" s="1" t="s">
        <v>218</v>
      </c>
      <c r="CH106" s="1" t="s">
        <v>219</v>
      </c>
      <c r="CI106" s="1" t="s">
        <v>220</v>
      </c>
      <c r="CJ106" s="1" t="s">
        <v>463</v>
      </c>
      <c r="CK106" s="1" t="s">
        <v>315</v>
      </c>
      <c r="CL106" s="1" t="s">
        <v>219</v>
      </c>
      <c r="CM106" s="1" t="s">
        <v>220</v>
      </c>
      <c r="CN106" s="1" t="s">
        <v>1199</v>
      </c>
      <c r="CO106" s="1" t="s">
        <v>409</v>
      </c>
      <c r="CP106" s="1" t="s">
        <v>219</v>
      </c>
      <c r="CQ106" s="1" t="s">
        <v>220</v>
      </c>
      <c r="CR106" s="1" t="s">
        <v>210</v>
      </c>
      <c r="CS106" s="1" t="s">
        <v>346</v>
      </c>
      <c r="CT106" s="1" t="s">
        <v>219</v>
      </c>
      <c r="CU106" s="1" t="s">
        <v>220</v>
      </c>
      <c r="CV106" s="1" t="s">
        <v>343</v>
      </c>
      <c r="CX106" s="1" t="s">
        <v>224</v>
      </c>
      <c r="DB106" s="1" t="s">
        <v>224</v>
      </c>
      <c r="DE106" s="1" t="s">
        <v>316</v>
      </c>
      <c r="DF106" s="1" t="s">
        <v>219</v>
      </c>
      <c r="DG106" s="1" t="s">
        <v>342</v>
      </c>
      <c r="DH106" s="1" t="s">
        <v>210</v>
      </c>
      <c r="DJ106" s="1" t="s">
        <v>224</v>
      </c>
      <c r="DM106" s="1" t="s">
        <v>381</v>
      </c>
      <c r="DR106" s="1" t="s">
        <v>316</v>
      </c>
      <c r="DS106" s="1" t="s">
        <v>219</v>
      </c>
      <c r="DT106" s="1" t="s">
        <v>342</v>
      </c>
      <c r="DU106" s="1" t="s">
        <v>343</v>
      </c>
      <c r="DW106" s="1" t="s">
        <v>230</v>
      </c>
      <c r="EA106" s="1" t="s">
        <v>230</v>
      </c>
      <c r="EE106" s="1" t="s">
        <v>230</v>
      </c>
      <c r="EI106" s="1" t="s">
        <v>230</v>
      </c>
      <c r="EL106" s="1" t="s">
        <v>231</v>
      </c>
      <c r="EM106" s="1" t="s">
        <v>232</v>
      </c>
      <c r="EN106" s="1" t="s">
        <v>282</v>
      </c>
      <c r="EO106" s="1" t="s">
        <v>234</v>
      </c>
      <c r="EQ106" s="1" t="s">
        <v>2188</v>
      </c>
      <c r="ER106" s="1" t="s">
        <v>210</v>
      </c>
      <c r="ES106" s="1" t="s">
        <v>824</v>
      </c>
      <c r="ET106" s="1" t="s">
        <v>323</v>
      </c>
      <c r="EU106" s="1" t="s">
        <v>1894</v>
      </c>
      <c r="EV106" s="1" t="s">
        <v>352</v>
      </c>
      <c r="EW106" s="1" t="s">
        <v>991</v>
      </c>
      <c r="EZ106" s="1" t="s">
        <v>381</v>
      </c>
      <c r="FA106" s="1" t="s">
        <v>2189</v>
      </c>
      <c r="FB106" s="1" t="s">
        <v>289</v>
      </c>
      <c r="FD106" s="1" t="s">
        <v>246</v>
      </c>
      <c r="FE106" s="1" t="s">
        <v>2016</v>
      </c>
      <c r="FF106" s="1" t="s">
        <v>248</v>
      </c>
      <c r="FH106" s="1" t="s">
        <v>1387</v>
      </c>
      <c r="FI106" s="1" t="s">
        <v>473</v>
      </c>
      <c r="FJ106" s="1" t="s">
        <v>1472</v>
      </c>
      <c r="FK106" s="1" t="s">
        <v>2190</v>
      </c>
      <c r="FL106" s="1" t="s">
        <v>358</v>
      </c>
      <c r="FM106" s="1" t="s">
        <v>252</v>
      </c>
      <c r="FN106" s="1" t="s">
        <v>213</v>
      </c>
      <c r="FO106" s="1" t="s">
        <v>213</v>
      </c>
      <c r="FQ106" s="1" t="s">
        <v>1621</v>
      </c>
      <c r="FR106" s="1" t="s">
        <v>210</v>
      </c>
      <c r="FS106" s="1" t="s">
        <v>2191</v>
      </c>
      <c r="FT106" s="1" t="s">
        <v>520</v>
      </c>
      <c r="FU106" s="1" t="s">
        <v>204</v>
      </c>
      <c r="FW106" s="1" t="s">
        <v>873</v>
      </c>
      <c r="FX106" s="1">
        <v>25309</v>
      </c>
      <c r="FY106" s="1" t="s">
        <v>874</v>
      </c>
      <c r="FZ106" s="1" t="s">
        <v>1623</v>
      </c>
      <c r="GA106" s="1">
        <v>222292</v>
      </c>
      <c r="GB106" s="1" t="s">
        <v>1624</v>
      </c>
      <c r="GD106" s="1" t="s">
        <v>1625</v>
      </c>
      <c r="GE106" s="1" t="s">
        <v>480</v>
      </c>
      <c r="GI106" s="1" t="s">
        <v>213</v>
      </c>
      <c r="GJ106" s="1" t="s">
        <v>260</v>
      </c>
      <c r="GK106" s="1" t="s">
        <v>261</v>
      </c>
      <c r="GL106" s="2">
        <v>41989</v>
      </c>
      <c r="GM106" s="1" t="s">
        <v>2192</v>
      </c>
    </row>
    <row r="107" spans="1:195">
      <c r="A107" s="1">
        <v>71000</v>
      </c>
      <c r="B107" s="1" t="s">
        <v>195</v>
      </c>
      <c r="C107" s="1" t="str">
        <f>"08761129"</f>
        <v>08761129</v>
      </c>
      <c r="D107" s="1" t="s">
        <v>196</v>
      </c>
      <c r="F107" s="1" t="str">
        <f>"186"</f>
        <v>186</v>
      </c>
      <c r="G107" s="2">
        <v>41936</v>
      </c>
      <c r="H107" s="1">
        <v>71900</v>
      </c>
      <c r="I107" s="1">
        <v>71900</v>
      </c>
      <c r="J107" s="1">
        <v>71000</v>
      </c>
      <c r="K107" s="2">
        <v>41936</v>
      </c>
      <c r="L107" s="1">
        <v>8</v>
      </c>
      <c r="M107" s="2">
        <v>41943</v>
      </c>
      <c r="N107" s="1">
        <v>8</v>
      </c>
      <c r="O107" s="2">
        <v>41943</v>
      </c>
      <c r="P107" s="1">
        <v>24071</v>
      </c>
      <c r="Q107" s="1" t="s">
        <v>302</v>
      </c>
      <c r="R107" s="2">
        <v>42003</v>
      </c>
      <c r="S107" s="1">
        <v>215695</v>
      </c>
      <c r="U107" s="1" t="s">
        <v>2193</v>
      </c>
      <c r="V107" s="1" t="s">
        <v>2194</v>
      </c>
      <c r="W107" s="1" t="s">
        <v>504</v>
      </c>
      <c r="Y107" s="1">
        <v>8</v>
      </c>
      <c r="Z107" s="1" t="s">
        <v>370</v>
      </c>
      <c r="AA107" s="1" t="s">
        <v>2099</v>
      </c>
      <c r="AB107" s="1">
        <v>60181</v>
      </c>
      <c r="AC107" s="1">
        <v>3713</v>
      </c>
      <c r="AD107" s="1" t="s">
        <v>2195</v>
      </c>
      <c r="AE107" s="1" t="s">
        <v>2196</v>
      </c>
      <c r="AF107" s="1">
        <v>1969</v>
      </c>
      <c r="AG107" s="1" t="s">
        <v>213</v>
      </c>
      <c r="AH107" s="1" t="s">
        <v>882</v>
      </c>
      <c r="AI107" s="1" t="s">
        <v>206</v>
      </c>
      <c r="AJ107" s="1" t="s">
        <v>1608</v>
      </c>
      <c r="AK107" s="1" t="s">
        <v>1088</v>
      </c>
      <c r="AL107" s="1">
        <v>4</v>
      </c>
      <c r="AM107" s="1">
        <v>2</v>
      </c>
      <c r="AN107" s="1">
        <v>1</v>
      </c>
      <c r="AO107" s="1">
        <v>0</v>
      </c>
      <c r="AP107" s="1" t="s">
        <v>667</v>
      </c>
      <c r="AQ107" s="1">
        <v>0</v>
      </c>
      <c r="AR107" s="1" t="s">
        <v>209</v>
      </c>
      <c r="AS107" s="1" t="s">
        <v>204</v>
      </c>
      <c r="AT107" s="1" t="s">
        <v>271</v>
      </c>
      <c r="AV107" s="1">
        <v>1</v>
      </c>
      <c r="AW107" s="1" t="s">
        <v>204</v>
      </c>
      <c r="AX107" s="1" t="s">
        <v>2197</v>
      </c>
      <c r="AZ107" s="1">
        <v>683.28</v>
      </c>
      <c r="BA107" s="1">
        <v>2013</v>
      </c>
      <c r="BB107" s="1" t="s">
        <v>599</v>
      </c>
      <c r="BE107" s="1">
        <v>816</v>
      </c>
      <c r="BF107" s="1">
        <v>1</v>
      </c>
      <c r="BG107" s="1">
        <v>0</v>
      </c>
      <c r="BL107" s="1">
        <v>189</v>
      </c>
      <c r="BM107" s="1" t="s">
        <v>204</v>
      </c>
      <c r="BN107" s="1" t="s">
        <v>213</v>
      </c>
      <c r="BO107" s="1">
        <v>999</v>
      </c>
      <c r="BP107" s="1" t="s">
        <v>204</v>
      </c>
      <c r="BR107" s="1" t="str">
        <f>"0622101082"</f>
        <v>0622101082</v>
      </c>
      <c r="BT107" s="1" t="s">
        <v>2198</v>
      </c>
      <c r="BU107" s="1" t="s">
        <v>2199</v>
      </c>
      <c r="BV107" s="1" t="s">
        <v>2200</v>
      </c>
      <c r="BW107" s="1" t="s">
        <v>2201</v>
      </c>
      <c r="BX107" s="1">
        <v>45</v>
      </c>
      <c r="BY107" s="1">
        <v>45</v>
      </c>
      <c r="BZ107" s="1">
        <v>88</v>
      </c>
      <c r="CA107" s="1">
        <v>502</v>
      </c>
      <c r="CB107" s="1" t="str">
        <f t="shared" ref="CB107:CC107" si="81">"0"</f>
        <v>0</v>
      </c>
      <c r="CC107" s="1" t="str">
        <f t="shared" si="81"/>
        <v>0</v>
      </c>
      <c r="CD107" s="1">
        <v>18</v>
      </c>
      <c r="CE107" s="1">
        <v>0</v>
      </c>
      <c r="CF107" s="1" t="s">
        <v>2202</v>
      </c>
      <c r="CG107" s="1" t="s">
        <v>1045</v>
      </c>
      <c r="CH107" s="1" t="s">
        <v>219</v>
      </c>
      <c r="CI107" s="1" t="s">
        <v>220</v>
      </c>
      <c r="CJ107" s="1" t="s">
        <v>463</v>
      </c>
      <c r="CK107" s="1" t="s">
        <v>2138</v>
      </c>
      <c r="CL107" s="1" t="s">
        <v>219</v>
      </c>
      <c r="CM107" s="1" t="s">
        <v>220</v>
      </c>
      <c r="CN107" s="1" t="s">
        <v>210</v>
      </c>
      <c r="CP107" s="1" t="s">
        <v>224</v>
      </c>
      <c r="CS107" s="1" t="s">
        <v>346</v>
      </c>
      <c r="CT107" s="1" t="s">
        <v>219</v>
      </c>
      <c r="CU107" s="1" t="s">
        <v>220</v>
      </c>
      <c r="CV107" s="1" t="s">
        <v>210</v>
      </c>
      <c r="CX107" s="1" t="s">
        <v>224</v>
      </c>
      <c r="DB107" s="1" t="s">
        <v>224</v>
      </c>
      <c r="DE107" s="1" t="s">
        <v>2203</v>
      </c>
      <c r="DF107" s="1" t="s">
        <v>219</v>
      </c>
      <c r="DG107" s="1" t="s">
        <v>220</v>
      </c>
      <c r="DH107" s="1" t="s">
        <v>463</v>
      </c>
      <c r="DJ107" s="1" t="s">
        <v>224</v>
      </c>
      <c r="DS107" s="1" t="s">
        <v>230</v>
      </c>
      <c r="DW107" s="1" t="s">
        <v>230</v>
      </c>
      <c r="EA107" s="1" t="s">
        <v>230</v>
      </c>
      <c r="EE107" s="1" t="s">
        <v>230</v>
      </c>
      <c r="EI107" s="1" t="s">
        <v>230</v>
      </c>
      <c r="EL107" s="1" t="s">
        <v>605</v>
      </c>
      <c r="EM107" s="1" t="s">
        <v>319</v>
      </c>
      <c r="EN107" s="1" t="s">
        <v>731</v>
      </c>
      <c r="EO107" s="1" t="s">
        <v>234</v>
      </c>
      <c r="EP107" s="1" t="s">
        <v>2204</v>
      </c>
      <c r="EQ107" s="1" t="s">
        <v>1439</v>
      </c>
      <c r="ER107" s="1" t="s">
        <v>351</v>
      </c>
      <c r="ES107" s="1" t="s">
        <v>1160</v>
      </c>
      <c r="EU107" s="1" t="s">
        <v>239</v>
      </c>
      <c r="EW107" s="1" t="s">
        <v>2205</v>
      </c>
      <c r="EY107" s="1" t="s">
        <v>242</v>
      </c>
      <c r="EZ107" s="1" t="s">
        <v>287</v>
      </c>
      <c r="FB107" s="1" t="s">
        <v>244</v>
      </c>
      <c r="FC107" s="1" t="s">
        <v>633</v>
      </c>
      <c r="FD107" s="1" t="s">
        <v>246</v>
      </c>
      <c r="FE107" s="1" t="s">
        <v>2016</v>
      </c>
      <c r="FF107" s="1" t="s">
        <v>248</v>
      </c>
      <c r="FH107" s="1" t="s">
        <v>825</v>
      </c>
      <c r="FJ107" s="1" t="s">
        <v>518</v>
      </c>
      <c r="FK107" s="1" t="s">
        <v>1825</v>
      </c>
      <c r="FL107" s="1" t="s">
        <v>292</v>
      </c>
      <c r="FM107" s="1" t="s">
        <v>252</v>
      </c>
      <c r="FN107" s="1" t="s">
        <v>213</v>
      </c>
      <c r="FO107" s="1" t="s">
        <v>213</v>
      </c>
      <c r="FQ107" s="1" t="s">
        <v>793</v>
      </c>
      <c r="FR107" s="1" t="s">
        <v>210</v>
      </c>
      <c r="FS107" s="1" t="s">
        <v>2206</v>
      </c>
      <c r="FT107" s="1" t="s">
        <v>2207</v>
      </c>
      <c r="FU107" s="1" t="s">
        <v>204</v>
      </c>
      <c r="FW107" s="1" t="s">
        <v>915</v>
      </c>
      <c r="FX107" s="1">
        <v>24071</v>
      </c>
      <c r="FY107" s="1" t="s">
        <v>2208</v>
      </c>
      <c r="FZ107" s="1" t="s">
        <v>2209</v>
      </c>
      <c r="GA107" s="1">
        <v>215695</v>
      </c>
      <c r="GB107" s="1" t="s">
        <v>2210</v>
      </c>
      <c r="GE107" s="1" t="s">
        <v>210</v>
      </c>
      <c r="GI107" s="1" t="s">
        <v>213</v>
      </c>
      <c r="GJ107" s="1" t="s">
        <v>260</v>
      </c>
      <c r="GK107" s="1" t="s">
        <v>210</v>
      </c>
      <c r="GL107" s="2">
        <v>42003</v>
      </c>
      <c r="GM107" s="1" t="s">
        <v>2211</v>
      </c>
    </row>
    <row r="108" spans="1:195">
      <c r="A108" s="1">
        <v>147000</v>
      </c>
      <c r="B108" s="1" t="s">
        <v>195</v>
      </c>
      <c r="C108" s="1" t="str">
        <f>"08761313"</f>
        <v>08761313</v>
      </c>
      <c r="D108" s="1" t="s">
        <v>196</v>
      </c>
      <c r="F108" s="1" t="str">
        <f>"540"</f>
        <v>540</v>
      </c>
      <c r="G108" s="2">
        <v>41936</v>
      </c>
      <c r="H108" s="1">
        <v>147900</v>
      </c>
      <c r="I108" s="1">
        <v>147900</v>
      </c>
      <c r="J108" s="1">
        <v>147000</v>
      </c>
      <c r="K108" s="2">
        <v>41935</v>
      </c>
      <c r="L108" s="1">
        <v>49</v>
      </c>
      <c r="M108" s="2">
        <v>41983</v>
      </c>
      <c r="N108" s="1">
        <v>49</v>
      </c>
      <c r="O108" s="2">
        <v>41983</v>
      </c>
      <c r="P108" s="1">
        <v>1084</v>
      </c>
      <c r="Q108" s="1" t="s">
        <v>423</v>
      </c>
      <c r="R108" s="2">
        <v>42025</v>
      </c>
      <c r="S108" s="1">
        <v>216996</v>
      </c>
      <c r="T108" s="1">
        <v>3000</v>
      </c>
      <c r="U108" s="1">
        <v>2835</v>
      </c>
      <c r="V108" s="1" t="s">
        <v>2212</v>
      </c>
      <c r="W108" s="1" t="s">
        <v>449</v>
      </c>
      <c r="X108" s="1">
        <v>101</v>
      </c>
      <c r="Y108" s="1">
        <v>8</v>
      </c>
      <c r="Z108" s="1" t="s">
        <v>249</v>
      </c>
      <c r="AA108" s="1" t="s">
        <v>921</v>
      </c>
      <c r="AB108" s="1">
        <v>60564</v>
      </c>
      <c r="AC108" s="1">
        <v>5019</v>
      </c>
      <c r="AD108" s="1" t="s">
        <v>2213</v>
      </c>
      <c r="AE108" s="1" t="s">
        <v>2214</v>
      </c>
      <c r="AF108" s="1">
        <v>2003</v>
      </c>
      <c r="AG108" s="1" t="s">
        <v>204</v>
      </c>
      <c r="AH108" s="1" t="s">
        <v>924</v>
      </c>
      <c r="AI108" s="1" t="s">
        <v>1800</v>
      </c>
      <c r="AJ108" s="1" t="s">
        <v>1801</v>
      </c>
      <c r="AK108" s="1" t="s">
        <v>1088</v>
      </c>
      <c r="AL108" s="1">
        <v>5</v>
      </c>
      <c r="AM108" s="1">
        <v>2</v>
      </c>
      <c r="AN108" s="1">
        <v>2</v>
      </c>
      <c r="AO108" s="1">
        <v>0</v>
      </c>
      <c r="AP108" s="1" t="s">
        <v>209</v>
      </c>
      <c r="AQ108" s="1">
        <v>1</v>
      </c>
      <c r="AR108" s="1" t="s">
        <v>210</v>
      </c>
      <c r="AS108" s="1" t="s">
        <v>204</v>
      </c>
      <c r="AT108" s="1" t="s">
        <v>211</v>
      </c>
      <c r="AU108" s="1">
        <v>1</v>
      </c>
      <c r="AW108" s="1" t="s">
        <v>204</v>
      </c>
      <c r="AX108" s="1" t="s">
        <v>212</v>
      </c>
      <c r="AZ108" s="1">
        <v>3952.8</v>
      </c>
      <c r="BA108" s="1">
        <v>2013</v>
      </c>
      <c r="BB108" s="1" t="s">
        <v>405</v>
      </c>
      <c r="BE108" s="1">
        <v>1139</v>
      </c>
      <c r="BF108" s="1">
        <v>1</v>
      </c>
      <c r="BG108" s="1">
        <v>0</v>
      </c>
      <c r="BL108" s="1">
        <v>212</v>
      </c>
      <c r="BM108" s="1" t="s">
        <v>204</v>
      </c>
      <c r="BN108" s="1" t="s">
        <v>213</v>
      </c>
      <c r="BO108" s="1">
        <v>999</v>
      </c>
      <c r="BP108" s="1" t="s">
        <v>204</v>
      </c>
      <c r="BR108" s="1" t="str">
        <f>"01031130200000"</f>
        <v>01031130200000</v>
      </c>
      <c r="BT108" s="1" t="s">
        <v>2215</v>
      </c>
      <c r="BU108" s="1" t="s">
        <v>2216</v>
      </c>
      <c r="BV108" s="1" t="s">
        <v>2217</v>
      </c>
      <c r="BW108" s="1" t="s">
        <v>2218</v>
      </c>
      <c r="BX108" s="1">
        <v>204</v>
      </c>
      <c r="BY108" s="1">
        <v>204</v>
      </c>
      <c r="BZ108" s="1">
        <v>204</v>
      </c>
      <c r="CB108" s="1" t="str">
        <f t="shared" ref="CB108:CC108" si="82">"0"</f>
        <v>0</v>
      </c>
      <c r="CC108" s="1" t="str">
        <f t="shared" si="82"/>
        <v>0</v>
      </c>
      <c r="CD108" s="1">
        <v>29</v>
      </c>
      <c r="CE108" s="1">
        <v>10</v>
      </c>
      <c r="CG108" s="1" t="s">
        <v>223</v>
      </c>
      <c r="CH108" s="1" t="s">
        <v>219</v>
      </c>
      <c r="CI108" s="1" t="s">
        <v>220</v>
      </c>
      <c r="CK108" s="1" t="s">
        <v>972</v>
      </c>
      <c r="CL108" s="1" t="s">
        <v>219</v>
      </c>
      <c r="CM108" s="1" t="s">
        <v>220</v>
      </c>
      <c r="CO108" s="1" t="s">
        <v>223</v>
      </c>
      <c r="CP108" s="1" t="s">
        <v>219</v>
      </c>
      <c r="CQ108" s="1" t="s">
        <v>220</v>
      </c>
      <c r="CS108" s="1" t="s">
        <v>346</v>
      </c>
      <c r="CT108" s="1" t="s">
        <v>219</v>
      </c>
      <c r="CU108" s="1" t="s">
        <v>220</v>
      </c>
      <c r="CX108" s="1" t="s">
        <v>224</v>
      </c>
      <c r="DB108" s="1" t="s">
        <v>224</v>
      </c>
      <c r="DE108" s="1" t="s">
        <v>346</v>
      </c>
      <c r="DF108" s="1" t="s">
        <v>219</v>
      </c>
      <c r="DG108" s="1" t="s">
        <v>226</v>
      </c>
      <c r="DJ108" s="1" t="s">
        <v>224</v>
      </c>
      <c r="DM108" s="1" t="s">
        <v>709</v>
      </c>
      <c r="DR108" s="1" t="s">
        <v>2219</v>
      </c>
      <c r="DS108" s="1" t="s">
        <v>219</v>
      </c>
      <c r="DT108" s="1" t="s">
        <v>226</v>
      </c>
      <c r="DW108" s="1" t="s">
        <v>230</v>
      </c>
      <c r="EA108" s="1" t="s">
        <v>230</v>
      </c>
      <c r="EE108" s="1" t="s">
        <v>230</v>
      </c>
      <c r="EI108" s="1" t="s">
        <v>230</v>
      </c>
      <c r="EL108" s="1" t="s">
        <v>466</v>
      </c>
      <c r="EM108" s="1" t="s">
        <v>232</v>
      </c>
      <c r="EN108" s="1" t="s">
        <v>282</v>
      </c>
      <c r="EO108" s="1" t="s">
        <v>840</v>
      </c>
      <c r="EP108" s="1" t="s">
        <v>650</v>
      </c>
      <c r="EQ108" s="1" t="s">
        <v>236</v>
      </c>
      <c r="ER108" s="1" t="s">
        <v>210</v>
      </c>
      <c r="ES108" s="1" t="s">
        <v>322</v>
      </c>
      <c r="EU108" s="1" t="s">
        <v>239</v>
      </c>
      <c r="EV108" s="1" t="s">
        <v>240</v>
      </c>
      <c r="EW108" s="1" t="s">
        <v>1804</v>
      </c>
      <c r="EY108" s="1" t="s">
        <v>242</v>
      </c>
      <c r="EZ108" s="1" t="s">
        <v>709</v>
      </c>
      <c r="FA108" s="1" t="s">
        <v>2220</v>
      </c>
      <c r="FB108" s="1" t="s">
        <v>289</v>
      </c>
      <c r="FD108" s="1" t="s">
        <v>246</v>
      </c>
      <c r="FE108" s="1" t="s">
        <v>472</v>
      </c>
      <c r="FF108" s="1" t="s">
        <v>248</v>
      </c>
      <c r="FH108" s="1" t="s">
        <v>2221</v>
      </c>
      <c r="FI108" s="1" t="s">
        <v>357</v>
      </c>
      <c r="FL108" s="1" t="s">
        <v>358</v>
      </c>
      <c r="FM108" s="1" t="s">
        <v>252</v>
      </c>
      <c r="FN108" s="1" t="s">
        <v>213</v>
      </c>
      <c r="FO108" s="1" t="s">
        <v>213</v>
      </c>
      <c r="FQ108" s="1" t="s">
        <v>2222</v>
      </c>
      <c r="FR108" s="1" t="s">
        <v>210</v>
      </c>
      <c r="FS108" s="1" t="s">
        <v>1709</v>
      </c>
      <c r="FT108" s="1" t="s">
        <v>295</v>
      </c>
      <c r="FU108" s="1" t="s">
        <v>204</v>
      </c>
      <c r="FW108" s="1" t="s">
        <v>1475</v>
      </c>
      <c r="FX108" s="1">
        <v>23265</v>
      </c>
      <c r="FY108" s="1" t="s">
        <v>1476</v>
      </c>
      <c r="FZ108" s="1" t="s">
        <v>2223</v>
      </c>
      <c r="GA108" s="1">
        <v>229434</v>
      </c>
      <c r="GB108" s="1" t="s">
        <v>2224</v>
      </c>
      <c r="GE108" s="1" t="s">
        <v>1256</v>
      </c>
      <c r="GI108" s="1" t="s">
        <v>213</v>
      </c>
      <c r="GJ108" s="1" t="s">
        <v>260</v>
      </c>
      <c r="GK108" s="1" t="s">
        <v>210</v>
      </c>
      <c r="GL108" s="2">
        <v>42026</v>
      </c>
      <c r="GM108" s="1" t="s">
        <v>2225</v>
      </c>
    </row>
    <row r="109" spans="1:195">
      <c r="A109" s="1">
        <v>104500</v>
      </c>
      <c r="B109" s="1" t="s">
        <v>195</v>
      </c>
      <c r="C109" s="1" t="str">
        <f>"08760040"</f>
        <v>08760040</v>
      </c>
      <c r="D109" s="1" t="s">
        <v>196</v>
      </c>
      <c r="F109" s="1" t="str">
        <f>"148"</f>
        <v>148</v>
      </c>
      <c r="G109" s="2">
        <v>41935</v>
      </c>
      <c r="H109" s="1">
        <v>106900</v>
      </c>
      <c r="I109" s="1">
        <v>106900</v>
      </c>
      <c r="J109" s="1">
        <v>104500</v>
      </c>
      <c r="K109" s="2">
        <v>41935</v>
      </c>
      <c r="L109" s="1">
        <v>4</v>
      </c>
      <c r="M109" s="2">
        <v>41938</v>
      </c>
      <c r="N109" s="1">
        <v>4</v>
      </c>
      <c r="O109" s="2">
        <v>41938</v>
      </c>
      <c r="P109" s="1">
        <v>20131</v>
      </c>
      <c r="Q109" s="1" t="s">
        <v>197</v>
      </c>
      <c r="R109" s="2">
        <v>41974</v>
      </c>
      <c r="S109" s="1">
        <v>233067</v>
      </c>
      <c r="U109" s="1">
        <v>1331</v>
      </c>
      <c r="V109" s="1" t="s">
        <v>2226</v>
      </c>
      <c r="W109" s="1" t="s">
        <v>1056</v>
      </c>
      <c r="X109" s="1">
        <v>213</v>
      </c>
      <c r="Y109" s="1">
        <v>84</v>
      </c>
      <c r="Z109" s="1" t="s">
        <v>249</v>
      </c>
      <c r="AA109" s="1" t="s">
        <v>1927</v>
      </c>
      <c r="AB109" s="1">
        <v>60148</v>
      </c>
      <c r="AD109" s="1" t="s">
        <v>2227</v>
      </c>
      <c r="AE109" s="1" t="s">
        <v>2228</v>
      </c>
      <c r="AF109" s="1">
        <v>1973</v>
      </c>
      <c r="AG109" s="1" t="s">
        <v>213</v>
      </c>
      <c r="AH109" s="1" t="s">
        <v>1930</v>
      </c>
      <c r="AI109" s="1" t="s">
        <v>206</v>
      </c>
      <c r="AJ109" s="1" t="s">
        <v>1608</v>
      </c>
      <c r="AL109" s="1">
        <v>5</v>
      </c>
      <c r="AM109" s="1">
        <v>2</v>
      </c>
      <c r="AN109" s="1">
        <v>1</v>
      </c>
      <c r="AO109" s="1">
        <v>1</v>
      </c>
      <c r="AP109" s="1" t="s">
        <v>1234</v>
      </c>
      <c r="AR109" s="1" t="s">
        <v>210</v>
      </c>
      <c r="AS109" s="1" t="s">
        <v>204</v>
      </c>
      <c r="AT109" s="1" t="s">
        <v>271</v>
      </c>
      <c r="AV109" s="1">
        <v>2</v>
      </c>
      <c r="AW109" s="1" t="s">
        <v>204</v>
      </c>
      <c r="AX109" s="1" t="s">
        <v>212</v>
      </c>
      <c r="AZ109" s="1">
        <v>2188</v>
      </c>
      <c r="BA109" s="1">
        <v>2013</v>
      </c>
      <c r="BB109" s="1" t="s">
        <v>210</v>
      </c>
      <c r="BE109" s="1">
        <v>1138</v>
      </c>
      <c r="BF109" s="1">
        <v>2</v>
      </c>
      <c r="BG109" s="1">
        <v>0</v>
      </c>
      <c r="BL109" s="1">
        <v>389</v>
      </c>
      <c r="BM109" s="1" t="s">
        <v>413</v>
      </c>
      <c r="BN109" s="1" t="s">
        <v>213</v>
      </c>
      <c r="BO109" s="1" t="s">
        <v>2229</v>
      </c>
      <c r="BP109" s="1" t="s">
        <v>204</v>
      </c>
      <c r="BR109" s="1" t="str">
        <f>"0619215031"</f>
        <v>0619215031</v>
      </c>
      <c r="BT109" s="1" t="s">
        <v>2230</v>
      </c>
      <c r="BU109" s="1" t="s">
        <v>1933</v>
      </c>
      <c r="BV109" s="1" t="s">
        <v>1934</v>
      </c>
      <c r="BW109" s="1" t="s">
        <v>1935</v>
      </c>
      <c r="BX109" s="1">
        <v>44</v>
      </c>
      <c r="BY109" s="1">
        <v>44</v>
      </c>
      <c r="BZ109" s="1">
        <v>87</v>
      </c>
      <c r="CB109" s="1" t="str">
        <f t="shared" ref="CB109:CC109" si="83">"0"</f>
        <v>0</v>
      </c>
      <c r="CC109" s="1" t="str">
        <f t="shared" si="83"/>
        <v>0</v>
      </c>
      <c r="CD109" s="1">
        <v>20</v>
      </c>
      <c r="CE109" s="1">
        <v>1</v>
      </c>
      <c r="CG109" s="1" t="s">
        <v>1737</v>
      </c>
      <c r="CH109" s="1" t="s">
        <v>219</v>
      </c>
      <c r="CI109" s="1" t="s">
        <v>220</v>
      </c>
      <c r="CJ109" s="1" t="s">
        <v>252</v>
      </c>
      <c r="CK109" s="1" t="s">
        <v>437</v>
      </c>
      <c r="CL109" s="1" t="s">
        <v>219</v>
      </c>
      <c r="CM109" s="1" t="s">
        <v>220</v>
      </c>
      <c r="CN109" s="1" t="s">
        <v>252</v>
      </c>
      <c r="CO109" s="1" t="s">
        <v>2231</v>
      </c>
      <c r="CP109" s="1" t="s">
        <v>219</v>
      </c>
      <c r="CQ109" s="1" t="s">
        <v>220</v>
      </c>
      <c r="CR109" s="1" t="s">
        <v>210</v>
      </c>
      <c r="CS109" s="1" t="s">
        <v>1297</v>
      </c>
      <c r="CT109" s="1" t="s">
        <v>219</v>
      </c>
      <c r="CU109" s="1" t="s">
        <v>220</v>
      </c>
      <c r="CV109" s="1" t="s">
        <v>252</v>
      </c>
      <c r="CX109" s="1" t="s">
        <v>224</v>
      </c>
      <c r="DB109" s="1" t="s">
        <v>224</v>
      </c>
      <c r="DE109" s="1" t="s">
        <v>379</v>
      </c>
      <c r="DF109" s="1" t="s">
        <v>219</v>
      </c>
      <c r="DG109" s="1" t="s">
        <v>226</v>
      </c>
      <c r="DH109" s="1" t="s">
        <v>252</v>
      </c>
      <c r="DJ109" s="1" t="s">
        <v>224</v>
      </c>
      <c r="DS109" s="1" t="s">
        <v>230</v>
      </c>
      <c r="DW109" s="1" t="s">
        <v>230</v>
      </c>
      <c r="EA109" s="1" t="s">
        <v>230</v>
      </c>
      <c r="EE109" s="1" t="s">
        <v>230</v>
      </c>
      <c r="EI109" s="1" t="s">
        <v>230</v>
      </c>
      <c r="EL109" s="1" t="s">
        <v>605</v>
      </c>
      <c r="EM109" s="1" t="s">
        <v>232</v>
      </c>
      <c r="EN109" s="1" t="s">
        <v>233</v>
      </c>
      <c r="EO109" s="1" t="s">
        <v>234</v>
      </c>
      <c r="EP109" s="1" t="s">
        <v>1939</v>
      </c>
      <c r="EQ109" s="1" t="s">
        <v>1109</v>
      </c>
      <c r="ER109" s="1" t="s">
        <v>210</v>
      </c>
      <c r="ES109" s="1" t="s">
        <v>322</v>
      </c>
      <c r="EU109" s="1" t="s">
        <v>239</v>
      </c>
      <c r="EV109" s="1" t="s">
        <v>240</v>
      </c>
      <c r="EW109" s="1" t="s">
        <v>2232</v>
      </c>
      <c r="EZ109" s="1" t="s">
        <v>287</v>
      </c>
      <c r="FB109" s="1" t="s">
        <v>1505</v>
      </c>
      <c r="FD109" s="1" t="s">
        <v>290</v>
      </c>
      <c r="FE109" s="1" t="s">
        <v>247</v>
      </c>
      <c r="FF109" s="1" t="s">
        <v>248</v>
      </c>
      <c r="FH109" s="1" t="s">
        <v>249</v>
      </c>
      <c r="FK109" s="1" t="s">
        <v>891</v>
      </c>
      <c r="FL109" s="1" t="s">
        <v>2233</v>
      </c>
      <c r="FM109" s="1" t="s">
        <v>252</v>
      </c>
      <c r="FN109" s="1" t="s">
        <v>213</v>
      </c>
      <c r="FO109" s="1" t="s">
        <v>213</v>
      </c>
      <c r="FQ109" s="1" t="s">
        <v>849</v>
      </c>
      <c r="FR109" s="1" t="s">
        <v>652</v>
      </c>
      <c r="FS109" s="1" t="s">
        <v>2234</v>
      </c>
      <c r="FT109" s="1" t="s">
        <v>255</v>
      </c>
      <c r="FU109" s="1" t="s">
        <v>204</v>
      </c>
      <c r="FW109" s="1" t="s">
        <v>2235</v>
      </c>
      <c r="FX109" s="1">
        <v>24321</v>
      </c>
      <c r="FY109" s="1" t="s">
        <v>2236</v>
      </c>
      <c r="FZ109" s="1" t="s">
        <v>2237</v>
      </c>
      <c r="GA109" s="1">
        <v>241778</v>
      </c>
      <c r="GB109" s="1" t="s">
        <v>2238</v>
      </c>
      <c r="GD109" s="1" t="s">
        <v>2239</v>
      </c>
      <c r="GE109" s="1" t="s">
        <v>210</v>
      </c>
      <c r="GH109" s="1" t="s">
        <v>421</v>
      </c>
      <c r="GI109" s="1" t="s">
        <v>213</v>
      </c>
      <c r="GJ109" s="1" t="s">
        <v>260</v>
      </c>
      <c r="GK109" s="1" t="s">
        <v>210</v>
      </c>
      <c r="GL109" s="2">
        <v>41975</v>
      </c>
      <c r="GM109" s="1" t="s">
        <v>2240</v>
      </c>
    </row>
    <row r="110" spans="1:195">
      <c r="A110" s="1">
        <v>102500</v>
      </c>
      <c r="B110" s="1" t="s">
        <v>195</v>
      </c>
      <c r="C110" s="1" t="str">
        <f>"08762641"</f>
        <v>08762641</v>
      </c>
      <c r="D110" s="1" t="s">
        <v>196</v>
      </c>
      <c r="F110" s="1" t="str">
        <f>"115"</f>
        <v>115</v>
      </c>
      <c r="G110" s="2">
        <v>41939</v>
      </c>
      <c r="H110" s="1">
        <v>112000</v>
      </c>
      <c r="I110" s="1">
        <v>112000</v>
      </c>
      <c r="J110" s="1">
        <v>102500</v>
      </c>
      <c r="K110" s="2">
        <v>41936</v>
      </c>
      <c r="L110" s="1">
        <v>46</v>
      </c>
      <c r="M110" s="2">
        <v>41981</v>
      </c>
      <c r="N110" s="1">
        <v>46</v>
      </c>
      <c r="O110" s="2">
        <v>41981</v>
      </c>
      <c r="P110" s="1">
        <v>93023</v>
      </c>
      <c r="Q110" s="1" t="s">
        <v>197</v>
      </c>
      <c r="R110" s="2">
        <v>42009</v>
      </c>
      <c r="S110" s="1">
        <v>930031</v>
      </c>
      <c r="U110" s="1">
        <v>2133</v>
      </c>
      <c r="V110" s="1" t="s">
        <v>2241</v>
      </c>
      <c r="W110" s="1" t="s">
        <v>504</v>
      </c>
      <c r="X110" s="1">
        <v>2133</v>
      </c>
      <c r="Y110" s="1">
        <v>4</v>
      </c>
      <c r="Z110" s="1" t="s">
        <v>370</v>
      </c>
      <c r="AA110" s="1" t="s">
        <v>2242</v>
      </c>
      <c r="AB110" s="1">
        <v>60115</v>
      </c>
      <c r="AD110" s="1" t="s">
        <v>2243</v>
      </c>
      <c r="AE110" s="1" t="s">
        <v>2244</v>
      </c>
      <c r="AF110" s="1">
        <v>2004</v>
      </c>
      <c r="AG110" s="1" t="s">
        <v>204</v>
      </c>
      <c r="AH110" s="1" t="s">
        <v>2245</v>
      </c>
      <c r="AI110" s="1" t="s">
        <v>2246</v>
      </c>
      <c r="AJ110" s="1" t="s">
        <v>2245</v>
      </c>
      <c r="AK110" s="1" t="s">
        <v>2247</v>
      </c>
      <c r="AL110" s="1">
        <v>5</v>
      </c>
      <c r="AM110" s="1">
        <v>2</v>
      </c>
      <c r="AN110" s="1">
        <v>1</v>
      </c>
      <c r="AO110" s="1">
        <v>1</v>
      </c>
      <c r="AP110" s="1" t="s">
        <v>667</v>
      </c>
      <c r="AQ110" s="1">
        <v>1</v>
      </c>
      <c r="AR110" s="1" t="s">
        <v>209</v>
      </c>
      <c r="AS110" s="1" t="s">
        <v>204</v>
      </c>
      <c r="AT110" s="1" t="s">
        <v>211</v>
      </c>
      <c r="AU110" s="1">
        <v>1</v>
      </c>
      <c r="AW110" s="1" t="s">
        <v>204</v>
      </c>
      <c r="AX110" s="1" t="s">
        <v>2248</v>
      </c>
      <c r="AZ110" s="1">
        <v>4104.42</v>
      </c>
      <c r="BA110" s="1">
        <v>2013</v>
      </c>
      <c r="BB110" s="1" t="s">
        <v>405</v>
      </c>
      <c r="BE110" s="1">
        <v>1300</v>
      </c>
      <c r="BF110" s="1">
        <v>1</v>
      </c>
      <c r="BG110" s="1">
        <v>30</v>
      </c>
      <c r="BL110" s="1">
        <v>65</v>
      </c>
      <c r="BM110" s="1" t="s">
        <v>413</v>
      </c>
      <c r="BN110" s="1" t="s">
        <v>213</v>
      </c>
      <c r="BO110" s="1">
        <v>30</v>
      </c>
      <c r="BP110" s="1" t="s">
        <v>204</v>
      </c>
      <c r="BR110" s="1" t="str">
        <f>"0834228067"</f>
        <v>0834228067</v>
      </c>
      <c r="BT110" s="1" t="s">
        <v>2249</v>
      </c>
      <c r="BX110" s="1">
        <v>428</v>
      </c>
      <c r="BY110" s="1">
        <v>428</v>
      </c>
      <c r="BZ110" s="1">
        <v>428</v>
      </c>
      <c r="CB110" s="1" t="str">
        <f t="shared" ref="CB110:CC110" si="84">""</f>
        <v/>
      </c>
      <c r="CC110" s="1" t="str">
        <f t="shared" si="84"/>
        <v/>
      </c>
      <c r="CG110" s="1" t="s">
        <v>2250</v>
      </c>
      <c r="CH110" s="1" t="s">
        <v>219</v>
      </c>
      <c r="CI110" s="1" t="s">
        <v>220</v>
      </c>
      <c r="CJ110" s="1" t="s">
        <v>343</v>
      </c>
      <c r="CK110" s="1" t="s">
        <v>462</v>
      </c>
      <c r="CL110" s="1" t="s">
        <v>277</v>
      </c>
      <c r="CM110" s="1" t="s">
        <v>220</v>
      </c>
      <c r="CN110" s="1" t="s">
        <v>343</v>
      </c>
      <c r="CO110" s="1" t="s">
        <v>629</v>
      </c>
      <c r="CP110" s="1" t="s">
        <v>219</v>
      </c>
      <c r="CQ110" s="1" t="s">
        <v>220</v>
      </c>
      <c r="CS110" s="1" t="s">
        <v>280</v>
      </c>
      <c r="CT110" s="1" t="s">
        <v>277</v>
      </c>
      <c r="CU110" s="1" t="s">
        <v>220</v>
      </c>
      <c r="CV110" s="1" t="s">
        <v>343</v>
      </c>
      <c r="CX110" s="1" t="s">
        <v>224</v>
      </c>
      <c r="DB110" s="1" t="s">
        <v>224</v>
      </c>
      <c r="DE110" s="1" t="s">
        <v>490</v>
      </c>
      <c r="DF110" s="1" t="s">
        <v>219</v>
      </c>
      <c r="DG110" s="1" t="s">
        <v>342</v>
      </c>
      <c r="DH110" s="1" t="s">
        <v>210</v>
      </c>
      <c r="DJ110" s="1" t="s">
        <v>224</v>
      </c>
      <c r="DS110" s="1" t="s">
        <v>230</v>
      </c>
      <c r="DW110" s="1" t="s">
        <v>230</v>
      </c>
      <c r="EA110" s="1" t="s">
        <v>230</v>
      </c>
      <c r="EE110" s="1" t="s">
        <v>230</v>
      </c>
      <c r="EI110" s="1" t="s">
        <v>230</v>
      </c>
      <c r="EL110" s="1" t="s">
        <v>491</v>
      </c>
      <c r="EM110" s="1" t="s">
        <v>319</v>
      </c>
      <c r="EN110" s="1" t="s">
        <v>282</v>
      </c>
      <c r="EO110" s="1" t="s">
        <v>234</v>
      </c>
      <c r="EP110" s="1" t="s">
        <v>210</v>
      </c>
      <c r="EQ110" s="1" t="s">
        <v>953</v>
      </c>
      <c r="ER110" s="1" t="s">
        <v>1249</v>
      </c>
      <c r="ES110" s="1" t="s">
        <v>493</v>
      </c>
      <c r="EW110" s="1" t="s">
        <v>1250</v>
      </c>
      <c r="EY110" s="1" t="s">
        <v>242</v>
      </c>
      <c r="EZ110" s="1" t="s">
        <v>287</v>
      </c>
      <c r="FA110" s="1" t="s">
        <v>2251</v>
      </c>
      <c r="FB110" s="1" t="s">
        <v>289</v>
      </c>
      <c r="FC110" s="1" t="s">
        <v>548</v>
      </c>
      <c r="FD110" s="1" t="s">
        <v>2252</v>
      </c>
      <c r="FE110" s="1" t="s">
        <v>975</v>
      </c>
      <c r="FF110" s="1" t="s">
        <v>248</v>
      </c>
      <c r="FG110" s="1" t="s">
        <v>2174</v>
      </c>
      <c r="FH110" s="1" t="s">
        <v>356</v>
      </c>
      <c r="FI110" s="1" t="s">
        <v>357</v>
      </c>
      <c r="FL110" s="1" t="s">
        <v>358</v>
      </c>
      <c r="FM110" s="1" t="s">
        <v>252</v>
      </c>
      <c r="FN110" s="1" t="s">
        <v>213</v>
      </c>
      <c r="FO110" s="1" t="s">
        <v>204</v>
      </c>
      <c r="FQ110" s="1" t="s">
        <v>2253</v>
      </c>
      <c r="FR110" s="1" t="s">
        <v>411</v>
      </c>
      <c r="FS110" s="1" t="s">
        <v>2254</v>
      </c>
      <c r="FT110" s="1" t="s">
        <v>295</v>
      </c>
      <c r="FU110" s="1" t="s">
        <v>204</v>
      </c>
      <c r="FW110" s="1" t="s">
        <v>813</v>
      </c>
      <c r="FX110" s="1">
        <v>93043</v>
      </c>
      <c r="FY110" s="1" t="s">
        <v>2255</v>
      </c>
      <c r="FZ110" s="1" t="s">
        <v>2256</v>
      </c>
      <c r="GA110" s="1">
        <v>930130</v>
      </c>
      <c r="GB110" s="1" t="s">
        <v>2257</v>
      </c>
      <c r="GE110" s="1" t="s">
        <v>776</v>
      </c>
      <c r="GI110" s="1" t="s">
        <v>213</v>
      </c>
      <c r="GJ110" s="1" t="s">
        <v>260</v>
      </c>
      <c r="GK110" s="1" t="s">
        <v>210</v>
      </c>
      <c r="GL110" s="2">
        <v>42009</v>
      </c>
      <c r="GM110" s="1" t="s">
        <v>2258</v>
      </c>
    </row>
    <row r="111" spans="1:195">
      <c r="A111" s="1">
        <v>44500</v>
      </c>
      <c r="B111" s="1" t="s">
        <v>195</v>
      </c>
      <c r="C111" s="1" t="str">
        <f>"08762887"</f>
        <v>08762887</v>
      </c>
      <c r="D111" s="1" t="s">
        <v>196</v>
      </c>
      <c r="F111" s="1" t="str">
        <f>"20"</f>
        <v>20</v>
      </c>
      <c r="G111" s="2">
        <v>41939</v>
      </c>
      <c r="H111" s="1">
        <v>43900</v>
      </c>
      <c r="I111" s="1">
        <v>45900</v>
      </c>
      <c r="J111" s="1">
        <v>44500</v>
      </c>
      <c r="K111" s="2">
        <v>41936</v>
      </c>
      <c r="L111" s="1">
        <v>227</v>
      </c>
      <c r="M111" s="2">
        <v>42082</v>
      </c>
      <c r="N111" s="1">
        <v>147</v>
      </c>
      <c r="O111" s="2">
        <v>42082</v>
      </c>
      <c r="P111" s="1">
        <v>5291</v>
      </c>
      <c r="Q111" s="1" t="s">
        <v>197</v>
      </c>
      <c r="R111" s="2">
        <v>42146</v>
      </c>
      <c r="S111" s="1">
        <v>56022</v>
      </c>
      <c r="U111" s="1">
        <v>77</v>
      </c>
      <c r="V111" s="1" t="s">
        <v>2259</v>
      </c>
      <c r="W111" s="1" t="s">
        <v>425</v>
      </c>
      <c r="X111" s="1" t="s">
        <v>1000</v>
      </c>
      <c r="Y111" s="1">
        <v>6</v>
      </c>
      <c r="Z111" s="1" t="s">
        <v>370</v>
      </c>
      <c r="AA111" s="1" t="s">
        <v>592</v>
      </c>
      <c r="AB111" s="1">
        <v>60020</v>
      </c>
      <c r="AE111" s="1" t="s">
        <v>2260</v>
      </c>
      <c r="AF111" s="1">
        <v>1978</v>
      </c>
      <c r="AG111" s="1" t="s">
        <v>204</v>
      </c>
      <c r="AH111" s="1" t="s">
        <v>595</v>
      </c>
      <c r="AI111" s="1" t="s">
        <v>509</v>
      </c>
      <c r="AJ111" s="1" t="s">
        <v>1016</v>
      </c>
      <c r="AL111" s="1">
        <v>5</v>
      </c>
      <c r="AM111" s="1">
        <v>2</v>
      </c>
      <c r="AN111" s="1">
        <v>2</v>
      </c>
      <c r="AO111" s="1">
        <v>1</v>
      </c>
      <c r="AP111" s="1" t="s">
        <v>209</v>
      </c>
      <c r="AR111" s="1" t="s">
        <v>210</v>
      </c>
      <c r="AS111" s="1" t="s">
        <v>204</v>
      </c>
      <c r="AT111" s="1" t="s">
        <v>271</v>
      </c>
      <c r="AV111" s="1">
        <v>2</v>
      </c>
      <c r="AW111" s="1" t="s">
        <v>204</v>
      </c>
      <c r="AX111" s="1" t="s">
        <v>212</v>
      </c>
      <c r="AZ111" s="1">
        <v>788.43</v>
      </c>
      <c r="BA111" s="1">
        <v>2013</v>
      </c>
      <c r="BB111" s="1" t="s">
        <v>210</v>
      </c>
      <c r="BE111" s="1">
        <v>1092</v>
      </c>
      <c r="BF111" s="1">
        <v>1</v>
      </c>
      <c r="BG111" s="1">
        <v>0</v>
      </c>
      <c r="BL111" s="1">
        <v>220</v>
      </c>
      <c r="BM111" s="1" t="s">
        <v>204</v>
      </c>
      <c r="BN111" s="1" t="s">
        <v>213</v>
      </c>
      <c r="BO111" s="1">
        <v>999</v>
      </c>
      <c r="BP111" s="1" t="s">
        <v>204</v>
      </c>
      <c r="BR111" s="1" t="str">
        <f>"05033001360000"</f>
        <v>05033001360000</v>
      </c>
      <c r="BT111" s="1" t="s">
        <v>2261</v>
      </c>
      <c r="BU111" s="1" t="s">
        <v>2262</v>
      </c>
      <c r="BV111" s="1" t="s">
        <v>2263</v>
      </c>
      <c r="BW111" s="1" t="s">
        <v>2264</v>
      </c>
      <c r="BX111" s="1">
        <v>114</v>
      </c>
      <c r="BY111" s="1">
        <v>114</v>
      </c>
      <c r="BZ111" s="1">
        <v>124</v>
      </c>
      <c r="CB111" s="1" t="str">
        <f t="shared" ref="CB111:CC111" si="85">""</f>
        <v/>
      </c>
      <c r="CC111" s="1" t="str">
        <f t="shared" si="85"/>
        <v/>
      </c>
      <c r="CG111" s="1" t="s">
        <v>932</v>
      </c>
      <c r="CH111" s="1" t="s">
        <v>219</v>
      </c>
      <c r="CI111" s="1" t="s">
        <v>229</v>
      </c>
      <c r="CK111" s="1" t="s">
        <v>539</v>
      </c>
      <c r="CL111" s="1" t="s">
        <v>277</v>
      </c>
      <c r="CM111" s="1" t="s">
        <v>438</v>
      </c>
      <c r="CP111" s="1" t="s">
        <v>224</v>
      </c>
      <c r="CS111" s="1" t="s">
        <v>539</v>
      </c>
      <c r="CT111" s="1" t="s">
        <v>784</v>
      </c>
      <c r="CX111" s="1" t="s">
        <v>224</v>
      </c>
      <c r="DB111" s="1" t="s">
        <v>224</v>
      </c>
      <c r="DE111" s="1" t="s">
        <v>516</v>
      </c>
      <c r="DF111" s="1" t="s">
        <v>219</v>
      </c>
      <c r="DG111" s="1" t="s">
        <v>226</v>
      </c>
      <c r="DJ111" s="1" t="s">
        <v>224</v>
      </c>
      <c r="DM111" s="1" t="s">
        <v>1005</v>
      </c>
      <c r="DR111" s="1" t="s">
        <v>1133</v>
      </c>
      <c r="DS111" s="1" t="s">
        <v>277</v>
      </c>
      <c r="DT111" s="1" t="s">
        <v>220</v>
      </c>
      <c r="DW111" s="1" t="s">
        <v>230</v>
      </c>
      <c r="EA111" s="1" t="s">
        <v>230</v>
      </c>
      <c r="EE111" s="1" t="s">
        <v>230</v>
      </c>
      <c r="EI111" s="1" t="s">
        <v>230</v>
      </c>
      <c r="EL111" s="1" t="s">
        <v>231</v>
      </c>
      <c r="EM111" s="1" t="s">
        <v>319</v>
      </c>
      <c r="EN111" s="1" t="s">
        <v>282</v>
      </c>
      <c r="EO111" s="1" t="s">
        <v>234</v>
      </c>
      <c r="EP111" s="1" t="s">
        <v>2265</v>
      </c>
      <c r="EQ111" s="1" t="s">
        <v>468</v>
      </c>
      <c r="ER111" s="1" t="s">
        <v>210</v>
      </c>
      <c r="EW111" s="1" t="s">
        <v>2266</v>
      </c>
      <c r="EZ111" s="1" t="s">
        <v>1005</v>
      </c>
      <c r="FA111" s="1" t="s">
        <v>1270</v>
      </c>
      <c r="FB111" s="1" t="s">
        <v>289</v>
      </c>
      <c r="FD111" s="1" t="s">
        <v>246</v>
      </c>
      <c r="FE111" s="1" t="s">
        <v>472</v>
      </c>
      <c r="FF111" s="1" t="s">
        <v>248</v>
      </c>
      <c r="FH111" s="1" t="s">
        <v>1428</v>
      </c>
      <c r="FJ111" s="1" t="s">
        <v>197</v>
      </c>
      <c r="FK111" s="1" t="s">
        <v>2076</v>
      </c>
      <c r="FL111" s="1" t="s">
        <v>358</v>
      </c>
      <c r="FM111" s="1" t="s">
        <v>252</v>
      </c>
      <c r="FN111" s="1" t="s">
        <v>213</v>
      </c>
      <c r="FO111" s="1" t="s">
        <v>213</v>
      </c>
      <c r="FQ111" s="1" t="s">
        <v>2267</v>
      </c>
      <c r="FR111" s="1" t="s">
        <v>210</v>
      </c>
      <c r="FS111" s="1" t="s">
        <v>2268</v>
      </c>
      <c r="FT111" s="1" t="s">
        <v>362</v>
      </c>
      <c r="FU111" s="1" t="s">
        <v>204</v>
      </c>
      <c r="FW111" s="1" t="s">
        <v>2269</v>
      </c>
      <c r="FX111" s="1">
        <v>2424</v>
      </c>
      <c r="FY111" s="1" t="s">
        <v>2270</v>
      </c>
      <c r="FZ111" s="1" t="s">
        <v>2271</v>
      </c>
      <c r="GA111" s="1">
        <v>923399</v>
      </c>
      <c r="GB111" s="1" t="s">
        <v>2272</v>
      </c>
      <c r="GE111" s="1" t="s">
        <v>1256</v>
      </c>
      <c r="GI111" s="1" t="s">
        <v>213</v>
      </c>
      <c r="GJ111" s="1" t="s">
        <v>260</v>
      </c>
      <c r="GK111" s="1" t="s">
        <v>210</v>
      </c>
      <c r="GL111" s="2">
        <v>42146</v>
      </c>
    </row>
    <row r="112" spans="1:195">
      <c r="A112" s="1">
        <v>123900</v>
      </c>
      <c r="B112" s="1" t="s">
        <v>195</v>
      </c>
      <c r="C112" s="1" t="str">
        <f>"08763134"</f>
        <v>08763134</v>
      </c>
      <c r="D112" s="1" t="s">
        <v>196</v>
      </c>
      <c r="F112" s="1" t="str">
        <f>"8064"</f>
        <v>8064</v>
      </c>
      <c r="G112" s="2">
        <v>41940</v>
      </c>
      <c r="H112" s="1">
        <v>123900</v>
      </c>
      <c r="I112" s="1">
        <v>123900</v>
      </c>
      <c r="J112" s="1">
        <v>123900</v>
      </c>
      <c r="K112" s="2">
        <v>41940</v>
      </c>
      <c r="L112" s="1">
        <v>34</v>
      </c>
      <c r="M112" s="2">
        <v>41960</v>
      </c>
      <c r="N112" s="1">
        <v>21</v>
      </c>
      <c r="O112" s="2">
        <v>41960</v>
      </c>
      <c r="P112" s="1">
        <v>23030</v>
      </c>
      <c r="Q112" s="1" t="s">
        <v>423</v>
      </c>
      <c r="R112" s="2">
        <v>41996</v>
      </c>
      <c r="S112" s="1">
        <v>243027</v>
      </c>
      <c r="T112" s="1">
        <v>5300</v>
      </c>
      <c r="U112" s="1">
        <v>6349</v>
      </c>
      <c r="V112" s="1" t="s">
        <v>2273</v>
      </c>
      <c r="W112" s="1" t="s">
        <v>425</v>
      </c>
      <c r="Y112" s="1">
        <v>1</v>
      </c>
      <c r="Z112" s="1" t="s">
        <v>200</v>
      </c>
      <c r="AA112" s="1" t="s">
        <v>400</v>
      </c>
      <c r="AB112" s="1">
        <v>60638</v>
      </c>
      <c r="AE112" s="1" t="s">
        <v>2274</v>
      </c>
      <c r="AF112" s="1">
        <v>1941</v>
      </c>
      <c r="AG112" s="1" t="s">
        <v>213</v>
      </c>
      <c r="AH112" s="1" t="s">
        <v>403</v>
      </c>
      <c r="AI112" s="1" t="s">
        <v>310</v>
      </c>
      <c r="AJ112" s="1" t="s">
        <v>683</v>
      </c>
      <c r="AK112" s="1" t="s">
        <v>2247</v>
      </c>
      <c r="AL112" s="1">
        <v>6</v>
      </c>
      <c r="AM112" s="1">
        <v>2</v>
      </c>
      <c r="AN112" s="1">
        <v>1</v>
      </c>
      <c r="AO112" s="1">
        <v>1</v>
      </c>
      <c r="AP112" s="1" t="s">
        <v>210</v>
      </c>
      <c r="AR112" s="1" t="s">
        <v>2275</v>
      </c>
      <c r="AS112" s="1" t="s">
        <v>213</v>
      </c>
      <c r="AT112" s="1" t="s">
        <v>211</v>
      </c>
      <c r="AU112" s="1">
        <v>2</v>
      </c>
      <c r="AW112" s="1" t="s">
        <v>204</v>
      </c>
      <c r="AX112" s="1">
        <v>2750</v>
      </c>
      <c r="AZ112" s="1">
        <v>2038</v>
      </c>
      <c r="BA112" s="1">
        <v>2013</v>
      </c>
      <c r="BB112" s="1" t="s">
        <v>210</v>
      </c>
      <c r="BE112" s="1">
        <v>843</v>
      </c>
      <c r="BF112" s="1">
        <v>1</v>
      </c>
      <c r="BG112" s="1">
        <v>0</v>
      </c>
      <c r="BL112" s="1">
        <v>0</v>
      </c>
      <c r="BM112" s="1" t="s">
        <v>204</v>
      </c>
      <c r="BN112" s="1" t="s">
        <v>213</v>
      </c>
      <c r="BO112" s="1">
        <v>999</v>
      </c>
      <c r="BP112" s="1" t="s">
        <v>204</v>
      </c>
      <c r="BR112" s="1" t="str">
        <f>"19211020410000"</f>
        <v>19211020410000</v>
      </c>
      <c r="BT112" s="1" t="s">
        <v>2276</v>
      </c>
      <c r="BX112" s="1">
        <v>299</v>
      </c>
      <c r="BY112" s="1">
        <v>299</v>
      </c>
      <c r="BZ112" s="1">
        <v>299</v>
      </c>
      <c r="CB112" s="1" t="str">
        <f t="shared" ref="CB112:CC112" si="86">"0"</f>
        <v>0</v>
      </c>
      <c r="CC112" s="1" t="str">
        <f t="shared" si="86"/>
        <v>0</v>
      </c>
      <c r="CD112" s="1">
        <v>5400</v>
      </c>
      <c r="CE112" s="1">
        <v>6349</v>
      </c>
      <c r="CG112" s="1" t="s">
        <v>344</v>
      </c>
      <c r="CH112" s="1" t="s">
        <v>219</v>
      </c>
      <c r="CI112" s="1" t="s">
        <v>438</v>
      </c>
      <c r="CJ112" s="1" t="s">
        <v>252</v>
      </c>
      <c r="CK112" s="1" t="s">
        <v>346</v>
      </c>
      <c r="CL112" s="1" t="s">
        <v>277</v>
      </c>
      <c r="CM112" s="1" t="s">
        <v>438</v>
      </c>
      <c r="CO112" s="1" t="s">
        <v>2277</v>
      </c>
      <c r="CP112" s="1" t="s">
        <v>219</v>
      </c>
      <c r="CQ112" s="1" t="s">
        <v>438</v>
      </c>
      <c r="CS112" s="1" t="s">
        <v>346</v>
      </c>
      <c r="CT112" s="1" t="s">
        <v>277</v>
      </c>
      <c r="CU112" s="1" t="s">
        <v>438</v>
      </c>
      <c r="CX112" s="1" t="s">
        <v>224</v>
      </c>
      <c r="DB112" s="1" t="s">
        <v>224</v>
      </c>
      <c r="DE112" s="1" t="s">
        <v>409</v>
      </c>
      <c r="DF112" s="1" t="s">
        <v>219</v>
      </c>
      <c r="DG112" s="1" t="s">
        <v>226</v>
      </c>
      <c r="DH112" s="1" t="s">
        <v>439</v>
      </c>
      <c r="DI112" s="1" t="s">
        <v>648</v>
      </c>
      <c r="DJ112" s="1" t="s">
        <v>822</v>
      </c>
      <c r="DK112" s="1" t="s">
        <v>226</v>
      </c>
      <c r="DM112" s="1" t="s">
        <v>2278</v>
      </c>
      <c r="DR112" s="1" t="s">
        <v>2279</v>
      </c>
      <c r="DS112" s="1" t="s">
        <v>43</v>
      </c>
      <c r="DT112" s="1" t="s">
        <v>226</v>
      </c>
      <c r="DW112" s="1" t="s">
        <v>230</v>
      </c>
      <c r="EA112" s="1" t="s">
        <v>230</v>
      </c>
      <c r="EE112" s="1" t="s">
        <v>230</v>
      </c>
      <c r="EI112" s="1" t="s">
        <v>230</v>
      </c>
      <c r="EL112" s="1" t="s">
        <v>440</v>
      </c>
      <c r="EM112" s="1" t="s">
        <v>730</v>
      </c>
      <c r="EN112" s="1" t="s">
        <v>282</v>
      </c>
      <c r="EO112" s="1" t="s">
        <v>234</v>
      </c>
      <c r="EQ112" s="1" t="s">
        <v>2280</v>
      </c>
      <c r="ER112" s="1" t="s">
        <v>823</v>
      </c>
      <c r="EU112" s="1" t="s">
        <v>546</v>
      </c>
      <c r="EV112" s="1" t="s">
        <v>240</v>
      </c>
      <c r="EW112" s="1" t="s">
        <v>210</v>
      </c>
      <c r="EZ112" s="1" t="s">
        <v>2278</v>
      </c>
      <c r="FC112" s="1" t="s">
        <v>633</v>
      </c>
      <c r="FD112" s="1" t="s">
        <v>246</v>
      </c>
      <c r="FE112" s="1" t="s">
        <v>247</v>
      </c>
      <c r="FF112" s="1" t="s">
        <v>248</v>
      </c>
      <c r="FH112" s="1" t="s">
        <v>550</v>
      </c>
      <c r="FI112" s="1" t="s">
        <v>357</v>
      </c>
      <c r="FL112" s="1" t="s">
        <v>414</v>
      </c>
      <c r="FM112" s="1" t="s">
        <v>252</v>
      </c>
      <c r="FN112" s="1" t="s">
        <v>213</v>
      </c>
      <c r="FO112" s="1" t="s">
        <v>213</v>
      </c>
      <c r="FQ112" s="1" t="s">
        <v>1896</v>
      </c>
      <c r="FR112" s="1" t="s">
        <v>210</v>
      </c>
      <c r="FS112" s="1" t="s">
        <v>2281</v>
      </c>
      <c r="FT112" s="1" t="s">
        <v>362</v>
      </c>
      <c r="FU112" s="1" t="s">
        <v>213</v>
      </c>
      <c r="FW112" s="1" t="s">
        <v>2282</v>
      </c>
      <c r="FX112" s="1">
        <v>16260</v>
      </c>
      <c r="FY112" s="1" t="s">
        <v>2283</v>
      </c>
      <c r="FZ112" s="1" t="s">
        <v>2284</v>
      </c>
      <c r="GA112" s="1">
        <v>118838</v>
      </c>
      <c r="GB112" s="1" t="s">
        <v>2285</v>
      </c>
      <c r="GE112" s="1" t="s">
        <v>480</v>
      </c>
      <c r="GH112" s="1" t="s">
        <v>421</v>
      </c>
      <c r="GI112" s="1" t="s">
        <v>213</v>
      </c>
      <c r="GJ112" s="1" t="s">
        <v>260</v>
      </c>
      <c r="GK112" s="1" t="s">
        <v>210</v>
      </c>
      <c r="GL112" s="2">
        <v>41999</v>
      </c>
    </row>
    <row r="113" spans="1:195">
      <c r="A113" s="1">
        <v>239000</v>
      </c>
      <c r="B113" s="1" t="s">
        <v>195</v>
      </c>
      <c r="C113" s="1" t="str">
        <f>"08761636"</f>
        <v>08761636</v>
      </c>
      <c r="D113" s="1" t="s">
        <v>196</v>
      </c>
      <c r="F113" s="1" t="str">
        <f>"187"</f>
        <v>187</v>
      </c>
      <c r="G113" s="2">
        <v>41937</v>
      </c>
      <c r="H113" s="1">
        <v>254900</v>
      </c>
      <c r="I113" s="1">
        <v>249900</v>
      </c>
      <c r="J113" s="1">
        <v>239000</v>
      </c>
      <c r="K113" s="2">
        <v>41937</v>
      </c>
      <c r="L113" s="1">
        <v>101</v>
      </c>
      <c r="M113" s="2">
        <v>42011</v>
      </c>
      <c r="N113" s="1">
        <v>75</v>
      </c>
      <c r="O113" s="2">
        <v>42011</v>
      </c>
      <c r="P113" s="1">
        <v>25279</v>
      </c>
      <c r="Q113" s="1" t="s">
        <v>197</v>
      </c>
      <c r="R113" s="2">
        <v>42066</v>
      </c>
      <c r="S113" s="1">
        <v>253689</v>
      </c>
      <c r="U113" s="1">
        <v>1085</v>
      </c>
      <c r="V113" s="1" t="s">
        <v>1595</v>
      </c>
      <c r="W113" s="1" t="s">
        <v>264</v>
      </c>
      <c r="Y113" s="1">
        <v>6</v>
      </c>
      <c r="Z113" s="1" t="s">
        <v>249</v>
      </c>
      <c r="AA113" s="1" t="s">
        <v>964</v>
      </c>
      <c r="AB113" s="1">
        <v>60189</v>
      </c>
      <c r="AD113" s="1" t="s">
        <v>1354</v>
      </c>
      <c r="AE113" s="1" t="s">
        <v>2286</v>
      </c>
      <c r="AF113" s="1">
        <v>1984</v>
      </c>
      <c r="AG113" s="1" t="s">
        <v>204</v>
      </c>
      <c r="AH113" s="1" t="s">
        <v>967</v>
      </c>
      <c r="AI113" s="1" t="s">
        <v>206</v>
      </c>
      <c r="AJ113" s="1" t="s">
        <v>207</v>
      </c>
      <c r="AK113" s="1" t="s">
        <v>2287</v>
      </c>
      <c r="AL113" s="1">
        <v>7</v>
      </c>
      <c r="AM113" s="1">
        <v>2</v>
      </c>
      <c r="AN113" s="1">
        <v>2</v>
      </c>
      <c r="AO113" s="1">
        <v>1</v>
      </c>
      <c r="AP113" s="1" t="s">
        <v>209</v>
      </c>
      <c r="AQ113" s="1">
        <v>1</v>
      </c>
      <c r="AR113" s="1" t="s">
        <v>210</v>
      </c>
      <c r="AS113" s="1" t="s">
        <v>204</v>
      </c>
      <c r="AT113" s="1" t="s">
        <v>211</v>
      </c>
      <c r="AU113" s="1">
        <v>2</v>
      </c>
      <c r="AW113" s="1" t="s">
        <v>204</v>
      </c>
      <c r="AX113" s="1" t="s">
        <v>212</v>
      </c>
      <c r="AZ113" s="1">
        <v>6446</v>
      </c>
      <c r="BA113" s="1">
        <v>2013</v>
      </c>
      <c r="BB113" s="1" t="s">
        <v>599</v>
      </c>
      <c r="BE113" s="1">
        <v>1865</v>
      </c>
      <c r="BF113" s="1">
        <v>1</v>
      </c>
      <c r="BG113" s="1">
        <v>0</v>
      </c>
      <c r="BJ113" s="1">
        <v>100</v>
      </c>
      <c r="BL113" s="1">
        <v>228</v>
      </c>
      <c r="BM113" s="1" t="s">
        <v>204</v>
      </c>
      <c r="BN113" s="1" t="s">
        <v>213</v>
      </c>
      <c r="BO113" s="1" t="s">
        <v>432</v>
      </c>
      <c r="BP113" s="1" t="s">
        <v>204</v>
      </c>
      <c r="BR113" s="1" t="str">
        <f>"0519210036"</f>
        <v>0519210036</v>
      </c>
      <c r="BT113" s="1" t="s">
        <v>2288</v>
      </c>
      <c r="BU113" s="1" t="s">
        <v>1327</v>
      </c>
      <c r="BV113" s="1" t="s">
        <v>970</v>
      </c>
      <c r="BW113" s="1" t="s">
        <v>971</v>
      </c>
      <c r="BX113" s="1">
        <v>200</v>
      </c>
      <c r="BY113" s="1">
        <v>200</v>
      </c>
      <c r="BZ113" s="1">
        <v>200</v>
      </c>
      <c r="CB113" s="1" t="str">
        <f t="shared" ref="CB113:CC113" si="87">""</f>
        <v/>
      </c>
      <c r="CC113" s="1" t="str">
        <f t="shared" si="87"/>
        <v/>
      </c>
      <c r="CG113" s="1" t="s">
        <v>885</v>
      </c>
      <c r="CH113" s="1" t="s">
        <v>219</v>
      </c>
      <c r="CI113" s="1" t="s">
        <v>220</v>
      </c>
      <c r="CJ113" s="1" t="s">
        <v>463</v>
      </c>
      <c r="CK113" s="1" t="s">
        <v>278</v>
      </c>
      <c r="CL113" s="1" t="s">
        <v>219</v>
      </c>
      <c r="CM113" s="1" t="s">
        <v>220</v>
      </c>
      <c r="CO113" s="1" t="s">
        <v>379</v>
      </c>
      <c r="CP113" s="1" t="s">
        <v>219</v>
      </c>
      <c r="CQ113" s="1" t="s">
        <v>220</v>
      </c>
      <c r="CR113" s="1" t="s">
        <v>463</v>
      </c>
      <c r="CS113" s="1" t="s">
        <v>757</v>
      </c>
      <c r="CT113" s="1" t="s">
        <v>277</v>
      </c>
      <c r="CU113" s="1" t="s">
        <v>220</v>
      </c>
      <c r="CX113" s="1" t="s">
        <v>224</v>
      </c>
      <c r="DB113" s="1" t="s">
        <v>224</v>
      </c>
      <c r="DE113" s="1" t="s">
        <v>379</v>
      </c>
      <c r="DF113" s="1" t="s">
        <v>219</v>
      </c>
      <c r="DG113" s="1" t="s">
        <v>342</v>
      </c>
      <c r="DI113" s="1" t="s">
        <v>729</v>
      </c>
      <c r="DJ113" s="1" t="s">
        <v>219</v>
      </c>
      <c r="DK113" s="1" t="s">
        <v>220</v>
      </c>
      <c r="DM113" s="1" t="s">
        <v>464</v>
      </c>
      <c r="DR113" s="1" t="s">
        <v>821</v>
      </c>
      <c r="DS113" s="1" t="s">
        <v>277</v>
      </c>
      <c r="DT113" s="1" t="s">
        <v>220</v>
      </c>
      <c r="DW113" s="1" t="s">
        <v>230</v>
      </c>
      <c r="EA113" s="1" t="s">
        <v>230</v>
      </c>
      <c r="EE113" s="1" t="s">
        <v>230</v>
      </c>
      <c r="EI113" s="1" t="s">
        <v>230</v>
      </c>
      <c r="EL113" s="1" t="s">
        <v>231</v>
      </c>
      <c r="EM113" s="1" t="s">
        <v>232</v>
      </c>
      <c r="EN113" s="1" t="s">
        <v>282</v>
      </c>
      <c r="EO113" s="1" t="s">
        <v>234</v>
      </c>
      <c r="EP113" s="1" t="s">
        <v>2289</v>
      </c>
      <c r="EQ113" s="1" t="s">
        <v>2290</v>
      </c>
      <c r="ER113" s="1" t="s">
        <v>1069</v>
      </c>
      <c r="ES113" s="1" t="s">
        <v>322</v>
      </c>
      <c r="ET113" s="1" t="s">
        <v>842</v>
      </c>
      <c r="EU113" s="1" t="s">
        <v>843</v>
      </c>
      <c r="EV113" s="1" t="s">
        <v>324</v>
      </c>
      <c r="EW113" s="1" t="s">
        <v>353</v>
      </c>
      <c r="EY113" s="1" t="s">
        <v>242</v>
      </c>
      <c r="EZ113" s="1" t="s">
        <v>464</v>
      </c>
      <c r="FA113" s="1" t="s">
        <v>2291</v>
      </c>
      <c r="FB113" s="1" t="s">
        <v>289</v>
      </c>
      <c r="FC113" s="1" t="s">
        <v>548</v>
      </c>
      <c r="FD113" s="1" t="s">
        <v>246</v>
      </c>
      <c r="FE113" s="1" t="s">
        <v>386</v>
      </c>
      <c r="FF113" s="1" t="s">
        <v>1113</v>
      </c>
      <c r="FG113" s="1" t="s">
        <v>2292</v>
      </c>
      <c r="FH113" s="1" t="s">
        <v>550</v>
      </c>
      <c r="FI113" s="1" t="s">
        <v>473</v>
      </c>
      <c r="FL113" s="1" t="s">
        <v>358</v>
      </c>
      <c r="FM113" s="1" t="s">
        <v>252</v>
      </c>
      <c r="FN113" s="1" t="s">
        <v>213</v>
      </c>
      <c r="FO113" s="1" t="s">
        <v>213</v>
      </c>
      <c r="FQ113" s="1" t="s">
        <v>2293</v>
      </c>
      <c r="FR113" s="1" t="s">
        <v>210</v>
      </c>
      <c r="FS113" s="1" t="s">
        <v>2294</v>
      </c>
      <c r="FT113" s="1" t="s">
        <v>2295</v>
      </c>
      <c r="FU113" s="1" t="s">
        <v>204</v>
      </c>
      <c r="FW113" s="1" t="s">
        <v>1559</v>
      </c>
      <c r="FX113" s="1">
        <v>25279</v>
      </c>
      <c r="FY113" s="1" t="s">
        <v>2296</v>
      </c>
      <c r="FZ113" s="1" t="s">
        <v>2297</v>
      </c>
      <c r="GA113" s="1">
        <v>253689</v>
      </c>
      <c r="GB113" s="1" t="s">
        <v>2298</v>
      </c>
      <c r="GD113" s="1" t="s">
        <v>2299</v>
      </c>
      <c r="GE113" s="1" t="s">
        <v>1333</v>
      </c>
      <c r="GI113" s="1" t="s">
        <v>213</v>
      </c>
      <c r="GJ113" s="1" t="s">
        <v>260</v>
      </c>
      <c r="GK113" s="1" t="s">
        <v>210</v>
      </c>
      <c r="GL113" s="2">
        <v>42066</v>
      </c>
      <c r="GM113" s="1" t="s">
        <v>2300</v>
      </c>
    </row>
    <row r="114" spans="1:195">
      <c r="A114" s="1">
        <v>57500</v>
      </c>
      <c r="B114" s="1" t="s">
        <v>195</v>
      </c>
      <c r="C114" s="1" t="str">
        <f>"08765795"</f>
        <v>08765795</v>
      </c>
      <c r="D114" s="1" t="s">
        <v>196</v>
      </c>
      <c r="F114" s="1" t="str">
        <f>"176"</f>
        <v>176</v>
      </c>
      <c r="G114" s="2">
        <v>41943</v>
      </c>
      <c r="H114" s="1">
        <v>54900</v>
      </c>
      <c r="I114" s="1">
        <v>54900</v>
      </c>
      <c r="J114" s="1">
        <v>57500</v>
      </c>
      <c r="K114" s="2">
        <v>41942</v>
      </c>
      <c r="L114" s="1">
        <v>9</v>
      </c>
      <c r="M114" s="2">
        <v>41950</v>
      </c>
      <c r="N114" s="1">
        <v>9</v>
      </c>
      <c r="O114" s="2">
        <v>41950</v>
      </c>
      <c r="P114" s="1">
        <v>16795</v>
      </c>
      <c r="Q114" s="1" t="s">
        <v>302</v>
      </c>
      <c r="R114" s="2">
        <v>41982</v>
      </c>
      <c r="S114" s="1">
        <v>874246</v>
      </c>
      <c r="U114" s="1">
        <v>4616</v>
      </c>
      <c r="V114" s="1" t="s">
        <v>2301</v>
      </c>
      <c r="W114" s="1" t="s">
        <v>1056</v>
      </c>
      <c r="X114" s="1" t="s">
        <v>1382</v>
      </c>
      <c r="Y114" s="1">
        <v>9</v>
      </c>
      <c r="Z114" s="1" t="s">
        <v>249</v>
      </c>
      <c r="AA114" s="1" t="s">
        <v>306</v>
      </c>
      <c r="AB114" s="1">
        <v>60176</v>
      </c>
      <c r="AE114" s="1" t="s">
        <v>2302</v>
      </c>
      <c r="AF114" s="1">
        <v>1965</v>
      </c>
      <c r="AG114" s="1" t="s">
        <v>213</v>
      </c>
      <c r="AH114" s="1" t="s">
        <v>309</v>
      </c>
      <c r="AI114" s="1" t="s">
        <v>310</v>
      </c>
      <c r="AJ114" s="1" t="s">
        <v>311</v>
      </c>
      <c r="AK114" s="1" t="s">
        <v>2303</v>
      </c>
      <c r="AL114" s="1">
        <v>5</v>
      </c>
      <c r="AM114" s="1">
        <v>2</v>
      </c>
      <c r="AN114" s="1">
        <v>1</v>
      </c>
      <c r="AO114" s="1">
        <v>0</v>
      </c>
      <c r="AP114" s="1" t="s">
        <v>210</v>
      </c>
      <c r="AR114" s="1" t="s">
        <v>210</v>
      </c>
      <c r="AS114" s="1" t="s">
        <v>204</v>
      </c>
      <c r="AT114" s="1" t="s">
        <v>271</v>
      </c>
      <c r="AV114" s="1">
        <v>1</v>
      </c>
      <c r="AW114" s="1" t="s">
        <v>204</v>
      </c>
      <c r="AX114" s="1" t="s">
        <v>212</v>
      </c>
      <c r="AZ114" s="3">
        <v>2760</v>
      </c>
      <c r="BA114" s="1">
        <v>2013</v>
      </c>
      <c r="BB114" s="1" t="s">
        <v>210</v>
      </c>
      <c r="BE114" s="1">
        <v>925</v>
      </c>
      <c r="BF114" s="1">
        <v>1</v>
      </c>
      <c r="BG114" s="1">
        <v>0</v>
      </c>
      <c r="BJ114" s="1">
        <v>100</v>
      </c>
      <c r="BL114" s="1">
        <v>219</v>
      </c>
      <c r="BM114" s="1" t="s">
        <v>204</v>
      </c>
      <c r="BN114" s="1" t="s">
        <v>213</v>
      </c>
      <c r="BO114" s="1">
        <v>10</v>
      </c>
      <c r="BP114" s="1" t="s">
        <v>204</v>
      </c>
      <c r="BR114" s="1" t="str">
        <f>"12151160491021"</f>
        <v>12151160491021</v>
      </c>
      <c r="BT114" s="1" t="s">
        <v>2304</v>
      </c>
      <c r="BU114" s="1" t="s">
        <v>2305</v>
      </c>
      <c r="BV114" s="1" t="s">
        <v>2306</v>
      </c>
      <c r="BW114" s="1" t="s">
        <v>313</v>
      </c>
      <c r="BX114" s="1">
        <v>81</v>
      </c>
      <c r="BY114" s="1">
        <v>81</v>
      </c>
      <c r="BZ114" s="1">
        <v>212</v>
      </c>
      <c r="CB114" s="1" t="str">
        <f>"4616"</f>
        <v>4616</v>
      </c>
      <c r="CC114" s="1" t="str">
        <f>"0"</f>
        <v>0</v>
      </c>
      <c r="CD114" s="1">
        <v>9400</v>
      </c>
      <c r="CE114" s="1">
        <v>0</v>
      </c>
      <c r="CG114" s="1" t="s">
        <v>2307</v>
      </c>
      <c r="CH114" s="1" t="s">
        <v>219</v>
      </c>
      <c r="CI114" s="1" t="s">
        <v>226</v>
      </c>
      <c r="CK114" s="1" t="s">
        <v>317</v>
      </c>
      <c r="CL114" s="1" t="s">
        <v>219</v>
      </c>
      <c r="CM114" s="1" t="s">
        <v>438</v>
      </c>
      <c r="CO114" s="1" t="s">
        <v>629</v>
      </c>
      <c r="CP114" s="1" t="s">
        <v>219</v>
      </c>
      <c r="CQ114" s="1" t="s">
        <v>226</v>
      </c>
      <c r="CS114" s="1" t="s">
        <v>465</v>
      </c>
      <c r="CT114" s="1" t="s">
        <v>219</v>
      </c>
      <c r="CU114" s="1" t="s">
        <v>438</v>
      </c>
      <c r="CX114" s="1" t="s">
        <v>224</v>
      </c>
      <c r="DB114" s="1" t="s">
        <v>224</v>
      </c>
      <c r="DE114" s="1" t="s">
        <v>2308</v>
      </c>
      <c r="DF114" s="1" t="s">
        <v>219</v>
      </c>
      <c r="DG114" s="1" t="s">
        <v>226</v>
      </c>
      <c r="DJ114" s="1" t="s">
        <v>224</v>
      </c>
      <c r="DS114" s="1" t="s">
        <v>230</v>
      </c>
      <c r="DW114" s="1" t="s">
        <v>230</v>
      </c>
      <c r="EA114" s="1" t="s">
        <v>230</v>
      </c>
      <c r="EE114" s="1" t="s">
        <v>230</v>
      </c>
      <c r="EI114" s="1" t="s">
        <v>230</v>
      </c>
      <c r="EL114" s="1" t="s">
        <v>605</v>
      </c>
      <c r="EM114" s="1" t="s">
        <v>232</v>
      </c>
      <c r="EN114" s="1" t="s">
        <v>282</v>
      </c>
      <c r="EO114" s="1" t="s">
        <v>234</v>
      </c>
      <c r="EP114" s="1" t="s">
        <v>1283</v>
      </c>
      <c r="ER114" s="1" t="s">
        <v>210</v>
      </c>
      <c r="ES114" s="1" t="s">
        <v>545</v>
      </c>
      <c r="EU114" s="1" t="s">
        <v>239</v>
      </c>
      <c r="EV114" s="1" t="s">
        <v>240</v>
      </c>
      <c r="EW114" s="1" t="s">
        <v>286</v>
      </c>
      <c r="EY114" s="1" t="s">
        <v>790</v>
      </c>
      <c r="EZ114" s="1" t="s">
        <v>287</v>
      </c>
      <c r="FB114" s="1" t="s">
        <v>289</v>
      </c>
      <c r="FC114" s="1" t="s">
        <v>1386</v>
      </c>
      <c r="FD114" s="1" t="s">
        <v>888</v>
      </c>
      <c r="FE114" s="1" t="s">
        <v>247</v>
      </c>
      <c r="FF114" s="1" t="s">
        <v>248</v>
      </c>
      <c r="FH114" s="1" t="s">
        <v>249</v>
      </c>
      <c r="FK114" s="1" t="s">
        <v>2309</v>
      </c>
      <c r="FL114" s="1" t="s">
        <v>358</v>
      </c>
      <c r="FM114" s="1" t="s">
        <v>252</v>
      </c>
      <c r="FN114" s="1" t="s">
        <v>213</v>
      </c>
      <c r="FO114" s="1" t="s">
        <v>213</v>
      </c>
      <c r="FQ114" s="1" t="s">
        <v>253</v>
      </c>
      <c r="FR114" s="1" t="s">
        <v>210</v>
      </c>
      <c r="FS114" s="1" t="s">
        <v>2310</v>
      </c>
      <c r="FT114" s="1" t="s">
        <v>295</v>
      </c>
      <c r="FU114" s="1" t="s">
        <v>204</v>
      </c>
      <c r="FW114" s="1" t="s">
        <v>1637</v>
      </c>
      <c r="FX114" s="1">
        <v>8055</v>
      </c>
      <c r="FY114" s="1" t="s">
        <v>1728</v>
      </c>
      <c r="FZ114" s="1" t="s">
        <v>2311</v>
      </c>
      <c r="GA114" s="1">
        <v>82542</v>
      </c>
      <c r="GB114" s="1" t="s">
        <v>2312</v>
      </c>
      <c r="GC114" s="1">
        <v>28359</v>
      </c>
      <c r="GE114" s="1" t="s">
        <v>210</v>
      </c>
      <c r="GH114" s="1" t="s">
        <v>230</v>
      </c>
      <c r="GI114" s="1" t="s">
        <v>213</v>
      </c>
      <c r="GJ114" s="1" t="s">
        <v>260</v>
      </c>
      <c r="GK114" s="1" t="s">
        <v>210</v>
      </c>
      <c r="GL114" s="2">
        <v>41990</v>
      </c>
      <c r="GM114" s="1" t="s">
        <v>2313</v>
      </c>
    </row>
    <row r="115" spans="1:195">
      <c r="A115" s="1">
        <v>128900</v>
      </c>
      <c r="B115" s="1" t="s">
        <v>195</v>
      </c>
      <c r="C115" s="1" t="str">
        <f>"08761813"</f>
        <v>08761813</v>
      </c>
      <c r="D115" s="1" t="s">
        <v>196</v>
      </c>
      <c r="F115" s="1" t="str">
        <f>"186"</f>
        <v>186</v>
      </c>
      <c r="G115" s="2">
        <v>41938</v>
      </c>
      <c r="H115" s="1">
        <v>132500</v>
      </c>
      <c r="I115" s="1">
        <v>129900</v>
      </c>
      <c r="J115" s="1">
        <v>128900</v>
      </c>
      <c r="K115" s="2">
        <v>41937</v>
      </c>
      <c r="L115" s="1">
        <v>119</v>
      </c>
      <c r="M115" s="2">
        <v>42055</v>
      </c>
      <c r="N115" s="1">
        <v>119</v>
      </c>
      <c r="O115" s="2">
        <v>42055</v>
      </c>
      <c r="P115" s="1">
        <v>25669</v>
      </c>
      <c r="Q115" s="1" t="s">
        <v>423</v>
      </c>
      <c r="R115" s="2">
        <v>42111</v>
      </c>
      <c r="S115" s="1">
        <v>236507</v>
      </c>
      <c r="T115" s="1">
        <v>2500</v>
      </c>
      <c r="U115" s="1" t="s">
        <v>2314</v>
      </c>
      <c r="V115" s="1" t="s">
        <v>2315</v>
      </c>
      <c r="W115" s="1" t="s">
        <v>504</v>
      </c>
      <c r="Y115" s="1">
        <v>6</v>
      </c>
      <c r="Z115" s="1" t="s">
        <v>200</v>
      </c>
      <c r="AA115" s="1" t="s">
        <v>2099</v>
      </c>
      <c r="AB115" s="1">
        <v>60181</v>
      </c>
      <c r="AE115" s="1" t="s">
        <v>2316</v>
      </c>
      <c r="AF115" s="1">
        <v>1968</v>
      </c>
      <c r="AG115" s="1" t="s">
        <v>213</v>
      </c>
      <c r="AH115" s="1" t="s">
        <v>882</v>
      </c>
      <c r="AI115" s="1" t="s">
        <v>206</v>
      </c>
      <c r="AJ115" s="1" t="s">
        <v>1608</v>
      </c>
      <c r="AL115" s="1">
        <v>5</v>
      </c>
      <c r="AM115" s="1">
        <v>2</v>
      </c>
      <c r="AN115" s="1">
        <v>1</v>
      </c>
      <c r="AO115" s="1">
        <v>1</v>
      </c>
      <c r="AP115" s="1" t="s">
        <v>210</v>
      </c>
      <c r="AR115" s="1" t="s">
        <v>209</v>
      </c>
      <c r="AS115" s="1" t="s">
        <v>204</v>
      </c>
      <c r="AT115" s="1" t="s">
        <v>271</v>
      </c>
      <c r="AV115" s="1">
        <v>1</v>
      </c>
      <c r="AW115" s="1" t="s">
        <v>204</v>
      </c>
      <c r="AX115" s="1" t="s">
        <v>2317</v>
      </c>
      <c r="AZ115" s="1">
        <v>1310</v>
      </c>
      <c r="BA115" s="1">
        <v>2013</v>
      </c>
      <c r="BE115" s="1">
        <v>0</v>
      </c>
      <c r="BF115" s="1">
        <v>1</v>
      </c>
      <c r="BG115" s="1">
        <v>0</v>
      </c>
      <c r="BJ115" s="1">
        <v>85</v>
      </c>
      <c r="BL115" s="1">
        <v>186</v>
      </c>
      <c r="BM115" s="1" t="s">
        <v>204</v>
      </c>
      <c r="BN115" s="1" t="s">
        <v>213</v>
      </c>
      <c r="BO115" s="1">
        <v>999</v>
      </c>
      <c r="BP115" s="1" t="s">
        <v>204</v>
      </c>
      <c r="BR115" s="1" t="str">
        <f>"0621211101"</f>
        <v>0621211101</v>
      </c>
      <c r="BT115" s="1" t="s">
        <v>2318</v>
      </c>
      <c r="BX115" s="1">
        <v>45</v>
      </c>
      <c r="BY115" s="1">
        <v>45</v>
      </c>
      <c r="BZ115" s="1">
        <v>88</v>
      </c>
      <c r="CB115" s="1" t="str">
        <f t="shared" ref="CB115:CC115" si="88">""</f>
        <v/>
      </c>
      <c r="CC115" s="1" t="str">
        <f t="shared" si="88"/>
        <v/>
      </c>
      <c r="CG115" s="1" t="s">
        <v>538</v>
      </c>
      <c r="CH115" s="1" t="s">
        <v>219</v>
      </c>
      <c r="CI115" s="1" t="s">
        <v>438</v>
      </c>
      <c r="CK115" s="1" t="s">
        <v>278</v>
      </c>
      <c r="CL115" s="1" t="s">
        <v>277</v>
      </c>
      <c r="CO115" s="1" t="s">
        <v>281</v>
      </c>
      <c r="CP115" s="1" t="s">
        <v>219</v>
      </c>
      <c r="CQ115" s="1" t="s">
        <v>438</v>
      </c>
      <c r="CS115" s="1" t="s">
        <v>837</v>
      </c>
      <c r="CT115" s="1" t="s">
        <v>277</v>
      </c>
      <c r="CX115" s="1" t="s">
        <v>224</v>
      </c>
      <c r="DB115" s="1" t="s">
        <v>224</v>
      </c>
      <c r="DE115" s="1" t="s">
        <v>2308</v>
      </c>
      <c r="DF115" s="1" t="s">
        <v>219</v>
      </c>
      <c r="DG115" s="1" t="s">
        <v>226</v>
      </c>
      <c r="DJ115" s="1" t="s">
        <v>224</v>
      </c>
      <c r="DM115" s="1" t="s">
        <v>347</v>
      </c>
      <c r="DR115" s="1" t="s">
        <v>437</v>
      </c>
      <c r="DS115" s="1" t="s">
        <v>43</v>
      </c>
      <c r="DT115" s="1" t="s">
        <v>220</v>
      </c>
      <c r="DW115" s="1" t="s">
        <v>230</v>
      </c>
      <c r="EA115" s="1" t="s">
        <v>230</v>
      </c>
      <c r="EE115" s="1" t="s">
        <v>230</v>
      </c>
      <c r="EI115" s="1" t="s">
        <v>230</v>
      </c>
      <c r="EL115" s="1" t="s">
        <v>605</v>
      </c>
      <c r="EM115" s="1" t="s">
        <v>232</v>
      </c>
      <c r="EN115" s="1" t="s">
        <v>1158</v>
      </c>
      <c r="EO115" s="1" t="s">
        <v>234</v>
      </c>
      <c r="EQ115" s="1" t="s">
        <v>2319</v>
      </c>
      <c r="ER115" s="1" t="s">
        <v>351</v>
      </c>
      <c r="EV115" s="1" t="s">
        <v>352</v>
      </c>
      <c r="EW115" s="1" t="s">
        <v>1679</v>
      </c>
      <c r="EZ115" s="1" t="s">
        <v>347</v>
      </c>
      <c r="FA115" s="1" t="s">
        <v>471</v>
      </c>
      <c r="FB115" s="1" t="s">
        <v>1755</v>
      </c>
      <c r="FD115" s="1" t="s">
        <v>246</v>
      </c>
      <c r="FE115" s="1" t="s">
        <v>247</v>
      </c>
      <c r="FF115" s="1" t="s">
        <v>248</v>
      </c>
      <c r="FH115" s="1" t="s">
        <v>550</v>
      </c>
      <c r="FK115" s="1" t="s">
        <v>291</v>
      </c>
      <c r="FL115" s="1" t="s">
        <v>292</v>
      </c>
      <c r="FM115" s="1" t="s">
        <v>252</v>
      </c>
      <c r="FN115" s="1" t="s">
        <v>213</v>
      </c>
      <c r="FO115" s="1" t="s">
        <v>213</v>
      </c>
      <c r="FQ115" s="1" t="s">
        <v>329</v>
      </c>
      <c r="FR115" s="1" t="s">
        <v>210</v>
      </c>
      <c r="FS115" s="1" t="s">
        <v>2320</v>
      </c>
      <c r="FT115" s="1" t="s">
        <v>1182</v>
      </c>
      <c r="FU115" s="1" t="s">
        <v>204</v>
      </c>
      <c r="FW115" s="1" t="s">
        <v>2321</v>
      </c>
      <c r="FX115" s="1">
        <v>25505</v>
      </c>
      <c r="FY115" s="1" t="s">
        <v>2322</v>
      </c>
      <c r="FZ115" s="1" t="s">
        <v>2323</v>
      </c>
      <c r="GA115" s="1">
        <v>244918</v>
      </c>
      <c r="GB115" s="1" t="s">
        <v>2322</v>
      </c>
      <c r="GE115" s="1" t="s">
        <v>335</v>
      </c>
      <c r="GI115" s="1" t="s">
        <v>213</v>
      </c>
      <c r="GJ115" s="1" t="s">
        <v>260</v>
      </c>
      <c r="GK115" s="1" t="s">
        <v>210</v>
      </c>
      <c r="GL115" s="2">
        <v>42112</v>
      </c>
      <c r="GM115" s="1" t="s">
        <v>2324</v>
      </c>
    </row>
    <row r="116" spans="1:195">
      <c r="A116" s="1">
        <v>209000</v>
      </c>
      <c r="B116" s="1" t="s">
        <v>195</v>
      </c>
      <c r="C116" s="1" t="str">
        <f>"08764727"</f>
        <v>08764727</v>
      </c>
      <c r="D116" s="1" t="s">
        <v>196</v>
      </c>
      <c r="F116" s="1" t="str">
        <f>"531"</f>
        <v>531</v>
      </c>
      <c r="G116" s="2">
        <v>41941</v>
      </c>
      <c r="H116" s="1">
        <v>225000</v>
      </c>
      <c r="I116" s="1">
        <v>220000</v>
      </c>
      <c r="J116" s="1">
        <v>209000</v>
      </c>
      <c r="K116" s="2">
        <v>41940</v>
      </c>
      <c r="L116" s="1">
        <v>128</v>
      </c>
      <c r="M116" s="2">
        <v>42067</v>
      </c>
      <c r="N116" s="1">
        <v>128</v>
      </c>
      <c r="O116" s="2">
        <v>42067</v>
      </c>
      <c r="P116" s="1">
        <v>24113</v>
      </c>
      <c r="Q116" s="1" t="s">
        <v>197</v>
      </c>
      <c r="R116" s="2">
        <v>42103</v>
      </c>
      <c r="S116" s="1">
        <v>228577</v>
      </c>
      <c r="U116" s="1">
        <v>7219</v>
      </c>
      <c r="V116" s="1" t="s">
        <v>2325</v>
      </c>
      <c r="W116" s="1" t="s">
        <v>264</v>
      </c>
      <c r="Y116" s="1">
        <v>5</v>
      </c>
      <c r="Z116" s="1" t="s">
        <v>370</v>
      </c>
      <c r="AA116" s="1" t="s">
        <v>2326</v>
      </c>
      <c r="AB116" s="1">
        <v>60525</v>
      </c>
      <c r="AD116" s="1" t="s">
        <v>2327</v>
      </c>
      <c r="AE116" s="1" t="s">
        <v>2328</v>
      </c>
      <c r="AF116" s="1">
        <v>1999</v>
      </c>
      <c r="AG116" s="1" t="s">
        <v>204</v>
      </c>
      <c r="AH116" s="1" t="s">
        <v>2329</v>
      </c>
      <c r="AI116" s="1" t="s">
        <v>310</v>
      </c>
      <c r="AJ116" s="1" t="s">
        <v>702</v>
      </c>
      <c r="AL116" s="1">
        <v>6</v>
      </c>
      <c r="AM116" s="1">
        <v>2</v>
      </c>
      <c r="AN116" s="1">
        <v>2</v>
      </c>
      <c r="AO116" s="1">
        <v>0</v>
      </c>
      <c r="AP116" s="1" t="s">
        <v>209</v>
      </c>
      <c r="AR116" s="1" t="s">
        <v>1483</v>
      </c>
      <c r="AS116" s="1" t="s">
        <v>213</v>
      </c>
      <c r="AT116" s="1" t="s">
        <v>211</v>
      </c>
      <c r="AU116" s="1">
        <v>2</v>
      </c>
      <c r="AW116" s="1" t="s">
        <v>204</v>
      </c>
      <c r="AX116" s="1" t="s">
        <v>212</v>
      </c>
      <c r="AZ116" s="1">
        <v>5019</v>
      </c>
      <c r="BA116" s="1">
        <v>2013</v>
      </c>
      <c r="BB116" s="1" t="s">
        <v>210</v>
      </c>
      <c r="BE116" s="1">
        <v>1052</v>
      </c>
      <c r="BF116" s="1">
        <v>1</v>
      </c>
      <c r="BG116" s="1">
        <v>10</v>
      </c>
      <c r="BL116" s="1">
        <v>220</v>
      </c>
      <c r="BM116" s="1" t="s">
        <v>204</v>
      </c>
      <c r="BN116" s="1" t="s">
        <v>213</v>
      </c>
      <c r="BO116" s="1">
        <v>999</v>
      </c>
      <c r="BP116" s="1" t="s">
        <v>204</v>
      </c>
      <c r="BR116" s="1" t="str">
        <f>"18291010650000"</f>
        <v>18291010650000</v>
      </c>
      <c r="BT116" s="1" t="s">
        <v>2330</v>
      </c>
      <c r="BX116" s="1">
        <v>107</v>
      </c>
      <c r="BY116" s="1">
        <v>107</v>
      </c>
      <c r="BZ116" s="1">
        <v>204</v>
      </c>
      <c r="CB116" s="1" t="str">
        <f t="shared" ref="CB116:CC116" si="89">""</f>
        <v/>
      </c>
      <c r="CC116" s="1" t="str">
        <f t="shared" si="89"/>
        <v/>
      </c>
      <c r="CG116" s="1" t="s">
        <v>490</v>
      </c>
      <c r="CH116" s="1" t="s">
        <v>219</v>
      </c>
      <c r="CI116" s="1" t="s">
        <v>220</v>
      </c>
      <c r="CJ116" s="1" t="s">
        <v>343</v>
      </c>
      <c r="CK116" s="1" t="s">
        <v>315</v>
      </c>
      <c r="CL116" s="1" t="s">
        <v>219</v>
      </c>
      <c r="CM116" s="1" t="s">
        <v>220</v>
      </c>
      <c r="CN116" s="1" t="s">
        <v>439</v>
      </c>
      <c r="CO116" s="1" t="s">
        <v>408</v>
      </c>
      <c r="CP116" s="1" t="s">
        <v>219</v>
      </c>
      <c r="CQ116" s="1" t="s">
        <v>220</v>
      </c>
      <c r="CR116" s="1" t="s">
        <v>343</v>
      </c>
      <c r="CS116" s="1" t="s">
        <v>346</v>
      </c>
      <c r="CT116" s="1" t="s">
        <v>219</v>
      </c>
      <c r="CU116" s="1" t="s">
        <v>220</v>
      </c>
      <c r="CV116" s="1" t="s">
        <v>439</v>
      </c>
      <c r="CX116" s="1" t="s">
        <v>224</v>
      </c>
      <c r="DB116" s="1" t="s">
        <v>224</v>
      </c>
      <c r="DE116" s="1" t="s">
        <v>346</v>
      </c>
      <c r="DF116" s="1" t="s">
        <v>219</v>
      </c>
      <c r="DG116" s="1" t="s">
        <v>342</v>
      </c>
      <c r="DH116" s="1" t="s">
        <v>210</v>
      </c>
      <c r="DI116" s="1" t="s">
        <v>1803</v>
      </c>
      <c r="DJ116" s="1" t="s">
        <v>822</v>
      </c>
      <c r="DK116" s="1" t="s">
        <v>220</v>
      </c>
      <c r="DL116" s="1" t="s">
        <v>343</v>
      </c>
      <c r="DS116" s="1" t="s">
        <v>230</v>
      </c>
      <c r="DW116" s="1" t="s">
        <v>230</v>
      </c>
      <c r="EA116" s="1" t="s">
        <v>230</v>
      </c>
      <c r="EE116" s="1" t="s">
        <v>230</v>
      </c>
      <c r="EI116" s="1" t="s">
        <v>230</v>
      </c>
      <c r="EL116" s="1" t="s">
        <v>670</v>
      </c>
      <c r="EM116" s="1" t="s">
        <v>232</v>
      </c>
      <c r="EN116" s="1" t="s">
        <v>282</v>
      </c>
      <c r="EO116" s="1" t="s">
        <v>234</v>
      </c>
      <c r="EP116" s="1" t="s">
        <v>2331</v>
      </c>
      <c r="EQ116" s="1" t="s">
        <v>236</v>
      </c>
      <c r="ER116" s="1" t="s">
        <v>823</v>
      </c>
      <c r="ES116" s="1" t="s">
        <v>322</v>
      </c>
      <c r="ET116" s="1" t="s">
        <v>842</v>
      </c>
      <c r="EU116" s="1" t="s">
        <v>610</v>
      </c>
      <c r="EV116" s="1" t="s">
        <v>2332</v>
      </c>
      <c r="EW116" s="1" t="s">
        <v>353</v>
      </c>
      <c r="EY116" s="1" t="s">
        <v>242</v>
      </c>
      <c r="EZ116" s="1" t="s">
        <v>287</v>
      </c>
      <c r="FA116" s="1" t="s">
        <v>2333</v>
      </c>
      <c r="FB116" s="1" t="s">
        <v>289</v>
      </c>
      <c r="FD116" s="1" t="s">
        <v>495</v>
      </c>
      <c r="FE116" s="1" t="s">
        <v>975</v>
      </c>
      <c r="FF116" s="1" t="s">
        <v>387</v>
      </c>
      <c r="FH116" s="1" t="s">
        <v>550</v>
      </c>
      <c r="FI116" s="1" t="s">
        <v>473</v>
      </c>
      <c r="FL116" s="1" t="s">
        <v>358</v>
      </c>
      <c r="FM116" s="1" t="s">
        <v>252</v>
      </c>
      <c r="FN116" s="1" t="s">
        <v>213</v>
      </c>
      <c r="FO116" s="1" t="s">
        <v>213</v>
      </c>
      <c r="FQ116" s="1" t="s">
        <v>2334</v>
      </c>
      <c r="FR116" s="1" t="s">
        <v>210</v>
      </c>
      <c r="FS116" s="1" t="s">
        <v>2335</v>
      </c>
      <c r="FT116" s="1" t="s">
        <v>1182</v>
      </c>
      <c r="FU116" s="1" t="s">
        <v>204</v>
      </c>
      <c r="FW116" s="1" t="s">
        <v>1652</v>
      </c>
      <c r="FX116" s="1">
        <v>25622</v>
      </c>
      <c r="FY116" s="1" t="s">
        <v>2336</v>
      </c>
      <c r="FZ116" s="1" t="s">
        <v>2337</v>
      </c>
      <c r="GA116" s="1">
        <v>603726</v>
      </c>
      <c r="GB116" s="1" t="s">
        <v>2338</v>
      </c>
      <c r="GD116" s="1" t="s">
        <v>2339</v>
      </c>
      <c r="GE116" s="1" t="s">
        <v>1764</v>
      </c>
      <c r="GI116" s="1" t="s">
        <v>213</v>
      </c>
      <c r="GJ116" s="1" t="s">
        <v>260</v>
      </c>
      <c r="GK116" s="1" t="s">
        <v>210</v>
      </c>
      <c r="GL116" s="2">
        <v>42103</v>
      </c>
      <c r="GM116" s="1" t="s">
        <v>2340</v>
      </c>
    </row>
    <row r="117" spans="1:195">
      <c r="A117" s="1">
        <v>73000</v>
      </c>
      <c r="B117" s="1" t="s">
        <v>195</v>
      </c>
      <c r="C117" s="1" t="str">
        <f>"08765050"</f>
        <v>08765050</v>
      </c>
      <c r="D117" s="1" t="s">
        <v>196</v>
      </c>
      <c r="F117" s="1" t="str">
        <f>"515"</f>
        <v>515</v>
      </c>
      <c r="G117" s="2">
        <v>41942</v>
      </c>
      <c r="H117" s="1">
        <v>78700</v>
      </c>
      <c r="I117" s="1">
        <v>74800</v>
      </c>
      <c r="J117" s="1">
        <v>73000</v>
      </c>
      <c r="K117" s="2">
        <v>41940</v>
      </c>
      <c r="L117" s="1">
        <v>57</v>
      </c>
      <c r="M117" s="2">
        <v>41996</v>
      </c>
      <c r="N117" s="1">
        <v>57</v>
      </c>
      <c r="O117" s="2">
        <v>41996</v>
      </c>
      <c r="P117" s="1">
        <v>84025</v>
      </c>
      <c r="Q117" s="1" t="s">
        <v>197</v>
      </c>
      <c r="R117" s="2">
        <v>42033</v>
      </c>
      <c r="S117" s="1">
        <v>107836</v>
      </c>
      <c r="U117" s="1">
        <v>7930</v>
      </c>
      <c r="V117" s="1" t="s">
        <v>2341</v>
      </c>
      <c r="W117" s="1" t="s">
        <v>504</v>
      </c>
      <c r="X117" s="1">
        <v>110</v>
      </c>
      <c r="Y117" s="1">
        <v>20</v>
      </c>
      <c r="Z117" s="1" t="s">
        <v>249</v>
      </c>
      <c r="AA117" s="1" t="s">
        <v>1294</v>
      </c>
      <c r="AB117" s="1">
        <v>60516</v>
      </c>
      <c r="AE117" s="1" t="s">
        <v>2342</v>
      </c>
      <c r="AF117" s="1">
        <v>1969</v>
      </c>
      <c r="AG117" s="1" t="s">
        <v>213</v>
      </c>
      <c r="AH117" s="1" t="s">
        <v>903</v>
      </c>
      <c r="AI117" s="1" t="s">
        <v>206</v>
      </c>
      <c r="AJ117" s="1" t="s">
        <v>903</v>
      </c>
      <c r="AL117" s="1">
        <v>5</v>
      </c>
      <c r="AM117" s="1">
        <v>2</v>
      </c>
      <c r="AN117" s="1">
        <v>1</v>
      </c>
      <c r="AO117" s="1">
        <v>1</v>
      </c>
      <c r="AP117" s="1" t="s">
        <v>1234</v>
      </c>
      <c r="AR117" s="1" t="s">
        <v>210</v>
      </c>
      <c r="AS117" s="1" t="s">
        <v>204</v>
      </c>
      <c r="AT117" s="1" t="s">
        <v>211</v>
      </c>
      <c r="AU117" s="1">
        <v>1</v>
      </c>
      <c r="AW117" s="1" t="s">
        <v>204</v>
      </c>
      <c r="AX117" s="1" t="s">
        <v>212</v>
      </c>
      <c r="AZ117" s="1">
        <v>1506</v>
      </c>
      <c r="BA117" s="1">
        <v>2013</v>
      </c>
      <c r="BE117" s="1">
        <v>1041</v>
      </c>
      <c r="BF117" s="1">
        <v>1</v>
      </c>
      <c r="BG117" s="1">
        <v>0</v>
      </c>
      <c r="BL117" s="1">
        <v>318</v>
      </c>
      <c r="BM117" s="1" t="s">
        <v>204</v>
      </c>
      <c r="BN117" s="1" t="s">
        <v>213</v>
      </c>
      <c r="BP117" s="1" t="s">
        <v>204</v>
      </c>
      <c r="BR117" s="1" t="str">
        <f>"0932209001"</f>
        <v>0932209001</v>
      </c>
      <c r="BT117" s="1" t="s">
        <v>2343</v>
      </c>
      <c r="BX117" s="1">
        <v>66</v>
      </c>
      <c r="BY117" s="1">
        <v>66</v>
      </c>
      <c r="BZ117" s="1">
        <v>99</v>
      </c>
      <c r="CB117" s="1" t="str">
        <f t="shared" ref="CB117:CC117" si="90">""</f>
        <v/>
      </c>
      <c r="CC117" s="1" t="str">
        <f t="shared" si="90"/>
        <v/>
      </c>
      <c r="CG117" s="1" t="s">
        <v>885</v>
      </c>
      <c r="CH117" s="1" t="s">
        <v>219</v>
      </c>
      <c r="CK117" s="1" t="s">
        <v>280</v>
      </c>
      <c r="CL117" s="1" t="s">
        <v>219</v>
      </c>
      <c r="CO117" s="1" t="s">
        <v>516</v>
      </c>
      <c r="CP117" s="1" t="s">
        <v>219</v>
      </c>
      <c r="CS117" s="1" t="s">
        <v>1358</v>
      </c>
      <c r="CT117" s="1" t="s">
        <v>219</v>
      </c>
      <c r="CX117" s="1" t="s">
        <v>224</v>
      </c>
      <c r="DB117" s="1" t="s">
        <v>224</v>
      </c>
      <c r="DE117" s="1" t="s">
        <v>2308</v>
      </c>
      <c r="DF117" s="1" t="s">
        <v>219</v>
      </c>
      <c r="DJ117" s="1" t="s">
        <v>224</v>
      </c>
      <c r="DS117" s="1" t="s">
        <v>230</v>
      </c>
      <c r="DW117" s="1" t="s">
        <v>230</v>
      </c>
      <c r="EA117" s="1" t="s">
        <v>230</v>
      </c>
      <c r="EE117" s="1" t="s">
        <v>230</v>
      </c>
      <c r="EI117" s="1" t="s">
        <v>230</v>
      </c>
      <c r="EL117" s="1" t="s">
        <v>605</v>
      </c>
      <c r="EM117" s="1" t="s">
        <v>232</v>
      </c>
      <c r="EN117" s="1" t="s">
        <v>731</v>
      </c>
      <c r="EO117" s="1" t="s">
        <v>234</v>
      </c>
      <c r="ER117" s="1" t="s">
        <v>210</v>
      </c>
      <c r="EW117" s="1" t="s">
        <v>2344</v>
      </c>
      <c r="EZ117" s="1" t="s">
        <v>287</v>
      </c>
      <c r="FD117" s="1" t="s">
        <v>736</v>
      </c>
      <c r="FE117" s="1" t="s">
        <v>549</v>
      </c>
      <c r="FF117" s="1" t="s">
        <v>248</v>
      </c>
      <c r="FH117" s="1" t="s">
        <v>249</v>
      </c>
      <c r="FL117" s="1" t="s">
        <v>414</v>
      </c>
      <c r="FM117" s="1" t="s">
        <v>252</v>
      </c>
      <c r="FN117" s="1" t="s">
        <v>213</v>
      </c>
      <c r="FO117" s="1" t="s">
        <v>213</v>
      </c>
      <c r="FQ117" s="1" t="s">
        <v>2345</v>
      </c>
      <c r="FR117" s="1" t="s">
        <v>210</v>
      </c>
      <c r="FS117" s="1" t="s">
        <v>2346</v>
      </c>
      <c r="FT117" s="1" t="s">
        <v>295</v>
      </c>
      <c r="FU117" s="1" t="s">
        <v>204</v>
      </c>
      <c r="FW117" s="1" t="s">
        <v>2347</v>
      </c>
      <c r="FX117" s="1">
        <v>24728</v>
      </c>
      <c r="FY117" s="1" t="s">
        <v>2348</v>
      </c>
      <c r="FZ117" s="1" t="s">
        <v>2349</v>
      </c>
      <c r="GA117" s="1">
        <v>233142</v>
      </c>
      <c r="GB117" s="1" t="s">
        <v>2348</v>
      </c>
      <c r="GD117" s="1" t="s">
        <v>2350</v>
      </c>
      <c r="GE117" s="1" t="s">
        <v>210</v>
      </c>
      <c r="GI117" s="1" t="s">
        <v>213</v>
      </c>
      <c r="GJ117" s="1" t="s">
        <v>260</v>
      </c>
      <c r="GK117" s="1" t="s">
        <v>210</v>
      </c>
      <c r="GL117" s="2">
        <v>42062</v>
      </c>
      <c r="GM117" s="1" t="s">
        <v>2351</v>
      </c>
    </row>
    <row r="118" spans="1:195">
      <c r="A118" s="1">
        <v>139900</v>
      </c>
      <c r="B118" s="1" t="s">
        <v>195</v>
      </c>
      <c r="C118" s="1" t="str">
        <f>"08771393"</f>
        <v>08771393</v>
      </c>
      <c r="D118" s="1" t="s">
        <v>196</v>
      </c>
      <c r="F118" s="1" t="str">
        <f>"61"</f>
        <v>61</v>
      </c>
      <c r="G118" s="2">
        <v>41950</v>
      </c>
      <c r="H118" s="1">
        <v>155900</v>
      </c>
      <c r="I118" s="1">
        <v>155900</v>
      </c>
      <c r="J118" s="1">
        <v>139900</v>
      </c>
      <c r="K118" s="2">
        <v>41950</v>
      </c>
      <c r="L118" s="1">
        <v>18</v>
      </c>
      <c r="M118" s="2">
        <v>41967</v>
      </c>
      <c r="N118" s="1">
        <v>18</v>
      </c>
      <c r="O118" s="2">
        <v>41967</v>
      </c>
      <c r="P118" s="1">
        <v>10315</v>
      </c>
      <c r="Q118" s="1" t="s">
        <v>302</v>
      </c>
      <c r="R118" s="2">
        <v>42009</v>
      </c>
      <c r="S118" s="1">
        <v>108409</v>
      </c>
      <c r="U118" s="1">
        <v>384</v>
      </c>
      <c r="V118" s="1" t="s">
        <v>2352</v>
      </c>
      <c r="W118" s="1" t="s">
        <v>304</v>
      </c>
      <c r="X118" s="1">
        <v>384</v>
      </c>
      <c r="Y118" s="1">
        <v>4</v>
      </c>
      <c r="Z118" s="1" t="s">
        <v>249</v>
      </c>
      <c r="AA118" s="1" t="s">
        <v>505</v>
      </c>
      <c r="AB118" s="1">
        <v>60061</v>
      </c>
      <c r="AD118" s="1" t="s">
        <v>2353</v>
      </c>
      <c r="AE118" s="1" t="s">
        <v>2354</v>
      </c>
      <c r="AF118" s="1">
        <v>1986</v>
      </c>
      <c r="AG118" s="1" t="s">
        <v>204</v>
      </c>
      <c r="AH118" s="1" t="s">
        <v>508</v>
      </c>
      <c r="AI118" s="1" t="s">
        <v>509</v>
      </c>
      <c r="AJ118" s="1" t="s">
        <v>510</v>
      </c>
      <c r="AL118" s="1">
        <v>5</v>
      </c>
      <c r="AM118" s="1">
        <v>2</v>
      </c>
      <c r="AN118" s="1">
        <v>1</v>
      </c>
      <c r="AO118" s="1">
        <v>1</v>
      </c>
      <c r="AP118" s="1" t="s">
        <v>667</v>
      </c>
      <c r="AR118" s="1" t="s">
        <v>209</v>
      </c>
      <c r="AS118" s="1" t="s">
        <v>204</v>
      </c>
      <c r="AT118" s="1" t="s">
        <v>211</v>
      </c>
      <c r="AU118" s="1">
        <v>1</v>
      </c>
      <c r="AW118" s="1" t="s">
        <v>204</v>
      </c>
      <c r="AX118" s="1" t="s">
        <v>1528</v>
      </c>
      <c r="AZ118" s="1">
        <v>2953</v>
      </c>
      <c r="BA118" s="1">
        <v>2012</v>
      </c>
      <c r="BB118" s="1" t="s">
        <v>405</v>
      </c>
      <c r="BE118" s="1">
        <v>916</v>
      </c>
      <c r="BF118" s="1">
        <v>1</v>
      </c>
      <c r="BG118" s="1">
        <v>0</v>
      </c>
      <c r="BL118" s="1">
        <v>240</v>
      </c>
      <c r="BM118" s="1" t="s">
        <v>204</v>
      </c>
      <c r="BN118" s="1" t="s">
        <v>213</v>
      </c>
      <c r="BP118" s="1" t="s">
        <v>204</v>
      </c>
      <c r="BR118" s="1" t="str">
        <f>"15054291130000"</f>
        <v>15054291130000</v>
      </c>
      <c r="BT118" s="1" t="s">
        <v>2355</v>
      </c>
      <c r="BW118" s="1" t="s">
        <v>514</v>
      </c>
      <c r="BX118" s="1">
        <v>73</v>
      </c>
      <c r="BY118" s="1">
        <v>73</v>
      </c>
      <c r="BZ118" s="1">
        <v>128</v>
      </c>
      <c r="CB118" s="1" t="str">
        <f t="shared" ref="CB118:CC118" si="91">""</f>
        <v/>
      </c>
      <c r="CC118" s="1" t="str">
        <f t="shared" si="91"/>
        <v/>
      </c>
      <c r="CG118" s="1" t="s">
        <v>931</v>
      </c>
      <c r="CH118" s="1" t="s">
        <v>219</v>
      </c>
      <c r="CI118" s="1" t="s">
        <v>438</v>
      </c>
      <c r="CJ118" s="1" t="s">
        <v>1199</v>
      </c>
      <c r="CK118" s="1" t="s">
        <v>344</v>
      </c>
      <c r="CL118" s="1" t="s">
        <v>277</v>
      </c>
      <c r="CM118" s="1" t="s">
        <v>438</v>
      </c>
      <c r="CN118" s="1" t="s">
        <v>1199</v>
      </c>
      <c r="CO118" s="1" t="s">
        <v>629</v>
      </c>
      <c r="CP118" s="1" t="s">
        <v>219</v>
      </c>
      <c r="CQ118" s="1" t="s">
        <v>438</v>
      </c>
      <c r="CR118" s="1" t="s">
        <v>1199</v>
      </c>
      <c r="CS118" s="1" t="s">
        <v>346</v>
      </c>
      <c r="CT118" s="1" t="s">
        <v>277</v>
      </c>
      <c r="CU118" s="1" t="s">
        <v>438</v>
      </c>
      <c r="CV118" s="1" t="s">
        <v>1199</v>
      </c>
      <c r="CX118" s="1" t="s">
        <v>224</v>
      </c>
      <c r="DB118" s="1" t="s">
        <v>224</v>
      </c>
      <c r="DE118" s="1" t="s">
        <v>2356</v>
      </c>
      <c r="DF118" s="1" t="s">
        <v>219</v>
      </c>
      <c r="DG118" s="1" t="s">
        <v>226</v>
      </c>
      <c r="DH118" s="1" t="s">
        <v>1199</v>
      </c>
      <c r="DJ118" s="1" t="s">
        <v>224</v>
      </c>
      <c r="DS118" s="1" t="s">
        <v>230</v>
      </c>
      <c r="DW118" s="1" t="s">
        <v>230</v>
      </c>
      <c r="EA118" s="1" t="s">
        <v>230</v>
      </c>
      <c r="EE118" s="1" t="s">
        <v>230</v>
      </c>
      <c r="EI118" s="1" t="s">
        <v>230</v>
      </c>
      <c r="EL118" s="1" t="s">
        <v>542</v>
      </c>
      <c r="EM118" s="1" t="s">
        <v>232</v>
      </c>
      <c r="EN118" s="1" t="s">
        <v>282</v>
      </c>
      <c r="EO118" s="1" t="s">
        <v>234</v>
      </c>
      <c r="EQ118" s="1" t="s">
        <v>236</v>
      </c>
      <c r="ER118" s="1" t="s">
        <v>1249</v>
      </c>
      <c r="ES118" s="1" t="s">
        <v>545</v>
      </c>
      <c r="EU118" s="1" t="s">
        <v>239</v>
      </c>
      <c r="EV118" s="1" t="s">
        <v>240</v>
      </c>
      <c r="EW118" s="1" t="s">
        <v>2357</v>
      </c>
      <c r="EZ118" s="1" t="s">
        <v>287</v>
      </c>
      <c r="FA118" s="1" t="s">
        <v>2358</v>
      </c>
      <c r="FD118" s="1" t="s">
        <v>736</v>
      </c>
      <c r="FE118" s="1" t="s">
        <v>1220</v>
      </c>
      <c r="FF118" s="1" t="s">
        <v>248</v>
      </c>
      <c r="FH118" s="1" t="s">
        <v>249</v>
      </c>
      <c r="FI118" s="1" t="s">
        <v>357</v>
      </c>
      <c r="FL118" s="1" t="s">
        <v>414</v>
      </c>
      <c r="FM118" s="1" t="s">
        <v>252</v>
      </c>
      <c r="FN118" s="1" t="s">
        <v>213</v>
      </c>
      <c r="FO118" s="1" t="s">
        <v>213</v>
      </c>
      <c r="FQ118" s="1" t="s">
        <v>2359</v>
      </c>
      <c r="FR118" s="1" t="s">
        <v>210</v>
      </c>
      <c r="FS118" s="1" t="s">
        <v>2360</v>
      </c>
      <c r="FT118" s="1" t="s">
        <v>362</v>
      </c>
      <c r="FU118" s="1" t="s">
        <v>204</v>
      </c>
      <c r="FW118" s="1" t="s">
        <v>915</v>
      </c>
      <c r="FX118" s="1">
        <v>3630</v>
      </c>
      <c r="FY118" s="1" t="s">
        <v>2361</v>
      </c>
      <c r="FZ118" s="1" t="s">
        <v>2362</v>
      </c>
      <c r="GA118" s="1">
        <v>38897</v>
      </c>
      <c r="GE118" s="1" t="s">
        <v>480</v>
      </c>
      <c r="GI118" s="1" t="s">
        <v>213</v>
      </c>
      <c r="GJ118" s="1" t="s">
        <v>260</v>
      </c>
      <c r="GK118" s="1" t="s">
        <v>210</v>
      </c>
      <c r="GL118" s="2">
        <v>42009</v>
      </c>
      <c r="GM118" s="1" t="s">
        <v>2363</v>
      </c>
    </row>
    <row r="119" spans="1:195">
      <c r="A119" s="1">
        <v>82000</v>
      </c>
      <c r="B119" s="1" t="s">
        <v>195</v>
      </c>
      <c r="C119" s="1" t="str">
        <f>"08767759"</f>
        <v>08767759</v>
      </c>
      <c r="D119" s="1" t="s">
        <v>196</v>
      </c>
      <c r="F119" s="1" t="str">
        <f>"171"</f>
        <v>171</v>
      </c>
      <c r="G119" s="2">
        <v>41946</v>
      </c>
      <c r="H119" s="1">
        <v>92000</v>
      </c>
      <c r="I119" s="1">
        <v>92000</v>
      </c>
      <c r="J119" s="1">
        <v>82000</v>
      </c>
      <c r="K119" s="2">
        <v>41943</v>
      </c>
      <c r="L119" s="1">
        <v>7</v>
      </c>
      <c r="M119" s="2">
        <v>41949</v>
      </c>
      <c r="N119" s="1">
        <v>7</v>
      </c>
      <c r="O119" s="2">
        <v>41949</v>
      </c>
      <c r="P119" s="1">
        <v>10013</v>
      </c>
      <c r="Q119" s="1" t="s">
        <v>197</v>
      </c>
      <c r="R119" s="2">
        <v>41992</v>
      </c>
      <c r="S119" s="1">
        <v>162700</v>
      </c>
      <c r="U119" s="1">
        <v>3033</v>
      </c>
      <c r="V119" s="1" t="s">
        <v>2364</v>
      </c>
      <c r="W119" s="1" t="s">
        <v>425</v>
      </c>
      <c r="X119" s="1">
        <v>204</v>
      </c>
      <c r="Y119" s="1">
        <v>24</v>
      </c>
      <c r="Z119" s="1" t="s">
        <v>249</v>
      </c>
      <c r="AA119" s="1" t="s">
        <v>2365</v>
      </c>
      <c r="AB119" s="1">
        <v>60171</v>
      </c>
      <c r="AE119" s="1" t="s">
        <v>2366</v>
      </c>
      <c r="AF119" s="1" t="s">
        <v>402</v>
      </c>
      <c r="AG119" s="1" t="s">
        <v>213</v>
      </c>
      <c r="AH119" s="1" t="s">
        <v>2367</v>
      </c>
      <c r="AI119" s="1" t="s">
        <v>310</v>
      </c>
      <c r="AJ119" s="1" t="s">
        <v>311</v>
      </c>
      <c r="AL119" s="1">
        <v>5</v>
      </c>
      <c r="AM119" s="1">
        <v>2</v>
      </c>
      <c r="AN119" s="1">
        <v>1</v>
      </c>
      <c r="AO119" s="1">
        <v>0</v>
      </c>
      <c r="AP119" s="1" t="s">
        <v>210</v>
      </c>
      <c r="AR119" s="1" t="s">
        <v>209</v>
      </c>
      <c r="AS119" s="1" t="s">
        <v>204</v>
      </c>
      <c r="AT119" s="1" t="s">
        <v>271</v>
      </c>
      <c r="AV119" s="1">
        <v>1</v>
      </c>
      <c r="AW119" s="1" t="s">
        <v>204</v>
      </c>
      <c r="AX119" s="1" t="s">
        <v>212</v>
      </c>
      <c r="AZ119" s="1">
        <v>1461.66</v>
      </c>
      <c r="BA119" s="1">
        <v>2013</v>
      </c>
      <c r="BE119" s="1">
        <v>800</v>
      </c>
      <c r="BF119" s="1">
        <v>2</v>
      </c>
      <c r="BG119" s="1">
        <v>30</v>
      </c>
      <c r="BJ119" s="1">
        <v>100</v>
      </c>
      <c r="BL119" s="1">
        <v>225</v>
      </c>
      <c r="BM119" s="1" t="s">
        <v>204</v>
      </c>
      <c r="BN119" s="1" t="s">
        <v>204</v>
      </c>
      <c r="BP119" s="1" t="s">
        <v>204</v>
      </c>
      <c r="BR119" s="1" t="str">
        <f>"12262070111012"</f>
        <v>12262070111012</v>
      </c>
      <c r="BT119" s="1" t="s">
        <v>2368</v>
      </c>
      <c r="BX119" s="1">
        <v>80</v>
      </c>
      <c r="BY119" s="1">
        <v>80</v>
      </c>
      <c r="BZ119" s="1">
        <v>212</v>
      </c>
      <c r="CB119" s="1" t="str">
        <f t="shared" ref="CB119:CC119" si="92">""</f>
        <v/>
      </c>
      <c r="CC119" s="1" t="str">
        <f t="shared" si="92"/>
        <v/>
      </c>
      <c r="CG119" s="1" t="s">
        <v>581</v>
      </c>
      <c r="CH119" s="1" t="s">
        <v>277</v>
      </c>
      <c r="CI119" s="1" t="s">
        <v>438</v>
      </c>
      <c r="CK119" s="1" t="s">
        <v>757</v>
      </c>
      <c r="CL119" s="1" t="s">
        <v>277</v>
      </c>
      <c r="CM119" s="1" t="s">
        <v>438</v>
      </c>
      <c r="CO119" s="1" t="s">
        <v>757</v>
      </c>
      <c r="CP119" s="1" t="s">
        <v>277</v>
      </c>
      <c r="CQ119" s="1" t="s">
        <v>438</v>
      </c>
      <c r="CS119" s="1" t="s">
        <v>465</v>
      </c>
      <c r="CT119" s="1" t="s">
        <v>277</v>
      </c>
      <c r="CU119" s="1" t="s">
        <v>438</v>
      </c>
      <c r="CX119" s="1" t="s">
        <v>224</v>
      </c>
      <c r="DB119" s="1" t="s">
        <v>224</v>
      </c>
      <c r="DE119" s="1" t="s">
        <v>539</v>
      </c>
      <c r="DF119" s="1" t="s">
        <v>277</v>
      </c>
      <c r="DG119" s="1" t="s">
        <v>342</v>
      </c>
      <c r="DJ119" s="1" t="s">
        <v>224</v>
      </c>
      <c r="DS119" s="1" t="s">
        <v>230</v>
      </c>
      <c r="DW119" s="1" t="s">
        <v>230</v>
      </c>
      <c r="EA119" s="1" t="s">
        <v>230</v>
      </c>
      <c r="EE119" s="1" t="s">
        <v>230</v>
      </c>
      <c r="EI119" s="1" t="s">
        <v>230</v>
      </c>
      <c r="EL119" s="1" t="s">
        <v>605</v>
      </c>
      <c r="EM119" s="1" t="s">
        <v>232</v>
      </c>
      <c r="EN119" s="1" t="s">
        <v>1158</v>
      </c>
      <c r="EO119" s="1" t="s">
        <v>234</v>
      </c>
      <c r="EP119" s="1" t="s">
        <v>2369</v>
      </c>
      <c r="ER119" s="1" t="s">
        <v>347</v>
      </c>
      <c r="EW119" s="1" t="s">
        <v>1284</v>
      </c>
      <c r="EZ119" s="1" t="s">
        <v>287</v>
      </c>
      <c r="FB119" s="1" t="s">
        <v>289</v>
      </c>
      <c r="FC119" s="1" t="s">
        <v>633</v>
      </c>
      <c r="FD119" s="1" t="s">
        <v>1112</v>
      </c>
      <c r="FE119" s="1" t="s">
        <v>247</v>
      </c>
      <c r="FF119" s="1" t="s">
        <v>248</v>
      </c>
      <c r="FH119" s="1" t="s">
        <v>249</v>
      </c>
      <c r="FK119" s="1" t="s">
        <v>291</v>
      </c>
      <c r="FL119" s="1" t="s">
        <v>2370</v>
      </c>
      <c r="FM119" s="1" t="s">
        <v>252</v>
      </c>
      <c r="FN119" s="1" t="s">
        <v>213</v>
      </c>
      <c r="FO119" s="1" t="s">
        <v>213</v>
      </c>
      <c r="FQ119" s="1" t="s">
        <v>2371</v>
      </c>
      <c r="FR119" s="1" t="s">
        <v>360</v>
      </c>
      <c r="FS119" s="1" t="s">
        <v>2372</v>
      </c>
      <c r="FT119" s="1" t="s">
        <v>255</v>
      </c>
      <c r="FU119" s="1" t="s">
        <v>204</v>
      </c>
      <c r="FW119" s="1" t="s">
        <v>915</v>
      </c>
      <c r="FX119" s="1">
        <v>85758</v>
      </c>
      <c r="FY119" s="1" t="s">
        <v>1728</v>
      </c>
      <c r="FZ119" s="1" t="s">
        <v>2373</v>
      </c>
      <c r="GA119" s="1">
        <v>180683</v>
      </c>
      <c r="GB119" s="1" t="s">
        <v>2374</v>
      </c>
      <c r="GE119" s="1" t="s">
        <v>210</v>
      </c>
      <c r="GH119" s="1" t="s">
        <v>230</v>
      </c>
      <c r="GI119" s="1" t="s">
        <v>213</v>
      </c>
      <c r="GJ119" s="1" t="s">
        <v>260</v>
      </c>
      <c r="GK119" s="1" t="s">
        <v>210</v>
      </c>
      <c r="GL119" s="2">
        <v>41993</v>
      </c>
      <c r="GM119" s="1" t="s">
        <v>2375</v>
      </c>
    </row>
    <row r="120" spans="1:195">
      <c r="A120" s="1">
        <v>80000</v>
      </c>
      <c r="B120" s="1" t="s">
        <v>195</v>
      </c>
      <c r="C120" s="1" t="str">
        <f>"08766343"</f>
        <v>08766343</v>
      </c>
      <c r="D120" s="1" t="s">
        <v>196</v>
      </c>
      <c r="F120" s="1" t="str">
        <f>"635"</f>
        <v>635</v>
      </c>
      <c r="G120" s="2">
        <v>41943</v>
      </c>
      <c r="H120" s="1">
        <v>115900</v>
      </c>
      <c r="I120" s="1">
        <v>94900</v>
      </c>
      <c r="J120" s="1">
        <v>80000</v>
      </c>
      <c r="K120" s="2">
        <v>41943</v>
      </c>
      <c r="L120" s="1">
        <v>96</v>
      </c>
      <c r="M120" s="2">
        <v>42038</v>
      </c>
      <c r="N120" s="1">
        <v>96</v>
      </c>
      <c r="O120" s="2">
        <v>42038</v>
      </c>
      <c r="P120" s="1">
        <v>16634</v>
      </c>
      <c r="Q120" s="1" t="s">
        <v>302</v>
      </c>
      <c r="R120" s="2">
        <v>42062</v>
      </c>
      <c r="S120" s="1">
        <v>173743</v>
      </c>
      <c r="U120" s="1">
        <v>7912</v>
      </c>
      <c r="V120" s="1" t="s">
        <v>79</v>
      </c>
      <c r="W120" s="1" t="s">
        <v>425</v>
      </c>
      <c r="X120" s="1" t="s">
        <v>2376</v>
      </c>
      <c r="Y120" s="1">
        <v>1</v>
      </c>
      <c r="Z120" s="1" t="s">
        <v>249</v>
      </c>
      <c r="AA120" s="1" t="s">
        <v>2377</v>
      </c>
      <c r="AB120" s="1">
        <v>60707</v>
      </c>
      <c r="AE120" s="1" t="s">
        <v>2378</v>
      </c>
      <c r="AF120" s="1" t="s">
        <v>402</v>
      </c>
      <c r="AG120" s="1" t="s">
        <v>213</v>
      </c>
      <c r="AH120" s="1" t="s">
        <v>403</v>
      </c>
      <c r="AI120" s="1" t="s">
        <v>310</v>
      </c>
      <c r="AJ120" s="1" t="s">
        <v>311</v>
      </c>
      <c r="AL120" s="1">
        <v>5</v>
      </c>
      <c r="AM120" s="1">
        <v>2</v>
      </c>
      <c r="AN120" s="1">
        <v>2</v>
      </c>
      <c r="AO120" s="1">
        <v>0</v>
      </c>
      <c r="AP120" s="1" t="s">
        <v>209</v>
      </c>
      <c r="AR120" s="1" t="s">
        <v>210</v>
      </c>
      <c r="AT120" s="1" t="s">
        <v>271</v>
      </c>
      <c r="AV120" s="1">
        <v>1</v>
      </c>
      <c r="AW120" s="1" t="s">
        <v>204</v>
      </c>
      <c r="AX120" s="1" t="s">
        <v>2379</v>
      </c>
      <c r="AZ120" s="1">
        <v>1843.99</v>
      </c>
      <c r="BA120" s="1">
        <v>2013</v>
      </c>
      <c r="BE120" s="1">
        <v>1000</v>
      </c>
      <c r="BF120" s="1">
        <v>3</v>
      </c>
      <c r="BG120" s="1">
        <v>30</v>
      </c>
      <c r="BL120" s="1">
        <v>314</v>
      </c>
      <c r="BM120" s="1" t="s">
        <v>204</v>
      </c>
      <c r="BN120" s="1" t="s">
        <v>204</v>
      </c>
      <c r="BP120" s="1" t="s">
        <v>204</v>
      </c>
      <c r="BR120" s="1" t="str">
        <f>"12363230291034"</f>
        <v>12363230291034</v>
      </c>
      <c r="BT120" s="1" t="s">
        <v>2380</v>
      </c>
      <c r="BX120" s="1">
        <v>299</v>
      </c>
      <c r="BY120" s="1">
        <v>299</v>
      </c>
      <c r="BZ120" s="1">
        <v>299</v>
      </c>
      <c r="CB120" s="1" t="str">
        <f>"2"</f>
        <v>2</v>
      </c>
      <c r="CC120" s="1" t="str">
        <f>"0"</f>
        <v>0</v>
      </c>
      <c r="CD120" s="1">
        <v>8</v>
      </c>
      <c r="CE120" s="1">
        <v>0</v>
      </c>
      <c r="CG120" s="1" t="s">
        <v>759</v>
      </c>
      <c r="CH120" s="1" t="s">
        <v>784</v>
      </c>
      <c r="CI120" s="1" t="s">
        <v>220</v>
      </c>
      <c r="CK120" s="1" t="s">
        <v>278</v>
      </c>
      <c r="CL120" s="1" t="s">
        <v>784</v>
      </c>
      <c r="CO120" s="1" t="s">
        <v>407</v>
      </c>
      <c r="CP120" s="1" t="s">
        <v>784</v>
      </c>
      <c r="CQ120" s="1" t="s">
        <v>220</v>
      </c>
      <c r="CS120" s="1" t="s">
        <v>786</v>
      </c>
      <c r="CT120" s="1" t="s">
        <v>784</v>
      </c>
      <c r="CX120" s="1" t="s">
        <v>224</v>
      </c>
      <c r="DB120" s="1" t="s">
        <v>224</v>
      </c>
      <c r="DE120" s="1" t="s">
        <v>1470</v>
      </c>
      <c r="DF120" s="1" t="s">
        <v>784</v>
      </c>
      <c r="DJ120" s="1" t="s">
        <v>224</v>
      </c>
      <c r="DS120" s="1" t="s">
        <v>230</v>
      </c>
      <c r="DW120" s="1" t="s">
        <v>230</v>
      </c>
      <c r="EA120" s="1" t="s">
        <v>230</v>
      </c>
      <c r="EE120" s="1" t="s">
        <v>230</v>
      </c>
      <c r="EI120" s="1" t="s">
        <v>230</v>
      </c>
      <c r="EL120" s="1" t="s">
        <v>382</v>
      </c>
      <c r="EM120" s="1" t="s">
        <v>319</v>
      </c>
      <c r="EN120" s="1" t="s">
        <v>282</v>
      </c>
      <c r="EO120" s="1" t="s">
        <v>234</v>
      </c>
      <c r="ER120" s="1" t="s">
        <v>210</v>
      </c>
      <c r="EW120" s="1" t="s">
        <v>2381</v>
      </c>
      <c r="EZ120" s="1" t="s">
        <v>287</v>
      </c>
      <c r="FD120" s="1" t="s">
        <v>1112</v>
      </c>
      <c r="FE120" s="1" t="s">
        <v>247</v>
      </c>
      <c r="FF120" s="1" t="s">
        <v>248</v>
      </c>
      <c r="FH120" s="1" t="s">
        <v>249</v>
      </c>
      <c r="FJ120" s="1" t="s">
        <v>1472</v>
      </c>
      <c r="FK120" s="1" t="s">
        <v>327</v>
      </c>
      <c r="FL120" s="1" t="s">
        <v>1073</v>
      </c>
      <c r="FM120" s="1" t="s">
        <v>252</v>
      </c>
      <c r="FN120" s="1" t="s">
        <v>213</v>
      </c>
      <c r="FO120" s="1" t="s">
        <v>213</v>
      </c>
      <c r="FQ120" s="1" t="s">
        <v>582</v>
      </c>
      <c r="FR120" s="1" t="s">
        <v>210</v>
      </c>
      <c r="FS120" s="1" t="s">
        <v>2382</v>
      </c>
      <c r="FT120" s="1" t="s">
        <v>1828</v>
      </c>
      <c r="FU120" s="1" t="s">
        <v>204</v>
      </c>
      <c r="FW120" s="1" t="s">
        <v>2383</v>
      </c>
      <c r="FX120" s="1">
        <v>15545</v>
      </c>
      <c r="FY120" s="1" t="s">
        <v>2384</v>
      </c>
      <c r="FZ120" s="1" t="s">
        <v>2385</v>
      </c>
      <c r="GA120" s="1">
        <v>134222</v>
      </c>
      <c r="GB120" s="1" t="s">
        <v>2386</v>
      </c>
      <c r="GC120" s="1">
        <v>876631</v>
      </c>
      <c r="GE120" s="1" t="s">
        <v>210</v>
      </c>
      <c r="GH120" s="1" t="s">
        <v>589</v>
      </c>
      <c r="GI120" s="1" t="s">
        <v>204</v>
      </c>
      <c r="GJ120" s="1" t="s">
        <v>260</v>
      </c>
      <c r="GK120" s="1" t="s">
        <v>210</v>
      </c>
      <c r="GL120" s="2">
        <v>42066</v>
      </c>
      <c r="GM120" s="1" t="s">
        <v>2387</v>
      </c>
    </row>
    <row r="121" spans="1:195">
      <c r="A121" s="1">
        <v>178000</v>
      </c>
      <c r="B121" s="1" t="s">
        <v>195</v>
      </c>
      <c r="C121" s="1" t="str">
        <f>"08765741"</f>
        <v>08765741</v>
      </c>
      <c r="D121" s="1" t="s">
        <v>196</v>
      </c>
      <c r="F121" s="1" t="str">
        <f>"555"</f>
        <v>555</v>
      </c>
      <c r="G121" s="2">
        <v>41943</v>
      </c>
      <c r="H121" s="1">
        <v>185000</v>
      </c>
      <c r="I121" s="1">
        <v>182000</v>
      </c>
      <c r="J121" s="1">
        <v>178000</v>
      </c>
      <c r="K121" s="2">
        <v>41943</v>
      </c>
      <c r="L121" s="1">
        <v>155</v>
      </c>
      <c r="M121" s="2">
        <v>42097</v>
      </c>
      <c r="N121" s="1">
        <v>155</v>
      </c>
      <c r="O121" s="2">
        <v>42097</v>
      </c>
      <c r="P121" s="1">
        <v>25088</v>
      </c>
      <c r="Q121" s="1" t="s">
        <v>197</v>
      </c>
      <c r="R121" s="2">
        <v>42132</v>
      </c>
      <c r="S121" s="1">
        <v>259274</v>
      </c>
      <c r="U121" s="1" t="s">
        <v>2388</v>
      </c>
      <c r="V121" s="1" t="s">
        <v>2389</v>
      </c>
      <c r="W121" s="1" t="s">
        <v>504</v>
      </c>
      <c r="X121" s="1" t="s">
        <v>2388</v>
      </c>
      <c r="Y121" s="1">
        <v>4</v>
      </c>
      <c r="Z121" s="1" t="s">
        <v>249</v>
      </c>
      <c r="AA121" s="1" t="s">
        <v>984</v>
      </c>
      <c r="AB121" s="1">
        <v>60555</v>
      </c>
      <c r="AD121" s="1" t="s">
        <v>1670</v>
      </c>
      <c r="AE121" s="1" t="s">
        <v>2390</v>
      </c>
      <c r="AF121" s="1">
        <v>1992</v>
      </c>
      <c r="AG121" s="1" t="s">
        <v>204</v>
      </c>
      <c r="AH121" s="1" t="s">
        <v>986</v>
      </c>
      <c r="AI121" s="1" t="s">
        <v>206</v>
      </c>
      <c r="AJ121" s="1" t="s">
        <v>987</v>
      </c>
      <c r="AK121" s="1" t="s">
        <v>2391</v>
      </c>
      <c r="AL121" s="1">
        <v>6</v>
      </c>
      <c r="AM121" s="1">
        <v>2</v>
      </c>
      <c r="AN121" s="1">
        <v>2</v>
      </c>
      <c r="AO121" s="1">
        <v>1</v>
      </c>
      <c r="AP121" s="1" t="s">
        <v>209</v>
      </c>
      <c r="AQ121" s="1">
        <v>1</v>
      </c>
      <c r="AR121" s="1" t="s">
        <v>210</v>
      </c>
      <c r="AS121" s="1" t="s">
        <v>204</v>
      </c>
      <c r="AT121" s="1" t="s">
        <v>211</v>
      </c>
      <c r="AU121" s="1">
        <v>2</v>
      </c>
      <c r="AW121" s="1" t="s">
        <v>204</v>
      </c>
      <c r="AX121" s="1" t="s">
        <v>212</v>
      </c>
      <c r="AZ121" s="1">
        <v>5802</v>
      </c>
      <c r="BA121" s="1">
        <v>2013</v>
      </c>
      <c r="BB121" s="1" t="s">
        <v>405</v>
      </c>
      <c r="BE121" s="1">
        <v>1558</v>
      </c>
      <c r="BF121" s="1">
        <v>1</v>
      </c>
      <c r="BG121" s="1">
        <v>30</v>
      </c>
      <c r="BL121" s="1">
        <v>227</v>
      </c>
      <c r="BM121" s="1" t="s">
        <v>204</v>
      </c>
      <c r="BN121" s="1" t="s">
        <v>213</v>
      </c>
      <c r="BO121" s="1">
        <v>99</v>
      </c>
      <c r="BP121" s="1" t="s">
        <v>204</v>
      </c>
      <c r="BR121" s="1" t="str">
        <f>"0421408057"</f>
        <v>0421408057</v>
      </c>
      <c r="BT121" s="1" t="s">
        <v>2392</v>
      </c>
      <c r="BX121" s="1">
        <v>33</v>
      </c>
      <c r="BY121" s="1">
        <v>33</v>
      </c>
      <c r="BZ121" s="1">
        <v>94</v>
      </c>
      <c r="CB121" s="1" t="str">
        <f t="shared" ref="CB121:CC121" si="93">"0"</f>
        <v>0</v>
      </c>
      <c r="CC121" s="1" t="str">
        <f t="shared" si="93"/>
        <v>0</v>
      </c>
      <c r="CD121" s="1">
        <v>30</v>
      </c>
      <c r="CE121" s="1">
        <v>1</v>
      </c>
      <c r="CG121" s="1" t="s">
        <v>1737</v>
      </c>
      <c r="CH121" s="1" t="s">
        <v>219</v>
      </c>
      <c r="CI121" s="1" t="s">
        <v>229</v>
      </c>
      <c r="CJ121" s="1" t="s">
        <v>343</v>
      </c>
      <c r="CK121" s="1" t="s">
        <v>344</v>
      </c>
      <c r="CL121" s="1" t="s">
        <v>277</v>
      </c>
      <c r="CM121" s="1" t="s">
        <v>229</v>
      </c>
      <c r="CN121" s="1" t="s">
        <v>343</v>
      </c>
      <c r="CO121" s="1" t="s">
        <v>379</v>
      </c>
      <c r="CP121" s="1" t="s">
        <v>219</v>
      </c>
      <c r="CQ121" s="1" t="s">
        <v>229</v>
      </c>
      <c r="CR121" s="1" t="s">
        <v>343</v>
      </c>
      <c r="CS121" s="1" t="s">
        <v>1046</v>
      </c>
      <c r="CT121" s="1" t="s">
        <v>277</v>
      </c>
      <c r="CU121" s="1" t="s">
        <v>229</v>
      </c>
      <c r="CV121" s="1" t="s">
        <v>210</v>
      </c>
      <c r="CX121" s="1" t="s">
        <v>224</v>
      </c>
      <c r="DB121" s="1" t="s">
        <v>224</v>
      </c>
      <c r="DE121" s="1" t="s">
        <v>465</v>
      </c>
      <c r="DF121" s="1" t="s">
        <v>219</v>
      </c>
      <c r="DG121" s="1" t="s">
        <v>229</v>
      </c>
      <c r="DJ121" s="1" t="s">
        <v>224</v>
      </c>
      <c r="DN121" s="1" t="s">
        <v>464</v>
      </c>
      <c r="DS121" s="1" t="s">
        <v>230</v>
      </c>
      <c r="DV121" s="1" t="s">
        <v>1046</v>
      </c>
      <c r="DW121" s="1" t="s">
        <v>277</v>
      </c>
      <c r="DX121" s="1" t="s">
        <v>229</v>
      </c>
      <c r="DY121" s="1" t="s">
        <v>343</v>
      </c>
      <c r="EA121" s="1" t="s">
        <v>230</v>
      </c>
      <c r="EE121" s="1" t="s">
        <v>230</v>
      </c>
      <c r="EI121" s="1" t="s">
        <v>230</v>
      </c>
      <c r="EL121" s="1" t="s">
        <v>382</v>
      </c>
      <c r="EM121" s="1" t="s">
        <v>319</v>
      </c>
      <c r="EN121" s="1" t="s">
        <v>282</v>
      </c>
      <c r="EO121" s="1" t="s">
        <v>234</v>
      </c>
      <c r="EQ121" s="1" t="s">
        <v>236</v>
      </c>
      <c r="ER121" s="1" t="s">
        <v>383</v>
      </c>
      <c r="ES121" s="1" t="s">
        <v>322</v>
      </c>
      <c r="ET121" s="1" t="s">
        <v>238</v>
      </c>
      <c r="EV121" s="1" t="s">
        <v>240</v>
      </c>
      <c r="EW121" s="1" t="s">
        <v>2393</v>
      </c>
      <c r="EY121" s="1" t="s">
        <v>790</v>
      </c>
      <c r="EZ121" s="1" t="s">
        <v>464</v>
      </c>
      <c r="FD121" s="1" t="s">
        <v>246</v>
      </c>
      <c r="FE121" s="1" t="s">
        <v>975</v>
      </c>
      <c r="FF121" s="1" t="s">
        <v>248</v>
      </c>
      <c r="FG121" s="1" t="s">
        <v>912</v>
      </c>
      <c r="FH121" s="1" t="s">
        <v>249</v>
      </c>
      <c r="FI121" s="1" t="s">
        <v>473</v>
      </c>
      <c r="FJ121" s="1" t="s">
        <v>197</v>
      </c>
      <c r="FL121" s="1" t="s">
        <v>358</v>
      </c>
      <c r="FM121" s="1" t="s">
        <v>252</v>
      </c>
      <c r="FN121" s="1" t="s">
        <v>213</v>
      </c>
      <c r="FO121" s="1" t="s">
        <v>213</v>
      </c>
      <c r="FQ121" s="1" t="s">
        <v>1683</v>
      </c>
      <c r="FR121" s="1" t="s">
        <v>210</v>
      </c>
      <c r="FS121" s="1" t="s">
        <v>2394</v>
      </c>
      <c r="FT121" s="1" t="s">
        <v>362</v>
      </c>
      <c r="FU121" s="1" t="s">
        <v>204</v>
      </c>
      <c r="FW121" s="1" t="s">
        <v>1806</v>
      </c>
      <c r="FX121" s="1">
        <v>21324</v>
      </c>
      <c r="FY121" s="1" t="s">
        <v>2395</v>
      </c>
      <c r="FZ121" s="1" t="s">
        <v>2396</v>
      </c>
      <c r="GA121" s="1">
        <v>236287</v>
      </c>
      <c r="GB121" s="1" t="s">
        <v>2397</v>
      </c>
      <c r="GE121" s="1" t="s">
        <v>210</v>
      </c>
      <c r="GI121" s="1" t="s">
        <v>213</v>
      </c>
      <c r="GJ121" s="1" t="s">
        <v>300</v>
      </c>
      <c r="GK121" s="1" t="s">
        <v>210</v>
      </c>
      <c r="GL121" s="2">
        <v>42142</v>
      </c>
    </row>
    <row r="122" spans="1:195">
      <c r="A122" s="1">
        <v>144000</v>
      </c>
      <c r="B122" s="1" t="s">
        <v>195</v>
      </c>
      <c r="C122" s="1" t="str">
        <f>"08842015"</f>
        <v>08842015</v>
      </c>
      <c r="D122" s="1" t="s">
        <v>196</v>
      </c>
      <c r="F122" s="1" t="str">
        <f>"134"</f>
        <v>134</v>
      </c>
      <c r="G122" s="2">
        <v>42054</v>
      </c>
      <c r="H122" s="1">
        <v>149000</v>
      </c>
      <c r="I122" s="1">
        <v>149000</v>
      </c>
      <c r="J122" s="1">
        <v>144000</v>
      </c>
      <c r="K122" s="2">
        <v>42054</v>
      </c>
      <c r="L122" s="1">
        <v>26</v>
      </c>
      <c r="M122" s="2">
        <v>42079</v>
      </c>
      <c r="N122" s="1">
        <v>26</v>
      </c>
      <c r="O122" s="2">
        <v>42079</v>
      </c>
      <c r="P122" s="1">
        <v>87</v>
      </c>
      <c r="Q122" s="1" t="s">
        <v>423</v>
      </c>
      <c r="R122" s="2">
        <v>42116</v>
      </c>
      <c r="S122" s="1">
        <v>304019</v>
      </c>
      <c r="T122" s="1">
        <v>4320</v>
      </c>
      <c r="U122" s="1">
        <v>1660</v>
      </c>
      <c r="V122" s="1" t="s">
        <v>2398</v>
      </c>
      <c r="W122" s="1" t="s">
        <v>304</v>
      </c>
      <c r="Y122" s="1">
        <v>3</v>
      </c>
      <c r="Z122" s="1" t="s">
        <v>370</v>
      </c>
      <c r="AA122" s="1" t="s">
        <v>661</v>
      </c>
      <c r="AB122" s="1">
        <v>60134</v>
      </c>
      <c r="AD122" s="1" t="s">
        <v>2399</v>
      </c>
      <c r="AE122" s="1" t="s">
        <v>2400</v>
      </c>
      <c r="AF122" s="1">
        <v>1991</v>
      </c>
      <c r="AG122" s="1" t="s">
        <v>204</v>
      </c>
      <c r="AH122" s="1" t="s">
        <v>664</v>
      </c>
      <c r="AI122" s="1" t="s">
        <v>665</v>
      </c>
      <c r="AJ122" s="1" t="s">
        <v>664</v>
      </c>
      <c r="AL122" s="1">
        <v>5</v>
      </c>
      <c r="AM122" s="1">
        <v>2</v>
      </c>
      <c r="AN122" s="1">
        <v>2</v>
      </c>
      <c r="AO122" s="1">
        <v>1</v>
      </c>
      <c r="AP122" s="1" t="s">
        <v>667</v>
      </c>
      <c r="AQ122" s="1">
        <v>1</v>
      </c>
      <c r="AR122" s="1" t="s">
        <v>1483</v>
      </c>
      <c r="AS122" s="1" t="s">
        <v>213</v>
      </c>
      <c r="AT122" s="1" t="s">
        <v>375</v>
      </c>
      <c r="AU122" s="1">
        <v>1</v>
      </c>
      <c r="AV122" s="1">
        <v>1</v>
      </c>
      <c r="AW122" s="1" t="s">
        <v>204</v>
      </c>
      <c r="AX122" s="1" t="s">
        <v>212</v>
      </c>
      <c r="AZ122" s="1">
        <v>5001.5</v>
      </c>
      <c r="BA122" s="1">
        <v>2013</v>
      </c>
      <c r="BB122" s="1" t="s">
        <v>210</v>
      </c>
      <c r="BE122" s="1">
        <v>1368</v>
      </c>
      <c r="BF122" s="1">
        <v>1</v>
      </c>
      <c r="BG122" s="1">
        <v>0</v>
      </c>
      <c r="BL122" s="1">
        <v>170</v>
      </c>
      <c r="BM122" s="1" t="s">
        <v>204</v>
      </c>
      <c r="BN122" s="1" t="s">
        <v>213</v>
      </c>
      <c r="BO122" s="1">
        <v>999</v>
      </c>
      <c r="BP122" s="1" t="s">
        <v>204</v>
      </c>
      <c r="BR122" s="1" t="str">
        <f>"1201108103"</f>
        <v>1201108103</v>
      </c>
      <c r="BT122" s="1" t="s">
        <v>2401</v>
      </c>
      <c r="BX122" s="1">
        <v>304</v>
      </c>
      <c r="BY122" s="1">
        <v>304</v>
      </c>
      <c r="BZ122" s="1">
        <v>304</v>
      </c>
      <c r="CB122" s="1" t="str">
        <f t="shared" ref="CB122:CC122" si="94">""</f>
        <v/>
      </c>
      <c r="CC122" s="1" t="str">
        <f t="shared" si="94"/>
        <v/>
      </c>
      <c r="CG122" s="1" t="s">
        <v>2402</v>
      </c>
      <c r="CH122" s="1" t="s">
        <v>219</v>
      </c>
      <c r="CI122" s="1" t="s">
        <v>220</v>
      </c>
      <c r="CJ122" s="1" t="s">
        <v>252</v>
      </c>
      <c r="CK122" s="1" t="s">
        <v>1155</v>
      </c>
      <c r="CL122" s="1" t="s">
        <v>277</v>
      </c>
      <c r="CM122" s="1" t="s">
        <v>220</v>
      </c>
      <c r="CP122" s="1" t="s">
        <v>224</v>
      </c>
      <c r="CS122" s="1" t="s">
        <v>1178</v>
      </c>
      <c r="CT122" s="1" t="s">
        <v>277</v>
      </c>
      <c r="CU122" s="1" t="s">
        <v>220</v>
      </c>
      <c r="CX122" s="1" t="s">
        <v>224</v>
      </c>
      <c r="DB122" s="1" t="s">
        <v>224</v>
      </c>
      <c r="DE122" s="1" t="s">
        <v>757</v>
      </c>
      <c r="DF122" s="1" t="s">
        <v>219</v>
      </c>
      <c r="DG122" s="1" t="s">
        <v>229</v>
      </c>
      <c r="DJ122" s="1" t="s">
        <v>224</v>
      </c>
      <c r="DM122" s="1" t="s">
        <v>934</v>
      </c>
      <c r="DR122" s="1" t="s">
        <v>2402</v>
      </c>
      <c r="DS122" s="1" t="s">
        <v>43</v>
      </c>
      <c r="DT122" s="1" t="s">
        <v>220</v>
      </c>
      <c r="DW122" s="1" t="s">
        <v>230</v>
      </c>
      <c r="EA122" s="1" t="s">
        <v>230</v>
      </c>
      <c r="EE122" s="1" t="s">
        <v>230</v>
      </c>
      <c r="EI122" s="1" t="s">
        <v>230</v>
      </c>
      <c r="EL122" s="1" t="s">
        <v>382</v>
      </c>
      <c r="EM122" s="1" t="s">
        <v>319</v>
      </c>
      <c r="EN122" s="1" t="s">
        <v>282</v>
      </c>
      <c r="EO122" s="1" t="s">
        <v>234</v>
      </c>
      <c r="EP122" s="1" t="s">
        <v>2403</v>
      </c>
      <c r="EQ122" s="1" t="s">
        <v>236</v>
      </c>
      <c r="ER122" s="1" t="s">
        <v>544</v>
      </c>
      <c r="ES122" s="1" t="s">
        <v>322</v>
      </c>
      <c r="ET122" s="1" t="s">
        <v>2404</v>
      </c>
      <c r="EU122" s="1" t="s">
        <v>239</v>
      </c>
      <c r="EV122" s="1" t="s">
        <v>240</v>
      </c>
      <c r="EW122" s="1" t="s">
        <v>2405</v>
      </c>
      <c r="EY122" s="1" t="s">
        <v>242</v>
      </c>
      <c r="EZ122" s="1" t="s">
        <v>934</v>
      </c>
      <c r="FA122" s="1" t="s">
        <v>1072</v>
      </c>
      <c r="FD122" s="1" t="s">
        <v>246</v>
      </c>
      <c r="FE122" s="1" t="s">
        <v>1031</v>
      </c>
      <c r="FF122" s="1" t="s">
        <v>248</v>
      </c>
      <c r="FG122" s="1" t="s">
        <v>2406</v>
      </c>
      <c r="FH122" s="1" t="s">
        <v>550</v>
      </c>
      <c r="FI122" s="1" t="s">
        <v>473</v>
      </c>
      <c r="FK122" s="1" t="s">
        <v>389</v>
      </c>
      <c r="FL122" s="1" t="s">
        <v>358</v>
      </c>
      <c r="FM122" s="1" t="s">
        <v>252</v>
      </c>
      <c r="FN122" s="1" t="s">
        <v>213</v>
      </c>
      <c r="FO122" s="1" t="s">
        <v>213</v>
      </c>
      <c r="FQ122" s="1" t="s">
        <v>1032</v>
      </c>
      <c r="FR122" s="1" t="s">
        <v>210</v>
      </c>
      <c r="FS122" s="1" t="s">
        <v>2407</v>
      </c>
      <c r="FT122" s="1" t="s">
        <v>295</v>
      </c>
      <c r="FU122" s="1" t="s">
        <v>204</v>
      </c>
      <c r="FW122" s="1" t="s">
        <v>585</v>
      </c>
      <c r="FX122" s="1">
        <v>49</v>
      </c>
      <c r="FY122" s="1" t="s">
        <v>2408</v>
      </c>
      <c r="FZ122" s="1" t="s">
        <v>2409</v>
      </c>
      <c r="GA122" s="1">
        <v>8292</v>
      </c>
      <c r="GB122" s="1" t="s">
        <v>2410</v>
      </c>
      <c r="GD122" s="1" t="s">
        <v>2411</v>
      </c>
      <c r="GE122" s="1" t="s">
        <v>480</v>
      </c>
      <c r="GI122" s="1" t="s">
        <v>213</v>
      </c>
      <c r="GJ122" s="1" t="s">
        <v>260</v>
      </c>
      <c r="GK122" s="1" t="s">
        <v>210</v>
      </c>
      <c r="GL122" s="2">
        <v>42117</v>
      </c>
      <c r="GM122" s="1" t="s">
        <v>2412</v>
      </c>
    </row>
    <row r="123" spans="1:195">
      <c r="A123" s="1">
        <v>98600</v>
      </c>
      <c r="B123" s="1" t="s">
        <v>195</v>
      </c>
      <c r="C123" s="1" t="str">
        <f>"08765335"</f>
        <v>08765335</v>
      </c>
      <c r="D123" s="1" t="s">
        <v>196</v>
      </c>
      <c r="F123" s="1" t="str">
        <f>"177"</f>
        <v>177</v>
      </c>
      <c r="G123" s="2">
        <v>41942</v>
      </c>
      <c r="H123" s="1">
        <v>102900</v>
      </c>
      <c r="I123" s="1">
        <v>98500</v>
      </c>
      <c r="J123" s="1">
        <v>98600</v>
      </c>
      <c r="K123" s="2">
        <v>41942</v>
      </c>
      <c r="L123" s="1">
        <v>42</v>
      </c>
      <c r="M123" s="2">
        <v>41983</v>
      </c>
      <c r="N123" s="1">
        <v>42</v>
      </c>
      <c r="O123" s="2">
        <v>41983</v>
      </c>
      <c r="P123" s="1">
        <v>22039</v>
      </c>
      <c r="Q123" s="1" t="s">
        <v>197</v>
      </c>
      <c r="R123" s="2">
        <v>42034</v>
      </c>
      <c r="S123" s="1">
        <v>237589</v>
      </c>
      <c r="U123" s="1">
        <v>307</v>
      </c>
      <c r="V123" s="1" t="s">
        <v>2413</v>
      </c>
      <c r="W123" s="1" t="s">
        <v>504</v>
      </c>
      <c r="X123" s="1">
        <v>307</v>
      </c>
      <c r="Y123" s="1">
        <v>4</v>
      </c>
      <c r="Z123" s="1" t="s">
        <v>370</v>
      </c>
      <c r="AA123" s="1" t="s">
        <v>1461</v>
      </c>
      <c r="AB123" s="1">
        <v>60177</v>
      </c>
      <c r="AE123" s="1" t="s">
        <v>2414</v>
      </c>
      <c r="AF123" s="1">
        <v>1994</v>
      </c>
      <c r="AG123" s="1" t="s">
        <v>204</v>
      </c>
      <c r="AH123" s="1" t="s">
        <v>1175</v>
      </c>
      <c r="AI123" s="1" t="s">
        <v>665</v>
      </c>
      <c r="AJ123" s="1" t="s">
        <v>1175</v>
      </c>
      <c r="AL123" s="1">
        <v>5</v>
      </c>
      <c r="AM123" s="1">
        <v>2</v>
      </c>
      <c r="AN123" s="1">
        <v>1</v>
      </c>
      <c r="AO123" s="1">
        <v>0</v>
      </c>
      <c r="AP123" s="1" t="s">
        <v>667</v>
      </c>
      <c r="AR123" s="1" t="s">
        <v>210</v>
      </c>
      <c r="AS123" s="1" t="s">
        <v>204</v>
      </c>
      <c r="AT123" s="1" t="s">
        <v>211</v>
      </c>
      <c r="AU123" s="1">
        <v>1</v>
      </c>
      <c r="AW123" s="1" t="s">
        <v>204</v>
      </c>
      <c r="AX123" s="1" t="s">
        <v>212</v>
      </c>
      <c r="AZ123" s="1">
        <v>2470.6999999999998</v>
      </c>
      <c r="BA123" s="1">
        <v>2013</v>
      </c>
      <c r="BE123" s="1">
        <v>1059</v>
      </c>
      <c r="BF123" s="1">
        <v>1</v>
      </c>
      <c r="BG123" s="1">
        <v>0</v>
      </c>
      <c r="BL123" s="1">
        <v>115</v>
      </c>
      <c r="BM123" s="1" t="s">
        <v>204</v>
      </c>
      <c r="BN123" s="1" t="s">
        <v>213</v>
      </c>
      <c r="BO123" s="1">
        <v>999</v>
      </c>
      <c r="BP123" s="1" t="s">
        <v>204</v>
      </c>
      <c r="BR123" s="1" t="str">
        <f>"0634104105"</f>
        <v>0634104105</v>
      </c>
      <c r="BT123" s="1" t="s">
        <v>2415</v>
      </c>
      <c r="BX123" s="1">
        <v>46</v>
      </c>
      <c r="BY123" s="1">
        <v>46</v>
      </c>
      <c r="BZ123" s="1">
        <v>46</v>
      </c>
      <c r="CB123" s="1" t="str">
        <f t="shared" ref="CB123:CC123" si="95">""</f>
        <v/>
      </c>
      <c r="CC123" s="1" t="str">
        <f t="shared" si="95"/>
        <v/>
      </c>
      <c r="CG123" s="1" t="s">
        <v>1155</v>
      </c>
      <c r="CH123" s="1" t="s">
        <v>219</v>
      </c>
      <c r="CI123" s="1" t="s">
        <v>220</v>
      </c>
      <c r="CK123" s="1" t="s">
        <v>581</v>
      </c>
      <c r="CL123" s="1" t="s">
        <v>219</v>
      </c>
      <c r="CM123" s="1" t="s">
        <v>220</v>
      </c>
      <c r="CO123" s="1" t="s">
        <v>951</v>
      </c>
      <c r="CP123" s="1" t="s">
        <v>219</v>
      </c>
      <c r="CS123" s="1" t="s">
        <v>379</v>
      </c>
      <c r="CT123" s="1" t="s">
        <v>219</v>
      </c>
      <c r="CU123" s="1" t="s">
        <v>220</v>
      </c>
      <c r="CX123" s="1" t="s">
        <v>224</v>
      </c>
      <c r="DB123" s="1" t="s">
        <v>224</v>
      </c>
      <c r="DE123" s="1" t="s">
        <v>380</v>
      </c>
      <c r="DF123" s="1" t="s">
        <v>219</v>
      </c>
      <c r="DJ123" s="1" t="s">
        <v>224</v>
      </c>
      <c r="DS123" s="1" t="s">
        <v>230</v>
      </c>
      <c r="DW123" s="1" t="s">
        <v>230</v>
      </c>
      <c r="EA123" s="1" t="s">
        <v>230</v>
      </c>
      <c r="EE123" s="1" t="s">
        <v>230</v>
      </c>
      <c r="EI123" s="1" t="s">
        <v>230</v>
      </c>
      <c r="EL123" s="1" t="s">
        <v>670</v>
      </c>
      <c r="EM123" s="1" t="s">
        <v>319</v>
      </c>
      <c r="EN123" s="1" t="s">
        <v>282</v>
      </c>
      <c r="EO123" s="1" t="s">
        <v>234</v>
      </c>
      <c r="EQ123" s="1" t="s">
        <v>2416</v>
      </c>
      <c r="ER123" s="1" t="s">
        <v>210</v>
      </c>
      <c r="ES123" s="1" t="s">
        <v>545</v>
      </c>
      <c r="EU123" s="1" t="s">
        <v>1820</v>
      </c>
      <c r="EV123" s="1" t="s">
        <v>240</v>
      </c>
      <c r="EW123" s="1" t="s">
        <v>353</v>
      </c>
      <c r="EZ123" s="1" t="s">
        <v>287</v>
      </c>
      <c r="FD123" s="1" t="s">
        <v>246</v>
      </c>
      <c r="FE123" s="1" t="s">
        <v>355</v>
      </c>
      <c r="FF123" s="1" t="s">
        <v>248</v>
      </c>
      <c r="FH123" s="1" t="s">
        <v>249</v>
      </c>
      <c r="FL123" s="1" t="s">
        <v>414</v>
      </c>
      <c r="FM123" s="1" t="s">
        <v>252</v>
      </c>
      <c r="FN123" s="1" t="s">
        <v>213</v>
      </c>
      <c r="FO123" s="1" t="s">
        <v>213</v>
      </c>
      <c r="FQ123" s="1" t="s">
        <v>2417</v>
      </c>
      <c r="FR123" s="1" t="s">
        <v>210</v>
      </c>
      <c r="FS123" s="1" t="s">
        <v>2418</v>
      </c>
      <c r="FT123" s="1" t="s">
        <v>584</v>
      </c>
      <c r="FU123" s="1" t="s">
        <v>204</v>
      </c>
      <c r="FV123" s="1" t="s">
        <v>2419</v>
      </c>
      <c r="FW123" s="1" t="s">
        <v>2420</v>
      </c>
      <c r="FX123" s="1">
        <v>41</v>
      </c>
      <c r="FY123" s="1" t="s">
        <v>2421</v>
      </c>
      <c r="FZ123" s="1" t="s">
        <v>2422</v>
      </c>
      <c r="GA123" s="1">
        <v>8483</v>
      </c>
      <c r="GB123" s="1" t="s">
        <v>2423</v>
      </c>
      <c r="GD123" s="1" t="s">
        <v>2424</v>
      </c>
      <c r="GE123" s="1" t="s">
        <v>210</v>
      </c>
      <c r="GI123" s="1" t="s">
        <v>213</v>
      </c>
      <c r="GJ123" s="1" t="s">
        <v>260</v>
      </c>
      <c r="GK123" s="1" t="s">
        <v>210</v>
      </c>
      <c r="GL123" s="2">
        <v>42034</v>
      </c>
      <c r="GM123" s="1" t="s">
        <v>2425</v>
      </c>
    </row>
    <row r="124" spans="1:195">
      <c r="A124" s="1">
        <v>66000</v>
      </c>
      <c r="B124" s="1" t="s">
        <v>195</v>
      </c>
      <c r="C124" s="1" t="str">
        <f>"08764649"</f>
        <v>08764649</v>
      </c>
      <c r="D124" s="1" t="s">
        <v>196</v>
      </c>
      <c r="F124" s="1" t="str">
        <f>"148"</f>
        <v>148</v>
      </c>
      <c r="G124" s="2">
        <v>41941</v>
      </c>
      <c r="H124" s="1">
        <v>91700</v>
      </c>
      <c r="I124" s="1">
        <v>74277</v>
      </c>
      <c r="J124" s="1">
        <v>66000</v>
      </c>
      <c r="K124" s="2">
        <v>41941</v>
      </c>
      <c r="L124" s="1">
        <v>1331</v>
      </c>
      <c r="M124" s="2">
        <v>42076</v>
      </c>
      <c r="N124" s="1">
        <v>136</v>
      </c>
      <c r="O124" s="2">
        <v>42076</v>
      </c>
      <c r="P124" s="1">
        <v>73601</v>
      </c>
      <c r="Q124" s="1" t="s">
        <v>197</v>
      </c>
      <c r="R124" s="2">
        <v>42117</v>
      </c>
      <c r="S124" s="1">
        <v>703184</v>
      </c>
      <c r="U124" s="1">
        <v>2000</v>
      </c>
      <c r="V124" s="1" t="s">
        <v>1926</v>
      </c>
      <c r="W124" s="1" t="s">
        <v>264</v>
      </c>
      <c r="X124" s="1" t="s">
        <v>2426</v>
      </c>
      <c r="Y124" s="1">
        <v>90</v>
      </c>
      <c r="Z124" s="1" t="s">
        <v>249</v>
      </c>
      <c r="AA124" s="1" t="s">
        <v>1927</v>
      </c>
      <c r="AB124" s="1">
        <v>60148</v>
      </c>
      <c r="AD124" s="1" t="s">
        <v>2427</v>
      </c>
      <c r="AE124" s="1" t="s">
        <v>2428</v>
      </c>
      <c r="AF124" s="1">
        <v>1977</v>
      </c>
      <c r="AG124" s="1" t="s">
        <v>213</v>
      </c>
      <c r="AH124" s="1" t="s">
        <v>1930</v>
      </c>
      <c r="AI124" s="1" t="s">
        <v>206</v>
      </c>
      <c r="AJ124" s="1" t="s">
        <v>1608</v>
      </c>
      <c r="AL124" s="1">
        <v>5</v>
      </c>
      <c r="AM124" s="1">
        <v>2</v>
      </c>
      <c r="AN124" s="1">
        <v>2</v>
      </c>
      <c r="AO124" s="1">
        <v>0</v>
      </c>
      <c r="AP124" s="1" t="s">
        <v>209</v>
      </c>
      <c r="AR124" s="1" t="s">
        <v>210</v>
      </c>
      <c r="AS124" s="1" t="s">
        <v>204</v>
      </c>
      <c r="AT124" s="1" t="s">
        <v>211</v>
      </c>
      <c r="AU124" s="1">
        <v>1</v>
      </c>
      <c r="AW124" s="1" t="s">
        <v>204</v>
      </c>
      <c r="AX124" s="1" t="s">
        <v>212</v>
      </c>
      <c r="AZ124" s="1">
        <v>1593.94</v>
      </c>
      <c r="BA124" s="1">
        <v>2013</v>
      </c>
      <c r="BB124" s="1" t="s">
        <v>405</v>
      </c>
      <c r="BE124" s="1">
        <v>1160</v>
      </c>
      <c r="BF124" s="1">
        <v>4</v>
      </c>
      <c r="BG124" s="1">
        <v>30</v>
      </c>
      <c r="BL124" s="1">
        <v>413</v>
      </c>
      <c r="BM124" s="1" t="s">
        <v>213</v>
      </c>
      <c r="BN124" s="1" t="s">
        <v>213</v>
      </c>
      <c r="BP124" s="1" t="s">
        <v>204</v>
      </c>
      <c r="BR124" s="1" t="str">
        <f>"0620409048"</f>
        <v>0620409048</v>
      </c>
      <c r="BT124" s="1" t="s">
        <v>2429</v>
      </c>
      <c r="BU124" s="1" t="s">
        <v>1933</v>
      </c>
      <c r="BV124" s="1" t="s">
        <v>1934</v>
      </c>
      <c r="BW124" s="1" t="s">
        <v>1935</v>
      </c>
      <c r="BX124" s="1">
        <v>44</v>
      </c>
      <c r="BY124" s="1">
        <v>44</v>
      </c>
      <c r="BZ124" s="1">
        <v>87</v>
      </c>
      <c r="CB124" s="1" t="str">
        <f t="shared" ref="CB124:CC124" si="96">"0"</f>
        <v>0</v>
      </c>
      <c r="CC124" s="1" t="str">
        <f t="shared" si="96"/>
        <v>0</v>
      </c>
      <c r="CD124" s="1">
        <v>19</v>
      </c>
      <c r="CE124" s="1">
        <v>1</v>
      </c>
      <c r="CG124" s="1" t="s">
        <v>1723</v>
      </c>
      <c r="CH124" s="1" t="s">
        <v>219</v>
      </c>
      <c r="CI124" s="1" t="s">
        <v>220</v>
      </c>
      <c r="CK124" s="1" t="s">
        <v>1045</v>
      </c>
      <c r="CL124" s="1" t="s">
        <v>219</v>
      </c>
      <c r="CM124" s="1" t="s">
        <v>220</v>
      </c>
      <c r="CO124" s="1" t="s">
        <v>346</v>
      </c>
      <c r="CP124" s="1" t="s">
        <v>219</v>
      </c>
      <c r="CQ124" s="1" t="s">
        <v>220</v>
      </c>
      <c r="CS124" s="1" t="s">
        <v>461</v>
      </c>
      <c r="CT124" s="1" t="s">
        <v>219</v>
      </c>
      <c r="CU124" s="1" t="s">
        <v>220</v>
      </c>
      <c r="CX124" s="1" t="s">
        <v>224</v>
      </c>
      <c r="DB124" s="1" t="s">
        <v>224</v>
      </c>
      <c r="DE124" s="1" t="s">
        <v>2231</v>
      </c>
      <c r="DF124" s="1" t="s">
        <v>219</v>
      </c>
      <c r="DG124" s="1" t="s">
        <v>342</v>
      </c>
      <c r="DJ124" s="1" t="s">
        <v>224</v>
      </c>
      <c r="DS124" s="1" t="s">
        <v>230</v>
      </c>
      <c r="DW124" s="1" t="s">
        <v>230</v>
      </c>
      <c r="EA124" s="1" t="s">
        <v>230</v>
      </c>
      <c r="EE124" s="1" t="s">
        <v>230</v>
      </c>
      <c r="EI124" s="1" t="s">
        <v>230</v>
      </c>
      <c r="EL124" s="1" t="s">
        <v>231</v>
      </c>
      <c r="EM124" s="1" t="s">
        <v>319</v>
      </c>
      <c r="EN124" s="1" t="s">
        <v>233</v>
      </c>
      <c r="EO124" s="1" t="s">
        <v>234</v>
      </c>
      <c r="EP124" s="1" t="s">
        <v>2430</v>
      </c>
      <c r="ER124" s="1" t="s">
        <v>210</v>
      </c>
      <c r="EU124" s="1" t="s">
        <v>239</v>
      </c>
      <c r="EV124" s="1" t="s">
        <v>240</v>
      </c>
      <c r="EW124" s="1" t="s">
        <v>2431</v>
      </c>
      <c r="EY124" s="1" t="s">
        <v>242</v>
      </c>
      <c r="EZ124" s="1" t="s">
        <v>287</v>
      </c>
      <c r="FB124" s="1" t="s">
        <v>1505</v>
      </c>
      <c r="FC124" s="1" t="s">
        <v>1386</v>
      </c>
      <c r="FD124" s="1" t="s">
        <v>736</v>
      </c>
      <c r="FE124" s="1" t="s">
        <v>247</v>
      </c>
      <c r="FF124" s="1" t="s">
        <v>248</v>
      </c>
      <c r="FH124" s="1" t="s">
        <v>2432</v>
      </c>
      <c r="FI124" s="1" t="s">
        <v>848</v>
      </c>
      <c r="FJ124" s="1" t="s">
        <v>423</v>
      </c>
      <c r="FL124" s="1" t="s">
        <v>292</v>
      </c>
      <c r="FM124" s="1" t="s">
        <v>252</v>
      </c>
      <c r="FN124" s="1" t="s">
        <v>213</v>
      </c>
      <c r="FO124" s="1" t="s">
        <v>213</v>
      </c>
      <c r="FQ124" s="1" t="s">
        <v>2433</v>
      </c>
      <c r="FR124" s="1" t="s">
        <v>210</v>
      </c>
      <c r="FS124" s="1" t="s">
        <v>2434</v>
      </c>
      <c r="FT124" s="1" t="s">
        <v>654</v>
      </c>
      <c r="FU124" s="1" t="s">
        <v>204</v>
      </c>
      <c r="FW124" s="1" t="s">
        <v>2435</v>
      </c>
      <c r="FX124" s="1">
        <v>24417</v>
      </c>
      <c r="FY124" s="1" t="s">
        <v>2436</v>
      </c>
      <c r="FZ124" s="1" t="s">
        <v>2437</v>
      </c>
      <c r="GA124" s="1">
        <v>245374</v>
      </c>
      <c r="GB124" s="1" t="s">
        <v>2436</v>
      </c>
      <c r="GC124" s="1">
        <v>237655</v>
      </c>
      <c r="GE124" s="1" t="s">
        <v>210</v>
      </c>
      <c r="GI124" s="1" t="s">
        <v>204</v>
      </c>
      <c r="GJ124" s="1" t="s">
        <v>260</v>
      </c>
      <c r="GK124" s="1" t="s">
        <v>210</v>
      </c>
      <c r="GL124" s="2">
        <v>42117</v>
      </c>
      <c r="GM124" s="1" t="s">
        <v>2438</v>
      </c>
    </row>
    <row r="125" spans="1:195">
      <c r="A125" s="1">
        <v>250000</v>
      </c>
      <c r="B125" s="1" t="s">
        <v>195</v>
      </c>
      <c r="C125" s="1" t="str">
        <f>"08764951"</f>
        <v>08764951</v>
      </c>
      <c r="D125" s="1" t="s">
        <v>196</v>
      </c>
      <c r="F125" s="1" t="str">
        <f>"134"</f>
        <v>134</v>
      </c>
      <c r="G125" s="2">
        <v>41942</v>
      </c>
      <c r="H125" s="1">
        <v>260000</v>
      </c>
      <c r="I125" s="1">
        <v>260000</v>
      </c>
      <c r="J125" s="1">
        <v>250000</v>
      </c>
      <c r="K125" s="2">
        <v>41942</v>
      </c>
      <c r="L125" s="1">
        <v>62</v>
      </c>
      <c r="M125" s="2">
        <v>41970</v>
      </c>
      <c r="N125" s="1">
        <v>29</v>
      </c>
      <c r="O125" s="2">
        <v>41970</v>
      </c>
      <c r="P125" s="1">
        <v>23591</v>
      </c>
      <c r="Q125" s="1" t="s">
        <v>197</v>
      </c>
      <c r="R125" s="2">
        <v>42003</v>
      </c>
      <c r="S125" s="1">
        <v>230482</v>
      </c>
      <c r="U125" s="1" t="s">
        <v>2439</v>
      </c>
      <c r="V125" s="1" t="s">
        <v>2440</v>
      </c>
      <c r="W125" s="1" t="s">
        <v>199</v>
      </c>
      <c r="Y125" s="1">
        <v>2</v>
      </c>
      <c r="Z125" s="1" t="s">
        <v>370</v>
      </c>
      <c r="AA125" s="1" t="s">
        <v>661</v>
      </c>
      <c r="AB125" s="1">
        <v>60134</v>
      </c>
      <c r="AD125" s="1" t="s">
        <v>2441</v>
      </c>
      <c r="AE125" s="1" t="s">
        <v>2442</v>
      </c>
      <c r="AF125" s="1">
        <v>2003</v>
      </c>
      <c r="AG125" s="1" t="s">
        <v>204</v>
      </c>
      <c r="AH125" s="1" t="s">
        <v>882</v>
      </c>
      <c r="AI125" s="1" t="s">
        <v>665</v>
      </c>
      <c r="AJ125" s="1" t="s">
        <v>2443</v>
      </c>
      <c r="AK125" s="1" t="s">
        <v>2444</v>
      </c>
      <c r="AL125" s="1">
        <v>8</v>
      </c>
      <c r="AM125" s="1">
        <v>2</v>
      </c>
      <c r="AN125" s="1">
        <v>2</v>
      </c>
      <c r="AO125" s="1">
        <v>1</v>
      </c>
      <c r="AP125" s="1" t="s">
        <v>209</v>
      </c>
      <c r="AQ125" s="1">
        <v>1</v>
      </c>
      <c r="AR125" s="1" t="s">
        <v>209</v>
      </c>
      <c r="AS125" s="1" t="s">
        <v>204</v>
      </c>
      <c r="AT125" s="1" t="s">
        <v>211</v>
      </c>
      <c r="AU125" s="1">
        <v>2</v>
      </c>
      <c r="AW125" s="1" t="s">
        <v>204</v>
      </c>
      <c r="AX125" s="1" t="s">
        <v>212</v>
      </c>
      <c r="AZ125" s="1">
        <v>6387</v>
      </c>
      <c r="BA125" s="1">
        <v>2013</v>
      </c>
      <c r="BE125" s="1">
        <v>1966</v>
      </c>
      <c r="BF125" s="1">
        <v>1</v>
      </c>
      <c r="BG125" s="1">
        <v>0</v>
      </c>
      <c r="BL125" s="1">
        <v>100</v>
      </c>
      <c r="BM125" s="1" t="s">
        <v>204</v>
      </c>
      <c r="BN125" s="1" t="s">
        <v>213</v>
      </c>
      <c r="BO125" s="1">
        <v>0</v>
      </c>
      <c r="BP125" s="1" t="s">
        <v>204</v>
      </c>
      <c r="BR125" s="1" t="str">
        <f>"1112404025"</f>
        <v>1112404025</v>
      </c>
      <c r="BT125" s="1" t="s">
        <v>2445</v>
      </c>
      <c r="BU125" s="1" t="s">
        <v>2446</v>
      </c>
      <c r="BV125" s="1" t="s">
        <v>2447</v>
      </c>
      <c r="BW125" s="1" t="s">
        <v>2448</v>
      </c>
      <c r="BX125" s="1">
        <v>304</v>
      </c>
      <c r="BY125" s="1">
        <v>304</v>
      </c>
      <c r="BZ125" s="1">
        <v>304</v>
      </c>
      <c r="CB125" s="1" t="str">
        <f t="shared" ref="CB125:CC125" si="97">"0"</f>
        <v>0</v>
      </c>
      <c r="CC125" s="1" t="str">
        <f t="shared" si="97"/>
        <v>0</v>
      </c>
      <c r="CD125" s="1">
        <v>39</v>
      </c>
      <c r="CE125" s="1">
        <v>0</v>
      </c>
      <c r="CG125" s="1" t="s">
        <v>908</v>
      </c>
      <c r="CH125" s="1" t="s">
        <v>219</v>
      </c>
      <c r="CI125" s="1" t="s">
        <v>438</v>
      </c>
      <c r="CJ125" s="1" t="s">
        <v>2449</v>
      </c>
      <c r="CK125" s="1" t="s">
        <v>1267</v>
      </c>
      <c r="CL125" s="1" t="s">
        <v>277</v>
      </c>
      <c r="CM125" s="1" t="s">
        <v>220</v>
      </c>
      <c r="CO125" s="1" t="s">
        <v>629</v>
      </c>
      <c r="CP125" s="1" t="s">
        <v>219</v>
      </c>
      <c r="CQ125" s="1" t="s">
        <v>438</v>
      </c>
      <c r="CS125" s="1" t="s">
        <v>344</v>
      </c>
      <c r="CT125" s="1" t="s">
        <v>277</v>
      </c>
      <c r="CU125" s="1" t="s">
        <v>220</v>
      </c>
      <c r="CX125" s="1" t="s">
        <v>224</v>
      </c>
      <c r="DB125" s="1" t="s">
        <v>224</v>
      </c>
      <c r="DE125" s="1" t="s">
        <v>687</v>
      </c>
      <c r="DF125" s="1" t="s">
        <v>219</v>
      </c>
      <c r="DG125" s="1" t="s">
        <v>438</v>
      </c>
      <c r="DH125" s="1" t="s">
        <v>463</v>
      </c>
      <c r="DI125" s="1" t="s">
        <v>228</v>
      </c>
      <c r="DJ125" s="1" t="s">
        <v>219</v>
      </c>
      <c r="DK125" s="1" t="s">
        <v>438</v>
      </c>
      <c r="DL125" s="1" t="s">
        <v>463</v>
      </c>
      <c r="DM125" s="1" t="s">
        <v>381</v>
      </c>
      <c r="DN125" s="1" t="s">
        <v>464</v>
      </c>
      <c r="DO125" s="1" t="s">
        <v>2450</v>
      </c>
      <c r="DR125" s="1" t="s">
        <v>281</v>
      </c>
      <c r="DS125" s="1" t="s">
        <v>219</v>
      </c>
      <c r="DT125" s="1" t="s">
        <v>438</v>
      </c>
      <c r="DV125" s="1" t="s">
        <v>380</v>
      </c>
      <c r="DW125" s="1" t="s">
        <v>277</v>
      </c>
      <c r="DX125" s="1" t="s">
        <v>220</v>
      </c>
      <c r="DZ125" s="1" t="s">
        <v>2451</v>
      </c>
      <c r="EA125" s="1" t="s">
        <v>219</v>
      </c>
      <c r="EE125" s="1" t="s">
        <v>230</v>
      </c>
      <c r="EI125" s="1" t="s">
        <v>230</v>
      </c>
      <c r="EL125" s="1" t="s">
        <v>466</v>
      </c>
      <c r="EM125" s="1" t="s">
        <v>761</v>
      </c>
      <c r="EN125" s="1" t="s">
        <v>282</v>
      </c>
      <c r="EO125" s="1" t="s">
        <v>234</v>
      </c>
      <c r="EP125" s="1" t="s">
        <v>2452</v>
      </c>
      <c r="EQ125" s="1" t="s">
        <v>236</v>
      </c>
      <c r="ER125" s="1" t="s">
        <v>2453</v>
      </c>
      <c r="ES125" s="1" t="s">
        <v>2454</v>
      </c>
      <c r="ET125" s="1" t="s">
        <v>866</v>
      </c>
      <c r="EU125" s="1" t="s">
        <v>712</v>
      </c>
      <c r="EV125" s="1" t="s">
        <v>240</v>
      </c>
      <c r="EW125" s="1" t="s">
        <v>547</v>
      </c>
      <c r="EY125" s="1" t="s">
        <v>2455</v>
      </c>
      <c r="EZ125" s="1" t="s">
        <v>2456</v>
      </c>
      <c r="FA125" s="1" t="s">
        <v>2457</v>
      </c>
      <c r="FB125" s="1" t="s">
        <v>289</v>
      </c>
      <c r="FD125" s="1" t="s">
        <v>246</v>
      </c>
      <c r="FE125" s="1" t="s">
        <v>247</v>
      </c>
      <c r="FF125" s="1" t="s">
        <v>248</v>
      </c>
      <c r="FG125" s="1" t="s">
        <v>939</v>
      </c>
      <c r="FH125" s="1" t="s">
        <v>2458</v>
      </c>
      <c r="FI125" s="1" t="s">
        <v>473</v>
      </c>
      <c r="FL125" s="1" t="s">
        <v>358</v>
      </c>
      <c r="FM125" s="1" t="s">
        <v>252</v>
      </c>
      <c r="FN125" s="1" t="s">
        <v>213</v>
      </c>
      <c r="FO125" s="1" t="s">
        <v>213</v>
      </c>
      <c r="FQ125" s="1" t="s">
        <v>849</v>
      </c>
      <c r="FR125" s="1" t="s">
        <v>210</v>
      </c>
      <c r="FS125" s="1" t="s">
        <v>2459</v>
      </c>
      <c r="FT125" s="1" t="s">
        <v>1139</v>
      </c>
      <c r="FU125" s="1" t="s">
        <v>204</v>
      </c>
      <c r="FW125" s="1" t="s">
        <v>2460</v>
      </c>
      <c r="FX125" s="1">
        <v>25024</v>
      </c>
      <c r="FY125" s="1" t="s">
        <v>2461</v>
      </c>
      <c r="FZ125" s="1" t="s">
        <v>2462</v>
      </c>
      <c r="GA125" s="1">
        <v>256113</v>
      </c>
      <c r="GB125" s="1" t="s">
        <v>2461</v>
      </c>
      <c r="GE125" s="1" t="s">
        <v>480</v>
      </c>
      <c r="GI125" s="1" t="s">
        <v>204</v>
      </c>
      <c r="GJ125" s="1" t="s">
        <v>260</v>
      </c>
      <c r="GK125" s="1" t="s">
        <v>210</v>
      </c>
      <c r="GL125" s="2">
        <v>42012</v>
      </c>
    </row>
    <row r="126" spans="1:195">
      <c r="A126" s="1">
        <v>41000</v>
      </c>
      <c r="B126" s="1" t="s">
        <v>195</v>
      </c>
      <c r="C126" s="1" t="str">
        <f>"08766920"</f>
        <v>08766920</v>
      </c>
      <c r="D126" s="1" t="s">
        <v>196</v>
      </c>
      <c r="F126" s="1" t="str">
        <f>"8042"</f>
        <v>8042</v>
      </c>
      <c r="G126" s="2">
        <v>41945</v>
      </c>
      <c r="H126" s="1">
        <v>38900</v>
      </c>
      <c r="I126" s="1">
        <v>39900</v>
      </c>
      <c r="J126" s="1">
        <v>41000</v>
      </c>
      <c r="K126" s="2">
        <v>41945</v>
      </c>
      <c r="L126" s="1">
        <v>6</v>
      </c>
      <c r="M126" s="2">
        <v>41950</v>
      </c>
      <c r="N126" s="1">
        <v>6</v>
      </c>
      <c r="O126" s="2">
        <v>41950</v>
      </c>
      <c r="P126" s="1">
        <v>4508</v>
      </c>
      <c r="Q126" s="1" t="s">
        <v>302</v>
      </c>
      <c r="R126" s="2">
        <v>41996</v>
      </c>
      <c r="S126" s="1">
        <v>36806</v>
      </c>
      <c r="U126" s="1">
        <v>964</v>
      </c>
      <c r="V126" s="1" t="s">
        <v>2463</v>
      </c>
      <c r="W126" s="1" t="s">
        <v>725</v>
      </c>
      <c r="X126" s="1" t="s">
        <v>1382</v>
      </c>
      <c r="Y126" s="1">
        <v>9</v>
      </c>
      <c r="Z126" s="1" t="s">
        <v>249</v>
      </c>
      <c r="AA126" s="1" t="s">
        <v>400</v>
      </c>
      <c r="AB126" s="1">
        <v>60637</v>
      </c>
      <c r="AE126" s="1" t="s">
        <v>2464</v>
      </c>
      <c r="AF126" s="1" t="s">
        <v>402</v>
      </c>
      <c r="AG126" s="1" t="s">
        <v>204</v>
      </c>
      <c r="AH126" s="1" t="s">
        <v>403</v>
      </c>
      <c r="AI126" s="1" t="s">
        <v>310</v>
      </c>
      <c r="AJ126" s="1" t="s">
        <v>562</v>
      </c>
      <c r="AL126" s="1">
        <v>5</v>
      </c>
      <c r="AM126" s="1">
        <v>2</v>
      </c>
      <c r="AN126" s="1">
        <v>1</v>
      </c>
      <c r="AO126" s="1">
        <v>0</v>
      </c>
      <c r="AP126" s="1" t="s">
        <v>210</v>
      </c>
      <c r="AR126" s="1" t="s">
        <v>210</v>
      </c>
      <c r="AS126" s="1" t="s">
        <v>204</v>
      </c>
      <c r="AT126" s="1" t="s">
        <v>211</v>
      </c>
      <c r="AU126" s="1">
        <v>1</v>
      </c>
      <c r="AW126" s="1" t="s">
        <v>204</v>
      </c>
      <c r="AX126" s="1" t="s">
        <v>270</v>
      </c>
      <c r="AZ126" s="1">
        <v>1075</v>
      </c>
      <c r="BA126" s="1">
        <v>2012</v>
      </c>
      <c r="BE126" s="1">
        <v>636</v>
      </c>
      <c r="BF126" s="1">
        <v>2</v>
      </c>
      <c r="BG126" s="1">
        <v>0</v>
      </c>
      <c r="BL126" s="1">
        <v>152</v>
      </c>
      <c r="BM126" s="1" t="s">
        <v>204</v>
      </c>
      <c r="BN126" s="1" t="s">
        <v>213</v>
      </c>
      <c r="BO126" s="1">
        <v>30</v>
      </c>
      <c r="BP126" s="1" t="s">
        <v>204</v>
      </c>
      <c r="BR126" s="1" t="str">
        <f>"20143090221003"</f>
        <v>20143090221003</v>
      </c>
      <c r="BT126" s="1" t="s">
        <v>2465</v>
      </c>
      <c r="BX126" s="1">
        <v>299</v>
      </c>
      <c r="BY126" s="1">
        <v>299</v>
      </c>
      <c r="BZ126" s="1">
        <v>299</v>
      </c>
      <c r="CB126" s="1" t="str">
        <f>"0"</f>
        <v>0</v>
      </c>
      <c r="CC126" s="1" t="str">
        <f>"964"</f>
        <v>964</v>
      </c>
      <c r="CD126" s="1">
        <v>0</v>
      </c>
      <c r="CE126" s="1">
        <v>6200</v>
      </c>
      <c r="CG126" s="1" t="s">
        <v>1425</v>
      </c>
      <c r="CH126" s="1" t="s">
        <v>219</v>
      </c>
      <c r="CI126" s="1" t="s">
        <v>438</v>
      </c>
      <c r="CK126" s="1" t="s">
        <v>2466</v>
      </c>
      <c r="CL126" s="1" t="s">
        <v>219</v>
      </c>
      <c r="CM126" s="1" t="s">
        <v>438</v>
      </c>
      <c r="CO126" s="1" t="s">
        <v>629</v>
      </c>
      <c r="CP126" s="1" t="s">
        <v>219</v>
      </c>
      <c r="CQ126" s="1" t="s">
        <v>438</v>
      </c>
      <c r="CS126" s="1" t="s">
        <v>2467</v>
      </c>
      <c r="CT126" s="1" t="s">
        <v>219</v>
      </c>
      <c r="CU126" s="1" t="s">
        <v>438</v>
      </c>
      <c r="CX126" s="1" t="s">
        <v>224</v>
      </c>
      <c r="DB126" s="1" t="s">
        <v>224</v>
      </c>
      <c r="DE126" s="1" t="s">
        <v>318</v>
      </c>
      <c r="DF126" s="1" t="s">
        <v>219</v>
      </c>
      <c r="DG126" s="1" t="s">
        <v>438</v>
      </c>
      <c r="DJ126" s="1" t="s">
        <v>224</v>
      </c>
      <c r="DM126" s="1" t="s">
        <v>1359</v>
      </c>
      <c r="DR126" s="1" t="s">
        <v>2468</v>
      </c>
      <c r="DS126" s="1" t="s">
        <v>219</v>
      </c>
      <c r="DW126" s="1" t="s">
        <v>230</v>
      </c>
      <c r="EA126" s="1" t="s">
        <v>230</v>
      </c>
      <c r="EE126" s="1" t="s">
        <v>230</v>
      </c>
      <c r="EI126" s="1" t="s">
        <v>230</v>
      </c>
      <c r="EL126" s="1" t="s">
        <v>542</v>
      </c>
      <c r="EM126" s="1" t="s">
        <v>232</v>
      </c>
      <c r="EN126" s="1" t="s">
        <v>282</v>
      </c>
      <c r="EO126" s="1" t="s">
        <v>234</v>
      </c>
      <c r="ER126" s="1" t="s">
        <v>210</v>
      </c>
      <c r="EV126" s="1" t="s">
        <v>240</v>
      </c>
      <c r="EW126" s="1" t="s">
        <v>2469</v>
      </c>
      <c r="EY126" s="1" t="s">
        <v>242</v>
      </c>
      <c r="EZ126" s="1" t="s">
        <v>1359</v>
      </c>
      <c r="FB126" s="1" t="s">
        <v>289</v>
      </c>
      <c r="FC126" s="1" t="s">
        <v>2470</v>
      </c>
      <c r="FD126" s="1" t="s">
        <v>246</v>
      </c>
      <c r="FE126" s="1" t="s">
        <v>247</v>
      </c>
      <c r="FF126" s="1" t="s">
        <v>248</v>
      </c>
      <c r="FH126" s="1" t="s">
        <v>249</v>
      </c>
      <c r="FL126" s="1" t="s">
        <v>358</v>
      </c>
      <c r="FM126" s="1" t="s">
        <v>252</v>
      </c>
      <c r="FN126" s="1" t="s">
        <v>213</v>
      </c>
      <c r="FO126" s="1" t="s">
        <v>213</v>
      </c>
      <c r="FQ126" s="1" t="s">
        <v>2471</v>
      </c>
      <c r="FR126" s="1" t="s">
        <v>210</v>
      </c>
      <c r="FS126" s="1" t="s">
        <v>2472</v>
      </c>
      <c r="FT126" s="1" t="s">
        <v>584</v>
      </c>
      <c r="FU126" s="1" t="s">
        <v>204</v>
      </c>
      <c r="FV126" s="1">
        <v>6308209400</v>
      </c>
      <c r="FW126" s="1" t="s">
        <v>2473</v>
      </c>
      <c r="FX126" s="1">
        <v>23444</v>
      </c>
      <c r="FY126" s="1" t="s">
        <v>2474</v>
      </c>
      <c r="FZ126" s="1" t="s">
        <v>2475</v>
      </c>
      <c r="GA126" s="1">
        <v>234622</v>
      </c>
      <c r="GB126" s="1" t="s">
        <v>2474</v>
      </c>
      <c r="GD126" s="1" t="s">
        <v>2476</v>
      </c>
      <c r="GE126" s="1" t="s">
        <v>210</v>
      </c>
      <c r="GH126" s="1" t="s">
        <v>800</v>
      </c>
      <c r="GI126" s="1" t="s">
        <v>213</v>
      </c>
      <c r="GJ126" s="1" t="s">
        <v>260</v>
      </c>
      <c r="GK126" s="1" t="s">
        <v>210</v>
      </c>
      <c r="GL126" s="2">
        <v>41996</v>
      </c>
      <c r="GM126" s="1" t="s">
        <v>2477</v>
      </c>
    </row>
    <row r="127" spans="1:195">
      <c r="A127" s="1">
        <v>148000</v>
      </c>
      <c r="B127" s="1" t="s">
        <v>195</v>
      </c>
      <c r="C127" s="1" t="str">
        <f>"08764594"</f>
        <v>08764594</v>
      </c>
      <c r="D127" s="1" t="s">
        <v>196</v>
      </c>
      <c r="F127" s="1" t="str">
        <f>"507"</f>
        <v>507</v>
      </c>
      <c r="G127" s="2">
        <v>41941</v>
      </c>
      <c r="H127" s="1">
        <v>159900</v>
      </c>
      <c r="I127" s="1">
        <v>159900</v>
      </c>
      <c r="J127" s="1">
        <v>148000</v>
      </c>
      <c r="K127" s="2">
        <v>41941</v>
      </c>
      <c r="L127" s="1">
        <v>93</v>
      </c>
      <c r="M127" s="2">
        <v>42033</v>
      </c>
      <c r="N127" s="1">
        <v>93</v>
      </c>
      <c r="O127" s="2">
        <v>42033</v>
      </c>
      <c r="P127" s="1">
        <v>23120</v>
      </c>
      <c r="Q127" s="1" t="s">
        <v>302</v>
      </c>
      <c r="R127" s="2">
        <v>42048</v>
      </c>
      <c r="S127" s="1">
        <v>239823</v>
      </c>
      <c r="U127" s="1">
        <v>3256</v>
      </c>
      <c r="V127" s="1" t="s">
        <v>2478</v>
      </c>
      <c r="W127" s="1" t="s">
        <v>264</v>
      </c>
      <c r="Y127" s="1">
        <v>4</v>
      </c>
      <c r="Z127" s="1" t="s">
        <v>370</v>
      </c>
      <c r="AA127" s="1" t="s">
        <v>1123</v>
      </c>
      <c r="AB127" s="1">
        <v>60504</v>
      </c>
      <c r="AD127" s="1" t="s">
        <v>2479</v>
      </c>
      <c r="AE127" s="1" t="s">
        <v>2480</v>
      </c>
      <c r="AF127" s="1">
        <v>1995</v>
      </c>
      <c r="AG127" s="1" t="s">
        <v>204</v>
      </c>
      <c r="AH127" s="1" t="s">
        <v>1126</v>
      </c>
      <c r="AI127" s="1" t="s">
        <v>206</v>
      </c>
      <c r="AJ127" s="1" t="s">
        <v>924</v>
      </c>
      <c r="AK127" s="1" t="s">
        <v>2481</v>
      </c>
      <c r="AL127" s="1">
        <v>6</v>
      </c>
      <c r="AM127" s="1">
        <v>2</v>
      </c>
      <c r="AN127" s="1">
        <v>2</v>
      </c>
      <c r="AO127" s="1">
        <v>1</v>
      </c>
      <c r="AP127" s="1" t="s">
        <v>209</v>
      </c>
      <c r="AQ127" s="1">
        <v>1</v>
      </c>
      <c r="AR127" s="1" t="s">
        <v>210</v>
      </c>
      <c r="AT127" s="1" t="s">
        <v>211</v>
      </c>
      <c r="AU127" s="1">
        <v>2</v>
      </c>
      <c r="AW127" s="1" t="s">
        <v>204</v>
      </c>
      <c r="AX127" s="1" t="s">
        <v>212</v>
      </c>
      <c r="AZ127" s="1">
        <v>4111.8999999999996</v>
      </c>
      <c r="BA127" s="1">
        <v>2013</v>
      </c>
      <c r="BB127" s="1" t="s">
        <v>405</v>
      </c>
      <c r="BE127" s="1">
        <v>1833</v>
      </c>
      <c r="BF127" s="1">
        <v>1</v>
      </c>
      <c r="BG127" s="1">
        <v>0</v>
      </c>
      <c r="BL127" s="1">
        <v>219</v>
      </c>
      <c r="BM127" s="1" t="s">
        <v>204</v>
      </c>
      <c r="BN127" s="1" t="s">
        <v>213</v>
      </c>
      <c r="BO127" s="1">
        <v>100</v>
      </c>
      <c r="BP127" s="1" t="s">
        <v>204</v>
      </c>
      <c r="BR127" s="1" t="str">
        <f>"0720312018"</f>
        <v>0720312018</v>
      </c>
      <c r="BT127" s="1" t="s">
        <v>2482</v>
      </c>
      <c r="BU127" s="1" t="s">
        <v>1129</v>
      </c>
      <c r="BV127" s="1" t="s">
        <v>1130</v>
      </c>
      <c r="BW127" s="1" t="s">
        <v>1312</v>
      </c>
      <c r="BX127" s="1">
        <v>204</v>
      </c>
      <c r="BY127" s="1">
        <v>204</v>
      </c>
      <c r="BZ127" s="1">
        <v>204</v>
      </c>
      <c r="CB127" s="1" t="str">
        <f t="shared" ref="CB127:CC127" si="98">""</f>
        <v/>
      </c>
      <c r="CC127" s="1" t="str">
        <f t="shared" si="98"/>
        <v/>
      </c>
      <c r="CG127" s="1" t="s">
        <v>1570</v>
      </c>
      <c r="CH127" s="1" t="s">
        <v>219</v>
      </c>
      <c r="CI127" s="1" t="s">
        <v>220</v>
      </c>
      <c r="CJ127" s="1" t="s">
        <v>343</v>
      </c>
      <c r="CK127" s="1" t="s">
        <v>276</v>
      </c>
      <c r="CL127" s="1" t="s">
        <v>277</v>
      </c>
      <c r="CM127" s="1" t="s">
        <v>220</v>
      </c>
      <c r="CN127" s="1" t="s">
        <v>252</v>
      </c>
      <c r="CO127" s="1" t="s">
        <v>346</v>
      </c>
      <c r="CP127" s="1" t="s">
        <v>219</v>
      </c>
      <c r="CQ127" s="1" t="s">
        <v>220</v>
      </c>
      <c r="CR127" s="1" t="s">
        <v>252</v>
      </c>
      <c r="CS127" s="1" t="s">
        <v>1854</v>
      </c>
      <c r="CT127" s="1" t="s">
        <v>277</v>
      </c>
      <c r="CU127" s="1" t="s">
        <v>220</v>
      </c>
      <c r="CX127" s="1" t="s">
        <v>224</v>
      </c>
      <c r="DB127" s="1" t="s">
        <v>224</v>
      </c>
      <c r="DE127" s="1" t="s">
        <v>346</v>
      </c>
      <c r="DF127" s="1" t="s">
        <v>219</v>
      </c>
      <c r="DG127" s="1" t="s">
        <v>226</v>
      </c>
      <c r="DH127" s="1" t="s">
        <v>252</v>
      </c>
      <c r="DJ127" s="1" t="s">
        <v>224</v>
      </c>
      <c r="DM127" s="1" t="s">
        <v>464</v>
      </c>
      <c r="DR127" s="1" t="s">
        <v>932</v>
      </c>
      <c r="DS127" s="1" t="s">
        <v>277</v>
      </c>
      <c r="DT127" s="1" t="s">
        <v>220</v>
      </c>
      <c r="DW127" s="1" t="s">
        <v>230</v>
      </c>
      <c r="EA127" s="1" t="s">
        <v>230</v>
      </c>
      <c r="EE127" s="1" t="s">
        <v>230</v>
      </c>
      <c r="EI127" s="1" t="s">
        <v>230</v>
      </c>
      <c r="EL127" s="1" t="s">
        <v>670</v>
      </c>
      <c r="EM127" s="1" t="s">
        <v>319</v>
      </c>
      <c r="EN127" s="1" t="s">
        <v>282</v>
      </c>
      <c r="EO127" s="1" t="s">
        <v>234</v>
      </c>
      <c r="EP127" s="1" t="s">
        <v>936</v>
      </c>
      <c r="EQ127" s="1" t="s">
        <v>492</v>
      </c>
      <c r="ER127" s="1" t="s">
        <v>383</v>
      </c>
      <c r="ES127" s="1" t="s">
        <v>824</v>
      </c>
      <c r="ET127" s="1" t="s">
        <v>1752</v>
      </c>
      <c r="EU127" s="1" t="s">
        <v>1820</v>
      </c>
      <c r="EV127" s="1" t="s">
        <v>352</v>
      </c>
      <c r="EW127" s="1" t="s">
        <v>353</v>
      </c>
      <c r="EY127" s="1" t="s">
        <v>790</v>
      </c>
      <c r="EZ127" s="1" t="s">
        <v>464</v>
      </c>
      <c r="FB127" s="1" t="s">
        <v>289</v>
      </c>
      <c r="FC127" s="1" t="s">
        <v>1405</v>
      </c>
      <c r="FD127" s="1" t="s">
        <v>246</v>
      </c>
      <c r="FE127" s="1" t="s">
        <v>975</v>
      </c>
      <c r="FF127" s="1" t="s">
        <v>248</v>
      </c>
      <c r="FG127" s="1" t="s">
        <v>871</v>
      </c>
      <c r="FH127" s="1" t="s">
        <v>550</v>
      </c>
      <c r="FI127" s="1" t="s">
        <v>473</v>
      </c>
      <c r="FL127" s="1" t="s">
        <v>358</v>
      </c>
      <c r="FM127" s="1" t="s">
        <v>252</v>
      </c>
      <c r="FN127" s="1" t="s">
        <v>213</v>
      </c>
      <c r="FO127" s="1" t="s">
        <v>213</v>
      </c>
      <c r="FQ127" s="1" t="s">
        <v>793</v>
      </c>
      <c r="FR127" s="1" t="s">
        <v>210</v>
      </c>
      <c r="FS127" s="1" t="s">
        <v>2483</v>
      </c>
      <c r="FT127" s="1" t="s">
        <v>255</v>
      </c>
      <c r="FU127" s="1" t="s">
        <v>204</v>
      </c>
      <c r="FW127" s="1" t="s">
        <v>915</v>
      </c>
      <c r="FX127" s="1">
        <v>22205</v>
      </c>
      <c r="FY127" s="1" t="s">
        <v>2484</v>
      </c>
      <c r="FZ127" s="1" t="s">
        <v>2485</v>
      </c>
      <c r="GA127" s="1">
        <v>250467</v>
      </c>
      <c r="GB127" s="1" t="s">
        <v>2486</v>
      </c>
      <c r="GD127" s="1" t="s">
        <v>2487</v>
      </c>
      <c r="GE127" s="1" t="s">
        <v>480</v>
      </c>
      <c r="GI127" s="1" t="s">
        <v>213</v>
      </c>
      <c r="GJ127" s="1" t="s">
        <v>260</v>
      </c>
      <c r="GK127" s="1" t="s">
        <v>210</v>
      </c>
      <c r="GL127" s="2">
        <v>42051</v>
      </c>
      <c r="GM127" s="1" t="s">
        <v>2488</v>
      </c>
    </row>
    <row r="128" spans="1:195">
      <c r="A128" s="1">
        <v>107500</v>
      </c>
      <c r="B128" s="1" t="s">
        <v>195</v>
      </c>
      <c r="C128" s="1" t="str">
        <f>"08763286"</f>
        <v>08763286</v>
      </c>
      <c r="D128" s="1" t="s">
        <v>196</v>
      </c>
      <c r="F128" s="1" t="str">
        <f>"558"</f>
        <v>558</v>
      </c>
      <c r="G128" s="2">
        <v>41940</v>
      </c>
      <c r="H128" s="1">
        <v>119900</v>
      </c>
      <c r="I128" s="1">
        <v>119900</v>
      </c>
      <c r="J128" s="1">
        <v>107500</v>
      </c>
      <c r="K128" s="2">
        <v>41940</v>
      </c>
      <c r="L128" s="1">
        <v>87</v>
      </c>
      <c r="M128" s="2">
        <v>42026</v>
      </c>
      <c r="N128" s="1">
        <v>87</v>
      </c>
      <c r="O128" s="2">
        <v>42026</v>
      </c>
      <c r="P128" s="1">
        <v>23861</v>
      </c>
      <c r="Q128" s="1" t="s">
        <v>302</v>
      </c>
      <c r="R128" s="2">
        <v>42041</v>
      </c>
      <c r="S128" s="1">
        <v>221609</v>
      </c>
      <c r="U128" s="1">
        <v>5580</v>
      </c>
      <c r="V128" s="1" t="s">
        <v>2489</v>
      </c>
      <c r="W128" s="1" t="s">
        <v>1056</v>
      </c>
      <c r="X128" s="1">
        <v>303</v>
      </c>
      <c r="Y128" s="1">
        <v>24</v>
      </c>
      <c r="Z128" s="1" t="s">
        <v>249</v>
      </c>
      <c r="AA128" s="1" t="s">
        <v>2490</v>
      </c>
      <c r="AB128" s="1">
        <v>60558</v>
      </c>
      <c r="AD128" s="1" t="s">
        <v>2491</v>
      </c>
      <c r="AE128" s="1" t="s">
        <v>2492</v>
      </c>
      <c r="AF128" s="1">
        <v>1974</v>
      </c>
      <c r="AG128" s="1" t="s">
        <v>213</v>
      </c>
      <c r="AH128" s="1" t="s">
        <v>2493</v>
      </c>
      <c r="AI128" s="1" t="s">
        <v>310</v>
      </c>
      <c r="AJ128" s="1" t="s">
        <v>702</v>
      </c>
      <c r="AL128" s="1">
        <v>5</v>
      </c>
      <c r="AM128" s="1">
        <v>2</v>
      </c>
      <c r="AN128" s="1">
        <v>2</v>
      </c>
      <c r="AO128" s="1">
        <v>0</v>
      </c>
      <c r="AP128" s="1" t="s">
        <v>209</v>
      </c>
      <c r="AQ128" s="1">
        <v>1</v>
      </c>
      <c r="AR128" s="1" t="s">
        <v>210</v>
      </c>
      <c r="AS128" s="1" t="s">
        <v>204</v>
      </c>
      <c r="AT128" s="1" t="s">
        <v>211</v>
      </c>
      <c r="AU128" s="1">
        <v>1</v>
      </c>
      <c r="AW128" s="1" t="s">
        <v>204</v>
      </c>
      <c r="AX128" s="1" t="s">
        <v>212</v>
      </c>
      <c r="AZ128" s="1">
        <v>3682.24</v>
      </c>
      <c r="BA128" s="1">
        <v>2013</v>
      </c>
      <c r="BB128" s="1" t="s">
        <v>210</v>
      </c>
      <c r="BE128" s="1">
        <v>0</v>
      </c>
      <c r="BF128" s="1">
        <v>3</v>
      </c>
      <c r="BG128" s="1">
        <v>15</v>
      </c>
      <c r="BL128" s="1">
        <v>266</v>
      </c>
      <c r="BM128" s="1" t="s">
        <v>204</v>
      </c>
      <c r="BN128" s="1" t="s">
        <v>204</v>
      </c>
      <c r="BP128" s="1" t="s">
        <v>204</v>
      </c>
      <c r="BR128" s="1" t="str">
        <f>"18182000331019"</f>
        <v>18182000331019</v>
      </c>
      <c r="BT128" s="1" t="s">
        <v>2494</v>
      </c>
      <c r="BU128" s="1" t="s">
        <v>2495</v>
      </c>
      <c r="BV128" s="1" t="s">
        <v>2496</v>
      </c>
      <c r="BW128" s="1" t="s">
        <v>706</v>
      </c>
      <c r="BX128" s="1">
        <v>106</v>
      </c>
      <c r="BY128" s="1">
        <v>106</v>
      </c>
      <c r="BZ128" s="1">
        <v>204</v>
      </c>
      <c r="CB128" s="1" t="str">
        <f t="shared" ref="CB128:CC128" si="99">"0"</f>
        <v>0</v>
      </c>
      <c r="CC128" s="1" t="str">
        <f t="shared" si="99"/>
        <v>0</v>
      </c>
      <c r="CD128" s="1">
        <v>0</v>
      </c>
      <c r="CE128" s="1">
        <v>0</v>
      </c>
      <c r="CG128" s="1" t="s">
        <v>908</v>
      </c>
      <c r="CH128" s="1" t="s">
        <v>219</v>
      </c>
      <c r="CI128" s="1" t="s">
        <v>220</v>
      </c>
      <c r="CK128" s="1" t="s">
        <v>315</v>
      </c>
      <c r="CL128" s="1" t="s">
        <v>219</v>
      </c>
      <c r="CM128" s="1" t="s">
        <v>220</v>
      </c>
      <c r="CO128" s="1" t="s">
        <v>409</v>
      </c>
      <c r="CP128" s="1" t="s">
        <v>219</v>
      </c>
      <c r="CQ128" s="1" t="s">
        <v>220</v>
      </c>
      <c r="CS128" s="1" t="s">
        <v>465</v>
      </c>
      <c r="CT128" s="1" t="s">
        <v>219</v>
      </c>
      <c r="CU128" s="1" t="s">
        <v>1236</v>
      </c>
      <c r="CX128" s="1" t="s">
        <v>224</v>
      </c>
      <c r="DB128" s="1" t="s">
        <v>224</v>
      </c>
      <c r="DE128" s="1" t="s">
        <v>2138</v>
      </c>
      <c r="DF128" s="1" t="s">
        <v>219</v>
      </c>
      <c r="DG128" s="1" t="s">
        <v>342</v>
      </c>
      <c r="DJ128" s="1" t="s">
        <v>224</v>
      </c>
      <c r="DM128" s="1" t="s">
        <v>709</v>
      </c>
      <c r="DR128" s="1" t="s">
        <v>1773</v>
      </c>
      <c r="DS128" s="1" t="s">
        <v>219</v>
      </c>
      <c r="DT128" s="1" t="s">
        <v>220</v>
      </c>
      <c r="DW128" s="1" t="s">
        <v>230</v>
      </c>
      <c r="EA128" s="1" t="s">
        <v>230</v>
      </c>
      <c r="EE128" s="1" t="s">
        <v>230</v>
      </c>
      <c r="EI128" s="1" t="s">
        <v>230</v>
      </c>
      <c r="EL128" s="1" t="s">
        <v>605</v>
      </c>
      <c r="EM128" s="1" t="s">
        <v>232</v>
      </c>
      <c r="EN128" s="1" t="s">
        <v>282</v>
      </c>
      <c r="EO128" s="1" t="s">
        <v>234</v>
      </c>
      <c r="EP128" s="1" t="s">
        <v>2497</v>
      </c>
      <c r="EQ128" s="1" t="s">
        <v>350</v>
      </c>
      <c r="ER128" s="1" t="s">
        <v>210</v>
      </c>
      <c r="ES128" s="1" t="s">
        <v>322</v>
      </c>
      <c r="EV128" s="1" t="s">
        <v>240</v>
      </c>
      <c r="EW128" s="1" t="s">
        <v>2498</v>
      </c>
      <c r="EZ128" s="1" t="s">
        <v>709</v>
      </c>
      <c r="FA128" s="1" t="s">
        <v>2499</v>
      </c>
      <c r="FB128" s="1" t="s">
        <v>289</v>
      </c>
      <c r="FC128" s="1" t="s">
        <v>633</v>
      </c>
      <c r="FD128" s="1" t="s">
        <v>1112</v>
      </c>
      <c r="FE128" s="1" t="s">
        <v>247</v>
      </c>
      <c r="FF128" s="1" t="s">
        <v>387</v>
      </c>
      <c r="FG128" s="1" t="s">
        <v>912</v>
      </c>
      <c r="FH128" s="1" t="s">
        <v>249</v>
      </c>
      <c r="FI128" s="1" t="s">
        <v>473</v>
      </c>
      <c r="FL128" s="1" t="s">
        <v>1073</v>
      </c>
      <c r="FM128" s="1" t="s">
        <v>252</v>
      </c>
      <c r="FN128" s="1" t="s">
        <v>213</v>
      </c>
      <c r="FO128" s="1" t="s">
        <v>213</v>
      </c>
      <c r="FQ128" s="1" t="s">
        <v>2500</v>
      </c>
      <c r="FR128" s="1" t="s">
        <v>210</v>
      </c>
      <c r="FS128" s="1" t="s">
        <v>2501</v>
      </c>
      <c r="FT128" s="1" t="s">
        <v>255</v>
      </c>
      <c r="FU128" s="1" t="s">
        <v>204</v>
      </c>
      <c r="FW128" s="1" t="s">
        <v>585</v>
      </c>
      <c r="FX128" s="1">
        <v>60021</v>
      </c>
      <c r="FY128" s="1" t="s">
        <v>2502</v>
      </c>
      <c r="FZ128" s="1" t="s">
        <v>2503</v>
      </c>
      <c r="GA128" s="1">
        <v>217919</v>
      </c>
      <c r="GE128" s="1" t="s">
        <v>2504</v>
      </c>
      <c r="GI128" s="1" t="s">
        <v>213</v>
      </c>
      <c r="GJ128" s="1" t="s">
        <v>260</v>
      </c>
      <c r="GK128" s="1" t="s">
        <v>210</v>
      </c>
      <c r="GL128" s="2">
        <v>42041</v>
      </c>
      <c r="GM128" s="1" t="s">
        <v>2505</v>
      </c>
    </row>
    <row r="129" spans="1:195">
      <c r="A129" s="1">
        <v>102500</v>
      </c>
      <c r="B129" s="1" t="s">
        <v>195</v>
      </c>
      <c r="C129" s="1" t="str">
        <f>"08761550"</f>
        <v>08761550</v>
      </c>
      <c r="D129" s="1" t="s">
        <v>196</v>
      </c>
      <c r="F129" s="1" t="str">
        <f>"85"</f>
        <v>85</v>
      </c>
      <c r="G129" s="2">
        <v>41937</v>
      </c>
      <c r="H129" s="1">
        <v>107900</v>
      </c>
      <c r="I129" s="1">
        <v>105900</v>
      </c>
      <c r="J129" s="1">
        <v>102500</v>
      </c>
      <c r="K129" s="2">
        <v>41937</v>
      </c>
      <c r="L129" s="1">
        <v>96</v>
      </c>
      <c r="M129" s="2">
        <v>42032</v>
      </c>
      <c r="N129" s="1">
        <v>96</v>
      </c>
      <c r="O129" s="2">
        <v>42032</v>
      </c>
      <c r="P129" s="1">
        <v>2700</v>
      </c>
      <c r="Q129" s="1" t="s">
        <v>197</v>
      </c>
      <c r="R129" s="2">
        <v>42061</v>
      </c>
      <c r="S129" s="1">
        <v>16608</v>
      </c>
      <c r="U129" s="1">
        <v>4497</v>
      </c>
      <c r="V129" s="1" t="s">
        <v>2506</v>
      </c>
      <c r="W129" s="1" t="s">
        <v>504</v>
      </c>
      <c r="Y129" s="1">
        <v>4</v>
      </c>
      <c r="Z129" s="1" t="s">
        <v>370</v>
      </c>
      <c r="AA129" s="1" t="s">
        <v>2507</v>
      </c>
      <c r="AB129" s="1">
        <v>60085</v>
      </c>
      <c r="AE129" s="1" t="s">
        <v>2508</v>
      </c>
      <c r="AF129" s="1">
        <v>1995</v>
      </c>
      <c r="AG129" s="1" t="s">
        <v>204</v>
      </c>
      <c r="AH129" s="1" t="s">
        <v>2509</v>
      </c>
      <c r="AI129" s="1" t="s">
        <v>509</v>
      </c>
      <c r="AJ129" s="1" t="s">
        <v>1061</v>
      </c>
      <c r="AL129" s="1">
        <v>4</v>
      </c>
      <c r="AM129" s="1">
        <v>2</v>
      </c>
      <c r="AN129" s="1">
        <v>1</v>
      </c>
      <c r="AO129" s="1">
        <v>1</v>
      </c>
      <c r="AP129" s="1" t="s">
        <v>210</v>
      </c>
      <c r="AQ129" s="1">
        <v>1</v>
      </c>
      <c r="AR129" s="1" t="s">
        <v>210</v>
      </c>
      <c r="AS129" s="1" t="s">
        <v>204</v>
      </c>
      <c r="AT129" s="1" t="s">
        <v>211</v>
      </c>
      <c r="AU129" s="1">
        <v>1</v>
      </c>
      <c r="AW129" s="1" t="s">
        <v>204</v>
      </c>
      <c r="AX129" s="1" t="s">
        <v>212</v>
      </c>
      <c r="AZ129" s="1">
        <v>5619.02</v>
      </c>
      <c r="BA129" s="1">
        <v>2013</v>
      </c>
      <c r="BE129" s="1">
        <v>1205</v>
      </c>
      <c r="BF129" s="1">
        <v>1</v>
      </c>
      <c r="BG129" s="1">
        <v>0</v>
      </c>
      <c r="BL129" s="1">
        <v>166</v>
      </c>
      <c r="BM129" s="1" t="s">
        <v>204</v>
      </c>
      <c r="BN129" s="1" t="s">
        <v>213</v>
      </c>
      <c r="BO129" s="1">
        <v>65</v>
      </c>
      <c r="BP129" s="1" t="s">
        <v>204</v>
      </c>
      <c r="BR129" s="1" t="str">
        <f>"07352100280000"</f>
        <v>07352100280000</v>
      </c>
      <c r="BT129" s="1" t="s">
        <v>2510</v>
      </c>
      <c r="BX129" s="1">
        <v>50</v>
      </c>
      <c r="BY129" s="1">
        <v>50</v>
      </c>
      <c r="BZ129" s="1">
        <v>121</v>
      </c>
      <c r="CB129" s="1" t="str">
        <f t="shared" ref="CB129:CC129" si="100">""</f>
        <v/>
      </c>
      <c r="CC129" s="1" t="str">
        <f t="shared" si="100"/>
        <v/>
      </c>
      <c r="CG129" s="1" t="s">
        <v>2511</v>
      </c>
      <c r="CH129" s="1" t="s">
        <v>219</v>
      </c>
      <c r="CI129" s="1" t="s">
        <v>438</v>
      </c>
      <c r="CK129" s="1" t="s">
        <v>757</v>
      </c>
      <c r="CL129" s="1" t="s">
        <v>277</v>
      </c>
      <c r="CM129" s="1" t="s">
        <v>220</v>
      </c>
      <c r="CP129" s="1" t="s">
        <v>224</v>
      </c>
      <c r="CS129" s="1" t="s">
        <v>465</v>
      </c>
      <c r="CT129" s="1" t="s">
        <v>277</v>
      </c>
      <c r="CX129" s="1" t="s">
        <v>224</v>
      </c>
      <c r="DB129" s="1" t="s">
        <v>224</v>
      </c>
      <c r="DE129" s="1" t="s">
        <v>346</v>
      </c>
      <c r="DF129" s="1" t="s">
        <v>219</v>
      </c>
      <c r="DG129" s="1" t="s">
        <v>347</v>
      </c>
      <c r="DJ129" s="1" t="s">
        <v>224</v>
      </c>
      <c r="DS129" s="1" t="s">
        <v>230</v>
      </c>
      <c r="DW129" s="1" t="s">
        <v>230</v>
      </c>
      <c r="EA129" s="1" t="s">
        <v>230</v>
      </c>
      <c r="EE129" s="1" t="s">
        <v>230</v>
      </c>
      <c r="EI129" s="1" t="s">
        <v>230</v>
      </c>
      <c r="EL129" s="1" t="s">
        <v>670</v>
      </c>
      <c r="EM129" s="1" t="s">
        <v>319</v>
      </c>
      <c r="EN129" s="1" t="s">
        <v>282</v>
      </c>
      <c r="EO129" s="1" t="s">
        <v>234</v>
      </c>
      <c r="EQ129" s="1" t="s">
        <v>492</v>
      </c>
      <c r="ER129" s="1" t="s">
        <v>210</v>
      </c>
      <c r="EU129" s="1" t="s">
        <v>239</v>
      </c>
      <c r="EW129" s="1" t="s">
        <v>353</v>
      </c>
      <c r="EY129" s="1" t="s">
        <v>242</v>
      </c>
      <c r="EZ129" s="1" t="s">
        <v>287</v>
      </c>
      <c r="FD129" s="1" t="s">
        <v>246</v>
      </c>
      <c r="FE129" s="1" t="s">
        <v>355</v>
      </c>
      <c r="FF129" s="1" t="s">
        <v>248</v>
      </c>
      <c r="FG129" s="1" t="s">
        <v>2406</v>
      </c>
      <c r="FH129" s="1" t="s">
        <v>550</v>
      </c>
      <c r="FI129" s="1" t="s">
        <v>357</v>
      </c>
      <c r="FJ129" s="1" t="s">
        <v>197</v>
      </c>
      <c r="FL129" s="1" t="s">
        <v>358</v>
      </c>
      <c r="FM129" s="1" t="s">
        <v>252</v>
      </c>
      <c r="FN129" s="1" t="s">
        <v>213</v>
      </c>
      <c r="FO129" s="1" t="s">
        <v>213</v>
      </c>
      <c r="FQ129" s="1" t="s">
        <v>2512</v>
      </c>
      <c r="FR129" s="1" t="s">
        <v>210</v>
      </c>
      <c r="FS129" s="1" t="s">
        <v>2513</v>
      </c>
      <c r="FT129" s="1" t="s">
        <v>1408</v>
      </c>
      <c r="FU129" s="1" t="s">
        <v>204</v>
      </c>
      <c r="FW129" s="1" t="s">
        <v>1275</v>
      </c>
      <c r="FX129" s="1">
        <v>2411</v>
      </c>
      <c r="FY129" s="1" t="s">
        <v>1276</v>
      </c>
      <c r="FZ129" s="1" t="s">
        <v>2514</v>
      </c>
      <c r="GA129" s="1">
        <v>15835</v>
      </c>
      <c r="GB129" s="1" t="s">
        <v>2515</v>
      </c>
      <c r="GE129" s="1" t="s">
        <v>480</v>
      </c>
      <c r="GH129" s="1" t="s">
        <v>589</v>
      </c>
      <c r="GI129" s="1" t="s">
        <v>213</v>
      </c>
      <c r="GJ129" s="1" t="s">
        <v>260</v>
      </c>
      <c r="GK129" s="1" t="s">
        <v>210</v>
      </c>
      <c r="GL129" s="2">
        <v>42061</v>
      </c>
      <c r="GM129" s="1" t="s">
        <v>2516</v>
      </c>
    </row>
    <row r="130" spans="1:195">
      <c r="A130" s="1">
        <v>19000</v>
      </c>
      <c r="B130" s="1" t="s">
        <v>195</v>
      </c>
      <c r="C130" s="1" t="str">
        <f>"08764675"</f>
        <v>08764675</v>
      </c>
      <c r="D130" s="1" t="s">
        <v>196</v>
      </c>
      <c r="F130" s="1" t="str">
        <f>"8038"</f>
        <v>8038</v>
      </c>
      <c r="G130" s="2">
        <v>41941</v>
      </c>
      <c r="H130" s="1">
        <v>25750</v>
      </c>
      <c r="I130" s="1">
        <v>20750</v>
      </c>
      <c r="J130" s="1">
        <v>19000</v>
      </c>
      <c r="K130" s="2">
        <v>41940</v>
      </c>
      <c r="L130" s="1">
        <v>72</v>
      </c>
      <c r="M130" s="2">
        <v>42011</v>
      </c>
      <c r="N130" s="1">
        <v>72</v>
      </c>
      <c r="O130" s="2">
        <v>42011</v>
      </c>
      <c r="P130" s="1">
        <v>7450</v>
      </c>
      <c r="Q130" s="1" t="s">
        <v>302</v>
      </c>
      <c r="R130" s="2">
        <v>42034</v>
      </c>
      <c r="S130" s="1">
        <v>879525</v>
      </c>
      <c r="U130" s="1">
        <v>537</v>
      </c>
      <c r="V130" s="1" t="s">
        <v>2517</v>
      </c>
      <c r="W130" s="1" t="s">
        <v>779</v>
      </c>
      <c r="X130" s="1" t="s">
        <v>2518</v>
      </c>
      <c r="Y130" s="1">
        <v>6</v>
      </c>
      <c r="Z130" s="1" t="s">
        <v>249</v>
      </c>
      <c r="AA130" s="1" t="s">
        <v>400</v>
      </c>
      <c r="AB130" s="1">
        <v>60653</v>
      </c>
      <c r="AE130" s="1" t="s">
        <v>2519</v>
      </c>
      <c r="AF130" s="1">
        <v>1920</v>
      </c>
      <c r="AG130" s="1" t="s">
        <v>213</v>
      </c>
      <c r="AH130" s="1" t="s">
        <v>403</v>
      </c>
      <c r="AI130" s="1" t="s">
        <v>310</v>
      </c>
      <c r="AJ130" s="1" t="s">
        <v>562</v>
      </c>
      <c r="AL130" s="1">
        <v>4</v>
      </c>
      <c r="AM130" s="1">
        <v>2</v>
      </c>
      <c r="AN130" s="1">
        <v>1</v>
      </c>
      <c r="AO130" s="1">
        <v>0</v>
      </c>
      <c r="AP130" s="1" t="s">
        <v>210</v>
      </c>
      <c r="AR130" s="1" t="s">
        <v>210</v>
      </c>
      <c r="AS130" s="1" t="s">
        <v>204</v>
      </c>
      <c r="AT130" s="1" t="s">
        <v>271</v>
      </c>
      <c r="AV130" s="1">
        <v>1</v>
      </c>
      <c r="AW130" s="1" t="s">
        <v>204</v>
      </c>
      <c r="AX130" s="1" t="s">
        <v>212</v>
      </c>
      <c r="AZ130" s="1">
        <v>1730.57</v>
      </c>
      <c r="BA130" s="1">
        <v>2012</v>
      </c>
      <c r="BE130" s="1">
        <v>800</v>
      </c>
      <c r="BF130" s="1">
        <v>2</v>
      </c>
      <c r="BG130" s="1">
        <v>0</v>
      </c>
      <c r="BL130" s="1">
        <v>0</v>
      </c>
      <c r="BM130" s="1" t="s">
        <v>204</v>
      </c>
      <c r="BN130" s="1" t="s">
        <v>213</v>
      </c>
      <c r="BO130" s="1">
        <v>0</v>
      </c>
      <c r="BP130" s="1" t="s">
        <v>204</v>
      </c>
      <c r="BR130" s="1" t="str">
        <f>"20034240261002"</f>
        <v>20034240261002</v>
      </c>
      <c r="BT130" s="1" t="s">
        <v>2520</v>
      </c>
      <c r="BX130" s="1">
        <v>299</v>
      </c>
      <c r="BY130" s="1">
        <v>299</v>
      </c>
      <c r="BZ130" s="1">
        <v>299</v>
      </c>
      <c r="CB130" s="1" t="str">
        <f>"0"</f>
        <v>0</v>
      </c>
      <c r="CC130" s="1" t="str">
        <f>"600"</f>
        <v>600</v>
      </c>
      <c r="CD130" s="1">
        <v>0</v>
      </c>
      <c r="CE130" s="1">
        <v>4600</v>
      </c>
      <c r="CG130" s="1" t="s">
        <v>1004</v>
      </c>
      <c r="CH130" s="1" t="s">
        <v>219</v>
      </c>
      <c r="CI130" s="1" t="s">
        <v>438</v>
      </c>
      <c r="CJ130" s="1" t="s">
        <v>210</v>
      </c>
      <c r="CK130" s="1" t="s">
        <v>836</v>
      </c>
      <c r="CL130" s="1" t="s">
        <v>219</v>
      </c>
      <c r="CM130" s="1" t="s">
        <v>220</v>
      </c>
      <c r="CN130" s="1" t="s">
        <v>210</v>
      </c>
      <c r="CP130" s="1" t="s">
        <v>224</v>
      </c>
      <c r="CS130" s="1" t="s">
        <v>836</v>
      </c>
      <c r="CT130" s="1" t="s">
        <v>219</v>
      </c>
      <c r="CU130" s="1" t="s">
        <v>220</v>
      </c>
      <c r="CV130" s="1" t="s">
        <v>210</v>
      </c>
      <c r="CX130" s="1" t="s">
        <v>224</v>
      </c>
      <c r="DB130" s="1" t="s">
        <v>224</v>
      </c>
      <c r="DE130" s="1" t="s">
        <v>1358</v>
      </c>
      <c r="DF130" s="1" t="s">
        <v>219</v>
      </c>
      <c r="DG130" s="1" t="s">
        <v>226</v>
      </c>
      <c r="DH130" s="1" t="s">
        <v>210</v>
      </c>
      <c r="DJ130" s="1" t="s">
        <v>224</v>
      </c>
      <c r="DS130" s="1" t="s">
        <v>230</v>
      </c>
      <c r="DW130" s="1" t="s">
        <v>230</v>
      </c>
      <c r="EA130" s="1" t="s">
        <v>230</v>
      </c>
      <c r="EE130" s="1" t="s">
        <v>230</v>
      </c>
      <c r="EI130" s="1" t="s">
        <v>230</v>
      </c>
      <c r="EL130" s="1" t="s">
        <v>2521</v>
      </c>
      <c r="EM130" s="1" t="s">
        <v>730</v>
      </c>
      <c r="EN130" s="1" t="s">
        <v>282</v>
      </c>
      <c r="EO130" s="1" t="s">
        <v>234</v>
      </c>
      <c r="ER130" s="1" t="s">
        <v>210</v>
      </c>
      <c r="EW130" s="1" t="s">
        <v>210</v>
      </c>
      <c r="EY130" s="1" t="s">
        <v>242</v>
      </c>
      <c r="EZ130" s="1" t="s">
        <v>287</v>
      </c>
      <c r="FC130" s="1" t="s">
        <v>245</v>
      </c>
      <c r="FD130" s="1" t="s">
        <v>246</v>
      </c>
      <c r="FE130" s="1" t="s">
        <v>247</v>
      </c>
      <c r="FF130" s="1" t="s">
        <v>248</v>
      </c>
      <c r="FH130" s="1" t="s">
        <v>716</v>
      </c>
      <c r="FK130" s="1" t="s">
        <v>2522</v>
      </c>
      <c r="FL130" s="1" t="s">
        <v>358</v>
      </c>
      <c r="FM130" s="1" t="s">
        <v>252</v>
      </c>
      <c r="FN130" s="1" t="s">
        <v>213</v>
      </c>
      <c r="FO130" s="1" t="s">
        <v>213</v>
      </c>
      <c r="FQ130" s="1" t="s">
        <v>2523</v>
      </c>
      <c r="FR130" s="1" t="s">
        <v>210</v>
      </c>
      <c r="FS130" s="1" t="s">
        <v>2524</v>
      </c>
      <c r="FT130" s="1" t="s">
        <v>2525</v>
      </c>
      <c r="FU130" s="1" t="s">
        <v>204</v>
      </c>
      <c r="FW130" s="1" t="s">
        <v>2526</v>
      </c>
      <c r="FX130" s="1">
        <v>12619</v>
      </c>
      <c r="FY130" s="1" t="s">
        <v>2527</v>
      </c>
      <c r="FZ130" s="1" t="s">
        <v>2528</v>
      </c>
      <c r="GA130" s="1">
        <v>116214</v>
      </c>
      <c r="GB130" s="1" t="s">
        <v>2527</v>
      </c>
      <c r="GE130" s="1" t="s">
        <v>2504</v>
      </c>
      <c r="GH130" s="1" t="s">
        <v>800</v>
      </c>
      <c r="GI130" s="1" t="s">
        <v>213</v>
      </c>
      <c r="GJ130" s="1" t="s">
        <v>260</v>
      </c>
      <c r="GK130" s="1" t="s">
        <v>210</v>
      </c>
      <c r="GL130" s="2">
        <v>42041</v>
      </c>
      <c r="GM130" s="1" t="s">
        <v>2529</v>
      </c>
    </row>
    <row r="131" spans="1:195">
      <c r="A131" s="1">
        <v>247000</v>
      </c>
      <c r="B131" s="1" t="s">
        <v>195</v>
      </c>
      <c r="C131" s="1" t="str">
        <f>"08762703"</f>
        <v>08762703</v>
      </c>
      <c r="D131" s="1" t="s">
        <v>196</v>
      </c>
      <c r="F131" s="1" t="str">
        <f>"540"</f>
        <v>540</v>
      </c>
      <c r="G131" s="2">
        <v>41939</v>
      </c>
      <c r="H131" s="1">
        <v>268500</v>
      </c>
      <c r="I131" s="1">
        <v>259900</v>
      </c>
      <c r="J131" s="1">
        <v>247000</v>
      </c>
      <c r="K131" s="2">
        <v>41939</v>
      </c>
      <c r="L131" s="1">
        <v>236</v>
      </c>
      <c r="M131" s="2">
        <v>41999</v>
      </c>
      <c r="N131" s="1">
        <v>61</v>
      </c>
      <c r="O131" s="2">
        <v>41999</v>
      </c>
      <c r="P131" s="1">
        <v>23156</v>
      </c>
      <c r="Q131" s="1" t="s">
        <v>197</v>
      </c>
      <c r="R131" s="2">
        <v>42020</v>
      </c>
      <c r="S131" s="1">
        <v>222803</v>
      </c>
      <c r="U131" s="1">
        <v>1521</v>
      </c>
      <c r="V131" s="1" t="s">
        <v>2530</v>
      </c>
      <c r="W131" s="1" t="s">
        <v>304</v>
      </c>
      <c r="X131" s="1">
        <v>1521</v>
      </c>
      <c r="Y131" s="1">
        <v>4</v>
      </c>
      <c r="Z131" s="1" t="s">
        <v>370</v>
      </c>
      <c r="AA131" s="1" t="s">
        <v>921</v>
      </c>
      <c r="AB131" s="1">
        <v>60564</v>
      </c>
      <c r="AD131" s="1" t="s">
        <v>2531</v>
      </c>
      <c r="AE131" s="1" t="s">
        <v>2532</v>
      </c>
      <c r="AF131" s="1">
        <v>1989</v>
      </c>
      <c r="AG131" s="1" t="s">
        <v>204</v>
      </c>
      <c r="AH131" s="1" t="s">
        <v>1126</v>
      </c>
      <c r="AI131" s="1" t="s">
        <v>206</v>
      </c>
      <c r="AJ131" s="1" t="s">
        <v>924</v>
      </c>
      <c r="AL131" s="1">
        <v>8</v>
      </c>
      <c r="AM131" s="1">
        <v>2</v>
      </c>
      <c r="AN131" s="1">
        <v>3</v>
      </c>
      <c r="AO131" s="1">
        <v>1</v>
      </c>
      <c r="AP131" s="1" t="s">
        <v>209</v>
      </c>
      <c r="AQ131" s="1">
        <v>2</v>
      </c>
      <c r="AR131" s="1" t="s">
        <v>1421</v>
      </c>
      <c r="AS131" s="1" t="s">
        <v>213</v>
      </c>
      <c r="AT131" s="1" t="s">
        <v>211</v>
      </c>
      <c r="AU131" s="1">
        <v>2</v>
      </c>
      <c r="AW131" s="1" t="s">
        <v>213</v>
      </c>
      <c r="AX131" s="1" t="s">
        <v>212</v>
      </c>
      <c r="AZ131" s="1">
        <v>7150</v>
      </c>
      <c r="BA131" s="1">
        <v>2013</v>
      </c>
      <c r="BE131" s="1">
        <v>1593</v>
      </c>
      <c r="BF131" s="1">
        <v>1</v>
      </c>
      <c r="BG131" s="1">
        <v>30</v>
      </c>
      <c r="BL131" s="1">
        <v>339</v>
      </c>
      <c r="BM131" s="1" t="s">
        <v>204</v>
      </c>
      <c r="BN131" s="1" t="s">
        <v>213</v>
      </c>
      <c r="BO131" s="1">
        <v>999</v>
      </c>
      <c r="BP131" s="1" t="s">
        <v>204</v>
      </c>
      <c r="BR131" s="1" t="str">
        <f>"0733310018"</f>
        <v>0733310018</v>
      </c>
      <c r="BT131" s="1" t="s">
        <v>2533</v>
      </c>
      <c r="BU131" s="1" t="s">
        <v>2534</v>
      </c>
      <c r="BV131" s="1" t="s">
        <v>2535</v>
      </c>
      <c r="BW131" s="1" t="s">
        <v>1312</v>
      </c>
      <c r="BX131" s="1">
        <v>204</v>
      </c>
      <c r="BY131" s="1">
        <v>204</v>
      </c>
      <c r="BZ131" s="1">
        <v>204</v>
      </c>
      <c r="CB131" s="1" t="str">
        <f t="shared" ref="CB131:CC131" si="101">""</f>
        <v/>
      </c>
      <c r="CC131" s="1" t="str">
        <f t="shared" si="101"/>
        <v/>
      </c>
      <c r="CG131" s="1" t="s">
        <v>861</v>
      </c>
      <c r="CH131" s="1" t="s">
        <v>219</v>
      </c>
      <c r="CI131" s="1" t="s">
        <v>438</v>
      </c>
      <c r="CJ131" s="1" t="s">
        <v>252</v>
      </c>
      <c r="CK131" s="1" t="s">
        <v>315</v>
      </c>
      <c r="CL131" s="1" t="s">
        <v>277</v>
      </c>
      <c r="CM131" s="1" t="s">
        <v>220</v>
      </c>
      <c r="CN131" s="1" t="s">
        <v>252</v>
      </c>
      <c r="CO131" s="1" t="s">
        <v>757</v>
      </c>
      <c r="CP131" s="1" t="s">
        <v>219</v>
      </c>
      <c r="CQ131" s="1" t="s">
        <v>438</v>
      </c>
      <c r="CR131" s="1" t="s">
        <v>343</v>
      </c>
      <c r="CS131" s="1" t="s">
        <v>465</v>
      </c>
      <c r="CT131" s="1" t="s">
        <v>277</v>
      </c>
      <c r="CU131" s="1" t="s">
        <v>220</v>
      </c>
      <c r="CV131" s="1" t="s">
        <v>343</v>
      </c>
      <c r="CX131" s="1" t="s">
        <v>224</v>
      </c>
      <c r="DB131" s="1" t="s">
        <v>224</v>
      </c>
      <c r="DE131" s="1" t="s">
        <v>1297</v>
      </c>
      <c r="DF131" s="1" t="s">
        <v>219</v>
      </c>
      <c r="DG131" s="1" t="s">
        <v>438</v>
      </c>
      <c r="DI131" s="1" t="s">
        <v>1045</v>
      </c>
      <c r="DJ131" s="1" t="s">
        <v>822</v>
      </c>
      <c r="DK131" s="1" t="s">
        <v>220</v>
      </c>
      <c r="DL131" s="1" t="s">
        <v>343</v>
      </c>
      <c r="DM131" s="1" t="s">
        <v>934</v>
      </c>
      <c r="DN131" s="1" t="s">
        <v>1005</v>
      </c>
      <c r="DR131" s="1" t="s">
        <v>581</v>
      </c>
      <c r="DS131" s="1" t="s">
        <v>822</v>
      </c>
      <c r="DT131" s="1" t="s">
        <v>220</v>
      </c>
      <c r="DU131" s="1" t="s">
        <v>343</v>
      </c>
      <c r="DV131" s="1" t="s">
        <v>465</v>
      </c>
      <c r="DW131" s="1" t="s">
        <v>219</v>
      </c>
      <c r="DX131" s="1" t="s">
        <v>438</v>
      </c>
      <c r="DY131" s="1" t="s">
        <v>343</v>
      </c>
      <c r="EA131" s="1" t="s">
        <v>230</v>
      </c>
      <c r="EE131" s="1" t="s">
        <v>230</v>
      </c>
      <c r="EI131" s="1" t="s">
        <v>230</v>
      </c>
      <c r="EL131" s="1" t="s">
        <v>382</v>
      </c>
      <c r="EM131" s="1" t="s">
        <v>319</v>
      </c>
      <c r="EN131" s="1" t="s">
        <v>282</v>
      </c>
      <c r="EO131" s="1" t="s">
        <v>234</v>
      </c>
      <c r="EP131" s="1" t="s">
        <v>2536</v>
      </c>
      <c r="ER131" s="1" t="s">
        <v>544</v>
      </c>
      <c r="ES131" s="1" t="s">
        <v>608</v>
      </c>
      <c r="ET131" s="1" t="s">
        <v>1201</v>
      </c>
      <c r="EU131" s="1" t="s">
        <v>2537</v>
      </c>
      <c r="EV131" s="1" t="s">
        <v>324</v>
      </c>
      <c r="EW131" s="1" t="s">
        <v>2538</v>
      </c>
      <c r="EZ131" s="1" t="s">
        <v>2539</v>
      </c>
      <c r="FA131" s="1" t="s">
        <v>938</v>
      </c>
      <c r="FD131" s="1" t="s">
        <v>246</v>
      </c>
      <c r="FE131" s="1" t="s">
        <v>549</v>
      </c>
      <c r="FF131" s="1" t="s">
        <v>387</v>
      </c>
      <c r="FG131" s="1" t="s">
        <v>2540</v>
      </c>
      <c r="FH131" s="1" t="s">
        <v>249</v>
      </c>
      <c r="FL131" s="1" t="s">
        <v>414</v>
      </c>
      <c r="FM131" s="1" t="s">
        <v>252</v>
      </c>
      <c r="FN131" s="1" t="s">
        <v>213</v>
      </c>
      <c r="FO131" s="1" t="s">
        <v>213</v>
      </c>
      <c r="FQ131" s="1" t="s">
        <v>793</v>
      </c>
      <c r="FR131" s="1" t="s">
        <v>210</v>
      </c>
      <c r="FS131" s="1" t="s">
        <v>2541</v>
      </c>
      <c r="FT131" s="1" t="s">
        <v>295</v>
      </c>
      <c r="FU131" s="1" t="s">
        <v>204</v>
      </c>
      <c r="FW131" s="1" t="s">
        <v>1475</v>
      </c>
      <c r="FX131" s="1">
        <v>23265</v>
      </c>
      <c r="FY131" s="1" t="s">
        <v>1476</v>
      </c>
      <c r="FZ131" s="1" t="s">
        <v>2542</v>
      </c>
      <c r="GA131" s="1">
        <v>219834</v>
      </c>
      <c r="GB131" s="1" t="s">
        <v>2543</v>
      </c>
      <c r="GE131" s="1" t="s">
        <v>480</v>
      </c>
      <c r="GI131" s="1" t="s">
        <v>213</v>
      </c>
      <c r="GJ131" s="1" t="s">
        <v>260</v>
      </c>
      <c r="GK131" s="1" t="s">
        <v>210</v>
      </c>
      <c r="GL131" s="2">
        <v>42021</v>
      </c>
    </row>
    <row r="132" spans="1:195">
      <c r="A132" s="1">
        <v>187500</v>
      </c>
      <c r="B132" s="1" t="s">
        <v>195</v>
      </c>
      <c r="C132" s="1" t="str">
        <f>"08763567"</f>
        <v>08763567</v>
      </c>
      <c r="D132" s="1" t="s">
        <v>196</v>
      </c>
      <c r="F132" s="1" t="str">
        <f>"174"</f>
        <v>174</v>
      </c>
      <c r="G132" s="2">
        <v>41940</v>
      </c>
      <c r="H132" s="1">
        <v>195000</v>
      </c>
      <c r="I132" s="1">
        <v>195000</v>
      </c>
      <c r="J132" s="1">
        <v>187500</v>
      </c>
      <c r="K132" s="2">
        <v>41940</v>
      </c>
      <c r="L132" s="1">
        <v>48</v>
      </c>
      <c r="M132" s="2">
        <v>41987</v>
      </c>
      <c r="N132" s="1">
        <v>48</v>
      </c>
      <c r="O132" s="2">
        <v>41987</v>
      </c>
      <c r="P132" s="1">
        <v>49</v>
      </c>
      <c r="Q132" s="1" t="s">
        <v>197</v>
      </c>
      <c r="R132" s="2">
        <v>42020</v>
      </c>
      <c r="S132" s="1">
        <v>1222</v>
      </c>
      <c r="T132" s="1">
        <v>2500</v>
      </c>
      <c r="U132" s="1">
        <v>3201</v>
      </c>
      <c r="V132" s="1" t="s">
        <v>2544</v>
      </c>
      <c r="W132" s="1" t="s">
        <v>504</v>
      </c>
      <c r="Y132" s="1">
        <v>4</v>
      </c>
      <c r="Z132" s="1" t="s">
        <v>370</v>
      </c>
      <c r="AA132" s="1" t="s">
        <v>879</v>
      </c>
      <c r="AB132" s="1">
        <v>60175</v>
      </c>
      <c r="AE132" s="1" t="s">
        <v>2545</v>
      </c>
      <c r="AF132" s="1">
        <v>2000</v>
      </c>
      <c r="AG132" s="1" t="s">
        <v>204</v>
      </c>
      <c r="AH132" s="1" t="s">
        <v>883</v>
      </c>
      <c r="AI132" s="1" t="s">
        <v>665</v>
      </c>
      <c r="AJ132" s="1" t="s">
        <v>883</v>
      </c>
      <c r="AL132" s="1">
        <v>5</v>
      </c>
      <c r="AM132" s="1">
        <v>2</v>
      </c>
      <c r="AN132" s="1">
        <v>2</v>
      </c>
      <c r="AO132" s="1">
        <v>1</v>
      </c>
      <c r="AP132" s="1" t="s">
        <v>209</v>
      </c>
      <c r="AQ132" s="1">
        <v>1</v>
      </c>
      <c r="AR132" s="1" t="s">
        <v>210</v>
      </c>
      <c r="AS132" s="1" t="s">
        <v>204</v>
      </c>
      <c r="AT132" s="1" t="s">
        <v>211</v>
      </c>
      <c r="AU132" s="1">
        <v>2</v>
      </c>
      <c r="AW132" s="1" t="s">
        <v>204</v>
      </c>
      <c r="AX132" s="1" t="s">
        <v>212</v>
      </c>
      <c r="AZ132" s="6">
        <v>4631</v>
      </c>
      <c r="BA132" s="1">
        <v>2013</v>
      </c>
      <c r="BB132" s="1" t="s">
        <v>599</v>
      </c>
      <c r="BE132" s="1">
        <v>1770</v>
      </c>
      <c r="BF132" s="1">
        <v>1</v>
      </c>
      <c r="BG132" s="1">
        <v>0</v>
      </c>
      <c r="BL132" s="1">
        <v>160</v>
      </c>
      <c r="BM132" s="1" t="s">
        <v>213</v>
      </c>
      <c r="BN132" s="1" t="s">
        <v>213</v>
      </c>
      <c r="BO132" s="1">
        <v>0</v>
      </c>
      <c r="BP132" s="1" t="s">
        <v>204</v>
      </c>
      <c r="BR132" s="1" t="str">
        <f>"0929353015"</f>
        <v>0929353015</v>
      </c>
      <c r="BT132" s="1" t="s">
        <v>2546</v>
      </c>
      <c r="BU132" s="1" t="s">
        <v>969</v>
      </c>
      <c r="BV132" s="1" t="s">
        <v>2118</v>
      </c>
      <c r="BW132" s="1" t="s">
        <v>2119</v>
      </c>
      <c r="BX132" s="1">
        <v>303</v>
      </c>
      <c r="BY132" s="1">
        <v>303</v>
      </c>
      <c r="BZ132" s="1">
        <v>303</v>
      </c>
      <c r="CB132" s="1" t="str">
        <f t="shared" ref="CB132:CC132" si="102">""</f>
        <v/>
      </c>
      <c r="CC132" s="1" t="str">
        <f t="shared" si="102"/>
        <v/>
      </c>
      <c r="CG132" s="1" t="s">
        <v>1570</v>
      </c>
      <c r="CH132" s="1" t="s">
        <v>219</v>
      </c>
      <c r="CI132" s="1" t="s">
        <v>220</v>
      </c>
      <c r="CJ132" s="1" t="s">
        <v>343</v>
      </c>
      <c r="CK132" s="1" t="s">
        <v>437</v>
      </c>
      <c r="CL132" s="1" t="s">
        <v>219</v>
      </c>
      <c r="CM132" s="1" t="s">
        <v>220</v>
      </c>
      <c r="CP132" s="1" t="s">
        <v>224</v>
      </c>
      <c r="CS132" s="1" t="s">
        <v>437</v>
      </c>
      <c r="CT132" s="1" t="s">
        <v>277</v>
      </c>
      <c r="CU132" s="1" t="s">
        <v>220</v>
      </c>
      <c r="CX132" s="1" t="s">
        <v>224</v>
      </c>
      <c r="DB132" s="1" t="s">
        <v>224</v>
      </c>
      <c r="DE132" s="1" t="s">
        <v>686</v>
      </c>
      <c r="DF132" s="1" t="s">
        <v>219</v>
      </c>
      <c r="DG132" s="1" t="s">
        <v>438</v>
      </c>
      <c r="DH132" s="1" t="s">
        <v>343</v>
      </c>
      <c r="DJ132" s="1" t="s">
        <v>224</v>
      </c>
      <c r="DM132" s="1" t="s">
        <v>464</v>
      </c>
      <c r="DN132" s="1" t="s">
        <v>709</v>
      </c>
      <c r="DR132" s="1" t="s">
        <v>1358</v>
      </c>
      <c r="DS132" s="1" t="s">
        <v>277</v>
      </c>
      <c r="DT132" s="1" t="s">
        <v>220</v>
      </c>
      <c r="DV132" s="1" t="s">
        <v>2547</v>
      </c>
      <c r="DW132" s="1" t="s">
        <v>219</v>
      </c>
      <c r="DX132" s="1" t="s">
        <v>438</v>
      </c>
      <c r="EA132" s="1" t="s">
        <v>230</v>
      </c>
      <c r="EE132" s="1" t="s">
        <v>230</v>
      </c>
      <c r="EI132" s="1" t="s">
        <v>230</v>
      </c>
      <c r="EL132" s="1" t="s">
        <v>466</v>
      </c>
      <c r="EM132" s="1" t="s">
        <v>319</v>
      </c>
      <c r="EN132" s="1" t="s">
        <v>282</v>
      </c>
      <c r="EO132" s="1" t="s">
        <v>234</v>
      </c>
      <c r="EQ132" s="1" t="s">
        <v>1109</v>
      </c>
      <c r="ER132" s="1" t="s">
        <v>210</v>
      </c>
      <c r="ES132" s="1" t="s">
        <v>322</v>
      </c>
      <c r="ET132" s="1" t="s">
        <v>238</v>
      </c>
      <c r="EU132" s="1" t="s">
        <v>2548</v>
      </c>
      <c r="EV132" s="1" t="s">
        <v>240</v>
      </c>
      <c r="EW132" s="1" t="s">
        <v>353</v>
      </c>
      <c r="EZ132" s="1" t="s">
        <v>2549</v>
      </c>
      <c r="FB132" s="1" t="s">
        <v>289</v>
      </c>
      <c r="FC132" s="1" t="s">
        <v>326</v>
      </c>
      <c r="FD132" s="1" t="s">
        <v>246</v>
      </c>
      <c r="FE132" s="1" t="s">
        <v>472</v>
      </c>
      <c r="FF132" s="1" t="s">
        <v>248</v>
      </c>
      <c r="FH132" s="1" t="s">
        <v>550</v>
      </c>
      <c r="FI132" s="1" t="s">
        <v>357</v>
      </c>
      <c r="FJ132" s="1" t="s">
        <v>197</v>
      </c>
      <c r="FL132" s="1" t="s">
        <v>414</v>
      </c>
      <c r="FM132" s="1" t="s">
        <v>252</v>
      </c>
      <c r="FN132" s="1" t="s">
        <v>213</v>
      </c>
      <c r="FO132" s="1" t="s">
        <v>213</v>
      </c>
      <c r="FQ132" s="1" t="s">
        <v>849</v>
      </c>
      <c r="FR132" s="1" t="s">
        <v>210</v>
      </c>
      <c r="FS132" s="1" t="s">
        <v>2550</v>
      </c>
      <c r="FT132" s="1" t="s">
        <v>295</v>
      </c>
      <c r="FU132" s="1" t="s">
        <v>204</v>
      </c>
      <c r="FW132" s="1" t="s">
        <v>585</v>
      </c>
      <c r="FX132" s="1">
        <v>49</v>
      </c>
      <c r="FY132" s="1" t="s">
        <v>2408</v>
      </c>
      <c r="FZ132" s="1" t="s">
        <v>2551</v>
      </c>
      <c r="GA132" s="1">
        <v>432</v>
      </c>
      <c r="GB132" s="1" t="s">
        <v>2552</v>
      </c>
      <c r="GE132" s="1" t="s">
        <v>480</v>
      </c>
      <c r="GI132" s="1" t="s">
        <v>213</v>
      </c>
      <c r="GJ132" s="1" t="s">
        <v>260</v>
      </c>
      <c r="GK132" s="1" t="s">
        <v>210</v>
      </c>
      <c r="GL132" s="2">
        <v>42025</v>
      </c>
      <c r="GM132" s="1" t="s">
        <v>2553</v>
      </c>
    </row>
    <row r="133" spans="1:195">
      <c r="A133" s="1">
        <v>75600</v>
      </c>
      <c r="B133" s="1" t="s">
        <v>195</v>
      </c>
      <c r="C133" s="1" t="str">
        <f>"08762856"</f>
        <v>08762856</v>
      </c>
      <c r="D133" s="1" t="s">
        <v>196</v>
      </c>
      <c r="F133" s="1" t="str">
        <f>"110"</f>
        <v>110</v>
      </c>
      <c r="G133" s="2">
        <v>41939</v>
      </c>
      <c r="H133" s="1">
        <v>82200</v>
      </c>
      <c r="I133" s="1">
        <v>82200</v>
      </c>
      <c r="J133" s="1">
        <v>75600</v>
      </c>
      <c r="K133" s="2">
        <v>41939</v>
      </c>
      <c r="L133" s="1">
        <v>66</v>
      </c>
      <c r="M133" s="2">
        <v>42004</v>
      </c>
      <c r="N133" s="1">
        <v>66</v>
      </c>
      <c r="O133" s="2">
        <v>42004</v>
      </c>
      <c r="P133" s="1" t="s">
        <v>1039</v>
      </c>
      <c r="Q133" s="1" t="s">
        <v>197</v>
      </c>
      <c r="R133" s="2">
        <v>42034</v>
      </c>
      <c r="S133" s="1">
        <v>99999</v>
      </c>
      <c r="U133" s="1">
        <v>7333</v>
      </c>
      <c r="V133" s="1" t="s">
        <v>2554</v>
      </c>
      <c r="W133" s="1" t="s">
        <v>304</v>
      </c>
      <c r="X133" s="1">
        <v>1</v>
      </c>
      <c r="Y133" s="1">
        <v>6</v>
      </c>
      <c r="Z133" s="1" t="s">
        <v>249</v>
      </c>
      <c r="AA133" s="1" t="s">
        <v>803</v>
      </c>
      <c r="AB133" s="1">
        <v>60110</v>
      </c>
      <c r="AD133" s="1" t="s">
        <v>2555</v>
      </c>
      <c r="AE133" s="1" t="s">
        <v>2556</v>
      </c>
      <c r="AF133" s="1">
        <v>1998</v>
      </c>
      <c r="AG133" s="1" t="s">
        <v>204</v>
      </c>
      <c r="AH133" s="1" t="s">
        <v>2557</v>
      </c>
      <c r="AI133" s="1" t="s">
        <v>665</v>
      </c>
      <c r="AJ133" s="1" t="s">
        <v>805</v>
      </c>
      <c r="AK133" s="1" t="s">
        <v>2558</v>
      </c>
      <c r="AL133" s="1">
        <v>5</v>
      </c>
      <c r="AM133" s="1">
        <v>2</v>
      </c>
      <c r="AN133" s="1">
        <v>1</v>
      </c>
      <c r="AO133" s="1">
        <v>0</v>
      </c>
      <c r="AP133" s="1" t="s">
        <v>210</v>
      </c>
      <c r="AQ133" s="1">
        <v>1</v>
      </c>
      <c r="AR133" s="1" t="s">
        <v>210</v>
      </c>
      <c r="AS133" s="1" t="s">
        <v>204</v>
      </c>
      <c r="AT133" s="1" t="s">
        <v>211</v>
      </c>
      <c r="AU133" s="1">
        <v>1</v>
      </c>
      <c r="AW133" s="1" t="s">
        <v>213</v>
      </c>
      <c r="AX133" s="1" t="s">
        <v>1813</v>
      </c>
      <c r="AZ133" s="1">
        <v>3937.94</v>
      </c>
      <c r="BA133" s="1">
        <v>2012</v>
      </c>
      <c r="BC133" s="1">
        <v>0</v>
      </c>
      <c r="BE133" s="1">
        <v>1000</v>
      </c>
      <c r="BF133" s="1">
        <v>1</v>
      </c>
      <c r="BG133" s="1">
        <v>0</v>
      </c>
      <c r="BL133" s="1">
        <v>99</v>
      </c>
      <c r="BM133" s="1" t="s">
        <v>204</v>
      </c>
      <c r="BN133" s="1" t="s">
        <v>213</v>
      </c>
      <c r="BO133" s="1">
        <v>0</v>
      </c>
      <c r="BP133" s="1" t="s">
        <v>204</v>
      </c>
      <c r="BR133" s="1" t="str">
        <f>"0308301064"</f>
        <v>0308301064</v>
      </c>
      <c r="BT133" s="1" t="s">
        <v>2559</v>
      </c>
      <c r="BX133" s="1">
        <v>300</v>
      </c>
      <c r="BY133" s="1">
        <v>300</v>
      </c>
      <c r="BZ133" s="1">
        <v>300</v>
      </c>
      <c r="CB133" s="1" t="str">
        <f>"19"</f>
        <v>19</v>
      </c>
      <c r="CC133" s="1" t="str">
        <f>"0"</f>
        <v>0</v>
      </c>
      <c r="CD133" s="1">
        <v>36</v>
      </c>
      <c r="CE133" s="1">
        <v>0</v>
      </c>
      <c r="CG133" s="1" t="s">
        <v>2560</v>
      </c>
      <c r="CH133" s="1" t="s">
        <v>219</v>
      </c>
      <c r="CI133" s="1" t="s">
        <v>220</v>
      </c>
      <c r="CK133" s="1" t="s">
        <v>2170</v>
      </c>
      <c r="CL133" s="1" t="s">
        <v>219</v>
      </c>
      <c r="CM133" s="1" t="s">
        <v>220</v>
      </c>
      <c r="CP133" s="1" t="s">
        <v>224</v>
      </c>
      <c r="CS133" s="1" t="s">
        <v>318</v>
      </c>
      <c r="CT133" s="1" t="s">
        <v>219</v>
      </c>
      <c r="CU133" s="1" t="s">
        <v>220</v>
      </c>
      <c r="CX133" s="1" t="s">
        <v>224</v>
      </c>
      <c r="DB133" s="1" t="s">
        <v>224</v>
      </c>
      <c r="DE133" s="1" t="s">
        <v>408</v>
      </c>
      <c r="DF133" s="1" t="s">
        <v>219</v>
      </c>
      <c r="DG133" s="1" t="s">
        <v>342</v>
      </c>
      <c r="DJ133" s="1" t="s">
        <v>224</v>
      </c>
      <c r="DM133" s="1" t="s">
        <v>381</v>
      </c>
      <c r="DR133" s="1" t="s">
        <v>1470</v>
      </c>
      <c r="DS133" s="1" t="s">
        <v>219</v>
      </c>
      <c r="DT133" s="1" t="s">
        <v>342</v>
      </c>
      <c r="DW133" s="1" t="s">
        <v>230</v>
      </c>
      <c r="EA133" s="1" t="s">
        <v>230</v>
      </c>
      <c r="EE133" s="1" t="s">
        <v>230</v>
      </c>
      <c r="EI133" s="1" t="s">
        <v>230</v>
      </c>
      <c r="EL133" s="1" t="s">
        <v>670</v>
      </c>
      <c r="EM133" s="1" t="s">
        <v>319</v>
      </c>
      <c r="EN133" s="1" t="s">
        <v>282</v>
      </c>
      <c r="EO133" s="1" t="s">
        <v>234</v>
      </c>
      <c r="EP133" s="1" t="s">
        <v>650</v>
      </c>
      <c r="ER133" s="1" t="s">
        <v>383</v>
      </c>
      <c r="ES133" s="1" t="s">
        <v>545</v>
      </c>
      <c r="EV133" s="1" t="s">
        <v>240</v>
      </c>
      <c r="EW133" s="1" t="s">
        <v>887</v>
      </c>
      <c r="EZ133" s="1" t="s">
        <v>381</v>
      </c>
      <c r="FB133" s="1" t="s">
        <v>289</v>
      </c>
      <c r="FC133" s="1" t="s">
        <v>2002</v>
      </c>
      <c r="FD133" s="1" t="s">
        <v>246</v>
      </c>
      <c r="FE133" s="1" t="s">
        <v>2561</v>
      </c>
      <c r="FF133" s="1" t="s">
        <v>248</v>
      </c>
      <c r="FG133" s="1" t="s">
        <v>939</v>
      </c>
      <c r="FH133" s="1" t="s">
        <v>249</v>
      </c>
      <c r="FL133" s="1" t="s">
        <v>358</v>
      </c>
      <c r="FM133" s="1" t="s">
        <v>252</v>
      </c>
      <c r="FN133" s="1" t="s">
        <v>213</v>
      </c>
      <c r="FO133" s="1" t="s">
        <v>213</v>
      </c>
      <c r="FQ133" s="1" t="s">
        <v>2562</v>
      </c>
      <c r="FR133" s="1" t="s">
        <v>210</v>
      </c>
      <c r="FS133" s="1" t="s">
        <v>1709</v>
      </c>
      <c r="FT133" s="1" t="s">
        <v>362</v>
      </c>
      <c r="FU133" s="1" t="s">
        <v>204</v>
      </c>
      <c r="FW133" s="1" t="s">
        <v>2563</v>
      </c>
      <c r="FX133" s="1">
        <v>24093</v>
      </c>
      <c r="FY133" s="1" t="s">
        <v>2564</v>
      </c>
      <c r="FZ133" s="1" t="s">
        <v>2565</v>
      </c>
      <c r="GA133" s="1">
        <v>21145</v>
      </c>
      <c r="GB133" s="1" t="s">
        <v>2566</v>
      </c>
      <c r="GE133" s="1" t="s">
        <v>210</v>
      </c>
      <c r="GI133" s="1" t="s">
        <v>213</v>
      </c>
      <c r="GJ133" s="1" t="s">
        <v>260</v>
      </c>
      <c r="GK133" s="1" t="s">
        <v>210</v>
      </c>
      <c r="GL133" s="2">
        <v>42035</v>
      </c>
      <c r="GM133" s="1" t="s">
        <v>2567</v>
      </c>
    </row>
    <row r="134" spans="1:195">
      <c r="A134" s="1">
        <v>84000</v>
      </c>
      <c r="B134" s="1" t="s">
        <v>195</v>
      </c>
      <c r="C134" s="1" t="str">
        <f>"08762446"</f>
        <v>08762446</v>
      </c>
      <c r="D134" s="1" t="s">
        <v>196</v>
      </c>
      <c r="F134" s="1" t="str">
        <f>"538"</f>
        <v>538</v>
      </c>
      <c r="G134" s="2">
        <v>41939</v>
      </c>
      <c r="H134" s="1">
        <v>85600</v>
      </c>
      <c r="I134" s="1">
        <v>85600</v>
      </c>
      <c r="J134" s="1">
        <v>84000</v>
      </c>
      <c r="K134" s="2">
        <v>41939</v>
      </c>
      <c r="L134" s="1">
        <v>25</v>
      </c>
      <c r="M134" s="2">
        <v>41963</v>
      </c>
      <c r="N134" s="1">
        <v>25</v>
      </c>
      <c r="O134" s="2">
        <v>41963</v>
      </c>
      <c r="P134" s="1">
        <v>31580</v>
      </c>
      <c r="Q134" s="1" t="s">
        <v>197</v>
      </c>
      <c r="R134" s="2">
        <v>42019</v>
      </c>
      <c r="S134" s="1">
        <v>315844</v>
      </c>
      <c r="T134" s="1">
        <v>2520</v>
      </c>
      <c r="U134" s="1">
        <v>2201</v>
      </c>
      <c r="V134" s="1" t="s">
        <v>2568</v>
      </c>
      <c r="W134" s="1" t="s">
        <v>449</v>
      </c>
      <c r="Y134" s="1">
        <v>2</v>
      </c>
      <c r="Z134" s="1" t="s">
        <v>370</v>
      </c>
      <c r="AA134" s="1" t="s">
        <v>450</v>
      </c>
      <c r="AB134" s="1">
        <v>60538</v>
      </c>
      <c r="AD134" s="1" t="s">
        <v>2569</v>
      </c>
      <c r="AE134" s="1" t="s">
        <v>2570</v>
      </c>
      <c r="AF134" s="1">
        <v>2002</v>
      </c>
      <c r="AG134" s="1" t="s">
        <v>204</v>
      </c>
      <c r="AH134" s="1" t="s">
        <v>452</v>
      </c>
      <c r="AI134" s="1" t="s">
        <v>453</v>
      </c>
      <c r="AJ134" s="1" t="s">
        <v>454</v>
      </c>
      <c r="AK134" s="1" t="s">
        <v>2571</v>
      </c>
      <c r="AL134" s="1">
        <v>5</v>
      </c>
      <c r="AM134" s="1">
        <v>2</v>
      </c>
      <c r="AN134" s="1">
        <v>1</v>
      </c>
      <c r="AO134" s="1">
        <v>1</v>
      </c>
      <c r="AP134" s="1" t="s">
        <v>1234</v>
      </c>
      <c r="AR134" s="1" t="s">
        <v>210</v>
      </c>
      <c r="AS134" s="1" t="s">
        <v>204</v>
      </c>
      <c r="AT134" s="1" t="s">
        <v>211</v>
      </c>
      <c r="AU134" s="1">
        <v>1</v>
      </c>
      <c r="AW134" s="1" t="s">
        <v>204</v>
      </c>
      <c r="AX134" s="1" t="s">
        <v>2572</v>
      </c>
      <c r="AZ134" s="1">
        <v>2902.42</v>
      </c>
      <c r="BA134" s="1">
        <v>2013</v>
      </c>
      <c r="BE134" s="1">
        <v>934</v>
      </c>
      <c r="BF134" s="1">
        <v>1</v>
      </c>
      <c r="BG134" s="1">
        <v>0</v>
      </c>
      <c r="BL134" s="1">
        <v>82</v>
      </c>
      <c r="BM134" s="1" t="s">
        <v>413</v>
      </c>
      <c r="BN134" s="1" t="s">
        <v>213</v>
      </c>
      <c r="BO134" s="1">
        <v>999</v>
      </c>
      <c r="BP134" s="1" t="s">
        <v>204</v>
      </c>
      <c r="BR134" s="1" t="str">
        <f>"0202202072"</f>
        <v>0202202072</v>
      </c>
      <c r="BT134" s="1" t="s">
        <v>2573</v>
      </c>
      <c r="BU134" s="1" t="s">
        <v>458</v>
      </c>
      <c r="BV134" s="1" t="s">
        <v>2574</v>
      </c>
      <c r="BW134" s="1" t="s">
        <v>460</v>
      </c>
      <c r="BX134" s="1">
        <v>308</v>
      </c>
      <c r="BY134" s="1">
        <v>308</v>
      </c>
      <c r="BZ134" s="1">
        <v>308</v>
      </c>
      <c r="CB134" s="1" t="str">
        <f t="shared" ref="CB134:CC134" si="103">"0"</f>
        <v>0</v>
      </c>
      <c r="CC134" s="1" t="str">
        <f t="shared" si="103"/>
        <v>0</v>
      </c>
      <c r="CD134" s="1">
        <v>40</v>
      </c>
      <c r="CE134" s="1">
        <v>10</v>
      </c>
      <c r="CG134" s="1" t="s">
        <v>465</v>
      </c>
      <c r="CH134" s="1" t="s">
        <v>219</v>
      </c>
      <c r="CK134" s="1" t="s">
        <v>602</v>
      </c>
      <c r="CL134" s="1" t="s">
        <v>219</v>
      </c>
      <c r="CO134" s="1" t="s">
        <v>316</v>
      </c>
      <c r="CP134" s="1" t="s">
        <v>219</v>
      </c>
      <c r="CS134" s="1" t="s">
        <v>318</v>
      </c>
      <c r="CT134" s="1" t="s">
        <v>219</v>
      </c>
      <c r="CX134" s="1" t="s">
        <v>224</v>
      </c>
      <c r="DB134" s="1" t="s">
        <v>224</v>
      </c>
      <c r="DE134" s="1" t="s">
        <v>408</v>
      </c>
      <c r="DF134" s="1" t="s">
        <v>219</v>
      </c>
      <c r="DJ134" s="1" t="s">
        <v>224</v>
      </c>
      <c r="DS134" s="1" t="s">
        <v>230</v>
      </c>
      <c r="DW134" s="1" t="s">
        <v>230</v>
      </c>
      <c r="EA134" s="1" t="s">
        <v>230</v>
      </c>
      <c r="EE134" s="1" t="s">
        <v>230</v>
      </c>
      <c r="EI134" s="1" t="s">
        <v>230</v>
      </c>
      <c r="EL134" s="1" t="s">
        <v>466</v>
      </c>
      <c r="EM134" s="1" t="s">
        <v>319</v>
      </c>
      <c r="EN134" s="1" t="s">
        <v>282</v>
      </c>
      <c r="EO134" s="1" t="s">
        <v>234</v>
      </c>
      <c r="ER134" s="1" t="s">
        <v>383</v>
      </c>
      <c r="EU134" s="1" t="s">
        <v>546</v>
      </c>
      <c r="EV134" s="1" t="s">
        <v>240</v>
      </c>
      <c r="EW134" s="1" t="s">
        <v>2575</v>
      </c>
      <c r="EY134" s="1" t="s">
        <v>242</v>
      </c>
      <c r="EZ134" s="1" t="s">
        <v>287</v>
      </c>
      <c r="FD134" s="1" t="s">
        <v>246</v>
      </c>
      <c r="FE134" s="1" t="s">
        <v>870</v>
      </c>
      <c r="FF134" s="1" t="s">
        <v>248</v>
      </c>
      <c r="FH134" s="1" t="s">
        <v>442</v>
      </c>
      <c r="FL134" s="1" t="s">
        <v>358</v>
      </c>
      <c r="FM134" s="1" t="s">
        <v>252</v>
      </c>
      <c r="FN134" s="1" t="s">
        <v>213</v>
      </c>
      <c r="FO134" s="1" t="s">
        <v>213</v>
      </c>
      <c r="FQ134" s="1" t="s">
        <v>582</v>
      </c>
      <c r="FR134" s="1" t="s">
        <v>210</v>
      </c>
      <c r="FS134" s="1" t="s">
        <v>2576</v>
      </c>
      <c r="FT134" s="1" t="s">
        <v>584</v>
      </c>
      <c r="FU134" s="1" t="s">
        <v>204</v>
      </c>
      <c r="FW134" s="1" t="s">
        <v>2577</v>
      </c>
      <c r="FX134" s="1">
        <v>31982</v>
      </c>
      <c r="FY134" s="1" t="s">
        <v>2578</v>
      </c>
      <c r="FZ134" s="1" t="s">
        <v>2579</v>
      </c>
      <c r="GA134" s="1">
        <v>319888</v>
      </c>
      <c r="GB134" s="1" t="s">
        <v>2580</v>
      </c>
      <c r="GE134" s="1" t="s">
        <v>210</v>
      </c>
      <c r="GI134" s="1" t="s">
        <v>204</v>
      </c>
      <c r="GJ134" s="1" t="s">
        <v>260</v>
      </c>
      <c r="GK134" s="1" t="s">
        <v>210</v>
      </c>
      <c r="GL134" s="2">
        <v>42019</v>
      </c>
      <c r="GM134" s="1" t="s">
        <v>2581</v>
      </c>
    </row>
    <row r="135" spans="1:195">
      <c r="A135" s="1">
        <v>70750</v>
      </c>
      <c r="B135" s="1" t="s">
        <v>195</v>
      </c>
      <c r="C135" s="1" t="str">
        <f>"08761448"</f>
        <v>08761448</v>
      </c>
      <c r="D135" s="1" t="s">
        <v>196</v>
      </c>
      <c r="F135" s="1" t="str">
        <f>"31"</f>
        <v>31</v>
      </c>
      <c r="G135" s="2">
        <v>41936</v>
      </c>
      <c r="H135" s="1">
        <v>76900</v>
      </c>
      <c r="I135" s="1">
        <v>76900</v>
      </c>
      <c r="J135" s="1">
        <v>70750</v>
      </c>
      <c r="K135" s="2">
        <v>41936</v>
      </c>
      <c r="L135" s="1">
        <v>19</v>
      </c>
      <c r="M135" s="2">
        <v>41954</v>
      </c>
      <c r="N135" s="1">
        <v>19</v>
      </c>
      <c r="O135" s="2">
        <v>41954</v>
      </c>
      <c r="P135" s="1">
        <v>25898</v>
      </c>
      <c r="Q135" s="1" t="s">
        <v>302</v>
      </c>
      <c r="R135" s="2">
        <v>41991</v>
      </c>
      <c r="S135" s="1">
        <v>18453</v>
      </c>
      <c r="U135" s="1">
        <v>917</v>
      </c>
      <c r="V135" s="1" t="s">
        <v>2582</v>
      </c>
      <c r="W135" s="1" t="s">
        <v>264</v>
      </c>
      <c r="X135" s="1">
        <v>212</v>
      </c>
      <c r="Y135" s="1" t="s">
        <v>432</v>
      </c>
      <c r="Z135" s="1" t="s">
        <v>249</v>
      </c>
      <c r="AA135" s="1" t="s">
        <v>1057</v>
      </c>
      <c r="AB135" s="1">
        <v>60031</v>
      </c>
      <c r="AD135" s="1" t="s">
        <v>1058</v>
      </c>
      <c r="AE135" s="1" t="s">
        <v>2583</v>
      </c>
      <c r="AF135" s="1">
        <v>1978</v>
      </c>
      <c r="AG135" s="1" t="s">
        <v>204</v>
      </c>
      <c r="AH135" s="1" t="s">
        <v>1060</v>
      </c>
      <c r="AI135" s="1" t="s">
        <v>509</v>
      </c>
      <c r="AJ135" s="1" t="s">
        <v>1061</v>
      </c>
      <c r="AK135" s="1" t="s">
        <v>2584</v>
      </c>
      <c r="AL135" s="1">
        <v>5</v>
      </c>
      <c r="AM135" s="1">
        <v>2</v>
      </c>
      <c r="AN135" s="1">
        <v>1</v>
      </c>
      <c r="AO135" s="1">
        <v>0</v>
      </c>
      <c r="AP135" s="1" t="s">
        <v>210</v>
      </c>
      <c r="AR135" s="1" t="s">
        <v>210</v>
      </c>
      <c r="AT135" s="1" t="s">
        <v>211</v>
      </c>
      <c r="AU135" s="1">
        <v>1</v>
      </c>
      <c r="AW135" s="1" t="s">
        <v>204</v>
      </c>
      <c r="AX135" s="1">
        <v>0</v>
      </c>
      <c r="AZ135" s="1">
        <v>612.09</v>
      </c>
      <c r="BA135" s="1">
        <v>2013</v>
      </c>
      <c r="BB135" s="1" t="s">
        <v>599</v>
      </c>
      <c r="BE135" s="1">
        <v>930</v>
      </c>
      <c r="BF135" s="1">
        <v>2</v>
      </c>
      <c r="BG135" s="1">
        <v>0</v>
      </c>
      <c r="BL135" s="1">
        <v>333</v>
      </c>
      <c r="BM135" s="1" t="s">
        <v>204</v>
      </c>
      <c r="BN135" s="1" t="s">
        <v>213</v>
      </c>
      <c r="BO135" s="1">
        <v>999</v>
      </c>
      <c r="BP135" s="1" t="s">
        <v>204</v>
      </c>
      <c r="BR135" s="1" t="str">
        <f>"07284050240000"</f>
        <v>07284050240000</v>
      </c>
      <c r="BT135" s="1" t="s">
        <v>2585</v>
      </c>
      <c r="BU135" s="1" t="s">
        <v>1064</v>
      </c>
      <c r="BV135" s="1" t="s">
        <v>1065</v>
      </c>
      <c r="BW135" s="1" t="s">
        <v>1066</v>
      </c>
      <c r="BX135" s="1">
        <v>50</v>
      </c>
      <c r="BY135" s="1">
        <v>50</v>
      </c>
      <c r="BZ135" s="1">
        <v>121</v>
      </c>
      <c r="CB135" s="1" t="str">
        <f>"33"</f>
        <v>33</v>
      </c>
      <c r="CC135" s="1" t="str">
        <f>"0"</f>
        <v>0</v>
      </c>
      <c r="CD135" s="1">
        <v>16</v>
      </c>
      <c r="CE135" s="1">
        <v>0</v>
      </c>
      <c r="CG135" s="1" t="s">
        <v>2402</v>
      </c>
      <c r="CH135" s="1" t="s">
        <v>219</v>
      </c>
      <c r="CI135" s="1" t="s">
        <v>220</v>
      </c>
      <c r="CK135" s="1" t="s">
        <v>344</v>
      </c>
      <c r="CL135" s="1" t="s">
        <v>219</v>
      </c>
      <c r="CM135" s="1" t="s">
        <v>220</v>
      </c>
      <c r="CO135" s="1" t="s">
        <v>629</v>
      </c>
      <c r="CP135" s="1" t="s">
        <v>219</v>
      </c>
      <c r="CQ135" s="1" t="s">
        <v>220</v>
      </c>
      <c r="CS135" s="1" t="s">
        <v>837</v>
      </c>
      <c r="CT135" s="1" t="s">
        <v>219</v>
      </c>
      <c r="CU135" s="1" t="s">
        <v>220</v>
      </c>
      <c r="CX135" s="1" t="s">
        <v>224</v>
      </c>
      <c r="DB135" s="1" t="s">
        <v>224</v>
      </c>
      <c r="DE135" s="1" t="s">
        <v>379</v>
      </c>
      <c r="DF135" s="1" t="s">
        <v>219</v>
      </c>
      <c r="DG135" s="1" t="s">
        <v>229</v>
      </c>
      <c r="DJ135" s="1" t="s">
        <v>224</v>
      </c>
      <c r="DS135" s="1" t="s">
        <v>230</v>
      </c>
      <c r="DW135" s="1" t="s">
        <v>230</v>
      </c>
      <c r="EA135" s="1" t="s">
        <v>230</v>
      </c>
      <c r="EE135" s="1" t="s">
        <v>230</v>
      </c>
      <c r="EI135" s="1" t="s">
        <v>230</v>
      </c>
      <c r="EL135" s="1" t="s">
        <v>231</v>
      </c>
      <c r="EM135" s="1" t="s">
        <v>319</v>
      </c>
      <c r="EN135" s="1" t="s">
        <v>282</v>
      </c>
      <c r="EO135" s="1" t="s">
        <v>234</v>
      </c>
      <c r="EP135" s="1" t="s">
        <v>2586</v>
      </c>
      <c r="EQ135" s="1" t="s">
        <v>1094</v>
      </c>
      <c r="ER135" s="1" t="s">
        <v>210</v>
      </c>
      <c r="ES135" s="1" t="s">
        <v>322</v>
      </c>
      <c r="EU135" s="1" t="s">
        <v>239</v>
      </c>
      <c r="EV135" s="1" t="s">
        <v>240</v>
      </c>
      <c r="EW135" s="1" t="s">
        <v>2587</v>
      </c>
      <c r="EZ135" s="1" t="s">
        <v>287</v>
      </c>
      <c r="FB135" s="1" t="s">
        <v>289</v>
      </c>
      <c r="FD135" s="1" t="s">
        <v>246</v>
      </c>
      <c r="FE135" s="1" t="s">
        <v>247</v>
      </c>
      <c r="FF135" s="1" t="s">
        <v>248</v>
      </c>
      <c r="FH135" s="1" t="s">
        <v>249</v>
      </c>
      <c r="FI135" s="1" t="s">
        <v>473</v>
      </c>
      <c r="FL135" s="1" t="s">
        <v>292</v>
      </c>
      <c r="FM135" s="1" t="s">
        <v>252</v>
      </c>
      <c r="FN135" s="1" t="s">
        <v>213</v>
      </c>
      <c r="FO135" s="1" t="s">
        <v>213</v>
      </c>
      <c r="FQ135" s="1" t="s">
        <v>1473</v>
      </c>
      <c r="FR135" s="1" t="s">
        <v>210</v>
      </c>
      <c r="FS135" s="1" t="s">
        <v>2588</v>
      </c>
      <c r="FT135" s="1" t="s">
        <v>2589</v>
      </c>
      <c r="FU135" s="1" t="s">
        <v>204</v>
      </c>
      <c r="FW135" s="1" t="s">
        <v>2590</v>
      </c>
      <c r="FX135" s="1">
        <v>2644</v>
      </c>
      <c r="FY135" s="1" t="s">
        <v>2591</v>
      </c>
      <c r="FZ135" s="1" t="s">
        <v>2592</v>
      </c>
      <c r="GA135" s="1">
        <v>16586</v>
      </c>
      <c r="GB135" s="1" t="s">
        <v>2593</v>
      </c>
      <c r="GD135" s="1" t="s">
        <v>2594</v>
      </c>
      <c r="GE135" s="1" t="s">
        <v>480</v>
      </c>
      <c r="GI135" s="1" t="s">
        <v>213</v>
      </c>
      <c r="GJ135" s="1" t="s">
        <v>260</v>
      </c>
      <c r="GK135" s="1" t="s">
        <v>210</v>
      </c>
      <c r="GL135" s="2">
        <v>41991</v>
      </c>
      <c r="GM135" s="1" t="s">
        <v>2595</v>
      </c>
    </row>
    <row r="136" spans="1:195">
      <c r="A136" s="1">
        <v>114900</v>
      </c>
      <c r="B136" s="1" t="s">
        <v>195</v>
      </c>
      <c r="C136" s="1" t="str">
        <f>"08763423"</f>
        <v>08763423</v>
      </c>
      <c r="D136" s="1" t="s">
        <v>196</v>
      </c>
      <c r="F136" s="1" t="str">
        <f>"19"</f>
        <v>19</v>
      </c>
      <c r="G136" s="2">
        <v>41940</v>
      </c>
      <c r="H136" s="1">
        <v>154900</v>
      </c>
      <c r="I136" s="1">
        <v>114900</v>
      </c>
      <c r="J136" s="1">
        <v>114900</v>
      </c>
      <c r="K136" s="2">
        <v>41940</v>
      </c>
      <c r="L136" s="1">
        <v>78</v>
      </c>
      <c r="M136" s="2">
        <v>42017</v>
      </c>
      <c r="N136" s="1">
        <v>78</v>
      </c>
      <c r="O136" s="2">
        <v>42017</v>
      </c>
      <c r="P136" s="1">
        <v>1109</v>
      </c>
      <c r="Q136" s="1" t="s">
        <v>197</v>
      </c>
      <c r="R136" s="2">
        <v>42062</v>
      </c>
      <c r="S136" s="1">
        <v>217671</v>
      </c>
      <c r="T136" s="1">
        <v>3447</v>
      </c>
      <c r="U136" s="1">
        <v>665</v>
      </c>
      <c r="V136" s="1" t="s">
        <v>2596</v>
      </c>
      <c r="W136" s="1" t="s">
        <v>779</v>
      </c>
      <c r="Y136" s="1">
        <v>2</v>
      </c>
      <c r="Z136" s="1" t="s">
        <v>370</v>
      </c>
      <c r="AA136" s="1" t="s">
        <v>1013</v>
      </c>
      <c r="AB136" s="1">
        <v>60073</v>
      </c>
      <c r="AD136" s="1" t="s">
        <v>2597</v>
      </c>
      <c r="AE136" s="1" t="s">
        <v>2598</v>
      </c>
      <c r="AF136" s="1">
        <v>2007</v>
      </c>
      <c r="AG136" s="1" t="s">
        <v>204</v>
      </c>
      <c r="AH136" s="1" t="s">
        <v>1015</v>
      </c>
      <c r="AI136" s="1" t="s">
        <v>509</v>
      </c>
      <c r="AJ136" s="1" t="s">
        <v>2599</v>
      </c>
      <c r="AK136" s="1" t="s">
        <v>2600</v>
      </c>
      <c r="AL136" s="1">
        <v>6</v>
      </c>
      <c r="AM136" s="1">
        <v>2</v>
      </c>
      <c r="AN136" s="1">
        <v>1</v>
      </c>
      <c r="AO136" s="1">
        <v>1</v>
      </c>
      <c r="AP136" s="1" t="s">
        <v>210</v>
      </c>
      <c r="AR136" s="1" t="s">
        <v>210</v>
      </c>
      <c r="AS136" s="1" t="s">
        <v>204</v>
      </c>
      <c r="AT136" s="1" t="s">
        <v>211</v>
      </c>
      <c r="AU136" s="1">
        <v>2</v>
      </c>
      <c r="AW136" s="1" t="s">
        <v>204</v>
      </c>
      <c r="AX136" s="1" t="s">
        <v>2601</v>
      </c>
      <c r="AZ136" s="1">
        <v>4985</v>
      </c>
      <c r="BA136" s="1">
        <v>2012</v>
      </c>
      <c r="BB136" s="1" t="s">
        <v>210</v>
      </c>
      <c r="BE136" s="1">
        <v>1560</v>
      </c>
      <c r="BF136" s="1">
        <v>1</v>
      </c>
      <c r="BG136" s="1">
        <v>0</v>
      </c>
      <c r="BL136" s="1">
        <v>17</v>
      </c>
      <c r="BM136" s="1" t="s">
        <v>213</v>
      </c>
      <c r="BN136" s="1" t="s">
        <v>213</v>
      </c>
      <c r="BO136" s="1">
        <v>50</v>
      </c>
      <c r="BP136" s="1" t="s">
        <v>204</v>
      </c>
      <c r="BR136" s="1" t="str">
        <f>"09023130080000"</f>
        <v>09023130080000</v>
      </c>
      <c r="BT136" s="1" t="s">
        <v>2602</v>
      </c>
      <c r="BU136" s="1" t="s">
        <v>2603</v>
      </c>
      <c r="BV136" s="1" t="s">
        <v>2604</v>
      </c>
      <c r="BW136" s="1" t="s">
        <v>2605</v>
      </c>
      <c r="BX136" s="1">
        <v>118</v>
      </c>
      <c r="BY136" s="1">
        <v>118</v>
      </c>
      <c r="BZ136" s="1">
        <v>118</v>
      </c>
      <c r="CB136" s="1" t="str">
        <f t="shared" ref="CB136:CC136" si="104">""</f>
        <v/>
      </c>
      <c r="CC136" s="1" t="str">
        <f t="shared" si="104"/>
        <v/>
      </c>
      <c r="CG136" s="1" t="s">
        <v>2606</v>
      </c>
      <c r="CH136" s="1" t="s">
        <v>219</v>
      </c>
      <c r="CI136" s="1" t="s">
        <v>226</v>
      </c>
      <c r="CK136" s="1" t="s">
        <v>2170</v>
      </c>
      <c r="CL136" s="1" t="s">
        <v>277</v>
      </c>
      <c r="CM136" s="1" t="s">
        <v>220</v>
      </c>
      <c r="CO136" s="1" t="s">
        <v>346</v>
      </c>
      <c r="CP136" s="1" t="s">
        <v>219</v>
      </c>
      <c r="CQ136" s="1" t="s">
        <v>226</v>
      </c>
      <c r="CS136" s="1" t="s">
        <v>1107</v>
      </c>
      <c r="CT136" s="1" t="s">
        <v>277</v>
      </c>
      <c r="CU136" s="1" t="s">
        <v>220</v>
      </c>
      <c r="CX136" s="1" t="s">
        <v>224</v>
      </c>
      <c r="DB136" s="1" t="s">
        <v>224</v>
      </c>
      <c r="DE136" s="1" t="s">
        <v>346</v>
      </c>
      <c r="DF136" s="1" t="s">
        <v>219</v>
      </c>
      <c r="DG136" s="1" t="s">
        <v>226</v>
      </c>
      <c r="DJ136" s="1" t="s">
        <v>224</v>
      </c>
      <c r="DM136" s="1" t="s">
        <v>464</v>
      </c>
      <c r="DR136" s="1" t="s">
        <v>379</v>
      </c>
      <c r="DS136" s="1" t="s">
        <v>277</v>
      </c>
      <c r="DT136" s="1" t="s">
        <v>220</v>
      </c>
      <c r="DW136" s="1" t="s">
        <v>230</v>
      </c>
      <c r="EA136" s="1" t="s">
        <v>230</v>
      </c>
      <c r="EE136" s="1" t="s">
        <v>230</v>
      </c>
      <c r="EI136" s="1" t="s">
        <v>230</v>
      </c>
      <c r="EL136" s="1" t="s">
        <v>491</v>
      </c>
      <c r="EM136" s="1" t="s">
        <v>319</v>
      </c>
      <c r="EN136" s="1" t="s">
        <v>282</v>
      </c>
      <c r="EO136" s="1" t="s">
        <v>234</v>
      </c>
      <c r="EP136" s="1" t="s">
        <v>650</v>
      </c>
      <c r="ER136" s="1" t="s">
        <v>383</v>
      </c>
      <c r="EW136" s="1" t="s">
        <v>347</v>
      </c>
      <c r="EZ136" s="1" t="s">
        <v>464</v>
      </c>
      <c r="FD136" s="1" t="s">
        <v>246</v>
      </c>
      <c r="FE136" s="1" t="s">
        <v>975</v>
      </c>
      <c r="FF136" s="1" t="s">
        <v>248</v>
      </c>
      <c r="FH136" s="1" t="s">
        <v>442</v>
      </c>
      <c r="FL136" s="1" t="s">
        <v>810</v>
      </c>
      <c r="FM136" s="1" t="s">
        <v>252</v>
      </c>
      <c r="FN136" s="1" t="s">
        <v>213</v>
      </c>
      <c r="FO136" s="1" t="s">
        <v>213</v>
      </c>
      <c r="FQ136" s="1" t="s">
        <v>2607</v>
      </c>
      <c r="FR136" s="1" t="s">
        <v>210</v>
      </c>
      <c r="FS136" s="1" t="s">
        <v>2608</v>
      </c>
      <c r="FT136" s="1" t="s">
        <v>2609</v>
      </c>
      <c r="FU136" s="1" t="s">
        <v>204</v>
      </c>
      <c r="FV136" s="1" t="s">
        <v>2610</v>
      </c>
      <c r="FW136" s="1" t="s">
        <v>554</v>
      </c>
      <c r="FX136" s="1">
        <v>5040</v>
      </c>
      <c r="FY136" s="1" t="s">
        <v>2611</v>
      </c>
      <c r="FZ136" s="1" t="s">
        <v>2612</v>
      </c>
      <c r="GA136" s="1">
        <v>54861</v>
      </c>
      <c r="GB136" s="1" t="s">
        <v>2613</v>
      </c>
      <c r="GD136" s="1" t="s">
        <v>2610</v>
      </c>
      <c r="GE136" s="1" t="s">
        <v>210</v>
      </c>
      <c r="GI136" s="1" t="s">
        <v>213</v>
      </c>
      <c r="GJ136" s="1" t="s">
        <v>260</v>
      </c>
      <c r="GK136" s="1" t="s">
        <v>210</v>
      </c>
      <c r="GL136" s="2">
        <v>42065</v>
      </c>
    </row>
    <row r="137" spans="1:195">
      <c r="A137" s="1">
        <v>125500</v>
      </c>
      <c r="B137" s="1" t="s">
        <v>195</v>
      </c>
      <c r="C137" s="1" t="str">
        <f>"08767904"</f>
        <v>08767904</v>
      </c>
      <c r="D137" s="1" t="s">
        <v>196</v>
      </c>
      <c r="F137" s="1" t="str">
        <f>"538"</f>
        <v>538</v>
      </c>
      <c r="G137" s="2">
        <v>41946</v>
      </c>
      <c r="H137" s="1">
        <v>127500</v>
      </c>
      <c r="I137" s="1">
        <v>127500</v>
      </c>
      <c r="J137" s="1">
        <v>125500</v>
      </c>
      <c r="K137" s="2">
        <v>41944</v>
      </c>
      <c r="L137" s="1">
        <v>81</v>
      </c>
      <c r="M137" s="2">
        <v>42024</v>
      </c>
      <c r="N137" s="1">
        <v>81</v>
      </c>
      <c r="O137" s="2">
        <v>42024</v>
      </c>
      <c r="P137" s="1">
        <v>22029</v>
      </c>
      <c r="Q137" s="1" t="s">
        <v>1393</v>
      </c>
      <c r="R137" s="2">
        <v>42081</v>
      </c>
      <c r="S137" s="1">
        <v>231272</v>
      </c>
      <c r="U137" s="1">
        <v>79</v>
      </c>
      <c r="V137" s="1" t="s">
        <v>2614</v>
      </c>
      <c r="W137" s="1" t="s">
        <v>264</v>
      </c>
      <c r="Y137" s="1">
        <v>6</v>
      </c>
      <c r="Z137" s="1" t="s">
        <v>370</v>
      </c>
      <c r="AA137" s="1" t="s">
        <v>450</v>
      </c>
      <c r="AB137" s="1">
        <v>60538</v>
      </c>
      <c r="AD137" s="1" t="s">
        <v>2615</v>
      </c>
      <c r="AE137" s="1" t="s">
        <v>2616</v>
      </c>
      <c r="AF137" s="1">
        <v>1978</v>
      </c>
      <c r="AG137" s="1" t="s">
        <v>204</v>
      </c>
      <c r="AH137" s="1" t="s">
        <v>882</v>
      </c>
      <c r="AI137" s="1" t="s">
        <v>453</v>
      </c>
      <c r="AJ137" s="1" t="s">
        <v>1397</v>
      </c>
      <c r="AL137" s="1">
        <v>8</v>
      </c>
      <c r="AM137" s="1">
        <v>2</v>
      </c>
      <c r="AN137" s="1">
        <v>3</v>
      </c>
      <c r="AO137" s="1">
        <v>0</v>
      </c>
      <c r="AP137" s="1" t="s">
        <v>209</v>
      </c>
      <c r="AR137" s="1" t="s">
        <v>209</v>
      </c>
      <c r="AS137" s="1" t="s">
        <v>213</v>
      </c>
      <c r="AT137" s="1" t="s">
        <v>211</v>
      </c>
      <c r="AU137" s="1">
        <v>2</v>
      </c>
      <c r="AW137" s="1" t="s">
        <v>204</v>
      </c>
      <c r="AX137" s="1" t="s">
        <v>212</v>
      </c>
      <c r="AZ137" s="1">
        <v>4507</v>
      </c>
      <c r="BA137" s="1">
        <v>2013</v>
      </c>
      <c r="BB137" s="1" t="s">
        <v>210</v>
      </c>
      <c r="BE137" s="1">
        <v>1364</v>
      </c>
      <c r="BF137" s="1">
        <v>1</v>
      </c>
      <c r="BG137" s="1">
        <v>5</v>
      </c>
      <c r="BL137" s="1">
        <v>190</v>
      </c>
      <c r="BM137" s="1" t="s">
        <v>204</v>
      </c>
      <c r="BN137" s="1" t="s">
        <v>213</v>
      </c>
      <c r="BO137" s="1">
        <v>50</v>
      </c>
      <c r="BP137" s="1" t="s">
        <v>204</v>
      </c>
      <c r="BR137" s="1" t="str">
        <f>"0305452027"</f>
        <v>0305452027</v>
      </c>
      <c r="BT137" s="1" t="s">
        <v>2617</v>
      </c>
      <c r="BU137" s="1" t="s">
        <v>2618</v>
      </c>
      <c r="BV137" s="1" t="s">
        <v>2574</v>
      </c>
      <c r="BW137" s="1" t="s">
        <v>460</v>
      </c>
      <c r="BX137" s="1">
        <v>308</v>
      </c>
      <c r="BY137" s="1">
        <v>308</v>
      </c>
      <c r="BZ137" s="1">
        <v>308</v>
      </c>
      <c r="CB137" s="1" t="str">
        <f t="shared" ref="CB137:CC137" si="105">"0"</f>
        <v>0</v>
      </c>
      <c r="CC137" s="1" t="str">
        <f t="shared" si="105"/>
        <v>0</v>
      </c>
      <c r="CD137" s="1">
        <v>0</v>
      </c>
      <c r="CE137" s="1">
        <v>0</v>
      </c>
      <c r="CG137" s="1" t="s">
        <v>2619</v>
      </c>
      <c r="CH137" s="1" t="s">
        <v>219</v>
      </c>
      <c r="CI137" s="1" t="s">
        <v>438</v>
      </c>
      <c r="CJ137" s="1" t="s">
        <v>252</v>
      </c>
      <c r="CK137" s="1" t="s">
        <v>1854</v>
      </c>
      <c r="CL137" s="1" t="s">
        <v>219</v>
      </c>
      <c r="CM137" s="1" t="s">
        <v>220</v>
      </c>
      <c r="CN137" s="1" t="s">
        <v>252</v>
      </c>
      <c r="CP137" s="1" t="s">
        <v>224</v>
      </c>
      <c r="CS137" s="1" t="s">
        <v>1854</v>
      </c>
      <c r="CT137" s="1" t="s">
        <v>219</v>
      </c>
      <c r="CU137" s="1" t="s">
        <v>220</v>
      </c>
      <c r="CV137" s="1" t="s">
        <v>252</v>
      </c>
      <c r="CW137" s="1" t="s">
        <v>2467</v>
      </c>
      <c r="CX137" s="1" t="s">
        <v>43</v>
      </c>
      <c r="CY137" s="1" t="s">
        <v>220</v>
      </c>
      <c r="CZ137" s="1" t="s">
        <v>252</v>
      </c>
      <c r="DB137" s="1" t="s">
        <v>224</v>
      </c>
      <c r="DE137" s="1" t="s">
        <v>630</v>
      </c>
      <c r="DF137" s="1" t="s">
        <v>219</v>
      </c>
      <c r="DG137" s="1" t="s">
        <v>438</v>
      </c>
      <c r="DH137" s="1" t="s">
        <v>252</v>
      </c>
      <c r="DI137" s="1" t="s">
        <v>2620</v>
      </c>
      <c r="DJ137" s="1" t="s">
        <v>43</v>
      </c>
      <c r="DK137" s="1" t="s">
        <v>220</v>
      </c>
      <c r="DL137" s="1" t="s">
        <v>252</v>
      </c>
      <c r="DM137" s="1" t="s">
        <v>381</v>
      </c>
      <c r="DN137" s="1" t="s">
        <v>227</v>
      </c>
      <c r="DR137" s="1" t="s">
        <v>836</v>
      </c>
      <c r="DS137" s="1" t="s">
        <v>219</v>
      </c>
      <c r="DT137" s="1" t="s">
        <v>226</v>
      </c>
      <c r="DU137" s="1" t="s">
        <v>252</v>
      </c>
      <c r="DV137" s="1" t="s">
        <v>2277</v>
      </c>
      <c r="DW137" s="1" t="s">
        <v>219</v>
      </c>
      <c r="DX137" s="1" t="s">
        <v>438</v>
      </c>
      <c r="DY137" s="1" t="s">
        <v>252</v>
      </c>
      <c r="EA137" s="1" t="s">
        <v>230</v>
      </c>
      <c r="EE137" s="1" t="s">
        <v>230</v>
      </c>
      <c r="EI137" s="1" t="s">
        <v>230</v>
      </c>
      <c r="EL137" s="1" t="s">
        <v>231</v>
      </c>
      <c r="EM137" s="1" t="s">
        <v>319</v>
      </c>
      <c r="EN137" s="1" t="s">
        <v>282</v>
      </c>
      <c r="EO137" s="1" t="s">
        <v>234</v>
      </c>
      <c r="EP137" s="1" t="s">
        <v>349</v>
      </c>
      <c r="EQ137" s="1" t="s">
        <v>350</v>
      </c>
      <c r="ER137" s="1" t="s">
        <v>544</v>
      </c>
      <c r="ES137" s="1" t="s">
        <v>824</v>
      </c>
      <c r="ET137" s="1" t="s">
        <v>323</v>
      </c>
      <c r="EW137" s="1" t="s">
        <v>347</v>
      </c>
      <c r="EZ137" s="1" t="s">
        <v>2621</v>
      </c>
      <c r="FA137" s="1" t="s">
        <v>2622</v>
      </c>
      <c r="FD137" s="1" t="s">
        <v>246</v>
      </c>
      <c r="FE137" s="1" t="s">
        <v>2623</v>
      </c>
      <c r="FF137" s="1" t="s">
        <v>248</v>
      </c>
      <c r="FH137" s="1" t="s">
        <v>825</v>
      </c>
      <c r="FI137" s="1" t="s">
        <v>357</v>
      </c>
      <c r="FL137" s="1" t="s">
        <v>358</v>
      </c>
      <c r="FM137" s="1" t="s">
        <v>252</v>
      </c>
      <c r="FN137" s="1" t="s">
        <v>213</v>
      </c>
      <c r="FO137" s="1" t="s">
        <v>213</v>
      </c>
      <c r="FQ137" s="1" t="s">
        <v>849</v>
      </c>
      <c r="FR137" s="1" t="s">
        <v>210</v>
      </c>
      <c r="FS137" s="1" t="s">
        <v>2624</v>
      </c>
      <c r="FT137" s="1" t="s">
        <v>295</v>
      </c>
      <c r="FU137" s="1" t="s">
        <v>204</v>
      </c>
      <c r="FV137" s="1" t="s">
        <v>2625</v>
      </c>
      <c r="FW137" s="1" t="s">
        <v>719</v>
      </c>
      <c r="FX137" s="1">
        <v>22029</v>
      </c>
      <c r="FY137" s="1" t="s">
        <v>720</v>
      </c>
      <c r="FZ137" s="1" t="s">
        <v>2626</v>
      </c>
      <c r="GA137" s="1">
        <v>231272</v>
      </c>
      <c r="GB137" s="1" t="s">
        <v>2627</v>
      </c>
      <c r="GD137" s="1" t="s">
        <v>2628</v>
      </c>
      <c r="GE137" s="1" t="s">
        <v>210</v>
      </c>
      <c r="GI137" s="1" t="s">
        <v>204</v>
      </c>
      <c r="GJ137" s="1" t="s">
        <v>260</v>
      </c>
      <c r="GK137" s="1" t="s">
        <v>261</v>
      </c>
      <c r="GL137" s="2">
        <v>42081</v>
      </c>
      <c r="GM137" s="1" t="s">
        <v>2629</v>
      </c>
    </row>
    <row r="138" spans="1:195">
      <c r="A138" s="1">
        <v>212000</v>
      </c>
      <c r="B138" s="1" t="s">
        <v>195</v>
      </c>
      <c r="C138" s="1" t="str">
        <f>"08761465"</f>
        <v>08761465</v>
      </c>
      <c r="D138" s="1" t="s">
        <v>196</v>
      </c>
      <c r="F138" s="1" t="str">
        <f>"101"</f>
        <v>101</v>
      </c>
      <c r="G138" s="2">
        <v>41937</v>
      </c>
      <c r="H138" s="1">
        <v>219900</v>
      </c>
      <c r="I138" s="1">
        <v>219900</v>
      </c>
      <c r="J138" s="1">
        <v>212000</v>
      </c>
      <c r="K138" s="2">
        <v>41937</v>
      </c>
      <c r="L138" s="1">
        <v>71</v>
      </c>
      <c r="M138" s="2">
        <v>41975</v>
      </c>
      <c r="N138" s="1">
        <v>39</v>
      </c>
      <c r="O138" s="2">
        <v>41975</v>
      </c>
      <c r="P138" s="1">
        <v>10900</v>
      </c>
      <c r="Q138" s="1" t="s">
        <v>197</v>
      </c>
      <c r="R138" s="2">
        <v>42031</v>
      </c>
      <c r="S138" s="1">
        <v>107564</v>
      </c>
      <c r="U138" s="1">
        <v>611</v>
      </c>
      <c r="V138" s="1" t="s">
        <v>2630</v>
      </c>
      <c r="W138" s="1" t="s">
        <v>504</v>
      </c>
      <c r="Y138" s="1">
        <v>6</v>
      </c>
      <c r="Z138" s="1" t="s">
        <v>249</v>
      </c>
      <c r="AA138" s="1" t="s">
        <v>2631</v>
      </c>
      <c r="AB138" s="1">
        <v>60101</v>
      </c>
      <c r="AD138" s="1" t="s">
        <v>2632</v>
      </c>
      <c r="AE138" s="1" t="s">
        <v>2633</v>
      </c>
      <c r="AF138" s="1">
        <v>1997</v>
      </c>
      <c r="AG138" s="1" t="s">
        <v>204</v>
      </c>
      <c r="AH138" s="1" t="s">
        <v>1233</v>
      </c>
      <c r="AI138" s="1" t="s">
        <v>206</v>
      </c>
      <c r="AJ138" s="1" t="s">
        <v>1233</v>
      </c>
      <c r="AL138" s="1">
        <v>6</v>
      </c>
      <c r="AM138" s="1">
        <v>2</v>
      </c>
      <c r="AN138" s="1">
        <v>3</v>
      </c>
      <c r="AO138" s="1">
        <v>1</v>
      </c>
      <c r="AP138" s="1" t="s">
        <v>209</v>
      </c>
      <c r="AQ138" s="1">
        <v>1</v>
      </c>
      <c r="AR138" s="1" t="s">
        <v>209</v>
      </c>
      <c r="AS138" s="1" t="s">
        <v>213</v>
      </c>
      <c r="AT138" s="1" t="s">
        <v>211</v>
      </c>
      <c r="AU138" s="1">
        <v>2</v>
      </c>
      <c r="AW138" s="1" t="s">
        <v>204</v>
      </c>
      <c r="AX138" s="1" t="s">
        <v>212</v>
      </c>
      <c r="AZ138" s="1">
        <v>4228</v>
      </c>
      <c r="BA138" s="1">
        <v>2013</v>
      </c>
      <c r="BE138" s="1">
        <v>1471</v>
      </c>
      <c r="BF138" s="1">
        <v>1</v>
      </c>
      <c r="BG138" s="1">
        <v>30</v>
      </c>
      <c r="BL138" s="1">
        <v>253</v>
      </c>
      <c r="BM138" s="1" t="s">
        <v>204</v>
      </c>
      <c r="BN138" s="1" t="s">
        <v>213</v>
      </c>
      <c r="BO138" s="1">
        <v>999</v>
      </c>
      <c r="BP138" s="1" t="s">
        <v>204</v>
      </c>
      <c r="BR138" s="1" t="str">
        <f>"0329216104"</f>
        <v>0329216104</v>
      </c>
      <c r="BT138" s="1" t="s">
        <v>2634</v>
      </c>
      <c r="BX138" s="1">
        <v>4</v>
      </c>
      <c r="BY138" s="1">
        <v>4</v>
      </c>
      <c r="BZ138" s="1">
        <v>88</v>
      </c>
      <c r="CB138" s="1" t="str">
        <f t="shared" ref="CB138:CC138" si="106">""</f>
        <v/>
      </c>
      <c r="CC138" s="1" t="str">
        <f t="shared" si="106"/>
        <v/>
      </c>
      <c r="CG138" s="1" t="s">
        <v>669</v>
      </c>
      <c r="CH138" s="1" t="s">
        <v>219</v>
      </c>
      <c r="CI138" s="1" t="s">
        <v>438</v>
      </c>
      <c r="CJ138" s="1" t="s">
        <v>439</v>
      </c>
      <c r="CK138" s="1" t="s">
        <v>315</v>
      </c>
      <c r="CL138" s="1" t="s">
        <v>277</v>
      </c>
      <c r="CM138" s="1" t="s">
        <v>220</v>
      </c>
      <c r="CO138" s="1" t="s">
        <v>315</v>
      </c>
      <c r="CP138" s="1" t="s">
        <v>219</v>
      </c>
      <c r="CQ138" s="1" t="s">
        <v>438</v>
      </c>
      <c r="CS138" s="1" t="s">
        <v>465</v>
      </c>
      <c r="CT138" s="1" t="s">
        <v>277</v>
      </c>
      <c r="CU138" s="1" t="s">
        <v>220</v>
      </c>
      <c r="CX138" s="1" t="s">
        <v>224</v>
      </c>
      <c r="DB138" s="1" t="s">
        <v>224</v>
      </c>
      <c r="DE138" s="1" t="s">
        <v>757</v>
      </c>
      <c r="DF138" s="1" t="s">
        <v>219</v>
      </c>
      <c r="DG138" s="1" t="s">
        <v>226</v>
      </c>
      <c r="DI138" s="1" t="s">
        <v>2635</v>
      </c>
      <c r="DJ138" s="1" t="s">
        <v>822</v>
      </c>
      <c r="DK138" s="1" t="s">
        <v>220</v>
      </c>
      <c r="DM138" s="1" t="s">
        <v>1614</v>
      </c>
      <c r="DR138" s="1" t="s">
        <v>281</v>
      </c>
      <c r="DS138" s="1" t="s">
        <v>822</v>
      </c>
      <c r="DW138" s="1" t="s">
        <v>230</v>
      </c>
      <c r="EA138" s="1" t="s">
        <v>230</v>
      </c>
      <c r="EE138" s="1" t="s">
        <v>230</v>
      </c>
      <c r="EI138" s="1" t="s">
        <v>230</v>
      </c>
      <c r="EL138" s="1" t="s">
        <v>670</v>
      </c>
      <c r="EM138" s="1" t="s">
        <v>232</v>
      </c>
      <c r="EN138" s="1" t="s">
        <v>282</v>
      </c>
      <c r="EO138" s="1" t="s">
        <v>234</v>
      </c>
      <c r="EQ138" s="1" t="s">
        <v>1109</v>
      </c>
      <c r="ER138" s="1" t="s">
        <v>544</v>
      </c>
      <c r="ES138" s="1" t="s">
        <v>493</v>
      </c>
      <c r="EV138" s="1" t="s">
        <v>324</v>
      </c>
      <c r="EW138" s="1" t="s">
        <v>1372</v>
      </c>
      <c r="EZ138" s="1" t="s">
        <v>1614</v>
      </c>
      <c r="FD138" s="1" t="s">
        <v>246</v>
      </c>
      <c r="FE138" s="1" t="s">
        <v>975</v>
      </c>
      <c r="FF138" s="1" t="s">
        <v>248</v>
      </c>
      <c r="FH138" s="1" t="s">
        <v>550</v>
      </c>
      <c r="FL138" s="1" t="s">
        <v>358</v>
      </c>
      <c r="FM138" s="1" t="s">
        <v>252</v>
      </c>
      <c r="FN138" s="1" t="s">
        <v>213</v>
      </c>
      <c r="FO138" s="1" t="s">
        <v>213</v>
      </c>
      <c r="FQ138" s="1" t="s">
        <v>1599</v>
      </c>
      <c r="FR138" s="1" t="s">
        <v>210</v>
      </c>
      <c r="FS138" s="1" t="s">
        <v>1709</v>
      </c>
      <c r="FT138" s="1" t="s">
        <v>295</v>
      </c>
      <c r="FU138" s="1" t="s">
        <v>204</v>
      </c>
      <c r="FW138" s="1" t="s">
        <v>2636</v>
      </c>
      <c r="FX138" s="1">
        <v>1089</v>
      </c>
      <c r="FY138" s="1" t="s">
        <v>2637</v>
      </c>
      <c r="FZ138" s="1" t="s">
        <v>2636</v>
      </c>
      <c r="GA138" s="1">
        <v>83329</v>
      </c>
      <c r="GB138" s="1" t="s">
        <v>2637</v>
      </c>
      <c r="GE138" s="1" t="s">
        <v>210</v>
      </c>
      <c r="GH138" s="1" t="s">
        <v>589</v>
      </c>
      <c r="GI138" s="1" t="s">
        <v>213</v>
      </c>
      <c r="GJ138" s="1" t="s">
        <v>260</v>
      </c>
      <c r="GK138" s="1" t="s">
        <v>261</v>
      </c>
      <c r="GL138" s="2">
        <v>42034</v>
      </c>
    </row>
    <row r="139" spans="1:195">
      <c r="A139" s="1">
        <v>119000</v>
      </c>
      <c r="B139" s="1" t="s">
        <v>195</v>
      </c>
      <c r="C139" s="1" t="str">
        <f>"08769960"</f>
        <v>08769960</v>
      </c>
      <c r="D139" s="1" t="s">
        <v>196</v>
      </c>
      <c r="F139" s="1" t="str">
        <f>"543"</f>
        <v>543</v>
      </c>
      <c r="G139" s="2">
        <v>41949</v>
      </c>
      <c r="H139" s="1">
        <v>119500</v>
      </c>
      <c r="I139" s="1">
        <v>119500</v>
      </c>
      <c r="J139" s="1">
        <v>119000</v>
      </c>
      <c r="K139" s="2">
        <v>41949</v>
      </c>
      <c r="L139" s="1">
        <v>22</v>
      </c>
      <c r="M139" s="2">
        <v>41970</v>
      </c>
      <c r="N139" s="1">
        <v>22</v>
      </c>
      <c r="O139" s="2">
        <v>41970</v>
      </c>
      <c r="P139" s="1">
        <v>85700</v>
      </c>
      <c r="Q139" s="1" t="s">
        <v>423</v>
      </c>
      <c r="R139" s="2">
        <v>42018</v>
      </c>
      <c r="S139" s="1">
        <v>105854</v>
      </c>
      <c r="U139" s="1">
        <v>102</v>
      </c>
      <c r="V139" s="1" t="s">
        <v>2638</v>
      </c>
      <c r="W139" s="1" t="s">
        <v>449</v>
      </c>
      <c r="X139" s="1">
        <v>102</v>
      </c>
      <c r="Y139" s="1">
        <v>4</v>
      </c>
      <c r="Z139" s="1" t="s">
        <v>370</v>
      </c>
      <c r="AA139" s="1" t="s">
        <v>2639</v>
      </c>
      <c r="AB139" s="1">
        <v>60543</v>
      </c>
      <c r="AD139" s="1" t="s">
        <v>2640</v>
      </c>
      <c r="AE139" s="1" t="s">
        <v>2641</v>
      </c>
      <c r="AF139" s="1">
        <v>2001</v>
      </c>
      <c r="AG139" s="1" t="s">
        <v>204</v>
      </c>
      <c r="AH139" s="1" t="s">
        <v>1397</v>
      </c>
      <c r="AI139" s="1" t="s">
        <v>453</v>
      </c>
      <c r="AJ139" s="1" t="s">
        <v>1397</v>
      </c>
      <c r="AL139" s="1">
        <v>5</v>
      </c>
      <c r="AM139" s="1">
        <v>2</v>
      </c>
      <c r="AN139" s="1">
        <v>1</v>
      </c>
      <c r="AO139" s="1">
        <v>1</v>
      </c>
      <c r="AP139" s="1" t="s">
        <v>667</v>
      </c>
      <c r="AR139" s="1" t="s">
        <v>210</v>
      </c>
      <c r="AS139" s="1" t="s">
        <v>204</v>
      </c>
      <c r="AT139" s="1" t="s">
        <v>211</v>
      </c>
      <c r="AU139" s="1">
        <v>2.5</v>
      </c>
      <c r="AW139" s="1" t="s">
        <v>204</v>
      </c>
      <c r="AX139" s="1" t="s">
        <v>212</v>
      </c>
      <c r="AZ139" s="1">
        <v>3423</v>
      </c>
      <c r="BA139" s="1">
        <v>2013</v>
      </c>
      <c r="BE139" s="1">
        <v>1336</v>
      </c>
      <c r="BF139" s="1">
        <v>1</v>
      </c>
      <c r="BG139" s="1">
        <v>0</v>
      </c>
      <c r="BJ139" s="1">
        <v>100</v>
      </c>
      <c r="BL139" s="1">
        <v>125</v>
      </c>
      <c r="BM139" s="1" t="s">
        <v>204</v>
      </c>
      <c r="BN139" s="1" t="s">
        <v>213</v>
      </c>
      <c r="BO139" s="1">
        <v>0</v>
      </c>
      <c r="BP139" s="1" t="s">
        <v>204</v>
      </c>
      <c r="BR139" s="1" t="str">
        <f>"0302456037"</f>
        <v>0302456037</v>
      </c>
      <c r="BT139" s="1" t="s">
        <v>2642</v>
      </c>
      <c r="BX139" s="1">
        <v>308</v>
      </c>
      <c r="BY139" s="1">
        <v>308</v>
      </c>
      <c r="BZ139" s="1">
        <v>308</v>
      </c>
      <c r="CB139" s="1" t="str">
        <f t="shared" ref="CB139:CC139" si="107">""</f>
        <v/>
      </c>
      <c r="CC139" s="1" t="str">
        <f t="shared" si="107"/>
        <v/>
      </c>
      <c r="CG139" s="1" t="s">
        <v>1737</v>
      </c>
      <c r="CH139" s="1" t="s">
        <v>219</v>
      </c>
      <c r="CI139" s="1" t="s">
        <v>229</v>
      </c>
      <c r="CJ139" s="1" t="s">
        <v>343</v>
      </c>
      <c r="CK139" s="1" t="s">
        <v>1737</v>
      </c>
      <c r="CL139" s="1" t="s">
        <v>277</v>
      </c>
      <c r="CM139" s="1" t="s">
        <v>220</v>
      </c>
      <c r="CN139" s="1" t="s">
        <v>343</v>
      </c>
      <c r="CO139" s="1" t="s">
        <v>318</v>
      </c>
      <c r="CP139" s="1" t="s">
        <v>219</v>
      </c>
      <c r="CQ139" s="1" t="s">
        <v>229</v>
      </c>
      <c r="CR139" s="1" t="s">
        <v>343</v>
      </c>
      <c r="CS139" s="1" t="s">
        <v>346</v>
      </c>
      <c r="CT139" s="1" t="s">
        <v>277</v>
      </c>
      <c r="CU139" s="1" t="s">
        <v>220</v>
      </c>
      <c r="CV139" s="1" t="s">
        <v>343</v>
      </c>
      <c r="CX139" s="1" t="s">
        <v>224</v>
      </c>
      <c r="DB139" s="1" t="s">
        <v>224</v>
      </c>
      <c r="DE139" s="1" t="s">
        <v>223</v>
      </c>
      <c r="DF139" s="1" t="s">
        <v>219</v>
      </c>
      <c r="DG139" s="1" t="s">
        <v>229</v>
      </c>
      <c r="DH139" s="1" t="s">
        <v>343</v>
      </c>
      <c r="DJ139" s="1" t="s">
        <v>224</v>
      </c>
      <c r="DS139" s="1" t="s">
        <v>230</v>
      </c>
      <c r="DW139" s="1" t="s">
        <v>230</v>
      </c>
      <c r="EA139" s="1" t="s">
        <v>230</v>
      </c>
      <c r="EE139" s="1" t="s">
        <v>230</v>
      </c>
      <c r="EI139" s="1" t="s">
        <v>230</v>
      </c>
      <c r="EL139" s="1" t="s">
        <v>466</v>
      </c>
      <c r="EM139" s="1" t="s">
        <v>319</v>
      </c>
      <c r="EN139" s="1" t="s">
        <v>282</v>
      </c>
      <c r="EO139" s="1" t="s">
        <v>234</v>
      </c>
      <c r="EP139" s="1" t="s">
        <v>2643</v>
      </c>
      <c r="EQ139" s="1" t="s">
        <v>236</v>
      </c>
      <c r="ER139" s="1" t="s">
        <v>210</v>
      </c>
      <c r="ES139" s="1" t="s">
        <v>824</v>
      </c>
      <c r="EU139" s="1" t="s">
        <v>1202</v>
      </c>
      <c r="EV139" s="1" t="s">
        <v>324</v>
      </c>
      <c r="EW139" s="1" t="s">
        <v>353</v>
      </c>
      <c r="EY139" s="1" t="s">
        <v>2644</v>
      </c>
      <c r="EZ139" s="1" t="s">
        <v>287</v>
      </c>
      <c r="FB139" s="1" t="s">
        <v>289</v>
      </c>
      <c r="FC139" s="1" t="s">
        <v>326</v>
      </c>
      <c r="FD139" s="1" t="s">
        <v>246</v>
      </c>
      <c r="FE139" s="1" t="s">
        <v>2645</v>
      </c>
      <c r="FF139" s="1" t="s">
        <v>248</v>
      </c>
      <c r="FH139" s="1" t="s">
        <v>550</v>
      </c>
      <c r="FI139" s="1" t="s">
        <v>473</v>
      </c>
      <c r="FJ139" s="1" t="s">
        <v>518</v>
      </c>
      <c r="FL139" s="1" t="s">
        <v>358</v>
      </c>
      <c r="FM139" s="1" t="s">
        <v>252</v>
      </c>
      <c r="FN139" s="1" t="s">
        <v>213</v>
      </c>
      <c r="FO139" s="1" t="s">
        <v>213</v>
      </c>
      <c r="FQ139" s="1" t="s">
        <v>1896</v>
      </c>
      <c r="FR139" s="1" t="s">
        <v>210</v>
      </c>
      <c r="FS139" s="1" t="s">
        <v>2646</v>
      </c>
      <c r="FT139" s="1" t="s">
        <v>2647</v>
      </c>
      <c r="FU139" s="1" t="s">
        <v>204</v>
      </c>
      <c r="FW139" s="1" t="s">
        <v>585</v>
      </c>
      <c r="FX139" s="1">
        <v>23156</v>
      </c>
      <c r="FY139" s="1" t="s">
        <v>1253</v>
      </c>
      <c r="FZ139" s="1" t="s">
        <v>2648</v>
      </c>
      <c r="GA139" s="1">
        <v>236029</v>
      </c>
      <c r="GB139" s="1" t="s">
        <v>2649</v>
      </c>
      <c r="GD139" s="1" t="s">
        <v>2650</v>
      </c>
      <c r="GE139" s="1" t="s">
        <v>480</v>
      </c>
      <c r="GI139" s="1" t="s">
        <v>213</v>
      </c>
      <c r="GJ139" s="1" t="s">
        <v>260</v>
      </c>
      <c r="GK139" s="1" t="s">
        <v>210</v>
      </c>
      <c r="GL139" s="2">
        <v>42018</v>
      </c>
      <c r="GM139" s="1" t="s">
        <v>2651</v>
      </c>
    </row>
    <row r="140" spans="1:195">
      <c r="A140" s="1">
        <v>180000</v>
      </c>
      <c r="B140" s="1" t="s">
        <v>195</v>
      </c>
      <c r="C140" s="1" t="str">
        <f>"08766384"</f>
        <v>08766384</v>
      </c>
      <c r="D140" s="1" t="s">
        <v>196</v>
      </c>
      <c r="F140" s="1" t="str">
        <f>"104"</f>
        <v>104</v>
      </c>
      <c r="G140" s="2">
        <v>41943</v>
      </c>
      <c r="H140" s="1">
        <v>184900</v>
      </c>
      <c r="I140" s="1">
        <v>184900</v>
      </c>
      <c r="J140" s="1">
        <v>180000</v>
      </c>
      <c r="K140" s="2">
        <v>41943</v>
      </c>
      <c r="L140" s="1">
        <v>13</v>
      </c>
      <c r="M140" s="2">
        <v>41955</v>
      </c>
      <c r="N140" s="1">
        <v>13</v>
      </c>
      <c r="O140" s="2">
        <v>41955</v>
      </c>
      <c r="P140" s="1">
        <v>890</v>
      </c>
      <c r="Q140" s="1" t="s">
        <v>302</v>
      </c>
      <c r="R140" s="2">
        <v>41995</v>
      </c>
      <c r="S140" s="1">
        <v>7818</v>
      </c>
      <c r="U140" s="1">
        <v>1619</v>
      </c>
      <c r="V140" s="1" t="s">
        <v>2652</v>
      </c>
      <c r="W140" s="1" t="s">
        <v>304</v>
      </c>
      <c r="X140" s="1">
        <v>3</v>
      </c>
      <c r="Y140" s="1">
        <v>2</v>
      </c>
      <c r="Z140" s="1" t="s">
        <v>370</v>
      </c>
      <c r="AA140" s="1" t="s">
        <v>371</v>
      </c>
      <c r="AB140" s="1">
        <v>60103</v>
      </c>
      <c r="AE140" s="1" t="s">
        <v>2653</v>
      </c>
      <c r="AF140" s="1">
        <v>1994</v>
      </c>
      <c r="AG140" s="1" t="s">
        <v>204</v>
      </c>
      <c r="AH140" s="1" t="s">
        <v>373</v>
      </c>
      <c r="AI140" s="1" t="s">
        <v>206</v>
      </c>
      <c r="AJ140" s="1" t="s">
        <v>2654</v>
      </c>
      <c r="AL140" s="1">
        <v>6</v>
      </c>
      <c r="AM140" s="1">
        <v>2</v>
      </c>
      <c r="AN140" s="1">
        <v>2</v>
      </c>
      <c r="AO140" s="1">
        <v>0</v>
      </c>
      <c r="AP140" s="1" t="s">
        <v>209</v>
      </c>
      <c r="AQ140" s="1">
        <v>1</v>
      </c>
      <c r="AR140" s="1" t="s">
        <v>210</v>
      </c>
      <c r="AS140" s="1" t="s">
        <v>204</v>
      </c>
      <c r="AT140" s="1" t="s">
        <v>211</v>
      </c>
      <c r="AU140" s="1">
        <v>2</v>
      </c>
      <c r="AW140" s="1" t="s">
        <v>204</v>
      </c>
      <c r="AX140" s="1">
        <v>0.25</v>
      </c>
      <c r="AZ140" s="1">
        <v>5399</v>
      </c>
      <c r="BA140" s="1">
        <v>2013</v>
      </c>
      <c r="BE140" s="1">
        <v>1452</v>
      </c>
      <c r="BF140" s="1">
        <v>2</v>
      </c>
      <c r="BG140" s="1">
        <v>1</v>
      </c>
      <c r="BL140" s="1">
        <v>233</v>
      </c>
      <c r="BM140" s="1" t="s">
        <v>204</v>
      </c>
      <c r="BN140" s="1" t="s">
        <v>213</v>
      </c>
      <c r="BO140" s="1">
        <v>999</v>
      </c>
      <c r="BP140" s="1" t="s">
        <v>204</v>
      </c>
      <c r="BR140" s="1" t="str">
        <f>"0113126024"</f>
        <v>0113126024</v>
      </c>
      <c r="BT140" s="1" t="s">
        <v>2655</v>
      </c>
      <c r="BX140" s="1">
        <v>46</v>
      </c>
      <c r="BY140" s="1">
        <v>46</v>
      </c>
      <c r="BZ140" s="1">
        <v>46</v>
      </c>
      <c r="CB140" s="1" t="str">
        <f t="shared" ref="CB140:CC140" si="108">""</f>
        <v/>
      </c>
      <c r="CC140" s="1" t="str">
        <f t="shared" si="108"/>
        <v/>
      </c>
      <c r="CG140" s="1" t="s">
        <v>228</v>
      </c>
      <c r="CH140" s="1" t="s">
        <v>219</v>
      </c>
      <c r="CI140" s="1" t="s">
        <v>438</v>
      </c>
      <c r="CJ140" s="1" t="s">
        <v>463</v>
      </c>
      <c r="CK140" s="1" t="s">
        <v>564</v>
      </c>
      <c r="CL140" s="1" t="s">
        <v>219</v>
      </c>
      <c r="CM140" s="1" t="s">
        <v>220</v>
      </c>
      <c r="CN140" s="1" t="s">
        <v>343</v>
      </c>
      <c r="CO140" s="1" t="s">
        <v>972</v>
      </c>
      <c r="CP140" s="1" t="s">
        <v>219</v>
      </c>
      <c r="CQ140" s="1" t="s">
        <v>438</v>
      </c>
      <c r="CS140" s="1" t="s">
        <v>346</v>
      </c>
      <c r="CT140" s="1" t="s">
        <v>219</v>
      </c>
      <c r="CU140" s="1" t="s">
        <v>220</v>
      </c>
      <c r="CV140" s="1" t="s">
        <v>343</v>
      </c>
      <c r="CX140" s="1" t="s">
        <v>224</v>
      </c>
      <c r="DB140" s="1" t="s">
        <v>224</v>
      </c>
      <c r="DE140" s="1" t="s">
        <v>461</v>
      </c>
      <c r="DF140" s="1" t="s">
        <v>219</v>
      </c>
      <c r="DG140" s="1" t="s">
        <v>438</v>
      </c>
      <c r="DH140" s="1" t="s">
        <v>343</v>
      </c>
      <c r="DJ140" s="1" t="s">
        <v>224</v>
      </c>
      <c r="DM140" s="1" t="s">
        <v>1005</v>
      </c>
      <c r="DR140" s="1" t="s">
        <v>346</v>
      </c>
      <c r="DS140" s="1" t="s">
        <v>219</v>
      </c>
      <c r="DT140" s="1" t="s">
        <v>438</v>
      </c>
      <c r="DU140" s="1" t="s">
        <v>343</v>
      </c>
      <c r="DW140" s="1" t="s">
        <v>230</v>
      </c>
      <c r="EA140" s="1" t="s">
        <v>230</v>
      </c>
      <c r="EE140" s="1" t="s">
        <v>230</v>
      </c>
      <c r="EI140" s="1" t="s">
        <v>230</v>
      </c>
      <c r="EL140" s="1" t="s">
        <v>670</v>
      </c>
      <c r="EM140" s="1" t="s">
        <v>232</v>
      </c>
      <c r="EN140" s="1" t="s">
        <v>282</v>
      </c>
      <c r="EO140" s="1" t="s">
        <v>234</v>
      </c>
      <c r="ER140" s="1" t="s">
        <v>210</v>
      </c>
      <c r="ET140" s="1" t="s">
        <v>238</v>
      </c>
      <c r="EW140" s="1" t="s">
        <v>2656</v>
      </c>
      <c r="EZ140" s="1" t="s">
        <v>1005</v>
      </c>
      <c r="FD140" s="1" t="s">
        <v>246</v>
      </c>
      <c r="FE140" s="1" t="s">
        <v>975</v>
      </c>
      <c r="FF140" s="1" t="s">
        <v>248</v>
      </c>
      <c r="FG140" s="1" t="s">
        <v>912</v>
      </c>
      <c r="FH140" s="1" t="s">
        <v>825</v>
      </c>
      <c r="FI140" s="1" t="s">
        <v>473</v>
      </c>
      <c r="FJ140" s="1" t="s">
        <v>197</v>
      </c>
      <c r="FL140" s="1" t="s">
        <v>414</v>
      </c>
      <c r="FM140" s="1" t="s">
        <v>252</v>
      </c>
      <c r="FN140" s="1" t="s">
        <v>213</v>
      </c>
      <c r="FO140" s="1" t="s">
        <v>213</v>
      </c>
      <c r="FQ140" s="1" t="s">
        <v>329</v>
      </c>
      <c r="FR140" s="1" t="s">
        <v>210</v>
      </c>
      <c r="FS140" s="1" t="s">
        <v>2657</v>
      </c>
      <c r="FT140" s="1" t="s">
        <v>295</v>
      </c>
      <c r="FU140" s="1" t="s">
        <v>213</v>
      </c>
      <c r="FW140" s="1" t="s">
        <v>2658</v>
      </c>
      <c r="FX140" s="1">
        <v>92063</v>
      </c>
      <c r="FY140" s="1" t="s">
        <v>2659</v>
      </c>
      <c r="FZ140" s="1" t="s">
        <v>2660</v>
      </c>
      <c r="GA140" s="1">
        <v>26265</v>
      </c>
      <c r="GE140" s="1" t="s">
        <v>480</v>
      </c>
      <c r="GI140" s="1" t="s">
        <v>213</v>
      </c>
      <c r="GJ140" s="1" t="s">
        <v>260</v>
      </c>
      <c r="GK140" s="1" t="s">
        <v>210</v>
      </c>
      <c r="GL140" s="2">
        <v>41995</v>
      </c>
      <c r="GM140" s="1" t="s">
        <v>2661</v>
      </c>
    </row>
    <row r="141" spans="1:195">
      <c r="A141" s="1">
        <v>150000</v>
      </c>
      <c r="B141" s="1" t="s">
        <v>195</v>
      </c>
      <c r="C141" s="1" t="str">
        <f>"08764917"</f>
        <v>08764917</v>
      </c>
      <c r="D141" s="1" t="s">
        <v>196</v>
      </c>
      <c r="F141" s="1" t="str">
        <f>"110"</f>
        <v>110</v>
      </c>
      <c r="G141" s="2">
        <v>41942</v>
      </c>
      <c r="H141" s="1">
        <v>159000</v>
      </c>
      <c r="I141" s="1">
        <v>159000</v>
      </c>
      <c r="J141" s="1">
        <v>150000</v>
      </c>
      <c r="K141" s="2">
        <v>41942</v>
      </c>
      <c r="L141" s="1">
        <v>29</v>
      </c>
      <c r="M141" s="2">
        <v>41970</v>
      </c>
      <c r="N141" s="1">
        <v>29</v>
      </c>
      <c r="O141" s="2">
        <v>41970</v>
      </c>
      <c r="P141" s="1">
        <v>25563</v>
      </c>
      <c r="Q141" s="1" t="s">
        <v>423</v>
      </c>
      <c r="R141" s="2">
        <v>42030</v>
      </c>
      <c r="S141" s="1">
        <v>923188</v>
      </c>
      <c r="T141" s="1">
        <v>2500</v>
      </c>
      <c r="U141" s="1">
        <v>313</v>
      </c>
      <c r="V141" s="1" t="s">
        <v>2662</v>
      </c>
      <c r="W141" s="1" t="s">
        <v>425</v>
      </c>
      <c r="Y141" s="1">
        <v>2</v>
      </c>
      <c r="Z141" s="1" t="s">
        <v>200</v>
      </c>
      <c r="AA141" s="1" t="s">
        <v>803</v>
      </c>
      <c r="AB141" s="1">
        <v>60110</v>
      </c>
      <c r="AE141" s="1" t="s">
        <v>2663</v>
      </c>
      <c r="AF141" s="1">
        <v>1991</v>
      </c>
      <c r="AG141" s="1" t="s">
        <v>204</v>
      </c>
      <c r="AH141" s="1" t="s">
        <v>2557</v>
      </c>
      <c r="AI141" s="1" t="s">
        <v>665</v>
      </c>
      <c r="AJ141" s="1" t="s">
        <v>805</v>
      </c>
      <c r="AL141" s="1">
        <v>5</v>
      </c>
      <c r="AM141" s="1">
        <v>2</v>
      </c>
      <c r="AN141" s="1">
        <v>2</v>
      </c>
      <c r="AO141" s="1">
        <v>0</v>
      </c>
      <c r="AP141" s="1" t="s">
        <v>667</v>
      </c>
      <c r="AQ141" s="1">
        <v>2</v>
      </c>
      <c r="AR141" s="1" t="s">
        <v>1483</v>
      </c>
      <c r="AS141" s="1" t="s">
        <v>213</v>
      </c>
      <c r="AT141" s="1" t="s">
        <v>375</v>
      </c>
      <c r="AU141" s="1">
        <v>2</v>
      </c>
      <c r="AV141" s="1">
        <v>6</v>
      </c>
      <c r="AW141" s="1" t="s">
        <v>204</v>
      </c>
      <c r="AX141" s="1" t="s">
        <v>2664</v>
      </c>
      <c r="AZ141" s="1">
        <v>5065</v>
      </c>
      <c r="BA141" s="1">
        <v>2013</v>
      </c>
      <c r="BB141" s="1" t="s">
        <v>405</v>
      </c>
      <c r="BE141" s="1">
        <v>1626</v>
      </c>
      <c r="BF141" s="1">
        <v>1</v>
      </c>
      <c r="BG141" s="1">
        <v>0</v>
      </c>
      <c r="BL141" s="1">
        <v>0</v>
      </c>
      <c r="BM141" s="1" t="s">
        <v>204</v>
      </c>
      <c r="BN141" s="1" t="s">
        <v>213</v>
      </c>
      <c r="BO141" s="1">
        <v>100</v>
      </c>
      <c r="BP141" s="1" t="s">
        <v>204</v>
      </c>
      <c r="BR141" s="1" t="str">
        <f>"0315351044"</f>
        <v>0315351044</v>
      </c>
      <c r="BT141" s="1" t="s">
        <v>2665</v>
      </c>
      <c r="BU141" s="1" t="s">
        <v>2666</v>
      </c>
      <c r="BV141" s="1" t="s">
        <v>2667</v>
      </c>
      <c r="BW141" s="1" t="s">
        <v>2668</v>
      </c>
      <c r="BX141" s="1">
        <v>300</v>
      </c>
      <c r="BY141" s="1">
        <v>300</v>
      </c>
      <c r="BZ141" s="1">
        <v>300</v>
      </c>
      <c r="CB141" s="1" t="str">
        <f>"17"</f>
        <v>17</v>
      </c>
      <c r="CC141" s="1" t="str">
        <f>"0"</f>
        <v>0</v>
      </c>
      <c r="CD141" s="1">
        <v>34</v>
      </c>
      <c r="CE141" s="1">
        <v>0</v>
      </c>
      <c r="CG141" s="1" t="s">
        <v>1267</v>
      </c>
      <c r="CH141" s="1" t="s">
        <v>219</v>
      </c>
      <c r="CI141" s="1" t="s">
        <v>220</v>
      </c>
      <c r="CJ141" s="1" t="s">
        <v>252</v>
      </c>
      <c r="CK141" s="1" t="s">
        <v>932</v>
      </c>
      <c r="CL141" s="1" t="s">
        <v>277</v>
      </c>
      <c r="CM141" s="1" t="s">
        <v>220</v>
      </c>
      <c r="CN141" s="1" t="s">
        <v>252</v>
      </c>
      <c r="CP141" s="1" t="s">
        <v>224</v>
      </c>
      <c r="CS141" s="1" t="s">
        <v>223</v>
      </c>
      <c r="CT141" s="1" t="s">
        <v>277</v>
      </c>
      <c r="CU141" s="1" t="s">
        <v>220</v>
      </c>
      <c r="CV141" s="1" t="s">
        <v>252</v>
      </c>
      <c r="CX141" s="1" t="s">
        <v>224</v>
      </c>
      <c r="DB141" s="1" t="s">
        <v>224</v>
      </c>
      <c r="DE141" s="1" t="s">
        <v>223</v>
      </c>
      <c r="DF141" s="1" t="s">
        <v>219</v>
      </c>
      <c r="DG141" s="1" t="s">
        <v>229</v>
      </c>
      <c r="DH141" s="1" t="s">
        <v>252</v>
      </c>
      <c r="DI141" s="1" t="s">
        <v>2669</v>
      </c>
      <c r="DJ141" s="1" t="s">
        <v>822</v>
      </c>
      <c r="DK141" s="1" t="s">
        <v>220</v>
      </c>
      <c r="DL141" s="1" t="s">
        <v>252</v>
      </c>
      <c r="DM141" s="1" t="s">
        <v>709</v>
      </c>
      <c r="DR141" s="1" t="s">
        <v>2670</v>
      </c>
      <c r="DS141" s="1" t="s">
        <v>219</v>
      </c>
      <c r="DT141" s="1" t="s">
        <v>226</v>
      </c>
      <c r="DW141" s="1" t="s">
        <v>230</v>
      </c>
      <c r="EA141" s="1" t="s">
        <v>230</v>
      </c>
      <c r="EE141" s="1" t="s">
        <v>230</v>
      </c>
      <c r="EI141" s="1" t="s">
        <v>230</v>
      </c>
      <c r="EL141" s="1" t="s">
        <v>382</v>
      </c>
      <c r="EM141" s="1" t="s">
        <v>319</v>
      </c>
      <c r="EN141" s="1" t="s">
        <v>282</v>
      </c>
      <c r="EO141" s="1" t="s">
        <v>234</v>
      </c>
      <c r="EP141" s="1" t="s">
        <v>650</v>
      </c>
      <c r="EQ141" s="1" t="s">
        <v>2188</v>
      </c>
      <c r="ER141" s="1" t="s">
        <v>544</v>
      </c>
      <c r="ES141" s="1" t="s">
        <v>322</v>
      </c>
      <c r="ET141" s="1" t="s">
        <v>2671</v>
      </c>
      <c r="EU141" s="1" t="s">
        <v>1573</v>
      </c>
      <c r="EW141" s="1" t="s">
        <v>210</v>
      </c>
      <c r="EY141" s="1" t="s">
        <v>790</v>
      </c>
      <c r="EZ141" s="1" t="s">
        <v>709</v>
      </c>
      <c r="FA141" s="1" t="s">
        <v>2672</v>
      </c>
      <c r="FB141" s="1" t="s">
        <v>734</v>
      </c>
      <c r="FC141" s="1" t="s">
        <v>1386</v>
      </c>
      <c r="FD141" s="1" t="s">
        <v>246</v>
      </c>
      <c r="FE141" s="1" t="s">
        <v>889</v>
      </c>
      <c r="FF141" s="1" t="s">
        <v>248</v>
      </c>
      <c r="FG141" s="1" t="s">
        <v>1271</v>
      </c>
      <c r="FH141" s="1" t="s">
        <v>2673</v>
      </c>
      <c r="FI141" s="1" t="s">
        <v>473</v>
      </c>
      <c r="FL141" s="1" t="s">
        <v>358</v>
      </c>
      <c r="FM141" s="1" t="s">
        <v>252</v>
      </c>
      <c r="FN141" s="1" t="s">
        <v>213</v>
      </c>
      <c r="FO141" s="1" t="s">
        <v>213</v>
      </c>
      <c r="FQ141" s="1" t="s">
        <v>293</v>
      </c>
      <c r="FR141" s="1" t="s">
        <v>210</v>
      </c>
      <c r="FS141" s="1" t="s">
        <v>2674</v>
      </c>
      <c r="FT141" s="1" t="s">
        <v>362</v>
      </c>
      <c r="FU141" s="1" t="s">
        <v>204</v>
      </c>
      <c r="FV141" s="1" t="s">
        <v>2675</v>
      </c>
      <c r="FW141" s="1" t="s">
        <v>1521</v>
      </c>
      <c r="FX141" s="1">
        <v>16645</v>
      </c>
      <c r="FY141" s="1" t="s">
        <v>1522</v>
      </c>
      <c r="FZ141" s="1" t="s">
        <v>1523</v>
      </c>
      <c r="GA141" s="1">
        <v>144314</v>
      </c>
      <c r="GB141" s="1" t="s">
        <v>1522</v>
      </c>
      <c r="GD141" s="1">
        <v>144314</v>
      </c>
      <c r="GE141" s="1" t="s">
        <v>480</v>
      </c>
      <c r="GH141" s="1" t="s">
        <v>230</v>
      </c>
      <c r="GI141" s="1" t="s">
        <v>204</v>
      </c>
      <c r="GJ141" s="1" t="s">
        <v>300</v>
      </c>
      <c r="GK141" s="1" t="s">
        <v>210</v>
      </c>
      <c r="GL141" s="2">
        <v>42030</v>
      </c>
      <c r="GM141" s="1" t="s">
        <v>2676</v>
      </c>
    </row>
    <row r="142" spans="1:195">
      <c r="A142" s="1">
        <v>116000</v>
      </c>
      <c r="B142" s="1" t="s">
        <v>195</v>
      </c>
      <c r="C142" s="1" t="str">
        <f>"08766314"</f>
        <v>08766314</v>
      </c>
      <c r="D142" s="1" t="s">
        <v>196</v>
      </c>
      <c r="F142" s="1" t="str">
        <f>"560"</f>
        <v>560</v>
      </c>
      <c r="G142" s="2">
        <v>41943</v>
      </c>
      <c r="H142" s="1">
        <v>120000</v>
      </c>
      <c r="I142" s="1">
        <v>118900</v>
      </c>
      <c r="J142" s="1">
        <v>116000</v>
      </c>
      <c r="K142" s="2">
        <v>41943</v>
      </c>
      <c r="L142" s="1">
        <v>39</v>
      </c>
      <c r="M142" s="2">
        <v>41981</v>
      </c>
      <c r="N142" s="1">
        <v>39</v>
      </c>
      <c r="O142" s="2">
        <v>41981</v>
      </c>
      <c r="P142" s="1">
        <v>22588</v>
      </c>
      <c r="Q142" s="1" t="s">
        <v>423</v>
      </c>
      <c r="R142" s="2">
        <v>42052</v>
      </c>
      <c r="S142" s="1">
        <v>222985</v>
      </c>
      <c r="U142" s="1">
        <v>1529</v>
      </c>
      <c r="V142" s="1" t="s">
        <v>2677</v>
      </c>
      <c r="W142" s="1" t="s">
        <v>526</v>
      </c>
      <c r="Y142" s="1">
        <v>4</v>
      </c>
      <c r="Z142" s="1" t="s">
        <v>370</v>
      </c>
      <c r="AA142" s="1" t="s">
        <v>484</v>
      </c>
      <c r="AB142" s="1">
        <v>60560</v>
      </c>
      <c r="AD142" s="1" t="s">
        <v>2678</v>
      </c>
      <c r="AE142" s="1" t="s">
        <v>2679</v>
      </c>
      <c r="AF142" s="1">
        <v>1995</v>
      </c>
      <c r="AG142" s="1" t="s">
        <v>204</v>
      </c>
      <c r="AH142" s="1" t="s">
        <v>487</v>
      </c>
      <c r="AI142" s="1" t="s">
        <v>453</v>
      </c>
      <c r="AJ142" s="1" t="s">
        <v>454</v>
      </c>
      <c r="AL142" s="1">
        <v>5</v>
      </c>
      <c r="AM142" s="1">
        <v>2</v>
      </c>
      <c r="AN142" s="1">
        <v>2</v>
      </c>
      <c r="AO142" s="1">
        <v>1</v>
      </c>
      <c r="AP142" s="1" t="s">
        <v>209</v>
      </c>
      <c r="AQ142" s="1">
        <v>1</v>
      </c>
      <c r="AR142" s="1" t="s">
        <v>209</v>
      </c>
      <c r="AS142" s="1" t="s">
        <v>204</v>
      </c>
      <c r="AT142" s="1" t="s">
        <v>211</v>
      </c>
      <c r="AU142" s="1">
        <v>1</v>
      </c>
      <c r="AW142" s="1" t="s">
        <v>204</v>
      </c>
      <c r="AX142" s="1" t="s">
        <v>2680</v>
      </c>
      <c r="AZ142" s="1">
        <v>2407</v>
      </c>
      <c r="BA142" s="1">
        <v>2013</v>
      </c>
      <c r="BE142" s="1">
        <v>0</v>
      </c>
      <c r="BF142" s="1">
        <v>1</v>
      </c>
      <c r="BG142" s="1">
        <v>0</v>
      </c>
      <c r="BL142" s="1">
        <v>110</v>
      </c>
      <c r="BM142" s="1" t="s">
        <v>204</v>
      </c>
      <c r="BN142" s="1" t="s">
        <v>213</v>
      </c>
      <c r="BO142" s="1">
        <v>999</v>
      </c>
      <c r="BP142" s="1" t="s">
        <v>204</v>
      </c>
      <c r="BR142" s="1" t="str">
        <f>"0230105007"</f>
        <v>0230105007</v>
      </c>
      <c r="BT142" s="1" t="s">
        <v>2681</v>
      </c>
      <c r="BX142" s="1">
        <v>115</v>
      </c>
      <c r="BY142" s="1">
        <v>115</v>
      </c>
      <c r="BZ142" s="1">
        <v>115</v>
      </c>
      <c r="CB142" s="1" t="str">
        <f t="shared" ref="CB142:CC142" si="109">""</f>
        <v/>
      </c>
      <c r="CC142" s="1" t="str">
        <f t="shared" si="109"/>
        <v/>
      </c>
      <c r="CH142" s="1" t="s">
        <v>224</v>
      </c>
      <c r="CK142" s="1" t="s">
        <v>1533</v>
      </c>
      <c r="CL142" s="1" t="s">
        <v>277</v>
      </c>
      <c r="CM142" s="1" t="s">
        <v>220</v>
      </c>
      <c r="CN142" s="1" t="s">
        <v>252</v>
      </c>
      <c r="CP142" s="1" t="s">
        <v>224</v>
      </c>
      <c r="CS142" s="1" t="s">
        <v>461</v>
      </c>
      <c r="CT142" s="1" t="s">
        <v>277</v>
      </c>
      <c r="CU142" s="1" t="s">
        <v>220</v>
      </c>
      <c r="CV142" s="1" t="s">
        <v>252</v>
      </c>
      <c r="CX142" s="1" t="s">
        <v>224</v>
      </c>
      <c r="DB142" s="1" t="s">
        <v>224</v>
      </c>
      <c r="DE142" s="1" t="s">
        <v>2138</v>
      </c>
      <c r="DF142" s="1" t="s">
        <v>219</v>
      </c>
      <c r="DG142" s="1" t="s">
        <v>229</v>
      </c>
      <c r="DI142" s="1" t="s">
        <v>932</v>
      </c>
      <c r="DJ142" s="1" t="s">
        <v>219</v>
      </c>
      <c r="DK142" s="1" t="s">
        <v>220</v>
      </c>
      <c r="DL142" s="1" t="s">
        <v>343</v>
      </c>
      <c r="DM142" s="1" t="s">
        <v>381</v>
      </c>
      <c r="DR142" s="1" t="s">
        <v>222</v>
      </c>
      <c r="DS142" s="1" t="s">
        <v>219</v>
      </c>
      <c r="DT142" s="1" t="s">
        <v>229</v>
      </c>
      <c r="DW142" s="1" t="s">
        <v>230</v>
      </c>
      <c r="EA142" s="1" t="s">
        <v>230</v>
      </c>
      <c r="EE142" s="1" t="s">
        <v>230</v>
      </c>
      <c r="EI142" s="1" t="s">
        <v>230</v>
      </c>
      <c r="EL142" s="1" t="s">
        <v>670</v>
      </c>
      <c r="EM142" s="1" t="s">
        <v>319</v>
      </c>
      <c r="EN142" s="1" t="s">
        <v>282</v>
      </c>
      <c r="EO142" s="1" t="s">
        <v>234</v>
      </c>
      <c r="EP142" s="1" t="s">
        <v>2682</v>
      </c>
      <c r="EQ142" s="1" t="s">
        <v>236</v>
      </c>
      <c r="ER142" s="1" t="s">
        <v>1249</v>
      </c>
      <c r="ES142" s="1" t="s">
        <v>493</v>
      </c>
      <c r="ET142" s="1" t="s">
        <v>323</v>
      </c>
      <c r="EU142" s="1" t="s">
        <v>239</v>
      </c>
      <c r="EW142" s="1" t="s">
        <v>547</v>
      </c>
      <c r="EZ142" s="1" t="s">
        <v>381</v>
      </c>
      <c r="FA142" s="1" t="s">
        <v>2683</v>
      </c>
      <c r="FD142" s="1" t="s">
        <v>246</v>
      </c>
      <c r="FE142" s="1" t="s">
        <v>1006</v>
      </c>
      <c r="FF142" s="1" t="s">
        <v>248</v>
      </c>
      <c r="FG142" s="1" t="s">
        <v>1271</v>
      </c>
      <c r="FH142" s="1" t="s">
        <v>550</v>
      </c>
      <c r="FI142" s="1" t="s">
        <v>357</v>
      </c>
      <c r="FL142" s="1" t="s">
        <v>414</v>
      </c>
      <c r="FM142" s="1" t="s">
        <v>252</v>
      </c>
      <c r="FN142" s="1" t="s">
        <v>213</v>
      </c>
      <c r="FO142" s="1" t="s">
        <v>213</v>
      </c>
      <c r="FQ142" s="1" t="s">
        <v>2091</v>
      </c>
      <c r="FR142" s="1" t="s">
        <v>210</v>
      </c>
      <c r="FS142" s="1" t="s">
        <v>2684</v>
      </c>
      <c r="FT142" s="1" t="s">
        <v>295</v>
      </c>
      <c r="FU142" s="1" t="s">
        <v>204</v>
      </c>
      <c r="FW142" s="1" t="s">
        <v>813</v>
      </c>
      <c r="FX142" s="1">
        <v>22588</v>
      </c>
      <c r="FY142" s="1" t="s">
        <v>2685</v>
      </c>
      <c r="FZ142" s="1" t="s">
        <v>2686</v>
      </c>
      <c r="GA142" s="1">
        <v>222985</v>
      </c>
      <c r="GB142" s="1" t="s">
        <v>2687</v>
      </c>
      <c r="GD142" s="1" t="s">
        <v>2688</v>
      </c>
      <c r="GE142" s="1" t="s">
        <v>480</v>
      </c>
      <c r="GI142" s="1" t="s">
        <v>213</v>
      </c>
      <c r="GJ142" s="1" t="s">
        <v>260</v>
      </c>
      <c r="GK142" s="1" t="s">
        <v>210</v>
      </c>
      <c r="GL142" s="2">
        <v>42052</v>
      </c>
      <c r="GM142" s="1" t="s">
        <v>2689</v>
      </c>
    </row>
    <row r="143" spans="1:195">
      <c r="A143" s="1">
        <v>160000</v>
      </c>
      <c r="B143" s="1" t="s">
        <v>195</v>
      </c>
      <c r="C143" s="1" t="str">
        <f>"08765164"</f>
        <v>08765164</v>
      </c>
      <c r="D143" s="1" t="s">
        <v>196</v>
      </c>
      <c r="F143" s="1" t="str">
        <f>"514"</f>
        <v>514</v>
      </c>
      <c r="G143" s="2">
        <v>41942</v>
      </c>
      <c r="H143" s="1">
        <v>168900</v>
      </c>
      <c r="I143" s="1">
        <v>168900</v>
      </c>
      <c r="J143" s="1">
        <v>160000</v>
      </c>
      <c r="K143" s="2">
        <v>41942</v>
      </c>
      <c r="L143" s="1">
        <v>48</v>
      </c>
      <c r="M143" s="2">
        <v>41951</v>
      </c>
      <c r="N143" s="1">
        <v>10</v>
      </c>
      <c r="O143" s="2">
        <v>41951</v>
      </c>
      <c r="P143" s="1">
        <v>25976</v>
      </c>
      <c r="Q143" s="1" t="s">
        <v>197</v>
      </c>
      <c r="R143" s="2">
        <v>41988</v>
      </c>
      <c r="S143" s="1">
        <v>224964</v>
      </c>
      <c r="U143" s="1">
        <v>326</v>
      </c>
      <c r="V143" s="1" t="s">
        <v>2690</v>
      </c>
      <c r="W143" s="1" t="s">
        <v>425</v>
      </c>
      <c r="X143" s="1">
        <v>37</v>
      </c>
      <c r="Y143" s="1">
        <v>32</v>
      </c>
      <c r="Z143" s="1" t="s">
        <v>249</v>
      </c>
      <c r="AA143" s="1" t="s">
        <v>2691</v>
      </c>
      <c r="AB143" s="1">
        <v>60514</v>
      </c>
      <c r="AE143" s="1" t="s">
        <v>2692</v>
      </c>
      <c r="AF143" s="1">
        <v>1987</v>
      </c>
      <c r="AG143" s="1" t="s">
        <v>204</v>
      </c>
      <c r="AH143" s="1" t="s">
        <v>2693</v>
      </c>
      <c r="AI143" s="1" t="s">
        <v>206</v>
      </c>
      <c r="AJ143" s="1" t="s">
        <v>903</v>
      </c>
      <c r="AL143" s="1">
        <v>5</v>
      </c>
      <c r="AM143" s="1">
        <v>2</v>
      </c>
      <c r="AN143" s="1">
        <v>2</v>
      </c>
      <c r="AO143" s="1">
        <v>0</v>
      </c>
      <c r="AP143" s="1" t="s">
        <v>209</v>
      </c>
      <c r="AR143" s="1" t="s">
        <v>209</v>
      </c>
      <c r="AS143" s="1" t="s">
        <v>204</v>
      </c>
      <c r="AT143" s="1" t="s">
        <v>211</v>
      </c>
      <c r="AU143" s="1">
        <v>1</v>
      </c>
      <c r="AW143" s="1" t="s">
        <v>204</v>
      </c>
      <c r="AX143" s="1" t="s">
        <v>270</v>
      </c>
      <c r="AZ143" s="1">
        <v>2104</v>
      </c>
      <c r="BA143" s="1">
        <v>2013</v>
      </c>
      <c r="BB143" s="1" t="s">
        <v>2694</v>
      </c>
      <c r="BE143" s="1">
        <v>1287</v>
      </c>
      <c r="BF143" s="1">
        <v>3</v>
      </c>
      <c r="BG143" s="1">
        <v>5</v>
      </c>
      <c r="BJ143" s="1">
        <v>100</v>
      </c>
      <c r="BL143" s="1">
        <v>246</v>
      </c>
      <c r="BM143" s="1" t="s">
        <v>204</v>
      </c>
      <c r="BN143" s="1" t="s">
        <v>204</v>
      </c>
      <c r="BP143" s="1" t="s">
        <v>204</v>
      </c>
      <c r="BR143" s="1" t="str">
        <f>"0910413063"</f>
        <v>0910413063</v>
      </c>
      <c r="BT143" s="1" t="s">
        <v>2695</v>
      </c>
      <c r="BU143" s="1" t="s">
        <v>2696</v>
      </c>
      <c r="BV143" s="1" t="s">
        <v>2697</v>
      </c>
      <c r="BW143" s="1" t="s">
        <v>1546</v>
      </c>
      <c r="BX143" s="1">
        <v>181</v>
      </c>
      <c r="BY143" s="1">
        <v>181</v>
      </c>
      <c r="BZ143" s="1">
        <v>86</v>
      </c>
      <c r="CB143" s="1" t="str">
        <f t="shared" ref="CB143:CC143" si="110">""</f>
        <v/>
      </c>
      <c r="CC143" s="1" t="str">
        <f t="shared" si="110"/>
        <v/>
      </c>
      <c r="CG143" s="1" t="s">
        <v>1570</v>
      </c>
      <c r="CH143" s="1" t="s">
        <v>219</v>
      </c>
      <c r="CI143" s="1" t="s">
        <v>220</v>
      </c>
      <c r="CJ143" s="1" t="s">
        <v>210</v>
      </c>
      <c r="CK143" s="1" t="s">
        <v>462</v>
      </c>
      <c r="CL143" s="1" t="s">
        <v>219</v>
      </c>
      <c r="CM143" s="1" t="s">
        <v>220</v>
      </c>
      <c r="CN143" s="1" t="s">
        <v>210</v>
      </c>
      <c r="CO143" s="1" t="s">
        <v>1046</v>
      </c>
      <c r="CP143" s="1" t="s">
        <v>219</v>
      </c>
      <c r="CQ143" s="1" t="s">
        <v>220</v>
      </c>
      <c r="CR143" s="1" t="s">
        <v>210</v>
      </c>
      <c r="CS143" s="1" t="s">
        <v>757</v>
      </c>
      <c r="CT143" s="1" t="s">
        <v>219</v>
      </c>
      <c r="CU143" s="1" t="s">
        <v>220</v>
      </c>
      <c r="CV143" s="1" t="s">
        <v>210</v>
      </c>
      <c r="CX143" s="1" t="s">
        <v>224</v>
      </c>
      <c r="DB143" s="1" t="s">
        <v>224</v>
      </c>
      <c r="DE143" s="1" t="s">
        <v>223</v>
      </c>
      <c r="DF143" s="1" t="s">
        <v>219</v>
      </c>
      <c r="DG143" s="1" t="s">
        <v>342</v>
      </c>
      <c r="DH143" s="1" t="s">
        <v>210</v>
      </c>
      <c r="DJ143" s="1" t="s">
        <v>224</v>
      </c>
      <c r="DS143" s="1" t="s">
        <v>230</v>
      </c>
      <c r="DW143" s="1" t="s">
        <v>230</v>
      </c>
      <c r="EA143" s="1" t="s">
        <v>230</v>
      </c>
      <c r="EE143" s="1" t="s">
        <v>230</v>
      </c>
      <c r="EI143" s="1" t="s">
        <v>230</v>
      </c>
      <c r="EL143" s="1" t="s">
        <v>542</v>
      </c>
      <c r="EM143" s="1" t="s">
        <v>232</v>
      </c>
      <c r="EN143" s="1" t="s">
        <v>282</v>
      </c>
      <c r="EO143" s="1" t="s">
        <v>234</v>
      </c>
      <c r="EP143" s="1" t="s">
        <v>2698</v>
      </c>
      <c r="ER143" s="1" t="s">
        <v>1249</v>
      </c>
      <c r="EU143" s="1" t="s">
        <v>239</v>
      </c>
      <c r="EW143" s="1" t="s">
        <v>2699</v>
      </c>
      <c r="EZ143" s="1" t="s">
        <v>287</v>
      </c>
      <c r="FC143" s="1" t="s">
        <v>1386</v>
      </c>
      <c r="FD143" s="1" t="s">
        <v>1112</v>
      </c>
      <c r="FE143" s="1" t="s">
        <v>247</v>
      </c>
      <c r="FF143" s="1" t="s">
        <v>248</v>
      </c>
      <c r="FH143" s="1" t="s">
        <v>249</v>
      </c>
      <c r="FL143" s="1" t="s">
        <v>292</v>
      </c>
      <c r="FM143" s="1" t="s">
        <v>252</v>
      </c>
      <c r="FN143" s="1" t="s">
        <v>213</v>
      </c>
      <c r="FO143" s="1" t="s">
        <v>213</v>
      </c>
      <c r="FQ143" s="1" t="s">
        <v>2700</v>
      </c>
      <c r="FR143" s="1" t="s">
        <v>210</v>
      </c>
      <c r="FS143" s="1" t="s">
        <v>2701</v>
      </c>
      <c r="FT143" s="1" t="s">
        <v>675</v>
      </c>
      <c r="FU143" s="1" t="s">
        <v>204</v>
      </c>
      <c r="FW143" s="1" t="s">
        <v>2702</v>
      </c>
      <c r="FX143" s="1">
        <v>22025</v>
      </c>
      <c r="FY143" s="1" t="s">
        <v>2703</v>
      </c>
      <c r="FZ143" s="1" t="s">
        <v>2704</v>
      </c>
      <c r="GA143" s="1">
        <v>223713</v>
      </c>
      <c r="GB143" s="1" t="s">
        <v>2705</v>
      </c>
      <c r="GD143" s="1" t="s">
        <v>2706</v>
      </c>
      <c r="GE143" s="1" t="s">
        <v>1187</v>
      </c>
      <c r="GI143" s="1" t="s">
        <v>213</v>
      </c>
      <c r="GJ143" s="1" t="s">
        <v>260</v>
      </c>
      <c r="GK143" s="1" t="s">
        <v>210</v>
      </c>
      <c r="GL143" s="2">
        <v>41988</v>
      </c>
      <c r="GM143" s="1" t="s">
        <v>2707</v>
      </c>
    </row>
    <row r="144" spans="1:195">
      <c r="A144" s="1">
        <v>133000</v>
      </c>
      <c r="B144" s="1" t="s">
        <v>195</v>
      </c>
      <c r="C144" s="1" t="str">
        <f>"08766469"</f>
        <v>08766469</v>
      </c>
      <c r="D144" s="1" t="s">
        <v>196</v>
      </c>
      <c r="F144" s="1" t="str">
        <f>"30"</f>
        <v>30</v>
      </c>
      <c r="G144" s="2">
        <v>41944</v>
      </c>
      <c r="H144" s="1">
        <v>129900</v>
      </c>
      <c r="I144" s="1">
        <v>139900</v>
      </c>
      <c r="J144" s="1">
        <v>133000</v>
      </c>
      <c r="K144" s="2">
        <v>41943</v>
      </c>
      <c r="L144" s="1">
        <v>44</v>
      </c>
      <c r="M144" s="2">
        <v>41986</v>
      </c>
      <c r="N144" s="1">
        <v>44</v>
      </c>
      <c r="O144" s="2">
        <v>41986</v>
      </c>
      <c r="P144" s="1">
        <v>2644</v>
      </c>
      <c r="Q144" s="1" t="s">
        <v>197</v>
      </c>
      <c r="R144" s="2">
        <v>42031</v>
      </c>
      <c r="S144" s="1">
        <v>242391</v>
      </c>
      <c r="U144" s="1">
        <v>790</v>
      </c>
      <c r="V144" s="1" t="s">
        <v>2708</v>
      </c>
      <c r="W144" s="1" t="s">
        <v>264</v>
      </c>
      <c r="Y144" s="1">
        <v>5</v>
      </c>
      <c r="Z144" s="1" t="s">
        <v>370</v>
      </c>
      <c r="AA144" s="1" t="s">
        <v>1834</v>
      </c>
      <c r="AB144" s="1">
        <v>60030</v>
      </c>
      <c r="AE144" s="1" t="s">
        <v>2709</v>
      </c>
      <c r="AF144" s="1">
        <v>2002</v>
      </c>
      <c r="AG144" s="1" t="s">
        <v>204</v>
      </c>
      <c r="AH144" s="1" t="s">
        <v>1837</v>
      </c>
      <c r="AI144" s="1" t="s">
        <v>509</v>
      </c>
      <c r="AJ144" s="1" t="s">
        <v>1263</v>
      </c>
      <c r="AL144" s="1">
        <v>6</v>
      </c>
      <c r="AM144" s="1">
        <v>2</v>
      </c>
      <c r="AN144" s="1">
        <v>2</v>
      </c>
      <c r="AO144" s="1">
        <v>1</v>
      </c>
      <c r="AP144" s="1" t="s">
        <v>209</v>
      </c>
      <c r="AR144" s="1" t="s">
        <v>1631</v>
      </c>
      <c r="AS144" s="1" t="s">
        <v>204</v>
      </c>
      <c r="AT144" s="1" t="s">
        <v>211</v>
      </c>
      <c r="AU144" s="1">
        <v>2</v>
      </c>
      <c r="AW144" s="1" t="s">
        <v>204</v>
      </c>
      <c r="AX144" s="1" t="s">
        <v>212</v>
      </c>
      <c r="AZ144" s="5">
        <v>5457.21</v>
      </c>
      <c r="BA144" s="1">
        <v>2013</v>
      </c>
      <c r="BE144" s="1">
        <v>1322</v>
      </c>
      <c r="BF144" s="1">
        <v>1</v>
      </c>
      <c r="BG144" s="1">
        <v>0</v>
      </c>
      <c r="BL144" s="1">
        <v>199</v>
      </c>
      <c r="BM144" s="1" t="s">
        <v>204</v>
      </c>
      <c r="BN144" s="1" t="s">
        <v>213</v>
      </c>
      <c r="BO144" s="1">
        <v>60</v>
      </c>
      <c r="BP144" s="1" t="s">
        <v>204</v>
      </c>
      <c r="BR144" s="1" t="str">
        <f>"06234060300000"</f>
        <v>06234060300000</v>
      </c>
      <c r="BT144" s="1" t="s">
        <v>2710</v>
      </c>
      <c r="BX144" s="1">
        <v>46</v>
      </c>
      <c r="BY144" s="1">
        <v>46</v>
      </c>
      <c r="BZ144" s="1">
        <v>127</v>
      </c>
      <c r="CB144" s="1" t="str">
        <f t="shared" ref="CB144:CC144" si="111">""</f>
        <v/>
      </c>
      <c r="CC144" s="1" t="str">
        <f t="shared" si="111"/>
        <v/>
      </c>
      <c r="CG144" s="1" t="s">
        <v>538</v>
      </c>
      <c r="CH144" s="1" t="s">
        <v>219</v>
      </c>
      <c r="CI144" s="1" t="s">
        <v>220</v>
      </c>
      <c r="CK144" s="1" t="s">
        <v>757</v>
      </c>
      <c r="CL144" s="1" t="s">
        <v>277</v>
      </c>
      <c r="CM144" s="1" t="s">
        <v>220</v>
      </c>
      <c r="CO144" s="1" t="s">
        <v>629</v>
      </c>
      <c r="CP144" s="1" t="s">
        <v>219</v>
      </c>
      <c r="CS144" s="1" t="s">
        <v>379</v>
      </c>
      <c r="CT144" s="1" t="s">
        <v>277</v>
      </c>
      <c r="CU144" s="1" t="s">
        <v>220</v>
      </c>
      <c r="CX144" s="1" t="s">
        <v>224</v>
      </c>
      <c r="DB144" s="1" t="s">
        <v>224</v>
      </c>
      <c r="DE144" s="1" t="s">
        <v>379</v>
      </c>
      <c r="DF144" s="1" t="s">
        <v>219</v>
      </c>
      <c r="DI144" s="1" t="s">
        <v>465</v>
      </c>
      <c r="DJ144" s="1" t="s">
        <v>822</v>
      </c>
      <c r="DK144" s="1" t="s">
        <v>220</v>
      </c>
      <c r="DS144" s="1" t="s">
        <v>230</v>
      </c>
      <c r="DW144" s="1" t="s">
        <v>230</v>
      </c>
      <c r="EA144" s="1" t="s">
        <v>230</v>
      </c>
      <c r="EE144" s="1" t="s">
        <v>230</v>
      </c>
      <c r="EI144" s="1" t="s">
        <v>230</v>
      </c>
      <c r="EL144" s="1" t="s">
        <v>466</v>
      </c>
      <c r="EM144" s="1" t="s">
        <v>319</v>
      </c>
      <c r="EN144" s="1" t="s">
        <v>282</v>
      </c>
      <c r="EO144" s="1" t="s">
        <v>234</v>
      </c>
      <c r="EQ144" s="1" t="s">
        <v>1109</v>
      </c>
      <c r="ER144" s="1" t="s">
        <v>544</v>
      </c>
      <c r="ES144" s="1" t="s">
        <v>322</v>
      </c>
      <c r="EU144" s="1" t="s">
        <v>239</v>
      </c>
      <c r="EW144" s="1" t="s">
        <v>1895</v>
      </c>
      <c r="EZ144" s="1" t="s">
        <v>287</v>
      </c>
      <c r="FB144" s="1" t="s">
        <v>289</v>
      </c>
      <c r="FD144" s="1" t="s">
        <v>246</v>
      </c>
      <c r="FE144" s="1" t="s">
        <v>1031</v>
      </c>
      <c r="FF144" s="1" t="s">
        <v>248</v>
      </c>
      <c r="FH144" s="1" t="s">
        <v>550</v>
      </c>
      <c r="FI144" s="1" t="s">
        <v>473</v>
      </c>
      <c r="FJ144" s="1" t="s">
        <v>518</v>
      </c>
      <c r="FL144" s="1" t="s">
        <v>358</v>
      </c>
      <c r="FM144" s="1" t="s">
        <v>252</v>
      </c>
      <c r="FN144" s="1" t="s">
        <v>213</v>
      </c>
      <c r="FO144" s="1" t="s">
        <v>213</v>
      </c>
      <c r="FQ144" s="1" t="s">
        <v>2711</v>
      </c>
      <c r="FR144" s="1" t="s">
        <v>210</v>
      </c>
      <c r="FS144" s="1" t="s">
        <v>2712</v>
      </c>
      <c r="FT144" s="1" t="s">
        <v>1408</v>
      </c>
      <c r="FU144" s="1" t="s">
        <v>204</v>
      </c>
      <c r="FW144" s="1" t="s">
        <v>1275</v>
      </c>
      <c r="FX144" s="1">
        <v>2411</v>
      </c>
      <c r="FY144" s="1" t="s">
        <v>1276</v>
      </c>
      <c r="FZ144" s="1" t="s">
        <v>2514</v>
      </c>
      <c r="GA144" s="1">
        <v>15835</v>
      </c>
      <c r="GB144" s="1" t="s">
        <v>2515</v>
      </c>
      <c r="GE144" s="1" t="s">
        <v>210</v>
      </c>
      <c r="GI144" s="1" t="s">
        <v>213</v>
      </c>
      <c r="GJ144" s="1" t="s">
        <v>260</v>
      </c>
      <c r="GK144" s="1" t="s">
        <v>210</v>
      </c>
      <c r="GL144" s="2">
        <v>42031</v>
      </c>
      <c r="GM144" s="1" t="s">
        <v>2713</v>
      </c>
    </row>
    <row r="145" spans="1:195">
      <c r="A145" s="1">
        <v>130000</v>
      </c>
      <c r="B145" s="1" t="s">
        <v>195</v>
      </c>
      <c r="C145" s="1" t="str">
        <f>"08764922"</f>
        <v>08764922</v>
      </c>
      <c r="D145" s="1" t="s">
        <v>196</v>
      </c>
      <c r="F145" s="1" t="str">
        <f>"191"</f>
        <v>191</v>
      </c>
      <c r="G145" s="2">
        <v>41942</v>
      </c>
      <c r="H145" s="1">
        <v>134500</v>
      </c>
      <c r="I145" s="1">
        <v>134500</v>
      </c>
      <c r="J145" s="1">
        <v>130000</v>
      </c>
      <c r="K145" s="2">
        <v>41941</v>
      </c>
      <c r="L145" s="1">
        <v>6</v>
      </c>
      <c r="M145" s="2">
        <v>41946</v>
      </c>
      <c r="N145" s="1">
        <v>6</v>
      </c>
      <c r="O145" s="2">
        <v>41946</v>
      </c>
      <c r="P145" s="1">
        <v>1109</v>
      </c>
      <c r="Q145" s="1" t="s">
        <v>423</v>
      </c>
      <c r="R145" s="2">
        <v>42002</v>
      </c>
      <c r="S145" s="1">
        <v>922441</v>
      </c>
      <c r="U145" s="1">
        <v>652</v>
      </c>
      <c r="V145" s="1" t="s">
        <v>2714</v>
      </c>
      <c r="W145" s="1" t="s">
        <v>304</v>
      </c>
      <c r="X145" s="1" t="s">
        <v>2715</v>
      </c>
      <c r="Y145" s="1">
        <v>4</v>
      </c>
      <c r="Z145" s="1" t="s">
        <v>370</v>
      </c>
      <c r="AA145" s="1" t="s">
        <v>1966</v>
      </c>
      <c r="AB145" s="1">
        <v>60191</v>
      </c>
      <c r="AD145" s="1" t="s">
        <v>2716</v>
      </c>
      <c r="AE145" s="1" t="s">
        <v>2717</v>
      </c>
      <c r="AF145" s="1">
        <v>1986</v>
      </c>
      <c r="AG145" s="1" t="s">
        <v>204</v>
      </c>
      <c r="AH145" s="1" t="s">
        <v>1969</v>
      </c>
      <c r="AI145" s="1" t="s">
        <v>206</v>
      </c>
      <c r="AJ145" s="1" t="s">
        <v>1233</v>
      </c>
      <c r="AL145" s="1">
        <v>5</v>
      </c>
      <c r="AM145" s="1">
        <v>2</v>
      </c>
      <c r="AN145" s="1">
        <v>2</v>
      </c>
      <c r="AO145" s="1">
        <v>0</v>
      </c>
      <c r="AP145" s="1" t="s">
        <v>209</v>
      </c>
      <c r="AR145" s="1" t="s">
        <v>210</v>
      </c>
      <c r="AS145" s="1" t="s">
        <v>204</v>
      </c>
      <c r="AT145" s="1" t="s">
        <v>375</v>
      </c>
      <c r="AU145" s="1">
        <v>1</v>
      </c>
      <c r="AV145" s="1">
        <v>1</v>
      </c>
      <c r="AW145" s="1" t="s">
        <v>204</v>
      </c>
      <c r="AX145" s="1">
        <v>0</v>
      </c>
      <c r="AZ145" s="1">
        <v>2654</v>
      </c>
      <c r="BA145" s="1">
        <v>2013</v>
      </c>
      <c r="BB145" s="1" t="s">
        <v>405</v>
      </c>
      <c r="BE145" s="1">
        <v>1200</v>
      </c>
      <c r="BF145" s="1">
        <v>1</v>
      </c>
      <c r="BG145" s="1">
        <v>30</v>
      </c>
      <c r="BL145" s="1">
        <v>251</v>
      </c>
      <c r="BM145" s="1" t="s">
        <v>204</v>
      </c>
      <c r="BN145" s="1" t="s">
        <v>213</v>
      </c>
      <c r="BO145" s="1">
        <v>30</v>
      </c>
      <c r="BP145" s="1" t="s">
        <v>204</v>
      </c>
      <c r="BR145" s="1" t="str">
        <f>"0316310161"</f>
        <v>0316310161</v>
      </c>
      <c r="BT145" s="1" t="s">
        <v>2718</v>
      </c>
      <c r="BU145" s="1" t="s">
        <v>2719</v>
      </c>
      <c r="BV145" s="1" t="s">
        <v>2720</v>
      </c>
      <c r="BW145" s="1" t="s">
        <v>2721</v>
      </c>
      <c r="BX145" s="1">
        <v>4</v>
      </c>
      <c r="BY145" s="1">
        <v>4</v>
      </c>
      <c r="BZ145" s="1">
        <v>88</v>
      </c>
      <c r="CB145" s="1" t="str">
        <f t="shared" ref="CB145:CC145" si="112">""</f>
        <v/>
      </c>
      <c r="CC145" s="1" t="str">
        <f t="shared" si="112"/>
        <v/>
      </c>
      <c r="CG145" s="1" t="s">
        <v>1004</v>
      </c>
      <c r="CH145" s="1" t="s">
        <v>219</v>
      </c>
      <c r="CI145" s="1" t="s">
        <v>220</v>
      </c>
      <c r="CJ145" s="1" t="s">
        <v>909</v>
      </c>
      <c r="CK145" s="1" t="s">
        <v>437</v>
      </c>
      <c r="CL145" s="1" t="s">
        <v>219</v>
      </c>
      <c r="CM145" s="1" t="s">
        <v>220</v>
      </c>
      <c r="CN145" s="1" t="s">
        <v>909</v>
      </c>
      <c r="CO145" s="1" t="s">
        <v>316</v>
      </c>
      <c r="CP145" s="1" t="s">
        <v>219</v>
      </c>
      <c r="CQ145" s="1" t="s">
        <v>220</v>
      </c>
      <c r="CS145" s="1" t="s">
        <v>378</v>
      </c>
      <c r="CT145" s="1" t="s">
        <v>219</v>
      </c>
      <c r="CU145" s="1" t="s">
        <v>220</v>
      </c>
      <c r="CV145" s="1" t="s">
        <v>909</v>
      </c>
      <c r="CX145" s="1" t="s">
        <v>224</v>
      </c>
      <c r="DB145" s="1" t="s">
        <v>224</v>
      </c>
      <c r="DE145" s="1" t="s">
        <v>380</v>
      </c>
      <c r="DF145" s="1" t="s">
        <v>219</v>
      </c>
      <c r="DG145" s="1" t="s">
        <v>342</v>
      </c>
      <c r="DH145" s="1" t="s">
        <v>343</v>
      </c>
      <c r="DJ145" s="1" t="s">
        <v>224</v>
      </c>
      <c r="DS145" s="1" t="s">
        <v>230</v>
      </c>
      <c r="DW145" s="1" t="s">
        <v>230</v>
      </c>
      <c r="EA145" s="1" t="s">
        <v>230</v>
      </c>
      <c r="EE145" s="1" t="s">
        <v>230</v>
      </c>
      <c r="EI145" s="1" t="s">
        <v>230</v>
      </c>
      <c r="EL145" s="1" t="s">
        <v>542</v>
      </c>
      <c r="EM145" s="1" t="s">
        <v>232</v>
      </c>
      <c r="EN145" s="1" t="s">
        <v>282</v>
      </c>
      <c r="EO145" s="1" t="s">
        <v>840</v>
      </c>
      <c r="EP145" s="1" t="s">
        <v>650</v>
      </c>
      <c r="EQ145" s="1" t="s">
        <v>236</v>
      </c>
      <c r="ER145" s="1" t="s">
        <v>210</v>
      </c>
      <c r="ES145" s="1" t="s">
        <v>322</v>
      </c>
      <c r="ET145" s="1" t="s">
        <v>1584</v>
      </c>
      <c r="EU145" s="1" t="s">
        <v>2722</v>
      </c>
      <c r="EV145" s="1" t="s">
        <v>324</v>
      </c>
      <c r="EW145" s="1" t="s">
        <v>887</v>
      </c>
      <c r="EY145" s="1" t="s">
        <v>441</v>
      </c>
      <c r="EZ145" s="1" t="s">
        <v>287</v>
      </c>
      <c r="FA145" s="1" t="s">
        <v>2723</v>
      </c>
      <c r="FB145" s="1" t="s">
        <v>289</v>
      </c>
      <c r="FD145" s="1" t="s">
        <v>246</v>
      </c>
      <c r="FE145" s="1" t="s">
        <v>2016</v>
      </c>
      <c r="FF145" s="1" t="s">
        <v>248</v>
      </c>
      <c r="FH145" s="1" t="s">
        <v>388</v>
      </c>
      <c r="FI145" s="1" t="s">
        <v>473</v>
      </c>
      <c r="FJ145" s="1" t="s">
        <v>1620</v>
      </c>
      <c r="FK145" s="1" t="s">
        <v>2724</v>
      </c>
      <c r="FL145" s="1" t="s">
        <v>358</v>
      </c>
      <c r="FM145" s="1" t="s">
        <v>252</v>
      </c>
      <c r="FN145" s="1" t="s">
        <v>213</v>
      </c>
      <c r="FO145" s="1" t="s">
        <v>213</v>
      </c>
      <c r="FQ145" s="1" t="s">
        <v>329</v>
      </c>
      <c r="FR145" s="1" t="s">
        <v>210</v>
      </c>
      <c r="FS145" s="1" t="s">
        <v>2725</v>
      </c>
      <c r="FT145" s="1" t="s">
        <v>362</v>
      </c>
      <c r="FU145" s="1" t="s">
        <v>204</v>
      </c>
      <c r="FW145" s="1" t="s">
        <v>2726</v>
      </c>
      <c r="FX145" s="1">
        <v>1109</v>
      </c>
      <c r="FY145" s="1" t="s">
        <v>2727</v>
      </c>
      <c r="FZ145" s="1" t="s">
        <v>2728</v>
      </c>
      <c r="GA145" s="1">
        <v>922441</v>
      </c>
      <c r="GB145" s="1" t="s">
        <v>2729</v>
      </c>
      <c r="GE145" s="1" t="s">
        <v>1764</v>
      </c>
      <c r="GI145" s="1" t="s">
        <v>213</v>
      </c>
      <c r="GJ145" s="1" t="s">
        <v>260</v>
      </c>
      <c r="GK145" s="1" t="s">
        <v>261</v>
      </c>
      <c r="GL145" s="2">
        <v>42002</v>
      </c>
      <c r="GM145" s="1" t="s">
        <v>2730</v>
      </c>
    </row>
    <row r="146" spans="1:195">
      <c r="A146" s="1">
        <v>103500</v>
      </c>
      <c r="B146" s="1" t="s">
        <v>195</v>
      </c>
      <c r="C146" s="1" t="str">
        <f>"08764463"</f>
        <v>08764463</v>
      </c>
      <c r="D146" s="1" t="s">
        <v>196</v>
      </c>
      <c r="F146" s="1" t="str">
        <f>"73"</f>
        <v>73</v>
      </c>
      <c r="G146" s="2">
        <v>41941</v>
      </c>
      <c r="H146" s="1">
        <v>120000</v>
      </c>
      <c r="I146" s="1">
        <v>114900</v>
      </c>
      <c r="J146" s="1">
        <v>103500</v>
      </c>
      <c r="K146" s="2">
        <v>41941</v>
      </c>
      <c r="L146" s="1">
        <v>174</v>
      </c>
      <c r="M146" s="2">
        <v>42114</v>
      </c>
      <c r="N146" s="1">
        <v>174</v>
      </c>
      <c r="O146" s="2">
        <v>42114</v>
      </c>
      <c r="P146" s="1">
        <v>2415</v>
      </c>
      <c r="Q146" s="1" t="s">
        <v>197</v>
      </c>
      <c r="R146" s="2">
        <v>42135</v>
      </c>
      <c r="S146" s="1">
        <v>26948</v>
      </c>
      <c r="U146" s="1">
        <v>172</v>
      </c>
      <c r="V146" s="1" t="s">
        <v>2731</v>
      </c>
      <c r="W146" s="1" t="s">
        <v>504</v>
      </c>
      <c r="Y146" s="1">
        <v>2</v>
      </c>
      <c r="Z146" s="1" t="s">
        <v>200</v>
      </c>
      <c r="AA146" s="1" t="s">
        <v>1259</v>
      </c>
      <c r="AB146" s="1">
        <v>60073</v>
      </c>
      <c r="AD146" s="1" t="s">
        <v>2732</v>
      </c>
      <c r="AE146" s="1" t="s">
        <v>2733</v>
      </c>
      <c r="AF146" s="1">
        <v>2001</v>
      </c>
      <c r="AG146" s="1" t="s">
        <v>204</v>
      </c>
      <c r="AH146" s="1" t="s">
        <v>1262</v>
      </c>
      <c r="AI146" s="1" t="s">
        <v>509</v>
      </c>
      <c r="AJ146" s="1" t="s">
        <v>1263</v>
      </c>
      <c r="AK146" s="1" t="s">
        <v>1088</v>
      </c>
      <c r="AL146" s="1">
        <v>5</v>
      </c>
      <c r="AM146" s="1">
        <v>2</v>
      </c>
      <c r="AN146" s="1">
        <v>2</v>
      </c>
      <c r="AO146" s="1">
        <v>0</v>
      </c>
      <c r="AP146" s="1" t="s">
        <v>209</v>
      </c>
      <c r="AQ146" s="1">
        <v>1</v>
      </c>
      <c r="AR146" s="1" t="s">
        <v>210</v>
      </c>
      <c r="AS146" s="1" t="s">
        <v>204</v>
      </c>
      <c r="AT146" s="1" t="s">
        <v>211</v>
      </c>
      <c r="AU146" s="1">
        <v>1</v>
      </c>
      <c r="AW146" s="1" t="s">
        <v>204</v>
      </c>
      <c r="AX146" s="1" t="s">
        <v>2734</v>
      </c>
      <c r="AZ146" s="1">
        <v>6019.05</v>
      </c>
      <c r="BA146" s="1">
        <v>2013</v>
      </c>
      <c r="BB146" s="1" t="s">
        <v>405</v>
      </c>
      <c r="BE146" s="1">
        <v>1048</v>
      </c>
      <c r="BF146" s="1">
        <v>1</v>
      </c>
      <c r="BG146" s="1">
        <v>0</v>
      </c>
      <c r="BL146" s="1">
        <v>25</v>
      </c>
      <c r="BM146" s="1" t="s">
        <v>204</v>
      </c>
      <c r="BN146" s="1" t="s">
        <v>213</v>
      </c>
      <c r="BO146" s="1">
        <v>60</v>
      </c>
      <c r="BP146" s="1" t="s">
        <v>204</v>
      </c>
      <c r="BR146" s="1" t="str">
        <f>"06324050160000"</f>
        <v>06324050160000</v>
      </c>
      <c r="BT146" s="1" t="s">
        <v>2735</v>
      </c>
      <c r="BU146" s="1" t="s">
        <v>2736</v>
      </c>
      <c r="BV146" s="1" t="s">
        <v>2736</v>
      </c>
      <c r="BW146" s="1" t="s">
        <v>2737</v>
      </c>
      <c r="BX146" s="1">
        <v>46</v>
      </c>
      <c r="BY146" s="1">
        <v>46</v>
      </c>
      <c r="BZ146" s="1">
        <v>127</v>
      </c>
      <c r="CB146" s="1" t="str">
        <f>"32"</f>
        <v>32</v>
      </c>
      <c r="CC146" s="1" t="str">
        <f>"0"</f>
        <v>0</v>
      </c>
      <c r="CD146" s="1">
        <v>23</v>
      </c>
      <c r="CE146" s="1">
        <v>0</v>
      </c>
      <c r="CG146" s="1" t="s">
        <v>1297</v>
      </c>
      <c r="CH146" s="1" t="s">
        <v>219</v>
      </c>
      <c r="CI146" s="1" t="s">
        <v>220</v>
      </c>
      <c r="CJ146" s="1" t="s">
        <v>252</v>
      </c>
      <c r="CK146" s="1" t="s">
        <v>1533</v>
      </c>
      <c r="CL146" s="1" t="s">
        <v>219</v>
      </c>
      <c r="CM146" s="1" t="s">
        <v>220</v>
      </c>
      <c r="CO146" s="1" t="s">
        <v>1297</v>
      </c>
      <c r="CP146" s="1" t="s">
        <v>219</v>
      </c>
      <c r="CQ146" s="1" t="s">
        <v>220</v>
      </c>
      <c r="CS146" s="1" t="s">
        <v>346</v>
      </c>
      <c r="CT146" s="1" t="s">
        <v>219</v>
      </c>
      <c r="CU146" s="1" t="s">
        <v>220</v>
      </c>
      <c r="CX146" s="1" t="s">
        <v>224</v>
      </c>
      <c r="DB146" s="1" t="s">
        <v>224</v>
      </c>
      <c r="DE146" s="1" t="s">
        <v>461</v>
      </c>
      <c r="DF146" s="1" t="s">
        <v>219</v>
      </c>
      <c r="DG146" s="1" t="s">
        <v>226</v>
      </c>
      <c r="DJ146" s="1" t="s">
        <v>224</v>
      </c>
      <c r="DS146" s="1" t="s">
        <v>230</v>
      </c>
      <c r="DW146" s="1" t="s">
        <v>230</v>
      </c>
      <c r="EA146" s="1" t="s">
        <v>230</v>
      </c>
      <c r="EE146" s="1" t="s">
        <v>230</v>
      </c>
      <c r="EI146" s="1" t="s">
        <v>230</v>
      </c>
      <c r="EL146" s="1" t="s">
        <v>466</v>
      </c>
      <c r="EM146" s="1" t="s">
        <v>232</v>
      </c>
      <c r="EN146" s="1" t="s">
        <v>282</v>
      </c>
      <c r="EO146" s="1" t="s">
        <v>234</v>
      </c>
      <c r="EP146" s="1" t="s">
        <v>2738</v>
      </c>
      <c r="EQ146" s="1" t="s">
        <v>321</v>
      </c>
      <c r="ER146" s="1" t="s">
        <v>210</v>
      </c>
      <c r="ES146" s="1" t="s">
        <v>1552</v>
      </c>
      <c r="ET146" s="1" t="s">
        <v>2404</v>
      </c>
      <c r="EU146" s="1" t="s">
        <v>546</v>
      </c>
      <c r="EV146" s="1" t="s">
        <v>240</v>
      </c>
      <c r="EW146" s="1" t="s">
        <v>1440</v>
      </c>
      <c r="EY146" s="1" t="s">
        <v>242</v>
      </c>
      <c r="EZ146" s="1" t="s">
        <v>287</v>
      </c>
      <c r="FA146" s="1" t="s">
        <v>714</v>
      </c>
      <c r="FB146" s="1" t="s">
        <v>289</v>
      </c>
      <c r="FC146" s="1" t="s">
        <v>548</v>
      </c>
      <c r="FD146" s="1" t="s">
        <v>246</v>
      </c>
      <c r="FE146" s="1" t="s">
        <v>472</v>
      </c>
      <c r="FF146" s="1" t="s">
        <v>248</v>
      </c>
      <c r="FG146" s="1" t="s">
        <v>2739</v>
      </c>
      <c r="FH146" s="1" t="s">
        <v>442</v>
      </c>
      <c r="FI146" s="1" t="s">
        <v>473</v>
      </c>
      <c r="FJ146" s="1" t="s">
        <v>518</v>
      </c>
      <c r="FL146" s="1" t="s">
        <v>358</v>
      </c>
      <c r="FM146" s="1" t="s">
        <v>252</v>
      </c>
      <c r="FN146" s="1" t="s">
        <v>213</v>
      </c>
      <c r="FO146" s="1" t="s">
        <v>213</v>
      </c>
      <c r="FQ146" s="1" t="s">
        <v>2740</v>
      </c>
      <c r="FR146" s="1" t="s">
        <v>652</v>
      </c>
      <c r="FS146" s="1" t="s">
        <v>636</v>
      </c>
      <c r="FT146" s="1" t="s">
        <v>2589</v>
      </c>
      <c r="FU146" s="1" t="s">
        <v>204</v>
      </c>
      <c r="FW146" s="1" t="s">
        <v>618</v>
      </c>
      <c r="FX146" s="1">
        <v>2643</v>
      </c>
      <c r="FY146" s="1" t="s">
        <v>619</v>
      </c>
      <c r="FZ146" s="1" t="s">
        <v>2741</v>
      </c>
      <c r="GA146" s="1">
        <v>16032</v>
      </c>
      <c r="GB146" s="1" t="s">
        <v>2742</v>
      </c>
      <c r="GC146" s="1">
        <v>18625</v>
      </c>
      <c r="GE146" s="1" t="s">
        <v>480</v>
      </c>
      <c r="GH146" s="1" t="s">
        <v>589</v>
      </c>
      <c r="GI146" s="1" t="s">
        <v>213</v>
      </c>
      <c r="GJ146" s="1" t="s">
        <v>260</v>
      </c>
      <c r="GK146" s="1" t="s">
        <v>210</v>
      </c>
      <c r="GL146" s="2">
        <v>42136</v>
      </c>
    </row>
    <row r="147" spans="1:195">
      <c r="A147" s="1">
        <v>165000</v>
      </c>
      <c r="B147" s="1" t="s">
        <v>195</v>
      </c>
      <c r="C147" s="1" t="str">
        <f>"08786909"</f>
        <v>08786909</v>
      </c>
      <c r="D147" s="1" t="s">
        <v>196</v>
      </c>
      <c r="F147" s="1" t="str">
        <f>"134"</f>
        <v>134</v>
      </c>
      <c r="G147" s="2">
        <v>41958</v>
      </c>
      <c r="H147" s="1">
        <v>172900</v>
      </c>
      <c r="I147" s="1">
        <v>172900</v>
      </c>
      <c r="J147" s="1">
        <v>165000</v>
      </c>
      <c r="K147" s="2">
        <v>41957</v>
      </c>
      <c r="L147" s="1">
        <v>20</v>
      </c>
      <c r="M147" s="2">
        <v>41976</v>
      </c>
      <c r="N147" s="1">
        <v>20</v>
      </c>
      <c r="O147" s="2">
        <v>41976</v>
      </c>
      <c r="P147" s="1">
        <v>458</v>
      </c>
      <c r="Q147" s="1" t="s">
        <v>197</v>
      </c>
      <c r="R147" s="2">
        <v>42034</v>
      </c>
      <c r="S147" s="1">
        <v>238</v>
      </c>
      <c r="U147" s="1">
        <v>2266</v>
      </c>
      <c r="V147" s="1" t="s">
        <v>2743</v>
      </c>
      <c r="W147" s="1" t="s">
        <v>264</v>
      </c>
      <c r="Y147" s="1">
        <v>6</v>
      </c>
      <c r="Z147" s="1" t="s">
        <v>249</v>
      </c>
      <c r="AA147" s="1" t="s">
        <v>661</v>
      </c>
      <c r="AB147" s="1">
        <v>60134</v>
      </c>
      <c r="AD147" s="1" t="s">
        <v>2744</v>
      </c>
      <c r="AE147" s="1" t="s">
        <v>2745</v>
      </c>
      <c r="AF147" s="1">
        <v>2000</v>
      </c>
      <c r="AG147" s="1" t="s">
        <v>204</v>
      </c>
      <c r="AH147" s="1" t="s">
        <v>664</v>
      </c>
      <c r="AI147" s="1" t="s">
        <v>665</v>
      </c>
      <c r="AJ147" s="1" t="s">
        <v>664</v>
      </c>
      <c r="AL147" s="1">
        <v>6</v>
      </c>
      <c r="AM147" s="1">
        <v>2</v>
      </c>
      <c r="AN147" s="1">
        <v>2</v>
      </c>
      <c r="AO147" s="1">
        <v>0</v>
      </c>
      <c r="AP147" s="1" t="s">
        <v>209</v>
      </c>
      <c r="AQ147" s="1">
        <v>0</v>
      </c>
      <c r="AR147" s="1" t="s">
        <v>210</v>
      </c>
      <c r="AS147" s="1" t="s">
        <v>204</v>
      </c>
      <c r="AT147" s="1" t="s">
        <v>211</v>
      </c>
      <c r="AU147" s="1">
        <v>2</v>
      </c>
      <c r="AW147" s="1" t="s">
        <v>204</v>
      </c>
      <c r="AX147" s="1" t="s">
        <v>212</v>
      </c>
      <c r="AZ147" s="1">
        <v>4054.1</v>
      </c>
      <c r="BA147" s="1">
        <v>2013</v>
      </c>
      <c r="BB147" s="1" t="s">
        <v>599</v>
      </c>
      <c r="BE147" s="1">
        <v>1509</v>
      </c>
      <c r="BF147" s="1">
        <v>1</v>
      </c>
      <c r="BG147" s="1">
        <v>0</v>
      </c>
      <c r="BL147" s="1">
        <v>200</v>
      </c>
      <c r="BM147" s="1" t="s">
        <v>213</v>
      </c>
      <c r="BN147" s="1" t="s">
        <v>213</v>
      </c>
      <c r="BO147" s="1">
        <v>99</v>
      </c>
      <c r="BP147" s="1" t="s">
        <v>204</v>
      </c>
      <c r="BR147" s="1" t="str">
        <f>"1204102083"</f>
        <v>1204102083</v>
      </c>
      <c r="BT147" s="1" t="s">
        <v>2746</v>
      </c>
      <c r="BX147" s="1">
        <v>304</v>
      </c>
      <c r="BY147" s="1">
        <v>304</v>
      </c>
      <c r="BZ147" s="1">
        <v>304</v>
      </c>
      <c r="CB147" s="1" t="str">
        <f t="shared" ref="CB147:CC147" si="113">""</f>
        <v/>
      </c>
      <c r="CC147" s="1" t="str">
        <f t="shared" si="113"/>
        <v/>
      </c>
      <c r="CG147" s="1" t="s">
        <v>2747</v>
      </c>
      <c r="CH147" s="1" t="s">
        <v>219</v>
      </c>
      <c r="CI147" s="1" t="s">
        <v>220</v>
      </c>
      <c r="CK147" s="1" t="s">
        <v>315</v>
      </c>
      <c r="CL147" s="1" t="s">
        <v>219</v>
      </c>
      <c r="CM147" s="1" t="s">
        <v>220</v>
      </c>
      <c r="CO147" s="1" t="s">
        <v>1045</v>
      </c>
      <c r="CP147" s="1" t="s">
        <v>219</v>
      </c>
      <c r="CQ147" s="1" t="s">
        <v>220</v>
      </c>
      <c r="CS147" s="1" t="s">
        <v>318</v>
      </c>
      <c r="CT147" s="1" t="s">
        <v>219</v>
      </c>
      <c r="CU147" s="1" t="s">
        <v>220</v>
      </c>
      <c r="CX147" s="1" t="s">
        <v>224</v>
      </c>
      <c r="DB147" s="1" t="s">
        <v>224</v>
      </c>
      <c r="DE147" s="1" t="s">
        <v>786</v>
      </c>
      <c r="DF147" s="1" t="s">
        <v>219</v>
      </c>
      <c r="DG147" s="1" t="s">
        <v>342</v>
      </c>
      <c r="DJ147" s="1" t="s">
        <v>224</v>
      </c>
      <c r="DM147" s="1" t="s">
        <v>381</v>
      </c>
      <c r="DR147" s="1" t="s">
        <v>348</v>
      </c>
      <c r="DS147" s="1" t="s">
        <v>219</v>
      </c>
      <c r="DT147" s="1" t="s">
        <v>342</v>
      </c>
      <c r="DW147" s="1" t="s">
        <v>230</v>
      </c>
      <c r="EA147" s="1" t="s">
        <v>230</v>
      </c>
      <c r="EE147" s="1" t="s">
        <v>230</v>
      </c>
      <c r="EI147" s="1" t="s">
        <v>230</v>
      </c>
      <c r="EL147" s="1" t="s">
        <v>466</v>
      </c>
      <c r="EM147" s="1" t="s">
        <v>319</v>
      </c>
      <c r="EN147" s="1" t="s">
        <v>282</v>
      </c>
      <c r="EO147" s="1" t="s">
        <v>234</v>
      </c>
      <c r="EQ147" s="1" t="s">
        <v>492</v>
      </c>
      <c r="ER147" s="1" t="s">
        <v>210</v>
      </c>
      <c r="ES147" s="1" t="s">
        <v>322</v>
      </c>
      <c r="EV147" s="1" t="s">
        <v>240</v>
      </c>
      <c r="EW147" s="1" t="s">
        <v>353</v>
      </c>
      <c r="EY147" s="1" t="s">
        <v>242</v>
      </c>
      <c r="EZ147" s="1" t="s">
        <v>381</v>
      </c>
      <c r="FA147" s="1" t="s">
        <v>1270</v>
      </c>
      <c r="FD147" s="1" t="s">
        <v>385</v>
      </c>
      <c r="FE147" s="1" t="s">
        <v>472</v>
      </c>
      <c r="FF147" s="1" t="s">
        <v>248</v>
      </c>
      <c r="FH147" s="1" t="s">
        <v>825</v>
      </c>
      <c r="FI147" s="1" t="s">
        <v>473</v>
      </c>
      <c r="FL147" s="1" t="s">
        <v>414</v>
      </c>
      <c r="FM147" s="1" t="s">
        <v>252</v>
      </c>
      <c r="FN147" s="1" t="s">
        <v>213</v>
      </c>
      <c r="FO147" s="1" t="s">
        <v>213</v>
      </c>
      <c r="FQ147" s="1" t="s">
        <v>1032</v>
      </c>
      <c r="FR147" s="1" t="s">
        <v>210</v>
      </c>
      <c r="FS147" s="1" t="s">
        <v>2407</v>
      </c>
      <c r="FT147" s="1" t="s">
        <v>295</v>
      </c>
      <c r="FU147" s="1" t="s">
        <v>204</v>
      </c>
      <c r="FW147" s="1" t="s">
        <v>585</v>
      </c>
      <c r="FX147" s="1">
        <v>49</v>
      </c>
      <c r="FY147" s="1" t="s">
        <v>2408</v>
      </c>
      <c r="FZ147" s="1" t="s">
        <v>2409</v>
      </c>
      <c r="GA147" s="1">
        <v>8292</v>
      </c>
      <c r="GB147" s="1" t="s">
        <v>2410</v>
      </c>
      <c r="GC147" s="1">
        <v>235512</v>
      </c>
      <c r="GD147" s="1" t="s">
        <v>2411</v>
      </c>
      <c r="GE147" s="1" t="s">
        <v>480</v>
      </c>
      <c r="GI147" s="1" t="s">
        <v>213</v>
      </c>
      <c r="GJ147" s="1" t="s">
        <v>260</v>
      </c>
      <c r="GK147" s="1" t="s">
        <v>210</v>
      </c>
      <c r="GL147" s="2">
        <v>42034</v>
      </c>
      <c r="GM147" s="1" t="s">
        <v>2748</v>
      </c>
    </row>
    <row r="148" spans="1:195">
      <c r="A148" s="1">
        <v>91000</v>
      </c>
      <c r="B148" s="1" t="s">
        <v>195</v>
      </c>
      <c r="C148" s="1" t="str">
        <f>"08767914"</f>
        <v>08767914</v>
      </c>
      <c r="D148" s="1" t="s">
        <v>196</v>
      </c>
      <c r="F148" s="1" t="str">
        <f>"540"</f>
        <v>540</v>
      </c>
      <c r="G148" s="2">
        <v>41946</v>
      </c>
      <c r="H148" s="1">
        <v>89900</v>
      </c>
      <c r="I148" s="1">
        <v>89900</v>
      </c>
      <c r="J148" s="1">
        <v>91000</v>
      </c>
      <c r="K148" s="2">
        <v>41944</v>
      </c>
      <c r="L148" s="1">
        <v>35</v>
      </c>
      <c r="M148" s="2">
        <v>41978</v>
      </c>
      <c r="N148" s="1">
        <v>35</v>
      </c>
      <c r="O148" s="2">
        <v>41978</v>
      </c>
      <c r="P148" s="1">
        <v>21736</v>
      </c>
      <c r="Q148" s="1" t="s">
        <v>302</v>
      </c>
      <c r="R148" s="2">
        <v>42004</v>
      </c>
      <c r="S148" s="1">
        <v>29633</v>
      </c>
      <c r="U148" s="1">
        <v>1640</v>
      </c>
      <c r="V148" s="1" t="s">
        <v>2749</v>
      </c>
      <c r="W148" s="1" t="s">
        <v>1056</v>
      </c>
      <c r="X148" s="1">
        <v>1640</v>
      </c>
      <c r="Y148" s="1">
        <v>4</v>
      </c>
      <c r="Z148" s="1" t="s">
        <v>249</v>
      </c>
      <c r="AA148" s="1" t="s">
        <v>921</v>
      </c>
      <c r="AB148" s="1">
        <v>60564</v>
      </c>
      <c r="AD148" s="1" t="s">
        <v>2750</v>
      </c>
      <c r="AE148" s="1" t="s">
        <v>2751</v>
      </c>
      <c r="AF148" s="1">
        <v>1995</v>
      </c>
      <c r="AG148" s="1" t="s">
        <v>204</v>
      </c>
      <c r="AH148" s="1" t="s">
        <v>924</v>
      </c>
      <c r="AI148" s="1" t="s">
        <v>206</v>
      </c>
      <c r="AJ148" s="1" t="s">
        <v>924</v>
      </c>
      <c r="AL148" s="1">
        <v>5</v>
      </c>
      <c r="AM148" s="1">
        <v>2</v>
      </c>
      <c r="AN148" s="1">
        <v>1</v>
      </c>
      <c r="AO148" s="1">
        <v>1</v>
      </c>
      <c r="AP148" s="1" t="s">
        <v>210</v>
      </c>
      <c r="AR148" s="1" t="s">
        <v>210</v>
      </c>
      <c r="AS148" s="1" t="s">
        <v>204</v>
      </c>
      <c r="AT148" s="1" t="s">
        <v>211</v>
      </c>
      <c r="AU148" s="1">
        <v>2</v>
      </c>
      <c r="AW148" s="1" t="s">
        <v>204</v>
      </c>
      <c r="AX148" s="1" t="s">
        <v>212</v>
      </c>
      <c r="AZ148" s="1">
        <v>2700</v>
      </c>
      <c r="BA148" s="1">
        <v>2013</v>
      </c>
      <c r="BE148" s="1">
        <v>0</v>
      </c>
      <c r="BF148" s="1">
        <v>1</v>
      </c>
      <c r="BG148" s="1">
        <v>0</v>
      </c>
      <c r="BL148" s="1">
        <v>168</v>
      </c>
      <c r="BM148" s="1" t="s">
        <v>204</v>
      </c>
      <c r="BN148" s="1" t="s">
        <v>213</v>
      </c>
      <c r="BO148" s="1">
        <v>50</v>
      </c>
      <c r="BP148" s="1" t="s">
        <v>204</v>
      </c>
      <c r="BR148" s="1" t="str">
        <f>"0732417093"</f>
        <v>0732417093</v>
      </c>
      <c r="BT148" s="1" t="s">
        <v>2752</v>
      </c>
      <c r="BX148" s="1">
        <v>204</v>
      </c>
      <c r="BY148" s="1">
        <v>204</v>
      </c>
      <c r="BZ148" s="1">
        <v>204</v>
      </c>
      <c r="CB148" s="1" t="str">
        <f t="shared" ref="CB148:CC148" si="114">""</f>
        <v/>
      </c>
      <c r="CC148" s="1" t="str">
        <f t="shared" si="114"/>
        <v/>
      </c>
      <c r="CG148" s="1" t="s">
        <v>757</v>
      </c>
      <c r="CH148" s="1" t="s">
        <v>219</v>
      </c>
      <c r="CK148" s="1" t="s">
        <v>278</v>
      </c>
      <c r="CL148" s="1" t="s">
        <v>277</v>
      </c>
      <c r="CO148" s="1" t="s">
        <v>380</v>
      </c>
      <c r="CP148" s="1" t="s">
        <v>219</v>
      </c>
      <c r="CS148" s="1" t="s">
        <v>378</v>
      </c>
      <c r="CT148" s="1" t="s">
        <v>277</v>
      </c>
      <c r="CX148" s="1" t="s">
        <v>224</v>
      </c>
      <c r="DB148" s="1" t="s">
        <v>224</v>
      </c>
      <c r="DE148" s="1" t="s">
        <v>346</v>
      </c>
      <c r="DF148" s="1" t="s">
        <v>219</v>
      </c>
      <c r="DJ148" s="1" t="s">
        <v>224</v>
      </c>
      <c r="DS148" s="1" t="s">
        <v>230</v>
      </c>
      <c r="DW148" s="1" t="s">
        <v>230</v>
      </c>
      <c r="EA148" s="1" t="s">
        <v>230</v>
      </c>
      <c r="EE148" s="1" t="s">
        <v>230</v>
      </c>
      <c r="EI148" s="1" t="s">
        <v>230</v>
      </c>
      <c r="EL148" s="1" t="s">
        <v>670</v>
      </c>
      <c r="EM148" s="1" t="s">
        <v>319</v>
      </c>
      <c r="EN148" s="1" t="s">
        <v>282</v>
      </c>
      <c r="EO148" s="1" t="s">
        <v>234</v>
      </c>
      <c r="ER148" s="1" t="s">
        <v>383</v>
      </c>
      <c r="EW148" s="1" t="s">
        <v>1804</v>
      </c>
      <c r="EZ148" s="1" t="s">
        <v>287</v>
      </c>
      <c r="FD148" s="1" t="s">
        <v>246</v>
      </c>
      <c r="FE148" s="1" t="s">
        <v>870</v>
      </c>
      <c r="FF148" s="1" t="s">
        <v>248</v>
      </c>
      <c r="FH148" s="1" t="s">
        <v>249</v>
      </c>
      <c r="FL148" s="1" t="s">
        <v>358</v>
      </c>
      <c r="FM148" s="1" t="s">
        <v>252</v>
      </c>
      <c r="FN148" s="1" t="s">
        <v>213</v>
      </c>
      <c r="FO148" s="1" t="s">
        <v>213</v>
      </c>
      <c r="FQ148" s="1" t="s">
        <v>673</v>
      </c>
      <c r="FR148" s="1" t="s">
        <v>210</v>
      </c>
      <c r="FS148" s="1" t="s">
        <v>2753</v>
      </c>
      <c r="FT148" s="1" t="s">
        <v>255</v>
      </c>
      <c r="FU148" s="1" t="s">
        <v>204</v>
      </c>
      <c r="FW148" s="1" t="s">
        <v>1303</v>
      </c>
      <c r="FX148" s="1">
        <v>24072</v>
      </c>
      <c r="FY148" s="1" t="s">
        <v>1304</v>
      </c>
      <c r="FZ148" s="1" t="s">
        <v>1305</v>
      </c>
      <c r="GA148" s="1">
        <v>222267</v>
      </c>
      <c r="GB148" s="1" t="s">
        <v>1304</v>
      </c>
      <c r="GC148" s="1">
        <v>235600</v>
      </c>
      <c r="GD148" s="1" t="s">
        <v>2754</v>
      </c>
      <c r="GE148" s="1" t="s">
        <v>210</v>
      </c>
      <c r="GI148" s="1" t="s">
        <v>213</v>
      </c>
      <c r="GJ148" s="1" t="s">
        <v>260</v>
      </c>
      <c r="GK148" s="1" t="s">
        <v>210</v>
      </c>
      <c r="GL148" s="2">
        <v>42004</v>
      </c>
      <c r="GM148" s="1" t="s">
        <v>2755</v>
      </c>
    </row>
    <row r="149" spans="1:195">
      <c r="A149" s="1">
        <v>325000</v>
      </c>
      <c r="B149" s="1" t="s">
        <v>195</v>
      </c>
      <c r="C149" s="1" t="str">
        <f>"08765870"</f>
        <v>08765870</v>
      </c>
      <c r="D149" s="1" t="s">
        <v>196</v>
      </c>
      <c r="F149" s="1" t="str">
        <f>"515"</f>
        <v>515</v>
      </c>
      <c r="G149" s="2">
        <v>41943</v>
      </c>
      <c r="H149" s="1">
        <v>335000</v>
      </c>
      <c r="I149" s="1">
        <v>335000</v>
      </c>
      <c r="J149" s="1">
        <v>325000</v>
      </c>
      <c r="K149" s="2">
        <v>41943</v>
      </c>
      <c r="L149" s="1">
        <v>125</v>
      </c>
      <c r="M149" s="2">
        <v>41962</v>
      </c>
      <c r="N149" s="1">
        <v>20</v>
      </c>
      <c r="O149" s="2">
        <v>41962</v>
      </c>
      <c r="P149" s="1">
        <v>20179</v>
      </c>
      <c r="Q149" s="1" t="s">
        <v>302</v>
      </c>
      <c r="R149" s="2">
        <v>41985</v>
      </c>
      <c r="S149" s="1">
        <v>241227</v>
      </c>
      <c r="U149" s="1">
        <v>935</v>
      </c>
      <c r="V149" s="1" t="s">
        <v>2756</v>
      </c>
      <c r="W149" s="1" t="s">
        <v>425</v>
      </c>
      <c r="X149" s="1">
        <v>106</v>
      </c>
      <c r="Y149" s="1">
        <v>44</v>
      </c>
      <c r="Z149" s="1" t="s">
        <v>249</v>
      </c>
      <c r="AA149" s="1" t="s">
        <v>1294</v>
      </c>
      <c r="AB149" s="1">
        <v>60515</v>
      </c>
      <c r="AD149" s="1" t="s">
        <v>2757</v>
      </c>
      <c r="AE149" s="1" t="s">
        <v>2758</v>
      </c>
      <c r="AF149" s="1">
        <v>2008</v>
      </c>
      <c r="AG149" s="1" t="s">
        <v>204</v>
      </c>
      <c r="AH149" s="1" t="s">
        <v>903</v>
      </c>
      <c r="AI149" s="1" t="s">
        <v>206</v>
      </c>
      <c r="AJ149" s="1" t="s">
        <v>903</v>
      </c>
      <c r="AL149" s="1">
        <v>5</v>
      </c>
      <c r="AM149" s="1">
        <v>2</v>
      </c>
      <c r="AN149" s="1">
        <v>2</v>
      </c>
      <c r="AO149" s="1">
        <v>1</v>
      </c>
      <c r="AP149" s="1" t="s">
        <v>209</v>
      </c>
      <c r="AQ149" s="1">
        <v>1</v>
      </c>
      <c r="AR149" s="1" t="s">
        <v>210</v>
      </c>
      <c r="AS149" s="1" t="s">
        <v>204</v>
      </c>
      <c r="AT149" s="1" t="s">
        <v>211</v>
      </c>
      <c r="AU149" s="1">
        <v>1</v>
      </c>
      <c r="AW149" s="1" t="s">
        <v>204</v>
      </c>
      <c r="AX149" s="1" t="s">
        <v>212</v>
      </c>
      <c r="AZ149" s="1">
        <v>8393</v>
      </c>
      <c r="BA149" s="1">
        <v>2013</v>
      </c>
      <c r="BB149" s="1" t="s">
        <v>405</v>
      </c>
      <c r="BE149" s="1">
        <v>1677</v>
      </c>
      <c r="BF149" s="1">
        <v>1</v>
      </c>
      <c r="BG149" s="1">
        <v>0</v>
      </c>
      <c r="BL149" s="1">
        <v>325</v>
      </c>
      <c r="BM149" s="1" t="s">
        <v>204</v>
      </c>
      <c r="BN149" s="1" t="s">
        <v>213</v>
      </c>
      <c r="BO149" s="1">
        <v>50</v>
      </c>
      <c r="BP149" s="1" t="s">
        <v>204</v>
      </c>
      <c r="BR149" s="1" t="str">
        <f>"0908138004"</f>
        <v>0908138004</v>
      </c>
      <c r="BT149" s="1" t="s">
        <v>2759</v>
      </c>
      <c r="BU149" s="1" t="s">
        <v>2760</v>
      </c>
      <c r="BV149" s="1" t="s">
        <v>2761</v>
      </c>
      <c r="BW149" s="1" t="s">
        <v>2762</v>
      </c>
      <c r="BX149" s="1">
        <v>58</v>
      </c>
      <c r="BY149" s="1">
        <v>58</v>
      </c>
      <c r="BZ149" s="1">
        <v>99</v>
      </c>
      <c r="CB149" s="1" t="str">
        <f t="shared" ref="CB149:CC149" si="115">"0"</f>
        <v>0</v>
      </c>
      <c r="CC149" s="1" t="str">
        <f t="shared" si="115"/>
        <v>0</v>
      </c>
      <c r="CD149" s="1">
        <v>19</v>
      </c>
      <c r="CE149" s="1">
        <v>5</v>
      </c>
      <c r="CG149" s="1" t="s">
        <v>2763</v>
      </c>
      <c r="CH149" s="1" t="s">
        <v>219</v>
      </c>
      <c r="CI149" s="1" t="s">
        <v>438</v>
      </c>
      <c r="CK149" s="1" t="s">
        <v>932</v>
      </c>
      <c r="CL149" s="1" t="s">
        <v>219</v>
      </c>
      <c r="CM149" s="1" t="s">
        <v>220</v>
      </c>
      <c r="CO149" s="1" t="s">
        <v>629</v>
      </c>
      <c r="CP149" s="1" t="s">
        <v>219</v>
      </c>
      <c r="CQ149" s="1" t="s">
        <v>438</v>
      </c>
      <c r="CS149" s="1" t="s">
        <v>932</v>
      </c>
      <c r="CT149" s="1" t="s">
        <v>219</v>
      </c>
      <c r="CU149" s="1" t="s">
        <v>220</v>
      </c>
      <c r="CX149" s="1" t="s">
        <v>224</v>
      </c>
      <c r="DB149" s="1" t="s">
        <v>224</v>
      </c>
      <c r="DE149" s="1" t="s">
        <v>465</v>
      </c>
      <c r="DF149" s="1" t="s">
        <v>219</v>
      </c>
      <c r="DG149" s="1" t="s">
        <v>438</v>
      </c>
      <c r="DJ149" s="1" t="s">
        <v>224</v>
      </c>
      <c r="DS149" s="1" t="s">
        <v>230</v>
      </c>
      <c r="DW149" s="1" t="s">
        <v>230</v>
      </c>
      <c r="EA149" s="1" t="s">
        <v>230</v>
      </c>
      <c r="EE149" s="1" t="s">
        <v>230</v>
      </c>
      <c r="EI149" s="1" t="s">
        <v>230</v>
      </c>
      <c r="EL149" s="1" t="s">
        <v>491</v>
      </c>
      <c r="EM149" s="1" t="s">
        <v>319</v>
      </c>
      <c r="EN149" s="1" t="s">
        <v>282</v>
      </c>
      <c r="EO149" s="1" t="s">
        <v>840</v>
      </c>
      <c r="EP149" s="1" t="s">
        <v>2764</v>
      </c>
      <c r="EQ149" s="1" t="s">
        <v>2188</v>
      </c>
      <c r="ER149" s="1" t="s">
        <v>210</v>
      </c>
      <c r="ES149" s="1" t="s">
        <v>493</v>
      </c>
      <c r="ET149" s="1" t="s">
        <v>238</v>
      </c>
      <c r="EU149" s="1" t="s">
        <v>712</v>
      </c>
      <c r="EV149" s="1" t="s">
        <v>240</v>
      </c>
      <c r="EW149" s="1" t="s">
        <v>2765</v>
      </c>
      <c r="EY149" s="1" t="s">
        <v>790</v>
      </c>
      <c r="EZ149" s="1" t="s">
        <v>287</v>
      </c>
      <c r="FA149" s="1" t="s">
        <v>2766</v>
      </c>
      <c r="FB149" s="1" t="s">
        <v>289</v>
      </c>
      <c r="FC149" s="1" t="s">
        <v>1555</v>
      </c>
      <c r="FD149" s="1" t="s">
        <v>290</v>
      </c>
      <c r="FE149" s="1" t="s">
        <v>247</v>
      </c>
      <c r="FF149" s="1" t="s">
        <v>248</v>
      </c>
      <c r="FH149" s="1" t="s">
        <v>249</v>
      </c>
      <c r="FI149" s="1" t="s">
        <v>1114</v>
      </c>
      <c r="FL149" s="1" t="s">
        <v>1826</v>
      </c>
      <c r="FM149" s="1" t="s">
        <v>252</v>
      </c>
      <c r="FN149" s="1" t="s">
        <v>213</v>
      </c>
      <c r="FO149" s="1" t="s">
        <v>213</v>
      </c>
      <c r="FQ149" s="1" t="s">
        <v>892</v>
      </c>
      <c r="FR149" s="1" t="s">
        <v>210</v>
      </c>
      <c r="FS149" s="1" t="s">
        <v>2767</v>
      </c>
      <c r="FT149" s="1" t="s">
        <v>255</v>
      </c>
      <c r="FU149" s="1" t="s">
        <v>204</v>
      </c>
      <c r="FW149" s="1" t="s">
        <v>915</v>
      </c>
      <c r="FX149" s="1">
        <v>20179</v>
      </c>
      <c r="FY149" s="1" t="s">
        <v>1944</v>
      </c>
      <c r="FZ149" s="1" t="s">
        <v>2768</v>
      </c>
      <c r="GA149" s="1">
        <v>217597</v>
      </c>
      <c r="GB149" s="1" t="s">
        <v>2769</v>
      </c>
      <c r="GE149" s="1" t="s">
        <v>658</v>
      </c>
      <c r="GI149" s="1" t="s">
        <v>213</v>
      </c>
      <c r="GJ149" s="1" t="s">
        <v>260</v>
      </c>
      <c r="GK149" s="1" t="s">
        <v>210</v>
      </c>
      <c r="GL149" s="2">
        <v>41985</v>
      </c>
      <c r="GM149" s="1" t="s">
        <v>2770</v>
      </c>
    </row>
    <row r="150" spans="1:195">
      <c r="A150" s="1">
        <v>108100</v>
      </c>
      <c r="B150" s="1" t="s">
        <v>195</v>
      </c>
      <c r="C150" s="1" t="str">
        <f>"08770670"</f>
        <v>08770670</v>
      </c>
      <c r="D150" s="1" t="s">
        <v>196</v>
      </c>
      <c r="F150" s="1" t="str">
        <f>"46"</f>
        <v>46</v>
      </c>
      <c r="G150" s="2">
        <v>41949</v>
      </c>
      <c r="H150" s="1">
        <v>116000</v>
      </c>
      <c r="I150" s="1">
        <v>116000</v>
      </c>
      <c r="J150" s="1">
        <v>108100</v>
      </c>
      <c r="K150" s="2">
        <v>41947</v>
      </c>
      <c r="L150" s="1">
        <v>38</v>
      </c>
      <c r="M150" s="2">
        <v>41984</v>
      </c>
      <c r="N150" s="1">
        <v>38</v>
      </c>
      <c r="O150" s="2">
        <v>41984</v>
      </c>
      <c r="P150" s="1">
        <v>2644</v>
      </c>
      <c r="Q150" s="1" t="s">
        <v>302</v>
      </c>
      <c r="R150" s="2">
        <v>42055</v>
      </c>
      <c r="S150" s="1">
        <v>922386</v>
      </c>
      <c r="T150" s="1">
        <v>3000</v>
      </c>
      <c r="U150" s="1">
        <v>3070</v>
      </c>
      <c r="V150" s="1" t="s">
        <v>2771</v>
      </c>
      <c r="W150" s="1" t="s">
        <v>504</v>
      </c>
      <c r="X150" s="1">
        <v>3070</v>
      </c>
      <c r="Y150" s="1">
        <v>6</v>
      </c>
      <c r="Z150" s="1" t="s">
        <v>200</v>
      </c>
      <c r="AA150" s="1" t="s">
        <v>2772</v>
      </c>
      <c r="AB150" s="1">
        <v>60046</v>
      </c>
      <c r="AD150" s="1" t="s">
        <v>2773</v>
      </c>
      <c r="AE150" s="1" t="s">
        <v>2774</v>
      </c>
      <c r="AF150" s="1">
        <v>1999</v>
      </c>
      <c r="AG150" s="1" t="s">
        <v>204</v>
      </c>
      <c r="AH150" s="1" t="s">
        <v>2775</v>
      </c>
      <c r="AI150" s="1" t="s">
        <v>509</v>
      </c>
      <c r="AJ150" s="1" t="s">
        <v>1437</v>
      </c>
      <c r="AK150" s="1" t="s">
        <v>2776</v>
      </c>
      <c r="AL150" s="1">
        <v>4</v>
      </c>
      <c r="AM150" s="1">
        <v>2</v>
      </c>
      <c r="AN150" s="1">
        <v>2</v>
      </c>
      <c r="AO150" s="1">
        <v>1</v>
      </c>
      <c r="AP150" s="1" t="s">
        <v>209</v>
      </c>
      <c r="AR150" s="1" t="s">
        <v>210</v>
      </c>
      <c r="AS150" s="1" t="s">
        <v>204</v>
      </c>
      <c r="AT150" s="1" t="s">
        <v>211</v>
      </c>
      <c r="AU150" s="1">
        <v>1</v>
      </c>
      <c r="AW150" s="1" t="s">
        <v>204</v>
      </c>
      <c r="AX150" s="1" t="s">
        <v>212</v>
      </c>
      <c r="AZ150" s="1">
        <v>4332.6099999999997</v>
      </c>
      <c r="BA150" s="1">
        <v>2012</v>
      </c>
      <c r="BB150" s="1" t="s">
        <v>405</v>
      </c>
      <c r="BE150" s="1">
        <v>1412</v>
      </c>
      <c r="BF150" s="1">
        <v>1</v>
      </c>
      <c r="BG150" s="1">
        <v>0</v>
      </c>
      <c r="BL150" s="1">
        <v>237</v>
      </c>
      <c r="BM150" s="1" t="s">
        <v>204</v>
      </c>
      <c r="BN150" s="1" t="s">
        <v>213</v>
      </c>
      <c r="BO150" s="1">
        <v>25</v>
      </c>
      <c r="BP150" s="1" t="s">
        <v>204</v>
      </c>
      <c r="BR150" s="1" t="str">
        <f>"06014012620000"</f>
        <v>06014012620000</v>
      </c>
      <c r="BT150" s="1" t="s">
        <v>2777</v>
      </c>
      <c r="BX150" s="1">
        <v>24</v>
      </c>
      <c r="BY150" s="1">
        <v>24</v>
      </c>
      <c r="BZ150" s="1">
        <v>127</v>
      </c>
      <c r="CB150" s="1" t="str">
        <f t="shared" ref="CB150:CC150" si="116">""</f>
        <v/>
      </c>
      <c r="CC150" s="1" t="str">
        <f t="shared" si="116"/>
        <v/>
      </c>
      <c r="CG150" s="1" t="s">
        <v>2402</v>
      </c>
      <c r="CH150" s="1" t="s">
        <v>219</v>
      </c>
      <c r="CI150" s="1" t="s">
        <v>220</v>
      </c>
      <c r="CK150" s="1" t="s">
        <v>228</v>
      </c>
      <c r="CL150" s="1" t="s">
        <v>277</v>
      </c>
      <c r="CM150" s="1" t="s">
        <v>220</v>
      </c>
      <c r="CP150" s="1" t="s">
        <v>224</v>
      </c>
      <c r="CS150" s="1" t="s">
        <v>465</v>
      </c>
      <c r="CT150" s="1" t="s">
        <v>277</v>
      </c>
      <c r="CU150" s="1" t="s">
        <v>220</v>
      </c>
      <c r="CX150" s="1" t="s">
        <v>224</v>
      </c>
      <c r="DB150" s="1" t="s">
        <v>224</v>
      </c>
      <c r="DE150" s="1" t="s">
        <v>317</v>
      </c>
      <c r="DF150" s="1" t="s">
        <v>219</v>
      </c>
      <c r="DG150" s="1" t="s">
        <v>226</v>
      </c>
      <c r="DJ150" s="1" t="s">
        <v>224</v>
      </c>
      <c r="DS150" s="1" t="s">
        <v>230</v>
      </c>
      <c r="DW150" s="1" t="s">
        <v>230</v>
      </c>
      <c r="EA150" s="1" t="s">
        <v>230</v>
      </c>
      <c r="EE150" s="1" t="s">
        <v>230</v>
      </c>
      <c r="EI150" s="1" t="s">
        <v>230</v>
      </c>
      <c r="EL150" s="1" t="s">
        <v>670</v>
      </c>
      <c r="EM150" s="1" t="s">
        <v>319</v>
      </c>
      <c r="EN150" s="1" t="s">
        <v>282</v>
      </c>
      <c r="EO150" s="1" t="s">
        <v>234</v>
      </c>
      <c r="EP150" s="1" t="s">
        <v>650</v>
      </c>
      <c r="ER150" s="1" t="s">
        <v>210</v>
      </c>
      <c r="ES150" s="1" t="s">
        <v>1552</v>
      </c>
      <c r="EU150" s="1" t="s">
        <v>712</v>
      </c>
      <c r="EV150" s="1" t="s">
        <v>240</v>
      </c>
      <c r="EW150" s="1" t="s">
        <v>2778</v>
      </c>
      <c r="EY150" s="1" t="s">
        <v>441</v>
      </c>
      <c r="EZ150" s="1" t="s">
        <v>287</v>
      </c>
      <c r="FA150" s="1" t="s">
        <v>714</v>
      </c>
      <c r="FB150" s="1" t="s">
        <v>289</v>
      </c>
      <c r="FD150" s="1" t="s">
        <v>246</v>
      </c>
      <c r="FE150" s="1" t="s">
        <v>472</v>
      </c>
      <c r="FF150" s="1" t="s">
        <v>248</v>
      </c>
      <c r="FH150" s="1" t="s">
        <v>249</v>
      </c>
      <c r="FI150" s="1" t="s">
        <v>473</v>
      </c>
      <c r="FL150" s="1" t="s">
        <v>358</v>
      </c>
      <c r="FM150" s="1" t="s">
        <v>252</v>
      </c>
      <c r="FN150" s="1" t="s">
        <v>213</v>
      </c>
      <c r="FO150" s="1" t="s">
        <v>213</v>
      </c>
      <c r="FQ150" s="1" t="s">
        <v>689</v>
      </c>
      <c r="FR150" s="1" t="s">
        <v>210</v>
      </c>
      <c r="FS150" s="1" t="s">
        <v>2779</v>
      </c>
      <c r="FT150" s="1" t="s">
        <v>654</v>
      </c>
      <c r="FU150" s="1" t="s">
        <v>204</v>
      </c>
      <c r="FW150" s="1" t="s">
        <v>1806</v>
      </c>
      <c r="FX150" s="1">
        <v>25196</v>
      </c>
      <c r="FY150" s="1" t="s">
        <v>1807</v>
      </c>
      <c r="FZ150" s="1" t="s">
        <v>1808</v>
      </c>
      <c r="GA150" s="1">
        <v>214545</v>
      </c>
      <c r="GB150" s="1" t="s">
        <v>1807</v>
      </c>
      <c r="GC150" s="1">
        <v>232216</v>
      </c>
      <c r="GE150" s="1" t="s">
        <v>480</v>
      </c>
      <c r="GI150" s="1" t="s">
        <v>213</v>
      </c>
      <c r="GJ150" s="1" t="s">
        <v>260</v>
      </c>
      <c r="GK150" s="1" t="s">
        <v>210</v>
      </c>
      <c r="GL150" s="2">
        <v>42059</v>
      </c>
      <c r="GM150" s="1" t="s">
        <v>2780</v>
      </c>
    </row>
    <row r="151" spans="1:195">
      <c r="A151" s="1">
        <v>135000</v>
      </c>
      <c r="B151" s="1" t="s">
        <v>195</v>
      </c>
      <c r="C151" s="1" t="str">
        <f>"08767312"</f>
        <v>08767312</v>
      </c>
      <c r="D151" s="1" t="s">
        <v>196</v>
      </c>
      <c r="F151" s="1" t="str">
        <f>"148"</f>
        <v>148</v>
      </c>
      <c r="G151" s="2">
        <v>41946</v>
      </c>
      <c r="H151" s="1">
        <v>149900</v>
      </c>
      <c r="I151" s="1">
        <v>144900</v>
      </c>
      <c r="J151" s="1">
        <v>135000</v>
      </c>
      <c r="K151" s="2">
        <v>41944</v>
      </c>
      <c r="L151" s="1">
        <v>30</v>
      </c>
      <c r="M151" s="2">
        <v>41973</v>
      </c>
      <c r="N151" s="1">
        <v>30</v>
      </c>
      <c r="O151" s="2">
        <v>41973</v>
      </c>
      <c r="P151" s="1">
        <v>24321</v>
      </c>
      <c r="Q151" s="1" t="s">
        <v>197</v>
      </c>
      <c r="R151" s="2">
        <v>42034</v>
      </c>
      <c r="S151" s="1">
        <v>240661</v>
      </c>
      <c r="U151" s="1">
        <v>43</v>
      </c>
      <c r="V151" s="1" t="s">
        <v>920</v>
      </c>
      <c r="W151" s="1" t="s">
        <v>2781</v>
      </c>
      <c r="X151" s="1">
        <v>3</v>
      </c>
      <c r="Y151" s="1">
        <v>8</v>
      </c>
      <c r="Z151" s="1" t="s">
        <v>370</v>
      </c>
      <c r="AA151" s="1" t="s">
        <v>1927</v>
      </c>
      <c r="AB151" s="1">
        <v>60148</v>
      </c>
      <c r="AD151" s="1" t="s">
        <v>2782</v>
      </c>
      <c r="AE151" s="1" t="s">
        <v>2783</v>
      </c>
      <c r="AF151" s="1">
        <v>1992</v>
      </c>
      <c r="AG151" s="1" t="s">
        <v>204</v>
      </c>
      <c r="AH151" s="1" t="s">
        <v>1930</v>
      </c>
      <c r="AI151" s="1" t="s">
        <v>206</v>
      </c>
      <c r="AJ151" s="1" t="s">
        <v>1608</v>
      </c>
      <c r="AL151" s="1">
        <v>5</v>
      </c>
      <c r="AM151" s="1">
        <v>2</v>
      </c>
      <c r="AN151" s="1">
        <v>2</v>
      </c>
      <c r="AO151" s="1">
        <v>0</v>
      </c>
      <c r="AP151" s="1" t="s">
        <v>209</v>
      </c>
      <c r="AR151" s="1" t="s">
        <v>210</v>
      </c>
      <c r="AS151" s="1" t="s">
        <v>204</v>
      </c>
      <c r="AT151" s="1" t="s">
        <v>271</v>
      </c>
      <c r="AV151" s="1">
        <v>2</v>
      </c>
      <c r="AW151" s="1" t="s">
        <v>204</v>
      </c>
      <c r="AX151" s="1" t="s">
        <v>212</v>
      </c>
      <c r="AZ151" s="1">
        <v>2913.18</v>
      </c>
      <c r="BA151" s="1">
        <v>2013</v>
      </c>
      <c r="BE151" s="1">
        <v>965</v>
      </c>
      <c r="BF151" s="1">
        <v>2</v>
      </c>
      <c r="BG151" s="1">
        <v>0</v>
      </c>
      <c r="BL151" s="1">
        <v>264</v>
      </c>
      <c r="BM151" s="1" t="s">
        <v>204</v>
      </c>
      <c r="BN151" s="1" t="s">
        <v>213</v>
      </c>
      <c r="BO151" s="1" t="s">
        <v>432</v>
      </c>
      <c r="BP151" s="1" t="s">
        <v>204</v>
      </c>
      <c r="BR151" s="1" t="str">
        <f>"0607229035"</f>
        <v>0607229035</v>
      </c>
      <c r="BT151" s="1" t="s">
        <v>2784</v>
      </c>
      <c r="BX151" s="1">
        <v>44</v>
      </c>
      <c r="BY151" s="1">
        <v>44</v>
      </c>
      <c r="BZ151" s="1">
        <v>87</v>
      </c>
      <c r="CB151" s="1" t="str">
        <f t="shared" ref="CB151:CC151" si="117">""</f>
        <v/>
      </c>
      <c r="CC151" s="1" t="str">
        <f t="shared" si="117"/>
        <v/>
      </c>
      <c r="CD151" s="1">
        <v>20</v>
      </c>
      <c r="CG151" s="1" t="s">
        <v>1045</v>
      </c>
      <c r="CH151" s="1" t="s">
        <v>219</v>
      </c>
      <c r="CI151" s="1" t="s">
        <v>229</v>
      </c>
      <c r="CK151" s="1" t="s">
        <v>461</v>
      </c>
      <c r="CL151" s="1" t="s">
        <v>219</v>
      </c>
      <c r="CM151" s="1" t="s">
        <v>220</v>
      </c>
      <c r="CO151" s="1" t="s">
        <v>1534</v>
      </c>
      <c r="CP151" s="1" t="s">
        <v>219</v>
      </c>
      <c r="CQ151" s="1" t="s">
        <v>229</v>
      </c>
      <c r="CS151" s="1" t="s">
        <v>465</v>
      </c>
      <c r="CT151" s="1" t="s">
        <v>219</v>
      </c>
      <c r="CU151" s="1" t="s">
        <v>220</v>
      </c>
      <c r="CX151" s="1" t="s">
        <v>224</v>
      </c>
      <c r="DB151" s="1" t="s">
        <v>224</v>
      </c>
      <c r="DE151" s="1" t="s">
        <v>346</v>
      </c>
      <c r="DF151" s="1" t="s">
        <v>219</v>
      </c>
      <c r="DG151" s="1" t="s">
        <v>229</v>
      </c>
      <c r="DJ151" s="1" t="s">
        <v>224</v>
      </c>
      <c r="DS151" s="1" t="s">
        <v>230</v>
      </c>
      <c r="DW151" s="1" t="s">
        <v>230</v>
      </c>
      <c r="EA151" s="1" t="s">
        <v>230</v>
      </c>
      <c r="EE151" s="1" t="s">
        <v>230</v>
      </c>
      <c r="EI151" s="1" t="s">
        <v>230</v>
      </c>
      <c r="EL151" s="1" t="s">
        <v>382</v>
      </c>
      <c r="EM151" s="1" t="s">
        <v>319</v>
      </c>
      <c r="EN151" s="1" t="s">
        <v>282</v>
      </c>
      <c r="EO151" s="1" t="s">
        <v>234</v>
      </c>
      <c r="EQ151" s="1" t="s">
        <v>1109</v>
      </c>
      <c r="ER151" s="1" t="s">
        <v>210</v>
      </c>
      <c r="ES151" s="1" t="s">
        <v>545</v>
      </c>
      <c r="EU151" s="1" t="s">
        <v>239</v>
      </c>
      <c r="EV151" s="1" t="s">
        <v>324</v>
      </c>
      <c r="EW151" s="1" t="s">
        <v>937</v>
      </c>
      <c r="EZ151" s="1" t="s">
        <v>287</v>
      </c>
      <c r="FD151" s="1" t="s">
        <v>246</v>
      </c>
      <c r="FE151" s="1" t="s">
        <v>472</v>
      </c>
      <c r="FF151" s="1" t="s">
        <v>248</v>
      </c>
      <c r="FH151" s="1" t="s">
        <v>249</v>
      </c>
      <c r="FL151" s="1" t="s">
        <v>414</v>
      </c>
      <c r="FM151" s="1" t="s">
        <v>252</v>
      </c>
      <c r="FN151" s="1" t="s">
        <v>213</v>
      </c>
      <c r="FO151" s="1" t="s">
        <v>213</v>
      </c>
      <c r="FQ151" s="1" t="s">
        <v>2785</v>
      </c>
      <c r="FR151" s="1" t="s">
        <v>210</v>
      </c>
      <c r="FS151" s="1" t="s">
        <v>2608</v>
      </c>
      <c r="FT151" s="1" t="s">
        <v>255</v>
      </c>
      <c r="FU151" s="1" t="s">
        <v>204</v>
      </c>
      <c r="FW151" s="1" t="s">
        <v>915</v>
      </c>
      <c r="FX151" s="1">
        <v>23076</v>
      </c>
      <c r="FY151" s="1" t="s">
        <v>1909</v>
      </c>
      <c r="FZ151" s="1" t="s">
        <v>2786</v>
      </c>
      <c r="GA151" s="1">
        <v>240142</v>
      </c>
      <c r="GB151" s="1" t="s">
        <v>2787</v>
      </c>
      <c r="GE151" s="1" t="s">
        <v>1333</v>
      </c>
      <c r="GI151" s="1" t="s">
        <v>213</v>
      </c>
      <c r="GJ151" s="1" t="s">
        <v>260</v>
      </c>
      <c r="GK151" s="1" t="s">
        <v>210</v>
      </c>
      <c r="GL151" s="2">
        <v>42037</v>
      </c>
      <c r="GM151" s="1" t="s">
        <v>2788</v>
      </c>
    </row>
    <row r="152" spans="1:195">
      <c r="A152" s="1">
        <v>94500</v>
      </c>
      <c r="B152" s="1" t="s">
        <v>195</v>
      </c>
      <c r="C152" s="1" t="str">
        <f>"08787498"</f>
        <v>08787498</v>
      </c>
      <c r="D152" s="1" t="s">
        <v>196</v>
      </c>
      <c r="F152" s="1" t="str">
        <f>"187"</f>
        <v>187</v>
      </c>
      <c r="G152" s="2">
        <v>41960</v>
      </c>
      <c r="H152" s="1">
        <v>99000</v>
      </c>
      <c r="I152" s="1">
        <v>99000</v>
      </c>
      <c r="J152" s="1">
        <v>94500</v>
      </c>
      <c r="K152" s="2">
        <v>41960</v>
      </c>
      <c r="L152" s="1">
        <v>10</v>
      </c>
      <c r="M152" s="2">
        <v>41969</v>
      </c>
      <c r="N152" s="1">
        <v>10</v>
      </c>
      <c r="O152" s="2">
        <v>41969</v>
      </c>
      <c r="P152" s="1">
        <v>21823</v>
      </c>
      <c r="Q152" s="1" t="s">
        <v>302</v>
      </c>
      <c r="R152" s="2">
        <v>42003</v>
      </c>
      <c r="S152" s="1">
        <v>214181</v>
      </c>
      <c r="U152" s="1">
        <v>1450</v>
      </c>
      <c r="V152" s="1" t="s">
        <v>1040</v>
      </c>
      <c r="W152" s="1" t="s">
        <v>526</v>
      </c>
      <c r="X152" s="7">
        <v>42007</v>
      </c>
      <c r="Y152" s="1">
        <v>8</v>
      </c>
      <c r="Z152" s="1" t="s">
        <v>370</v>
      </c>
      <c r="AA152" s="1" t="s">
        <v>964</v>
      </c>
      <c r="AB152" s="1">
        <v>60189</v>
      </c>
      <c r="AD152" s="1" t="s">
        <v>2789</v>
      </c>
      <c r="AE152" s="1" t="s">
        <v>2790</v>
      </c>
      <c r="AF152" s="1">
        <v>1973</v>
      </c>
      <c r="AG152" s="1" t="s">
        <v>213</v>
      </c>
      <c r="AH152" s="1" t="s">
        <v>967</v>
      </c>
      <c r="AI152" s="1" t="s">
        <v>206</v>
      </c>
      <c r="AJ152" s="1" t="s">
        <v>207</v>
      </c>
      <c r="AL152" s="1">
        <v>5</v>
      </c>
      <c r="AM152" s="1">
        <v>2</v>
      </c>
      <c r="AN152" s="1">
        <v>2</v>
      </c>
      <c r="AO152" s="1">
        <v>0</v>
      </c>
      <c r="AP152" s="1" t="s">
        <v>209</v>
      </c>
      <c r="AQ152" s="1">
        <v>1</v>
      </c>
      <c r="AR152" s="1" t="s">
        <v>210</v>
      </c>
      <c r="AS152" s="1" t="s">
        <v>204</v>
      </c>
      <c r="AT152" s="1" t="s">
        <v>211</v>
      </c>
      <c r="AU152" s="1">
        <v>1</v>
      </c>
      <c r="AW152" s="1" t="s">
        <v>204</v>
      </c>
      <c r="AX152" s="1" t="s">
        <v>212</v>
      </c>
      <c r="AZ152" s="1">
        <v>2676</v>
      </c>
      <c r="BA152" s="1">
        <v>2013</v>
      </c>
      <c r="BB152" s="1" t="s">
        <v>405</v>
      </c>
      <c r="BE152" s="1">
        <v>1200</v>
      </c>
      <c r="BF152" s="1">
        <v>1</v>
      </c>
      <c r="BG152" s="1">
        <v>30</v>
      </c>
      <c r="BL152" s="1">
        <v>404</v>
      </c>
      <c r="BM152" s="1" t="s">
        <v>204</v>
      </c>
      <c r="BN152" s="1" t="s">
        <v>213</v>
      </c>
      <c r="BO152" s="1">
        <v>50</v>
      </c>
      <c r="BP152" s="1" t="s">
        <v>204</v>
      </c>
      <c r="BR152" s="1" t="str">
        <f>"0519413017"</f>
        <v>0519413017</v>
      </c>
      <c r="BT152" s="1" t="s">
        <v>2791</v>
      </c>
      <c r="BU152" s="1" t="s">
        <v>1327</v>
      </c>
      <c r="BV152" s="1" t="s">
        <v>970</v>
      </c>
      <c r="BW152" s="1" t="s">
        <v>971</v>
      </c>
      <c r="BX152" s="1">
        <v>200</v>
      </c>
      <c r="BY152" s="1">
        <v>200</v>
      </c>
      <c r="BZ152" s="1">
        <v>200</v>
      </c>
      <c r="CB152" s="1" t="str">
        <f t="shared" ref="CB152:CC152" si="118">""</f>
        <v/>
      </c>
      <c r="CC152" s="1" t="str">
        <f t="shared" si="118"/>
        <v/>
      </c>
      <c r="CG152" s="1" t="s">
        <v>2307</v>
      </c>
      <c r="CH152" s="1" t="s">
        <v>219</v>
      </c>
      <c r="CI152" s="1" t="s">
        <v>220</v>
      </c>
      <c r="CJ152" s="1" t="s">
        <v>463</v>
      </c>
      <c r="CK152" s="1" t="s">
        <v>315</v>
      </c>
      <c r="CL152" s="1" t="s">
        <v>219</v>
      </c>
      <c r="CM152" s="1" t="s">
        <v>220</v>
      </c>
      <c r="CN152" s="1" t="s">
        <v>463</v>
      </c>
      <c r="CO152" s="1" t="s">
        <v>379</v>
      </c>
      <c r="CP152" s="1" t="s">
        <v>219</v>
      </c>
      <c r="CQ152" s="1" t="s">
        <v>226</v>
      </c>
      <c r="CR152" s="1" t="s">
        <v>463</v>
      </c>
      <c r="CS152" s="1" t="s">
        <v>465</v>
      </c>
      <c r="CT152" s="1" t="s">
        <v>219</v>
      </c>
      <c r="CU152" s="1" t="s">
        <v>220</v>
      </c>
      <c r="CV152" s="1" t="s">
        <v>463</v>
      </c>
      <c r="CX152" s="1" t="s">
        <v>224</v>
      </c>
      <c r="DB152" s="1" t="s">
        <v>224</v>
      </c>
      <c r="DE152" s="1" t="s">
        <v>379</v>
      </c>
      <c r="DF152" s="1" t="s">
        <v>219</v>
      </c>
      <c r="DG152" s="1" t="s">
        <v>226</v>
      </c>
      <c r="DJ152" s="1" t="s">
        <v>224</v>
      </c>
      <c r="DS152" s="1" t="s">
        <v>230</v>
      </c>
      <c r="DW152" s="1" t="s">
        <v>230</v>
      </c>
      <c r="EA152" s="1" t="s">
        <v>230</v>
      </c>
      <c r="EE152" s="1" t="s">
        <v>230</v>
      </c>
      <c r="EI152" s="1" t="s">
        <v>230</v>
      </c>
      <c r="EL152" s="1" t="s">
        <v>605</v>
      </c>
      <c r="EM152" s="1" t="s">
        <v>232</v>
      </c>
      <c r="EN152" s="1" t="s">
        <v>282</v>
      </c>
      <c r="EO152" s="1" t="s">
        <v>234</v>
      </c>
      <c r="EQ152" s="1" t="s">
        <v>350</v>
      </c>
      <c r="ER152" s="1" t="s">
        <v>210</v>
      </c>
      <c r="ES152" s="1" t="s">
        <v>322</v>
      </c>
      <c r="EV152" s="1" t="s">
        <v>324</v>
      </c>
      <c r="EW152" s="1" t="s">
        <v>2792</v>
      </c>
      <c r="EZ152" s="1" t="s">
        <v>287</v>
      </c>
      <c r="FA152" s="1" t="s">
        <v>1270</v>
      </c>
      <c r="FD152" s="1" t="s">
        <v>246</v>
      </c>
      <c r="FE152" s="1" t="s">
        <v>889</v>
      </c>
      <c r="FF152" s="1" t="s">
        <v>248</v>
      </c>
      <c r="FG152" s="1" t="s">
        <v>2406</v>
      </c>
      <c r="FH152" s="1" t="s">
        <v>249</v>
      </c>
      <c r="FI152" s="1" t="s">
        <v>357</v>
      </c>
      <c r="FL152" s="1" t="s">
        <v>414</v>
      </c>
      <c r="FM152" s="1" t="s">
        <v>252</v>
      </c>
      <c r="FN152" s="1" t="s">
        <v>213</v>
      </c>
      <c r="FO152" s="1" t="s">
        <v>213</v>
      </c>
      <c r="FQ152" s="1" t="s">
        <v>2793</v>
      </c>
      <c r="FR152" s="1" t="s">
        <v>210</v>
      </c>
      <c r="FS152" s="1" t="s">
        <v>2794</v>
      </c>
      <c r="FT152" s="1" t="s">
        <v>295</v>
      </c>
      <c r="FU152" s="1" t="s">
        <v>204</v>
      </c>
      <c r="FW152" s="1" t="s">
        <v>915</v>
      </c>
      <c r="FX152" s="1">
        <v>25088</v>
      </c>
      <c r="FY152" s="1" t="s">
        <v>1761</v>
      </c>
      <c r="FZ152" s="1" t="s">
        <v>2795</v>
      </c>
      <c r="GA152" s="1">
        <v>256514</v>
      </c>
      <c r="GB152" s="1" t="s">
        <v>2796</v>
      </c>
      <c r="GC152" s="1">
        <v>256274</v>
      </c>
      <c r="GE152" s="1" t="s">
        <v>210</v>
      </c>
      <c r="GI152" s="1" t="s">
        <v>213</v>
      </c>
      <c r="GJ152" s="1" t="s">
        <v>260</v>
      </c>
      <c r="GK152" s="1" t="s">
        <v>210</v>
      </c>
      <c r="GL152" s="2">
        <v>42003</v>
      </c>
      <c r="GM152" s="1" t="s">
        <v>2797</v>
      </c>
    </row>
    <row r="153" spans="1:195">
      <c r="A153" s="1">
        <v>109000</v>
      </c>
      <c r="B153" s="1" t="s">
        <v>195</v>
      </c>
      <c r="C153" s="1" t="str">
        <f>"08768949"</f>
        <v>08768949</v>
      </c>
      <c r="D153" s="1" t="s">
        <v>196</v>
      </c>
      <c r="F153" s="1" t="str">
        <f>"176"</f>
        <v>176</v>
      </c>
      <c r="G153" s="2">
        <v>41947</v>
      </c>
      <c r="H153" s="1">
        <v>115000</v>
      </c>
      <c r="I153" s="1">
        <v>114500</v>
      </c>
      <c r="J153" s="1">
        <v>109000</v>
      </c>
      <c r="K153" s="2">
        <v>41944</v>
      </c>
      <c r="L153" s="1">
        <v>97</v>
      </c>
      <c r="M153" s="2">
        <v>42040</v>
      </c>
      <c r="N153" s="1">
        <v>97</v>
      </c>
      <c r="O153" s="2">
        <v>42040</v>
      </c>
      <c r="P153" s="1">
        <v>85777</v>
      </c>
      <c r="Q153" s="1" t="s">
        <v>302</v>
      </c>
      <c r="R153" s="2">
        <v>42093</v>
      </c>
      <c r="S153" s="1">
        <v>183942</v>
      </c>
      <c r="U153" s="1">
        <v>3800</v>
      </c>
      <c r="V153" s="1" t="s">
        <v>724</v>
      </c>
      <c r="W153" s="1" t="s">
        <v>725</v>
      </c>
      <c r="X153" s="1" t="s">
        <v>2798</v>
      </c>
      <c r="Y153" s="1">
        <v>10</v>
      </c>
      <c r="Z153" s="1" t="s">
        <v>249</v>
      </c>
      <c r="AA153" s="1" t="s">
        <v>306</v>
      </c>
      <c r="AB153" s="1">
        <v>60176</v>
      </c>
      <c r="AE153" s="1" t="s">
        <v>2799</v>
      </c>
      <c r="AF153" s="1">
        <v>1970</v>
      </c>
      <c r="AG153" s="1" t="s">
        <v>213</v>
      </c>
      <c r="AH153" s="1" t="s">
        <v>309</v>
      </c>
      <c r="AI153" s="1" t="s">
        <v>310</v>
      </c>
      <c r="AJ153" s="1" t="s">
        <v>311</v>
      </c>
      <c r="AL153" s="1">
        <v>4</v>
      </c>
      <c r="AM153" s="1">
        <v>2</v>
      </c>
      <c r="AN153" s="1">
        <v>1</v>
      </c>
      <c r="AO153" s="1">
        <v>0</v>
      </c>
      <c r="AP153" s="1" t="s">
        <v>210</v>
      </c>
      <c r="AR153" s="1" t="s">
        <v>210</v>
      </c>
      <c r="AS153" s="1" t="s">
        <v>204</v>
      </c>
      <c r="AT153" s="1" t="s">
        <v>271</v>
      </c>
      <c r="AV153" s="1">
        <v>2</v>
      </c>
      <c r="AW153" s="1" t="s">
        <v>204</v>
      </c>
      <c r="AX153" s="1" t="s">
        <v>212</v>
      </c>
      <c r="AZ153" s="1">
        <v>2387.37</v>
      </c>
      <c r="BA153" s="1">
        <v>2013</v>
      </c>
      <c r="BE153" s="1">
        <v>850</v>
      </c>
      <c r="BF153" s="1">
        <v>2</v>
      </c>
      <c r="BG153" s="1">
        <v>0</v>
      </c>
      <c r="BJ153" s="1">
        <v>100</v>
      </c>
      <c r="BL153" s="1">
        <v>215</v>
      </c>
      <c r="BM153" s="1" t="s">
        <v>204</v>
      </c>
      <c r="BN153" s="1" t="s">
        <v>213</v>
      </c>
      <c r="BP153" s="1" t="s">
        <v>204</v>
      </c>
      <c r="BR153" s="1" t="str">
        <f>"12212210731008"</f>
        <v>12212210731008</v>
      </c>
      <c r="BT153" s="1" t="s">
        <v>2800</v>
      </c>
      <c r="BU153" s="1" t="s">
        <v>2801</v>
      </c>
      <c r="BV153" s="1" t="s">
        <v>2306</v>
      </c>
      <c r="BW153" s="1" t="s">
        <v>313</v>
      </c>
      <c r="BX153" s="1">
        <v>81</v>
      </c>
      <c r="BY153" s="1">
        <v>81</v>
      </c>
      <c r="BZ153" s="1">
        <v>212</v>
      </c>
      <c r="CB153" s="1" t="str">
        <f>"4"</f>
        <v>4</v>
      </c>
      <c r="CC153" s="1" t="str">
        <f>"0"</f>
        <v>0</v>
      </c>
      <c r="CD153" s="1">
        <v>11</v>
      </c>
      <c r="CE153" s="1">
        <v>0</v>
      </c>
      <c r="CG153" s="1" t="s">
        <v>628</v>
      </c>
      <c r="CH153" s="1" t="s">
        <v>219</v>
      </c>
      <c r="CI153" s="1" t="s">
        <v>438</v>
      </c>
      <c r="CK153" s="1" t="s">
        <v>932</v>
      </c>
      <c r="CL153" s="1" t="s">
        <v>219</v>
      </c>
      <c r="CM153" s="1" t="s">
        <v>438</v>
      </c>
      <c r="CP153" s="1" t="s">
        <v>224</v>
      </c>
      <c r="CS153" s="1" t="s">
        <v>318</v>
      </c>
      <c r="CT153" s="1" t="s">
        <v>219</v>
      </c>
      <c r="CU153" s="1" t="s">
        <v>438</v>
      </c>
      <c r="CX153" s="1" t="s">
        <v>224</v>
      </c>
      <c r="DB153" s="1" t="s">
        <v>224</v>
      </c>
      <c r="DE153" s="1" t="s">
        <v>1470</v>
      </c>
      <c r="DF153" s="1" t="s">
        <v>219</v>
      </c>
      <c r="DG153" s="1" t="s">
        <v>220</v>
      </c>
      <c r="DJ153" s="1" t="s">
        <v>224</v>
      </c>
      <c r="DS153" s="1" t="s">
        <v>230</v>
      </c>
      <c r="DW153" s="1" t="s">
        <v>230</v>
      </c>
      <c r="EA153" s="1" t="s">
        <v>230</v>
      </c>
      <c r="EE153" s="1" t="s">
        <v>230</v>
      </c>
      <c r="EI153" s="1" t="s">
        <v>230</v>
      </c>
      <c r="EL153" s="1" t="s">
        <v>605</v>
      </c>
      <c r="EM153" s="1" t="s">
        <v>232</v>
      </c>
      <c r="EN153" s="1" t="s">
        <v>731</v>
      </c>
      <c r="EO153" s="1" t="s">
        <v>234</v>
      </c>
      <c r="EP153" s="1" t="s">
        <v>2802</v>
      </c>
      <c r="EQ153" s="1" t="s">
        <v>1109</v>
      </c>
      <c r="ER153" s="1" t="s">
        <v>210</v>
      </c>
      <c r="ES153" s="1" t="s">
        <v>322</v>
      </c>
      <c r="EU153" s="1" t="s">
        <v>2803</v>
      </c>
      <c r="EW153" s="1" t="s">
        <v>2804</v>
      </c>
      <c r="EY153" s="1" t="s">
        <v>242</v>
      </c>
      <c r="EZ153" s="1" t="s">
        <v>287</v>
      </c>
      <c r="FA153" s="1" t="s">
        <v>2805</v>
      </c>
      <c r="FB153" s="1" t="s">
        <v>734</v>
      </c>
      <c r="FC153" s="1" t="s">
        <v>548</v>
      </c>
      <c r="FD153" s="1" t="s">
        <v>736</v>
      </c>
      <c r="FE153" s="1" t="s">
        <v>549</v>
      </c>
      <c r="FF153" s="1" t="s">
        <v>248</v>
      </c>
      <c r="FH153" s="1" t="s">
        <v>249</v>
      </c>
      <c r="FK153" s="1" t="s">
        <v>2806</v>
      </c>
      <c r="FL153" s="1" t="s">
        <v>1164</v>
      </c>
      <c r="FM153" s="1" t="s">
        <v>252</v>
      </c>
      <c r="FN153" s="1" t="s">
        <v>213</v>
      </c>
      <c r="FO153" s="1" t="s">
        <v>213</v>
      </c>
      <c r="FQ153" s="1" t="s">
        <v>2807</v>
      </c>
      <c r="FR153" s="1" t="s">
        <v>210</v>
      </c>
      <c r="FS153" s="1" t="s">
        <v>2808</v>
      </c>
      <c r="FT153" s="1" t="s">
        <v>255</v>
      </c>
      <c r="FU153" s="1" t="s">
        <v>204</v>
      </c>
      <c r="FW153" s="1" t="s">
        <v>915</v>
      </c>
      <c r="FX153" s="1">
        <v>85758</v>
      </c>
      <c r="FY153" s="1" t="s">
        <v>1728</v>
      </c>
      <c r="FZ153" s="1" t="s">
        <v>2373</v>
      </c>
      <c r="GA153" s="1">
        <v>180683</v>
      </c>
      <c r="GB153" s="1" t="s">
        <v>2374</v>
      </c>
      <c r="GE153" s="1" t="s">
        <v>210</v>
      </c>
      <c r="GH153" s="1" t="s">
        <v>230</v>
      </c>
      <c r="GI153" s="1" t="s">
        <v>213</v>
      </c>
      <c r="GJ153" s="1" t="s">
        <v>260</v>
      </c>
      <c r="GK153" s="1" t="s">
        <v>210</v>
      </c>
      <c r="GL153" s="2">
        <v>42093</v>
      </c>
      <c r="GM153" s="1" t="s">
        <v>2809</v>
      </c>
    </row>
    <row r="154" spans="1:195">
      <c r="A154" s="1">
        <v>212000</v>
      </c>
      <c r="B154" s="1" t="s">
        <v>195</v>
      </c>
      <c r="C154" s="1" t="str">
        <f>"08767980"</f>
        <v>08767980</v>
      </c>
      <c r="D154" s="1" t="s">
        <v>196</v>
      </c>
      <c r="F154" s="1" t="str">
        <f>"562"</f>
        <v>562</v>
      </c>
      <c r="G154" s="2">
        <v>41946</v>
      </c>
      <c r="H154" s="1">
        <v>219900</v>
      </c>
      <c r="I154" s="1">
        <v>219900</v>
      </c>
      <c r="J154" s="1">
        <v>212000</v>
      </c>
      <c r="K154" s="2">
        <v>41944</v>
      </c>
      <c r="L154" s="1">
        <v>15</v>
      </c>
      <c r="M154" s="2">
        <v>41958</v>
      </c>
      <c r="N154" s="1">
        <v>15</v>
      </c>
      <c r="O154" s="2">
        <v>41958</v>
      </c>
      <c r="P154" s="1">
        <v>20179</v>
      </c>
      <c r="Q154" s="1" t="s">
        <v>197</v>
      </c>
      <c r="R154" s="2">
        <v>41984</v>
      </c>
      <c r="S154" s="1">
        <v>219360</v>
      </c>
      <c r="U154" s="1">
        <v>8250</v>
      </c>
      <c r="V154" s="1" t="s">
        <v>2810</v>
      </c>
      <c r="Y154" s="1">
        <v>4</v>
      </c>
      <c r="Z154" s="1" t="s">
        <v>2811</v>
      </c>
      <c r="AA154" s="1" t="s">
        <v>899</v>
      </c>
      <c r="AB154" s="1">
        <v>60561</v>
      </c>
      <c r="AD154" s="1" t="s">
        <v>900</v>
      </c>
      <c r="AE154" s="1" t="s">
        <v>2812</v>
      </c>
      <c r="AF154" s="1">
        <v>1994</v>
      </c>
      <c r="AG154" s="1" t="s">
        <v>204</v>
      </c>
      <c r="AH154" s="1" t="s">
        <v>902</v>
      </c>
      <c r="AI154" s="1" t="s">
        <v>206</v>
      </c>
      <c r="AJ154" s="1" t="s">
        <v>903</v>
      </c>
      <c r="AK154" s="1" t="s">
        <v>2813</v>
      </c>
      <c r="AL154" s="1">
        <v>7</v>
      </c>
      <c r="AM154" s="1">
        <v>2</v>
      </c>
      <c r="AN154" s="1">
        <v>2</v>
      </c>
      <c r="AO154" s="1">
        <v>1</v>
      </c>
      <c r="AP154" s="1" t="s">
        <v>209</v>
      </c>
      <c r="AR154" s="1" t="s">
        <v>210</v>
      </c>
      <c r="AS154" s="1" t="s">
        <v>204</v>
      </c>
      <c r="AT154" s="1" t="s">
        <v>211</v>
      </c>
      <c r="AU154" s="1">
        <v>1</v>
      </c>
      <c r="AW154" s="1" t="s">
        <v>204</v>
      </c>
      <c r="AX154" s="1" t="s">
        <v>212</v>
      </c>
      <c r="AZ154" s="1">
        <v>3600</v>
      </c>
      <c r="BA154" s="1">
        <v>2013</v>
      </c>
      <c r="BE154" s="1">
        <v>1450</v>
      </c>
      <c r="BF154" s="1">
        <v>1</v>
      </c>
      <c r="BG154" s="1">
        <v>5</v>
      </c>
      <c r="BL154" s="1">
        <v>197</v>
      </c>
      <c r="BM154" s="1" t="s">
        <v>204</v>
      </c>
      <c r="BN154" s="1" t="s">
        <v>213</v>
      </c>
      <c r="BO154" s="1">
        <v>100</v>
      </c>
      <c r="BP154" s="1" t="s">
        <v>204</v>
      </c>
      <c r="BR154" s="1" t="str">
        <f>"0934123294"</f>
        <v>0934123294</v>
      </c>
      <c r="BT154" s="1" t="s">
        <v>2814</v>
      </c>
      <c r="BX154" s="1">
        <v>63</v>
      </c>
      <c r="BY154" s="1">
        <v>63</v>
      </c>
      <c r="BZ154" s="1">
        <v>86</v>
      </c>
      <c r="CB154" s="1" t="str">
        <f t="shared" ref="CB154:CC154" si="119">""</f>
        <v/>
      </c>
      <c r="CC154" s="1" t="str">
        <f t="shared" si="119"/>
        <v/>
      </c>
      <c r="CD154" s="1">
        <v>17</v>
      </c>
      <c r="CE154" s="1">
        <v>9</v>
      </c>
      <c r="CG154" s="1" t="s">
        <v>344</v>
      </c>
      <c r="CH154" s="1" t="s">
        <v>219</v>
      </c>
      <c r="CI154" s="1" t="s">
        <v>229</v>
      </c>
      <c r="CJ154" s="1" t="s">
        <v>252</v>
      </c>
      <c r="CK154" s="1" t="s">
        <v>757</v>
      </c>
      <c r="CL154" s="1" t="s">
        <v>277</v>
      </c>
      <c r="CM154" s="1" t="s">
        <v>229</v>
      </c>
      <c r="CO154" s="1" t="s">
        <v>465</v>
      </c>
      <c r="CP154" s="1" t="s">
        <v>219</v>
      </c>
      <c r="CQ154" s="1" t="s">
        <v>229</v>
      </c>
      <c r="CR154" s="1" t="s">
        <v>252</v>
      </c>
      <c r="CS154" s="1" t="s">
        <v>317</v>
      </c>
      <c r="CT154" s="1" t="s">
        <v>277</v>
      </c>
      <c r="CU154" s="1" t="s">
        <v>229</v>
      </c>
      <c r="CX154" s="1" t="s">
        <v>224</v>
      </c>
      <c r="DB154" s="1" t="s">
        <v>224</v>
      </c>
      <c r="DE154" s="1" t="s">
        <v>346</v>
      </c>
      <c r="DF154" s="1" t="s">
        <v>219</v>
      </c>
      <c r="DG154" s="1" t="s">
        <v>226</v>
      </c>
      <c r="DJ154" s="1" t="s">
        <v>224</v>
      </c>
      <c r="DM154" s="1" t="s">
        <v>1548</v>
      </c>
      <c r="DN154" s="1" t="s">
        <v>464</v>
      </c>
      <c r="DO154" s="1" t="s">
        <v>709</v>
      </c>
      <c r="DR154" s="1" t="s">
        <v>316</v>
      </c>
      <c r="DS154" s="1" t="s">
        <v>219</v>
      </c>
      <c r="DT154" s="1" t="s">
        <v>226</v>
      </c>
      <c r="DV154" s="1" t="s">
        <v>1533</v>
      </c>
      <c r="DW154" s="1" t="s">
        <v>277</v>
      </c>
      <c r="DX154" s="1" t="s">
        <v>229</v>
      </c>
      <c r="DZ154" s="1" t="s">
        <v>910</v>
      </c>
      <c r="EA154" s="1" t="s">
        <v>219</v>
      </c>
      <c r="EB154" s="1" t="s">
        <v>229</v>
      </c>
      <c r="EE154" s="1" t="s">
        <v>230</v>
      </c>
      <c r="EI154" s="1" t="s">
        <v>230</v>
      </c>
      <c r="EL154" s="1" t="s">
        <v>382</v>
      </c>
      <c r="EM154" s="1" t="s">
        <v>232</v>
      </c>
      <c r="EN154" s="1" t="s">
        <v>282</v>
      </c>
      <c r="EO154" s="1" t="s">
        <v>234</v>
      </c>
      <c r="ER154" s="1" t="s">
        <v>210</v>
      </c>
      <c r="ES154" s="1" t="s">
        <v>493</v>
      </c>
      <c r="ET154" s="1" t="s">
        <v>1752</v>
      </c>
      <c r="EV154" s="1" t="s">
        <v>240</v>
      </c>
      <c r="EW154" s="1" t="s">
        <v>353</v>
      </c>
      <c r="EZ154" s="1" t="s">
        <v>2815</v>
      </c>
      <c r="FD154" s="1" t="s">
        <v>246</v>
      </c>
      <c r="FE154" s="1" t="s">
        <v>386</v>
      </c>
      <c r="FF154" s="1" t="s">
        <v>387</v>
      </c>
      <c r="FH154" s="1" t="s">
        <v>550</v>
      </c>
      <c r="FJ154" s="1" t="s">
        <v>518</v>
      </c>
      <c r="FL154" s="1" t="s">
        <v>358</v>
      </c>
      <c r="FM154" s="1" t="s">
        <v>252</v>
      </c>
      <c r="FN154" s="1" t="s">
        <v>213</v>
      </c>
      <c r="FO154" s="1" t="s">
        <v>213</v>
      </c>
      <c r="FQ154" s="1" t="s">
        <v>293</v>
      </c>
      <c r="FR154" s="1" t="s">
        <v>210</v>
      </c>
      <c r="FS154" s="1" t="s">
        <v>552</v>
      </c>
      <c r="FT154" s="1" t="s">
        <v>295</v>
      </c>
      <c r="FU154" s="1" t="s">
        <v>204</v>
      </c>
      <c r="FW154" s="1" t="s">
        <v>2816</v>
      </c>
      <c r="FX154" s="1">
        <v>23982</v>
      </c>
      <c r="FY154" s="1" t="s">
        <v>2817</v>
      </c>
      <c r="FZ154" s="1" t="s">
        <v>2818</v>
      </c>
      <c r="GA154" s="1">
        <v>214295</v>
      </c>
      <c r="GB154" s="1" t="s">
        <v>2817</v>
      </c>
      <c r="GE154" s="1" t="s">
        <v>480</v>
      </c>
      <c r="GI154" s="1" t="s">
        <v>204</v>
      </c>
      <c r="GJ154" s="1" t="s">
        <v>260</v>
      </c>
      <c r="GK154" s="1" t="s">
        <v>210</v>
      </c>
      <c r="GL154" s="2">
        <v>41989</v>
      </c>
      <c r="GM154" s="1" t="s">
        <v>2819</v>
      </c>
    </row>
    <row r="155" spans="1:195">
      <c r="A155" s="1">
        <v>115000</v>
      </c>
      <c r="B155" s="1" t="s">
        <v>195</v>
      </c>
      <c r="C155" s="1" t="str">
        <f>"08768538"</f>
        <v>08768538</v>
      </c>
      <c r="D155" s="1" t="s">
        <v>196</v>
      </c>
      <c r="F155" s="1" t="str">
        <f>"540"</f>
        <v>540</v>
      </c>
      <c r="G155" s="2">
        <v>41947</v>
      </c>
      <c r="H155" s="1">
        <v>115000</v>
      </c>
      <c r="I155" s="1">
        <v>115000</v>
      </c>
      <c r="J155" s="1">
        <v>115000</v>
      </c>
      <c r="K155" s="2">
        <v>41947</v>
      </c>
      <c r="L155" s="1">
        <v>9</v>
      </c>
      <c r="M155" s="2">
        <v>41955</v>
      </c>
      <c r="N155" s="1">
        <v>9</v>
      </c>
      <c r="O155" s="2">
        <v>41955</v>
      </c>
      <c r="P155" s="1">
        <v>23099</v>
      </c>
      <c r="Q155" s="1" t="s">
        <v>197</v>
      </c>
      <c r="R155" s="2">
        <v>41984</v>
      </c>
      <c r="S155" s="1">
        <v>228159</v>
      </c>
      <c r="U155" s="1">
        <v>1233</v>
      </c>
      <c r="V155" s="1" t="s">
        <v>2820</v>
      </c>
      <c r="W155" s="1" t="s">
        <v>1056</v>
      </c>
      <c r="X155" s="1">
        <v>201</v>
      </c>
      <c r="Y155" s="1">
        <v>6</v>
      </c>
      <c r="Z155" s="1" t="s">
        <v>249</v>
      </c>
      <c r="AA155" s="1" t="s">
        <v>921</v>
      </c>
      <c r="AB155" s="1">
        <v>60563</v>
      </c>
      <c r="AE155" s="1" t="s">
        <v>2821</v>
      </c>
      <c r="AF155" s="1">
        <v>1983</v>
      </c>
      <c r="AG155" s="1" t="s">
        <v>204</v>
      </c>
      <c r="AH155" s="1" t="s">
        <v>924</v>
      </c>
      <c r="AI155" s="1" t="s">
        <v>206</v>
      </c>
      <c r="AJ155" s="1" t="s">
        <v>924</v>
      </c>
      <c r="AL155" s="1">
        <v>5</v>
      </c>
      <c r="AM155" s="1">
        <v>2</v>
      </c>
      <c r="AN155" s="1">
        <v>2</v>
      </c>
      <c r="AO155" s="1">
        <v>0</v>
      </c>
      <c r="AP155" s="1" t="s">
        <v>209</v>
      </c>
      <c r="AR155" s="1" t="s">
        <v>210</v>
      </c>
      <c r="AS155" s="1" t="s">
        <v>204</v>
      </c>
      <c r="AT155" s="1" t="s">
        <v>211</v>
      </c>
      <c r="AU155" s="1">
        <v>1</v>
      </c>
      <c r="AW155" s="1" t="s">
        <v>204</v>
      </c>
      <c r="AX155" s="1" t="s">
        <v>212</v>
      </c>
      <c r="AZ155" s="1">
        <v>1677</v>
      </c>
      <c r="BA155" s="1">
        <v>2013</v>
      </c>
      <c r="BB155" s="1" t="s">
        <v>405</v>
      </c>
      <c r="BE155" s="1">
        <v>0</v>
      </c>
      <c r="BF155" s="1">
        <v>2</v>
      </c>
      <c r="BG155" s="1">
        <v>0</v>
      </c>
      <c r="BL155" s="1">
        <v>225</v>
      </c>
      <c r="BM155" s="1" t="s">
        <v>204</v>
      </c>
      <c r="BN155" s="1" t="s">
        <v>213</v>
      </c>
      <c r="BO155" s="1">
        <v>999</v>
      </c>
      <c r="BP155" s="1" t="s">
        <v>204</v>
      </c>
      <c r="BR155" s="1" t="str">
        <f>"0714222016"</f>
        <v>0714222016</v>
      </c>
      <c r="BT155" s="1" t="s">
        <v>2822</v>
      </c>
      <c r="BU155" s="1" t="s">
        <v>2823</v>
      </c>
      <c r="BV155" s="1" t="s">
        <v>2824</v>
      </c>
      <c r="BW155" s="1" t="s">
        <v>2825</v>
      </c>
      <c r="BX155" s="1">
        <v>203</v>
      </c>
      <c r="BY155" s="1">
        <v>203</v>
      </c>
      <c r="BZ155" s="1">
        <v>203</v>
      </c>
      <c r="CB155" s="1" t="str">
        <f t="shared" ref="CB155:CC155" si="120">"0"</f>
        <v>0</v>
      </c>
      <c r="CC155" s="1" t="str">
        <f t="shared" si="120"/>
        <v>0</v>
      </c>
      <c r="CD155" s="1">
        <v>28</v>
      </c>
      <c r="CE155" s="1">
        <v>6</v>
      </c>
      <c r="CG155" s="1" t="s">
        <v>759</v>
      </c>
      <c r="CH155" s="1" t="s">
        <v>277</v>
      </c>
      <c r="CI155" s="1" t="s">
        <v>438</v>
      </c>
      <c r="CK155" s="1" t="s">
        <v>280</v>
      </c>
      <c r="CL155" s="1" t="s">
        <v>277</v>
      </c>
      <c r="CM155" s="1" t="s">
        <v>220</v>
      </c>
      <c r="CO155" s="1" t="s">
        <v>318</v>
      </c>
      <c r="CP155" s="1" t="s">
        <v>277</v>
      </c>
      <c r="CQ155" s="1" t="s">
        <v>438</v>
      </c>
      <c r="CS155" s="1" t="s">
        <v>1854</v>
      </c>
      <c r="CT155" s="1" t="s">
        <v>277</v>
      </c>
      <c r="CU155" s="1" t="s">
        <v>220</v>
      </c>
      <c r="CX155" s="1" t="s">
        <v>224</v>
      </c>
      <c r="DB155" s="1" t="s">
        <v>224</v>
      </c>
      <c r="DE155" s="1" t="s">
        <v>408</v>
      </c>
      <c r="DF155" s="1" t="s">
        <v>277</v>
      </c>
      <c r="DG155" s="1" t="s">
        <v>226</v>
      </c>
      <c r="DJ155" s="1" t="s">
        <v>224</v>
      </c>
      <c r="DS155" s="1" t="s">
        <v>230</v>
      </c>
      <c r="DW155" s="1" t="s">
        <v>230</v>
      </c>
      <c r="EA155" s="1" t="s">
        <v>230</v>
      </c>
      <c r="EE155" s="1" t="s">
        <v>230</v>
      </c>
      <c r="EI155" s="1" t="s">
        <v>230</v>
      </c>
      <c r="EL155" s="1" t="s">
        <v>231</v>
      </c>
      <c r="EM155" s="1" t="s">
        <v>232</v>
      </c>
      <c r="EN155" s="1" t="s">
        <v>282</v>
      </c>
      <c r="EO155" s="1" t="s">
        <v>234</v>
      </c>
      <c r="EQ155" s="1" t="s">
        <v>1094</v>
      </c>
      <c r="ER155" s="1" t="s">
        <v>210</v>
      </c>
      <c r="EV155" s="1" t="s">
        <v>324</v>
      </c>
      <c r="EW155" s="1" t="s">
        <v>937</v>
      </c>
      <c r="EZ155" s="1" t="s">
        <v>287</v>
      </c>
      <c r="FA155" s="1" t="s">
        <v>2826</v>
      </c>
      <c r="FD155" s="1" t="s">
        <v>246</v>
      </c>
      <c r="FE155" s="1" t="s">
        <v>549</v>
      </c>
      <c r="FF155" s="1" t="s">
        <v>248</v>
      </c>
      <c r="FH155" s="1" t="s">
        <v>249</v>
      </c>
      <c r="FI155" s="1" t="s">
        <v>2827</v>
      </c>
      <c r="FL155" s="1" t="s">
        <v>358</v>
      </c>
      <c r="FM155" s="1" t="s">
        <v>252</v>
      </c>
      <c r="FN155" s="1" t="s">
        <v>213</v>
      </c>
      <c r="FO155" s="1" t="s">
        <v>213</v>
      </c>
      <c r="FQ155" s="1" t="s">
        <v>1518</v>
      </c>
      <c r="FR155" s="1" t="s">
        <v>210</v>
      </c>
      <c r="FS155" s="1" t="s">
        <v>2828</v>
      </c>
      <c r="FT155" s="1" t="s">
        <v>362</v>
      </c>
      <c r="FU155" s="1" t="s">
        <v>204</v>
      </c>
      <c r="FV155" s="1" t="s">
        <v>2829</v>
      </c>
      <c r="FW155" s="1" t="s">
        <v>1521</v>
      </c>
      <c r="FX155" s="1">
        <v>16645</v>
      </c>
      <c r="FY155" s="1" t="s">
        <v>1522</v>
      </c>
      <c r="FZ155" s="1" t="s">
        <v>1523</v>
      </c>
      <c r="GA155" s="1">
        <v>144314</v>
      </c>
      <c r="GB155" s="1" t="s">
        <v>1522</v>
      </c>
      <c r="GD155" s="1">
        <v>144314</v>
      </c>
      <c r="GE155" s="1" t="s">
        <v>210</v>
      </c>
      <c r="GI155" s="1" t="s">
        <v>204</v>
      </c>
      <c r="GJ155" s="1" t="s">
        <v>300</v>
      </c>
      <c r="GK155" s="1" t="s">
        <v>210</v>
      </c>
      <c r="GL155" s="2">
        <v>41985</v>
      </c>
      <c r="GM155" s="1" t="s">
        <v>2830</v>
      </c>
    </row>
    <row r="156" spans="1:195">
      <c r="A156" s="1">
        <v>71900</v>
      </c>
      <c r="B156" s="1" t="s">
        <v>195</v>
      </c>
      <c r="C156" s="1" t="str">
        <f>"08768946"</f>
        <v>08768946</v>
      </c>
      <c r="D156" s="1" t="s">
        <v>196</v>
      </c>
      <c r="F156" s="1" t="str">
        <f>"139"</f>
        <v>139</v>
      </c>
      <c r="G156" s="2">
        <v>41947</v>
      </c>
      <c r="H156" s="1">
        <v>71900</v>
      </c>
      <c r="I156" s="1">
        <v>71900</v>
      </c>
      <c r="J156" s="1">
        <v>71900</v>
      </c>
      <c r="K156" s="2">
        <v>41946</v>
      </c>
      <c r="L156" s="1">
        <v>115</v>
      </c>
      <c r="M156" s="2">
        <v>42060</v>
      </c>
      <c r="N156" s="1">
        <v>115</v>
      </c>
      <c r="O156" s="2">
        <v>42060</v>
      </c>
      <c r="P156" s="1">
        <v>8094</v>
      </c>
      <c r="Q156" s="1" t="s">
        <v>302</v>
      </c>
      <c r="R156" s="2">
        <v>42089</v>
      </c>
      <c r="S156" s="1">
        <v>232535</v>
      </c>
      <c r="T156" s="1">
        <v>762.42</v>
      </c>
      <c r="U156" s="1">
        <v>182</v>
      </c>
      <c r="V156" s="1" t="s">
        <v>2831</v>
      </c>
      <c r="W156" s="1" t="s">
        <v>264</v>
      </c>
      <c r="X156" s="1">
        <v>101</v>
      </c>
      <c r="Y156" s="1">
        <v>6</v>
      </c>
      <c r="Z156" s="1" t="s">
        <v>200</v>
      </c>
      <c r="AA156" s="1" t="s">
        <v>1732</v>
      </c>
      <c r="AB156" s="1">
        <v>60139</v>
      </c>
      <c r="AE156" s="1" t="s">
        <v>2832</v>
      </c>
      <c r="AF156" s="1">
        <v>1980</v>
      </c>
      <c r="AG156" s="1" t="s">
        <v>204</v>
      </c>
      <c r="AH156" s="1" t="s">
        <v>1735</v>
      </c>
      <c r="AI156" s="1" t="s">
        <v>206</v>
      </c>
      <c r="AJ156" s="1" t="s">
        <v>269</v>
      </c>
      <c r="AL156" s="1">
        <v>5</v>
      </c>
      <c r="AM156" s="1">
        <v>2</v>
      </c>
      <c r="AN156" s="1">
        <v>2</v>
      </c>
      <c r="AO156" s="1">
        <v>0</v>
      </c>
      <c r="AP156" s="1" t="s">
        <v>209</v>
      </c>
      <c r="AR156" s="1" t="s">
        <v>210</v>
      </c>
      <c r="AS156" s="1" t="s">
        <v>204</v>
      </c>
      <c r="AT156" s="1" t="s">
        <v>271</v>
      </c>
      <c r="AV156" s="1">
        <v>1</v>
      </c>
      <c r="AW156" s="1" t="s">
        <v>204</v>
      </c>
      <c r="AX156" s="1" t="s">
        <v>212</v>
      </c>
      <c r="AZ156" s="1">
        <v>2039</v>
      </c>
      <c r="BA156" s="1">
        <v>2013</v>
      </c>
      <c r="BB156" s="1" t="s">
        <v>210</v>
      </c>
      <c r="BE156" s="1">
        <v>988</v>
      </c>
      <c r="BF156" s="1">
        <v>1</v>
      </c>
      <c r="BG156" s="1">
        <v>5</v>
      </c>
      <c r="BL156" s="1">
        <v>209</v>
      </c>
      <c r="BM156" s="1" t="s">
        <v>204</v>
      </c>
      <c r="BN156" s="1" t="s">
        <v>213</v>
      </c>
      <c r="BO156" s="1">
        <v>20</v>
      </c>
      <c r="BP156" s="1" t="s">
        <v>204</v>
      </c>
      <c r="BR156" s="1" t="str">
        <f>"0222113067"</f>
        <v>0222113067</v>
      </c>
      <c r="BT156" s="1" t="s">
        <v>2833</v>
      </c>
      <c r="BX156" s="1">
        <v>87</v>
      </c>
      <c r="BY156" s="1">
        <v>15</v>
      </c>
      <c r="BZ156" s="1">
        <v>87</v>
      </c>
      <c r="CB156" s="1" t="str">
        <f>"4"</f>
        <v>4</v>
      </c>
      <c r="CC156" s="1" t="str">
        <f t="shared" ref="CC156:CC157" si="121">"0"</f>
        <v>0</v>
      </c>
      <c r="CD156" s="1">
        <v>23</v>
      </c>
      <c r="CE156" s="1">
        <v>0</v>
      </c>
      <c r="CG156" s="1" t="s">
        <v>729</v>
      </c>
      <c r="CH156" s="1" t="s">
        <v>219</v>
      </c>
      <c r="CI156" s="1" t="s">
        <v>220</v>
      </c>
      <c r="CK156" s="1" t="s">
        <v>539</v>
      </c>
      <c r="CL156" s="1" t="s">
        <v>219</v>
      </c>
      <c r="CM156" s="1" t="s">
        <v>220</v>
      </c>
      <c r="CO156" s="1" t="s">
        <v>346</v>
      </c>
      <c r="CP156" s="1" t="s">
        <v>219</v>
      </c>
      <c r="CQ156" s="1" t="s">
        <v>220</v>
      </c>
      <c r="CS156" s="1" t="s">
        <v>465</v>
      </c>
      <c r="CT156" s="1" t="s">
        <v>219</v>
      </c>
      <c r="CU156" s="1" t="s">
        <v>220</v>
      </c>
      <c r="CX156" s="1" t="s">
        <v>224</v>
      </c>
      <c r="DB156" s="1" t="s">
        <v>224</v>
      </c>
      <c r="DE156" s="1" t="s">
        <v>346</v>
      </c>
      <c r="DF156" s="1" t="s">
        <v>219</v>
      </c>
      <c r="DG156" s="1" t="s">
        <v>342</v>
      </c>
      <c r="DJ156" s="1" t="s">
        <v>224</v>
      </c>
      <c r="DS156" s="1" t="s">
        <v>230</v>
      </c>
      <c r="DW156" s="1" t="s">
        <v>230</v>
      </c>
      <c r="EA156" s="1" t="s">
        <v>230</v>
      </c>
      <c r="EE156" s="1" t="s">
        <v>230</v>
      </c>
      <c r="EI156" s="1" t="s">
        <v>230</v>
      </c>
      <c r="EL156" s="1" t="s">
        <v>231</v>
      </c>
      <c r="EM156" s="1" t="s">
        <v>730</v>
      </c>
      <c r="EN156" s="1" t="s">
        <v>1158</v>
      </c>
      <c r="EO156" s="1" t="s">
        <v>2834</v>
      </c>
      <c r="ER156" s="1" t="s">
        <v>210</v>
      </c>
      <c r="ES156" s="1" t="s">
        <v>322</v>
      </c>
      <c r="EW156" s="1" t="s">
        <v>1920</v>
      </c>
      <c r="EZ156" s="1" t="s">
        <v>287</v>
      </c>
      <c r="FD156" s="1" t="s">
        <v>246</v>
      </c>
      <c r="FE156" s="1" t="s">
        <v>247</v>
      </c>
      <c r="FF156" s="1" t="s">
        <v>248</v>
      </c>
      <c r="FH156" s="1" t="s">
        <v>249</v>
      </c>
      <c r="FK156" s="1" t="s">
        <v>891</v>
      </c>
      <c r="FL156" s="1" t="s">
        <v>292</v>
      </c>
      <c r="FM156" s="1" t="s">
        <v>252</v>
      </c>
      <c r="FN156" s="1" t="s">
        <v>213</v>
      </c>
      <c r="FO156" s="1" t="s">
        <v>213</v>
      </c>
      <c r="FQ156" s="1" t="s">
        <v>689</v>
      </c>
      <c r="FR156" s="1" t="s">
        <v>210</v>
      </c>
      <c r="FS156" s="1" t="s">
        <v>2835</v>
      </c>
      <c r="FT156" s="1" t="s">
        <v>1828</v>
      </c>
      <c r="FU156" s="1" t="s">
        <v>204</v>
      </c>
      <c r="FW156" s="1" t="s">
        <v>1097</v>
      </c>
      <c r="FX156" s="1">
        <v>8094</v>
      </c>
      <c r="FY156" s="1" t="s">
        <v>1829</v>
      </c>
      <c r="FZ156" s="1" t="s">
        <v>1830</v>
      </c>
      <c r="GA156" s="1">
        <v>28736</v>
      </c>
      <c r="GB156" s="1" t="s">
        <v>1831</v>
      </c>
      <c r="GE156" s="1" t="s">
        <v>210</v>
      </c>
      <c r="GH156" s="1" t="s">
        <v>421</v>
      </c>
      <c r="GI156" s="1" t="s">
        <v>213</v>
      </c>
      <c r="GJ156" s="1" t="s">
        <v>260</v>
      </c>
      <c r="GK156" s="1" t="s">
        <v>210</v>
      </c>
      <c r="GL156" s="2">
        <v>42089</v>
      </c>
      <c r="GM156" s="1" t="s">
        <v>2836</v>
      </c>
    </row>
    <row r="157" spans="1:195">
      <c r="A157" s="1">
        <v>40000</v>
      </c>
      <c r="B157" s="1" t="s">
        <v>195</v>
      </c>
      <c r="C157" s="1" t="str">
        <f>"08769985"</f>
        <v>08769985</v>
      </c>
      <c r="D157" s="1" t="s">
        <v>196</v>
      </c>
      <c r="F157" s="1" t="str">
        <f>"123"</f>
        <v>123</v>
      </c>
      <c r="G157" s="2">
        <v>41949</v>
      </c>
      <c r="H157" s="1">
        <v>40000</v>
      </c>
      <c r="I157" s="1">
        <v>40000</v>
      </c>
      <c r="J157" s="1">
        <v>40000</v>
      </c>
      <c r="K157" s="2">
        <v>41948</v>
      </c>
      <c r="L157" s="1">
        <v>71</v>
      </c>
      <c r="M157" s="2">
        <v>42018</v>
      </c>
      <c r="N157" s="1">
        <v>71</v>
      </c>
      <c r="O157" s="2">
        <v>42018</v>
      </c>
      <c r="P157" s="1">
        <v>8889</v>
      </c>
      <c r="Q157" s="1" t="s">
        <v>302</v>
      </c>
      <c r="R157" s="2">
        <v>42045</v>
      </c>
      <c r="S157" s="1">
        <v>28121</v>
      </c>
      <c r="U157" s="1">
        <v>1601</v>
      </c>
      <c r="V157" s="1" t="s">
        <v>2837</v>
      </c>
      <c r="W157" s="1" t="s">
        <v>449</v>
      </c>
      <c r="X157" s="1">
        <v>1601</v>
      </c>
      <c r="Y157" s="1">
        <v>8</v>
      </c>
      <c r="Z157" s="1" t="s">
        <v>370</v>
      </c>
      <c r="AA157" s="1" t="s">
        <v>1173</v>
      </c>
      <c r="AB157" s="1">
        <v>60120</v>
      </c>
      <c r="AD157" s="1" t="s">
        <v>2838</v>
      </c>
      <c r="AE157" s="1" t="s">
        <v>2839</v>
      </c>
      <c r="AF157" s="1">
        <v>1986</v>
      </c>
      <c r="AG157" s="1" t="s">
        <v>204</v>
      </c>
      <c r="AH157" s="1" t="s">
        <v>1175</v>
      </c>
      <c r="AI157" s="1" t="s">
        <v>310</v>
      </c>
      <c r="AJ157" s="1" t="s">
        <v>374</v>
      </c>
      <c r="AL157" s="1">
        <v>4</v>
      </c>
      <c r="AM157" s="1">
        <v>2</v>
      </c>
      <c r="AN157" s="1">
        <v>1</v>
      </c>
      <c r="AO157" s="1">
        <v>1</v>
      </c>
      <c r="AP157" s="1" t="s">
        <v>210</v>
      </c>
      <c r="AQ157" s="1">
        <v>1</v>
      </c>
      <c r="AR157" s="1" t="s">
        <v>209</v>
      </c>
      <c r="AS157" s="1" t="s">
        <v>204</v>
      </c>
      <c r="AT157" s="1" t="s">
        <v>271</v>
      </c>
      <c r="AV157" s="1">
        <v>2</v>
      </c>
      <c r="AW157" s="1" t="s">
        <v>204</v>
      </c>
      <c r="AX157" s="1" t="s">
        <v>212</v>
      </c>
      <c r="AZ157" s="5">
        <v>2967.61</v>
      </c>
      <c r="BA157" s="1">
        <v>2013</v>
      </c>
      <c r="BB157" s="1" t="s">
        <v>210</v>
      </c>
      <c r="BE157" s="1">
        <v>1000</v>
      </c>
      <c r="BF157" s="1">
        <v>1</v>
      </c>
      <c r="BG157" s="1">
        <v>0</v>
      </c>
      <c r="BL157" s="1">
        <v>150</v>
      </c>
      <c r="BM157" s="1" t="s">
        <v>204</v>
      </c>
      <c r="BN157" s="1" t="s">
        <v>213</v>
      </c>
      <c r="BO157" s="1">
        <v>99</v>
      </c>
      <c r="BP157" s="1" t="s">
        <v>204</v>
      </c>
      <c r="BR157" s="1" t="str">
        <f>"06074022120000"</f>
        <v>06074022120000</v>
      </c>
      <c r="BT157" s="1" t="s">
        <v>2840</v>
      </c>
      <c r="BX157" s="1">
        <v>46</v>
      </c>
      <c r="BY157" s="1">
        <v>46</v>
      </c>
      <c r="BZ157" s="1">
        <v>46</v>
      </c>
      <c r="CB157" s="1" t="str">
        <f>"12"</f>
        <v>12</v>
      </c>
      <c r="CC157" s="1" t="str">
        <f t="shared" si="121"/>
        <v>0</v>
      </c>
      <c r="CD157" s="1">
        <v>32</v>
      </c>
      <c r="CE157" s="1">
        <v>0</v>
      </c>
      <c r="CG157" s="1" t="s">
        <v>314</v>
      </c>
      <c r="CH157" s="1" t="s">
        <v>219</v>
      </c>
      <c r="CK157" s="1" t="s">
        <v>378</v>
      </c>
      <c r="CL157" s="1" t="s">
        <v>277</v>
      </c>
      <c r="CP157" s="1" t="s">
        <v>224</v>
      </c>
      <c r="CS157" s="1" t="s">
        <v>2841</v>
      </c>
      <c r="CT157" s="1" t="s">
        <v>277</v>
      </c>
      <c r="CX157" s="1" t="s">
        <v>224</v>
      </c>
      <c r="DB157" s="1" t="s">
        <v>224</v>
      </c>
      <c r="DE157" s="1" t="s">
        <v>2842</v>
      </c>
      <c r="DF157" s="1" t="s">
        <v>219</v>
      </c>
      <c r="DJ157" s="1" t="s">
        <v>224</v>
      </c>
      <c r="DS157" s="1" t="s">
        <v>230</v>
      </c>
      <c r="DW157" s="1" t="s">
        <v>230</v>
      </c>
      <c r="EA157" s="1" t="s">
        <v>230</v>
      </c>
      <c r="EE157" s="1" t="s">
        <v>230</v>
      </c>
      <c r="EI157" s="1" t="s">
        <v>230</v>
      </c>
      <c r="EL157" s="1" t="s">
        <v>542</v>
      </c>
      <c r="EM157" s="1" t="s">
        <v>319</v>
      </c>
      <c r="EN157" s="1" t="s">
        <v>210</v>
      </c>
      <c r="EO157" s="1" t="s">
        <v>234</v>
      </c>
      <c r="EP157" s="1" t="s">
        <v>650</v>
      </c>
      <c r="ER157" s="1" t="s">
        <v>1249</v>
      </c>
      <c r="EW157" s="1" t="s">
        <v>1426</v>
      </c>
      <c r="EY157" s="1" t="s">
        <v>242</v>
      </c>
      <c r="EZ157" s="1" t="s">
        <v>287</v>
      </c>
      <c r="FA157" s="1" t="s">
        <v>2843</v>
      </c>
      <c r="FD157" s="1" t="s">
        <v>246</v>
      </c>
      <c r="FE157" s="1" t="s">
        <v>247</v>
      </c>
      <c r="FF157" s="1" t="s">
        <v>248</v>
      </c>
      <c r="FG157" s="1" t="s">
        <v>939</v>
      </c>
      <c r="FH157" s="1" t="s">
        <v>550</v>
      </c>
      <c r="FK157" s="1" t="s">
        <v>291</v>
      </c>
      <c r="FL157" s="1" t="s">
        <v>414</v>
      </c>
      <c r="FM157" s="1" t="s">
        <v>252</v>
      </c>
      <c r="FN157" s="1" t="s">
        <v>213</v>
      </c>
      <c r="FO157" s="1" t="s">
        <v>213</v>
      </c>
      <c r="FQ157" s="1" t="s">
        <v>582</v>
      </c>
      <c r="FR157" s="1" t="s">
        <v>210</v>
      </c>
      <c r="FS157" s="1" t="s">
        <v>2844</v>
      </c>
      <c r="FT157" s="1" t="s">
        <v>295</v>
      </c>
      <c r="FU157" s="1" t="s">
        <v>204</v>
      </c>
      <c r="FW157" s="1" t="s">
        <v>2845</v>
      </c>
      <c r="FX157" s="1">
        <v>5293</v>
      </c>
      <c r="FY157" s="1" t="s">
        <v>2846</v>
      </c>
      <c r="FZ157" s="1" t="s">
        <v>2847</v>
      </c>
      <c r="GA157" s="1">
        <v>53957</v>
      </c>
      <c r="GE157" s="1" t="s">
        <v>658</v>
      </c>
      <c r="GI157" s="1" t="s">
        <v>213</v>
      </c>
      <c r="GJ157" s="1" t="s">
        <v>260</v>
      </c>
      <c r="GK157" s="1" t="s">
        <v>210</v>
      </c>
      <c r="GL157" s="2">
        <v>42083</v>
      </c>
      <c r="GM157" s="1" t="s">
        <v>2848</v>
      </c>
    </row>
    <row r="158" spans="1:195">
      <c r="A158" s="1">
        <v>72000</v>
      </c>
      <c r="B158" s="1" t="s">
        <v>195</v>
      </c>
      <c r="C158" s="1" t="str">
        <f>"08768796"</f>
        <v>08768796</v>
      </c>
      <c r="D158" s="1" t="s">
        <v>196</v>
      </c>
      <c r="F158" s="1" t="str">
        <f>"517"</f>
        <v>517</v>
      </c>
      <c r="G158" s="2">
        <v>41947</v>
      </c>
      <c r="H158" s="1">
        <v>65000</v>
      </c>
      <c r="I158" s="1">
        <v>65000</v>
      </c>
      <c r="J158" s="1">
        <v>72000</v>
      </c>
      <c r="K158" s="2">
        <v>41947</v>
      </c>
      <c r="L158" s="1">
        <v>3</v>
      </c>
      <c r="M158" s="2">
        <v>41949</v>
      </c>
      <c r="N158" s="1">
        <v>3</v>
      </c>
      <c r="O158" s="2">
        <v>41949</v>
      </c>
      <c r="P158" s="1">
        <v>23076</v>
      </c>
      <c r="Q158" s="1" t="s">
        <v>302</v>
      </c>
      <c r="R158" s="2">
        <v>42052</v>
      </c>
      <c r="S158" s="1">
        <v>236101</v>
      </c>
      <c r="U158" s="1">
        <v>6818</v>
      </c>
      <c r="V158" s="1" t="s">
        <v>2849</v>
      </c>
      <c r="W158" s="1" t="s">
        <v>264</v>
      </c>
      <c r="X158" s="1">
        <v>7</v>
      </c>
      <c r="Y158" s="1">
        <v>8</v>
      </c>
      <c r="Z158" s="1" t="s">
        <v>370</v>
      </c>
      <c r="AA158" s="1" t="s">
        <v>2850</v>
      </c>
      <c r="AB158" s="1">
        <v>60517</v>
      </c>
      <c r="AD158" s="1" t="s">
        <v>2851</v>
      </c>
      <c r="AE158" s="1" t="s">
        <v>2852</v>
      </c>
      <c r="AF158" s="1">
        <v>1972</v>
      </c>
      <c r="AG158" s="1" t="s">
        <v>213</v>
      </c>
      <c r="AH158" s="1" t="s">
        <v>2853</v>
      </c>
      <c r="AI158" s="1" t="s">
        <v>206</v>
      </c>
      <c r="AJ158" s="1" t="s">
        <v>925</v>
      </c>
      <c r="AL158" s="1">
        <v>5</v>
      </c>
      <c r="AM158" s="1">
        <v>2</v>
      </c>
      <c r="AN158" s="1">
        <v>2</v>
      </c>
      <c r="AO158" s="1">
        <v>0</v>
      </c>
      <c r="AP158" s="1" t="s">
        <v>209</v>
      </c>
      <c r="AR158" s="1" t="s">
        <v>210</v>
      </c>
      <c r="AT158" s="1" t="s">
        <v>271</v>
      </c>
      <c r="AV158" s="1">
        <v>2</v>
      </c>
      <c r="AW158" s="1" t="s">
        <v>204</v>
      </c>
      <c r="AX158" s="1" t="s">
        <v>212</v>
      </c>
      <c r="AZ158" s="1">
        <v>2179</v>
      </c>
      <c r="BA158" s="1">
        <v>2013</v>
      </c>
      <c r="BE158" s="1">
        <v>1100</v>
      </c>
      <c r="BF158" s="1">
        <v>2</v>
      </c>
      <c r="BG158" s="1">
        <v>10</v>
      </c>
      <c r="BL158" s="1">
        <v>286</v>
      </c>
      <c r="BM158" s="1" t="s">
        <v>204</v>
      </c>
      <c r="BN158" s="1" t="s">
        <v>213</v>
      </c>
      <c r="BO158" s="1">
        <v>30</v>
      </c>
      <c r="BP158" s="1" t="s">
        <v>204</v>
      </c>
      <c r="BR158" s="1" t="str">
        <f>"0823401015"</f>
        <v>0823401015</v>
      </c>
      <c r="BT158" s="1" t="s">
        <v>2854</v>
      </c>
      <c r="BU158" s="1" t="s">
        <v>2855</v>
      </c>
      <c r="BV158" s="1" t="s">
        <v>2856</v>
      </c>
      <c r="BW158" s="1" t="s">
        <v>2762</v>
      </c>
      <c r="BX158" s="1">
        <v>68</v>
      </c>
      <c r="BY158" s="1">
        <v>68</v>
      </c>
      <c r="BZ158" s="1">
        <v>99</v>
      </c>
      <c r="CB158" s="1" t="str">
        <f t="shared" ref="CB158:CC158" si="122">""</f>
        <v/>
      </c>
      <c r="CC158" s="1" t="str">
        <f t="shared" si="122"/>
        <v/>
      </c>
      <c r="CG158" s="1" t="s">
        <v>218</v>
      </c>
      <c r="CH158" s="1" t="s">
        <v>219</v>
      </c>
      <c r="CI158" s="1" t="s">
        <v>220</v>
      </c>
      <c r="CK158" s="1" t="s">
        <v>344</v>
      </c>
      <c r="CL158" s="1" t="s">
        <v>219</v>
      </c>
      <c r="CO158" s="1" t="s">
        <v>318</v>
      </c>
      <c r="CP158" s="1" t="s">
        <v>219</v>
      </c>
      <c r="CS158" s="1" t="s">
        <v>1297</v>
      </c>
      <c r="CT158" s="1" t="s">
        <v>219</v>
      </c>
      <c r="CX158" s="1" t="s">
        <v>224</v>
      </c>
      <c r="DB158" s="1" t="s">
        <v>224</v>
      </c>
      <c r="DE158" s="1" t="s">
        <v>316</v>
      </c>
      <c r="DF158" s="1" t="s">
        <v>219</v>
      </c>
      <c r="DJ158" s="1" t="s">
        <v>224</v>
      </c>
      <c r="DS158" s="1" t="s">
        <v>230</v>
      </c>
      <c r="DW158" s="1" t="s">
        <v>230</v>
      </c>
      <c r="EA158" s="1" t="s">
        <v>230</v>
      </c>
      <c r="EE158" s="1" t="s">
        <v>230</v>
      </c>
      <c r="EI158" s="1" t="s">
        <v>230</v>
      </c>
      <c r="EL158" s="1" t="s">
        <v>605</v>
      </c>
      <c r="EM158" s="1" t="s">
        <v>232</v>
      </c>
      <c r="EN158" s="1" t="s">
        <v>282</v>
      </c>
      <c r="EO158" s="1" t="s">
        <v>234</v>
      </c>
      <c r="EP158" s="1" t="s">
        <v>2857</v>
      </c>
      <c r="ER158" s="1" t="s">
        <v>210</v>
      </c>
      <c r="EW158" s="1" t="s">
        <v>1298</v>
      </c>
      <c r="EZ158" s="1" t="s">
        <v>287</v>
      </c>
      <c r="FD158" s="1" t="s">
        <v>290</v>
      </c>
      <c r="FE158" s="1" t="s">
        <v>2858</v>
      </c>
      <c r="FF158" s="1" t="s">
        <v>248</v>
      </c>
      <c r="FH158" s="1" t="s">
        <v>716</v>
      </c>
      <c r="FL158" s="1" t="s">
        <v>358</v>
      </c>
      <c r="FM158" s="1" t="s">
        <v>252</v>
      </c>
      <c r="FN158" s="1" t="s">
        <v>213</v>
      </c>
      <c r="FO158" s="1" t="s">
        <v>213</v>
      </c>
      <c r="FQ158" s="1" t="s">
        <v>793</v>
      </c>
      <c r="FR158" s="1" t="s">
        <v>360</v>
      </c>
      <c r="FS158" s="1" t="s">
        <v>2859</v>
      </c>
      <c r="FT158" s="1" t="s">
        <v>295</v>
      </c>
      <c r="FU158" s="1" t="s">
        <v>204</v>
      </c>
      <c r="FW158" s="1" t="s">
        <v>915</v>
      </c>
      <c r="FX158" s="1">
        <v>20179</v>
      </c>
      <c r="FY158" s="1" t="s">
        <v>1944</v>
      </c>
      <c r="FZ158" s="1" t="s">
        <v>2860</v>
      </c>
      <c r="GA158" s="1">
        <v>241733</v>
      </c>
      <c r="GE158" s="1" t="s">
        <v>1764</v>
      </c>
      <c r="GI158" s="1" t="s">
        <v>213</v>
      </c>
      <c r="GJ158" s="1" t="s">
        <v>260</v>
      </c>
      <c r="GK158" s="1" t="s">
        <v>210</v>
      </c>
      <c r="GL158" s="2">
        <v>42054</v>
      </c>
      <c r="GM158" s="1" t="s">
        <v>2861</v>
      </c>
    </row>
    <row r="159" spans="1:195">
      <c r="A159" s="1">
        <v>90000</v>
      </c>
      <c r="B159" s="1" t="s">
        <v>195</v>
      </c>
      <c r="C159" s="1" t="str">
        <f>"08767182"</f>
        <v>08767182</v>
      </c>
      <c r="D159" s="1" t="s">
        <v>196</v>
      </c>
      <c r="F159" s="1" t="str">
        <f>"20"</f>
        <v>20</v>
      </c>
      <c r="G159" s="2">
        <v>41946</v>
      </c>
      <c r="H159" s="1">
        <v>100000</v>
      </c>
      <c r="I159" s="1">
        <v>89000</v>
      </c>
      <c r="J159" s="1">
        <v>90000</v>
      </c>
      <c r="K159" s="2">
        <v>41946</v>
      </c>
      <c r="L159" s="1">
        <v>101</v>
      </c>
      <c r="M159" s="2">
        <v>42046</v>
      </c>
      <c r="N159" s="1">
        <v>101</v>
      </c>
      <c r="O159" s="2">
        <v>42046</v>
      </c>
      <c r="P159" s="1">
        <v>25042</v>
      </c>
      <c r="Q159" s="1" t="s">
        <v>423</v>
      </c>
      <c r="R159" s="2">
        <v>42097</v>
      </c>
      <c r="S159" s="1">
        <v>81654</v>
      </c>
      <c r="T159" s="1">
        <v>3000</v>
      </c>
      <c r="U159" s="1">
        <v>7105</v>
      </c>
      <c r="V159" s="1" t="s">
        <v>2862</v>
      </c>
      <c r="W159" s="1" t="s">
        <v>304</v>
      </c>
      <c r="Y159" s="1">
        <v>2</v>
      </c>
      <c r="Z159" s="1" t="s">
        <v>249</v>
      </c>
      <c r="AA159" s="1" t="s">
        <v>592</v>
      </c>
      <c r="AB159" s="1">
        <v>60020</v>
      </c>
      <c r="AD159" s="1" t="s">
        <v>593</v>
      </c>
      <c r="AE159" s="1" t="s">
        <v>2863</v>
      </c>
      <c r="AF159" s="1">
        <v>1978</v>
      </c>
      <c r="AG159" s="1" t="s">
        <v>204</v>
      </c>
      <c r="AH159" s="1" t="s">
        <v>595</v>
      </c>
      <c r="AI159" s="1" t="s">
        <v>509</v>
      </c>
      <c r="AJ159" s="1" t="s">
        <v>596</v>
      </c>
      <c r="AL159" s="1">
        <v>5</v>
      </c>
      <c r="AM159" s="1">
        <v>2</v>
      </c>
      <c r="AN159" s="1">
        <v>1</v>
      </c>
      <c r="AO159" s="1">
        <v>0</v>
      </c>
      <c r="AP159" s="1" t="s">
        <v>210</v>
      </c>
      <c r="AR159" s="1" t="s">
        <v>210</v>
      </c>
      <c r="AS159" s="1" t="s">
        <v>204</v>
      </c>
      <c r="AT159" s="1" t="s">
        <v>211</v>
      </c>
      <c r="AU159" s="1">
        <v>1</v>
      </c>
      <c r="AW159" s="1" t="s">
        <v>204</v>
      </c>
      <c r="AX159" s="1" t="s">
        <v>579</v>
      </c>
      <c r="AZ159" s="1">
        <v>1195.81</v>
      </c>
      <c r="BA159" s="1">
        <v>2013</v>
      </c>
      <c r="BB159" s="1" t="s">
        <v>405</v>
      </c>
      <c r="BE159" s="1">
        <v>1023</v>
      </c>
      <c r="BF159" s="1">
        <v>1</v>
      </c>
      <c r="BG159" s="1">
        <v>2</v>
      </c>
      <c r="BL159" s="1">
        <v>247</v>
      </c>
      <c r="BM159" s="1" t="s">
        <v>204</v>
      </c>
      <c r="BN159" s="1" t="s">
        <v>213</v>
      </c>
      <c r="BO159" s="1">
        <v>40</v>
      </c>
      <c r="BP159" s="1" t="s">
        <v>204</v>
      </c>
      <c r="BR159" s="1" t="str">
        <f>"01284010770000"</f>
        <v>01284010770000</v>
      </c>
      <c r="BT159" s="1" t="s">
        <v>2864</v>
      </c>
      <c r="BX159" s="1">
        <v>114</v>
      </c>
      <c r="BY159" s="1">
        <v>114</v>
      </c>
      <c r="BZ159" s="1">
        <v>124</v>
      </c>
      <c r="CB159" s="1" t="str">
        <f t="shared" ref="CB159:CC159" si="123">""</f>
        <v/>
      </c>
      <c r="CC159" s="1" t="str">
        <f t="shared" si="123"/>
        <v/>
      </c>
      <c r="CG159" s="1" t="s">
        <v>1267</v>
      </c>
      <c r="CH159" s="1" t="s">
        <v>219</v>
      </c>
      <c r="CI159" s="1" t="s">
        <v>220</v>
      </c>
      <c r="CJ159" s="1" t="s">
        <v>252</v>
      </c>
      <c r="CK159" s="1" t="s">
        <v>437</v>
      </c>
      <c r="CL159" s="1" t="s">
        <v>219</v>
      </c>
      <c r="CM159" s="1" t="s">
        <v>220</v>
      </c>
      <c r="CN159" s="1" t="s">
        <v>252</v>
      </c>
      <c r="CO159" s="1" t="s">
        <v>629</v>
      </c>
      <c r="CP159" s="1" t="s">
        <v>219</v>
      </c>
      <c r="CQ159" s="1" t="s">
        <v>220</v>
      </c>
      <c r="CS159" s="1" t="s">
        <v>346</v>
      </c>
      <c r="CT159" s="1" t="s">
        <v>219</v>
      </c>
      <c r="CU159" s="1" t="s">
        <v>220</v>
      </c>
      <c r="CV159" s="1" t="s">
        <v>252</v>
      </c>
      <c r="CX159" s="1" t="s">
        <v>224</v>
      </c>
      <c r="DB159" s="1" t="s">
        <v>224</v>
      </c>
      <c r="DE159" s="1" t="s">
        <v>346</v>
      </c>
      <c r="DF159" s="1" t="s">
        <v>219</v>
      </c>
      <c r="DG159" s="1" t="s">
        <v>342</v>
      </c>
      <c r="DH159" s="1" t="s">
        <v>252</v>
      </c>
      <c r="DJ159" s="1" t="s">
        <v>224</v>
      </c>
      <c r="DS159" s="1" t="s">
        <v>230</v>
      </c>
      <c r="DW159" s="1" t="s">
        <v>230</v>
      </c>
      <c r="EA159" s="1" t="s">
        <v>230</v>
      </c>
      <c r="EE159" s="1" t="s">
        <v>230</v>
      </c>
      <c r="EI159" s="1" t="s">
        <v>230</v>
      </c>
      <c r="EL159" s="1" t="s">
        <v>231</v>
      </c>
      <c r="EM159" s="1" t="s">
        <v>319</v>
      </c>
      <c r="EN159" s="1" t="s">
        <v>282</v>
      </c>
      <c r="EO159" s="1" t="s">
        <v>234</v>
      </c>
      <c r="EP159" s="1" t="s">
        <v>2865</v>
      </c>
      <c r="EQ159" s="1" t="s">
        <v>236</v>
      </c>
      <c r="ER159" s="1" t="s">
        <v>210</v>
      </c>
      <c r="ES159" s="1" t="s">
        <v>824</v>
      </c>
      <c r="ET159" s="1" t="s">
        <v>609</v>
      </c>
      <c r="EU159" s="1" t="s">
        <v>239</v>
      </c>
      <c r="EV159" s="1" t="s">
        <v>240</v>
      </c>
      <c r="EW159" s="1" t="s">
        <v>2866</v>
      </c>
      <c r="EY159" s="1" t="s">
        <v>790</v>
      </c>
      <c r="EZ159" s="1" t="s">
        <v>287</v>
      </c>
      <c r="FA159" s="1" t="s">
        <v>714</v>
      </c>
      <c r="FB159" s="1" t="s">
        <v>1755</v>
      </c>
      <c r="FD159" s="1" t="s">
        <v>2867</v>
      </c>
      <c r="FE159" s="1" t="s">
        <v>472</v>
      </c>
      <c r="FF159" s="1" t="s">
        <v>2868</v>
      </c>
      <c r="FH159" s="1" t="s">
        <v>442</v>
      </c>
      <c r="FI159" s="1" t="s">
        <v>473</v>
      </c>
      <c r="FJ159" s="1" t="s">
        <v>518</v>
      </c>
      <c r="FL159" s="1" t="s">
        <v>2869</v>
      </c>
      <c r="FM159" s="1" t="s">
        <v>252</v>
      </c>
      <c r="FN159" s="1" t="s">
        <v>213</v>
      </c>
      <c r="FO159" s="1" t="s">
        <v>213</v>
      </c>
      <c r="FQ159" s="1" t="s">
        <v>2870</v>
      </c>
      <c r="FR159" s="1" t="s">
        <v>210</v>
      </c>
      <c r="FS159" s="1" t="s">
        <v>2871</v>
      </c>
      <c r="FT159" s="1" t="s">
        <v>520</v>
      </c>
      <c r="FU159" s="1" t="s">
        <v>204</v>
      </c>
      <c r="FW159" s="1" t="s">
        <v>2590</v>
      </c>
      <c r="FX159" s="1">
        <v>2644</v>
      </c>
      <c r="FY159" s="1" t="s">
        <v>2591</v>
      </c>
      <c r="FZ159" s="1" t="s">
        <v>2872</v>
      </c>
      <c r="GA159" s="1">
        <v>21045</v>
      </c>
      <c r="GB159" s="1" t="s">
        <v>2873</v>
      </c>
      <c r="GD159" s="1" t="s">
        <v>2874</v>
      </c>
      <c r="GE159" s="1" t="s">
        <v>2875</v>
      </c>
      <c r="GI159" s="1" t="s">
        <v>213</v>
      </c>
      <c r="GJ159" s="1" t="s">
        <v>260</v>
      </c>
      <c r="GK159" s="1" t="s">
        <v>261</v>
      </c>
      <c r="GL159" s="2">
        <v>42098</v>
      </c>
      <c r="GM159" s="1" t="s">
        <v>2876</v>
      </c>
    </row>
    <row r="160" spans="1:195">
      <c r="A160" s="1">
        <v>132000</v>
      </c>
      <c r="B160" s="1" t="s">
        <v>195</v>
      </c>
      <c r="C160" s="1" t="str">
        <f>"08766946"</f>
        <v>08766946</v>
      </c>
      <c r="D160" s="1" t="s">
        <v>196</v>
      </c>
      <c r="F160" s="1" t="str">
        <f>"562"</f>
        <v>562</v>
      </c>
      <c r="G160" s="2">
        <v>41945</v>
      </c>
      <c r="H160" s="1">
        <v>159250</v>
      </c>
      <c r="I160" s="1">
        <v>149500</v>
      </c>
      <c r="J160" s="1">
        <v>132000</v>
      </c>
      <c r="K160" s="2">
        <v>41945</v>
      </c>
      <c r="L160" s="1">
        <v>99</v>
      </c>
      <c r="M160" s="2">
        <v>41962</v>
      </c>
      <c r="N160" s="1">
        <v>18</v>
      </c>
      <c r="O160" s="2">
        <v>41962</v>
      </c>
      <c r="P160" s="1">
        <v>24113</v>
      </c>
      <c r="Q160" s="1" t="s">
        <v>197</v>
      </c>
      <c r="R160" s="2">
        <v>42030</v>
      </c>
      <c r="S160" s="1">
        <v>221038</v>
      </c>
      <c r="U160" s="1">
        <v>1640</v>
      </c>
      <c r="V160" s="1" t="s">
        <v>2877</v>
      </c>
      <c r="W160" s="1" t="s">
        <v>1056</v>
      </c>
      <c r="X160" s="1">
        <v>7</v>
      </c>
      <c r="Y160" s="1">
        <v>12</v>
      </c>
      <c r="Z160" s="1" t="s">
        <v>370</v>
      </c>
      <c r="AA160" s="1" t="s">
        <v>899</v>
      </c>
      <c r="AB160" s="1">
        <v>60561</v>
      </c>
      <c r="AD160" s="1" t="s">
        <v>2878</v>
      </c>
      <c r="AE160" s="1" t="s">
        <v>2879</v>
      </c>
      <c r="AF160" s="1">
        <v>1971</v>
      </c>
      <c r="AG160" s="1" t="s">
        <v>213</v>
      </c>
      <c r="AH160" s="1" t="s">
        <v>902</v>
      </c>
      <c r="AI160" s="1" t="s">
        <v>206</v>
      </c>
      <c r="AJ160" s="1" t="s">
        <v>903</v>
      </c>
      <c r="AK160" s="1" t="s">
        <v>2880</v>
      </c>
      <c r="AL160" s="1">
        <v>6</v>
      </c>
      <c r="AM160" s="1">
        <v>2</v>
      </c>
      <c r="AN160" s="1">
        <v>2</v>
      </c>
      <c r="AO160" s="1">
        <v>0</v>
      </c>
      <c r="AP160" s="1" t="s">
        <v>209</v>
      </c>
      <c r="AQ160" s="1">
        <v>1</v>
      </c>
      <c r="AR160" s="1" t="s">
        <v>210</v>
      </c>
      <c r="AS160" s="1" t="s">
        <v>204</v>
      </c>
      <c r="AT160" s="1" t="s">
        <v>211</v>
      </c>
      <c r="AU160" s="1">
        <v>1</v>
      </c>
      <c r="AW160" s="1" t="s">
        <v>204</v>
      </c>
      <c r="AX160" s="1" t="s">
        <v>212</v>
      </c>
      <c r="AZ160" s="1">
        <v>3421</v>
      </c>
      <c r="BA160" s="1">
        <v>2013</v>
      </c>
      <c r="BB160" s="1" t="s">
        <v>2694</v>
      </c>
      <c r="BE160" s="1">
        <v>1312</v>
      </c>
      <c r="BF160" s="1">
        <v>2</v>
      </c>
      <c r="BG160" s="1">
        <v>0</v>
      </c>
      <c r="BL160" s="1">
        <v>200</v>
      </c>
      <c r="BM160" s="1" t="s">
        <v>204</v>
      </c>
      <c r="BN160" s="1" t="s">
        <v>213</v>
      </c>
      <c r="BO160" s="1">
        <v>15</v>
      </c>
      <c r="BP160" s="1" t="s">
        <v>204</v>
      </c>
      <c r="BR160" s="1" t="str">
        <f>"1004107009"</f>
        <v>1004107009</v>
      </c>
      <c r="BT160" s="1" t="s">
        <v>2881</v>
      </c>
      <c r="BU160" s="1" t="s">
        <v>2882</v>
      </c>
      <c r="BV160" s="1" t="s">
        <v>2883</v>
      </c>
      <c r="BW160" s="1" t="s">
        <v>907</v>
      </c>
      <c r="BX160" s="1">
        <v>63</v>
      </c>
      <c r="BY160" s="1">
        <v>63</v>
      </c>
      <c r="BZ160" s="1">
        <v>86</v>
      </c>
      <c r="CB160" s="1" t="str">
        <f t="shared" ref="CB160:CC160" si="124">"0"</f>
        <v>0</v>
      </c>
      <c r="CC160" s="1" t="str">
        <f t="shared" si="124"/>
        <v>0</v>
      </c>
      <c r="CD160" s="1">
        <v>18</v>
      </c>
      <c r="CE160" s="1">
        <v>9</v>
      </c>
      <c r="CG160" s="1" t="s">
        <v>2884</v>
      </c>
      <c r="CH160" s="1" t="s">
        <v>277</v>
      </c>
      <c r="CI160" s="1" t="s">
        <v>220</v>
      </c>
      <c r="CK160" s="1" t="s">
        <v>861</v>
      </c>
      <c r="CL160" s="1" t="s">
        <v>277</v>
      </c>
      <c r="CM160" s="1" t="s">
        <v>220</v>
      </c>
      <c r="CO160" s="1" t="s">
        <v>629</v>
      </c>
      <c r="CP160" s="1" t="s">
        <v>277</v>
      </c>
      <c r="CQ160" s="1" t="s">
        <v>220</v>
      </c>
      <c r="CR160" s="1" t="s">
        <v>210</v>
      </c>
      <c r="CS160" s="1" t="s">
        <v>221</v>
      </c>
      <c r="CT160" s="1" t="s">
        <v>277</v>
      </c>
      <c r="CU160" s="1" t="s">
        <v>220</v>
      </c>
      <c r="CX160" s="1" t="s">
        <v>224</v>
      </c>
      <c r="DB160" s="1" t="s">
        <v>224</v>
      </c>
      <c r="DE160" s="1" t="s">
        <v>687</v>
      </c>
      <c r="DF160" s="1" t="s">
        <v>277</v>
      </c>
      <c r="DG160" s="1" t="s">
        <v>229</v>
      </c>
      <c r="DH160" s="1" t="s">
        <v>210</v>
      </c>
      <c r="DI160" s="1" t="s">
        <v>885</v>
      </c>
      <c r="DJ160" s="1" t="s">
        <v>277</v>
      </c>
      <c r="DK160" s="1" t="s">
        <v>220</v>
      </c>
      <c r="DM160" s="1" t="s">
        <v>838</v>
      </c>
      <c r="DR160" s="1" t="s">
        <v>2885</v>
      </c>
      <c r="DS160" s="1" t="s">
        <v>277</v>
      </c>
      <c r="DW160" s="1" t="s">
        <v>230</v>
      </c>
      <c r="EA160" s="1" t="s">
        <v>230</v>
      </c>
      <c r="EE160" s="1" t="s">
        <v>230</v>
      </c>
      <c r="EI160" s="1" t="s">
        <v>230</v>
      </c>
      <c r="EL160" s="1" t="s">
        <v>605</v>
      </c>
      <c r="EM160" s="1" t="s">
        <v>232</v>
      </c>
      <c r="EN160" s="1" t="s">
        <v>282</v>
      </c>
      <c r="EO160" s="1" t="s">
        <v>234</v>
      </c>
      <c r="EP160" s="1" t="s">
        <v>2886</v>
      </c>
      <c r="EQ160" s="1" t="s">
        <v>236</v>
      </c>
      <c r="ER160" s="1" t="s">
        <v>210</v>
      </c>
      <c r="EU160" s="1" t="s">
        <v>2887</v>
      </c>
      <c r="EW160" s="1" t="s">
        <v>1111</v>
      </c>
      <c r="EZ160" s="1" t="s">
        <v>838</v>
      </c>
      <c r="FA160" s="1" t="s">
        <v>243</v>
      </c>
      <c r="FB160" s="1" t="s">
        <v>2888</v>
      </c>
      <c r="FC160" s="1" t="s">
        <v>1405</v>
      </c>
      <c r="FD160" s="1" t="s">
        <v>290</v>
      </c>
      <c r="FE160" s="1" t="s">
        <v>247</v>
      </c>
      <c r="FF160" s="1" t="s">
        <v>387</v>
      </c>
      <c r="FG160" s="1" t="s">
        <v>939</v>
      </c>
      <c r="FH160" s="1" t="s">
        <v>716</v>
      </c>
      <c r="FI160" s="1" t="s">
        <v>2889</v>
      </c>
      <c r="FL160" s="1" t="s">
        <v>292</v>
      </c>
      <c r="FM160" s="1" t="s">
        <v>252</v>
      </c>
      <c r="FN160" s="1" t="s">
        <v>213</v>
      </c>
      <c r="FO160" s="1" t="s">
        <v>213</v>
      </c>
      <c r="FQ160" s="1" t="s">
        <v>811</v>
      </c>
      <c r="FR160" s="1" t="s">
        <v>210</v>
      </c>
      <c r="FS160" s="1" t="s">
        <v>2890</v>
      </c>
      <c r="FT160" s="1" t="s">
        <v>295</v>
      </c>
      <c r="FU160" s="1" t="s">
        <v>204</v>
      </c>
      <c r="FW160" s="1" t="s">
        <v>2891</v>
      </c>
      <c r="FX160" s="1">
        <v>22975</v>
      </c>
      <c r="FY160" s="1" t="s">
        <v>2892</v>
      </c>
      <c r="FZ160" s="1" t="s">
        <v>2893</v>
      </c>
      <c r="GA160" s="1">
        <v>233990</v>
      </c>
      <c r="GB160" s="1" t="s">
        <v>2894</v>
      </c>
      <c r="GC160" s="1">
        <v>215569</v>
      </c>
      <c r="GE160" s="1" t="s">
        <v>335</v>
      </c>
      <c r="GI160" s="1" t="s">
        <v>213</v>
      </c>
      <c r="GJ160" s="1" t="s">
        <v>260</v>
      </c>
      <c r="GK160" s="1" t="s">
        <v>210</v>
      </c>
      <c r="GL160" s="2">
        <v>42032</v>
      </c>
      <c r="GM160" s="1" t="s">
        <v>2895</v>
      </c>
    </row>
    <row r="161" spans="1:195">
      <c r="A161" s="1">
        <v>78500</v>
      </c>
      <c r="B161" s="1" t="s">
        <v>195</v>
      </c>
      <c r="C161" s="1" t="str">
        <f>"08767142"</f>
        <v>08767142</v>
      </c>
      <c r="D161" s="1" t="s">
        <v>196</v>
      </c>
      <c r="F161" s="1" t="str">
        <f>"8065"</f>
        <v>8065</v>
      </c>
      <c r="G161" s="2">
        <v>41946</v>
      </c>
      <c r="H161" s="1">
        <v>79900</v>
      </c>
      <c r="I161" s="1">
        <v>79900</v>
      </c>
      <c r="J161" s="1">
        <v>78500</v>
      </c>
      <c r="K161" s="2">
        <v>41946</v>
      </c>
      <c r="L161" s="1">
        <v>54</v>
      </c>
      <c r="M161" s="2">
        <v>41999</v>
      </c>
      <c r="N161" s="1">
        <v>54</v>
      </c>
      <c r="O161" s="2">
        <v>41999</v>
      </c>
      <c r="P161" s="1">
        <v>14856</v>
      </c>
      <c r="Q161" s="1" t="s">
        <v>197</v>
      </c>
      <c r="R161" s="2">
        <v>42081</v>
      </c>
      <c r="S161" s="1">
        <v>166894</v>
      </c>
      <c r="T161" s="1">
        <v>1000</v>
      </c>
      <c r="U161" s="1">
        <v>4248</v>
      </c>
      <c r="V161" s="1" t="s">
        <v>2896</v>
      </c>
      <c r="W161" s="1" t="s">
        <v>725</v>
      </c>
      <c r="X161" s="1">
        <v>104</v>
      </c>
      <c r="Y161" s="1">
        <v>15</v>
      </c>
      <c r="Z161" s="1" t="s">
        <v>249</v>
      </c>
      <c r="AA161" s="1" t="s">
        <v>400</v>
      </c>
      <c r="AB161" s="1">
        <v>60652</v>
      </c>
      <c r="AE161" s="1" t="s">
        <v>2897</v>
      </c>
      <c r="AF161" s="1">
        <v>2001</v>
      </c>
      <c r="AG161" s="1" t="s">
        <v>204</v>
      </c>
      <c r="AH161" s="1" t="s">
        <v>403</v>
      </c>
      <c r="AI161" s="1" t="s">
        <v>310</v>
      </c>
      <c r="AJ161" s="1" t="s">
        <v>683</v>
      </c>
      <c r="AL161" s="1">
        <v>5</v>
      </c>
      <c r="AM161" s="1">
        <v>2</v>
      </c>
      <c r="AN161" s="1">
        <v>2</v>
      </c>
      <c r="AO161" s="1">
        <v>0</v>
      </c>
      <c r="AP161" s="1" t="s">
        <v>209</v>
      </c>
      <c r="AQ161" s="1">
        <v>0</v>
      </c>
      <c r="AR161" s="1" t="s">
        <v>210</v>
      </c>
      <c r="AS161" s="1" t="s">
        <v>204</v>
      </c>
      <c r="AT161" s="1" t="s">
        <v>211</v>
      </c>
      <c r="AU161" s="1">
        <v>1</v>
      </c>
      <c r="AW161" s="1" t="s">
        <v>204</v>
      </c>
      <c r="AX161" s="1" t="s">
        <v>212</v>
      </c>
      <c r="AZ161" s="1">
        <v>563.91</v>
      </c>
      <c r="BA161" s="1">
        <v>2013</v>
      </c>
      <c r="BB161" s="1" t="s">
        <v>405</v>
      </c>
      <c r="BE161" s="1">
        <v>1160</v>
      </c>
      <c r="BF161" s="1">
        <v>1</v>
      </c>
      <c r="BG161" s="1">
        <v>30</v>
      </c>
      <c r="BJ161" s="1">
        <v>100</v>
      </c>
      <c r="BL161" s="1">
        <v>235</v>
      </c>
      <c r="BM161" s="1" t="s">
        <v>204</v>
      </c>
      <c r="BN161" s="1" t="s">
        <v>213</v>
      </c>
      <c r="BO161" s="1">
        <v>35</v>
      </c>
      <c r="BP161" s="1" t="s">
        <v>204</v>
      </c>
      <c r="BR161" s="1" t="str">
        <f>"19274010581176"</f>
        <v>19274010581176</v>
      </c>
      <c r="BT161" s="1" t="s">
        <v>2898</v>
      </c>
      <c r="BX161" s="1">
        <v>299</v>
      </c>
      <c r="BY161" s="1">
        <v>299</v>
      </c>
      <c r="BZ161" s="1">
        <v>299</v>
      </c>
      <c r="CB161" s="1" t="str">
        <f t="shared" ref="CB161:CC161" si="125">"0"</f>
        <v>0</v>
      </c>
      <c r="CC161" s="1" t="str">
        <f t="shared" si="125"/>
        <v>0</v>
      </c>
      <c r="CD161" s="1">
        <v>4200</v>
      </c>
      <c r="CE161" s="1">
        <v>7700</v>
      </c>
      <c r="CG161" s="1" t="s">
        <v>315</v>
      </c>
      <c r="CH161" s="1" t="s">
        <v>219</v>
      </c>
      <c r="CI161" s="1" t="s">
        <v>229</v>
      </c>
      <c r="CJ161" s="1" t="s">
        <v>343</v>
      </c>
      <c r="CK161" s="1" t="s">
        <v>437</v>
      </c>
      <c r="CL161" s="1" t="s">
        <v>219</v>
      </c>
      <c r="CM161" s="1" t="s">
        <v>229</v>
      </c>
      <c r="CN161" s="1" t="s">
        <v>343</v>
      </c>
      <c r="CO161" s="1" t="s">
        <v>629</v>
      </c>
      <c r="CP161" s="1" t="s">
        <v>219</v>
      </c>
      <c r="CQ161" s="1" t="s">
        <v>229</v>
      </c>
      <c r="CS161" s="1" t="s">
        <v>379</v>
      </c>
      <c r="CT161" s="1" t="s">
        <v>219</v>
      </c>
      <c r="CU161" s="1" t="s">
        <v>229</v>
      </c>
      <c r="CV161" s="1" t="s">
        <v>343</v>
      </c>
      <c r="CX161" s="1" t="s">
        <v>224</v>
      </c>
      <c r="DB161" s="1" t="s">
        <v>224</v>
      </c>
      <c r="DE161" s="1" t="s">
        <v>2899</v>
      </c>
      <c r="DF161" s="1" t="s">
        <v>219</v>
      </c>
      <c r="DG161" s="1" t="s">
        <v>226</v>
      </c>
      <c r="DH161" s="1" t="s">
        <v>343</v>
      </c>
      <c r="DJ161" s="1" t="s">
        <v>224</v>
      </c>
      <c r="DS161" s="1" t="s">
        <v>230</v>
      </c>
      <c r="DW161" s="1" t="s">
        <v>230</v>
      </c>
      <c r="EA161" s="1" t="s">
        <v>230</v>
      </c>
      <c r="EE161" s="1" t="s">
        <v>230</v>
      </c>
      <c r="EI161" s="1" t="s">
        <v>230</v>
      </c>
      <c r="EL161" s="1" t="s">
        <v>466</v>
      </c>
      <c r="EM161" s="1" t="s">
        <v>319</v>
      </c>
      <c r="EN161" s="1" t="s">
        <v>282</v>
      </c>
      <c r="EO161" s="1" t="s">
        <v>234</v>
      </c>
      <c r="EP161" s="1" t="s">
        <v>2900</v>
      </c>
      <c r="EQ161" s="1" t="s">
        <v>2901</v>
      </c>
      <c r="ER161" s="1" t="s">
        <v>210</v>
      </c>
      <c r="ES161" s="1" t="s">
        <v>322</v>
      </c>
      <c r="ET161" s="1" t="s">
        <v>323</v>
      </c>
      <c r="EV161" s="1" t="s">
        <v>240</v>
      </c>
      <c r="EW161" s="1" t="s">
        <v>1821</v>
      </c>
      <c r="EY161" s="1" t="s">
        <v>242</v>
      </c>
      <c r="EZ161" s="1" t="s">
        <v>287</v>
      </c>
      <c r="FD161" s="1" t="s">
        <v>246</v>
      </c>
      <c r="FE161" s="1" t="s">
        <v>247</v>
      </c>
      <c r="FF161" s="1" t="s">
        <v>248</v>
      </c>
      <c r="FH161" s="1" t="s">
        <v>249</v>
      </c>
      <c r="FI161" s="1" t="s">
        <v>473</v>
      </c>
      <c r="FJ161" s="1" t="s">
        <v>1179</v>
      </c>
      <c r="FL161" s="1" t="s">
        <v>810</v>
      </c>
      <c r="FM161" s="1" t="s">
        <v>252</v>
      </c>
      <c r="FN161" s="1" t="s">
        <v>213</v>
      </c>
      <c r="FO161" s="1" t="s">
        <v>213</v>
      </c>
      <c r="FQ161" s="1" t="s">
        <v>2091</v>
      </c>
      <c r="FR161" s="1" t="s">
        <v>210</v>
      </c>
      <c r="FS161" s="1" t="s">
        <v>2902</v>
      </c>
      <c r="FT161" s="1" t="s">
        <v>2903</v>
      </c>
      <c r="FU161" s="1" t="s">
        <v>213</v>
      </c>
      <c r="FW161" s="1" t="s">
        <v>2904</v>
      </c>
      <c r="FX161" s="1">
        <v>16651</v>
      </c>
      <c r="FY161" s="1" t="s">
        <v>2905</v>
      </c>
      <c r="FZ161" s="1" t="s">
        <v>2906</v>
      </c>
      <c r="GA161" s="1">
        <v>149501</v>
      </c>
      <c r="GB161" s="1" t="s">
        <v>2905</v>
      </c>
      <c r="GE161" s="1" t="s">
        <v>210</v>
      </c>
      <c r="GH161" s="1" t="s">
        <v>589</v>
      </c>
      <c r="GI161" s="1" t="s">
        <v>204</v>
      </c>
      <c r="GJ161" s="1" t="s">
        <v>260</v>
      </c>
      <c r="GK161" s="1" t="s">
        <v>210</v>
      </c>
      <c r="GL161" s="2">
        <v>42082</v>
      </c>
      <c r="GM161" s="1" t="s">
        <v>2907</v>
      </c>
    </row>
    <row r="162" spans="1:195">
      <c r="A162" s="1">
        <v>105000</v>
      </c>
      <c r="B162" s="1" t="s">
        <v>195</v>
      </c>
      <c r="C162" s="1" t="str">
        <f>"08767274"</f>
        <v>08767274</v>
      </c>
      <c r="D162" s="1" t="s">
        <v>196</v>
      </c>
      <c r="F162" s="1" t="str">
        <f>"532"</f>
        <v>532</v>
      </c>
      <c r="G162" s="2">
        <v>41946</v>
      </c>
      <c r="H162" s="1">
        <v>109900</v>
      </c>
      <c r="I162" s="1">
        <v>109900</v>
      </c>
      <c r="J162" s="1">
        <v>105000</v>
      </c>
      <c r="K162" s="2">
        <v>41946</v>
      </c>
      <c r="L162" s="1">
        <v>9</v>
      </c>
      <c r="M162" s="2">
        <v>41954</v>
      </c>
      <c r="N162" s="1">
        <v>9</v>
      </c>
      <c r="O162" s="2">
        <v>41954</v>
      </c>
      <c r="P162" s="1">
        <v>23030</v>
      </c>
      <c r="Q162" s="1" t="s">
        <v>197</v>
      </c>
      <c r="R162" s="2">
        <v>41984</v>
      </c>
      <c r="S162" s="1">
        <v>237015</v>
      </c>
      <c r="U162" s="1">
        <v>1833</v>
      </c>
      <c r="V162" s="1" t="s">
        <v>2908</v>
      </c>
      <c r="W162" s="1" t="s">
        <v>425</v>
      </c>
      <c r="X162" s="1" t="s">
        <v>2909</v>
      </c>
      <c r="Y162" s="1">
        <v>48</v>
      </c>
      <c r="Z162" s="1" t="s">
        <v>249</v>
      </c>
      <c r="AA162" s="1" t="s">
        <v>1566</v>
      </c>
      <c r="AB162" s="1">
        <v>60532</v>
      </c>
      <c r="AE162" s="1" t="s">
        <v>2910</v>
      </c>
      <c r="AF162" s="1" t="s">
        <v>402</v>
      </c>
      <c r="AG162" s="1" t="s">
        <v>213</v>
      </c>
      <c r="AH162" s="1" t="s">
        <v>925</v>
      </c>
      <c r="AI162" s="1" t="s">
        <v>206</v>
      </c>
      <c r="AJ162" s="1" t="s">
        <v>925</v>
      </c>
      <c r="AL162" s="1">
        <v>5</v>
      </c>
      <c r="AM162" s="1">
        <v>2</v>
      </c>
      <c r="AN162" s="1">
        <v>1</v>
      </c>
      <c r="AO162" s="1">
        <v>0</v>
      </c>
      <c r="AP162" s="1" t="s">
        <v>210</v>
      </c>
      <c r="AQ162" s="1">
        <v>1</v>
      </c>
      <c r="AR162" s="1" t="s">
        <v>210</v>
      </c>
      <c r="AT162" s="1" t="s">
        <v>210</v>
      </c>
      <c r="AW162" s="1" t="s">
        <v>204</v>
      </c>
      <c r="AX162" s="1" t="s">
        <v>212</v>
      </c>
      <c r="AZ162" s="1">
        <v>3182</v>
      </c>
      <c r="BA162" s="1">
        <v>2013</v>
      </c>
      <c r="BE162" s="1">
        <v>1200</v>
      </c>
      <c r="BF162" s="1">
        <v>2</v>
      </c>
      <c r="BG162" s="1">
        <v>30</v>
      </c>
      <c r="BL162" s="1">
        <v>304</v>
      </c>
      <c r="BM162" s="1" t="s">
        <v>204</v>
      </c>
      <c r="BN162" s="1" t="s">
        <v>213</v>
      </c>
      <c r="BP162" s="1" t="s">
        <v>204</v>
      </c>
      <c r="BR162" s="1" t="str">
        <f>"0815108299"</f>
        <v>0815108299</v>
      </c>
      <c r="BT162" s="1" t="s">
        <v>2911</v>
      </c>
      <c r="BX162" s="1">
        <v>68</v>
      </c>
      <c r="BY162" s="1">
        <v>68</v>
      </c>
      <c r="BZ162" s="1">
        <v>68</v>
      </c>
      <c r="CB162" s="1" t="str">
        <f t="shared" ref="CB162:CC162" si="126">""</f>
        <v/>
      </c>
      <c r="CC162" s="1" t="str">
        <f t="shared" si="126"/>
        <v/>
      </c>
      <c r="CG162" s="1" t="s">
        <v>221</v>
      </c>
      <c r="CH162" s="1" t="s">
        <v>219</v>
      </c>
      <c r="CI162" s="1" t="s">
        <v>220</v>
      </c>
      <c r="CK162" s="1" t="s">
        <v>931</v>
      </c>
      <c r="CL162" s="1" t="s">
        <v>219</v>
      </c>
      <c r="CM162" s="1" t="s">
        <v>220</v>
      </c>
      <c r="CO162" s="1" t="s">
        <v>346</v>
      </c>
      <c r="CP162" s="1" t="s">
        <v>219</v>
      </c>
      <c r="CQ162" s="1" t="s">
        <v>220</v>
      </c>
      <c r="CS162" s="1" t="s">
        <v>2122</v>
      </c>
      <c r="CT162" s="1" t="s">
        <v>219</v>
      </c>
      <c r="CU162" s="1" t="s">
        <v>220</v>
      </c>
      <c r="CX162" s="1" t="s">
        <v>224</v>
      </c>
      <c r="DB162" s="1" t="s">
        <v>224</v>
      </c>
      <c r="DE162" s="1" t="s">
        <v>516</v>
      </c>
      <c r="DF162" s="1" t="s">
        <v>219</v>
      </c>
      <c r="DG162" s="1" t="s">
        <v>226</v>
      </c>
      <c r="DJ162" s="1" t="s">
        <v>224</v>
      </c>
      <c r="DS162" s="1" t="s">
        <v>230</v>
      </c>
      <c r="DW162" s="1" t="s">
        <v>230</v>
      </c>
      <c r="EA162" s="1" t="s">
        <v>230</v>
      </c>
      <c r="EE162" s="1" t="s">
        <v>230</v>
      </c>
      <c r="EI162" s="1" t="s">
        <v>230</v>
      </c>
      <c r="EL162" s="1" t="s">
        <v>605</v>
      </c>
      <c r="EM162" s="1" t="s">
        <v>232</v>
      </c>
      <c r="EN162" s="1" t="s">
        <v>282</v>
      </c>
      <c r="EO162" s="1" t="s">
        <v>234</v>
      </c>
      <c r="EP162" s="1" t="s">
        <v>2912</v>
      </c>
      <c r="EQ162" s="1" t="s">
        <v>2913</v>
      </c>
      <c r="ER162" s="1" t="s">
        <v>210</v>
      </c>
      <c r="EW162" s="1" t="s">
        <v>2205</v>
      </c>
      <c r="EZ162" s="1" t="s">
        <v>287</v>
      </c>
      <c r="FD162" s="1" t="s">
        <v>2914</v>
      </c>
      <c r="FE162" s="1" t="s">
        <v>247</v>
      </c>
      <c r="FF162" s="1" t="s">
        <v>248</v>
      </c>
      <c r="FG162" s="1" t="s">
        <v>939</v>
      </c>
      <c r="FH162" s="1" t="s">
        <v>249</v>
      </c>
      <c r="FL162" s="1" t="s">
        <v>358</v>
      </c>
      <c r="FM162" s="1" t="s">
        <v>252</v>
      </c>
      <c r="FN162" s="1" t="s">
        <v>213</v>
      </c>
      <c r="FO162" s="1" t="s">
        <v>213</v>
      </c>
      <c r="FQ162" s="1" t="s">
        <v>2915</v>
      </c>
      <c r="FR162" s="1" t="s">
        <v>210</v>
      </c>
      <c r="FS162" s="1" t="s">
        <v>1709</v>
      </c>
      <c r="FT162" s="1" t="s">
        <v>362</v>
      </c>
      <c r="FU162" s="1" t="s">
        <v>204</v>
      </c>
      <c r="FW162" s="1" t="s">
        <v>2916</v>
      </c>
      <c r="FX162" s="1">
        <v>21306</v>
      </c>
      <c r="FY162" s="1" t="s">
        <v>2917</v>
      </c>
      <c r="FZ162" s="1" t="s">
        <v>2918</v>
      </c>
      <c r="GA162" s="1">
        <v>215494</v>
      </c>
      <c r="GB162" s="1" t="s">
        <v>2919</v>
      </c>
      <c r="GE162" s="1" t="s">
        <v>210</v>
      </c>
      <c r="GI162" s="1" t="s">
        <v>204</v>
      </c>
      <c r="GJ162" s="1" t="s">
        <v>260</v>
      </c>
      <c r="GK162" s="1" t="s">
        <v>210</v>
      </c>
      <c r="GL162" s="2">
        <v>41985</v>
      </c>
      <c r="GM162" s="1" t="s">
        <v>2920</v>
      </c>
    </row>
    <row r="163" spans="1:195">
      <c r="A163" s="1">
        <v>153000</v>
      </c>
      <c r="B163" s="1" t="s">
        <v>195</v>
      </c>
      <c r="C163" s="1" t="str">
        <f>"08768460"</f>
        <v>08768460</v>
      </c>
      <c r="D163" s="1" t="s">
        <v>196</v>
      </c>
      <c r="F163" s="1" t="str">
        <f>"188"</f>
        <v>188</v>
      </c>
      <c r="G163" s="2">
        <v>41947</v>
      </c>
      <c r="H163" s="1">
        <v>169400</v>
      </c>
      <c r="I163" s="1">
        <v>154500</v>
      </c>
      <c r="J163" s="1">
        <v>153000</v>
      </c>
      <c r="K163" s="2">
        <v>41946</v>
      </c>
      <c r="L163" s="1">
        <v>46</v>
      </c>
      <c r="M163" s="2">
        <v>41991</v>
      </c>
      <c r="N163" s="1">
        <v>46</v>
      </c>
      <c r="O163" s="2">
        <v>41991</v>
      </c>
      <c r="P163" s="1">
        <v>18505</v>
      </c>
      <c r="Q163" s="1" t="s">
        <v>197</v>
      </c>
      <c r="R163" s="2">
        <v>42033</v>
      </c>
      <c r="S163" s="1">
        <v>113286</v>
      </c>
      <c r="U163" s="1">
        <v>738</v>
      </c>
      <c r="V163" s="1" t="s">
        <v>2921</v>
      </c>
      <c r="W163" s="1" t="s">
        <v>264</v>
      </c>
      <c r="Y163" s="1">
        <v>4</v>
      </c>
      <c r="Z163" s="1" t="s">
        <v>370</v>
      </c>
      <c r="AA163" s="1" t="s">
        <v>1084</v>
      </c>
      <c r="AB163" s="1">
        <v>60188</v>
      </c>
      <c r="AD163" s="1" t="s">
        <v>2922</v>
      </c>
      <c r="AE163" s="1" t="s">
        <v>2923</v>
      </c>
      <c r="AF163" s="1">
        <v>1992</v>
      </c>
      <c r="AG163" s="1" t="s">
        <v>204</v>
      </c>
      <c r="AH163" s="1" t="s">
        <v>1087</v>
      </c>
      <c r="AI163" s="1" t="s">
        <v>206</v>
      </c>
      <c r="AJ163" s="1" t="s">
        <v>269</v>
      </c>
      <c r="AL163" s="1">
        <v>8</v>
      </c>
      <c r="AM163" s="1">
        <v>2</v>
      </c>
      <c r="AN163" s="1">
        <v>1</v>
      </c>
      <c r="AO163" s="1">
        <v>1</v>
      </c>
      <c r="AP163" s="1" t="s">
        <v>667</v>
      </c>
      <c r="AR163" s="1" t="s">
        <v>1631</v>
      </c>
      <c r="AS163" s="1" t="s">
        <v>204</v>
      </c>
      <c r="AT163" s="1" t="s">
        <v>211</v>
      </c>
      <c r="AU163" s="1">
        <v>1</v>
      </c>
      <c r="AW163" s="1" t="s">
        <v>204</v>
      </c>
      <c r="AX163" s="1">
        <v>1891</v>
      </c>
      <c r="AZ163" s="1">
        <v>5002.6400000000003</v>
      </c>
      <c r="BA163" s="1">
        <v>2013</v>
      </c>
      <c r="BE163" s="1">
        <v>1328</v>
      </c>
      <c r="BF163" s="1">
        <v>1</v>
      </c>
      <c r="BG163" s="1">
        <v>0</v>
      </c>
      <c r="BL163" s="1">
        <v>208</v>
      </c>
      <c r="BM163" s="1" t="s">
        <v>413</v>
      </c>
      <c r="BN163" s="1" t="s">
        <v>213</v>
      </c>
      <c r="BO163" s="1">
        <v>0</v>
      </c>
      <c r="BP163" s="1" t="s">
        <v>204</v>
      </c>
      <c r="BR163" s="1" t="str">
        <f>"0219305037"</f>
        <v>0219305037</v>
      </c>
      <c r="BT163" s="1" t="s">
        <v>2924</v>
      </c>
      <c r="BU163" s="1" t="s">
        <v>1090</v>
      </c>
      <c r="BV163" s="1" t="s">
        <v>1091</v>
      </c>
      <c r="BW163" s="1" t="s">
        <v>1092</v>
      </c>
      <c r="BX163" s="1">
        <v>93</v>
      </c>
      <c r="BY163" s="1">
        <v>93</v>
      </c>
      <c r="BZ163" s="1">
        <v>87</v>
      </c>
      <c r="CB163" s="1" t="str">
        <f t="shared" ref="CB163:CC163" si="127">""</f>
        <v/>
      </c>
      <c r="CC163" s="1" t="str">
        <f t="shared" si="127"/>
        <v/>
      </c>
      <c r="CG163" s="1" t="s">
        <v>221</v>
      </c>
      <c r="CH163" s="1" t="s">
        <v>219</v>
      </c>
      <c r="CK163" s="1" t="s">
        <v>564</v>
      </c>
      <c r="CL163" s="1" t="s">
        <v>277</v>
      </c>
      <c r="CO163" s="1" t="s">
        <v>489</v>
      </c>
      <c r="CP163" s="1" t="s">
        <v>219</v>
      </c>
      <c r="CS163" s="1" t="s">
        <v>318</v>
      </c>
      <c r="CT163" s="1" t="s">
        <v>277</v>
      </c>
      <c r="CX163" s="1" t="s">
        <v>224</v>
      </c>
      <c r="DB163" s="1" t="s">
        <v>224</v>
      </c>
      <c r="DE163" s="1" t="s">
        <v>951</v>
      </c>
      <c r="DF163" s="1" t="s">
        <v>219</v>
      </c>
      <c r="DJ163" s="1" t="s">
        <v>224</v>
      </c>
      <c r="DM163" s="1" t="s">
        <v>1005</v>
      </c>
      <c r="DN163" s="1" t="s">
        <v>934</v>
      </c>
      <c r="DO163" s="1" t="s">
        <v>381</v>
      </c>
      <c r="DR163" s="1" t="s">
        <v>1046</v>
      </c>
      <c r="DS163" s="1" t="s">
        <v>43</v>
      </c>
      <c r="DV163" s="1" t="s">
        <v>2925</v>
      </c>
      <c r="DW163" s="1" t="s">
        <v>43</v>
      </c>
      <c r="DZ163" s="1" t="s">
        <v>2308</v>
      </c>
      <c r="EA163" s="1" t="s">
        <v>219</v>
      </c>
      <c r="EE163" s="1" t="s">
        <v>230</v>
      </c>
      <c r="EI163" s="1" t="s">
        <v>230</v>
      </c>
      <c r="EL163" s="1" t="s">
        <v>382</v>
      </c>
      <c r="EM163" s="1" t="s">
        <v>319</v>
      </c>
      <c r="EN163" s="1" t="s">
        <v>282</v>
      </c>
      <c r="EO163" s="1" t="s">
        <v>234</v>
      </c>
      <c r="ER163" s="1" t="s">
        <v>351</v>
      </c>
      <c r="EW163" s="1" t="s">
        <v>1372</v>
      </c>
      <c r="EZ163" s="1" t="s">
        <v>2926</v>
      </c>
      <c r="FD163" s="1" t="s">
        <v>246</v>
      </c>
      <c r="FE163" s="1" t="s">
        <v>1006</v>
      </c>
      <c r="FF163" s="1" t="s">
        <v>248</v>
      </c>
      <c r="FH163" s="1" t="s">
        <v>550</v>
      </c>
      <c r="FL163" s="1" t="s">
        <v>414</v>
      </c>
      <c r="FM163" s="1" t="s">
        <v>252</v>
      </c>
      <c r="FN163" s="1" t="s">
        <v>213</v>
      </c>
      <c r="FO163" s="1" t="s">
        <v>213</v>
      </c>
      <c r="FQ163" s="1" t="s">
        <v>689</v>
      </c>
      <c r="FR163" s="1" t="s">
        <v>210</v>
      </c>
      <c r="FS163" s="1" t="s">
        <v>2927</v>
      </c>
      <c r="FT163" s="1" t="s">
        <v>295</v>
      </c>
      <c r="FU163" s="1" t="s">
        <v>204</v>
      </c>
      <c r="FW163" s="1" t="s">
        <v>1961</v>
      </c>
      <c r="FX163" s="1">
        <v>20150</v>
      </c>
      <c r="FY163" s="1" t="s">
        <v>1962</v>
      </c>
      <c r="FZ163" s="1" t="s">
        <v>1963</v>
      </c>
      <c r="GA163" s="1">
        <v>211012</v>
      </c>
      <c r="GB163" s="1" t="s">
        <v>1964</v>
      </c>
      <c r="GC163" s="1">
        <v>226083</v>
      </c>
      <c r="GD163" s="1" t="s">
        <v>2928</v>
      </c>
      <c r="GE163" s="1" t="s">
        <v>210</v>
      </c>
      <c r="GI163" s="1" t="s">
        <v>213</v>
      </c>
      <c r="GJ163" s="1" t="s">
        <v>260</v>
      </c>
      <c r="GK163" s="1" t="s">
        <v>261</v>
      </c>
      <c r="GL163" s="2">
        <v>42035</v>
      </c>
      <c r="GM163" s="1" t="s">
        <v>2929</v>
      </c>
    </row>
    <row r="164" spans="1:195">
      <c r="A164" s="1">
        <v>120000</v>
      </c>
      <c r="B164" s="1" t="s">
        <v>195</v>
      </c>
      <c r="C164" s="1" t="str">
        <f>"08768908"</f>
        <v>08768908</v>
      </c>
      <c r="D164" s="1" t="s">
        <v>196</v>
      </c>
      <c r="F164" s="1" t="str">
        <f>"134"</f>
        <v>134</v>
      </c>
      <c r="G164" s="2">
        <v>41947</v>
      </c>
      <c r="H164" s="1">
        <v>129900</v>
      </c>
      <c r="I164" s="1">
        <v>129900</v>
      </c>
      <c r="J164" s="1">
        <v>120000</v>
      </c>
      <c r="K164" s="2">
        <v>41947</v>
      </c>
      <c r="L164" s="1">
        <v>264</v>
      </c>
      <c r="M164" s="2">
        <v>41961</v>
      </c>
      <c r="N164" s="1">
        <v>15</v>
      </c>
      <c r="O164" s="2">
        <v>41961</v>
      </c>
      <c r="P164" s="1">
        <v>41</v>
      </c>
      <c r="Q164" s="1" t="s">
        <v>302</v>
      </c>
      <c r="R164" s="2">
        <v>42115</v>
      </c>
      <c r="S164" s="1">
        <v>7846</v>
      </c>
      <c r="U164" s="1">
        <v>167</v>
      </c>
      <c r="V164" s="1" t="s">
        <v>2530</v>
      </c>
      <c r="W164" s="1" t="s">
        <v>304</v>
      </c>
      <c r="X164" s="1">
        <v>167</v>
      </c>
      <c r="Y164" s="1">
        <v>8</v>
      </c>
      <c r="Z164" s="1" t="s">
        <v>370</v>
      </c>
      <c r="AA164" s="1" t="s">
        <v>661</v>
      </c>
      <c r="AB164" s="1">
        <v>60134</v>
      </c>
      <c r="AD164" s="1" t="s">
        <v>2930</v>
      </c>
      <c r="AE164" s="1" t="s">
        <v>2931</v>
      </c>
      <c r="AF164" s="1">
        <v>1974</v>
      </c>
      <c r="AG164" s="1" t="s">
        <v>213</v>
      </c>
      <c r="AH164" s="1" t="s">
        <v>664</v>
      </c>
      <c r="AI164" s="1" t="s">
        <v>665</v>
      </c>
      <c r="AJ164" s="1" t="s">
        <v>664</v>
      </c>
      <c r="AK164" s="1" t="s">
        <v>1088</v>
      </c>
      <c r="AL164" s="1">
        <v>7</v>
      </c>
      <c r="AM164" s="1">
        <v>2</v>
      </c>
      <c r="AN164" s="1">
        <v>1</v>
      </c>
      <c r="AO164" s="1">
        <v>1</v>
      </c>
      <c r="AP164" s="1" t="s">
        <v>667</v>
      </c>
      <c r="AQ164" s="1">
        <v>1</v>
      </c>
      <c r="AR164" s="1" t="s">
        <v>209</v>
      </c>
      <c r="AS164" s="1" t="s">
        <v>204</v>
      </c>
      <c r="AT164" s="1" t="s">
        <v>375</v>
      </c>
      <c r="AU164" s="1">
        <v>1</v>
      </c>
      <c r="AV164" s="1">
        <v>1</v>
      </c>
      <c r="AW164" s="1" t="s">
        <v>204</v>
      </c>
      <c r="AX164" s="1">
        <v>2235</v>
      </c>
      <c r="AZ164" s="4">
        <v>3364.68</v>
      </c>
      <c r="BA164" s="1">
        <v>2013</v>
      </c>
      <c r="BB164" s="1" t="s">
        <v>405</v>
      </c>
      <c r="BE164" s="1">
        <v>1068</v>
      </c>
      <c r="BF164" s="1">
        <v>1</v>
      </c>
      <c r="BG164" s="1">
        <v>30</v>
      </c>
      <c r="BL164" s="1">
        <v>218</v>
      </c>
      <c r="BM164" s="1" t="s">
        <v>204</v>
      </c>
      <c r="BN164" s="1" t="s">
        <v>213</v>
      </c>
      <c r="BO164" s="1" t="s">
        <v>2932</v>
      </c>
      <c r="BP164" s="1" t="s">
        <v>204</v>
      </c>
      <c r="BR164" s="1" t="str">
        <f>"1201304010"</f>
        <v>1201304010</v>
      </c>
      <c r="BT164" s="1" t="s">
        <v>2933</v>
      </c>
      <c r="BX164" s="1">
        <v>304</v>
      </c>
      <c r="BY164" s="1">
        <v>304</v>
      </c>
      <c r="BZ164" s="1">
        <v>304</v>
      </c>
      <c r="CB164" s="1" t="str">
        <f t="shared" ref="CB164:CC164" si="128">""</f>
        <v/>
      </c>
      <c r="CC164" s="1" t="str">
        <f t="shared" si="128"/>
        <v/>
      </c>
      <c r="CG164" s="1" t="s">
        <v>835</v>
      </c>
      <c r="CH164" s="1" t="s">
        <v>219</v>
      </c>
      <c r="CI164" s="1" t="s">
        <v>229</v>
      </c>
      <c r="CJ164" s="1" t="s">
        <v>343</v>
      </c>
      <c r="CK164" s="1" t="s">
        <v>2934</v>
      </c>
      <c r="CL164" s="1" t="s">
        <v>219</v>
      </c>
      <c r="CM164" s="1" t="s">
        <v>220</v>
      </c>
      <c r="CO164" s="1" t="s">
        <v>629</v>
      </c>
      <c r="CP164" s="1" t="s">
        <v>219</v>
      </c>
      <c r="CQ164" s="1" t="s">
        <v>229</v>
      </c>
      <c r="CR164" s="1" t="s">
        <v>343</v>
      </c>
      <c r="CS164" s="1" t="s">
        <v>2170</v>
      </c>
      <c r="CT164" s="1" t="s">
        <v>219</v>
      </c>
      <c r="CU164" s="1" t="s">
        <v>220</v>
      </c>
      <c r="CW164" s="1" t="s">
        <v>2122</v>
      </c>
      <c r="CX164" s="1" t="s">
        <v>43</v>
      </c>
      <c r="CY164" s="1" t="s">
        <v>220</v>
      </c>
      <c r="DB164" s="1" t="s">
        <v>224</v>
      </c>
      <c r="DE164" s="1" t="s">
        <v>2070</v>
      </c>
      <c r="DF164" s="1" t="s">
        <v>219</v>
      </c>
      <c r="DG164" s="1" t="s">
        <v>229</v>
      </c>
      <c r="DH164" s="1" t="s">
        <v>343</v>
      </c>
      <c r="DI164" s="1" t="s">
        <v>2935</v>
      </c>
      <c r="DJ164" s="1" t="s">
        <v>43</v>
      </c>
      <c r="DK164" s="1" t="s">
        <v>220</v>
      </c>
      <c r="DS164" s="1" t="s">
        <v>230</v>
      </c>
      <c r="DW164" s="1" t="s">
        <v>230</v>
      </c>
      <c r="EA164" s="1" t="s">
        <v>230</v>
      </c>
      <c r="EE164" s="1" t="s">
        <v>230</v>
      </c>
      <c r="EI164" s="1" t="s">
        <v>230</v>
      </c>
      <c r="EL164" s="1" t="s">
        <v>605</v>
      </c>
      <c r="EM164" s="1" t="s">
        <v>319</v>
      </c>
      <c r="EN164" s="1" t="s">
        <v>282</v>
      </c>
      <c r="EO164" s="1" t="s">
        <v>234</v>
      </c>
      <c r="EP164" s="1" t="s">
        <v>2936</v>
      </c>
      <c r="EQ164" s="1" t="s">
        <v>953</v>
      </c>
      <c r="ER164" s="1" t="s">
        <v>351</v>
      </c>
      <c r="ES164" s="1" t="s">
        <v>322</v>
      </c>
      <c r="EU164" s="1" t="s">
        <v>1894</v>
      </c>
      <c r="EW164" s="1" t="s">
        <v>517</v>
      </c>
      <c r="EY164" s="1" t="s">
        <v>242</v>
      </c>
      <c r="EZ164" s="1" t="s">
        <v>287</v>
      </c>
      <c r="FA164" s="1" t="s">
        <v>471</v>
      </c>
      <c r="FB164" s="1" t="s">
        <v>289</v>
      </c>
      <c r="FC164" s="1" t="s">
        <v>633</v>
      </c>
      <c r="FD164" s="1" t="s">
        <v>246</v>
      </c>
      <c r="FE164" s="1" t="s">
        <v>496</v>
      </c>
      <c r="FF164" s="1" t="s">
        <v>248</v>
      </c>
      <c r="FG164" s="1" t="s">
        <v>939</v>
      </c>
      <c r="FH164" s="1" t="s">
        <v>1205</v>
      </c>
      <c r="FI164" s="1" t="s">
        <v>473</v>
      </c>
      <c r="FK164" s="1" t="s">
        <v>2076</v>
      </c>
      <c r="FL164" s="1" t="s">
        <v>358</v>
      </c>
      <c r="FM164" s="1" t="s">
        <v>252</v>
      </c>
      <c r="FN164" s="1" t="s">
        <v>213</v>
      </c>
      <c r="FO164" s="1" t="s">
        <v>213</v>
      </c>
      <c r="FQ164" s="1" t="s">
        <v>2937</v>
      </c>
      <c r="FR164" s="1" t="s">
        <v>360</v>
      </c>
      <c r="FS164" s="1" t="s">
        <v>2938</v>
      </c>
      <c r="FT164" s="1" t="s">
        <v>617</v>
      </c>
      <c r="FU164" s="1" t="s">
        <v>204</v>
      </c>
      <c r="FW164" s="1" t="s">
        <v>676</v>
      </c>
      <c r="FX164" s="1">
        <v>30</v>
      </c>
      <c r="FY164" s="1" t="s">
        <v>677</v>
      </c>
      <c r="FZ164" s="1" t="s">
        <v>2939</v>
      </c>
      <c r="GA164" s="1">
        <v>1197</v>
      </c>
      <c r="GB164" s="1" t="s">
        <v>2940</v>
      </c>
      <c r="GE164" s="1" t="s">
        <v>1256</v>
      </c>
      <c r="GI164" s="1" t="s">
        <v>213</v>
      </c>
      <c r="GJ164" s="1" t="s">
        <v>260</v>
      </c>
      <c r="GK164" s="1" t="s">
        <v>210</v>
      </c>
      <c r="GL164" s="2">
        <v>42115</v>
      </c>
      <c r="GM164" s="1" t="s">
        <v>2941</v>
      </c>
    </row>
    <row r="165" spans="1:195">
      <c r="A165" s="1">
        <v>112000</v>
      </c>
      <c r="B165" s="1" t="s">
        <v>195</v>
      </c>
      <c r="C165" s="1" t="str">
        <f>"08769515"</f>
        <v>08769515</v>
      </c>
      <c r="D165" s="1" t="s">
        <v>196</v>
      </c>
      <c r="F165" s="1" t="str">
        <f>"187"</f>
        <v>187</v>
      </c>
      <c r="G165" s="2">
        <v>41948</v>
      </c>
      <c r="H165" s="1">
        <v>113500</v>
      </c>
      <c r="I165" s="1">
        <v>113500</v>
      </c>
      <c r="J165" s="1">
        <v>112000</v>
      </c>
      <c r="K165" s="2">
        <v>41947</v>
      </c>
      <c r="L165" s="1">
        <v>3</v>
      </c>
      <c r="M165" s="2">
        <v>41949</v>
      </c>
      <c r="N165" s="1">
        <v>3</v>
      </c>
      <c r="O165" s="2">
        <v>41949</v>
      </c>
      <c r="P165" s="1">
        <v>25088</v>
      </c>
      <c r="Q165" s="1" t="s">
        <v>197</v>
      </c>
      <c r="R165" s="2">
        <v>41982</v>
      </c>
      <c r="S165" s="1">
        <v>256862</v>
      </c>
      <c r="U165" s="1">
        <v>1565</v>
      </c>
      <c r="V165" s="1" t="s">
        <v>2942</v>
      </c>
      <c r="W165" s="1" t="s">
        <v>504</v>
      </c>
      <c r="X165" s="1" t="s">
        <v>527</v>
      </c>
      <c r="Y165" s="1">
        <v>4</v>
      </c>
      <c r="Z165" s="1" t="s">
        <v>370</v>
      </c>
      <c r="AA165" s="1" t="s">
        <v>964</v>
      </c>
      <c r="AB165" s="1">
        <v>60189</v>
      </c>
      <c r="AD165" s="1" t="s">
        <v>2943</v>
      </c>
      <c r="AE165" s="1" t="s">
        <v>2944</v>
      </c>
      <c r="AF165" s="1">
        <v>1974</v>
      </c>
      <c r="AG165" s="1" t="s">
        <v>213</v>
      </c>
      <c r="AH165" s="1" t="s">
        <v>967</v>
      </c>
      <c r="AI165" s="1" t="s">
        <v>206</v>
      </c>
      <c r="AJ165" s="1" t="s">
        <v>207</v>
      </c>
      <c r="AL165" s="1">
        <v>5</v>
      </c>
      <c r="AM165" s="1">
        <v>2</v>
      </c>
      <c r="AN165" s="1">
        <v>1</v>
      </c>
      <c r="AO165" s="1">
        <v>0</v>
      </c>
      <c r="AP165" s="1" t="s">
        <v>210</v>
      </c>
      <c r="AR165" s="1" t="s">
        <v>210</v>
      </c>
      <c r="AS165" s="1" t="s">
        <v>204</v>
      </c>
      <c r="AT165" s="1" t="s">
        <v>375</v>
      </c>
      <c r="AU165" s="1">
        <v>1</v>
      </c>
      <c r="AV165" s="1">
        <v>1</v>
      </c>
      <c r="AW165" s="1" t="s">
        <v>204</v>
      </c>
      <c r="AX165" s="1" t="s">
        <v>212</v>
      </c>
      <c r="AZ165" s="1">
        <v>2855</v>
      </c>
      <c r="BA165" s="1">
        <v>2013</v>
      </c>
      <c r="BB165" s="1" t="s">
        <v>405</v>
      </c>
      <c r="BE165" s="1">
        <v>882</v>
      </c>
      <c r="BF165" s="1">
        <v>1</v>
      </c>
      <c r="BG165" s="1">
        <v>1</v>
      </c>
      <c r="BL165" s="1">
        <v>230</v>
      </c>
      <c r="BM165" s="1" t="s">
        <v>204</v>
      </c>
      <c r="BN165" s="1" t="s">
        <v>213</v>
      </c>
      <c r="BO165" s="1">
        <v>99</v>
      </c>
      <c r="BP165" s="1" t="s">
        <v>204</v>
      </c>
      <c r="BR165" s="1" t="str">
        <f>"0520115021"</f>
        <v>0520115021</v>
      </c>
      <c r="BT165" s="1" t="s">
        <v>2945</v>
      </c>
      <c r="BU165" s="1" t="s">
        <v>1327</v>
      </c>
      <c r="BV165" s="1" t="s">
        <v>970</v>
      </c>
      <c r="BW165" s="1" t="s">
        <v>971</v>
      </c>
      <c r="BX165" s="1">
        <v>200</v>
      </c>
      <c r="BY165" s="1">
        <v>200</v>
      </c>
      <c r="BZ165" s="1">
        <v>200</v>
      </c>
      <c r="CB165" s="1" t="str">
        <f t="shared" ref="CB165:CC165" si="129">""</f>
        <v/>
      </c>
      <c r="CC165" s="1" t="str">
        <f t="shared" si="129"/>
        <v/>
      </c>
      <c r="CG165" s="1" t="s">
        <v>315</v>
      </c>
      <c r="CH165" s="1" t="s">
        <v>219</v>
      </c>
      <c r="CI165" s="1" t="s">
        <v>229</v>
      </c>
      <c r="CJ165" s="1" t="s">
        <v>909</v>
      </c>
      <c r="CK165" s="1" t="s">
        <v>465</v>
      </c>
      <c r="CL165" s="1" t="s">
        <v>219</v>
      </c>
      <c r="CM165" s="1" t="s">
        <v>229</v>
      </c>
      <c r="CN165" s="1" t="s">
        <v>909</v>
      </c>
      <c r="CO165" s="1" t="s">
        <v>2308</v>
      </c>
      <c r="CP165" s="1" t="s">
        <v>219</v>
      </c>
      <c r="CQ165" s="1" t="s">
        <v>229</v>
      </c>
      <c r="CR165" s="1" t="s">
        <v>909</v>
      </c>
      <c r="CS165" s="1" t="s">
        <v>346</v>
      </c>
      <c r="CT165" s="1" t="s">
        <v>219</v>
      </c>
      <c r="CU165" s="1" t="s">
        <v>229</v>
      </c>
      <c r="CV165" s="1" t="s">
        <v>343</v>
      </c>
      <c r="CX165" s="1" t="s">
        <v>224</v>
      </c>
      <c r="DB165" s="1" t="s">
        <v>224</v>
      </c>
      <c r="DE165" s="1" t="s">
        <v>516</v>
      </c>
      <c r="DF165" s="1" t="s">
        <v>219</v>
      </c>
      <c r="DG165" s="1" t="s">
        <v>226</v>
      </c>
      <c r="DJ165" s="1" t="s">
        <v>224</v>
      </c>
      <c r="DM165" s="1" t="s">
        <v>709</v>
      </c>
      <c r="DN165" s="1" t="s">
        <v>1771</v>
      </c>
      <c r="DR165" s="1" t="s">
        <v>1313</v>
      </c>
      <c r="DS165" s="1" t="s">
        <v>219</v>
      </c>
      <c r="DT165" s="1" t="s">
        <v>229</v>
      </c>
      <c r="DV165" s="1" t="s">
        <v>910</v>
      </c>
      <c r="DW165" s="1" t="s">
        <v>219</v>
      </c>
      <c r="DX165" s="1" t="s">
        <v>229</v>
      </c>
      <c r="EA165" s="1" t="s">
        <v>230</v>
      </c>
      <c r="EE165" s="1" t="s">
        <v>230</v>
      </c>
      <c r="EI165" s="1" t="s">
        <v>230</v>
      </c>
      <c r="EL165" s="1" t="s">
        <v>231</v>
      </c>
      <c r="EM165" s="1" t="s">
        <v>232</v>
      </c>
      <c r="EN165" s="1" t="s">
        <v>282</v>
      </c>
      <c r="EO165" s="1" t="s">
        <v>234</v>
      </c>
      <c r="EP165" s="1" t="s">
        <v>2946</v>
      </c>
      <c r="EQ165" s="1" t="s">
        <v>2188</v>
      </c>
      <c r="ER165" s="1" t="s">
        <v>210</v>
      </c>
      <c r="ES165" s="1" t="s">
        <v>954</v>
      </c>
      <c r="ET165" s="1" t="s">
        <v>1752</v>
      </c>
      <c r="EU165" s="1" t="s">
        <v>239</v>
      </c>
      <c r="EV165" s="1" t="s">
        <v>324</v>
      </c>
      <c r="EW165" s="1" t="s">
        <v>2947</v>
      </c>
      <c r="EZ165" s="1" t="s">
        <v>2948</v>
      </c>
      <c r="FA165" s="1" t="s">
        <v>938</v>
      </c>
      <c r="FC165" s="1" t="s">
        <v>326</v>
      </c>
      <c r="FD165" s="1" t="s">
        <v>246</v>
      </c>
      <c r="FE165" s="1" t="s">
        <v>2074</v>
      </c>
      <c r="FF165" s="1" t="s">
        <v>248</v>
      </c>
      <c r="FH165" s="1" t="s">
        <v>1316</v>
      </c>
      <c r="FI165" s="1" t="s">
        <v>2827</v>
      </c>
      <c r="FJ165" s="1" t="s">
        <v>197</v>
      </c>
      <c r="FK165" s="1" t="s">
        <v>2949</v>
      </c>
      <c r="FL165" s="1" t="s">
        <v>414</v>
      </c>
      <c r="FM165" s="1" t="s">
        <v>252</v>
      </c>
      <c r="FN165" s="1" t="s">
        <v>213</v>
      </c>
      <c r="FO165" s="1" t="s">
        <v>213</v>
      </c>
      <c r="FQ165" s="1" t="s">
        <v>913</v>
      </c>
      <c r="FR165" s="1" t="s">
        <v>210</v>
      </c>
      <c r="FS165" s="1" t="s">
        <v>2950</v>
      </c>
      <c r="FT165" s="1" t="s">
        <v>295</v>
      </c>
      <c r="FU165" s="1" t="s">
        <v>204</v>
      </c>
      <c r="FW165" s="1" t="s">
        <v>915</v>
      </c>
      <c r="FX165" s="1">
        <v>25088</v>
      </c>
      <c r="FY165" s="1" t="s">
        <v>1761</v>
      </c>
      <c r="FZ165" s="1" t="s">
        <v>2951</v>
      </c>
      <c r="GA165" s="1">
        <v>238523</v>
      </c>
      <c r="GB165" s="1" t="s">
        <v>2952</v>
      </c>
      <c r="GD165" s="1" t="s">
        <v>2953</v>
      </c>
      <c r="GE165" s="1" t="s">
        <v>1764</v>
      </c>
      <c r="GI165" s="1" t="s">
        <v>213</v>
      </c>
      <c r="GJ165" s="1" t="s">
        <v>260</v>
      </c>
      <c r="GK165" s="1" t="s">
        <v>210</v>
      </c>
      <c r="GL165" s="2">
        <v>41982</v>
      </c>
      <c r="GM165" s="1" t="s">
        <v>2954</v>
      </c>
    </row>
    <row r="166" spans="1:195">
      <c r="A166" s="1">
        <v>36000</v>
      </c>
      <c r="B166" s="1" t="s">
        <v>195</v>
      </c>
      <c r="C166" s="1" t="str">
        <f>"08768906"</f>
        <v>08768906</v>
      </c>
      <c r="D166" s="1" t="s">
        <v>196</v>
      </c>
      <c r="F166" s="1" t="str">
        <f>"8073"</f>
        <v>8073</v>
      </c>
      <c r="G166" s="2">
        <v>41947</v>
      </c>
      <c r="H166" s="1">
        <v>20000</v>
      </c>
      <c r="I166" s="1">
        <v>20000</v>
      </c>
      <c r="J166" s="1">
        <v>36000</v>
      </c>
      <c r="K166" s="2">
        <v>41947</v>
      </c>
      <c r="L166" s="1">
        <v>21</v>
      </c>
      <c r="M166" s="2">
        <v>41967</v>
      </c>
      <c r="N166" s="1">
        <v>21</v>
      </c>
      <c r="O166" s="2">
        <v>41967</v>
      </c>
      <c r="P166" s="1">
        <v>12293</v>
      </c>
      <c r="Q166" s="1" t="s">
        <v>302</v>
      </c>
      <c r="R166" s="2">
        <v>41995</v>
      </c>
      <c r="S166" s="1">
        <v>126208</v>
      </c>
      <c r="U166" s="1">
        <v>943</v>
      </c>
      <c r="V166" s="1" t="s">
        <v>2955</v>
      </c>
      <c r="W166" s="1" t="s">
        <v>725</v>
      </c>
      <c r="X166" s="1" t="s">
        <v>2798</v>
      </c>
      <c r="Y166" s="1">
        <v>6</v>
      </c>
      <c r="Z166" s="1" t="s">
        <v>249</v>
      </c>
      <c r="AA166" s="1" t="s">
        <v>400</v>
      </c>
      <c r="AB166" s="1">
        <v>60643</v>
      </c>
      <c r="AC166" s="1">
        <v>1504</v>
      </c>
      <c r="AE166" s="1" t="s">
        <v>2956</v>
      </c>
      <c r="AF166" s="1">
        <v>1967</v>
      </c>
      <c r="AG166" s="1" t="s">
        <v>213</v>
      </c>
      <c r="AH166" s="1" t="s">
        <v>403</v>
      </c>
      <c r="AI166" s="1" t="s">
        <v>310</v>
      </c>
      <c r="AJ166" s="1" t="s">
        <v>562</v>
      </c>
      <c r="AL166" s="1">
        <v>4</v>
      </c>
      <c r="AM166" s="1">
        <v>2</v>
      </c>
      <c r="AN166" s="1">
        <v>1</v>
      </c>
      <c r="AO166" s="1">
        <v>0</v>
      </c>
      <c r="AP166" s="1" t="s">
        <v>210</v>
      </c>
      <c r="AR166" s="1" t="s">
        <v>210</v>
      </c>
      <c r="AS166" s="1" t="s">
        <v>204</v>
      </c>
      <c r="AT166" s="1" t="s">
        <v>271</v>
      </c>
      <c r="AV166" s="1">
        <v>1</v>
      </c>
      <c r="AW166" s="1" t="s">
        <v>204</v>
      </c>
      <c r="AX166" s="1" t="s">
        <v>212</v>
      </c>
      <c r="AZ166" s="1">
        <v>1607</v>
      </c>
      <c r="BA166" s="1">
        <v>2012</v>
      </c>
      <c r="BE166" s="1">
        <v>950</v>
      </c>
      <c r="BF166" s="1">
        <v>3</v>
      </c>
      <c r="BG166" s="1">
        <v>0</v>
      </c>
      <c r="BL166" s="1">
        <v>200</v>
      </c>
      <c r="BM166" s="1" t="s">
        <v>204</v>
      </c>
      <c r="BN166" s="1" t="s">
        <v>213</v>
      </c>
      <c r="BO166" s="1">
        <v>30</v>
      </c>
      <c r="BP166" s="1" t="s">
        <v>204</v>
      </c>
      <c r="BR166" s="1" t="str">
        <f>"25082041031006"</f>
        <v>25082041031006</v>
      </c>
      <c r="BT166" s="1" t="s">
        <v>2957</v>
      </c>
      <c r="BX166" s="1">
        <v>299</v>
      </c>
      <c r="BY166" s="1">
        <v>299</v>
      </c>
      <c r="BZ166" s="1">
        <v>299</v>
      </c>
      <c r="CB166" s="1" t="str">
        <f t="shared" ref="CB166:CC166" si="130">"0"</f>
        <v>0</v>
      </c>
      <c r="CC166" s="1" t="str">
        <f t="shared" si="130"/>
        <v>0</v>
      </c>
      <c r="CD166" s="1">
        <v>943</v>
      </c>
      <c r="CE166" s="1">
        <v>9500</v>
      </c>
      <c r="CG166" s="1" t="s">
        <v>2560</v>
      </c>
      <c r="CH166" s="1" t="s">
        <v>219</v>
      </c>
      <c r="CI166" s="1" t="s">
        <v>438</v>
      </c>
      <c r="CK166" s="1" t="s">
        <v>344</v>
      </c>
      <c r="CL166" s="1" t="s">
        <v>219</v>
      </c>
      <c r="CM166" s="1" t="s">
        <v>438</v>
      </c>
      <c r="CP166" s="1" t="s">
        <v>224</v>
      </c>
      <c r="CS166" s="1" t="s">
        <v>465</v>
      </c>
      <c r="CT166" s="1" t="s">
        <v>219</v>
      </c>
      <c r="CX166" s="1" t="s">
        <v>224</v>
      </c>
      <c r="DB166" s="1" t="s">
        <v>224</v>
      </c>
      <c r="DE166" s="1" t="s">
        <v>708</v>
      </c>
      <c r="DF166" s="1" t="s">
        <v>219</v>
      </c>
      <c r="DJ166" s="1" t="s">
        <v>224</v>
      </c>
      <c r="DS166" s="1" t="s">
        <v>230</v>
      </c>
      <c r="DW166" s="1" t="s">
        <v>230</v>
      </c>
      <c r="EA166" s="1" t="s">
        <v>230</v>
      </c>
      <c r="EE166" s="1" t="s">
        <v>230</v>
      </c>
      <c r="EI166" s="1" t="s">
        <v>230</v>
      </c>
      <c r="EL166" s="1" t="s">
        <v>605</v>
      </c>
      <c r="EM166" s="1" t="s">
        <v>232</v>
      </c>
      <c r="EN166" s="1" t="s">
        <v>1158</v>
      </c>
      <c r="EO166" s="1" t="s">
        <v>234</v>
      </c>
      <c r="ER166" s="1" t="s">
        <v>210</v>
      </c>
      <c r="EW166" s="1" t="s">
        <v>286</v>
      </c>
      <c r="EZ166" s="1" t="s">
        <v>287</v>
      </c>
      <c r="FB166" s="1" t="s">
        <v>244</v>
      </c>
      <c r="FD166" s="1" t="s">
        <v>246</v>
      </c>
      <c r="FE166" s="1" t="s">
        <v>247</v>
      </c>
      <c r="FF166" s="1" t="s">
        <v>387</v>
      </c>
      <c r="FH166" s="1" t="s">
        <v>249</v>
      </c>
      <c r="FJ166" s="1" t="s">
        <v>2046</v>
      </c>
      <c r="FL166" s="1" t="s">
        <v>2958</v>
      </c>
      <c r="FM166" s="1" t="s">
        <v>252</v>
      </c>
      <c r="FN166" s="1" t="s">
        <v>213</v>
      </c>
      <c r="FO166" s="1" t="s">
        <v>213</v>
      </c>
      <c r="FQ166" s="1" t="s">
        <v>2959</v>
      </c>
      <c r="FR166" s="1" t="s">
        <v>210</v>
      </c>
      <c r="FS166" s="1" t="s">
        <v>2960</v>
      </c>
      <c r="FT166" s="1" t="s">
        <v>255</v>
      </c>
      <c r="FU166" s="1" t="s">
        <v>204</v>
      </c>
      <c r="FW166" s="1" t="s">
        <v>2961</v>
      </c>
      <c r="FX166" s="1">
        <v>12278</v>
      </c>
      <c r="FY166" s="1" t="s">
        <v>2962</v>
      </c>
      <c r="FZ166" s="1" t="s">
        <v>2963</v>
      </c>
      <c r="GA166" s="1">
        <v>119957</v>
      </c>
      <c r="GB166" s="1" t="s">
        <v>2962</v>
      </c>
      <c r="GE166" s="1" t="s">
        <v>1576</v>
      </c>
      <c r="GH166" s="1" t="s">
        <v>589</v>
      </c>
      <c r="GI166" s="1" t="s">
        <v>213</v>
      </c>
      <c r="GJ166" s="1" t="s">
        <v>260</v>
      </c>
      <c r="GK166" s="1" t="s">
        <v>210</v>
      </c>
      <c r="GL166" s="2">
        <v>42002</v>
      </c>
    </row>
    <row r="167" spans="1:195">
      <c r="A167" s="1">
        <v>87000</v>
      </c>
      <c r="B167" s="1" t="s">
        <v>195</v>
      </c>
      <c r="C167" s="1" t="str">
        <f>"08785295"</f>
        <v>08785295</v>
      </c>
      <c r="D167" s="1" t="s">
        <v>196</v>
      </c>
      <c r="F167" s="1" t="str">
        <f>"188"</f>
        <v>188</v>
      </c>
      <c r="G167" s="2">
        <v>41956</v>
      </c>
      <c r="H167" s="1">
        <v>97000</v>
      </c>
      <c r="I167" s="1">
        <v>97000</v>
      </c>
      <c r="J167" s="1">
        <v>87000</v>
      </c>
      <c r="K167" s="2">
        <v>41956</v>
      </c>
      <c r="L167" s="1">
        <v>6</v>
      </c>
      <c r="M167" s="2">
        <v>41961</v>
      </c>
      <c r="N167" s="1">
        <v>6</v>
      </c>
      <c r="O167" s="2">
        <v>41961</v>
      </c>
      <c r="P167" s="1">
        <v>23848</v>
      </c>
      <c r="Q167" s="1" t="s">
        <v>302</v>
      </c>
      <c r="R167" s="2">
        <v>41984</v>
      </c>
      <c r="S167" s="1">
        <v>253764</v>
      </c>
      <c r="U167" s="1">
        <v>518</v>
      </c>
      <c r="V167" s="1" t="s">
        <v>2964</v>
      </c>
      <c r="W167" s="1" t="s">
        <v>264</v>
      </c>
      <c r="X167" s="1" t="s">
        <v>2965</v>
      </c>
      <c r="Y167" s="1">
        <v>12</v>
      </c>
      <c r="Z167" s="1" t="s">
        <v>249</v>
      </c>
      <c r="AA167" s="1" t="s">
        <v>1084</v>
      </c>
      <c r="AB167" s="1">
        <v>60188</v>
      </c>
      <c r="AD167" s="1" t="s">
        <v>2964</v>
      </c>
      <c r="AE167" s="1" t="s">
        <v>2966</v>
      </c>
      <c r="AF167" s="1">
        <v>1982</v>
      </c>
      <c r="AG167" s="1" t="s">
        <v>204</v>
      </c>
      <c r="AH167" s="1" t="s">
        <v>1087</v>
      </c>
      <c r="AI167" s="1" t="s">
        <v>206</v>
      </c>
      <c r="AJ167" s="1" t="s">
        <v>207</v>
      </c>
      <c r="AL167" s="1">
        <v>5</v>
      </c>
      <c r="AM167" s="1">
        <v>2</v>
      </c>
      <c r="AN167" s="1">
        <v>2</v>
      </c>
      <c r="AO167" s="1">
        <v>0</v>
      </c>
      <c r="AP167" s="1" t="s">
        <v>209</v>
      </c>
      <c r="AQ167" s="1">
        <v>1</v>
      </c>
      <c r="AR167" s="1" t="s">
        <v>210</v>
      </c>
      <c r="AS167" s="1" t="s">
        <v>204</v>
      </c>
      <c r="AT167" s="1" t="s">
        <v>375</v>
      </c>
      <c r="AU167" s="1">
        <v>1</v>
      </c>
      <c r="AV167" s="1">
        <v>1</v>
      </c>
      <c r="AW167" s="1" t="s">
        <v>204</v>
      </c>
      <c r="AX167" s="1" t="s">
        <v>212</v>
      </c>
      <c r="AZ167" s="1">
        <v>3179.22</v>
      </c>
      <c r="BA167" s="1">
        <v>2013</v>
      </c>
      <c r="BB167" s="1" t="s">
        <v>405</v>
      </c>
      <c r="BE167" s="1">
        <v>1078</v>
      </c>
      <c r="BF167" s="1">
        <v>3</v>
      </c>
      <c r="BG167" s="1">
        <v>0</v>
      </c>
      <c r="BL167" s="1">
        <v>260</v>
      </c>
      <c r="BM167" s="1" t="s">
        <v>204</v>
      </c>
      <c r="BN167" s="1" t="s">
        <v>213</v>
      </c>
      <c r="BP167" s="1" t="s">
        <v>204</v>
      </c>
      <c r="BR167" s="1" t="str">
        <f>"0503305186"</f>
        <v>0503305186</v>
      </c>
      <c r="BT167" s="1" t="s">
        <v>2967</v>
      </c>
      <c r="BX167" s="1">
        <v>41</v>
      </c>
      <c r="BY167" s="1">
        <v>41</v>
      </c>
      <c r="BZ167" s="1">
        <v>87</v>
      </c>
      <c r="CB167" s="1" t="str">
        <f t="shared" ref="CB167:CC167" si="131">""</f>
        <v/>
      </c>
      <c r="CC167" s="1" t="str">
        <f t="shared" si="131"/>
        <v/>
      </c>
      <c r="CG167" s="1" t="s">
        <v>885</v>
      </c>
      <c r="CH167" s="1" t="s">
        <v>784</v>
      </c>
      <c r="CI167" s="1" t="s">
        <v>220</v>
      </c>
      <c r="CK167" s="1" t="s">
        <v>278</v>
      </c>
      <c r="CL167" s="1" t="s">
        <v>784</v>
      </c>
      <c r="CM167" s="1" t="s">
        <v>220</v>
      </c>
      <c r="CO167" s="1" t="s">
        <v>348</v>
      </c>
      <c r="CP167" s="1" t="s">
        <v>784</v>
      </c>
      <c r="CQ167" s="1" t="s">
        <v>220</v>
      </c>
      <c r="CS167" s="1" t="s">
        <v>1297</v>
      </c>
      <c r="CT167" s="1" t="s">
        <v>784</v>
      </c>
      <c r="CU167" s="1" t="s">
        <v>220</v>
      </c>
      <c r="CV167" s="1" t="s">
        <v>463</v>
      </c>
      <c r="CX167" s="1" t="s">
        <v>224</v>
      </c>
      <c r="DB167" s="1" t="s">
        <v>224</v>
      </c>
      <c r="DE167" s="1" t="s">
        <v>348</v>
      </c>
      <c r="DF167" s="1" t="s">
        <v>784</v>
      </c>
      <c r="DG167" s="1" t="s">
        <v>342</v>
      </c>
      <c r="DH167" s="1" t="s">
        <v>343</v>
      </c>
      <c r="DJ167" s="1" t="s">
        <v>224</v>
      </c>
      <c r="DM167" s="1" t="s">
        <v>709</v>
      </c>
      <c r="DR167" s="1" t="s">
        <v>2968</v>
      </c>
      <c r="DS167" s="1" t="s">
        <v>784</v>
      </c>
      <c r="DT167" s="1" t="s">
        <v>220</v>
      </c>
      <c r="DW167" s="1" t="s">
        <v>230</v>
      </c>
      <c r="EA167" s="1" t="s">
        <v>230</v>
      </c>
      <c r="EE167" s="1" t="s">
        <v>230</v>
      </c>
      <c r="EI167" s="1" t="s">
        <v>230</v>
      </c>
      <c r="EL167" s="1" t="s">
        <v>231</v>
      </c>
      <c r="EM167" s="1" t="s">
        <v>232</v>
      </c>
      <c r="EN167" s="1" t="s">
        <v>282</v>
      </c>
      <c r="EO167" s="1" t="s">
        <v>234</v>
      </c>
      <c r="EP167" s="1" t="s">
        <v>2969</v>
      </c>
      <c r="EQ167" s="1" t="s">
        <v>468</v>
      </c>
      <c r="ER167" s="1" t="s">
        <v>210</v>
      </c>
      <c r="EU167" s="1" t="s">
        <v>239</v>
      </c>
      <c r="EV167" s="1" t="s">
        <v>352</v>
      </c>
      <c r="EW167" s="1" t="s">
        <v>1698</v>
      </c>
      <c r="EZ167" s="1" t="s">
        <v>709</v>
      </c>
      <c r="FA167" s="1" t="s">
        <v>2189</v>
      </c>
      <c r="FB167" s="1" t="s">
        <v>289</v>
      </c>
      <c r="FD167" s="1" t="s">
        <v>736</v>
      </c>
      <c r="FE167" s="1" t="s">
        <v>2970</v>
      </c>
      <c r="FF167" s="1" t="s">
        <v>248</v>
      </c>
      <c r="FG167" s="1" t="s">
        <v>871</v>
      </c>
      <c r="FH167" s="1" t="s">
        <v>249</v>
      </c>
      <c r="FI167" s="1" t="s">
        <v>473</v>
      </c>
      <c r="FJ167" s="1" t="s">
        <v>518</v>
      </c>
      <c r="FK167" s="1" t="s">
        <v>2806</v>
      </c>
      <c r="FL167" s="1" t="s">
        <v>358</v>
      </c>
      <c r="FM167" s="1" t="s">
        <v>252</v>
      </c>
      <c r="FN167" s="1" t="s">
        <v>213</v>
      </c>
      <c r="FO167" s="1" t="s">
        <v>213</v>
      </c>
      <c r="FQ167" s="1" t="s">
        <v>849</v>
      </c>
      <c r="FR167" s="1" t="s">
        <v>210</v>
      </c>
      <c r="FS167" s="1" t="s">
        <v>2971</v>
      </c>
      <c r="FT167" s="1" t="s">
        <v>362</v>
      </c>
      <c r="FU167" s="1" t="s">
        <v>204</v>
      </c>
      <c r="FW167" s="1" t="s">
        <v>2972</v>
      </c>
      <c r="FX167" s="1">
        <v>28</v>
      </c>
      <c r="FY167" s="1" t="s">
        <v>2973</v>
      </c>
      <c r="FZ167" s="1" t="s">
        <v>2974</v>
      </c>
      <c r="GA167" s="1">
        <v>1040</v>
      </c>
      <c r="GC167" s="1">
        <v>7816</v>
      </c>
      <c r="GE167" s="1" t="s">
        <v>210</v>
      </c>
      <c r="GI167" s="1" t="s">
        <v>204</v>
      </c>
      <c r="GJ167" s="1" t="s">
        <v>260</v>
      </c>
      <c r="GK167" s="1" t="s">
        <v>210</v>
      </c>
      <c r="GL167" s="2">
        <v>41984</v>
      </c>
      <c r="GM167" s="1" t="s">
        <v>2975</v>
      </c>
    </row>
    <row r="168" spans="1:195">
      <c r="A168" s="1">
        <v>79000</v>
      </c>
      <c r="B168" s="1" t="s">
        <v>195</v>
      </c>
      <c r="C168" s="1" t="str">
        <f>"08767273"</f>
        <v>08767273</v>
      </c>
      <c r="D168" s="1" t="s">
        <v>196</v>
      </c>
      <c r="F168" s="1" t="str">
        <f>"559"</f>
        <v>559</v>
      </c>
      <c r="G168" s="2">
        <v>41946</v>
      </c>
      <c r="H168" s="1">
        <v>107900</v>
      </c>
      <c r="I168" s="1">
        <v>85000</v>
      </c>
      <c r="J168" s="1">
        <v>79000</v>
      </c>
      <c r="K168" s="2">
        <v>41946</v>
      </c>
      <c r="L168" s="1">
        <v>127</v>
      </c>
      <c r="M168" s="2">
        <v>42072</v>
      </c>
      <c r="N168" s="1">
        <v>127</v>
      </c>
      <c r="O168" s="2">
        <v>42072</v>
      </c>
      <c r="P168" s="1">
        <v>14810</v>
      </c>
      <c r="Q168" s="1" t="s">
        <v>302</v>
      </c>
      <c r="R168" s="2">
        <v>42089</v>
      </c>
      <c r="S168" s="1">
        <v>105318</v>
      </c>
      <c r="U168" s="1">
        <v>47</v>
      </c>
      <c r="V168" s="1" t="s">
        <v>2976</v>
      </c>
      <c r="W168" s="1" t="s">
        <v>264</v>
      </c>
      <c r="X168" s="1">
        <v>102</v>
      </c>
      <c r="Y168" s="1">
        <v>6</v>
      </c>
      <c r="Z168" s="1" t="s">
        <v>249</v>
      </c>
      <c r="AA168" s="1" t="s">
        <v>1950</v>
      </c>
      <c r="AB168" s="1">
        <v>60559</v>
      </c>
      <c r="AD168" s="1" t="s">
        <v>2977</v>
      </c>
      <c r="AE168" s="1" t="s">
        <v>2978</v>
      </c>
      <c r="AF168" s="1">
        <v>1975</v>
      </c>
      <c r="AG168" s="1" t="s">
        <v>213</v>
      </c>
      <c r="AH168" s="1" t="s">
        <v>1952</v>
      </c>
      <c r="AI168" s="1" t="s">
        <v>206</v>
      </c>
      <c r="AJ168" s="1" t="s">
        <v>903</v>
      </c>
      <c r="AL168" s="1">
        <v>5</v>
      </c>
      <c r="AM168" s="1">
        <v>2</v>
      </c>
      <c r="AN168" s="1">
        <v>2</v>
      </c>
      <c r="AO168" s="1">
        <v>0</v>
      </c>
      <c r="AP168" s="1" t="s">
        <v>209</v>
      </c>
      <c r="AQ168" s="1">
        <v>1</v>
      </c>
      <c r="AR168" s="1" t="s">
        <v>210</v>
      </c>
      <c r="AS168" s="1" t="s">
        <v>204</v>
      </c>
      <c r="AT168" s="1" t="s">
        <v>211</v>
      </c>
      <c r="AU168" s="1">
        <v>1</v>
      </c>
      <c r="AW168" s="1" t="s">
        <v>204</v>
      </c>
      <c r="AX168" s="1" t="s">
        <v>212</v>
      </c>
      <c r="AZ168" s="1">
        <v>2078</v>
      </c>
      <c r="BA168" s="1">
        <v>2013</v>
      </c>
      <c r="BB168" s="1" t="s">
        <v>405</v>
      </c>
      <c r="BE168" s="1">
        <v>1100</v>
      </c>
      <c r="BF168" s="1">
        <v>1</v>
      </c>
      <c r="BG168" s="1">
        <v>2</v>
      </c>
      <c r="BL168" s="1">
        <v>308</v>
      </c>
      <c r="BM168" s="1" t="s">
        <v>204</v>
      </c>
      <c r="BN168" s="1" t="s">
        <v>213</v>
      </c>
      <c r="BO168" s="1">
        <v>0</v>
      </c>
      <c r="BP168" s="1" t="s">
        <v>204</v>
      </c>
      <c r="BR168" s="1" t="str">
        <f>"0921213124"</f>
        <v>0921213124</v>
      </c>
      <c r="BT168" s="1" t="s">
        <v>2979</v>
      </c>
      <c r="BU168" s="1" t="s">
        <v>2980</v>
      </c>
      <c r="BV168" s="1" t="s">
        <v>2981</v>
      </c>
      <c r="BW168" s="1" t="s">
        <v>2762</v>
      </c>
      <c r="BX168" s="1">
        <v>60</v>
      </c>
      <c r="BY168" s="1">
        <v>60</v>
      </c>
      <c r="BZ168" s="1">
        <v>99</v>
      </c>
      <c r="CB168" s="1" t="str">
        <f t="shared" ref="CB168:CC168" si="132">"0"</f>
        <v>0</v>
      </c>
      <c r="CC168" s="1" t="str">
        <f t="shared" si="132"/>
        <v>0</v>
      </c>
      <c r="CD168" s="1">
        <v>18</v>
      </c>
      <c r="CE168" s="1">
        <v>7</v>
      </c>
      <c r="CG168" s="1" t="s">
        <v>2560</v>
      </c>
      <c r="CH168" s="1" t="s">
        <v>219</v>
      </c>
      <c r="CK168" s="1" t="s">
        <v>2934</v>
      </c>
      <c r="CL168" s="1" t="s">
        <v>219</v>
      </c>
      <c r="CO168" s="1" t="s">
        <v>407</v>
      </c>
      <c r="CP168" s="1" t="s">
        <v>219</v>
      </c>
      <c r="CS168" s="1" t="s">
        <v>1046</v>
      </c>
      <c r="CT168" s="1" t="s">
        <v>219</v>
      </c>
      <c r="CX168" s="1" t="s">
        <v>224</v>
      </c>
      <c r="DB168" s="1" t="s">
        <v>224</v>
      </c>
      <c r="DE168" s="1" t="s">
        <v>2982</v>
      </c>
      <c r="DF168" s="1" t="s">
        <v>219</v>
      </c>
      <c r="DJ168" s="1" t="s">
        <v>224</v>
      </c>
      <c r="DS168" s="1" t="s">
        <v>230</v>
      </c>
      <c r="DW168" s="1" t="s">
        <v>230</v>
      </c>
      <c r="EA168" s="1" t="s">
        <v>230</v>
      </c>
      <c r="EE168" s="1" t="s">
        <v>230</v>
      </c>
      <c r="EI168" s="1" t="s">
        <v>230</v>
      </c>
      <c r="EL168" s="1" t="s">
        <v>231</v>
      </c>
      <c r="EM168" s="1" t="s">
        <v>319</v>
      </c>
      <c r="EN168" s="1" t="s">
        <v>282</v>
      </c>
      <c r="EO168" s="1" t="s">
        <v>234</v>
      </c>
      <c r="EP168" s="1" t="s">
        <v>2983</v>
      </c>
      <c r="ER168" s="1" t="s">
        <v>210</v>
      </c>
      <c r="ES168" s="1" t="s">
        <v>608</v>
      </c>
      <c r="EV168" s="1" t="s">
        <v>352</v>
      </c>
      <c r="EW168" s="1" t="s">
        <v>1679</v>
      </c>
      <c r="EY168" s="1" t="s">
        <v>242</v>
      </c>
      <c r="EZ168" s="1" t="s">
        <v>287</v>
      </c>
      <c r="FB168" s="1" t="s">
        <v>289</v>
      </c>
      <c r="FC168" s="1" t="s">
        <v>1362</v>
      </c>
      <c r="FD168" s="1" t="s">
        <v>246</v>
      </c>
      <c r="FE168" s="1" t="s">
        <v>247</v>
      </c>
      <c r="FF168" s="1" t="s">
        <v>248</v>
      </c>
      <c r="FG168" s="1" t="s">
        <v>912</v>
      </c>
      <c r="FH168" s="1" t="s">
        <v>249</v>
      </c>
      <c r="FL168" s="1" t="s">
        <v>358</v>
      </c>
      <c r="FM168" s="1" t="s">
        <v>252</v>
      </c>
      <c r="FN168" s="1" t="s">
        <v>213</v>
      </c>
      <c r="FO168" s="1" t="s">
        <v>213</v>
      </c>
      <c r="FQ168" s="1" t="s">
        <v>582</v>
      </c>
      <c r="FR168" s="1" t="s">
        <v>210</v>
      </c>
      <c r="FS168" s="1" t="s">
        <v>2984</v>
      </c>
      <c r="FT168" s="1" t="s">
        <v>584</v>
      </c>
      <c r="FU168" s="1" t="s">
        <v>204</v>
      </c>
      <c r="FW168" s="1" t="s">
        <v>2985</v>
      </c>
      <c r="FX168" s="1">
        <v>23959</v>
      </c>
      <c r="FY168" s="1" t="s">
        <v>2986</v>
      </c>
      <c r="FZ168" s="1" t="s">
        <v>2987</v>
      </c>
      <c r="GA168" s="1">
        <v>220868</v>
      </c>
      <c r="GB168" s="1" t="s">
        <v>2986</v>
      </c>
      <c r="GE168" s="1" t="s">
        <v>2504</v>
      </c>
      <c r="GI168" s="1" t="s">
        <v>213</v>
      </c>
      <c r="GJ168" s="1" t="s">
        <v>260</v>
      </c>
      <c r="GK168" s="1" t="s">
        <v>210</v>
      </c>
      <c r="GL168" s="2">
        <v>42089</v>
      </c>
      <c r="GM168" s="1" t="s">
        <v>2988</v>
      </c>
    </row>
    <row r="169" spans="1:195">
      <c r="A169" s="1">
        <v>19000</v>
      </c>
      <c r="B169" s="1" t="s">
        <v>195</v>
      </c>
      <c r="C169" s="1" t="str">
        <f>"08767364"</f>
        <v>08767364</v>
      </c>
      <c r="D169" s="1" t="s">
        <v>196</v>
      </c>
      <c r="F169" s="1" t="str">
        <f>"8039"</f>
        <v>8039</v>
      </c>
      <c r="G169" s="2">
        <v>41946</v>
      </c>
      <c r="H169" s="1">
        <v>25000</v>
      </c>
      <c r="I169" s="1">
        <v>25000</v>
      </c>
      <c r="J169" s="1">
        <v>19000</v>
      </c>
      <c r="K169" s="2">
        <v>41946</v>
      </c>
      <c r="L169" s="1">
        <v>17</v>
      </c>
      <c r="M169" s="2">
        <v>41962</v>
      </c>
      <c r="N169" s="1">
        <v>17</v>
      </c>
      <c r="O169" s="2">
        <v>41962</v>
      </c>
      <c r="P169" s="1">
        <v>12293</v>
      </c>
      <c r="Q169" s="1" t="s">
        <v>302</v>
      </c>
      <c r="R169" s="2">
        <v>42025</v>
      </c>
      <c r="S169" s="1">
        <v>102380</v>
      </c>
      <c r="U169" s="1">
        <v>4800</v>
      </c>
      <c r="V169" s="1" t="s">
        <v>2989</v>
      </c>
      <c r="W169" s="1" t="s">
        <v>425</v>
      </c>
      <c r="X169" s="1">
        <v>1510</v>
      </c>
      <c r="Y169" s="1">
        <v>360</v>
      </c>
      <c r="Z169" s="1" t="s">
        <v>2811</v>
      </c>
      <c r="AA169" s="1" t="s">
        <v>400</v>
      </c>
      <c r="AB169" s="1">
        <v>60615</v>
      </c>
      <c r="AE169" s="1" t="s">
        <v>2990</v>
      </c>
      <c r="AF169" s="1">
        <v>1973</v>
      </c>
      <c r="AG169" s="1" t="s">
        <v>213</v>
      </c>
      <c r="AH169" s="1" t="s">
        <v>403</v>
      </c>
      <c r="AI169" s="1" t="s">
        <v>310</v>
      </c>
      <c r="AJ169" s="1" t="s">
        <v>562</v>
      </c>
      <c r="AL169" s="1">
        <v>5</v>
      </c>
      <c r="AM169" s="1">
        <v>2</v>
      </c>
      <c r="AN169" s="1">
        <v>1</v>
      </c>
      <c r="AO169" s="1">
        <v>0</v>
      </c>
      <c r="AP169" s="1" t="s">
        <v>210</v>
      </c>
      <c r="AR169" s="1" t="s">
        <v>210</v>
      </c>
      <c r="AS169" s="1" t="s">
        <v>204</v>
      </c>
      <c r="AT169" s="1" t="s">
        <v>271</v>
      </c>
      <c r="AV169" s="1">
        <v>1</v>
      </c>
      <c r="AW169" s="1" t="s">
        <v>204</v>
      </c>
      <c r="AX169" s="1" t="s">
        <v>212</v>
      </c>
      <c r="AZ169" s="1">
        <v>1400</v>
      </c>
      <c r="BA169" s="1">
        <v>2013</v>
      </c>
      <c r="BE169" s="1">
        <v>1200</v>
      </c>
      <c r="BF169" s="1">
        <v>15</v>
      </c>
      <c r="BG169" s="1">
        <v>20</v>
      </c>
      <c r="BJ169" s="1">
        <v>100</v>
      </c>
      <c r="BL169" s="1">
        <v>805</v>
      </c>
      <c r="BM169" s="1" t="s">
        <v>204</v>
      </c>
      <c r="BN169" s="1" t="s">
        <v>204</v>
      </c>
      <c r="BP169" s="1" t="s">
        <v>204</v>
      </c>
      <c r="BR169" s="1" t="str">
        <f>"20112060580000"</f>
        <v>20112060580000</v>
      </c>
      <c r="BT169" s="1" t="s">
        <v>2991</v>
      </c>
      <c r="BX169" s="1">
        <v>299</v>
      </c>
      <c r="BY169" s="1">
        <v>299</v>
      </c>
      <c r="BZ169" s="1">
        <v>299</v>
      </c>
      <c r="CB169" s="1" t="str">
        <f t="shared" ref="CB169:CB170" si="133">"0"</f>
        <v>0</v>
      </c>
      <c r="CC169" s="1" t="str">
        <f>"1700"</f>
        <v>1700</v>
      </c>
      <c r="CD169" s="1">
        <v>0</v>
      </c>
      <c r="CE169" s="1">
        <v>4800</v>
      </c>
      <c r="CG169" s="1" t="s">
        <v>2402</v>
      </c>
      <c r="CH169" s="1" t="s">
        <v>219</v>
      </c>
      <c r="CK169" s="1" t="s">
        <v>2992</v>
      </c>
      <c r="CL169" s="1" t="s">
        <v>219</v>
      </c>
      <c r="CO169" s="1" t="s">
        <v>836</v>
      </c>
      <c r="CP169" s="1" t="s">
        <v>219</v>
      </c>
      <c r="CS169" s="1" t="s">
        <v>437</v>
      </c>
      <c r="CT169" s="1" t="s">
        <v>219</v>
      </c>
      <c r="CX169" s="1" t="s">
        <v>224</v>
      </c>
      <c r="DB169" s="1" t="s">
        <v>224</v>
      </c>
      <c r="DE169" s="1" t="s">
        <v>1571</v>
      </c>
      <c r="DF169" s="1" t="s">
        <v>219</v>
      </c>
      <c r="DJ169" s="1" t="s">
        <v>224</v>
      </c>
      <c r="DS169" s="1" t="s">
        <v>230</v>
      </c>
      <c r="DW169" s="1" t="s">
        <v>230</v>
      </c>
      <c r="EA169" s="1" t="s">
        <v>230</v>
      </c>
      <c r="EE169" s="1" t="s">
        <v>230</v>
      </c>
      <c r="EI169" s="1" t="s">
        <v>230</v>
      </c>
      <c r="EL169" s="1" t="s">
        <v>605</v>
      </c>
      <c r="EM169" s="1" t="s">
        <v>232</v>
      </c>
      <c r="EN169" s="1" t="s">
        <v>282</v>
      </c>
      <c r="EO169" s="1" t="s">
        <v>234</v>
      </c>
      <c r="EP169" s="1" t="s">
        <v>2993</v>
      </c>
      <c r="EQ169" s="1" t="s">
        <v>2994</v>
      </c>
      <c r="ER169" s="1" t="s">
        <v>210</v>
      </c>
      <c r="EV169" s="1" t="s">
        <v>352</v>
      </c>
      <c r="EW169" s="1" t="s">
        <v>2995</v>
      </c>
      <c r="EZ169" s="1" t="s">
        <v>287</v>
      </c>
      <c r="FB169" s="1" t="s">
        <v>1755</v>
      </c>
      <c r="FC169" s="1" t="s">
        <v>2996</v>
      </c>
      <c r="FD169" s="1" t="s">
        <v>1112</v>
      </c>
      <c r="FE169" s="1" t="s">
        <v>2997</v>
      </c>
      <c r="FF169" s="1" t="s">
        <v>2998</v>
      </c>
      <c r="FH169" s="1" t="s">
        <v>249</v>
      </c>
      <c r="FL169" s="1" t="s">
        <v>292</v>
      </c>
      <c r="FM169" s="1" t="s">
        <v>252</v>
      </c>
      <c r="FN169" s="1" t="s">
        <v>213</v>
      </c>
      <c r="FO169" s="1" t="s">
        <v>213</v>
      </c>
      <c r="FQ169" s="1" t="s">
        <v>2999</v>
      </c>
      <c r="FR169" s="1" t="s">
        <v>210</v>
      </c>
      <c r="FS169" s="1" t="s">
        <v>3000</v>
      </c>
      <c r="FT169" s="1" t="s">
        <v>255</v>
      </c>
      <c r="FU169" s="1" t="s">
        <v>204</v>
      </c>
      <c r="FW169" s="1" t="s">
        <v>3001</v>
      </c>
      <c r="FX169" s="1">
        <v>25502</v>
      </c>
      <c r="FY169" s="1" t="s">
        <v>3002</v>
      </c>
      <c r="FZ169" s="1" t="s">
        <v>3003</v>
      </c>
      <c r="GA169" s="1">
        <v>239541</v>
      </c>
      <c r="GE169" s="1" t="s">
        <v>210</v>
      </c>
      <c r="GH169" s="1" t="s">
        <v>421</v>
      </c>
      <c r="GI169" s="1" t="s">
        <v>204</v>
      </c>
      <c r="GJ169" s="1" t="s">
        <v>260</v>
      </c>
      <c r="GK169" s="1" t="s">
        <v>210</v>
      </c>
      <c r="GL169" s="2">
        <v>42025</v>
      </c>
      <c r="GM169" s="1" t="s">
        <v>3004</v>
      </c>
    </row>
    <row r="170" spans="1:195">
      <c r="A170" s="1">
        <v>99900</v>
      </c>
      <c r="B170" s="1" t="s">
        <v>195</v>
      </c>
      <c r="C170" s="1" t="str">
        <f>"08769817"</f>
        <v>08769817</v>
      </c>
      <c r="D170" s="1" t="s">
        <v>196</v>
      </c>
      <c r="F170" s="1" t="str">
        <f>"543"</f>
        <v>543</v>
      </c>
      <c r="G170" s="2">
        <v>41948</v>
      </c>
      <c r="H170" s="1">
        <v>99900</v>
      </c>
      <c r="I170" s="1">
        <v>99900</v>
      </c>
      <c r="J170" s="1">
        <v>99900</v>
      </c>
      <c r="K170" s="2">
        <v>41948</v>
      </c>
      <c r="L170" s="1">
        <v>135</v>
      </c>
      <c r="M170" s="2">
        <v>41960</v>
      </c>
      <c r="N170" s="1">
        <v>13</v>
      </c>
      <c r="O170" s="2">
        <v>41960</v>
      </c>
      <c r="P170" s="1">
        <v>74602</v>
      </c>
      <c r="Q170" s="1" t="s">
        <v>423</v>
      </c>
      <c r="R170" s="2">
        <v>42034</v>
      </c>
      <c r="S170" s="1">
        <v>705538</v>
      </c>
      <c r="T170" s="1">
        <v>2997</v>
      </c>
      <c r="U170" s="1">
        <v>421</v>
      </c>
      <c r="V170" s="1" t="s">
        <v>3005</v>
      </c>
      <c r="W170" s="1" t="s">
        <v>3006</v>
      </c>
      <c r="X170" s="1">
        <v>421</v>
      </c>
      <c r="Y170" s="1">
        <v>4</v>
      </c>
      <c r="Z170" s="1" t="s">
        <v>370</v>
      </c>
      <c r="AA170" s="1" t="s">
        <v>2639</v>
      </c>
      <c r="AB170" s="1">
        <v>60543</v>
      </c>
      <c r="AD170" s="1" t="s">
        <v>3007</v>
      </c>
      <c r="AE170" s="1" t="s">
        <v>3008</v>
      </c>
      <c r="AF170" s="1">
        <v>2006</v>
      </c>
      <c r="AG170" s="1" t="s">
        <v>204</v>
      </c>
      <c r="AH170" s="1" t="s">
        <v>1397</v>
      </c>
      <c r="AI170" s="1" t="s">
        <v>453</v>
      </c>
      <c r="AJ170" s="1" t="s">
        <v>1397</v>
      </c>
      <c r="AK170" s="1" t="s">
        <v>1310</v>
      </c>
      <c r="AL170" s="1">
        <v>5</v>
      </c>
      <c r="AM170" s="1">
        <v>2</v>
      </c>
      <c r="AN170" s="1">
        <v>1</v>
      </c>
      <c r="AO170" s="1">
        <v>1</v>
      </c>
      <c r="AP170" s="1" t="s">
        <v>209</v>
      </c>
      <c r="AR170" s="1" t="s">
        <v>210</v>
      </c>
      <c r="AS170" s="1" t="s">
        <v>204</v>
      </c>
      <c r="AT170" s="1" t="s">
        <v>211</v>
      </c>
      <c r="AU170" s="1">
        <v>2</v>
      </c>
      <c r="AW170" s="1" t="s">
        <v>204</v>
      </c>
      <c r="AX170" s="1" t="s">
        <v>212</v>
      </c>
      <c r="AZ170" s="1">
        <v>4382.1000000000004</v>
      </c>
      <c r="BA170" s="1">
        <v>2012</v>
      </c>
      <c r="BB170" s="1" t="s">
        <v>405</v>
      </c>
      <c r="BE170" s="1">
        <v>1153</v>
      </c>
      <c r="BF170" s="1">
        <v>1</v>
      </c>
      <c r="BG170" s="1">
        <v>0</v>
      </c>
      <c r="BL170" s="1">
        <v>125</v>
      </c>
      <c r="BM170" s="1" t="s">
        <v>204</v>
      </c>
      <c r="BN170" s="1" t="s">
        <v>213</v>
      </c>
      <c r="BO170" s="1">
        <v>999</v>
      </c>
      <c r="BP170" s="1" t="s">
        <v>204</v>
      </c>
      <c r="BR170" s="1" t="str">
        <f>"0312480010"</f>
        <v>0312480010</v>
      </c>
      <c r="BT170" s="1" t="s">
        <v>3009</v>
      </c>
      <c r="BU170" s="1" t="s">
        <v>2167</v>
      </c>
      <c r="BV170" s="1" t="s">
        <v>3010</v>
      </c>
      <c r="BW170" s="1" t="s">
        <v>1401</v>
      </c>
      <c r="BX170" s="1">
        <v>308</v>
      </c>
      <c r="BY170" s="1">
        <v>308</v>
      </c>
      <c r="BZ170" s="1">
        <v>308</v>
      </c>
      <c r="CB170" s="1" t="str">
        <f t="shared" si="133"/>
        <v>0</v>
      </c>
      <c r="CC170" s="1" t="str">
        <f>"34"</f>
        <v>34</v>
      </c>
      <c r="CD170" s="1">
        <v>0</v>
      </c>
      <c r="CE170" s="1">
        <v>10</v>
      </c>
      <c r="CG170" s="1" t="s">
        <v>515</v>
      </c>
      <c r="CH170" s="1" t="s">
        <v>219</v>
      </c>
      <c r="CI170" s="1" t="s">
        <v>220</v>
      </c>
      <c r="CJ170" s="1" t="s">
        <v>210</v>
      </c>
      <c r="CK170" s="1" t="s">
        <v>315</v>
      </c>
      <c r="CL170" s="1" t="s">
        <v>219</v>
      </c>
      <c r="CM170" s="1" t="s">
        <v>220</v>
      </c>
      <c r="CN170" s="1" t="s">
        <v>210</v>
      </c>
      <c r="CO170" s="1" t="s">
        <v>629</v>
      </c>
      <c r="CP170" s="1" t="s">
        <v>219</v>
      </c>
      <c r="CQ170" s="1" t="s">
        <v>220</v>
      </c>
      <c r="CS170" s="1" t="s">
        <v>1297</v>
      </c>
      <c r="CT170" s="1" t="s">
        <v>219</v>
      </c>
      <c r="CU170" s="1" t="s">
        <v>220</v>
      </c>
      <c r="CV170" s="1" t="s">
        <v>210</v>
      </c>
      <c r="CX170" s="1" t="s">
        <v>224</v>
      </c>
      <c r="DB170" s="1" t="s">
        <v>224</v>
      </c>
      <c r="DE170" s="1" t="s">
        <v>933</v>
      </c>
      <c r="DF170" s="1" t="s">
        <v>219</v>
      </c>
      <c r="DG170" s="1" t="s">
        <v>342</v>
      </c>
      <c r="DH170" s="1" t="s">
        <v>210</v>
      </c>
      <c r="DJ170" s="1" t="s">
        <v>224</v>
      </c>
      <c r="DM170" s="1" t="s">
        <v>3011</v>
      </c>
      <c r="DR170" s="1" t="s">
        <v>2219</v>
      </c>
      <c r="DS170" s="1" t="s">
        <v>219</v>
      </c>
      <c r="DT170" s="1" t="s">
        <v>342</v>
      </c>
      <c r="DW170" s="1" t="s">
        <v>230</v>
      </c>
      <c r="EA170" s="1" t="s">
        <v>230</v>
      </c>
      <c r="EE170" s="1" t="s">
        <v>230</v>
      </c>
      <c r="EI170" s="1" t="s">
        <v>230</v>
      </c>
      <c r="EL170" s="1" t="s">
        <v>491</v>
      </c>
      <c r="EM170" s="1" t="s">
        <v>761</v>
      </c>
      <c r="EN170" s="1" t="s">
        <v>282</v>
      </c>
      <c r="EO170" s="1" t="s">
        <v>234</v>
      </c>
      <c r="EP170" s="1" t="s">
        <v>3012</v>
      </c>
      <c r="ER170" s="1" t="s">
        <v>210</v>
      </c>
      <c r="ES170" s="1" t="s">
        <v>824</v>
      </c>
      <c r="EV170" s="1" t="s">
        <v>1553</v>
      </c>
      <c r="EW170" s="1" t="s">
        <v>353</v>
      </c>
      <c r="EY170" s="1" t="s">
        <v>242</v>
      </c>
      <c r="EZ170" s="1" t="s">
        <v>3011</v>
      </c>
      <c r="FA170" s="1" t="s">
        <v>1554</v>
      </c>
      <c r="FD170" s="1" t="s">
        <v>246</v>
      </c>
      <c r="FE170" s="1" t="s">
        <v>247</v>
      </c>
      <c r="FF170" s="1" t="s">
        <v>248</v>
      </c>
      <c r="FH170" s="1" t="s">
        <v>3013</v>
      </c>
      <c r="FI170" s="1" t="s">
        <v>473</v>
      </c>
      <c r="FL170" s="1" t="s">
        <v>414</v>
      </c>
      <c r="FM170" s="1" t="s">
        <v>252</v>
      </c>
      <c r="FN170" s="1" t="s">
        <v>213</v>
      </c>
      <c r="FO170" s="1" t="s">
        <v>213</v>
      </c>
      <c r="FQ170" s="1" t="s">
        <v>582</v>
      </c>
      <c r="FR170" s="1" t="s">
        <v>210</v>
      </c>
      <c r="FS170" s="1" t="s">
        <v>3014</v>
      </c>
      <c r="FT170" s="1" t="s">
        <v>584</v>
      </c>
      <c r="FU170" s="1" t="s">
        <v>204</v>
      </c>
      <c r="FW170" s="1" t="s">
        <v>3015</v>
      </c>
      <c r="FX170" s="1">
        <v>24199</v>
      </c>
      <c r="FY170" s="1" t="s">
        <v>3016</v>
      </c>
      <c r="FZ170" s="1" t="s">
        <v>3017</v>
      </c>
      <c r="GA170" s="1">
        <v>235607</v>
      </c>
      <c r="GB170" s="1" t="s">
        <v>3018</v>
      </c>
      <c r="GC170" s="1">
        <v>237175</v>
      </c>
      <c r="GE170" s="1" t="s">
        <v>480</v>
      </c>
      <c r="GI170" s="1" t="s">
        <v>204</v>
      </c>
      <c r="GJ170" s="1" t="s">
        <v>260</v>
      </c>
      <c r="GK170" s="1" t="s">
        <v>210</v>
      </c>
      <c r="GL170" s="2">
        <v>42037</v>
      </c>
      <c r="GM170" s="1" t="s">
        <v>3019</v>
      </c>
    </row>
    <row r="171" spans="1:195">
      <c r="A171" s="1">
        <v>112000</v>
      </c>
      <c r="B171" s="1" t="s">
        <v>195</v>
      </c>
      <c r="C171" s="1" t="str">
        <f>"08769849"</f>
        <v>08769849</v>
      </c>
      <c r="D171" s="1" t="s">
        <v>196</v>
      </c>
      <c r="F171" s="1" t="str">
        <f>"545"</f>
        <v>545</v>
      </c>
      <c r="G171" s="2">
        <v>41948</v>
      </c>
      <c r="H171" s="1">
        <v>109900</v>
      </c>
      <c r="I171" s="1">
        <v>109900</v>
      </c>
      <c r="J171" s="1">
        <v>112000</v>
      </c>
      <c r="K171" s="2">
        <v>41948</v>
      </c>
      <c r="L171" s="1">
        <v>13</v>
      </c>
      <c r="M171" s="2">
        <v>41960</v>
      </c>
      <c r="N171" s="1">
        <v>13</v>
      </c>
      <c r="O171" s="2">
        <v>41960</v>
      </c>
      <c r="P171" s="1">
        <v>23265</v>
      </c>
      <c r="Q171" s="1" t="s">
        <v>423</v>
      </c>
      <c r="R171" s="2">
        <v>41996</v>
      </c>
      <c r="S171" s="1">
        <v>225977</v>
      </c>
      <c r="U171" s="1">
        <v>4212</v>
      </c>
      <c r="V171" s="1" t="s">
        <v>3020</v>
      </c>
      <c r="W171" s="1" t="s">
        <v>725</v>
      </c>
      <c r="Y171" s="1">
        <v>2</v>
      </c>
      <c r="Z171" s="1" t="s">
        <v>370</v>
      </c>
      <c r="AA171" s="1" t="s">
        <v>1335</v>
      </c>
      <c r="AB171" s="1">
        <v>60545</v>
      </c>
      <c r="AD171" s="1" t="s">
        <v>1336</v>
      </c>
      <c r="AE171" s="1" t="s">
        <v>3021</v>
      </c>
      <c r="AF171" s="1">
        <v>2004</v>
      </c>
      <c r="AG171" s="1" t="s">
        <v>204</v>
      </c>
      <c r="AH171" s="1" t="s">
        <v>1338</v>
      </c>
      <c r="AI171" s="1" t="s">
        <v>453</v>
      </c>
      <c r="AJ171" s="1" t="s">
        <v>1339</v>
      </c>
      <c r="AK171" s="1" t="s">
        <v>1340</v>
      </c>
      <c r="AL171" s="1">
        <v>6</v>
      </c>
      <c r="AM171" s="1">
        <v>2</v>
      </c>
      <c r="AN171" s="1">
        <v>2</v>
      </c>
      <c r="AO171" s="1">
        <v>1</v>
      </c>
      <c r="AP171" s="1" t="s">
        <v>209</v>
      </c>
      <c r="AR171" s="1" t="s">
        <v>210</v>
      </c>
      <c r="AS171" s="1" t="s">
        <v>204</v>
      </c>
      <c r="AT171" s="1" t="s">
        <v>211</v>
      </c>
      <c r="AU171" s="1">
        <v>1</v>
      </c>
      <c r="AW171" s="1" t="s">
        <v>204</v>
      </c>
      <c r="AX171" s="1" t="s">
        <v>3022</v>
      </c>
      <c r="AZ171" s="1">
        <v>3733.3</v>
      </c>
      <c r="BA171" s="1">
        <v>2013</v>
      </c>
      <c r="BB171" s="1" t="s">
        <v>405</v>
      </c>
      <c r="BE171" s="1">
        <v>1382</v>
      </c>
      <c r="BF171" s="1">
        <v>1</v>
      </c>
      <c r="BG171" s="1">
        <v>0</v>
      </c>
      <c r="BL171" s="1">
        <v>35</v>
      </c>
      <c r="BM171" s="1" t="s">
        <v>213</v>
      </c>
      <c r="BN171" s="1" t="s">
        <v>213</v>
      </c>
      <c r="BO171" s="1" t="s">
        <v>432</v>
      </c>
      <c r="BP171" s="1" t="s">
        <v>204</v>
      </c>
      <c r="BR171" s="1" t="str">
        <f>"0125203070"</f>
        <v>0125203070</v>
      </c>
      <c r="BT171" s="1" t="s">
        <v>3023</v>
      </c>
      <c r="BX171" s="1">
        <v>88</v>
      </c>
      <c r="BY171" s="1">
        <v>88</v>
      </c>
      <c r="BZ171" s="1">
        <v>88</v>
      </c>
      <c r="CB171" s="1" t="str">
        <f t="shared" ref="CB171:CC171" si="134">""</f>
        <v/>
      </c>
      <c r="CC171" s="1" t="str">
        <f t="shared" si="134"/>
        <v/>
      </c>
      <c r="CG171" s="1" t="s">
        <v>602</v>
      </c>
      <c r="CH171" s="1" t="s">
        <v>219</v>
      </c>
      <c r="CI171" s="1" t="s">
        <v>220</v>
      </c>
      <c r="CK171" s="1" t="s">
        <v>885</v>
      </c>
      <c r="CL171" s="1" t="s">
        <v>277</v>
      </c>
      <c r="CM171" s="1" t="s">
        <v>220</v>
      </c>
      <c r="CO171" s="1" t="s">
        <v>2122</v>
      </c>
      <c r="CP171" s="1" t="s">
        <v>219</v>
      </c>
      <c r="CQ171" s="1" t="s">
        <v>220</v>
      </c>
      <c r="CS171" s="1" t="s">
        <v>379</v>
      </c>
      <c r="CT171" s="1" t="s">
        <v>277</v>
      </c>
      <c r="CU171" s="1" t="s">
        <v>220</v>
      </c>
      <c r="CX171" s="1" t="s">
        <v>224</v>
      </c>
      <c r="DB171" s="1" t="s">
        <v>224</v>
      </c>
      <c r="DE171" s="1" t="s">
        <v>317</v>
      </c>
      <c r="DF171" s="1" t="s">
        <v>219</v>
      </c>
      <c r="DG171" s="1" t="s">
        <v>342</v>
      </c>
      <c r="DJ171" s="1" t="s">
        <v>224</v>
      </c>
      <c r="DM171" s="1" t="s">
        <v>464</v>
      </c>
      <c r="DR171" s="1" t="s">
        <v>346</v>
      </c>
      <c r="DS171" s="1" t="s">
        <v>277</v>
      </c>
      <c r="DT171" s="1" t="s">
        <v>220</v>
      </c>
      <c r="DW171" s="1" t="s">
        <v>230</v>
      </c>
      <c r="EA171" s="1" t="s">
        <v>230</v>
      </c>
      <c r="EE171" s="1" t="s">
        <v>230</v>
      </c>
      <c r="EI171" s="1" t="s">
        <v>230</v>
      </c>
      <c r="EL171" s="1" t="s">
        <v>491</v>
      </c>
      <c r="EM171" s="1" t="s">
        <v>319</v>
      </c>
      <c r="EN171" s="1" t="s">
        <v>282</v>
      </c>
      <c r="EO171" s="1" t="s">
        <v>234</v>
      </c>
      <c r="EP171" s="1" t="s">
        <v>3024</v>
      </c>
      <c r="EQ171" s="1" t="s">
        <v>236</v>
      </c>
      <c r="ER171" s="1" t="s">
        <v>383</v>
      </c>
      <c r="ES171" s="1" t="s">
        <v>824</v>
      </c>
      <c r="EU171" s="1" t="s">
        <v>3025</v>
      </c>
      <c r="EV171" s="1" t="s">
        <v>324</v>
      </c>
      <c r="EW171" s="1" t="s">
        <v>1662</v>
      </c>
      <c r="EZ171" s="1" t="s">
        <v>464</v>
      </c>
      <c r="FD171" s="1" t="s">
        <v>246</v>
      </c>
      <c r="FE171" s="1" t="s">
        <v>472</v>
      </c>
      <c r="FF171" s="1" t="s">
        <v>248</v>
      </c>
      <c r="FH171" s="1" t="s">
        <v>442</v>
      </c>
      <c r="FI171" s="1" t="s">
        <v>473</v>
      </c>
      <c r="FL171" s="1" t="s">
        <v>358</v>
      </c>
      <c r="FM171" s="1" t="s">
        <v>252</v>
      </c>
      <c r="FN171" s="1" t="s">
        <v>213</v>
      </c>
      <c r="FO171" s="1" t="s">
        <v>213</v>
      </c>
      <c r="FQ171" s="1" t="s">
        <v>2253</v>
      </c>
      <c r="FR171" s="1" t="s">
        <v>210</v>
      </c>
      <c r="FS171" s="1" t="s">
        <v>3026</v>
      </c>
      <c r="FT171" s="1" t="s">
        <v>295</v>
      </c>
      <c r="FU171" s="1" t="s">
        <v>204</v>
      </c>
      <c r="FW171" s="1" t="s">
        <v>719</v>
      </c>
      <c r="FX171" s="1">
        <v>22029</v>
      </c>
      <c r="FY171" s="1" t="s">
        <v>720</v>
      </c>
      <c r="FZ171" s="1" t="s">
        <v>3027</v>
      </c>
      <c r="GA171" s="1">
        <v>215986</v>
      </c>
      <c r="GB171" s="1" t="s">
        <v>3028</v>
      </c>
      <c r="GE171" s="1" t="s">
        <v>480</v>
      </c>
      <c r="GI171" s="1" t="s">
        <v>204</v>
      </c>
      <c r="GJ171" s="1" t="s">
        <v>260</v>
      </c>
      <c r="GK171" s="1" t="s">
        <v>261</v>
      </c>
      <c r="GL171" s="2">
        <v>41999</v>
      </c>
    </row>
    <row r="172" spans="1:195">
      <c r="A172" s="1">
        <v>87000</v>
      </c>
      <c r="B172" s="1" t="s">
        <v>195</v>
      </c>
      <c r="C172" s="1" t="str">
        <f>"08786053"</f>
        <v>08786053</v>
      </c>
      <c r="D172" s="1" t="s">
        <v>196</v>
      </c>
      <c r="F172" s="1" t="str">
        <f>"2104"</f>
        <v>2104</v>
      </c>
      <c r="G172" s="2">
        <v>41956</v>
      </c>
      <c r="H172" s="1">
        <v>99000</v>
      </c>
      <c r="I172" s="1">
        <v>95000</v>
      </c>
      <c r="J172" s="1">
        <v>87000</v>
      </c>
      <c r="K172" s="2">
        <v>41956</v>
      </c>
      <c r="L172" s="1">
        <v>29</v>
      </c>
      <c r="M172" s="2">
        <v>41984</v>
      </c>
      <c r="N172" s="1">
        <v>29</v>
      </c>
      <c r="O172" s="2">
        <v>41984</v>
      </c>
      <c r="P172" s="1">
        <v>13691</v>
      </c>
      <c r="Q172" s="1" t="s">
        <v>423</v>
      </c>
      <c r="R172" s="2">
        <v>42048</v>
      </c>
      <c r="S172" s="1">
        <v>110948</v>
      </c>
      <c r="T172" s="1">
        <v>2500</v>
      </c>
      <c r="U172" s="1">
        <v>402</v>
      </c>
      <c r="V172" s="1" t="s">
        <v>661</v>
      </c>
      <c r="W172" s="1" t="s">
        <v>425</v>
      </c>
      <c r="Y172" s="1">
        <v>2</v>
      </c>
      <c r="Z172" s="1" t="s">
        <v>200</v>
      </c>
      <c r="AA172" s="1" t="s">
        <v>3029</v>
      </c>
      <c r="AB172" s="1">
        <v>60104</v>
      </c>
      <c r="AE172" s="1" t="s">
        <v>3030</v>
      </c>
      <c r="AF172" s="1">
        <v>1943</v>
      </c>
      <c r="AG172" s="1" t="s">
        <v>213</v>
      </c>
      <c r="AH172" s="1" t="s">
        <v>3031</v>
      </c>
      <c r="AI172" s="1" t="s">
        <v>310</v>
      </c>
      <c r="AJ172" s="1" t="s">
        <v>374</v>
      </c>
      <c r="AL172" s="1">
        <v>6</v>
      </c>
      <c r="AM172" s="1">
        <v>2</v>
      </c>
      <c r="AN172" s="1">
        <v>1</v>
      </c>
      <c r="AO172" s="1">
        <v>0</v>
      </c>
      <c r="AP172" s="1" t="s">
        <v>210</v>
      </c>
      <c r="AR172" s="1" t="s">
        <v>209</v>
      </c>
      <c r="AS172" s="1" t="s">
        <v>204</v>
      </c>
      <c r="AT172" s="1" t="s">
        <v>211</v>
      </c>
      <c r="AU172" s="1">
        <v>1</v>
      </c>
      <c r="AW172" s="1" t="s">
        <v>204</v>
      </c>
      <c r="AX172" s="1" t="s">
        <v>3032</v>
      </c>
      <c r="AZ172" s="1">
        <v>3599</v>
      </c>
      <c r="BA172" s="1">
        <v>2013</v>
      </c>
      <c r="BB172" s="1" t="s">
        <v>405</v>
      </c>
      <c r="BE172" s="1">
        <v>0</v>
      </c>
      <c r="BF172" s="1">
        <v>1</v>
      </c>
      <c r="BG172" s="1">
        <v>0</v>
      </c>
      <c r="BL172" s="1">
        <v>0</v>
      </c>
      <c r="BM172" s="1" t="s">
        <v>204</v>
      </c>
      <c r="BN172" s="1" t="s">
        <v>213</v>
      </c>
      <c r="BO172" s="1">
        <v>999</v>
      </c>
      <c r="BP172" s="1" t="s">
        <v>204</v>
      </c>
      <c r="BR172" s="1" t="str">
        <f>"15084030690000"</f>
        <v>15084030690000</v>
      </c>
      <c r="BT172" s="1" t="s">
        <v>3033</v>
      </c>
      <c r="BX172" s="1">
        <v>88</v>
      </c>
      <c r="BY172" s="1">
        <v>88</v>
      </c>
      <c r="BZ172" s="1">
        <v>209</v>
      </c>
      <c r="CB172" s="1" t="str">
        <f t="shared" ref="CB172:CC172" si="135">""</f>
        <v/>
      </c>
      <c r="CC172" s="1" t="str">
        <f t="shared" si="135"/>
        <v/>
      </c>
      <c r="CG172" s="1" t="s">
        <v>437</v>
      </c>
      <c r="CH172" s="1" t="s">
        <v>219</v>
      </c>
      <c r="CI172" s="1" t="s">
        <v>438</v>
      </c>
      <c r="CJ172" s="1" t="s">
        <v>343</v>
      </c>
      <c r="CK172" s="1" t="s">
        <v>539</v>
      </c>
      <c r="CL172" s="1" t="s">
        <v>277</v>
      </c>
      <c r="CM172" s="1" t="s">
        <v>438</v>
      </c>
      <c r="CN172" s="1" t="s">
        <v>343</v>
      </c>
      <c r="CO172" s="1" t="s">
        <v>821</v>
      </c>
      <c r="CP172" s="1" t="s">
        <v>219</v>
      </c>
      <c r="CQ172" s="1" t="s">
        <v>438</v>
      </c>
      <c r="CR172" s="1" t="s">
        <v>343</v>
      </c>
      <c r="CS172" s="1" t="s">
        <v>2231</v>
      </c>
      <c r="CT172" s="1" t="s">
        <v>277</v>
      </c>
      <c r="CU172" s="1" t="s">
        <v>438</v>
      </c>
      <c r="CV172" s="1" t="s">
        <v>343</v>
      </c>
      <c r="CX172" s="1" t="s">
        <v>224</v>
      </c>
      <c r="DB172" s="1" t="s">
        <v>224</v>
      </c>
      <c r="DE172" s="1" t="s">
        <v>3034</v>
      </c>
      <c r="DF172" s="1" t="s">
        <v>219</v>
      </c>
      <c r="DG172" s="1" t="s">
        <v>226</v>
      </c>
      <c r="DI172" s="1" t="s">
        <v>3035</v>
      </c>
      <c r="DJ172" s="1" t="s">
        <v>822</v>
      </c>
      <c r="DK172" s="1" t="s">
        <v>226</v>
      </c>
      <c r="DS172" s="1" t="s">
        <v>230</v>
      </c>
      <c r="DW172" s="1" t="s">
        <v>230</v>
      </c>
      <c r="EA172" s="1" t="s">
        <v>230</v>
      </c>
      <c r="EE172" s="1" t="s">
        <v>230</v>
      </c>
      <c r="EI172" s="1" t="s">
        <v>230</v>
      </c>
      <c r="EL172" s="1" t="s">
        <v>440</v>
      </c>
      <c r="EM172" s="1" t="s">
        <v>319</v>
      </c>
      <c r="EN172" s="1" t="s">
        <v>282</v>
      </c>
      <c r="EO172" s="1" t="s">
        <v>234</v>
      </c>
      <c r="ER172" s="1" t="s">
        <v>544</v>
      </c>
      <c r="EW172" s="1" t="s">
        <v>210</v>
      </c>
      <c r="EZ172" s="1" t="s">
        <v>287</v>
      </c>
      <c r="FD172" s="1" t="s">
        <v>246</v>
      </c>
      <c r="FE172" s="1" t="s">
        <v>247</v>
      </c>
      <c r="FF172" s="1" t="s">
        <v>248</v>
      </c>
      <c r="FH172" s="1" t="s">
        <v>442</v>
      </c>
      <c r="FL172" s="1" t="s">
        <v>414</v>
      </c>
      <c r="FM172" s="1" t="s">
        <v>252</v>
      </c>
      <c r="FN172" s="1" t="s">
        <v>213</v>
      </c>
      <c r="FO172" s="1" t="s">
        <v>213</v>
      </c>
      <c r="FQ172" s="1" t="s">
        <v>3036</v>
      </c>
      <c r="FR172" s="1" t="s">
        <v>210</v>
      </c>
      <c r="FS172" s="1" t="s">
        <v>3037</v>
      </c>
      <c r="FT172" s="1" t="s">
        <v>295</v>
      </c>
      <c r="FU172" s="1" t="s">
        <v>204</v>
      </c>
      <c r="FW172" s="1" t="s">
        <v>3038</v>
      </c>
      <c r="FX172" s="1">
        <v>84770</v>
      </c>
      <c r="FY172" s="1" t="s">
        <v>3039</v>
      </c>
      <c r="FZ172" s="1" t="s">
        <v>3040</v>
      </c>
      <c r="GA172" s="1">
        <v>124729</v>
      </c>
      <c r="GB172" s="1" t="s">
        <v>3039</v>
      </c>
      <c r="GE172" s="1" t="s">
        <v>210</v>
      </c>
      <c r="GI172" s="1" t="s">
        <v>204</v>
      </c>
      <c r="GJ172" s="1" t="s">
        <v>260</v>
      </c>
      <c r="GK172" s="1" t="s">
        <v>210</v>
      </c>
      <c r="GL172" s="2">
        <v>42051</v>
      </c>
      <c r="GM172" s="1" t="s">
        <v>3041</v>
      </c>
    </row>
    <row r="173" spans="1:195">
      <c r="A173" s="1">
        <v>112000</v>
      </c>
      <c r="B173" s="1" t="s">
        <v>195</v>
      </c>
      <c r="C173" s="1" t="str">
        <f>"08769183"</f>
        <v>08769183</v>
      </c>
      <c r="D173" s="1" t="s">
        <v>196</v>
      </c>
      <c r="F173" s="1" t="str">
        <f>"555"</f>
        <v>555</v>
      </c>
      <c r="G173" s="2">
        <v>41948</v>
      </c>
      <c r="H173" s="1">
        <v>120000</v>
      </c>
      <c r="I173" s="1">
        <v>120000</v>
      </c>
      <c r="J173" s="1">
        <v>112000</v>
      </c>
      <c r="K173" s="2">
        <v>41948</v>
      </c>
      <c r="L173" s="1">
        <v>2</v>
      </c>
      <c r="M173" s="2">
        <v>41949</v>
      </c>
      <c r="N173" s="1">
        <v>2</v>
      </c>
      <c r="O173" s="2">
        <v>41949</v>
      </c>
      <c r="P173" s="1">
        <v>49</v>
      </c>
      <c r="Q173" s="1" t="s">
        <v>197</v>
      </c>
      <c r="R173" s="2">
        <v>42097</v>
      </c>
      <c r="S173" s="1">
        <v>1129</v>
      </c>
      <c r="U173" s="1" t="s">
        <v>3042</v>
      </c>
      <c r="V173" s="1" t="s">
        <v>3043</v>
      </c>
      <c r="W173" s="1" t="s">
        <v>304</v>
      </c>
      <c r="Y173" s="1">
        <v>4</v>
      </c>
      <c r="Z173" s="1" t="s">
        <v>370</v>
      </c>
      <c r="AA173" s="1" t="s">
        <v>984</v>
      </c>
      <c r="AB173" s="1">
        <v>60555</v>
      </c>
      <c r="AE173" s="1" t="s">
        <v>3044</v>
      </c>
      <c r="AF173" s="1">
        <v>1991</v>
      </c>
      <c r="AG173" s="1" t="s">
        <v>204</v>
      </c>
      <c r="AH173" s="1" t="s">
        <v>986</v>
      </c>
      <c r="AI173" s="1" t="s">
        <v>206</v>
      </c>
      <c r="AJ173" s="1" t="s">
        <v>987</v>
      </c>
      <c r="AK173" s="1" t="s">
        <v>454</v>
      </c>
      <c r="AL173" s="1">
        <v>5</v>
      </c>
      <c r="AM173" s="1">
        <v>2</v>
      </c>
      <c r="AN173" s="1">
        <v>2</v>
      </c>
      <c r="AO173" s="1">
        <v>0</v>
      </c>
      <c r="AP173" s="1" t="s">
        <v>209</v>
      </c>
      <c r="AR173" s="1" t="s">
        <v>210</v>
      </c>
      <c r="AS173" s="1" t="s">
        <v>204</v>
      </c>
      <c r="AT173" s="1" t="s">
        <v>211</v>
      </c>
      <c r="AU173" s="1">
        <v>2</v>
      </c>
      <c r="AW173" s="1" t="s">
        <v>204</v>
      </c>
      <c r="AX173" s="1" t="s">
        <v>212</v>
      </c>
      <c r="AZ173" s="1">
        <v>4500</v>
      </c>
      <c r="BA173" s="1">
        <v>2013</v>
      </c>
      <c r="BE173" s="1">
        <v>1200</v>
      </c>
      <c r="BF173" s="1">
        <v>2</v>
      </c>
      <c r="BG173" s="1">
        <v>10</v>
      </c>
      <c r="BL173" s="1">
        <v>229</v>
      </c>
      <c r="BM173" s="1" t="s">
        <v>204</v>
      </c>
      <c r="BN173" s="1" t="s">
        <v>213</v>
      </c>
      <c r="BO173" s="1">
        <v>20</v>
      </c>
      <c r="BP173" s="1" t="s">
        <v>204</v>
      </c>
      <c r="BR173" s="1" t="str">
        <f>"0421418051"</f>
        <v>0421418051</v>
      </c>
      <c r="BT173" s="1" t="s">
        <v>3045</v>
      </c>
      <c r="BX173" s="1">
        <v>33</v>
      </c>
      <c r="BY173" s="1">
        <v>33</v>
      </c>
      <c r="BZ173" s="1">
        <v>94</v>
      </c>
      <c r="CB173" s="1" t="str">
        <f t="shared" ref="CB173:CC173" si="136">"0"</f>
        <v>0</v>
      </c>
      <c r="CC173" s="1" t="str">
        <f t="shared" si="136"/>
        <v>0</v>
      </c>
      <c r="CD173" s="1">
        <v>30</v>
      </c>
      <c r="CE173" s="1">
        <v>1</v>
      </c>
      <c r="CG173" s="1" t="s">
        <v>228</v>
      </c>
      <c r="CH173" s="1" t="s">
        <v>277</v>
      </c>
      <c r="CK173" s="1" t="s">
        <v>564</v>
      </c>
      <c r="CL173" s="1" t="s">
        <v>277</v>
      </c>
      <c r="CO173" s="1" t="s">
        <v>228</v>
      </c>
      <c r="CP173" s="1" t="s">
        <v>277</v>
      </c>
      <c r="CS173" s="1" t="s">
        <v>346</v>
      </c>
      <c r="CT173" s="1" t="s">
        <v>277</v>
      </c>
      <c r="CX173" s="1" t="s">
        <v>224</v>
      </c>
      <c r="DB173" s="1" t="s">
        <v>224</v>
      </c>
      <c r="DE173" s="1" t="s">
        <v>378</v>
      </c>
      <c r="DF173" s="1" t="s">
        <v>277</v>
      </c>
      <c r="DJ173" s="1" t="s">
        <v>224</v>
      </c>
      <c r="DM173" s="1" t="s">
        <v>2450</v>
      </c>
      <c r="DR173" s="1" t="s">
        <v>3046</v>
      </c>
      <c r="DS173" s="1" t="s">
        <v>822</v>
      </c>
      <c r="DW173" s="1" t="s">
        <v>230</v>
      </c>
      <c r="EA173" s="1" t="s">
        <v>230</v>
      </c>
      <c r="EE173" s="1" t="s">
        <v>230</v>
      </c>
      <c r="EI173" s="1" t="s">
        <v>230</v>
      </c>
      <c r="EL173" s="1" t="s">
        <v>382</v>
      </c>
      <c r="EM173" s="1" t="s">
        <v>319</v>
      </c>
      <c r="EN173" s="1" t="s">
        <v>282</v>
      </c>
      <c r="EO173" s="1" t="s">
        <v>234</v>
      </c>
      <c r="ER173" s="1" t="s">
        <v>210</v>
      </c>
      <c r="EU173" s="1" t="s">
        <v>1110</v>
      </c>
      <c r="EW173" s="1" t="s">
        <v>3047</v>
      </c>
      <c r="EZ173" s="1" t="s">
        <v>2450</v>
      </c>
      <c r="FD173" s="1" t="s">
        <v>246</v>
      </c>
      <c r="FE173" s="1" t="s">
        <v>975</v>
      </c>
      <c r="FF173" s="1" t="s">
        <v>248</v>
      </c>
      <c r="FH173" s="1" t="s">
        <v>825</v>
      </c>
      <c r="FL173" s="1" t="s">
        <v>358</v>
      </c>
      <c r="FM173" s="1" t="s">
        <v>252</v>
      </c>
      <c r="FN173" s="1" t="s">
        <v>204</v>
      </c>
      <c r="FO173" s="1" t="s">
        <v>213</v>
      </c>
      <c r="FQ173" s="1" t="s">
        <v>673</v>
      </c>
      <c r="FR173" s="1" t="s">
        <v>360</v>
      </c>
      <c r="FS173" s="1" t="s">
        <v>3048</v>
      </c>
      <c r="FT173" s="1" t="s">
        <v>3049</v>
      </c>
      <c r="FU173" s="1" t="s">
        <v>204</v>
      </c>
      <c r="FW173" s="1" t="s">
        <v>585</v>
      </c>
      <c r="FX173" s="1">
        <v>49</v>
      </c>
      <c r="FY173" s="1" t="s">
        <v>2408</v>
      </c>
      <c r="FZ173" s="1" t="s">
        <v>3050</v>
      </c>
      <c r="GA173" s="1">
        <v>1129</v>
      </c>
      <c r="GB173" s="1" t="s">
        <v>3051</v>
      </c>
      <c r="GE173" s="1" t="s">
        <v>210</v>
      </c>
      <c r="GI173" s="1" t="s">
        <v>213</v>
      </c>
      <c r="GJ173" s="1" t="s">
        <v>260</v>
      </c>
      <c r="GK173" s="1" t="s">
        <v>210</v>
      </c>
      <c r="GL173" s="2">
        <v>42098</v>
      </c>
      <c r="GM173" s="1" t="s">
        <v>3052</v>
      </c>
    </row>
    <row r="174" spans="1:195">
      <c r="A174" s="1">
        <v>190000</v>
      </c>
      <c r="B174" s="1" t="s">
        <v>195</v>
      </c>
      <c r="C174" s="1" t="str">
        <f>"08770666"</f>
        <v>08770666</v>
      </c>
      <c r="D174" s="1" t="s">
        <v>196</v>
      </c>
      <c r="F174" s="1" t="str">
        <f>"562"</f>
        <v>562</v>
      </c>
      <c r="G174" s="2">
        <v>41949</v>
      </c>
      <c r="H174" s="1">
        <v>194900</v>
      </c>
      <c r="I174" s="1">
        <v>194900</v>
      </c>
      <c r="J174" s="1">
        <v>190000</v>
      </c>
      <c r="K174" s="2">
        <v>41949</v>
      </c>
      <c r="L174" s="1">
        <v>19</v>
      </c>
      <c r="M174" s="2">
        <v>41967</v>
      </c>
      <c r="N174" s="1">
        <v>19</v>
      </c>
      <c r="O174" s="2">
        <v>41967</v>
      </c>
      <c r="P174" s="1">
        <v>30401</v>
      </c>
      <c r="Q174" s="1" t="s">
        <v>197</v>
      </c>
      <c r="R174" s="2">
        <v>41992</v>
      </c>
      <c r="S174" s="1">
        <v>8785</v>
      </c>
      <c r="U174" s="1">
        <v>2300</v>
      </c>
      <c r="V174" s="1" t="s">
        <v>3053</v>
      </c>
      <c r="W174" s="1" t="s">
        <v>3006</v>
      </c>
      <c r="X174" s="1">
        <v>406</v>
      </c>
      <c r="Y174" s="1">
        <v>32</v>
      </c>
      <c r="Z174" s="1" t="s">
        <v>370</v>
      </c>
      <c r="AA174" s="1" t="s">
        <v>899</v>
      </c>
      <c r="AB174" s="1">
        <v>60561</v>
      </c>
      <c r="AD174" s="1" t="s">
        <v>3054</v>
      </c>
      <c r="AE174" s="1" t="s">
        <v>3055</v>
      </c>
      <c r="AF174" s="1">
        <v>1999</v>
      </c>
      <c r="AG174" s="1" t="s">
        <v>204</v>
      </c>
      <c r="AH174" s="1" t="s">
        <v>902</v>
      </c>
      <c r="AI174" s="1" t="s">
        <v>206</v>
      </c>
      <c r="AJ174" s="1" t="s">
        <v>903</v>
      </c>
      <c r="AL174" s="1">
        <v>6</v>
      </c>
      <c r="AM174" s="1">
        <v>2</v>
      </c>
      <c r="AN174" s="1">
        <v>2</v>
      </c>
      <c r="AO174" s="1">
        <v>0</v>
      </c>
      <c r="AP174" s="1" t="s">
        <v>209</v>
      </c>
      <c r="AR174" s="1" t="s">
        <v>210</v>
      </c>
      <c r="AS174" s="1" t="s">
        <v>204</v>
      </c>
      <c r="AT174" s="1" t="s">
        <v>211</v>
      </c>
      <c r="AU174" s="1">
        <v>1</v>
      </c>
      <c r="AW174" s="1" t="s">
        <v>204</v>
      </c>
      <c r="AX174" s="1" t="s">
        <v>212</v>
      </c>
      <c r="AZ174" s="1">
        <v>3868</v>
      </c>
      <c r="BA174" s="1">
        <v>2013</v>
      </c>
      <c r="BE174" s="1">
        <v>1775</v>
      </c>
      <c r="BF174" s="1">
        <v>4</v>
      </c>
      <c r="BG174" s="1">
        <v>30</v>
      </c>
      <c r="BL174" s="1">
        <v>295</v>
      </c>
      <c r="BM174" s="1" t="s">
        <v>204</v>
      </c>
      <c r="BN174" s="1" t="s">
        <v>213</v>
      </c>
      <c r="BO174" s="1">
        <v>0</v>
      </c>
      <c r="BP174" s="1" t="s">
        <v>204</v>
      </c>
      <c r="BR174" s="1" t="str">
        <f>"1005409022"</f>
        <v>1005409022</v>
      </c>
      <c r="BT174" s="1" t="s">
        <v>3056</v>
      </c>
      <c r="BX174" s="1">
        <v>113</v>
      </c>
      <c r="BY174" s="1">
        <v>113</v>
      </c>
      <c r="BZ174" s="1">
        <v>210</v>
      </c>
      <c r="CB174" s="1" t="str">
        <f t="shared" ref="CB174:CC174" si="137">""</f>
        <v/>
      </c>
      <c r="CC174" s="1" t="str">
        <f t="shared" si="137"/>
        <v/>
      </c>
      <c r="CG174" s="1" t="s">
        <v>3057</v>
      </c>
      <c r="CH174" s="1" t="s">
        <v>685</v>
      </c>
      <c r="CI174" s="1" t="s">
        <v>3058</v>
      </c>
      <c r="CK174" s="1" t="s">
        <v>2121</v>
      </c>
      <c r="CL174" s="1" t="s">
        <v>685</v>
      </c>
      <c r="CM174" s="1" t="s">
        <v>220</v>
      </c>
      <c r="CO174" s="1" t="s">
        <v>1854</v>
      </c>
      <c r="CP174" s="1" t="s">
        <v>685</v>
      </c>
      <c r="CQ174" s="1" t="s">
        <v>3058</v>
      </c>
      <c r="CS174" s="1" t="s">
        <v>490</v>
      </c>
      <c r="CT174" s="1" t="s">
        <v>685</v>
      </c>
      <c r="CU174" s="1" t="s">
        <v>220</v>
      </c>
      <c r="CX174" s="1" t="s">
        <v>224</v>
      </c>
      <c r="DB174" s="1" t="s">
        <v>224</v>
      </c>
      <c r="DE174" s="1" t="s">
        <v>3059</v>
      </c>
      <c r="DF174" s="1" t="s">
        <v>685</v>
      </c>
      <c r="DG174" s="1" t="s">
        <v>3058</v>
      </c>
      <c r="DI174" s="1" t="s">
        <v>462</v>
      </c>
      <c r="DJ174" s="1" t="s">
        <v>685</v>
      </c>
      <c r="DS174" s="1" t="s">
        <v>230</v>
      </c>
      <c r="DW174" s="1" t="s">
        <v>230</v>
      </c>
      <c r="EA174" s="1" t="s">
        <v>230</v>
      </c>
      <c r="EE174" s="1" t="s">
        <v>230</v>
      </c>
      <c r="EI174" s="1" t="s">
        <v>230</v>
      </c>
      <c r="EL174" s="1" t="s">
        <v>466</v>
      </c>
      <c r="EM174" s="1" t="s">
        <v>232</v>
      </c>
      <c r="EN174" s="1" t="s">
        <v>282</v>
      </c>
      <c r="EO174" s="1" t="s">
        <v>234</v>
      </c>
      <c r="EP174" s="1" t="s">
        <v>2764</v>
      </c>
      <c r="EQ174" s="1" t="s">
        <v>492</v>
      </c>
      <c r="ER174" s="1" t="s">
        <v>210</v>
      </c>
      <c r="ES174" s="1" t="s">
        <v>322</v>
      </c>
      <c r="ET174" s="1" t="s">
        <v>238</v>
      </c>
      <c r="EU174" s="1" t="s">
        <v>239</v>
      </c>
      <c r="EV174" s="1" t="s">
        <v>240</v>
      </c>
      <c r="EW174" s="1" t="s">
        <v>3060</v>
      </c>
      <c r="EZ174" s="1" t="s">
        <v>287</v>
      </c>
      <c r="FD174" s="1" t="s">
        <v>246</v>
      </c>
      <c r="FE174" s="1" t="s">
        <v>247</v>
      </c>
      <c r="FF174" s="1" t="s">
        <v>248</v>
      </c>
      <c r="FH174" s="1" t="s">
        <v>249</v>
      </c>
      <c r="FL174" s="1" t="s">
        <v>1907</v>
      </c>
      <c r="FM174" s="1" t="s">
        <v>252</v>
      </c>
      <c r="FN174" s="1" t="s">
        <v>213</v>
      </c>
      <c r="FO174" s="1" t="s">
        <v>213</v>
      </c>
      <c r="FQ174" s="1" t="s">
        <v>329</v>
      </c>
      <c r="FR174" s="1" t="s">
        <v>210</v>
      </c>
      <c r="FS174" s="1" t="s">
        <v>3061</v>
      </c>
      <c r="FT174" s="1" t="s">
        <v>295</v>
      </c>
      <c r="FU174" s="1" t="s">
        <v>204</v>
      </c>
      <c r="FW174" s="1" t="s">
        <v>2179</v>
      </c>
      <c r="FX174" s="1">
        <v>22039</v>
      </c>
      <c r="FY174" s="1" t="s">
        <v>2180</v>
      </c>
      <c r="FZ174" s="1" t="s">
        <v>3062</v>
      </c>
      <c r="GA174" s="1">
        <v>239022</v>
      </c>
      <c r="GD174" s="1" t="s">
        <v>3063</v>
      </c>
      <c r="GE174" s="1" t="s">
        <v>480</v>
      </c>
      <c r="GI174" s="1" t="s">
        <v>213</v>
      </c>
      <c r="GJ174" s="1" t="s">
        <v>260</v>
      </c>
      <c r="GK174" s="1" t="s">
        <v>261</v>
      </c>
      <c r="GL174" s="2">
        <v>41994</v>
      </c>
    </row>
    <row r="175" spans="1:195">
      <c r="A175" s="1">
        <v>130000</v>
      </c>
      <c r="B175" s="1" t="s">
        <v>195</v>
      </c>
      <c r="C175" s="1" t="str">
        <f>"08767173"</f>
        <v>08767173</v>
      </c>
      <c r="D175" s="1" t="s">
        <v>196</v>
      </c>
      <c r="F175" s="1" t="str">
        <f t="shared" ref="F175:F176" si="138">"31"</f>
        <v>31</v>
      </c>
      <c r="G175" s="2">
        <v>41946</v>
      </c>
      <c r="H175" s="1">
        <v>134900</v>
      </c>
      <c r="I175" s="1">
        <v>134900</v>
      </c>
      <c r="J175" s="1">
        <v>130000</v>
      </c>
      <c r="K175" s="2">
        <v>41945</v>
      </c>
      <c r="L175" s="1">
        <v>31</v>
      </c>
      <c r="M175" s="2">
        <v>41975</v>
      </c>
      <c r="N175" s="1">
        <v>31</v>
      </c>
      <c r="O175" s="2">
        <v>41975</v>
      </c>
      <c r="P175" s="1">
        <v>1196</v>
      </c>
      <c r="Q175" s="1" t="s">
        <v>197</v>
      </c>
      <c r="R175" s="2">
        <v>42016</v>
      </c>
      <c r="S175" s="1">
        <v>18183</v>
      </c>
      <c r="T175" s="1">
        <v>500</v>
      </c>
      <c r="U175" s="1">
        <v>61</v>
      </c>
      <c r="V175" s="1" t="s">
        <v>3064</v>
      </c>
      <c r="W175" s="1" t="s">
        <v>449</v>
      </c>
      <c r="Y175" s="1">
        <v>4</v>
      </c>
      <c r="Z175" s="1" t="s">
        <v>370</v>
      </c>
      <c r="AA175" s="1" t="s">
        <v>1057</v>
      </c>
      <c r="AB175" s="1">
        <v>60031</v>
      </c>
      <c r="AD175" s="1" t="s">
        <v>3065</v>
      </c>
      <c r="AE175" s="1" t="s">
        <v>3066</v>
      </c>
      <c r="AF175" s="1">
        <v>1990</v>
      </c>
      <c r="AG175" s="1" t="s">
        <v>204</v>
      </c>
      <c r="AH175" s="1" t="s">
        <v>1060</v>
      </c>
      <c r="AI175" s="1" t="s">
        <v>509</v>
      </c>
      <c r="AJ175" s="1" t="s">
        <v>1061</v>
      </c>
      <c r="AK175" s="1" t="s">
        <v>3067</v>
      </c>
      <c r="AL175" s="1">
        <v>6</v>
      </c>
      <c r="AM175" s="1">
        <v>2</v>
      </c>
      <c r="AN175" s="1">
        <v>2</v>
      </c>
      <c r="AO175" s="1">
        <v>1</v>
      </c>
      <c r="AP175" s="1" t="s">
        <v>210</v>
      </c>
      <c r="AQ175" s="1">
        <v>1</v>
      </c>
      <c r="AR175" s="1" t="s">
        <v>210</v>
      </c>
      <c r="AS175" s="1" t="s">
        <v>204</v>
      </c>
      <c r="AT175" s="1" t="s">
        <v>375</v>
      </c>
      <c r="AU175" s="1">
        <v>1</v>
      </c>
      <c r="AV175" s="1">
        <v>2</v>
      </c>
      <c r="AW175" s="1" t="s">
        <v>204</v>
      </c>
      <c r="AX175" s="1" t="s">
        <v>212</v>
      </c>
      <c r="AZ175" s="1">
        <v>3907</v>
      </c>
      <c r="BA175" s="1">
        <v>2013</v>
      </c>
      <c r="BB175" s="1" t="s">
        <v>405</v>
      </c>
      <c r="BE175" s="1">
        <v>1408</v>
      </c>
      <c r="BF175" s="1">
        <v>1</v>
      </c>
      <c r="BG175" s="1">
        <v>0</v>
      </c>
      <c r="BL175" s="1">
        <v>260</v>
      </c>
      <c r="BM175" s="1" t="s">
        <v>204</v>
      </c>
      <c r="BN175" s="1" t="s">
        <v>213</v>
      </c>
      <c r="BO175" s="1">
        <v>0</v>
      </c>
      <c r="BP175" s="1" t="s">
        <v>204</v>
      </c>
      <c r="BR175" s="1" t="str">
        <f>"07234181660000"</f>
        <v>07234181660000</v>
      </c>
      <c r="BT175" s="1" t="s">
        <v>3068</v>
      </c>
      <c r="BU175" s="1" t="s">
        <v>3069</v>
      </c>
      <c r="BV175" s="1" t="s">
        <v>3070</v>
      </c>
      <c r="BW175" s="1" t="s">
        <v>1066</v>
      </c>
      <c r="BX175" s="1">
        <v>56</v>
      </c>
      <c r="BY175" s="1">
        <v>56</v>
      </c>
      <c r="BZ175" s="1">
        <v>121</v>
      </c>
      <c r="CB175" s="1" t="str">
        <f t="shared" ref="CB175:CC175" si="139">""</f>
        <v/>
      </c>
      <c r="CC175" s="1" t="str">
        <f t="shared" si="139"/>
        <v/>
      </c>
      <c r="CG175" s="1" t="s">
        <v>3071</v>
      </c>
      <c r="CH175" s="1" t="s">
        <v>219</v>
      </c>
      <c r="CI175" s="1" t="s">
        <v>220</v>
      </c>
      <c r="CJ175" s="1" t="s">
        <v>252</v>
      </c>
      <c r="CK175" s="1" t="s">
        <v>515</v>
      </c>
      <c r="CL175" s="1" t="s">
        <v>277</v>
      </c>
      <c r="CM175" s="1" t="s">
        <v>220</v>
      </c>
      <c r="CN175" s="1" t="s">
        <v>252</v>
      </c>
      <c r="CO175" s="1" t="s">
        <v>379</v>
      </c>
      <c r="CP175" s="1" t="s">
        <v>219</v>
      </c>
      <c r="CQ175" s="1" t="s">
        <v>220</v>
      </c>
      <c r="CR175" s="1" t="s">
        <v>252</v>
      </c>
      <c r="CS175" s="1" t="s">
        <v>539</v>
      </c>
      <c r="CT175" s="1" t="s">
        <v>277</v>
      </c>
      <c r="CU175" s="1" t="s">
        <v>220</v>
      </c>
      <c r="CV175" s="1" t="s">
        <v>252</v>
      </c>
      <c r="DB175" s="1" t="s">
        <v>224</v>
      </c>
      <c r="DE175" s="1" t="s">
        <v>3072</v>
      </c>
      <c r="DF175" s="1" t="s">
        <v>219</v>
      </c>
      <c r="DG175" s="1" t="s">
        <v>342</v>
      </c>
      <c r="DH175" s="1" t="s">
        <v>252</v>
      </c>
      <c r="DJ175" s="1" t="s">
        <v>224</v>
      </c>
      <c r="DM175" s="1" t="s">
        <v>464</v>
      </c>
      <c r="DR175" s="1" t="s">
        <v>951</v>
      </c>
      <c r="DS175" s="1" t="s">
        <v>277</v>
      </c>
      <c r="DT175" s="1" t="s">
        <v>220</v>
      </c>
      <c r="DU175" s="1" t="s">
        <v>343</v>
      </c>
      <c r="DW175" s="1" t="s">
        <v>230</v>
      </c>
      <c r="EA175" s="1" t="s">
        <v>230</v>
      </c>
      <c r="EE175" s="1" t="s">
        <v>230</v>
      </c>
      <c r="EI175" s="1" t="s">
        <v>230</v>
      </c>
      <c r="EL175" s="1" t="s">
        <v>382</v>
      </c>
      <c r="EM175" s="1" t="s">
        <v>232</v>
      </c>
      <c r="EN175" s="1" t="s">
        <v>282</v>
      </c>
      <c r="EO175" s="1" t="s">
        <v>840</v>
      </c>
      <c r="EP175" s="1" t="s">
        <v>1093</v>
      </c>
      <c r="EQ175" s="1" t="s">
        <v>492</v>
      </c>
      <c r="ER175" s="1" t="s">
        <v>210</v>
      </c>
      <c r="ES175" s="1" t="s">
        <v>322</v>
      </c>
      <c r="EV175" s="1" t="s">
        <v>240</v>
      </c>
      <c r="EW175" s="1" t="s">
        <v>3073</v>
      </c>
      <c r="EY175" s="1" t="s">
        <v>2455</v>
      </c>
      <c r="EZ175" s="1" t="s">
        <v>464</v>
      </c>
      <c r="FA175" s="1" t="s">
        <v>672</v>
      </c>
      <c r="FD175" s="1" t="s">
        <v>246</v>
      </c>
      <c r="FE175" s="1" t="s">
        <v>975</v>
      </c>
      <c r="FF175" s="1" t="s">
        <v>248</v>
      </c>
      <c r="FG175" s="1" t="s">
        <v>715</v>
      </c>
      <c r="FH175" s="1" t="s">
        <v>550</v>
      </c>
      <c r="FI175" s="1" t="s">
        <v>357</v>
      </c>
      <c r="FJ175" s="1" t="s">
        <v>518</v>
      </c>
      <c r="FK175" s="1" t="s">
        <v>2076</v>
      </c>
      <c r="FL175" s="1" t="s">
        <v>358</v>
      </c>
      <c r="FM175" s="1" t="s">
        <v>252</v>
      </c>
      <c r="FN175" s="1" t="s">
        <v>213</v>
      </c>
      <c r="FO175" s="1" t="s">
        <v>213</v>
      </c>
      <c r="FQ175" s="1" t="s">
        <v>293</v>
      </c>
      <c r="FR175" s="1" t="s">
        <v>210</v>
      </c>
      <c r="FS175" s="1" t="s">
        <v>3074</v>
      </c>
      <c r="FT175" s="1" t="s">
        <v>1408</v>
      </c>
      <c r="FU175" s="1" t="s">
        <v>204</v>
      </c>
      <c r="FW175" s="1" t="s">
        <v>3075</v>
      </c>
      <c r="FX175" s="1">
        <v>2124</v>
      </c>
      <c r="FY175" s="1" t="s">
        <v>3076</v>
      </c>
      <c r="FZ175" s="1" t="s">
        <v>3077</v>
      </c>
      <c r="GA175" s="1">
        <v>17168</v>
      </c>
      <c r="GB175" s="1" t="s">
        <v>3078</v>
      </c>
      <c r="GD175" s="1" t="s">
        <v>3078</v>
      </c>
      <c r="GE175" s="1" t="s">
        <v>1764</v>
      </c>
      <c r="GI175" s="1" t="s">
        <v>213</v>
      </c>
      <c r="GJ175" s="1" t="s">
        <v>260</v>
      </c>
      <c r="GK175" s="1" t="s">
        <v>210</v>
      </c>
      <c r="GL175" s="2">
        <v>42016</v>
      </c>
      <c r="GM175" s="1" t="s">
        <v>3079</v>
      </c>
    </row>
    <row r="176" spans="1:195">
      <c r="A176" s="1">
        <v>54000</v>
      </c>
      <c r="B176" s="1" t="s">
        <v>195</v>
      </c>
      <c r="C176" s="1" t="str">
        <f>"08768369"</f>
        <v>08768369</v>
      </c>
      <c r="D176" s="1" t="s">
        <v>196</v>
      </c>
      <c r="F176" s="1" t="str">
        <f t="shared" si="138"/>
        <v>31</v>
      </c>
      <c r="G176" s="2">
        <v>41947</v>
      </c>
      <c r="H176" s="1">
        <v>42000</v>
      </c>
      <c r="I176" s="1">
        <v>42000</v>
      </c>
      <c r="J176" s="1">
        <v>54000</v>
      </c>
      <c r="K176" s="2">
        <v>41947</v>
      </c>
      <c r="L176" s="1">
        <v>17</v>
      </c>
      <c r="M176" s="2">
        <v>41963</v>
      </c>
      <c r="N176" s="1">
        <v>17</v>
      </c>
      <c r="O176" s="2">
        <v>41963</v>
      </c>
      <c r="P176" s="1">
        <v>2651</v>
      </c>
      <c r="Q176" s="1" t="s">
        <v>302</v>
      </c>
      <c r="R176" s="2">
        <v>41996</v>
      </c>
      <c r="S176" s="1">
        <v>10962</v>
      </c>
      <c r="U176" s="1">
        <v>954</v>
      </c>
      <c r="V176" s="1" t="s">
        <v>3080</v>
      </c>
      <c r="W176" s="1" t="s">
        <v>264</v>
      </c>
      <c r="Y176" s="1">
        <v>4</v>
      </c>
      <c r="Z176" s="1" t="s">
        <v>370</v>
      </c>
      <c r="AA176" s="1" t="s">
        <v>1057</v>
      </c>
      <c r="AB176" s="1">
        <v>60031</v>
      </c>
      <c r="AE176" s="1" t="s">
        <v>3081</v>
      </c>
      <c r="AF176" s="1">
        <v>1979</v>
      </c>
      <c r="AG176" s="1" t="s">
        <v>204</v>
      </c>
      <c r="AH176" s="1" t="s">
        <v>1060</v>
      </c>
      <c r="AI176" s="1" t="s">
        <v>509</v>
      </c>
      <c r="AJ176" s="1" t="s">
        <v>1061</v>
      </c>
      <c r="AL176" s="1">
        <v>4</v>
      </c>
      <c r="AM176" s="1">
        <v>2</v>
      </c>
      <c r="AN176" s="1">
        <v>2</v>
      </c>
      <c r="AO176" s="1">
        <v>0</v>
      </c>
      <c r="AP176" s="1" t="s">
        <v>209</v>
      </c>
      <c r="AQ176" s="1">
        <v>1</v>
      </c>
      <c r="AR176" s="1" t="s">
        <v>210</v>
      </c>
      <c r="AS176" s="1" t="s">
        <v>204</v>
      </c>
      <c r="AT176" s="1" t="s">
        <v>211</v>
      </c>
      <c r="AU176" s="1">
        <v>1</v>
      </c>
      <c r="AW176" s="1" t="s">
        <v>204</v>
      </c>
      <c r="AX176" s="1" t="s">
        <v>212</v>
      </c>
      <c r="AZ176" s="1">
        <v>2154.71</v>
      </c>
      <c r="BA176" s="1">
        <v>2013</v>
      </c>
      <c r="BB176" s="1" t="s">
        <v>405</v>
      </c>
      <c r="BE176" s="1">
        <v>1162</v>
      </c>
      <c r="BF176" s="1">
        <v>1</v>
      </c>
      <c r="BG176" s="1">
        <v>0</v>
      </c>
      <c r="BL176" s="1">
        <v>314</v>
      </c>
      <c r="BM176" s="1" t="s">
        <v>204</v>
      </c>
      <c r="BN176" s="1" t="s">
        <v>213</v>
      </c>
      <c r="BO176" s="1">
        <v>999</v>
      </c>
      <c r="BP176" s="1" t="s">
        <v>204</v>
      </c>
      <c r="BR176" s="1" t="str">
        <f>"07284040480000"</f>
        <v>07284040480000</v>
      </c>
      <c r="BT176" s="1" t="s">
        <v>3082</v>
      </c>
      <c r="BX176" s="1">
        <v>50</v>
      </c>
      <c r="BY176" s="1">
        <v>50</v>
      </c>
      <c r="BZ176" s="1">
        <v>121</v>
      </c>
      <c r="CB176" s="1" t="str">
        <f t="shared" ref="CB176:CC176" si="140">""</f>
        <v/>
      </c>
      <c r="CC176" s="1" t="str">
        <f t="shared" si="140"/>
        <v/>
      </c>
      <c r="CG176" s="1" t="s">
        <v>1106</v>
      </c>
      <c r="CH176" s="1" t="s">
        <v>219</v>
      </c>
      <c r="CK176" s="1" t="s">
        <v>490</v>
      </c>
      <c r="CL176" s="1" t="s">
        <v>277</v>
      </c>
      <c r="CP176" s="1" t="s">
        <v>224</v>
      </c>
      <c r="CS176" s="1" t="s">
        <v>3083</v>
      </c>
      <c r="CT176" s="1" t="s">
        <v>219</v>
      </c>
      <c r="CX176" s="1" t="s">
        <v>224</v>
      </c>
      <c r="DB176" s="1" t="s">
        <v>224</v>
      </c>
      <c r="DE176" s="1" t="s">
        <v>346</v>
      </c>
      <c r="DF176" s="1" t="s">
        <v>219</v>
      </c>
      <c r="DJ176" s="1" t="s">
        <v>224</v>
      </c>
      <c r="DS176" s="1" t="s">
        <v>230</v>
      </c>
      <c r="DW176" s="1" t="s">
        <v>230</v>
      </c>
      <c r="EA176" s="1" t="s">
        <v>230</v>
      </c>
      <c r="EE176" s="1" t="s">
        <v>230</v>
      </c>
      <c r="EI176" s="1" t="s">
        <v>230</v>
      </c>
      <c r="EL176" s="1" t="s">
        <v>231</v>
      </c>
      <c r="EM176" s="1" t="s">
        <v>319</v>
      </c>
      <c r="EN176" s="1" t="s">
        <v>282</v>
      </c>
      <c r="EO176" s="1" t="s">
        <v>234</v>
      </c>
      <c r="ER176" s="1" t="s">
        <v>1069</v>
      </c>
      <c r="EW176" s="1" t="s">
        <v>142</v>
      </c>
      <c r="EZ176" s="1" t="s">
        <v>287</v>
      </c>
      <c r="FB176" s="1" t="s">
        <v>1755</v>
      </c>
      <c r="FD176" s="1" t="s">
        <v>246</v>
      </c>
      <c r="FE176" s="1" t="s">
        <v>496</v>
      </c>
      <c r="FF176" s="1" t="s">
        <v>248</v>
      </c>
      <c r="FG176" s="1" t="s">
        <v>939</v>
      </c>
      <c r="FH176" s="1" t="s">
        <v>550</v>
      </c>
      <c r="FI176" s="1" t="s">
        <v>2827</v>
      </c>
      <c r="FJ176" s="1" t="s">
        <v>2046</v>
      </c>
      <c r="FL176" s="1" t="s">
        <v>1073</v>
      </c>
      <c r="FM176" s="1" t="s">
        <v>252</v>
      </c>
      <c r="FN176" s="1" t="s">
        <v>213</v>
      </c>
      <c r="FO176" s="1" t="s">
        <v>213</v>
      </c>
      <c r="FQ176" s="1" t="s">
        <v>3084</v>
      </c>
      <c r="FR176" s="1" t="s">
        <v>210</v>
      </c>
      <c r="FS176" s="1" t="s">
        <v>3085</v>
      </c>
      <c r="FT176" s="1" t="s">
        <v>295</v>
      </c>
      <c r="FU176" s="1" t="s">
        <v>204</v>
      </c>
      <c r="FW176" s="1" t="s">
        <v>3086</v>
      </c>
      <c r="FX176" s="1">
        <v>2651</v>
      </c>
      <c r="FY176" s="1" t="s">
        <v>3087</v>
      </c>
      <c r="FZ176" s="1" t="s">
        <v>3088</v>
      </c>
      <c r="GA176" s="1">
        <v>10962</v>
      </c>
      <c r="GB176" s="1" t="s">
        <v>3089</v>
      </c>
      <c r="GD176" s="1" t="s">
        <v>3090</v>
      </c>
      <c r="GE176" s="1" t="s">
        <v>210</v>
      </c>
      <c r="GI176" s="1" t="s">
        <v>213</v>
      </c>
      <c r="GJ176" s="1" t="s">
        <v>260</v>
      </c>
      <c r="GK176" s="1" t="s">
        <v>210</v>
      </c>
      <c r="GL176" s="2">
        <v>41996</v>
      </c>
      <c r="GM176" s="1" t="s">
        <v>3091</v>
      </c>
    </row>
    <row r="177" spans="1:195">
      <c r="A177" s="1">
        <v>148000</v>
      </c>
      <c r="B177" s="1" t="s">
        <v>195</v>
      </c>
      <c r="C177" s="1" t="str">
        <f>"08767090"</f>
        <v>08767090</v>
      </c>
      <c r="D177" s="1" t="s">
        <v>196</v>
      </c>
      <c r="F177" s="1" t="str">
        <f t="shared" ref="F177:F178" si="141">"562"</f>
        <v>562</v>
      </c>
      <c r="G177" s="2">
        <v>41945</v>
      </c>
      <c r="H177" s="1">
        <v>149900</v>
      </c>
      <c r="I177" s="1">
        <v>149900</v>
      </c>
      <c r="J177" s="1">
        <v>148000</v>
      </c>
      <c r="K177" s="2">
        <v>41945</v>
      </c>
      <c r="L177" s="1">
        <v>90</v>
      </c>
      <c r="M177" s="2">
        <v>41948</v>
      </c>
      <c r="N177" s="1">
        <v>4</v>
      </c>
      <c r="O177" s="2">
        <v>41948</v>
      </c>
      <c r="P177" s="1">
        <v>22145</v>
      </c>
      <c r="Q177" s="1" t="s">
        <v>197</v>
      </c>
      <c r="R177" s="2">
        <v>42002</v>
      </c>
      <c r="S177" s="1">
        <v>225171</v>
      </c>
      <c r="T177" s="1">
        <v>3000</v>
      </c>
      <c r="U177" s="1">
        <v>1564</v>
      </c>
      <c r="V177" s="1" t="s">
        <v>3092</v>
      </c>
      <c r="W177" s="1" t="s">
        <v>264</v>
      </c>
      <c r="Y177" s="1">
        <v>4</v>
      </c>
      <c r="Z177" s="1" t="s">
        <v>370</v>
      </c>
      <c r="AA177" s="1" t="s">
        <v>899</v>
      </c>
      <c r="AB177" s="1">
        <v>60561</v>
      </c>
      <c r="AD177" s="1" t="s">
        <v>3093</v>
      </c>
      <c r="AE177" s="1" t="s">
        <v>3094</v>
      </c>
      <c r="AF177" s="1">
        <v>1987</v>
      </c>
      <c r="AG177" s="1" t="s">
        <v>204</v>
      </c>
      <c r="AH177" s="1" t="s">
        <v>902</v>
      </c>
      <c r="AI177" s="1" t="s">
        <v>206</v>
      </c>
      <c r="AJ177" s="1" t="s">
        <v>903</v>
      </c>
      <c r="AL177" s="1">
        <v>5</v>
      </c>
      <c r="AM177" s="1">
        <v>2</v>
      </c>
      <c r="AN177" s="1">
        <v>2</v>
      </c>
      <c r="AO177" s="1">
        <v>1</v>
      </c>
      <c r="AP177" s="1" t="s">
        <v>209</v>
      </c>
      <c r="AQ177" s="1">
        <v>1</v>
      </c>
      <c r="AR177" s="1" t="s">
        <v>210</v>
      </c>
      <c r="AS177" s="1" t="s">
        <v>204</v>
      </c>
      <c r="AT177" s="1" t="s">
        <v>211</v>
      </c>
      <c r="AU177" s="1">
        <v>1</v>
      </c>
      <c r="AW177" s="1" t="s">
        <v>204</v>
      </c>
      <c r="AX177" s="1" t="s">
        <v>3095</v>
      </c>
      <c r="AZ177" s="3">
        <v>2901</v>
      </c>
      <c r="BA177" s="1">
        <v>2013</v>
      </c>
      <c r="BB177" s="1" t="s">
        <v>405</v>
      </c>
      <c r="BE177" s="1">
        <v>1086</v>
      </c>
      <c r="BF177" s="1">
        <v>1</v>
      </c>
      <c r="BG177" s="1">
        <v>0</v>
      </c>
      <c r="BL177" s="1">
        <v>284</v>
      </c>
      <c r="BM177" s="1" t="s">
        <v>204</v>
      </c>
      <c r="BN177" s="1" t="s">
        <v>213</v>
      </c>
      <c r="BO177" s="1">
        <v>0</v>
      </c>
      <c r="BP177" s="1" t="s">
        <v>204</v>
      </c>
      <c r="BR177" s="1" t="str">
        <f>"0928406049"</f>
        <v>0928406049</v>
      </c>
      <c r="BT177" s="1" t="s">
        <v>3096</v>
      </c>
      <c r="BU177" s="1" t="s">
        <v>3097</v>
      </c>
      <c r="BV177" s="1" t="s">
        <v>3098</v>
      </c>
      <c r="BW177" s="1" t="s">
        <v>3099</v>
      </c>
      <c r="BX177" s="1">
        <v>61</v>
      </c>
      <c r="BY177" s="1">
        <v>61</v>
      </c>
      <c r="BZ177" s="1">
        <v>99</v>
      </c>
      <c r="CB177" s="1" t="str">
        <f t="shared" ref="CB177:CC177" si="142">""</f>
        <v/>
      </c>
      <c r="CC177" s="1" t="str">
        <f t="shared" si="142"/>
        <v/>
      </c>
      <c r="CG177" s="1" t="s">
        <v>3100</v>
      </c>
      <c r="CH177" s="1" t="s">
        <v>219</v>
      </c>
      <c r="CI177" s="1" t="s">
        <v>220</v>
      </c>
      <c r="CJ177" s="1" t="s">
        <v>210</v>
      </c>
      <c r="CK177" s="1" t="s">
        <v>539</v>
      </c>
      <c r="CL177" s="1" t="s">
        <v>277</v>
      </c>
      <c r="CM177" s="1" t="s">
        <v>220</v>
      </c>
      <c r="CN177" s="1" t="s">
        <v>343</v>
      </c>
      <c r="CO177" s="1" t="s">
        <v>629</v>
      </c>
      <c r="CP177" s="1" t="s">
        <v>219</v>
      </c>
      <c r="CQ177" s="1" t="s">
        <v>220</v>
      </c>
      <c r="CR177" s="1" t="s">
        <v>210</v>
      </c>
      <c r="CS177" s="1" t="s">
        <v>1297</v>
      </c>
      <c r="CT177" s="1" t="s">
        <v>277</v>
      </c>
      <c r="CU177" s="1" t="s">
        <v>220</v>
      </c>
      <c r="CV177" s="1" t="s">
        <v>343</v>
      </c>
      <c r="CX177" s="1" t="s">
        <v>224</v>
      </c>
      <c r="DB177" s="1" t="s">
        <v>224</v>
      </c>
      <c r="DE177" s="1" t="s">
        <v>516</v>
      </c>
      <c r="DF177" s="1" t="s">
        <v>219</v>
      </c>
      <c r="DG177" s="1" t="s">
        <v>226</v>
      </c>
      <c r="DH177" s="1" t="s">
        <v>210</v>
      </c>
      <c r="DJ177" s="1" t="s">
        <v>224</v>
      </c>
      <c r="DS177" s="1" t="s">
        <v>230</v>
      </c>
      <c r="DW177" s="1" t="s">
        <v>230</v>
      </c>
      <c r="EA177" s="1" t="s">
        <v>230</v>
      </c>
      <c r="EE177" s="1" t="s">
        <v>230</v>
      </c>
      <c r="EI177" s="1" t="s">
        <v>230</v>
      </c>
      <c r="EL177" s="1" t="s">
        <v>542</v>
      </c>
      <c r="EM177" s="1" t="s">
        <v>232</v>
      </c>
      <c r="EN177" s="1" t="s">
        <v>282</v>
      </c>
      <c r="EO177" s="1" t="s">
        <v>234</v>
      </c>
      <c r="EP177" s="1" t="s">
        <v>3101</v>
      </c>
      <c r="EQ177" s="1" t="s">
        <v>236</v>
      </c>
      <c r="ER177" s="1" t="s">
        <v>383</v>
      </c>
      <c r="ES177" s="1" t="s">
        <v>545</v>
      </c>
      <c r="EV177" s="1" t="s">
        <v>240</v>
      </c>
      <c r="EW177" s="1" t="s">
        <v>1679</v>
      </c>
      <c r="EY177" s="1" t="s">
        <v>242</v>
      </c>
      <c r="EZ177" s="1" t="s">
        <v>287</v>
      </c>
      <c r="FA177" s="1" t="s">
        <v>3102</v>
      </c>
      <c r="FB177" s="1" t="s">
        <v>289</v>
      </c>
      <c r="FD177" s="1" t="s">
        <v>246</v>
      </c>
      <c r="FE177" s="1" t="s">
        <v>975</v>
      </c>
      <c r="FF177" s="1" t="s">
        <v>3103</v>
      </c>
      <c r="FG177" s="1" t="s">
        <v>871</v>
      </c>
      <c r="FH177" s="1" t="s">
        <v>550</v>
      </c>
      <c r="FI177" s="1" t="s">
        <v>473</v>
      </c>
      <c r="FJ177" s="1" t="s">
        <v>197</v>
      </c>
      <c r="FL177" s="1" t="s">
        <v>358</v>
      </c>
      <c r="FM177" s="1" t="s">
        <v>252</v>
      </c>
      <c r="FN177" s="1" t="s">
        <v>213</v>
      </c>
      <c r="FO177" s="1" t="s">
        <v>213</v>
      </c>
      <c r="FQ177" s="1" t="s">
        <v>1758</v>
      </c>
      <c r="FR177" s="1" t="s">
        <v>210</v>
      </c>
      <c r="FS177" s="1" t="s">
        <v>3104</v>
      </c>
      <c r="FT177" s="1" t="s">
        <v>295</v>
      </c>
      <c r="FU177" s="1" t="s">
        <v>204</v>
      </c>
      <c r="FW177" s="1" t="s">
        <v>873</v>
      </c>
      <c r="FX177" s="1">
        <v>300</v>
      </c>
      <c r="FY177" s="1" t="s">
        <v>3105</v>
      </c>
      <c r="FZ177" s="1" t="s">
        <v>3106</v>
      </c>
      <c r="GA177" s="1">
        <v>8504</v>
      </c>
      <c r="GD177" s="1" t="s">
        <v>3107</v>
      </c>
      <c r="GE177" s="1" t="s">
        <v>210</v>
      </c>
      <c r="GI177" s="1" t="s">
        <v>213</v>
      </c>
      <c r="GJ177" s="1" t="s">
        <v>260</v>
      </c>
      <c r="GK177" s="1" t="s">
        <v>261</v>
      </c>
      <c r="GL177" s="2">
        <v>42002</v>
      </c>
      <c r="GM177" s="1" t="s">
        <v>3108</v>
      </c>
    </row>
    <row r="178" spans="1:195">
      <c r="A178" s="1">
        <v>129900</v>
      </c>
      <c r="B178" s="1" t="s">
        <v>195</v>
      </c>
      <c r="C178" s="1" t="str">
        <f>"08769047"</f>
        <v>08769047</v>
      </c>
      <c r="D178" s="1" t="s">
        <v>196</v>
      </c>
      <c r="F178" s="1" t="str">
        <f t="shared" si="141"/>
        <v>562</v>
      </c>
      <c r="G178" s="2">
        <v>41948</v>
      </c>
      <c r="H178" s="1">
        <v>137000</v>
      </c>
      <c r="I178" s="1">
        <v>137000</v>
      </c>
      <c r="J178" s="1">
        <v>129900</v>
      </c>
      <c r="K178" s="2">
        <v>41948</v>
      </c>
      <c r="L178" s="1">
        <v>18</v>
      </c>
      <c r="M178" s="2">
        <v>41965</v>
      </c>
      <c r="N178" s="1">
        <v>18</v>
      </c>
      <c r="O178" s="2">
        <v>41965</v>
      </c>
      <c r="P178" s="1">
        <v>23099</v>
      </c>
      <c r="Q178" s="1" t="s">
        <v>197</v>
      </c>
      <c r="R178" s="2">
        <v>42012</v>
      </c>
      <c r="S178" s="1">
        <v>214427</v>
      </c>
      <c r="U178" s="1">
        <v>709</v>
      </c>
      <c r="V178" s="1" t="s">
        <v>3109</v>
      </c>
      <c r="W178" s="1" t="s">
        <v>725</v>
      </c>
      <c r="X178" s="1">
        <v>405</v>
      </c>
      <c r="Y178" s="1">
        <v>40</v>
      </c>
      <c r="Z178" s="1" t="s">
        <v>249</v>
      </c>
      <c r="AA178" s="1" t="s">
        <v>899</v>
      </c>
      <c r="AB178" s="1">
        <v>60561</v>
      </c>
      <c r="AE178" s="1" t="s">
        <v>3110</v>
      </c>
      <c r="AF178" s="1">
        <v>1979</v>
      </c>
      <c r="AG178" s="1" t="s">
        <v>204</v>
      </c>
      <c r="AH178" s="1" t="s">
        <v>902</v>
      </c>
      <c r="AI178" s="1" t="s">
        <v>206</v>
      </c>
      <c r="AJ178" s="1" t="s">
        <v>903</v>
      </c>
      <c r="AL178" s="1">
        <v>5</v>
      </c>
      <c r="AM178" s="1">
        <v>2</v>
      </c>
      <c r="AN178" s="1">
        <v>2</v>
      </c>
      <c r="AO178" s="1">
        <v>0</v>
      </c>
      <c r="AP178" s="1" t="s">
        <v>209</v>
      </c>
      <c r="AR178" s="1" t="s">
        <v>210</v>
      </c>
      <c r="AS178" s="1" t="s">
        <v>204</v>
      </c>
      <c r="AT178" s="1" t="s">
        <v>211</v>
      </c>
      <c r="AU178" s="1">
        <v>1</v>
      </c>
      <c r="AW178" s="1" t="s">
        <v>204</v>
      </c>
      <c r="AX178" s="1" t="s">
        <v>212</v>
      </c>
      <c r="AZ178" s="1">
        <v>2699</v>
      </c>
      <c r="BA178" s="1">
        <v>2013</v>
      </c>
      <c r="BB178" s="1" t="s">
        <v>405</v>
      </c>
      <c r="BE178" s="1">
        <v>1089</v>
      </c>
      <c r="BF178" s="1">
        <v>4</v>
      </c>
      <c r="BG178" s="1">
        <v>30</v>
      </c>
      <c r="BL178" s="1">
        <v>294</v>
      </c>
      <c r="BM178" s="1" t="s">
        <v>204</v>
      </c>
      <c r="BN178" s="1" t="s">
        <v>213</v>
      </c>
      <c r="BO178" s="1">
        <v>999</v>
      </c>
      <c r="BP178" s="1" t="s">
        <v>204</v>
      </c>
      <c r="BR178" s="1" t="str">
        <f>"0934213035"</f>
        <v>0934213035</v>
      </c>
      <c r="BT178" s="1" t="s">
        <v>3111</v>
      </c>
      <c r="BW178" s="1" t="s">
        <v>907</v>
      </c>
      <c r="BX178" s="1">
        <v>61</v>
      </c>
      <c r="BY178" s="1">
        <v>61</v>
      </c>
      <c r="BZ178" s="1">
        <v>86</v>
      </c>
      <c r="CB178" s="1" t="str">
        <f t="shared" ref="CB178:CC178" si="143">""</f>
        <v/>
      </c>
      <c r="CC178" s="1" t="str">
        <f t="shared" si="143"/>
        <v/>
      </c>
      <c r="CG178" s="1" t="s">
        <v>3071</v>
      </c>
      <c r="CH178" s="1" t="s">
        <v>219</v>
      </c>
      <c r="CI178" s="1" t="s">
        <v>220</v>
      </c>
      <c r="CK178" s="1" t="s">
        <v>2121</v>
      </c>
      <c r="CL178" s="1" t="s">
        <v>219</v>
      </c>
      <c r="CO178" s="1" t="s">
        <v>1854</v>
      </c>
      <c r="CP178" s="1" t="s">
        <v>219</v>
      </c>
      <c r="CQ178" s="1" t="s">
        <v>220</v>
      </c>
      <c r="CS178" s="1" t="s">
        <v>1854</v>
      </c>
      <c r="CT178" s="1" t="s">
        <v>219</v>
      </c>
      <c r="CX178" s="1" t="s">
        <v>224</v>
      </c>
      <c r="DB178" s="1" t="s">
        <v>224</v>
      </c>
      <c r="DE178" s="1" t="s">
        <v>1854</v>
      </c>
      <c r="DF178" s="1" t="s">
        <v>219</v>
      </c>
      <c r="DG178" s="1" t="s">
        <v>342</v>
      </c>
      <c r="DJ178" s="1" t="s">
        <v>224</v>
      </c>
      <c r="DS178" s="1" t="s">
        <v>230</v>
      </c>
      <c r="DW178" s="1" t="s">
        <v>230</v>
      </c>
      <c r="EA178" s="1" t="s">
        <v>230</v>
      </c>
      <c r="EE178" s="1" t="s">
        <v>230</v>
      </c>
      <c r="EI178" s="1" t="s">
        <v>230</v>
      </c>
      <c r="EL178" s="1" t="s">
        <v>231</v>
      </c>
      <c r="EM178" s="1" t="s">
        <v>232</v>
      </c>
      <c r="EN178" s="1" t="s">
        <v>282</v>
      </c>
      <c r="EO178" s="1" t="s">
        <v>234</v>
      </c>
      <c r="EP178" s="1" t="s">
        <v>3112</v>
      </c>
      <c r="EQ178" s="1" t="s">
        <v>468</v>
      </c>
      <c r="ER178" s="1" t="s">
        <v>210</v>
      </c>
      <c r="ES178" s="1" t="s">
        <v>322</v>
      </c>
      <c r="EU178" s="1" t="s">
        <v>239</v>
      </c>
      <c r="EV178" s="1" t="s">
        <v>240</v>
      </c>
      <c r="EW178" s="1" t="s">
        <v>3113</v>
      </c>
      <c r="EZ178" s="1" t="s">
        <v>287</v>
      </c>
      <c r="FA178" s="1" t="s">
        <v>471</v>
      </c>
      <c r="FB178" s="1" t="s">
        <v>289</v>
      </c>
      <c r="FC178" s="1" t="s">
        <v>548</v>
      </c>
      <c r="FD178" s="1" t="s">
        <v>246</v>
      </c>
      <c r="FE178" s="1" t="s">
        <v>247</v>
      </c>
      <c r="FF178" s="1" t="s">
        <v>248</v>
      </c>
      <c r="FH178" s="1" t="s">
        <v>249</v>
      </c>
      <c r="FI178" s="1" t="s">
        <v>1114</v>
      </c>
      <c r="FL178" s="1" t="s">
        <v>1073</v>
      </c>
      <c r="FM178" s="1" t="s">
        <v>252</v>
      </c>
      <c r="FN178" s="1" t="s">
        <v>213</v>
      </c>
      <c r="FO178" s="1" t="s">
        <v>213</v>
      </c>
      <c r="FQ178" s="1" t="s">
        <v>1441</v>
      </c>
      <c r="FR178" s="1" t="s">
        <v>210</v>
      </c>
      <c r="FS178" s="1" t="s">
        <v>3114</v>
      </c>
      <c r="FT178" s="1" t="s">
        <v>3115</v>
      </c>
      <c r="FU178" s="1" t="s">
        <v>204</v>
      </c>
      <c r="FW178" s="1" t="s">
        <v>3116</v>
      </c>
      <c r="FX178" s="1">
        <v>21823</v>
      </c>
      <c r="FY178" s="1" t="s">
        <v>3117</v>
      </c>
      <c r="FZ178" s="1" t="s">
        <v>3118</v>
      </c>
      <c r="GA178" s="1">
        <v>217230</v>
      </c>
      <c r="GB178" s="1" t="s">
        <v>3119</v>
      </c>
      <c r="GE178" s="1" t="s">
        <v>480</v>
      </c>
      <c r="GI178" s="1" t="s">
        <v>213</v>
      </c>
      <c r="GJ178" s="1" t="s">
        <v>260</v>
      </c>
      <c r="GK178" s="1" t="s">
        <v>210</v>
      </c>
      <c r="GL178" s="2">
        <v>42012</v>
      </c>
      <c r="GM178" s="1" t="s">
        <v>3120</v>
      </c>
    </row>
    <row r="179" spans="1:195">
      <c r="A179" s="1">
        <v>90000</v>
      </c>
      <c r="B179" s="1" t="s">
        <v>195</v>
      </c>
      <c r="C179" s="1" t="str">
        <f>"08766867"</f>
        <v>08766867</v>
      </c>
      <c r="D179" s="1" t="s">
        <v>196</v>
      </c>
      <c r="F179" s="1" t="str">
        <f>"110"</f>
        <v>110</v>
      </c>
      <c r="G179" s="2">
        <v>41945</v>
      </c>
      <c r="H179" s="1">
        <v>90000</v>
      </c>
      <c r="I179" s="1">
        <v>90000</v>
      </c>
      <c r="J179" s="1">
        <v>90000</v>
      </c>
      <c r="K179" s="2">
        <v>41944</v>
      </c>
      <c r="L179" s="1">
        <v>3</v>
      </c>
      <c r="M179" s="2">
        <v>41946</v>
      </c>
      <c r="N179" s="1">
        <v>3</v>
      </c>
      <c r="O179" s="2">
        <v>41946</v>
      </c>
      <c r="P179" s="1">
        <v>17862</v>
      </c>
      <c r="Q179" s="1" t="s">
        <v>423</v>
      </c>
      <c r="R179" s="2">
        <v>41982</v>
      </c>
      <c r="S179" s="1">
        <v>139299</v>
      </c>
      <c r="U179" s="1">
        <v>1517</v>
      </c>
      <c r="V179" s="1" t="s">
        <v>3121</v>
      </c>
      <c r="W179" s="1" t="s">
        <v>264</v>
      </c>
      <c r="X179" s="1">
        <v>1517</v>
      </c>
      <c r="Y179" s="1">
        <v>8</v>
      </c>
      <c r="Z179" s="1" t="s">
        <v>249</v>
      </c>
      <c r="AA179" s="1" t="s">
        <v>803</v>
      </c>
      <c r="AB179" s="1">
        <v>60110</v>
      </c>
      <c r="AD179" s="1" t="s">
        <v>3122</v>
      </c>
      <c r="AE179" s="1" t="s">
        <v>3123</v>
      </c>
      <c r="AF179" s="1">
        <v>2004</v>
      </c>
      <c r="AG179" s="1" t="s">
        <v>204</v>
      </c>
      <c r="AH179" s="1" t="s">
        <v>2557</v>
      </c>
      <c r="AI179" s="1" t="s">
        <v>665</v>
      </c>
      <c r="AJ179" s="1" t="s">
        <v>805</v>
      </c>
      <c r="AK179" s="1" t="s">
        <v>3124</v>
      </c>
      <c r="AL179" s="1">
        <v>5</v>
      </c>
      <c r="AM179" s="1">
        <v>2</v>
      </c>
      <c r="AN179" s="1">
        <v>2</v>
      </c>
      <c r="AO179" s="1">
        <v>0</v>
      </c>
      <c r="AP179" s="1" t="s">
        <v>209</v>
      </c>
      <c r="AQ179" s="1">
        <v>0</v>
      </c>
      <c r="AR179" s="1" t="s">
        <v>210</v>
      </c>
      <c r="AT179" s="1" t="s">
        <v>375</v>
      </c>
      <c r="AU179" s="1">
        <v>1</v>
      </c>
      <c r="AV179" s="1">
        <v>1</v>
      </c>
      <c r="AW179" s="1" t="s">
        <v>204</v>
      </c>
      <c r="AX179" s="1" t="s">
        <v>1528</v>
      </c>
      <c r="AZ179" s="1">
        <v>2351.9</v>
      </c>
      <c r="BA179" s="1">
        <v>2013</v>
      </c>
      <c r="BB179" s="1" t="s">
        <v>405</v>
      </c>
      <c r="BC179" s="1">
        <v>0</v>
      </c>
      <c r="BE179" s="1">
        <v>1150</v>
      </c>
      <c r="BF179" s="1">
        <v>2</v>
      </c>
      <c r="BG179" s="1">
        <v>0</v>
      </c>
      <c r="BL179" s="1">
        <v>142</v>
      </c>
      <c r="BM179" s="1" t="s">
        <v>204</v>
      </c>
      <c r="BN179" s="1" t="s">
        <v>213</v>
      </c>
      <c r="BO179" s="1">
        <v>999</v>
      </c>
      <c r="BP179" s="1" t="s">
        <v>204</v>
      </c>
      <c r="BR179" s="1" t="str">
        <f>"0302452028"</f>
        <v>0302452028</v>
      </c>
      <c r="BT179" s="1" t="s">
        <v>3125</v>
      </c>
      <c r="BU179" s="1" t="s">
        <v>807</v>
      </c>
      <c r="BV179" s="1" t="s">
        <v>808</v>
      </c>
      <c r="BW179" s="1" t="s">
        <v>809</v>
      </c>
      <c r="BX179" s="1">
        <v>300</v>
      </c>
      <c r="BY179" s="1">
        <v>300</v>
      </c>
      <c r="BZ179" s="1">
        <v>300</v>
      </c>
      <c r="CB179" s="1" t="str">
        <f>"19"</f>
        <v>19</v>
      </c>
      <c r="CC179" s="1" t="str">
        <f>"0"</f>
        <v>0</v>
      </c>
      <c r="CD179" s="1">
        <v>33</v>
      </c>
      <c r="CE179" s="1">
        <v>0</v>
      </c>
      <c r="CG179" s="1" t="s">
        <v>344</v>
      </c>
      <c r="CH179" s="1" t="s">
        <v>277</v>
      </c>
      <c r="CI179" s="1" t="s">
        <v>220</v>
      </c>
      <c r="CJ179" s="1" t="s">
        <v>343</v>
      </c>
      <c r="CK179" s="1" t="s">
        <v>344</v>
      </c>
      <c r="CL179" s="1" t="s">
        <v>277</v>
      </c>
      <c r="CM179" s="1" t="s">
        <v>220</v>
      </c>
      <c r="CN179" s="1" t="s">
        <v>343</v>
      </c>
      <c r="CO179" s="1" t="s">
        <v>516</v>
      </c>
      <c r="CP179" s="1" t="s">
        <v>277</v>
      </c>
      <c r="CQ179" s="1" t="s">
        <v>229</v>
      </c>
      <c r="CR179" s="1" t="s">
        <v>343</v>
      </c>
      <c r="CS179" s="1" t="s">
        <v>932</v>
      </c>
      <c r="CT179" s="1" t="s">
        <v>277</v>
      </c>
      <c r="CU179" s="1" t="s">
        <v>220</v>
      </c>
      <c r="CV179" s="1" t="s">
        <v>343</v>
      </c>
      <c r="CX179" s="1" t="s">
        <v>224</v>
      </c>
      <c r="DB179" s="1" t="s">
        <v>224</v>
      </c>
      <c r="DE179" s="1" t="s">
        <v>379</v>
      </c>
      <c r="DF179" s="1" t="s">
        <v>277</v>
      </c>
      <c r="DG179" s="1" t="s">
        <v>229</v>
      </c>
      <c r="DH179" s="1" t="s">
        <v>210</v>
      </c>
      <c r="DJ179" s="1" t="s">
        <v>224</v>
      </c>
      <c r="DM179" s="1" t="s">
        <v>709</v>
      </c>
      <c r="DN179" s="1" t="s">
        <v>1771</v>
      </c>
      <c r="DO179" s="1" t="s">
        <v>1771</v>
      </c>
      <c r="DP179" s="1" t="s">
        <v>1614</v>
      </c>
      <c r="DR179" s="1" t="s">
        <v>1313</v>
      </c>
      <c r="DS179" s="1" t="s">
        <v>219</v>
      </c>
      <c r="DT179" s="1" t="s">
        <v>342</v>
      </c>
      <c r="DV179" s="1" t="s">
        <v>1919</v>
      </c>
      <c r="DW179" s="1" t="s">
        <v>277</v>
      </c>
      <c r="DX179" s="1" t="s">
        <v>220</v>
      </c>
      <c r="DZ179" s="1" t="s">
        <v>3126</v>
      </c>
      <c r="EA179" s="1" t="s">
        <v>277</v>
      </c>
      <c r="EB179" s="1" t="s">
        <v>220</v>
      </c>
      <c r="ED179" s="1" t="s">
        <v>3127</v>
      </c>
      <c r="EE179" s="1" t="s">
        <v>277</v>
      </c>
      <c r="EF179" s="1" t="s">
        <v>347</v>
      </c>
      <c r="EI179" s="1" t="s">
        <v>230</v>
      </c>
      <c r="EL179" s="1" t="s">
        <v>491</v>
      </c>
      <c r="EM179" s="1" t="s">
        <v>319</v>
      </c>
      <c r="EN179" s="1" t="s">
        <v>233</v>
      </c>
      <c r="EO179" s="1" t="s">
        <v>840</v>
      </c>
      <c r="EP179" s="1" t="s">
        <v>650</v>
      </c>
      <c r="EQ179" s="1" t="s">
        <v>236</v>
      </c>
      <c r="ER179" s="1" t="s">
        <v>210</v>
      </c>
      <c r="ES179" s="1" t="s">
        <v>608</v>
      </c>
      <c r="EU179" s="1" t="s">
        <v>239</v>
      </c>
      <c r="EV179" s="1" t="s">
        <v>324</v>
      </c>
      <c r="EW179" s="1" t="s">
        <v>937</v>
      </c>
      <c r="EY179" s="1" t="s">
        <v>790</v>
      </c>
      <c r="EZ179" s="1" t="s">
        <v>3128</v>
      </c>
      <c r="FA179" s="1" t="s">
        <v>672</v>
      </c>
      <c r="FB179" s="1" t="s">
        <v>1505</v>
      </c>
      <c r="FC179" s="1" t="s">
        <v>326</v>
      </c>
      <c r="FD179" s="1" t="s">
        <v>495</v>
      </c>
      <c r="FE179" s="1" t="s">
        <v>472</v>
      </c>
      <c r="FF179" s="1" t="s">
        <v>248</v>
      </c>
      <c r="FH179" s="1" t="s">
        <v>249</v>
      </c>
      <c r="FI179" s="1" t="s">
        <v>357</v>
      </c>
      <c r="FJ179" s="1" t="s">
        <v>197</v>
      </c>
      <c r="FK179" s="1" t="s">
        <v>291</v>
      </c>
      <c r="FL179" s="1" t="s">
        <v>3129</v>
      </c>
      <c r="FM179" s="1" t="s">
        <v>252</v>
      </c>
      <c r="FN179" s="1" t="s">
        <v>213</v>
      </c>
      <c r="FO179" s="1" t="s">
        <v>213</v>
      </c>
      <c r="FQ179" s="1" t="s">
        <v>1758</v>
      </c>
      <c r="FR179" s="1" t="s">
        <v>210</v>
      </c>
      <c r="FS179" s="1" t="s">
        <v>3130</v>
      </c>
      <c r="FT179" s="1" t="s">
        <v>3131</v>
      </c>
      <c r="FU179" s="1" t="s">
        <v>204</v>
      </c>
      <c r="FW179" s="1" t="s">
        <v>3132</v>
      </c>
      <c r="FX179" s="1">
        <v>5547</v>
      </c>
      <c r="FY179" s="1" t="s">
        <v>3133</v>
      </c>
      <c r="FZ179" s="1" t="s">
        <v>3134</v>
      </c>
      <c r="GA179" s="1">
        <v>55909</v>
      </c>
      <c r="GB179" s="1" t="s">
        <v>3135</v>
      </c>
      <c r="GD179" s="1" t="s">
        <v>3136</v>
      </c>
      <c r="GE179" s="1" t="s">
        <v>480</v>
      </c>
      <c r="GI179" s="1" t="s">
        <v>213</v>
      </c>
      <c r="GJ179" s="1" t="s">
        <v>260</v>
      </c>
      <c r="GK179" s="1" t="s">
        <v>210</v>
      </c>
      <c r="GL179" s="2">
        <v>41982</v>
      </c>
      <c r="GM179" s="1" t="s">
        <v>3137</v>
      </c>
    </row>
    <row r="180" spans="1:195">
      <c r="A180" s="1">
        <v>123000</v>
      </c>
      <c r="B180" s="1" t="s">
        <v>195</v>
      </c>
      <c r="C180" s="1" t="str">
        <f>"08770288"</f>
        <v>08770288</v>
      </c>
      <c r="D180" s="1" t="s">
        <v>196</v>
      </c>
      <c r="F180" s="1" t="str">
        <f>"123"</f>
        <v>123</v>
      </c>
      <c r="G180" s="2">
        <v>41949</v>
      </c>
      <c r="H180" s="1">
        <v>131500</v>
      </c>
      <c r="I180" s="1">
        <v>124900</v>
      </c>
      <c r="J180" s="1">
        <v>123000</v>
      </c>
      <c r="K180" s="2">
        <v>41949</v>
      </c>
      <c r="L180" s="1">
        <v>75</v>
      </c>
      <c r="M180" s="2">
        <v>42023</v>
      </c>
      <c r="N180" s="1">
        <v>75</v>
      </c>
      <c r="O180" s="2">
        <v>42023</v>
      </c>
      <c r="P180" s="1">
        <v>7450</v>
      </c>
      <c r="Q180" s="1" t="s">
        <v>302</v>
      </c>
      <c r="R180" s="2">
        <v>42048</v>
      </c>
      <c r="S180" s="1">
        <v>77859</v>
      </c>
      <c r="U180" s="1">
        <v>3384</v>
      </c>
      <c r="V180" s="1" t="s">
        <v>3138</v>
      </c>
      <c r="W180" s="1" t="s">
        <v>264</v>
      </c>
      <c r="X180" s="1">
        <v>3384</v>
      </c>
      <c r="Y180" s="1">
        <v>6</v>
      </c>
      <c r="Z180" s="1" t="s">
        <v>249</v>
      </c>
      <c r="AA180" s="1" t="s">
        <v>1173</v>
      </c>
      <c r="AB180" s="1">
        <v>60124</v>
      </c>
      <c r="AE180" s="1" t="s">
        <v>3139</v>
      </c>
      <c r="AF180" s="1">
        <v>2006</v>
      </c>
      <c r="AG180" s="1" t="s">
        <v>204</v>
      </c>
      <c r="AH180" s="1" t="s">
        <v>1175</v>
      </c>
      <c r="AI180" s="1" t="s">
        <v>665</v>
      </c>
      <c r="AJ180" s="1" t="s">
        <v>1175</v>
      </c>
      <c r="AL180" s="1">
        <v>6</v>
      </c>
      <c r="AM180" s="1">
        <v>2</v>
      </c>
      <c r="AN180" s="1">
        <v>2</v>
      </c>
      <c r="AO180" s="1">
        <v>1</v>
      </c>
      <c r="AP180" s="1" t="s">
        <v>209</v>
      </c>
      <c r="AR180" s="1" t="s">
        <v>210</v>
      </c>
      <c r="AS180" s="1" t="s">
        <v>204</v>
      </c>
      <c r="AT180" s="1" t="s">
        <v>211</v>
      </c>
      <c r="AU180" s="1">
        <v>2</v>
      </c>
      <c r="AW180" s="1" t="s">
        <v>204</v>
      </c>
      <c r="AX180" s="1">
        <v>0</v>
      </c>
      <c r="AZ180" s="1">
        <v>5100.68</v>
      </c>
      <c r="BA180" s="1">
        <v>2012</v>
      </c>
      <c r="BE180" s="1">
        <v>1721</v>
      </c>
      <c r="BF180" s="1">
        <v>1</v>
      </c>
      <c r="BG180" s="1">
        <v>1</v>
      </c>
      <c r="BL180" s="1">
        <v>166</v>
      </c>
      <c r="BM180" s="1" t="s">
        <v>204</v>
      </c>
      <c r="BN180" s="1" t="s">
        <v>213</v>
      </c>
      <c r="BO180" s="1">
        <v>0</v>
      </c>
      <c r="BP180" s="1" t="s">
        <v>204</v>
      </c>
      <c r="BR180" s="1" t="str">
        <f>"0618227013"</f>
        <v>0618227013</v>
      </c>
      <c r="BT180" s="1" t="s">
        <v>3140</v>
      </c>
      <c r="BX180" s="1">
        <v>301</v>
      </c>
      <c r="BY180" s="1">
        <v>301</v>
      </c>
      <c r="BZ180" s="1">
        <v>301</v>
      </c>
      <c r="CB180" s="1" t="str">
        <f t="shared" ref="CB180:CC180" si="144">""</f>
        <v/>
      </c>
      <c r="CC180" s="1" t="str">
        <f t="shared" si="144"/>
        <v/>
      </c>
      <c r="CG180" s="1" t="s">
        <v>461</v>
      </c>
      <c r="CH180" s="1" t="s">
        <v>219</v>
      </c>
      <c r="CK180" s="1" t="s">
        <v>377</v>
      </c>
      <c r="CL180" s="1" t="s">
        <v>277</v>
      </c>
      <c r="CO180" s="1" t="s">
        <v>837</v>
      </c>
      <c r="CP180" s="1" t="s">
        <v>219</v>
      </c>
      <c r="CS180" s="1" t="s">
        <v>461</v>
      </c>
      <c r="CT180" s="1" t="s">
        <v>277</v>
      </c>
      <c r="CX180" s="1" t="s">
        <v>224</v>
      </c>
      <c r="DB180" s="1" t="s">
        <v>224</v>
      </c>
      <c r="DE180" s="1" t="s">
        <v>757</v>
      </c>
      <c r="DF180" s="1" t="s">
        <v>219</v>
      </c>
      <c r="DI180" s="1" t="s">
        <v>437</v>
      </c>
      <c r="DJ180" s="1" t="s">
        <v>822</v>
      </c>
      <c r="DS180" s="1" t="s">
        <v>230</v>
      </c>
      <c r="DW180" s="1" t="s">
        <v>230</v>
      </c>
      <c r="EA180" s="1" t="s">
        <v>230</v>
      </c>
      <c r="EE180" s="1" t="s">
        <v>230</v>
      </c>
      <c r="EI180" s="1" t="s">
        <v>230</v>
      </c>
      <c r="EL180" s="1" t="s">
        <v>491</v>
      </c>
      <c r="EM180" s="1" t="s">
        <v>319</v>
      </c>
      <c r="EN180" s="1" t="s">
        <v>282</v>
      </c>
      <c r="EO180" s="1" t="s">
        <v>234</v>
      </c>
      <c r="ER180" s="1" t="s">
        <v>383</v>
      </c>
      <c r="EW180" s="1" t="s">
        <v>887</v>
      </c>
      <c r="EZ180" s="1" t="s">
        <v>287</v>
      </c>
      <c r="FD180" s="1" t="s">
        <v>246</v>
      </c>
      <c r="FE180" s="1" t="s">
        <v>355</v>
      </c>
      <c r="FF180" s="1" t="s">
        <v>387</v>
      </c>
      <c r="FH180" s="1" t="s">
        <v>249</v>
      </c>
      <c r="FL180" s="1" t="s">
        <v>358</v>
      </c>
      <c r="FM180" s="1" t="s">
        <v>252</v>
      </c>
      <c r="FN180" s="1" t="s">
        <v>213</v>
      </c>
      <c r="FO180" s="1" t="s">
        <v>213</v>
      </c>
      <c r="FQ180" s="1" t="s">
        <v>582</v>
      </c>
      <c r="FR180" s="1" t="s">
        <v>210</v>
      </c>
      <c r="FS180" s="1" t="s">
        <v>2106</v>
      </c>
      <c r="FT180" s="1" t="s">
        <v>3141</v>
      </c>
      <c r="FU180" s="1" t="s">
        <v>204</v>
      </c>
      <c r="FW180" s="1" t="s">
        <v>2108</v>
      </c>
      <c r="FX180" s="1">
        <v>5085</v>
      </c>
      <c r="FY180" s="1" t="s">
        <v>2109</v>
      </c>
      <c r="FZ180" s="1" t="s">
        <v>3142</v>
      </c>
      <c r="GA180" s="1">
        <v>55547</v>
      </c>
      <c r="GE180" s="1" t="s">
        <v>480</v>
      </c>
      <c r="GI180" s="1" t="s">
        <v>204</v>
      </c>
      <c r="GJ180" s="1" t="s">
        <v>260</v>
      </c>
      <c r="GK180" s="1" t="s">
        <v>210</v>
      </c>
      <c r="GL180" s="2">
        <v>42058</v>
      </c>
      <c r="GM180" s="1" t="s">
        <v>3143</v>
      </c>
    </row>
    <row r="181" spans="1:195">
      <c r="A181" s="1">
        <v>57000</v>
      </c>
      <c r="B181" s="1" t="s">
        <v>195</v>
      </c>
      <c r="C181" s="1" t="str">
        <f>"08772143"</f>
        <v>08772143</v>
      </c>
      <c r="D181" s="1" t="s">
        <v>196</v>
      </c>
      <c r="F181" s="1" t="str">
        <f>"480"</f>
        <v>480</v>
      </c>
      <c r="G181" s="2">
        <v>41952</v>
      </c>
      <c r="H181" s="1">
        <v>56700</v>
      </c>
      <c r="I181" s="1">
        <v>56700</v>
      </c>
      <c r="J181" s="1">
        <v>57000</v>
      </c>
      <c r="K181" s="2">
        <v>41950</v>
      </c>
      <c r="L181" s="1">
        <v>88</v>
      </c>
      <c r="M181" s="2">
        <v>42037</v>
      </c>
      <c r="N181" s="1">
        <v>88</v>
      </c>
      <c r="O181" s="2">
        <v>42037</v>
      </c>
      <c r="P181" s="1">
        <v>60759</v>
      </c>
      <c r="Q181" s="1" t="s">
        <v>302</v>
      </c>
      <c r="R181" s="2">
        <v>42058</v>
      </c>
      <c r="S181" s="1">
        <v>603031</v>
      </c>
      <c r="U181" s="1">
        <v>9072</v>
      </c>
      <c r="V181" s="1" t="s">
        <v>3144</v>
      </c>
      <c r="W181" s="1" t="s">
        <v>425</v>
      </c>
      <c r="X181" s="1" t="s">
        <v>1688</v>
      </c>
      <c r="Y181" s="1">
        <v>6</v>
      </c>
      <c r="Z181" s="1" t="s">
        <v>370</v>
      </c>
      <c r="AA181" s="1" t="s">
        <v>3145</v>
      </c>
      <c r="AB181" s="1">
        <v>60480</v>
      </c>
      <c r="AE181" s="1" t="s">
        <v>3146</v>
      </c>
      <c r="AF181" s="1">
        <v>1983</v>
      </c>
      <c r="AG181" s="1" t="s">
        <v>204</v>
      </c>
      <c r="AH181" s="1" t="s">
        <v>3147</v>
      </c>
      <c r="AI181" s="1" t="s">
        <v>310</v>
      </c>
      <c r="AJ181" s="1" t="s">
        <v>3148</v>
      </c>
      <c r="AK181" s="1" t="s">
        <v>3149</v>
      </c>
      <c r="AL181" s="1">
        <v>5</v>
      </c>
      <c r="AM181" s="1">
        <v>2</v>
      </c>
      <c r="AN181" s="1">
        <v>1</v>
      </c>
      <c r="AO181" s="1">
        <v>1</v>
      </c>
      <c r="AP181" s="1" t="s">
        <v>210</v>
      </c>
      <c r="AQ181" s="1">
        <v>0</v>
      </c>
      <c r="AR181" s="1" t="s">
        <v>210</v>
      </c>
      <c r="AT181" s="1" t="s">
        <v>271</v>
      </c>
      <c r="AV181" s="1">
        <v>2</v>
      </c>
      <c r="AW181" s="1" t="s">
        <v>204</v>
      </c>
      <c r="AX181" s="1" t="s">
        <v>212</v>
      </c>
      <c r="AZ181" s="1">
        <v>3008.84</v>
      </c>
      <c r="BA181" s="1">
        <v>2013</v>
      </c>
      <c r="BB181" s="1" t="s">
        <v>405</v>
      </c>
      <c r="BE181" s="1">
        <v>850</v>
      </c>
      <c r="BF181" s="1">
        <v>1</v>
      </c>
      <c r="BG181" s="1">
        <v>14</v>
      </c>
      <c r="BL181" s="1">
        <v>205</v>
      </c>
      <c r="BM181" s="1" t="s">
        <v>204</v>
      </c>
      <c r="BN181" s="1" t="s">
        <v>213</v>
      </c>
      <c r="BO181" s="1">
        <v>999</v>
      </c>
      <c r="BP181" s="1" t="s">
        <v>204</v>
      </c>
      <c r="BR181" s="1" t="str">
        <f>"23052010651014"</f>
        <v>23052010651014</v>
      </c>
      <c r="BT181" s="1" t="s">
        <v>3150</v>
      </c>
      <c r="BX181" s="1">
        <v>108</v>
      </c>
      <c r="BY181" s="1">
        <v>108</v>
      </c>
      <c r="BZ181" s="1">
        <v>230</v>
      </c>
      <c r="CB181" s="1" t="str">
        <f t="shared" ref="CB181:CC181" si="145">""</f>
        <v/>
      </c>
      <c r="CC181" s="1" t="str">
        <f t="shared" si="145"/>
        <v/>
      </c>
      <c r="CD181" s="1">
        <v>13</v>
      </c>
      <c r="CE181" s="1">
        <v>10</v>
      </c>
      <c r="CG181" s="1" t="s">
        <v>3151</v>
      </c>
      <c r="CH181" s="1" t="s">
        <v>219</v>
      </c>
      <c r="CI181" s="1" t="s">
        <v>220</v>
      </c>
      <c r="CJ181" s="1" t="s">
        <v>210</v>
      </c>
      <c r="CK181" s="1" t="s">
        <v>2070</v>
      </c>
      <c r="CL181" s="1" t="s">
        <v>277</v>
      </c>
      <c r="CM181" s="1" t="s">
        <v>220</v>
      </c>
      <c r="CN181" s="1" t="s">
        <v>210</v>
      </c>
      <c r="CO181" s="1" t="s">
        <v>516</v>
      </c>
      <c r="CP181" s="1" t="s">
        <v>219</v>
      </c>
      <c r="CQ181" s="1" t="s">
        <v>226</v>
      </c>
      <c r="CR181" s="1" t="s">
        <v>210</v>
      </c>
      <c r="CS181" s="1" t="s">
        <v>836</v>
      </c>
      <c r="CT181" s="1" t="s">
        <v>277</v>
      </c>
      <c r="CU181" s="1" t="s">
        <v>220</v>
      </c>
      <c r="CV181" s="1" t="s">
        <v>210</v>
      </c>
      <c r="CX181" s="1" t="s">
        <v>224</v>
      </c>
      <c r="DB181" s="1" t="s">
        <v>224</v>
      </c>
      <c r="DE181" s="1" t="s">
        <v>516</v>
      </c>
      <c r="DF181" s="1" t="s">
        <v>219</v>
      </c>
      <c r="DG181" s="1" t="s">
        <v>226</v>
      </c>
      <c r="DH181" s="1" t="s">
        <v>210</v>
      </c>
      <c r="DJ181" s="1" t="s">
        <v>224</v>
      </c>
      <c r="DS181" s="1" t="s">
        <v>230</v>
      </c>
      <c r="DW181" s="1" t="s">
        <v>230</v>
      </c>
      <c r="EA181" s="1" t="s">
        <v>230</v>
      </c>
      <c r="EE181" s="1" t="s">
        <v>230</v>
      </c>
      <c r="EI181" s="1" t="s">
        <v>230</v>
      </c>
      <c r="EL181" s="1" t="s">
        <v>231</v>
      </c>
      <c r="EM181" s="1" t="s">
        <v>730</v>
      </c>
      <c r="EN181" s="1" t="s">
        <v>210</v>
      </c>
      <c r="EO181" s="1" t="s">
        <v>840</v>
      </c>
      <c r="ER181" s="1" t="s">
        <v>210</v>
      </c>
      <c r="EU181" s="1" t="s">
        <v>239</v>
      </c>
      <c r="EW181" s="1" t="s">
        <v>3152</v>
      </c>
      <c r="EY181" s="1" t="s">
        <v>790</v>
      </c>
      <c r="EZ181" s="1" t="s">
        <v>287</v>
      </c>
      <c r="FD181" s="1" t="s">
        <v>246</v>
      </c>
      <c r="FE181" s="1" t="s">
        <v>975</v>
      </c>
      <c r="FF181" s="1" t="s">
        <v>248</v>
      </c>
      <c r="FH181" s="1" t="s">
        <v>249</v>
      </c>
      <c r="FL181" s="1" t="s">
        <v>2958</v>
      </c>
      <c r="FM181" s="1" t="s">
        <v>252</v>
      </c>
      <c r="FN181" s="1" t="s">
        <v>213</v>
      </c>
      <c r="FO181" s="1" t="s">
        <v>213</v>
      </c>
      <c r="FQ181" s="1" t="s">
        <v>3153</v>
      </c>
      <c r="FR181" s="1" t="s">
        <v>210</v>
      </c>
      <c r="FS181" s="1" t="s">
        <v>443</v>
      </c>
      <c r="FT181" s="1" t="s">
        <v>362</v>
      </c>
      <c r="FU181" s="1" t="s">
        <v>204</v>
      </c>
      <c r="FW181" s="1" t="s">
        <v>915</v>
      </c>
      <c r="FX181" s="1">
        <v>60120</v>
      </c>
      <c r="FY181" s="1" t="s">
        <v>3154</v>
      </c>
      <c r="FZ181" s="1" t="s">
        <v>3155</v>
      </c>
      <c r="GA181" s="1">
        <v>216990</v>
      </c>
      <c r="GB181" s="1" t="s">
        <v>3156</v>
      </c>
      <c r="GE181" s="1" t="s">
        <v>480</v>
      </c>
      <c r="GI181" s="1" t="s">
        <v>213</v>
      </c>
      <c r="GJ181" s="1" t="s">
        <v>260</v>
      </c>
      <c r="GK181" s="1" t="s">
        <v>210</v>
      </c>
      <c r="GL181" s="2">
        <v>42059</v>
      </c>
      <c r="GM181" s="1" t="s">
        <v>3157</v>
      </c>
    </row>
    <row r="182" spans="1:195">
      <c r="A182" s="1">
        <v>123000</v>
      </c>
      <c r="B182" s="1" t="s">
        <v>195</v>
      </c>
      <c r="C182" s="1" t="str">
        <f>"08771837"</f>
        <v>08771837</v>
      </c>
      <c r="D182" s="1" t="s">
        <v>196</v>
      </c>
      <c r="F182" s="1" t="str">
        <f>"190"</f>
        <v>190</v>
      </c>
      <c r="G182" s="2">
        <v>41951</v>
      </c>
      <c r="H182" s="1">
        <v>154900</v>
      </c>
      <c r="I182" s="1">
        <v>139900</v>
      </c>
      <c r="J182" s="1">
        <v>123000</v>
      </c>
      <c r="K182" s="2">
        <v>41951</v>
      </c>
      <c r="L182" s="1">
        <v>80</v>
      </c>
      <c r="M182" s="2">
        <v>42030</v>
      </c>
      <c r="N182" s="1">
        <v>80</v>
      </c>
      <c r="O182" s="2">
        <v>42030</v>
      </c>
      <c r="P182" s="1">
        <v>24695</v>
      </c>
      <c r="Q182" s="1" t="s">
        <v>197</v>
      </c>
      <c r="R182" s="2">
        <v>42075</v>
      </c>
      <c r="S182" s="1">
        <v>217860</v>
      </c>
      <c r="U182" s="1" t="s">
        <v>3158</v>
      </c>
      <c r="V182" s="1" t="s">
        <v>3159</v>
      </c>
      <c r="W182" s="1" t="s">
        <v>304</v>
      </c>
      <c r="X182" s="1">
        <v>703</v>
      </c>
      <c r="Y182" s="1">
        <v>4</v>
      </c>
      <c r="Z182" s="1" t="s">
        <v>249</v>
      </c>
      <c r="AA182" s="1" t="s">
        <v>1915</v>
      </c>
      <c r="AB182" s="1">
        <v>60190</v>
      </c>
      <c r="AE182" s="1" t="s">
        <v>3160</v>
      </c>
      <c r="AF182" s="1">
        <v>1981</v>
      </c>
      <c r="AG182" s="1" t="s">
        <v>204</v>
      </c>
      <c r="AH182" s="1" t="s">
        <v>987</v>
      </c>
      <c r="AI182" s="1" t="s">
        <v>206</v>
      </c>
      <c r="AJ182" s="1" t="s">
        <v>987</v>
      </c>
      <c r="AL182" s="1">
        <v>5</v>
      </c>
      <c r="AM182" s="1">
        <v>2</v>
      </c>
      <c r="AN182" s="1">
        <v>1</v>
      </c>
      <c r="AO182" s="1">
        <v>0</v>
      </c>
      <c r="AP182" s="1" t="s">
        <v>210</v>
      </c>
      <c r="AQ182" s="1">
        <v>1</v>
      </c>
      <c r="AR182" s="1" t="s">
        <v>210</v>
      </c>
      <c r="AT182" s="1" t="s">
        <v>211</v>
      </c>
      <c r="AU182" s="1">
        <v>1</v>
      </c>
      <c r="AW182" s="1" t="s">
        <v>204</v>
      </c>
      <c r="AX182" s="1">
        <v>0</v>
      </c>
      <c r="AZ182" s="1">
        <v>1314</v>
      </c>
      <c r="BA182" s="1">
        <v>2013</v>
      </c>
      <c r="BB182" s="1" t="s">
        <v>2694</v>
      </c>
      <c r="BE182" s="1">
        <v>924</v>
      </c>
      <c r="BF182" s="1">
        <v>1</v>
      </c>
      <c r="BG182" s="1">
        <v>0</v>
      </c>
      <c r="BL182" s="1">
        <v>170</v>
      </c>
      <c r="BM182" s="1" t="s">
        <v>204</v>
      </c>
      <c r="BN182" s="1" t="s">
        <v>213</v>
      </c>
      <c r="BO182" s="1">
        <v>45</v>
      </c>
      <c r="BP182" s="1" t="s">
        <v>204</v>
      </c>
      <c r="BR182" s="1" t="str">
        <f>"0412307550"</f>
        <v>0412307550</v>
      </c>
      <c r="BT182" s="1" t="s">
        <v>3161</v>
      </c>
      <c r="BU182" s="1" t="s">
        <v>3162</v>
      </c>
      <c r="BV182" s="1" t="s">
        <v>3163</v>
      </c>
      <c r="BW182" s="1" t="s">
        <v>1675</v>
      </c>
      <c r="BX182" s="1">
        <v>34</v>
      </c>
      <c r="BY182" s="1">
        <v>34</v>
      </c>
      <c r="BZ182" s="1">
        <v>94</v>
      </c>
      <c r="CB182" s="1" t="str">
        <f t="shared" ref="CB182:CC182" si="146">""</f>
        <v/>
      </c>
      <c r="CC182" s="1" t="str">
        <f t="shared" si="146"/>
        <v/>
      </c>
      <c r="CG182" s="1" t="s">
        <v>1004</v>
      </c>
      <c r="CH182" s="1" t="s">
        <v>219</v>
      </c>
      <c r="CI182" s="1" t="s">
        <v>220</v>
      </c>
      <c r="CK182" s="1" t="s">
        <v>317</v>
      </c>
      <c r="CL182" s="1" t="s">
        <v>219</v>
      </c>
      <c r="CM182" s="1" t="s">
        <v>220</v>
      </c>
      <c r="CO182" s="1" t="s">
        <v>281</v>
      </c>
      <c r="CP182" s="1" t="s">
        <v>219</v>
      </c>
      <c r="CQ182" s="1" t="s">
        <v>220</v>
      </c>
      <c r="CS182" s="1" t="s">
        <v>318</v>
      </c>
      <c r="CT182" s="1" t="s">
        <v>219</v>
      </c>
      <c r="CU182" s="1" t="s">
        <v>220</v>
      </c>
      <c r="CX182" s="1" t="s">
        <v>224</v>
      </c>
      <c r="DB182" s="1" t="s">
        <v>224</v>
      </c>
      <c r="DE182" s="1" t="s">
        <v>409</v>
      </c>
      <c r="DF182" s="1" t="s">
        <v>219</v>
      </c>
      <c r="DG182" s="1" t="s">
        <v>226</v>
      </c>
      <c r="DJ182" s="1" t="s">
        <v>224</v>
      </c>
      <c r="DS182" s="1" t="s">
        <v>230</v>
      </c>
      <c r="DW182" s="1" t="s">
        <v>230</v>
      </c>
      <c r="EA182" s="1" t="s">
        <v>230</v>
      </c>
      <c r="EE182" s="1" t="s">
        <v>230</v>
      </c>
      <c r="EI182" s="1" t="s">
        <v>230</v>
      </c>
      <c r="EL182" s="1" t="s">
        <v>231</v>
      </c>
      <c r="EM182" s="1" t="s">
        <v>232</v>
      </c>
      <c r="EN182" s="1" t="s">
        <v>282</v>
      </c>
      <c r="EO182" s="1" t="s">
        <v>234</v>
      </c>
      <c r="ER182" s="1" t="s">
        <v>210</v>
      </c>
      <c r="EW182" s="1" t="s">
        <v>1250</v>
      </c>
      <c r="EZ182" s="1" t="s">
        <v>287</v>
      </c>
      <c r="FD182" s="1" t="s">
        <v>246</v>
      </c>
      <c r="FE182" s="1" t="s">
        <v>386</v>
      </c>
      <c r="FF182" s="1" t="s">
        <v>248</v>
      </c>
      <c r="FG182" s="1" t="s">
        <v>939</v>
      </c>
      <c r="FH182" s="1" t="s">
        <v>249</v>
      </c>
      <c r="FI182" s="1" t="s">
        <v>357</v>
      </c>
      <c r="FL182" s="1" t="s">
        <v>414</v>
      </c>
      <c r="FM182" s="1" t="s">
        <v>252</v>
      </c>
      <c r="FN182" s="1" t="s">
        <v>213</v>
      </c>
      <c r="FO182" s="1" t="s">
        <v>213</v>
      </c>
      <c r="FQ182" s="1" t="s">
        <v>3164</v>
      </c>
      <c r="FR182" s="1" t="s">
        <v>210</v>
      </c>
      <c r="FS182" s="1" t="s">
        <v>3165</v>
      </c>
      <c r="FT182" s="1" t="s">
        <v>295</v>
      </c>
      <c r="FU182" s="1" t="s">
        <v>204</v>
      </c>
      <c r="FW182" s="1" t="s">
        <v>2144</v>
      </c>
      <c r="FX182" s="1">
        <v>23163</v>
      </c>
      <c r="FY182" s="1" t="s">
        <v>2145</v>
      </c>
      <c r="FZ182" s="1" t="s">
        <v>3166</v>
      </c>
      <c r="GA182" s="1">
        <v>253609</v>
      </c>
      <c r="GB182" s="1" t="s">
        <v>3167</v>
      </c>
      <c r="GE182" s="1" t="s">
        <v>210</v>
      </c>
      <c r="GI182" s="1" t="s">
        <v>213</v>
      </c>
      <c r="GJ182" s="1" t="s">
        <v>260</v>
      </c>
      <c r="GK182" s="1" t="s">
        <v>210</v>
      </c>
      <c r="GL182" s="2">
        <v>42075</v>
      </c>
    </row>
    <row r="183" spans="1:195">
      <c r="A183" s="1">
        <v>355000</v>
      </c>
      <c r="B183" s="1" t="s">
        <v>195</v>
      </c>
      <c r="C183" s="1" t="str">
        <f>"08767448"</f>
        <v>08767448</v>
      </c>
      <c r="D183" s="1" t="s">
        <v>196</v>
      </c>
      <c r="F183" s="1" t="str">
        <f>"126"</f>
        <v>126</v>
      </c>
      <c r="G183" s="2">
        <v>41946</v>
      </c>
      <c r="H183" s="1">
        <v>359900</v>
      </c>
      <c r="I183" s="1">
        <v>359900</v>
      </c>
      <c r="J183" s="1">
        <v>355000</v>
      </c>
      <c r="K183" s="2">
        <v>41946</v>
      </c>
      <c r="L183" s="1">
        <v>5</v>
      </c>
      <c r="M183" s="2">
        <v>41950</v>
      </c>
      <c r="N183" s="1">
        <v>5</v>
      </c>
      <c r="O183" s="2">
        <v>41950</v>
      </c>
      <c r="P183" s="1">
        <v>24330</v>
      </c>
      <c r="Q183" s="1" t="s">
        <v>197</v>
      </c>
      <c r="R183" s="2">
        <v>41978</v>
      </c>
      <c r="S183" s="1">
        <v>243892</v>
      </c>
      <c r="U183" s="1">
        <v>135</v>
      </c>
      <c r="V183" s="1" t="s">
        <v>3168</v>
      </c>
      <c r="W183" s="1" t="s">
        <v>725</v>
      </c>
      <c r="X183" s="1">
        <v>408</v>
      </c>
      <c r="Y183" s="1">
        <v>67</v>
      </c>
      <c r="Z183" s="1" t="s">
        <v>249</v>
      </c>
      <c r="AA183" s="1" t="s">
        <v>3169</v>
      </c>
      <c r="AB183" s="1">
        <v>60126</v>
      </c>
      <c r="AD183" s="1" t="s">
        <v>3170</v>
      </c>
      <c r="AE183" s="1" t="s">
        <v>3171</v>
      </c>
      <c r="AF183" s="1">
        <v>2006</v>
      </c>
      <c r="AG183" s="1" t="s">
        <v>204</v>
      </c>
      <c r="AH183" s="1" t="s">
        <v>3172</v>
      </c>
      <c r="AI183" s="1" t="s">
        <v>206</v>
      </c>
      <c r="AJ183" s="1" t="s">
        <v>1608</v>
      </c>
      <c r="AL183" s="1">
        <v>5</v>
      </c>
      <c r="AM183" s="1">
        <v>2</v>
      </c>
      <c r="AN183" s="1">
        <v>2</v>
      </c>
      <c r="AO183" s="1">
        <v>0</v>
      </c>
      <c r="AP183" s="1" t="s">
        <v>209</v>
      </c>
      <c r="AR183" s="1" t="s">
        <v>210</v>
      </c>
      <c r="AS183" s="1" t="s">
        <v>204</v>
      </c>
      <c r="AT183" s="1" t="s">
        <v>211</v>
      </c>
      <c r="AU183" s="1">
        <v>2</v>
      </c>
      <c r="AW183" s="1" t="s">
        <v>204</v>
      </c>
      <c r="AX183" s="1" t="s">
        <v>212</v>
      </c>
      <c r="AZ183" s="1">
        <v>6123</v>
      </c>
      <c r="BA183" s="1">
        <v>2013</v>
      </c>
      <c r="BB183" s="1" t="s">
        <v>599</v>
      </c>
      <c r="BE183" s="1">
        <v>1522</v>
      </c>
      <c r="BF183" s="1">
        <v>4</v>
      </c>
      <c r="BG183" s="1">
        <v>0</v>
      </c>
      <c r="BL183" s="1">
        <v>293</v>
      </c>
      <c r="BM183" s="1" t="s">
        <v>204</v>
      </c>
      <c r="BN183" s="1" t="s">
        <v>213</v>
      </c>
      <c r="BO183" s="1">
        <v>999</v>
      </c>
      <c r="BP183" s="1" t="s">
        <v>204</v>
      </c>
      <c r="BR183" s="1" t="str">
        <f>"0601326169"</f>
        <v>0601326169</v>
      </c>
      <c r="BT183" s="1" t="s">
        <v>3173</v>
      </c>
      <c r="BU183" s="1" t="s">
        <v>3174</v>
      </c>
      <c r="BV183" s="1" t="s">
        <v>3175</v>
      </c>
      <c r="BW183" s="1" t="s">
        <v>3176</v>
      </c>
      <c r="BX183" s="1">
        <v>205</v>
      </c>
      <c r="BY183" s="1">
        <v>205</v>
      </c>
      <c r="BZ183" s="1">
        <v>205</v>
      </c>
      <c r="CB183" s="1" t="str">
        <f t="shared" ref="CB183:CC183" si="147">""</f>
        <v/>
      </c>
      <c r="CC183" s="1" t="str">
        <f t="shared" si="147"/>
        <v/>
      </c>
      <c r="CG183" s="1" t="s">
        <v>648</v>
      </c>
      <c r="CH183" s="1" t="s">
        <v>685</v>
      </c>
      <c r="CI183" s="1" t="s">
        <v>220</v>
      </c>
      <c r="CK183" s="1" t="s">
        <v>932</v>
      </c>
      <c r="CL183" s="1" t="s">
        <v>685</v>
      </c>
      <c r="CM183" s="1" t="s">
        <v>220</v>
      </c>
      <c r="CO183" s="1" t="s">
        <v>786</v>
      </c>
      <c r="CP183" s="1" t="s">
        <v>685</v>
      </c>
      <c r="CQ183" s="1" t="s">
        <v>220</v>
      </c>
      <c r="CS183" s="1" t="s">
        <v>465</v>
      </c>
      <c r="CT183" s="1" t="s">
        <v>685</v>
      </c>
      <c r="CU183" s="1" t="s">
        <v>220</v>
      </c>
      <c r="CX183" s="1" t="s">
        <v>224</v>
      </c>
      <c r="DB183" s="1" t="s">
        <v>224</v>
      </c>
      <c r="DE183" s="1" t="s">
        <v>2899</v>
      </c>
      <c r="DF183" s="1" t="s">
        <v>685</v>
      </c>
      <c r="DG183" s="1" t="s">
        <v>226</v>
      </c>
      <c r="DJ183" s="1" t="s">
        <v>224</v>
      </c>
      <c r="DK183" s="1" t="s">
        <v>220</v>
      </c>
      <c r="DS183" s="1" t="s">
        <v>230</v>
      </c>
      <c r="DW183" s="1" t="s">
        <v>230</v>
      </c>
      <c r="EA183" s="1" t="s">
        <v>230</v>
      </c>
      <c r="EE183" s="1" t="s">
        <v>230</v>
      </c>
      <c r="EI183" s="1" t="s">
        <v>230</v>
      </c>
      <c r="EL183" s="1" t="s">
        <v>491</v>
      </c>
      <c r="EM183" s="1" t="s">
        <v>232</v>
      </c>
      <c r="EN183" s="1" t="s">
        <v>282</v>
      </c>
      <c r="EO183" s="1" t="s">
        <v>234</v>
      </c>
      <c r="EP183" s="1" t="s">
        <v>3177</v>
      </c>
      <c r="ER183" s="1" t="s">
        <v>210</v>
      </c>
      <c r="ET183" s="1" t="s">
        <v>866</v>
      </c>
      <c r="EW183" s="1" t="s">
        <v>3178</v>
      </c>
      <c r="EZ183" s="1" t="s">
        <v>287</v>
      </c>
      <c r="FB183" s="1" t="s">
        <v>289</v>
      </c>
      <c r="FD183" s="1" t="s">
        <v>246</v>
      </c>
      <c r="FE183" s="1" t="s">
        <v>247</v>
      </c>
      <c r="FF183" s="1" t="s">
        <v>248</v>
      </c>
      <c r="FH183" s="1" t="s">
        <v>249</v>
      </c>
      <c r="FL183" s="1" t="s">
        <v>3179</v>
      </c>
      <c r="FM183" s="1" t="s">
        <v>252</v>
      </c>
      <c r="FN183" s="1" t="s">
        <v>213</v>
      </c>
      <c r="FO183" s="1" t="s">
        <v>213</v>
      </c>
      <c r="FQ183" s="1" t="s">
        <v>2004</v>
      </c>
      <c r="FR183" s="1" t="s">
        <v>210</v>
      </c>
      <c r="FS183" s="1" t="s">
        <v>3180</v>
      </c>
      <c r="FT183" s="1" t="s">
        <v>520</v>
      </c>
      <c r="FU183" s="1" t="s">
        <v>204</v>
      </c>
      <c r="FW183" s="1" t="s">
        <v>2006</v>
      </c>
      <c r="FX183" s="1">
        <v>25792</v>
      </c>
      <c r="FY183" s="1" t="s">
        <v>3181</v>
      </c>
      <c r="FZ183" s="1" t="s">
        <v>3182</v>
      </c>
      <c r="GA183" s="1">
        <v>245805</v>
      </c>
      <c r="GB183" s="1" t="s">
        <v>3183</v>
      </c>
      <c r="GC183" s="1">
        <v>245124</v>
      </c>
      <c r="GE183" s="1" t="s">
        <v>210</v>
      </c>
      <c r="GH183" s="1" t="s">
        <v>421</v>
      </c>
      <c r="GI183" s="1" t="s">
        <v>213</v>
      </c>
      <c r="GJ183" s="1" t="s">
        <v>260</v>
      </c>
      <c r="GK183" s="1" t="s">
        <v>210</v>
      </c>
      <c r="GL183" s="2">
        <v>41978</v>
      </c>
      <c r="GM183" s="1" t="s">
        <v>3184</v>
      </c>
    </row>
    <row r="184" spans="1:195">
      <c r="A184" s="1">
        <v>267000</v>
      </c>
      <c r="B184" s="1" t="s">
        <v>195</v>
      </c>
      <c r="C184" s="1" t="str">
        <f>"08767728"</f>
        <v>08767728</v>
      </c>
      <c r="D184" s="1" t="s">
        <v>196</v>
      </c>
      <c r="F184" s="1" t="str">
        <f>"532"</f>
        <v>532</v>
      </c>
      <c r="G184" s="2">
        <v>41946</v>
      </c>
      <c r="H184" s="1">
        <v>269900</v>
      </c>
      <c r="I184" s="1">
        <v>269900</v>
      </c>
      <c r="J184" s="1">
        <v>267000</v>
      </c>
      <c r="K184" s="2">
        <v>41946</v>
      </c>
      <c r="L184" s="1">
        <v>68</v>
      </c>
      <c r="M184" s="2">
        <v>42013</v>
      </c>
      <c r="N184" s="1">
        <v>68</v>
      </c>
      <c r="O184" s="2">
        <v>42013</v>
      </c>
      <c r="P184" s="1">
        <v>24945</v>
      </c>
      <c r="Q184" s="1" t="s">
        <v>197</v>
      </c>
      <c r="R184" s="2">
        <v>42065</v>
      </c>
      <c r="S184" s="1">
        <v>601979</v>
      </c>
      <c r="U184" s="1">
        <v>6078</v>
      </c>
      <c r="V184" s="1" t="s">
        <v>3185</v>
      </c>
      <c r="W184" s="1" t="s">
        <v>504</v>
      </c>
      <c r="Y184" s="1">
        <v>4</v>
      </c>
      <c r="Z184" s="1" t="s">
        <v>200</v>
      </c>
      <c r="AA184" s="1" t="s">
        <v>1566</v>
      </c>
      <c r="AB184" s="1">
        <v>60532</v>
      </c>
      <c r="AD184" s="1" t="s">
        <v>3186</v>
      </c>
      <c r="AE184" s="1" t="s">
        <v>3187</v>
      </c>
      <c r="AF184" s="1">
        <v>2004</v>
      </c>
      <c r="AG184" s="1" t="s">
        <v>204</v>
      </c>
      <c r="AH184" s="1" t="s">
        <v>925</v>
      </c>
      <c r="AI184" s="1" t="s">
        <v>206</v>
      </c>
      <c r="AJ184" s="1" t="s">
        <v>925</v>
      </c>
      <c r="AK184" s="1" t="s">
        <v>3188</v>
      </c>
      <c r="AL184" s="1">
        <v>7</v>
      </c>
      <c r="AM184" s="1">
        <v>2</v>
      </c>
      <c r="AN184" s="1">
        <v>2</v>
      </c>
      <c r="AO184" s="1">
        <v>1</v>
      </c>
      <c r="AP184" s="1" t="s">
        <v>209</v>
      </c>
      <c r="AR184" s="1" t="s">
        <v>209</v>
      </c>
      <c r="AS184" s="1" t="s">
        <v>204</v>
      </c>
      <c r="AT184" s="1" t="s">
        <v>211</v>
      </c>
      <c r="AU184" s="1">
        <v>2</v>
      </c>
      <c r="AW184" s="1" t="s">
        <v>204</v>
      </c>
      <c r="AX184" s="1" t="s">
        <v>212</v>
      </c>
      <c r="AZ184" s="1">
        <v>6859</v>
      </c>
      <c r="BA184" s="1">
        <v>2013</v>
      </c>
      <c r="BE184" s="1">
        <v>1600</v>
      </c>
      <c r="BF184" s="1">
        <v>1</v>
      </c>
      <c r="BG184" s="1">
        <v>0</v>
      </c>
      <c r="BL184" s="1">
        <v>222</v>
      </c>
      <c r="BM184" s="1" t="s">
        <v>204</v>
      </c>
      <c r="BN184" s="1" t="s">
        <v>213</v>
      </c>
      <c r="BO184" s="1" t="s">
        <v>2932</v>
      </c>
      <c r="BP184" s="1" t="s">
        <v>204</v>
      </c>
      <c r="BR184" s="1" t="str">
        <f>"0815404138"</f>
        <v>0815404138</v>
      </c>
      <c r="BT184" s="1" t="s">
        <v>3189</v>
      </c>
      <c r="BU184" s="1" t="s">
        <v>3190</v>
      </c>
      <c r="BV184" s="1" t="s">
        <v>2856</v>
      </c>
      <c r="BW184" s="1" t="s">
        <v>2762</v>
      </c>
      <c r="BX184" s="1">
        <v>68</v>
      </c>
      <c r="BY184" s="1">
        <v>68</v>
      </c>
      <c r="BZ184" s="1">
        <v>99</v>
      </c>
      <c r="CB184" s="1" t="str">
        <f t="shared" ref="CB184:CC184" si="148">""</f>
        <v/>
      </c>
      <c r="CC184" s="1" t="str">
        <f t="shared" si="148"/>
        <v/>
      </c>
      <c r="CG184" s="1" t="s">
        <v>379</v>
      </c>
      <c r="CH184" s="1" t="s">
        <v>219</v>
      </c>
      <c r="CI184" s="1" t="s">
        <v>220</v>
      </c>
      <c r="CJ184" s="1" t="s">
        <v>343</v>
      </c>
      <c r="CK184" s="1" t="s">
        <v>437</v>
      </c>
      <c r="CL184" s="1" t="s">
        <v>784</v>
      </c>
      <c r="CM184" s="1" t="s">
        <v>220</v>
      </c>
      <c r="CN184" s="1" t="s">
        <v>343</v>
      </c>
      <c r="CO184" s="1" t="s">
        <v>409</v>
      </c>
      <c r="CP184" s="1" t="s">
        <v>277</v>
      </c>
      <c r="CQ184" s="1" t="s">
        <v>438</v>
      </c>
      <c r="CR184" s="1" t="s">
        <v>343</v>
      </c>
      <c r="CS184" s="1" t="s">
        <v>757</v>
      </c>
      <c r="CT184" s="1" t="s">
        <v>784</v>
      </c>
      <c r="CU184" s="1" t="s">
        <v>220</v>
      </c>
      <c r="CV184" s="1" t="s">
        <v>343</v>
      </c>
      <c r="CX184" s="1" t="s">
        <v>224</v>
      </c>
      <c r="DB184" s="1" t="s">
        <v>224</v>
      </c>
      <c r="DE184" s="1" t="s">
        <v>409</v>
      </c>
      <c r="DF184" s="1" t="s">
        <v>277</v>
      </c>
      <c r="DG184" s="1" t="s">
        <v>438</v>
      </c>
      <c r="DH184" s="1" t="s">
        <v>343</v>
      </c>
      <c r="DI184" s="1" t="s">
        <v>862</v>
      </c>
      <c r="DJ184" s="1" t="s">
        <v>277</v>
      </c>
      <c r="DK184" s="1" t="s">
        <v>438</v>
      </c>
      <c r="DM184" s="1" t="s">
        <v>934</v>
      </c>
      <c r="DR184" s="1" t="s">
        <v>2122</v>
      </c>
      <c r="DS184" s="1" t="s">
        <v>43</v>
      </c>
      <c r="DW184" s="1" t="s">
        <v>230</v>
      </c>
      <c r="EA184" s="1" t="s">
        <v>230</v>
      </c>
      <c r="EE184" s="1" t="s">
        <v>230</v>
      </c>
      <c r="EI184" s="1" t="s">
        <v>230</v>
      </c>
      <c r="EL184" s="1" t="s">
        <v>491</v>
      </c>
      <c r="EM184" s="1" t="s">
        <v>232</v>
      </c>
      <c r="EN184" s="1" t="s">
        <v>282</v>
      </c>
      <c r="EO184" s="1" t="s">
        <v>234</v>
      </c>
      <c r="EQ184" s="1" t="s">
        <v>1551</v>
      </c>
      <c r="ER184" s="1" t="s">
        <v>544</v>
      </c>
      <c r="ES184" s="1" t="s">
        <v>493</v>
      </c>
      <c r="ET184" s="1" t="s">
        <v>3191</v>
      </c>
      <c r="EW184" s="1" t="s">
        <v>353</v>
      </c>
      <c r="EZ184" s="1" t="s">
        <v>934</v>
      </c>
      <c r="FA184" s="1" t="s">
        <v>354</v>
      </c>
      <c r="FB184" s="1" t="s">
        <v>289</v>
      </c>
      <c r="FC184" s="1" t="s">
        <v>548</v>
      </c>
      <c r="FD184" s="1" t="s">
        <v>246</v>
      </c>
      <c r="FE184" s="1" t="s">
        <v>1823</v>
      </c>
      <c r="FF184" s="1" t="s">
        <v>248</v>
      </c>
      <c r="FH184" s="1" t="s">
        <v>1428</v>
      </c>
      <c r="FL184" s="1" t="s">
        <v>358</v>
      </c>
      <c r="FM184" s="1" t="s">
        <v>252</v>
      </c>
      <c r="FN184" s="1" t="s">
        <v>213</v>
      </c>
      <c r="FO184" s="1" t="s">
        <v>213</v>
      </c>
      <c r="FQ184" s="1" t="s">
        <v>849</v>
      </c>
      <c r="FR184" s="1" t="s">
        <v>652</v>
      </c>
      <c r="FS184" s="1" t="s">
        <v>1709</v>
      </c>
      <c r="FT184" s="1" t="s">
        <v>3192</v>
      </c>
      <c r="FU184" s="1" t="s">
        <v>204</v>
      </c>
      <c r="FW184" s="1" t="s">
        <v>719</v>
      </c>
      <c r="FX184" s="1">
        <v>22029</v>
      </c>
      <c r="FY184" s="1" t="s">
        <v>720</v>
      </c>
      <c r="FZ184" s="1" t="s">
        <v>3193</v>
      </c>
      <c r="GA184" s="1">
        <v>226871</v>
      </c>
      <c r="GB184" s="1" t="s">
        <v>3194</v>
      </c>
      <c r="GE184" s="1" t="s">
        <v>1576</v>
      </c>
      <c r="GI184" s="1" t="s">
        <v>204</v>
      </c>
      <c r="GJ184" s="1" t="s">
        <v>260</v>
      </c>
      <c r="GK184" s="1" t="s">
        <v>210</v>
      </c>
      <c r="GL184" s="2">
        <v>42066</v>
      </c>
      <c r="GM184" s="1" t="s">
        <v>3195</v>
      </c>
    </row>
    <row r="185" spans="1:195">
      <c r="A185" s="1">
        <v>185200</v>
      </c>
      <c r="B185" s="1" t="s">
        <v>195</v>
      </c>
      <c r="C185" s="1" t="str">
        <f>"08766566"</f>
        <v>08766566</v>
      </c>
      <c r="D185" s="1" t="s">
        <v>196</v>
      </c>
      <c r="F185" s="1" t="str">
        <f>"634"</f>
        <v>634</v>
      </c>
      <c r="G185" s="2">
        <v>41944</v>
      </c>
      <c r="H185" s="1">
        <v>174900</v>
      </c>
      <c r="I185" s="1">
        <v>174900</v>
      </c>
      <c r="J185" s="1">
        <v>185200</v>
      </c>
      <c r="K185" s="2">
        <v>41942</v>
      </c>
      <c r="L185" s="1">
        <v>97</v>
      </c>
      <c r="M185" s="2">
        <v>42038</v>
      </c>
      <c r="N185" s="1">
        <v>97</v>
      </c>
      <c r="O185" s="2">
        <v>42038</v>
      </c>
      <c r="P185" s="1">
        <v>17299</v>
      </c>
      <c r="Q185" s="1" t="s">
        <v>197</v>
      </c>
      <c r="R185" s="2">
        <v>42041</v>
      </c>
      <c r="S185" s="1">
        <v>169998</v>
      </c>
      <c r="T185" s="1">
        <v>3890</v>
      </c>
      <c r="U185" s="1">
        <v>4330</v>
      </c>
      <c r="V185" s="1" t="s">
        <v>3196</v>
      </c>
      <c r="W185" s="1" t="s">
        <v>425</v>
      </c>
      <c r="X185" s="1">
        <v>209</v>
      </c>
      <c r="Y185" s="1">
        <v>33</v>
      </c>
      <c r="Z185" s="1" t="s">
        <v>249</v>
      </c>
      <c r="AA185" s="1" t="s">
        <v>3197</v>
      </c>
      <c r="AB185" s="1">
        <v>60706</v>
      </c>
      <c r="AE185" s="1" t="s">
        <v>3198</v>
      </c>
      <c r="AF185" s="1">
        <v>2005</v>
      </c>
      <c r="AG185" s="1" t="s">
        <v>204</v>
      </c>
      <c r="AH185" s="1" t="s">
        <v>3199</v>
      </c>
      <c r="AI185" s="1" t="s">
        <v>310</v>
      </c>
      <c r="AJ185" s="1" t="s">
        <v>3200</v>
      </c>
      <c r="AK185" s="1" t="s">
        <v>3201</v>
      </c>
      <c r="AL185" s="1">
        <v>5</v>
      </c>
      <c r="AM185" s="1">
        <v>2</v>
      </c>
      <c r="AN185" s="1">
        <v>2</v>
      </c>
      <c r="AO185" s="1">
        <v>0</v>
      </c>
      <c r="AP185" s="1" t="s">
        <v>209</v>
      </c>
      <c r="AR185" s="1" t="s">
        <v>210</v>
      </c>
      <c r="AS185" s="1" t="s">
        <v>204</v>
      </c>
      <c r="AT185" s="1" t="s">
        <v>211</v>
      </c>
      <c r="AU185" s="1">
        <v>1</v>
      </c>
      <c r="AW185" s="1" t="s">
        <v>204</v>
      </c>
      <c r="AX185" s="1" t="s">
        <v>212</v>
      </c>
      <c r="AZ185" s="1">
        <v>3932</v>
      </c>
      <c r="BA185" s="1">
        <v>2012</v>
      </c>
      <c r="BB185" s="1" t="s">
        <v>210</v>
      </c>
      <c r="BE185" s="1">
        <v>1252</v>
      </c>
      <c r="BF185" s="1">
        <v>2</v>
      </c>
      <c r="BG185" s="1">
        <v>0</v>
      </c>
      <c r="BL185" s="1">
        <v>251</v>
      </c>
      <c r="BM185" s="1" t="s">
        <v>204</v>
      </c>
      <c r="BN185" s="1" t="s">
        <v>213</v>
      </c>
      <c r="BO185" s="1">
        <v>100</v>
      </c>
      <c r="BP185" s="1" t="s">
        <v>204</v>
      </c>
      <c r="BR185" s="1" t="str">
        <f>"13183000541009"</f>
        <v>13183000541009</v>
      </c>
      <c r="BT185" s="1" t="s">
        <v>3202</v>
      </c>
      <c r="BX185" s="1">
        <v>80</v>
      </c>
      <c r="BY185" s="1">
        <v>80</v>
      </c>
      <c r="BZ185" s="1">
        <v>234</v>
      </c>
      <c r="CB185" s="1" t="str">
        <f>"4330"</f>
        <v>4330</v>
      </c>
      <c r="CC185" s="1" t="str">
        <f>"0"</f>
        <v>0</v>
      </c>
      <c r="CD185" s="1">
        <v>7000</v>
      </c>
      <c r="CE185" s="1">
        <v>0</v>
      </c>
      <c r="CG185" s="1" t="s">
        <v>908</v>
      </c>
      <c r="CH185" s="1" t="s">
        <v>277</v>
      </c>
      <c r="CI185" s="1" t="s">
        <v>220</v>
      </c>
      <c r="CK185" s="1" t="s">
        <v>1045</v>
      </c>
      <c r="CL185" s="1" t="s">
        <v>277</v>
      </c>
      <c r="CM185" s="1" t="s">
        <v>220</v>
      </c>
      <c r="CO185" s="1" t="s">
        <v>629</v>
      </c>
      <c r="CP185" s="1" t="s">
        <v>277</v>
      </c>
      <c r="CQ185" s="1" t="s">
        <v>220</v>
      </c>
      <c r="CS185" s="1" t="s">
        <v>317</v>
      </c>
      <c r="CT185" s="1" t="s">
        <v>277</v>
      </c>
      <c r="CU185" s="1" t="s">
        <v>220</v>
      </c>
      <c r="CX185" s="1" t="s">
        <v>224</v>
      </c>
      <c r="DB185" s="1" t="s">
        <v>224</v>
      </c>
      <c r="DE185" s="1" t="s">
        <v>837</v>
      </c>
      <c r="DF185" s="1" t="s">
        <v>277</v>
      </c>
      <c r="DG185" s="1" t="s">
        <v>226</v>
      </c>
      <c r="DJ185" s="1" t="s">
        <v>224</v>
      </c>
      <c r="DS185" s="1" t="s">
        <v>230</v>
      </c>
      <c r="DW185" s="1" t="s">
        <v>230</v>
      </c>
      <c r="EA185" s="1" t="s">
        <v>230</v>
      </c>
      <c r="EE185" s="1" t="s">
        <v>230</v>
      </c>
      <c r="EI185" s="1" t="s">
        <v>230</v>
      </c>
      <c r="EL185" s="1" t="s">
        <v>491</v>
      </c>
      <c r="EM185" s="1" t="s">
        <v>232</v>
      </c>
      <c r="EN185" s="1" t="s">
        <v>282</v>
      </c>
      <c r="EO185" s="1" t="s">
        <v>1020</v>
      </c>
      <c r="EP185" s="1" t="s">
        <v>3203</v>
      </c>
      <c r="EQ185" s="1" t="s">
        <v>350</v>
      </c>
      <c r="ER185" s="1" t="s">
        <v>210</v>
      </c>
      <c r="ES185" s="1" t="s">
        <v>865</v>
      </c>
      <c r="ET185" s="1" t="s">
        <v>238</v>
      </c>
      <c r="EU185" s="1" t="s">
        <v>239</v>
      </c>
      <c r="EV185" s="1" t="s">
        <v>240</v>
      </c>
      <c r="EW185" s="1" t="s">
        <v>3204</v>
      </c>
      <c r="EY185" s="1" t="s">
        <v>242</v>
      </c>
      <c r="EZ185" s="1" t="s">
        <v>287</v>
      </c>
      <c r="FC185" s="1" t="s">
        <v>633</v>
      </c>
      <c r="FD185" s="1" t="s">
        <v>246</v>
      </c>
      <c r="FE185" s="1" t="s">
        <v>3205</v>
      </c>
      <c r="FF185" s="1" t="s">
        <v>248</v>
      </c>
      <c r="FH185" s="1" t="s">
        <v>249</v>
      </c>
      <c r="FL185" s="1" t="s">
        <v>358</v>
      </c>
      <c r="FM185" s="1" t="s">
        <v>252</v>
      </c>
      <c r="FN185" s="1" t="s">
        <v>213</v>
      </c>
      <c r="FO185" s="1" t="s">
        <v>213</v>
      </c>
      <c r="FQ185" s="1" t="s">
        <v>582</v>
      </c>
      <c r="FR185" s="1" t="s">
        <v>210</v>
      </c>
      <c r="FS185" s="1" t="s">
        <v>552</v>
      </c>
      <c r="FT185" s="1" t="s">
        <v>584</v>
      </c>
      <c r="FU185" s="1" t="s">
        <v>204</v>
      </c>
      <c r="FW185" s="1" t="s">
        <v>3206</v>
      </c>
      <c r="FX185" s="1">
        <v>85213</v>
      </c>
      <c r="FY185" s="1" t="s">
        <v>3207</v>
      </c>
      <c r="FZ185" s="1" t="s">
        <v>3208</v>
      </c>
      <c r="GA185" s="1">
        <v>167287</v>
      </c>
      <c r="GB185" s="1" t="s">
        <v>3209</v>
      </c>
      <c r="GE185" s="1" t="s">
        <v>210</v>
      </c>
      <c r="GH185" s="1" t="s">
        <v>230</v>
      </c>
      <c r="GI185" s="1" t="s">
        <v>204</v>
      </c>
      <c r="GJ185" s="1" t="s">
        <v>260</v>
      </c>
      <c r="GK185" s="1" t="s">
        <v>210</v>
      </c>
      <c r="GL185" s="2">
        <v>42042</v>
      </c>
      <c r="GM185" s="1" t="s">
        <v>3210</v>
      </c>
    </row>
    <row r="186" spans="1:195">
      <c r="A186" s="1">
        <v>116500</v>
      </c>
      <c r="B186" s="1" t="s">
        <v>195</v>
      </c>
      <c r="C186" s="1" t="str">
        <f>"08785555"</f>
        <v>08785555</v>
      </c>
      <c r="D186" s="1" t="s">
        <v>196</v>
      </c>
      <c r="F186" s="1" t="str">
        <f>"540"</f>
        <v>540</v>
      </c>
      <c r="G186" s="2">
        <v>41956</v>
      </c>
      <c r="H186" s="1">
        <v>130000</v>
      </c>
      <c r="I186" s="1">
        <v>130000</v>
      </c>
      <c r="J186" s="1">
        <v>116500</v>
      </c>
      <c r="K186" s="2">
        <v>41956</v>
      </c>
      <c r="L186" s="1">
        <v>7</v>
      </c>
      <c r="M186" s="2">
        <v>41962</v>
      </c>
      <c r="N186" s="1">
        <v>7</v>
      </c>
      <c r="O186" s="2">
        <v>41962</v>
      </c>
      <c r="P186" s="1">
        <v>23030</v>
      </c>
      <c r="Q186" s="1" t="s">
        <v>197</v>
      </c>
      <c r="R186" s="2">
        <v>41989</v>
      </c>
      <c r="S186" s="1">
        <v>233004</v>
      </c>
      <c r="U186" s="1">
        <v>2156</v>
      </c>
      <c r="V186" s="1" t="s">
        <v>3211</v>
      </c>
      <c r="W186" s="1" t="s">
        <v>304</v>
      </c>
      <c r="X186" s="1" t="s">
        <v>3212</v>
      </c>
      <c r="Y186" s="1">
        <v>4</v>
      </c>
      <c r="Z186" s="1" t="s">
        <v>370</v>
      </c>
      <c r="AA186" s="1" t="s">
        <v>921</v>
      </c>
      <c r="AB186" s="1">
        <v>60565</v>
      </c>
      <c r="AD186" s="1" t="s">
        <v>3213</v>
      </c>
      <c r="AE186" s="1" t="s">
        <v>3214</v>
      </c>
      <c r="AF186" s="1">
        <v>1984</v>
      </c>
      <c r="AG186" s="1" t="s">
        <v>204</v>
      </c>
      <c r="AH186" s="1" t="s">
        <v>924</v>
      </c>
      <c r="AI186" s="1" t="s">
        <v>206</v>
      </c>
      <c r="AJ186" s="1" t="s">
        <v>925</v>
      </c>
      <c r="AL186" s="1">
        <v>5</v>
      </c>
      <c r="AM186" s="1">
        <v>2</v>
      </c>
      <c r="AN186" s="1">
        <v>2</v>
      </c>
      <c r="AO186" s="1">
        <v>0</v>
      </c>
      <c r="AP186" s="1" t="s">
        <v>209</v>
      </c>
      <c r="AR186" s="1" t="s">
        <v>210</v>
      </c>
      <c r="AS186" s="1" t="s">
        <v>204</v>
      </c>
      <c r="AT186" s="1" t="s">
        <v>211</v>
      </c>
      <c r="AU186" s="1">
        <v>1</v>
      </c>
      <c r="AW186" s="1" t="s">
        <v>204</v>
      </c>
      <c r="AX186" s="1" t="s">
        <v>212</v>
      </c>
      <c r="AZ186" s="1">
        <v>2649</v>
      </c>
      <c r="BA186" s="1">
        <v>2013</v>
      </c>
      <c r="BB186" s="1" t="s">
        <v>405</v>
      </c>
      <c r="BE186" s="1">
        <v>1058</v>
      </c>
      <c r="BF186" s="1">
        <v>1</v>
      </c>
      <c r="BG186" s="1">
        <v>0</v>
      </c>
      <c r="BL186" s="1">
        <v>232</v>
      </c>
      <c r="BM186" s="1" t="s">
        <v>204</v>
      </c>
      <c r="BN186" s="1" t="s">
        <v>213</v>
      </c>
      <c r="BO186" s="1" t="s">
        <v>3215</v>
      </c>
      <c r="BP186" s="1" t="s">
        <v>204</v>
      </c>
      <c r="BR186" s="1" t="str">
        <f>"0831410162"</f>
        <v>0831410162</v>
      </c>
      <c r="BT186" s="1" t="s">
        <v>3216</v>
      </c>
      <c r="BU186" s="1" t="s">
        <v>1892</v>
      </c>
      <c r="BV186" s="1" t="s">
        <v>929</v>
      </c>
      <c r="BW186" s="1" t="s">
        <v>930</v>
      </c>
      <c r="BX186" s="1">
        <v>203</v>
      </c>
      <c r="BY186" s="1">
        <v>203</v>
      </c>
      <c r="BZ186" s="1">
        <v>203</v>
      </c>
      <c r="CB186" s="1" t="str">
        <f t="shared" ref="CB186:CC186" si="149">""</f>
        <v/>
      </c>
      <c r="CC186" s="1" t="str">
        <f t="shared" si="149"/>
        <v/>
      </c>
      <c r="CG186" s="1" t="s">
        <v>628</v>
      </c>
      <c r="CH186" s="1" t="s">
        <v>219</v>
      </c>
      <c r="CI186" s="1" t="s">
        <v>229</v>
      </c>
      <c r="CJ186" s="1" t="s">
        <v>463</v>
      </c>
      <c r="CK186" s="1" t="s">
        <v>757</v>
      </c>
      <c r="CL186" s="1" t="s">
        <v>219</v>
      </c>
      <c r="CM186" s="1" t="s">
        <v>229</v>
      </c>
      <c r="CN186" s="1" t="s">
        <v>2449</v>
      </c>
      <c r="CO186" s="1" t="s">
        <v>318</v>
      </c>
      <c r="CP186" s="1" t="s">
        <v>219</v>
      </c>
      <c r="CQ186" s="1" t="s">
        <v>229</v>
      </c>
      <c r="CR186" s="1" t="s">
        <v>463</v>
      </c>
      <c r="CS186" s="1" t="s">
        <v>346</v>
      </c>
      <c r="CT186" s="1" t="s">
        <v>219</v>
      </c>
      <c r="CU186" s="1" t="s">
        <v>229</v>
      </c>
      <c r="CV186" s="1" t="s">
        <v>2449</v>
      </c>
      <c r="CX186" s="1" t="s">
        <v>224</v>
      </c>
      <c r="DB186" s="1" t="s">
        <v>224</v>
      </c>
      <c r="DE186" s="1" t="s">
        <v>318</v>
      </c>
      <c r="DF186" s="1" t="s">
        <v>219</v>
      </c>
      <c r="DG186" s="1" t="s">
        <v>229</v>
      </c>
      <c r="DJ186" s="1" t="s">
        <v>224</v>
      </c>
      <c r="DS186" s="1" t="s">
        <v>230</v>
      </c>
      <c r="DW186" s="1" t="s">
        <v>230</v>
      </c>
      <c r="EA186" s="1" t="s">
        <v>230</v>
      </c>
      <c r="EE186" s="1" t="s">
        <v>230</v>
      </c>
      <c r="EI186" s="1" t="s">
        <v>230</v>
      </c>
      <c r="EL186" s="1" t="s">
        <v>542</v>
      </c>
      <c r="EM186" s="1" t="s">
        <v>232</v>
      </c>
      <c r="EN186" s="1" t="s">
        <v>282</v>
      </c>
      <c r="EO186" s="1" t="s">
        <v>234</v>
      </c>
      <c r="EP186" s="1" t="s">
        <v>3217</v>
      </c>
      <c r="EQ186" s="1" t="s">
        <v>1094</v>
      </c>
      <c r="ER186" s="1" t="s">
        <v>210</v>
      </c>
      <c r="ES186" s="1" t="s">
        <v>3218</v>
      </c>
      <c r="EU186" s="1" t="s">
        <v>239</v>
      </c>
      <c r="EV186" s="1" t="s">
        <v>352</v>
      </c>
      <c r="EW186" s="1" t="s">
        <v>517</v>
      </c>
      <c r="EZ186" s="1" t="s">
        <v>287</v>
      </c>
      <c r="FB186" s="1" t="s">
        <v>289</v>
      </c>
      <c r="FC186" s="1" t="s">
        <v>1362</v>
      </c>
      <c r="FD186" s="1" t="s">
        <v>246</v>
      </c>
      <c r="FE186" s="1" t="s">
        <v>3219</v>
      </c>
      <c r="FF186" s="1" t="s">
        <v>248</v>
      </c>
      <c r="FH186" s="1" t="s">
        <v>249</v>
      </c>
      <c r="FL186" s="1" t="s">
        <v>358</v>
      </c>
      <c r="FM186" s="1" t="s">
        <v>252</v>
      </c>
      <c r="FN186" s="1" t="s">
        <v>213</v>
      </c>
      <c r="FO186" s="1" t="s">
        <v>213</v>
      </c>
      <c r="FQ186" s="1" t="s">
        <v>3220</v>
      </c>
      <c r="FR186" s="1" t="s">
        <v>210</v>
      </c>
      <c r="FS186" s="1" t="s">
        <v>3221</v>
      </c>
      <c r="FT186" s="1" t="s">
        <v>295</v>
      </c>
      <c r="FU186" s="1" t="s">
        <v>204</v>
      </c>
      <c r="FW186" s="1" t="s">
        <v>585</v>
      </c>
      <c r="FX186" s="1">
        <v>23156</v>
      </c>
      <c r="FY186" s="1" t="s">
        <v>1253</v>
      </c>
      <c r="FZ186" s="1" t="s">
        <v>3222</v>
      </c>
      <c r="GA186" s="1">
        <v>210623</v>
      </c>
      <c r="GB186" s="1" t="s">
        <v>3223</v>
      </c>
      <c r="GC186" s="1">
        <v>232932</v>
      </c>
      <c r="GE186" s="1" t="s">
        <v>658</v>
      </c>
      <c r="GI186" s="1" t="s">
        <v>213</v>
      </c>
      <c r="GJ186" s="1" t="s">
        <v>260</v>
      </c>
      <c r="GK186" s="1" t="s">
        <v>210</v>
      </c>
      <c r="GL186" s="2">
        <v>41995</v>
      </c>
    </row>
    <row r="187" spans="1:195">
      <c r="A187" s="1">
        <v>225500</v>
      </c>
      <c r="B187" s="1" t="s">
        <v>195</v>
      </c>
      <c r="C187" s="1" t="str">
        <f>"08769873"</f>
        <v>08769873</v>
      </c>
      <c r="D187" s="1" t="s">
        <v>196</v>
      </c>
      <c r="F187" s="1" t="str">
        <f>"555"</f>
        <v>555</v>
      </c>
      <c r="G187" s="2">
        <v>41948</v>
      </c>
      <c r="H187" s="1">
        <v>239500</v>
      </c>
      <c r="I187" s="1">
        <v>239500</v>
      </c>
      <c r="J187" s="1">
        <v>225500</v>
      </c>
      <c r="K187" s="2">
        <v>41948</v>
      </c>
      <c r="L187" s="1">
        <v>35</v>
      </c>
      <c r="M187" s="2">
        <v>41982</v>
      </c>
      <c r="N187" s="1">
        <v>35</v>
      </c>
      <c r="O187" s="2">
        <v>41982</v>
      </c>
      <c r="P187" s="1">
        <v>25401</v>
      </c>
      <c r="Q187" s="1" t="s">
        <v>197</v>
      </c>
      <c r="R187" s="2">
        <v>42048</v>
      </c>
      <c r="S187" s="1">
        <v>258049</v>
      </c>
      <c r="U187" s="1">
        <v>31205</v>
      </c>
      <c r="V187" s="1" t="s">
        <v>3224</v>
      </c>
      <c r="W187" s="1" t="s">
        <v>304</v>
      </c>
      <c r="Y187" s="1">
        <v>5</v>
      </c>
      <c r="Z187" s="1" t="s">
        <v>249</v>
      </c>
      <c r="AA187" s="1" t="s">
        <v>984</v>
      </c>
      <c r="AB187" s="1">
        <v>60555</v>
      </c>
      <c r="AD187" s="1" t="s">
        <v>3225</v>
      </c>
      <c r="AE187" s="1" t="s">
        <v>3226</v>
      </c>
      <c r="AF187" s="1">
        <v>1999</v>
      </c>
      <c r="AG187" s="1" t="s">
        <v>204</v>
      </c>
      <c r="AH187" s="1" t="s">
        <v>986</v>
      </c>
      <c r="AI187" s="1" t="s">
        <v>206</v>
      </c>
      <c r="AJ187" s="1" t="s">
        <v>987</v>
      </c>
      <c r="AK187" s="1" t="s">
        <v>967</v>
      </c>
      <c r="AL187" s="1">
        <v>7</v>
      </c>
      <c r="AM187" s="1">
        <v>2</v>
      </c>
      <c r="AN187" s="1">
        <v>2</v>
      </c>
      <c r="AO187" s="1">
        <v>1</v>
      </c>
      <c r="AP187" s="1" t="s">
        <v>209</v>
      </c>
      <c r="AQ187" s="1">
        <v>1</v>
      </c>
      <c r="AR187" s="1" t="s">
        <v>210</v>
      </c>
      <c r="AS187" s="1" t="s">
        <v>204</v>
      </c>
      <c r="AT187" s="1" t="s">
        <v>211</v>
      </c>
      <c r="AU187" s="1">
        <v>2</v>
      </c>
      <c r="AW187" s="1" t="s">
        <v>204</v>
      </c>
      <c r="AX187" s="1" t="s">
        <v>212</v>
      </c>
      <c r="AZ187" s="1">
        <v>5178</v>
      </c>
      <c r="BA187" s="1">
        <v>2013</v>
      </c>
      <c r="BB187" s="1" t="s">
        <v>405</v>
      </c>
      <c r="BE187" s="1">
        <v>2110</v>
      </c>
      <c r="BF187" s="1">
        <v>1</v>
      </c>
      <c r="BG187" s="1">
        <v>0</v>
      </c>
      <c r="BL187" s="1">
        <v>241</v>
      </c>
      <c r="BM187" s="1" t="s">
        <v>204</v>
      </c>
      <c r="BN187" s="1" t="s">
        <v>213</v>
      </c>
      <c r="BO187" s="1">
        <v>0</v>
      </c>
      <c r="BP187" s="1" t="s">
        <v>204</v>
      </c>
      <c r="BR187" s="1" t="str">
        <f>"0435421152"</f>
        <v>0435421152</v>
      </c>
      <c r="BT187" s="1" t="s">
        <v>3227</v>
      </c>
      <c r="BU187" s="1" t="s">
        <v>3228</v>
      </c>
      <c r="BV187" s="1" t="s">
        <v>990</v>
      </c>
      <c r="BW187" s="1" t="s">
        <v>971</v>
      </c>
      <c r="BX187" s="1">
        <v>200</v>
      </c>
      <c r="BY187" s="1">
        <v>200</v>
      </c>
      <c r="BZ187" s="1">
        <v>200</v>
      </c>
      <c r="CB187" s="1" t="str">
        <f t="shared" ref="CB187:CC187" si="150">""</f>
        <v/>
      </c>
      <c r="CC187" s="1" t="str">
        <f t="shared" si="150"/>
        <v/>
      </c>
      <c r="CG187" s="1" t="s">
        <v>315</v>
      </c>
      <c r="CH187" s="1" t="s">
        <v>219</v>
      </c>
      <c r="CI187" s="1" t="s">
        <v>220</v>
      </c>
      <c r="CJ187" s="1" t="s">
        <v>343</v>
      </c>
      <c r="CK187" s="1" t="s">
        <v>221</v>
      </c>
      <c r="CL187" s="1" t="s">
        <v>277</v>
      </c>
      <c r="CM187" s="1" t="s">
        <v>220</v>
      </c>
      <c r="CN187" s="1" t="s">
        <v>343</v>
      </c>
      <c r="CO187" s="1" t="s">
        <v>223</v>
      </c>
      <c r="CP187" s="1" t="s">
        <v>219</v>
      </c>
      <c r="CQ187" s="1" t="s">
        <v>220</v>
      </c>
      <c r="CR187" s="1" t="s">
        <v>343</v>
      </c>
      <c r="CS187" s="1" t="s">
        <v>379</v>
      </c>
      <c r="CT187" s="1" t="s">
        <v>277</v>
      </c>
      <c r="CU187" s="1" t="s">
        <v>220</v>
      </c>
      <c r="CV187" s="1" t="s">
        <v>343</v>
      </c>
      <c r="CX187" s="1" t="s">
        <v>224</v>
      </c>
      <c r="DB187" s="1" t="s">
        <v>224</v>
      </c>
      <c r="DE187" s="1" t="s">
        <v>933</v>
      </c>
      <c r="DF187" s="1" t="s">
        <v>219</v>
      </c>
      <c r="DG187" s="1" t="s">
        <v>226</v>
      </c>
      <c r="DH187" s="1" t="s">
        <v>210</v>
      </c>
      <c r="DI187" s="1" t="s">
        <v>221</v>
      </c>
      <c r="DJ187" s="1" t="s">
        <v>219</v>
      </c>
      <c r="DK187" s="1" t="s">
        <v>220</v>
      </c>
      <c r="DL187" s="1" t="s">
        <v>343</v>
      </c>
      <c r="DM187" s="1" t="s">
        <v>464</v>
      </c>
      <c r="DR187" s="1" t="s">
        <v>344</v>
      </c>
      <c r="DS187" s="1" t="s">
        <v>277</v>
      </c>
      <c r="DT187" s="1" t="s">
        <v>220</v>
      </c>
      <c r="DU187" s="1" t="s">
        <v>343</v>
      </c>
      <c r="DW187" s="1" t="s">
        <v>230</v>
      </c>
      <c r="EA187" s="1" t="s">
        <v>230</v>
      </c>
      <c r="EE187" s="1" t="s">
        <v>230</v>
      </c>
      <c r="EI187" s="1" t="s">
        <v>230</v>
      </c>
      <c r="EL187" s="1" t="s">
        <v>466</v>
      </c>
      <c r="EM187" s="1" t="s">
        <v>319</v>
      </c>
      <c r="EN187" s="1" t="s">
        <v>282</v>
      </c>
      <c r="EO187" s="1" t="s">
        <v>234</v>
      </c>
      <c r="EP187" s="1" t="s">
        <v>650</v>
      </c>
      <c r="ER187" s="1" t="s">
        <v>383</v>
      </c>
      <c r="ES187" s="1" t="s">
        <v>545</v>
      </c>
      <c r="ET187" s="1" t="s">
        <v>238</v>
      </c>
      <c r="EW187" s="1" t="s">
        <v>867</v>
      </c>
      <c r="EZ187" s="1" t="s">
        <v>464</v>
      </c>
      <c r="FA187" s="1" t="s">
        <v>471</v>
      </c>
      <c r="FD187" s="1" t="s">
        <v>246</v>
      </c>
      <c r="FE187" s="1" t="s">
        <v>355</v>
      </c>
      <c r="FF187" s="1" t="s">
        <v>248</v>
      </c>
      <c r="FG187" s="1" t="s">
        <v>2540</v>
      </c>
      <c r="FH187" s="1" t="s">
        <v>550</v>
      </c>
      <c r="FI187" s="1" t="s">
        <v>473</v>
      </c>
      <c r="FL187" s="1" t="s">
        <v>414</v>
      </c>
      <c r="FM187" s="1" t="s">
        <v>252</v>
      </c>
      <c r="FN187" s="1" t="s">
        <v>213</v>
      </c>
      <c r="FO187" s="1" t="s">
        <v>213</v>
      </c>
      <c r="FQ187" s="1" t="s">
        <v>913</v>
      </c>
      <c r="FR187" s="1" t="s">
        <v>652</v>
      </c>
      <c r="FS187" s="1" t="s">
        <v>3229</v>
      </c>
      <c r="FT187" s="1" t="s">
        <v>3230</v>
      </c>
      <c r="FU187" s="1" t="s">
        <v>204</v>
      </c>
      <c r="FW187" s="1" t="s">
        <v>3231</v>
      </c>
      <c r="FX187" s="1">
        <v>24451</v>
      </c>
      <c r="FY187" s="1" t="s">
        <v>3232</v>
      </c>
      <c r="FZ187" s="1" t="s">
        <v>3233</v>
      </c>
      <c r="GA187" s="1">
        <v>234974</v>
      </c>
      <c r="GB187" s="1" t="s">
        <v>3234</v>
      </c>
      <c r="GD187" s="1" t="s">
        <v>3235</v>
      </c>
      <c r="GE187" s="1" t="s">
        <v>1120</v>
      </c>
      <c r="GI187" s="1" t="s">
        <v>204</v>
      </c>
      <c r="GJ187" s="1" t="s">
        <v>300</v>
      </c>
      <c r="GK187" s="1" t="s">
        <v>210</v>
      </c>
      <c r="GL187" s="2">
        <v>42049</v>
      </c>
      <c r="GM187" s="1" t="s">
        <v>3236</v>
      </c>
    </row>
    <row r="188" spans="1:195">
      <c r="A188" s="1">
        <v>118350</v>
      </c>
      <c r="B188" s="1" t="s">
        <v>195</v>
      </c>
      <c r="C188" s="1" t="str">
        <f>"08801163"</f>
        <v>08801163</v>
      </c>
      <c r="D188" s="1" t="s">
        <v>196</v>
      </c>
      <c r="F188" s="1" t="str">
        <f>"538"</f>
        <v>538</v>
      </c>
      <c r="G188" s="2">
        <v>41985</v>
      </c>
      <c r="H188" s="1">
        <v>119900</v>
      </c>
      <c r="I188" s="1">
        <v>114900</v>
      </c>
      <c r="J188" s="1">
        <v>118350</v>
      </c>
      <c r="K188" s="2">
        <v>41985</v>
      </c>
      <c r="L188" s="1">
        <v>77</v>
      </c>
      <c r="M188" s="2">
        <v>42061</v>
      </c>
      <c r="N188" s="1">
        <v>77</v>
      </c>
      <c r="O188" s="2">
        <v>42061</v>
      </c>
      <c r="P188" s="1">
        <v>31320</v>
      </c>
      <c r="Q188" s="1" t="s">
        <v>197</v>
      </c>
      <c r="R188" s="2">
        <v>42122</v>
      </c>
      <c r="S188" s="1">
        <v>8886</v>
      </c>
      <c r="U188" s="1">
        <v>1874</v>
      </c>
      <c r="V188" s="1" t="s">
        <v>3237</v>
      </c>
      <c r="W188" s="1" t="s">
        <v>3006</v>
      </c>
      <c r="Y188" s="1">
        <v>4</v>
      </c>
      <c r="Z188" s="1" t="s">
        <v>370</v>
      </c>
      <c r="AA188" s="1" t="s">
        <v>450</v>
      </c>
      <c r="AB188" s="1">
        <v>60538</v>
      </c>
      <c r="AD188" s="1" t="s">
        <v>3238</v>
      </c>
      <c r="AE188" s="1" t="s">
        <v>3239</v>
      </c>
      <c r="AF188" s="1">
        <v>2004</v>
      </c>
      <c r="AG188" s="1" t="s">
        <v>204</v>
      </c>
      <c r="AH188" s="1" t="s">
        <v>452</v>
      </c>
      <c r="AI188" s="1" t="s">
        <v>665</v>
      </c>
      <c r="AJ188" s="1" t="s">
        <v>3240</v>
      </c>
      <c r="AL188" s="1">
        <v>5</v>
      </c>
      <c r="AM188" s="1">
        <v>2</v>
      </c>
      <c r="AN188" s="1">
        <v>2</v>
      </c>
      <c r="AO188" s="1">
        <v>1</v>
      </c>
      <c r="AP188" s="1" t="s">
        <v>209</v>
      </c>
      <c r="AQ188" s="1">
        <v>0</v>
      </c>
      <c r="AR188" s="1" t="s">
        <v>210</v>
      </c>
      <c r="AS188" s="1" t="s">
        <v>204</v>
      </c>
      <c r="AT188" s="1" t="s">
        <v>211</v>
      </c>
      <c r="AU188" s="1">
        <v>2</v>
      </c>
      <c r="AW188" s="1" t="s">
        <v>204</v>
      </c>
      <c r="AX188" s="1" t="s">
        <v>212</v>
      </c>
      <c r="AZ188" s="5">
        <v>4227.6000000000004</v>
      </c>
      <c r="BA188" s="1">
        <v>2013</v>
      </c>
      <c r="BB188" s="1" t="s">
        <v>405</v>
      </c>
      <c r="BE188" s="1">
        <v>1330</v>
      </c>
      <c r="BF188" s="1">
        <v>1</v>
      </c>
      <c r="BG188" s="1">
        <v>0</v>
      </c>
      <c r="BL188" s="1">
        <v>141</v>
      </c>
      <c r="BM188" s="1" t="s">
        <v>413</v>
      </c>
      <c r="BN188" s="1" t="s">
        <v>213</v>
      </c>
      <c r="BO188" s="1">
        <v>0</v>
      </c>
      <c r="BP188" s="1" t="s">
        <v>204</v>
      </c>
      <c r="BR188" s="1" t="str">
        <f>"1435458039"</f>
        <v>1435458039</v>
      </c>
      <c r="BT188" s="1" t="s">
        <v>3241</v>
      </c>
      <c r="BX188" s="1">
        <v>302</v>
      </c>
      <c r="BY188" s="1">
        <v>302</v>
      </c>
      <c r="BZ188" s="1">
        <v>302</v>
      </c>
      <c r="CB188" s="1" t="str">
        <f t="shared" ref="CB188:CC188" si="151">""</f>
        <v/>
      </c>
      <c r="CC188" s="1" t="str">
        <f t="shared" si="151"/>
        <v/>
      </c>
      <c r="CG188" s="1" t="s">
        <v>757</v>
      </c>
      <c r="CH188" s="1" t="s">
        <v>219</v>
      </c>
      <c r="CK188" s="1" t="s">
        <v>278</v>
      </c>
      <c r="CL188" s="1" t="s">
        <v>277</v>
      </c>
      <c r="CP188" s="1" t="s">
        <v>224</v>
      </c>
      <c r="CS188" s="1" t="s">
        <v>1046</v>
      </c>
      <c r="CT188" s="1" t="s">
        <v>277</v>
      </c>
      <c r="CX188" s="1" t="s">
        <v>224</v>
      </c>
      <c r="DB188" s="1" t="s">
        <v>224</v>
      </c>
      <c r="DE188" s="1" t="s">
        <v>885</v>
      </c>
      <c r="DF188" s="1" t="s">
        <v>219</v>
      </c>
      <c r="DJ188" s="1" t="s">
        <v>224</v>
      </c>
      <c r="DM188" s="1" t="s">
        <v>464</v>
      </c>
      <c r="DR188" s="1" t="s">
        <v>757</v>
      </c>
      <c r="DS188" s="1" t="s">
        <v>277</v>
      </c>
      <c r="DW188" s="1" t="s">
        <v>230</v>
      </c>
      <c r="EA188" s="1" t="s">
        <v>230</v>
      </c>
      <c r="EE188" s="1" t="s">
        <v>230</v>
      </c>
      <c r="EI188" s="1" t="s">
        <v>230</v>
      </c>
      <c r="EL188" s="1" t="s">
        <v>466</v>
      </c>
      <c r="EM188" s="1" t="s">
        <v>319</v>
      </c>
      <c r="EN188" s="1" t="s">
        <v>282</v>
      </c>
      <c r="EO188" s="1" t="s">
        <v>234</v>
      </c>
      <c r="ER188" s="1" t="s">
        <v>210</v>
      </c>
      <c r="EW188" s="1" t="s">
        <v>887</v>
      </c>
      <c r="EZ188" s="1" t="s">
        <v>464</v>
      </c>
      <c r="FD188" s="1" t="s">
        <v>246</v>
      </c>
      <c r="FE188" s="1" t="s">
        <v>247</v>
      </c>
      <c r="FF188" s="1" t="s">
        <v>248</v>
      </c>
      <c r="FH188" s="1" t="s">
        <v>550</v>
      </c>
      <c r="FL188" s="1" t="s">
        <v>358</v>
      </c>
      <c r="FM188" s="1" t="s">
        <v>252</v>
      </c>
      <c r="FN188" s="1" t="s">
        <v>213</v>
      </c>
      <c r="FO188" s="1" t="s">
        <v>213</v>
      </c>
      <c r="FQ188" s="1" t="s">
        <v>913</v>
      </c>
      <c r="FR188" s="1" t="s">
        <v>210</v>
      </c>
      <c r="FS188" s="1" t="s">
        <v>3242</v>
      </c>
      <c r="FT188" s="1" t="s">
        <v>295</v>
      </c>
      <c r="FU188" s="1" t="s">
        <v>204</v>
      </c>
      <c r="FW188" s="1" t="s">
        <v>3243</v>
      </c>
      <c r="FX188" s="1">
        <v>604</v>
      </c>
      <c r="FY188" s="1" t="s">
        <v>3244</v>
      </c>
      <c r="FZ188" s="1" t="s">
        <v>3245</v>
      </c>
      <c r="GA188" s="1">
        <v>381</v>
      </c>
      <c r="GB188" s="1" t="s">
        <v>3246</v>
      </c>
      <c r="GC188" s="1">
        <v>1954</v>
      </c>
      <c r="GE188" s="1" t="s">
        <v>210</v>
      </c>
      <c r="GI188" s="1" t="s">
        <v>213</v>
      </c>
      <c r="GJ188" s="1" t="s">
        <v>260</v>
      </c>
      <c r="GK188" s="1" t="s">
        <v>210</v>
      </c>
      <c r="GL188" s="2">
        <v>42122</v>
      </c>
      <c r="GM188" s="1" t="s">
        <v>3247</v>
      </c>
    </row>
    <row r="189" spans="1:195">
      <c r="A189" s="1">
        <v>259650</v>
      </c>
      <c r="B189" s="1" t="s">
        <v>195</v>
      </c>
      <c r="C189" s="1" t="str">
        <f>"08789245"</f>
        <v>08789245</v>
      </c>
      <c r="D189" s="1" t="s">
        <v>196</v>
      </c>
      <c r="F189" s="1" t="str">
        <f>"540"</f>
        <v>540</v>
      </c>
      <c r="G189" s="2">
        <v>41962</v>
      </c>
      <c r="H189" s="1">
        <v>259990</v>
      </c>
      <c r="I189" s="1">
        <v>259990</v>
      </c>
      <c r="J189" s="1">
        <v>259650</v>
      </c>
      <c r="K189" s="2">
        <v>41959</v>
      </c>
      <c r="L189" s="1">
        <v>37</v>
      </c>
      <c r="M189" s="2">
        <v>41995</v>
      </c>
      <c r="N189" s="1">
        <v>37</v>
      </c>
      <c r="O189" s="2">
        <v>41995</v>
      </c>
      <c r="P189" s="1">
        <v>22144</v>
      </c>
      <c r="Q189" s="1" t="s">
        <v>302</v>
      </c>
      <c r="R189" s="2">
        <v>42080</v>
      </c>
      <c r="S189" s="1">
        <v>223092</v>
      </c>
      <c r="U189" s="1">
        <v>2665</v>
      </c>
      <c r="V189" s="1" t="s">
        <v>3248</v>
      </c>
      <c r="W189" s="1" t="s">
        <v>449</v>
      </c>
      <c r="Y189" s="1">
        <v>6</v>
      </c>
      <c r="Z189" s="1" t="s">
        <v>370</v>
      </c>
      <c r="AA189" s="1" t="s">
        <v>921</v>
      </c>
      <c r="AB189" s="1">
        <v>60564</v>
      </c>
      <c r="AD189" s="1" t="s">
        <v>3249</v>
      </c>
      <c r="AE189" s="1" t="s">
        <v>3250</v>
      </c>
      <c r="AF189" s="1">
        <v>2014</v>
      </c>
      <c r="AG189" s="1" t="s">
        <v>204</v>
      </c>
      <c r="AH189" s="1" t="s">
        <v>924</v>
      </c>
      <c r="AI189" s="1" t="s">
        <v>1800</v>
      </c>
      <c r="AJ189" s="1" t="s">
        <v>1801</v>
      </c>
      <c r="AK189" s="1" t="s">
        <v>3251</v>
      </c>
      <c r="AL189" s="1">
        <v>5</v>
      </c>
      <c r="AM189" s="1">
        <v>2</v>
      </c>
      <c r="AN189" s="1">
        <v>2</v>
      </c>
      <c r="AO189" s="1">
        <v>0</v>
      </c>
      <c r="AP189" s="1" t="s">
        <v>209</v>
      </c>
      <c r="AR189" s="1" t="s">
        <v>210</v>
      </c>
      <c r="AS189" s="1" t="s">
        <v>204</v>
      </c>
      <c r="AT189" s="1" t="s">
        <v>211</v>
      </c>
      <c r="AU189" s="1">
        <v>2</v>
      </c>
      <c r="AW189" s="1" t="s">
        <v>204</v>
      </c>
      <c r="AX189" s="1" t="s">
        <v>3252</v>
      </c>
      <c r="AZ189" s="1" t="s">
        <v>751</v>
      </c>
      <c r="BA189" s="1">
        <v>2012</v>
      </c>
      <c r="BE189" s="1">
        <v>1370</v>
      </c>
      <c r="BF189" s="1">
        <v>1</v>
      </c>
      <c r="BG189" s="1">
        <v>0</v>
      </c>
      <c r="BL189" s="1">
        <v>238</v>
      </c>
      <c r="BM189" s="1" t="s">
        <v>204</v>
      </c>
      <c r="BN189" s="1" t="s">
        <v>213</v>
      </c>
      <c r="BO189" s="1">
        <v>999</v>
      </c>
      <c r="BP189" s="1" t="s">
        <v>213</v>
      </c>
      <c r="BQ189" s="2">
        <v>42095</v>
      </c>
      <c r="BR189" s="1" t="str">
        <f>"01054100060000"</f>
        <v>01054100060000</v>
      </c>
      <c r="BT189" s="1" t="s">
        <v>3253</v>
      </c>
      <c r="BX189" s="1">
        <v>204</v>
      </c>
      <c r="BY189" s="1">
        <v>204</v>
      </c>
      <c r="BZ189" s="1">
        <v>204</v>
      </c>
      <c r="CB189" s="1" t="str">
        <f t="shared" ref="CB189:CC189" si="152">""</f>
        <v/>
      </c>
      <c r="CC189" s="1" t="str">
        <f t="shared" si="152"/>
        <v/>
      </c>
      <c r="CG189" s="1" t="s">
        <v>729</v>
      </c>
      <c r="CH189" s="1" t="s">
        <v>219</v>
      </c>
      <c r="CK189" s="1" t="s">
        <v>757</v>
      </c>
      <c r="CL189" s="1" t="s">
        <v>219</v>
      </c>
      <c r="CO189" s="1" t="s">
        <v>836</v>
      </c>
      <c r="CP189" s="1" t="s">
        <v>219</v>
      </c>
      <c r="CS189" s="1" t="s">
        <v>318</v>
      </c>
      <c r="CT189" s="1" t="s">
        <v>219</v>
      </c>
      <c r="CX189" s="1" t="s">
        <v>224</v>
      </c>
      <c r="DB189" s="1" t="s">
        <v>224</v>
      </c>
      <c r="DE189" s="1" t="s">
        <v>539</v>
      </c>
      <c r="DF189" s="1" t="s">
        <v>219</v>
      </c>
      <c r="DJ189" s="1" t="s">
        <v>224</v>
      </c>
      <c r="DS189" s="1" t="s">
        <v>230</v>
      </c>
      <c r="DW189" s="1" t="s">
        <v>230</v>
      </c>
      <c r="EA189" s="1" t="s">
        <v>230</v>
      </c>
      <c r="EE189" s="1" t="s">
        <v>230</v>
      </c>
      <c r="EI189" s="1" t="s">
        <v>230</v>
      </c>
      <c r="EL189" s="1" t="s">
        <v>760</v>
      </c>
      <c r="EM189" s="1" t="s">
        <v>730</v>
      </c>
      <c r="EN189" s="1" t="s">
        <v>282</v>
      </c>
      <c r="EO189" s="1" t="s">
        <v>840</v>
      </c>
      <c r="EP189" s="1" t="s">
        <v>3254</v>
      </c>
      <c r="ER189" s="1" t="s">
        <v>210</v>
      </c>
      <c r="EW189" s="1" t="s">
        <v>3255</v>
      </c>
      <c r="EZ189" s="1" t="s">
        <v>287</v>
      </c>
      <c r="FD189" s="1" t="s">
        <v>246</v>
      </c>
      <c r="FE189" s="1" t="s">
        <v>975</v>
      </c>
      <c r="FF189" s="1" t="s">
        <v>248</v>
      </c>
      <c r="FH189" s="1" t="s">
        <v>825</v>
      </c>
      <c r="FL189" s="1" t="s">
        <v>358</v>
      </c>
      <c r="FM189" s="1" t="s">
        <v>252</v>
      </c>
      <c r="FN189" s="1" t="s">
        <v>213</v>
      </c>
      <c r="FO189" s="1" t="s">
        <v>204</v>
      </c>
      <c r="FQ189" s="1" t="s">
        <v>582</v>
      </c>
      <c r="FR189" s="1" t="s">
        <v>210</v>
      </c>
      <c r="FS189" s="1" t="s">
        <v>3256</v>
      </c>
      <c r="FT189" s="1" t="s">
        <v>771</v>
      </c>
      <c r="FU189" s="1" t="s">
        <v>204</v>
      </c>
      <c r="FV189" s="1" t="s">
        <v>3257</v>
      </c>
      <c r="FW189" s="1" t="s">
        <v>772</v>
      </c>
      <c r="FX189" s="1">
        <v>92038</v>
      </c>
      <c r="FY189" s="1" t="s">
        <v>773</v>
      </c>
      <c r="FZ189" s="1" t="s">
        <v>774</v>
      </c>
      <c r="GA189" s="1">
        <v>21137</v>
      </c>
      <c r="GB189" s="1" t="s">
        <v>775</v>
      </c>
      <c r="GE189" s="1" t="s">
        <v>623</v>
      </c>
      <c r="GI189" s="1" t="s">
        <v>204</v>
      </c>
      <c r="GJ189" s="1" t="s">
        <v>260</v>
      </c>
      <c r="GK189" s="1" t="s">
        <v>210</v>
      </c>
      <c r="GL189" s="2">
        <v>42081</v>
      </c>
      <c r="GM189" s="1" t="s">
        <v>3258</v>
      </c>
    </row>
    <row r="190" spans="1:195">
      <c r="A190" s="1">
        <v>138500</v>
      </c>
      <c r="B190" s="1" t="s">
        <v>195</v>
      </c>
      <c r="C190" s="1" t="str">
        <f>"08767659"</f>
        <v>08767659</v>
      </c>
      <c r="D190" s="1" t="s">
        <v>196</v>
      </c>
      <c r="F190" s="1" t="str">
        <f>"177"</f>
        <v>177</v>
      </c>
      <c r="G190" s="2">
        <v>41946</v>
      </c>
      <c r="H190" s="1">
        <v>134900</v>
      </c>
      <c r="I190" s="1">
        <v>134900</v>
      </c>
      <c r="J190" s="1">
        <v>138500</v>
      </c>
      <c r="K190" s="2">
        <v>41946</v>
      </c>
      <c r="L190" s="1">
        <v>7</v>
      </c>
      <c r="M190" s="2">
        <v>41952</v>
      </c>
      <c r="N190" s="1">
        <v>7</v>
      </c>
      <c r="O190" s="2">
        <v>41952</v>
      </c>
      <c r="P190" s="1">
        <v>20179</v>
      </c>
      <c r="Q190" s="1" t="s">
        <v>302</v>
      </c>
      <c r="R190" s="2">
        <v>41981</v>
      </c>
      <c r="S190" s="1">
        <v>236454</v>
      </c>
      <c r="T190" s="1">
        <v>300</v>
      </c>
      <c r="U190" s="1">
        <v>345</v>
      </c>
      <c r="V190" s="1" t="s">
        <v>3259</v>
      </c>
      <c r="W190" s="1" t="s">
        <v>3006</v>
      </c>
      <c r="X190" s="1" t="s">
        <v>800</v>
      </c>
      <c r="Y190" s="1">
        <v>5</v>
      </c>
      <c r="Z190" s="1" t="s">
        <v>200</v>
      </c>
      <c r="AA190" s="1" t="s">
        <v>1461</v>
      </c>
      <c r="AB190" s="1">
        <v>60177</v>
      </c>
      <c r="AD190" s="1" t="s">
        <v>3259</v>
      </c>
      <c r="AE190" s="1" t="s">
        <v>3260</v>
      </c>
      <c r="AF190" s="1">
        <v>2002</v>
      </c>
      <c r="AG190" s="1" t="s">
        <v>204</v>
      </c>
      <c r="AH190" s="1" t="s">
        <v>1464</v>
      </c>
      <c r="AI190" s="1" t="s">
        <v>665</v>
      </c>
      <c r="AJ190" s="1" t="s">
        <v>1175</v>
      </c>
      <c r="AK190" s="1" t="s">
        <v>3261</v>
      </c>
      <c r="AL190" s="1">
        <v>5</v>
      </c>
      <c r="AM190" s="1">
        <v>2</v>
      </c>
      <c r="AN190" s="1">
        <v>2</v>
      </c>
      <c r="AO190" s="1">
        <v>0</v>
      </c>
      <c r="AP190" s="1" t="s">
        <v>209</v>
      </c>
      <c r="AR190" s="1" t="s">
        <v>210</v>
      </c>
      <c r="AS190" s="1" t="s">
        <v>204</v>
      </c>
      <c r="AT190" s="1" t="s">
        <v>211</v>
      </c>
      <c r="AU190" s="1">
        <v>2</v>
      </c>
      <c r="AW190" s="1" t="s">
        <v>204</v>
      </c>
      <c r="AX190" s="1" t="s">
        <v>212</v>
      </c>
      <c r="AZ190" s="1">
        <v>2817.92</v>
      </c>
      <c r="BA190" s="1">
        <v>2013</v>
      </c>
      <c r="BB190" s="1" t="s">
        <v>3262</v>
      </c>
      <c r="BE190" s="1">
        <v>1235</v>
      </c>
      <c r="BF190" s="1">
        <v>1</v>
      </c>
      <c r="BG190" s="1">
        <v>0</v>
      </c>
      <c r="BL190" s="1">
        <v>123</v>
      </c>
      <c r="BM190" s="1" t="s">
        <v>204</v>
      </c>
      <c r="BN190" s="1" t="s">
        <v>213</v>
      </c>
      <c r="BO190" s="1">
        <v>999</v>
      </c>
      <c r="BP190" s="1" t="s">
        <v>204</v>
      </c>
      <c r="BR190" s="1" t="str">
        <f>"0632329150"</f>
        <v>0632329150</v>
      </c>
      <c r="BT190" s="1" t="s">
        <v>3263</v>
      </c>
      <c r="BX190" s="1">
        <v>303</v>
      </c>
      <c r="BY190" s="1">
        <v>303</v>
      </c>
      <c r="BZ190" s="1">
        <v>303</v>
      </c>
      <c r="CB190" s="1" t="str">
        <f t="shared" ref="CB190:CC190" si="153">""</f>
        <v/>
      </c>
      <c r="CC190" s="1" t="str">
        <f t="shared" si="153"/>
        <v/>
      </c>
      <c r="CG190" s="1" t="s">
        <v>1155</v>
      </c>
      <c r="CH190" s="1" t="s">
        <v>219</v>
      </c>
      <c r="CI190" s="1" t="s">
        <v>220</v>
      </c>
      <c r="CJ190" s="1" t="s">
        <v>343</v>
      </c>
      <c r="CK190" s="1" t="s">
        <v>932</v>
      </c>
      <c r="CL190" s="1" t="s">
        <v>219</v>
      </c>
      <c r="CM190" s="1" t="s">
        <v>220</v>
      </c>
      <c r="CN190" s="1" t="s">
        <v>343</v>
      </c>
      <c r="CO190" s="1" t="s">
        <v>3264</v>
      </c>
      <c r="CP190" s="1" t="s">
        <v>219</v>
      </c>
      <c r="CQ190" s="1" t="s">
        <v>220</v>
      </c>
      <c r="CR190" s="1" t="s">
        <v>343</v>
      </c>
      <c r="CS190" s="1" t="s">
        <v>346</v>
      </c>
      <c r="CT190" s="1" t="s">
        <v>219</v>
      </c>
      <c r="CU190" s="1" t="s">
        <v>220</v>
      </c>
      <c r="CV190" s="1" t="s">
        <v>343</v>
      </c>
      <c r="CX190" s="1" t="s">
        <v>224</v>
      </c>
      <c r="DB190" s="1" t="s">
        <v>224</v>
      </c>
      <c r="DE190" s="1" t="s">
        <v>437</v>
      </c>
      <c r="DF190" s="1" t="s">
        <v>219</v>
      </c>
      <c r="DG190" s="1" t="s">
        <v>342</v>
      </c>
      <c r="DH190" s="1" t="s">
        <v>210</v>
      </c>
      <c r="DJ190" s="1" t="s">
        <v>224</v>
      </c>
      <c r="DS190" s="1" t="s">
        <v>230</v>
      </c>
      <c r="DW190" s="1" t="s">
        <v>230</v>
      </c>
      <c r="EA190" s="1" t="s">
        <v>230</v>
      </c>
      <c r="EE190" s="1" t="s">
        <v>230</v>
      </c>
      <c r="EI190" s="1" t="s">
        <v>230</v>
      </c>
      <c r="EL190" s="1" t="s">
        <v>466</v>
      </c>
      <c r="EM190" s="1" t="s">
        <v>319</v>
      </c>
      <c r="EN190" s="1" t="s">
        <v>282</v>
      </c>
      <c r="EO190" s="1" t="s">
        <v>234</v>
      </c>
      <c r="EP190" s="1" t="s">
        <v>650</v>
      </c>
      <c r="EQ190" s="1" t="s">
        <v>1094</v>
      </c>
      <c r="ER190" s="1" t="s">
        <v>210</v>
      </c>
      <c r="EV190" s="1" t="s">
        <v>324</v>
      </c>
      <c r="EW190" s="1" t="s">
        <v>3255</v>
      </c>
      <c r="EZ190" s="1" t="s">
        <v>287</v>
      </c>
      <c r="FC190" s="1" t="s">
        <v>633</v>
      </c>
      <c r="FD190" s="1" t="s">
        <v>246</v>
      </c>
      <c r="FE190" s="1" t="s">
        <v>870</v>
      </c>
      <c r="FF190" s="1" t="s">
        <v>248</v>
      </c>
      <c r="FH190" s="1" t="s">
        <v>825</v>
      </c>
      <c r="FL190" s="1" t="s">
        <v>358</v>
      </c>
      <c r="FM190" s="1" t="s">
        <v>252</v>
      </c>
      <c r="FN190" s="1" t="s">
        <v>213</v>
      </c>
      <c r="FO190" s="1" t="s">
        <v>213</v>
      </c>
      <c r="FQ190" s="1" t="s">
        <v>849</v>
      </c>
      <c r="FR190" s="1" t="s">
        <v>210</v>
      </c>
      <c r="FS190" s="1" t="s">
        <v>3265</v>
      </c>
      <c r="FT190" s="1" t="s">
        <v>362</v>
      </c>
      <c r="FU190" s="1" t="s">
        <v>204</v>
      </c>
      <c r="FW190" s="1" t="s">
        <v>2420</v>
      </c>
      <c r="FX190" s="1">
        <v>41</v>
      </c>
      <c r="FY190" s="1" t="s">
        <v>2421</v>
      </c>
      <c r="FZ190" s="1" t="s">
        <v>3266</v>
      </c>
      <c r="GA190" s="1">
        <v>8602</v>
      </c>
      <c r="GB190" s="1" t="s">
        <v>3267</v>
      </c>
      <c r="GE190" s="1" t="s">
        <v>480</v>
      </c>
      <c r="GI190" s="1" t="s">
        <v>213</v>
      </c>
      <c r="GJ190" s="1" t="s">
        <v>260</v>
      </c>
      <c r="GK190" s="1" t="s">
        <v>210</v>
      </c>
      <c r="GL190" s="2">
        <v>41981</v>
      </c>
      <c r="GM190" s="1" t="s">
        <v>3268</v>
      </c>
    </row>
    <row r="191" spans="1:195">
      <c r="A191" s="1">
        <v>230000</v>
      </c>
      <c r="B191" s="1" t="s">
        <v>195</v>
      </c>
      <c r="C191" s="1" t="str">
        <f>"08766959"</f>
        <v>08766959</v>
      </c>
      <c r="D191" s="1" t="s">
        <v>196</v>
      </c>
      <c r="F191" s="1" t="str">
        <f>"148"</f>
        <v>148</v>
      </c>
      <c r="G191" s="2">
        <v>41945</v>
      </c>
      <c r="H191" s="1">
        <v>249000</v>
      </c>
      <c r="I191" s="1">
        <v>249000</v>
      </c>
      <c r="J191" s="1">
        <v>230000</v>
      </c>
      <c r="K191" s="2">
        <v>41945</v>
      </c>
      <c r="L191" s="1">
        <v>724</v>
      </c>
      <c r="M191" s="2">
        <v>42089</v>
      </c>
      <c r="N191" s="1">
        <v>145</v>
      </c>
      <c r="O191" s="2">
        <v>42089</v>
      </c>
      <c r="P191" s="1">
        <v>25976</v>
      </c>
      <c r="Q191" s="1" t="s">
        <v>302</v>
      </c>
      <c r="R191" s="2">
        <v>42125</v>
      </c>
      <c r="S191" s="1">
        <v>242416</v>
      </c>
      <c r="U191" s="1">
        <v>845</v>
      </c>
      <c r="V191" s="1" t="s">
        <v>3269</v>
      </c>
      <c r="W191" s="1" t="s">
        <v>725</v>
      </c>
      <c r="X191" s="1">
        <v>205</v>
      </c>
      <c r="Y191" s="1">
        <v>74</v>
      </c>
      <c r="Z191" s="1" t="s">
        <v>249</v>
      </c>
      <c r="AA191" s="1" t="s">
        <v>1927</v>
      </c>
      <c r="AB191" s="1">
        <v>60148</v>
      </c>
      <c r="AE191" s="1" t="s">
        <v>3270</v>
      </c>
      <c r="AF191" s="1">
        <v>2007</v>
      </c>
      <c r="AG191" s="1" t="s">
        <v>204</v>
      </c>
      <c r="AH191" s="1" t="s">
        <v>1930</v>
      </c>
      <c r="AI191" s="1" t="s">
        <v>206</v>
      </c>
      <c r="AJ191" s="1" t="s">
        <v>1608</v>
      </c>
      <c r="AL191" s="1">
        <v>5</v>
      </c>
      <c r="AM191" s="1">
        <v>2</v>
      </c>
      <c r="AN191" s="1">
        <v>2</v>
      </c>
      <c r="AO191" s="1">
        <v>0</v>
      </c>
      <c r="AP191" s="1" t="s">
        <v>209</v>
      </c>
      <c r="AR191" s="1" t="s">
        <v>210</v>
      </c>
      <c r="AS191" s="1" t="s">
        <v>204</v>
      </c>
      <c r="AT191" s="1" t="s">
        <v>211</v>
      </c>
      <c r="AU191" s="1">
        <v>1</v>
      </c>
      <c r="AW191" s="1" t="s">
        <v>204</v>
      </c>
      <c r="AX191" s="1" t="s">
        <v>212</v>
      </c>
      <c r="AZ191" s="1">
        <v>5280</v>
      </c>
      <c r="BA191" s="1">
        <v>2013</v>
      </c>
      <c r="BE191" s="1">
        <v>1400</v>
      </c>
      <c r="BF191" s="1">
        <v>2</v>
      </c>
      <c r="BG191" s="1">
        <v>30</v>
      </c>
      <c r="BL191" s="1">
        <v>302</v>
      </c>
      <c r="BM191" s="1" t="s">
        <v>204</v>
      </c>
      <c r="BN191" s="1" t="s">
        <v>213</v>
      </c>
      <c r="BO191" s="1">
        <v>50</v>
      </c>
      <c r="BP191" s="1" t="s">
        <v>204</v>
      </c>
      <c r="BR191" s="1" t="str">
        <f>"0628110096"</f>
        <v>0628110096</v>
      </c>
      <c r="BT191" s="1" t="s">
        <v>3271</v>
      </c>
      <c r="BX191" s="1">
        <v>45</v>
      </c>
      <c r="BY191" s="1">
        <v>45</v>
      </c>
      <c r="BZ191" s="1">
        <v>88</v>
      </c>
      <c r="CB191" s="1" t="str">
        <f t="shared" ref="CB191:CC191" si="154">""</f>
        <v/>
      </c>
      <c r="CC191" s="1" t="str">
        <f t="shared" si="154"/>
        <v/>
      </c>
      <c r="CG191" s="1" t="s">
        <v>3035</v>
      </c>
      <c r="CH191" s="1" t="s">
        <v>219</v>
      </c>
      <c r="CI191" s="1" t="s">
        <v>438</v>
      </c>
      <c r="CK191" s="1" t="s">
        <v>221</v>
      </c>
      <c r="CL191" s="1" t="s">
        <v>219</v>
      </c>
      <c r="CM191" s="1" t="s">
        <v>438</v>
      </c>
      <c r="CO191" s="1" t="s">
        <v>629</v>
      </c>
      <c r="CP191" s="1" t="s">
        <v>219</v>
      </c>
      <c r="CQ191" s="1" t="s">
        <v>438</v>
      </c>
      <c r="CS191" s="1" t="s">
        <v>465</v>
      </c>
      <c r="CT191" s="1" t="s">
        <v>219</v>
      </c>
      <c r="CU191" s="1" t="s">
        <v>438</v>
      </c>
      <c r="CX191" s="1" t="s">
        <v>224</v>
      </c>
      <c r="DB191" s="1" t="s">
        <v>224</v>
      </c>
      <c r="DE191" s="1" t="s">
        <v>318</v>
      </c>
      <c r="DF191" s="1" t="s">
        <v>219</v>
      </c>
      <c r="DG191" s="1" t="s">
        <v>438</v>
      </c>
      <c r="DJ191" s="1" t="s">
        <v>224</v>
      </c>
      <c r="DS191" s="1" t="s">
        <v>230</v>
      </c>
      <c r="DW191" s="1" t="s">
        <v>230</v>
      </c>
      <c r="EA191" s="1" t="s">
        <v>230</v>
      </c>
      <c r="EE191" s="1" t="s">
        <v>230</v>
      </c>
      <c r="EI191" s="1" t="s">
        <v>230</v>
      </c>
      <c r="EL191" s="1" t="s">
        <v>491</v>
      </c>
      <c r="EM191" s="1" t="s">
        <v>232</v>
      </c>
      <c r="EN191" s="1" t="s">
        <v>282</v>
      </c>
      <c r="EO191" s="1" t="s">
        <v>234</v>
      </c>
      <c r="ER191" s="1" t="s">
        <v>210</v>
      </c>
      <c r="EW191" s="1" t="s">
        <v>384</v>
      </c>
      <c r="EZ191" s="1" t="s">
        <v>287</v>
      </c>
      <c r="FD191" s="1" t="s">
        <v>246</v>
      </c>
      <c r="FE191" s="1" t="s">
        <v>247</v>
      </c>
      <c r="FF191" s="1" t="s">
        <v>248</v>
      </c>
      <c r="FH191" s="1" t="s">
        <v>249</v>
      </c>
      <c r="FI191" s="1" t="s">
        <v>1114</v>
      </c>
      <c r="FL191" s="1" t="s">
        <v>414</v>
      </c>
      <c r="FM191" s="1" t="s">
        <v>252</v>
      </c>
      <c r="FN191" s="1" t="s">
        <v>213</v>
      </c>
      <c r="FO191" s="1" t="s">
        <v>213</v>
      </c>
      <c r="FQ191" s="1" t="s">
        <v>3272</v>
      </c>
      <c r="FR191" s="1" t="s">
        <v>210</v>
      </c>
      <c r="FS191" s="1" t="s">
        <v>3273</v>
      </c>
      <c r="FT191" s="1" t="s">
        <v>255</v>
      </c>
      <c r="FU191" s="1" t="s">
        <v>204</v>
      </c>
      <c r="FW191" s="1" t="s">
        <v>3274</v>
      </c>
      <c r="FX191" s="1">
        <v>14132</v>
      </c>
      <c r="FY191" s="1" t="s">
        <v>3275</v>
      </c>
      <c r="FZ191" s="1" t="s">
        <v>3276</v>
      </c>
      <c r="GA191" s="1">
        <v>130068</v>
      </c>
      <c r="GB191" s="1" t="s">
        <v>3275</v>
      </c>
      <c r="GE191" s="1" t="s">
        <v>658</v>
      </c>
      <c r="GH191" s="1" t="s">
        <v>800</v>
      </c>
      <c r="GI191" s="1" t="s">
        <v>204</v>
      </c>
      <c r="GJ191" s="1" t="s">
        <v>260</v>
      </c>
      <c r="GK191" s="1" t="s">
        <v>210</v>
      </c>
      <c r="GL191" s="2">
        <v>42125</v>
      </c>
    </row>
    <row r="192" spans="1:195">
      <c r="A192" s="1">
        <v>117400</v>
      </c>
      <c r="B192" s="1" t="s">
        <v>195</v>
      </c>
      <c r="C192" s="1" t="str">
        <f>"08769410"</f>
        <v>08769410</v>
      </c>
      <c r="D192" s="1" t="s">
        <v>196</v>
      </c>
      <c r="F192" s="1" t="str">
        <f>"123"</f>
        <v>123</v>
      </c>
      <c r="G192" s="2">
        <v>41948</v>
      </c>
      <c r="H192" s="1">
        <v>121900</v>
      </c>
      <c r="I192" s="1">
        <v>119900</v>
      </c>
      <c r="J192" s="1">
        <v>117400</v>
      </c>
      <c r="K192" s="2">
        <v>41948</v>
      </c>
      <c r="L192" s="1">
        <v>108</v>
      </c>
      <c r="M192" s="2">
        <v>42055</v>
      </c>
      <c r="N192" s="1">
        <v>108</v>
      </c>
      <c r="O192" s="2">
        <v>42055</v>
      </c>
      <c r="P192" s="1">
        <v>504</v>
      </c>
      <c r="Q192" s="1" t="s">
        <v>423</v>
      </c>
      <c r="R192" s="2">
        <v>42128</v>
      </c>
      <c r="S192" s="1">
        <v>8048</v>
      </c>
      <c r="U192" s="1">
        <v>2055</v>
      </c>
      <c r="V192" s="1" t="s">
        <v>3277</v>
      </c>
      <c r="W192" s="1" t="s">
        <v>449</v>
      </c>
      <c r="X192" s="1">
        <v>2055</v>
      </c>
      <c r="Y192" s="1">
        <v>4</v>
      </c>
      <c r="Z192" s="1" t="s">
        <v>370</v>
      </c>
      <c r="AA192" s="1" t="s">
        <v>1173</v>
      </c>
      <c r="AB192" s="1">
        <v>60123</v>
      </c>
      <c r="AD192" s="1" t="s">
        <v>3278</v>
      </c>
      <c r="AE192" s="1" t="s">
        <v>3279</v>
      </c>
      <c r="AF192" s="1">
        <v>1992</v>
      </c>
      <c r="AG192" s="1" t="s">
        <v>204</v>
      </c>
      <c r="AH192" s="1" t="s">
        <v>1175</v>
      </c>
      <c r="AI192" s="1" t="s">
        <v>665</v>
      </c>
      <c r="AJ192" s="1" t="s">
        <v>1175</v>
      </c>
      <c r="AK192" s="1" t="s">
        <v>3280</v>
      </c>
      <c r="AL192" s="1">
        <v>5</v>
      </c>
      <c r="AM192" s="1">
        <v>2</v>
      </c>
      <c r="AN192" s="1">
        <v>2</v>
      </c>
      <c r="AO192" s="1">
        <v>1</v>
      </c>
      <c r="AP192" s="1" t="s">
        <v>209</v>
      </c>
      <c r="AQ192" s="1">
        <v>0</v>
      </c>
      <c r="AR192" s="1" t="s">
        <v>210</v>
      </c>
      <c r="AS192" s="1" t="s">
        <v>204</v>
      </c>
      <c r="AT192" s="1" t="s">
        <v>211</v>
      </c>
      <c r="AU192" s="1">
        <v>1</v>
      </c>
      <c r="AW192" s="1" t="s">
        <v>204</v>
      </c>
      <c r="AX192" s="1" t="s">
        <v>579</v>
      </c>
      <c r="AZ192" s="1">
        <v>3582.2</v>
      </c>
      <c r="BA192" s="1">
        <v>2013</v>
      </c>
      <c r="BB192" s="1" t="s">
        <v>210</v>
      </c>
      <c r="BE192" s="1">
        <v>1420</v>
      </c>
      <c r="BF192" s="1">
        <v>1</v>
      </c>
      <c r="BG192" s="1">
        <v>30</v>
      </c>
      <c r="BJ192" s="1">
        <v>96</v>
      </c>
      <c r="BK192" s="1">
        <v>100</v>
      </c>
      <c r="BL192" s="1">
        <v>128</v>
      </c>
      <c r="BM192" s="1" t="s">
        <v>204</v>
      </c>
      <c r="BN192" s="1" t="s">
        <v>213</v>
      </c>
      <c r="BO192" s="1" t="s">
        <v>402</v>
      </c>
      <c r="BP192" s="1" t="s">
        <v>204</v>
      </c>
      <c r="BR192" s="1" t="str">
        <f>"0628205065"</f>
        <v>0628205065</v>
      </c>
      <c r="BT192" s="1" t="s">
        <v>3281</v>
      </c>
      <c r="BU192" s="1" t="s">
        <v>3282</v>
      </c>
      <c r="BV192" s="1" t="s">
        <v>3283</v>
      </c>
      <c r="BW192" s="1" t="s">
        <v>1468</v>
      </c>
      <c r="BX192" s="1">
        <v>46</v>
      </c>
      <c r="BY192" s="1">
        <v>46</v>
      </c>
      <c r="BZ192" s="1">
        <v>46</v>
      </c>
      <c r="CB192" s="1" t="str">
        <f>"9"</f>
        <v>9</v>
      </c>
      <c r="CC192" s="1" t="str">
        <f>"0"</f>
        <v>0</v>
      </c>
      <c r="CD192" s="1">
        <v>36</v>
      </c>
      <c r="CE192" s="1">
        <v>0</v>
      </c>
      <c r="CG192" s="1" t="s">
        <v>1723</v>
      </c>
      <c r="CH192" s="1" t="s">
        <v>219</v>
      </c>
      <c r="CI192" s="1" t="s">
        <v>220</v>
      </c>
      <c r="CJ192" s="1" t="s">
        <v>343</v>
      </c>
      <c r="CK192" s="1" t="s">
        <v>669</v>
      </c>
      <c r="CL192" s="1" t="s">
        <v>277</v>
      </c>
      <c r="CM192" s="1" t="s">
        <v>220</v>
      </c>
      <c r="CN192" s="1" t="s">
        <v>343</v>
      </c>
      <c r="CO192" s="1" t="s">
        <v>3284</v>
      </c>
      <c r="CP192" s="1" t="s">
        <v>219</v>
      </c>
      <c r="CQ192" s="1" t="s">
        <v>220</v>
      </c>
      <c r="CR192" s="1" t="s">
        <v>343</v>
      </c>
      <c r="CS192" s="1" t="s">
        <v>437</v>
      </c>
      <c r="CT192" s="1" t="s">
        <v>277</v>
      </c>
      <c r="CU192" s="1" t="s">
        <v>220</v>
      </c>
      <c r="CV192" s="1" t="s">
        <v>343</v>
      </c>
      <c r="CX192" s="1" t="s">
        <v>224</v>
      </c>
      <c r="DB192" s="1" t="s">
        <v>224</v>
      </c>
      <c r="DE192" s="1" t="s">
        <v>1534</v>
      </c>
      <c r="DF192" s="1" t="s">
        <v>219</v>
      </c>
      <c r="DG192" s="1" t="s">
        <v>342</v>
      </c>
      <c r="DH192" s="1" t="s">
        <v>343</v>
      </c>
      <c r="DJ192" s="1" t="s">
        <v>224</v>
      </c>
      <c r="DS192" s="1" t="s">
        <v>230</v>
      </c>
      <c r="DW192" s="1" t="s">
        <v>230</v>
      </c>
      <c r="EA192" s="1" t="s">
        <v>230</v>
      </c>
      <c r="EE192" s="1" t="s">
        <v>230</v>
      </c>
      <c r="EI192" s="1" t="s">
        <v>230</v>
      </c>
      <c r="EL192" s="1" t="s">
        <v>382</v>
      </c>
      <c r="EM192" s="1" t="s">
        <v>319</v>
      </c>
      <c r="EN192" s="1" t="s">
        <v>282</v>
      </c>
      <c r="EO192" s="1" t="s">
        <v>234</v>
      </c>
      <c r="EP192" s="1" t="s">
        <v>650</v>
      </c>
      <c r="EQ192" s="1" t="s">
        <v>468</v>
      </c>
      <c r="ER192" s="1" t="s">
        <v>383</v>
      </c>
      <c r="ES192" s="1" t="s">
        <v>3285</v>
      </c>
      <c r="ET192" s="1" t="s">
        <v>3286</v>
      </c>
      <c r="EU192" s="1" t="s">
        <v>239</v>
      </c>
      <c r="EV192" s="1" t="s">
        <v>240</v>
      </c>
      <c r="EW192" s="1" t="s">
        <v>887</v>
      </c>
      <c r="EY192" s="1" t="s">
        <v>790</v>
      </c>
      <c r="EZ192" s="1" t="s">
        <v>287</v>
      </c>
      <c r="FA192" s="1" t="s">
        <v>714</v>
      </c>
      <c r="FB192" s="1" t="s">
        <v>1505</v>
      </c>
      <c r="FC192" s="1" t="s">
        <v>326</v>
      </c>
      <c r="FD192" s="1" t="s">
        <v>3287</v>
      </c>
      <c r="FE192" s="1" t="s">
        <v>472</v>
      </c>
      <c r="FF192" s="1" t="s">
        <v>248</v>
      </c>
      <c r="FH192" s="1" t="s">
        <v>550</v>
      </c>
      <c r="FI192" s="1" t="s">
        <v>473</v>
      </c>
      <c r="FJ192" s="1" t="s">
        <v>518</v>
      </c>
      <c r="FL192" s="1" t="s">
        <v>358</v>
      </c>
      <c r="FM192" s="1" t="s">
        <v>252</v>
      </c>
      <c r="FN192" s="1" t="s">
        <v>213</v>
      </c>
      <c r="FO192" s="1" t="s">
        <v>213</v>
      </c>
      <c r="FQ192" s="1" t="s">
        <v>3288</v>
      </c>
      <c r="FR192" s="1" t="s">
        <v>210</v>
      </c>
      <c r="FS192" s="1" t="s">
        <v>3289</v>
      </c>
      <c r="FT192" s="1" t="s">
        <v>691</v>
      </c>
      <c r="FU192" s="1" t="s">
        <v>204</v>
      </c>
      <c r="FV192" s="1" t="s">
        <v>3290</v>
      </c>
      <c r="FW192" s="1" t="s">
        <v>3291</v>
      </c>
      <c r="FX192" s="1">
        <v>7450</v>
      </c>
      <c r="FY192" s="1" t="s">
        <v>3292</v>
      </c>
      <c r="FZ192" s="1" t="s">
        <v>3293</v>
      </c>
      <c r="GA192" s="1">
        <v>77410</v>
      </c>
      <c r="GB192" s="1" t="s">
        <v>3294</v>
      </c>
      <c r="GE192" s="1" t="s">
        <v>1120</v>
      </c>
      <c r="GI192" s="1" t="s">
        <v>213</v>
      </c>
      <c r="GJ192" s="1" t="s">
        <v>260</v>
      </c>
      <c r="GK192" s="1" t="s">
        <v>210</v>
      </c>
      <c r="GL192" s="2">
        <v>42128</v>
      </c>
      <c r="GM192" s="1" t="s">
        <v>3295</v>
      </c>
    </row>
    <row r="193" spans="1:195">
      <c r="A193" s="1">
        <v>109000</v>
      </c>
      <c r="B193" s="1" t="s">
        <v>195</v>
      </c>
      <c r="C193" s="1" t="str">
        <f>"08766696"</f>
        <v>08766696</v>
      </c>
      <c r="D193" s="1" t="s">
        <v>196</v>
      </c>
      <c r="F193" s="1" t="str">
        <f>"115"</f>
        <v>115</v>
      </c>
      <c r="G193" s="2">
        <v>41944</v>
      </c>
      <c r="H193" s="1">
        <v>113925</v>
      </c>
      <c r="I193" s="1">
        <v>113925</v>
      </c>
      <c r="J193" s="1">
        <v>109000</v>
      </c>
      <c r="K193" s="2">
        <v>41944</v>
      </c>
      <c r="L193" s="1">
        <v>14</v>
      </c>
      <c r="M193" s="2">
        <v>41957</v>
      </c>
      <c r="N193" s="1">
        <v>14</v>
      </c>
      <c r="O193" s="2">
        <v>41957</v>
      </c>
      <c r="P193" s="1">
        <v>93043</v>
      </c>
      <c r="Q193" s="1" t="s">
        <v>302</v>
      </c>
      <c r="R193" s="2">
        <v>41985</v>
      </c>
      <c r="S193" s="1">
        <v>931571</v>
      </c>
      <c r="T193" s="1">
        <v>2000</v>
      </c>
      <c r="U193" s="1">
        <v>1517</v>
      </c>
      <c r="V193" s="1" t="s">
        <v>3296</v>
      </c>
      <c r="W193" s="1" t="s">
        <v>264</v>
      </c>
      <c r="X193" s="1">
        <v>1</v>
      </c>
      <c r="Y193" s="1">
        <v>6</v>
      </c>
      <c r="Z193" s="1" t="s">
        <v>370</v>
      </c>
      <c r="AA193" s="1" t="s">
        <v>2242</v>
      </c>
      <c r="AB193" s="1">
        <v>60115</v>
      </c>
      <c r="AD193" s="1" t="s">
        <v>3297</v>
      </c>
      <c r="AE193" s="1" t="s">
        <v>3298</v>
      </c>
      <c r="AF193" s="1" t="s">
        <v>402</v>
      </c>
      <c r="AG193" s="1" t="s">
        <v>204</v>
      </c>
      <c r="AH193" s="1" t="s">
        <v>2245</v>
      </c>
      <c r="AI193" s="1" t="s">
        <v>2246</v>
      </c>
      <c r="AJ193" s="1" t="s">
        <v>2245</v>
      </c>
      <c r="AL193" s="1">
        <v>6</v>
      </c>
      <c r="AM193" s="1">
        <v>2</v>
      </c>
      <c r="AN193" s="1">
        <v>2</v>
      </c>
      <c r="AO193" s="1">
        <v>1</v>
      </c>
      <c r="AP193" s="1" t="s">
        <v>209</v>
      </c>
      <c r="AQ193" s="1">
        <v>0</v>
      </c>
      <c r="AR193" s="1" t="s">
        <v>210</v>
      </c>
      <c r="AS193" s="1" t="s">
        <v>204</v>
      </c>
      <c r="AT193" s="1" t="s">
        <v>211</v>
      </c>
      <c r="AU193" s="1">
        <v>2</v>
      </c>
      <c r="AW193" s="1" t="s">
        <v>204</v>
      </c>
      <c r="AX193" s="1" t="s">
        <v>212</v>
      </c>
      <c r="AZ193" s="1">
        <v>4003.6</v>
      </c>
      <c r="BA193" s="1">
        <v>2013</v>
      </c>
      <c r="BB193" s="1" t="s">
        <v>405</v>
      </c>
      <c r="BE193" s="1">
        <v>1330</v>
      </c>
      <c r="BF193" s="1">
        <v>1</v>
      </c>
      <c r="BG193" s="1">
        <v>0</v>
      </c>
      <c r="BL193" s="1">
        <v>107</v>
      </c>
      <c r="BM193" s="1" t="s">
        <v>204</v>
      </c>
      <c r="BN193" s="1" t="s">
        <v>213</v>
      </c>
      <c r="BO193" s="1">
        <v>999</v>
      </c>
      <c r="BP193" s="1" t="s">
        <v>204</v>
      </c>
      <c r="BR193" s="1" t="str">
        <f>"0813322014"</f>
        <v>0813322014</v>
      </c>
      <c r="BT193" s="1" t="s">
        <v>3299</v>
      </c>
      <c r="BX193" s="1">
        <v>428</v>
      </c>
      <c r="BY193" s="1">
        <v>428</v>
      </c>
      <c r="BZ193" s="1">
        <v>428</v>
      </c>
      <c r="CB193" s="1" t="str">
        <f t="shared" ref="CB193:CC193" si="155">"0"</f>
        <v>0</v>
      </c>
      <c r="CC193" s="1" t="str">
        <f t="shared" si="155"/>
        <v>0</v>
      </c>
      <c r="CD193" s="1">
        <v>0</v>
      </c>
      <c r="CE193" s="1">
        <v>0</v>
      </c>
      <c r="CG193" s="1" t="s">
        <v>1936</v>
      </c>
      <c r="CH193" s="1" t="s">
        <v>219</v>
      </c>
      <c r="CI193" s="1" t="s">
        <v>220</v>
      </c>
      <c r="CJ193" s="1" t="s">
        <v>252</v>
      </c>
      <c r="CK193" s="1" t="s">
        <v>1936</v>
      </c>
      <c r="CL193" s="1" t="s">
        <v>277</v>
      </c>
      <c r="CM193" s="1" t="s">
        <v>220</v>
      </c>
      <c r="CN193" s="1" t="s">
        <v>252</v>
      </c>
      <c r="CO193" s="1" t="s">
        <v>316</v>
      </c>
      <c r="CP193" s="1" t="s">
        <v>219</v>
      </c>
      <c r="CQ193" s="1" t="s">
        <v>342</v>
      </c>
      <c r="CR193" s="1" t="s">
        <v>252</v>
      </c>
      <c r="CS193" s="1" t="s">
        <v>1358</v>
      </c>
      <c r="CT193" s="1" t="s">
        <v>277</v>
      </c>
      <c r="CU193" s="1" t="s">
        <v>220</v>
      </c>
      <c r="CV193" s="1" t="s">
        <v>252</v>
      </c>
      <c r="CX193" s="1" t="s">
        <v>224</v>
      </c>
      <c r="DB193" s="1" t="s">
        <v>224</v>
      </c>
      <c r="DE193" s="1" t="s">
        <v>281</v>
      </c>
      <c r="DF193" s="1" t="s">
        <v>219</v>
      </c>
      <c r="DG193" s="1" t="s">
        <v>342</v>
      </c>
      <c r="DJ193" s="1" t="s">
        <v>224</v>
      </c>
      <c r="DM193" s="1" t="s">
        <v>464</v>
      </c>
      <c r="DR193" s="1" t="s">
        <v>318</v>
      </c>
      <c r="DS193" s="1" t="s">
        <v>277</v>
      </c>
      <c r="DT193" s="1" t="s">
        <v>220</v>
      </c>
      <c r="DU193" s="1" t="s">
        <v>252</v>
      </c>
      <c r="DW193" s="1" t="s">
        <v>230</v>
      </c>
      <c r="EA193" s="1" t="s">
        <v>230</v>
      </c>
      <c r="EE193" s="1" t="s">
        <v>230</v>
      </c>
      <c r="EI193" s="1" t="s">
        <v>230</v>
      </c>
      <c r="EL193" s="1" t="s">
        <v>466</v>
      </c>
      <c r="EM193" s="1" t="s">
        <v>319</v>
      </c>
      <c r="EN193" s="1" t="s">
        <v>282</v>
      </c>
      <c r="EO193" s="1" t="s">
        <v>234</v>
      </c>
      <c r="EQ193" s="1" t="s">
        <v>1094</v>
      </c>
      <c r="ER193" s="1" t="s">
        <v>383</v>
      </c>
      <c r="ES193" s="1" t="s">
        <v>824</v>
      </c>
      <c r="ET193" s="1" t="s">
        <v>842</v>
      </c>
      <c r="EV193" s="1" t="s">
        <v>240</v>
      </c>
      <c r="EW193" s="1" t="s">
        <v>353</v>
      </c>
      <c r="EZ193" s="1" t="s">
        <v>464</v>
      </c>
      <c r="FD193" s="1" t="s">
        <v>246</v>
      </c>
      <c r="FE193" s="1" t="s">
        <v>472</v>
      </c>
      <c r="FF193" s="1" t="s">
        <v>248</v>
      </c>
      <c r="FH193" s="1" t="s">
        <v>249</v>
      </c>
      <c r="FI193" s="1" t="s">
        <v>3300</v>
      </c>
      <c r="FL193" s="1" t="s">
        <v>358</v>
      </c>
      <c r="FM193" s="1" t="s">
        <v>252</v>
      </c>
      <c r="FN193" s="1" t="s">
        <v>213</v>
      </c>
      <c r="FO193" s="1" t="s">
        <v>213</v>
      </c>
      <c r="FQ193" s="1" t="s">
        <v>2091</v>
      </c>
      <c r="FR193" s="1" t="s">
        <v>210</v>
      </c>
      <c r="FS193" s="1" t="s">
        <v>3301</v>
      </c>
      <c r="FT193" s="1" t="s">
        <v>3302</v>
      </c>
      <c r="FU193" s="1" t="s">
        <v>204</v>
      </c>
      <c r="FW193" s="1" t="s">
        <v>813</v>
      </c>
      <c r="FX193" s="1">
        <v>93043</v>
      </c>
      <c r="FY193" s="1" t="s">
        <v>2255</v>
      </c>
      <c r="FZ193" s="1" t="s">
        <v>3303</v>
      </c>
      <c r="GA193" s="1">
        <v>930088</v>
      </c>
      <c r="GB193" s="1" t="s">
        <v>3304</v>
      </c>
      <c r="GC193" s="1">
        <v>930089</v>
      </c>
      <c r="GD193" s="1" t="s">
        <v>3305</v>
      </c>
      <c r="GE193" s="1" t="s">
        <v>480</v>
      </c>
      <c r="GI193" s="1" t="s">
        <v>213</v>
      </c>
      <c r="GJ193" s="1" t="s">
        <v>260</v>
      </c>
      <c r="GK193" s="1" t="s">
        <v>210</v>
      </c>
      <c r="GL193" s="2">
        <v>41985</v>
      </c>
      <c r="GM193" s="1" t="s">
        <v>3306</v>
      </c>
    </row>
    <row r="194" spans="1:195">
      <c r="A194" s="1">
        <v>225000</v>
      </c>
      <c r="B194" s="1" t="s">
        <v>195</v>
      </c>
      <c r="C194" s="1" t="str">
        <f>"08770831"</f>
        <v>08770831</v>
      </c>
      <c r="D194" s="1" t="s">
        <v>196</v>
      </c>
      <c r="F194" s="1" t="str">
        <f>"181"</f>
        <v>181</v>
      </c>
      <c r="G194" s="2">
        <v>41950</v>
      </c>
      <c r="H194" s="1">
        <v>235000</v>
      </c>
      <c r="I194" s="1">
        <v>235000</v>
      </c>
      <c r="J194" s="1">
        <v>225000</v>
      </c>
      <c r="K194" s="2">
        <v>41950</v>
      </c>
      <c r="L194" s="1">
        <v>88</v>
      </c>
      <c r="M194" s="2">
        <v>41984</v>
      </c>
      <c r="N194" s="1">
        <v>35</v>
      </c>
      <c r="O194" s="2">
        <v>41984</v>
      </c>
      <c r="P194" s="1">
        <v>21324</v>
      </c>
      <c r="Q194" s="1" t="s">
        <v>302</v>
      </c>
      <c r="R194" s="2">
        <v>42037</v>
      </c>
      <c r="S194" s="1">
        <v>240012</v>
      </c>
      <c r="U194" s="1" t="s">
        <v>3307</v>
      </c>
      <c r="V194" s="1" t="s">
        <v>3308</v>
      </c>
      <c r="W194" s="1" t="s">
        <v>1056</v>
      </c>
      <c r="X194" s="1" t="s">
        <v>3309</v>
      </c>
      <c r="Y194" s="1">
        <v>22</v>
      </c>
      <c r="Z194" s="1" t="s">
        <v>249</v>
      </c>
      <c r="AA194" s="1" t="s">
        <v>3310</v>
      </c>
      <c r="AB194" s="1">
        <v>60181</v>
      </c>
      <c r="AC194" s="1">
        <v>4667</v>
      </c>
      <c r="AD194" s="1" t="s">
        <v>3311</v>
      </c>
      <c r="AE194" s="1" t="s">
        <v>3312</v>
      </c>
      <c r="AF194" s="1">
        <v>1987</v>
      </c>
      <c r="AG194" s="1" t="s">
        <v>204</v>
      </c>
      <c r="AH194" s="1" t="s">
        <v>882</v>
      </c>
      <c r="AI194" s="1" t="s">
        <v>206</v>
      </c>
      <c r="AJ194" s="1" t="s">
        <v>1608</v>
      </c>
      <c r="AL194" s="1">
        <v>6</v>
      </c>
      <c r="AM194" s="1">
        <v>2</v>
      </c>
      <c r="AN194" s="1">
        <v>2</v>
      </c>
      <c r="AO194" s="1">
        <v>0</v>
      </c>
      <c r="AP194" s="1" t="s">
        <v>209</v>
      </c>
      <c r="AQ194" s="1">
        <v>1</v>
      </c>
      <c r="AR194" s="1" t="s">
        <v>210</v>
      </c>
      <c r="AS194" s="1" t="s">
        <v>204</v>
      </c>
      <c r="AT194" s="1" t="s">
        <v>375</v>
      </c>
      <c r="AU194" s="1">
        <v>1</v>
      </c>
      <c r="AV194" s="1">
        <v>1</v>
      </c>
      <c r="AW194" s="1" t="s">
        <v>204</v>
      </c>
      <c r="AX194" s="1" t="s">
        <v>212</v>
      </c>
      <c r="AZ194" s="5">
        <v>3268.26</v>
      </c>
      <c r="BA194" s="1">
        <v>2013</v>
      </c>
      <c r="BB194" s="1" t="s">
        <v>599</v>
      </c>
      <c r="BE194" s="1">
        <v>1920</v>
      </c>
      <c r="BF194" s="1">
        <v>1</v>
      </c>
      <c r="BG194" s="1">
        <v>30</v>
      </c>
      <c r="BJ194" s="1">
        <v>100</v>
      </c>
      <c r="BL194" s="1">
        <v>450</v>
      </c>
      <c r="BM194" s="1" t="s">
        <v>204</v>
      </c>
      <c r="BN194" s="1" t="s">
        <v>204</v>
      </c>
      <c r="BP194" s="1" t="s">
        <v>204</v>
      </c>
      <c r="BR194" s="1" t="str">
        <f>"0623114008"</f>
        <v>0623114008</v>
      </c>
      <c r="BT194" s="1" t="s">
        <v>3313</v>
      </c>
      <c r="BU194" s="1" t="s">
        <v>3314</v>
      </c>
      <c r="BV194" s="1" t="s">
        <v>3315</v>
      </c>
      <c r="BW194" s="1" t="s">
        <v>2201</v>
      </c>
      <c r="BX194" s="1">
        <v>48</v>
      </c>
      <c r="BY194" s="1">
        <v>48</v>
      </c>
      <c r="BZ194" s="1">
        <v>88</v>
      </c>
      <c r="CB194" s="1" t="str">
        <f t="shared" ref="CB194:CC194" si="156">"0"</f>
        <v>0</v>
      </c>
      <c r="CC194" s="1" t="str">
        <f t="shared" si="156"/>
        <v>0</v>
      </c>
      <c r="CD194" s="1">
        <v>16</v>
      </c>
      <c r="CE194" s="1">
        <v>1</v>
      </c>
      <c r="CG194" s="1" t="s">
        <v>1788</v>
      </c>
      <c r="CH194" s="1" t="s">
        <v>219</v>
      </c>
      <c r="CI194" s="1" t="s">
        <v>220</v>
      </c>
      <c r="CJ194" s="1" t="s">
        <v>252</v>
      </c>
      <c r="CK194" s="1" t="s">
        <v>3316</v>
      </c>
      <c r="CL194" s="1" t="s">
        <v>219</v>
      </c>
      <c r="CM194" s="1" t="s">
        <v>220</v>
      </c>
      <c r="CN194" s="1" t="s">
        <v>252</v>
      </c>
      <c r="CO194" s="1" t="s">
        <v>3316</v>
      </c>
      <c r="CP194" s="1" t="s">
        <v>219</v>
      </c>
      <c r="CQ194" s="1" t="s">
        <v>220</v>
      </c>
      <c r="CR194" s="1" t="s">
        <v>252</v>
      </c>
      <c r="CS194" s="1" t="s">
        <v>378</v>
      </c>
      <c r="CT194" s="1" t="s">
        <v>219</v>
      </c>
      <c r="CU194" s="1" t="s">
        <v>220</v>
      </c>
      <c r="CV194" s="1" t="s">
        <v>252</v>
      </c>
      <c r="CX194" s="1" t="s">
        <v>224</v>
      </c>
      <c r="DB194" s="1" t="s">
        <v>224</v>
      </c>
      <c r="DE194" s="1" t="s">
        <v>2122</v>
      </c>
      <c r="DF194" s="1" t="s">
        <v>219</v>
      </c>
      <c r="DG194" s="1" t="s">
        <v>226</v>
      </c>
      <c r="DH194" s="1" t="s">
        <v>252</v>
      </c>
      <c r="DI194" s="1" t="s">
        <v>2560</v>
      </c>
      <c r="DJ194" s="1" t="s">
        <v>219</v>
      </c>
      <c r="DK194" s="1" t="s">
        <v>220</v>
      </c>
      <c r="DL194" s="1" t="s">
        <v>252</v>
      </c>
      <c r="DM194" s="1" t="s">
        <v>3317</v>
      </c>
      <c r="DN194" s="1" t="s">
        <v>3011</v>
      </c>
      <c r="DO194" s="1" t="s">
        <v>838</v>
      </c>
      <c r="DR194" s="1" t="s">
        <v>3318</v>
      </c>
      <c r="DS194" s="1" t="s">
        <v>219</v>
      </c>
      <c r="DT194" s="1" t="s">
        <v>226</v>
      </c>
      <c r="DU194" s="1" t="s">
        <v>252</v>
      </c>
      <c r="DV194" s="1" t="s">
        <v>3319</v>
      </c>
      <c r="DW194" s="1" t="s">
        <v>219</v>
      </c>
      <c r="DX194" s="1" t="s">
        <v>342</v>
      </c>
      <c r="DY194" s="1" t="s">
        <v>210</v>
      </c>
      <c r="DZ194" s="1" t="s">
        <v>3320</v>
      </c>
      <c r="EA194" s="1" t="s">
        <v>219</v>
      </c>
      <c r="EC194" s="1" t="s">
        <v>210</v>
      </c>
      <c r="EE194" s="1" t="s">
        <v>230</v>
      </c>
      <c r="EI194" s="1" t="s">
        <v>230</v>
      </c>
      <c r="EL194" s="1" t="s">
        <v>542</v>
      </c>
      <c r="EM194" s="1" t="s">
        <v>730</v>
      </c>
      <c r="EN194" s="1" t="s">
        <v>282</v>
      </c>
      <c r="EO194" s="1" t="s">
        <v>840</v>
      </c>
      <c r="EP194" s="1" t="s">
        <v>3321</v>
      </c>
      <c r="EQ194" s="1" t="s">
        <v>236</v>
      </c>
      <c r="ER194" s="1" t="s">
        <v>210</v>
      </c>
      <c r="ES194" s="1" t="s">
        <v>322</v>
      </c>
      <c r="EU194" s="1" t="s">
        <v>712</v>
      </c>
      <c r="EV194" s="1" t="s">
        <v>324</v>
      </c>
      <c r="EW194" s="1" t="s">
        <v>3322</v>
      </c>
      <c r="EY194" s="1" t="s">
        <v>790</v>
      </c>
      <c r="EZ194" s="1" t="s">
        <v>3323</v>
      </c>
      <c r="FB194" s="1" t="s">
        <v>289</v>
      </c>
      <c r="FC194" s="1" t="s">
        <v>245</v>
      </c>
      <c r="FD194" s="1" t="s">
        <v>1112</v>
      </c>
      <c r="FE194" s="1" t="s">
        <v>247</v>
      </c>
      <c r="FF194" s="1" t="s">
        <v>248</v>
      </c>
      <c r="FG194" s="1" t="s">
        <v>3324</v>
      </c>
      <c r="FH194" s="1" t="s">
        <v>249</v>
      </c>
      <c r="FI194" s="1" t="s">
        <v>250</v>
      </c>
      <c r="FK194" s="1" t="s">
        <v>2806</v>
      </c>
      <c r="FL194" s="1" t="s">
        <v>358</v>
      </c>
      <c r="FM194" s="1" t="s">
        <v>252</v>
      </c>
      <c r="FN194" s="1" t="s">
        <v>213</v>
      </c>
      <c r="FO194" s="1" t="s">
        <v>213</v>
      </c>
      <c r="FQ194" s="1" t="s">
        <v>3325</v>
      </c>
      <c r="FR194" s="1" t="s">
        <v>210</v>
      </c>
      <c r="FS194" s="1" t="s">
        <v>3326</v>
      </c>
      <c r="FT194" s="1" t="s">
        <v>255</v>
      </c>
      <c r="FU194" s="1" t="s">
        <v>204</v>
      </c>
      <c r="FV194" s="1" t="s">
        <v>3327</v>
      </c>
      <c r="FW194" s="1" t="s">
        <v>3328</v>
      </c>
      <c r="FX194" s="1">
        <v>24330</v>
      </c>
      <c r="FY194" s="1" t="s">
        <v>3329</v>
      </c>
      <c r="FZ194" s="1" t="s">
        <v>3330</v>
      </c>
      <c r="GA194" s="1">
        <v>241279</v>
      </c>
      <c r="GB194" s="1" t="s">
        <v>3331</v>
      </c>
      <c r="GE194" s="1" t="s">
        <v>3332</v>
      </c>
      <c r="GI194" s="1" t="s">
        <v>213</v>
      </c>
      <c r="GJ194" s="1" t="s">
        <v>260</v>
      </c>
      <c r="GK194" s="1" t="s">
        <v>210</v>
      </c>
      <c r="GL194" s="2">
        <v>42038</v>
      </c>
      <c r="GM194" s="1" t="s">
        <v>3333</v>
      </c>
    </row>
    <row r="195" spans="1:195">
      <c r="A195" s="1">
        <v>155000</v>
      </c>
      <c r="B195" s="1" t="s">
        <v>195</v>
      </c>
      <c r="C195" s="1" t="str">
        <f>"08767379"</f>
        <v>08767379</v>
      </c>
      <c r="D195" s="1" t="s">
        <v>196</v>
      </c>
      <c r="F195" s="1" t="str">
        <f>"178"</f>
        <v>178</v>
      </c>
      <c r="G195" s="2">
        <v>41946</v>
      </c>
      <c r="H195" s="1">
        <v>160000</v>
      </c>
      <c r="I195" s="1">
        <v>160000</v>
      </c>
      <c r="J195" s="1">
        <v>155000</v>
      </c>
      <c r="K195" s="2">
        <v>41946</v>
      </c>
      <c r="L195" s="1">
        <v>6</v>
      </c>
      <c r="M195" s="2">
        <v>41951</v>
      </c>
      <c r="N195" s="1">
        <v>6</v>
      </c>
      <c r="O195" s="2">
        <v>41951</v>
      </c>
      <c r="P195" s="1">
        <v>93043</v>
      </c>
      <c r="Q195" s="1" t="s">
        <v>302</v>
      </c>
      <c r="R195" s="2">
        <v>41978</v>
      </c>
      <c r="S195" s="1">
        <v>930133</v>
      </c>
      <c r="U195" s="1">
        <v>1167</v>
      </c>
      <c r="V195" s="1" t="s">
        <v>1293</v>
      </c>
      <c r="W195" s="1" t="s">
        <v>504</v>
      </c>
      <c r="Y195" s="1">
        <v>4</v>
      </c>
      <c r="Z195" s="1" t="s">
        <v>370</v>
      </c>
      <c r="AA195" s="1" t="s">
        <v>3334</v>
      </c>
      <c r="AB195" s="1">
        <v>60178</v>
      </c>
      <c r="AE195" s="1" t="s">
        <v>3335</v>
      </c>
      <c r="AF195" s="1">
        <v>2003</v>
      </c>
      <c r="AG195" s="1" t="s">
        <v>204</v>
      </c>
      <c r="AH195" s="1" t="s">
        <v>3336</v>
      </c>
      <c r="AI195" s="1" t="s">
        <v>2246</v>
      </c>
      <c r="AJ195" s="1" t="s">
        <v>3337</v>
      </c>
      <c r="AL195" s="1">
        <v>7</v>
      </c>
      <c r="AM195" s="1">
        <v>2</v>
      </c>
      <c r="AN195" s="1">
        <v>3</v>
      </c>
      <c r="AO195" s="1">
        <v>0</v>
      </c>
      <c r="AP195" s="1" t="s">
        <v>209</v>
      </c>
      <c r="AQ195" s="1">
        <v>1</v>
      </c>
      <c r="AR195" s="1" t="s">
        <v>209</v>
      </c>
      <c r="AS195" s="1" t="s">
        <v>213</v>
      </c>
      <c r="AT195" s="1" t="s">
        <v>375</v>
      </c>
      <c r="AU195" s="1">
        <v>2</v>
      </c>
      <c r="AV195" s="1">
        <v>2</v>
      </c>
      <c r="AW195" s="1" t="s">
        <v>204</v>
      </c>
      <c r="AX195" s="1" t="s">
        <v>3338</v>
      </c>
      <c r="AZ195" s="1">
        <v>3214.8</v>
      </c>
      <c r="BA195" s="1">
        <v>2013</v>
      </c>
      <c r="BB195" s="1" t="s">
        <v>599</v>
      </c>
      <c r="BE195" s="1">
        <v>1393</v>
      </c>
      <c r="BF195" s="1">
        <v>1</v>
      </c>
      <c r="BG195" s="1">
        <v>0</v>
      </c>
      <c r="BL195" s="1">
        <v>150</v>
      </c>
      <c r="BM195" s="1" t="s">
        <v>413</v>
      </c>
      <c r="BN195" s="1" t="s">
        <v>213</v>
      </c>
      <c r="BO195" s="1">
        <v>999</v>
      </c>
      <c r="BP195" s="1" t="s">
        <v>204</v>
      </c>
      <c r="BR195" s="1" t="str">
        <f>"0905178038"</f>
        <v>0905178038</v>
      </c>
      <c r="BT195" s="1" t="s">
        <v>3339</v>
      </c>
      <c r="BX195" s="1">
        <v>427</v>
      </c>
      <c r="BY195" s="1">
        <v>427</v>
      </c>
      <c r="BZ195" s="1">
        <v>427</v>
      </c>
      <c r="CB195" s="1" t="str">
        <f t="shared" ref="CB195:CC195" si="157">""</f>
        <v/>
      </c>
      <c r="CC195" s="1" t="str">
        <f t="shared" si="157"/>
        <v/>
      </c>
      <c r="CG195" s="1" t="s">
        <v>908</v>
      </c>
      <c r="CH195" s="1" t="s">
        <v>219</v>
      </c>
      <c r="CI195" s="1" t="s">
        <v>438</v>
      </c>
      <c r="CJ195" s="1" t="s">
        <v>252</v>
      </c>
      <c r="CK195" s="1" t="s">
        <v>602</v>
      </c>
      <c r="CL195" s="1" t="s">
        <v>219</v>
      </c>
      <c r="CM195" s="1" t="s">
        <v>438</v>
      </c>
      <c r="CN195" s="1" t="s">
        <v>252</v>
      </c>
      <c r="CO195" s="1" t="s">
        <v>409</v>
      </c>
      <c r="CP195" s="1" t="s">
        <v>219</v>
      </c>
      <c r="CQ195" s="1" t="s">
        <v>438</v>
      </c>
      <c r="CR195" s="1" t="s">
        <v>252</v>
      </c>
      <c r="CS195" s="1" t="s">
        <v>1046</v>
      </c>
      <c r="CT195" s="1" t="s">
        <v>219</v>
      </c>
      <c r="CU195" s="1" t="s">
        <v>438</v>
      </c>
      <c r="CX195" s="1" t="s">
        <v>224</v>
      </c>
      <c r="DB195" s="1" t="s">
        <v>224</v>
      </c>
      <c r="DE195" s="1" t="s">
        <v>379</v>
      </c>
      <c r="DF195" s="1" t="s">
        <v>219</v>
      </c>
      <c r="DJ195" s="1" t="s">
        <v>224</v>
      </c>
      <c r="DM195" s="1" t="s">
        <v>934</v>
      </c>
      <c r="DN195" s="1" t="s">
        <v>411</v>
      </c>
      <c r="DR195" s="1" t="s">
        <v>1105</v>
      </c>
      <c r="DS195" s="1" t="s">
        <v>822</v>
      </c>
      <c r="DT195" s="1" t="s">
        <v>220</v>
      </c>
      <c r="DV195" s="1" t="s">
        <v>1046</v>
      </c>
      <c r="DW195" s="1" t="s">
        <v>822</v>
      </c>
      <c r="DX195" s="1" t="s">
        <v>220</v>
      </c>
      <c r="EA195" s="1" t="s">
        <v>230</v>
      </c>
      <c r="EE195" s="1" t="s">
        <v>230</v>
      </c>
      <c r="EI195" s="1" t="s">
        <v>230</v>
      </c>
      <c r="EL195" s="1" t="s">
        <v>466</v>
      </c>
      <c r="EM195" s="1" t="s">
        <v>319</v>
      </c>
      <c r="EN195" s="1" t="s">
        <v>282</v>
      </c>
      <c r="EO195" s="1" t="s">
        <v>234</v>
      </c>
      <c r="EQ195" s="1" t="s">
        <v>236</v>
      </c>
      <c r="ER195" s="1" t="s">
        <v>544</v>
      </c>
      <c r="ES195" s="1" t="s">
        <v>1552</v>
      </c>
      <c r="EV195" s="1" t="s">
        <v>240</v>
      </c>
      <c r="EW195" s="1" t="s">
        <v>547</v>
      </c>
      <c r="EY195" s="1" t="s">
        <v>242</v>
      </c>
      <c r="EZ195" s="1" t="s">
        <v>3340</v>
      </c>
      <c r="FA195" s="1" t="s">
        <v>3341</v>
      </c>
      <c r="FB195" s="1" t="s">
        <v>734</v>
      </c>
      <c r="FD195" s="1" t="s">
        <v>246</v>
      </c>
      <c r="FE195" s="1" t="s">
        <v>247</v>
      </c>
      <c r="FF195" s="1" t="s">
        <v>248</v>
      </c>
      <c r="FH195" s="1" t="s">
        <v>825</v>
      </c>
      <c r="FI195" s="1" t="s">
        <v>473</v>
      </c>
      <c r="FK195" s="1" t="s">
        <v>2076</v>
      </c>
      <c r="FL195" s="1" t="s">
        <v>358</v>
      </c>
      <c r="FM195" s="1" t="s">
        <v>252</v>
      </c>
      <c r="FN195" s="1" t="s">
        <v>213</v>
      </c>
      <c r="FO195" s="1" t="s">
        <v>213</v>
      </c>
      <c r="FQ195" s="1" t="s">
        <v>3342</v>
      </c>
      <c r="FR195" s="1" t="s">
        <v>210</v>
      </c>
      <c r="FS195" s="1" t="s">
        <v>3061</v>
      </c>
      <c r="FT195" s="1" t="s">
        <v>295</v>
      </c>
      <c r="FU195" s="1" t="s">
        <v>204</v>
      </c>
      <c r="FW195" s="1" t="s">
        <v>3343</v>
      </c>
      <c r="FX195" s="1">
        <v>93084</v>
      </c>
      <c r="FY195" s="1" t="s">
        <v>3344</v>
      </c>
      <c r="FZ195" s="1" t="s">
        <v>3345</v>
      </c>
      <c r="GA195" s="1">
        <v>930223</v>
      </c>
      <c r="GB195" s="1" t="s">
        <v>3346</v>
      </c>
      <c r="GD195" s="1" t="s">
        <v>3347</v>
      </c>
      <c r="GE195" s="1" t="s">
        <v>480</v>
      </c>
      <c r="GI195" s="1" t="s">
        <v>213</v>
      </c>
      <c r="GJ195" s="1" t="s">
        <v>260</v>
      </c>
      <c r="GK195" s="1" t="s">
        <v>210</v>
      </c>
      <c r="GL195" s="2">
        <v>41978</v>
      </c>
      <c r="GM195" s="1" t="s">
        <v>3348</v>
      </c>
    </row>
    <row r="196" spans="1:195">
      <c r="A196" s="1">
        <v>103000</v>
      </c>
      <c r="B196" s="1" t="s">
        <v>195</v>
      </c>
      <c r="C196" s="1" t="str">
        <f>"08767749"</f>
        <v>08767749</v>
      </c>
      <c r="D196" s="1" t="s">
        <v>196</v>
      </c>
      <c r="F196" s="1" t="str">
        <f>"507"</f>
        <v>507</v>
      </c>
      <c r="G196" s="2">
        <v>41946</v>
      </c>
      <c r="H196" s="1">
        <v>124900</v>
      </c>
      <c r="I196" s="1">
        <v>105900</v>
      </c>
      <c r="J196" s="1">
        <v>103000</v>
      </c>
      <c r="K196" s="2">
        <v>41946</v>
      </c>
      <c r="L196" s="1">
        <v>94</v>
      </c>
      <c r="M196" s="2">
        <v>42039</v>
      </c>
      <c r="N196" s="1">
        <v>94</v>
      </c>
      <c r="O196" s="2">
        <v>42039</v>
      </c>
      <c r="P196" s="1">
        <v>20185</v>
      </c>
      <c r="Q196" s="1" t="s">
        <v>302</v>
      </c>
      <c r="R196" s="2">
        <v>42066</v>
      </c>
      <c r="S196" s="1">
        <v>236479</v>
      </c>
      <c r="U196" s="1">
        <v>3039</v>
      </c>
      <c r="V196" s="1" t="s">
        <v>2831</v>
      </c>
      <c r="W196" s="1" t="s">
        <v>449</v>
      </c>
      <c r="X196" s="1" t="s">
        <v>3349</v>
      </c>
      <c r="Y196" s="1">
        <v>2</v>
      </c>
      <c r="Z196" s="1" t="s">
        <v>370</v>
      </c>
      <c r="AA196" s="1" t="s">
        <v>1123</v>
      </c>
      <c r="AB196" s="1">
        <v>60504</v>
      </c>
      <c r="AE196" s="1" t="s">
        <v>3350</v>
      </c>
      <c r="AF196" s="1">
        <v>1995</v>
      </c>
      <c r="AG196" s="1" t="s">
        <v>204</v>
      </c>
      <c r="AH196" s="1" t="s">
        <v>1126</v>
      </c>
      <c r="AI196" s="1" t="s">
        <v>206</v>
      </c>
      <c r="AJ196" s="1" t="s">
        <v>924</v>
      </c>
      <c r="AL196" s="1">
        <v>5</v>
      </c>
      <c r="AM196" s="1">
        <v>2</v>
      </c>
      <c r="AN196" s="1">
        <v>2</v>
      </c>
      <c r="AO196" s="1">
        <v>1</v>
      </c>
      <c r="AP196" s="1" t="s">
        <v>209</v>
      </c>
      <c r="AR196" s="1" t="s">
        <v>210</v>
      </c>
      <c r="AT196" s="1" t="s">
        <v>211</v>
      </c>
      <c r="AU196" s="1">
        <v>1</v>
      </c>
      <c r="AW196" s="1" t="s">
        <v>204</v>
      </c>
      <c r="AX196" s="1">
        <v>0</v>
      </c>
      <c r="AZ196" s="1">
        <v>3471</v>
      </c>
      <c r="BA196" s="1">
        <v>2013</v>
      </c>
      <c r="BE196" s="1">
        <v>1278</v>
      </c>
      <c r="BF196" s="1">
        <v>1</v>
      </c>
      <c r="BG196" s="1">
        <v>30</v>
      </c>
      <c r="BL196" s="1">
        <v>190</v>
      </c>
      <c r="BM196" s="1" t="s">
        <v>413</v>
      </c>
      <c r="BN196" s="1" t="s">
        <v>213</v>
      </c>
      <c r="BP196" s="1" t="s">
        <v>204</v>
      </c>
      <c r="BR196" s="1" t="str">
        <f>"0720313084"</f>
        <v>0720313084</v>
      </c>
      <c r="BT196" s="1" t="s">
        <v>3351</v>
      </c>
      <c r="BX196" s="1">
        <v>204</v>
      </c>
      <c r="BY196" s="1">
        <v>204</v>
      </c>
      <c r="BZ196" s="1">
        <v>204</v>
      </c>
      <c r="CB196" s="1" t="str">
        <f t="shared" ref="CB196:CC196" si="158">""</f>
        <v/>
      </c>
      <c r="CC196" s="1" t="str">
        <f t="shared" si="158"/>
        <v/>
      </c>
      <c r="CG196" s="1" t="s">
        <v>931</v>
      </c>
      <c r="CH196" s="1" t="s">
        <v>219</v>
      </c>
      <c r="CK196" s="1" t="s">
        <v>228</v>
      </c>
      <c r="CL196" s="1" t="s">
        <v>277</v>
      </c>
      <c r="CO196" s="1" t="s">
        <v>602</v>
      </c>
      <c r="CP196" s="1" t="s">
        <v>219</v>
      </c>
      <c r="CS196" s="1" t="s">
        <v>318</v>
      </c>
      <c r="CT196" s="1" t="s">
        <v>277</v>
      </c>
      <c r="CX196" s="1" t="s">
        <v>224</v>
      </c>
      <c r="DB196" s="1" t="s">
        <v>224</v>
      </c>
      <c r="DE196" s="1" t="s">
        <v>346</v>
      </c>
      <c r="DF196" s="1" t="s">
        <v>219</v>
      </c>
      <c r="DJ196" s="1" t="s">
        <v>224</v>
      </c>
      <c r="DS196" s="1" t="s">
        <v>230</v>
      </c>
      <c r="DW196" s="1" t="s">
        <v>230</v>
      </c>
      <c r="EA196" s="1" t="s">
        <v>230</v>
      </c>
      <c r="EE196" s="1" t="s">
        <v>230</v>
      </c>
      <c r="EI196" s="1" t="s">
        <v>230</v>
      </c>
      <c r="EL196" s="1" t="s">
        <v>670</v>
      </c>
      <c r="EM196" s="1" t="s">
        <v>319</v>
      </c>
      <c r="EN196" s="1" t="s">
        <v>282</v>
      </c>
      <c r="EO196" s="1" t="s">
        <v>234</v>
      </c>
      <c r="ER196" s="1" t="s">
        <v>210</v>
      </c>
      <c r="EW196" s="1" t="s">
        <v>210</v>
      </c>
      <c r="EZ196" s="1" t="s">
        <v>287</v>
      </c>
      <c r="FD196" s="1" t="s">
        <v>246</v>
      </c>
      <c r="FE196" s="1" t="s">
        <v>472</v>
      </c>
      <c r="FF196" s="1" t="s">
        <v>248</v>
      </c>
      <c r="FH196" s="1" t="s">
        <v>249</v>
      </c>
      <c r="FJ196" s="1" t="s">
        <v>1472</v>
      </c>
      <c r="FL196" s="1" t="s">
        <v>414</v>
      </c>
      <c r="FM196" s="1" t="s">
        <v>252</v>
      </c>
      <c r="FN196" s="1" t="s">
        <v>213</v>
      </c>
      <c r="FO196" s="1" t="s">
        <v>213</v>
      </c>
      <c r="FQ196" s="1" t="s">
        <v>2417</v>
      </c>
      <c r="FR196" s="1" t="s">
        <v>210</v>
      </c>
      <c r="FS196" s="1" t="s">
        <v>3352</v>
      </c>
      <c r="FT196" s="1" t="s">
        <v>295</v>
      </c>
      <c r="FU196" s="1" t="s">
        <v>204</v>
      </c>
      <c r="FW196" s="1" t="s">
        <v>3353</v>
      </c>
      <c r="FX196" s="1">
        <v>8658</v>
      </c>
      <c r="FY196" s="1" t="s">
        <v>3354</v>
      </c>
      <c r="FZ196" s="1" t="s">
        <v>3355</v>
      </c>
      <c r="GA196" s="1">
        <v>84760</v>
      </c>
      <c r="GB196" s="1" t="s">
        <v>3354</v>
      </c>
      <c r="GD196" s="1" t="s">
        <v>3356</v>
      </c>
      <c r="GE196" s="1" t="s">
        <v>210</v>
      </c>
      <c r="GI196" s="1" t="s">
        <v>213</v>
      </c>
      <c r="GJ196" s="1" t="s">
        <v>260</v>
      </c>
      <c r="GK196" s="1" t="s">
        <v>210</v>
      </c>
      <c r="GL196" s="2">
        <v>42068</v>
      </c>
      <c r="GM196" s="1" t="s">
        <v>3357</v>
      </c>
    </row>
    <row r="197" spans="1:195">
      <c r="A197" s="1">
        <v>216500</v>
      </c>
      <c r="B197" s="1" t="s">
        <v>195</v>
      </c>
      <c r="C197" s="1" t="str">
        <f>"08771690"</f>
        <v>08771690</v>
      </c>
      <c r="D197" s="1" t="s">
        <v>196</v>
      </c>
      <c r="F197" s="1" t="str">
        <f>"154"</f>
        <v>154</v>
      </c>
      <c r="G197" s="2">
        <v>41951</v>
      </c>
      <c r="H197" s="1">
        <v>216500</v>
      </c>
      <c r="I197" s="1">
        <v>216500</v>
      </c>
      <c r="J197" s="1">
        <v>216500</v>
      </c>
      <c r="K197" s="2">
        <v>41951</v>
      </c>
      <c r="L197" s="1">
        <v>7</v>
      </c>
      <c r="M197" s="2">
        <v>41957</v>
      </c>
      <c r="N197" s="1">
        <v>7</v>
      </c>
      <c r="O197" s="2">
        <v>41957</v>
      </c>
      <c r="P197" s="1">
        <v>2648</v>
      </c>
      <c r="Q197" s="1" t="s">
        <v>302</v>
      </c>
      <c r="R197" s="2">
        <v>41982</v>
      </c>
      <c r="S197" s="1">
        <v>18093</v>
      </c>
      <c r="U197" s="1">
        <v>16</v>
      </c>
      <c r="V197" s="1" t="s">
        <v>3358</v>
      </c>
      <c r="W197" s="1" t="s">
        <v>304</v>
      </c>
      <c r="X197" s="1">
        <v>16</v>
      </c>
      <c r="Y197" s="1">
        <v>2</v>
      </c>
      <c r="Z197" s="1" t="s">
        <v>370</v>
      </c>
      <c r="AA197" s="1" t="s">
        <v>1190</v>
      </c>
      <c r="AB197" s="1">
        <v>60154</v>
      </c>
      <c r="AD197" s="1" t="s">
        <v>3359</v>
      </c>
      <c r="AE197" s="1" t="s">
        <v>3360</v>
      </c>
      <c r="AF197" s="1">
        <v>1989</v>
      </c>
      <c r="AG197" s="1" t="s">
        <v>204</v>
      </c>
      <c r="AH197" s="1" t="s">
        <v>1193</v>
      </c>
      <c r="AI197" s="1" t="s">
        <v>310</v>
      </c>
      <c r="AJ197" s="1" t="s">
        <v>429</v>
      </c>
      <c r="AK197" s="1" t="s">
        <v>3361</v>
      </c>
      <c r="AL197" s="1">
        <v>5</v>
      </c>
      <c r="AM197" s="1">
        <v>2</v>
      </c>
      <c r="AN197" s="1">
        <v>2</v>
      </c>
      <c r="AO197" s="1">
        <v>0</v>
      </c>
      <c r="AP197" s="1" t="s">
        <v>209</v>
      </c>
      <c r="AQ197" s="1">
        <v>1</v>
      </c>
      <c r="AR197" s="1" t="s">
        <v>210</v>
      </c>
      <c r="AS197" s="1" t="s">
        <v>204</v>
      </c>
      <c r="AT197" s="1" t="s">
        <v>375</v>
      </c>
      <c r="AU197" s="1">
        <v>1</v>
      </c>
      <c r="AV197" s="1">
        <v>1</v>
      </c>
      <c r="AW197" s="1" t="s">
        <v>204</v>
      </c>
      <c r="AX197" s="1" t="s">
        <v>212</v>
      </c>
      <c r="AZ197" s="1">
        <v>3119.21</v>
      </c>
      <c r="BA197" s="1">
        <v>2013</v>
      </c>
      <c r="BB197" s="1" t="s">
        <v>2694</v>
      </c>
      <c r="BE197" s="1">
        <v>0</v>
      </c>
      <c r="BF197" s="1">
        <v>1</v>
      </c>
      <c r="BG197" s="1">
        <v>30</v>
      </c>
      <c r="BJ197" s="1">
        <v>100</v>
      </c>
      <c r="BL197" s="1">
        <v>570</v>
      </c>
      <c r="BM197" s="1" t="s">
        <v>204</v>
      </c>
      <c r="BN197" s="1" t="s">
        <v>213</v>
      </c>
      <c r="BO197" s="1">
        <v>25</v>
      </c>
      <c r="BP197" s="1" t="s">
        <v>204</v>
      </c>
      <c r="BR197" s="1" t="str">
        <f>"15293000291060"</f>
        <v>15293000291060</v>
      </c>
      <c r="BT197" s="1" t="s">
        <v>3362</v>
      </c>
      <c r="BX197" s="1">
        <v>92.5</v>
      </c>
      <c r="BY197" s="1">
        <v>92.5</v>
      </c>
      <c r="BZ197" s="1">
        <v>209</v>
      </c>
      <c r="CB197" s="1" t="str">
        <f t="shared" ref="CB197:CC197" si="159">""</f>
        <v/>
      </c>
      <c r="CC197" s="1" t="str">
        <f t="shared" si="159"/>
        <v/>
      </c>
      <c r="CG197" s="1" t="s">
        <v>228</v>
      </c>
      <c r="CH197" s="1" t="s">
        <v>219</v>
      </c>
      <c r="CI197" s="1" t="s">
        <v>220</v>
      </c>
      <c r="CJ197" s="1" t="s">
        <v>343</v>
      </c>
      <c r="CK197" s="1" t="s">
        <v>228</v>
      </c>
      <c r="CL197" s="1" t="s">
        <v>219</v>
      </c>
      <c r="CM197" s="1" t="s">
        <v>229</v>
      </c>
      <c r="CN197" s="1" t="s">
        <v>343</v>
      </c>
      <c r="CO197" s="1" t="s">
        <v>1358</v>
      </c>
      <c r="CP197" s="1" t="s">
        <v>219</v>
      </c>
      <c r="CQ197" s="1" t="s">
        <v>220</v>
      </c>
      <c r="CR197" s="1" t="s">
        <v>343</v>
      </c>
      <c r="CS197" s="1" t="s">
        <v>378</v>
      </c>
      <c r="CT197" s="1" t="s">
        <v>219</v>
      </c>
      <c r="CU197" s="1" t="s">
        <v>220</v>
      </c>
      <c r="CV197" s="1" t="s">
        <v>343</v>
      </c>
      <c r="CX197" s="1" t="s">
        <v>224</v>
      </c>
      <c r="DB197" s="1" t="s">
        <v>224</v>
      </c>
      <c r="DE197" s="1" t="s">
        <v>3363</v>
      </c>
      <c r="DF197" s="1" t="s">
        <v>219</v>
      </c>
      <c r="DG197" s="1" t="s">
        <v>342</v>
      </c>
      <c r="DH197" s="1" t="s">
        <v>343</v>
      </c>
      <c r="DJ197" s="1" t="s">
        <v>224</v>
      </c>
      <c r="DM197" s="1" t="s">
        <v>709</v>
      </c>
      <c r="DN197" s="1" t="s">
        <v>1771</v>
      </c>
      <c r="DR197" s="1" t="s">
        <v>2468</v>
      </c>
      <c r="DS197" s="1" t="s">
        <v>219</v>
      </c>
      <c r="DT197" s="1" t="s">
        <v>229</v>
      </c>
      <c r="DU197" s="1" t="s">
        <v>210</v>
      </c>
      <c r="DV197" s="1" t="s">
        <v>1470</v>
      </c>
      <c r="DW197" s="1" t="s">
        <v>219</v>
      </c>
      <c r="DX197" s="1" t="s">
        <v>229</v>
      </c>
      <c r="EA197" s="1" t="s">
        <v>230</v>
      </c>
      <c r="EE197" s="1" t="s">
        <v>230</v>
      </c>
      <c r="EI197" s="1" t="s">
        <v>230</v>
      </c>
      <c r="EL197" s="1" t="s">
        <v>382</v>
      </c>
      <c r="EM197" s="1" t="s">
        <v>319</v>
      </c>
      <c r="EN197" s="1" t="s">
        <v>282</v>
      </c>
      <c r="EO197" s="1" t="s">
        <v>234</v>
      </c>
      <c r="EQ197" s="1" t="s">
        <v>953</v>
      </c>
      <c r="ER197" s="1" t="s">
        <v>210</v>
      </c>
      <c r="ES197" s="1" t="s">
        <v>1160</v>
      </c>
      <c r="ET197" s="1" t="s">
        <v>1201</v>
      </c>
      <c r="EU197" s="1" t="s">
        <v>1110</v>
      </c>
      <c r="EV197" s="1" t="s">
        <v>240</v>
      </c>
      <c r="EW197" s="1" t="s">
        <v>911</v>
      </c>
      <c r="EY197" s="1" t="s">
        <v>242</v>
      </c>
      <c r="EZ197" s="1" t="s">
        <v>2948</v>
      </c>
      <c r="FD197" s="1" t="s">
        <v>246</v>
      </c>
      <c r="FE197" s="1" t="s">
        <v>247</v>
      </c>
      <c r="FF197" s="1" t="s">
        <v>248</v>
      </c>
      <c r="FG197" s="1" t="s">
        <v>939</v>
      </c>
      <c r="FH197" s="1" t="s">
        <v>249</v>
      </c>
      <c r="FI197" s="1" t="s">
        <v>250</v>
      </c>
      <c r="FJ197" s="1" t="s">
        <v>197</v>
      </c>
      <c r="FL197" s="1" t="s">
        <v>414</v>
      </c>
      <c r="FM197" s="1" t="s">
        <v>252</v>
      </c>
      <c r="FN197" s="1" t="s">
        <v>213</v>
      </c>
      <c r="FO197" s="1" t="s">
        <v>204</v>
      </c>
      <c r="FQ197" s="1" t="s">
        <v>3364</v>
      </c>
      <c r="FR197" s="1" t="s">
        <v>210</v>
      </c>
      <c r="FS197" s="1" t="s">
        <v>3365</v>
      </c>
      <c r="FT197" s="1" t="s">
        <v>295</v>
      </c>
      <c r="FU197" s="1" t="s">
        <v>213</v>
      </c>
      <c r="FW197" s="1" t="s">
        <v>3366</v>
      </c>
      <c r="FX197" s="1">
        <v>6415</v>
      </c>
      <c r="FY197" s="1" t="s">
        <v>3367</v>
      </c>
      <c r="FZ197" s="1" t="s">
        <v>3368</v>
      </c>
      <c r="GA197" s="1">
        <v>62381</v>
      </c>
      <c r="GB197" s="1" t="s">
        <v>3367</v>
      </c>
      <c r="GE197" s="1" t="s">
        <v>210</v>
      </c>
      <c r="GI197" s="1" t="s">
        <v>213</v>
      </c>
      <c r="GJ197" s="1" t="s">
        <v>260</v>
      </c>
      <c r="GK197" s="1" t="s">
        <v>210</v>
      </c>
      <c r="GL197" s="2">
        <v>41985</v>
      </c>
      <c r="GM197" s="1" t="s">
        <v>3369</v>
      </c>
    </row>
    <row r="198" spans="1:195">
      <c r="A198" s="1">
        <v>138000</v>
      </c>
      <c r="B198" s="1" t="s">
        <v>195</v>
      </c>
      <c r="C198" s="1" t="str">
        <f>"08767991"</f>
        <v>08767991</v>
      </c>
      <c r="D198" s="1" t="s">
        <v>196</v>
      </c>
      <c r="F198" s="1" t="str">
        <f>"83"</f>
        <v>83</v>
      </c>
      <c r="G198" s="2">
        <v>41946</v>
      </c>
      <c r="H198" s="1">
        <v>147500</v>
      </c>
      <c r="I198" s="1">
        <v>144900</v>
      </c>
      <c r="J198" s="1">
        <v>138000</v>
      </c>
      <c r="K198" s="2">
        <v>41946</v>
      </c>
      <c r="L198" s="1">
        <v>122</v>
      </c>
      <c r="M198" s="2">
        <v>42067</v>
      </c>
      <c r="N198" s="1">
        <v>122</v>
      </c>
      <c r="O198" s="2">
        <v>42067</v>
      </c>
      <c r="P198" s="1">
        <v>8002</v>
      </c>
      <c r="Q198" s="1" t="s">
        <v>423</v>
      </c>
      <c r="R198" s="2">
        <v>42096</v>
      </c>
      <c r="S198" s="1">
        <v>239664</v>
      </c>
      <c r="U198" s="1">
        <v>2871</v>
      </c>
      <c r="V198" s="1" t="s">
        <v>3370</v>
      </c>
      <c r="W198" s="1" t="s">
        <v>264</v>
      </c>
      <c r="Y198" s="1">
        <v>6</v>
      </c>
      <c r="Z198" s="1" t="s">
        <v>370</v>
      </c>
      <c r="AA198" s="1" t="s">
        <v>3371</v>
      </c>
      <c r="AB198" s="1">
        <v>60083</v>
      </c>
      <c r="AD198" s="1" t="s">
        <v>3372</v>
      </c>
      <c r="AE198" s="1" t="s">
        <v>3373</v>
      </c>
      <c r="AF198" s="1">
        <v>1999</v>
      </c>
      <c r="AG198" s="1" t="s">
        <v>204</v>
      </c>
      <c r="AH198" s="1" t="s">
        <v>2509</v>
      </c>
      <c r="AI198" s="1" t="s">
        <v>509</v>
      </c>
      <c r="AJ198" s="1" t="s">
        <v>1061</v>
      </c>
      <c r="AK198" s="1" t="s">
        <v>3374</v>
      </c>
      <c r="AL198" s="1">
        <v>7</v>
      </c>
      <c r="AM198" s="1">
        <v>2</v>
      </c>
      <c r="AN198" s="1">
        <v>2</v>
      </c>
      <c r="AO198" s="1">
        <v>1</v>
      </c>
      <c r="AP198" s="1" t="s">
        <v>209</v>
      </c>
      <c r="AQ198" s="1">
        <v>1</v>
      </c>
      <c r="AR198" s="1" t="s">
        <v>1631</v>
      </c>
      <c r="AS198" s="1" t="s">
        <v>204</v>
      </c>
      <c r="AT198" s="1" t="s">
        <v>211</v>
      </c>
      <c r="AU198" s="1">
        <v>2</v>
      </c>
      <c r="AW198" s="1" t="s">
        <v>204</v>
      </c>
      <c r="AX198" s="1" t="s">
        <v>212</v>
      </c>
      <c r="AZ198" s="1">
        <v>5223.5</v>
      </c>
      <c r="BA198" s="1">
        <v>2013</v>
      </c>
      <c r="BB198" s="1" t="s">
        <v>210</v>
      </c>
      <c r="BE198" s="1">
        <v>1414</v>
      </c>
      <c r="BF198" s="1">
        <v>1</v>
      </c>
      <c r="BG198" s="1">
        <v>0</v>
      </c>
      <c r="BL198" s="1">
        <v>187</v>
      </c>
      <c r="BM198" s="1" t="s">
        <v>204</v>
      </c>
      <c r="BN198" s="1" t="s">
        <v>213</v>
      </c>
      <c r="BO198" s="1">
        <v>25</v>
      </c>
      <c r="BP198" s="1" t="s">
        <v>204</v>
      </c>
      <c r="BR198" s="1" t="str">
        <f>"07023020930000"</f>
        <v>07023020930000</v>
      </c>
      <c r="BT198" s="1" t="s">
        <v>3375</v>
      </c>
      <c r="BU198" s="1" t="s">
        <v>3376</v>
      </c>
      <c r="BV198" s="1" t="s">
        <v>3070</v>
      </c>
      <c r="BW198" s="1" t="s">
        <v>1066</v>
      </c>
      <c r="BX198" s="1">
        <v>56</v>
      </c>
      <c r="BY198" s="1">
        <v>56</v>
      </c>
      <c r="BZ198" s="1">
        <v>121</v>
      </c>
      <c r="CB198" s="1" t="str">
        <f>"37"</f>
        <v>37</v>
      </c>
      <c r="CC198" s="1" t="str">
        <f>""</f>
        <v/>
      </c>
      <c r="CD198" s="1">
        <v>14</v>
      </c>
      <c r="CG198" s="1" t="s">
        <v>278</v>
      </c>
      <c r="CH198" s="1" t="s">
        <v>219</v>
      </c>
      <c r="CI198" s="1" t="s">
        <v>220</v>
      </c>
      <c r="CK198" s="1" t="s">
        <v>346</v>
      </c>
      <c r="CL198" s="1" t="s">
        <v>277</v>
      </c>
      <c r="CM198" s="1" t="s">
        <v>220</v>
      </c>
      <c r="CO198" s="1" t="s">
        <v>278</v>
      </c>
      <c r="CP198" s="1" t="s">
        <v>219</v>
      </c>
      <c r="CQ198" s="1" t="s">
        <v>220</v>
      </c>
      <c r="CS198" s="1" t="s">
        <v>379</v>
      </c>
      <c r="CT198" s="1" t="s">
        <v>277</v>
      </c>
      <c r="CU198" s="1" t="s">
        <v>220</v>
      </c>
      <c r="CX198" s="1" t="s">
        <v>224</v>
      </c>
      <c r="DB198" s="1" t="s">
        <v>224</v>
      </c>
      <c r="DE198" s="1" t="s">
        <v>708</v>
      </c>
      <c r="DF198" s="1" t="s">
        <v>219</v>
      </c>
      <c r="DG198" s="1" t="s">
        <v>438</v>
      </c>
      <c r="DI198" s="1" t="s">
        <v>317</v>
      </c>
      <c r="DJ198" s="1" t="s">
        <v>822</v>
      </c>
      <c r="DK198" s="1" t="s">
        <v>220</v>
      </c>
      <c r="DM198" s="1" t="s">
        <v>1005</v>
      </c>
      <c r="DR198" s="1" t="s">
        <v>687</v>
      </c>
      <c r="DS198" s="1" t="s">
        <v>277</v>
      </c>
      <c r="DT198" s="1" t="s">
        <v>220</v>
      </c>
      <c r="DW198" s="1" t="s">
        <v>230</v>
      </c>
      <c r="EA198" s="1" t="s">
        <v>230</v>
      </c>
      <c r="EE198" s="1" t="s">
        <v>230</v>
      </c>
      <c r="EI198" s="1" t="s">
        <v>230</v>
      </c>
      <c r="EL198" s="1" t="s">
        <v>670</v>
      </c>
      <c r="EM198" s="1" t="s">
        <v>232</v>
      </c>
      <c r="EN198" s="1" t="s">
        <v>282</v>
      </c>
      <c r="EO198" s="1" t="s">
        <v>234</v>
      </c>
      <c r="EP198" s="1" t="s">
        <v>650</v>
      </c>
      <c r="EQ198" s="1" t="s">
        <v>468</v>
      </c>
      <c r="ER198" s="1" t="s">
        <v>544</v>
      </c>
      <c r="ES198" s="1" t="s">
        <v>322</v>
      </c>
      <c r="ET198" s="1" t="s">
        <v>1752</v>
      </c>
      <c r="EU198" s="1" t="s">
        <v>3377</v>
      </c>
      <c r="EV198" s="1" t="s">
        <v>240</v>
      </c>
      <c r="EW198" s="1" t="s">
        <v>867</v>
      </c>
      <c r="EY198" s="1" t="s">
        <v>242</v>
      </c>
      <c r="EZ198" s="1" t="s">
        <v>1005</v>
      </c>
      <c r="FA198" s="1" t="s">
        <v>1427</v>
      </c>
      <c r="FB198" s="1" t="s">
        <v>289</v>
      </c>
      <c r="FD198" s="1" t="s">
        <v>246</v>
      </c>
      <c r="FE198" s="1" t="s">
        <v>355</v>
      </c>
      <c r="FF198" s="1" t="s">
        <v>248</v>
      </c>
      <c r="FG198" s="1" t="s">
        <v>2406</v>
      </c>
      <c r="FH198" s="1" t="s">
        <v>550</v>
      </c>
      <c r="FI198" s="1" t="s">
        <v>473</v>
      </c>
      <c r="FJ198" s="1" t="s">
        <v>197</v>
      </c>
      <c r="FL198" s="1" t="s">
        <v>358</v>
      </c>
      <c r="FM198" s="1" t="s">
        <v>252</v>
      </c>
      <c r="FN198" s="1" t="s">
        <v>213</v>
      </c>
      <c r="FO198" s="1" t="s">
        <v>213</v>
      </c>
      <c r="FQ198" s="1" t="s">
        <v>3378</v>
      </c>
      <c r="FR198" s="1" t="s">
        <v>210</v>
      </c>
      <c r="FS198" s="1" t="s">
        <v>3379</v>
      </c>
      <c r="FT198" s="1" t="s">
        <v>1778</v>
      </c>
      <c r="FU198" s="1" t="s">
        <v>204</v>
      </c>
      <c r="FW198" s="1" t="s">
        <v>1559</v>
      </c>
      <c r="FX198" s="1">
        <v>2415</v>
      </c>
      <c r="FY198" s="1" t="s">
        <v>3380</v>
      </c>
      <c r="FZ198" s="1" t="s">
        <v>3381</v>
      </c>
      <c r="GA198" s="1">
        <v>16522</v>
      </c>
      <c r="GB198" s="1" t="s">
        <v>3382</v>
      </c>
      <c r="GD198" s="1" t="s">
        <v>3383</v>
      </c>
      <c r="GE198" s="1" t="s">
        <v>480</v>
      </c>
      <c r="GH198" s="1" t="s">
        <v>230</v>
      </c>
      <c r="GI198" s="1" t="s">
        <v>213</v>
      </c>
      <c r="GJ198" s="1" t="s">
        <v>260</v>
      </c>
      <c r="GK198" s="1" t="s">
        <v>210</v>
      </c>
      <c r="GL198" s="2">
        <v>42096</v>
      </c>
    </row>
    <row r="199" spans="1:195">
      <c r="A199" s="1">
        <v>99900</v>
      </c>
      <c r="B199" s="1" t="s">
        <v>195</v>
      </c>
      <c r="C199" s="1" t="str">
        <f>"08766648"</f>
        <v>08766648</v>
      </c>
      <c r="D199" s="1" t="s">
        <v>196</v>
      </c>
      <c r="F199" s="1" t="str">
        <f>"135"</f>
        <v>135</v>
      </c>
      <c r="G199" s="2">
        <v>41944</v>
      </c>
      <c r="H199" s="1">
        <v>99900</v>
      </c>
      <c r="I199" s="1">
        <v>99900</v>
      </c>
      <c r="J199" s="1">
        <v>99900</v>
      </c>
      <c r="K199" s="2">
        <v>41944</v>
      </c>
      <c r="L199" s="1">
        <v>33</v>
      </c>
      <c r="M199" s="2">
        <v>41976</v>
      </c>
      <c r="N199" s="1">
        <v>33</v>
      </c>
      <c r="O199" s="2">
        <v>41976</v>
      </c>
      <c r="P199" s="1">
        <v>93094</v>
      </c>
      <c r="Q199" s="1" t="s">
        <v>423</v>
      </c>
      <c r="R199" s="2">
        <v>42016</v>
      </c>
      <c r="S199" s="1">
        <v>930134</v>
      </c>
      <c r="T199" s="1">
        <v>566</v>
      </c>
      <c r="U199" s="1">
        <v>713</v>
      </c>
      <c r="V199" s="1" t="s">
        <v>3043</v>
      </c>
      <c r="W199" s="1" t="s">
        <v>304</v>
      </c>
      <c r="Y199" s="1">
        <v>2</v>
      </c>
      <c r="Z199" s="1" t="s">
        <v>200</v>
      </c>
      <c r="AA199" s="1" t="s">
        <v>3384</v>
      </c>
      <c r="AB199" s="1">
        <v>60135</v>
      </c>
      <c r="AE199" s="1" t="s">
        <v>3385</v>
      </c>
      <c r="AF199" s="1" t="s">
        <v>402</v>
      </c>
      <c r="AG199" s="1" t="s">
        <v>204</v>
      </c>
      <c r="AH199" s="1" t="s">
        <v>3386</v>
      </c>
      <c r="AI199" s="1" t="s">
        <v>2246</v>
      </c>
      <c r="AJ199" s="1" t="s">
        <v>3386</v>
      </c>
      <c r="AL199" s="1">
        <v>4</v>
      </c>
      <c r="AM199" s="1">
        <v>2</v>
      </c>
      <c r="AN199" s="1">
        <v>2</v>
      </c>
      <c r="AO199" s="1">
        <v>0</v>
      </c>
      <c r="AP199" s="1" t="s">
        <v>209</v>
      </c>
      <c r="AR199" s="1" t="s">
        <v>209</v>
      </c>
      <c r="AS199" s="1" t="s">
        <v>204</v>
      </c>
      <c r="AT199" s="1" t="s">
        <v>211</v>
      </c>
      <c r="AU199" s="1">
        <v>2</v>
      </c>
      <c r="AW199" s="1" t="s">
        <v>204</v>
      </c>
      <c r="AX199" s="1" t="s">
        <v>3387</v>
      </c>
      <c r="AZ199" s="1">
        <v>3786.5</v>
      </c>
      <c r="BA199" s="1">
        <v>2013</v>
      </c>
      <c r="BB199" s="1" t="s">
        <v>210</v>
      </c>
      <c r="BE199" s="1">
        <v>1300</v>
      </c>
      <c r="BF199" s="1">
        <v>1</v>
      </c>
      <c r="BG199" s="1">
        <v>0</v>
      </c>
      <c r="BL199" s="1">
        <v>0</v>
      </c>
      <c r="BM199" s="1" t="s">
        <v>413</v>
      </c>
      <c r="BN199" s="1" t="s">
        <v>213</v>
      </c>
      <c r="BO199" s="1">
        <v>0</v>
      </c>
      <c r="BP199" s="1" t="s">
        <v>204</v>
      </c>
      <c r="BR199" s="1" t="str">
        <f>"0330104019"</f>
        <v>0330104019</v>
      </c>
      <c r="BT199" s="1" t="s">
        <v>3388</v>
      </c>
      <c r="BX199" s="1">
        <v>424</v>
      </c>
      <c r="BY199" s="1">
        <v>424</v>
      </c>
      <c r="BZ199" s="1">
        <v>424</v>
      </c>
      <c r="CB199" s="1" t="str">
        <f t="shared" ref="CB199:CC199" si="160">""</f>
        <v/>
      </c>
      <c r="CC199" s="1" t="str">
        <f t="shared" si="160"/>
        <v/>
      </c>
      <c r="CG199" s="1" t="s">
        <v>3389</v>
      </c>
      <c r="CH199" s="1" t="s">
        <v>219</v>
      </c>
      <c r="CK199" s="1" t="s">
        <v>1402</v>
      </c>
      <c r="CL199" s="1" t="s">
        <v>219</v>
      </c>
      <c r="CP199" s="1" t="s">
        <v>224</v>
      </c>
      <c r="CS199" s="1" t="s">
        <v>465</v>
      </c>
      <c r="CT199" s="1" t="s">
        <v>219</v>
      </c>
      <c r="CX199" s="1" t="s">
        <v>224</v>
      </c>
      <c r="DB199" s="1" t="s">
        <v>224</v>
      </c>
      <c r="DE199" s="1" t="s">
        <v>972</v>
      </c>
      <c r="DF199" s="1" t="s">
        <v>219</v>
      </c>
      <c r="DJ199" s="1" t="s">
        <v>224</v>
      </c>
      <c r="DS199" s="1" t="s">
        <v>230</v>
      </c>
      <c r="DW199" s="1" t="s">
        <v>230</v>
      </c>
      <c r="EA199" s="1" t="s">
        <v>230</v>
      </c>
      <c r="EE199" s="1" t="s">
        <v>230</v>
      </c>
      <c r="EI199" s="1" t="s">
        <v>230</v>
      </c>
      <c r="EL199" s="1" t="s">
        <v>466</v>
      </c>
      <c r="EM199" s="1" t="s">
        <v>319</v>
      </c>
      <c r="EN199" s="1" t="s">
        <v>282</v>
      </c>
      <c r="EO199" s="1" t="s">
        <v>234</v>
      </c>
      <c r="ER199" s="1" t="s">
        <v>1249</v>
      </c>
      <c r="EW199" s="1" t="s">
        <v>210</v>
      </c>
      <c r="EZ199" s="1" t="s">
        <v>287</v>
      </c>
      <c r="FD199" s="1" t="s">
        <v>246</v>
      </c>
      <c r="FE199" s="1" t="s">
        <v>472</v>
      </c>
      <c r="FF199" s="1" t="s">
        <v>248</v>
      </c>
      <c r="FH199" s="1" t="s">
        <v>442</v>
      </c>
      <c r="FL199" s="1" t="s">
        <v>414</v>
      </c>
      <c r="FM199" s="1" t="s">
        <v>252</v>
      </c>
      <c r="FN199" s="1" t="s">
        <v>213</v>
      </c>
      <c r="FO199" s="1" t="s">
        <v>213</v>
      </c>
      <c r="FQ199" s="1" t="s">
        <v>3390</v>
      </c>
      <c r="FR199" s="1" t="s">
        <v>210</v>
      </c>
      <c r="FS199" s="1" t="s">
        <v>3391</v>
      </c>
      <c r="FT199" s="1" t="s">
        <v>3392</v>
      </c>
      <c r="FU199" s="1" t="s">
        <v>204</v>
      </c>
      <c r="FW199" s="1" t="s">
        <v>3393</v>
      </c>
      <c r="FX199" s="1">
        <v>93083</v>
      </c>
      <c r="FY199" s="1" t="s">
        <v>3394</v>
      </c>
      <c r="FZ199" s="1" t="s">
        <v>3395</v>
      </c>
      <c r="GA199" s="1">
        <v>930215</v>
      </c>
      <c r="GC199" s="1">
        <v>930217</v>
      </c>
      <c r="GD199" s="1">
        <v>930217</v>
      </c>
      <c r="GE199" s="1" t="s">
        <v>210</v>
      </c>
      <c r="GI199" s="1" t="s">
        <v>213</v>
      </c>
      <c r="GJ199" s="1" t="s">
        <v>260</v>
      </c>
      <c r="GK199" s="1" t="s">
        <v>210</v>
      </c>
      <c r="GL199" s="2">
        <v>42020</v>
      </c>
      <c r="GM199" s="1" t="s">
        <v>3396</v>
      </c>
    </row>
    <row r="200" spans="1:195">
      <c r="A200" s="1">
        <v>107000</v>
      </c>
      <c r="B200" s="1" t="s">
        <v>195</v>
      </c>
      <c r="C200" s="1" t="str">
        <f>"08767693"</f>
        <v>08767693</v>
      </c>
      <c r="D200" s="1" t="s">
        <v>196</v>
      </c>
      <c r="F200" s="1" t="str">
        <f>"543"</f>
        <v>543</v>
      </c>
      <c r="G200" s="2">
        <v>41946</v>
      </c>
      <c r="H200" s="1">
        <v>105000</v>
      </c>
      <c r="I200" s="1">
        <v>105000</v>
      </c>
      <c r="J200" s="1">
        <v>107000</v>
      </c>
      <c r="K200" s="2">
        <v>41946</v>
      </c>
      <c r="L200" s="1">
        <v>159</v>
      </c>
      <c r="M200" s="2">
        <v>42012</v>
      </c>
      <c r="N200" s="1">
        <v>67</v>
      </c>
      <c r="O200" s="2">
        <v>42012</v>
      </c>
      <c r="P200" s="1">
        <v>31580</v>
      </c>
      <c r="Q200" s="1" t="s">
        <v>423</v>
      </c>
      <c r="R200" s="2">
        <v>42128</v>
      </c>
      <c r="S200" s="1">
        <v>313839</v>
      </c>
      <c r="T200" s="1">
        <v>1000</v>
      </c>
      <c r="U200" s="1">
        <v>205</v>
      </c>
      <c r="V200" s="1" t="s">
        <v>3397</v>
      </c>
      <c r="W200" s="1" t="s">
        <v>304</v>
      </c>
      <c r="Y200" s="1">
        <v>4</v>
      </c>
      <c r="Z200" s="1" t="s">
        <v>370</v>
      </c>
      <c r="AA200" s="1" t="s">
        <v>2639</v>
      </c>
      <c r="AB200" s="1">
        <v>60543</v>
      </c>
      <c r="AD200" s="1" t="s">
        <v>3398</v>
      </c>
      <c r="AE200" s="1" t="s">
        <v>3399</v>
      </c>
      <c r="AF200" s="1">
        <v>1996</v>
      </c>
      <c r="AG200" s="1" t="s">
        <v>204</v>
      </c>
      <c r="AH200" s="1" t="s">
        <v>1397</v>
      </c>
      <c r="AI200" s="1" t="s">
        <v>453</v>
      </c>
      <c r="AJ200" s="1" t="s">
        <v>1397</v>
      </c>
      <c r="AK200" s="1" t="s">
        <v>3400</v>
      </c>
      <c r="AL200" s="1">
        <v>5</v>
      </c>
      <c r="AM200" s="1">
        <v>2</v>
      </c>
      <c r="AN200" s="1">
        <v>2</v>
      </c>
      <c r="AO200" s="1">
        <v>1</v>
      </c>
      <c r="AP200" s="1" t="s">
        <v>209</v>
      </c>
      <c r="AR200" s="1" t="s">
        <v>210</v>
      </c>
      <c r="AS200" s="1" t="s">
        <v>204</v>
      </c>
      <c r="AT200" s="1" t="s">
        <v>211</v>
      </c>
      <c r="AU200" s="1">
        <v>1</v>
      </c>
      <c r="AW200" s="1" t="s">
        <v>204</v>
      </c>
      <c r="AX200" s="1" t="s">
        <v>3401</v>
      </c>
      <c r="AZ200" s="1">
        <v>3220</v>
      </c>
      <c r="BA200" s="1">
        <v>2013</v>
      </c>
      <c r="BB200" s="1" t="s">
        <v>405</v>
      </c>
      <c r="BE200" s="1">
        <v>1392</v>
      </c>
      <c r="BF200" s="1">
        <v>1</v>
      </c>
      <c r="BG200" s="1">
        <v>0</v>
      </c>
      <c r="BL200" s="1">
        <v>143</v>
      </c>
      <c r="BM200" s="1" t="s">
        <v>204</v>
      </c>
      <c r="BN200" s="1" t="s">
        <v>213</v>
      </c>
      <c r="BO200" s="1">
        <v>80</v>
      </c>
      <c r="BP200" s="1" t="s">
        <v>204</v>
      </c>
      <c r="BR200" s="1" t="str">
        <f>"0303155025"</f>
        <v>0303155025</v>
      </c>
      <c r="BT200" s="1" t="s">
        <v>3402</v>
      </c>
      <c r="BU200" s="1" t="s">
        <v>3403</v>
      </c>
      <c r="BV200" s="1" t="s">
        <v>3010</v>
      </c>
      <c r="BW200" s="1" t="s">
        <v>1401</v>
      </c>
      <c r="BX200" s="1">
        <v>308</v>
      </c>
      <c r="BY200" s="1">
        <v>308</v>
      </c>
      <c r="BZ200" s="1">
        <v>308</v>
      </c>
      <c r="CB200" s="1" t="str">
        <f t="shared" ref="CB200:CC200" si="161">"0"</f>
        <v>0</v>
      </c>
      <c r="CC200" s="1" t="str">
        <f t="shared" si="161"/>
        <v>0</v>
      </c>
      <c r="CD200" s="1">
        <v>35</v>
      </c>
      <c r="CE200" s="1">
        <v>10</v>
      </c>
      <c r="CG200" s="1" t="s">
        <v>2992</v>
      </c>
      <c r="CH200" s="1" t="s">
        <v>219</v>
      </c>
      <c r="CI200" s="1" t="s">
        <v>220</v>
      </c>
      <c r="CK200" s="1" t="s">
        <v>221</v>
      </c>
      <c r="CL200" s="1" t="s">
        <v>277</v>
      </c>
      <c r="CM200" s="1" t="s">
        <v>220</v>
      </c>
      <c r="CO200" s="1" t="s">
        <v>629</v>
      </c>
      <c r="CP200" s="1" t="s">
        <v>219</v>
      </c>
      <c r="CS200" s="1" t="s">
        <v>465</v>
      </c>
      <c r="CT200" s="1" t="s">
        <v>277</v>
      </c>
      <c r="CU200" s="1" t="s">
        <v>220</v>
      </c>
      <c r="CX200" s="1" t="s">
        <v>224</v>
      </c>
      <c r="DB200" s="1" t="s">
        <v>224</v>
      </c>
      <c r="DE200" s="1" t="s">
        <v>837</v>
      </c>
      <c r="DF200" s="1" t="s">
        <v>219</v>
      </c>
      <c r="DG200" s="1" t="s">
        <v>342</v>
      </c>
      <c r="DJ200" s="1" t="s">
        <v>224</v>
      </c>
      <c r="DS200" s="1" t="s">
        <v>230</v>
      </c>
      <c r="DW200" s="1" t="s">
        <v>230</v>
      </c>
      <c r="EA200" s="1" t="s">
        <v>230</v>
      </c>
      <c r="EE200" s="1" t="s">
        <v>230</v>
      </c>
      <c r="EI200" s="1" t="s">
        <v>230</v>
      </c>
      <c r="EL200" s="1" t="s">
        <v>670</v>
      </c>
      <c r="EM200" s="1" t="s">
        <v>319</v>
      </c>
      <c r="EN200" s="1" t="s">
        <v>282</v>
      </c>
      <c r="EO200" s="1" t="s">
        <v>234</v>
      </c>
      <c r="EP200" s="1" t="s">
        <v>650</v>
      </c>
      <c r="EQ200" s="1" t="s">
        <v>1094</v>
      </c>
      <c r="ER200" s="1" t="s">
        <v>210</v>
      </c>
      <c r="ES200" s="1" t="s">
        <v>493</v>
      </c>
      <c r="EV200" s="1" t="s">
        <v>240</v>
      </c>
      <c r="EW200" s="1" t="s">
        <v>3404</v>
      </c>
      <c r="EY200" s="1" t="s">
        <v>242</v>
      </c>
      <c r="EZ200" s="1" t="s">
        <v>287</v>
      </c>
      <c r="FA200" s="1" t="s">
        <v>1072</v>
      </c>
      <c r="FD200" s="1" t="s">
        <v>246</v>
      </c>
      <c r="FE200" s="1" t="s">
        <v>472</v>
      </c>
      <c r="FF200" s="1" t="s">
        <v>248</v>
      </c>
      <c r="FH200" s="1" t="s">
        <v>550</v>
      </c>
      <c r="FI200" s="1" t="s">
        <v>473</v>
      </c>
      <c r="FL200" s="1" t="s">
        <v>358</v>
      </c>
      <c r="FM200" s="1" t="s">
        <v>252</v>
      </c>
      <c r="FN200" s="1" t="s">
        <v>213</v>
      </c>
      <c r="FO200" s="1" t="s">
        <v>213</v>
      </c>
      <c r="FQ200" s="1" t="s">
        <v>3405</v>
      </c>
      <c r="FR200" s="1" t="s">
        <v>360</v>
      </c>
      <c r="FS200" s="1" t="s">
        <v>3406</v>
      </c>
      <c r="FT200" s="1" t="s">
        <v>295</v>
      </c>
      <c r="FU200" s="1" t="s">
        <v>204</v>
      </c>
      <c r="FW200" s="1" t="s">
        <v>3407</v>
      </c>
      <c r="FX200" s="1">
        <v>20131</v>
      </c>
      <c r="FY200" s="1" t="s">
        <v>3408</v>
      </c>
      <c r="FZ200" s="1" t="s">
        <v>3409</v>
      </c>
      <c r="GA200" s="1">
        <v>230701</v>
      </c>
      <c r="GB200" s="1" t="s">
        <v>3410</v>
      </c>
      <c r="GE200" s="1" t="s">
        <v>480</v>
      </c>
      <c r="GI200" s="1" t="s">
        <v>213</v>
      </c>
      <c r="GJ200" s="1" t="s">
        <v>260</v>
      </c>
      <c r="GK200" s="1" t="s">
        <v>210</v>
      </c>
      <c r="GL200" s="2">
        <v>42129</v>
      </c>
      <c r="GM200" s="1" t="s">
        <v>3411</v>
      </c>
    </row>
    <row r="201" spans="1:195">
      <c r="A201" s="1">
        <v>101000</v>
      </c>
      <c r="B201" s="1" t="s">
        <v>195</v>
      </c>
      <c r="C201" s="1" t="str">
        <f>"08768678"</f>
        <v>08768678</v>
      </c>
      <c r="D201" s="1" t="s">
        <v>196</v>
      </c>
      <c r="F201" s="1" t="str">
        <f>"174"</f>
        <v>174</v>
      </c>
      <c r="G201" s="2">
        <v>41947</v>
      </c>
      <c r="H201" s="1">
        <v>119900</v>
      </c>
      <c r="I201" s="1">
        <v>104900</v>
      </c>
      <c r="J201" s="1">
        <v>101000</v>
      </c>
      <c r="K201" s="2">
        <v>41947</v>
      </c>
      <c r="L201" s="1">
        <v>28</v>
      </c>
      <c r="M201" s="2">
        <v>41974</v>
      </c>
      <c r="N201" s="1">
        <v>28</v>
      </c>
      <c r="O201" s="2">
        <v>41974</v>
      </c>
      <c r="P201" s="1">
        <v>771</v>
      </c>
      <c r="Q201" s="1" t="s">
        <v>197</v>
      </c>
      <c r="R201" s="2">
        <v>42013</v>
      </c>
      <c r="S201" s="1">
        <v>8612</v>
      </c>
      <c r="T201" s="1">
        <v>3000</v>
      </c>
      <c r="U201" s="1" t="s">
        <v>3412</v>
      </c>
      <c r="V201" s="1" t="s">
        <v>878</v>
      </c>
      <c r="W201" s="1" t="s">
        <v>264</v>
      </c>
      <c r="X201" s="1" t="s">
        <v>483</v>
      </c>
      <c r="Y201" s="1">
        <v>4</v>
      </c>
      <c r="Z201" s="1" t="s">
        <v>249</v>
      </c>
      <c r="AA201" s="1" t="s">
        <v>879</v>
      </c>
      <c r="AB201" s="1">
        <v>60174</v>
      </c>
      <c r="AE201" s="1" t="s">
        <v>3413</v>
      </c>
      <c r="AF201" s="1">
        <v>1979</v>
      </c>
      <c r="AG201" s="1" t="s">
        <v>204</v>
      </c>
      <c r="AH201" s="1" t="s">
        <v>883</v>
      </c>
      <c r="AI201" s="1" t="s">
        <v>665</v>
      </c>
      <c r="AJ201" s="1" t="s">
        <v>883</v>
      </c>
      <c r="AL201" s="1">
        <v>5</v>
      </c>
      <c r="AM201" s="1">
        <v>2</v>
      </c>
      <c r="AN201" s="1">
        <v>1</v>
      </c>
      <c r="AO201" s="1">
        <v>0</v>
      </c>
      <c r="AP201" s="1" t="s">
        <v>210</v>
      </c>
      <c r="AR201" s="1" t="s">
        <v>210</v>
      </c>
      <c r="AS201" s="1" t="s">
        <v>204</v>
      </c>
      <c r="AT201" s="1" t="s">
        <v>211</v>
      </c>
      <c r="AU201" s="1">
        <v>1</v>
      </c>
      <c r="AW201" s="1" t="s">
        <v>204</v>
      </c>
      <c r="AX201" s="1" t="s">
        <v>212</v>
      </c>
      <c r="AZ201" s="1">
        <v>1445</v>
      </c>
      <c r="BA201" s="1">
        <v>2013</v>
      </c>
      <c r="BB201" s="1" t="s">
        <v>210</v>
      </c>
      <c r="BE201" s="1">
        <v>1100</v>
      </c>
      <c r="BF201" s="1">
        <v>2</v>
      </c>
      <c r="BG201" s="1">
        <v>30</v>
      </c>
      <c r="BL201" s="1">
        <v>100</v>
      </c>
      <c r="BM201" s="1" t="s">
        <v>204</v>
      </c>
      <c r="BN201" s="1" t="s">
        <v>213</v>
      </c>
      <c r="BO201" s="1">
        <v>0</v>
      </c>
      <c r="BP201" s="1" t="s">
        <v>204</v>
      </c>
      <c r="BR201" s="1" t="str">
        <f>"0911356032"</f>
        <v>0911356032</v>
      </c>
      <c r="BT201" s="1" t="s">
        <v>3414</v>
      </c>
      <c r="BX201" s="1">
        <v>303</v>
      </c>
      <c r="BY201" s="1">
        <v>303</v>
      </c>
      <c r="BZ201" s="1">
        <v>303</v>
      </c>
      <c r="CB201" s="1" t="str">
        <f t="shared" ref="CB201:CC201" si="162">""</f>
        <v/>
      </c>
      <c r="CC201" s="1" t="str">
        <f t="shared" si="162"/>
        <v/>
      </c>
      <c r="CG201" s="1" t="s">
        <v>1737</v>
      </c>
      <c r="CH201" s="1" t="s">
        <v>277</v>
      </c>
      <c r="CI201" s="1" t="s">
        <v>229</v>
      </c>
      <c r="CK201" s="1" t="s">
        <v>461</v>
      </c>
      <c r="CL201" s="1" t="s">
        <v>277</v>
      </c>
      <c r="CM201" s="1" t="s">
        <v>220</v>
      </c>
      <c r="CO201" s="1" t="s">
        <v>379</v>
      </c>
      <c r="CP201" s="1" t="s">
        <v>277</v>
      </c>
      <c r="CQ201" s="1" t="s">
        <v>229</v>
      </c>
      <c r="CS201" s="1" t="s">
        <v>379</v>
      </c>
      <c r="CT201" s="1" t="s">
        <v>277</v>
      </c>
      <c r="CU201" s="1" t="s">
        <v>220</v>
      </c>
      <c r="CX201" s="1" t="s">
        <v>224</v>
      </c>
      <c r="DB201" s="1" t="s">
        <v>224</v>
      </c>
      <c r="DE201" s="1" t="s">
        <v>348</v>
      </c>
      <c r="DF201" s="1" t="s">
        <v>277</v>
      </c>
      <c r="DG201" s="1" t="s">
        <v>229</v>
      </c>
      <c r="DJ201" s="1" t="s">
        <v>224</v>
      </c>
      <c r="DS201" s="1" t="s">
        <v>230</v>
      </c>
      <c r="DW201" s="1" t="s">
        <v>230</v>
      </c>
      <c r="EA201" s="1" t="s">
        <v>230</v>
      </c>
      <c r="EE201" s="1" t="s">
        <v>230</v>
      </c>
      <c r="EI201" s="1" t="s">
        <v>230</v>
      </c>
      <c r="EL201" s="1" t="s">
        <v>231</v>
      </c>
      <c r="EM201" s="1" t="s">
        <v>319</v>
      </c>
      <c r="EN201" s="1" t="s">
        <v>282</v>
      </c>
      <c r="EO201" s="1" t="s">
        <v>234</v>
      </c>
      <c r="EQ201" s="1" t="s">
        <v>1551</v>
      </c>
      <c r="ER201" s="1" t="s">
        <v>210</v>
      </c>
      <c r="EV201" s="1" t="s">
        <v>324</v>
      </c>
      <c r="EW201" s="1" t="s">
        <v>1471</v>
      </c>
      <c r="EZ201" s="1" t="s">
        <v>287</v>
      </c>
      <c r="FB201" s="1" t="s">
        <v>244</v>
      </c>
      <c r="FD201" s="1" t="s">
        <v>888</v>
      </c>
      <c r="FE201" s="1" t="s">
        <v>889</v>
      </c>
      <c r="FF201" s="1" t="s">
        <v>248</v>
      </c>
      <c r="FH201" s="1" t="s">
        <v>249</v>
      </c>
      <c r="FL201" s="1" t="s">
        <v>810</v>
      </c>
      <c r="FM201" s="1" t="s">
        <v>252</v>
      </c>
      <c r="FN201" s="1" t="s">
        <v>213</v>
      </c>
      <c r="FO201" s="1" t="s">
        <v>213</v>
      </c>
      <c r="FQ201" s="1" t="s">
        <v>3415</v>
      </c>
      <c r="FR201" s="1" t="s">
        <v>210</v>
      </c>
      <c r="FS201" s="1" t="s">
        <v>1429</v>
      </c>
      <c r="FT201" s="1" t="s">
        <v>295</v>
      </c>
      <c r="FU201" s="1" t="s">
        <v>204</v>
      </c>
      <c r="FW201" s="1" t="s">
        <v>3416</v>
      </c>
      <c r="FX201" s="1">
        <v>8815</v>
      </c>
      <c r="FY201" s="1" t="s">
        <v>3417</v>
      </c>
      <c r="FZ201" s="1" t="s">
        <v>3418</v>
      </c>
      <c r="GA201" s="1">
        <v>85906</v>
      </c>
      <c r="GB201" s="1" t="s">
        <v>3419</v>
      </c>
      <c r="GE201" s="1" t="s">
        <v>210</v>
      </c>
      <c r="GI201" s="1" t="s">
        <v>213</v>
      </c>
      <c r="GJ201" s="1" t="s">
        <v>260</v>
      </c>
      <c r="GK201" s="1" t="s">
        <v>210</v>
      </c>
      <c r="GL201" s="2">
        <v>42016</v>
      </c>
      <c r="GM201" s="1" t="s">
        <v>3420</v>
      </c>
    </row>
    <row r="202" spans="1:195">
      <c r="A202" s="1">
        <v>67600</v>
      </c>
      <c r="B202" s="1" t="s">
        <v>195</v>
      </c>
      <c r="C202" s="1" t="str">
        <f>"08767788"</f>
        <v>08767788</v>
      </c>
      <c r="D202" s="1" t="s">
        <v>196</v>
      </c>
      <c r="F202" s="1" t="str">
        <f>"148"</f>
        <v>148</v>
      </c>
      <c r="G202" s="2">
        <v>41946</v>
      </c>
      <c r="H202" s="1">
        <v>79900</v>
      </c>
      <c r="I202" s="1">
        <v>74900</v>
      </c>
      <c r="J202" s="1">
        <v>67600</v>
      </c>
      <c r="K202" s="2">
        <v>41946</v>
      </c>
      <c r="L202" s="1">
        <v>87</v>
      </c>
      <c r="M202" s="2">
        <v>42032</v>
      </c>
      <c r="N202" s="1">
        <v>87</v>
      </c>
      <c r="O202" s="2">
        <v>42032</v>
      </c>
      <c r="P202" s="1">
        <v>22005</v>
      </c>
      <c r="Q202" s="1" t="s">
        <v>197</v>
      </c>
      <c r="R202" s="2">
        <v>42058</v>
      </c>
      <c r="S202" s="1">
        <v>219044</v>
      </c>
      <c r="U202" s="1">
        <v>212</v>
      </c>
      <c r="V202" s="1" t="s">
        <v>3421</v>
      </c>
      <c r="W202" s="1" t="s">
        <v>264</v>
      </c>
      <c r="X202" s="1">
        <v>213</v>
      </c>
      <c r="Y202" s="1">
        <v>23</v>
      </c>
      <c r="Z202" s="1" t="s">
        <v>249</v>
      </c>
      <c r="AA202" s="1" t="s">
        <v>1927</v>
      </c>
      <c r="AB202" s="1">
        <v>60148</v>
      </c>
      <c r="AD202" s="1" t="s">
        <v>3422</v>
      </c>
      <c r="AE202" s="1" t="s">
        <v>3423</v>
      </c>
      <c r="AF202" s="1">
        <v>1972</v>
      </c>
      <c r="AG202" s="1" t="s">
        <v>213</v>
      </c>
      <c r="AH202" s="1" t="s">
        <v>1930</v>
      </c>
      <c r="AI202" s="1" t="s">
        <v>206</v>
      </c>
      <c r="AJ202" s="1" t="s">
        <v>1608</v>
      </c>
      <c r="AL202" s="1">
        <v>5</v>
      </c>
      <c r="AM202" s="1">
        <v>2</v>
      </c>
      <c r="AN202" s="1">
        <v>1</v>
      </c>
      <c r="AO202" s="1">
        <v>1</v>
      </c>
      <c r="AP202" s="1" t="s">
        <v>1234</v>
      </c>
      <c r="AR202" s="1" t="s">
        <v>210</v>
      </c>
      <c r="AS202" s="1" t="s">
        <v>204</v>
      </c>
      <c r="AT202" s="1" t="s">
        <v>210</v>
      </c>
      <c r="AW202" s="1" t="s">
        <v>204</v>
      </c>
      <c r="AX202" s="1" t="s">
        <v>212</v>
      </c>
      <c r="AZ202" s="1">
        <v>1508</v>
      </c>
      <c r="BA202" s="1">
        <v>2013</v>
      </c>
      <c r="BE202" s="1">
        <v>1096</v>
      </c>
      <c r="BF202" s="1">
        <v>2</v>
      </c>
      <c r="BG202" s="1">
        <v>0</v>
      </c>
      <c r="BL202" s="1">
        <v>364</v>
      </c>
      <c r="BM202" s="1" t="s">
        <v>413</v>
      </c>
      <c r="BN202" s="1" t="s">
        <v>213</v>
      </c>
      <c r="BO202" s="1">
        <v>25</v>
      </c>
      <c r="BP202" s="1" t="s">
        <v>204</v>
      </c>
      <c r="BR202" s="1" t="str">
        <f>"0619203128"</f>
        <v>0619203128</v>
      </c>
      <c r="BT202" s="1" t="s">
        <v>3424</v>
      </c>
      <c r="BX202" s="1">
        <v>44</v>
      </c>
      <c r="BY202" s="1">
        <v>44</v>
      </c>
      <c r="BZ202" s="1">
        <v>87</v>
      </c>
      <c r="CB202" s="1" t="str">
        <f t="shared" ref="CB202:CB205" si="163">""</f>
        <v/>
      </c>
      <c r="CC202" s="1" t="str">
        <f>"20"</f>
        <v>20</v>
      </c>
      <c r="CE202" s="1">
        <v>1</v>
      </c>
      <c r="CG202" s="1" t="s">
        <v>3425</v>
      </c>
      <c r="CH202" s="1" t="s">
        <v>277</v>
      </c>
      <c r="CI202" s="1" t="s">
        <v>220</v>
      </c>
      <c r="CK202" s="1" t="s">
        <v>757</v>
      </c>
      <c r="CL202" s="1" t="s">
        <v>277</v>
      </c>
      <c r="CM202" s="1" t="s">
        <v>220</v>
      </c>
      <c r="CO202" s="1" t="s">
        <v>1571</v>
      </c>
      <c r="CP202" s="1" t="s">
        <v>277</v>
      </c>
      <c r="CQ202" s="1" t="s">
        <v>220</v>
      </c>
      <c r="CS202" s="1" t="s">
        <v>409</v>
      </c>
      <c r="CT202" s="1" t="s">
        <v>277</v>
      </c>
      <c r="CX202" s="1" t="s">
        <v>224</v>
      </c>
      <c r="DB202" s="1" t="s">
        <v>224</v>
      </c>
      <c r="DE202" s="1" t="s">
        <v>837</v>
      </c>
      <c r="DF202" s="1" t="s">
        <v>277</v>
      </c>
      <c r="DJ202" s="1" t="s">
        <v>224</v>
      </c>
      <c r="DS202" s="1" t="s">
        <v>230</v>
      </c>
      <c r="DW202" s="1" t="s">
        <v>230</v>
      </c>
      <c r="EA202" s="1" t="s">
        <v>230</v>
      </c>
      <c r="EE202" s="1" t="s">
        <v>230</v>
      </c>
      <c r="EI202" s="1" t="s">
        <v>230</v>
      </c>
      <c r="EL202" s="1" t="s">
        <v>605</v>
      </c>
      <c r="EM202" s="1" t="s">
        <v>319</v>
      </c>
      <c r="EN202" s="1" t="s">
        <v>1158</v>
      </c>
      <c r="EO202" s="1" t="s">
        <v>234</v>
      </c>
      <c r="ER202" s="1" t="s">
        <v>210</v>
      </c>
      <c r="EW202" s="1" t="s">
        <v>2344</v>
      </c>
      <c r="EZ202" s="1" t="s">
        <v>287</v>
      </c>
      <c r="FD202" s="1" t="s">
        <v>385</v>
      </c>
      <c r="FE202" s="1" t="s">
        <v>247</v>
      </c>
      <c r="FF202" s="1" t="s">
        <v>248</v>
      </c>
      <c r="FH202" s="1" t="s">
        <v>249</v>
      </c>
      <c r="FL202" s="1" t="s">
        <v>328</v>
      </c>
      <c r="FM202" s="1" t="s">
        <v>252</v>
      </c>
      <c r="FN202" s="1" t="s">
        <v>213</v>
      </c>
      <c r="FO202" s="1" t="s">
        <v>213</v>
      </c>
      <c r="FQ202" s="1" t="s">
        <v>673</v>
      </c>
      <c r="FR202" s="1" t="s">
        <v>210</v>
      </c>
      <c r="FS202" s="1" t="s">
        <v>3426</v>
      </c>
      <c r="FT202" s="1" t="s">
        <v>3427</v>
      </c>
      <c r="FU202" s="1" t="s">
        <v>204</v>
      </c>
      <c r="FW202" s="1" t="s">
        <v>3428</v>
      </c>
      <c r="FX202" s="1">
        <v>14750</v>
      </c>
      <c r="FY202" s="1" t="s">
        <v>3429</v>
      </c>
      <c r="FZ202" s="1" t="s">
        <v>3430</v>
      </c>
      <c r="GA202" s="1">
        <v>122383</v>
      </c>
      <c r="GC202" s="1">
        <v>167985</v>
      </c>
      <c r="GE202" s="1" t="s">
        <v>210</v>
      </c>
      <c r="GI202" s="1" t="s">
        <v>213</v>
      </c>
      <c r="GJ202" s="1" t="s">
        <v>260</v>
      </c>
      <c r="GK202" s="1" t="s">
        <v>210</v>
      </c>
      <c r="GL202" s="2">
        <v>42058</v>
      </c>
      <c r="GM202" s="1" t="s">
        <v>3431</v>
      </c>
    </row>
    <row r="203" spans="1:195">
      <c r="A203" s="1">
        <v>54000</v>
      </c>
      <c r="B203" s="1" t="s">
        <v>195</v>
      </c>
      <c r="C203" s="1" t="str">
        <f>"08773711"</f>
        <v>08773711</v>
      </c>
      <c r="D203" s="1" t="s">
        <v>196</v>
      </c>
      <c r="F203" s="1" t="str">
        <f t="shared" ref="F203:F204" si="164">"188"</f>
        <v>188</v>
      </c>
      <c r="G203" s="2">
        <v>41954</v>
      </c>
      <c r="H203" s="1">
        <v>57900</v>
      </c>
      <c r="I203" s="1">
        <v>57900</v>
      </c>
      <c r="J203" s="1">
        <v>54000</v>
      </c>
      <c r="K203" s="2">
        <v>41954</v>
      </c>
      <c r="L203" s="1">
        <v>10</v>
      </c>
      <c r="M203" s="2">
        <v>41963</v>
      </c>
      <c r="N203" s="1">
        <v>10</v>
      </c>
      <c r="O203" s="2">
        <v>41963</v>
      </c>
      <c r="P203" s="1">
        <v>25005</v>
      </c>
      <c r="Q203" s="1" t="s">
        <v>302</v>
      </c>
      <c r="R203" s="2">
        <v>41991</v>
      </c>
      <c r="S203" s="1">
        <v>236644</v>
      </c>
      <c r="U203" s="1">
        <v>242</v>
      </c>
      <c r="V203" s="1" t="s">
        <v>1498</v>
      </c>
      <c r="W203" s="1" t="s">
        <v>304</v>
      </c>
      <c r="X203" s="1" t="s">
        <v>369</v>
      </c>
      <c r="Y203" s="1">
        <v>16</v>
      </c>
      <c r="Z203" s="1" t="s">
        <v>370</v>
      </c>
      <c r="AA203" s="1" t="s">
        <v>1084</v>
      </c>
      <c r="AB203" s="1">
        <v>60188</v>
      </c>
      <c r="AE203" s="1" t="s">
        <v>3432</v>
      </c>
      <c r="AF203" s="1">
        <v>1980</v>
      </c>
      <c r="AG203" s="1" t="s">
        <v>204</v>
      </c>
      <c r="AH203" s="1" t="s">
        <v>1087</v>
      </c>
      <c r="AI203" s="1" t="s">
        <v>206</v>
      </c>
      <c r="AJ203" s="1" t="s">
        <v>269</v>
      </c>
      <c r="AL203" s="1">
        <v>4</v>
      </c>
      <c r="AM203" s="1">
        <v>2</v>
      </c>
      <c r="AN203" s="1">
        <v>1</v>
      </c>
      <c r="AO203" s="1">
        <v>1</v>
      </c>
      <c r="AP203" s="1" t="s">
        <v>209</v>
      </c>
      <c r="AR203" s="1" t="s">
        <v>210</v>
      </c>
      <c r="AS203" s="1" t="s">
        <v>204</v>
      </c>
      <c r="AT203" s="1" t="s">
        <v>271</v>
      </c>
      <c r="AV203" s="1">
        <v>1</v>
      </c>
      <c r="AW203" s="1" t="s">
        <v>204</v>
      </c>
      <c r="AX203" s="1" t="s">
        <v>212</v>
      </c>
      <c r="AZ203" s="1">
        <v>1800.88</v>
      </c>
      <c r="BA203" s="1">
        <v>2013</v>
      </c>
      <c r="BE203" s="1">
        <v>845</v>
      </c>
      <c r="BF203" s="1">
        <v>2</v>
      </c>
      <c r="BG203" s="1">
        <v>0</v>
      </c>
      <c r="BL203" s="1">
        <v>340</v>
      </c>
      <c r="BM203" s="1" t="s">
        <v>204</v>
      </c>
      <c r="BN203" s="1" t="s">
        <v>213</v>
      </c>
      <c r="BO203" s="1">
        <v>999</v>
      </c>
      <c r="BP203" s="1" t="s">
        <v>204</v>
      </c>
      <c r="BR203" s="1" t="str">
        <f>"0229117084"</f>
        <v>0229117084</v>
      </c>
      <c r="BT203" s="1" t="s">
        <v>3433</v>
      </c>
      <c r="BX203" s="1">
        <v>93</v>
      </c>
      <c r="BY203" s="1">
        <v>93</v>
      </c>
      <c r="BZ203" s="1">
        <v>87</v>
      </c>
      <c r="CB203" s="1" t="str">
        <f t="shared" si="163"/>
        <v/>
      </c>
      <c r="CC203" s="1" t="str">
        <f t="shared" ref="CC203:CC205" si="165">""</f>
        <v/>
      </c>
      <c r="CG203" s="1" t="s">
        <v>314</v>
      </c>
      <c r="CH203" s="1" t="s">
        <v>219</v>
      </c>
      <c r="CK203" s="1" t="s">
        <v>346</v>
      </c>
      <c r="CL203" s="1" t="s">
        <v>219</v>
      </c>
      <c r="CP203" s="1" t="s">
        <v>224</v>
      </c>
      <c r="CS203" s="1" t="s">
        <v>317</v>
      </c>
      <c r="CT203" s="1" t="s">
        <v>219</v>
      </c>
      <c r="CX203" s="1" t="s">
        <v>224</v>
      </c>
      <c r="DB203" s="1" t="s">
        <v>224</v>
      </c>
      <c r="DE203" s="1" t="s">
        <v>318</v>
      </c>
      <c r="DF203" s="1" t="s">
        <v>219</v>
      </c>
      <c r="DJ203" s="1" t="s">
        <v>224</v>
      </c>
      <c r="DS203" s="1" t="s">
        <v>230</v>
      </c>
      <c r="DW203" s="1" t="s">
        <v>230</v>
      </c>
      <c r="EA203" s="1" t="s">
        <v>230</v>
      </c>
      <c r="EE203" s="1" t="s">
        <v>230</v>
      </c>
      <c r="EI203" s="1" t="s">
        <v>230</v>
      </c>
      <c r="EL203" s="1" t="s">
        <v>231</v>
      </c>
      <c r="EM203" s="1" t="s">
        <v>319</v>
      </c>
      <c r="EN203" s="1" t="s">
        <v>282</v>
      </c>
      <c r="EO203" s="1" t="s">
        <v>234</v>
      </c>
      <c r="ER203" s="1" t="s">
        <v>210</v>
      </c>
      <c r="EW203" s="1" t="s">
        <v>3434</v>
      </c>
      <c r="EZ203" s="1" t="s">
        <v>287</v>
      </c>
      <c r="FD203" s="1" t="s">
        <v>246</v>
      </c>
      <c r="FE203" s="1" t="s">
        <v>247</v>
      </c>
      <c r="FF203" s="1" t="s">
        <v>248</v>
      </c>
      <c r="FH203" s="1" t="s">
        <v>249</v>
      </c>
      <c r="FL203" s="1" t="s">
        <v>358</v>
      </c>
      <c r="FM203" s="1" t="s">
        <v>252</v>
      </c>
      <c r="FN203" s="1" t="s">
        <v>213</v>
      </c>
      <c r="FO203" s="1" t="s">
        <v>213</v>
      </c>
      <c r="FQ203" s="1" t="s">
        <v>582</v>
      </c>
      <c r="FR203" s="1" t="s">
        <v>210</v>
      </c>
      <c r="FS203" s="1" t="s">
        <v>2576</v>
      </c>
      <c r="FT203" s="1" t="s">
        <v>584</v>
      </c>
      <c r="FU203" s="1" t="s">
        <v>204</v>
      </c>
      <c r="FW203" s="1" t="s">
        <v>2577</v>
      </c>
      <c r="FX203" s="1">
        <v>31982</v>
      </c>
      <c r="FY203" s="1" t="s">
        <v>2578</v>
      </c>
      <c r="FZ203" s="1" t="s">
        <v>2579</v>
      </c>
      <c r="GA203" s="1">
        <v>319888</v>
      </c>
      <c r="GB203" s="1" t="s">
        <v>2580</v>
      </c>
      <c r="GE203" s="1" t="s">
        <v>210</v>
      </c>
      <c r="GI203" s="1" t="s">
        <v>204</v>
      </c>
      <c r="GJ203" s="1" t="s">
        <v>260</v>
      </c>
      <c r="GK203" s="1" t="s">
        <v>210</v>
      </c>
      <c r="GL203" s="2">
        <v>41991</v>
      </c>
      <c r="GM203" s="1" t="s">
        <v>2581</v>
      </c>
    </row>
    <row r="204" spans="1:195">
      <c r="A204" s="1">
        <v>90000</v>
      </c>
      <c r="B204" s="1" t="s">
        <v>195</v>
      </c>
      <c r="C204" s="1" t="str">
        <f>"08769924"</f>
        <v>08769924</v>
      </c>
      <c r="D204" s="1" t="s">
        <v>196</v>
      </c>
      <c r="F204" s="1" t="str">
        <f t="shared" si="164"/>
        <v>188</v>
      </c>
      <c r="G204" s="2">
        <v>41949</v>
      </c>
      <c r="H204" s="1">
        <v>107000</v>
      </c>
      <c r="I204" s="1">
        <v>107000</v>
      </c>
      <c r="J204" s="1">
        <v>90000</v>
      </c>
      <c r="K204" s="2">
        <v>41948</v>
      </c>
      <c r="L204" s="1">
        <v>120</v>
      </c>
      <c r="M204" s="2">
        <v>42067</v>
      </c>
      <c r="N204" s="1">
        <v>120</v>
      </c>
      <c r="O204" s="2">
        <v>42067</v>
      </c>
      <c r="P204" s="1">
        <v>23099</v>
      </c>
      <c r="Q204" s="1" t="s">
        <v>302</v>
      </c>
      <c r="R204" s="2">
        <v>42114</v>
      </c>
      <c r="S204" s="1">
        <v>237202</v>
      </c>
      <c r="U204" s="1">
        <v>1379</v>
      </c>
      <c r="V204" s="1" t="s">
        <v>3435</v>
      </c>
      <c r="W204" s="1" t="s">
        <v>449</v>
      </c>
      <c r="X204" s="1">
        <v>1379</v>
      </c>
      <c r="Y204" s="1">
        <v>4</v>
      </c>
      <c r="Z204" s="1" t="s">
        <v>370</v>
      </c>
      <c r="AA204" s="1" t="s">
        <v>1084</v>
      </c>
      <c r="AB204" s="1">
        <v>60188</v>
      </c>
      <c r="AE204" s="1" t="s">
        <v>3436</v>
      </c>
      <c r="AF204" s="1">
        <v>1989</v>
      </c>
      <c r="AG204" s="1" t="s">
        <v>204</v>
      </c>
      <c r="AH204" s="1" t="s">
        <v>1087</v>
      </c>
      <c r="AI204" s="1" t="s">
        <v>206</v>
      </c>
      <c r="AJ204" s="1" t="s">
        <v>2654</v>
      </c>
      <c r="AL204" s="1">
        <v>5</v>
      </c>
      <c r="AM204" s="1">
        <v>2</v>
      </c>
      <c r="AN204" s="1">
        <v>1</v>
      </c>
      <c r="AO204" s="1">
        <v>0</v>
      </c>
      <c r="AP204" s="1" t="s">
        <v>667</v>
      </c>
      <c r="AR204" s="1" t="s">
        <v>210</v>
      </c>
      <c r="AS204" s="1" t="s">
        <v>204</v>
      </c>
      <c r="AT204" s="1" t="s">
        <v>211</v>
      </c>
      <c r="AU204" s="1">
        <v>1</v>
      </c>
      <c r="AW204" s="1" t="s">
        <v>204</v>
      </c>
      <c r="AX204" s="1" t="s">
        <v>212</v>
      </c>
      <c r="AZ204" s="1">
        <v>3665</v>
      </c>
      <c r="BA204" s="1">
        <v>2013</v>
      </c>
      <c r="BE204" s="1">
        <v>1071</v>
      </c>
      <c r="BF204" s="1">
        <v>2</v>
      </c>
      <c r="BG204" s="1">
        <v>0</v>
      </c>
      <c r="BL204" s="1">
        <v>214</v>
      </c>
      <c r="BM204" s="1" t="s">
        <v>413</v>
      </c>
      <c r="BN204" s="1" t="s">
        <v>213</v>
      </c>
      <c r="BO204" s="1">
        <v>30</v>
      </c>
      <c r="BP204" s="1" t="s">
        <v>204</v>
      </c>
      <c r="BR204" s="1" t="str">
        <f>"0124114040"</f>
        <v>0124114040</v>
      </c>
      <c r="BT204" s="1" t="s">
        <v>3437</v>
      </c>
      <c r="BU204" s="1" t="s">
        <v>3438</v>
      </c>
      <c r="BW204" s="1" t="s">
        <v>1092</v>
      </c>
      <c r="BX204" s="1">
        <v>93</v>
      </c>
      <c r="BY204" s="1">
        <v>93</v>
      </c>
      <c r="BZ204" s="1">
        <v>87</v>
      </c>
      <c r="CB204" s="1" t="str">
        <f t="shared" si="163"/>
        <v/>
      </c>
      <c r="CC204" s="1" t="str">
        <f t="shared" si="165"/>
        <v/>
      </c>
      <c r="CG204" s="1" t="s">
        <v>461</v>
      </c>
      <c r="CH204" s="1" t="s">
        <v>277</v>
      </c>
      <c r="CI204" s="1" t="s">
        <v>229</v>
      </c>
      <c r="CK204" s="1" t="s">
        <v>461</v>
      </c>
      <c r="CL204" s="1" t="s">
        <v>277</v>
      </c>
      <c r="CO204" s="1" t="s">
        <v>281</v>
      </c>
      <c r="CP204" s="1" t="s">
        <v>277</v>
      </c>
      <c r="CQ204" s="1" t="s">
        <v>229</v>
      </c>
      <c r="CS204" s="1" t="s">
        <v>379</v>
      </c>
      <c r="CT204" s="1" t="s">
        <v>277</v>
      </c>
      <c r="CX204" s="1" t="s">
        <v>224</v>
      </c>
      <c r="DB204" s="1" t="s">
        <v>224</v>
      </c>
      <c r="DE204" s="1" t="s">
        <v>348</v>
      </c>
      <c r="DF204" s="1" t="s">
        <v>277</v>
      </c>
      <c r="DJ204" s="1" t="s">
        <v>224</v>
      </c>
      <c r="DS204" s="1" t="s">
        <v>230</v>
      </c>
      <c r="DW204" s="1" t="s">
        <v>230</v>
      </c>
      <c r="EA204" s="1" t="s">
        <v>230</v>
      </c>
      <c r="EE204" s="1" t="s">
        <v>230</v>
      </c>
      <c r="EI204" s="1" t="s">
        <v>230</v>
      </c>
      <c r="EL204" s="1" t="s">
        <v>542</v>
      </c>
      <c r="EM204" s="1" t="s">
        <v>319</v>
      </c>
      <c r="EN204" s="1" t="s">
        <v>282</v>
      </c>
      <c r="EO204" s="1" t="s">
        <v>840</v>
      </c>
      <c r="ER204" s="1" t="s">
        <v>210</v>
      </c>
      <c r="EW204" s="1" t="s">
        <v>353</v>
      </c>
      <c r="EY204" s="1" t="s">
        <v>242</v>
      </c>
      <c r="EZ204" s="1" t="s">
        <v>287</v>
      </c>
      <c r="FD204" s="1" t="s">
        <v>246</v>
      </c>
      <c r="FE204" s="1" t="s">
        <v>355</v>
      </c>
      <c r="FF204" s="1" t="s">
        <v>248</v>
      </c>
      <c r="FH204" s="1" t="s">
        <v>249</v>
      </c>
      <c r="FL204" s="1" t="s">
        <v>358</v>
      </c>
      <c r="FM204" s="1" t="s">
        <v>252</v>
      </c>
      <c r="FN204" s="1" t="s">
        <v>213</v>
      </c>
      <c r="FO204" s="1" t="s">
        <v>213</v>
      </c>
      <c r="FQ204" s="1" t="s">
        <v>3439</v>
      </c>
      <c r="FR204" s="1" t="s">
        <v>210</v>
      </c>
      <c r="FS204" s="1" t="s">
        <v>1429</v>
      </c>
      <c r="FT204" s="1" t="s">
        <v>3440</v>
      </c>
      <c r="FU204" s="1" t="s">
        <v>204</v>
      </c>
      <c r="FW204" s="1" t="s">
        <v>1742</v>
      </c>
      <c r="FX204" s="1">
        <v>25401</v>
      </c>
      <c r="FY204" s="1" t="s">
        <v>1743</v>
      </c>
      <c r="FZ204" s="1" t="s">
        <v>1744</v>
      </c>
      <c r="GA204" s="1">
        <v>231228</v>
      </c>
      <c r="GB204" s="1" t="s">
        <v>1743</v>
      </c>
      <c r="GC204" s="1">
        <v>254108</v>
      </c>
      <c r="GE204" s="1" t="s">
        <v>210</v>
      </c>
      <c r="GI204" s="1" t="s">
        <v>213</v>
      </c>
      <c r="GJ204" s="1" t="s">
        <v>260</v>
      </c>
      <c r="GK204" s="1" t="s">
        <v>210</v>
      </c>
      <c r="GL204" s="2">
        <v>42114</v>
      </c>
      <c r="GM204" s="1" t="s">
        <v>3441</v>
      </c>
    </row>
    <row r="205" spans="1:195">
      <c r="A205" s="1">
        <v>124997</v>
      </c>
      <c r="B205" s="1" t="s">
        <v>195</v>
      </c>
      <c r="C205" s="1" t="str">
        <f>"08772495"</f>
        <v>08772495</v>
      </c>
      <c r="D205" s="1" t="s">
        <v>196</v>
      </c>
      <c r="F205" s="1" t="str">
        <f>"554"</f>
        <v>554</v>
      </c>
      <c r="G205" s="2">
        <v>41953</v>
      </c>
      <c r="H205" s="1">
        <v>134900</v>
      </c>
      <c r="I205" s="1">
        <v>134900</v>
      </c>
      <c r="J205" s="1">
        <v>124997</v>
      </c>
      <c r="K205" s="2">
        <v>41953</v>
      </c>
      <c r="L205" s="1">
        <v>10</v>
      </c>
      <c r="M205" s="2">
        <v>41962</v>
      </c>
      <c r="N205" s="1">
        <v>10</v>
      </c>
      <c r="O205" s="2">
        <v>41962</v>
      </c>
      <c r="P205" s="1">
        <v>41</v>
      </c>
      <c r="Q205" s="1" t="s">
        <v>423</v>
      </c>
      <c r="R205" s="2">
        <v>42013</v>
      </c>
      <c r="S205" s="1">
        <v>79</v>
      </c>
      <c r="T205" s="1">
        <v>3500</v>
      </c>
      <c r="U205" s="1">
        <v>249</v>
      </c>
      <c r="V205" s="1" t="s">
        <v>3442</v>
      </c>
      <c r="W205" s="1" t="s">
        <v>264</v>
      </c>
      <c r="Y205" s="1">
        <v>2</v>
      </c>
      <c r="Z205" s="1" t="s">
        <v>200</v>
      </c>
      <c r="AA205" s="1" t="s">
        <v>3443</v>
      </c>
      <c r="AB205" s="1">
        <v>60554</v>
      </c>
      <c r="AD205" s="1" t="s">
        <v>3444</v>
      </c>
      <c r="AE205" s="1" t="s">
        <v>3445</v>
      </c>
      <c r="AF205" s="1">
        <v>1992</v>
      </c>
      <c r="AG205" s="1" t="s">
        <v>204</v>
      </c>
      <c r="AH205" s="1" t="s">
        <v>3240</v>
      </c>
      <c r="AI205" s="1" t="s">
        <v>665</v>
      </c>
      <c r="AJ205" s="1" t="s">
        <v>3240</v>
      </c>
      <c r="AL205" s="1">
        <v>6</v>
      </c>
      <c r="AM205" s="1">
        <v>2</v>
      </c>
      <c r="AN205" s="1">
        <v>2</v>
      </c>
      <c r="AO205" s="1">
        <v>0</v>
      </c>
      <c r="AP205" s="1" t="s">
        <v>210</v>
      </c>
      <c r="AR205" s="1" t="s">
        <v>1483</v>
      </c>
      <c r="AS205" s="1" t="s">
        <v>213</v>
      </c>
      <c r="AT205" s="1" t="s">
        <v>211</v>
      </c>
      <c r="AU205" s="1">
        <v>1</v>
      </c>
      <c r="AW205" s="1" t="s">
        <v>204</v>
      </c>
      <c r="AX205" s="1" t="s">
        <v>3446</v>
      </c>
      <c r="AZ205" s="1">
        <v>4148.04</v>
      </c>
      <c r="BA205" s="1">
        <v>2013</v>
      </c>
      <c r="BE205" s="1">
        <v>1050</v>
      </c>
      <c r="BF205" s="1">
        <v>1</v>
      </c>
      <c r="BG205" s="1">
        <v>0</v>
      </c>
      <c r="BL205" s="1">
        <v>0</v>
      </c>
      <c r="BM205" s="1" t="s">
        <v>204</v>
      </c>
      <c r="BN205" s="1" t="s">
        <v>213</v>
      </c>
      <c r="BO205" s="1" t="s">
        <v>402</v>
      </c>
      <c r="BP205" s="1" t="s">
        <v>204</v>
      </c>
      <c r="BR205" s="1" t="str">
        <f>"1421122028"</f>
        <v>1421122028</v>
      </c>
      <c r="BT205" s="1" t="s">
        <v>3447</v>
      </c>
      <c r="BX205" s="1">
        <v>302</v>
      </c>
      <c r="BY205" s="1">
        <v>302</v>
      </c>
      <c r="BZ205" s="1">
        <v>302</v>
      </c>
      <c r="CB205" s="1" t="str">
        <f t="shared" si="163"/>
        <v/>
      </c>
      <c r="CC205" s="1" t="str">
        <f t="shared" si="165"/>
        <v/>
      </c>
      <c r="CG205" s="1" t="s">
        <v>601</v>
      </c>
      <c r="CH205" s="1" t="s">
        <v>219</v>
      </c>
      <c r="CI205" s="1" t="s">
        <v>438</v>
      </c>
      <c r="CK205" s="1" t="s">
        <v>757</v>
      </c>
      <c r="CL205" s="1" t="s">
        <v>219</v>
      </c>
      <c r="CM205" s="1" t="s">
        <v>438</v>
      </c>
      <c r="CP205" s="1" t="s">
        <v>224</v>
      </c>
      <c r="CS205" s="1" t="s">
        <v>461</v>
      </c>
      <c r="CT205" s="1" t="s">
        <v>219</v>
      </c>
      <c r="CU205" s="1" t="s">
        <v>438</v>
      </c>
      <c r="CX205" s="1" t="s">
        <v>224</v>
      </c>
      <c r="DB205" s="1" t="s">
        <v>224</v>
      </c>
      <c r="DE205" s="1" t="s">
        <v>221</v>
      </c>
      <c r="DF205" s="1" t="s">
        <v>219</v>
      </c>
      <c r="DG205" s="1" t="s">
        <v>438</v>
      </c>
      <c r="DI205" s="1" t="s">
        <v>218</v>
      </c>
      <c r="DJ205" s="1" t="s">
        <v>822</v>
      </c>
      <c r="DK205" s="1" t="s">
        <v>438</v>
      </c>
      <c r="DM205" s="1" t="s">
        <v>1005</v>
      </c>
      <c r="DR205" s="1" t="s">
        <v>379</v>
      </c>
      <c r="DS205" s="1" t="s">
        <v>822</v>
      </c>
      <c r="DT205" s="1" t="s">
        <v>438</v>
      </c>
      <c r="DW205" s="1" t="s">
        <v>230</v>
      </c>
      <c r="EA205" s="1" t="s">
        <v>230</v>
      </c>
      <c r="EE205" s="1" t="s">
        <v>230</v>
      </c>
      <c r="EI205" s="1" t="s">
        <v>230</v>
      </c>
      <c r="EL205" s="1" t="s">
        <v>382</v>
      </c>
      <c r="EM205" s="1" t="s">
        <v>319</v>
      </c>
      <c r="EN205" s="1" t="s">
        <v>282</v>
      </c>
      <c r="EO205" s="1" t="s">
        <v>234</v>
      </c>
      <c r="ER205" s="1" t="s">
        <v>351</v>
      </c>
      <c r="ES205" s="1" t="s">
        <v>322</v>
      </c>
      <c r="EU205" s="1" t="s">
        <v>546</v>
      </c>
      <c r="EW205" s="1" t="s">
        <v>210</v>
      </c>
      <c r="EZ205" s="1" t="s">
        <v>1005</v>
      </c>
      <c r="FD205" s="1" t="s">
        <v>246</v>
      </c>
      <c r="FE205" s="1" t="s">
        <v>472</v>
      </c>
      <c r="FF205" s="1" t="s">
        <v>248</v>
      </c>
      <c r="FH205" s="1" t="s">
        <v>442</v>
      </c>
      <c r="FL205" s="1" t="s">
        <v>358</v>
      </c>
      <c r="FM205" s="1" t="s">
        <v>252</v>
      </c>
      <c r="FN205" s="1" t="s">
        <v>213</v>
      </c>
      <c r="FO205" s="1" t="s">
        <v>213</v>
      </c>
      <c r="FQ205" s="1" t="s">
        <v>689</v>
      </c>
      <c r="FR205" s="1" t="s">
        <v>210</v>
      </c>
      <c r="FS205" s="1" t="s">
        <v>3448</v>
      </c>
      <c r="FT205" s="1" t="s">
        <v>584</v>
      </c>
      <c r="FU205" s="1" t="s">
        <v>204</v>
      </c>
      <c r="FW205" s="1" t="s">
        <v>3449</v>
      </c>
      <c r="FX205" s="1">
        <v>605</v>
      </c>
      <c r="FY205" s="1" t="s">
        <v>3450</v>
      </c>
      <c r="FZ205" s="1" t="s">
        <v>3451</v>
      </c>
      <c r="GA205" s="1">
        <v>170</v>
      </c>
      <c r="GB205" s="1" t="s">
        <v>3450</v>
      </c>
      <c r="GC205" s="1">
        <v>40</v>
      </c>
      <c r="GD205" s="1" t="s">
        <v>3452</v>
      </c>
      <c r="GE205" s="1" t="s">
        <v>210</v>
      </c>
      <c r="GI205" s="1" t="s">
        <v>213</v>
      </c>
      <c r="GJ205" s="1" t="s">
        <v>260</v>
      </c>
      <c r="GK205" s="1" t="s">
        <v>210</v>
      </c>
      <c r="GL205" s="2">
        <v>42016</v>
      </c>
      <c r="GM205" s="1" t="s">
        <v>3453</v>
      </c>
    </row>
    <row r="206" spans="1:195">
      <c r="A206" s="1">
        <v>234000</v>
      </c>
      <c r="B206" s="1" t="s">
        <v>195</v>
      </c>
      <c r="C206" s="1" t="str">
        <f>"08768720"</f>
        <v>08768720</v>
      </c>
      <c r="D206" s="1" t="s">
        <v>196</v>
      </c>
      <c r="F206" s="1" t="str">
        <f>"8072"</f>
        <v>8072</v>
      </c>
      <c r="G206" s="2">
        <v>41947</v>
      </c>
      <c r="H206" s="1">
        <v>249000</v>
      </c>
      <c r="I206" s="1">
        <v>249000</v>
      </c>
      <c r="J206" s="1">
        <v>234000</v>
      </c>
      <c r="K206" s="2">
        <v>41947</v>
      </c>
      <c r="L206" s="1">
        <v>235</v>
      </c>
      <c r="M206" s="2">
        <v>42030</v>
      </c>
      <c r="N206" s="1">
        <v>84</v>
      </c>
      <c r="O206" s="2">
        <v>42030</v>
      </c>
      <c r="P206" s="1">
        <v>57070</v>
      </c>
      <c r="Q206" s="1" t="s">
        <v>197</v>
      </c>
      <c r="R206" s="2">
        <v>42118</v>
      </c>
      <c r="S206" s="1">
        <v>231411</v>
      </c>
      <c r="T206" s="1">
        <v>3000</v>
      </c>
      <c r="U206" s="1">
        <v>10317</v>
      </c>
      <c r="V206" s="1" t="s">
        <v>3454</v>
      </c>
      <c r="W206" s="1" t="s">
        <v>264</v>
      </c>
      <c r="X206" s="1" t="s">
        <v>3455</v>
      </c>
      <c r="Y206" s="1">
        <v>16</v>
      </c>
      <c r="Z206" s="1" t="s">
        <v>249</v>
      </c>
      <c r="AA206" s="1" t="s">
        <v>400</v>
      </c>
      <c r="AB206" s="1">
        <v>60643</v>
      </c>
      <c r="AE206" s="1" t="s">
        <v>3456</v>
      </c>
      <c r="AF206" s="1">
        <v>1916</v>
      </c>
      <c r="AG206" s="1" t="s">
        <v>213</v>
      </c>
      <c r="AH206" s="1" t="s">
        <v>403</v>
      </c>
      <c r="AI206" s="1" t="s">
        <v>310</v>
      </c>
      <c r="AJ206" s="1" t="s">
        <v>683</v>
      </c>
      <c r="AL206" s="1">
        <v>5</v>
      </c>
      <c r="AM206" s="1">
        <v>2</v>
      </c>
      <c r="AN206" s="1">
        <v>2</v>
      </c>
      <c r="AO206" s="1">
        <v>1</v>
      </c>
      <c r="AP206" s="1" t="s">
        <v>209</v>
      </c>
      <c r="AQ206" s="1">
        <v>1</v>
      </c>
      <c r="AR206" s="1" t="s">
        <v>210</v>
      </c>
      <c r="AT206" s="1" t="s">
        <v>211</v>
      </c>
      <c r="AU206" s="1">
        <v>1</v>
      </c>
      <c r="AW206" s="1" t="s">
        <v>204</v>
      </c>
      <c r="AX206" s="1" t="s">
        <v>212</v>
      </c>
      <c r="AZ206" s="1">
        <v>2893.55</v>
      </c>
      <c r="BA206" s="1">
        <v>2013</v>
      </c>
      <c r="BB206" s="1" t="s">
        <v>405</v>
      </c>
      <c r="BE206" s="1">
        <v>1500</v>
      </c>
      <c r="BF206" s="1">
        <v>2</v>
      </c>
      <c r="BG206" s="1">
        <v>30</v>
      </c>
      <c r="BL206" s="1">
        <v>273</v>
      </c>
      <c r="BM206" s="1" t="s">
        <v>213</v>
      </c>
      <c r="BN206" s="1" t="s">
        <v>213</v>
      </c>
      <c r="BO206" s="1">
        <v>999</v>
      </c>
      <c r="BP206" s="1" t="s">
        <v>204</v>
      </c>
      <c r="BR206" s="1" t="str">
        <f>"25182000501011"</f>
        <v>25182000501011</v>
      </c>
      <c r="BT206" s="1" t="s">
        <v>3457</v>
      </c>
      <c r="BU206" s="1" t="s">
        <v>3458</v>
      </c>
      <c r="BV206" s="1" t="s">
        <v>3458</v>
      </c>
      <c r="BW206" s="1" t="s">
        <v>3459</v>
      </c>
      <c r="BX206" s="1">
        <v>299</v>
      </c>
      <c r="BY206" s="1">
        <v>299</v>
      </c>
      <c r="BZ206" s="1">
        <v>299</v>
      </c>
      <c r="CB206" s="1" t="str">
        <f t="shared" ref="CB206:CC206" si="166">"0"</f>
        <v>0</v>
      </c>
      <c r="CC206" s="1" t="str">
        <f t="shared" si="166"/>
        <v>0</v>
      </c>
      <c r="CD206" s="1">
        <v>2100</v>
      </c>
      <c r="CE206" s="1">
        <v>10317</v>
      </c>
      <c r="CG206" s="1" t="s">
        <v>908</v>
      </c>
      <c r="CH206" s="1" t="s">
        <v>277</v>
      </c>
      <c r="CI206" s="1" t="s">
        <v>438</v>
      </c>
      <c r="CJ206" s="1" t="s">
        <v>210</v>
      </c>
      <c r="CK206" s="1" t="s">
        <v>1178</v>
      </c>
      <c r="CL206" s="1" t="s">
        <v>219</v>
      </c>
      <c r="CM206" s="1" t="s">
        <v>220</v>
      </c>
      <c r="CN206" s="1" t="s">
        <v>210</v>
      </c>
      <c r="CP206" s="1" t="s">
        <v>224</v>
      </c>
      <c r="CS206" s="1" t="s">
        <v>3460</v>
      </c>
      <c r="CT206" s="1" t="s">
        <v>219</v>
      </c>
      <c r="CU206" s="1" t="s">
        <v>220</v>
      </c>
      <c r="CV206" s="1" t="s">
        <v>210</v>
      </c>
      <c r="CX206" s="1" t="s">
        <v>224</v>
      </c>
      <c r="DB206" s="1" t="s">
        <v>224</v>
      </c>
      <c r="DE206" s="1" t="s">
        <v>407</v>
      </c>
      <c r="DF206" s="1" t="s">
        <v>277</v>
      </c>
      <c r="DG206" s="1" t="s">
        <v>438</v>
      </c>
      <c r="DH206" s="1" t="s">
        <v>210</v>
      </c>
      <c r="DJ206" s="1" t="s">
        <v>224</v>
      </c>
      <c r="DM206" s="1" t="s">
        <v>464</v>
      </c>
      <c r="DR206" s="1" t="s">
        <v>1004</v>
      </c>
      <c r="DS206" s="1" t="s">
        <v>784</v>
      </c>
      <c r="DT206" s="1" t="s">
        <v>220</v>
      </c>
      <c r="DU206" s="1" t="s">
        <v>210</v>
      </c>
      <c r="DW206" s="1" t="s">
        <v>230</v>
      </c>
      <c r="EA206" s="1" t="s">
        <v>230</v>
      </c>
      <c r="EE206" s="1" t="s">
        <v>230</v>
      </c>
      <c r="EI206" s="1" t="s">
        <v>230</v>
      </c>
      <c r="EL206" s="1" t="s">
        <v>2521</v>
      </c>
      <c r="EM206" s="1" t="s">
        <v>232</v>
      </c>
      <c r="EN206" s="1" t="s">
        <v>282</v>
      </c>
      <c r="EO206" s="1" t="s">
        <v>234</v>
      </c>
      <c r="EP206" s="1" t="s">
        <v>3461</v>
      </c>
      <c r="EQ206" s="1" t="s">
        <v>236</v>
      </c>
      <c r="ER206" s="1" t="s">
        <v>210</v>
      </c>
      <c r="ES206" s="1" t="s">
        <v>493</v>
      </c>
      <c r="ET206" s="1" t="s">
        <v>1752</v>
      </c>
      <c r="EV206" s="1" t="s">
        <v>240</v>
      </c>
      <c r="EW206" s="1" t="s">
        <v>1426</v>
      </c>
      <c r="EY206" s="1" t="s">
        <v>790</v>
      </c>
      <c r="EZ206" s="1" t="s">
        <v>464</v>
      </c>
      <c r="FA206" s="1" t="s">
        <v>3462</v>
      </c>
      <c r="FB206" s="1" t="s">
        <v>244</v>
      </c>
      <c r="FC206" s="1" t="s">
        <v>326</v>
      </c>
      <c r="FD206" s="1" t="s">
        <v>246</v>
      </c>
      <c r="FE206" s="1" t="s">
        <v>802</v>
      </c>
      <c r="FF206" s="1" t="s">
        <v>248</v>
      </c>
      <c r="FG206" s="1" t="s">
        <v>912</v>
      </c>
      <c r="FH206" s="1" t="s">
        <v>249</v>
      </c>
      <c r="FI206" s="1" t="s">
        <v>473</v>
      </c>
      <c r="FL206" s="1" t="s">
        <v>358</v>
      </c>
      <c r="FM206" s="1" t="s">
        <v>252</v>
      </c>
      <c r="FN206" s="1" t="s">
        <v>213</v>
      </c>
      <c r="FO206" s="1" t="s">
        <v>213</v>
      </c>
      <c r="FQ206" s="1" t="s">
        <v>1758</v>
      </c>
      <c r="FR206" s="1" t="s">
        <v>210</v>
      </c>
      <c r="FS206" s="1" t="s">
        <v>3463</v>
      </c>
      <c r="FT206" s="1" t="s">
        <v>362</v>
      </c>
      <c r="FU206" s="1" t="s">
        <v>204</v>
      </c>
      <c r="FW206" s="1" t="s">
        <v>3464</v>
      </c>
      <c r="FX206" s="1">
        <v>12749</v>
      </c>
      <c r="FY206" s="1" t="s">
        <v>3465</v>
      </c>
      <c r="FZ206" s="1" t="s">
        <v>3466</v>
      </c>
      <c r="GA206" s="1">
        <v>120017</v>
      </c>
      <c r="GB206" s="1" t="s">
        <v>3465</v>
      </c>
      <c r="GE206" s="1" t="s">
        <v>210</v>
      </c>
      <c r="GH206" s="1" t="s">
        <v>421</v>
      </c>
      <c r="GI206" s="1" t="s">
        <v>213</v>
      </c>
      <c r="GJ206" s="1" t="s">
        <v>260</v>
      </c>
      <c r="GK206" s="1" t="s">
        <v>210</v>
      </c>
      <c r="GL206" s="2">
        <v>42118</v>
      </c>
    </row>
    <row r="207" spans="1:195">
      <c r="A207" s="1">
        <v>53000</v>
      </c>
      <c r="B207" s="1" t="s">
        <v>195</v>
      </c>
      <c r="C207" s="1" t="str">
        <f>"08768958"</f>
        <v>08768958</v>
      </c>
      <c r="D207" s="1" t="s">
        <v>196</v>
      </c>
      <c r="F207" s="1" t="str">
        <f>"8062"</f>
        <v>8062</v>
      </c>
      <c r="G207" s="2">
        <v>41947</v>
      </c>
      <c r="H207" s="1">
        <v>61000</v>
      </c>
      <c r="I207" s="1">
        <v>49999</v>
      </c>
      <c r="J207" s="1">
        <v>53000</v>
      </c>
      <c r="K207" s="2">
        <v>41947</v>
      </c>
      <c r="L207" s="1">
        <v>98</v>
      </c>
      <c r="M207" s="2">
        <v>42044</v>
      </c>
      <c r="N207" s="1">
        <v>98</v>
      </c>
      <c r="O207" s="2">
        <v>42044</v>
      </c>
      <c r="P207" s="1">
        <v>12174</v>
      </c>
      <c r="Q207" s="1" t="s">
        <v>302</v>
      </c>
      <c r="R207" s="2">
        <v>42083</v>
      </c>
      <c r="S207" s="1">
        <v>114256</v>
      </c>
      <c r="U207" s="1">
        <v>5701</v>
      </c>
      <c r="V207" s="1" t="s">
        <v>3467</v>
      </c>
      <c r="W207" s="1" t="s">
        <v>425</v>
      </c>
      <c r="X207" s="1" t="s">
        <v>3468</v>
      </c>
      <c r="Y207" s="1">
        <v>6</v>
      </c>
      <c r="Z207" s="1" t="s">
        <v>249</v>
      </c>
      <c r="AA207" s="1" t="s">
        <v>400</v>
      </c>
      <c r="AB207" s="1">
        <v>60629</v>
      </c>
      <c r="AE207" s="1" t="s">
        <v>3469</v>
      </c>
      <c r="AF207" s="1">
        <v>1974</v>
      </c>
      <c r="AG207" s="1" t="s">
        <v>213</v>
      </c>
      <c r="AH207" s="1" t="s">
        <v>403</v>
      </c>
      <c r="AI207" s="1" t="s">
        <v>310</v>
      </c>
      <c r="AJ207" s="1" t="s">
        <v>683</v>
      </c>
      <c r="AL207" s="1">
        <v>4</v>
      </c>
      <c r="AM207" s="1">
        <v>2</v>
      </c>
      <c r="AN207" s="1">
        <v>1</v>
      </c>
      <c r="AO207" s="1">
        <v>0</v>
      </c>
      <c r="AP207" s="1" t="s">
        <v>210</v>
      </c>
      <c r="AR207" s="1" t="s">
        <v>210</v>
      </c>
      <c r="AS207" s="1" t="s">
        <v>204</v>
      </c>
      <c r="AT207" s="1" t="s">
        <v>271</v>
      </c>
      <c r="AV207" s="1">
        <v>1</v>
      </c>
      <c r="AW207" s="1" t="s">
        <v>204</v>
      </c>
      <c r="AX207" s="1" t="s">
        <v>2379</v>
      </c>
      <c r="AZ207" s="1">
        <v>1087</v>
      </c>
      <c r="BA207" s="1">
        <v>2012</v>
      </c>
      <c r="BE207" s="1">
        <v>800</v>
      </c>
      <c r="BF207" s="1">
        <v>3</v>
      </c>
      <c r="BG207" s="1">
        <v>15</v>
      </c>
      <c r="BJ207" s="1">
        <v>25</v>
      </c>
      <c r="BL207" s="1">
        <v>270</v>
      </c>
      <c r="BM207" s="1" t="s">
        <v>413</v>
      </c>
      <c r="BN207" s="1" t="s">
        <v>213</v>
      </c>
      <c r="BO207" s="1">
        <v>25</v>
      </c>
      <c r="BP207" s="1" t="s">
        <v>204</v>
      </c>
      <c r="BR207" s="1" t="str">
        <f>"19151190411003"</f>
        <v>19151190411003</v>
      </c>
      <c r="BT207" s="1" t="s">
        <v>3470</v>
      </c>
      <c r="BX207" s="1">
        <v>299</v>
      </c>
      <c r="BY207" s="1">
        <v>299</v>
      </c>
      <c r="BZ207" s="1">
        <v>299</v>
      </c>
      <c r="CB207" s="1" t="str">
        <f t="shared" ref="CB207:CC207" si="167">"0"</f>
        <v>0</v>
      </c>
      <c r="CC207" s="1" t="str">
        <f t="shared" si="167"/>
        <v>0</v>
      </c>
      <c r="CD207" s="1">
        <v>4600</v>
      </c>
      <c r="CE207" s="1">
        <v>5701</v>
      </c>
      <c r="CG207" s="1" t="s">
        <v>221</v>
      </c>
      <c r="CH207" s="1" t="s">
        <v>219</v>
      </c>
      <c r="CI207" s="1" t="s">
        <v>220</v>
      </c>
      <c r="CK207" s="1" t="s">
        <v>221</v>
      </c>
      <c r="CL207" s="1" t="s">
        <v>219</v>
      </c>
      <c r="CM207" s="1" t="s">
        <v>220</v>
      </c>
      <c r="CP207" s="1" t="s">
        <v>224</v>
      </c>
      <c r="CS207" s="1" t="s">
        <v>378</v>
      </c>
      <c r="CT207" s="1" t="s">
        <v>219</v>
      </c>
      <c r="CU207" s="1" t="s">
        <v>220</v>
      </c>
      <c r="CX207" s="1" t="s">
        <v>224</v>
      </c>
      <c r="DB207" s="1" t="s">
        <v>224</v>
      </c>
      <c r="DE207" s="1" t="s">
        <v>630</v>
      </c>
      <c r="DF207" s="1" t="s">
        <v>219</v>
      </c>
      <c r="DG207" s="1" t="s">
        <v>226</v>
      </c>
      <c r="DJ207" s="1" t="s">
        <v>224</v>
      </c>
      <c r="DS207" s="1" t="s">
        <v>230</v>
      </c>
      <c r="DW207" s="1" t="s">
        <v>230</v>
      </c>
      <c r="EA207" s="1" t="s">
        <v>230</v>
      </c>
      <c r="EE207" s="1" t="s">
        <v>230</v>
      </c>
      <c r="EI207" s="1" t="s">
        <v>230</v>
      </c>
      <c r="EL207" s="1" t="s">
        <v>605</v>
      </c>
      <c r="EM207" s="1" t="s">
        <v>319</v>
      </c>
      <c r="EN207" s="1" t="s">
        <v>731</v>
      </c>
      <c r="EO207" s="1" t="s">
        <v>234</v>
      </c>
      <c r="ER207" s="1" t="s">
        <v>210</v>
      </c>
      <c r="EU207" s="1" t="s">
        <v>1820</v>
      </c>
      <c r="EW207" s="1" t="s">
        <v>3471</v>
      </c>
      <c r="EY207" s="1" t="s">
        <v>242</v>
      </c>
      <c r="EZ207" s="1" t="s">
        <v>287</v>
      </c>
      <c r="FB207" s="1" t="s">
        <v>734</v>
      </c>
      <c r="FD207" s="1" t="s">
        <v>3472</v>
      </c>
      <c r="FE207" s="1" t="s">
        <v>247</v>
      </c>
      <c r="FF207" s="1" t="s">
        <v>248</v>
      </c>
      <c r="FH207" s="1" t="s">
        <v>249</v>
      </c>
      <c r="FK207" s="1" t="s">
        <v>291</v>
      </c>
      <c r="FL207" s="1" t="s">
        <v>414</v>
      </c>
      <c r="FM207" s="1" t="s">
        <v>252</v>
      </c>
      <c r="FN207" s="1" t="s">
        <v>213</v>
      </c>
      <c r="FO207" s="1" t="s">
        <v>213</v>
      </c>
      <c r="FQ207" s="1" t="s">
        <v>689</v>
      </c>
      <c r="FR207" s="1" t="s">
        <v>210</v>
      </c>
      <c r="FS207" s="1" t="s">
        <v>3473</v>
      </c>
      <c r="FT207" s="1" t="s">
        <v>1828</v>
      </c>
      <c r="FU207" s="1" t="s">
        <v>204</v>
      </c>
      <c r="FW207" s="1" t="s">
        <v>3474</v>
      </c>
      <c r="FX207" s="1">
        <v>18982</v>
      </c>
      <c r="FY207" s="1" t="s">
        <v>3475</v>
      </c>
      <c r="FZ207" s="1" t="s">
        <v>3476</v>
      </c>
      <c r="GA207" s="1">
        <v>168237</v>
      </c>
      <c r="GE207" s="1" t="s">
        <v>480</v>
      </c>
      <c r="GH207" s="1" t="s">
        <v>421</v>
      </c>
      <c r="GI207" s="1" t="s">
        <v>213</v>
      </c>
      <c r="GJ207" s="1" t="s">
        <v>260</v>
      </c>
      <c r="GK207" s="1" t="s">
        <v>210</v>
      </c>
      <c r="GL207" s="2">
        <v>42087</v>
      </c>
      <c r="GM207" s="1" t="s">
        <v>3477</v>
      </c>
    </row>
    <row r="208" spans="1:195">
      <c r="A208" s="1">
        <v>154000</v>
      </c>
      <c r="B208" s="1" t="s">
        <v>195</v>
      </c>
      <c r="C208" s="1" t="str">
        <f>"08771620"</f>
        <v>08771620</v>
      </c>
      <c r="D208" s="1" t="s">
        <v>196</v>
      </c>
      <c r="F208" s="1" t="str">
        <f>"8074"</f>
        <v>8074</v>
      </c>
      <c r="G208" s="2">
        <v>41950</v>
      </c>
      <c r="H208" s="1">
        <v>175000</v>
      </c>
      <c r="I208" s="1">
        <v>169900</v>
      </c>
      <c r="J208" s="1">
        <v>154000</v>
      </c>
      <c r="K208" s="2">
        <v>41949</v>
      </c>
      <c r="L208" s="1">
        <v>79</v>
      </c>
      <c r="M208" s="2">
        <v>42027</v>
      </c>
      <c r="N208" s="1">
        <v>79</v>
      </c>
      <c r="O208" s="2">
        <v>42027</v>
      </c>
      <c r="P208" s="1">
        <v>61080</v>
      </c>
      <c r="Q208" s="1" t="s">
        <v>197</v>
      </c>
      <c r="R208" s="2">
        <v>42066</v>
      </c>
      <c r="S208" s="1">
        <v>241956</v>
      </c>
      <c r="U208" s="1">
        <v>3730</v>
      </c>
      <c r="V208" s="1" t="s">
        <v>3478</v>
      </c>
      <c r="W208" s="1" t="s">
        <v>725</v>
      </c>
      <c r="X208" s="1">
        <v>202</v>
      </c>
      <c r="Y208" s="1">
        <v>21</v>
      </c>
      <c r="Z208" s="1" t="s">
        <v>249</v>
      </c>
      <c r="AA208" s="1" t="s">
        <v>400</v>
      </c>
      <c r="AB208" s="1">
        <v>60655</v>
      </c>
      <c r="AE208" s="1" t="s">
        <v>3479</v>
      </c>
      <c r="AF208" s="1" t="s">
        <v>402</v>
      </c>
      <c r="AG208" s="1" t="s">
        <v>204</v>
      </c>
      <c r="AH208" s="1" t="s">
        <v>403</v>
      </c>
      <c r="AI208" s="1" t="s">
        <v>310</v>
      </c>
      <c r="AJ208" s="1" t="s">
        <v>683</v>
      </c>
      <c r="AL208" s="1">
        <v>4</v>
      </c>
      <c r="AM208" s="1">
        <v>2</v>
      </c>
      <c r="AN208" s="1">
        <v>2</v>
      </c>
      <c r="AO208" s="1">
        <v>0</v>
      </c>
      <c r="AP208" s="1" t="s">
        <v>209</v>
      </c>
      <c r="AQ208" s="1">
        <v>1</v>
      </c>
      <c r="AR208" s="1" t="s">
        <v>210</v>
      </c>
      <c r="AS208" s="1" t="s">
        <v>204</v>
      </c>
      <c r="AT208" s="1" t="s">
        <v>211</v>
      </c>
      <c r="AU208" s="1">
        <v>1</v>
      </c>
      <c r="AW208" s="1" t="s">
        <v>204</v>
      </c>
      <c r="AX208" s="1" t="s">
        <v>212</v>
      </c>
      <c r="AZ208" s="1">
        <v>2865.72</v>
      </c>
      <c r="BA208" s="1">
        <v>2012</v>
      </c>
      <c r="BB208" s="1" t="s">
        <v>405</v>
      </c>
      <c r="BE208" s="1">
        <v>1350</v>
      </c>
      <c r="BF208" s="1">
        <v>2</v>
      </c>
      <c r="BG208" s="1">
        <v>0</v>
      </c>
      <c r="BJ208" s="1">
        <v>100</v>
      </c>
      <c r="BK208" s="1">
        <v>4.9000000000000004</v>
      </c>
      <c r="BL208" s="1">
        <v>181</v>
      </c>
      <c r="BM208" s="1" t="s">
        <v>204</v>
      </c>
      <c r="BN208" s="1" t="s">
        <v>213</v>
      </c>
      <c r="BO208" s="1">
        <v>35</v>
      </c>
      <c r="BP208" s="1" t="s">
        <v>204</v>
      </c>
      <c r="BR208" s="1" t="str">
        <f>"24143230291005"</f>
        <v>24143230291005</v>
      </c>
      <c r="BT208" s="1" t="s">
        <v>3480</v>
      </c>
      <c r="BX208" s="1">
        <v>299</v>
      </c>
      <c r="BY208" s="1">
        <v>299</v>
      </c>
      <c r="BZ208" s="1">
        <v>299</v>
      </c>
      <c r="CB208" s="1" t="str">
        <f t="shared" ref="CB208:CC208" si="168">"0"</f>
        <v>0</v>
      </c>
      <c r="CC208" s="1" t="str">
        <f t="shared" si="168"/>
        <v>0</v>
      </c>
      <c r="CD208" s="1">
        <v>3730</v>
      </c>
      <c r="CE208" s="1">
        <v>11100</v>
      </c>
      <c r="CG208" s="1" t="s">
        <v>315</v>
      </c>
      <c r="CH208" s="1" t="s">
        <v>219</v>
      </c>
      <c r="CI208" s="1" t="s">
        <v>438</v>
      </c>
      <c r="CJ208" s="1" t="s">
        <v>343</v>
      </c>
      <c r="CK208" s="1" t="s">
        <v>218</v>
      </c>
      <c r="CL208" s="1" t="s">
        <v>219</v>
      </c>
      <c r="CM208" s="1" t="s">
        <v>220</v>
      </c>
      <c r="CN208" s="1" t="s">
        <v>909</v>
      </c>
      <c r="CP208" s="1" t="s">
        <v>224</v>
      </c>
      <c r="CS208" s="1" t="s">
        <v>564</v>
      </c>
      <c r="CT208" s="1" t="s">
        <v>219</v>
      </c>
      <c r="CU208" s="1" t="s">
        <v>438</v>
      </c>
      <c r="CV208" s="1" t="s">
        <v>463</v>
      </c>
      <c r="CX208" s="1" t="s">
        <v>224</v>
      </c>
      <c r="DB208" s="1" t="s">
        <v>224</v>
      </c>
      <c r="DE208" s="1" t="s">
        <v>3481</v>
      </c>
      <c r="DF208" s="1" t="s">
        <v>219</v>
      </c>
      <c r="DG208" s="1" t="s">
        <v>438</v>
      </c>
      <c r="DH208" s="1" t="s">
        <v>343</v>
      </c>
      <c r="DJ208" s="1" t="s">
        <v>224</v>
      </c>
      <c r="DS208" s="1" t="s">
        <v>230</v>
      </c>
      <c r="DW208" s="1" t="s">
        <v>230</v>
      </c>
      <c r="EA208" s="1" t="s">
        <v>230</v>
      </c>
      <c r="EE208" s="1" t="s">
        <v>230</v>
      </c>
      <c r="EI208" s="1" t="s">
        <v>230</v>
      </c>
      <c r="EL208" s="1" t="s">
        <v>466</v>
      </c>
      <c r="EM208" s="1" t="s">
        <v>232</v>
      </c>
      <c r="EN208" s="1" t="s">
        <v>282</v>
      </c>
      <c r="EO208" s="1" t="s">
        <v>234</v>
      </c>
      <c r="EP208" s="1" t="s">
        <v>2764</v>
      </c>
      <c r="ER208" s="1" t="s">
        <v>210</v>
      </c>
      <c r="EU208" s="1" t="s">
        <v>239</v>
      </c>
      <c r="EW208" s="1" t="s">
        <v>286</v>
      </c>
      <c r="EY208" s="1" t="s">
        <v>242</v>
      </c>
      <c r="EZ208" s="1" t="s">
        <v>287</v>
      </c>
      <c r="FB208" s="1" t="s">
        <v>289</v>
      </c>
      <c r="FC208" s="1" t="s">
        <v>548</v>
      </c>
      <c r="FD208" s="1" t="s">
        <v>246</v>
      </c>
      <c r="FE208" s="1" t="s">
        <v>247</v>
      </c>
      <c r="FF208" s="1" t="s">
        <v>248</v>
      </c>
      <c r="FH208" s="1" t="s">
        <v>249</v>
      </c>
      <c r="FI208" s="1" t="s">
        <v>3482</v>
      </c>
      <c r="FL208" s="1" t="s">
        <v>3483</v>
      </c>
      <c r="FM208" s="1" t="s">
        <v>252</v>
      </c>
      <c r="FN208" s="1" t="s">
        <v>213</v>
      </c>
      <c r="FO208" s="1" t="s">
        <v>204</v>
      </c>
      <c r="FQ208" s="1" t="s">
        <v>849</v>
      </c>
      <c r="FR208" s="1" t="s">
        <v>210</v>
      </c>
      <c r="FS208" s="1" t="s">
        <v>3484</v>
      </c>
      <c r="FT208" s="1" t="s">
        <v>362</v>
      </c>
      <c r="FU208" s="1" t="s">
        <v>204</v>
      </c>
      <c r="FW208" s="1" t="s">
        <v>3485</v>
      </c>
      <c r="FX208" s="1">
        <v>23891</v>
      </c>
      <c r="FY208" s="1" t="s">
        <v>3486</v>
      </c>
      <c r="FZ208" s="1" t="s">
        <v>3487</v>
      </c>
      <c r="GA208" s="1">
        <v>237578</v>
      </c>
      <c r="GE208" s="1" t="s">
        <v>210</v>
      </c>
      <c r="GH208" s="1" t="s">
        <v>589</v>
      </c>
      <c r="GI208" s="1" t="s">
        <v>213</v>
      </c>
      <c r="GJ208" s="1" t="s">
        <v>260</v>
      </c>
      <c r="GK208" s="1" t="s">
        <v>210</v>
      </c>
      <c r="GL208" s="2">
        <v>42068</v>
      </c>
      <c r="GM208" s="1" t="s">
        <v>3488</v>
      </c>
    </row>
    <row r="209" spans="1:195">
      <c r="A209" s="1">
        <v>186500</v>
      </c>
      <c r="B209" s="1" t="s">
        <v>195</v>
      </c>
      <c r="C209" s="1" t="str">
        <f>"08771348"</f>
        <v>08771348</v>
      </c>
      <c r="D209" s="1" t="s">
        <v>196</v>
      </c>
      <c r="F209" s="1" t="str">
        <f>"515"</f>
        <v>515</v>
      </c>
      <c r="G209" s="2">
        <v>41950</v>
      </c>
      <c r="H209" s="1">
        <v>192500</v>
      </c>
      <c r="I209" s="1">
        <v>192500</v>
      </c>
      <c r="J209" s="1">
        <v>186500</v>
      </c>
      <c r="K209" s="2">
        <v>41950</v>
      </c>
      <c r="L209" s="1">
        <v>125</v>
      </c>
      <c r="M209" s="2">
        <v>41975</v>
      </c>
      <c r="N209" s="1">
        <v>26</v>
      </c>
      <c r="O209" s="2">
        <v>41975</v>
      </c>
      <c r="P209" s="1">
        <v>22124</v>
      </c>
      <c r="Q209" s="1" t="s">
        <v>197</v>
      </c>
      <c r="R209" s="2">
        <v>42011</v>
      </c>
      <c r="S209" s="1">
        <v>215972</v>
      </c>
      <c r="U209" s="1">
        <v>907</v>
      </c>
      <c r="V209" s="1" t="s">
        <v>3489</v>
      </c>
      <c r="W209" s="1" t="s">
        <v>725</v>
      </c>
      <c r="X209" s="1">
        <v>202</v>
      </c>
      <c r="Y209" s="1">
        <v>35</v>
      </c>
      <c r="Z209" s="1" t="s">
        <v>370</v>
      </c>
      <c r="AA209" s="1" t="s">
        <v>1294</v>
      </c>
      <c r="AB209" s="1">
        <v>60515</v>
      </c>
      <c r="AE209" s="1" t="s">
        <v>3490</v>
      </c>
      <c r="AF209" s="1">
        <v>1974</v>
      </c>
      <c r="AG209" s="1" t="s">
        <v>213</v>
      </c>
      <c r="AH209" s="1" t="s">
        <v>903</v>
      </c>
      <c r="AI209" s="1" t="s">
        <v>206</v>
      </c>
      <c r="AJ209" s="1" t="s">
        <v>903</v>
      </c>
      <c r="AL209" s="1">
        <v>5</v>
      </c>
      <c r="AM209" s="1">
        <v>2</v>
      </c>
      <c r="AN209" s="1">
        <v>2</v>
      </c>
      <c r="AO209" s="1">
        <v>0</v>
      </c>
      <c r="AP209" s="1" t="s">
        <v>209</v>
      </c>
      <c r="AR209" s="1" t="s">
        <v>210</v>
      </c>
      <c r="AS209" s="1" t="s">
        <v>204</v>
      </c>
      <c r="AT209" s="1" t="s">
        <v>271</v>
      </c>
      <c r="AV209" s="1">
        <v>1</v>
      </c>
      <c r="AW209" s="1" t="s">
        <v>204</v>
      </c>
      <c r="AX209" s="1" t="s">
        <v>212</v>
      </c>
      <c r="AZ209" s="1">
        <v>2816</v>
      </c>
      <c r="BA209" s="1">
        <v>2013</v>
      </c>
      <c r="BB209" s="1" t="s">
        <v>405</v>
      </c>
      <c r="BE209" s="1">
        <v>1128</v>
      </c>
      <c r="BF209" s="1">
        <v>2</v>
      </c>
      <c r="BG209" s="1">
        <v>15</v>
      </c>
      <c r="BK209" s="1">
        <v>2.7</v>
      </c>
      <c r="BL209" s="1">
        <v>328</v>
      </c>
      <c r="BM209" s="1" t="s">
        <v>413</v>
      </c>
      <c r="BN209" s="1" t="s">
        <v>213</v>
      </c>
      <c r="BO209" s="1">
        <v>25</v>
      </c>
      <c r="BP209" s="1" t="s">
        <v>204</v>
      </c>
      <c r="BR209" s="1" t="str">
        <f>"0908325009"</f>
        <v>0908325009</v>
      </c>
      <c r="BT209" s="1" t="s">
        <v>3491</v>
      </c>
      <c r="BU209" s="1" t="s">
        <v>2760</v>
      </c>
      <c r="BV209" s="1" t="s">
        <v>2761</v>
      </c>
      <c r="BW209" s="1" t="s">
        <v>2762</v>
      </c>
      <c r="BX209" s="1">
        <v>58</v>
      </c>
      <c r="BY209" s="1">
        <v>58</v>
      </c>
      <c r="BZ209" s="1">
        <v>99</v>
      </c>
      <c r="CB209" s="1" t="str">
        <f t="shared" ref="CB209:CC209" si="169">""</f>
        <v/>
      </c>
      <c r="CC209" s="1" t="str">
        <f t="shared" si="169"/>
        <v/>
      </c>
      <c r="CG209" s="1" t="s">
        <v>3035</v>
      </c>
      <c r="CH209" s="1" t="s">
        <v>219</v>
      </c>
      <c r="CI209" s="1" t="s">
        <v>220</v>
      </c>
      <c r="CK209" s="1" t="s">
        <v>315</v>
      </c>
      <c r="CL209" s="1" t="s">
        <v>219</v>
      </c>
      <c r="CM209" s="1" t="s">
        <v>220</v>
      </c>
      <c r="CO209" s="1" t="s">
        <v>2031</v>
      </c>
      <c r="CP209" s="1" t="s">
        <v>219</v>
      </c>
      <c r="CQ209" s="1" t="s">
        <v>220</v>
      </c>
      <c r="CS209" s="1" t="s">
        <v>317</v>
      </c>
      <c r="CT209" s="1" t="s">
        <v>219</v>
      </c>
      <c r="CU209" s="1" t="s">
        <v>220</v>
      </c>
      <c r="CX209" s="1" t="s">
        <v>224</v>
      </c>
      <c r="DB209" s="1" t="s">
        <v>224</v>
      </c>
      <c r="DE209" s="1" t="s">
        <v>316</v>
      </c>
      <c r="DF209" s="1" t="s">
        <v>219</v>
      </c>
      <c r="DG209" s="1" t="s">
        <v>226</v>
      </c>
      <c r="DJ209" s="1" t="s">
        <v>224</v>
      </c>
      <c r="DM209" s="1" t="s">
        <v>838</v>
      </c>
      <c r="DR209" s="1" t="s">
        <v>3492</v>
      </c>
      <c r="DS209" s="1" t="s">
        <v>219</v>
      </c>
      <c r="DW209" s="1" t="s">
        <v>230</v>
      </c>
      <c r="EA209" s="1" t="s">
        <v>230</v>
      </c>
      <c r="EE209" s="1" t="s">
        <v>230</v>
      </c>
      <c r="EI209" s="1" t="s">
        <v>230</v>
      </c>
      <c r="EL209" s="1" t="s">
        <v>231</v>
      </c>
      <c r="EM209" s="1" t="s">
        <v>232</v>
      </c>
      <c r="EN209" s="1" t="s">
        <v>282</v>
      </c>
      <c r="EO209" s="1" t="s">
        <v>234</v>
      </c>
      <c r="EP209" s="1" t="s">
        <v>3493</v>
      </c>
      <c r="EQ209" s="1" t="s">
        <v>3494</v>
      </c>
      <c r="ER209" s="1" t="s">
        <v>210</v>
      </c>
      <c r="ES209" s="1" t="s">
        <v>545</v>
      </c>
      <c r="EU209" s="1" t="s">
        <v>239</v>
      </c>
      <c r="EV209" s="1" t="s">
        <v>352</v>
      </c>
      <c r="EW209" s="1" t="s">
        <v>937</v>
      </c>
      <c r="EZ209" s="1" t="s">
        <v>838</v>
      </c>
      <c r="FB209" s="1" t="s">
        <v>289</v>
      </c>
      <c r="FC209" s="1" t="s">
        <v>1555</v>
      </c>
      <c r="FD209" s="1" t="s">
        <v>290</v>
      </c>
      <c r="FE209" s="1" t="s">
        <v>247</v>
      </c>
      <c r="FF209" s="1" t="s">
        <v>248</v>
      </c>
      <c r="FH209" s="1" t="s">
        <v>249</v>
      </c>
      <c r="FK209" s="1" t="s">
        <v>389</v>
      </c>
      <c r="FL209" s="1" t="s">
        <v>292</v>
      </c>
      <c r="FM209" s="1" t="s">
        <v>252</v>
      </c>
      <c r="FN209" s="1" t="s">
        <v>213</v>
      </c>
      <c r="FO209" s="1" t="s">
        <v>213</v>
      </c>
      <c r="FQ209" s="1" t="s">
        <v>1599</v>
      </c>
      <c r="FR209" s="1" t="s">
        <v>210</v>
      </c>
      <c r="FS209" s="1" t="s">
        <v>1709</v>
      </c>
      <c r="FT209" s="1" t="s">
        <v>362</v>
      </c>
      <c r="FU209" s="1" t="s">
        <v>204</v>
      </c>
      <c r="FW209" s="1" t="s">
        <v>3495</v>
      </c>
      <c r="FX209" s="1">
        <v>22145</v>
      </c>
      <c r="FY209" s="1" t="s">
        <v>3496</v>
      </c>
      <c r="FZ209" s="1" t="s">
        <v>3497</v>
      </c>
      <c r="GA209" s="1">
        <v>226985</v>
      </c>
      <c r="GB209" s="1" t="s">
        <v>3498</v>
      </c>
      <c r="GE209" s="1" t="s">
        <v>1333</v>
      </c>
      <c r="GI209" s="1" t="s">
        <v>213</v>
      </c>
      <c r="GJ209" s="1" t="s">
        <v>260</v>
      </c>
      <c r="GK209" s="1" t="s">
        <v>210</v>
      </c>
      <c r="GL209" s="2">
        <v>42011</v>
      </c>
      <c r="GM209" s="1" t="s">
        <v>3499</v>
      </c>
    </row>
    <row r="210" spans="1:195">
      <c r="A210" s="1">
        <v>28500</v>
      </c>
      <c r="B210" s="1" t="s">
        <v>195</v>
      </c>
      <c r="C210" s="1" t="str">
        <f>"08770637"</f>
        <v>08770637</v>
      </c>
      <c r="D210" s="1" t="s">
        <v>196</v>
      </c>
      <c r="F210" s="1" t="str">
        <f>"8043"</f>
        <v>8043</v>
      </c>
      <c r="G210" s="2">
        <v>41949</v>
      </c>
      <c r="H210" s="1">
        <v>25400</v>
      </c>
      <c r="I210" s="1">
        <v>25400</v>
      </c>
      <c r="J210" s="1">
        <v>28500</v>
      </c>
      <c r="K210" s="2">
        <v>41949</v>
      </c>
      <c r="L210" s="1">
        <v>30</v>
      </c>
      <c r="M210" s="2">
        <v>41978</v>
      </c>
      <c r="N210" s="1">
        <v>30</v>
      </c>
      <c r="O210" s="2">
        <v>41978</v>
      </c>
      <c r="P210" s="1">
        <v>85646</v>
      </c>
      <c r="Q210" s="1" t="s">
        <v>302</v>
      </c>
      <c r="R210" s="2">
        <v>42003</v>
      </c>
      <c r="S210" s="1">
        <v>128929</v>
      </c>
      <c r="U210" s="1">
        <v>7406</v>
      </c>
      <c r="V210" s="1" t="s">
        <v>3500</v>
      </c>
      <c r="W210" s="1" t="s">
        <v>425</v>
      </c>
      <c r="X210" s="1">
        <v>3</v>
      </c>
      <c r="Y210" s="1">
        <v>21</v>
      </c>
      <c r="Z210" s="1" t="s">
        <v>249</v>
      </c>
      <c r="AA210" s="1" t="s">
        <v>400</v>
      </c>
      <c r="AB210" s="1">
        <v>60649</v>
      </c>
      <c r="AE210" s="1" t="s">
        <v>3501</v>
      </c>
      <c r="AF210" s="1" t="s">
        <v>402</v>
      </c>
      <c r="AG210" s="1" t="s">
        <v>213</v>
      </c>
      <c r="AH210" s="1" t="s">
        <v>403</v>
      </c>
      <c r="AI210" s="1" t="s">
        <v>310</v>
      </c>
      <c r="AJ210" s="1" t="s">
        <v>404</v>
      </c>
      <c r="AL210" s="1">
        <v>5</v>
      </c>
      <c r="AM210" s="1">
        <v>2</v>
      </c>
      <c r="AN210" s="1">
        <v>1</v>
      </c>
      <c r="AO210" s="1">
        <v>0</v>
      </c>
      <c r="AP210" s="1" t="s">
        <v>210</v>
      </c>
      <c r="AQ210" s="1">
        <v>0</v>
      </c>
      <c r="AR210" s="1" t="s">
        <v>209</v>
      </c>
      <c r="AS210" s="1" t="s">
        <v>204</v>
      </c>
      <c r="AT210" s="1" t="s">
        <v>210</v>
      </c>
      <c r="AW210" s="1" t="s">
        <v>204</v>
      </c>
      <c r="AX210" s="1" t="s">
        <v>212</v>
      </c>
      <c r="AZ210" s="1">
        <v>1885</v>
      </c>
      <c r="BA210" s="1">
        <v>2012</v>
      </c>
      <c r="BC210" s="1">
        <v>0</v>
      </c>
      <c r="BD210" s="1">
        <v>2014</v>
      </c>
      <c r="BE210" s="1">
        <v>800</v>
      </c>
      <c r="BF210" s="1">
        <v>1</v>
      </c>
      <c r="BG210" s="1">
        <v>0</v>
      </c>
      <c r="BL210" s="1">
        <v>166</v>
      </c>
      <c r="BM210" s="1" t="s">
        <v>204</v>
      </c>
      <c r="BN210" s="1" t="s">
        <v>204</v>
      </c>
      <c r="BP210" s="1" t="s">
        <v>204</v>
      </c>
      <c r="BR210" s="1" t="str">
        <f>"21301200000000"</f>
        <v>21301200000000</v>
      </c>
      <c r="BT210" s="1" t="s">
        <v>3502</v>
      </c>
      <c r="BX210" s="1">
        <v>299</v>
      </c>
      <c r="BY210" s="1">
        <v>299</v>
      </c>
      <c r="BZ210" s="1">
        <v>299</v>
      </c>
      <c r="CB210" s="1" t="str">
        <f>"0"</f>
        <v>0</v>
      </c>
      <c r="CC210" s="1" t="str">
        <f>"3100"</f>
        <v>3100</v>
      </c>
      <c r="CD210" s="1">
        <v>0</v>
      </c>
      <c r="CE210" s="1">
        <v>7400</v>
      </c>
      <c r="CG210" s="1" t="s">
        <v>1045</v>
      </c>
      <c r="CH210" s="1" t="s">
        <v>219</v>
      </c>
      <c r="CI210" s="1" t="s">
        <v>438</v>
      </c>
      <c r="CK210" s="1" t="s">
        <v>461</v>
      </c>
      <c r="CL210" s="1" t="s">
        <v>219</v>
      </c>
      <c r="CM210" s="1" t="s">
        <v>438</v>
      </c>
      <c r="CO210" s="1" t="s">
        <v>629</v>
      </c>
      <c r="CP210" s="1" t="s">
        <v>219</v>
      </c>
      <c r="CQ210" s="1" t="s">
        <v>438</v>
      </c>
      <c r="CS210" s="1" t="s">
        <v>378</v>
      </c>
      <c r="CT210" s="1" t="s">
        <v>219</v>
      </c>
      <c r="CU210" s="1" t="s">
        <v>438</v>
      </c>
      <c r="CX210" s="1" t="s">
        <v>224</v>
      </c>
      <c r="DB210" s="1" t="s">
        <v>224</v>
      </c>
      <c r="DE210" s="1" t="s">
        <v>837</v>
      </c>
      <c r="DF210" s="1" t="s">
        <v>219</v>
      </c>
      <c r="DG210" s="1" t="s">
        <v>226</v>
      </c>
      <c r="DJ210" s="1" t="s">
        <v>224</v>
      </c>
      <c r="DS210" s="1" t="s">
        <v>230</v>
      </c>
      <c r="DW210" s="1" t="s">
        <v>230</v>
      </c>
      <c r="EA210" s="1" t="s">
        <v>230</v>
      </c>
      <c r="EE210" s="1" t="s">
        <v>230</v>
      </c>
      <c r="EI210" s="1" t="s">
        <v>230</v>
      </c>
      <c r="EL210" s="1" t="s">
        <v>2521</v>
      </c>
      <c r="EM210" s="1" t="s">
        <v>232</v>
      </c>
      <c r="EN210" s="1" t="s">
        <v>282</v>
      </c>
      <c r="EO210" s="1" t="s">
        <v>234</v>
      </c>
      <c r="EP210" s="1" t="s">
        <v>732</v>
      </c>
      <c r="EQ210" s="1" t="s">
        <v>236</v>
      </c>
      <c r="ER210" s="1" t="s">
        <v>347</v>
      </c>
      <c r="EW210" s="1" t="s">
        <v>3503</v>
      </c>
      <c r="EY210" s="1" t="s">
        <v>242</v>
      </c>
      <c r="EZ210" s="1" t="s">
        <v>287</v>
      </c>
      <c r="FA210" s="1" t="s">
        <v>3504</v>
      </c>
      <c r="FD210" s="1" t="s">
        <v>1112</v>
      </c>
      <c r="FE210" s="1" t="s">
        <v>247</v>
      </c>
      <c r="FF210" s="1" t="s">
        <v>248</v>
      </c>
      <c r="FH210" s="1" t="s">
        <v>3505</v>
      </c>
      <c r="FL210" s="1" t="s">
        <v>358</v>
      </c>
      <c r="FM210" s="1" t="s">
        <v>252</v>
      </c>
      <c r="FN210" s="1" t="s">
        <v>213</v>
      </c>
      <c r="FO210" s="1" t="s">
        <v>213</v>
      </c>
      <c r="FQ210" s="1" t="s">
        <v>3506</v>
      </c>
      <c r="FR210" s="1" t="s">
        <v>210</v>
      </c>
      <c r="FS210" s="1" t="s">
        <v>3507</v>
      </c>
      <c r="FT210" s="1" t="s">
        <v>3508</v>
      </c>
      <c r="FU210" s="1" t="s">
        <v>204</v>
      </c>
      <c r="FW210" s="1" t="s">
        <v>3509</v>
      </c>
      <c r="FX210" s="1">
        <v>84124</v>
      </c>
      <c r="FY210" s="1" t="s">
        <v>2564</v>
      </c>
      <c r="FZ210" s="1" t="s">
        <v>3510</v>
      </c>
      <c r="GA210" s="1">
        <v>180115</v>
      </c>
      <c r="GB210" s="1" t="s">
        <v>3511</v>
      </c>
      <c r="GE210" s="1" t="s">
        <v>210</v>
      </c>
      <c r="GH210" s="1" t="s">
        <v>421</v>
      </c>
      <c r="GI210" s="1" t="s">
        <v>213</v>
      </c>
      <c r="GJ210" s="1" t="s">
        <v>260</v>
      </c>
      <c r="GK210" s="1" t="s">
        <v>210</v>
      </c>
      <c r="GL210" s="2">
        <v>42003</v>
      </c>
      <c r="GM210" s="1" t="s">
        <v>3512</v>
      </c>
    </row>
    <row r="211" spans="1:195">
      <c r="A211" s="1">
        <v>120000</v>
      </c>
      <c r="B211" s="1" t="s">
        <v>195</v>
      </c>
      <c r="C211" s="1" t="str">
        <f>"08770848"</f>
        <v>08770848</v>
      </c>
      <c r="D211" s="1" t="s">
        <v>196</v>
      </c>
      <c r="F211" s="1" t="str">
        <f>"538"</f>
        <v>538</v>
      </c>
      <c r="G211" s="2">
        <v>41950</v>
      </c>
      <c r="H211" s="1">
        <v>117900</v>
      </c>
      <c r="I211" s="1">
        <v>117900</v>
      </c>
      <c r="J211" s="1">
        <v>120000</v>
      </c>
      <c r="K211" s="2">
        <v>41948</v>
      </c>
      <c r="L211" s="1">
        <v>14</v>
      </c>
      <c r="M211" s="2">
        <v>41961</v>
      </c>
      <c r="N211" s="1">
        <v>14</v>
      </c>
      <c r="O211" s="2">
        <v>41961</v>
      </c>
      <c r="P211" s="1">
        <v>21198</v>
      </c>
      <c r="Q211" s="1" t="s">
        <v>197</v>
      </c>
      <c r="R211" s="2">
        <v>42002</v>
      </c>
      <c r="S211" s="1">
        <v>233200</v>
      </c>
      <c r="U211" s="1">
        <v>2425</v>
      </c>
      <c r="V211" s="1" t="s">
        <v>3513</v>
      </c>
      <c r="W211" s="1" t="s">
        <v>264</v>
      </c>
      <c r="Y211" s="1">
        <v>2</v>
      </c>
      <c r="Z211" s="1" t="s">
        <v>200</v>
      </c>
      <c r="AA211" s="1" t="s">
        <v>450</v>
      </c>
      <c r="AB211" s="1">
        <v>60538</v>
      </c>
      <c r="AE211" s="1" t="s">
        <v>3514</v>
      </c>
      <c r="AF211" s="1">
        <v>2002</v>
      </c>
      <c r="AG211" s="1" t="s">
        <v>204</v>
      </c>
      <c r="AH211" s="1" t="s">
        <v>452</v>
      </c>
      <c r="AI211" s="1" t="s">
        <v>453</v>
      </c>
      <c r="AJ211" s="1" t="s">
        <v>454</v>
      </c>
      <c r="AL211" s="1">
        <v>5</v>
      </c>
      <c r="AM211" s="1">
        <v>2</v>
      </c>
      <c r="AN211" s="1">
        <v>1</v>
      </c>
      <c r="AO211" s="1">
        <v>1</v>
      </c>
      <c r="AP211" s="1" t="s">
        <v>455</v>
      </c>
      <c r="AR211" s="1" t="s">
        <v>210</v>
      </c>
      <c r="AS211" s="1" t="s">
        <v>204</v>
      </c>
      <c r="AT211" s="1" t="s">
        <v>211</v>
      </c>
      <c r="AU211" s="1">
        <v>2</v>
      </c>
      <c r="AW211" s="1" t="s">
        <v>204</v>
      </c>
      <c r="AX211" s="1" t="s">
        <v>212</v>
      </c>
      <c r="AZ211" s="1">
        <v>3338.8</v>
      </c>
      <c r="BA211" s="1">
        <v>2012</v>
      </c>
      <c r="BE211" s="1">
        <v>1308</v>
      </c>
      <c r="BF211" s="1">
        <v>1</v>
      </c>
      <c r="BG211" s="1">
        <v>10</v>
      </c>
      <c r="BL211" s="1">
        <v>0</v>
      </c>
      <c r="BM211" s="1" t="s">
        <v>413</v>
      </c>
      <c r="BN211" s="1" t="s">
        <v>213</v>
      </c>
      <c r="BO211" s="1">
        <v>999</v>
      </c>
      <c r="BP211" s="1" t="s">
        <v>204</v>
      </c>
      <c r="BR211" s="1" t="str">
        <f>"0201377036"</f>
        <v>0201377036</v>
      </c>
      <c r="BT211" s="1" t="s">
        <v>3515</v>
      </c>
      <c r="BX211" s="1">
        <v>308</v>
      </c>
      <c r="BY211" s="1">
        <v>308</v>
      </c>
      <c r="BZ211" s="1">
        <v>308</v>
      </c>
      <c r="CB211" s="1" t="str">
        <f t="shared" ref="CB211:CC211" si="170">""</f>
        <v/>
      </c>
      <c r="CC211" s="1" t="str">
        <f t="shared" si="170"/>
        <v/>
      </c>
      <c r="CG211" s="1" t="s">
        <v>378</v>
      </c>
      <c r="CH211" s="1" t="s">
        <v>219</v>
      </c>
      <c r="CK211" s="1" t="s">
        <v>757</v>
      </c>
      <c r="CL211" s="1" t="s">
        <v>277</v>
      </c>
      <c r="CO211" s="1" t="s">
        <v>346</v>
      </c>
      <c r="CP211" s="1" t="s">
        <v>219</v>
      </c>
      <c r="CS211" s="1" t="s">
        <v>378</v>
      </c>
      <c r="CT211" s="1" t="s">
        <v>277</v>
      </c>
      <c r="CX211" s="1" t="s">
        <v>224</v>
      </c>
      <c r="DB211" s="1" t="s">
        <v>224</v>
      </c>
      <c r="DE211" s="1" t="s">
        <v>1358</v>
      </c>
      <c r="DF211" s="1" t="s">
        <v>219</v>
      </c>
      <c r="DJ211" s="1" t="s">
        <v>224</v>
      </c>
      <c r="DS211" s="1" t="s">
        <v>230</v>
      </c>
      <c r="DW211" s="1" t="s">
        <v>230</v>
      </c>
      <c r="EA211" s="1" t="s">
        <v>230</v>
      </c>
      <c r="EE211" s="1" t="s">
        <v>230</v>
      </c>
      <c r="EI211" s="1" t="s">
        <v>230</v>
      </c>
      <c r="EL211" s="1" t="s">
        <v>466</v>
      </c>
      <c r="EM211" s="1" t="s">
        <v>319</v>
      </c>
      <c r="EN211" s="1" t="s">
        <v>282</v>
      </c>
      <c r="EO211" s="1" t="s">
        <v>234</v>
      </c>
      <c r="ER211" s="1" t="s">
        <v>210</v>
      </c>
      <c r="EW211" s="1" t="s">
        <v>210</v>
      </c>
      <c r="EZ211" s="1" t="s">
        <v>287</v>
      </c>
      <c r="FD211" s="1" t="s">
        <v>246</v>
      </c>
      <c r="FE211" s="1" t="s">
        <v>1031</v>
      </c>
      <c r="FF211" s="1" t="s">
        <v>248</v>
      </c>
      <c r="FH211" s="1" t="s">
        <v>442</v>
      </c>
      <c r="FL211" s="1" t="s">
        <v>358</v>
      </c>
      <c r="FM211" s="1" t="s">
        <v>252</v>
      </c>
      <c r="FN211" s="1" t="s">
        <v>213</v>
      </c>
      <c r="FO211" s="1" t="s">
        <v>213</v>
      </c>
      <c r="FQ211" s="1" t="s">
        <v>849</v>
      </c>
      <c r="FR211" s="1" t="s">
        <v>210</v>
      </c>
      <c r="FS211" s="1" t="s">
        <v>3516</v>
      </c>
      <c r="FT211" s="1" t="s">
        <v>255</v>
      </c>
      <c r="FU211" s="1" t="s">
        <v>204</v>
      </c>
      <c r="FW211" s="1" t="s">
        <v>3517</v>
      </c>
      <c r="FX211" s="1">
        <v>20114</v>
      </c>
      <c r="FY211" s="1" t="s">
        <v>3518</v>
      </c>
      <c r="FZ211" s="1" t="s">
        <v>3519</v>
      </c>
      <c r="GA211" s="1">
        <v>216033</v>
      </c>
      <c r="GB211" s="1" t="s">
        <v>3520</v>
      </c>
      <c r="GD211" s="1" t="s">
        <v>3521</v>
      </c>
      <c r="GE211" s="1" t="s">
        <v>210</v>
      </c>
      <c r="GI211" s="1" t="s">
        <v>213</v>
      </c>
      <c r="GJ211" s="1" t="s">
        <v>260</v>
      </c>
      <c r="GK211" s="1" t="s">
        <v>261</v>
      </c>
      <c r="GL211" s="2">
        <v>42004</v>
      </c>
      <c r="GM211" s="1" t="s">
        <v>3522</v>
      </c>
    </row>
    <row r="212" spans="1:195">
      <c r="A212" s="1">
        <v>90000</v>
      </c>
      <c r="B212" s="1" t="s">
        <v>195</v>
      </c>
      <c r="C212" s="1" t="str">
        <f>"08771029"</f>
        <v>08771029</v>
      </c>
      <c r="D212" s="1" t="s">
        <v>196</v>
      </c>
      <c r="F212" s="1" t="str">
        <f>"115"</f>
        <v>115</v>
      </c>
      <c r="G212" s="2">
        <v>41950</v>
      </c>
      <c r="H212" s="1">
        <v>94000</v>
      </c>
      <c r="I212" s="1">
        <v>94000</v>
      </c>
      <c r="J212" s="1">
        <v>90000</v>
      </c>
      <c r="K212" s="2">
        <v>41950</v>
      </c>
      <c r="L212" s="1">
        <v>9</v>
      </c>
      <c r="M212" s="2">
        <v>41958</v>
      </c>
      <c r="N212" s="1">
        <v>9</v>
      </c>
      <c r="O212" s="2">
        <v>41958</v>
      </c>
      <c r="P212" s="1">
        <v>7630</v>
      </c>
      <c r="Q212" s="1" t="s">
        <v>423</v>
      </c>
      <c r="R212" s="2">
        <v>41995</v>
      </c>
      <c r="S212" s="1">
        <v>8742</v>
      </c>
      <c r="U212" s="1">
        <v>1514</v>
      </c>
      <c r="V212" s="1" t="s">
        <v>3296</v>
      </c>
      <c r="W212" s="1" t="s">
        <v>264</v>
      </c>
      <c r="X212" s="1">
        <v>1</v>
      </c>
      <c r="Y212" s="1">
        <v>4</v>
      </c>
      <c r="Z212" s="1" t="s">
        <v>370</v>
      </c>
      <c r="AA212" s="1" t="s">
        <v>2242</v>
      </c>
      <c r="AB212" s="1">
        <v>60115</v>
      </c>
      <c r="AE212" s="1" t="s">
        <v>3523</v>
      </c>
      <c r="AF212" s="1">
        <v>2004</v>
      </c>
      <c r="AG212" s="1" t="s">
        <v>204</v>
      </c>
      <c r="AH212" s="1" t="s">
        <v>2245</v>
      </c>
      <c r="AI212" s="1" t="s">
        <v>2246</v>
      </c>
      <c r="AJ212" s="1" t="s">
        <v>2245</v>
      </c>
      <c r="AL212" s="1">
        <v>5</v>
      </c>
      <c r="AM212" s="1">
        <v>2</v>
      </c>
      <c r="AN212" s="1">
        <v>2</v>
      </c>
      <c r="AO212" s="1">
        <v>1</v>
      </c>
      <c r="AP212" s="1" t="s">
        <v>209</v>
      </c>
      <c r="AQ212" s="1">
        <v>0</v>
      </c>
      <c r="AR212" s="1" t="s">
        <v>210</v>
      </c>
      <c r="AT212" s="1" t="s">
        <v>211</v>
      </c>
      <c r="AU212" s="1">
        <v>2</v>
      </c>
      <c r="AW212" s="1" t="s">
        <v>204</v>
      </c>
      <c r="AX212" s="1" t="s">
        <v>1724</v>
      </c>
      <c r="AZ212" s="1">
        <v>4414.32</v>
      </c>
      <c r="BA212" s="1">
        <v>2013</v>
      </c>
      <c r="BB212" s="1" t="s">
        <v>405</v>
      </c>
      <c r="BE212" s="1">
        <v>1333</v>
      </c>
      <c r="BF212" s="1">
        <v>1</v>
      </c>
      <c r="BG212" s="1">
        <v>7</v>
      </c>
      <c r="BJ212" s="1">
        <v>100</v>
      </c>
      <c r="BL212" s="1">
        <v>140</v>
      </c>
      <c r="BM212" s="1" t="s">
        <v>204</v>
      </c>
      <c r="BN212" s="1" t="s">
        <v>213</v>
      </c>
      <c r="BO212" s="1">
        <v>999</v>
      </c>
      <c r="BP212" s="1" t="s">
        <v>204</v>
      </c>
      <c r="BR212" s="1" t="str">
        <f>"0813178032"</f>
        <v>0813178032</v>
      </c>
      <c r="BT212" s="1" t="s">
        <v>3524</v>
      </c>
      <c r="BX212" s="1">
        <v>428</v>
      </c>
      <c r="BY212" s="1">
        <v>428</v>
      </c>
      <c r="BZ212" s="1">
        <v>428</v>
      </c>
      <c r="CB212" s="1" t="str">
        <f t="shared" ref="CB212:CC212" si="171">""</f>
        <v/>
      </c>
      <c r="CC212" s="1" t="str">
        <f t="shared" si="171"/>
        <v/>
      </c>
      <c r="CG212" s="1" t="s">
        <v>3525</v>
      </c>
      <c r="CH212" s="1" t="s">
        <v>219</v>
      </c>
      <c r="CI212" s="1" t="s">
        <v>220</v>
      </c>
      <c r="CJ212" s="1" t="s">
        <v>343</v>
      </c>
      <c r="CK212" s="1" t="s">
        <v>490</v>
      </c>
      <c r="CL212" s="1" t="s">
        <v>277</v>
      </c>
      <c r="CM212" s="1" t="s">
        <v>220</v>
      </c>
      <c r="CN212" s="1" t="s">
        <v>343</v>
      </c>
      <c r="CO212" s="1" t="s">
        <v>836</v>
      </c>
      <c r="CP212" s="1" t="s">
        <v>219</v>
      </c>
      <c r="CQ212" s="1" t="s">
        <v>220</v>
      </c>
      <c r="CR212" s="1" t="s">
        <v>343</v>
      </c>
      <c r="CS212" s="1" t="s">
        <v>2122</v>
      </c>
      <c r="CT212" s="1" t="s">
        <v>277</v>
      </c>
      <c r="CU212" s="1" t="s">
        <v>220</v>
      </c>
      <c r="CV212" s="1" t="s">
        <v>343</v>
      </c>
      <c r="CX212" s="1" t="s">
        <v>224</v>
      </c>
      <c r="DB212" s="1" t="s">
        <v>224</v>
      </c>
      <c r="DE212" s="1" t="s">
        <v>407</v>
      </c>
      <c r="DF212" s="1" t="s">
        <v>219</v>
      </c>
      <c r="DG212" s="1" t="s">
        <v>342</v>
      </c>
      <c r="DH212" s="1" t="s">
        <v>343</v>
      </c>
      <c r="DJ212" s="1" t="s">
        <v>224</v>
      </c>
      <c r="DM212" s="1" t="s">
        <v>2450</v>
      </c>
      <c r="DR212" s="1" t="s">
        <v>836</v>
      </c>
      <c r="DS212" s="1" t="s">
        <v>822</v>
      </c>
      <c r="DT212" s="1" t="s">
        <v>226</v>
      </c>
      <c r="DW212" s="1" t="s">
        <v>230</v>
      </c>
      <c r="EA212" s="1" t="s">
        <v>230</v>
      </c>
      <c r="EE212" s="1" t="s">
        <v>230</v>
      </c>
      <c r="EI212" s="1" t="s">
        <v>230</v>
      </c>
      <c r="EL212" s="1" t="s">
        <v>491</v>
      </c>
      <c r="EM212" s="1" t="s">
        <v>319</v>
      </c>
      <c r="EN212" s="1" t="s">
        <v>282</v>
      </c>
      <c r="EO212" s="1" t="s">
        <v>234</v>
      </c>
      <c r="EP212" s="1" t="s">
        <v>3526</v>
      </c>
      <c r="EQ212" s="1" t="s">
        <v>1094</v>
      </c>
      <c r="ER212" s="1" t="s">
        <v>210</v>
      </c>
      <c r="ET212" s="1" t="s">
        <v>842</v>
      </c>
      <c r="EU212" s="1" t="s">
        <v>610</v>
      </c>
      <c r="EW212" s="1" t="s">
        <v>353</v>
      </c>
      <c r="EZ212" s="1" t="s">
        <v>2450</v>
      </c>
      <c r="FA212" s="1" t="s">
        <v>3527</v>
      </c>
      <c r="FD212" s="1" t="s">
        <v>246</v>
      </c>
      <c r="FE212" s="1" t="s">
        <v>472</v>
      </c>
      <c r="FF212" s="1" t="s">
        <v>248</v>
      </c>
      <c r="FH212" s="1" t="s">
        <v>550</v>
      </c>
      <c r="FI212" s="1" t="s">
        <v>473</v>
      </c>
      <c r="FL212" s="1" t="s">
        <v>358</v>
      </c>
      <c r="FM212" s="1" t="s">
        <v>252</v>
      </c>
      <c r="FN212" s="1" t="s">
        <v>213</v>
      </c>
      <c r="FO212" s="1" t="s">
        <v>213</v>
      </c>
      <c r="FQ212" s="1" t="s">
        <v>913</v>
      </c>
      <c r="FR212" s="1" t="s">
        <v>210</v>
      </c>
      <c r="FS212" s="1" t="s">
        <v>1709</v>
      </c>
      <c r="FT212" s="1" t="s">
        <v>3528</v>
      </c>
      <c r="FU212" s="1" t="s">
        <v>204</v>
      </c>
      <c r="FW212" s="1" t="s">
        <v>915</v>
      </c>
      <c r="FX212" s="1">
        <v>23591</v>
      </c>
      <c r="FY212" s="1" t="s">
        <v>1710</v>
      </c>
      <c r="FZ212" s="1" t="s">
        <v>3529</v>
      </c>
      <c r="GA212" s="1">
        <v>238342</v>
      </c>
      <c r="GD212" s="1" t="s">
        <v>3530</v>
      </c>
      <c r="GE212" s="1" t="s">
        <v>335</v>
      </c>
      <c r="GI212" s="1" t="s">
        <v>213</v>
      </c>
      <c r="GJ212" s="1" t="s">
        <v>260</v>
      </c>
      <c r="GK212" s="1" t="s">
        <v>210</v>
      </c>
      <c r="GL212" s="2">
        <v>42002</v>
      </c>
    </row>
    <row r="213" spans="1:195">
      <c r="A213" s="1">
        <v>100000</v>
      </c>
      <c r="B213" s="1" t="s">
        <v>195</v>
      </c>
      <c r="C213" s="1" t="str">
        <f>"08768752"</f>
        <v>08768752</v>
      </c>
      <c r="D213" s="1" t="s">
        <v>196</v>
      </c>
      <c r="F213" s="1" t="str">
        <f>"178"</f>
        <v>178</v>
      </c>
      <c r="G213" s="2">
        <v>41947</v>
      </c>
      <c r="H213" s="1">
        <v>119900</v>
      </c>
      <c r="I213" s="1">
        <v>109900</v>
      </c>
      <c r="J213" s="1">
        <v>100000</v>
      </c>
      <c r="K213" s="2">
        <v>41947</v>
      </c>
      <c r="L213" s="1">
        <v>134</v>
      </c>
      <c r="M213" s="2">
        <v>42080</v>
      </c>
      <c r="N213" s="1">
        <v>134</v>
      </c>
      <c r="O213" s="2">
        <v>42080</v>
      </c>
      <c r="P213" s="1">
        <v>93099</v>
      </c>
      <c r="Q213" s="1" t="s">
        <v>302</v>
      </c>
      <c r="R213" s="2">
        <v>42097</v>
      </c>
      <c r="S213" s="1">
        <v>930261</v>
      </c>
      <c r="U213" s="1">
        <v>982</v>
      </c>
      <c r="V213" s="1" t="s">
        <v>3531</v>
      </c>
      <c r="W213" s="1" t="s">
        <v>504</v>
      </c>
      <c r="X213" s="1">
        <v>982</v>
      </c>
      <c r="Y213" s="1">
        <v>4</v>
      </c>
      <c r="Z213" s="1" t="s">
        <v>249</v>
      </c>
      <c r="AA213" s="1" t="s">
        <v>3334</v>
      </c>
      <c r="AB213" s="1">
        <v>60178</v>
      </c>
      <c r="AD213" s="1" t="s">
        <v>3532</v>
      </c>
      <c r="AE213" s="1" t="s">
        <v>3533</v>
      </c>
      <c r="AF213" s="1">
        <v>2003</v>
      </c>
      <c r="AG213" s="1" t="s">
        <v>204</v>
      </c>
      <c r="AH213" s="1" t="s">
        <v>3336</v>
      </c>
      <c r="AI213" s="1" t="s">
        <v>2246</v>
      </c>
      <c r="AJ213" s="1" t="s">
        <v>3336</v>
      </c>
      <c r="AL213" s="1">
        <v>5</v>
      </c>
      <c r="AM213" s="1">
        <v>2</v>
      </c>
      <c r="AN213" s="1">
        <v>2</v>
      </c>
      <c r="AO213" s="1">
        <v>0</v>
      </c>
      <c r="AP213" s="1" t="s">
        <v>209</v>
      </c>
      <c r="AQ213" s="1">
        <v>1</v>
      </c>
      <c r="AR213" s="1" t="s">
        <v>210</v>
      </c>
      <c r="AS213" s="1" t="s">
        <v>204</v>
      </c>
      <c r="AT213" s="1" t="s">
        <v>211</v>
      </c>
      <c r="AU213" s="1">
        <v>1</v>
      </c>
      <c r="AW213" s="1" t="s">
        <v>204</v>
      </c>
      <c r="AX213" s="1" t="s">
        <v>212</v>
      </c>
      <c r="AZ213" s="1">
        <v>3424.8</v>
      </c>
      <c r="BA213" s="1">
        <v>2013</v>
      </c>
      <c r="BB213" s="1" t="s">
        <v>210</v>
      </c>
      <c r="BE213" s="1">
        <v>1368</v>
      </c>
      <c r="BF213" s="1">
        <v>1</v>
      </c>
      <c r="BG213" s="1">
        <v>0</v>
      </c>
      <c r="BL213" s="1">
        <v>102</v>
      </c>
      <c r="BM213" s="1" t="s">
        <v>204</v>
      </c>
      <c r="BN213" s="1" t="s">
        <v>213</v>
      </c>
      <c r="BO213" s="1">
        <v>25</v>
      </c>
      <c r="BP213" s="1" t="s">
        <v>204</v>
      </c>
      <c r="BR213" s="1" t="str">
        <f>"0628352016"</f>
        <v>0628352016</v>
      </c>
      <c r="BT213" s="1" t="s">
        <v>3534</v>
      </c>
      <c r="BX213" s="1">
        <v>427</v>
      </c>
      <c r="BY213" s="1">
        <v>427</v>
      </c>
      <c r="BZ213" s="1">
        <v>427</v>
      </c>
      <c r="CB213" s="1" t="str">
        <f t="shared" ref="CB213:CC213" si="172">""</f>
        <v/>
      </c>
      <c r="CC213" s="1" t="str">
        <f t="shared" si="172"/>
        <v/>
      </c>
      <c r="CG213" s="1" t="s">
        <v>729</v>
      </c>
      <c r="CH213" s="1" t="s">
        <v>277</v>
      </c>
      <c r="CI213" s="1" t="s">
        <v>220</v>
      </c>
      <c r="CK213" s="1" t="s">
        <v>221</v>
      </c>
      <c r="CL213" s="1" t="s">
        <v>277</v>
      </c>
      <c r="CM213" s="1" t="s">
        <v>220</v>
      </c>
      <c r="CO213" s="1" t="s">
        <v>932</v>
      </c>
      <c r="CP213" s="1" t="s">
        <v>277</v>
      </c>
      <c r="CQ213" s="1" t="s">
        <v>220</v>
      </c>
      <c r="CS213" s="1" t="s">
        <v>1297</v>
      </c>
      <c r="CT213" s="1" t="s">
        <v>277</v>
      </c>
      <c r="CU213" s="1" t="s">
        <v>220</v>
      </c>
      <c r="CX213" s="1" t="s">
        <v>224</v>
      </c>
      <c r="DB213" s="1" t="s">
        <v>224</v>
      </c>
      <c r="DE213" s="1" t="s">
        <v>1297</v>
      </c>
      <c r="DF213" s="1" t="s">
        <v>277</v>
      </c>
      <c r="DG213" s="1" t="s">
        <v>226</v>
      </c>
      <c r="DJ213" s="1" t="s">
        <v>224</v>
      </c>
      <c r="DS213" s="1" t="s">
        <v>230</v>
      </c>
      <c r="DW213" s="1" t="s">
        <v>230</v>
      </c>
      <c r="EA213" s="1" t="s">
        <v>230</v>
      </c>
      <c r="EE213" s="1" t="s">
        <v>230</v>
      </c>
      <c r="EI213" s="1" t="s">
        <v>230</v>
      </c>
      <c r="EL213" s="1" t="s">
        <v>466</v>
      </c>
      <c r="EM213" s="1" t="s">
        <v>319</v>
      </c>
      <c r="EN213" s="1" t="s">
        <v>282</v>
      </c>
      <c r="EO213" s="1" t="s">
        <v>234</v>
      </c>
      <c r="EP213" s="1" t="s">
        <v>3535</v>
      </c>
      <c r="EQ213" s="1" t="s">
        <v>671</v>
      </c>
      <c r="ER213" s="1" t="s">
        <v>210</v>
      </c>
      <c r="ES213" s="1" t="s">
        <v>608</v>
      </c>
      <c r="EU213" s="1" t="s">
        <v>3536</v>
      </c>
      <c r="EV213" s="1" t="s">
        <v>324</v>
      </c>
      <c r="EW213" s="1" t="s">
        <v>353</v>
      </c>
      <c r="EY213" s="1" t="s">
        <v>242</v>
      </c>
      <c r="EZ213" s="1" t="s">
        <v>287</v>
      </c>
      <c r="FA213" s="1" t="s">
        <v>1072</v>
      </c>
      <c r="FB213" s="1" t="s">
        <v>1505</v>
      </c>
      <c r="FC213" s="1" t="s">
        <v>633</v>
      </c>
      <c r="FD213" s="1" t="s">
        <v>290</v>
      </c>
      <c r="FE213" s="1" t="s">
        <v>472</v>
      </c>
      <c r="FF213" s="1" t="s">
        <v>248</v>
      </c>
      <c r="FG213" s="1" t="s">
        <v>1204</v>
      </c>
      <c r="FH213" s="1" t="s">
        <v>249</v>
      </c>
      <c r="FI213" s="1" t="s">
        <v>473</v>
      </c>
      <c r="FL213" s="1" t="s">
        <v>358</v>
      </c>
      <c r="FM213" s="1" t="s">
        <v>252</v>
      </c>
      <c r="FN213" s="1" t="s">
        <v>213</v>
      </c>
      <c r="FO213" s="1" t="s">
        <v>213</v>
      </c>
      <c r="FQ213" s="1" t="s">
        <v>582</v>
      </c>
      <c r="FR213" s="1" t="s">
        <v>210</v>
      </c>
      <c r="FS213" s="1" t="s">
        <v>2128</v>
      </c>
      <c r="FT213" s="1" t="s">
        <v>3537</v>
      </c>
      <c r="FU213" s="1" t="s">
        <v>204</v>
      </c>
      <c r="FW213" s="1" t="s">
        <v>3393</v>
      </c>
      <c r="FX213" s="1">
        <v>93083</v>
      </c>
      <c r="FY213" s="1" t="s">
        <v>3394</v>
      </c>
      <c r="FZ213" s="1" t="s">
        <v>3395</v>
      </c>
      <c r="GA213" s="1">
        <v>930215</v>
      </c>
      <c r="GC213" s="1">
        <v>930217</v>
      </c>
      <c r="GD213" s="1">
        <v>930217</v>
      </c>
      <c r="GE213" s="1" t="s">
        <v>210</v>
      </c>
      <c r="GI213" s="1" t="s">
        <v>213</v>
      </c>
      <c r="GJ213" s="1" t="s">
        <v>260</v>
      </c>
      <c r="GK213" s="1" t="s">
        <v>210</v>
      </c>
      <c r="GL213" s="2">
        <v>42109</v>
      </c>
      <c r="GM213" s="1" t="s">
        <v>3538</v>
      </c>
    </row>
    <row r="214" spans="1:195">
      <c r="A214" s="1">
        <v>159000</v>
      </c>
      <c r="B214" s="1" t="s">
        <v>195</v>
      </c>
      <c r="C214" s="1" t="str">
        <f>"08770205"</f>
        <v>08770205</v>
      </c>
      <c r="D214" s="1" t="s">
        <v>196</v>
      </c>
      <c r="F214" s="1" t="str">
        <f>"507"</f>
        <v>507</v>
      </c>
      <c r="G214" s="2">
        <v>41949</v>
      </c>
      <c r="H214" s="1">
        <v>174900</v>
      </c>
      <c r="I214" s="1">
        <v>169900</v>
      </c>
      <c r="J214" s="1">
        <v>159000</v>
      </c>
      <c r="K214" s="2">
        <v>41948</v>
      </c>
      <c r="L214" s="1">
        <v>76</v>
      </c>
      <c r="M214" s="2">
        <v>42023</v>
      </c>
      <c r="N214" s="1">
        <v>76</v>
      </c>
      <c r="O214" s="2">
        <v>42023</v>
      </c>
      <c r="P214" s="1">
        <v>24304</v>
      </c>
      <c r="Q214" s="1" t="s">
        <v>197</v>
      </c>
      <c r="R214" s="2">
        <v>42069</v>
      </c>
      <c r="S214" s="1">
        <v>243881</v>
      </c>
      <c r="U214" s="1">
        <v>3100</v>
      </c>
      <c r="V214" s="1" t="s">
        <v>2478</v>
      </c>
      <c r="W214" s="1" t="s">
        <v>449</v>
      </c>
      <c r="Y214" s="1">
        <v>4</v>
      </c>
      <c r="Z214" s="1" t="s">
        <v>249</v>
      </c>
      <c r="AA214" s="1" t="s">
        <v>1123</v>
      </c>
      <c r="AB214" s="1">
        <v>60504</v>
      </c>
      <c r="AD214" s="1" t="s">
        <v>3539</v>
      </c>
      <c r="AE214" s="1" t="s">
        <v>3540</v>
      </c>
      <c r="AF214" s="1" t="s">
        <v>402</v>
      </c>
      <c r="AG214" s="1" t="s">
        <v>204</v>
      </c>
      <c r="AH214" s="1" t="s">
        <v>1126</v>
      </c>
      <c r="AI214" s="1" t="s">
        <v>206</v>
      </c>
      <c r="AJ214" s="1" t="s">
        <v>924</v>
      </c>
      <c r="AK214" s="1" t="s">
        <v>3541</v>
      </c>
      <c r="AL214" s="1">
        <v>7</v>
      </c>
      <c r="AM214" s="1">
        <v>2</v>
      </c>
      <c r="AN214" s="1">
        <v>1</v>
      </c>
      <c r="AO214" s="1">
        <v>1</v>
      </c>
      <c r="AP214" s="1" t="s">
        <v>667</v>
      </c>
      <c r="AQ214" s="1">
        <v>1</v>
      </c>
      <c r="AR214" s="1" t="s">
        <v>210</v>
      </c>
      <c r="AS214" s="1" t="s">
        <v>204</v>
      </c>
      <c r="AT214" s="1" t="s">
        <v>211</v>
      </c>
      <c r="AU214" s="1">
        <v>2</v>
      </c>
      <c r="AW214" s="1" t="s">
        <v>204</v>
      </c>
      <c r="AX214" s="1" t="s">
        <v>3542</v>
      </c>
      <c r="AZ214" s="1">
        <v>3931</v>
      </c>
      <c r="BA214" s="1">
        <v>2013</v>
      </c>
      <c r="BE214" s="1">
        <v>1650</v>
      </c>
      <c r="BF214" s="1">
        <v>1</v>
      </c>
      <c r="BG214" s="1">
        <v>0</v>
      </c>
      <c r="BL214" s="1">
        <v>195</v>
      </c>
      <c r="BM214" s="1" t="s">
        <v>204</v>
      </c>
      <c r="BN214" s="1" t="s">
        <v>213</v>
      </c>
      <c r="BO214" s="1">
        <v>999</v>
      </c>
      <c r="BP214" s="1" t="s">
        <v>204</v>
      </c>
      <c r="BR214" s="1" t="str">
        <f>"0720307028"</f>
        <v>0720307028</v>
      </c>
      <c r="BT214" s="1" t="s">
        <v>3543</v>
      </c>
      <c r="BU214" s="1" t="s">
        <v>1647</v>
      </c>
      <c r="BV214" s="1" t="s">
        <v>2535</v>
      </c>
      <c r="BW214" s="1" t="s">
        <v>1312</v>
      </c>
      <c r="BX214" s="1">
        <v>204</v>
      </c>
      <c r="BY214" s="1">
        <v>204</v>
      </c>
      <c r="BZ214" s="1">
        <v>204</v>
      </c>
      <c r="CB214" s="1" t="str">
        <f t="shared" ref="CB214:CC214" si="173">""</f>
        <v/>
      </c>
      <c r="CC214" s="1" t="str">
        <f t="shared" si="173"/>
        <v/>
      </c>
      <c r="CG214" s="1" t="s">
        <v>1357</v>
      </c>
      <c r="CH214" s="1" t="s">
        <v>219</v>
      </c>
      <c r="CK214" s="1" t="s">
        <v>2042</v>
      </c>
      <c r="CL214" s="1" t="s">
        <v>277</v>
      </c>
      <c r="CO214" s="1" t="s">
        <v>409</v>
      </c>
      <c r="CP214" s="1" t="s">
        <v>219</v>
      </c>
      <c r="CS214" s="1" t="s">
        <v>461</v>
      </c>
      <c r="CT214" s="1" t="s">
        <v>277</v>
      </c>
      <c r="CX214" s="1" t="s">
        <v>224</v>
      </c>
      <c r="DB214" s="1" t="s">
        <v>224</v>
      </c>
      <c r="DE214" s="1" t="s">
        <v>318</v>
      </c>
      <c r="DF214" s="1" t="s">
        <v>219</v>
      </c>
      <c r="DJ214" s="1" t="s">
        <v>224</v>
      </c>
      <c r="DM214" s="1" t="s">
        <v>1548</v>
      </c>
      <c r="DN214" s="1" t="s">
        <v>464</v>
      </c>
      <c r="DR214" s="1" t="s">
        <v>409</v>
      </c>
      <c r="DS214" s="1" t="s">
        <v>219</v>
      </c>
      <c r="DV214" s="1" t="s">
        <v>437</v>
      </c>
      <c r="DW214" s="1" t="s">
        <v>277</v>
      </c>
      <c r="EA214" s="1" t="s">
        <v>230</v>
      </c>
      <c r="EE214" s="1" t="s">
        <v>230</v>
      </c>
      <c r="EI214" s="1" t="s">
        <v>230</v>
      </c>
      <c r="EL214" s="1" t="s">
        <v>382</v>
      </c>
      <c r="EM214" s="1" t="s">
        <v>319</v>
      </c>
      <c r="EN214" s="1" t="s">
        <v>282</v>
      </c>
      <c r="EO214" s="1" t="s">
        <v>840</v>
      </c>
      <c r="ER214" s="1" t="s">
        <v>210</v>
      </c>
      <c r="EW214" s="1" t="s">
        <v>353</v>
      </c>
      <c r="EY214" s="1" t="s">
        <v>441</v>
      </c>
      <c r="EZ214" s="1" t="s">
        <v>3544</v>
      </c>
      <c r="FB214" s="1" t="s">
        <v>289</v>
      </c>
      <c r="FD214" s="1" t="s">
        <v>246</v>
      </c>
      <c r="FE214" s="1" t="s">
        <v>975</v>
      </c>
      <c r="FF214" s="1" t="s">
        <v>248</v>
      </c>
      <c r="FG214" s="1" t="s">
        <v>912</v>
      </c>
      <c r="FH214" s="1" t="s">
        <v>550</v>
      </c>
      <c r="FL214" s="1" t="s">
        <v>358</v>
      </c>
      <c r="FM214" s="1" t="s">
        <v>252</v>
      </c>
      <c r="FN214" s="1" t="s">
        <v>213</v>
      </c>
      <c r="FO214" s="1" t="s">
        <v>213</v>
      </c>
      <c r="FQ214" s="1" t="s">
        <v>3545</v>
      </c>
      <c r="FR214" s="1" t="s">
        <v>210</v>
      </c>
      <c r="FS214" s="1" t="s">
        <v>3061</v>
      </c>
      <c r="FT214" s="1" t="s">
        <v>1182</v>
      </c>
      <c r="FU214" s="1" t="s">
        <v>204</v>
      </c>
      <c r="FW214" s="1" t="s">
        <v>3546</v>
      </c>
      <c r="FX214" s="1">
        <v>24695</v>
      </c>
      <c r="FY214" s="1" t="s">
        <v>3547</v>
      </c>
      <c r="FZ214" s="1" t="s">
        <v>3548</v>
      </c>
      <c r="GA214" s="1">
        <v>233306</v>
      </c>
      <c r="GB214" s="1" t="s">
        <v>3549</v>
      </c>
      <c r="GE214" s="1" t="s">
        <v>658</v>
      </c>
      <c r="GI214" s="1" t="s">
        <v>213</v>
      </c>
      <c r="GJ214" s="1" t="s">
        <v>260</v>
      </c>
      <c r="GK214" s="1" t="s">
        <v>210</v>
      </c>
      <c r="GL214" s="2">
        <v>42069</v>
      </c>
      <c r="GM214" s="1" t="s">
        <v>3550</v>
      </c>
    </row>
    <row r="215" spans="1:195">
      <c r="A215" s="1">
        <v>126000</v>
      </c>
      <c r="B215" s="1" t="s">
        <v>195</v>
      </c>
      <c r="C215" s="1" t="str">
        <f>"08786443"</f>
        <v>08786443</v>
      </c>
      <c r="D215" s="1" t="s">
        <v>196</v>
      </c>
      <c r="F215" s="1" t="str">
        <f>"107"</f>
        <v>107</v>
      </c>
      <c r="G215" s="2">
        <v>41957</v>
      </c>
      <c r="H215" s="1">
        <v>130000</v>
      </c>
      <c r="I215" s="1">
        <v>130000</v>
      </c>
      <c r="J215" s="1">
        <v>126000</v>
      </c>
      <c r="K215" s="2">
        <v>41957</v>
      </c>
      <c r="L215" s="1">
        <v>43</v>
      </c>
      <c r="M215" s="2">
        <v>41999</v>
      </c>
      <c r="N215" s="1">
        <v>43</v>
      </c>
      <c r="O215" s="2">
        <v>41999</v>
      </c>
      <c r="P215" s="1">
        <v>25516</v>
      </c>
      <c r="Q215" s="1" t="s">
        <v>197</v>
      </c>
      <c r="R215" s="2">
        <v>42041</v>
      </c>
      <c r="S215" s="1">
        <v>239126</v>
      </c>
      <c r="U215" s="1">
        <v>8</v>
      </c>
      <c r="V215" s="1" t="s">
        <v>3551</v>
      </c>
      <c r="W215" s="1" t="s">
        <v>304</v>
      </c>
      <c r="X215" s="1" t="s">
        <v>1688</v>
      </c>
      <c r="Y215" s="1">
        <v>4</v>
      </c>
      <c r="Z215" s="1" t="s">
        <v>249</v>
      </c>
      <c r="AA215" s="1" t="s">
        <v>1211</v>
      </c>
      <c r="AB215" s="1">
        <v>60107</v>
      </c>
      <c r="AD215" s="1" t="s">
        <v>3552</v>
      </c>
      <c r="AE215" s="1" t="s">
        <v>3553</v>
      </c>
      <c r="AF215" s="1">
        <v>1991</v>
      </c>
      <c r="AG215" s="1" t="s">
        <v>204</v>
      </c>
      <c r="AH215" s="1" t="s">
        <v>1214</v>
      </c>
      <c r="AI215" s="1" t="s">
        <v>310</v>
      </c>
      <c r="AJ215" s="1" t="s">
        <v>374</v>
      </c>
      <c r="AK215" s="1" t="s">
        <v>3554</v>
      </c>
      <c r="AL215" s="1">
        <v>4</v>
      </c>
      <c r="AM215" s="1">
        <v>2</v>
      </c>
      <c r="AN215" s="1">
        <v>2</v>
      </c>
      <c r="AO215" s="1">
        <v>0</v>
      </c>
      <c r="AP215" s="1" t="s">
        <v>209</v>
      </c>
      <c r="AR215" s="1" t="s">
        <v>210</v>
      </c>
      <c r="AT215" s="1" t="s">
        <v>211</v>
      </c>
      <c r="AU215" s="1">
        <v>1</v>
      </c>
      <c r="AW215" s="1" t="s">
        <v>204</v>
      </c>
      <c r="AX215" s="1" t="s">
        <v>212</v>
      </c>
      <c r="AZ215" s="1">
        <v>1963</v>
      </c>
      <c r="BA215" s="1">
        <v>2013</v>
      </c>
      <c r="BB215" s="1" t="s">
        <v>405</v>
      </c>
      <c r="BE215" s="1">
        <v>1312</v>
      </c>
      <c r="BF215" s="1">
        <v>2</v>
      </c>
      <c r="BG215" s="1">
        <v>0</v>
      </c>
      <c r="BL215" s="1">
        <v>225</v>
      </c>
      <c r="BM215" s="1" t="s">
        <v>204</v>
      </c>
      <c r="BN215" s="1" t="s">
        <v>213</v>
      </c>
      <c r="BO215" s="1">
        <v>999</v>
      </c>
      <c r="BP215" s="1" t="s">
        <v>204</v>
      </c>
      <c r="BR215" s="1" t="str">
        <f>"06223030361256"</f>
        <v>06223030361256</v>
      </c>
      <c r="BT215" s="1" t="s">
        <v>3555</v>
      </c>
      <c r="BU215" s="1" t="s">
        <v>3556</v>
      </c>
      <c r="BV215" s="1" t="s">
        <v>3557</v>
      </c>
      <c r="BW215" s="1" t="s">
        <v>1217</v>
      </c>
      <c r="BX215" s="1">
        <v>46</v>
      </c>
      <c r="BY215" s="1">
        <v>46</v>
      </c>
      <c r="BZ215" s="1">
        <v>46</v>
      </c>
      <c r="CB215" s="1" t="str">
        <f>"10"</f>
        <v>10</v>
      </c>
      <c r="CC215" s="1" t="str">
        <f>"0"</f>
        <v>0</v>
      </c>
      <c r="CD215" s="1">
        <v>29</v>
      </c>
      <c r="CE215" s="1">
        <v>0</v>
      </c>
      <c r="CG215" s="1" t="s">
        <v>3558</v>
      </c>
      <c r="CH215" s="1" t="s">
        <v>277</v>
      </c>
      <c r="CI215" s="1" t="s">
        <v>220</v>
      </c>
      <c r="CK215" s="1" t="s">
        <v>669</v>
      </c>
      <c r="CL215" s="1" t="s">
        <v>277</v>
      </c>
      <c r="CM215" s="1" t="s">
        <v>220</v>
      </c>
      <c r="CP215" s="1" t="s">
        <v>224</v>
      </c>
      <c r="CS215" s="1" t="s">
        <v>379</v>
      </c>
      <c r="CT215" s="1" t="s">
        <v>277</v>
      </c>
      <c r="CU215" s="1" t="s">
        <v>220</v>
      </c>
      <c r="CX215" s="1" t="s">
        <v>224</v>
      </c>
      <c r="DB215" s="1" t="s">
        <v>224</v>
      </c>
      <c r="DE215" s="1" t="s">
        <v>669</v>
      </c>
      <c r="DF215" s="1" t="s">
        <v>277</v>
      </c>
      <c r="DG215" s="1" t="s">
        <v>229</v>
      </c>
      <c r="DJ215" s="1" t="s">
        <v>224</v>
      </c>
      <c r="DS215" s="1" t="s">
        <v>230</v>
      </c>
      <c r="DW215" s="1" t="s">
        <v>230</v>
      </c>
      <c r="EA215" s="1" t="s">
        <v>230</v>
      </c>
      <c r="EE215" s="1" t="s">
        <v>230</v>
      </c>
      <c r="EI215" s="1" t="s">
        <v>230</v>
      </c>
      <c r="EL215" s="1" t="s">
        <v>382</v>
      </c>
      <c r="EM215" s="1" t="s">
        <v>319</v>
      </c>
      <c r="EN215" s="1" t="s">
        <v>282</v>
      </c>
      <c r="EO215" s="1" t="s">
        <v>3559</v>
      </c>
      <c r="EP215" s="1" t="s">
        <v>2331</v>
      </c>
      <c r="EQ215" s="1" t="s">
        <v>1094</v>
      </c>
      <c r="ER215" s="1" t="s">
        <v>210</v>
      </c>
      <c r="ES215" s="1" t="s">
        <v>322</v>
      </c>
      <c r="ET215" s="1" t="s">
        <v>842</v>
      </c>
      <c r="EU215" s="1" t="s">
        <v>1110</v>
      </c>
      <c r="EW215" s="1" t="s">
        <v>937</v>
      </c>
      <c r="EZ215" s="1" t="s">
        <v>287</v>
      </c>
      <c r="FA215" s="1" t="s">
        <v>1072</v>
      </c>
      <c r="FB215" s="1" t="s">
        <v>289</v>
      </c>
      <c r="FC215" s="1" t="s">
        <v>1362</v>
      </c>
      <c r="FD215" s="1" t="s">
        <v>246</v>
      </c>
      <c r="FE215" s="1" t="s">
        <v>247</v>
      </c>
      <c r="FF215" s="1" t="s">
        <v>1113</v>
      </c>
      <c r="FH215" s="1" t="s">
        <v>388</v>
      </c>
      <c r="FI215" s="1" t="s">
        <v>357</v>
      </c>
      <c r="FL215" s="1" t="s">
        <v>414</v>
      </c>
      <c r="FM215" s="1" t="s">
        <v>252</v>
      </c>
      <c r="FN215" s="1" t="s">
        <v>213</v>
      </c>
      <c r="FO215" s="1" t="s">
        <v>213</v>
      </c>
      <c r="FQ215" s="1" t="s">
        <v>3560</v>
      </c>
      <c r="FR215" s="1" t="s">
        <v>210</v>
      </c>
      <c r="FS215" s="1" t="s">
        <v>3561</v>
      </c>
      <c r="FT215" s="1" t="s">
        <v>3562</v>
      </c>
      <c r="FU215" s="1" t="s">
        <v>204</v>
      </c>
      <c r="FV215" s="1" t="s">
        <v>3563</v>
      </c>
      <c r="FW215" s="1" t="s">
        <v>1097</v>
      </c>
      <c r="FX215" s="1">
        <v>8094</v>
      </c>
      <c r="FY215" s="1" t="s">
        <v>1829</v>
      </c>
      <c r="FZ215" s="1" t="s">
        <v>3564</v>
      </c>
      <c r="GA215" s="1">
        <v>83317</v>
      </c>
      <c r="GB215" s="1" t="s">
        <v>3565</v>
      </c>
      <c r="GE215" s="1" t="s">
        <v>210</v>
      </c>
      <c r="GI215" s="1" t="s">
        <v>213</v>
      </c>
      <c r="GJ215" s="1" t="s">
        <v>260</v>
      </c>
      <c r="GK215" s="1" t="s">
        <v>210</v>
      </c>
      <c r="GL215" s="2">
        <v>42041</v>
      </c>
    </row>
    <row r="216" spans="1:195">
      <c r="A216" s="1">
        <v>58000</v>
      </c>
      <c r="B216" s="1" t="s">
        <v>195</v>
      </c>
      <c r="C216" s="1" t="str">
        <f>"08771991"</f>
        <v>08771991</v>
      </c>
      <c r="D216" s="1" t="s">
        <v>196</v>
      </c>
      <c r="F216" s="1" t="str">
        <f>"139"</f>
        <v>139</v>
      </c>
      <c r="G216" s="2">
        <v>41952</v>
      </c>
      <c r="H216" s="1">
        <v>69900</v>
      </c>
      <c r="I216" s="1">
        <v>69900</v>
      </c>
      <c r="J216" s="1">
        <v>58000</v>
      </c>
      <c r="K216" s="2">
        <v>41952</v>
      </c>
      <c r="L216" s="1">
        <v>282</v>
      </c>
      <c r="M216" s="2">
        <v>42001</v>
      </c>
      <c r="N216" s="1">
        <v>50</v>
      </c>
      <c r="O216" s="2">
        <v>42001</v>
      </c>
      <c r="P216" s="1">
        <v>25042</v>
      </c>
      <c r="Q216" s="1" t="s">
        <v>302</v>
      </c>
      <c r="R216" s="2">
        <v>42027</v>
      </c>
      <c r="S216" s="1">
        <v>245752</v>
      </c>
      <c r="U216" s="1">
        <v>182</v>
      </c>
      <c r="V216" s="1" t="s">
        <v>3566</v>
      </c>
      <c r="W216" s="1" t="s">
        <v>264</v>
      </c>
      <c r="X216" s="1">
        <v>102</v>
      </c>
      <c r="Y216" s="1">
        <v>6</v>
      </c>
      <c r="Z216" s="1" t="s">
        <v>249</v>
      </c>
      <c r="AA216" s="1" t="s">
        <v>1732</v>
      </c>
      <c r="AB216" s="1">
        <v>60139</v>
      </c>
      <c r="AD216" s="1" t="s">
        <v>3567</v>
      </c>
      <c r="AE216" s="1" t="s">
        <v>3568</v>
      </c>
      <c r="AF216" s="1">
        <v>1980</v>
      </c>
      <c r="AG216" s="1" t="s">
        <v>204</v>
      </c>
      <c r="AH216" s="1" t="s">
        <v>1735</v>
      </c>
      <c r="AI216" s="1" t="s">
        <v>206</v>
      </c>
      <c r="AJ216" s="1" t="s">
        <v>269</v>
      </c>
      <c r="AL216" s="1">
        <v>5</v>
      </c>
      <c r="AM216" s="1">
        <v>2</v>
      </c>
      <c r="AN216" s="1">
        <v>1</v>
      </c>
      <c r="AO216" s="1">
        <v>0</v>
      </c>
      <c r="AP216" s="1" t="s">
        <v>210</v>
      </c>
      <c r="AR216" s="1" t="s">
        <v>210</v>
      </c>
      <c r="AS216" s="1" t="s">
        <v>204</v>
      </c>
      <c r="AT216" s="1" t="s">
        <v>271</v>
      </c>
      <c r="AV216" s="1">
        <v>1</v>
      </c>
      <c r="AW216" s="1" t="s">
        <v>204</v>
      </c>
      <c r="AX216" s="1" t="s">
        <v>212</v>
      </c>
      <c r="AZ216" s="1">
        <v>1114</v>
      </c>
      <c r="BA216" s="1">
        <v>2013</v>
      </c>
      <c r="BB216" s="1" t="s">
        <v>210</v>
      </c>
      <c r="BE216" s="1">
        <v>843</v>
      </c>
      <c r="BF216" s="1">
        <v>1</v>
      </c>
      <c r="BG216" s="1">
        <v>30</v>
      </c>
      <c r="BL216" s="1">
        <v>235</v>
      </c>
      <c r="BM216" s="1" t="s">
        <v>204</v>
      </c>
      <c r="BN216" s="1" t="s">
        <v>213</v>
      </c>
      <c r="BO216" s="1">
        <v>20</v>
      </c>
      <c r="BP216" s="1" t="s">
        <v>204</v>
      </c>
      <c r="BR216" s="1" t="str">
        <f>"0222112038"</f>
        <v>0222112038</v>
      </c>
      <c r="BT216" s="1" t="s">
        <v>3569</v>
      </c>
      <c r="BU216" s="1" t="s">
        <v>3570</v>
      </c>
      <c r="BV216" s="1" t="s">
        <v>2015</v>
      </c>
      <c r="BW216" s="1" t="s">
        <v>1935</v>
      </c>
      <c r="BX216" s="1">
        <v>15</v>
      </c>
      <c r="BY216" s="1">
        <v>15</v>
      </c>
      <c r="BZ216" s="1">
        <v>87</v>
      </c>
      <c r="CB216" s="1" t="str">
        <f>"4"</f>
        <v>4</v>
      </c>
      <c r="CC216" s="1" t="str">
        <f>""</f>
        <v/>
      </c>
      <c r="CD216" s="1">
        <v>23</v>
      </c>
      <c r="CG216" s="1" t="s">
        <v>315</v>
      </c>
      <c r="CH216" s="1" t="s">
        <v>219</v>
      </c>
      <c r="CI216" s="1" t="s">
        <v>229</v>
      </c>
      <c r="CK216" s="1" t="s">
        <v>539</v>
      </c>
      <c r="CL216" s="1" t="s">
        <v>219</v>
      </c>
      <c r="CM216" s="1" t="s">
        <v>229</v>
      </c>
      <c r="CO216" s="1" t="s">
        <v>837</v>
      </c>
      <c r="CP216" s="1" t="s">
        <v>219</v>
      </c>
      <c r="CQ216" s="1" t="s">
        <v>229</v>
      </c>
      <c r="CS216" s="1" t="s">
        <v>465</v>
      </c>
      <c r="CT216" s="1" t="s">
        <v>219</v>
      </c>
      <c r="CU216" s="1" t="s">
        <v>229</v>
      </c>
      <c r="CX216" s="1" t="s">
        <v>224</v>
      </c>
      <c r="DB216" s="1" t="s">
        <v>224</v>
      </c>
      <c r="DE216" s="1" t="s">
        <v>379</v>
      </c>
      <c r="DF216" s="1" t="s">
        <v>219</v>
      </c>
      <c r="DG216" s="1" t="s">
        <v>229</v>
      </c>
      <c r="DJ216" s="1" t="s">
        <v>224</v>
      </c>
      <c r="DS216" s="1" t="s">
        <v>230</v>
      </c>
      <c r="DW216" s="1" t="s">
        <v>230</v>
      </c>
      <c r="EA216" s="1" t="s">
        <v>230</v>
      </c>
      <c r="EE216" s="1" t="s">
        <v>230</v>
      </c>
      <c r="EI216" s="1" t="s">
        <v>230</v>
      </c>
      <c r="EL216" s="1" t="s">
        <v>231</v>
      </c>
      <c r="EM216" s="1" t="s">
        <v>232</v>
      </c>
      <c r="EN216" s="1" t="s">
        <v>731</v>
      </c>
      <c r="EO216" s="1" t="s">
        <v>234</v>
      </c>
      <c r="EP216" s="1" t="s">
        <v>3571</v>
      </c>
      <c r="EQ216" s="1" t="s">
        <v>3572</v>
      </c>
      <c r="ER216" s="1" t="s">
        <v>210</v>
      </c>
      <c r="ES216" s="1" t="s">
        <v>322</v>
      </c>
      <c r="EU216" s="1" t="s">
        <v>239</v>
      </c>
      <c r="EV216" s="1" t="s">
        <v>240</v>
      </c>
      <c r="EW216" s="1" t="s">
        <v>937</v>
      </c>
      <c r="EY216" s="1" t="s">
        <v>790</v>
      </c>
      <c r="EZ216" s="1" t="s">
        <v>287</v>
      </c>
      <c r="FA216" s="1" t="s">
        <v>3573</v>
      </c>
      <c r="FB216" s="1" t="s">
        <v>289</v>
      </c>
      <c r="FC216" s="1" t="s">
        <v>326</v>
      </c>
      <c r="FD216" s="1" t="s">
        <v>495</v>
      </c>
      <c r="FE216" s="1" t="s">
        <v>975</v>
      </c>
      <c r="FF216" s="1" t="s">
        <v>3574</v>
      </c>
      <c r="FH216" s="1" t="s">
        <v>249</v>
      </c>
      <c r="FJ216" s="1" t="s">
        <v>197</v>
      </c>
      <c r="FK216" s="1" t="s">
        <v>3575</v>
      </c>
      <c r="FL216" s="1" t="s">
        <v>614</v>
      </c>
      <c r="FM216" s="1" t="s">
        <v>252</v>
      </c>
      <c r="FN216" s="1" t="s">
        <v>213</v>
      </c>
      <c r="FO216" s="1" t="s">
        <v>213</v>
      </c>
      <c r="FQ216" s="1" t="s">
        <v>3415</v>
      </c>
      <c r="FR216" s="1" t="s">
        <v>210</v>
      </c>
      <c r="FS216" s="1" t="s">
        <v>3576</v>
      </c>
      <c r="FT216" s="1" t="s">
        <v>675</v>
      </c>
      <c r="FU216" s="1" t="s">
        <v>204</v>
      </c>
      <c r="FV216" s="1" t="s">
        <v>3577</v>
      </c>
      <c r="FW216" s="1" t="s">
        <v>3578</v>
      </c>
      <c r="FX216" s="1">
        <v>1118</v>
      </c>
      <c r="FY216" s="1" t="s">
        <v>3579</v>
      </c>
      <c r="FZ216" s="1" t="s">
        <v>3580</v>
      </c>
      <c r="GA216" s="1">
        <v>88102</v>
      </c>
      <c r="GB216" s="1" t="s">
        <v>3581</v>
      </c>
      <c r="GC216" s="1">
        <v>80385</v>
      </c>
      <c r="GD216" s="1" t="s">
        <v>3582</v>
      </c>
      <c r="GE216" s="1" t="s">
        <v>210</v>
      </c>
      <c r="GI216" s="1" t="s">
        <v>204</v>
      </c>
      <c r="GJ216" s="1" t="s">
        <v>260</v>
      </c>
      <c r="GK216" s="1" t="s">
        <v>210</v>
      </c>
      <c r="GL216" s="2">
        <v>42027</v>
      </c>
      <c r="GM216" s="1" t="s">
        <v>3583</v>
      </c>
    </row>
    <row r="217" spans="1:195">
      <c r="A217" s="1">
        <v>306500</v>
      </c>
      <c r="B217" s="1" t="s">
        <v>195</v>
      </c>
      <c r="C217" s="1" t="str">
        <f>"08787614"</f>
        <v>08787614</v>
      </c>
      <c r="D217" s="1" t="s">
        <v>196</v>
      </c>
      <c r="F217" s="1" t="str">
        <f>"532"</f>
        <v>532</v>
      </c>
      <c r="G217" s="2">
        <v>41960</v>
      </c>
      <c r="H217" s="1">
        <v>325500</v>
      </c>
      <c r="I217" s="1">
        <v>313000</v>
      </c>
      <c r="J217" s="1">
        <v>306500</v>
      </c>
      <c r="K217" s="2">
        <v>41960</v>
      </c>
      <c r="L217" s="1">
        <v>145</v>
      </c>
      <c r="M217" s="2">
        <v>42104</v>
      </c>
      <c r="N217" s="1">
        <v>145</v>
      </c>
      <c r="O217" s="2">
        <v>42104</v>
      </c>
      <c r="P217" s="1">
        <v>21823</v>
      </c>
      <c r="Q217" s="1" t="s">
        <v>302</v>
      </c>
      <c r="R217" s="2">
        <v>42129</v>
      </c>
      <c r="S217" s="1">
        <v>259316</v>
      </c>
      <c r="U217" s="1">
        <v>6130</v>
      </c>
      <c r="V217" s="1" t="s">
        <v>3584</v>
      </c>
      <c r="W217" s="1" t="s">
        <v>264</v>
      </c>
      <c r="Y217" s="1">
        <v>4</v>
      </c>
      <c r="Z217" s="1" t="s">
        <v>200</v>
      </c>
      <c r="AA217" s="1" t="s">
        <v>1566</v>
      </c>
      <c r="AB217" s="1">
        <v>60532</v>
      </c>
      <c r="AD217" s="1" t="s">
        <v>3585</v>
      </c>
      <c r="AE217" s="1" t="s">
        <v>3586</v>
      </c>
      <c r="AF217" s="1">
        <v>1998</v>
      </c>
      <c r="AG217" s="1" t="s">
        <v>204</v>
      </c>
      <c r="AH217" s="1" t="s">
        <v>925</v>
      </c>
      <c r="AI217" s="1" t="s">
        <v>206</v>
      </c>
      <c r="AJ217" s="1" t="s">
        <v>925</v>
      </c>
      <c r="AK217" s="1" t="s">
        <v>3587</v>
      </c>
      <c r="AL217" s="1">
        <v>7</v>
      </c>
      <c r="AM217" s="1">
        <v>2</v>
      </c>
      <c r="AN217" s="1">
        <v>3</v>
      </c>
      <c r="AO217" s="1">
        <v>1</v>
      </c>
      <c r="AP217" s="1" t="s">
        <v>209</v>
      </c>
      <c r="AQ217" s="1">
        <v>1</v>
      </c>
      <c r="AR217" s="1" t="s">
        <v>209</v>
      </c>
      <c r="AS217" s="1" t="s">
        <v>213</v>
      </c>
      <c r="AT217" s="1" t="s">
        <v>211</v>
      </c>
      <c r="AU217" s="1">
        <v>2</v>
      </c>
      <c r="AW217" s="1" t="s">
        <v>204</v>
      </c>
      <c r="AX217" s="1" t="s">
        <v>3588</v>
      </c>
      <c r="AZ217" s="1">
        <v>8887</v>
      </c>
      <c r="BA217" s="1">
        <v>2013</v>
      </c>
      <c r="BB217" s="1" t="s">
        <v>599</v>
      </c>
      <c r="BE217" s="1">
        <v>1661</v>
      </c>
      <c r="BF217" s="1">
        <v>1</v>
      </c>
      <c r="BG217" s="1">
        <v>0</v>
      </c>
      <c r="BL217" s="1">
        <v>220</v>
      </c>
      <c r="BM217" s="1" t="s">
        <v>204</v>
      </c>
      <c r="BN217" s="1" t="s">
        <v>213</v>
      </c>
      <c r="BO217" s="1">
        <v>0</v>
      </c>
      <c r="BP217" s="1" t="s">
        <v>204</v>
      </c>
      <c r="BR217" s="1" t="str">
        <f>"0815318001"</f>
        <v>0815318001</v>
      </c>
      <c r="BT217" s="1" t="s">
        <v>3589</v>
      </c>
      <c r="BX217" s="1">
        <v>68</v>
      </c>
      <c r="BY217" s="1">
        <v>68</v>
      </c>
      <c r="BZ217" s="1">
        <v>99</v>
      </c>
      <c r="CB217" s="1" t="str">
        <f t="shared" ref="CB217:CC217" si="174">""</f>
        <v/>
      </c>
      <c r="CC217" s="1" t="str">
        <f t="shared" si="174"/>
        <v/>
      </c>
      <c r="CG217" s="1" t="s">
        <v>1177</v>
      </c>
      <c r="CH217" s="1" t="s">
        <v>219</v>
      </c>
      <c r="CI217" s="1" t="s">
        <v>220</v>
      </c>
      <c r="CJ217" s="1" t="s">
        <v>3590</v>
      </c>
      <c r="CK217" s="1" t="s">
        <v>2122</v>
      </c>
      <c r="CL217" s="1" t="s">
        <v>219</v>
      </c>
      <c r="CM217" s="1" t="s">
        <v>220</v>
      </c>
      <c r="CN217" s="1" t="s">
        <v>3590</v>
      </c>
      <c r="CO217" s="1" t="s">
        <v>951</v>
      </c>
      <c r="CP217" s="1" t="s">
        <v>219</v>
      </c>
      <c r="CQ217" s="1" t="s">
        <v>438</v>
      </c>
      <c r="CR217" s="1" t="s">
        <v>3590</v>
      </c>
      <c r="CS217" s="1" t="s">
        <v>3591</v>
      </c>
      <c r="CT217" s="1" t="s">
        <v>277</v>
      </c>
      <c r="CU217" s="1" t="s">
        <v>220</v>
      </c>
      <c r="CV217" s="1" t="s">
        <v>3590</v>
      </c>
      <c r="CX217" s="1" t="s">
        <v>224</v>
      </c>
      <c r="DB217" s="1" t="s">
        <v>224</v>
      </c>
      <c r="DE217" s="1" t="s">
        <v>2170</v>
      </c>
      <c r="DF217" s="1" t="s">
        <v>219</v>
      </c>
      <c r="DG217" s="1" t="s">
        <v>438</v>
      </c>
      <c r="DH217" s="1" t="s">
        <v>210</v>
      </c>
      <c r="DJ217" s="1" t="s">
        <v>224</v>
      </c>
      <c r="DM217" s="1" t="s">
        <v>464</v>
      </c>
      <c r="DN217" s="1" t="s">
        <v>3592</v>
      </c>
      <c r="DR217" s="1" t="s">
        <v>2122</v>
      </c>
      <c r="DS217" s="1" t="s">
        <v>277</v>
      </c>
      <c r="DT217" s="1" t="s">
        <v>220</v>
      </c>
      <c r="DV217" s="1" t="s">
        <v>2123</v>
      </c>
      <c r="DW217" s="1" t="s">
        <v>277</v>
      </c>
      <c r="DX217" s="1" t="s">
        <v>220</v>
      </c>
      <c r="DY217" s="1" t="s">
        <v>3590</v>
      </c>
      <c r="EA217" s="1" t="s">
        <v>230</v>
      </c>
      <c r="EE217" s="1" t="s">
        <v>230</v>
      </c>
      <c r="EI217" s="1" t="s">
        <v>230</v>
      </c>
      <c r="EL217" s="1" t="s">
        <v>670</v>
      </c>
      <c r="EM217" s="1" t="s">
        <v>319</v>
      </c>
      <c r="EN217" s="1" t="s">
        <v>282</v>
      </c>
      <c r="EO217" s="1" t="s">
        <v>234</v>
      </c>
      <c r="EP217" s="1" t="s">
        <v>1489</v>
      </c>
      <c r="EQ217" s="1" t="s">
        <v>953</v>
      </c>
      <c r="ER217" s="1" t="s">
        <v>544</v>
      </c>
      <c r="ES217" s="1" t="s">
        <v>322</v>
      </c>
      <c r="ET217" s="1" t="s">
        <v>323</v>
      </c>
      <c r="EU217" s="1" t="s">
        <v>1820</v>
      </c>
      <c r="EV217" s="1" t="s">
        <v>324</v>
      </c>
      <c r="EW217" s="1" t="s">
        <v>887</v>
      </c>
      <c r="EY217" s="1" t="s">
        <v>441</v>
      </c>
      <c r="EZ217" s="1" t="s">
        <v>3593</v>
      </c>
      <c r="FD217" s="1" t="s">
        <v>246</v>
      </c>
      <c r="FE217" s="1" t="s">
        <v>386</v>
      </c>
      <c r="FF217" s="1" t="s">
        <v>248</v>
      </c>
      <c r="FG217" s="1" t="s">
        <v>912</v>
      </c>
      <c r="FH217" s="1" t="s">
        <v>550</v>
      </c>
      <c r="FI217" s="1" t="s">
        <v>473</v>
      </c>
      <c r="FL217" s="1" t="s">
        <v>3594</v>
      </c>
      <c r="FM217" s="1" t="s">
        <v>252</v>
      </c>
      <c r="FN217" s="1" t="s">
        <v>213</v>
      </c>
      <c r="FO217" s="1" t="s">
        <v>213</v>
      </c>
      <c r="FQ217" s="1" t="s">
        <v>569</v>
      </c>
      <c r="FR217" s="1" t="s">
        <v>210</v>
      </c>
      <c r="FS217" s="1" t="s">
        <v>3595</v>
      </c>
      <c r="FT217" s="1" t="s">
        <v>362</v>
      </c>
      <c r="FU217" s="1" t="s">
        <v>204</v>
      </c>
      <c r="FW217" s="1" t="s">
        <v>1559</v>
      </c>
      <c r="FX217" s="1">
        <v>23312</v>
      </c>
      <c r="FY217" s="1" t="s">
        <v>3596</v>
      </c>
      <c r="FZ217" s="1" t="s">
        <v>3597</v>
      </c>
      <c r="GA217" s="1">
        <v>230871</v>
      </c>
      <c r="GB217" s="1" t="s">
        <v>3598</v>
      </c>
      <c r="GE217" s="1" t="s">
        <v>480</v>
      </c>
      <c r="GI217" s="1" t="s">
        <v>213</v>
      </c>
      <c r="GJ217" s="1" t="s">
        <v>260</v>
      </c>
      <c r="GK217" s="1" t="s">
        <v>210</v>
      </c>
      <c r="GL217" s="2">
        <v>42129</v>
      </c>
      <c r="GM217" s="1" t="s">
        <v>3599</v>
      </c>
    </row>
    <row r="218" spans="1:195">
      <c r="A218" s="1">
        <v>85000</v>
      </c>
      <c r="B218" s="1" t="s">
        <v>195</v>
      </c>
      <c r="C218" s="1" t="str">
        <f>"08771034"</f>
        <v>08771034</v>
      </c>
      <c r="D218" s="1" t="s">
        <v>196</v>
      </c>
      <c r="F218" s="1" t="str">
        <f>"123"</f>
        <v>123</v>
      </c>
      <c r="G218" s="2">
        <v>41950</v>
      </c>
      <c r="H218" s="1">
        <v>119900</v>
      </c>
      <c r="I218" s="1">
        <v>99900</v>
      </c>
      <c r="J218" s="1">
        <v>85000</v>
      </c>
      <c r="K218" s="2">
        <v>41950</v>
      </c>
      <c r="L218" s="1">
        <v>36</v>
      </c>
      <c r="M218" s="2">
        <v>41985</v>
      </c>
      <c r="N218" s="1">
        <v>36</v>
      </c>
      <c r="O218" s="2">
        <v>41985</v>
      </c>
      <c r="P218" s="1">
        <v>8094</v>
      </c>
      <c r="Q218" s="1" t="s">
        <v>302</v>
      </c>
      <c r="R218" s="2">
        <v>42095</v>
      </c>
      <c r="S218" s="1">
        <v>28343</v>
      </c>
      <c r="U218" s="1">
        <v>1064</v>
      </c>
      <c r="V218" s="1" t="s">
        <v>3600</v>
      </c>
      <c r="W218" s="1" t="s">
        <v>1056</v>
      </c>
      <c r="X218" s="1">
        <v>4</v>
      </c>
      <c r="Y218" s="1">
        <v>6</v>
      </c>
      <c r="Z218" s="1" t="s">
        <v>249</v>
      </c>
      <c r="AA218" s="1" t="s">
        <v>1173</v>
      </c>
      <c r="AB218" s="1">
        <v>60120</v>
      </c>
      <c r="AD218" s="1" t="s">
        <v>3601</v>
      </c>
      <c r="AE218" s="1" t="s">
        <v>3602</v>
      </c>
      <c r="AF218" s="1">
        <v>1991</v>
      </c>
      <c r="AG218" s="1" t="s">
        <v>204</v>
      </c>
      <c r="AH218" s="1" t="s">
        <v>1175</v>
      </c>
      <c r="AI218" s="1" t="s">
        <v>310</v>
      </c>
      <c r="AJ218" s="1" t="s">
        <v>374</v>
      </c>
      <c r="AL218" s="1">
        <v>5</v>
      </c>
      <c r="AM218" s="1">
        <v>2</v>
      </c>
      <c r="AN218" s="1">
        <v>2</v>
      </c>
      <c r="AO218" s="1">
        <v>1</v>
      </c>
      <c r="AP218" s="1" t="s">
        <v>209</v>
      </c>
      <c r="AQ218" s="1">
        <v>1</v>
      </c>
      <c r="AR218" s="1" t="s">
        <v>210</v>
      </c>
      <c r="AS218" s="1" t="s">
        <v>204</v>
      </c>
      <c r="AT218" s="1" t="s">
        <v>211</v>
      </c>
      <c r="AU218" s="1">
        <v>1</v>
      </c>
      <c r="AW218" s="1" t="s">
        <v>204</v>
      </c>
      <c r="AX218" s="1" t="s">
        <v>212</v>
      </c>
      <c r="AZ218" s="5">
        <v>2399.04</v>
      </c>
      <c r="BA218" s="1">
        <v>2013</v>
      </c>
      <c r="BB218" s="1" t="s">
        <v>405</v>
      </c>
      <c r="BE218" s="1">
        <v>0</v>
      </c>
      <c r="BF218" s="1">
        <v>1</v>
      </c>
      <c r="BG218" s="1">
        <v>0</v>
      </c>
      <c r="BL218" s="1">
        <v>187</v>
      </c>
      <c r="BM218" s="1" t="s">
        <v>204</v>
      </c>
      <c r="BN218" s="1" t="s">
        <v>213</v>
      </c>
      <c r="BO218" s="1">
        <v>999</v>
      </c>
      <c r="BP218" s="1" t="s">
        <v>204</v>
      </c>
      <c r="BR218" s="1" t="str">
        <f>"06074000121126"</f>
        <v>06074000121126</v>
      </c>
      <c r="BT218" s="1" t="s">
        <v>3603</v>
      </c>
      <c r="BU218" s="1" t="s">
        <v>969</v>
      </c>
      <c r="BV218" s="1" t="s">
        <v>3604</v>
      </c>
      <c r="BW218" s="1" t="s">
        <v>2058</v>
      </c>
      <c r="BX218" s="1">
        <v>46</v>
      </c>
      <c r="BY218" s="1">
        <v>46</v>
      </c>
      <c r="BZ218" s="1">
        <v>46</v>
      </c>
      <c r="CB218" s="1" t="str">
        <f>"12"</f>
        <v>12</v>
      </c>
      <c r="CC218" s="1" t="str">
        <f>""</f>
        <v/>
      </c>
      <c r="CD218" s="1">
        <v>32</v>
      </c>
      <c r="CG218" s="1" t="s">
        <v>315</v>
      </c>
      <c r="CH218" s="1" t="s">
        <v>219</v>
      </c>
      <c r="CI218" s="1" t="s">
        <v>229</v>
      </c>
      <c r="CK218" s="1" t="s">
        <v>315</v>
      </c>
      <c r="CL218" s="1" t="s">
        <v>277</v>
      </c>
      <c r="CM218" s="1" t="s">
        <v>220</v>
      </c>
      <c r="CO218" s="1" t="s">
        <v>2138</v>
      </c>
      <c r="CP218" s="1" t="s">
        <v>219</v>
      </c>
      <c r="CQ218" s="1" t="s">
        <v>229</v>
      </c>
      <c r="CS218" s="1" t="s">
        <v>1358</v>
      </c>
      <c r="CT218" s="1" t="s">
        <v>277</v>
      </c>
      <c r="CU218" s="1" t="s">
        <v>220</v>
      </c>
      <c r="CX218" s="1" t="s">
        <v>224</v>
      </c>
      <c r="DB218" s="1" t="s">
        <v>224</v>
      </c>
      <c r="DE218" s="1" t="s">
        <v>2138</v>
      </c>
      <c r="DF218" s="1" t="s">
        <v>219</v>
      </c>
      <c r="DG218" s="1" t="s">
        <v>226</v>
      </c>
      <c r="DJ218" s="1" t="s">
        <v>224</v>
      </c>
      <c r="DM218" s="1" t="s">
        <v>709</v>
      </c>
      <c r="DR218" s="1" t="s">
        <v>2308</v>
      </c>
      <c r="DS218" s="1" t="s">
        <v>219</v>
      </c>
      <c r="DT218" s="1" t="s">
        <v>229</v>
      </c>
      <c r="DW218" s="1" t="s">
        <v>230</v>
      </c>
      <c r="EA218" s="1" t="s">
        <v>230</v>
      </c>
      <c r="EE218" s="1" t="s">
        <v>230</v>
      </c>
      <c r="EI218" s="1" t="s">
        <v>230</v>
      </c>
      <c r="EL218" s="1" t="s">
        <v>382</v>
      </c>
      <c r="EM218" s="1" t="s">
        <v>319</v>
      </c>
      <c r="EN218" s="1" t="s">
        <v>282</v>
      </c>
      <c r="EO218" s="1" t="s">
        <v>234</v>
      </c>
      <c r="EP218" s="1" t="s">
        <v>650</v>
      </c>
      <c r="EQ218" s="1" t="s">
        <v>350</v>
      </c>
      <c r="ER218" s="1" t="s">
        <v>210</v>
      </c>
      <c r="EU218" s="1" t="s">
        <v>239</v>
      </c>
      <c r="EV218" s="1" t="s">
        <v>324</v>
      </c>
      <c r="EW218" s="1" t="s">
        <v>887</v>
      </c>
      <c r="EZ218" s="1" t="s">
        <v>709</v>
      </c>
      <c r="FB218" s="1" t="s">
        <v>289</v>
      </c>
      <c r="FD218" s="1" t="s">
        <v>495</v>
      </c>
      <c r="FE218" s="1" t="s">
        <v>870</v>
      </c>
      <c r="FF218" s="1" t="s">
        <v>248</v>
      </c>
      <c r="FH218" s="1" t="s">
        <v>249</v>
      </c>
      <c r="FI218" s="1" t="s">
        <v>473</v>
      </c>
      <c r="FJ218" s="1" t="s">
        <v>197</v>
      </c>
      <c r="FL218" s="1" t="s">
        <v>358</v>
      </c>
      <c r="FM218" s="1" t="s">
        <v>252</v>
      </c>
      <c r="FN218" s="1" t="s">
        <v>213</v>
      </c>
      <c r="FO218" s="1" t="s">
        <v>213</v>
      </c>
      <c r="FQ218" s="1" t="s">
        <v>2004</v>
      </c>
      <c r="FR218" s="1" t="s">
        <v>360</v>
      </c>
      <c r="FS218" s="1" t="s">
        <v>3605</v>
      </c>
      <c r="FT218" s="1" t="s">
        <v>295</v>
      </c>
      <c r="FU218" s="1" t="s">
        <v>204</v>
      </c>
      <c r="FW218" s="1" t="s">
        <v>1475</v>
      </c>
      <c r="FX218" s="1">
        <v>23265</v>
      </c>
      <c r="FY218" s="1" t="s">
        <v>1476</v>
      </c>
      <c r="FZ218" s="1" t="s">
        <v>3606</v>
      </c>
      <c r="GA218" s="1">
        <v>232884</v>
      </c>
      <c r="GB218" s="1" t="s">
        <v>3607</v>
      </c>
      <c r="GE218" s="1" t="s">
        <v>480</v>
      </c>
      <c r="GI218" s="1" t="s">
        <v>213</v>
      </c>
      <c r="GJ218" s="1" t="s">
        <v>300</v>
      </c>
      <c r="GK218" s="1" t="s">
        <v>210</v>
      </c>
      <c r="GL218" s="2">
        <v>42097</v>
      </c>
      <c r="GM218" s="1" t="s">
        <v>3608</v>
      </c>
    </row>
    <row r="219" spans="1:195">
      <c r="A219" s="1">
        <v>172500</v>
      </c>
      <c r="B219" s="1" t="s">
        <v>195</v>
      </c>
      <c r="C219" s="1" t="str">
        <f>"08769713"</f>
        <v>08769713</v>
      </c>
      <c r="D219" s="1" t="s">
        <v>196</v>
      </c>
      <c r="F219" s="1" t="str">
        <f>"148"</f>
        <v>148</v>
      </c>
      <c r="G219" s="2">
        <v>41948</v>
      </c>
      <c r="H219" s="1">
        <v>176900</v>
      </c>
      <c r="I219" s="1">
        <v>176900</v>
      </c>
      <c r="J219" s="1">
        <v>172500</v>
      </c>
      <c r="K219" s="2">
        <v>41948</v>
      </c>
      <c r="L219" s="1">
        <v>6</v>
      </c>
      <c r="M219" s="2">
        <v>41953</v>
      </c>
      <c r="N219" s="1">
        <v>6</v>
      </c>
      <c r="O219" s="2">
        <v>41953</v>
      </c>
      <c r="P219" s="1">
        <v>23610</v>
      </c>
      <c r="Q219" s="1" t="s">
        <v>302</v>
      </c>
      <c r="R219" s="2">
        <v>41989</v>
      </c>
      <c r="S219" s="1">
        <v>239895</v>
      </c>
      <c r="U219" s="1">
        <v>212</v>
      </c>
      <c r="V219" s="1" t="s">
        <v>3609</v>
      </c>
      <c r="W219" s="1" t="s">
        <v>1056</v>
      </c>
      <c r="X219" s="1">
        <v>206</v>
      </c>
      <c r="Y219" s="1">
        <v>48</v>
      </c>
      <c r="Z219" s="1" t="s">
        <v>370</v>
      </c>
      <c r="AA219" s="1" t="s">
        <v>1927</v>
      </c>
      <c r="AB219" s="1">
        <v>60148</v>
      </c>
      <c r="AD219" s="1" t="s">
        <v>3610</v>
      </c>
      <c r="AE219" s="1" t="s">
        <v>3611</v>
      </c>
      <c r="AF219" s="1">
        <v>1989</v>
      </c>
      <c r="AG219" s="1" t="s">
        <v>204</v>
      </c>
      <c r="AH219" s="1" t="s">
        <v>1930</v>
      </c>
      <c r="AI219" s="1" t="s">
        <v>206</v>
      </c>
      <c r="AJ219" s="1" t="s">
        <v>1608</v>
      </c>
      <c r="AL219" s="1">
        <v>5</v>
      </c>
      <c r="AM219" s="1">
        <v>2</v>
      </c>
      <c r="AN219" s="1">
        <v>2</v>
      </c>
      <c r="AO219" s="1">
        <v>0</v>
      </c>
      <c r="AP219" s="1" t="s">
        <v>209</v>
      </c>
      <c r="AQ219" s="1">
        <v>0</v>
      </c>
      <c r="AR219" s="1" t="s">
        <v>210</v>
      </c>
      <c r="AT219" s="1" t="s">
        <v>211</v>
      </c>
      <c r="AU219" s="1">
        <v>1</v>
      </c>
      <c r="AW219" s="1" t="s">
        <v>204</v>
      </c>
      <c r="AX219" s="1" t="s">
        <v>212</v>
      </c>
      <c r="AZ219" s="1">
        <v>3494</v>
      </c>
      <c r="BA219" s="1">
        <v>2013</v>
      </c>
      <c r="BB219" s="1" t="s">
        <v>599</v>
      </c>
      <c r="BE219" s="1">
        <v>1192</v>
      </c>
      <c r="BF219" s="1">
        <v>2</v>
      </c>
      <c r="BG219" s="1">
        <v>1</v>
      </c>
      <c r="BJ219" s="1">
        <v>100</v>
      </c>
      <c r="BK219" s="1">
        <v>0</v>
      </c>
      <c r="BL219" s="1">
        <v>304</v>
      </c>
      <c r="BM219" s="1" t="s">
        <v>204</v>
      </c>
      <c r="BN219" s="1" t="s">
        <v>213</v>
      </c>
      <c r="BO219" s="1">
        <v>20</v>
      </c>
      <c r="BP219" s="1" t="s">
        <v>204</v>
      </c>
      <c r="BR219" s="1" t="str">
        <f>"0607223018"</f>
        <v>0607223018</v>
      </c>
      <c r="BT219" s="1" t="s">
        <v>3612</v>
      </c>
      <c r="BX219" s="1">
        <v>44</v>
      </c>
      <c r="BY219" s="1">
        <v>44</v>
      </c>
      <c r="BZ219" s="1">
        <v>87</v>
      </c>
      <c r="CB219" s="1" t="str">
        <f t="shared" ref="CB219:CC219" si="175">""</f>
        <v/>
      </c>
      <c r="CC219" s="1" t="str">
        <f t="shared" si="175"/>
        <v/>
      </c>
      <c r="CG219" s="1" t="s">
        <v>908</v>
      </c>
      <c r="CH219" s="1" t="s">
        <v>219</v>
      </c>
      <c r="CI219" s="1" t="s">
        <v>438</v>
      </c>
      <c r="CJ219" s="1" t="s">
        <v>463</v>
      </c>
      <c r="CK219" s="1" t="s">
        <v>315</v>
      </c>
      <c r="CL219" s="1" t="s">
        <v>219</v>
      </c>
      <c r="CM219" s="1" t="s">
        <v>220</v>
      </c>
      <c r="CN219" s="1" t="s">
        <v>343</v>
      </c>
      <c r="CO219" s="1" t="s">
        <v>837</v>
      </c>
      <c r="CP219" s="1" t="s">
        <v>219</v>
      </c>
      <c r="CQ219" s="1" t="s">
        <v>438</v>
      </c>
      <c r="CS219" s="1" t="s">
        <v>539</v>
      </c>
      <c r="CT219" s="1" t="s">
        <v>219</v>
      </c>
      <c r="CU219" s="1" t="s">
        <v>220</v>
      </c>
      <c r="CV219" s="1" t="s">
        <v>343</v>
      </c>
      <c r="CX219" s="1" t="s">
        <v>224</v>
      </c>
      <c r="DB219" s="1" t="s">
        <v>224</v>
      </c>
      <c r="DE219" s="1" t="s">
        <v>837</v>
      </c>
      <c r="DF219" s="1" t="s">
        <v>219</v>
      </c>
      <c r="DG219" s="1" t="s">
        <v>438</v>
      </c>
      <c r="DJ219" s="1" t="s">
        <v>224</v>
      </c>
      <c r="DS219" s="1" t="s">
        <v>230</v>
      </c>
      <c r="DW219" s="1" t="s">
        <v>230</v>
      </c>
      <c r="EA219" s="1" t="s">
        <v>230</v>
      </c>
      <c r="EE219" s="1" t="s">
        <v>230</v>
      </c>
      <c r="EI219" s="1" t="s">
        <v>230</v>
      </c>
      <c r="EL219" s="1" t="s">
        <v>382</v>
      </c>
      <c r="EM219" s="1" t="s">
        <v>319</v>
      </c>
      <c r="EN219" s="1" t="s">
        <v>282</v>
      </c>
      <c r="EO219" s="1" t="s">
        <v>234</v>
      </c>
      <c r="EP219" s="1" t="s">
        <v>3613</v>
      </c>
      <c r="EQ219" s="1" t="s">
        <v>1551</v>
      </c>
      <c r="ER219" s="1" t="s">
        <v>210</v>
      </c>
      <c r="ES219" s="1" t="s">
        <v>322</v>
      </c>
      <c r="ET219" s="1" t="s">
        <v>1161</v>
      </c>
      <c r="EU219" s="1" t="s">
        <v>239</v>
      </c>
      <c r="EV219" s="1" t="s">
        <v>240</v>
      </c>
      <c r="EW219" s="1" t="s">
        <v>3614</v>
      </c>
      <c r="EY219" s="1" t="s">
        <v>242</v>
      </c>
      <c r="EZ219" s="1" t="s">
        <v>287</v>
      </c>
      <c r="FA219" s="1" t="s">
        <v>3615</v>
      </c>
      <c r="FB219" s="1" t="s">
        <v>289</v>
      </c>
      <c r="FD219" s="1" t="s">
        <v>246</v>
      </c>
      <c r="FE219" s="1" t="s">
        <v>247</v>
      </c>
      <c r="FF219" s="1" t="s">
        <v>248</v>
      </c>
      <c r="FH219" s="1" t="s">
        <v>249</v>
      </c>
      <c r="FI219" s="1" t="s">
        <v>1114</v>
      </c>
      <c r="FJ219" s="1" t="s">
        <v>197</v>
      </c>
      <c r="FL219" s="1" t="s">
        <v>358</v>
      </c>
      <c r="FM219" s="1" t="s">
        <v>252</v>
      </c>
      <c r="FN219" s="1" t="s">
        <v>213</v>
      </c>
      <c r="FO219" s="1" t="s">
        <v>213</v>
      </c>
      <c r="FQ219" s="1" t="s">
        <v>3616</v>
      </c>
      <c r="FR219" s="1" t="s">
        <v>210</v>
      </c>
      <c r="FS219" s="1" t="s">
        <v>2657</v>
      </c>
      <c r="FT219" s="1" t="s">
        <v>295</v>
      </c>
      <c r="FU219" s="1" t="s">
        <v>213</v>
      </c>
      <c r="FW219" s="1" t="s">
        <v>2658</v>
      </c>
      <c r="FX219" s="1">
        <v>92063</v>
      </c>
      <c r="FY219" s="1" t="s">
        <v>2659</v>
      </c>
      <c r="FZ219" s="1" t="s">
        <v>2660</v>
      </c>
      <c r="GA219" s="1">
        <v>26265</v>
      </c>
      <c r="GE219" s="1" t="s">
        <v>1333</v>
      </c>
      <c r="GH219" s="1" t="s">
        <v>589</v>
      </c>
      <c r="GI219" s="1" t="s">
        <v>213</v>
      </c>
      <c r="GJ219" s="1" t="s">
        <v>260</v>
      </c>
      <c r="GK219" s="1" t="s">
        <v>210</v>
      </c>
      <c r="GL219" s="2">
        <v>41989</v>
      </c>
      <c r="GM219" s="1" t="s">
        <v>3617</v>
      </c>
    </row>
    <row r="220" spans="1:195">
      <c r="A220" s="1">
        <v>125000</v>
      </c>
      <c r="B220" s="1" t="s">
        <v>195</v>
      </c>
      <c r="C220" s="1" t="str">
        <f>"08772932"</f>
        <v>08772932</v>
      </c>
      <c r="D220" s="1" t="s">
        <v>196</v>
      </c>
      <c r="F220" s="1" t="str">
        <f>"107"</f>
        <v>107</v>
      </c>
      <c r="G220" s="2">
        <v>41953</v>
      </c>
      <c r="H220" s="1">
        <v>133900</v>
      </c>
      <c r="I220" s="1">
        <v>129900</v>
      </c>
      <c r="J220" s="1">
        <v>125000</v>
      </c>
      <c r="K220" s="2">
        <v>41953</v>
      </c>
      <c r="L220" s="1">
        <v>87</v>
      </c>
      <c r="M220" s="2">
        <v>42039</v>
      </c>
      <c r="N220" s="1">
        <v>87</v>
      </c>
      <c r="O220" s="2">
        <v>42039</v>
      </c>
      <c r="P220" s="1">
        <v>8074</v>
      </c>
      <c r="Q220" s="1" t="s">
        <v>423</v>
      </c>
      <c r="R220" s="2">
        <v>42079</v>
      </c>
      <c r="S220" s="1">
        <v>87610</v>
      </c>
      <c r="T220" s="1">
        <v>2200</v>
      </c>
      <c r="U220" s="1">
        <v>105</v>
      </c>
      <c r="V220" s="1" t="s">
        <v>3618</v>
      </c>
      <c r="W220" s="1" t="s">
        <v>264</v>
      </c>
      <c r="Y220" s="1">
        <v>2</v>
      </c>
      <c r="Z220" s="1" t="s">
        <v>200</v>
      </c>
      <c r="AA220" s="1" t="s">
        <v>1211</v>
      </c>
      <c r="AB220" s="1">
        <v>60107</v>
      </c>
      <c r="AD220" s="1" t="s">
        <v>3619</v>
      </c>
      <c r="AE220" s="1" t="s">
        <v>3620</v>
      </c>
      <c r="AF220" s="1">
        <v>1977</v>
      </c>
      <c r="AG220" s="1" t="s">
        <v>213</v>
      </c>
      <c r="AH220" s="1" t="s">
        <v>1214</v>
      </c>
      <c r="AI220" s="1" t="s">
        <v>310</v>
      </c>
      <c r="AJ220" s="1" t="s">
        <v>374</v>
      </c>
      <c r="AL220" s="1">
        <v>5</v>
      </c>
      <c r="AM220" s="1">
        <v>2</v>
      </c>
      <c r="AN220" s="1">
        <v>1</v>
      </c>
      <c r="AO220" s="1">
        <v>1</v>
      </c>
      <c r="AP220" s="1" t="s">
        <v>210</v>
      </c>
      <c r="AR220" s="1" t="s">
        <v>210</v>
      </c>
      <c r="AS220" s="1" t="s">
        <v>204</v>
      </c>
      <c r="AT220" s="1" t="s">
        <v>211</v>
      </c>
      <c r="AU220" s="1">
        <v>1</v>
      </c>
      <c r="AW220" s="1" t="s">
        <v>204</v>
      </c>
      <c r="AX220" s="1" t="s">
        <v>3621</v>
      </c>
      <c r="AZ220" s="1">
        <v>4604</v>
      </c>
      <c r="BA220" s="1">
        <v>2013</v>
      </c>
      <c r="BB220" s="1" t="s">
        <v>210</v>
      </c>
      <c r="BE220" s="1">
        <v>1119</v>
      </c>
      <c r="BF220" s="1">
        <v>1</v>
      </c>
      <c r="BG220" s="1">
        <v>0</v>
      </c>
      <c r="BL220" s="1">
        <v>0</v>
      </c>
      <c r="BM220" s="1" t="s">
        <v>204</v>
      </c>
      <c r="BN220" s="1" t="s">
        <v>213</v>
      </c>
      <c r="BO220" s="1">
        <v>999</v>
      </c>
      <c r="BP220" s="1" t="s">
        <v>204</v>
      </c>
      <c r="BR220" s="1" t="str">
        <f>"06272060330000"</f>
        <v>06272060330000</v>
      </c>
      <c r="BT220" s="1" t="s">
        <v>3622</v>
      </c>
      <c r="BU220" s="1" t="s">
        <v>1216</v>
      </c>
      <c r="BV220" s="1" t="s">
        <v>3623</v>
      </c>
      <c r="BW220" s="1" t="s">
        <v>1217</v>
      </c>
      <c r="BX220" s="1">
        <v>46</v>
      </c>
      <c r="BY220" s="1">
        <v>46</v>
      </c>
      <c r="BZ220" s="1">
        <v>46</v>
      </c>
      <c r="CB220" s="1" t="str">
        <f>"9"</f>
        <v>9</v>
      </c>
      <c r="CC220" s="1" t="str">
        <f>"0"</f>
        <v>0</v>
      </c>
      <c r="CD220" s="1">
        <v>29</v>
      </c>
      <c r="CE220" s="1">
        <v>0</v>
      </c>
      <c r="CG220" s="1" t="s">
        <v>1045</v>
      </c>
      <c r="CH220" s="1" t="s">
        <v>219</v>
      </c>
      <c r="CI220" s="1" t="s">
        <v>229</v>
      </c>
      <c r="CJ220" s="1" t="s">
        <v>252</v>
      </c>
      <c r="CK220" s="1" t="s">
        <v>539</v>
      </c>
      <c r="CL220" s="1" t="s">
        <v>219</v>
      </c>
      <c r="CM220" s="1" t="s">
        <v>229</v>
      </c>
      <c r="CN220" s="1" t="s">
        <v>252</v>
      </c>
      <c r="CO220" s="1" t="s">
        <v>346</v>
      </c>
      <c r="CP220" s="1" t="s">
        <v>219</v>
      </c>
      <c r="CQ220" s="1" t="s">
        <v>229</v>
      </c>
      <c r="CR220" s="1" t="s">
        <v>252</v>
      </c>
      <c r="CS220" s="1" t="s">
        <v>465</v>
      </c>
      <c r="CT220" s="1" t="s">
        <v>219</v>
      </c>
      <c r="CU220" s="1" t="s">
        <v>220</v>
      </c>
      <c r="CV220" s="1" t="s">
        <v>252</v>
      </c>
      <c r="CX220" s="1" t="s">
        <v>224</v>
      </c>
      <c r="DB220" s="1" t="s">
        <v>224</v>
      </c>
      <c r="DE220" s="1" t="s">
        <v>346</v>
      </c>
      <c r="DF220" s="1" t="s">
        <v>219</v>
      </c>
      <c r="DG220" s="1" t="s">
        <v>229</v>
      </c>
      <c r="DH220" s="1" t="s">
        <v>252</v>
      </c>
      <c r="DJ220" s="1" t="s">
        <v>224</v>
      </c>
      <c r="DS220" s="1" t="s">
        <v>230</v>
      </c>
      <c r="DW220" s="1" t="s">
        <v>230</v>
      </c>
      <c r="EA220" s="1" t="s">
        <v>230</v>
      </c>
      <c r="EE220" s="1" t="s">
        <v>230</v>
      </c>
      <c r="EI220" s="1" t="s">
        <v>230</v>
      </c>
      <c r="EL220" s="1" t="s">
        <v>231</v>
      </c>
      <c r="EM220" s="1" t="s">
        <v>232</v>
      </c>
      <c r="EN220" s="1" t="s">
        <v>282</v>
      </c>
      <c r="EO220" s="1" t="s">
        <v>234</v>
      </c>
      <c r="EQ220" s="1" t="s">
        <v>492</v>
      </c>
      <c r="ER220" s="1" t="s">
        <v>383</v>
      </c>
      <c r="ES220" s="1" t="s">
        <v>824</v>
      </c>
      <c r="EU220" s="1" t="s">
        <v>546</v>
      </c>
      <c r="EV220" s="1" t="s">
        <v>324</v>
      </c>
      <c r="EW220" s="1" t="s">
        <v>210</v>
      </c>
      <c r="EY220" s="1" t="s">
        <v>242</v>
      </c>
      <c r="EZ220" s="1" t="s">
        <v>287</v>
      </c>
      <c r="FA220" s="1" t="s">
        <v>3624</v>
      </c>
      <c r="FC220" s="1" t="s">
        <v>326</v>
      </c>
      <c r="FD220" s="1" t="s">
        <v>246</v>
      </c>
      <c r="FE220" s="1" t="s">
        <v>549</v>
      </c>
      <c r="FF220" s="1" t="s">
        <v>248</v>
      </c>
      <c r="FH220" s="1" t="s">
        <v>442</v>
      </c>
      <c r="FI220" s="1" t="s">
        <v>473</v>
      </c>
      <c r="FJ220" s="1" t="s">
        <v>518</v>
      </c>
      <c r="FL220" s="1" t="s">
        <v>358</v>
      </c>
      <c r="FM220" s="1" t="s">
        <v>252</v>
      </c>
      <c r="FN220" s="1" t="s">
        <v>213</v>
      </c>
      <c r="FO220" s="1" t="s">
        <v>213</v>
      </c>
      <c r="FQ220" s="1" t="s">
        <v>3560</v>
      </c>
      <c r="FR220" s="1" t="s">
        <v>210</v>
      </c>
      <c r="FS220" s="1" t="s">
        <v>636</v>
      </c>
      <c r="FT220" s="1" t="s">
        <v>617</v>
      </c>
      <c r="FU220" s="1" t="s">
        <v>204</v>
      </c>
      <c r="FW220" s="1" t="s">
        <v>256</v>
      </c>
      <c r="FX220" s="1">
        <v>8079</v>
      </c>
      <c r="FY220" s="1" t="s">
        <v>3625</v>
      </c>
      <c r="FZ220" s="1" t="s">
        <v>3626</v>
      </c>
      <c r="GA220" s="1">
        <v>80900</v>
      </c>
      <c r="GB220" s="1" t="s">
        <v>3627</v>
      </c>
      <c r="GC220" s="1">
        <v>80899</v>
      </c>
      <c r="GD220" s="1" t="s">
        <v>3628</v>
      </c>
      <c r="GE220" s="1" t="s">
        <v>210</v>
      </c>
      <c r="GI220" s="1" t="s">
        <v>213</v>
      </c>
      <c r="GJ220" s="1" t="s">
        <v>260</v>
      </c>
      <c r="GK220" s="1" t="s">
        <v>210</v>
      </c>
      <c r="GL220" s="2">
        <v>42080</v>
      </c>
      <c r="GM220" s="1" t="s">
        <v>3629</v>
      </c>
    </row>
    <row r="221" spans="1:195">
      <c r="A221" s="1">
        <v>120750</v>
      </c>
      <c r="B221" s="1" t="s">
        <v>195</v>
      </c>
      <c r="C221" s="1" t="str">
        <f>"08770664"</f>
        <v>08770664</v>
      </c>
      <c r="D221" s="1" t="s">
        <v>196</v>
      </c>
      <c r="F221" s="1" t="str">
        <f>"507"</f>
        <v>507</v>
      </c>
      <c r="G221" s="2">
        <v>41949</v>
      </c>
      <c r="H221" s="1">
        <v>122500</v>
      </c>
      <c r="I221" s="1">
        <v>122500</v>
      </c>
      <c r="J221" s="1">
        <v>120750</v>
      </c>
      <c r="K221" s="2">
        <v>41949</v>
      </c>
      <c r="L221" s="1">
        <v>75</v>
      </c>
      <c r="M221" s="2">
        <v>42023</v>
      </c>
      <c r="N221" s="1">
        <v>75</v>
      </c>
      <c r="O221" s="2">
        <v>42023</v>
      </c>
      <c r="P221" s="1">
        <v>23290</v>
      </c>
      <c r="Q221" s="1" t="s">
        <v>197</v>
      </c>
      <c r="R221" s="2">
        <v>42069</v>
      </c>
      <c r="S221" s="1">
        <v>233019</v>
      </c>
      <c r="T221" s="1">
        <v>2750</v>
      </c>
      <c r="U221" s="1">
        <v>2323</v>
      </c>
      <c r="V221" s="1" t="s">
        <v>3630</v>
      </c>
      <c r="W221" s="1" t="s">
        <v>264</v>
      </c>
      <c r="Y221" s="1">
        <v>4</v>
      </c>
      <c r="Z221" s="1" t="s">
        <v>249</v>
      </c>
      <c r="AA221" s="1" t="s">
        <v>1123</v>
      </c>
      <c r="AB221" s="1">
        <v>60503</v>
      </c>
      <c r="AE221" s="1" t="s">
        <v>3631</v>
      </c>
      <c r="AF221" s="1">
        <v>2001</v>
      </c>
      <c r="AG221" s="1" t="s">
        <v>204</v>
      </c>
      <c r="AH221" s="1" t="s">
        <v>1126</v>
      </c>
      <c r="AI221" s="1" t="s">
        <v>1800</v>
      </c>
      <c r="AJ221" s="1" t="s">
        <v>1801</v>
      </c>
      <c r="AL221" s="1">
        <v>6</v>
      </c>
      <c r="AM221" s="1">
        <v>2</v>
      </c>
      <c r="AN221" s="1">
        <v>2</v>
      </c>
      <c r="AO221" s="1">
        <v>1</v>
      </c>
      <c r="AP221" s="1" t="s">
        <v>209</v>
      </c>
      <c r="AR221" s="1" t="s">
        <v>209</v>
      </c>
      <c r="AS221" s="1" t="s">
        <v>204</v>
      </c>
      <c r="AT221" s="1" t="s">
        <v>211</v>
      </c>
      <c r="AU221" s="1">
        <v>2</v>
      </c>
      <c r="AW221" s="1" t="s">
        <v>204</v>
      </c>
      <c r="AX221" s="1" t="s">
        <v>3632</v>
      </c>
      <c r="AZ221" s="1">
        <v>3750.6</v>
      </c>
      <c r="BA221" s="1">
        <v>2013</v>
      </c>
      <c r="BB221" s="1" t="s">
        <v>405</v>
      </c>
      <c r="BE221" s="1">
        <v>1398</v>
      </c>
      <c r="BF221" s="1">
        <v>1</v>
      </c>
      <c r="BG221" s="1">
        <v>30</v>
      </c>
      <c r="BL221" s="1">
        <v>213</v>
      </c>
      <c r="BM221" s="1" t="s">
        <v>204</v>
      </c>
      <c r="BN221" s="1" t="s">
        <v>213</v>
      </c>
      <c r="BO221" s="1">
        <v>20</v>
      </c>
      <c r="BP221" s="1" t="s">
        <v>204</v>
      </c>
      <c r="BR221" s="1" t="str">
        <f>"01063040641002"</f>
        <v>01063040641002</v>
      </c>
      <c r="BT221" s="1" t="s">
        <v>3633</v>
      </c>
      <c r="BX221" s="1">
        <v>308</v>
      </c>
      <c r="BY221" s="1">
        <v>308</v>
      </c>
      <c r="BZ221" s="1">
        <v>308</v>
      </c>
      <c r="CB221" s="1" t="str">
        <f t="shared" ref="CB221:CC221" si="176">""</f>
        <v/>
      </c>
      <c r="CC221" s="1" t="str">
        <f t="shared" si="176"/>
        <v/>
      </c>
      <c r="CG221" s="1" t="s">
        <v>3634</v>
      </c>
      <c r="CH221" s="1" t="s">
        <v>219</v>
      </c>
      <c r="CI221" s="1" t="s">
        <v>220</v>
      </c>
      <c r="CK221" s="1" t="s">
        <v>377</v>
      </c>
      <c r="CL221" s="1" t="s">
        <v>277</v>
      </c>
      <c r="CM221" s="1" t="s">
        <v>220</v>
      </c>
      <c r="CO221" s="1" t="s">
        <v>629</v>
      </c>
      <c r="CP221" s="1" t="s">
        <v>219</v>
      </c>
      <c r="CQ221" s="1" t="s">
        <v>220</v>
      </c>
      <c r="CS221" s="1" t="s">
        <v>602</v>
      </c>
      <c r="CT221" s="1" t="s">
        <v>277</v>
      </c>
      <c r="CX221" s="1" t="s">
        <v>224</v>
      </c>
      <c r="DB221" s="1" t="s">
        <v>224</v>
      </c>
      <c r="DE221" s="1" t="s">
        <v>223</v>
      </c>
      <c r="DF221" s="1" t="s">
        <v>219</v>
      </c>
      <c r="DG221" s="1" t="s">
        <v>342</v>
      </c>
      <c r="DI221" s="1" t="s">
        <v>379</v>
      </c>
      <c r="DJ221" s="1" t="s">
        <v>822</v>
      </c>
      <c r="DS221" s="1" t="s">
        <v>230</v>
      </c>
      <c r="DW221" s="1" t="s">
        <v>230</v>
      </c>
      <c r="EA221" s="1" t="s">
        <v>230</v>
      </c>
      <c r="EE221" s="1" t="s">
        <v>230</v>
      </c>
      <c r="EI221" s="1" t="s">
        <v>230</v>
      </c>
      <c r="EL221" s="1" t="s">
        <v>466</v>
      </c>
      <c r="EM221" s="1" t="s">
        <v>319</v>
      </c>
      <c r="EN221" s="1" t="s">
        <v>282</v>
      </c>
      <c r="EO221" s="1" t="s">
        <v>234</v>
      </c>
      <c r="ER221" s="1" t="s">
        <v>544</v>
      </c>
      <c r="EW221" s="1" t="s">
        <v>1250</v>
      </c>
      <c r="EZ221" s="1" t="s">
        <v>287</v>
      </c>
      <c r="FB221" s="1" t="s">
        <v>289</v>
      </c>
      <c r="FD221" s="1" t="s">
        <v>246</v>
      </c>
      <c r="FE221" s="1" t="s">
        <v>472</v>
      </c>
      <c r="FF221" s="1" t="s">
        <v>248</v>
      </c>
      <c r="FH221" s="1" t="s">
        <v>2175</v>
      </c>
      <c r="FL221" s="1" t="s">
        <v>414</v>
      </c>
      <c r="FM221" s="1" t="s">
        <v>252</v>
      </c>
      <c r="FN221" s="1" t="s">
        <v>213</v>
      </c>
      <c r="FO221" s="1" t="s">
        <v>213</v>
      </c>
      <c r="FQ221" s="1" t="s">
        <v>3635</v>
      </c>
      <c r="FR221" s="1" t="s">
        <v>210</v>
      </c>
      <c r="FS221" s="1" t="s">
        <v>1709</v>
      </c>
      <c r="FT221" s="1" t="s">
        <v>295</v>
      </c>
      <c r="FU221" s="1" t="s">
        <v>204</v>
      </c>
      <c r="FW221" s="1" t="s">
        <v>943</v>
      </c>
      <c r="FX221" s="1">
        <v>23279</v>
      </c>
      <c r="FY221" s="1" t="s">
        <v>3636</v>
      </c>
      <c r="FZ221" s="1" t="s">
        <v>3637</v>
      </c>
      <c r="GA221" s="1">
        <v>241412</v>
      </c>
      <c r="GE221" s="1" t="s">
        <v>480</v>
      </c>
      <c r="GI221" s="1" t="s">
        <v>213</v>
      </c>
      <c r="GJ221" s="1" t="s">
        <v>260</v>
      </c>
      <c r="GK221" s="1" t="s">
        <v>210</v>
      </c>
      <c r="GL221" s="2">
        <v>42069</v>
      </c>
      <c r="GM221" s="1" t="s">
        <v>3638</v>
      </c>
    </row>
    <row r="222" spans="1:195">
      <c r="A222" s="1">
        <v>192000</v>
      </c>
      <c r="B222" s="1" t="s">
        <v>195</v>
      </c>
      <c r="C222" s="1" t="str">
        <f>"08773555"</f>
        <v>08773555</v>
      </c>
      <c r="D222" s="1" t="s">
        <v>196</v>
      </c>
      <c r="F222" s="1" t="str">
        <f>"139"</f>
        <v>139</v>
      </c>
      <c r="G222" s="2">
        <v>41954</v>
      </c>
      <c r="H222" s="1">
        <v>209900</v>
      </c>
      <c r="I222" s="1">
        <v>204900</v>
      </c>
      <c r="J222" s="1">
        <v>192000</v>
      </c>
      <c r="K222" s="2">
        <v>41954</v>
      </c>
      <c r="L222" s="1">
        <v>123</v>
      </c>
      <c r="M222" s="2">
        <v>42076</v>
      </c>
      <c r="N222" s="1">
        <v>123</v>
      </c>
      <c r="O222" s="2">
        <v>42076</v>
      </c>
      <c r="P222" s="1">
        <v>20001</v>
      </c>
      <c r="Q222" s="1" t="s">
        <v>423</v>
      </c>
      <c r="R222" s="2">
        <v>42124</v>
      </c>
      <c r="S222" s="1">
        <v>237472</v>
      </c>
      <c r="U222" s="1">
        <v>1790</v>
      </c>
      <c r="V222" s="1" t="s">
        <v>3639</v>
      </c>
      <c r="W222" s="1" t="s">
        <v>264</v>
      </c>
      <c r="X222" s="1">
        <v>1790</v>
      </c>
      <c r="Y222" s="1">
        <v>4</v>
      </c>
      <c r="Z222" s="1" t="s">
        <v>249</v>
      </c>
      <c r="AA222" s="1" t="s">
        <v>1732</v>
      </c>
      <c r="AB222" s="1">
        <v>60139</v>
      </c>
      <c r="AD222" s="1" t="s">
        <v>3640</v>
      </c>
      <c r="AE222" s="1" t="s">
        <v>3641</v>
      </c>
      <c r="AF222" s="1">
        <v>2001</v>
      </c>
      <c r="AG222" s="1" t="s">
        <v>204</v>
      </c>
      <c r="AH222" s="1" t="s">
        <v>1735</v>
      </c>
      <c r="AI222" s="1" t="s">
        <v>206</v>
      </c>
      <c r="AJ222" s="1" t="s">
        <v>269</v>
      </c>
      <c r="AK222" s="1" t="s">
        <v>3642</v>
      </c>
      <c r="AL222" s="1">
        <v>6</v>
      </c>
      <c r="AM222" s="1">
        <v>2</v>
      </c>
      <c r="AN222" s="1">
        <v>2</v>
      </c>
      <c r="AO222" s="1">
        <v>0</v>
      </c>
      <c r="AP222" s="1" t="s">
        <v>209</v>
      </c>
      <c r="AQ222" s="1">
        <v>1</v>
      </c>
      <c r="AR222" s="1" t="s">
        <v>1421</v>
      </c>
      <c r="AS222" s="1" t="s">
        <v>204</v>
      </c>
      <c r="AT222" s="1" t="s">
        <v>375</v>
      </c>
      <c r="AU222" s="1">
        <v>2</v>
      </c>
      <c r="AV222" s="1">
        <v>2</v>
      </c>
      <c r="AW222" s="1" t="s">
        <v>204</v>
      </c>
      <c r="AX222" s="1" t="s">
        <v>212</v>
      </c>
      <c r="AZ222" s="1">
        <v>5995</v>
      </c>
      <c r="BA222" s="1">
        <v>2013</v>
      </c>
      <c r="BB222" s="1" t="s">
        <v>405</v>
      </c>
      <c r="BE222" s="1">
        <v>1726</v>
      </c>
      <c r="BF222" s="1">
        <v>1</v>
      </c>
      <c r="BG222" s="1">
        <v>30</v>
      </c>
      <c r="BL222" s="1">
        <v>173</v>
      </c>
      <c r="BM222" s="1" t="s">
        <v>204</v>
      </c>
      <c r="BN222" s="1" t="s">
        <v>213</v>
      </c>
      <c r="BO222" s="1">
        <v>0</v>
      </c>
      <c r="BP222" s="1" t="s">
        <v>204</v>
      </c>
      <c r="BR222" s="1" t="str">
        <f>"0227431193"</f>
        <v>0227431193</v>
      </c>
      <c r="BT222" s="1" t="s">
        <v>3643</v>
      </c>
      <c r="BU222" s="1" t="s">
        <v>3644</v>
      </c>
      <c r="BV222" s="1" t="s">
        <v>3645</v>
      </c>
      <c r="BW222" s="1" t="s">
        <v>1092</v>
      </c>
      <c r="BX222" s="1">
        <v>16</v>
      </c>
      <c r="BY222" s="1">
        <v>16</v>
      </c>
      <c r="BZ222" s="1">
        <v>87</v>
      </c>
      <c r="CB222" s="1" t="str">
        <f>"3"</f>
        <v>3</v>
      </c>
      <c r="CC222" s="1" t="str">
        <f>"0"</f>
        <v>0</v>
      </c>
      <c r="CD222" s="1">
        <v>23</v>
      </c>
      <c r="CE222" s="1">
        <v>0</v>
      </c>
      <c r="CG222" s="1" t="s">
        <v>437</v>
      </c>
      <c r="CH222" s="1" t="s">
        <v>219</v>
      </c>
      <c r="CI222" s="1" t="s">
        <v>229</v>
      </c>
      <c r="CJ222" s="1" t="s">
        <v>252</v>
      </c>
      <c r="CK222" s="1" t="s">
        <v>315</v>
      </c>
      <c r="CL222" s="1" t="s">
        <v>219</v>
      </c>
      <c r="CM222" s="1" t="s">
        <v>229</v>
      </c>
      <c r="CN222" s="1" t="s">
        <v>252</v>
      </c>
      <c r="CO222" s="1" t="s">
        <v>379</v>
      </c>
      <c r="CP222" s="1" t="s">
        <v>219</v>
      </c>
      <c r="CQ222" s="1" t="s">
        <v>229</v>
      </c>
      <c r="CR222" s="1" t="s">
        <v>252</v>
      </c>
      <c r="CS222" s="1" t="s">
        <v>378</v>
      </c>
      <c r="CT222" s="1" t="s">
        <v>219</v>
      </c>
      <c r="CU222" s="1" t="s">
        <v>229</v>
      </c>
      <c r="CV222" s="1" t="s">
        <v>252</v>
      </c>
      <c r="CX222" s="1" t="s">
        <v>224</v>
      </c>
      <c r="DB222" s="1" t="s">
        <v>224</v>
      </c>
      <c r="DE222" s="1" t="s">
        <v>317</v>
      </c>
      <c r="DF222" s="1" t="s">
        <v>219</v>
      </c>
      <c r="DG222" s="1" t="s">
        <v>229</v>
      </c>
      <c r="DH222" s="1" t="s">
        <v>210</v>
      </c>
      <c r="DI222" s="1" t="s">
        <v>2925</v>
      </c>
      <c r="DJ222" s="1" t="s">
        <v>822</v>
      </c>
      <c r="DK222" s="1" t="s">
        <v>220</v>
      </c>
      <c r="DL222" s="1" t="s">
        <v>252</v>
      </c>
      <c r="DS222" s="1" t="s">
        <v>230</v>
      </c>
      <c r="DW222" s="1" t="s">
        <v>230</v>
      </c>
      <c r="EA222" s="1" t="s">
        <v>230</v>
      </c>
      <c r="EE222" s="1" t="s">
        <v>230</v>
      </c>
      <c r="EI222" s="1" t="s">
        <v>230</v>
      </c>
      <c r="EL222" s="1" t="s">
        <v>466</v>
      </c>
      <c r="EM222" s="1" t="s">
        <v>232</v>
      </c>
      <c r="EN222" s="1" t="s">
        <v>282</v>
      </c>
      <c r="EO222" s="1" t="s">
        <v>234</v>
      </c>
      <c r="EP222" s="1" t="s">
        <v>650</v>
      </c>
      <c r="EQ222" s="1" t="s">
        <v>1109</v>
      </c>
      <c r="ER222" s="1" t="s">
        <v>544</v>
      </c>
      <c r="ES222" s="1" t="s">
        <v>493</v>
      </c>
      <c r="EU222" s="1" t="s">
        <v>239</v>
      </c>
      <c r="EW222" s="1" t="s">
        <v>353</v>
      </c>
      <c r="EZ222" s="1" t="s">
        <v>287</v>
      </c>
      <c r="FB222" s="1" t="s">
        <v>289</v>
      </c>
      <c r="FC222" s="1" t="s">
        <v>3646</v>
      </c>
      <c r="FD222" s="1" t="s">
        <v>246</v>
      </c>
      <c r="FE222" s="1" t="s">
        <v>975</v>
      </c>
      <c r="FF222" s="1" t="s">
        <v>3647</v>
      </c>
      <c r="FH222" s="1" t="s">
        <v>249</v>
      </c>
      <c r="FI222" s="1" t="s">
        <v>357</v>
      </c>
      <c r="FJ222" s="1" t="s">
        <v>1251</v>
      </c>
      <c r="FL222" s="1" t="s">
        <v>358</v>
      </c>
      <c r="FM222" s="1" t="s">
        <v>252</v>
      </c>
      <c r="FN222" s="1" t="s">
        <v>213</v>
      </c>
      <c r="FO222" s="1" t="s">
        <v>213</v>
      </c>
      <c r="FQ222" s="1" t="s">
        <v>673</v>
      </c>
      <c r="FR222" s="1" t="s">
        <v>652</v>
      </c>
      <c r="FS222" s="1" t="s">
        <v>3648</v>
      </c>
      <c r="FT222" s="1" t="s">
        <v>255</v>
      </c>
      <c r="FU222" s="1" t="s">
        <v>204</v>
      </c>
      <c r="FW222" s="1" t="s">
        <v>3649</v>
      </c>
      <c r="FX222" s="1">
        <v>24812</v>
      </c>
      <c r="FY222" s="1" t="s">
        <v>3650</v>
      </c>
      <c r="FZ222" s="1" t="s">
        <v>3651</v>
      </c>
      <c r="GA222" s="1">
        <v>256939</v>
      </c>
      <c r="GB222" s="1" t="s">
        <v>3650</v>
      </c>
      <c r="GE222" s="1" t="s">
        <v>480</v>
      </c>
      <c r="GI222" s="1" t="s">
        <v>204</v>
      </c>
      <c r="GJ222" s="1" t="s">
        <v>260</v>
      </c>
      <c r="GK222" s="1" t="s">
        <v>210</v>
      </c>
      <c r="GL222" s="2">
        <v>42124</v>
      </c>
      <c r="GM222" s="1" t="s">
        <v>3652</v>
      </c>
    </row>
    <row r="223" spans="1:195">
      <c r="A223" s="1">
        <v>103000</v>
      </c>
      <c r="B223" s="1" t="s">
        <v>195</v>
      </c>
      <c r="C223" s="1" t="str">
        <f>"08772174"</f>
        <v>08772174</v>
      </c>
      <c r="D223" s="1" t="s">
        <v>196</v>
      </c>
      <c r="F223" s="1" t="str">
        <f>"110"</f>
        <v>110</v>
      </c>
      <c r="G223" s="2">
        <v>41952</v>
      </c>
      <c r="H223" s="1">
        <v>125000</v>
      </c>
      <c r="I223" s="1">
        <v>109000</v>
      </c>
      <c r="J223" s="1">
        <v>103000</v>
      </c>
      <c r="K223" s="2">
        <v>41951</v>
      </c>
      <c r="L223" s="1">
        <v>74</v>
      </c>
      <c r="M223" s="2">
        <v>42024</v>
      </c>
      <c r="N223" s="1">
        <v>74</v>
      </c>
      <c r="O223" s="2">
        <v>42024</v>
      </c>
      <c r="P223" s="1">
        <v>24007</v>
      </c>
      <c r="Q223" s="1" t="s">
        <v>197</v>
      </c>
      <c r="R223" s="2">
        <v>42103</v>
      </c>
      <c r="S223" s="1">
        <v>241613</v>
      </c>
      <c r="U223" s="1">
        <v>5522</v>
      </c>
      <c r="V223" s="1" t="s">
        <v>3653</v>
      </c>
      <c r="W223" s="1" t="s">
        <v>304</v>
      </c>
      <c r="Y223" s="1">
        <v>6</v>
      </c>
      <c r="Z223" s="1" t="s">
        <v>370</v>
      </c>
      <c r="AA223" s="1" t="s">
        <v>803</v>
      </c>
      <c r="AB223" s="1">
        <v>60110</v>
      </c>
      <c r="AD223" s="1" t="s">
        <v>2555</v>
      </c>
      <c r="AE223" s="1" t="s">
        <v>3654</v>
      </c>
      <c r="AF223" s="1">
        <v>1999</v>
      </c>
      <c r="AG223" s="1" t="s">
        <v>204</v>
      </c>
      <c r="AH223" s="1" t="s">
        <v>2557</v>
      </c>
      <c r="AI223" s="1" t="s">
        <v>665</v>
      </c>
      <c r="AJ223" s="1" t="s">
        <v>805</v>
      </c>
      <c r="AL223" s="1">
        <v>6</v>
      </c>
      <c r="AM223" s="1">
        <v>2</v>
      </c>
      <c r="AN223" s="1">
        <v>1</v>
      </c>
      <c r="AO223" s="1">
        <v>1</v>
      </c>
      <c r="AP223" s="1" t="s">
        <v>667</v>
      </c>
      <c r="AQ223" s="1">
        <v>0</v>
      </c>
      <c r="AR223" s="1" t="s">
        <v>209</v>
      </c>
      <c r="AS223" s="1" t="s">
        <v>204</v>
      </c>
      <c r="AT223" s="1" t="s">
        <v>211</v>
      </c>
      <c r="AU223" s="1">
        <v>1</v>
      </c>
      <c r="AW223" s="1" t="s">
        <v>204</v>
      </c>
      <c r="AX223" s="1">
        <v>0</v>
      </c>
      <c r="AZ223" s="1">
        <v>3585</v>
      </c>
      <c r="BA223" s="1">
        <v>2013</v>
      </c>
      <c r="BE223" s="1">
        <v>1200</v>
      </c>
      <c r="BF223" s="1">
        <v>1</v>
      </c>
      <c r="BG223" s="1">
        <v>0</v>
      </c>
      <c r="BL223" s="1">
        <v>129</v>
      </c>
      <c r="BM223" s="1" t="s">
        <v>204</v>
      </c>
      <c r="BN223" s="1" t="s">
        <v>213</v>
      </c>
      <c r="BO223" s="1">
        <v>0</v>
      </c>
      <c r="BP223" s="1" t="s">
        <v>204</v>
      </c>
      <c r="BR223" s="1" t="str">
        <f>"0308177056"</f>
        <v>0308177056</v>
      </c>
      <c r="BT223" s="1" t="s">
        <v>3655</v>
      </c>
      <c r="BW223" s="1" t="s">
        <v>2668</v>
      </c>
      <c r="BX223" s="1">
        <v>300</v>
      </c>
      <c r="BY223" s="1">
        <v>300</v>
      </c>
      <c r="BZ223" s="1">
        <v>300</v>
      </c>
      <c r="CB223" s="1" t="str">
        <f t="shared" ref="CB223:CC223" si="177">""</f>
        <v/>
      </c>
      <c r="CC223" s="1" t="str">
        <f t="shared" si="177"/>
        <v/>
      </c>
      <c r="CG223" s="1" t="s">
        <v>3656</v>
      </c>
      <c r="CH223" s="1" t="s">
        <v>219</v>
      </c>
      <c r="CI223" s="1" t="s">
        <v>229</v>
      </c>
      <c r="CJ223" s="1" t="s">
        <v>343</v>
      </c>
      <c r="CK223" s="1" t="s">
        <v>437</v>
      </c>
      <c r="CL223" s="1" t="s">
        <v>277</v>
      </c>
      <c r="CM223" s="1" t="s">
        <v>220</v>
      </c>
      <c r="CN223" s="1" t="s">
        <v>343</v>
      </c>
      <c r="CO223" s="1" t="s">
        <v>3657</v>
      </c>
      <c r="CP223" s="1" t="s">
        <v>219</v>
      </c>
      <c r="CQ223" s="1" t="s">
        <v>229</v>
      </c>
      <c r="CR223" s="1" t="s">
        <v>343</v>
      </c>
      <c r="CS223" s="1" t="s">
        <v>378</v>
      </c>
      <c r="CT223" s="1" t="s">
        <v>277</v>
      </c>
      <c r="CU223" s="1" t="s">
        <v>220</v>
      </c>
      <c r="CV223" s="1" t="s">
        <v>343</v>
      </c>
      <c r="CX223" s="1" t="s">
        <v>224</v>
      </c>
      <c r="DB223" s="1" t="s">
        <v>224</v>
      </c>
      <c r="DE223" s="1" t="s">
        <v>2982</v>
      </c>
      <c r="DF223" s="1" t="s">
        <v>219</v>
      </c>
      <c r="DG223" s="1" t="s">
        <v>229</v>
      </c>
      <c r="DH223" s="1" t="s">
        <v>343</v>
      </c>
      <c r="DI223" s="1" t="s">
        <v>2935</v>
      </c>
      <c r="DJ223" s="1" t="s">
        <v>43</v>
      </c>
      <c r="DK223" s="1" t="s">
        <v>220</v>
      </c>
      <c r="DS223" s="1" t="s">
        <v>230</v>
      </c>
      <c r="DW223" s="1" t="s">
        <v>230</v>
      </c>
      <c r="EA223" s="1" t="s">
        <v>230</v>
      </c>
      <c r="EE223" s="1" t="s">
        <v>230</v>
      </c>
      <c r="EI223" s="1" t="s">
        <v>230</v>
      </c>
      <c r="EL223" s="1" t="s">
        <v>466</v>
      </c>
      <c r="EM223" s="1" t="s">
        <v>319</v>
      </c>
      <c r="EN223" s="1" t="s">
        <v>282</v>
      </c>
      <c r="EO223" s="1" t="s">
        <v>234</v>
      </c>
      <c r="EP223" s="1" t="s">
        <v>2738</v>
      </c>
      <c r="ER223" s="1" t="s">
        <v>544</v>
      </c>
      <c r="ET223" s="1" t="s">
        <v>1161</v>
      </c>
      <c r="EU223" s="1" t="s">
        <v>1110</v>
      </c>
      <c r="EW223" s="1" t="s">
        <v>3658</v>
      </c>
      <c r="EY223" s="1" t="s">
        <v>1315</v>
      </c>
      <c r="EZ223" s="1" t="s">
        <v>287</v>
      </c>
      <c r="FB223" s="1" t="s">
        <v>289</v>
      </c>
      <c r="FD223" s="1" t="s">
        <v>246</v>
      </c>
      <c r="FE223" s="1" t="s">
        <v>975</v>
      </c>
      <c r="FF223" s="1" t="s">
        <v>3103</v>
      </c>
      <c r="FH223" s="1" t="s">
        <v>550</v>
      </c>
      <c r="FI223" s="1" t="s">
        <v>357</v>
      </c>
      <c r="FJ223" s="1" t="s">
        <v>518</v>
      </c>
      <c r="FL223" s="1" t="s">
        <v>414</v>
      </c>
      <c r="FM223" s="1" t="s">
        <v>252</v>
      </c>
      <c r="FN223" s="1" t="s">
        <v>213</v>
      </c>
      <c r="FO223" s="1" t="s">
        <v>213</v>
      </c>
      <c r="FQ223" s="1" t="s">
        <v>3659</v>
      </c>
      <c r="FR223" s="1" t="s">
        <v>360</v>
      </c>
      <c r="FS223" s="1" t="s">
        <v>3660</v>
      </c>
      <c r="FT223" s="1" t="s">
        <v>295</v>
      </c>
      <c r="FU223" s="1" t="s">
        <v>204</v>
      </c>
      <c r="FW223" s="1" t="s">
        <v>585</v>
      </c>
      <c r="FX223" s="1">
        <v>5014</v>
      </c>
      <c r="FY223" s="1" t="s">
        <v>3661</v>
      </c>
      <c r="FZ223" s="1" t="s">
        <v>3662</v>
      </c>
      <c r="GA223" s="1">
        <v>55884</v>
      </c>
      <c r="GD223" s="1" t="s">
        <v>3663</v>
      </c>
      <c r="GE223" s="1" t="s">
        <v>480</v>
      </c>
      <c r="GI223" s="1" t="s">
        <v>213</v>
      </c>
      <c r="GJ223" s="1" t="s">
        <v>260</v>
      </c>
      <c r="GK223" s="1" t="s">
        <v>210</v>
      </c>
      <c r="GL223" s="2">
        <v>42107</v>
      </c>
      <c r="GM223" s="1" t="s">
        <v>3664</v>
      </c>
    </row>
    <row r="224" spans="1:195">
      <c r="A224" s="1">
        <v>175000</v>
      </c>
      <c r="B224" s="1" t="s">
        <v>195</v>
      </c>
      <c r="C224" s="1" t="str">
        <f>"08786688"</f>
        <v>08786688</v>
      </c>
      <c r="D224" s="1" t="s">
        <v>196</v>
      </c>
      <c r="F224" s="1" t="str">
        <f>"123"</f>
        <v>123</v>
      </c>
      <c r="G224" s="2">
        <v>41957</v>
      </c>
      <c r="H224" s="1">
        <v>184900</v>
      </c>
      <c r="I224" s="1">
        <v>179900</v>
      </c>
      <c r="J224" s="1">
        <v>175000</v>
      </c>
      <c r="K224" s="2">
        <v>41957</v>
      </c>
      <c r="L224" s="1">
        <v>280</v>
      </c>
      <c r="M224" s="2">
        <v>42056</v>
      </c>
      <c r="N224" s="1">
        <v>100</v>
      </c>
      <c r="O224" s="2">
        <v>42056</v>
      </c>
      <c r="P224" s="1">
        <v>8093</v>
      </c>
      <c r="Q224" s="1" t="s">
        <v>197</v>
      </c>
      <c r="R224" s="2">
        <v>42102</v>
      </c>
      <c r="S224" s="1">
        <v>240890</v>
      </c>
      <c r="T224" s="1">
        <v>1500</v>
      </c>
      <c r="U224" s="1">
        <v>530</v>
      </c>
      <c r="V224" s="1" t="s">
        <v>3665</v>
      </c>
      <c r="W224" s="1" t="s">
        <v>504</v>
      </c>
      <c r="Y224" s="1">
        <v>6</v>
      </c>
      <c r="Z224" s="1" t="s">
        <v>370</v>
      </c>
      <c r="AA224" s="1" t="s">
        <v>1173</v>
      </c>
      <c r="AB224" s="1">
        <v>60120</v>
      </c>
      <c r="AD224" s="1" t="s">
        <v>3666</v>
      </c>
      <c r="AE224" s="1" t="s">
        <v>3667</v>
      </c>
      <c r="AF224" s="1">
        <v>2004</v>
      </c>
      <c r="AG224" s="1" t="s">
        <v>204</v>
      </c>
      <c r="AH224" s="1" t="s">
        <v>1175</v>
      </c>
      <c r="AI224" s="1" t="s">
        <v>310</v>
      </c>
      <c r="AJ224" s="1" t="s">
        <v>374</v>
      </c>
      <c r="AL224" s="1">
        <v>6</v>
      </c>
      <c r="AM224" s="1">
        <v>2</v>
      </c>
      <c r="AN224" s="1">
        <v>2</v>
      </c>
      <c r="AO224" s="1">
        <v>1</v>
      </c>
      <c r="AP224" s="1" t="s">
        <v>209</v>
      </c>
      <c r="AQ224" s="1">
        <v>1</v>
      </c>
      <c r="AR224" s="1" t="s">
        <v>209</v>
      </c>
      <c r="AS224" s="1" t="s">
        <v>204</v>
      </c>
      <c r="AT224" s="1" t="s">
        <v>211</v>
      </c>
      <c r="AU224" s="1">
        <v>2</v>
      </c>
      <c r="AW224" s="1" t="s">
        <v>204</v>
      </c>
      <c r="AX224" s="1" t="s">
        <v>3668</v>
      </c>
      <c r="AZ224" s="1">
        <v>5329</v>
      </c>
      <c r="BA224" s="1">
        <v>2013</v>
      </c>
      <c r="BB224" s="1" t="s">
        <v>405</v>
      </c>
      <c r="BE224" s="1">
        <v>1506</v>
      </c>
      <c r="BF224" s="1">
        <v>1</v>
      </c>
      <c r="BG224" s="1">
        <v>0</v>
      </c>
      <c r="BL224" s="1">
        <v>208</v>
      </c>
      <c r="BM224" s="1" t="s">
        <v>204</v>
      </c>
      <c r="BN224" s="1" t="s">
        <v>213</v>
      </c>
      <c r="BO224" s="1">
        <v>0</v>
      </c>
      <c r="BP224" s="1" t="s">
        <v>204</v>
      </c>
      <c r="BR224" s="1" t="str">
        <f>"06083010250000"</f>
        <v>06083010250000</v>
      </c>
      <c r="BT224" s="1" t="s">
        <v>3669</v>
      </c>
      <c r="BU224" s="1" t="s">
        <v>969</v>
      </c>
      <c r="BV224" s="1" t="s">
        <v>3604</v>
      </c>
      <c r="BW224" s="1" t="s">
        <v>2058</v>
      </c>
      <c r="BX224" s="1">
        <v>46</v>
      </c>
      <c r="BY224" s="1">
        <v>46</v>
      </c>
      <c r="BZ224" s="1">
        <v>46</v>
      </c>
      <c r="CB224" s="1" t="str">
        <f t="shared" ref="CB224:CC224" si="178">""</f>
        <v/>
      </c>
      <c r="CC224" s="1" t="str">
        <f t="shared" si="178"/>
        <v/>
      </c>
      <c r="CG224" s="1" t="s">
        <v>669</v>
      </c>
      <c r="CH224" s="1" t="s">
        <v>219</v>
      </c>
      <c r="CI224" s="1" t="s">
        <v>220</v>
      </c>
      <c r="CJ224" s="1" t="s">
        <v>343</v>
      </c>
      <c r="CK224" s="1" t="s">
        <v>218</v>
      </c>
      <c r="CL224" s="1" t="s">
        <v>277</v>
      </c>
      <c r="CM224" s="1" t="s">
        <v>220</v>
      </c>
      <c r="CN224" s="1" t="s">
        <v>343</v>
      </c>
      <c r="CO224" s="1" t="s">
        <v>346</v>
      </c>
      <c r="CP224" s="1" t="s">
        <v>219</v>
      </c>
      <c r="CQ224" s="1" t="s">
        <v>220</v>
      </c>
      <c r="CR224" s="1" t="s">
        <v>343</v>
      </c>
      <c r="CS224" s="1" t="s">
        <v>317</v>
      </c>
      <c r="CT224" s="1" t="s">
        <v>277</v>
      </c>
      <c r="CU224" s="1" t="s">
        <v>220</v>
      </c>
      <c r="CV224" s="1" t="s">
        <v>343</v>
      </c>
      <c r="CX224" s="1" t="s">
        <v>224</v>
      </c>
      <c r="DB224" s="1" t="s">
        <v>224</v>
      </c>
      <c r="DE224" s="1" t="s">
        <v>317</v>
      </c>
      <c r="DF224" s="1" t="s">
        <v>219</v>
      </c>
      <c r="DG224" s="1" t="s">
        <v>226</v>
      </c>
      <c r="DH224" s="1" t="s">
        <v>210</v>
      </c>
      <c r="DJ224" s="1" t="s">
        <v>224</v>
      </c>
      <c r="DM224" s="1" t="s">
        <v>464</v>
      </c>
      <c r="DN224" s="1" t="s">
        <v>709</v>
      </c>
      <c r="DO224" s="1" t="s">
        <v>1771</v>
      </c>
      <c r="DR224" s="1" t="s">
        <v>1454</v>
      </c>
      <c r="DS224" s="1" t="s">
        <v>277</v>
      </c>
      <c r="DT224" s="1" t="s">
        <v>220</v>
      </c>
      <c r="DU224" s="1" t="s">
        <v>343</v>
      </c>
      <c r="DV224" s="1" t="s">
        <v>910</v>
      </c>
      <c r="DW224" s="1" t="s">
        <v>219</v>
      </c>
      <c r="DX224" s="1" t="s">
        <v>226</v>
      </c>
      <c r="DY224" s="1" t="s">
        <v>210</v>
      </c>
      <c r="DZ224" s="1" t="s">
        <v>2308</v>
      </c>
      <c r="EA224" s="1" t="s">
        <v>277</v>
      </c>
      <c r="EB224" s="1" t="s">
        <v>220</v>
      </c>
      <c r="EC224" s="1" t="s">
        <v>210</v>
      </c>
      <c r="EE224" s="1" t="s">
        <v>230</v>
      </c>
      <c r="EI224" s="1" t="s">
        <v>230</v>
      </c>
      <c r="EL224" s="1" t="s">
        <v>491</v>
      </c>
      <c r="EM224" s="1" t="s">
        <v>319</v>
      </c>
      <c r="EN224" s="1" t="s">
        <v>282</v>
      </c>
      <c r="EO224" s="1" t="s">
        <v>234</v>
      </c>
      <c r="EP224" s="1" t="s">
        <v>650</v>
      </c>
      <c r="EQ224" s="1" t="s">
        <v>236</v>
      </c>
      <c r="ER224" s="1" t="s">
        <v>1249</v>
      </c>
      <c r="ET224" s="1" t="s">
        <v>842</v>
      </c>
      <c r="EU224" s="1" t="s">
        <v>3670</v>
      </c>
      <c r="EV224" s="1" t="s">
        <v>324</v>
      </c>
      <c r="EW224" s="1" t="s">
        <v>353</v>
      </c>
      <c r="EY224" s="1" t="s">
        <v>790</v>
      </c>
      <c r="EZ224" s="1" t="s">
        <v>3671</v>
      </c>
      <c r="FA224" s="1" t="s">
        <v>2358</v>
      </c>
      <c r="FB224" s="1" t="s">
        <v>289</v>
      </c>
      <c r="FC224" s="1" t="s">
        <v>1386</v>
      </c>
      <c r="FD224" s="1" t="s">
        <v>246</v>
      </c>
      <c r="FE224" s="1" t="s">
        <v>975</v>
      </c>
      <c r="FF224" s="1" t="s">
        <v>248</v>
      </c>
      <c r="FG224" s="1" t="s">
        <v>1204</v>
      </c>
      <c r="FH224" s="1" t="s">
        <v>550</v>
      </c>
      <c r="FI224" s="1" t="s">
        <v>473</v>
      </c>
      <c r="FJ224" s="1" t="s">
        <v>1251</v>
      </c>
      <c r="FL224" s="1" t="s">
        <v>358</v>
      </c>
      <c r="FM224" s="1" t="s">
        <v>252</v>
      </c>
      <c r="FN224" s="1" t="s">
        <v>213</v>
      </c>
      <c r="FO224" s="1" t="s">
        <v>213</v>
      </c>
      <c r="FQ224" s="1" t="s">
        <v>635</v>
      </c>
      <c r="FR224" s="1" t="s">
        <v>210</v>
      </c>
      <c r="FS224" s="1" t="s">
        <v>3672</v>
      </c>
      <c r="FT224" s="1" t="s">
        <v>1139</v>
      </c>
      <c r="FU224" s="1" t="s">
        <v>204</v>
      </c>
      <c r="FW224" s="1" t="s">
        <v>3673</v>
      </c>
      <c r="FX224" s="1">
        <v>7032</v>
      </c>
      <c r="FY224" s="1" t="s">
        <v>3674</v>
      </c>
      <c r="FZ224" s="1" t="s">
        <v>3675</v>
      </c>
      <c r="GA224" s="1">
        <v>70226</v>
      </c>
      <c r="GB224" s="1" t="s">
        <v>3676</v>
      </c>
      <c r="GD224" s="1" t="s">
        <v>3677</v>
      </c>
      <c r="GE224" s="1" t="s">
        <v>776</v>
      </c>
      <c r="GI224" s="1" t="s">
        <v>213</v>
      </c>
      <c r="GJ224" s="1" t="s">
        <v>260</v>
      </c>
      <c r="GK224" s="1" t="s">
        <v>210</v>
      </c>
      <c r="GL224" s="2">
        <v>42104</v>
      </c>
      <c r="GM224" s="1" t="s">
        <v>3678</v>
      </c>
    </row>
    <row r="225" spans="1:195">
      <c r="A225" s="1">
        <v>185153</v>
      </c>
      <c r="B225" s="1" t="s">
        <v>195</v>
      </c>
      <c r="C225" s="1" t="str">
        <f>"08772114"</f>
        <v>08772114</v>
      </c>
      <c r="D225" s="1" t="s">
        <v>196</v>
      </c>
      <c r="F225" s="1" t="str">
        <f>"136"</f>
        <v>136</v>
      </c>
      <c r="G225" s="2">
        <v>41952</v>
      </c>
      <c r="H225" s="1">
        <v>184900</v>
      </c>
      <c r="I225" s="1">
        <v>184900</v>
      </c>
      <c r="J225" s="1">
        <v>185153</v>
      </c>
      <c r="K225" s="2">
        <v>41950</v>
      </c>
      <c r="L225" s="1">
        <v>20</v>
      </c>
      <c r="M225" s="2">
        <v>41969</v>
      </c>
      <c r="N225" s="1">
        <v>20</v>
      </c>
      <c r="O225" s="2">
        <v>41969</v>
      </c>
      <c r="P225" s="1">
        <v>2535</v>
      </c>
      <c r="Q225" s="1" t="s">
        <v>197</v>
      </c>
      <c r="R225" s="2">
        <v>42012</v>
      </c>
      <c r="S225" s="1">
        <v>243177</v>
      </c>
      <c r="U225" s="1">
        <v>102</v>
      </c>
      <c r="V225" s="1" t="s">
        <v>3679</v>
      </c>
      <c r="W225" s="1" t="s">
        <v>199</v>
      </c>
      <c r="Y225" s="1">
        <v>5</v>
      </c>
      <c r="Z225" s="1" t="s">
        <v>249</v>
      </c>
      <c r="AA225" s="1" t="s">
        <v>3680</v>
      </c>
      <c r="AB225" s="1">
        <v>60136</v>
      </c>
      <c r="AE225" s="1" t="s">
        <v>3681</v>
      </c>
      <c r="AF225" s="1">
        <v>2008</v>
      </c>
      <c r="AG225" s="1" t="s">
        <v>204</v>
      </c>
      <c r="AH225" s="1" t="s">
        <v>3682</v>
      </c>
      <c r="AI225" s="1" t="s">
        <v>665</v>
      </c>
      <c r="AJ225" s="1" t="s">
        <v>748</v>
      </c>
      <c r="AL225" s="1">
        <v>7</v>
      </c>
      <c r="AM225" s="1">
        <v>2</v>
      </c>
      <c r="AN225" s="1">
        <v>2</v>
      </c>
      <c r="AO225" s="1">
        <v>1</v>
      </c>
      <c r="AP225" s="1" t="s">
        <v>209</v>
      </c>
      <c r="AQ225" s="1">
        <v>1</v>
      </c>
      <c r="AR225" s="1" t="s">
        <v>1631</v>
      </c>
      <c r="AS225" s="1" t="s">
        <v>204</v>
      </c>
      <c r="AT225" s="1" t="s">
        <v>211</v>
      </c>
      <c r="AU225" s="1">
        <v>2</v>
      </c>
      <c r="AW225" s="1" t="s">
        <v>204</v>
      </c>
      <c r="AX225" s="1" t="s">
        <v>212</v>
      </c>
      <c r="AZ225" s="1">
        <v>5560.6</v>
      </c>
      <c r="BA225" s="1">
        <v>2012</v>
      </c>
      <c r="BE225" s="1">
        <v>2352</v>
      </c>
      <c r="BF225" s="1">
        <v>1</v>
      </c>
      <c r="BG225" s="1">
        <v>0</v>
      </c>
      <c r="BL225" s="1">
        <v>175</v>
      </c>
      <c r="BM225" s="1" t="s">
        <v>204</v>
      </c>
      <c r="BN225" s="1" t="s">
        <v>213</v>
      </c>
      <c r="BO225" s="1">
        <v>99</v>
      </c>
      <c r="BP225" s="1" t="s">
        <v>204</v>
      </c>
      <c r="BR225" s="1" t="str">
        <f>"0224125054"</f>
        <v>0224125054</v>
      </c>
      <c r="BT225" s="1" t="s">
        <v>3683</v>
      </c>
      <c r="BX225" s="1">
        <v>300</v>
      </c>
      <c r="BY225" s="1">
        <v>300</v>
      </c>
      <c r="BZ225" s="1">
        <v>300</v>
      </c>
      <c r="CB225" s="1" t="str">
        <f t="shared" ref="CB225:CC225" si="179">""</f>
        <v/>
      </c>
      <c r="CC225" s="1" t="str">
        <f t="shared" si="179"/>
        <v/>
      </c>
      <c r="CG225" s="1" t="s">
        <v>3684</v>
      </c>
      <c r="CH225" s="1" t="s">
        <v>219</v>
      </c>
      <c r="CK225" s="1" t="s">
        <v>601</v>
      </c>
      <c r="CL225" s="1" t="s">
        <v>277</v>
      </c>
      <c r="CO225" s="1" t="s">
        <v>344</v>
      </c>
      <c r="CP225" s="1" t="s">
        <v>219</v>
      </c>
      <c r="CS225" s="1" t="s">
        <v>317</v>
      </c>
      <c r="CT225" s="1" t="s">
        <v>277</v>
      </c>
      <c r="CX225" s="1" t="s">
        <v>224</v>
      </c>
      <c r="DB225" s="1" t="s">
        <v>224</v>
      </c>
      <c r="DE225" s="1" t="s">
        <v>223</v>
      </c>
      <c r="DF225" s="1" t="s">
        <v>219</v>
      </c>
      <c r="DI225" s="1" t="s">
        <v>223</v>
      </c>
      <c r="DJ225" s="1" t="s">
        <v>822</v>
      </c>
      <c r="DM225" s="1" t="s">
        <v>464</v>
      </c>
      <c r="DR225" s="1" t="s">
        <v>378</v>
      </c>
      <c r="DS225" s="1" t="s">
        <v>277</v>
      </c>
      <c r="DW225" s="1" t="s">
        <v>230</v>
      </c>
      <c r="EA225" s="1" t="s">
        <v>230</v>
      </c>
      <c r="EE225" s="1" t="s">
        <v>230</v>
      </c>
      <c r="EI225" s="1" t="s">
        <v>230</v>
      </c>
      <c r="EL225" s="1" t="s">
        <v>491</v>
      </c>
      <c r="EM225" s="1" t="s">
        <v>319</v>
      </c>
      <c r="EN225" s="1" t="s">
        <v>282</v>
      </c>
      <c r="EO225" s="1" t="s">
        <v>234</v>
      </c>
      <c r="ER225" s="1" t="s">
        <v>544</v>
      </c>
      <c r="EW225" s="1" t="s">
        <v>887</v>
      </c>
      <c r="EZ225" s="1" t="s">
        <v>464</v>
      </c>
      <c r="FD225" s="1" t="s">
        <v>246</v>
      </c>
      <c r="FE225" s="1" t="s">
        <v>1006</v>
      </c>
      <c r="FF225" s="1" t="s">
        <v>248</v>
      </c>
      <c r="FG225" s="1" t="s">
        <v>3685</v>
      </c>
      <c r="FH225" s="1" t="s">
        <v>249</v>
      </c>
      <c r="FL225" s="1" t="s">
        <v>358</v>
      </c>
      <c r="FM225" s="1" t="s">
        <v>252</v>
      </c>
      <c r="FN225" s="1" t="s">
        <v>213</v>
      </c>
      <c r="FO225" s="1" t="s">
        <v>213</v>
      </c>
      <c r="FQ225" s="1" t="s">
        <v>582</v>
      </c>
      <c r="FR225" s="1" t="s">
        <v>210</v>
      </c>
      <c r="FS225" s="1" t="s">
        <v>3074</v>
      </c>
      <c r="FT225" s="1" t="s">
        <v>295</v>
      </c>
      <c r="FU225" s="1" t="s">
        <v>204</v>
      </c>
      <c r="FW225" s="1" t="s">
        <v>2845</v>
      </c>
      <c r="FX225" s="1">
        <v>5293</v>
      </c>
      <c r="FY225" s="1" t="s">
        <v>2846</v>
      </c>
      <c r="FZ225" s="1" t="s">
        <v>2847</v>
      </c>
      <c r="GA225" s="1">
        <v>53957</v>
      </c>
      <c r="GE225" s="1" t="s">
        <v>210</v>
      </c>
      <c r="GI225" s="1" t="s">
        <v>204</v>
      </c>
      <c r="GJ225" s="1" t="s">
        <v>260</v>
      </c>
      <c r="GK225" s="1" t="s">
        <v>210</v>
      </c>
      <c r="GL225" s="2">
        <v>42012</v>
      </c>
      <c r="GM225" s="1" t="s">
        <v>3686</v>
      </c>
    </row>
    <row r="226" spans="1:195">
      <c r="A226" s="1">
        <v>87000</v>
      </c>
      <c r="B226" s="1" t="s">
        <v>195</v>
      </c>
      <c r="C226" s="1" t="str">
        <f>"08771789"</f>
        <v>08771789</v>
      </c>
      <c r="D226" s="1" t="s">
        <v>196</v>
      </c>
      <c r="F226" s="1" t="str">
        <f>"108"</f>
        <v>108</v>
      </c>
      <c r="G226" s="2">
        <v>41951</v>
      </c>
      <c r="H226" s="1">
        <v>95700</v>
      </c>
      <c r="I226" s="1">
        <v>95700</v>
      </c>
      <c r="J226" s="1">
        <v>87000</v>
      </c>
      <c r="K226" s="2">
        <v>41950</v>
      </c>
      <c r="L226" s="1">
        <v>33</v>
      </c>
      <c r="M226" s="2">
        <v>41982</v>
      </c>
      <c r="N226" s="1">
        <v>33</v>
      </c>
      <c r="O226" s="2">
        <v>41982</v>
      </c>
      <c r="P226" s="1">
        <v>85729</v>
      </c>
      <c r="Q226" s="1" t="s">
        <v>197</v>
      </c>
      <c r="R226" s="2">
        <v>42047</v>
      </c>
      <c r="S226" s="1">
        <v>130419</v>
      </c>
      <c r="U226" s="1">
        <v>1</v>
      </c>
      <c r="V226" s="1" t="s">
        <v>829</v>
      </c>
      <c r="W226" s="1" t="s">
        <v>779</v>
      </c>
      <c r="X226" s="1">
        <v>217</v>
      </c>
      <c r="Y226" s="1">
        <v>170</v>
      </c>
      <c r="Z226" s="1" t="s">
        <v>249</v>
      </c>
      <c r="AA226" s="1" t="s">
        <v>829</v>
      </c>
      <c r="AB226" s="1">
        <v>60108</v>
      </c>
      <c r="AE226" s="1" t="s">
        <v>3687</v>
      </c>
      <c r="AF226" s="1">
        <v>1988</v>
      </c>
      <c r="AG226" s="1" t="s">
        <v>204</v>
      </c>
      <c r="AH226" s="1" t="s">
        <v>269</v>
      </c>
      <c r="AI226" s="1" t="s">
        <v>206</v>
      </c>
      <c r="AJ226" s="1" t="s">
        <v>269</v>
      </c>
      <c r="AL226" s="1">
        <v>5</v>
      </c>
      <c r="AM226" s="1">
        <v>2</v>
      </c>
      <c r="AN226" s="1">
        <v>2</v>
      </c>
      <c r="AO226" s="1">
        <v>0</v>
      </c>
      <c r="AP226" s="1" t="s">
        <v>209</v>
      </c>
      <c r="AR226" s="1" t="s">
        <v>210</v>
      </c>
      <c r="AT226" s="1" t="s">
        <v>211</v>
      </c>
      <c r="AU226" s="1">
        <v>1</v>
      </c>
      <c r="AW226" s="1" t="s">
        <v>204</v>
      </c>
      <c r="AX226" s="1" t="s">
        <v>212</v>
      </c>
      <c r="AZ226" s="1">
        <v>2108.86</v>
      </c>
      <c r="BA226" s="1">
        <v>2013</v>
      </c>
      <c r="BE226" s="1">
        <v>990</v>
      </c>
      <c r="BF226" s="1">
        <v>2</v>
      </c>
      <c r="BG226" s="1">
        <v>0</v>
      </c>
      <c r="BL226" s="1">
        <v>395</v>
      </c>
      <c r="BM226" s="1" t="s">
        <v>413</v>
      </c>
      <c r="BN226" s="1" t="s">
        <v>213</v>
      </c>
      <c r="BP226" s="1" t="s">
        <v>204</v>
      </c>
      <c r="BR226" s="1" t="str">
        <f>"0216220033"</f>
        <v>0216220033</v>
      </c>
      <c r="BT226" s="1" t="s">
        <v>3688</v>
      </c>
      <c r="BU226" s="1" t="s">
        <v>1611</v>
      </c>
      <c r="BV226" s="1" t="s">
        <v>834</v>
      </c>
      <c r="BW226" s="1" t="s">
        <v>275</v>
      </c>
      <c r="BX226" s="1">
        <v>13</v>
      </c>
      <c r="BY226" s="1">
        <v>13</v>
      </c>
      <c r="BZ226" s="1">
        <v>108</v>
      </c>
      <c r="CB226" s="1" t="str">
        <f t="shared" ref="CB226:CC226" si="180">""</f>
        <v/>
      </c>
      <c r="CC226" s="1" t="str">
        <f t="shared" si="180"/>
        <v/>
      </c>
      <c r="CG226" s="1" t="s">
        <v>1267</v>
      </c>
      <c r="CH226" s="1" t="s">
        <v>219</v>
      </c>
      <c r="CK226" s="1" t="s">
        <v>1267</v>
      </c>
      <c r="CL226" s="1" t="s">
        <v>219</v>
      </c>
      <c r="CO226" s="1" t="s">
        <v>516</v>
      </c>
      <c r="CP226" s="1" t="s">
        <v>219</v>
      </c>
      <c r="CS226" s="1" t="s">
        <v>346</v>
      </c>
      <c r="CT226" s="1" t="s">
        <v>219</v>
      </c>
      <c r="CX226" s="1" t="s">
        <v>224</v>
      </c>
      <c r="DB226" s="1" t="s">
        <v>224</v>
      </c>
      <c r="DE226" s="1" t="s">
        <v>516</v>
      </c>
      <c r="DF226" s="1" t="s">
        <v>219</v>
      </c>
      <c r="DJ226" s="1" t="s">
        <v>224</v>
      </c>
      <c r="DM226" s="1" t="s">
        <v>838</v>
      </c>
      <c r="DR226" s="1" t="s">
        <v>2670</v>
      </c>
      <c r="DS226" s="1" t="s">
        <v>219</v>
      </c>
      <c r="DW226" s="1" t="s">
        <v>230</v>
      </c>
      <c r="EA226" s="1" t="s">
        <v>230</v>
      </c>
      <c r="EE226" s="1" t="s">
        <v>230</v>
      </c>
      <c r="EI226" s="1" t="s">
        <v>230</v>
      </c>
      <c r="EL226" s="1" t="s">
        <v>542</v>
      </c>
      <c r="EM226" s="1" t="s">
        <v>730</v>
      </c>
      <c r="EN226" s="1" t="s">
        <v>282</v>
      </c>
      <c r="EO226" s="1" t="s">
        <v>234</v>
      </c>
      <c r="ER226" s="1" t="s">
        <v>210</v>
      </c>
      <c r="EW226" s="1" t="s">
        <v>3689</v>
      </c>
      <c r="EZ226" s="1" t="s">
        <v>838</v>
      </c>
      <c r="FA226" s="1" t="s">
        <v>3690</v>
      </c>
      <c r="FB226" s="1" t="s">
        <v>1755</v>
      </c>
      <c r="FD226" s="1" t="s">
        <v>736</v>
      </c>
      <c r="FE226" s="1" t="s">
        <v>247</v>
      </c>
      <c r="FF226" s="1" t="s">
        <v>248</v>
      </c>
      <c r="FH226" s="1" t="s">
        <v>249</v>
      </c>
      <c r="FL226" s="1" t="s">
        <v>358</v>
      </c>
      <c r="FM226" s="1" t="s">
        <v>252</v>
      </c>
      <c r="FN226" s="1" t="s">
        <v>213</v>
      </c>
      <c r="FO226" s="1" t="s">
        <v>213</v>
      </c>
      <c r="FQ226" s="1" t="s">
        <v>689</v>
      </c>
      <c r="FR226" s="1" t="s">
        <v>210</v>
      </c>
      <c r="FS226" s="1" t="s">
        <v>3691</v>
      </c>
      <c r="FT226" s="1" t="s">
        <v>295</v>
      </c>
      <c r="FU226" s="1" t="s">
        <v>204</v>
      </c>
      <c r="FW226" s="1" t="s">
        <v>1961</v>
      </c>
      <c r="FX226" s="1">
        <v>20150</v>
      </c>
      <c r="FY226" s="1" t="s">
        <v>1962</v>
      </c>
      <c r="FZ226" s="1" t="s">
        <v>1963</v>
      </c>
      <c r="GA226" s="1">
        <v>211012</v>
      </c>
      <c r="GB226" s="1" t="s">
        <v>1964</v>
      </c>
      <c r="GC226" s="1">
        <v>226083</v>
      </c>
      <c r="GD226" s="1" t="s">
        <v>2928</v>
      </c>
      <c r="GE226" s="1" t="s">
        <v>210</v>
      </c>
      <c r="GI226" s="1" t="s">
        <v>213</v>
      </c>
      <c r="GJ226" s="1" t="s">
        <v>260</v>
      </c>
      <c r="GK226" s="1" t="s">
        <v>210</v>
      </c>
      <c r="GL226" s="2">
        <v>42047</v>
      </c>
      <c r="GM226" s="1" t="s">
        <v>1965</v>
      </c>
    </row>
    <row r="227" spans="1:195">
      <c r="A227" s="1">
        <v>147500</v>
      </c>
      <c r="B227" s="1" t="s">
        <v>195</v>
      </c>
      <c r="C227" s="1" t="str">
        <f>"08785723"</f>
        <v>08785723</v>
      </c>
      <c r="D227" s="1" t="s">
        <v>196</v>
      </c>
      <c r="F227" s="1" t="str">
        <f>"174"</f>
        <v>174</v>
      </c>
      <c r="G227" s="2">
        <v>41956</v>
      </c>
      <c r="H227" s="1">
        <v>169000</v>
      </c>
      <c r="I227" s="1">
        <v>154900</v>
      </c>
      <c r="J227" s="1">
        <v>147500</v>
      </c>
      <c r="K227" s="2">
        <v>41956</v>
      </c>
      <c r="L227" s="1">
        <v>137</v>
      </c>
      <c r="M227" s="2">
        <v>42092</v>
      </c>
      <c r="N227" s="1">
        <v>137</v>
      </c>
      <c r="O227" s="2">
        <v>42092</v>
      </c>
      <c r="P227" s="1">
        <v>890</v>
      </c>
      <c r="Q227" s="1" t="s">
        <v>197</v>
      </c>
      <c r="R227" s="2">
        <v>42139</v>
      </c>
      <c r="S227" s="1">
        <v>8060</v>
      </c>
      <c r="U227" s="1">
        <v>1448</v>
      </c>
      <c r="V227" s="1" t="s">
        <v>3692</v>
      </c>
      <c r="W227" s="1" t="s">
        <v>304</v>
      </c>
      <c r="X227" s="1">
        <v>16</v>
      </c>
      <c r="Y227" s="1">
        <v>6</v>
      </c>
      <c r="Z227" s="1" t="s">
        <v>370</v>
      </c>
      <c r="AA227" s="1" t="s">
        <v>879</v>
      </c>
      <c r="AB227" s="1">
        <v>60174</v>
      </c>
      <c r="AD227" s="1" t="s">
        <v>3693</v>
      </c>
      <c r="AE227" s="1" t="s">
        <v>3694</v>
      </c>
      <c r="AF227" s="1">
        <v>1994</v>
      </c>
      <c r="AG227" s="1" t="s">
        <v>204</v>
      </c>
      <c r="AH227" s="1" t="s">
        <v>883</v>
      </c>
      <c r="AI227" s="1" t="s">
        <v>665</v>
      </c>
      <c r="AJ227" s="1" t="s">
        <v>883</v>
      </c>
      <c r="AL227" s="1">
        <v>4</v>
      </c>
      <c r="AM227" s="1">
        <v>2</v>
      </c>
      <c r="AN227" s="1">
        <v>2</v>
      </c>
      <c r="AO227" s="1">
        <v>1</v>
      </c>
      <c r="AP227" s="1" t="s">
        <v>209</v>
      </c>
      <c r="AQ227" s="1">
        <v>1</v>
      </c>
      <c r="AR227" s="1" t="s">
        <v>210</v>
      </c>
      <c r="AS227" s="1" t="s">
        <v>204</v>
      </c>
      <c r="AT227" s="1" t="s">
        <v>211</v>
      </c>
      <c r="AU227" s="1">
        <v>1</v>
      </c>
      <c r="AW227" s="1" t="s">
        <v>204</v>
      </c>
      <c r="AX227" s="1" t="s">
        <v>212</v>
      </c>
      <c r="AZ227" s="1">
        <v>3757.8</v>
      </c>
      <c r="BA227" s="1">
        <v>2013</v>
      </c>
      <c r="BB227" s="1" t="s">
        <v>405</v>
      </c>
      <c r="BE227" s="1">
        <v>1328</v>
      </c>
      <c r="BF227" s="1">
        <v>1</v>
      </c>
      <c r="BG227" s="1">
        <v>0</v>
      </c>
      <c r="BL227" s="1">
        <v>158</v>
      </c>
      <c r="BM227" s="1" t="s">
        <v>204</v>
      </c>
      <c r="BN227" s="1" t="s">
        <v>213</v>
      </c>
      <c r="BO227" s="1">
        <v>999</v>
      </c>
      <c r="BP227" s="1" t="s">
        <v>204</v>
      </c>
      <c r="BR227" s="1" t="str">
        <f>"0935457062"</f>
        <v>0935457062</v>
      </c>
      <c r="BT227" s="1" t="s">
        <v>3695</v>
      </c>
      <c r="BV227" s="1" t="s">
        <v>2118</v>
      </c>
      <c r="BW227" s="1" t="s">
        <v>2119</v>
      </c>
      <c r="BX227" s="1">
        <v>303</v>
      </c>
      <c r="BY227" s="1">
        <v>303</v>
      </c>
      <c r="BZ227" s="1">
        <v>303</v>
      </c>
      <c r="CB227" s="1" t="str">
        <f>"2"</f>
        <v>2</v>
      </c>
      <c r="CC227" s="1" t="str">
        <f>""</f>
        <v/>
      </c>
      <c r="CD227" s="1">
        <v>34</v>
      </c>
      <c r="CH227" s="1" t="s">
        <v>224</v>
      </c>
      <c r="CK227" s="1" t="s">
        <v>757</v>
      </c>
      <c r="CL227" s="1" t="s">
        <v>277</v>
      </c>
      <c r="CM227" s="1" t="s">
        <v>220</v>
      </c>
      <c r="CP227" s="1" t="s">
        <v>224</v>
      </c>
      <c r="CS227" s="1" t="s">
        <v>1046</v>
      </c>
      <c r="CT227" s="1" t="s">
        <v>277</v>
      </c>
      <c r="CU227" s="1" t="s">
        <v>220</v>
      </c>
      <c r="CX227" s="1" t="s">
        <v>224</v>
      </c>
      <c r="DB227" s="1" t="s">
        <v>224</v>
      </c>
      <c r="DE227" s="1" t="s">
        <v>837</v>
      </c>
      <c r="DF227" s="1" t="s">
        <v>219</v>
      </c>
      <c r="DG227" s="1" t="s">
        <v>342</v>
      </c>
      <c r="DI227" s="1" t="s">
        <v>2511</v>
      </c>
      <c r="DJ227" s="1" t="s">
        <v>219</v>
      </c>
      <c r="DK227" s="1" t="s">
        <v>220</v>
      </c>
      <c r="DS227" s="1" t="s">
        <v>230</v>
      </c>
      <c r="DW227" s="1" t="s">
        <v>230</v>
      </c>
      <c r="EA227" s="1" t="s">
        <v>230</v>
      </c>
      <c r="EE227" s="1" t="s">
        <v>230</v>
      </c>
      <c r="EI227" s="1" t="s">
        <v>230</v>
      </c>
      <c r="EL227" s="1" t="s">
        <v>670</v>
      </c>
      <c r="EM227" s="1" t="s">
        <v>319</v>
      </c>
      <c r="EN227" s="1" t="s">
        <v>282</v>
      </c>
      <c r="EO227" s="1" t="s">
        <v>234</v>
      </c>
      <c r="EP227" s="1" t="s">
        <v>650</v>
      </c>
      <c r="EQ227" s="1" t="s">
        <v>492</v>
      </c>
      <c r="ER227" s="1" t="s">
        <v>383</v>
      </c>
      <c r="ES227" s="1" t="s">
        <v>493</v>
      </c>
      <c r="ET227" s="1" t="s">
        <v>323</v>
      </c>
      <c r="EU227" s="1" t="s">
        <v>239</v>
      </c>
      <c r="EW227" s="1" t="s">
        <v>353</v>
      </c>
      <c r="EY227" s="1" t="s">
        <v>242</v>
      </c>
      <c r="EZ227" s="1" t="s">
        <v>287</v>
      </c>
      <c r="FD227" s="1" t="s">
        <v>246</v>
      </c>
      <c r="FE227" s="1" t="s">
        <v>355</v>
      </c>
      <c r="FF227" s="1" t="s">
        <v>2998</v>
      </c>
      <c r="FH227" s="1" t="s">
        <v>550</v>
      </c>
      <c r="FL227" s="1" t="s">
        <v>358</v>
      </c>
      <c r="FM227" s="1" t="s">
        <v>252</v>
      </c>
      <c r="FN227" s="1" t="s">
        <v>213</v>
      </c>
      <c r="FO227" s="1" t="s">
        <v>213</v>
      </c>
      <c r="FQ227" s="1" t="s">
        <v>793</v>
      </c>
      <c r="FR227" s="1" t="s">
        <v>210</v>
      </c>
      <c r="FS227" s="1" t="s">
        <v>3696</v>
      </c>
      <c r="FT227" s="1" t="s">
        <v>295</v>
      </c>
      <c r="FU227" s="1" t="s">
        <v>204</v>
      </c>
      <c r="FW227" s="1" t="s">
        <v>915</v>
      </c>
      <c r="FX227" s="1">
        <v>23591</v>
      </c>
      <c r="FY227" s="1" t="s">
        <v>1710</v>
      </c>
      <c r="FZ227" s="1" t="s">
        <v>3697</v>
      </c>
      <c r="GA227" s="1">
        <v>230500</v>
      </c>
      <c r="GB227" s="1" t="s">
        <v>3698</v>
      </c>
      <c r="GE227" s="1" t="s">
        <v>480</v>
      </c>
      <c r="GI227" s="1" t="s">
        <v>213</v>
      </c>
      <c r="GJ227" s="1" t="s">
        <v>260</v>
      </c>
      <c r="GK227" s="1" t="s">
        <v>210</v>
      </c>
      <c r="GL227" s="2">
        <v>42139</v>
      </c>
    </row>
    <row r="228" spans="1:195">
      <c r="A228" s="1">
        <v>240000</v>
      </c>
      <c r="B228" s="1" t="s">
        <v>195</v>
      </c>
      <c r="C228" s="1" t="str">
        <f>"08773542"</f>
        <v>08773542</v>
      </c>
      <c r="D228" s="1" t="s">
        <v>196</v>
      </c>
      <c r="F228" s="1" t="str">
        <f>"634"</f>
        <v>634</v>
      </c>
      <c r="G228" s="2">
        <v>41954</v>
      </c>
      <c r="H228" s="1">
        <v>249900</v>
      </c>
      <c r="I228" s="1">
        <v>249900</v>
      </c>
      <c r="J228" s="1">
        <v>240000</v>
      </c>
      <c r="K228" s="2">
        <v>41954</v>
      </c>
      <c r="L228" s="1">
        <v>7</v>
      </c>
      <c r="M228" s="2">
        <v>41960</v>
      </c>
      <c r="N228" s="1">
        <v>7</v>
      </c>
      <c r="O228" s="2">
        <v>41960</v>
      </c>
      <c r="P228" s="1">
        <v>8096</v>
      </c>
      <c r="Q228" s="1" t="s">
        <v>197</v>
      </c>
      <c r="R228" s="2">
        <v>41992</v>
      </c>
      <c r="S228" s="1">
        <v>87617</v>
      </c>
      <c r="U228" s="1">
        <v>4655</v>
      </c>
      <c r="V228" s="1" t="s">
        <v>3699</v>
      </c>
      <c r="W228" s="1" t="s">
        <v>425</v>
      </c>
      <c r="X228" s="1">
        <v>514</v>
      </c>
      <c r="Y228" s="1">
        <v>86</v>
      </c>
      <c r="Z228" s="1" t="s">
        <v>249</v>
      </c>
      <c r="AA228" s="1" t="s">
        <v>3197</v>
      </c>
      <c r="AB228" s="1">
        <v>60706</v>
      </c>
      <c r="AE228" s="1" t="s">
        <v>3700</v>
      </c>
      <c r="AF228" s="1">
        <v>1999</v>
      </c>
      <c r="AG228" s="1" t="s">
        <v>204</v>
      </c>
      <c r="AH228" s="1" t="s">
        <v>3199</v>
      </c>
      <c r="AI228" s="1" t="s">
        <v>310</v>
      </c>
      <c r="AJ228" s="1" t="s">
        <v>3200</v>
      </c>
      <c r="AL228" s="1">
        <v>5</v>
      </c>
      <c r="AM228" s="1">
        <v>2</v>
      </c>
      <c r="AN228" s="1">
        <v>2</v>
      </c>
      <c r="AO228" s="1">
        <v>0</v>
      </c>
      <c r="AP228" s="1" t="s">
        <v>209</v>
      </c>
      <c r="AR228" s="1" t="s">
        <v>210</v>
      </c>
      <c r="AS228" s="1" t="s">
        <v>204</v>
      </c>
      <c r="AT228" s="1" t="s">
        <v>211</v>
      </c>
      <c r="AU228" s="1">
        <v>1</v>
      </c>
      <c r="AW228" s="1" t="s">
        <v>204</v>
      </c>
      <c r="AX228" s="1" t="s">
        <v>212</v>
      </c>
      <c r="AZ228" s="1">
        <v>2874.75</v>
      </c>
      <c r="BA228" s="1">
        <v>2012</v>
      </c>
      <c r="BB228" s="1" t="s">
        <v>599</v>
      </c>
      <c r="BE228" s="1">
        <v>1500</v>
      </c>
      <c r="BF228" s="1">
        <v>5</v>
      </c>
      <c r="BG228" s="1">
        <v>0</v>
      </c>
      <c r="BJ228" s="1">
        <v>100</v>
      </c>
      <c r="BL228" s="1">
        <v>271</v>
      </c>
      <c r="BM228" s="1" t="s">
        <v>204</v>
      </c>
      <c r="BN228" s="1" t="s">
        <v>213</v>
      </c>
      <c r="BP228" s="1" t="s">
        <v>204</v>
      </c>
      <c r="BR228" s="1" t="str">
        <f>"12142000891074"</f>
        <v>12142000891074</v>
      </c>
      <c r="BT228" s="1" t="s">
        <v>3701</v>
      </c>
      <c r="BX228" s="1">
        <v>80</v>
      </c>
      <c r="BY228" s="1">
        <v>80</v>
      </c>
      <c r="BZ228" s="1">
        <v>234</v>
      </c>
      <c r="CB228" s="1" t="str">
        <f t="shared" ref="CB228:CC228" si="181">""</f>
        <v/>
      </c>
      <c r="CC228" s="1" t="str">
        <f t="shared" si="181"/>
        <v/>
      </c>
      <c r="CG228" s="1" t="s">
        <v>601</v>
      </c>
      <c r="CH228" s="1" t="s">
        <v>219</v>
      </c>
      <c r="CI228" s="1" t="s">
        <v>220</v>
      </c>
      <c r="CJ228" s="1" t="s">
        <v>252</v>
      </c>
      <c r="CK228" s="1" t="s">
        <v>1045</v>
      </c>
      <c r="CL228" s="1" t="s">
        <v>219</v>
      </c>
      <c r="CM228" s="1" t="s">
        <v>220</v>
      </c>
      <c r="CN228" s="1" t="s">
        <v>252</v>
      </c>
      <c r="CO228" s="1" t="s">
        <v>318</v>
      </c>
      <c r="CP228" s="1" t="s">
        <v>219</v>
      </c>
      <c r="CQ228" s="1" t="s">
        <v>226</v>
      </c>
      <c r="CR228" s="1" t="s">
        <v>252</v>
      </c>
      <c r="CS228" s="1" t="s">
        <v>465</v>
      </c>
      <c r="CT228" s="1" t="s">
        <v>219</v>
      </c>
      <c r="CU228" s="1" t="s">
        <v>220</v>
      </c>
      <c r="CV228" s="1" t="s">
        <v>252</v>
      </c>
      <c r="CX228" s="1" t="s">
        <v>224</v>
      </c>
      <c r="DB228" s="1" t="s">
        <v>224</v>
      </c>
      <c r="DE228" s="1" t="s">
        <v>346</v>
      </c>
      <c r="DF228" s="1" t="s">
        <v>219</v>
      </c>
      <c r="DG228" s="1" t="s">
        <v>226</v>
      </c>
      <c r="DJ228" s="1" t="s">
        <v>224</v>
      </c>
      <c r="DS228" s="1" t="s">
        <v>230</v>
      </c>
      <c r="DW228" s="1" t="s">
        <v>230</v>
      </c>
      <c r="EA228" s="1" t="s">
        <v>230</v>
      </c>
      <c r="EE228" s="1" t="s">
        <v>230</v>
      </c>
      <c r="EI228" s="1" t="s">
        <v>230</v>
      </c>
      <c r="EL228" s="1" t="s">
        <v>466</v>
      </c>
      <c r="EM228" s="1" t="s">
        <v>232</v>
      </c>
      <c r="EN228" s="1" t="s">
        <v>282</v>
      </c>
      <c r="EO228" s="1" t="s">
        <v>234</v>
      </c>
      <c r="EP228" s="1" t="s">
        <v>3702</v>
      </c>
      <c r="ER228" s="1" t="s">
        <v>210</v>
      </c>
      <c r="ES228" s="1" t="s">
        <v>322</v>
      </c>
      <c r="ET228" s="1" t="s">
        <v>1201</v>
      </c>
      <c r="EU228" s="1" t="s">
        <v>3703</v>
      </c>
      <c r="EV228" s="1" t="s">
        <v>324</v>
      </c>
      <c r="EW228" s="1" t="s">
        <v>3704</v>
      </c>
      <c r="EY228" s="1" t="s">
        <v>242</v>
      </c>
      <c r="EZ228" s="1" t="s">
        <v>287</v>
      </c>
      <c r="FA228" s="1" t="s">
        <v>1072</v>
      </c>
      <c r="FD228" s="1" t="s">
        <v>736</v>
      </c>
      <c r="FE228" s="1" t="s">
        <v>247</v>
      </c>
      <c r="FF228" s="1" t="s">
        <v>248</v>
      </c>
      <c r="FH228" s="1" t="s">
        <v>249</v>
      </c>
      <c r="FI228" s="1" t="s">
        <v>1114</v>
      </c>
      <c r="FL228" s="1" t="s">
        <v>358</v>
      </c>
      <c r="FM228" s="1" t="s">
        <v>252</v>
      </c>
      <c r="FN228" s="1" t="s">
        <v>213</v>
      </c>
      <c r="FO228" s="1" t="s">
        <v>213</v>
      </c>
      <c r="FQ228" s="1" t="s">
        <v>3705</v>
      </c>
      <c r="FR228" s="1" t="s">
        <v>210</v>
      </c>
      <c r="FS228" s="1" t="s">
        <v>3706</v>
      </c>
      <c r="FT228" s="1" t="s">
        <v>362</v>
      </c>
      <c r="FU228" s="1" t="s">
        <v>204</v>
      </c>
      <c r="FW228" s="1" t="s">
        <v>3707</v>
      </c>
      <c r="FX228" s="1">
        <v>25819</v>
      </c>
      <c r="FY228" s="1" t="s">
        <v>3708</v>
      </c>
      <c r="FZ228" s="1" t="s">
        <v>3709</v>
      </c>
      <c r="GA228" s="1">
        <v>26806</v>
      </c>
      <c r="GB228" s="1" t="s">
        <v>3710</v>
      </c>
      <c r="GE228" s="1" t="s">
        <v>210</v>
      </c>
      <c r="GH228" s="1" t="s">
        <v>230</v>
      </c>
      <c r="GI228" s="1" t="s">
        <v>213</v>
      </c>
      <c r="GJ228" s="1" t="s">
        <v>260</v>
      </c>
      <c r="GK228" s="1" t="s">
        <v>210</v>
      </c>
      <c r="GL228" s="2">
        <v>41996</v>
      </c>
      <c r="GM228" s="1" t="s">
        <v>3711</v>
      </c>
    </row>
    <row r="229" spans="1:195">
      <c r="A229" s="1">
        <v>100000</v>
      </c>
      <c r="B229" s="1" t="s">
        <v>195</v>
      </c>
      <c r="C229" s="1" t="str">
        <f>"08791043"</f>
        <v>08791043</v>
      </c>
      <c r="D229" s="1" t="s">
        <v>196</v>
      </c>
      <c r="F229" s="1" t="str">
        <f>"131"</f>
        <v>131</v>
      </c>
      <c r="G229" s="2">
        <v>41964</v>
      </c>
      <c r="H229" s="1">
        <v>105000</v>
      </c>
      <c r="I229" s="1">
        <v>105000</v>
      </c>
      <c r="J229" s="1">
        <v>100000</v>
      </c>
      <c r="K229" s="2">
        <v>41964</v>
      </c>
      <c r="L229" s="1">
        <v>19</v>
      </c>
      <c r="M229" s="2">
        <v>41982</v>
      </c>
      <c r="N229" s="1">
        <v>19</v>
      </c>
      <c r="O229" s="2">
        <v>41982</v>
      </c>
      <c r="P229" s="1">
        <v>252</v>
      </c>
      <c r="Q229" s="1" t="s">
        <v>197</v>
      </c>
      <c r="R229" s="2">
        <v>42012</v>
      </c>
      <c r="S229" s="1">
        <v>7772</v>
      </c>
      <c r="U229" s="1">
        <v>9823</v>
      </c>
      <c r="V229" s="1" t="s">
        <v>3296</v>
      </c>
      <c r="W229" s="1" t="s">
        <v>425</v>
      </c>
      <c r="Y229" s="1">
        <v>2</v>
      </c>
      <c r="Z229" s="1" t="s">
        <v>200</v>
      </c>
      <c r="AA229" s="1" t="s">
        <v>3712</v>
      </c>
      <c r="AB229" s="1">
        <v>60131</v>
      </c>
      <c r="AE229" s="1" t="s">
        <v>3713</v>
      </c>
      <c r="AF229" s="1">
        <v>1944</v>
      </c>
      <c r="AG229" s="1" t="s">
        <v>213</v>
      </c>
      <c r="AH229" s="1" t="s">
        <v>3714</v>
      </c>
      <c r="AI229" s="1" t="s">
        <v>310</v>
      </c>
      <c r="AJ229" s="1" t="s">
        <v>311</v>
      </c>
      <c r="AL229" s="1">
        <v>5</v>
      </c>
      <c r="AM229" s="1">
        <v>2</v>
      </c>
      <c r="AN229" s="1">
        <v>1</v>
      </c>
      <c r="AO229" s="1">
        <v>0</v>
      </c>
      <c r="AP229" s="1" t="s">
        <v>210</v>
      </c>
      <c r="AR229" s="1" t="s">
        <v>209</v>
      </c>
      <c r="AS229" s="1" t="s">
        <v>204</v>
      </c>
      <c r="AT229" s="1" t="s">
        <v>375</v>
      </c>
      <c r="AU229" s="1">
        <v>2</v>
      </c>
      <c r="AV229" s="1">
        <v>2</v>
      </c>
      <c r="AW229" s="1" t="s">
        <v>204</v>
      </c>
      <c r="AX229" s="1" t="s">
        <v>3032</v>
      </c>
      <c r="AZ229" s="1">
        <v>3180</v>
      </c>
      <c r="BA229" s="1">
        <v>2013</v>
      </c>
      <c r="BB229" s="1" t="s">
        <v>347</v>
      </c>
      <c r="BE229" s="1">
        <v>1000</v>
      </c>
      <c r="BF229" s="1">
        <v>1</v>
      </c>
      <c r="BG229" s="1">
        <v>0</v>
      </c>
      <c r="BL229" s="1">
        <v>0</v>
      </c>
      <c r="BM229" s="1" t="s">
        <v>413</v>
      </c>
      <c r="BN229" s="1" t="s">
        <v>213</v>
      </c>
      <c r="BO229" s="1">
        <v>999</v>
      </c>
      <c r="BP229" s="1" t="s">
        <v>204</v>
      </c>
      <c r="BR229" s="1" t="str">
        <f>"12284070080000"</f>
        <v>12284070080000</v>
      </c>
      <c r="BT229" s="1" t="s">
        <v>3715</v>
      </c>
      <c r="BX229" s="1">
        <v>84</v>
      </c>
      <c r="BY229" s="1">
        <v>84</v>
      </c>
      <c r="BZ229" s="1">
        <v>214</v>
      </c>
      <c r="CB229" s="1" t="str">
        <f t="shared" ref="CB229:CC229" si="182">""</f>
        <v/>
      </c>
      <c r="CC229" s="1" t="str">
        <f t="shared" si="182"/>
        <v/>
      </c>
      <c r="CG229" s="1" t="s">
        <v>3591</v>
      </c>
      <c r="CH229" s="1" t="s">
        <v>219</v>
      </c>
      <c r="CI229" s="1" t="s">
        <v>438</v>
      </c>
      <c r="CJ229" s="1" t="s">
        <v>463</v>
      </c>
      <c r="CK229" s="1" t="s">
        <v>3716</v>
      </c>
      <c r="CL229" s="1" t="s">
        <v>277</v>
      </c>
      <c r="CM229" s="1" t="s">
        <v>438</v>
      </c>
      <c r="CN229" s="1" t="s">
        <v>343</v>
      </c>
      <c r="CO229" s="1" t="s">
        <v>408</v>
      </c>
      <c r="CP229" s="1" t="s">
        <v>219</v>
      </c>
      <c r="CQ229" s="1" t="s">
        <v>438</v>
      </c>
      <c r="CR229" s="1" t="s">
        <v>463</v>
      </c>
      <c r="CS229" s="1" t="s">
        <v>408</v>
      </c>
      <c r="CT229" s="1" t="s">
        <v>277</v>
      </c>
      <c r="CU229" s="1" t="s">
        <v>438</v>
      </c>
      <c r="CV229" s="1" t="s">
        <v>343</v>
      </c>
      <c r="CX229" s="1" t="s">
        <v>224</v>
      </c>
      <c r="DB229" s="1" t="s">
        <v>224</v>
      </c>
      <c r="DE229" s="1" t="s">
        <v>3318</v>
      </c>
      <c r="DF229" s="1" t="s">
        <v>219</v>
      </c>
      <c r="DH229" s="1" t="s">
        <v>252</v>
      </c>
      <c r="DJ229" s="1" t="s">
        <v>224</v>
      </c>
      <c r="DS229" s="1" t="s">
        <v>230</v>
      </c>
      <c r="DW229" s="1" t="s">
        <v>230</v>
      </c>
      <c r="EA229" s="1" t="s">
        <v>230</v>
      </c>
      <c r="EE229" s="1" t="s">
        <v>230</v>
      </c>
      <c r="EI229" s="1" t="s">
        <v>230</v>
      </c>
      <c r="EL229" s="1" t="s">
        <v>3717</v>
      </c>
      <c r="EM229" s="1" t="s">
        <v>232</v>
      </c>
      <c r="EN229" s="1" t="s">
        <v>282</v>
      </c>
      <c r="EO229" s="1" t="s">
        <v>234</v>
      </c>
      <c r="EQ229" s="1" t="s">
        <v>3718</v>
      </c>
      <c r="ER229" s="1" t="s">
        <v>1249</v>
      </c>
      <c r="ES229" s="1" t="s">
        <v>3719</v>
      </c>
      <c r="EV229" s="1" t="s">
        <v>324</v>
      </c>
      <c r="EW229" s="1" t="s">
        <v>210</v>
      </c>
      <c r="EZ229" s="1" t="s">
        <v>287</v>
      </c>
      <c r="FD229" s="1" t="s">
        <v>246</v>
      </c>
      <c r="FE229" s="1" t="s">
        <v>247</v>
      </c>
      <c r="FF229" s="1" t="s">
        <v>248</v>
      </c>
      <c r="FH229" s="1" t="s">
        <v>442</v>
      </c>
      <c r="FI229" s="1" t="s">
        <v>357</v>
      </c>
      <c r="FK229" s="1" t="s">
        <v>3720</v>
      </c>
      <c r="FL229" s="1" t="s">
        <v>414</v>
      </c>
      <c r="FM229" s="1" t="s">
        <v>252</v>
      </c>
      <c r="FN229" s="1" t="s">
        <v>213</v>
      </c>
      <c r="FO229" s="1" t="s">
        <v>204</v>
      </c>
      <c r="FQ229" s="1" t="s">
        <v>1441</v>
      </c>
      <c r="FR229" s="1" t="s">
        <v>210</v>
      </c>
      <c r="FS229" s="1" t="s">
        <v>636</v>
      </c>
      <c r="FT229" s="1" t="s">
        <v>362</v>
      </c>
      <c r="FU229" s="1" t="s">
        <v>204</v>
      </c>
      <c r="FW229" s="1" t="s">
        <v>444</v>
      </c>
      <c r="FX229" s="1">
        <v>90330</v>
      </c>
      <c r="FY229" s="1" t="s">
        <v>445</v>
      </c>
      <c r="FZ229" s="1" t="s">
        <v>3721</v>
      </c>
      <c r="GA229" s="1">
        <v>901694</v>
      </c>
      <c r="GE229" s="1" t="s">
        <v>210</v>
      </c>
      <c r="GI229" s="1" t="s">
        <v>213</v>
      </c>
      <c r="GJ229" s="1" t="s">
        <v>260</v>
      </c>
      <c r="GK229" s="1" t="s">
        <v>210</v>
      </c>
      <c r="GL229" s="2">
        <v>42012</v>
      </c>
      <c r="GM229" s="1" t="s">
        <v>3722</v>
      </c>
    </row>
    <row r="230" spans="1:195">
      <c r="A230" s="1">
        <v>15000</v>
      </c>
      <c r="B230" s="1" t="s">
        <v>195</v>
      </c>
      <c r="C230" s="1" t="str">
        <f>"08772861"</f>
        <v>08772861</v>
      </c>
      <c r="D230" s="1" t="s">
        <v>196</v>
      </c>
      <c r="F230" s="1" t="str">
        <f>"8039"</f>
        <v>8039</v>
      </c>
      <c r="G230" s="2">
        <v>41953</v>
      </c>
      <c r="H230" s="1">
        <v>14900</v>
      </c>
      <c r="I230" s="1">
        <v>14900</v>
      </c>
      <c r="J230" s="1">
        <v>15000</v>
      </c>
      <c r="K230" s="2">
        <v>41953</v>
      </c>
      <c r="L230" s="1">
        <v>11</v>
      </c>
      <c r="M230" s="2">
        <v>41963</v>
      </c>
      <c r="N230" s="1">
        <v>11</v>
      </c>
      <c r="O230" s="2">
        <v>41963</v>
      </c>
      <c r="P230" s="1">
        <v>25200</v>
      </c>
      <c r="Q230" s="1" t="s">
        <v>302</v>
      </c>
      <c r="R230" s="2">
        <v>41984</v>
      </c>
      <c r="S230" s="1">
        <v>242907</v>
      </c>
      <c r="U230" s="1">
        <v>5035</v>
      </c>
      <c r="V230" s="1" t="s">
        <v>3723</v>
      </c>
      <c r="W230" s="1" t="s">
        <v>199</v>
      </c>
      <c r="X230" s="1" t="s">
        <v>483</v>
      </c>
      <c r="Y230" s="1">
        <v>15</v>
      </c>
      <c r="Z230" s="1" t="s">
        <v>200</v>
      </c>
      <c r="AA230" s="1" t="s">
        <v>400</v>
      </c>
      <c r="AB230" s="1">
        <v>60615</v>
      </c>
      <c r="AC230" s="1">
        <v>2786</v>
      </c>
      <c r="AE230" s="1" t="s">
        <v>3724</v>
      </c>
      <c r="AF230" s="1">
        <v>1964</v>
      </c>
      <c r="AG230" s="1" t="s">
        <v>213</v>
      </c>
      <c r="AH230" s="1" t="s">
        <v>403</v>
      </c>
      <c r="AI230" s="1" t="s">
        <v>310</v>
      </c>
      <c r="AJ230" s="1" t="s">
        <v>562</v>
      </c>
      <c r="AL230" s="1">
        <v>4</v>
      </c>
      <c r="AM230" s="1">
        <v>2</v>
      </c>
      <c r="AN230" s="1">
        <v>1</v>
      </c>
      <c r="AO230" s="1">
        <v>1</v>
      </c>
      <c r="AP230" s="1" t="s">
        <v>210</v>
      </c>
      <c r="AR230" s="1" t="s">
        <v>209</v>
      </c>
      <c r="AS230" s="1" t="s">
        <v>204</v>
      </c>
      <c r="AT230" s="1" t="s">
        <v>210</v>
      </c>
      <c r="AW230" s="1" t="s">
        <v>204</v>
      </c>
      <c r="AX230" s="1" t="s">
        <v>3725</v>
      </c>
      <c r="AZ230" s="5">
        <v>2525.2399999999998</v>
      </c>
      <c r="BA230" s="1">
        <v>2013</v>
      </c>
      <c r="BB230" s="1" t="s">
        <v>405</v>
      </c>
      <c r="BE230" s="1">
        <v>1080</v>
      </c>
      <c r="BF230" s="1">
        <v>1</v>
      </c>
      <c r="BG230" s="1">
        <v>0</v>
      </c>
      <c r="BL230" s="1">
        <v>0</v>
      </c>
      <c r="BM230" s="1" t="s">
        <v>413</v>
      </c>
      <c r="BN230" s="1" t="s">
        <v>213</v>
      </c>
      <c r="BO230" s="1">
        <v>0</v>
      </c>
      <c r="BP230" s="1" t="s">
        <v>204</v>
      </c>
      <c r="BR230" s="1" t="str">
        <f>"20111140320000"</f>
        <v>20111140320000</v>
      </c>
      <c r="BT230" s="1" t="s">
        <v>3726</v>
      </c>
      <c r="BX230" s="1">
        <v>299</v>
      </c>
      <c r="BY230" s="1">
        <v>299</v>
      </c>
      <c r="BZ230" s="1">
        <v>299</v>
      </c>
      <c r="CB230" s="1" t="str">
        <f>"0"</f>
        <v>0</v>
      </c>
      <c r="CC230" s="1" t="str">
        <f>"2000"</f>
        <v>2000</v>
      </c>
      <c r="CD230" s="1">
        <v>0</v>
      </c>
      <c r="CE230" s="1">
        <v>5035</v>
      </c>
      <c r="CG230" s="1" t="s">
        <v>602</v>
      </c>
      <c r="CH230" s="1" t="s">
        <v>219</v>
      </c>
      <c r="CI230" s="1" t="s">
        <v>438</v>
      </c>
      <c r="CK230" s="1" t="s">
        <v>602</v>
      </c>
      <c r="CL230" s="1" t="s">
        <v>277</v>
      </c>
      <c r="CM230" s="1" t="s">
        <v>1236</v>
      </c>
      <c r="CP230" s="1" t="s">
        <v>224</v>
      </c>
      <c r="CS230" s="1" t="s">
        <v>1297</v>
      </c>
      <c r="CT230" s="1" t="s">
        <v>277</v>
      </c>
      <c r="CU230" s="1" t="s">
        <v>342</v>
      </c>
      <c r="CX230" s="1" t="s">
        <v>224</v>
      </c>
      <c r="DB230" s="1" t="s">
        <v>224</v>
      </c>
      <c r="DE230" s="1" t="s">
        <v>1297</v>
      </c>
      <c r="DF230" s="1" t="s">
        <v>219</v>
      </c>
      <c r="DG230" s="1" t="s">
        <v>226</v>
      </c>
      <c r="DJ230" s="1" t="s">
        <v>224</v>
      </c>
      <c r="DS230" s="1" t="s">
        <v>230</v>
      </c>
      <c r="DW230" s="1" t="s">
        <v>230</v>
      </c>
      <c r="EA230" s="1" t="s">
        <v>230</v>
      </c>
      <c r="EE230" s="1" t="s">
        <v>230</v>
      </c>
      <c r="EI230" s="1" t="s">
        <v>230</v>
      </c>
      <c r="EL230" s="1" t="s">
        <v>605</v>
      </c>
      <c r="EM230" s="1" t="s">
        <v>232</v>
      </c>
      <c r="EN230" s="1" t="s">
        <v>210</v>
      </c>
      <c r="EO230" s="1" t="s">
        <v>234</v>
      </c>
      <c r="EP230" s="1" t="s">
        <v>210</v>
      </c>
      <c r="ER230" s="1" t="s">
        <v>1249</v>
      </c>
      <c r="EU230" s="1" t="s">
        <v>239</v>
      </c>
      <c r="EW230" s="1" t="s">
        <v>210</v>
      </c>
      <c r="EZ230" s="1" t="s">
        <v>287</v>
      </c>
      <c r="FD230" s="1" t="s">
        <v>246</v>
      </c>
      <c r="FE230" s="1" t="s">
        <v>247</v>
      </c>
      <c r="FF230" s="1" t="s">
        <v>387</v>
      </c>
      <c r="FH230" s="1" t="s">
        <v>550</v>
      </c>
      <c r="FL230" s="1" t="s">
        <v>2370</v>
      </c>
      <c r="FM230" s="1" t="s">
        <v>252</v>
      </c>
      <c r="FN230" s="1" t="s">
        <v>213</v>
      </c>
      <c r="FO230" s="1" t="s">
        <v>213</v>
      </c>
      <c r="FQ230" s="1" t="s">
        <v>3727</v>
      </c>
      <c r="FR230" s="1" t="s">
        <v>210</v>
      </c>
      <c r="FS230" s="1" t="s">
        <v>3728</v>
      </c>
      <c r="FT230" s="1" t="s">
        <v>3729</v>
      </c>
      <c r="FU230" s="1" t="s">
        <v>204</v>
      </c>
      <c r="FW230" s="1" t="s">
        <v>3730</v>
      </c>
      <c r="FX230" s="1">
        <v>14856</v>
      </c>
      <c r="FY230" s="1" t="s">
        <v>3731</v>
      </c>
      <c r="FZ230" s="1" t="s">
        <v>3732</v>
      </c>
      <c r="GA230" s="1">
        <v>116894</v>
      </c>
      <c r="GB230" s="1" t="s">
        <v>3733</v>
      </c>
      <c r="GC230" s="1">
        <v>180212</v>
      </c>
      <c r="GE230" s="1" t="s">
        <v>210</v>
      </c>
      <c r="GH230" s="1" t="s">
        <v>421</v>
      </c>
      <c r="GI230" s="1" t="s">
        <v>213</v>
      </c>
      <c r="GJ230" s="1" t="s">
        <v>260</v>
      </c>
      <c r="GK230" s="1" t="s">
        <v>210</v>
      </c>
      <c r="GL230" s="2">
        <v>41985</v>
      </c>
      <c r="GM230" s="1" t="s">
        <v>3734</v>
      </c>
    </row>
    <row r="231" spans="1:195">
      <c r="A231" s="1">
        <v>125000</v>
      </c>
      <c r="B231" s="1" t="s">
        <v>195</v>
      </c>
      <c r="C231" s="1" t="str">
        <f>"08787686"</f>
        <v>08787686</v>
      </c>
      <c r="D231" s="1" t="s">
        <v>196</v>
      </c>
      <c r="F231" s="1" t="str">
        <f>"30"</f>
        <v>30</v>
      </c>
      <c r="G231" s="2">
        <v>41960</v>
      </c>
      <c r="H231" s="1">
        <v>152000</v>
      </c>
      <c r="I231" s="1">
        <v>124900</v>
      </c>
      <c r="J231" s="1">
        <v>125000</v>
      </c>
      <c r="K231" s="2">
        <v>41960</v>
      </c>
      <c r="L231" s="1">
        <v>64</v>
      </c>
      <c r="M231" s="2">
        <v>42023</v>
      </c>
      <c r="N231" s="1">
        <v>64</v>
      </c>
      <c r="O231" s="2">
        <v>42023</v>
      </c>
      <c r="P231" s="1">
        <v>2280</v>
      </c>
      <c r="Q231" s="1" t="s">
        <v>197</v>
      </c>
      <c r="R231" s="2">
        <v>42107</v>
      </c>
      <c r="S231" s="1">
        <v>85534</v>
      </c>
      <c r="U231" s="1">
        <v>209</v>
      </c>
      <c r="V231" s="1" t="s">
        <v>3735</v>
      </c>
      <c r="W231" s="1" t="s">
        <v>449</v>
      </c>
      <c r="Y231" s="1">
        <v>6</v>
      </c>
      <c r="Z231" s="1" t="s">
        <v>370</v>
      </c>
      <c r="AA231" s="1" t="s">
        <v>1834</v>
      </c>
      <c r="AB231" s="1">
        <v>60030</v>
      </c>
      <c r="AD231" s="1" t="s">
        <v>3736</v>
      </c>
      <c r="AE231" s="1" t="s">
        <v>3737</v>
      </c>
      <c r="AF231" s="1">
        <v>2004</v>
      </c>
      <c r="AG231" s="1" t="s">
        <v>204</v>
      </c>
      <c r="AH231" s="1" t="s">
        <v>1837</v>
      </c>
      <c r="AI231" s="1" t="s">
        <v>509</v>
      </c>
      <c r="AJ231" s="1" t="s">
        <v>1263</v>
      </c>
      <c r="AL231" s="1">
        <v>6</v>
      </c>
      <c r="AM231" s="1">
        <v>2</v>
      </c>
      <c r="AN231" s="1">
        <v>2</v>
      </c>
      <c r="AO231" s="1">
        <v>1</v>
      </c>
      <c r="AP231" s="1" t="s">
        <v>209</v>
      </c>
      <c r="AQ231" s="1">
        <v>1</v>
      </c>
      <c r="AR231" s="1" t="s">
        <v>209</v>
      </c>
      <c r="AS231" s="1" t="s">
        <v>204</v>
      </c>
      <c r="AT231" s="1" t="s">
        <v>211</v>
      </c>
      <c r="AU231" s="1">
        <v>2</v>
      </c>
      <c r="AW231" s="1" t="s">
        <v>204</v>
      </c>
      <c r="AX231" s="1" t="s">
        <v>212</v>
      </c>
      <c r="AZ231" s="1">
        <v>4512.1099999999997</v>
      </c>
      <c r="BA231" s="1">
        <v>2013</v>
      </c>
      <c r="BE231" s="1">
        <v>1280</v>
      </c>
      <c r="BF231" s="1">
        <v>1</v>
      </c>
      <c r="BG231" s="1">
        <v>0</v>
      </c>
      <c r="BL231" s="1">
        <v>209</v>
      </c>
      <c r="BM231" s="1" t="s">
        <v>204</v>
      </c>
      <c r="BN231" s="1" t="s">
        <v>213</v>
      </c>
      <c r="BO231" s="1">
        <v>20</v>
      </c>
      <c r="BP231" s="1" t="s">
        <v>204</v>
      </c>
      <c r="BR231" s="1" t="str">
        <f>"06344040260000"</f>
        <v>06344040260000</v>
      </c>
      <c r="BT231" s="1" t="s">
        <v>3738</v>
      </c>
      <c r="BX231" s="1">
        <v>46</v>
      </c>
      <c r="BY231" s="1">
        <v>46</v>
      </c>
      <c r="BZ231" s="1">
        <v>127</v>
      </c>
      <c r="CB231" s="1" t="str">
        <f t="shared" ref="CB231:CC231" si="183">""</f>
        <v/>
      </c>
      <c r="CC231" s="1" t="str">
        <f t="shared" si="183"/>
        <v/>
      </c>
      <c r="CG231" s="1" t="s">
        <v>1004</v>
      </c>
      <c r="CH231" s="1" t="s">
        <v>219</v>
      </c>
      <c r="CK231" s="1" t="s">
        <v>932</v>
      </c>
      <c r="CL231" s="1" t="s">
        <v>277</v>
      </c>
      <c r="CO231" s="1" t="s">
        <v>629</v>
      </c>
      <c r="CP231" s="1" t="s">
        <v>219</v>
      </c>
      <c r="CS231" s="1" t="s">
        <v>379</v>
      </c>
      <c r="CT231" s="1" t="s">
        <v>277</v>
      </c>
      <c r="CX231" s="1" t="s">
        <v>224</v>
      </c>
      <c r="DB231" s="1" t="s">
        <v>224</v>
      </c>
      <c r="DE231" s="1" t="s">
        <v>465</v>
      </c>
      <c r="DF231" s="1" t="s">
        <v>219</v>
      </c>
      <c r="DI231" s="1" t="s">
        <v>465</v>
      </c>
      <c r="DJ231" s="1" t="s">
        <v>822</v>
      </c>
      <c r="DS231" s="1" t="s">
        <v>230</v>
      </c>
      <c r="DW231" s="1" t="s">
        <v>230</v>
      </c>
      <c r="EA231" s="1" t="s">
        <v>230</v>
      </c>
      <c r="EE231" s="1" t="s">
        <v>230</v>
      </c>
      <c r="EI231" s="1" t="s">
        <v>230</v>
      </c>
      <c r="EL231" s="1" t="s">
        <v>491</v>
      </c>
      <c r="EM231" s="1" t="s">
        <v>319</v>
      </c>
      <c r="EN231" s="1" t="s">
        <v>282</v>
      </c>
      <c r="EO231" s="1" t="s">
        <v>234</v>
      </c>
      <c r="ER231" s="1" t="s">
        <v>544</v>
      </c>
      <c r="EV231" s="1" t="s">
        <v>240</v>
      </c>
      <c r="EW231" s="1" t="s">
        <v>353</v>
      </c>
      <c r="EZ231" s="1" t="s">
        <v>287</v>
      </c>
      <c r="FD231" s="1" t="s">
        <v>246</v>
      </c>
      <c r="FE231" s="1" t="s">
        <v>1031</v>
      </c>
      <c r="FF231" s="1" t="s">
        <v>248</v>
      </c>
      <c r="FH231" s="1" t="s">
        <v>550</v>
      </c>
      <c r="FL231" s="1" t="s">
        <v>414</v>
      </c>
      <c r="FM231" s="1" t="s">
        <v>252</v>
      </c>
      <c r="FN231" s="1" t="s">
        <v>213</v>
      </c>
      <c r="FO231" s="1" t="s">
        <v>213</v>
      </c>
      <c r="FQ231" s="1" t="s">
        <v>2793</v>
      </c>
      <c r="FR231" s="1" t="s">
        <v>210</v>
      </c>
      <c r="FS231" s="1" t="s">
        <v>3739</v>
      </c>
      <c r="FT231" s="1" t="s">
        <v>520</v>
      </c>
      <c r="FU231" s="1" t="s">
        <v>204</v>
      </c>
      <c r="FW231" s="1" t="s">
        <v>3740</v>
      </c>
      <c r="FX231" s="1">
        <v>16276</v>
      </c>
      <c r="FY231" s="1" t="s">
        <v>3741</v>
      </c>
      <c r="FZ231" s="1" t="s">
        <v>3742</v>
      </c>
      <c r="GA231" s="1">
        <v>114173</v>
      </c>
      <c r="GB231" s="1" t="s">
        <v>3741</v>
      </c>
      <c r="GE231" s="1" t="s">
        <v>210</v>
      </c>
      <c r="GI231" s="1" t="s">
        <v>213</v>
      </c>
      <c r="GJ231" s="1" t="s">
        <v>260</v>
      </c>
      <c r="GK231" s="1" t="s">
        <v>210</v>
      </c>
      <c r="GL231" s="2">
        <v>42109</v>
      </c>
      <c r="GM231" s="1" t="s">
        <v>1965</v>
      </c>
    </row>
    <row r="232" spans="1:195">
      <c r="A232" s="1">
        <v>89000</v>
      </c>
      <c r="B232" s="1" t="s">
        <v>195</v>
      </c>
      <c r="C232" s="1" t="str">
        <f>"08814643"</f>
        <v>08814643</v>
      </c>
      <c r="D232" s="1" t="s">
        <v>196</v>
      </c>
      <c r="F232" s="1" t="str">
        <f>"559"</f>
        <v>559</v>
      </c>
      <c r="G232" s="2">
        <v>42016</v>
      </c>
      <c r="H232" s="1">
        <v>99900</v>
      </c>
      <c r="I232" s="1">
        <v>93000</v>
      </c>
      <c r="J232" s="1">
        <v>89000</v>
      </c>
      <c r="K232" s="2">
        <v>42016</v>
      </c>
      <c r="L232" s="1">
        <v>50</v>
      </c>
      <c r="M232" s="2">
        <v>42065</v>
      </c>
      <c r="N232" s="1">
        <v>50</v>
      </c>
      <c r="O232" s="2">
        <v>42065</v>
      </c>
      <c r="P232" s="1">
        <v>24569</v>
      </c>
      <c r="Q232" s="1" t="s">
        <v>302</v>
      </c>
      <c r="R232" s="2">
        <v>42081</v>
      </c>
      <c r="S232" s="1">
        <v>218142</v>
      </c>
      <c r="U232" s="1">
        <v>25</v>
      </c>
      <c r="V232" s="1" t="s">
        <v>3743</v>
      </c>
      <c r="W232" s="1" t="s">
        <v>3006</v>
      </c>
      <c r="X232" s="1" t="s">
        <v>3744</v>
      </c>
      <c r="Y232" s="1">
        <v>4</v>
      </c>
      <c r="Z232" s="1" t="s">
        <v>249</v>
      </c>
      <c r="AA232" s="1" t="s">
        <v>1950</v>
      </c>
      <c r="AB232" s="1">
        <v>60559</v>
      </c>
      <c r="AD232" s="1" t="s">
        <v>3745</v>
      </c>
      <c r="AE232" s="1" t="s">
        <v>3746</v>
      </c>
      <c r="AF232" s="1">
        <v>1973</v>
      </c>
      <c r="AG232" s="1" t="s">
        <v>213</v>
      </c>
      <c r="AH232" s="1" t="s">
        <v>1952</v>
      </c>
      <c r="AI232" s="1" t="s">
        <v>206</v>
      </c>
      <c r="AJ232" s="1" t="s">
        <v>903</v>
      </c>
      <c r="AL232" s="1">
        <v>6</v>
      </c>
      <c r="AM232" s="1">
        <v>2</v>
      </c>
      <c r="AN232" s="1">
        <v>2</v>
      </c>
      <c r="AO232" s="1">
        <v>0</v>
      </c>
      <c r="AP232" s="1" t="s">
        <v>210</v>
      </c>
      <c r="AR232" s="1" t="s">
        <v>1631</v>
      </c>
      <c r="AS232" s="1" t="s">
        <v>213</v>
      </c>
      <c r="AT232" s="1" t="s">
        <v>271</v>
      </c>
      <c r="AV232" s="1">
        <v>1</v>
      </c>
      <c r="AW232" s="1" t="s">
        <v>204</v>
      </c>
      <c r="AX232" s="1" t="s">
        <v>212</v>
      </c>
      <c r="AZ232" s="1">
        <v>2395.2399999999998</v>
      </c>
      <c r="BA232" s="1">
        <v>2013</v>
      </c>
      <c r="BB232" s="1" t="s">
        <v>405</v>
      </c>
      <c r="BE232" s="1">
        <v>1200</v>
      </c>
      <c r="BF232" s="1">
        <v>1</v>
      </c>
      <c r="BG232" s="1">
        <v>0</v>
      </c>
      <c r="BL232" s="1">
        <v>267</v>
      </c>
      <c r="BM232" s="1" t="s">
        <v>204</v>
      </c>
      <c r="BN232" s="1" t="s">
        <v>213</v>
      </c>
      <c r="BO232" s="1" t="s">
        <v>432</v>
      </c>
      <c r="BP232" s="1" t="s">
        <v>204</v>
      </c>
      <c r="BR232" s="1" t="str">
        <f>"0921215009"</f>
        <v>0921215009</v>
      </c>
      <c r="BT232" s="1" t="s">
        <v>3747</v>
      </c>
      <c r="BX232" s="1">
        <v>60</v>
      </c>
      <c r="BY232" s="1">
        <v>60</v>
      </c>
      <c r="BZ232" s="1">
        <v>99</v>
      </c>
      <c r="CB232" s="1" t="str">
        <f t="shared" ref="CB232:CC232" si="184">""</f>
        <v/>
      </c>
      <c r="CC232" s="1" t="str">
        <f t="shared" si="184"/>
        <v/>
      </c>
      <c r="CG232" s="1" t="s">
        <v>3748</v>
      </c>
      <c r="CH232" s="1" t="s">
        <v>219</v>
      </c>
      <c r="CK232" s="1" t="s">
        <v>1469</v>
      </c>
      <c r="CL232" s="1" t="s">
        <v>219</v>
      </c>
      <c r="CO232" s="1" t="s">
        <v>2982</v>
      </c>
      <c r="CP232" s="1" t="s">
        <v>219</v>
      </c>
      <c r="CS232" s="1" t="s">
        <v>1107</v>
      </c>
      <c r="CT232" s="1" t="s">
        <v>219</v>
      </c>
      <c r="CX232" s="1" t="s">
        <v>224</v>
      </c>
      <c r="DB232" s="1" t="s">
        <v>224</v>
      </c>
      <c r="DE232" s="1" t="s">
        <v>345</v>
      </c>
      <c r="DF232" s="1" t="s">
        <v>219</v>
      </c>
      <c r="DI232" s="1" t="s">
        <v>3749</v>
      </c>
      <c r="DJ232" s="1" t="s">
        <v>43</v>
      </c>
      <c r="DS232" s="1" t="s">
        <v>230</v>
      </c>
      <c r="DW232" s="1" t="s">
        <v>230</v>
      </c>
      <c r="EA232" s="1" t="s">
        <v>230</v>
      </c>
      <c r="EE232" s="1" t="s">
        <v>230</v>
      </c>
      <c r="EI232" s="1" t="s">
        <v>230</v>
      </c>
      <c r="EL232" s="1" t="s">
        <v>605</v>
      </c>
      <c r="EM232" s="1" t="s">
        <v>232</v>
      </c>
      <c r="EN232" s="1" t="s">
        <v>731</v>
      </c>
      <c r="EO232" s="1" t="s">
        <v>234</v>
      </c>
      <c r="EP232" s="1" t="s">
        <v>650</v>
      </c>
      <c r="ER232" s="1" t="s">
        <v>1249</v>
      </c>
      <c r="EV232" s="1" t="s">
        <v>324</v>
      </c>
      <c r="EW232" s="1" t="s">
        <v>3750</v>
      </c>
      <c r="EY232" s="1" t="s">
        <v>242</v>
      </c>
      <c r="EZ232" s="1" t="s">
        <v>287</v>
      </c>
      <c r="FB232" s="1" t="s">
        <v>734</v>
      </c>
      <c r="FD232" s="1" t="s">
        <v>495</v>
      </c>
      <c r="FE232" s="1" t="s">
        <v>247</v>
      </c>
      <c r="FF232" s="1" t="s">
        <v>248</v>
      </c>
      <c r="FH232" s="1" t="s">
        <v>249</v>
      </c>
      <c r="FK232" s="1" t="s">
        <v>891</v>
      </c>
      <c r="FL232" s="1" t="s">
        <v>358</v>
      </c>
      <c r="FM232" s="1" t="s">
        <v>252</v>
      </c>
      <c r="FN232" s="1" t="s">
        <v>213</v>
      </c>
      <c r="FO232" s="1" t="s">
        <v>213</v>
      </c>
      <c r="FQ232" s="1" t="s">
        <v>582</v>
      </c>
      <c r="FR232" s="1" t="s">
        <v>210</v>
      </c>
      <c r="FS232" s="1" t="s">
        <v>3751</v>
      </c>
      <c r="FT232" s="1" t="s">
        <v>1828</v>
      </c>
      <c r="FU232" s="1" t="s">
        <v>204</v>
      </c>
      <c r="FW232" s="1" t="s">
        <v>3752</v>
      </c>
      <c r="FX232" s="1">
        <v>24569</v>
      </c>
      <c r="FY232" s="1" t="s">
        <v>3753</v>
      </c>
      <c r="FZ232" s="1" t="s">
        <v>3754</v>
      </c>
      <c r="GA232" s="1">
        <v>236309</v>
      </c>
      <c r="GC232" s="1">
        <v>236310</v>
      </c>
      <c r="GE232" s="1" t="s">
        <v>210</v>
      </c>
      <c r="GI232" s="1" t="s">
        <v>204</v>
      </c>
      <c r="GJ232" s="1" t="s">
        <v>260</v>
      </c>
      <c r="GK232" s="1" t="s">
        <v>210</v>
      </c>
      <c r="GL232" s="2">
        <v>42081</v>
      </c>
      <c r="GM232" s="1" t="s">
        <v>3755</v>
      </c>
    </row>
    <row r="233" spans="1:195">
      <c r="A233" s="1">
        <v>91000</v>
      </c>
      <c r="B233" s="1" t="s">
        <v>195</v>
      </c>
      <c r="C233" s="1" t="str">
        <f>"08773765"</f>
        <v>08773765</v>
      </c>
      <c r="D233" s="1" t="s">
        <v>196</v>
      </c>
      <c r="F233" s="1" t="str">
        <f>"186"</f>
        <v>186</v>
      </c>
      <c r="G233" s="2">
        <v>41954</v>
      </c>
      <c r="H233" s="1">
        <v>129500</v>
      </c>
      <c r="I233" s="1">
        <v>99900</v>
      </c>
      <c r="J233" s="1">
        <v>91000</v>
      </c>
      <c r="K233" s="2">
        <v>41953</v>
      </c>
      <c r="L233" s="1">
        <v>130</v>
      </c>
      <c r="M233" s="2">
        <v>42082</v>
      </c>
      <c r="N233" s="1">
        <v>130</v>
      </c>
      <c r="O233" s="2">
        <v>42082</v>
      </c>
      <c r="P233" s="1">
        <v>84301</v>
      </c>
      <c r="Q233" s="1" t="s">
        <v>197</v>
      </c>
      <c r="R233" s="2">
        <v>42139</v>
      </c>
      <c r="S233" s="1">
        <v>875841</v>
      </c>
      <c r="U233" s="1" t="s">
        <v>3756</v>
      </c>
      <c r="V233" s="1" t="s">
        <v>2315</v>
      </c>
      <c r="W233" s="1" t="s">
        <v>504</v>
      </c>
      <c r="Y233" s="1">
        <v>7</v>
      </c>
      <c r="Z233" s="1" t="s">
        <v>370</v>
      </c>
      <c r="AA233" s="1" t="s">
        <v>2099</v>
      </c>
      <c r="AB233" s="1">
        <v>60181</v>
      </c>
      <c r="AE233" s="1" t="s">
        <v>3757</v>
      </c>
      <c r="AF233" s="1">
        <v>1968</v>
      </c>
      <c r="AG233" s="1" t="s">
        <v>213</v>
      </c>
      <c r="AH233" s="1" t="s">
        <v>2101</v>
      </c>
      <c r="AI233" s="1" t="s">
        <v>206</v>
      </c>
      <c r="AJ233" s="1" t="s">
        <v>1608</v>
      </c>
      <c r="AL233" s="1">
        <v>6</v>
      </c>
      <c r="AM233" s="1">
        <v>2</v>
      </c>
      <c r="AN233" s="1">
        <v>1</v>
      </c>
      <c r="AO233" s="1">
        <v>1</v>
      </c>
      <c r="AP233" s="1" t="s">
        <v>210</v>
      </c>
      <c r="AR233" s="1" t="s">
        <v>209</v>
      </c>
      <c r="AS233" s="1" t="s">
        <v>204</v>
      </c>
      <c r="AT233" s="1" t="s">
        <v>271</v>
      </c>
      <c r="AV233" s="1">
        <v>1</v>
      </c>
      <c r="AW233" s="1" t="s">
        <v>204</v>
      </c>
      <c r="AX233" s="1" t="s">
        <v>212</v>
      </c>
      <c r="AZ233" s="1">
        <v>2072</v>
      </c>
      <c r="BA233" s="1">
        <v>2013</v>
      </c>
      <c r="BE233" s="1">
        <v>0</v>
      </c>
      <c r="BF233" s="1">
        <v>1</v>
      </c>
      <c r="BG233" s="1">
        <v>30</v>
      </c>
      <c r="BL233" s="1">
        <v>189</v>
      </c>
      <c r="BM233" s="1" t="s">
        <v>413</v>
      </c>
      <c r="BN233" s="1" t="s">
        <v>213</v>
      </c>
      <c r="BO233" s="1">
        <v>999</v>
      </c>
      <c r="BP233" s="1" t="s">
        <v>204</v>
      </c>
      <c r="BR233" s="1" t="str">
        <f>"0621212125"</f>
        <v>0621212125</v>
      </c>
      <c r="BT233" s="1" t="s">
        <v>3758</v>
      </c>
      <c r="BX233" s="1">
        <v>45</v>
      </c>
      <c r="BY233" s="1">
        <v>45</v>
      </c>
      <c r="BZ233" s="1">
        <v>88</v>
      </c>
      <c r="CB233" s="1" t="str">
        <f t="shared" ref="CB233:CC233" si="185">""</f>
        <v/>
      </c>
      <c r="CC233" s="1" t="str">
        <f t="shared" si="185"/>
        <v/>
      </c>
      <c r="CG233" s="1" t="s">
        <v>861</v>
      </c>
      <c r="CH233" s="1" t="s">
        <v>219</v>
      </c>
      <c r="CK233" s="1" t="s">
        <v>1178</v>
      </c>
      <c r="CL233" s="1" t="s">
        <v>277</v>
      </c>
      <c r="CO233" s="1" t="s">
        <v>821</v>
      </c>
      <c r="CP233" s="1" t="s">
        <v>219</v>
      </c>
      <c r="CS233" s="1" t="s">
        <v>1297</v>
      </c>
      <c r="CT233" s="1" t="s">
        <v>277</v>
      </c>
      <c r="CX233" s="1" t="s">
        <v>224</v>
      </c>
      <c r="DB233" s="1" t="s">
        <v>224</v>
      </c>
      <c r="DE233" s="1" t="s">
        <v>821</v>
      </c>
      <c r="DF233" s="1" t="s">
        <v>219</v>
      </c>
      <c r="DI233" s="1" t="s">
        <v>2071</v>
      </c>
      <c r="DJ233" s="1" t="s">
        <v>43</v>
      </c>
      <c r="DS233" s="1" t="s">
        <v>230</v>
      </c>
      <c r="DW233" s="1" t="s">
        <v>230</v>
      </c>
      <c r="EA233" s="1" t="s">
        <v>230</v>
      </c>
      <c r="EE233" s="1" t="s">
        <v>230</v>
      </c>
      <c r="EI233" s="1" t="s">
        <v>230</v>
      </c>
      <c r="EL233" s="1" t="s">
        <v>605</v>
      </c>
      <c r="EM233" s="1" t="s">
        <v>319</v>
      </c>
      <c r="EN233" s="1" t="s">
        <v>210</v>
      </c>
      <c r="EO233" s="1" t="s">
        <v>234</v>
      </c>
      <c r="ER233" s="1" t="s">
        <v>351</v>
      </c>
      <c r="EW233" s="1" t="s">
        <v>384</v>
      </c>
      <c r="EZ233" s="1" t="s">
        <v>287</v>
      </c>
      <c r="FD233" s="1" t="s">
        <v>246</v>
      </c>
      <c r="FE233" s="1" t="s">
        <v>247</v>
      </c>
      <c r="FF233" s="1" t="s">
        <v>248</v>
      </c>
      <c r="FH233" s="1" t="s">
        <v>550</v>
      </c>
      <c r="FL233" s="1" t="s">
        <v>358</v>
      </c>
      <c r="FM233" s="1" t="s">
        <v>252</v>
      </c>
      <c r="FN233" s="1" t="s">
        <v>213</v>
      </c>
      <c r="FO233" s="1" t="s">
        <v>213</v>
      </c>
      <c r="FQ233" s="1" t="s">
        <v>689</v>
      </c>
      <c r="FR233" s="1" t="s">
        <v>210</v>
      </c>
      <c r="FS233" s="1" t="s">
        <v>690</v>
      </c>
      <c r="FT233" s="1" t="s">
        <v>362</v>
      </c>
      <c r="FU233" s="1" t="s">
        <v>204</v>
      </c>
      <c r="FW233" s="1" t="s">
        <v>692</v>
      </c>
      <c r="FX233" s="1">
        <v>3510</v>
      </c>
      <c r="FY233" s="1" t="s">
        <v>693</v>
      </c>
      <c r="FZ233" s="1" t="s">
        <v>694</v>
      </c>
      <c r="GA233" s="1">
        <v>36019</v>
      </c>
      <c r="GB233" s="1" t="s">
        <v>693</v>
      </c>
      <c r="GE233" s="1" t="s">
        <v>210</v>
      </c>
      <c r="GI233" s="1" t="s">
        <v>213</v>
      </c>
      <c r="GJ233" s="1" t="s">
        <v>260</v>
      </c>
      <c r="GK233" s="1" t="s">
        <v>210</v>
      </c>
      <c r="GL233" s="2">
        <v>42139</v>
      </c>
      <c r="GM233" s="1" t="s">
        <v>695</v>
      </c>
    </row>
    <row r="234" spans="1:195">
      <c r="A234" s="1">
        <v>174000</v>
      </c>
      <c r="B234" s="1" t="s">
        <v>195</v>
      </c>
      <c r="C234" s="1" t="str">
        <f>"08788112"</f>
        <v>08788112</v>
      </c>
      <c r="D234" s="1" t="s">
        <v>196</v>
      </c>
      <c r="F234" s="1" t="str">
        <f>"507"</f>
        <v>507</v>
      </c>
      <c r="G234" s="2">
        <v>41960</v>
      </c>
      <c r="H234" s="1">
        <v>184900</v>
      </c>
      <c r="I234" s="1">
        <v>184900</v>
      </c>
      <c r="J234" s="1">
        <v>174000</v>
      </c>
      <c r="K234" s="2">
        <v>41960</v>
      </c>
      <c r="L234" s="1">
        <v>22</v>
      </c>
      <c r="M234" s="2">
        <v>41981</v>
      </c>
      <c r="N234" s="1">
        <v>22</v>
      </c>
      <c r="O234" s="2">
        <v>41981</v>
      </c>
      <c r="P234" s="1">
        <v>306</v>
      </c>
      <c r="Q234" s="1" t="s">
        <v>197</v>
      </c>
      <c r="R234" s="2">
        <v>42025</v>
      </c>
      <c r="S234" s="1">
        <v>310457</v>
      </c>
      <c r="U234" s="1">
        <v>1126</v>
      </c>
      <c r="V234" s="1" t="s">
        <v>3759</v>
      </c>
      <c r="W234" s="1" t="s">
        <v>304</v>
      </c>
      <c r="Y234" s="1">
        <v>4</v>
      </c>
      <c r="Z234" s="1" t="s">
        <v>370</v>
      </c>
      <c r="AA234" s="1" t="s">
        <v>1123</v>
      </c>
      <c r="AB234" s="1">
        <v>60502</v>
      </c>
      <c r="AD234" s="1" t="s">
        <v>3760</v>
      </c>
      <c r="AE234" s="1" t="s">
        <v>3761</v>
      </c>
      <c r="AF234" s="1">
        <v>2003</v>
      </c>
      <c r="AG234" s="1" t="s">
        <v>204</v>
      </c>
      <c r="AH234" s="1" t="s">
        <v>1126</v>
      </c>
      <c r="AI234" s="1" t="s">
        <v>206</v>
      </c>
      <c r="AJ234" s="1" t="s">
        <v>924</v>
      </c>
      <c r="AL234" s="1">
        <v>6</v>
      </c>
      <c r="AM234" s="1">
        <v>2</v>
      </c>
      <c r="AN234" s="1">
        <v>2</v>
      </c>
      <c r="AO234" s="1">
        <v>1</v>
      </c>
      <c r="AP234" s="1" t="s">
        <v>209</v>
      </c>
      <c r="AR234" s="1" t="s">
        <v>210</v>
      </c>
      <c r="AS234" s="1" t="s">
        <v>204</v>
      </c>
      <c r="AT234" s="1" t="s">
        <v>211</v>
      </c>
      <c r="AU234" s="1">
        <v>2</v>
      </c>
      <c r="AW234" s="1" t="s">
        <v>204</v>
      </c>
      <c r="AX234" s="1" t="s">
        <v>212</v>
      </c>
      <c r="AZ234" s="5">
        <v>4851.88</v>
      </c>
      <c r="BA234" s="1">
        <v>2013</v>
      </c>
      <c r="BB234" s="1" t="s">
        <v>405</v>
      </c>
      <c r="BE234" s="1">
        <v>1560</v>
      </c>
      <c r="BF234" s="1">
        <v>1</v>
      </c>
      <c r="BG234" s="1">
        <v>0</v>
      </c>
      <c r="BL234" s="1">
        <v>149</v>
      </c>
      <c r="BM234" s="1" t="s">
        <v>204</v>
      </c>
      <c r="BN234" s="1" t="s">
        <v>204</v>
      </c>
      <c r="BP234" s="1" t="s">
        <v>204</v>
      </c>
      <c r="BR234" s="1" t="str">
        <f>"0717121144"</f>
        <v>0717121144</v>
      </c>
      <c r="BT234" s="1" t="s">
        <v>3762</v>
      </c>
      <c r="BX234" s="1">
        <v>204</v>
      </c>
      <c r="BY234" s="1">
        <v>204</v>
      </c>
      <c r="BZ234" s="1">
        <v>204</v>
      </c>
      <c r="CB234" s="1" t="str">
        <f t="shared" ref="CB234:CC234" si="186">""</f>
        <v/>
      </c>
      <c r="CC234" s="1" t="str">
        <f t="shared" si="186"/>
        <v/>
      </c>
      <c r="CG234" s="1" t="s">
        <v>2992</v>
      </c>
      <c r="CH234" s="1" t="s">
        <v>219</v>
      </c>
      <c r="CI234" s="1" t="s">
        <v>229</v>
      </c>
      <c r="CK234" s="1" t="s">
        <v>538</v>
      </c>
      <c r="CL234" s="1" t="s">
        <v>277</v>
      </c>
      <c r="CM234" s="1" t="s">
        <v>220</v>
      </c>
      <c r="CO234" s="1" t="s">
        <v>837</v>
      </c>
      <c r="CP234" s="1" t="s">
        <v>219</v>
      </c>
      <c r="CQ234" s="1" t="s">
        <v>229</v>
      </c>
      <c r="CS234" s="1" t="s">
        <v>465</v>
      </c>
      <c r="CT234" s="1" t="s">
        <v>277</v>
      </c>
      <c r="CU234" s="1" t="s">
        <v>220</v>
      </c>
      <c r="CX234" s="1" t="s">
        <v>224</v>
      </c>
      <c r="DB234" s="1" t="s">
        <v>224</v>
      </c>
      <c r="DE234" s="1" t="s">
        <v>281</v>
      </c>
      <c r="DF234" s="1" t="s">
        <v>219</v>
      </c>
      <c r="DG234" s="1" t="s">
        <v>229</v>
      </c>
      <c r="DJ234" s="1" t="s">
        <v>224</v>
      </c>
      <c r="DM234" s="1" t="s">
        <v>464</v>
      </c>
      <c r="DR234" s="1" t="s">
        <v>461</v>
      </c>
      <c r="DS234" s="1" t="s">
        <v>277</v>
      </c>
      <c r="DT234" s="1" t="s">
        <v>220</v>
      </c>
      <c r="DW234" s="1" t="s">
        <v>230</v>
      </c>
      <c r="EA234" s="1" t="s">
        <v>230</v>
      </c>
      <c r="EE234" s="1" t="s">
        <v>230</v>
      </c>
      <c r="EI234" s="1" t="s">
        <v>230</v>
      </c>
      <c r="EL234" s="1" t="s">
        <v>466</v>
      </c>
      <c r="EM234" s="1" t="s">
        <v>232</v>
      </c>
      <c r="EN234" s="1" t="s">
        <v>282</v>
      </c>
      <c r="EO234" s="1" t="s">
        <v>234</v>
      </c>
      <c r="EP234" s="1" t="s">
        <v>1268</v>
      </c>
      <c r="EQ234" s="1" t="s">
        <v>468</v>
      </c>
      <c r="ER234" s="1" t="s">
        <v>383</v>
      </c>
      <c r="ES234" s="1" t="s">
        <v>3763</v>
      </c>
      <c r="EU234" s="1" t="s">
        <v>239</v>
      </c>
      <c r="EV234" s="1" t="s">
        <v>324</v>
      </c>
      <c r="EW234" s="1" t="s">
        <v>353</v>
      </c>
      <c r="EY234" s="1" t="s">
        <v>2455</v>
      </c>
      <c r="EZ234" s="1" t="s">
        <v>464</v>
      </c>
      <c r="FA234" s="1" t="s">
        <v>714</v>
      </c>
      <c r="FD234" s="1" t="s">
        <v>1112</v>
      </c>
      <c r="FE234" s="1" t="s">
        <v>566</v>
      </c>
      <c r="FF234" s="1" t="s">
        <v>248</v>
      </c>
      <c r="FH234" s="1" t="s">
        <v>550</v>
      </c>
      <c r="FI234" s="1" t="s">
        <v>357</v>
      </c>
      <c r="FL234" s="1" t="s">
        <v>358</v>
      </c>
      <c r="FM234" s="1" t="s">
        <v>252</v>
      </c>
      <c r="FN234" s="1" t="s">
        <v>213</v>
      </c>
      <c r="FO234" s="1" t="s">
        <v>213</v>
      </c>
      <c r="FQ234" s="1" t="s">
        <v>1758</v>
      </c>
      <c r="FR234" s="1" t="s">
        <v>210</v>
      </c>
      <c r="FS234" s="1" t="s">
        <v>3764</v>
      </c>
      <c r="FT234" s="1" t="s">
        <v>295</v>
      </c>
      <c r="FU234" s="1" t="s">
        <v>204</v>
      </c>
      <c r="FW234" s="1" t="s">
        <v>2093</v>
      </c>
      <c r="FX234" s="1">
        <v>31580</v>
      </c>
      <c r="FY234" s="1" t="s">
        <v>2094</v>
      </c>
      <c r="FZ234" s="1" t="s">
        <v>3765</v>
      </c>
      <c r="GA234" s="1">
        <v>300079</v>
      </c>
      <c r="GD234" s="1" t="s">
        <v>3766</v>
      </c>
      <c r="GE234" s="1" t="s">
        <v>480</v>
      </c>
      <c r="GI234" s="1" t="s">
        <v>213</v>
      </c>
      <c r="GJ234" s="1" t="s">
        <v>260</v>
      </c>
      <c r="GK234" s="1" t="s">
        <v>210</v>
      </c>
      <c r="GL234" s="2">
        <v>42025</v>
      </c>
      <c r="GM234" s="1" t="s">
        <v>3767</v>
      </c>
    </row>
    <row r="235" spans="1:195">
      <c r="A235" s="1">
        <v>74494</v>
      </c>
      <c r="B235" s="1" t="s">
        <v>195</v>
      </c>
      <c r="C235" s="1" t="str">
        <f>"08788335"</f>
        <v>08788335</v>
      </c>
      <c r="D235" s="1" t="s">
        <v>196</v>
      </c>
      <c r="F235" s="1" t="str">
        <f>"123"</f>
        <v>123</v>
      </c>
      <c r="G235" s="2">
        <v>41961</v>
      </c>
      <c r="H235" s="1">
        <v>62540</v>
      </c>
      <c r="I235" s="1">
        <v>62540</v>
      </c>
      <c r="J235" s="1">
        <v>74494</v>
      </c>
      <c r="K235" s="2">
        <v>41961</v>
      </c>
      <c r="L235" s="1">
        <v>67</v>
      </c>
      <c r="M235" s="2">
        <v>42027</v>
      </c>
      <c r="N235" s="1">
        <v>67</v>
      </c>
      <c r="O235" s="2">
        <v>42027</v>
      </c>
      <c r="P235" s="1">
        <v>8059</v>
      </c>
      <c r="Q235" s="1" t="s">
        <v>302</v>
      </c>
      <c r="R235" s="2">
        <v>42033</v>
      </c>
      <c r="S235" s="1">
        <v>87018</v>
      </c>
      <c r="U235" s="1">
        <v>358</v>
      </c>
      <c r="V235" s="1" t="s">
        <v>3768</v>
      </c>
      <c r="W235" s="1" t="s">
        <v>449</v>
      </c>
      <c r="X235" s="1" t="s">
        <v>527</v>
      </c>
      <c r="Y235" s="1">
        <v>4</v>
      </c>
      <c r="Z235" s="1" t="s">
        <v>370</v>
      </c>
      <c r="AA235" s="1" t="s">
        <v>1173</v>
      </c>
      <c r="AB235" s="1">
        <v>60120</v>
      </c>
      <c r="AE235" s="1" t="s">
        <v>3769</v>
      </c>
      <c r="AF235" s="1">
        <v>2000</v>
      </c>
      <c r="AG235" s="1" t="s">
        <v>204</v>
      </c>
      <c r="AH235" s="1" t="s">
        <v>1175</v>
      </c>
      <c r="AI235" s="1" t="s">
        <v>310</v>
      </c>
      <c r="AJ235" s="1" t="s">
        <v>1175</v>
      </c>
      <c r="AL235" s="1">
        <v>5</v>
      </c>
      <c r="AM235" s="1">
        <v>2</v>
      </c>
      <c r="AN235" s="1">
        <v>2</v>
      </c>
      <c r="AO235" s="1">
        <v>0</v>
      </c>
      <c r="AP235" s="1" t="s">
        <v>210</v>
      </c>
      <c r="AR235" s="1" t="s">
        <v>210</v>
      </c>
      <c r="AS235" s="1" t="s">
        <v>204</v>
      </c>
      <c r="AT235" s="1" t="s">
        <v>211</v>
      </c>
      <c r="AU235" s="1">
        <v>1</v>
      </c>
      <c r="AW235" s="1" t="s">
        <v>204</v>
      </c>
      <c r="AX235" s="1" t="s">
        <v>212</v>
      </c>
      <c r="AZ235" s="1">
        <v>2322.69</v>
      </c>
      <c r="BA235" s="1">
        <v>2012</v>
      </c>
      <c r="BE235" s="1">
        <v>824</v>
      </c>
      <c r="BF235" s="1">
        <v>1</v>
      </c>
      <c r="BG235" s="1">
        <v>0</v>
      </c>
      <c r="BL235" s="1">
        <v>108</v>
      </c>
      <c r="BM235" s="1" t="s">
        <v>413</v>
      </c>
      <c r="BN235" s="1" t="s">
        <v>204</v>
      </c>
      <c r="BP235" s="1" t="s">
        <v>204</v>
      </c>
      <c r="BR235" s="1" t="str">
        <f>"06192100201021"</f>
        <v>06192100201021</v>
      </c>
      <c r="BT235" s="1" t="s">
        <v>3770</v>
      </c>
      <c r="BX235" s="1">
        <v>46</v>
      </c>
      <c r="BY235" s="1">
        <v>46</v>
      </c>
      <c r="BZ235" s="1">
        <v>46</v>
      </c>
      <c r="CB235" s="1" t="str">
        <f>"11"</f>
        <v>11</v>
      </c>
      <c r="CC235" s="1" t="str">
        <f>"0"</f>
        <v>0</v>
      </c>
      <c r="CD235" s="1">
        <v>32</v>
      </c>
      <c r="CE235" s="1">
        <v>0</v>
      </c>
      <c r="CG235" s="1" t="s">
        <v>1178</v>
      </c>
      <c r="CH235" s="1" t="s">
        <v>219</v>
      </c>
      <c r="CK235" s="1" t="s">
        <v>1403</v>
      </c>
      <c r="CL235" s="1" t="s">
        <v>219</v>
      </c>
      <c r="CO235" s="1" t="s">
        <v>630</v>
      </c>
      <c r="CP235" s="1" t="s">
        <v>219</v>
      </c>
      <c r="CS235" s="1" t="s">
        <v>346</v>
      </c>
      <c r="CT235" s="1" t="s">
        <v>219</v>
      </c>
      <c r="CX235" s="1" t="s">
        <v>224</v>
      </c>
      <c r="DB235" s="1" t="s">
        <v>224</v>
      </c>
      <c r="DE235" s="1" t="s">
        <v>2277</v>
      </c>
      <c r="DF235" s="1" t="s">
        <v>219</v>
      </c>
      <c r="DJ235" s="1" t="s">
        <v>224</v>
      </c>
      <c r="DS235" s="1" t="s">
        <v>230</v>
      </c>
      <c r="DW235" s="1" t="s">
        <v>230</v>
      </c>
      <c r="EA235" s="1" t="s">
        <v>230</v>
      </c>
      <c r="EE235" s="1" t="s">
        <v>230</v>
      </c>
      <c r="EI235" s="1" t="s">
        <v>230</v>
      </c>
      <c r="EL235" s="1" t="s">
        <v>466</v>
      </c>
      <c r="EM235" s="1" t="s">
        <v>232</v>
      </c>
      <c r="EN235" s="1" t="s">
        <v>282</v>
      </c>
      <c r="EO235" s="1" t="s">
        <v>234</v>
      </c>
      <c r="ER235" s="1" t="s">
        <v>210</v>
      </c>
      <c r="EW235" s="1" t="s">
        <v>347</v>
      </c>
      <c r="EZ235" s="1" t="s">
        <v>287</v>
      </c>
      <c r="FD235" s="1" t="s">
        <v>1112</v>
      </c>
      <c r="FE235" s="1" t="s">
        <v>3771</v>
      </c>
      <c r="FF235" s="1" t="s">
        <v>248</v>
      </c>
      <c r="FH235" s="1" t="s">
        <v>249</v>
      </c>
      <c r="FJ235" s="1" t="s">
        <v>1472</v>
      </c>
      <c r="FL235" s="1" t="s">
        <v>358</v>
      </c>
      <c r="FM235" s="1" t="s">
        <v>252</v>
      </c>
      <c r="FN235" s="1" t="s">
        <v>213</v>
      </c>
      <c r="FO235" s="1" t="s">
        <v>213</v>
      </c>
      <c r="FQ235" s="1" t="s">
        <v>582</v>
      </c>
      <c r="FR235" s="1" t="s">
        <v>210</v>
      </c>
      <c r="FS235" s="1" t="s">
        <v>3772</v>
      </c>
      <c r="FT235" s="1" t="s">
        <v>3773</v>
      </c>
      <c r="FU235" s="1" t="s">
        <v>204</v>
      </c>
      <c r="FW235" s="1" t="s">
        <v>3774</v>
      </c>
      <c r="FX235" s="1">
        <v>1984</v>
      </c>
      <c r="FY235" s="1" t="s">
        <v>3775</v>
      </c>
      <c r="FZ235" s="1" t="s">
        <v>3776</v>
      </c>
      <c r="GA235" s="1">
        <v>922950</v>
      </c>
      <c r="GE235" s="1" t="s">
        <v>210</v>
      </c>
      <c r="GI235" s="1" t="s">
        <v>204</v>
      </c>
      <c r="GJ235" s="1" t="s">
        <v>260</v>
      </c>
      <c r="GK235" s="1" t="s">
        <v>210</v>
      </c>
      <c r="GL235" s="2">
        <v>42034</v>
      </c>
      <c r="GM235" s="1" t="s">
        <v>3777</v>
      </c>
    </row>
    <row r="236" spans="1:195">
      <c r="A236" s="1">
        <v>127000</v>
      </c>
      <c r="B236" s="1" t="s">
        <v>195</v>
      </c>
      <c r="C236" s="1" t="str">
        <f>"08773556"</f>
        <v>08773556</v>
      </c>
      <c r="D236" s="1" t="s">
        <v>196</v>
      </c>
      <c r="F236" s="1" t="str">
        <f>"31"</f>
        <v>31</v>
      </c>
      <c r="G236" s="2">
        <v>41954</v>
      </c>
      <c r="H236" s="1">
        <v>134900</v>
      </c>
      <c r="I236" s="1">
        <v>130000</v>
      </c>
      <c r="J236" s="1">
        <v>127000</v>
      </c>
      <c r="K236" s="2">
        <v>41954</v>
      </c>
      <c r="L236" s="1">
        <v>143</v>
      </c>
      <c r="M236" s="2">
        <v>42033</v>
      </c>
      <c r="N236" s="1">
        <v>80</v>
      </c>
      <c r="O236" s="2">
        <v>42033</v>
      </c>
      <c r="P236" s="1">
        <v>3460</v>
      </c>
      <c r="Q236" s="1" t="s">
        <v>197</v>
      </c>
      <c r="R236" s="2">
        <v>42062</v>
      </c>
      <c r="S236" s="1">
        <v>30524</v>
      </c>
      <c r="U236" s="1">
        <v>17777</v>
      </c>
      <c r="V236" s="1" t="s">
        <v>3778</v>
      </c>
      <c r="W236" s="1" t="s">
        <v>264</v>
      </c>
      <c r="Y236" s="1">
        <v>6</v>
      </c>
      <c r="Z236" s="1" t="s">
        <v>370</v>
      </c>
      <c r="AA236" s="1" t="s">
        <v>1057</v>
      </c>
      <c r="AB236" s="1">
        <v>60031</v>
      </c>
      <c r="AD236" s="1" t="s">
        <v>3779</v>
      </c>
      <c r="AE236" s="1" t="s">
        <v>3780</v>
      </c>
      <c r="AF236" s="1">
        <v>1993</v>
      </c>
      <c r="AG236" s="1" t="s">
        <v>204</v>
      </c>
      <c r="AH236" s="1" t="s">
        <v>882</v>
      </c>
      <c r="AI236" s="1" t="s">
        <v>509</v>
      </c>
      <c r="AJ236" s="1" t="s">
        <v>1061</v>
      </c>
      <c r="AL236" s="1">
        <v>5</v>
      </c>
      <c r="AM236" s="1">
        <v>2</v>
      </c>
      <c r="AN236" s="1">
        <v>2</v>
      </c>
      <c r="AO236" s="1">
        <v>1</v>
      </c>
      <c r="AP236" s="1" t="s">
        <v>209</v>
      </c>
      <c r="AQ236" s="1">
        <v>1</v>
      </c>
      <c r="AR236" s="1" t="s">
        <v>210</v>
      </c>
      <c r="AS236" s="1" t="s">
        <v>204</v>
      </c>
      <c r="AT236" s="1" t="s">
        <v>211</v>
      </c>
      <c r="AU236" s="1">
        <v>1</v>
      </c>
      <c r="AW236" s="1" t="s">
        <v>204</v>
      </c>
      <c r="AX236" s="1" t="s">
        <v>212</v>
      </c>
      <c r="AZ236" s="1">
        <v>3433</v>
      </c>
      <c r="BA236" s="1">
        <v>2013</v>
      </c>
      <c r="BE236" s="1">
        <v>1268</v>
      </c>
      <c r="BF236" s="1">
        <v>1</v>
      </c>
      <c r="BG236" s="1">
        <v>0</v>
      </c>
      <c r="BL236" s="1">
        <v>181</v>
      </c>
      <c r="BM236" s="1" t="s">
        <v>204</v>
      </c>
      <c r="BN236" s="1" t="s">
        <v>213</v>
      </c>
      <c r="BO236" s="1">
        <v>0</v>
      </c>
      <c r="BP236" s="1" t="s">
        <v>204</v>
      </c>
      <c r="BR236" s="1" t="str">
        <f>"07083090360000"</f>
        <v>07083090360000</v>
      </c>
      <c r="BT236" s="1" t="s">
        <v>3781</v>
      </c>
      <c r="BU236" s="1" t="s">
        <v>1064</v>
      </c>
      <c r="BV236" s="1" t="s">
        <v>1065</v>
      </c>
      <c r="BW236" s="1" t="s">
        <v>1066</v>
      </c>
      <c r="BX236" s="1">
        <v>50</v>
      </c>
      <c r="BY236" s="1">
        <v>50</v>
      </c>
      <c r="BZ236" s="1">
        <v>121</v>
      </c>
      <c r="CB236" s="1" t="str">
        <f>"36"</f>
        <v>36</v>
      </c>
      <c r="CC236" s="1" t="str">
        <f>""</f>
        <v/>
      </c>
      <c r="CD236" s="1">
        <v>17</v>
      </c>
      <c r="CG236" s="1" t="s">
        <v>278</v>
      </c>
      <c r="CH236" s="1" t="s">
        <v>219</v>
      </c>
      <c r="CI236" s="1" t="s">
        <v>220</v>
      </c>
      <c r="CK236" s="1" t="s">
        <v>228</v>
      </c>
      <c r="CL236" s="1" t="s">
        <v>277</v>
      </c>
      <c r="CM236" s="1" t="s">
        <v>220</v>
      </c>
      <c r="CO236" s="1" t="s">
        <v>837</v>
      </c>
      <c r="CP236" s="1" t="s">
        <v>219</v>
      </c>
      <c r="CQ236" s="1" t="s">
        <v>229</v>
      </c>
      <c r="CS236" s="1" t="s">
        <v>317</v>
      </c>
      <c r="CT236" s="1" t="s">
        <v>277</v>
      </c>
      <c r="CU236" s="1" t="s">
        <v>220</v>
      </c>
      <c r="CX236" s="1" t="s">
        <v>224</v>
      </c>
      <c r="DB236" s="1" t="s">
        <v>224</v>
      </c>
      <c r="DE236" s="1" t="s">
        <v>757</v>
      </c>
      <c r="DF236" s="1" t="s">
        <v>219</v>
      </c>
      <c r="DG236" s="1" t="s">
        <v>229</v>
      </c>
      <c r="DJ236" s="1" t="s">
        <v>224</v>
      </c>
      <c r="DS236" s="1" t="s">
        <v>230</v>
      </c>
      <c r="DW236" s="1" t="s">
        <v>230</v>
      </c>
      <c r="EA236" s="1" t="s">
        <v>230</v>
      </c>
      <c r="EE236" s="1" t="s">
        <v>230</v>
      </c>
      <c r="EI236" s="1" t="s">
        <v>230</v>
      </c>
      <c r="EL236" s="1" t="s">
        <v>382</v>
      </c>
      <c r="EM236" s="1" t="s">
        <v>319</v>
      </c>
      <c r="EN236" s="1" t="s">
        <v>282</v>
      </c>
      <c r="EO236" s="1" t="s">
        <v>234</v>
      </c>
      <c r="EP236" s="1" t="s">
        <v>3782</v>
      </c>
      <c r="EQ236" s="1" t="s">
        <v>2188</v>
      </c>
      <c r="ER236" s="1" t="s">
        <v>210</v>
      </c>
      <c r="ES236" s="1" t="s">
        <v>493</v>
      </c>
      <c r="EU236" s="1" t="s">
        <v>239</v>
      </c>
      <c r="EV236" s="1" t="s">
        <v>240</v>
      </c>
      <c r="EW236" s="1" t="s">
        <v>353</v>
      </c>
      <c r="EY236" s="1" t="s">
        <v>242</v>
      </c>
      <c r="EZ236" s="1" t="s">
        <v>287</v>
      </c>
      <c r="FB236" s="1" t="s">
        <v>289</v>
      </c>
      <c r="FC236" s="1" t="s">
        <v>548</v>
      </c>
      <c r="FD236" s="1" t="s">
        <v>246</v>
      </c>
      <c r="FE236" s="1" t="s">
        <v>3783</v>
      </c>
      <c r="FF236" s="1" t="s">
        <v>248</v>
      </c>
      <c r="FG236" s="1" t="s">
        <v>2406</v>
      </c>
      <c r="FH236" s="1" t="s">
        <v>550</v>
      </c>
      <c r="FI236" s="1" t="s">
        <v>357</v>
      </c>
      <c r="FL236" s="1" t="s">
        <v>358</v>
      </c>
      <c r="FM236" s="1" t="s">
        <v>252</v>
      </c>
      <c r="FN236" s="1" t="s">
        <v>213</v>
      </c>
      <c r="FO236" s="1" t="s">
        <v>213</v>
      </c>
      <c r="FQ236" s="1" t="s">
        <v>3784</v>
      </c>
      <c r="FR236" s="1" t="s">
        <v>210</v>
      </c>
      <c r="FS236" s="1" t="s">
        <v>3785</v>
      </c>
      <c r="FT236" s="1" t="s">
        <v>362</v>
      </c>
      <c r="FU236" s="1" t="s">
        <v>204</v>
      </c>
      <c r="FW236" s="1" t="s">
        <v>1275</v>
      </c>
      <c r="FX236" s="1">
        <v>2411</v>
      </c>
      <c r="FY236" s="1" t="s">
        <v>1276</v>
      </c>
      <c r="FZ236" s="1" t="s">
        <v>3786</v>
      </c>
      <c r="GA236" s="1">
        <v>26249</v>
      </c>
      <c r="GB236" s="1" t="s">
        <v>3787</v>
      </c>
      <c r="GE236" s="1" t="s">
        <v>1120</v>
      </c>
      <c r="GH236" s="1" t="s">
        <v>589</v>
      </c>
      <c r="GI236" s="1" t="s">
        <v>213</v>
      </c>
      <c r="GJ236" s="1" t="s">
        <v>260</v>
      </c>
      <c r="GK236" s="1" t="s">
        <v>210</v>
      </c>
      <c r="GL236" s="2">
        <v>42062</v>
      </c>
      <c r="GM236" s="1" t="s">
        <v>3788</v>
      </c>
    </row>
    <row r="237" spans="1:195">
      <c r="A237" s="1">
        <v>28900</v>
      </c>
      <c r="B237" s="1" t="s">
        <v>195</v>
      </c>
      <c r="C237" s="1" t="str">
        <f>"08772155"</f>
        <v>08772155</v>
      </c>
      <c r="D237" s="1" t="s">
        <v>196</v>
      </c>
      <c r="F237" s="1" t="str">
        <f>"8043"</f>
        <v>8043</v>
      </c>
      <c r="G237" s="2">
        <v>41952</v>
      </c>
      <c r="H237" s="1">
        <v>29900</v>
      </c>
      <c r="I237" s="1">
        <v>29900</v>
      </c>
      <c r="J237" s="1">
        <v>28900</v>
      </c>
      <c r="K237" s="2">
        <v>41951</v>
      </c>
      <c r="L237" s="1">
        <v>32</v>
      </c>
      <c r="M237" s="2">
        <v>41982</v>
      </c>
      <c r="N237" s="1">
        <v>32</v>
      </c>
      <c r="O237" s="2">
        <v>41982</v>
      </c>
      <c r="P237" s="1">
        <v>85646</v>
      </c>
      <c r="Q237" s="1" t="s">
        <v>302</v>
      </c>
      <c r="R237" s="2">
        <v>41995</v>
      </c>
      <c r="S237" s="1">
        <v>128929</v>
      </c>
      <c r="U237" s="1">
        <v>2322</v>
      </c>
      <c r="V237" s="1" t="s">
        <v>3789</v>
      </c>
      <c r="W237" s="1" t="s">
        <v>725</v>
      </c>
      <c r="X237" s="1">
        <v>3</v>
      </c>
      <c r="Y237" s="1">
        <v>26</v>
      </c>
      <c r="Z237" s="1" t="s">
        <v>249</v>
      </c>
      <c r="AA237" s="1" t="s">
        <v>400</v>
      </c>
      <c r="AB237" s="1">
        <v>60649</v>
      </c>
      <c r="AE237" s="1" t="s">
        <v>3790</v>
      </c>
      <c r="AF237" s="1">
        <v>1920</v>
      </c>
      <c r="AG237" s="1" t="s">
        <v>213</v>
      </c>
      <c r="AH237" s="1" t="s">
        <v>403</v>
      </c>
      <c r="AI237" s="1" t="s">
        <v>310</v>
      </c>
      <c r="AJ237" s="1" t="s">
        <v>562</v>
      </c>
      <c r="AL237" s="1">
        <v>4</v>
      </c>
      <c r="AM237" s="1">
        <v>2</v>
      </c>
      <c r="AN237" s="1">
        <v>1</v>
      </c>
      <c r="AO237" s="1">
        <v>0</v>
      </c>
      <c r="AP237" s="1" t="s">
        <v>210</v>
      </c>
      <c r="AR237" s="1" t="s">
        <v>210</v>
      </c>
      <c r="AS237" s="1" t="s">
        <v>204</v>
      </c>
      <c r="AT237" s="1" t="s">
        <v>210</v>
      </c>
      <c r="AW237" s="1" t="s">
        <v>204</v>
      </c>
      <c r="AX237" s="1" t="s">
        <v>1265</v>
      </c>
      <c r="AZ237" s="1">
        <v>1297.4000000000001</v>
      </c>
      <c r="BA237" s="1">
        <v>2013</v>
      </c>
      <c r="BB237" s="1" t="s">
        <v>405</v>
      </c>
      <c r="BE237" s="1">
        <v>952</v>
      </c>
      <c r="BF237" s="1">
        <v>3</v>
      </c>
      <c r="BG237" s="1">
        <v>0</v>
      </c>
      <c r="BL237" s="1">
        <v>298</v>
      </c>
      <c r="BM237" s="1" t="s">
        <v>204</v>
      </c>
      <c r="BN237" s="1" t="s">
        <v>213</v>
      </c>
      <c r="BO237" s="1">
        <v>25</v>
      </c>
      <c r="BP237" s="1" t="s">
        <v>204</v>
      </c>
      <c r="BR237" s="1" t="str">
        <f>"20244120341006"</f>
        <v>20244120341006</v>
      </c>
      <c r="BT237" s="1" t="s">
        <v>3791</v>
      </c>
      <c r="BX237" s="1">
        <v>299</v>
      </c>
      <c r="BY237" s="1">
        <v>299</v>
      </c>
      <c r="BZ237" s="1">
        <v>299</v>
      </c>
      <c r="CB237" s="1" t="str">
        <f>"0"</f>
        <v>0</v>
      </c>
      <c r="CC237" s="1" t="str">
        <f>"2322"</f>
        <v>2322</v>
      </c>
      <c r="CD237" s="1">
        <v>0</v>
      </c>
      <c r="CE237" s="1">
        <v>6900</v>
      </c>
      <c r="CG237" s="1" t="s">
        <v>378</v>
      </c>
      <c r="CH237" s="1" t="s">
        <v>219</v>
      </c>
      <c r="CI237" s="1" t="s">
        <v>438</v>
      </c>
      <c r="CK237" s="1" t="s">
        <v>2935</v>
      </c>
      <c r="CL237" s="1" t="s">
        <v>219</v>
      </c>
      <c r="CM237" s="1" t="s">
        <v>438</v>
      </c>
      <c r="CP237" s="1" t="s">
        <v>224</v>
      </c>
      <c r="CS237" s="1" t="s">
        <v>1469</v>
      </c>
      <c r="CT237" s="1" t="s">
        <v>219</v>
      </c>
      <c r="CU237" s="1" t="s">
        <v>438</v>
      </c>
      <c r="CX237" s="1" t="s">
        <v>224</v>
      </c>
      <c r="DB237" s="1" t="s">
        <v>224</v>
      </c>
      <c r="DE237" s="1" t="s">
        <v>317</v>
      </c>
      <c r="DF237" s="1" t="s">
        <v>219</v>
      </c>
      <c r="DG237" s="1" t="s">
        <v>226</v>
      </c>
      <c r="DJ237" s="1" t="s">
        <v>224</v>
      </c>
      <c r="DS237" s="1" t="s">
        <v>230</v>
      </c>
      <c r="DW237" s="1" t="s">
        <v>230</v>
      </c>
      <c r="EA237" s="1" t="s">
        <v>230</v>
      </c>
      <c r="EE237" s="1" t="s">
        <v>230</v>
      </c>
      <c r="EI237" s="1" t="s">
        <v>230</v>
      </c>
      <c r="EL237" s="1" t="s">
        <v>2521</v>
      </c>
      <c r="EM237" s="1" t="s">
        <v>319</v>
      </c>
      <c r="EN237" s="1" t="s">
        <v>210</v>
      </c>
      <c r="EO237" s="1" t="s">
        <v>234</v>
      </c>
      <c r="EQ237" s="1" t="s">
        <v>1551</v>
      </c>
      <c r="ER237" s="1" t="s">
        <v>210</v>
      </c>
      <c r="ES237" s="1" t="s">
        <v>493</v>
      </c>
      <c r="EW237" s="1" t="s">
        <v>3792</v>
      </c>
      <c r="EZ237" s="1" t="s">
        <v>287</v>
      </c>
      <c r="FB237" s="1" t="s">
        <v>289</v>
      </c>
      <c r="FD237" s="1" t="s">
        <v>246</v>
      </c>
      <c r="FE237" s="1" t="s">
        <v>247</v>
      </c>
      <c r="FF237" s="1" t="s">
        <v>248</v>
      </c>
      <c r="FH237" s="1" t="s">
        <v>249</v>
      </c>
      <c r="FJ237" s="1" t="s">
        <v>1472</v>
      </c>
      <c r="FL237" s="1" t="s">
        <v>3793</v>
      </c>
      <c r="FM237" s="1" t="s">
        <v>210</v>
      </c>
      <c r="FN237" s="1" t="s">
        <v>204</v>
      </c>
      <c r="FO237" s="1" t="s">
        <v>204</v>
      </c>
      <c r="FQ237" s="1" t="s">
        <v>3794</v>
      </c>
      <c r="FR237" s="1" t="s">
        <v>210</v>
      </c>
      <c r="FS237" s="1" t="s">
        <v>3795</v>
      </c>
      <c r="FT237" s="1" t="s">
        <v>3796</v>
      </c>
      <c r="FU237" s="1" t="s">
        <v>204</v>
      </c>
      <c r="FW237" s="1" t="s">
        <v>3797</v>
      </c>
      <c r="FX237" s="1">
        <v>84460</v>
      </c>
      <c r="FY237" s="1" t="s">
        <v>3798</v>
      </c>
      <c r="FZ237" s="1" t="s">
        <v>3799</v>
      </c>
      <c r="GA237" s="1">
        <v>105643</v>
      </c>
      <c r="GB237" s="1" t="s">
        <v>3800</v>
      </c>
      <c r="GD237" s="1" t="s">
        <v>3801</v>
      </c>
      <c r="GE237" s="1" t="s">
        <v>210</v>
      </c>
      <c r="GH237" s="1" t="s">
        <v>800</v>
      </c>
      <c r="GI237" s="1" t="s">
        <v>213</v>
      </c>
      <c r="GJ237" s="1" t="s">
        <v>260</v>
      </c>
      <c r="GK237" s="1" t="s">
        <v>210</v>
      </c>
      <c r="GL237" s="2">
        <v>41999</v>
      </c>
      <c r="GM237" s="1" t="s">
        <v>3802</v>
      </c>
    </row>
    <row r="238" spans="1:195">
      <c r="A238" s="1">
        <v>160000</v>
      </c>
      <c r="B238" s="1" t="s">
        <v>195</v>
      </c>
      <c r="C238" s="1" t="str">
        <f>"08791934"</f>
        <v>08791934</v>
      </c>
      <c r="D238" s="1" t="s">
        <v>196</v>
      </c>
      <c r="F238" s="1" t="str">
        <f>"540"</f>
        <v>540</v>
      </c>
      <c r="G238" s="2">
        <v>41967</v>
      </c>
      <c r="H238" s="1">
        <v>169900</v>
      </c>
      <c r="I238" s="1">
        <v>169900</v>
      </c>
      <c r="J238" s="1">
        <v>160000</v>
      </c>
      <c r="K238" s="2">
        <v>41967</v>
      </c>
      <c r="L238" s="1">
        <v>29</v>
      </c>
      <c r="M238" s="2">
        <v>41995</v>
      </c>
      <c r="N238" s="1">
        <v>29</v>
      </c>
      <c r="O238" s="2">
        <v>41995</v>
      </c>
      <c r="P238" s="1">
        <v>25088</v>
      </c>
      <c r="Q238" s="1" t="s">
        <v>302</v>
      </c>
      <c r="R238" s="2">
        <v>42033</v>
      </c>
      <c r="S238" s="1">
        <v>240642</v>
      </c>
      <c r="U238" s="1" t="s">
        <v>3803</v>
      </c>
      <c r="V238" s="1" t="s">
        <v>3804</v>
      </c>
      <c r="W238" s="1" t="s">
        <v>304</v>
      </c>
      <c r="X238" s="1">
        <v>2</v>
      </c>
      <c r="Y238" s="1">
        <v>4</v>
      </c>
      <c r="Z238" s="1" t="s">
        <v>370</v>
      </c>
      <c r="AA238" s="1" t="s">
        <v>921</v>
      </c>
      <c r="AB238" s="1">
        <v>60563</v>
      </c>
      <c r="AE238" s="1" t="s">
        <v>3805</v>
      </c>
      <c r="AF238" s="1">
        <v>1975</v>
      </c>
      <c r="AG238" s="1" t="s">
        <v>213</v>
      </c>
      <c r="AH238" s="1" t="s">
        <v>924</v>
      </c>
      <c r="AI238" s="1" t="s">
        <v>206</v>
      </c>
      <c r="AJ238" s="1" t="s">
        <v>924</v>
      </c>
      <c r="AL238" s="1">
        <v>6</v>
      </c>
      <c r="AM238" s="1">
        <v>2</v>
      </c>
      <c r="AN238" s="1">
        <v>1</v>
      </c>
      <c r="AO238" s="1">
        <v>1</v>
      </c>
      <c r="AP238" s="1" t="s">
        <v>667</v>
      </c>
      <c r="AR238" s="1" t="s">
        <v>209</v>
      </c>
      <c r="AS238" s="1" t="s">
        <v>204</v>
      </c>
      <c r="AT238" s="1" t="s">
        <v>211</v>
      </c>
      <c r="AU238" s="1">
        <v>1</v>
      </c>
      <c r="AW238" s="1" t="s">
        <v>204</v>
      </c>
      <c r="AX238" s="1" t="s">
        <v>3806</v>
      </c>
      <c r="AZ238" s="1">
        <v>2874</v>
      </c>
      <c r="BA238" s="1">
        <v>2013</v>
      </c>
      <c r="BE238" s="1">
        <v>1280</v>
      </c>
      <c r="BF238" s="1">
        <v>1</v>
      </c>
      <c r="BG238" s="1">
        <v>0</v>
      </c>
      <c r="BL238" s="1">
        <v>214</v>
      </c>
      <c r="BM238" s="1" t="s">
        <v>204</v>
      </c>
      <c r="BN238" s="1" t="s">
        <v>213</v>
      </c>
      <c r="BO238" s="1">
        <v>999</v>
      </c>
      <c r="BP238" s="1" t="s">
        <v>204</v>
      </c>
      <c r="BR238" s="1" t="str">
        <f>"0709217007"</f>
        <v>0709217007</v>
      </c>
      <c r="BT238" s="1" t="s">
        <v>3807</v>
      </c>
      <c r="BX238" s="1">
        <v>204</v>
      </c>
      <c r="BY238" s="1">
        <v>204</v>
      </c>
      <c r="BZ238" s="1">
        <v>204</v>
      </c>
      <c r="CB238" s="1" t="str">
        <f t="shared" ref="CB238:CC238" si="187">""</f>
        <v/>
      </c>
      <c r="CC238" s="1" t="str">
        <f t="shared" si="187"/>
        <v/>
      </c>
      <c r="CG238" s="1" t="s">
        <v>3808</v>
      </c>
      <c r="CH238" s="1" t="s">
        <v>219</v>
      </c>
      <c r="CI238" s="1" t="s">
        <v>438</v>
      </c>
      <c r="CK238" s="1" t="s">
        <v>315</v>
      </c>
      <c r="CL238" s="1" t="s">
        <v>277</v>
      </c>
      <c r="CM238" s="1" t="s">
        <v>220</v>
      </c>
      <c r="CO238" s="1" t="s">
        <v>379</v>
      </c>
      <c r="CP238" s="1" t="s">
        <v>219</v>
      </c>
      <c r="CQ238" s="1" t="s">
        <v>438</v>
      </c>
      <c r="CS238" s="1" t="s">
        <v>2138</v>
      </c>
      <c r="CT238" s="1" t="s">
        <v>277</v>
      </c>
      <c r="CU238" s="1" t="s">
        <v>220</v>
      </c>
      <c r="CX238" s="1" t="s">
        <v>224</v>
      </c>
      <c r="DB238" s="1" t="s">
        <v>224</v>
      </c>
      <c r="DE238" s="1" t="s">
        <v>379</v>
      </c>
      <c r="DF238" s="1" t="s">
        <v>219</v>
      </c>
      <c r="DG238" s="1" t="s">
        <v>438</v>
      </c>
      <c r="DJ238" s="1" t="s">
        <v>224</v>
      </c>
      <c r="DM238" s="1" t="s">
        <v>934</v>
      </c>
      <c r="DN238" s="1" t="s">
        <v>1614</v>
      </c>
      <c r="DR238" s="1" t="s">
        <v>1570</v>
      </c>
      <c r="DS238" s="1" t="s">
        <v>43</v>
      </c>
      <c r="DT238" s="1" t="s">
        <v>347</v>
      </c>
      <c r="DV238" s="1" t="s">
        <v>886</v>
      </c>
      <c r="DW238" s="1" t="s">
        <v>43</v>
      </c>
      <c r="EA238" s="1" t="s">
        <v>230</v>
      </c>
      <c r="EE238" s="1" t="s">
        <v>230</v>
      </c>
      <c r="EI238" s="1" t="s">
        <v>230</v>
      </c>
      <c r="EL238" s="1" t="s">
        <v>231</v>
      </c>
      <c r="EM238" s="1" t="s">
        <v>319</v>
      </c>
      <c r="EN238" s="1" t="s">
        <v>282</v>
      </c>
      <c r="EO238" s="1" t="s">
        <v>234</v>
      </c>
      <c r="EP238" s="1" t="s">
        <v>3809</v>
      </c>
      <c r="ER238" s="1" t="s">
        <v>1249</v>
      </c>
      <c r="EU238" s="1" t="s">
        <v>2032</v>
      </c>
      <c r="EV238" s="1" t="s">
        <v>240</v>
      </c>
      <c r="EW238" s="1" t="s">
        <v>3810</v>
      </c>
      <c r="EZ238" s="1" t="s">
        <v>3811</v>
      </c>
      <c r="FD238" s="1" t="s">
        <v>246</v>
      </c>
      <c r="FE238" s="1" t="s">
        <v>355</v>
      </c>
      <c r="FF238" s="1" t="s">
        <v>248</v>
      </c>
      <c r="FH238" s="1" t="s">
        <v>550</v>
      </c>
      <c r="FI238" s="1" t="s">
        <v>473</v>
      </c>
      <c r="FL238" s="1" t="s">
        <v>414</v>
      </c>
      <c r="FM238" s="1" t="s">
        <v>252</v>
      </c>
      <c r="FN238" s="1" t="s">
        <v>213</v>
      </c>
      <c r="FO238" s="1" t="s">
        <v>213</v>
      </c>
      <c r="FQ238" s="1" t="s">
        <v>329</v>
      </c>
      <c r="FR238" s="1" t="s">
        <v>210</v>
      </c>
      <c r="FS238" s="1" t="s">
        <v>3812</v>
      </c>
      <c r="FT238" s="1" t="s">
        <v>295</v>
      </c>
      <c r="FU238" s="1" t="s">
        <v>204</v>
      </c>
      <c r="FW238" s="1" t="s">
        <v>585</v>
      </c>
      <c r="FX238" s="1">
        <v>8005</v>
      </c>
      <c r="FY238" s="1" t="s">
        <v>1979</v>
      </c>
      <c r="FZ238" s="1" t="s">
        <v>3813</v>
      </c>
      <c r="GA238" s="1">
        <v>89976</v>
      </c>
      <c r="GB238" s="1" t="s">
        <v>3814</v>
      </c>
      <c r="GE238" s="1" t="s">
        <v>1145</v>
      </c>
      <c r="GI238" s="1" t="s">
        <v>213</v>
      </c>
      <c r="GJ238" s="1" t="s">
        <v>260</v>
      </c>
      <c r="GK238" s="1" t="s">
        <v>210</v>
      </c>
      <c r="GL238" s="2">
        <v>42033</v>
      </c>
      <c r="GM238" s="1" t="s">
        <v>3815</v>
      </c>
    </row>
    <row r="239" spans="1:195">
      <c r="A239" s="1">
        <v>333000</v>
      </c>
      <c r="B239" s="1" t="s">
        <v>195</v>
      </c>
      <c r="C239" s="1" t="str">
        <f>"08772410"</f>
        <v>08772410</v>
      </c>
      <c r="D239" s="1" t="s">
        <v>196</v>
      </c>
      <c r="F239" s="1" t="str">
        <f>"523"</f>
        <v>523</v>
      </c>
      <c r="G239" s="2">
        <v>41953</v>
      </c>
      <c r="H239" s="1">
        <v>369000</v>
      </c>
      <c r="I239" s="1">
        <v>358000</v>
      </c>
      <c r="J239" s="1">
        <v>333000</v>
      </c>
      <c r="K239" s="2">
        <v>41953</v>
      </c>
      <c r="L239" s="1">
        <v>152</v>
      </c>
      <c r="M239" s="2">
        <v>42104</v>
      </c>
      <c r="N239" s="1">
        <v>152</v>
      </c>
      <c r="O239" s="2">
        <v>42104</v>
      </c>
      <c r="P239" s="1">
        <v>22010</v>
      </c>
      <c r="Q239" s="1" t="s">
        <v>302</v>
      </c>
      <c r="R239" s="2">
        <v>42124</v>
      </c>
      <c r="S239" s="1">
        <v>222640</v>
      </c>
      <c r="U239" s="1">
        <v>1</v>
      </c>
      <c r="V239" s="1" t="s">
        <v>3816</v>
      </c>
      <c r="W239" s="1" t="s">
        <v>264</v>
      </c>
      <c r="X239" s="1" t="s">
        <v>3817</v>
      </c>
      <c r="Y239" s="1">
        <v>107</v>
      </c>
      <c r="Z239" s="1" t="s">
        <v>249</v>
      </c>
      <c r="AA239" s="1" t="s">
        <v>3818</v>
      </c>
      <c r="AB239" s="1">
        <v>60523</v>
      </c>
      <c r="AD239" s="1" t="s">
        <v>3816</v>
      </c>
      <c r="AE239" s="1" t="s">
        <v>3819</v>
      </c>
      <c r="AF239" s="1">
        <v>1970</v>
      </c>
      <c r="AG239" s="1" t="s">
        <v>213</v>
      </c>
      <c r="AH239" s="1" t="s">
        <v>3820</v>
      </c>
      <c r="AI239" s="1" t="s">
        <v>206</v>
      </c>
      <c r="AJ239" s="1" t="s">
        <v>1608</v>
      </c>
      <c r="AL239" s="1">
        <v>6</v>
      </c>
      <c r="AM239" s="1">
        <v>2</v>
      </c>
      <c r="AN239" s="1">
        <v>2</v>
      </c>
      <c r="AO239" s="1">
        <v>0</v>
      </c>
      <c r="AP239" s="1" t="s">
        <v>209</v>
      </c>
      <c r="AQ239" s="1">
        <v>1</v>
      </c>
      <c r="AR239" s="1" t="s">
        <v>210</v>
      </c>
      <c r="AS239" s="1" t="s">
        <v>204</v>
      </c>
      <c r="AT239" s="1" t="s">
        <v>211</v>
      </c>
      <c r="AU239" s="1">
        <v>2</v>
      </c>
      <c r="AW239" s="1" t="s">
        <v>204</v>
      </c>
      <c r="AX239" s="1" t="s">
        <v>212</v>
      </c>
      <c r="AZ239" s="1">
        <v>3205</v>
      </c>
      <c r="BA239" s="1">
        <v>2013</v>
      </c>
      <c r="BE239" s="1">
        <v>1745</v>
      </c>
      <c r="BF239" s="1">
        <v>2</v>
      </c>
      <c r="BG239" s="1">
        <v>30</v>
      </c>
      <c r="BJ239" s="1">
        <v>100</v>
      </c>
      <c r="BL239" s="1">
        <v>792</v>
      </c>
      <c r="BM239" s="1" t="s">
        <v>204</v>
      </c>
      <c r="BN239" s="1" t="s">
        <v>213</v>
      </c>
      <c r="BO239" s="1">
        <v>20</v>
      </c>
      <c r="BP239" s="1" t="s">
        <v>204</v>
      </c>
      <c r="BR239" s="1" t="str">
        <f>"0623106052"</f>
        <v>0623106052</v>
      </c>
      <c r="BT239" s="1" t="s">
        <v>3821</v>
      </c>
      <c r="BU239" s="1" t="s">
        <v>3822</v>
      </c>
      <c r="BV239" s="1" t="s">
        <v>3315</v>
      </c>
      <c r="BW239" s="1" t="s">
        <v>2201</v>
      </c>
      <c r="BX239" s="1">
        <v>48</v>
      </c>
      <c r="BY239" s="1">
        <v>48</v>
      </c>
      <c r="BZ239" s="1">
        <v>88</v>
      </c>
      <c r="CB239" s="1" t="str">
        <f t="shared" ref="CB239:CC239" si="188">""</f>
        <v/>
      </c>
      <c r="CC239" s="1" t="str">
        <f t="shared" si="188"/>
        <v/>
      </c>
      <c r="CG239" s="1" t="s">
        <v>2992</v>
      </c>
      <c r="CH239" s="1" t="s">
        <v>219</v>
      </c>
      <c r="CI239" s="1" t="s">
        <v>220</v>
      </c>
      <c r="CJ239" s="1" t="s">
        <v>463</v>
      </c>
      <c r="CK239" s="1" t="s">
        <v>581</v>
      </c>
      <c r="CL239" s="1" t="s">
        <v>219</v>
      </c>
      <c r="CM239" s="1" t="s">
        <v>220</v>
      </c>
      <c r="CN239" s="1" t="s">
        <v>463</v>
      </c>
      <c r="CO239" s="1" t="s">
        <v>378</v>
      </c>
      <c r="CP239" s="1" t="s">
        <v>219</v>
      </c>
      <c r="CQ239" s="1" t="s">
        <v>220</v>
      </c>
      <c r="CS239" s="1" t="s">
        <v>539</v>
      </c>
      <c r="CT239" s="1" t="s">
        <v>219</v>
      </c>
      <c r="CU239" s="1" t="s">
        <v>220</v>
      </c>
      <c r="CV239" s="1" t="s">
        <v>463</v>
      </c>
      <c r="CX239" s="1" t="s">
        <v>224</v>
      </c>
      <c r="DB239" s="1" t="s">
        <v>224</v>
      </c>
      <c r="DE239" s="1" t="s">
        <v>1297</v>
      </c>
      <c r="DF239" s="1" t="s">
        <v>219</v>
      </c>
      <c r="DI239" s="1" t="s">
        <v>729</v>
      </c>
      <c r="DJ239" s="1" t="s">
        <v>219</v>
      </c>
      <c r="DK239" s="1" t="s">
        <v>220</v>
      </c>
      <c r="DL239" s="1" t="s">
        <v>343</v>
      </c>
      <c r="DM239" s="1" t="s">
        <v>709</v>
      </c>
      <c r="DN239" s="1" t="s">
        <v>838</v>
      </c>
      <c r="DR239" s="1" t="s">
        <v>3823</v>
      </c>
      <c r="DS239" s="1" t="s">
        <v>219</v>
      </c>
      <c r="DT239" s="1" t="s">
        <v>220</v>
      </c>
      <c r="DV239" s="1" t="s">
        <v>3824</v>
      </c>
      <c r="DW239" s="1" t="s">
        <v>219</v>
      </c>
      <c r="EA239" s="1" t="s">
        <v>230</v>
      </c>
      <c r="EE239" s="1" t="s">
        <v>230</v>
      </c>
      <c r="EI239" s="1" t="s">
        <v>230</v>
      </c>
      <c r="EL239" s="1" t="s">
        <v>605</v>
      </c>
      <c r="EM239" s="1" t="s">
        <v>232</v>
      </c>
      <c r="EN239" s="1" t="s">
        <v>282</v>
      </c>
      <c r="EO239" s="1" t="s">
        <v>234</v>
      </c>
      <c r="EQ239" s="1" t="s">
        <v>236</v>
      </c>
      <c r="ER239" s="1" t="s">
        <v>210</v>
      </c>
      <c r="ES239" s="1" t="s">
        <v>322</v>
      </c>
      <c r="EV239" s="1" t="s">
        <v>324</v>
      </c>
      <c r="EW239" s="1" t="s">
        <v>3825</v>
      </c>
      <c r="EZ239" s="1" t="s">
        <v>3826</v>
      </c>
      <c r="FB239" s="1" t="s">
        <v>1755</v>
      </c>
      <c r="FD239" s="1" t="s">
        <v>3827</v>
      </c>
      <c r="FE239" s="1" t="s">
        <v>247</v>
      </c>
      <c r="FF239" s="1" t="s">
        <v>248</v>
      </c>
      <c r="FG239" s="1" t="s">
        <v>912</v>
      </c>
      <c r="FH239" s="1" t="s">
        <v>249</v>
      </c>
      <c r="FI239" s="1" t="s">
        <v>1114</v>
      </c>
      <c r="FL239" s="1" t="s">
        <v>292</v>
      </c>
      <c r="FM239" s="1" t="s">
        <v>252</v>
      </c>
      <c r="FN239" s="1" t="s">
        <v>213</v>
      </c>
      <c r="FO239" s="1" t="s">
        <v>213</v>
      </c>
      <c r="FQ239" s="1" t="s">
        <v>1007</v>
      </c>
      <c r="FR239" s="1" t="s">
        <v>210</v>
      </c>
      <c r="FS239" s="1" t="s">
        <v>3828</v>
      </c>
      <c r="FT239" s="1" t="s">
        <v>362</v>
      </c>
      <c r="FU239" s="1" t="s">
        <v>204</v>
      </c>
      <c r="FW239" s="1" t="s">
        <v>915</v>
      </c>
      <c r="FX239" s="1">
        <v>22076</v>
      </c>
      <c r="FY239" s="1" t="s">
        <v>916</v>
      </c>
      <c r="FZ239" s="1" t="s">
        <v>3829</v>
      </c>
      <c r="GA239" s="1">
        <v>230804</v>
      </c>
      <c r="GB239" s="1" t="s">
        <v>3830</v>
      </c>
      <c r="GE239" s="1" t="s">
        <v>1145</v>
      </c>
      <c r="GI239" s="1" t="s">
        <v>213</v>
      </c>
      <c r="GJ239" s="1" t="s">
        <v>260</v>
      </c>
      <c r="GK239" s="1" t="s">
        <v>210</v>
      </c>
      <c r="GL239" s="2">
        <v>42125</v>
      </c>
      <c r="GM239" s="1" t="s">
        <v>3831</v>
      </c>
    </row>
    <row r="240" spans="1:195">
      <c r="A240" s="1">
        <v>236638</v>
      </c>
      <c r="B240" s="1" t="s">
        <v>195</v>
      </c>
      <c r="C240" s="1" t="str">
        <f>"08771875"</f>
        <v>08771875</v>
      </c>
      <c r="D240" s="1" t="s">
        <v>196</v>
      </c>
      <c r="F240" s="1" t="str">
        <f t="shared" ref="F240:F241" si="189">"540"</f>
        <v>540</v>
      </c>
      <c r="G240" s="2">
        <v>41951</v>
      </c>
      <c r="H240" s="1">
        <v>249900</v>
      </c>
      <c r="I240" s="1">
        <v>249900</v>
      </c>
      <c r="J240" s="1">
        <v>236638</v>
      </c>
      <c r="K240" s="2">
        <v>41951</v>
      </c>
      <c r="L240" s="1">
        <v>92</v>
      </c>
      <c r="M240" s="2">
        <v>41961</v>
      </c>
      <c r="N240" s="1">
        <v>11</v>
      </c>
      <c r="O240" s="2">
        <v>41961</v>
      </c>
      <c r="P240" s="1">
        <v>21823</v>
      </c>
      <c r="Q240" s="1" t="s">
        <v>197</v>
      </c>
      <c r="R240" s="2">
        <v>42002</v>
      </c>
      <c r="S240" s="1">
        <v>224834</v>
      </c>
      <c r="U240" s="1">
        <v>576</v>
      </c>
      <c r="V240" s="1" t="s">
        <v>3832</v>
      </c>
      <c r="W240" s="1" t="s">
        <v>504</v>
      </c>
      <c r="X240" s="1">
        <v>576</v>
      </c>
      <c r="Y240" s="1">
        <v>4</v>
      </c>
      <c r="Z240" s="1" t="s">
        <v>249</v>
      </c>
      <c r="AA240" s="1" t="s">
        <v>921</v>
      </c>
      <c r="AB240" s="1">
        <v>60565</v>
      </c>
      <c r="AD240" s="1" t="s">
        <v>922</v>
      </c>
      <c r="AE240" s="1" t="s">
        <v>3833</v>
      </c>
      <c r="AF240" s="1">
        <v>1996</v>
      </c>
      <c r="AG240" s="1" t="s">
        <v>204</v>
      </c>
      <c r="AH240" s="1" t="s">
        <v>924</v>
      </c>
      <c r="AI240" s="1" t="s">
        <v>206</v>
      </c>
      <c r="AJ240" s="1" t="s">
        <v>925</v>
      </c>
      <c r="AK240" s="1" t="s">
        <v>3834</v>
      </c>
      <c r="AL240" s="1">
        <v>8</v>
      </c>
      <c r="AM240" s="1">
        <v>2</v>
      </c>
      <c r="AN240" s="1">
        <v>2</v>
      </c>
      <c r="AO240" s="1">
        <v>0</v>
      </c>
      <c r="AP240" s="1" t="s">
        <v>209</v>
      </c>
      <c r="AR240" s="1" t="s">
        <v>209</v>
      </c>
      <c r="AS240" s="1" t="s">
        <v>204</v>
      </c>
      <c r="AT240" s="1" t="s">
        <v>211</v>
      </c>
      <c r="AU240" s="1">
        <v>2</v>
      </c>
      <c r="AW240" s="1" t="s">
        <v>204</v>
      </c>
      <c r="AX240" s="1" t="s">
        <v>212</v>
      </c>
      <c r="AZ240" s="1">
        <v>5274</v>
      </c>
      <c r="BA240" s="1">
        <v>2013</v>
      </c>
      <c r="BB240" s="1" t="s">
        <v>405</v>
      </c>
      <c r="BE240" s="1">
        <v>1617</v>
      </c>
      <c r="BF240" s="1">
        <v>1</v>
      </c>
      <c r="BG240" s="1">
        <v>0</v>
      </c>
      <c r="BJ240" s="1">
        <v>100</v>
      </c>
      <c r="BL240" s="1">
        <v>289</v>
      </c>
      <c r="BM240" s="1" t="s">
        <v>204</v>
      </c>
      <c r="BN240" s="1" t="s">
        <v>213</v>
      </c>
      <c r="BO240" s="1">
        <v>999</v>
      </c>
      <c r="BP240" s="1" t="s">
        <v>204</v>
      </c>
      <c r="BR240" s="1" t="str">
        <f>"0829312026"</f>
        <v>0829312026</v>
      </c>
      <c r="BT240" s="1" t="s">
        <v>3835</v>
      </c>
      <c r="BU240" s="1" t="s">
        <v>928</v>
      </c>
      <c r="BV240" s="1" t="s">
        <v>929</v>
      </c>
      <c r="BW240" s="1" t="s">
        <v>930</v>
      </c>
      <c r="BX240" s="1">
        <v>203</v>
      </c>
      <c r="BY240" s="1">
        <v>203</v>
      </c>
      <c r="BZ240" s="1">
        <v>203</v>
      </c>
      <c r="CB240" s="1" t="str">
        <f t="shared" ref="CB240:CC240" si="190">"0"</f>
        <v>0</v>
      </c>
      <c r="CC240" s="1" t="str">
        <f t="shared" si="190"/>
        <v>0</v>
      </c>
      <c r="CD240" s="1">
        <v>25</v>
      </c>
      <c r="CE240" s="1">
        <v>8</v>
      </c>
      <c r="CG240" s="1" t="s">
        <v>729</v>
      </c>
      <c r="CH240" s="1" t="s">
        <v>219</v>
      </c>
      <c r="CI240" s="1" t="s">
        <v>220</v>
      </c>
      <c r="CJ240" s="1" t="s">
        <v>252</v>
      </c>
      <c r="CK240" s="1" t="s">
        <v>228</v>
      </c>
      <c r="CL240" s="1" t="s">
        <v>219</v>
      </c>
      <c r="CM240" s="1" t="s">
        <v>220</v>
      </c>
      <c r="CN240" s="1" t="s">
        <v>252</v>
      </c>
      <c r="CO240" s="1" t="s">
        <v>1297</v>
      </c>
      <c r="CP240" s="1" t="s">
        <v>219</v>
      </c>
      <c r="CQ240" s="1" t="s">
        <v>220</v>
      </c>
      <c r="CR240" s="1" t="s">
        <v>343</v>
      </c>
      <c r="CS240" s="1" t="s">
        <v>465</v>
      </c>
      <c r="CT240" s="1" t="s">
        <v>219</v>
      </c>
      <c r="CU240" s="1" t="s">
        <v>220</v>
      </c>
      <c r="CV240" s="1" t="s">
        <v>252</v>
      </c>
      <c r="CX240" s="1" t="s">
        <v>224</v>
      </c>
      <c r="DB240" s="1" t="s">
        <v>224</v>
      </c>
      <c r="DE240" s="1" t="s">
        <v>1454</v>
      </c>
      <c r="DF240" s="1" t="s">
        <v>219</v>
      </c>
      <c r="DG240" s="1" t="s">
        <v>438</v>
      </c>
      <c r="DH240" s="1" t="s">
        <v>252</v>
      </c>
      <c r="DJ240" s="1" t="s">
        <v>224</v>
      </c>
      <c r="DM240" s="1" t="s">
        <v>1005</v>
      </c>
      <c r="DN240" s="1" t="s">
        <v>227</v>
      </c>
      <c r="DO240" s="1" t="s">
        <v>934</v>
      </c>
      <c r="DP240" s="1" t="s">
        <v>347</v>
      </c>
      <c r="DR240" s="1" t="s">
        <v>317</v>
      </c>
      <c r="DS240" s="1" t="s">
        <v>219</v>
      </c>
      <c r="DT240" s="1" t="s">
        <v>438</v>
      </c>
      <c r="DU240" s="1" t="s">
        <v>252</v>
      </c>
      <c r="DV240" s="1" t="s">
        <v>757</v>
      </c>
      <c r="DW240" s="1" t="s">
        <v>43</v>
      </c>
      <c r="DX240" s="1" t="s">
        <v>220</v>
      </c>
      <c r="DZ240" s="1" t="s">
        <v>228</v>
      </c>
      <c r="EA240" s="1" t="s">
        <v>43</v>
      </c>
      <c r="EB240" s="1" t="s">
        <v>220</v>
      </c>
      <c r="ED240" s="1" t="s">
        <v>409</v>
      </c>
      <c r="EE240" s="1" t="s">
        <v>43</v>
      </c>
      <c r="EF240" s="1" t="s">
        <v>220</v>
      </c>
      <c r="EI240" s="1" t="s">
        <v>230</v>
      </c>
      <c r="EL240" s="1" t="s">
        <v>670</v>
      </c>
      <c r="EM240" s="1" t="s">
        <v>232</v>
      </c>
      <c r="EN240" s="1" t="s">
        <v>282</v>
      </c>
      <c r="EO240" s="1" t="s">
        <v>234</v>
      </c>
      <c r="EP240" s="1" t="s">
        <v>1268</v>
      </c>
      <c r="EQ240" s="1" t="s">
        <v>236</v>
      </c>
      <c r="ER240" s="1" t="s">
        <v>544</v>
      </c>
      <c r="ES240" s="1" t="s">
        <v>322</v>
      </c>
      <c r="EU240" s="1" t="s">
        <v>3670</v>
      </c>
      <c r="EV240" s="1" t="s">
        <v>324</v>
      </c>
      <c r="EW240" s="1" t="s">
        <v>286</v>
      </c>
      <c r="EY240" s="1" t="s">
        <v>242</v>
      </c>
      <c r="EZ240" s="1" t="s">
        <v>3836</v>
      </c>
      <c r="FA240" s="1" t="s">
        <v>3837</v>
      </c>
      <c r="FD240" s="1" t="s">
        <v>495</v>
      </c>
      <c r="FE240" s="1" t="s">
        <v>386</v>
      </c>
      <c r="FF240" s="1" t="s">
        <v>248</v>
      </c>
      <c r="FH240" s="1" t="s">
        <v>3838</v>
      </c>
      <c r="FI240" s="1" t="s">
        <v>250</v>
      </c>
      <c r="FJ240" s="1" t="s">
        <v>1179</v>
      </c>
      <c r="FL240" s="1" t="s">
        <v>358</v>
      </c>
      <c r="FM240" s="1" t="s">
        <v>252</v>
      </c>
      <c r="FN240" s="1" t="s">
        <v>213</v>
      </c>
      <c r="FO240" s="1" t="s">
        <v>213</v>
      </c>
      <c r="FQ240" s="1" t="s">
        <v>615</v>
      </c>
      <c r="FR240" s="1" t="s">
        <v>652</v>
      </c>
      <c r="FS240" s="1" t="s">
        <v>3839</v>
      </c>
      <c r="FT240" s="1" t="s">
        <v>362</v>
      </c>
      <c r="FU240" s="1" t="s">
        <v>204</v>
      </c>
      <c r="FW240" s="1" t="s">
        <v>256</v>
      </c>
      <c r="FX240" s="1">
        <v>25163</v>
      </c>
      <c r="FY240" s="1" t="s">
        <v>257</v>
      </c>
      <c r="FZ240" s="1" t="s">
        <v>3840</v>
      </c>
      <c r="GA240" s="1">
        <v>254153</v>
      </c>
      <c r="GB240" s="1" t="s">
        <v>3841</v>
      </c>
      <c r="GE240" s="1" t="s">
        <v>658</v>
      </c>
      <c r="GI240" s="1" t="s">
        <v>213</v>
      </c>
      <c r="GJ240" s="1" t="s">
        <v>260</v>
      </c>
      <c r="GK240" s="1" t="s">
        <v>210</v>
      </c>
      <c r="GL240" s="2">
        <v>42002</v>
      </c>
      <c r="GM240" s="1" t="s">
        <v>3842</v>
      </c>
    </row>
    <row r="241" spans="1:195">
      <c r="A241" s="1">
        <v>302290</v>
      </c>
      <c r="B241" s="1" t="s">
        <v>195</v>
      </c>
      <c r="C241" s="1" t="str">
        <f>"08772381"</f>
        <v>08772381</v>
      </c>
      <c r="D241" s="1" t="s">
        <v>196</v>
      </c>
      <c r="F241" s="1" t="str">
        <f t="shared" si="189"/>
        <v>540</v>
      </c>
      <c r="G241" s="2">
        <v>41953</v>
      </c>
      <c r="H241" s="1">
        <v>289990</v>
      </c>
      <c r="I241" s="1">
        <v>299990</v>
      </c>
      <c r="J241" s="1">
        <v>302290</v>
      </c>
      <c r="K241" s="2">
        <v>41953</v>
      </c>
      <c r="L241" s="1">
        <v>143</v>
      </c>
      <c r="M241" s="2">
        <v>42095</v>
      </c>
      <c r="N241" s="1">
        <v>143</v>
      </c>
      <c r="O241" s="2">
        <v>42095</v>
      </c>
      <c r="P241" s="1" t="s">
        <v>1039</v>
      </c>
      <c r="Q241" s="1" t="s">
        <v>197</v>
      </c>
      <c r="R241" s="2">
        <v>42130</v>
      </c>
      <c r="S241" s="1">
        <v>99999</v>
      </c>
      <c r="U241" s="1">
        <v>2831</v>
      </c>
      <c r="V241" s="1" t="s">
        <v>3843</v>
      </c>
      <c r="W241" s="1" t="s">
        <v>504</v>
      </c>
      <c r="Y241" s="1">
        <v>6</v>
      </c>
      <c r="Z241" s="1" t="s">
        <v>370</v>
      </c>
      <c r="AA241" s="1" t="s">
        <v>921</v>
      </c>
      <c r="AB241" s="1">
        <v>60540</v>
      </c>
      <c r="AD241" s="1" t="s">
        <v>3844</v>
      </c>
      <c r="AE241" s="1" t="s">
        <v>3845</v>
      </c>
      <c r="AF241" s="1">
        <v>2014</v>
      </c>
      <c r="AG241" s="1" t="s">
        <v>204</v>
      </c>
      <c r="AH241" s="1" t="s">
        <v>924</v>
      </c>
      <c r="AI241" s="1" t="s">
        <v>206</v>
      </c>
      <c r="AJ241" s="1" t="s">
        <v>924</v>
      </c>
      <c r="AK241" s="1" t="s">
        <v>3846</v>
      </c>
      <c r="AL241" s="1">
        <v>6</v>
      </c>
      <c r="AM241" s="1">
        <v>2</v>
      </c>
      <c r="AN241" s="1">
        <v>2</v>
      </c>
      <c r="AO241" s="1">
        <v>1</v>
      </c>
      <c r="AP241" s="1" t="s">
        <v>209</v>
      </c>
      <c r="AR241" s="1" t="s">
        <v>210</v>
      </c>
      <c r="AS241" s="1" t="s">
        <v>204</v>
      </c>
      <c r="AT241" s="1" t="s">
        <v>211</v>
      </c>
      <c r="AU241" s="1">
        <v>2</v>
      </c>
      <c r="AW241" s="1" t="s">
        <v>204</v>
      </c>
      <c r="AX241" s="1" t="s">
        <v>212</v>
      </c>
      <c r="AZ241" s="1" t="s">
        <v>751</v>
      </c>
      <c r="BA241" s="1">
        <v>2013</v>
      </c>
      <c r="BE241" s="1">
        <v>1881</v>
      </c>
      <c r="BF241" s="1">
        <v>3</v>
      </c>
      <c r="BG241" s="1">
        <v>0</v>
      </c>
      <c r="BL241" s="1">
        <v>210</v>
      </c>
      <c r="BM241" s="1" t="s">
        <v>204</v>
      </c>
      <c r="BN241" s="1" t="s">
        <v>213</v>
      </c>
      <c r="BO241" s="1">
        <v>0</v>
      </c>
      <c r="BP241" s="1" t="s">
        <v>213</v>
      </c>
      <c r="BQ241" s="2">
        <v>41713</v>
      </c>
      <c r="BR241" s="1" t="str">
        <f>"0727104038"</f>
        <v>0727104038</v>
      </c>
      <c r="BT241" s="1" t="s">
        <v>3847</v>
      </c>
      <c r="BU241" s="1" t="s">
        <v>2087</v>
      </c>
      <c r="BV241" s="1" t="s">
        <v>1248</v>
      </c>
      <c r="BW241" s="1" t="s">
        <v>1131</v>
      </c>
      <c r="BX241" s="1">
        <v>204</v>
      </c>
      <c r="BY241" s="1">
        <v>204</v>
      </c>
      <c r="BZ241" s="1">
        <v>204</v>
      </c>
      <c r="CB241" s="1" t="str">
        <f t="shared" ref="CB241:CC241" si="191">"0"</f>
        <v>0</v>
      </c>
      <c r="CC241" s="1" t="str">
        <f t="shared" si="191"/>
        <v>0</v>
      </c>
      <c r="CD241" s="1">
        <v>29</v>
      </c>
      <c r="CE241" s="1">
        <v>8</v>
      </c>
      <c r="CH241" s="1" t="s">
        <v>224</v>
      </c>
      <c r="CK241" s="1" t="s">
        <v>861</v>
      </c>
      <c r="CL241" s="1" t="s">
        <v>277</v>
      </c>
      <c r="CM241" s="1" t="s">
        <v>220</v>
      </c>
      <c r="CP241" s="1" t="s">
        <v>224</v>
      </c>
      <c r="CQ241" s="1" t="s">
        <v>229</v>
      </c>
      <c r="CS241" s="1" t="s">
        <v>932</v>
      </c>
      <c r="CT241" s="1" t="s">
        <v>277</v>
      </c>
      <c r="CU241" s="1" t="s">
        <v>220</v>
      </c>
      <c r="CX241" s="1" t="s">
        <v>224</v>
      </c>
      <c r="DB241" s="1" t="s">
        <v>224</v>
      </c>
      <c r="DE241" s="1" t="s">
        <v>223</v>
      </c>
      <c r="DF241" s="1" t="s">
        <v>219</v>
      </c>
      <c r="DG241" s="1" t="s">
        <v>229</v>
      </c>
      <c r="DJ241" s="1" t="s">
        <v>224</v>
      </c>
      <c r="DM241" s="1" t="s">
        <v>381</v>
      </c>
      <c r="DN241" s="1" t="s">
        <v>1676</v>
      </c>
      <c r="DO241" s="1" t="s">
        <v>464</v>
      </c>
      <c r="DP241" s="1" t="s">
        <v>1770</v>
      </c>
      <c r="DR241" s="1" t="s">
        <v>1297</v>
      </c>
      <c r="DS241" s="1" t="s">
        <v>219</v>
      </c>
      <c r="DT241" s="1" t="s">
        <v>229</v>
      </c>
      <c r="DV241" s="1" t="s">
        <v>628</v>
      </c>
      <c r="DW241" s="1" t="s">
        <v>219</v>
      </c>
      <c r="DX241" s="1" t="s">
        <v>229</v>
      </c>
      <c r="DZ241" s="1" t="s">
        <v>602</v>
      </c>
      <c r="EA241" s="1" t="s">
        <v>277</v>
      </c>
      <c r="EB241" s="1" t="s">
        <v>220</v>
      </c>
      <c r="ED241" s="1" t="s">
        <v>3848</v>
      </c>
      <c r="EE241" s="1" t="s">
        <v>277</v>
      </c>
      <c r="EF241" s="1" t="s">
        <v>342</v>
      </c>
      <c r="EI241" s="1" t="s">
        <v>230</v>
      </c>
      <c r="EL241" s="1" t="s">
        <v>1455</v>
      </c>
      <c r="EM241" s="1" t="s">
        <v>730</v>
      </c>
      <c r="EN241" s="1" t="s">
        <v>282</v>
      </c>
      <c r="EO241" s="1" t="s">
        <v>234</v>
      </c>
      <c r="EQ241" s="1" t="s">
        <v>3849</v>
      </c>
      <c r="ER241" s="1" t="s">
        <v>210</v>
      </c>
      <c r="ES241" s="1" t="s">
        <v>3850</v>
      </c>
      <c r="ET241" s="1" t="s">
        <v>866</v>
      </c>
      <c r="EW241" s="1" t="s">
        <v>3851</v>
      </c>
      <c r="EY241" s="1" t="s">
        <v>790</v>
      </c>
      <c r="EZ241" s="1" t="s">
        <v>3852</v>
      </c>
      <c r="FA241" s="1" t="s">
        <v>1270</v>
      </c>
      <c r="FC241" s="1" t="s">
        <v>1386</v>
      </c>
      <c r="FD241" s="1" t="s">
        <v>246</v>
      </c>
      <c r="FE241" s="1" t="s">
        <v>975</v>
      </c>
      <c r="FF241" s="1" t="s">
        <v>387</v>
      </c>
      <c r="FH241" s="1" t="s">
        <v>1428</v>
      </c>
      <c r="FJ241" s="1" t="s">
        <v>518</v>
      </c>
      <c r="FL241" s="1" t="s">
        <v>358</v>
      </c>
      <c r="FM241" s="1" t="s">
        <v>252</v>
      </c>
      <c r="FN241" s="1" t="s">
        <v>213</v>
      </c>
      <c r="FO241" s="1" t="s">
        <v>213</v>
      </c>
      <c r="FQ241" s="1" t="s">
        <v>3853</v>
      </c>
      <c r="FR241" s="1" t="s">
        <v>210</v>
      </c>
      <c r="FS241" s="1" t="s">
        <v>3854</v>
      </c>
      <c r="FT241" s="1" t="s">
        <v>3855</v>
      </c>
      <c r="FU241" s="1" t="s">
        <v>204</v>
      </c>
      <c r="FV241" s="1" t="s">
        <v>3856</v>
      </c>
      <c r="FW241" s="1" t="s">
        <v>3857</v>
      </c>
      <c r="FX241" s="1">
        <v>23223</v>
      </c>
      <c r="FY241" s="1" t="s">
        <v>3858</v>
      </c>
      <c r="FZ241" s="1" t="s">
        <v>3859</v>
      </c>
      <c r="GA241" s="1">
        <v>236300</v>
      </c>
      <c r="GC241" s="1">
        <v>210778</v>
      </c>
      <c r="GE241" s="1" t="s">
        <v>335</v>
      </c>
      <c r="GI241" s="1" t="s">
        <v>204</v>
      </c>
      <c r="GJ241" s="1" t="s">
        <v>300</v>
      </c>
      <c r="GK241" s="1" t="s">
        <v>210</v>
      </c>
      <c r="GL241" s="2">
        <v>42130</v>
      </c>
      <c r="GM241" s="1" t="s">
        <v>3860</v>
      </c>
    </row>
    <row r="242" spans="1:195">
      <c r="A242" s="1">
        <v>109900</v>
      </c>
      <c r="B242" s="1" t="s">
        <v>195</v>
      </c>
      <c r="C242" s="1" t="str">
        <f>"08785746"</f>
        <v>08785746</v>
      </c>
      <c r="D242" s="1" t="s">
        <v>196</v>
      </c>
      <c r="F242" s="1" t="str">
        <f>"126"</f>
        <v>126</v>
      </c>
      <c r="G242" s="2">
        <v>41956</v>
      </c>
      <c r="H242" s="1">
        <v>137500</v>
      </c>
      <c r="I242" s="1">
        <v>109900</v>
      </c>
      <c r="J242" s="1">
        <v>109900</v>
      </c>
      <c r="K242" s="2">
        <v>41956</v>
      </c>
      <c r="L242" s="1">
        <v>89</v>
      </c>
      <c r="M242" s="2">
        <v>42044</v>
      </c>
      <c r="N242" s="1">
        <v>89</v>
      </c>
      <c r="O242" s="2">
        <v>42044</v>
      </c>
      <c r="P242" s="1">
        <v>90370</v>
      </c>
      <c r="Q242" s="1" t="s">
        <v>302</v>
      </c>
      <c r="R242" s="2">
        <v>42062</v>
      </c>
      <c r="S242" s="1">
        <v>901514</v>
      </c>
      <c r="U242" s="1">
        <v>600</v>
      </c>
      <c r="V242" s="1" t="s">
        <v>3861</v>
      </c>
      <c r="W242" s="1" t="s">
        <v>1056</v>
      </c>
      <c r="X242" s="1">
        <v>201</v>
      </c>
      <c r="Y242" s="1">
        <v>12</v>
      </c>
      <c r="Z242" s="1" t="s">
        <v>249</v>
      </c>
      <c r="AA242" s="1" t="s">
        <v>3169</v>
      </c>
      <c r="AB242" s="1">
        <v>60126</v>
      </c>
      <c r="AE242" s="1" t="s">
        <v>3862</v>
      </c>
      <c r="AF242" s="1">
        <v>1968</v>
      </c>
      <c r="AG242" s="1" t="s">
        <v>213</v>
      </c>
      <c r="AH242" s="1" t="s">
        <v>882</v>
      </c>
      <c r="AI242" s="1" t="s">
        <v>206</v>
      </c>
      <c r="AJ242" s="1" t="s">
        <v>1608</v>
      </c>
      <c r="AL242" s="1">
        <v>4</v>
      </c>
      <c r="AM242" s="1">
        <v>2</v>
      </c>
      <c r="AN242" s="1">
        <v>1</v>
      </c>
      <c r="AO242" s="1">
        <v>0</v>
      </c>
      <c r="AP242" s="1" t="s">
        <v>210</v>
      </c>
      <c r="AR242" s="1" t="s">
        <v>210</v>
      </c>
      <c r="AS242" s="1" t="s">
        <v>204</v>
      </c>
      <c r="AT242" s="1" t="s">
        <v>271</v>
      </c>
      <c r="AV242" s="1">
        <v>2</v>
      </c>
      <c r="AW242" s="1" t="s">
        <v>204</v>
      </c>
      <c r="AX242" s="1" t="s">
        <v>212</v>
      </c>
      <c r="AZ242" s="1">
        <v>2030</v>
      </c>
      <c r="BA242" s="1">
        <v>2013</v>
      </c>
      <c r="BE242" s="1">
        <v>1000</v>
      </c>
      <c r="BF242" s="1">
        <v>2</v>
      </c>
      <c r="BG242" s="1">
        <v>30</v>
      </c>
      <c r="BL242" s="1">
        <v>225</v>
      </c>
      <c r="BM242" s="1" t="s">
        <v>204</v>
      </c>
      <c r="BN242" s="1" t="s">
        <v>213</v>
      </c>
      <c r="BO242" s="1">
        <v>40</v>
      </c>
      <c r="BP242" s="1" t="s">
        <v>204</v>
      </c>
      <c r="BR242" s="1" t="str">
        <f>"0613306005"</f>
        <v>0613306005</v>
      </c>
      <c r="BT242" s="1" t="s">
        <v>3863</v>
      </c>
      <c r="BX242" s="1">
        <v>205</v>
      </c>
      <c r="BY242" s="1">
        <v>205</v>
      </c>
      <c r="BZ242" s="1">
        <v>205</v>
      </c>
      <c r="CB242" s="1" t="str">
        <f t="shared" ref="CB242:CC242" si="192">"0"</f>
        <v>0</v>
      </c>
      <c r="CC242" s="1" t="str">
        <f t="shared" si="192"/>
        <v>0</v>
      </c>
      <c r="CD242" s="1">
        <v>15</v>
      </c>
      <c r="CE242" s="1">
        <v>0</v>
      </c>
      <c r="CG242" s="1" t="s">
        <v>377</v>
      </c>
      <c r="CH242" s="1" t="s">
        <v>219</v>
      </c>
      <c r="CI242" s="1" t="s">
        <v>347</v>
      </c>
      <c r="CJ242" s="1" t="s">
        <v>210</v>
      </c>
      <c r="CK242" s="1" t="s">
        <v>539</v>
      </c>
      <c r="CL242" s="1" t="s">
        <v>219</v>
      </c>
      <c r="CM242" s="1" t="s">
        <v>347</v>
      </c>
      <c r="CN242" s="1" t="s">
        <v>210</v>
      </c>
      <c r="CP242" s="1" t="s">
        <v>224</v>
      </c>
      <c r="CS242" s="1" t="s">
        <v>465</v>
      </c>
      <c r="CT242" s="1" t="s">
        <v>219</v>
      </c>
      <c r="CU242" s="1" t="s">
        <v>347</v>
      </c>
      <c r="CV242" s="1" t="s">
        <v>210</v>
      </c>
      <c r="CX242" s="1" t="s">
        <v>224</v>
      </c>
      <c r="DB242" s="1" t="s">
        <v>224</v>
      </c>
      <c r="DE242" s="1" t="s">
        <v>786</v>
      </c>
      <c r="DF242" s="1" t="s">
        <v>219</v>
      </c>
      <c r="DG242" s="1" t="s">
        <v>347</v>
      </c>
      <c r="DH242" s="1" t="s">
        <v>210</v>
      </c>
      <c r="DJ242" s="1" t="s">
        <v>224</v>
      </c>
      <c r="DS242" s="1" t="s">
        <v>230</v>
      </c>
      <c r="DW242" s="1" t="s">
        <v>230</v>
      </c>
      <c r="EA242" s="1" t="s">
        <v>230</v>
      </c>
      <c r="EE242" s="1" t="s">
        <v>230</v>
      </c>
      <c r="EI242" s="1" t="s">
        <v>230</v>
      </c>
      <c r="EL242" s="1" t="s">
        <v>605</v>
      </c>
      <c r="EM242" s="1" t="s">
        <v>232</v>
      </c>
      <c r="EN242" s="1" t="s">
        <v>731</v>
      </c>
      <c r="EO242" s="1" t="s">
        <v>234</v>
      </c>
      <c r="EP242" s="1" t="s">
        <v>3864</v>
      </c>
      <c r="ER242" s="1" t="s">
        <v>210</v>
      </c>
      <c r="EW242" s="1" t="s">
        <v>937</v>
      </c>
      <c r="EZ242" s="1" t="s">
        <v>287</v>
      </c>
      <c r="FD242" s="1" t="s">
        <v>888</v>
      </c>
      <c r="FE242" s="1" t="s">
        <v>247</v>
      </c>
      <c r="FF242" s="1" t="s">
        <v>248</v>
      </c>
      <c r="FH242" s="1" t="s">
        <v>249</v>
      </c>
      <c r="FJ242" s="1" t="s">
        <v>1472</v>
      </c>
      <c r="FK242" s="1" t="s">
        <v>291</v>
      </c>
      <c r="FL242" s="1" t="s">
        <v>3865</v>
      </c>
      <c r="FM242" s="1" t="s">
        <v>252</v>
      </c>
      <c r="FN242" s="1" t="s">
        <v>213</v>
      </c>
      <c r="FO242" s="1" t="s">
        <v>213</v>
      </c>
      <c r="FQ242" s="1" t="s">
        <v>2417</v>
      </c>
      <c r="FR242" s="1" t="s">
        <v>210</v>
      </c>
      <c r="FS242" s="1" t="s">
        <v>3352</v>
      </c>
      <c r="FT242" s="1" t="s">
        <v>295</v>
      </c>
      <c r="FU242" s="1" t="s">
        <v>204</v>
      </c>
      <c r="FW242" s="1" t="s">
        <v>3353</v>
      </c>
      <c r="FX242" s="1">
        <v>8658</v>
      </c>
      <c r="FY242" s="1" t="s">
        <v>3354</v>
      </c>
      <c r="FZ242" s="1" t="s">
        <v>3355</v>
      </c>
      <c r="GA242" s="1">
        <v>84760</v>
      </c>
      <c r="GB242" s="1" t="s">
        <v>3354</v>
      </c>
      <c r="GD242" s="1" t="s">
        <v>3356</v>
      </c>
      <c r="GE242" s="1" t="s">
        <v>210</v>
      </c>
      <c r="GI242" s="1" t="s">
        <v>213</v>
      </c>
      <c r="GJ242" s="1" t="s">
        <v>260</v>
      </c>
      <c r="GK242" s="1" t="s">
        <v>210</v>
      </c>
      <c r="GL242" s="2">
        <v>42072</v>
      </c>
      <c r="GM242" s="1" t="s">
        <v>3866</v>
      </c>
    </row>
    <row r="243" spans="1:195">
      <c r="A243" s="1">
        <v>174000</v>
      </c>
      <c r="B243" s="1" t="s">
        <v>195</v>
      </c>
      <c r="C243" s="1" t="str">
        <f>"08798841"</f>
        <v>08798841</v>
      </c>
      <c r="D243" s="1" t="s">
        <v>196</v>
      </c>
      <c r="F243" s="1" t="str">
        <f>"190"</f>
        <v>190</v>
      </c>
      <c r="G243" s="2">
        <v>41981</v>
      </c>
      <c r="H243" s="1">
        <v>188000</v>
      </c>
      <c r="I243" s="1">
        <v>188000</v>
      </c>
      <c r="J243" s="1">
        <v>174000</v>
      </c>
      <c r="K243" s="2">
        <v>41981</v>
      </c>
      <c r="L243" s="1">
        <v>39</v>
      </c>
      <c r="M243" s="2">
        <v>42019</v>
      </c>
      <c r="N243" s="1">
        <v>39</v>
      </c>
      <c r="O243" s="2">
        <v>42019</v>
      </c>
      <c r="P243" s="1">
        <v>22010</v>
      </c>
      <c r="Q243" s="1" t="s">
        <v>197</v>
      </c>
      <c r="R243" s="2">
        <v>42079</v>
      </c>
      <c r="S243" s="1">
        <v>241535</v>
      </c>
      <c r="U243" s="1" t="s">
        <v>3867</v>
      </c>
      <c r="V243" s="1" t="s">
        <v>3868</v>
      </c>
      <c r="W243" s="1" t="s">
        <v>304</v>
      </c>
      <c r="Y243" s="1">
        <v>4</v>
      </c>
      <c r="Z243" s="1" t="s">
        <v>249</v>
      </c>
      <c r="AA243" s="1" t="s">
        <v>1915</v>
      </c>
      <c r="AB243" s="1">
        <v>60190</v>
      </c>
      <c r="AD243" s="1" t="s">
        <v>3869</v>
      </c>
      <c r="AE243" s="1" t="s">
        <v>3870</v>
      </c>
      <c r="AF243" s="1">
        <v>1987</v>
      </c>
      <c r="AG243" s="1" t="s">
        <v>204</v>
      </c>
      <c r="AH243" s="1" t="s">
        <v>987</v>
      </c>
      <c r="AI243" s="1" t="s">
        <v>206</v>
      </c>
      <c r="AJ243" s="1" t="s">
        <v>987</v>
      </c>
      <c r="AL243" s="1">
        <v>7</v>
      </c>
      <c r="AM243" s="1">
        <v>2</v>
      </c>
      <c r="AN243" s="1">
        <v>1</v>
      </c>
      <c r="AO243" s="1">
        <v>1</v>
      </c>
      <c r="AP243" s="1" t="s">
        <v>667</v>
      </c>
      <c r="AQ243" s="1">
        <v>1</v>
      </c>
      <c r="AR243" s="1" t="s">
        <v>209</v>
      </c>
      <c r="AS243" s="1" t="s">
        <v>204</v>
      </c>
      <c r="AT243" s="1" t="s">
        <v>211</v>
      </c>
      <c r="AU243" s="1">
        <v>2</v>
      </c>
      <c r="AW243" s="1" t="s">
        <v>204</v>
      </c>
      <c r="AX243" s="1" t="s">
        <v>212</v>
      </c>
      <c r="AZ243" s="1">
        <v>4218.8599999999997</v>
      </c>
      <c r="BA243" s="1">
        <v>2013</v>
      </c>
      <c r="BB243" s="1" t="s">
        <v>405</v>
      </c>
      <c r="BE243" s="1">
        <v>1500</v>
      </c>
      <c r="BF243" s="1">
        <v>1</v>
      </c>
      <c r="BG243" s="1">
        <v>0</v>
      </c>
      <c r="BL243" s="1">
        <v>291</v>
      </c>
      <c r="BM243" s="1" t="s">
        <v>204</v>
      </c>
      <c r="BN243" s="1" t="s">
        <v>213</v>
      </c>
      <c r="BO243" s="1">
        <v>999</v>
      </c>
      <c r="BP243" s="1" t="s">
        <v>204</v>
      </c>
      <c r="BR243" s="1" t="str">
        <f>"0413427062"</f>
        <v>0413427062</v>
      </c>
      <c r="BT243" s="1" t="s">
        <v>3871</v>
      </c>
      <c r="BU243" s="1" t="s">
        <v>3162</v>
      </c>
      <c r="BV243" s="1" t="s">
        <v>3163</v>
      </c>
      <c r="BW243" s="1" t="s">
        <v>1675</v>
      </c>
      <c r="BX243" s="1">
        <v>34</v>
      </c>
      <c r="BY243" s="1">
        <v>34</v>
      </c>
      <c r="BZ243" s="1">
        <v>94</v>
      </c>
      <c r="CB243" s="1" t="str">
        <f t="shared" ref="CB243:CC243" si="193">"0"</f>
        <v>0</v>
      </c>
      <c r="CC243" s="1" t="str">
        <f t="shared" si="193"/>
        <v>0</v>
      </c>
      <c r="CD243" s="1">
        <v>27</v>
      </c>
      <c r="CE243" s="1">
        <v>0</v>
      </c>
      <c r="CG243" s="1" t="s">
        <v>228</v>
      </c>
      <c r="CH243" s="1" t="s">
        <v>219</v>
      </c>
      <c r="CI243" s="1" t="s">
        <v>438</v>
      </c>
      <c r="CJ243" s="1" t="s">
        <v>343</v>
      </c>
      <c r="CK243" s="1" t="s">
        <v>729</v>
      </c>
      <c r="CL243" s="1" t="s">
        <v>277</v>
      </c>
      <c r="CM243" s="1" t="s">
        <v>220</v>
      </c>
      <c r="CN243" s="1" t="s">
        <v>463</v>
      </c>
      <c r="CO243" s="1" t="s">
        <v>378</v>
      </c>
      <c r="CP243" s="1" t="s">
        <v>219</v>
      </c>
      <c r="CQ243" s="1" t="s">
        <v>438</v>
      </c>
      <c r="CR243" s="1" t="s">
        <v>210</v>
      </c>
      <c r="CS243" s="1" t="s">
        <v>461</v>
      </c>
      <c r="CT243" s="1" t="s">
        <v>277</v>
      </c>
      <c r="CU243" s="1" t="s">
        <v>220</v>
      </c>
      <c r="CV243" s="1" t="s">
        <v>463</v>
      </c>
      <c r="CX243" s="1" t="s">
        <v>224</v>
      </c>
      <c r="DB243" s="1" t="s">
        <v>224</v>
      </c>
      <c r="DE243" s="1" t="s">
        <v>317</v>
      </c>
      <c r="DF243" s="1" t="s">
        <v>219</v>
      </c>
      <c r="DG243" s="1" t="s">
        <v>226</v>
      </c>
      <c r="DH243" s="1" t="s">
        <v>210</v>
      </c>
      <c r="DJ243" s="1" t="s">
        <v>224</v>
      </c>
      <c r="DM243" s="1" t="s">
        <v>464</v>
      </c>
      <c r="DN243" s="1" t="s">
        <v>934</v>
      </c>
      <c r="DR243" s="1" t="s">
        <v>3872</v>
      </c>
      <c r="DS243" s="1" t="s">
        <v>277</v>
      </c>
      <c r="DT243" s="1" t="s">
        <v>220</v>
      </c>
      <c r="DU243" s="1" t="s">
        <v>210</v>
      </c>
      <c r="DV243" s="1" t="s">
        <v>3873</v>
      </c>
      <c r="DW243" s="1" t="s">
        <v>43</v>
      </c>
      <c r="DX243" s="1" t="s">
        <v>342</v>
      </c>
      <c r="DY243" s="1" t="s">
        <v>210</v>
      </c>
      <c r="EA243" s="1" t="s">
        <v>230</v>
      </c>
      <c r="EE243" s="1" t="s">
        <v>230</v>
      </c>
      <c r="EI243" s="1" t="s">
        <v>230</v>
      </c>
      <c r="EL243" s="1" t="s">
        <v>542</v>
      </c>
      <c r="EM243" s="1" t="s">
        <v>232</v>
      </c>
      <c r="EN243" s="1" t="s">
        <v>282</v>
      </c>
      <c r="EO243" s="1" t="s">
        <v>1020</v>
      </c>
      <c r="EP243" s="1" t="s">
        <v>3874</v>
      </c>
      <c r="EQ243" s="1" t="s">
        <v>1094</v>
      </c>
      <c r="ER243" s="1" t="s">
        <v>544</v>
      </c>
      <c r="ES243" s="1" t="s">
        <v>954</v>
      </c>
      <c r="ET243" s="1" t="s">
        <v>238</v>
      </c>
      <c r="EU243" s="1" t="s">
        <v>1202</v>
      </c>
      <c r="EV243" s="1" t="s">
        <v>324</v>
      </c>
      <c r="EW243" s="1" t="s">
        <v>353</v>
      </c>
      <c r="EY243" s="1" t="s">
        <v>790</v>
      </c>
      <c r="EZ243" s="1" t="s">
        <v>3875</v>
      </c>
      <c r="FA243" s="1" t="s">
        <v>3876</v>
      </c>
      <c r="FB243" s="1" t="s">
        <v>289</v>
      </c>
      <c r="FC243" s="1" t="s">
        <v>633</v>
      </c>
      <c r="FD243" s="1" t="s">
        <v>290</v>
      </c>
      <c r="FE243" s="1" t="s">
        <v>1031</v>
      </c>
      <c r="FF243" s="1" t="s">
        <v>248</v>
      </c>
      <c r="FG243" s="1" t="s">
        <v>912</v>
      </c>
      <c r="FH243" s="1" t="s">
        <v>940</v>
      </c>
      <c r="FI243" s="1" t="s">
        <v>473</v>
      </c>
      <c r="FJ243" s="1" t="s">
        <v>3877</v>
      </c>
      <c r="FL243" s="1" t="s">
        <v>358</v>
      </c>
      <c r="FM243" s="1" t="s">
        <v>252</v>
      </c>
      <c r="FN243" s="1" t="s">
        <v>213</v>
      </c>
      <c r="FO243" s="1" t="s">
        <v>213</v>
      </c>
      <c r="FQ243" s="1" t="s">
        <v>3878</v>
      </c>
      <c r="FR243" s="1" t="s">
        <v>210</v>
      </c>
      <c r="FS243" s="1" t="s">
        <v>3879</v>
      </c>
      <c r="FT243" s="1" t="s">
        <v>295</v>
      </c>
      <c r="FU243" s="1" t="s">
        <v>213</v>
      </c>
      <c r="FW243" s="1" t="s">
        <v>3880</v>
      </c>
      <c r="FX243" s="1">
        <v>21588</v>
      </c>
      <c r="FY243" s="1" t="s">
        <v>3881</v>
      </c>
      <c r="FZ243" s="1" t="s">
        <v>3882</v>
      </c>
      <c r="GA243" s="1">
        <v>216606</v>
      </c>
      <c r="GE243" s="1" t="s">
        <v>210</v>
      </c>
      <c r="GI243" s="1" t="s">
        <v>213</v>
      </c>
      <c r="GJ243" s="1" t="s">
        <v>260</v>
      </c>
      <c r="GK243" s="1" t="s">
        <v>210</v>
      </c>
      <c r="GL243" s="2">
        <v>42079</v>
      </c>
    </row>
    <row r="244" spans="1:195">
      <c r="A244" s="1">
        <v>127000</v>
      </c>
      <c r="B244" s="1" t="s">
        <v>195</v>
      </c>
      <c r="C244" s="1" t="str">
        <f>"08774605"</f>
        <v>08774605</v>
      </c>
      <c r="D244" s="1" t="s">
        <v>196</v>
      </c>
      <c r="F244" s="1" t="str">
        <f>"507"</f>
        <v>507</v>
      </c>
      <c r="G244" s="2">
        <v>41955</v>
      </c>
      <c r="H244" s="1">
        <v>139800</v>
      </c>
      <c r="I244" s="1">
        <v>139800</v>
      </c>
      <c r="J244" s="1">
        <v>127000</v>
      </c>
      <c r="K244" s="2">
        <v>41955</v>
      </c>
      <c r="L244" s="1">
        <v>53</v>
      </c>
      <c r="M244" s="2">
        <v>42007</v>
      </c>
      <c r="N244" s="1">
        <v>53</v>
      </c>
      <c r="O244" s="2">
        <v>42007</v>
      </c>
      <c r="P244" s="1">
        <v>23076</v>
      </c>
      <c r="Q244" s="1" t="s">
        <v>197</v>
      </c>
      <c r="R244" s="2">
        <v>42034</v>
      </c>
      <c r="S244" s="1">
        <v>242011</v>
      </c>
      <c r="U244" s="1">
        <v>2592</v>
      </c>
      <c r="V244" s="1" t="s">
        <v>3883</v>
      </c>
      <c r="W244" s="1" t="s">
        <v>199</v>
      </c>
      <c r="Y244" s="1">
        <v>6</v>
      </c>
      <c r="Z244" s="1" t="s">
        <v>370</v>
      </c>
      <c r="AA244" s="1" t="s">
        <v>1123</v>
      </c>
      <c r="AB244" s="1">
        <v>60503</v>
      </c>
      <c r="AD244" s="1" t="s">
        <v>3884</v>
      </c>
      <c r="AE244" s="1" t="s">
        <v>3885</v>
      </c>
      <c r="AF244" s="1">
        <v>2002</v>
      </c>
      <c r="AG244" s="1" t="s">
        <v>204</v>
      </c>
      <c r="AH244" s="1" t="s">
        <v>1126</v>
      </c>
      <c r="AI244" s="1" t="s">
        <v>1800</v>
      </c>
      <c r="AJ244" s="1" t="s">
        <v>1801</v>
      </c>
      <c r="AK244" s="1" t="s">
        <v>3886</v>
      </c>
      <c r="AL244" s="1">
        <v>6</v>
      </c>
      <c r="AM244" s="1">
        <v>2</v>
      </c>
      <c r="AN244" s="1">
        <v>1</v>
      </c>
      <c r="AO244" s="1">
        <v>1</v>
      </c>
      <c r="AP244" s="1" t="s">
        <v>667</v>
      </c>
      <c r="AQ244" s="1">
        <v>1</v>
      </c>
      <c r="AR244" s="1" t="s">
        <v>210</v>
      </c>
      <c r="AS244" s="1" t="s">
        <v>204</v>
      </c>
      <c r="AT244" s="1" t="s">
        <v>211</v>
      </c>
      <c r="AU244" s="1">
        <v>2</v>
      </c>
      <c r="AW244" s="1" t="s">
        <v>204</v>
      </c>
      <c r="AX244" s="1" t="s">
        <v>212</v>
      </c>
      <c r="AZ244" s="1">
        <v>4357</v>
      </c>
      <c r="BA244" s="1">
        <v>2013</v>
      </c>
      <c r="BB244" s="1" t="s">
        <v>2694</v>
      </c>
      <c r="BE244" s="1">
        <v>1482</v>
      </c>
      <c r="BF244" s="1">
        <v>1</v>
      </c>
      <c r="BG244" s="1">
        <v>0</v>
      </c>
      <c r="BL244" s="1">
        <v>179</v>
      </c>
      <c r="BM244" s="1" t="s">
        <v>413</v>
      </c>
      <c r="BN244" s="1" t="s">
        <v>213</v>
      </c>
      <c r="BO244" s="1">
        <v>999</v>
      </c>
      <c r="BP244" s="1" t="s">
        <v>204</v>
      </c>
      <c r="BR244" s="1" t="str">
        <f>"01064100441006"</f>
        <v>01064100441006</v>
      </c>
      <c r="BT244" s="1" t="s">
        <v>3887</v>
      </c>
      <c r="BX244" s="1">
        <v>308</v>
      </c>
      <c r="BY244" s="1">
        <v>308</v>
      </c>
      <c r="BZ244" s="1">
        <v>308</v>
      </c>
      <c r="CB244" s="1" t="str">
        <f t="shared" ref="CB244:CC244" si="194">""</f>
        <v/>
      </c>
      <c r="CC244" s="1" t="str">
        <f t="shared" si="194"/>
        <v/>
      </c>
      <c r="CD244" s="1">
        <v>32</v>
      </c>
      <c r="CE244" s="1">
        <v>10</v>
      </c>
      <c r="CG244" s="1" t="s">
        <v>278</v>
      </c>
      <c r="CH244" s="1" t="s">
        <v>219</v>
      </c>
      <c r="CI244" s="1" t="s">
        <v>438</v>
      </c>
      <c r="CJ244" s="1" t="s">
        <v>343</v>
      </c>
      <c r="CK244" s="1" t="s">
        <v>315</v>
      </c>
      <c r="CL244" s="1" t="s">
        <v>277</v>
      </c>
      <c r="CM244" s="1" t="s">
        <v>220</v>
      </c>
      <c r="CN244" s="1" t="s">
        <v>343</v>
      </c>
      <c r="CO244" s="1" t="s">
        <v>379</v>
      </c>
      <c r="CP244" s="1" t="s">
        <v>219</v>
      </c>
      <c r="CQ244" s="1" t="s">
        <v>438</v>
      </c>
      <c r="CR244" s="1" t="s">
        <v>343</v>
      </c>
      <c r="CS244" s="1" t="s">
        <v>1046</v>
      </c>
      <c r="CT244" s="1" t="s">
        <v>277</v>
      </c>
      <c r="CU244" s="1" t="s">
        <v>220</v>
      </c>
      <c r="CV244" s="1" t="s">
        <v>343</v>
      </c>
      <c r="CX244" s="1" t="s">
        <v>224</v>
      </c>
      <c r="DB244" s="1" t="s">
        <v>224</v>
      </c>
      <c r="DE244" s="1" t="s">
        <v>3888</v>
      </c>
      <c r="DF244" s="1" t="s">
        <v>219</v>
      </c>
      <c r="DG244" s="1" t="s">
        <v>438</v>
      </c>
      <c r="DJ244" s="1" t="s">
        <v>224</v>
      </c>
      <c r="DM244" s="1" t="s">
        <v>464</v>
      </c>
      <c r="DR244" s="1" t="s">
        <v>3888</v>
      </c>
      <c r="DS244" s="1" t="s">
        <v>277</v>
      </c>
      <c r="DT244" s="1" t="s">
        <v>220</v>
      </c>
      <c r="DU244" s="1" t="s">
        <v>343</v>
      </c>
      <c r="DW244" s="1" t="s">
        <v>230</v>
      </c>
      <c r="EA244" s="1" t="s">
        <v>230</v>
      </c>
      <c r="EE244" s="1" t="s">
        <v>230</v>
      </c>
      <c r="EI244" s="1" t="s">
        <v>230</v>
      </c>
      <c r="EL244" s="1" t="s">
        <v>466</v>
      </c>
      <c r="EM244" s="1" t="s">
        <v>319</v>
      </c>
      <c r="EN244" s="1" t="s">
        <v>282</v>
      </c>
      <c r="EO244" s="1" t="s">
        <v>234</v>
      </c>
      <c r="EQ244" s="1" t="s">
        <v>953</v>
      </c>
      <c r="ER244" s="1" t="s">
        <v>383</v>
      </c>
      <c r="ES244" s="1" t="s">
        <v>322</v>
      </c>
      <c r="ET244" s="1" t="s">
        <v>842</v>
      </c>
      <c r="EV244" s="1" t="s">
        <v>324</v>
      </c>
      <c r="EW244" s="1" t="s">
        <v>353</v>
      </c>
      <c r="EY244" s="1" t="s">
        <v>242</v>
      </c>
      <c r="EZ244" s="1" t="s">
        <v>464</v>
      </c>
      <c r="FA244" s="1" t="s">
        <v>672</v>
      </c>
      <c r="FB244" s="1" t="s">
        <v>289</v>
      </c>
      <c r="FD244" s="1" t="s">
        <v>246</v>
      </c>
      <c r="FE244" s="1" t="s">
        <v>1031</v>
      </c>
      <c r="FF244" s="1" t="s">
        <v>387</v>
      </c>
      <c r="FG244" s="1" t="s">
        <v>912</v>
      </c>
      <c r="FH244" s="1" t="s">
        <v>550</v>
      </c>
      <c r="FI244" s="1" t="s">
        <v>473</v>
      </c>
      <c r="FL244" s="1" t="s">
        <v>358</v>
      </c>
      <c r="FM244" s="1" t="s">
        <v>252</v>
      </c>
      <c r="FN244" s="1" t="s">
        <v>213</v>
      </c>
      <c r="FO244" s="1" t="s">
        <v>213</v>
      </c>
      <c r="FQ244" s="1" t="s">
        <v>1032</v>
      </c>
      <c r="FR244" s="1" t="s">
        <v>210</v>
      </c>
      <c r="FS244" s="1" t="s">
        <v>3889</v>
      </c>
      <c r="FT244" s="1" t="s">
        <v>2589</v>
      </c>
      <c r="FU244" s="1" t="s">
        <v>213</v>
      </c>
      <c r="FW244" s="1" t="s">
        <v>3890</v>
      </c>
      <c r="FX244" s="1">
        <v>21927</v>
      </c>
      <c r="FY244" s="1" t="s">
        <v>3891</v>
      </c>
      <c r="FZ244" s="1" t="s">
        <v>3892</v>
      </c>
      <c r="GA244" s="1">
        <v>220029</v>
      </c>
      <c r="GB244" s="1" t="s">
        <v>3893</v>
      </c>
      <c r="GE244" s="1" t="s">
        <v>1256</v>
      </c>
      <c r="GI244" s="1" t="s">
        <v>213</v>
      </c>
      <c r="GJ244" s="1" t="s">
        <v>260</v>
      </c>
      <c r="GK244" s="1" t="s">
        <v>210</v>
      </c>
      <c r="GL244" s="2">
        <v>42034</v>
      </c>
      <c r="GM244" s="1" t="s">
        <v>3894</v>
      </c>
    </row>
    <row r="245" spans="1:195">
      <c r="A245" s="1">
        <v>250000</v>
      </c>
      <c r="B245" s="1" t="s">
        <v>195</v>
      </c>
      <c r="C245" s="1" t="str">
        <f>"08772185"</f>
        <v>08772185</v>
      </c>
      <c r="D245" s="1" t="s">
        <v>196</v>
      </c>
      <c r="F245" s="1" t="str">
        <f>"61"</f>
        <v>61</v>
      </c>
      <c r="G245" s="2">
        <v>41952</v>
      </c>
      <c r="H245" s="1">
        <v>269900</v>
      </c>
      <c r="I245" s="1">
        <v>264900</v>
      </c>
      <c r="J245" s="1">
        <v>250000</v>
      </c>
      <c r="K245" s="2">
        <v>41952</v>
      </c>
      <c r="L245" s="1">
        <v>226</v>
      </c>
      <c r="M245" s="2">
        <v>42062</v>
      </c>
      <c r="N245" s="1">
        <v>111</v>
      </c>
      <c r="O245" s="2">
        <v>42062</v>
      </c>
      <c r="P245" s="1">
        <v>6074</v>
      </c>
      <c r="Q245" s="1" t="s">
        <v>197</v>
      </c>
      <c r="R245" s="2">
        <v>42109</v>
      </c>
      <c r="S245" s="1">
        <v>32046</v>
      </c>
      <c r="U245" s="1">
        <v>223</v>
      </c>
      <c r="V245" s="1" t="s">
        <v>3895</v>
      </c>
      <c r="W245" s="1" t="s">
        <v>449</v>
      </c>
      <c r="X245" s="1">
        <v>223</v>
      </c>
      <c r="Y245" s="1">
        <v>4</v>
      </c>
      <c r="Z245" s="1" t="s">
        <v>370</v>
      </c>
      <c r="AA245" s="1" t="s">
        <v>505</v>
      </c>
      <c r="AB245" s="1">
        <v>60061</v>
      </c>
      <c r="AD245" s="1" t="s">
        <v>3895</v>
      </c>
      <c r="AE245" s="1" t="s">
        <v>3896</v>
      </c>
      <c r="AF245" s="1">
        <v>2003</v>
      </c>
      <c r="AG245" s="1" t="s">
        <v>204</v>
      </c>
      <c r="AH245" s="1" t="s">
        <v>508</v>
      </c>
      <c r="AI245" s="1" t="s">
        <v>509</v>
      </c>
      <c r="AJ245" s="1" t="s">
        <v>1693</v>
      </c>
      <c r="AK245" s="1" t="s">
        <v>3897</v>
      </c>
      <c r="AL245" s="1">
        <v>6</v>
      </c>
      <c r="AM245" s="1">
        <v>2</v>
      </c>
      <c r="AN245" s="1">
        <v>2</v>
      </c>
      <c r="AO245" s="1">
        <v>0</v>
      </c>
      <c r="AP245" s="1" t="s">
        <v>209</v>
      </c>
      <c r="AQ245" s="1">
        <v>1</v>
      </c>
      <c r="AR245" s="1" t="s">
        <v>210</v>
      </c>
      <c r="AS245" s="1" t="s">
        <v>204</v>
      </c>
      <c r="AT245" s="1" t="s">
        <v>211</v>
      </c>
      <c r="AU245" s="1">
        <v>2</v>
      </c>
      <c r="AW245" s="1" t="s">
        <v>204</v>
      </c>
      <c r="AX245" s="1" t="s">
        <v>212</v>
      </c>
      <c r="AZ245" s="1">
        <v>6823</v>
      </c>
      <c r="BA245" s="1">
        <v>2013</v>
      </c>
      <c r="BB245" s="1" t="s">
        <v>210</v>
      </c>
      <c r="BE245" s="1">
        <v>1640</v>
      </c>
      <c r="BF245" s="1">
        <v>1</v>
      </c>
      <c r="BG245" s="1">
        <v>0</v>
      </c>
      <c r="BL245" s="1">
        <v>274</v>
      </c>
      <c r="BM245" s="1" t="s">
        <v>204</v>
      </c>
      <c r="BN245" s="1" t="s">
        <v>213</v>
      </c>
      <c r="BO245" s="1" t="s">
        <v>3898</v>
      </c>
      <c r="BP245" s="1" t="s">
        <v>204</v>
      </c>
      <c r="BR245" s="1" t="str">
        <f>"11292011340000"</f>
        <v>11292011340000</v>
      </c>
      <c r="BT245" s="1" t="s">
        <v>3899</v>
      </c>
      <c r="BU245" s="1" t="s">
        <v>1879</v>
      </c>
      <c r="BV245" s="1" t="s">
        <v>1880</v>
      </c>
      <c r="BW245" s="1" t="s">
        <v>514</v>
      </c>
      <c r="BX245" s="1">
        <v>73</v>
      </c>
      <c r="BY245" s="1">
        <v>73</v>
      </c>
      <c r="BZ245" s="1">
        <v>128</v>
      </c>
      <c r="CB245" s="1" t="str">
        <f>"26"</f>
        <v>26</v>
      </c>
      <c r="CC245" s="1" t="str">
        <f>""</f>
        <v/>
      </c>
      <c r="CD245" s="1">
        <v>16</v>
      </c>
      <c r="CG245" s="1" t="s">
        <v>3900</v>
      </c>
      <c r="CH245" s="1" t="s">
        <v>219</v>
      </c>
      <c r="CI245" s="1" t="s">
        <v>438</v>
      </c>
      <c r="CJ245" s="1" t="s">
        <v>343</v>
      </c>
      <c r="CK245" s="1" t="s">
        <v>315</v>
      </c>
      <c r="CL245" s="1" t="s">
        <v>219</v>
      </c>
      <c r="CM245" s="1" t="s">
        <v>220</v>
      </c>
      <c r="CN245" s="1" t="s">
        <v>343</v>
      </c>
      <c r="CO245" s="1" t="s">
        <v>629</v>
      </c>
      <c r="CP245" s="1" t="s">
        <v>219</v>
      </c>
      <c r="CQ245" s="1" t="s">
        <v>226</v>
      </c>
      <c r="CR245" s="1" t="s">
        <v>343</v>
      </c>
      <c r="CS245" s="1" t="s">
        <v>1297</v>
      </c>
      <c r="CT245" s="1" t="s">
        <v>219</v>
      </c>
      <c r="CU245" s="1" t="s">
        <v>220</v>
      </c>
      <c r="CV245" s="1" t="s">
        <v>343</v>
      </c>
      <c r="CX245" s="1" t="s">
        <v>224</v>
      </c>
      <c r="DB245" s="1" t="s">
        <v>224</v>
      </c>
      <c r="DE245" s="1" t="s">
        <v>221</v>
      </c>
      <c r="DF245" s="1" t="s">
        <v>219</v>
      </c>
      <c r="DG245" s="1" t="s">
        <v>226</v>
      </c>
      <c r="DH245" s="1" t="s">
        <v>343</v>
      </c>
      <c r="DI245" s="1" t="s">
        <v>278</v>
      </c>
      <c r="DJ245" s="1" t="s">
        <v>219</v>
      </c>
      <c r="DK245" s="1" t="s">
        <v>226</v>
      </c>
      <c r="DL245" s="1" t="s">
        <v>343</v>
      </c>
      <c r="DS245" s="1" t="s">
        <v>230</v>
      </c>
      <c r="DW245" s="1" t="s">
        <v>230</v>
      </c>
      <c r="EA245" s="1" t="s">
        <v>230</v>
      </c>
      <c r="EE245" s="1" t="s">
        <v>230</v>
      </c>
      <c r="EI245" s="1" t="s">
        <v>230</v>
      </c>
      <c r="EL245" s="1" t="s">
        <v>466</v>
      </c>
      <c r="EM245" s="1" t="s">
        <v>232</v>
      </c>
      <c r="EN245" s="1" t="s">
        <v>282</v>
      </c>
      <c r="EO245" s="1" t="s">
        <v>234</v>
      </c>
      <c r="EP245" s="1" t="s">
        <v>3901</v>
      </c>
      <c r="EQ245" s="1" t="s">
        <v>2188</v>
      </c>
      <c r="ER245" s="1" t="s">
        <v>210</v>
      </c>
      <c r="ES245" s="1" t="s">
        <v>1868</v>
      </c>
      <c r="ET245" s="1" t="s">
        <v>842</v>
      </c>
      <c r="EU245" s="1" t="s">
        <v>1110</v>
      </c>
      <c r="EV245" s="1" t="s">
        <v>240</v>
      </c>
      <c r="EW245" s="1" t="s">
        <v>887</v>
      </c>
      <c r="EZ245" s="1" t="s">
        <v>287</v>
      </c>
      <c r="FA245" s="1" t="s">
        <v>1554</v>
      </c>
      <c r="FB245" s="1" t="s">
        <v>289</v>
      </c>
      <c r="FD245" s="1" t="s">
        <v>246</v>
      </c>
      <c r="FE245" s="1" t="s">
        <v>2016</v>
      </c>
      <c r="FF245" s="1" t="s">
        <v>248</v>
      </c>
      <c r="FG245" s="1" t="s">
        <v>2406</v>
      </c>
      <c r="FH245" s="1" t="s">
        <v>1205</v>
      </c>
      <c r="FI245" s="1" t="s">
        <v>357</v>
      </c>
      <c r="FL245" s="1" t="s">
        <v>414</v>
      </c>
      <c r="FM245" s="1" t="s">
        <v>252</v>
      </c>
      <c r="FN245" s="1" t="s">
        <v>213</v>
      </c>
      <c r="FO245" s="1" t="s">
        <v>213</v>
      </c>
      <c r="FQ245" s="1" t="s">
        <v>3545</v>
      </c>
      <c r="FR245" s="1" t="s">
        <v>652</v>
      </c>
      <c r="FS245" s="1" t="s">
        <v>3902</v>
      </c>
      <c r="FT245" s="1" t="s">
        <v>255</v>
      </c>
      <c r="FU245" s="1" t="s">
        <v>204</v>
      </c>
      <c r="FW245" s="1" t="s">
        <v>3903</v>
      </c>
      <c r="FX245" s="1">
        <v>1223</v>
      </c>
      <c r="FY245" s="1" t="s">
        <v>3904</v>
      </c>
      <c r="FZ245" s="1" t="s">
        <v>3905</v>
      </c>
      <c r="GA245" s="1">
        <v>89611</v>
      </c>
      <c r="GB245" s="1" t="s">
        <v>3904</v>
      </c>
      <c r="GE245" s="1" t="s">
        <v>480</v>
      </c>
      <c r="GI245" s="1" t="s">
        <v>204</v>
      </c>
      <c r="GJ245" s="1" t="s">
        <v>260</v>
      </c>
      <c r="GK245" s="1" t="s">
        <v>210</v>
      </c>
      <c r="GL245" s="2">
        <v>42109</v>
      </c>
    </row>
    <row r="246" spans="1:195">
      <c r="A246" s="1">
        <v>223000</v>
      </c>
      <c r="B246" s="1" t="s">
        <v>195</v>
      </c>
      <c r="C246" s="1" t="str">
        <f>"08786508"</f>
        <v>08786508</v>
      </c>
      <c r="D246" s="1" t="s">
        <v>196</v>
      </c>
      <c r="F246" s="1" t="str">
        <f>"546"</f>
        <v>546</v>
      </c>
      <c r="G246" s="2">
        <v>41957</v>
      </c>
      <c r="H246" s="1">
        <v>244900</v>
      </c>
      <c r="I246" s="1">
        <v>235000</v>
      </c>
      <c r="J246" s="1">
        <v>223000</v>
      </c>
      <c r="K246" s="2">
        <v>41956</v>
      </c>
      <c r="L246" s="1">
        <v>63</v>
      </c>
      <c r="M246" s="2">
        <v>42018</v>
      </c>
      <c r="N246" s="1">
        <v>63</v>
      </c>
      <c r="O246" s="2">
        <v>42018</v>
      </c>
      <c r="P246" s="1">
        <v>23610</v>
      </c>
      <c r="Q246" s="1" t="s">
        <v>197</v>
      </c>
      <c r="R246" s="2">
        <v>42062</v>
      </c>
      <c r="S246" s="1">
        <v>234145</v>
      </c>
      <c r="U246" s="1">
        <v>241</v>
      </c>
      <c r="V246" s="1" t="s">
        <v>2756</v>
      </c>
      <c r="W246" s="1" t="s">
        <v>725</v>
      </c>
      <c r="X246" s="1" t="s">
        <v>483</v>
      </c>
      <c r="Y246" s="1">
        <v>4</v>
      </c>
      <c r="Z246" s="1" t="s">
        <v>370</v>
      </c>
      <c r="AA246" s="1" t="s">
        <v>3906</v>
      </c>
      <c r="AB246" s="1">
        <v>60546</v>
      </c>
      <c r="AE246" s="1" t="s">
        <v>3907</v>
      </c>
      <c r="AF246" s="1" t="s">
        <v>402</v>
      </c>
      <c r="AG246" s="1" t="s">
        <v>213</v>
      </c>
      <c r="AH246" s="1" t="s">
        <v>3908</v>
      </c>
      <c r="AI246" s="1" t="s">
        <v>310</v>
      </c>
      <c r="AJ246" s="1" t="s">
        <v>3908</v>
      </c>
      <c r="AL246" s="1">
        <v>5</v>
      </c>
      <c r="AM246" s="1">
        <v>2</v>
      </c>
      <c r="AN246" s="1">
        <v>2</v>
      </c>
      <c r="AO246" s="1">
        <v>0</v>
      </c>
      <c r="AP246" s="1" t="s">
        <v>210</v>
      </c>
      <c r="AQ246" s="1">
        <v>1</v>
      </c>
      <c r="AR246" s="1" t="s">
        <v>210</v>
      </c>
      <c r="AS246" s="1" t="s">
        <v>204</v>
      </c>
      <c r="AT246" s="1" t="s">
        <v>211</v>
      </c>
      <c r="AU246" s="1">
        <v>1</v>
      </c>
      <c r="AW246" s="1" t="s">
        <v>204</v>
      </c>
      <c r="AX246" s="1" t="s">
        <v>212</v>
      </c>
      <c r="AZ246" s="4">
        <v>4239.3999999999996</v>
      </c>
      <c r="BA246" s="1">
        <v>2013</v>
      </c>
      <c r="BB246" s="1" t="s">
        <v>599</v>
      </c>
      <c r="BE246" s="1">
        <v>1670</v>
      </c>
      <c r="BF246" s="1">
        <v>1</v>
      </c>
      <c r="BG246" s="1">
        <v>0</v>
      </c>
      <c r="BJ246" s="1">
        <v>100</v>
      </c>
      <c r="BK246" s="1">
        <v>20</v>
      </c>
      <c r="BL246" s="1">
        <v>175</v>
      </c>
      <c r="BM246" s="1" t="s">
        <v>204</v>
      </c>
      <c r="BN246" s="1" t="s">
        <v>213</v>
      </c>
      <c r="BO246" s="1">
        <v>0</v>
      </c>
      <c r="BP246" s="1" t="s">
        <v>204</v>
      </c>
      <c r="BR246" s="1" t="str">
        <f>"15362110420000"</f>
        <v>15362110420000</v>
      </c>
      <c r="BT246" s="1" t="s">
        <v>3909</v>
      </c>
      <c r="BU246" s="1" t="s">
        <v>3910</v>
      </c>
      <c r="BV246" s="1" t="s">
        <v>3911</v>
      </c>
      <c r="BW246" s="1" t="s">
        <v>3912</v>
      </c>
      <c r="BX246" s="1">
        <v>96</v>
      </c>
      <c r="BY246" s="1">
        <v>96</v>
      </c>
      <c r="BZ246" s="1">
        <v>208</v>
      </c>
      <c r="CB246" s="1" t="str">
        <f t="shared" ref="CB246:CC246" si="195">""</f>
        <v/>
      </c>
      <c r="CC246" s="1" t="str">
        <f t="shared" si="195"/>
        <v/>
      </c>
      <c r="CG246" s="1" t="s">
        <v>3913</v>
      </c>
      <c r="CH246" s="1" t="s">
        <v>219</v>
      </c>
      <c r="CI246" s="1" t="s">
        <v>220</v>
      </c>
      <c r="CJ246" s="1" t="s">
        <v>343</v>
      </c>
      <c r="CK246" s="1" t="s">
        <v>3656</v>
      </c>
      <c r="CL246" s="1" t="s">
        <v>277</v>
      </c>
      <c r="CM246" s="1" t="s">
        <v>220</v>
      </c>
      <c r="CN246" s="1" t="s">
        <v>463</v>
      </c>
      <c r="CO246" s="1" t="s">
        <v>1470</v>
      </c>
      <c r="CP246" s="1" t="s">
        <v>219</v>
      </c>
      <c r="CQ246" s="1" t="s">
        <v>220</v>
      </c>
      <c r="CR246" s="1" t="s">
        <v>210</v>
      </c>
      <c r="CS246" s="1" t="s">
        <v>2070</v>
      </c>
      <c r="CT246" s="1" t="s">
        <v>277</v>
      </c>
      <c r="CU246" s="1" t="s">
        <v>220</v>
      </c>
      <c r="CX246" s="1" t="s">
        <v>224</v>
      </c>
      <c r="DB246" s="1" t="s">
        <v>224</v>
      </c>
      <c r="DE246" s="1" t="s">
        <v>378</v>
      </c>
      <c r="DF246" s="1" t="s">
        <v>219</v>
      </c>
      <c r="DG246" s="1" t="s">
        <v>342</v>
      </c>
      <c r="DH246" s="1" t="s">
        <v>210</v>
      </c>
      <c r="DJ246" s="1" t="s">
        <v>224</v>
      </c>
      <c r="DS246" s="1" t="s">
        <v>230</v>
      </c>
      <c r="DW246" s="1" t="s">
        <v>230</v>
      </c>
      <c r="EA246" s="1" t="s">
        <v>230</v>
      </c>
      <c r="EE246" s="1" t="s">
        <v>230</v>
      </c>
      <c r="EI246" s="1" t="s">
        <v>230</v>
      </c>
      <c r="EL246" s="1" t="s">
        <v>413</v>
      </c>
      <c r="EM246" s="1" t="s">
        <v>232</v>
      </c>
      <c r="EN246" s="1" t="s">
        <v>282</v>
      </c>
      <c r="EO246" s="1" t="s">
        <v>234</v>
      </c>
      <c r="EP246" s="1" t="s">
        <v>650</v>
      </c>
      <c r="EQ246" s="1" t="s">
        <v>236</v>
      </c>
      <c r="ER246" s="1" t="s">
        <v>210</v>
      </c>
      <c r="ES246" s="1" t="s">
        <v>3914</v>
      </c>
      <c r="EU246" s="1" t="s">
        <v>3025</v>
      </c>
      <c r="EV246" s="1" t="s">
        <v>240</v>
      </c>
      <c r="EW246" s="1" t="s">
        <v>867</v>
      </c>
      <c r="EY246" s="1" t="s">
        <v>790</v>
      </c>
      <c r="EZ246" s="1" t="s">
        <v>287</v>
      </c>
      <c r="FA246" s="1" t="s">
        <v>3915</v>
      </c>
      <c r="FB246" s="1" t="s">
        <v>734</v>
      </c>
      <c r="FC246" s="1" t="s">
        <v>1405</v>
      </c>
      <c r="FD246" s="1" t="s">
        <v>246</v>
      </c>
      <c r="FE246" s="1" t="s">
        <v>3916</v>
      </c>
      <c r="FF246" s="1" t="s">
        <v>248</v>
      </c>
      <c r="FG246" s="1" t="s">
        <v>939</v>
      </c>
      <c r="FH246" s="1" t="s">
        <v>3917</v>
      </c>
      <c r="FI246" s="1" t="s">
        <v>473</v>
      </c>
      <c r="FJ246" s="1" t="s">
        <v>518</v>
      </c>
      <c r="FL246" s="1" t="s">
        <v>3918</v>
      </c>
      <c r="FM246" s="1" t="s">
        <v>252</v>
      </c>
      <c r="FN246" s="1" t="s">
        <v>213</v>
      </c>
      <c r="FO246" s="1" t="s">
        <v>213</v>
      </c>
      <c r="FQ246" s="1" t="s">
        <v>2142</v>
      </c>
      <c r="FR246" s="1" t="s">
        <v>210</v>
      </c>
      <c r="FS246" s="1" t="s">
        <v>3919</v>
      </c>
      <c r="FT246" s="1" t="s">
        <v>295</v>
      </c>
      <c r="FU246" s="1" t="s">
        <v>204</v>
      </c>
      <c r="FW246" s="1" t="s">
        <v>637</v>
      </c>
      <c r="FX246" s="1">
        <v>90812</v>
      </c>
      <c r="FY246" s="1" t="s">
        <v>638</v>
      </c>
      <c r="FZ246" s="1" t="s">
        <v>3920</v>
      </c>
      <c r="GA246" s="1">
        <v>900622</v>
      </c>
      <c r="GB246" s="1" t="s">
        <v>3921</v>
      </c>
      <c r="GD246" s="1" t="s">
        <v>3922</v>
      </c>
      <c r="GE246" s="1" t="s">
        <v>2504</v>
      </c>
      <c r="GH246" s="1" t="s">
        <v>800</v>
      </c>
      <c r="GI246" s="1" t="s">
        <v>213</v>
      </c>
      <c r="GJ246" s="1" t="s">
        <v>260</v>
      </c>
      <c r="GK246" s="1" t="s">
        <v>210</v>
      </c>
      <c r="GL246" s="2">
        <v>42062</v>
      </c>
      <c r="GM246" s="1" t="s">
        <v>3923</v>
      </c>
    </row>
    <row r="247" spans="1:195">
      <c r="A247" s="1">
        <v>123900</v>
      </c>
      <c r="B247" s="1" t="s">
        <v>195</v>
      </c>
      <c r="C247" s="1" t="str">
        <f>"08786470"</f>
        <v>08786470</v>
      </c>
      <c r="D247" s="1" t="s">
        <v>196</v>
      </c>
      <c r="F247" s="1" t="str">
        <f>"507"</f>
        <v>507</v>
      </c>
      <c r="G247" s="2">
        <v>41957</v>
      </c>
      <c r="H247" s="1">
        <v>124900</v>
      </c>
      <c r="I247" s="1">
        <v>124900</v>
      </c>
      <c r="J247" s="1">
        <v>123900</v>
      </c>
      <c r="K247" s="2">
        <v>41957</v>
      </c>
      <c r="L247" s="1">
        <v>13</v>
      </c>
      <c r="M247" s="2">
        <v>41969</v>
      </c>
      <c r="N247" s="1">
        <v>13</v>
      </c>
      <c r="O247" s="2">
        <v>41969</v>
      </c>
      <c r="P247" s="1">
        <v>31580</v>
      </c>
      <c r="Q247" s="1" t="s">
        <v>197</v>
      </c>
      <c r="R247" s="2">
        <v>42002</v>
      </c>
      <c r="S247" s="1">
        <v>313839</v>
      </c>
      <c r="U247" s="1">
        <v>2445</v>
      </c>
      <c r="V247" s="1" t="s">
        <v>3924</v>
      </c>
      <c r="W247" s="1" t="s">
        <v>449</v>
      </c>
      <c r="X247" s="1">
        <v>7</v>
      </c>
      <c r="Y247" s="1">
        <v>8</v>
      </c>
      <c r="Z247" s="1" t="s">
        <v>249</v>
      </c>
      <c r="AA247" s="1" t="s">
        <v>1123</v>
      </c>
      <c r="AB247" s="1">
        <v>60506</v>
      </c>
      <c r="AD247" s="1" t="s">
        <v>3925</v>
      </c>
      <c r="AE247" s="1" t="s">
        <v>3926</v>
      </c>
      <c r="AF247" s="1">
        <v>1998</v>
      </c>
      <c r="AG247" s="1" t="s">
        <v>204</v>
      </c>
      <c r="AH247" s="1" t="s">
        <v>1126</v>
      </c>
      <c r="AI247" s="1" t="s">
        <v>665</v>
      </c>
      <c r="AJ247" s="1" t="s">
        <v>3240</v>
      </c>
      <c r="AK247" s="1" t="s">
        <v>3188</v>
      </c>
      <c r="AL247" s="1">
        <v>7</v>
      </c>
      <c r="AM247" s="1">
        <v>2</v>
      </c>
      <c r="AN247" s="1">
        <v>2</v>
      </c>
      <c r="AO247" s="1">
        <v>1</v>
      </c>
      <c r="AP247" s="1" t="s">
        <v>209</v>
      </c>
      <c r="AQ247" s="1">
        <v>1</v>
      </c>
      <c r="AR247" s="1" t="s">
        <v>2165</v>
      </c>
      <c r="AS247" s="1" t="s">
        <v>204</v>
      </c>
      <c r="AT247" s="1" t="s">
        <v>211</v>
      </c>
      <c r="AU247" s="1">
        <v>2</v>
      </c>
      <c r="AW247" s="1" t="s">
        <v>213</v>
      </c>
      <c r="AX247" s="1" t="s">
        <v>212</v>
      </c>
      <c r="AZ247" s="1">
        <v>4287.16</v>
      </c>
      <c r="BA247" s="1">
        <v>2013</v>
      </c>
      <c r="BB247" s="1" t="s">
        <v>599</v>
      </c>
      <c r="BE247" s="1">
        <v>1500</v>
      </c>
      <c r="BF247" s="1">
        <v>1</v>
      </c>
      <c r="BG247" s="1">
        <v>0</v>
      </c>
      <c r="BL247" s="1">
        <v>177</v>
      </c>
      <c r="BM247" s="1" t="s">
        <v>204</v>
      </c>
      <c r="BN247" s="1" t="s">
        <v>213</v>
      </c>
      <c r="BO247" s="1">
        <v>999</v>
      </c>
      <c r="BP247" s="1" t="s">
        <v>204</v>
      </c>
      <c r="BR247" s="1" t="str">
        <f>"1413230015"</f>
        <v>1413230015</v>
      </c>
      <c r="BT247" s="1" t="s">
        <v>3927</v>
      </c>
      <c r="BU247" s="1" t="s">
        <v>3928</v>
      </c>
      <c r="BV247" s="1" t="s">
        <v>3929</v>
      </c>
      <c r="BW247" s="1" t="s">
        <v>3930</v>
      </c>
      <c r="BX247" s="1">
        <v>129</v>
      </c>
      <c r="BY247" s="1">
        <v>129</v>
      </c>
      <c r="BZ247" s="1">
        <v>129</v>
      </c>
      <c r="CB247" s="1" t="str">
        <f t="shared" ref="CB247:CC247" si="196">"0"</f>
        <v>0</v>
      </c>
      <c r="CC247" s="1" t="str">
        <f t="shared" si="196"/>
        <v>0</v>
      </c>
      <c r="CD247" s="1">
        <v>39</v>
      </c>
      <c r="CE247" s="1">
        <v>6</v>
      </c>
      <c r="CG247" s="1" t="s">
        <v>1533</v>
      </c>
      <c r="CH247" s="1" t="s">
        <v>219</v>
      </c>
      <c r="CI247" s="1" t="s">
        <v>220</v>
      </c>
      <c r="CK247" s="1" t="s">
        <v>437</v>
      </c>
      <c r="CL247" s="1" t="s">
        <v>277</v>
      </c>
      <c r="CM247" s="1" t="s">
        <v>220</v>
      </c>
      <c r="CO247" s="1" t="s">
        <v>348</v>
      </c>
      <c r="CP247" s="1" t="s">
        <v>219</v>
      </c>
      <c r="CQ247" s="1" t="s">
        <v>220</v>
      </c>
      <c r="CS247" s="1" t="s">
        <v>378</v>
      </c>
      <c r="CT247" s="1" t="s">
        <v>277</v>
      </c>
      <c r="CU247" s="1" t="s">
        <v>220</v>
      </c>
      <c r="CX247" s="1" t="s">
        <v>224</v>
      </c>
      <c r="DB247" s="1" t="s">
        <v>224</v>
      </c>
      <c r="DE247" s="1" t="s">
        <v>409</v>
      </c>
      <c r="DF247" s="1" t="s">
        <v>219</v>
      </c>
      <c r="DG247" s="1" t="s">
        <v>1236</v>
      </c>
      <c r="DI247" s="1" t="s">
        <v>437</v>
      </c>
      <c r="DJ247" s="1" t="s">
        <v>219</v>
      </c>
      <c r="DK247" s="1" t="s">
        <v>220</v>
      </c>
      <c r="DM247" s="1" t="s">
        <v>1005</v>
      </c>
      <c r="DR247" s="1" t="s">
        <v>379</v>
      </c>
      <c r="DS247" s="1" t="s">
        <v>822</v>
      </c>
      <c r="DT247" s="1" t="s">
        <v>220</v>
      </c>
      <c r="DW247" s="1" t="s">
        <v>230</v>
      </c>
      <c r="EA247" s="1" t="s">
        <v>230</v>
      </c>
      <c r="EE247" s="1" t="s">
        <v>230</v>
      </c>
      <c r="EI247" s="1" t="s">
        <v>230</v>
      </c>
      <c r="EL247" s="1" t="s">
        <v>670</v>
      </c>
      <c r="EM247" s="1" t="s">
        <v>319</v>
      </c>
      <c r="EN247" s="1" t="s">
        <v>282</v>
      </c>
      <c r="EO247" s="1" t="s">
        <v>234</v>
      </c>
      <c r="EP247" s="1" t="s">
        <v>650</v>
      </c>
      <c r="EQ247" s="1" t="s">
        <v>3931</v>
      </c>
      <c r="ER247" s="1" t="s">
        <v>544</v>
      </c>
      <c r="ES247" s="1" t="s">
        <v>3932</v>
      </c>
      <c r="EW247" s="1" t="s">
        <v>887</v>
      </c>
      <c r="EY247" s="1" t="s">
        <v>2455</v>
      </c>
      <c r="EZ247" s="1" t="s">
        <v>1005</v>
      </c>
      <c r="FB247" s="1" t="s">
        <v>289</v>
      </c>
      <c r="FC247" s="1" t="s">
        <v>633</v>
      </c>
      <c r="FD247" s="1" t="s">
        <v>246</v>
      </c>
      <c r="FE247" s="1" t="s">
        <v>1031</v>
      </c>
      <c r="FF247" s="1" t="s">
        <v>248</v>
      </c>
      <c r="FG247" s="1" t="s">
        <v>3933</v>
      </c>
      <c r="FH247" s="1" t="s">
        <v>940</v>
      </c>
      <c r="FJ247" s="1" t="s">
        <v>518</v>
      </c>
      <c r="FL247" s="1" t="s">
        <v>358</v>
      </c>
      <c r="FM247" s="1" t="s">
        <v>252</v>
      </c>
      <c r="FN247" s="1" t="s">
        <v>213</v>
      </c>
      <c r="FO247" s="1" t="s">
        <v>213</v>
      </c>
      <c r="FQ247" s="1" t="s">
        <v>1758</v>
      </c>
      <c r="FR247" s="1" t="s">
        <v>210</v>
      </c>
      <c r="FS247" s="1" t="s">
        <v>3934</v>
      </c>
      <c r="FT247" s="1" t="s">
        <v>295</v>
      </c>
      <c r="FU247" s="1" t="s">
        <v>204</v>
      </c>
      <c r="FW247" s="1" t="s">
        <v>676</v>
      </c>
      <c r="FX247" s="1">
        <v>30</v>
      </c>
      <c r="FY247" s="1" t="s">
        <v>677</v>
      </c>
      <c r="FZ247" s="1" t="s">
        <v>3935</v>
      </c>
      <c r="GA247" s="1">
        <v>8173</v>
      </c>
      <c r="GB247" s="1" t="s">
        <v>3936</v>
      </c>
      <c r="GE247" s="1" t="s">
        <v>210</v>
      </c>
      <c r="GI247" s="1" t="s">
        <v>213</v>
      </c>
      <c r="GJ247" s="1" t="s">
        <v>260</v>
      </c>
      <c r="GK247" s="1" t="s">
        <v>210</v>
      </c>
      <c r="GL247" s="2">
        <v>42003</v>
      </c>
      <c r="GM247" s="1" t="s">
        <v>3937</v>
      </c>
    </row>
    <row r="248" spans="1:195">
      <c r="A248" s="1">
        <v>92350</v>
      </c>
      <c r="B248" s="1" t="s">
        <v>195</v>
      </c>
      <c r="C248" s="1" t="str">
        <f>"08773489"</f>
        <v>08773489</v>
      </c>
      <c r="D248" s="1" t="s">
        <v>196</v>
      </c>
      <c r="F248" s="1" t="str">
        <f>"137"</f>
        <v>137</v>
      </c>
      <c r="G248" s="2">
        <v>41954</v>
      </c>
      <c r="H248" s="1">
        <v>77500</v>
      </c>
      <c r="I248" s="1">
        <v>77500</v>
      </c>
      <c r="J248" s="1">
        <v>92350</v>
      </c>
      <c r="K248" s="2">
        <v>41954</v>
      </c>
      <c r="L248" s="1">
        <v>14</v>
      </c>
      <c r="M248" s="2">
        <v>41967</v>
      </c>
      <c r="N248" s="1">
        <v>14</v>
      </c>
      <c r="O248" s="2">
        <v>41967</v>
      </c>
      <c r="P248" s="1">
        <v>23163</v>
      </c>
      <c r="Q248" s="1" t="s">
        <v>302</v>
      </c>
      <c r="R248" s="2">
        <v>41990</v>
      </c>
      <c r="S248" s="1">
        <v>237809</v>
      </c>
      <c r="U248" s="1">
        <v>470</v>
      </c>
      <c r="V248" s="1" t="s">
        <v>3938</v>
      </c>
      <c r="W248" s="1" t="s">
        <v>199</v>
      </c>
      <c r="X248" s="1">
        <v>213</v>
      </c>
      <c r="Y248" s="1">
        <v>75</v>
      </c>
      <c r="Z248" s="1" t="s">
        <v>249</v>
      </c>
      <c r="AA248" s="1" t="s">
        <v>201</v>
      </c>
      <c r="AB248" s="1">
        <v>60137</v>
      </c>
      <c r="AC248" s="1">
        <v>6785</v>
      </c>
      <c r="AD248" s="1" t="s">
        <v>3939</v>
      </c>
      <c r="AE248" s="1" t="s">
        <v>3940</v>
      </c>
      <c r="AF248" s="1">
        <v>1990</v>
      </c>
      <c r="AG248" s="1" t="s">
        <v>204</v>
      </c>
      <c r="AH248" s="1" t="s">
        <v>205</v>
      </c>
      <c r="AI248" s="1" t="s">
        <v>206</v>
      </c>
      <c r="AJ248" s="1" t="s">
        <v>207</v>
      </c>
      <c r="AL248" s="1">
        <v>4</v>
      </c>
      <c r="AM248" s="1">
        <v>2</v>
      </c>
      <c r="AN248" s="1">
        <v>2</v>
      </c>
      <c r="AO248" s="1">
        <v>0</v>
      </c>
      <c r="AP248" s="1" t="s">
        <v>209</v>
      </c>
      <c r="AR248" s="1" t="s">
        <v>210</v>
      </c>
      <c r="AS248" s="1" t="s">
        <v>204</v>
      </c>
      <c r="AT248" s="1" t="s">
        <v>271</v>
      </c>
      <c r="AV248" s="1">
        <v>1</v>
      </c>
      <c r="AW248" s="1" t="s">
        <v>204</v>
      </c>
      <c r="AX248" s="1" t="s">
        <v>212</v>
      </c>
      <c r="AZ248" s="1">
        <v>4207</v>
      </c>
      <c r="BA248" s="1">
        <v>2013</v>
      </c>
      <c r="BB248" s="1" t="s">
        <v>210</v>
      </c>
      <c r="BE248" s="1">
        <v>932</v>
      </c>
      <c r="BF248" s="1">
        <v>2</v>
      </c>
      <c r="BG248" s="1">
        <v>0</v>
      </c>
      <c r="BL248" s="1">
        <v>294</v>
      </c>
      <c r="BM248" s="1" t="s">
        <v>204</v>
      </c>
      <c r="BN248" s="1" t="s">
        <v>213</v>
      </c>
      <c r="BO248" s="1">
        <v>40</v>
      </c>
      <c r="BP248" s="1" t="s">
        <v>204</v>
      </c>
      <c r="BR248" s="1" t="str">
        <f>"0523323026"</f>
        <v>0523323026</v>
      </c>
      <c r="BT248" s="1" t="s">
        <v>3941</v>
      </c>
      <c r="BU248" s="1" t="s">
        <v>215</v>
      </c>
      <c r="BV248" s="1" t="s">
        <v>216</v>
      </c>
      <c r="BW248" s="1" t="s">
        <v>217</v>
      </c>
      <c r="BX248" s="1">
        <v>89</v>
      </c>
      <c r="BY248" s="1">
        <v>89</v>
      </c>
      <c r="BZ248" s="1">
        <v>87</v>
      </c>
      <c r="CB248" s="1" t="str">
        <f t="shared" ref="CB248:CC248" si="197">""</f>
        <v/>
      </c>
      <c r="CC248" s="1" t="str">
        <f t="shared" si="197"/>
        <v/>
      </c>
      <c r="CD248" s="1">
        <v>23</v>
      </c>
      <c r="CE248" s="1">
        <v>2</v>
      </c>
      <c r="CG248" s="1" t="s">
        <v>218</v>
      </c>
      <c r="CH248" s="1" t="s">
        <v>277</v>
      </c>
      <c r="CI248" s="1" t="s">
        <v>220</v>
      </c>
      <c r="CJ248" s="1" t="s">
        <v>210</v>
      </c>
      <c r="CK248" s="1" t="s">
        <v>1046</v>
      </c>
      <c r="CL248" s="1" t="s">
        <v>277</v>
      </c>
      <c r="CM248" s="1" t="s">
        <v>220</v>
      </c>
      <c r="CN248" s="1" t="s">
        <v>210</v>
      </c>
      <c r="CP248" s="1" t="s">
        <v>224</v>
      </c>
      <c r="CS248" s="1" t="s">
        <v>379</v>
      </c>
      <c r="CT248" s="1" t="s">
        <v>277</v>
      </c>
      <c r="CU248" s="1" t="s">
        <v>220</v>
      </c>
      <c r="CV248" s="1" t="s">
        <v>210</v>
      </c>
      <c r="CX248" s="1" t="s">
        <v>224</v>
      </c>
      <c r="DB248" s="1" t="s">
        <v>224</v>
      </c>
      <c r="DE248" s="1" t="s">
        <v>316</v>
      </c>
      <c r="DF248" s="1" t="s">
        <v>277</v>
      </c>
      <c r="DH248" s="1" t="s">
        <v>210</v>
      </c>
      <c r="DJ248" s="1" t="s">
        <v>224</v>
      </c>
      <c r="DS248" s="1" t="s">
        <v>230</v>
      </c>
      <c r="DW248" s="1" t="s">
        <v>230</v>
      </c>
      <c r="EA248" s="1" t="s">
        <v>230</v>
      </c>
      <c r="EE248" s="1" t="s">
        <v>230</v>
      </c>
      <c r="EI248" s="1" t="s">
        <v>230</v>
      </c>
      <c r="EL248" s="1" t="s">
        <v>382</v>
      </c>
      <c r="EM248" s="1" t="s">
        <v>232</v>
      </c>
      <c r="EN248" s="1" t="s">
        <v>731</v>
      </c>
      <c r="EO248" s="1" t="s">
        <v>234</v>
      </c>
      <c r="EP248" s="1" t="s">
        <v>3942</v>
      </c>
      <c r="EQ248" s="1" t="s">
        <v>1344</v>
      </c>
      <c r="ER248" s="1" t="s">
        <v>210</v>
      </c>
      <c r="ET248" s="1" t="s">
        <v>323</v>
      </c>
      <c r="EV248" s="1" t="s">
        <v>240</v>
      </c>
      <c r="EW248" s="1" t="s">
        <v>241</v>
      </c>
      <c r="EY248" s="1" t="s">
        <v>242</v>
      </c>
      <c r="EZ248" s="1" t="s">
        <v>287</v>
      </c>
      <c r="FB248" s="1" t="s">
        <v>1755</v>
      </c>
      <c r="FC248" s="1" t="s">
        <v>1386</v>
      </c>
      <c r="FD248" s="1" t="s">
        <v>290</v>
      </c>
      <c r="FE248" s="1" t="s">
        <v>247</v>
      </c>
      <c r="FF248" s="1" t="s">
        <v>248</v>
      </c>
      <c r="FH248" s="1" t="s">
        <v>249</v>
      </c>
      <c r="FJ248" s="1" t="s">
        <v>3943</v>
      </c>
      <c r="FK248" s="1" t="s">
        <v>891</v>
      </c>
      <c r="FL248" s="1" t="s">
        <v>292</v>
      </c>
      <c r="FM248" s="1" t="s">
        <v>252</v>
      </c>
      <c r="FN248" s="1" t="s">
        <v>213</v>
      </c>
      <c r="FO248" s="1" t="s">
        <v>213</v>
      </c>
      <c r="FQ248" s="1" t="s">
        <v>582</v>
      </c>
      <c r="FR248" s="1" t="s">
        <v>210</v>
      </c>
      <c r="FS248" s="1" t="s">
        <v>3944</v>
      </c>
      <c r="FT248" s="1" t="s">
        <v>1182</v>
      </c>
      <c r="FU248" s="1" t="s">
        <v>204</v>
      </c>
      <c r="FW248" s="1" t="s">
        <v>2144</v>
      </c>
      <c r="FX248" s="1">
        <v>23163</v>
      </c>
      <c r="FY248" s="1" t="s">
        <v>2145</v>
      </c>
      <c r="FZ248" s="1" t="s">
        <v>3945</v>
      </c>
      <c r="GA248" s="1">
        <v>256811</v>
      </c>
      <c r="GB248" s="1" t="s">
        <v>3946</v>
      </c>
      <c r="GE248" s="1" t="s">
        <v>210</v>
      </c>
      <c r="GI248" s="1" t="s">
        <v>213</v>
      </c>
      <c r="GJ248" s="1" t="s">
        <v>260</v>
      </c>
      <c r="GK248" s="1" t="s">
        <v>210</v>
      </c>
      <c r="GL248" s="2">
        <v>41995</v>
      </c>
      <c r="GM248" s="1" t="s">
        <v>3947</v>
      </c>
    </row>
    <row r="249" spans="1:195">
      <c r="A249" s="1">
        <v>110200</v>
      </c>
      <c r="B249" s="1" t="s">
        <v>195</v>
      </c>
      <c r="C249" s="1" t="str">
        <f>"08767260"</f>
        <v>08767260</v>
      </c>
      <c r="D249" s="1" t="s">
        <v>196</v>
      </c>
      <c r="F249" s="1" t="str">
        <f>"172"</f>
        <v>172</v>
      </c>
      <c r="G249" s="2">
        <v>41946</v>
      </c>
      <c r="H249" s="1">
        <v>126500</v>
      </c>
      <c r="I249" s="1">
        <v>126500</v>
      </c>
      <c r="J249" s="1">
        <v>110200</v>
      </c>
      <c r="K249" s="2">
        <v>41946</v>
      </c>
      <c r="L249" s="1">
        <v>32</v>
      </c>
      <c r="M249" s="2">
        <v>41977</v>
      </c>
      <c r="N249" s="1">
        <v>32</v>
      </c>
      <c r="O249" s="2">
        <v>41977</v>
      </c>
      <c r="P249" s="1">
        <v>25695</v>
      </c>
      <c r="Q249" s="1" t="s">
        <v>302</v>
      </c>
      <c r="R249" s="2">
        <v>42030</v>
      </c>
      <c r="S249" s="1">
        <v>240478</v>
      </c>
      <c r="U249" s="1">
        <v>991</v>
      </c>
      <c r="V249" s="1" t="s">
        <v>3948</v>
      </c>
      <c r="W249" s="1" t="s">
        <v>526</v>
      </c>
      <c r="X249" s="1" t="s">
        <v>3949</v>
      </c>
      <c r="Y249" s="1">
        <v>4</v>
      </c>
      <c r="Z249" s="1" t="s">
        <v>249</v>
      </c>
      <c r="AA249" s="1" t="s">
        <v>266</v>
      </c>
      <c r="AB249" s="1">
        <v>60172</v>
      </c>
      <c r="AD249" s="1" t="s">
        <v>3950</v>
      </c>
      <c r="AE249" s="1" t="s">
        <v>3951</v>
      </c>
      <c r="AF249" s="1">
        <v>1979</v>
      </c>
      <c r="AG249" s="1" t="s">
        <v>204</v>
      </c>
      <c r="AH249" s="1" t="s">
        <v>3952</v>
      </c>
      <c r="AI249" s="1" t="s">
        <v>310</v>
      </c>
      <c r="AJ249" s="1" t="s">
        <v>1717</v>
      </c>
      <c r="AL249" s="1">
        <v>5</v>
      </c>
      <c r="AM249" s="1">
        <v>2</v>
      </c>
      <c r="AN249" s="1">
        <v>2</v>
      </c>
      <c r="AO249" s="1">
        <v>0</v>
      </c>
      <c r="AP249" s="1" t="s">
        <v>209</v>
      </c>
      <c r="AQ249" s="1">
        <v>1</v>
      </c>
      <c r="AR249" s="1" t="s">
        <v>210</v>
      </c>
      <c r="AS249" s="1" t="s">
        <v>204</v>
      </c>
      <c r="AT249" s="1" t="s">
        <v>211</v>
      </c>
      <c r="AU249" s="1">
        <v>1</v>
      </c>
      <c r="AW249" s="1" t="s">
        <v>204</v>
      </c>
      <c r="AX249" s="1" t="s">
        <v>212</v>
      </c>
      <c r="AZ249" s="1">
        <v>2573.0700000000002</v>
      </c>
      <c r="BA249" s="1">
        <v>2012</v>
      </c>
      <c r="BE249" s="1">
        <v>0</v>
      </c>
      <c r="BF249" s="1">
        <v>2</v>
      </c>
      <c r="BG249" s="1">
        <v>0</v>
      </c>
      <c r="BL249" s="1">
        <v>202</v>
      </c>
      <c r="BM249" s="1" t="s">
        <v>204</v>
      </c>
      <c r="BN249" s="1" t="s">
        <v>213</v>
      </c>
      <c r="BO249" s="1">
        <v>99</v>
      </c>
      <c r="BP249" s="1" t="s">
        <v>204</v>
      </c>
      <c r="BR249" s="1" t="str">
        <f>"07354020091067"</f>
        <v>07354020091067</v>
      </c>
      <c r="BT249" s="1" t="s">
        <v>3953</v>
      </c>
      <c r="BU249" s="1" t="s">
        <v>3954</v>
      </c>
      <c r="BV249" s="1" t="s">
        <v>3955</v>
      </c>
      <c r="BW249" s="1" t="s">
        <v>3956</v>
      </c>
      <c r="BX249" s="1">
        <v>54</v>
      </c>
      <c r="BY249" s="1">
        <v>54</v>
      </c>
      <c r="BZ249" s="1">
        <v>211</v>
      </c>
      <c r="CB249" s="1" t="str">
        <f>"8"</f>
        <v>8</v>
      </c>
      <c r="CC249" s="1" t="str">
        <f>""</f>
        <v/>
      </c>
      <c r="CD249" s="1">
        <v>22</v>
      </c>
      <c r="CG249" s="1" t="s">
        <v>538</v>
      </c>
      <c r="CH249" s="1" t="s">
        <v>277</v>
      </c>
      <c r="CK249" s="1" t="s">
        <v>885</v>
      </c>
      <c r="CL249" s="1" t="s">
        <v>277</v>
      </c>
      <c r="CO249" s="1" t="s">
        <v>346</v>
      </c>
      <c r="CP249" s="1" t="s">
        <v>277</v>
      </c>
      <c r="CS249" s="1" t="s">
        <v>379</v>
      </c>
      <c r="CT249" s="1" t="s">
        <v>277</v>
      </c>
      <c r="CX249" s="1" t="s">
        <v>224</v>
      </c>
      <c r="DB249" s="1" t="s">
        <v>224</v>
      </c>
      <c r="DE249" s="1" t="s">
        <v>318</v>
      </c>
      <c r="DF249" s="1" t="s">
        <v>277</v>
      </c>
      <c r="DJ249" s="1" t="s">
        <v>224</v>
      </c>
      <c r="DS249" s="1" t="s">
        <v>230</v>
      </c>
      <c r="DW249" s="1" t="s">
        <v>230</v>
      </c>
      <c r="EA249" s="1" t="s">
        <v>230</v>
      </c>
      <c r="EE249" s="1" t="s">
        <v>230</v>
      </c>
      <c r="EI249" s="1" t="s">
        <v>230</v>
      </c>
      <c r="EL249" s="1" t="s">
        <v>231</v>
      </c>
      <c r="EM249" s="1" t="s">
        <v>232</v>
      </c>
      <c r="EN249" s="1" t="s">
        <v>282</v>
      </c>
      <c r="EO249" s="1" t="s">
        <v>234</v>
      </c>
      <c r="ER249" s="1" t="s">
        <v>210</v>
      </c>
      <c r="ES249" s="1" t="s">
        <v>322</v>
      </c>
      <c r="EV249" s="1" t="s">
        <v>352</v>
      </c>
      <c r="EW249" s="1" t="s">
        <v>286</v>
      </c>
      <c r="EZ249" s="1" t="s">
        <v>287</v>
      </c>
      <c r="FD249" s="1" t="s">
        <v>246</v>
      </c>
      <c r="FE249" s="1" t="s">
        <v>3957</v>
      </c>
      <c r="FF249" s="1" t="s">
        <v>248</v>
      </c>
      <c r="FH249" s="1" t="s">
        <v>388</v>
      </c>
      <c r="FL249" s="1" t="s">
        <v>358</v>
      </c>
      <c r="FM249" s="1" t="s">
        <v>252</v>
      </c>
      <c r="FN249" s="1" t="s">
        <v>213</v>
      </c>
      <c r="FO249" s="1" t="s">
        <v>213</v>
      </c>
      <c r="FQ249" s="1" t="s">
        <v>689</v>
      </c>
      <c r="FR249" s="1" t="s">
        <v>210</v>
      </c>
      <c r="FS249" s="1" t="s">
        <v>3958</v>
      </c>
      <c r="FT249" s="1" t="s">
        <v>362</v>
      </c>
      <c r="FU249" s="1" t="s">
        <v>204</v>
      </c>
      <c r="FW249" s="1" t="s">
        <v>915</v>
      </c>
      <c r="FX249" s="1">
        <v>3970</v>
      </c>
      <c r="FY249" s="1" t="s">
        <v>3959</v>
      </c>
      <c r="FZ249" s="1" t="s">
        <v>3960</v>
      </c>
      <c r="GA249" s="1">
        <v>38687</v>
      </c>
      <c r="GB249" s="1" t="s">
        <v>3961</v>
      </c>
      <c r="GE249" s="1" t="s">
        <v>210</v>
      </c>
      <c r="GI249" s="1" t="s">
        <v>213</v>
      </c>
      <c r="GJ249" s="1" t="s">
        <v>260</v>
      </c>
      <c r="GK249" s="1" t="s">
        <v>210</v>
      </c>
      <c r="GL249" s="2">
        <v>42031</v>
      </c>
      <c r="GM249" s="1" t="s">
        <v>3962</v>
      </c>
    </row>
    <row r="250" spans="1:195">
      <c r="A250" s="1">
        <v>63000</v>
      </c>
      <c r="B250" s="1" t="s">
        <v>195</v>
      </c>
      <c r="C250" s="1" t="str">
        <f>"08770104"</f>
        <v>08770104</v>
      </c>
      <c r="D250" s="1" t="s">
        <v>196</v>
      </c>
      <c r="F250" s="1" t="str">
        <f t="shared" ref="F250:F251" si="198">"515"</f>
        <v>515</v>
      </c>
      <c r="G250" s="2">
        <v>41949</v>
      </c>
      <c r="H250" s="1">
        <v>63000</v>
      </c>
      <c r="I250" s="1">
        <v>63000</v>
      </c>
      <c r="J250" s="1">
        <v>63000</v>
      </c>
      <c r="K250" s="2">
        <v>41947</v>
      </c>
      <c r="L250" s="1">
        <v>28</v>
      </c>
      <c r="M250" s="2">
        <v>41974</v>
      </c>
      <c r="N250" s="1">
        <v>28</v>
      </c>
      <c r="O250" s="2">
        <v>41974</v>
      </c>
      <c r="P250" s="1">
        <v>25042</v>
      </c>
      <c r="Q250" s="1" t="s">
        <v>302</v>
      </c>
      <c r="R250" s="2">
        <v>42032</v>
      </c>
      <c r="S250" s="1">
        <v>214864</v>
      </c>
      <c r="U250" s="1">
        <v>2900</v>
      </c>
      <c r="V250" s="1" t="s">
        <v>3963</v>
      </c>
      <c r="W250" s="1" t="s">
        <v>425</v>
      </c>
      <c r="X250" s="1" t="s">
        <v>3964</v>
      </c>
      <c r="Y250" s="1">
        <v>126</v>
      </c>
      <c r="Z250" s="1" t="s">
        <v>249</v>
      </c>
      <c r="AA250" s="1" t="s">
        <v>1294</v>
      </c>
      <c r="AB250" s="1">
        <v>60515</v>
      </c>
      <c r="AE250" s="1" t="s">
        <v>3965</v>
      </c>
      <c r="AF250" s="1">
        <v>1969</v>
      </c>
      <c r="AG250" s="1" t="s">
        <v>213</v>
      </c>
      <c r="AH250" s="1" t="s">
        <v>903</v>
      </c>
      <c r="AI250" s="1" t="s">
        <v>206</v>
      </c>
      <c r="AJ250" s="1" t="s">
        <v>925</v>
      </c>
      <c r="AL250" s="1">
        <v>5</v>
      </c>
      <c r="AM250" s="1">
        <v>2</v>
      </c>
      <c r="AN250" s="1">
        <v>1</v>
      </c>
      <c r="AO250" s="1">
        <v>0</v>
      </c>
      <c r="AP250" s="1" t="s">
        <v>210</v>
      </c>
      <c r="AR250" s="1" t="s">
        <v>210</v>
      </c>
      <c r="AS250" s="1" t="s">
        <v>204</v>
      </c>
      <c r="AT250" s="1" t="s">
        <v>271</v>
      </c>
      <c r="AV250" s="1">
        <v>1</v>
      </c>
      <c r="AW250" s="1" t="s">
        <v>204</v>
      </c>
      <c r="AX250" s="1" t="s">
        <v>212</v>
      </c>
      <c r="AZ250" s="1">
        <v>805</v>
      </c>
      <c r="BA250" s="1">
        <v>2013</v>
      </c>
      <c r="BE250" s="1">
        <v>0</v>
      </c>
      <c r="BF250" s="1">
        <v>3</v>
      </c>
      <c r="BG250" s="1">
        <v>0</v>
      </c>
      <c r="BL250" s="1">
        <v>200</v>
      </c>
      <c r="BM250" s="1" t="s">
        <v>204</v>
      </c>
      <c r="BN250" s="1" t="s">
        <v>204</v>
      </c>
      <c r="BP250" s="1" t="s">
        <v>204</v>
      </c>
      <c r="BR250" s="1" t="str">
        <f>"0811413062"</f>
        <v>0811413062</v>
      </c>
      <c r="BT250" s="1" t="s">
        <v>3966</v>
      </c>
      <c r="BX250" s="1">
        <v>202</v>
      </c>
      <c r="BY250" s="1">
        <v>202</v>
      </c>
      <c r="BZ250" s="1">
        <v>202</v>
      </c>
      <c r="CB250" s="1" t="str">
        <f t="shared" ref="CB250:CC250" si="199">""</f>
        <v/>
      </c>
      <c r="CC250" s="1" t="str">
        <f t="shared" si="199"/>
        <v/>
      </c>
      <c r="CG250" s="1" t="s">
        <v>1737</v>
      </c>
      <c r="CH250" s="1" t="s">
        <v>219</v>
      </c>
      <c r="CK250" s="1" t="s">
        <v>972</v>
      </c>
      <c r="CL250" s="1" t="s">
        <v>219</v>
      </c>
      <c r="CO250" s="1" t="s">
        <v>951</v>
      </c>
      <c r="CP250" s="1" t="s">
        <v>219</v>
      </c>
      <c r="CS250" s="1" t="s">
        <v>972</v>
      </c>
      <c r="CT250" s="1" t="s">
        <v>219</v>
      </c>
      <c r="CX250" s="1" t="s">
        <v>224</v>
      </c>
      <c r="DB250" s="1" t="s">
        <v>224</v>
      </c>
      <c r="DE250" s="1" t="s">
        <v>2031</v>
      </c>
      <c r="DF250" s="1" t="s">
        <v>219</v>
      </c>
      <c r="DJ250" s="1" t="s">
        <v>224</v>
      </c>
      <c r="DS250" s="1" t="s">
        <v>230</v>
      </c>
      <c r="DW250" s="1" t="s">
        <v>230</v>
      </c>
      <c r="EA250" s="1" t="s">
        <v>230</v>
      </c>
      <c r="EE250" s="1" t="s">
        <v>230</v>
      </c>
      <c r="EI250" s="1" t="s">
        <v>230</v>
      </c>
      <c r="EL250" s="1" t="s">
        <v>605</v>
      </c>
      <c r="EM250" s="1" t="s">
        <v>319</v>
      </c>
      <c r="EN250" s="1" t="s">
        <v>282</v>
      </c>
      <c r="EO250" s="1" t="s">
        <v>234</v>
      </c>
      <c r="ER250" s="1" t="s">
        <v>210</v>
      </c>
      <c r="EW250" s="1" t="s">
        <v>3967</v>
      </c>
      <c r="EZ250" s="1" t="s">
        <v>287</v>
      </c>
      <c r="FD250" s="1" t="s">
        <v>1112</v>
      </c>
      <c r="FE250" s="1" t="s">
        <v>247</v>
      </c>
      <c r="FF250" s="1" t="s">
        <v>248</v>
      </c>
      <c r="FH250" s="1" t="s">
        <v>249</v>
      </c>
      <c r="FL250" s="1" t="s">
        <v>358</v>
      </c>
      <c r="FM250" s="1" t="s">
        <v>252</v>
      </c>
      <c r="FN250" s="1" t="s">
        <v>213</v>
      </c>
      <c r="FO250" s="1" t="s">
        <v>213</v>
      </c>
      <c r="FQ250" s="1" t="s">
        <v>673</v>
      </c>
      <c r="FR250" s="1" t="s">
        <v>210</v>
      </c>
      <c r="FS250" s="1" t="s">
        <v>2753</v>
      </c>
      <c r="FT250" s="1" t="s">
        <v>255</v>
      </c>
      <c r="FU250" s="1" t="s">
        <v>204</v>
      </c>
      <c r="FW250" s="1" t="s">
        <v>1303</v>
      </c>
      <c r="FX250" s="1">
        <v>24072</v>
      </c>
      <c r="FY250" s="1" t="s">
        <v>1304</v>
      </c>
      <c r="FZ250" s="1" t="s">
        <v>1305</v>
      </c>
      <c r="GA250" s="1">
        <v>222267</v>
      </c>
      <c r="GB250" s="1" t="s">
        <v>1304</v>
      </c>
      <c r="GC250" s="1">
        <v>235600</v>
      </c>
      <c r="GD250" s="1" t="s">
        <v>2754</v>
      </c>
      <c r="GE250" s="1" t="s">
        <v>623</v>
      </c>
      <c r="GI250" s="1" t="s">
        <v>204</v>
      </c>
      <c r="GJ250" s="1" t="s">
        <v>260</v>
      </c>
      <c r="GK250" s="1" t="s">
        <v>210</v>
      </c>
      <c r="GL250" s="2">
        <v>42034</v>
      </c>
      <c r="GM250" s="1" t="s">
        <v>3968</v>
      </c>
    </row>
    <row r="251" spans="1:195">
      <c r="A251" s="1">
        <v>95500</v>
      </c>
      <c r="B251" s="1" t="s">
        <v>195</v>
      </c>
      <c r="C251" s="1" t="str">
        <f>"08769138"</f>
        <v>08769138</v>
      </c>
      <c r="D251" s="1" t="s">
        <v>196</v>
      </c>
      <c r="F251" s="1" t="str">
        <f t="shared" si="198"/>
        <v>515</v>
      </c>
      <c r="G251" s="2">
        <v>41948</v>
      </c>
      <c r="H251" s="1">
        <v>102900</v>
      </c>
      <c r="I251" s="1">
        <v>102900</v>
      </c>
      <c r="J251" s="1">
        <v>95500</v>
      </c>
      <c r="K251" s="2">
        <v>41948</v>
      </c>
      <c r="L251" s="1">
        <v>14</v>
      </c>
      <c r="M251" s="2">
        <v>41961</v>
      </c>
      <c r="N251" s="1">
        <v>14</v>
      </c>
      <c r="O251" s="2">
        <v>41961</v>
      </c>
      <c r="P251" s="1">
        <v>20150</v>
      </c>
      <c r="Q251" s="1" t="s">
        <v>197</v>
      </c>
      <c r="R251" s="2">
        <v>41985</v>
      </c>
      <c r="S251" s="1">
        <v>212118</v>
      </c>
      <c r="U251" s="1">
        <v>7300</v>
      </c>
      <c r="V251" s="1" t="s">
        <v>3969</v>
      </c>
      <c r="W251" s="1" t="s">
        <v>425</v>
      </c>
      <c r="X251" s="1">
        <v>204</v>
      </c>
      <c r="Y251" s="1">
        <v>12</v>
      </c>
      <c r="Z251" s="1" t="s">
        <v>249</v>
      </c>
      <c r="AA251" s="1" t="s">
        <v>1294</v>
      </c>
      <c r="AB251" s="1">
        <v>60516</v>
      </c>
      <c r="AD251" s="1" t="s">
        <v>3970</v>
      </c>
      <c r="AE251" s="1" t="s">
        <v>3971</v>
      </c>
      <c r="AF251" s="1">
        <v>1971</v>
      </c>
      <c r="AG251" s="1" t="s">
        <v>213</v>
      </c>
      <c r="AH251" s="1" t="s">
        <v>903</v>
      </c>
      <c r="AI251" s="1" t="s">
        <v>206</v>
      </c>
      <c r="AJ251" s="1" t="s">
        <v>903</v>
      </c>
      <c r="AL251" s="1">
        <v>5</v>
      </c>
      <c r="AM251" s="1">
        <v>2</v>
      </c>
      <c r="AN251" s="1">
        <v>2</v>
      </c>
      <c r="AO251" s="1">
        <v>0</v>
      </c>
      <c r="AP251" s="1" t="s">
        <v>209</v>
      </c>
      <c r="AR251" s="1" t="s">
        <v>210</v>
      </c>
      <c r="AT251" s="1" t="s">
        <v>271</v>
      </c>
      <c r="AV251" s="1">
        <v>1</v>
      </c>
      <c r="AW251" s="1" t="s">
        <v>213</v>
      </c>
      <c r="AX251" s="1" t="s">
        <v>212</v>
      </c>
      <c r="AZ251" s="1">
        <v>1519</v>
      </c>
      <c r="BA251" s="1">
        <v>2013</v>
      </c>
      <c r="BB251" s="1" t="s">
        <v>405</v>
      </c>
      <c r="BE251" s="1">
        <v>0</v>
      </c>
      <c r="BF251" s="1">
        <v>2</v>
      </c>
      <c r="BG251" s="1">
        <v>7</v>
      </c>
      <c r="BL251" s="1">
        <v>356</v>
      </c>
      <c r="BM251" s="1" t="s">
        <v>413</v>
      </c>
      <c r="BN251" s="1" t="s">
        <v>213</v>
      </c>
      <c r="BO251" s="1">
        <v>35</v>
      </c>
      <c r="BP251" s="1" t="s">
        <v>204</v>
      </c>
      <c r="BR251" s="1" t="str">
        <f>"0929220070"</f>
        <v>0929220070</v>
      </c>
      <c r="BT251" s="1" t="s">
        <v>3972</v>
      </c>
      <c r="BU251" s="1" t="s">
        <v>3973</v>
      </c>
      <c r="BV251" s="1" t="s">
        <v>3098</v>
      </c>
      <c r="BW251" s="1" t="s">
        <v>3099</v>
      </c>
      <c r="BX251" s="1">
        <v>61</v>
      </c>
      <c r="BY251" s="1">
        <v>61</v>
      </c>
      <c r="BZ251" s="1">
        <v>99</v>
      </c>
      <c r="CB251" s="1" t="str">
        <f t="shared" ref="CB251:CC251" si="200">"0"</f>
        <v>0</v>
      </c>
      <c r="CC251" s="1" t="str">
        <f t="shared" si="200"/>
        <v>0</v>
      </c>
      <c r="CD251" s="1">
        <v>19</v>
      </c>
      <c r="CE251" s="1">
        <v>8</v>
      </c>
      <c r="CG251" s="1" t="s">
        <v>669</v>
      </c>
      <c r="CH251" s="1" t="s">
        <v>219</v>
      </c>
      <c r="CI251" s="1" t="s">
        <v>220</v>
      </c>
      <c r="CJ251" s="1" t="s">
        <v>343</v>
      </c>
      <c r="CK251" s="1" t="s">
        <v>539</v>
      </c>
      <c r="CL251" s="1" t="s">
        <v>219</v>
      </c>
      <c r="CM251" s="1" t="s">
        <v>220</v>
      </c>
      <c r="CN251" s="1" t="s">
        <v>343</v>
      </c>
      <c r="CO251" s="1" t="s">
        <v>516</v>
      </c>
      <c r="CP251" s="1" t="s">
        <v>219</v>
      </c>
      <c r="CQ251" s="1" t="s">
        <v>220</v>
      </c>
      <c r="CR251" s="1" t="s">
        <v>343</v>
      </c>
      <c r="CS251" s="1" t="s">
        <v>1297</v>
      </c>
      <c r="CT251" s="1" t="s">
        <v>219</v>
      </c>
      <c r="CU251" s="1" t="s">
        <v>220</v>
      </c>
      <c r="CX251" s="1" t="s">
        <v>224</v>
      </c>
      <c r="DB251" s="1" t="s">
        <v>224</v>
      </c>
      <c r="DE251" s="1" t="s">
        <v>380</v>
      </c>
      <c r="DF251" s="1" t="s">
        <v>219</v>
      </c>
      <c r="DG251" s="1" t="s">
        <v>342</v>
      </c>
      <c r="DJ251" s="1" t="s">
        <v>224</v>
      </c>
      <c r="DS251" s="1" t="s">
        <v>230</v>
      </c>
      <c r="DW251" s="1" t="s">
        <v>230</v>
      </c>
      <c r="EA251" s="1" t="s">
        <v>230</v>
      </c>
      <c r="EE251" s="1" t="s">
        <v>230</v>
      </c>
      <c r="EI251" s="1" t="s">
        <v>230</v>
      </c>
      <c r="EL251" s="1" t="s">
        <v>605</v>
      </c>
      <c r="EM251" s="1" t="s">
        <v>232</v>
      </c>
      <c r="EN251" s="1" t="s">
        <v>282</v>
      </c>
      <c r="EO251" s="1" t="s">
        <v>234</v>
      </c>
      <c r="EP251" s="1" t="s">
        <v>3974</v>
      </c>
      <c r="EQ251" s="1" t="s">
        <v>350</v>
      </c>
      <c r="ER251" s="1" t="s">
        <v>210</v>
      </c>
      <c r="ES251" s="1" t="s">
        <v>322</v>
      </c>
      <c r="EV251" s="1" t="s">
        <v>352</v>
      </c>
      <c r="EW251" s="1" t="s">
        <v>3975</v>
      </c>
      <c r="EY251" s="1" t="s">
        <v>242</v>
      </c>
      <c r="EZ251" s="1" t="s">
        <v>287</v>
      </c>
      <c r="FB251" s="1" t="s">
        <v>244</v>
      </c>
      <c r="FC251" s="1" t="s">
        <v>3976</v>
      </c>
      <c r="FD251" s="1" t="s">
        <v>246</v>
      </c>
      <c r="FE251" s="1" t="s">
        <v>651</v>
      </c>
      <c r="FF251" s="1" t="s">
        <v>387</v>
      </c>
      <c r="FH251" s="1" t="s">
        <v>716</v>
      </c>
      <c r="FJ251" s="1" t="s">
        <v>1251</v>
      </c>
      <c r="FK251" s="1" t="s">
        <v>2309</v>
      </c>
      <c r="FL251" s="1" t="s">
        <v>358</v>
      </c>
      <c r="FM251" s="1" t="s">
        <v>252</v>
      </c>
      <c r="FN251" s="1" t="s">
        <v>213</v>
      </c>
      <c r="FO251" s="1" t="s">
        <v>213</v>
      </c>
      <c r="FQ251" s="1" t="s">
        <v>3977</v>
      </c>
      <c r="FR251" s="1" t="s">
        <v>210</v>
      </c>
      <c r="FS251" s="1" t="s">
        <v>3978</v>
      </c>
      <c r="FT251" s="1" t="s">
        <v>362</v>
      </c>
      <c r="FU251" s="1" t="s">
        <v>204</v>
      </c>
      <c r="FW251" s="1" t="s">
        <v>1961</v>
      </c>
      <c r="FX251" s="1">
        <v>20150</v>
      </c>
      <c r="FY251" s="1" t="s">
        <v>1962</v>
      </c>
      <c r="FZ251" s="1" t="s">
        <v>3979</v>
      </c>
      <c r="GA251" s="1">
        <v>212118</v>
      </c>
      <c r="GB251" s="1" t="s">
        <v>3980</v>
      </c>
      <c r="GD251" s="1" t="s">
        <v>3981</v>
      </c>
      <c r="GE251" s="1" t="s">
        <v>1333</v>
      </c>
      <c r="GI251" s="1" t="s">
        <v>213</v>
      </c>
      <c r="GJ251" s="1" t="s">
        <v>260</v>
      </c>
      <c r="GK251" s="1" t="s">
        <v>261</v>
      </c>
      <c r="GL251" s="2">
        <v>41985</v>
      </c>
      <c r="GM251" s="1" t="s">
        <v>3982</v>
      </c>
    </row>
    <row r="252" spans="1:195">
      <c r="A252" s="1">
        <v>249900</v>
      </c>
      <c r="B252" s="1" t="s">
        <v>195</v>
      </c>
      <c r="C252" s="1" t="str">
        <f>"08768510"</f>
        <v>08768510</v>
      </c>
      <c r="D252" s="1" t="s">
        <v>196</v>
      </c>
      <c r="F252" s="1" t="str">
        <f>"540"</f>
        <v>540</v>
      </c>
      <c r="G252" s="2">
        <v>41947</v>
      </c>
      <c r="H252" s="1">
        <v>249900</v>
      </c>
      <c r="I252" s="1">
        <v>249900</v>
      </c>
      <c r="J252" s="1">
        <v>249900</v>
      </c>
      <c r="K252" s="2">
        <v>41947</v>
      </c>
      <c r="L252" s="1">
        <v>35</v>
      </c>
      <c r="M252" s="2">
        <v>41981</v>
      </c>
      <c r="N252" s="1">
        <v>35</v>
      </c>
      <c r="O252" s="2">
        <v>41981</v>
      </c>
      <c r="P252" s="1">
        <v>8089</v>
      </c>
      <c r="Q252" s="1" t="s">
        <v>197</v>
      </c>
      <c r="R252" s="2">
        <v>42004</v>
      </c>
      <c r="S252" s="1">
        <v>89098</v>
      </c>
      <c r="U252" s="1">
        <v>944</v>
      </c>
      <c r="V252" s="1" t="s">
        <v>3983</v>
      </c>
      <c r="W252" s="1" t="s">
        <v>504</v>
      </c>
      <c r="Y252" s="1">
        <v>4</v>
      </c>
      <c r="Z252" s="1" t="s">
        <v>200</v>
      </c>
      <c r="AA252" s="1" t="s">
        <v>921</v>
      </c>
      <c r="AB252" s="1">
        <v>60540</v>
      </c>
      <c r="AD252" s="1" t="s">
        <v>3984</v>
      </c>
      <c r="AE252" s="1" t="s">
        <v>3985</v>
      </c>
      <c r="AF252" s="1">
        <v>1989</v>
      </c>
      <c r="AG252" s="1" t="s">
        <v>204</v>
      </c>
      <c r="AH252" s="1" t="s">
        <v>924</v>
      </c>
      <c r="AI252" s="1" t="s">
        <v>206</v>
      </c>
      <c r="AJ252" s="1" t="s">
        <v>924</v>
      </c>
      <c r="AL252" s="1">
        <v>9</v>
      </c>
      <c r="AM252" s="1">
        <v>2</v>
      </c>
      <c r="AN252" s="1">
        <v>3</v>
      </c>
      <c r="AO252" s="1">
        <v>0</v>
      </c>
      <c r="AP252" s="1" t="s">
        <v>209</v>
      </c>
      <c r="AQ252" s="1">
        <v>1</v>
      </c>
      <c r="AR252" s="1" t="s">
        <v>209</v>
      </c>
      <c r="AS252" s="1" t="s">
        <v>213</v>
      </c>
      <c r="AT252" s="1" t="s">
        <v>211</v>
      </c>
      <c r="AU252" s="1">
        <v>2</v>
      </c>
      <c r="AW252" s="1" t="s">
        <v>204</v>
      </c>
      <c r="AX252" s="1" t="s">
        <v>3986</v>
      </c>
      <c r="AZ252" s="1">
        <v>6479</v>
      </c>
      <c r="BA252" s="1">
        <v>2013</v>
      </c>
      <c r="BE252" s="1">
        <v>1522</v>
      </c>
      <c r="BF252" s="1">
        <v>1</v>
      </c>
      <c r="BG252" s="1">
        <v>0</v>
      </c>
      <c r="BL252" s="1">
        <v>230</v>
      </c>
      <c r="BM252" s="1" t="s">
        <v>204</v>
      </c>
      <c r="BN252" s="1" t="s">
        <v>213</v>
      </c>
      <c r="BO252" s="1">
        <v>0</v>
      </c>
      <c r="BP252" s="1" t="s">
        <v>204</v>
      </c>
      <c r="BR252" s="1" t="str">
        <f>"0726210015"</f>
        <v>0726210015</v>
      </c>
      <c r="BT252" s="1" t="s">
        <v>3987</v>
      </c>
      <c r="BU252" s="1" t="s">
        <v>3988</v>
      </c>
      <c r="BV252" s="1" t="s">
        <v>1248</v>
      </c>
      <c r="BW252" s="1" t="s">
        <v>1131</v>
      </c>
      <c r="BX252" s="1">
        <v>204</v>
      </c>
      <c r="BY252" s="1">
        <v>204</v>
      </c>
      <c r="BZ252" s="1">
        <v>204</v>
      </c>
      <c r="CB252" s="1" t="str">
        <f t="shared" ref="CB252:CC252" si="201">""</f>
        <v/>
      </c>
      <c r="CC252" s="1" t="str">
        <f t="shared" si="201"/>
        <v/>
      </c>
      <c r="CG252" s="1" t="s">
        <v>218</v>
      </c>
      <c r="CH252" s="1" t="s">
        <v>219</v>
      </c>
      <c r="CI252" s="1" t="s">
        <v>220</v>
      </c>
      <c r="CK252" s="1" t="s">
        <v>1045</v>
      </c>
      <c r="CL252" s="1" t="s">
        <v>219</v>
      </c>
      <c r="CM252" s="1" t="s">
        <v>220</v>
      </c>
      <c r="CO252" s="1" t="s">
        <v>344</v>
      </c>
      <c r="CP252" s="1" t="s">
        <v>219</v>
      </c>
      <c r="CS252" s="1" t="s">
        <v>317</v>
      </c>
      <c r="CT252" s="1" t="s">
        <v>219</v>
      </c>
      <c r="CU252" s="1" t="s">
        <v>220</v>
      </c>
      <c r="CW252" s="1" t="s">
        <v>223</v>
      </c>
      <c r="CX252" s="1" t="s">
        <v>43</v>
      </c>
      <c r="CY252" s="1" t="s">
        <v>220</v>
      </c>
      <c r="DB252" s="1" t="s">
        <v>224</v>
      </c>
      <c r="DE252" s="1" t="s">
        <v>1425</v>
      </c>
      <c r="DF252" s="1" t="s">
        <v>219</v>
      </c>
      <c r="DI252" s="1" t="s">
        <v>3989</v>
      </c>
      <c r="DJ252" s="1" t="s">
        <v>43</v>
      </c>
      <c r="DK252" s="1" t="s">
        <v>220</v>
      </c>
      <c r="DM252" s="1" t="s">
        <v>1005</v>
      </c>
      <c r="DN252" s="1" t="s">
        <v>934</v>
      </c>
      <c r="DR252" s="1" t="s">
        <v>346</v>
      </c>
      <c r="DS252" s="1" t="s">
        <v>219</v>
      </c>
      <c r="DV252" s="1" t="s">
        <v>3989</v>
      </c>
      <c r="DW252" s="1" t="s">
        <v>43</v>
      </c>
      <c r="EA252" s="1" t="s">
        <v>230</v>
      </c>
      <c r="EE252" s="1" t="s">
        <v>230</v>
      </c>
      <c r="EI252" s="1" t="s">
        <v>230</v>
      </c>
      <c r="EL252" s="1" t="s">
        <v>382</v>
      </c>
      <c r="EM252" s="1" t="s">
        <v>232</v>
      </c>
      <c r="EN252" s="1" t="s">
        <v>282</v>
      </c>
      <c r="EO252" s="1" t="s">
        <v>234</v>
      </c>
      <c r="EQ252" s="1" t="s">
        <v>3931</v>
      </c>
      <c r="ER252" s="1" t="s">
        <v>544</v>
      </c>
      <c r="ES252" s="1" t="s">
        <v>322</v>
      </c>
      <c r="EV252" s="1" t="s">
        <v>324</v>
      </c>
      <c r="EW252" s="1" t="s">
        <v>867</v>
      </c>
      <c r="EZ252" s="1" t="s">
        <v>2539</v>
      </c>
      <c r="FD252" s="1" t="s">
        <v>246</v>
      </c>
      <c r="FE252" s="1" t="s">
        <v>975</v>
      </c>
      <c r="FF252" s="1" t="s">
        <v>387</v>
      </c>
      <c r="FG252" s="1" t="s">
        <v>2406</v>
      </c>
      <c r="FH252" s="1" t="s">
        <v>825</v>
      </c>
      <c r="FI252" s="1" t="s">
        <v>473</v>
      </c>
      <c r="FL252" s="1" t="s">
        <v>358</v>
      </c>
      <c r="FM252" s="1" t="s">
        <v>252</v>
      </c>
      <c r="FN252" s="1" t="s">
        <v>213</v>
      </c>
      <c r="FO252" s="1" t="s">
        <v>213</v>
      </c>
      <c r="FQ252" s="1" t="s">
        <v>1599</v>
      </c>
      <c r="FR252" s="1" t="s">
        <v>210</v>
      </c>
      <c r="FS252" s="1" t="s">
        <v>1709</v>
      </c>
      <c r="FT252" s="1" t="s">
        <v>362</v>
      </c>
      <c r="FU252" s="1" t="s">
        <v>204</v>
      </c>
      <c r="FW252" s="1" t="s">
        <v>3990</v>
      </c>
      <c r="FX252" s="1">
        <v>24684</v>
      </c>
      <c r="FY252" s="1" t="s">
        <v>3991</v>
      </c>
      <c r="FZ252" s="1" t="s">
        <v>3992</v>
      </c>
      <c r="GA252" s="1">
        <v>213905</v>
      </c>
      <c r="GB252" s="1" t="s">
        <v>3991</v>
      </c>
      <c r="GE252" s="1" t="s">
        <v>210</v>
      </c>
      <c r="GI252" s="1" t="s">
        <v>213</v>
      </c>
      <c r="GJ252" s="1" t="s">
        <v>260</v>
      </c>
      <c r="GK252" s="1" t="s">
        <v>210</v>
      </c>
      <c r="GL252" s="2">
        <v>42005</v>
      </c>
      <c r="GM252" s="1" t="s">
        <v>3993</v>
      </c>
    </row>
    <row r="253" spans="1:195">
      <c r="A253" s="1">
        <v>132500</v>
      </c>
      <c r="B253" s="1" t="s">
        <v>195</v>
      </c>
      <c r="C253" s="1" t="str">
        <f>"08766538"</f>
        <v>08766538</v>
      </c>
      <c r="D253" s="1" t="s">
        <v>196</v>
      </c>
      <c r="F253" s="1" t="str">
        <f>"515"</f>
        <v>515</v>
      </c>
      <c r="G253" s="2">
        <v>41944</v>
      </c>
      <c r="H253" s="1">
        <v>139900</v>
      </c>
      <c r="I253" s="1">
        <v>139900</v>
      </c>
      <c r="J253" s="1">
        <v>132500</v>
      </c>
      <c r="K253" s="2">
        <v>41944</v>
      </c>
      <c r="L253" s="1">
        <v>14</v>
      </c>
      <c r="M253" s="2">
        <v>41957</v>
      </c>
      <c r="N253" s="1">
        <v>14</v>
      </c>
      <c r="O253" s="2">
        <v>41957</v>
      </c>
      <c r="P253" s="1">
        <v>23156</v>
      </c>
      <c r="Q253" s="1" t="s">
        <v>197</v>
      </c>
      <c r="R253" s="2">
        <v>42010</v>
      </c>
      <c r="S253" s="1">
        <v>226904</v>
      </c>
      <c r="U253" s="1">
        <v>8025</v>
      </c>
      <c r="V253" s="1" t="s">
        <v>2341</v>
      </c>
      <c r="W253" s="1" t="s">
        <v>504</v>
      </c>
      <c r="X253" s="1">
        <v>512</v>
      </c>
      <c r="Y253" s="1">
        <v>60</v>
      </c>
      <c r="Z253" s="1" t="s">
        <v>249</v>
      </c>
      <c r="AA253" s="1" t="s">
        <v>1294</v>
      </c>
      <c r="AB253" s="1">
        <v>60516</v>
      </c>
      <c r="AD253" s="1" t="s">
        <v>3994</v>
      </c>
      <c r="AE253" s="1" t="s">
        <v>3995</v>
      </c>
      <c r="AF253" s="1">
        <v>1973</v>
      </c>
      <c r="AG253" s="1" t="s">
        <v>213</v>
      </c>
      <c r="AH253" s="1" t="s">
        <v>882</v>
      </c>
      <c r="AI253" s="1" t="s">
        <v>206</v>
      </c>
      <c r="AJ253" s="1" t="s">
        <v>903</v>
      </c>
      <c r="AK253" s="1" t="s">
        <v>270</v>
      </c>
      <c r="AL253" s="1">
        <v>5</v>
      </c>
      <c r="AM253" s="1">
        <v>2</v>
      </c>
      <c r="AN253" s="1">
        <v>1</v>
      </c>
      <c r="AO253" s="1">
        <v>0</v>
      </c>
      <c r="AP253" s="1" t="s">
        <v>210</v>
      </c>
      <c r="AR253" s="1" t="s">
        <v>210</v>
      </c>
      <c r="AT253" s="1" t="s">
        <v>211</v>
      </c>
      <c r="AU253" s="1">
        <v>1</v>
      </c>
      <c r="AW253" s="1" t="s">
        <v>204</v>
      </c>
      <c r="AX253" s="1" t="s">
        <v>212</v>
      </c>
      <c r="AZ253" s="1">
        <v>970.3</v>
      </c>
      <c r="BA253" s="1">
        <v>2013</v>
      </c>
      <c r="BB253" s="1" t="s">
        <v>3996</v>
      </c>
      <c r="BE253" s="1">
        <v>1000</v>
      </c>
      <c r="BF253" s="1">
        <v>5</v>
      </c>
      <c r="BG253" s="1">
        <v>30</v>
      </c>
      <c r="BJ253" s="1">
        <v>100</v>
      </c>
      <c r="BL253" s="1">
        <v>277</v>
      </c>
      <c r="BM253" s="1" t="s">
        <v>204</v>
      </c>
      <c r="BN253" s="1" t="s">
        <v>213</v>
      </c>
      <c r="BP253" s="1" t="s">
        <v>204</v>
      </c>
      <c r="BR253" s="1" t="str">
        <f>"0932220061"</f>
        <v>0932220061</v>
      </c>
      <c r="BT253" s="1" t="s">
        <v>3997</v>
      </c>
      <c r="BU253" s="1" t="s">
        <v>3998</v>
      </c>
      <c r="BV253" s="1" t="s">
        <v>3999</v>
      </c>
      <c r="BW253" s="1" t="s">
        <v>3099</v>
      </c>
      <c r="BX253" s="1">
        <v>66</v>
      </c>
      <c r="BY253" s="1">
        <v>66</v>
      </c>
      <c r="BZ253" s="1">
        <v>99</v>
      </c>
      <c r="CB253" s="1" t="str">
        <f t="shared" ref="CB253:CC253" si="202">"0"</f>
        <v>0</v>
      </c>
      <c r="CC253" s="1" t="str">
        <f t="shared" si="202"/>
        <v>0</v>
      </c>
      <c r="CD253" s="1">
        <v>19</v>
      </c>
      <c r="CE253" s="1">
        <v>9</v>
      </c>
      <c r="CG253" s="1" t="s">
        <v>861</v>
      </c>
      <c r="CH253" s="1" t="s">
        <v>219</v>
      </c>
      <c r="CI253" s="1" t="s">
        <v>438</v>
      </c>
      <c r="CJ253" s="1" t="s">
        <v>463</v>
      </c>
      <c r="CK253" s="1" t="s">
        <v>581</v>
      </c>
      <c r="CL253" s="1" t="s">
        <v>219</v>
      </c>
      <c r="CM253" s="1" t="s">
        <v>438</v>
      </c>
      <c r="CN253" s="1" t="s">
        <v>343</v>
      </c>
      <c r="CO253" s="1" t="s">
        <v>837</v>
      </c>
      <c r="CP253" s="1" t="s">
        <v>219</v>
      </c>
      <c r="CQ253" s="1" t="s">
        <v>438</v>
      </c>
      <c r="CR253" s="1" t="s">
        <v>210</v>
      </c>
      <c r="CS253" s="1" t="s">
        <v>379</v>
      </c>
      <c r="CT253" s="1" t="s">
        <v>219</v>
      </c>
      <c r="CU253" s="1" t="s">
        <v>438</v>
      </c>
      <c r="CV253" s="1" t="s">
        <v>343</v>
      </c>
      <c r="CX253" s="1" t="s">
        <v>224</v>
      </c>
      <c r="DB253" s="1" t="s">
        <v>224</v>
      </c>
      <c r="DE253" s="1" t="s">
        <v>316</v>
      </c>
      <c r="DF253" s="1" t="s">
        <v>219</v>
      </c>
      <c r="DG253" s="1" t="s">
        <v>438</v>
      </c>
      <c r="DH253" s="1" t="s">
        <v>210</v>
      </c>
      <c r="DJ253" s="1" t="s">
        <v>224</v>
      </c>
      <c r="DS253" s="1" t="s">
        <v>230</v>
      </c>
      <c r="DW253" s="1" t="s">
        <v>230</v>
      </c>
      <c r="EA253" s="1" t="s">
        <v>230</v>
      </c>
      <c r="EE253" s="1" t="s">
        <v>230</v>
      </c>
      <c r="EI253" s="1" t="s">
        <v>230</v>
      </c>
      <c r="EL253" s="1" t="s">
        <v>605</v>
      </c>
      <c r="EM253" s="1" t="s">
        <v>232</v>
      </c>
      <c r="EN253" s="1" t="s">
        <v>282</v>
      </c>
      <c r="EO253" s="1" t="s">
        <v>234</v>
      </c>
      <c r="EP253" s="1" t="s">
        <v>4000</v>
      </c>
      <c r="EQ253" s="1" t="s">
        <v>492</v>
      </c>
      <c r="ER253" s="1" t="s">
        <v>210</v>
      </c>
      <c r="ES253" s="1" t="s">
        <v>545</v>
      </c>
      <c r="EU253" s="1" t="s">
        <v>4001</v>
      </c>
      <c r="EV253" s="1" t="s">
        <v>324</v>
      </c>
      <c r="EW253" s="1" t="s">
        <v>4002</v>
      </c>
      <c r="EZ253" s="1" t="s">
        <v>287</v>
      </c>
      <c r="FA253" s="1" t="s">
        <v>938</v>
      </c>
      <c r="FB253" s="1" t="s">
        <v>734</v>
      </c>
      <c r="FC253" s="1" t="s">
        <v>633</v>
      </c>
      <c r="FD253" s="1" t="s">
        <v>4003</v>
      </c>
      <c r="FE253" s="1" t="s">
        <v>247</v>
      </c>
      <c r="FF253" s="1" t="s">
        <v>248</v>
      </c>
      <c r="FH253" s="1" t="s">
        <v>249</v>
      </c>
      <c r="FI253" s="1" t="s">
        <v>4004</v>
      </c>
      <c r="FJ253" s="1" t="s">
        <v>1472</v>
      </c>
      <c r="FL253" s="1" t="s">
        <v>358</v>
      </c>
      <c r="FM253" s="1" t="s">
        <v>252</v>
      </c>
      <c r="FN253" s="1" t="s">
        <v>213</v>
      </c>
      <c r="FO253" s="1" t="s">
        <v>213</v>
      </c>
      <c r="FQ253" s="1" t="s">
        <v>4005</v>
      </c>
      <c r="FR253" s="1" t="s">
        <v>210</v>
      </c>
      <c r="FS253" s="1" t="s">
        <v>4006</v>
      </c>
      <c r="FT253" s="1" t="s">
        <v>362</v>
      </c>
      <c r="FU253" s="1" t="s">
        <v>204</v>
      </c>
      <c r="FW253" s="1" t="s">
        <v>4007</v>
      </c>
      <c r="FX253" s="1">
        <v>21754</v>
      </c>
      <c r="FY253" s="1" t="s">
        <v>4008</v>
      </c>
      <c r="FZ253" s="1" t="s">
        <v>4009</v>
      </c>
      <c r="GA253" s="1">
        <v>224712</v>
      </c>
      <c r="GD253" s="1" t="s">
        <v>4010</v>
      </c>
      <c r="GE253" s="1" t="s">
        <v>210</v>
      </c>
      <c r="GI253" s="1" t="s">
        <v>213</v>
      </c>
      <c r="GJ253" s="1" t="s">
        <v>260</v>
      </c>
      <c r="GK253" s="1" t="s">
        <v>210</v>
      </c>
      <c r="GL253" s="2">
        <v>42010</v>
      </c>
      <c r="GM253" s="1" t="s">
        <v>4011</v>
      </c>
    </row>
    <row r="254" spans="1:195">
      <c r="A254" s="1">
        <v>73500</v>
      </c>
      <c r="B254" s="1" t="s">
        <v>195</v>
      </c>
      <c r="C254" s="1" t="str">
        <f>"08767833"</f>
        <v>08767833</v>
      </c>
      <c r="D254" s="1" t="s">
        <v>196</v>
      </c>
      <c r="F254" s="1" t="str">
        <f>"8065"</f>
        <v>8065</v>
      </c>
      <c r="G254" s="2">
        <v>41946</v>
      </c>
      <c r="H254" s="1">
        <v>79900</v>
      </c>
      <c r="I254" s="1">
        <v>79900</v>
      </c>
      <c r="J254" s="1">
        <v>73500</v>
      </c>
      <c r="K254" s="2">
        <v>41946</v>
      </c>
      <c r="L254" s="1">
        <v>28</v>
      </c>
      <c r="M254" s="2">
        <v>41973</v>
      </c>
      <c r="N254" s="1">
        <v>28</v>
      </c>
      <c r="O254" s="2">
        <v>41973</v>
      </c>
      <c r="P254" s="1">
        <v>14856</v>
      </c>
      <c r="Q254" s="1" t="s">
        <v>197</v>
      </c>
      <c r="R254" s="2">
        <v>42054</v>
      </c>
      <c r="S254" s="1">
        <v>160821</v>
      </c>
      <c r="T254" s="1">
        <v>3</v>
      </c>
      <c r="U254" s="1">
        <v>4231</v>
      </c>
      <c r="V254" s="1" t="s">
        <v>4012</v>
      </c>
      <c r="W254" s="1" t="s">
        <v>725</v>
      </c>
      <c r="X254" s="1">
        <v>207</v>
      </c>
      <c r="Y254" s="1">
        <v>12</v>
      </c>
      <c r="Z254" s="1" t="s">
        <v>370</v>
      </c>
      <c r="AA254" s="1" t="s">
        <v>400</v>
      </c>
      <c r="AB254" s="1">
        <v>60652</v>
      </c>
      <c r="AE254" s="1" t="s">
        <v>4013</v>
      </c>
      <c r="AF254" s="1" t="s">
        <v>402</v>
      </c>
      <c r="AG254" s="1" t="s">
        <v>213</v>
      </c>
      <c r="AH254" s="1" t="s">
        <v>403</v>
      </c>
      <c r="AI254" s="1" t="s">
        <v>310</v>
      </c>
      <c r="AJ254" s="1" t="s">
        <v>683</v>
      </c>
      <c r="AL254" s="1">
        <v>5</v>
      </c>
      <c r="AM254" s="1">
        <v>2</v>
      </c>
      <c r="AN254" s="1">
        <v>2</v>
      </c>
      <c r="AO254" s="1">
        <v>0</v>
      </c>
      <c r="AP254" s="1" t="s">
        <v>209</v>
      </c>
      <c r="AR254" s="1" t="s">
        <v>210</v>
      </c>
      <c r="AS254" s="1" t="s">
        <v>204</v>
      </c>
      <c r="AT254" s="1" t="s">
        <v>211</v>
      </c>
      <c r="AU254" s="1">
        <v>1</v>
      </c>
      <c r="AW254" s="1" t="s">
        <v>204</v>
      </c>
      <c r="AX254" s="1" t="s">
        <v>270</v>
      </c>
      <c r="AZ254" s="1">
        <v>563.91</v>
      </c>
      <c r="BA254" s="1">
        <v>2013</v>
      </c>
      <c r="BB254" s="1" t="s">
        <v>405</v>
      </c>
      <c r="BE254" s="1">
        <v>1125</v>
      </c>
      <c r="BF254" s="1">
        <v>2</v>
      </c>
      <c r="BG254" s="1">
        <v>0</v>
      </c>
      <c r="BL254" s="1">
        <v>225</v>
      </c>
      <c r="BM254" s="1" t="s">
        <v>204</v>
      </c>
      <c r="BN254" s="1" t="s">
        <v>213</v>
      </c>
      <c r="BO254" s="1">
        <v>50</v>
      </c>
      <c r="BP254" s="1" t="s">
        <v>204</v>
      </c>
      <c r="BR254" s="1" t="str">
        <f>"19274010581095"</f>
        <v>19274010581095</v>
      </c>
      <c r="BT254" s="1" t="s">
        <v>4014</v>
      </c>
      <c r="BX254" s="1">
        <v>299</v>
      </c>
      <c r="BY254" s="1">
        <v>299</v>
      </c>
      <c r="BZ254" s="1">
        <v>299</v>
      </c>
      <c r="CB254" s="1" t="str">
        <f t="shared" ref="CB254:CC254" si="203">"0"</f>
        <v>0</v>
      </c>
      <c r="CC254" s="1" t="str">
        <f t="shared" si="203"/>
        <v>0</v>
      </c>
      <c r="CD254" s="1">
        <v>4231</v>
      </c>
      <c r="CE254" s="1">
        <v>7600</v>
      </c>
      <c r="CG254" s="1" t="s">
        <v>1723</v>
      </c>
      <c r="CH254" s="1" t="s">
        <v>219</v>
      </c>
      <c r="CI254" s="1" t="s">
        <v>229</v>
      </c>
      <c r="CK254" s="1" t="s">
        <v>278</v>
      </c>
      <c r="CL254" s="1" t="s">
        <v>219</v>
      </c>
      <c r="CM254" s="1" t="s">
        <v>229</v>
      </c>
      <c r="CO254" s="1" t="s">
        <v>629</v>
      </c>
      <c r="CP254" s="1" t="s">
        <v>219</v>
      </c>
      <c r="CS254" s="1" t="s">
        <v>465</v>
      </c>
      <c r="CT254" s="1" t="s">
        <v>219</v>
      </c>
      <c r="CU254" s="1" t="s">
        <v>229</v>
      </c>
      <c r="CX254" s="1" t="s">
        <v>224</v>
      </c>
      <c r="DB254" s="1" t="s">
        <v>224</v>
      </c>
      <c r="DE254" s="1" t="s">
        <v>379</v>
      </c>
      <c r="DF254" s="1" t="s">
        <v>219</v>
      </c>
      <c r="DG254" s="1" t="s">
        <v>226</v>
      </c>
      <c r="DJ254" s="1" t="s">
        <v>224</v>
      </c>
      <c r="DS254" s="1" t="s">
        <v>230</v>
      </c>
      <c r="DW254" s="1" t="s">
        <v>230</v>
      </c>
      <c r="EA254" s="1" t="s">
        <v>230</v>
      </c>
      <c r="EE254" s="1" t="s">
        <v>230</v>
      </c>
      <c r="EI254" s="1" t="s">
        <v>230</v>
      </c>
      <c r="EL254" s="1" t="s">
        <v>466</v>
      </c>
      <c r="EM254" s="1" t="s">
        <v>730</v>
      </c>
      <c r="EN254" s="1" t="s">
        <v>282</v>
      </c>
      <c r="EO254" s="1" t="s">
        <v>234</v>
      </c>
      <c r="EP254" s="1" t="s">
        <v>650</v>
      </c>
      <c r="EQ254" s="1" t="s">
        <v>468</v>
      </c>
      <c r="ER254" s="1" t="s">
        <v>210</v>
      </c>
      <c r="ES254" s="1" t="s">
        <v>1160</v>
      </c>
      <c r="EV254" s="1" t="s">
        <v>240</v>
      </c>
      <c r="EW254" s="1" t="s">
        <v>937</v>
      </c>
      <c r="EZ254" s="1" t="s">
        <v>287</v>
      </c>
      <c r="FA254" s="1" t="s">
        <v>3915</v>
      </c>
      <c r="FB254" s="1" t="s">
        <v>289</v>
      </c>
      <c r="FC254" s="1" t="s">
        <v>1555</v>
      </c>
      <c r="FD254" s="1" t="s">
        <v>246</v>
      </c>
      <c r="FE254" s="1" t="s">
        <v>247</v>
      </c>
      <c r="FF254" s="1" t="s">
        <v>248</v>
      </c>
      <c r="FH254" s="1" t="s">
        <v>249</v>
      </c>
      <c r="FL254" s="1" t="s">
        <v>358</v>
      </c>
      <c r="FM254" s="1" t="s">
        <v>252</v>
      </c>
      <c r="FN254" s="1" t="s">
        <v>213</v>
      </c>
      <c r="FO254" s="1" t="s">
        <v>213</v>
      </c>
      <c r="FQ254" s="1" t="s">
        <v>4015</v>
      </c>
      <c r="FR254" s="1" t="s">
        <v>210</v>
      </c>
      <c r="FS254" s="1" t="s">
        <v>4016</v>
      </c>
      <c r="FT254" s="1" t="s">
        <v>295</v>
      </c>
      <c r="FU254" s="1" t="s">
        <v>204</v>
      </c>
      <c r="FW254" s="1" t="s">
        <v>4017</v>
      </c>
      <c r="FX254" s="1">
        <v>85134</v>
      </c>
      <c r="FY254" s="1" t="s">
        <v>4018</v>
      </c>
      <c r="FZ254" s="1" t="s">
        <v>4019</v>
      </c>
      <c r="GA254" s="1">
        <v>165223</v>
      </c>
      <c r="GB254" s="1" t="s">
        <v>4020</v>
      </c>
      <c r="GE254" s="1" t="s">
        <v>4021</v>
      </c>
      <c r="GH254" s="1" t="s">
        <v>589</v>
      </c>
      <c r="GI254" s="1" t="s">
        <v>204</v>
      </c>
      <c r="GJ254" s="1" t="s">
        <v>260</v>
      </c>
      <c r="GK254" s="1" t="s">
        <v>210</v>
      </c>
      <c r="GL254" s="2">
        <v>42055</v>
      </c>
    </row>
    <row r="255" spans="1:195">
      <c r="A255" s="1">
        <v>65100</v>
      </c>
      <c r="B255" s="1" t="s">
        <v>195</v>
      </c>
      <c r="C255" s="1" t="str">
        <f>"08768335"</f>
        <v>08768335</v>
      </c>
      <c r="D255" s="1" t="s">
        <v>196</v>
      </c>
      <c r="F255" s="1" t="str">
        <f>"73"</f>
        <v>73</v>
      </c>
      <c r="G255" s="2">
        <v>41947</v>
      </c>
      <c r="H255" s="1">
        <v>74900</v>
      </c>
      <c r="I255" s="1">
        <v>74900</v>
      </c>
      <c r="J255" s="1">
        <v>65100</v>
      </c>
      <c r="K255" s="2">
        <v>41946</v>
      </c>
      <c r="L255" s="1">
        <v>71</v>
      </c>
      <c r="M255" s="2">
        <v>42016</v>
      </c>
      <c r="N255" s="1">
        <v>71</v>
      </c>
      <c r="O255" s="2">
        <v>42016</v>
      </c>
      <c r="P255" s="1">
        <v>4675</v>
      </c>
      <c r="Q255" s="1" t="s">
        <v>302</v>
      </c>
      <c r="R255" s="2">
        <v>42034</v>
      </c>
      <c r="S255" s="1">
        <v>39778</v>
      </c>
      <c r="U255" s="1">
        <v>1219</v>
      </c>
      <c r="V255" s="1" t="s">
        <v>4022</v>
      </c>
      <c r="W255" s="1" t="s">
        <v>264</v>
      </c>
      <c r="X255" s="1">
        <v>1219</v>
      </c>
      <c r="Y255" s="1">
        <v>4</v>
      </c>
      <c r="Z255" s="1" t="s">
        <v>370</v>
      </c>
      <c r="AA255" s="1" t="s">
        <v>1027</v>
      </c>
      <c r="AB255" s="1">
        <v>60073</v>
      </c>
      <c r="AE255" s="1" t="s">
        <v>4023</v>
      </c>
      <c r="AF255" s="1">
        <v>2001</v>
      </c>
      <c r="AG255" s="1" t="s">
        <v>204</v>
      </c>
      <c r="AH255" s="1" t="s">
        <v>1029</v>
      </c>
      <c r="AI255" s="1" t="s">
        <v>509</v>
      </c>
      <c r="AJ255" s="1" t="s">
        <v>1263</v>
      </c>
      <c r="AL255" s="1">
        <v>6</v>
      </c>
      <c r="AM255" s="1">
        <v>2</v>
      </c>
      <c r="AN255" s="1">
        <v>2</v>
      </c>
      <c r="AO255" s="1">
        <v>1</v>
      </c>
      <c r="AP255" s="1" t="s">
        <v>209</v>
      </c>
      <c r="AR255" s="1" t="s">
        <v>210</v>
      </c>
      <c r="AS255" s="1" t="s">
        <v>204</v>
      </c>
      <c r="AT255" s="1" t="s">
        <v>211</v>
      </c>
      <c r="AU255" s="1">
        <v>1</v>
      </c>
      <c r="AW255" s="1" t="s">
        <v>204</v>
      </c>
      <c r="AX255" s="1" t="s">
        <v>212</v>
      </c>
      <c r="AZ255" s="3">
        <v>3900</v>
      </c>
      <c r="BA255" s="1">
        <v>2013</v>
      </c>
      <c r="BE255" s="1">
        <v>1412</v>
      </c>
      <c r="BF255" s="1">
        <v>1</v>
      </c>
      <c r="BG255" s="1">
        <v>30</v>
      </c>
      <c r="BL255" s="1">
        <v>202</v>
      </c>
      <c r="BM255" s="1" t="s">
        <v>204</v>
      </c>
      <c r="BN255" s="1" t="s">
        <v>213</v>
      </c>
      <c r="BO255" s="1">
        <v>0</v>
      </c>
      <c r="BP255" s="1" t="s">
        <v>204</v>
      </c>
      <c r="BR255" s="1" t="str">
        <f>"06191080220000"</f>
        <v>06191080220000</v>
      </c>
      <c r="BT255" s="1" t="s">
        <v>4024</v>
      </c>
      <c r="BV255" s="1" t="s">
        <v>4025</v>
      </c>
      <c r="BW255" s="1" t="s">
        <v>4026</v>
      </c>
      <c r="BX255" s="1">
        <v>116</v>
      </c>
      <c r="BY255" s="1">
        <v>116</v>
      </c>
      <c r="BZ255" s="1">
        <v>116</v>
      </c>
      <c r="CB255" s="1" t="str">
        <f t="shared" ref="CB255:CC255" si="204">""</f>
        <v/>
      </c>
      <c r="CC255" s="1" t="str">
        <f t="shared" si="204"/>
        <v/>
      </c>
      <c r="CG255" s="1" t="s">
        <v>1200</v>
      </c>
      <c r="CH255" s="1" t="s">
        <v>219</v>
      </c>
      <c r="CK255" s="1" t="s">
        <v>315</v>
      </c>
      <c r="CL255" s="1" t="s">
        <v>277</v>
      </c>
      <c r="CO255" s="1" t="s">
        <v>1046</v>
      </c>
      <c r="CP255" s="1" t="s">
        <v>219</v>
      </c>
      <c r="CS255" s="1" t="s">
        <v>315</v>
      </c>
      <c r="CT255" s="1" t="s">
        <v>277</v>
      </c>
      <c r="CX255" s="1" t="s">
        <v>224</v>
      </c>
      <c r="DB255" s="1" t="s">
        <v>224</v>
      </c>
      <c r="DE255" s="1" t="s">
        <v>409</v>
      </c>
      <c r="DF255" s="1" t="s">
        <v>219</v>
      </c>
      <c r="DI255" s="1" t="s">
        <v>1046</v>
      </c>
      <c r="DJ255" s="1" t="s">
        <v>219</v>
      </c>
      <c r="DS255" s="1" t="s">
        <v>230</v>
      </c>
      <c r="DW255" s="1" t="s">
        <v>230</v>
      </c>
      <c r="EA255" s="1" t="s">
        <v>230</v>
      </c>
      <c r="EE255" s="1" t="s">
        <v>230</v>
      </c>
      <c r="EI255" s="1" t="s">
        <v>230</v>
      </c>
      <c r="EL255" s="1" t="s">
        <v>466</v>
      </c>
      <c r="EM255" s="1" t="s">
        <v>232</v>
      </c>
      <c r="EN255" s="1" t="s">
        <v>282</v>
      </c>
      <c r="EO255" s="1" t="s">
        <v>234</v>
      </c>
      <c r="ER255" s="1" t="s">
        <v>210</v>
      </c>
      <c r="EW255" s="1" t="s">
        <v>547</v>
      </c>
      <c r="EZ255" s="1" t="s">
        <v>287</v>
      </c>
      <c r="FB255" s="1" t="s">
        <v>4027</v>
      </c>
      <c r="FD255" s="1" t="s">
        <v>246</v>
      </c>
      <c r="FE255" s="1" t="s">
        <v>975</v>
      </c>
      <c r="FF255" s="1" t="s">
        <v>248</v>
      </c>
      <c r="FH255" s="1" t="s">
        <v>249</v>
      </c>
      <c r="FL255" s="1" t="s">
        <v>358</v>
      </c>
      <c r="FM255" s="1" t="s">
        <v>252</v>
      </c>
      <c r="FN255" s="1" t="s">
        <v>213</v>
      </c>
      <c r="FO255" s="1" t="s">
        <v>213</v>
      </c>
      <c r="FQ255" s="1" t="s">
        <v>689</v>
      </c>
      <c r="FR255" s="1" t="s">
        <v>210</v>
      </c>
      <c r="FS255" s="1" t="s">
        <v>4028</v>
      </c>
      <c r="FT255" s="1" t="s">
        <v>1182</v>
      </c>
      <c r="FU255" s="1" t="s">
        <v>204</v>
      </c>
      <c r="FW255" s="1" t="s">
        <v>4029</v>
      </c>
      <c r="FX255" s="1">
        <v>1455</v>
      </c>
      <c r="FY255" s="1" t="s">
        <v>4030</v>
      </c>
      <c r="FZ255" s="1" t="s">
        <v>4031</v>
      </c>
      <c r="GA255" s="1">
        <v>85585</v>
      </c>
      <c r="GE255" s="1" t="s">
        <v>210</v>
      </c>
      <c r="GH255" s="1" t="s">
        <v>230</v>
      </c>
      <c r="GI255" s="1" t="s">
        <v>213</v>
      </c>
      <c r="GJ255" s="1" t="s">
        <v>260</v>
      </c>
      <c r="GK255" s="1" t="s">
        <v>210</v>
      </c>
      <c r="GL255" s="2">
        <v>42037</v>
      </c>
      <c r="GM255" s="1" t="s">
        <v>4032</v>
      </c>
    </row>
    <row r="256" spans="1:195">
      <c r="A256" s="1">
        <v>115000</v>
      </c>
      <c r="B256" s="1" t="s">
        <v>195</v>
      </c>
      <c r="C256" s="1" t="str">
        <f>"08768594"</f>
        <v>08768594</v>
      </c>
      <c r="D256" s="1" t="s">
        <v>196</v>
      </c>
      <c r="F256" s="1" t="str">
        <f>"61"</f>
        <v>61</v>
      </c>
      <c r="G256" s="2">
        <v>41947</v>
      </c>
      <c r="H256" s="1">
        <v>119900</v>
      </c>
      <c r="I256" s="1">
        <v>119900</v>
      </c>
      <c r="J256" s="1">
        <v>115000</v>
      </c>
      <c r="K256" s="2">
        <v>41947</v>
      </c>
      <c r="L256" s="1">
        <v>3</v>
      </c>
      <c r="M256" s="2">
        <v>41949</v>
      </c>
      <c r="N256" s="1">
        <v>3</v>
      </c>
      <c r="O256" s="2">
        <v>41949</v>
      </c>
      <c r="P256" s="1">
        <v>25211</v>
      </c>
      <c r="Q256" s="1" t="s">
        <v>197</v>
      </c>
      <c r="R256" s="2">
        <v>42002</v>
      </c>
      <c r="S256" s="1">
        <v>238527</v>
      </c>
      <c r="U256" s="1">
        <v>945</v>
      </c>
      <c r="V256" s="1" t="s">
        <v>4033</v>
      </c>
      <c r="W256" s="1" t="s">
        <v>304</v>
      </c>
      <c r="X256" s="1">
        <v>1</v>
      </c>
      <c r="Y256" s="1">
        <v>8</v>
      </c>
      <c r="Z256" s="1" t="s">
        <v>249</v>
      </c>
      <c r="AA256" s="1" t="s">
        <v>505</v>
      </c>
      <c r="AB256" s="1">
        <v>60061</v>
      </c>
      <c r="AD256" s="1" t="s">
        <v>4034</v>
      </c>
      <c r="AE256" s="1" t="s">
        <v>4035</v>
      </c>
      <c r="AF256" s="1">
        <v>1975</v>
      </c>
      <c r="AG256" s="1" t="s">
        <v>213</v>
      </c>
      <c r="AH256" s="1" t="s">
        <v>508</v>
      </c>
      <c r="AI256" s="1" t="s">
        <v>509</v>
      </c>
      <c r="AJ256" s="1" t="s">
        <v>1693</v>
      </c>
      <c r="AK256" s="1" t="s">
        <v>4036</v>
      </c>
      <c r="AL256" s="1">
        <v>5</v>
      </c>
      <c r="AM256" s="1">
        <v>2</v>
      </c>
      <c r="AN256" s="1">
        <v>2</v>
      </c>
      <c r="AO256" s="1">
        <v>0</v>
      </c>
      <c r="AP256" s="1" t="s">
        <v>209</v>
      </c>
      <c r="AQ256" s="1">
        <v>1</v>
      </c>
      <c r="AR256" s="1" t="s">
        <v>210</v>
      </c>
      <c r="AS256" s="1" t="s">
        <v>204</v>
      </c>
      <c r="AT256" s="1" t="s">
        <v>211</v>
      </c>
      <c r="AU256" s="1">
        <v>1</v>
      </c>
      <c r="AW256" s="1" t="s">
        <v>204</v>
      </c>
      <c r="AX256" s="1" t="s">
        <v>1528</v>
      </c>
      <c r="AZ256" s="1">
        <v>2814.93</v>
      </c>
      <c r="BA256" s="1">
        <v>2013</v>
      </c>
      <c r="BB256" s="1" t="s">
        <v>210</v>
      </c>
      <c r="BE256" s="1">
        <v>995</v>
      </c>
      <c r="BF256" s="1">
        <v>1</v>
      </c>
      <c r="BG256" s="1">
        <v>0</v>
      </c>
      <c r="BL256" s="1">
        <v>338</v>
      </c>
      <c r="BM256" s="1" t="s">
        <v>204</v>
      </c>
      <c r="BN256" s="1" t="s">
        <v>213</v>
      </c>
      <c r="BO256" s="1">
        <v>25</v>
      </c>
      <c r="BP256" s="1" t="s">
        <v>204</v>
      </c>
      <c r="BR256" s="1" t="str">
        <f>"11324141850000"</f>
        <v>11324141850000</v>
      </c>
      <c r="BT256" s="1" t="s">
        <v>4037</v>
      </c>
      <c r="BU256" s="1" t="s">
        <v>1879</v>
      </c>
      <c r="BV256" s="1" t="s">
        <v>1880</v>
      </c>
      <c r="BW256" s="1" t="s">
        <v>514</v>
      </c>
      <c r="BX256" s="1">
        <v>73</v>
      </c>
      <c r="BY256" s="1">
        <v>73</v>
      </c>
      <c r="BZ256" s="1">
        <v>128</v>
      </c>
      <c r="CB256" s="1" t="str">
        <f t="shared" ref="CB256:CC256" si="205">""</f>
        <v/>
      </c>
      <c r="CC256" s="1" t="str">
        <f t="shared" si="205"/>
        <v/>
      </c>
      <c r="CG256" s="1" t="s">
        <v>581</v>
      </c>
      <c r="CH256" s="1" t="s">
        <v>219</v>
      </c>
      <c r="CI256" s="1" t="s">
        <v>220</v>
      </c>
      <c r="CK256" s="1" t="s">
        <v>539</v>
      </c>
      <c r="CL256" s="1" t="s">
        <v>219</v>
      </c>
      <c r="CM256" s="1" t="s">
        <v>220</v>
      </c>
      <c r="CO256" s="1" t="s">
        <v>3284</v>
      </c>
      <c r="CP256" s="1" t="s">
        <v>219</v>
      </c>
      <c r="CQ256" s="1" t="s">
        <v>220</v>
      </c>
      <c r="CS256" s="1" t="s">
        <v>317</v>
      </c>
      <c r="CT256" s="1" t="s">
        <v>219</v>
      </c>
      <c r="CU256" s="1" t="s">
        <v>220</v>
      </c>
      <c r="CX256" s="1" t="s">
        <v>224</v>
      </c>
      <c r="DB256" s="1" t="s">
        <v>224</v>
      </c>
      <c r="DE256" s="1" t="s">
        <v>4038</v>
      </c>
      <c r="DF256" s="1" t="s">
        <v>219</v>
      </c>
      <c r="DG256" s="1" t="s">
        <v>226</v>
      </c>
      <c r="DJ256" s="1" t="s">
        <v>224</v>
      </c>
      <c r="DS256" s="1" t="s">
        <v>230</v>
      </c>
      <c r="DW256" s="1" t="s">
        <v>230</v>
      </c>
      <c r="EA256" s="1" t="s">
        <v>230</v>
      </c>
      <c r="EE256" s="1" t="s">
        <v>230</v>
      </c>
      <c r="EI256" s="1" t="s">
        <v>230</v>
      </c>
      <c r="EL256" s="1" t="s">
        <v>231</v>
      </c>
      <c r="EM256" s="1" t="s">
        <v>232</v>
      </c>
      <c r="EN256" s="1" t="s">
        <v>282</v>
      </c>
      <c r="EO256" s="1" t="s">
        <v>1020</v>
      </c>
      <c r="EP256" s="1" t="s">
        <v>4039</v>
      </c>
      <c r="EQ256" s="1" t="s">
        <v>1551</v>
      </c>
      <c r="ER256" s="1" t="s">
        <v>210</v>
      </c>
      <c r="ES256" s="1" t="s">
        <v>1160</v>
      </c>
      <c r="EU256" s="1" t="s">
        <v>3536</v>
      </c>
      <c r="EV256" s="1" t="s">
        <v>352</v>
      </c>
      <c r="EW256" s="1" t="s">
        <v>2947</v>
      </c>
      <c r="EY256" s="1" t="s">
        <v>242</v>
      </c>
      <c r="EZ256" s="1" t="s">
        <v>287</v>
      </c>
      <c r="FA256" s="1" t="s">
        <v>1754</v>
      </c>
      <c r="FB256" s="1" t="s">
        <v>1505</v>
      </c>
      <c r="FD256" s="1" t="s">
        <v>246</v>
      </c>
      <c r="FE256" s="1" t="s">
        <v>472</v>
      </c>
      <c r="FF256" s="1" t="s">
        <v>248</v>
      </c>
      <c r="FG256" s="1" t="s">
        <v>912</v>
      </c>
      <c r="FH256" s="1" t="s">
        <v>249</v>
      </c>
      <c r="FL256" s="1" t="s">
        <v>414</v>
      </c>
      <c r="FM256" s="1" t="s">
        <v>252</v>
      </c>
      <c r="FN256" s="1" t="s">
        <v>213</v>
      </c>
      <c r="FO256" s="1" t="s">
        <v>213</v>
      </c>
      <c r="FQ256" s="1" t="s">
        <v>3378</v>
      </c>
      <c r="FR256" s="1" t="s">
        <v>210</v>
      </c>
      <c r="FS256" s="1" t="s">
        <v>4040</v>
      </c>
      <c r="FT256" s="1" t="s">
        <v>1778</v>
      </c>
      <c r="FU256" s="1" t="s">
        <v>204</v>
      </c>
      <c r="FW256" s="1" t="s">
        <v>1559</v>
      </c>
      <c r="FX256" s="1">
        <v>2415</v>
      </c>
      <c r="FY256" s="1" t="s">
        <v>3380</v>
      </c>
      <c r="FZ256" s="1" t="s">
        <v>4041</v>
      </c>
      <c r="GA256" s="1">
        <v>15499</v>
      </c>
      <c r="GB256" s="1" t="s">
        <v>4042</v>
      </c>
      <c r="GD256" s="1" t="s">
        <v>4043</v>
      </c>
      <c r="GE256" s="1" t="s">
        <v>210</v>
      </c>
      <c r="GI256" s="1" t="s">
        <v>213</v>
      </c>
      <c r="GJ256" s="1" t="s">
        <v>260</v>
      </c>
      <c r="GK256" s="1" t="s">
        <v>210</v>
      </c>
      <c r="GL256" s="2">
        <v>42002</v>
      </c>
      <c r="GM256" s="1" t="s">
        <v>4044</v>
      </c>
    </row>
    <row r="257" spans="1:195">
      <c r="A257" s="1">
        <v>89250</v>
      </c>
      <c r="B257" s="1" t="s">
        <v>195</v>
      </c>
      <c r="C257" s="1" t="str">
        <f>"08767499"</f>
        <v>08767499</v>
      </c>
      <c r="D257" s="1" t="s">
        <v>196</v>
      </c>
      <c r="F257" s="1" t="str">
        <f>"507"</f>
        <v>507</v>
      </c>
      <c r="G257" s="2">
        <v>41946</v>
      </c>
      <c r="H257" s="1">
        <v>94900</v>
      </c>
      <c r="I257" s="1">
        <v>89000</v>
      </c>
      <c r="J257" s="1">
        <v>89250</v>
      </c>
      <c r="K257" s="2">
        <v>41946</v>
      </c>
      <c r="L257" s="1">
        <v>45</v>
      </c>
      <c r="M257" s="2">
        <v>41990</v>
      </c>
      <c r="N257" s="1">
        <v>45</v>
      </c>
      <c r="O257" s="2">
        <v>41990</v>
      </c>
      <c r="P257" s="1">
        <v>281</v>
      </c>
      <c r="Q257" s="1" t="s">
        <v>302</v>
      </c>
      <c r="R257" s="2">
        <v>42026</v>
      </c>
      <c r="S257" s="1">
        <v>2107</v>
      </c>
      <c r="U257" s="1">
        <v>1126</v>
      </c>
      <c r="V257" s="1" t="s">
        <v>4045</v>
      </c>
      <c r="W257" s="1" t="s">
        <v>4046</v>
      </c>
      <c r="X257" s="1">
        <v>3</v>
      </c>
      <c r="Y257" s="1">
        <v>4</v>
      </c>
      <c r="Z257" s="1" t="s">
        <v>370</v>
      </c>
      <c r="AA257" s="1" t="s">
        <v>1123</v>
      </c>
      <c r="AB257" s="1">
        <v>60506</v>
      </c>
      <c r="AD257" s="1" t="s">
        <v>4047</v>
      </c>
      <c r="AE257" s="1" t="s">
        <v>4048</v>
      </c>
      <c r="AF257" s="1">
        <v>1997</v>
      </c>
      <c r="AG257" s="1" t="s">
        <v>204</v>
      </c>
      <c r="AH257" s="1" t="s">
        <v>1126</v>
      </c>
      <c r="AI257" s="1" t="s">
        <v>665</v>
      </c>
      <c r="AJ257" s="1" t="s">
        <v>3240</v>
      </c>
      <c r="AK257" s="1" t="s">
        <v>4049</v>
      </c>
      <c r="AL257" s="1">
        <v>6</v>
      </c>
      <c r="AM257" s="1">
        <v>2</v>
      </c>
      <c r="AN257" s="1">
        <v>2</v>
      </c>
      <c r="AO257" s="1">
        <v>1</v>
      </c>
      <c r="AP257" s="1" t="s">
        <v>209</v>
      </c>
      <c r="AR257" s="1" t="s">
        <v>1421</v>
      </c>
      <c r="AS257" s="1" t="s">
        <v>204</v>
      </c>
      <c r="AT257" s="1" t="s">
        <v>211</v>
      </c>
      <c r="AU257" s="1">
        <v>2</v>
      </c>
      <c r="AW257" s="1" t="s">
        <v>204</v>
      </c>
      <c r="AX257" s="1" t="s">
        <v>212</v>
      </c>
      <c r="AZ257" s="1">
        <v>4318.04</v>
      </c>
      <c r="BA257" s="1">
        <v>2012</v>
      </c>
      <c r="BE257" s="1">
        <v>1257</v>
      </c>
      <c r="BF257" s="1">
        <v>1</v>
      </c>
      <c r="BG257" s="1">
        <v>10</v>
      </c>
      <c r="BL257" s="1">
        <v>154</v>
      </c>
      <c r="BM257" s="1" t="s">
        <v>204</v>
      </c>
      <c r="BN257" s="1" t="s">
        <v>213</v>
      </c>
      <c r="BO257" s="1">
        <v>100</v>
      </c>
      <c r="BP257" s="1" t="s">
        <v>204</v>
      </c>
      <c r="BR257" s="1" t="str">
        <f>"1413230043"</f>
        <v>1413230043</v>
      </c>
      <c r="BT257" s="1" t="s">
        <v>4050</v>
      </c>
      <c r="BX257" s="1">
        <v>129</v>
      </c>
      <c r="BY257" s="1">
        <v>129</v>
      </c>
      <c r="BZ257" s="1">
        <v>129</v>
      </c>
      <c r="CB257" s="1" t="str">
        <f t="shared" ref="CB257:CC257" si="206">""</f>
        <v/>
      </c>
      <c r="CC257" s="1" t="str">
        <f t="shared" si="206"/>
        <v/>
      </c>
      <c r="CG257" s="1" t="s">
        <v>564</v>
      </c>
      <c r="CH257" s="1" t="s">
        <v>219</v>
      </c>
      <c r="CK257" s="1" t="s">
        <v>378</v>
      </c>
      <c r="CL257" s="1" t="s">
        <v>277</v>
      </c>
      <c r="CO257" s="1" t="s">
        <v>687</v>
      </c>
      <c r="CP257" s="1" t="s">
        <v>219</v>
      </c>
      <c r="CS257" s="1" t="s">
        <v>1046</v>
      </c>
      <c r="CT257" s="1" t="s">
        <v>277</v>
      </c>
      <c r="CW257" s="1" t="s">
        <v>318</v>
      </c>
      <c r="CX257" s="1" t="s">
        <v>43</v>
      </c>
      <c r="DB257" s="1" t="s">
        <v>224</v>
      </c>
      <c r="DE257" s="1" t="s">
        <v>630</v>
      </c>
      <c r="DF257" s="1" t="s">
        <v>219</v>
      </c>
      <c r="DJ257" s="1" t="s">
        <v>224</v>
      </c>
      <c r="DS257" s="1" t="s">
        <v>230</v>
      </c>
      <c r="DW257" s="1" t="s">
        <v>230</v>
      </c>
      <c r="EA257" s="1" t="s">
        <v>230</v>
      </c>
      <c r="EE257" s="1" t="s">
        <v>230</v>
      </c>
      <c r="EI257" s="1" t="s">
        <v>230</v>
      </c>
      <c r="EL257" s="1" t="s">
        <v>670</v>
      </c>
      <c r="EM257" s="1" t="s">
        <v>319</v>
      </c>
      <c r="EN257" s="1" t="s">
        <v>282</v>
      </c>
      <c r="EO257" s="1" t="s">
        <v>234</v>
      </c>
      <c r="ER257" s="1" t="s">
        <v>544</v>
      </c>
      <c r="EW257" s="1" t="s">
        <v>887</v>
      </c>
      <c r="EZ257" s="1" t="s">
        <v>287</v>
      </c>
      <c r="FD257" s="1" t="s">
        <v>246</v>
      </c>
      <c r="FE257" s="1" t="s">
        <v>355</v>
      </c>
      <c r="FF257" s="1" t="s">
        <v>248</v>
      </c>
      <c r="FH257" s="1" t="s">
        <v>550</v>
      </c>
      <c r="FL257" s="1" t="s">
        <v>358</v>
      </c>
      <c r="FM257" s="1" t="s">
        <v>252</v>
      </c>
      <c r="FN257" s="1" t="s">
        <v>213</v>
      </c>
      <c r="FO257" s="1" t="s">
        <v>213</v>
      </c>
      <c r="FQ257" s="1" t="s">
        <v>3506</v>
      </c>
      <c r="FR257" s="1" t="s">
        <v>210</v>
      </c>
      <c r="FS257" s="1" t="s">
        <v>1008</v>
      </c>
      <c r="FT257" s="1" t="s">
        <v>295</v>
      </c>
      <c r="FU257" s="1" t="s">
        <v>204</v>
      </c>
      <c r="FW257" s="1" t="s">
        <v>3509</v>
      </c>
      <c r="FX257" s="1">
        <v>85367</v>
      </c>
      <c r="FY257" s="1" t="s">
        <v>4051</v>
      </c>
      <c r="FZ257" s="1" t="s">
        <v>4052</v>
      </c>
      <c r="GA257" s="1">
        <v>859364</v>
      </c>
      <c r="GB257" s="1" t="s">
        <v>4053</v>
      </c>
      <c r="GE257" s="1" t="s">
        <v>776</v>
      </c>
      <c r="GI257" s="1" t="s">
        <v>204</v>
      </c>
      <c r="GJ257" s="1" t="s">
        <v>260</v>
      </c>
      <c r="GK257" s="1" t="s">
        <v>210</v>
      </c>
      <c r="GL257" s="2">
        <v>42031</v>
      </c>
      <c r="GM257" s="1" t="s">
        <v>4054</v>
      </c>
    </row>
    <row r="258" spans="1:195">
      <c r="A258" s="1">
        <v>115000</v>
      </c>
      <c r="B258" s="1" t="s">
        <v>195</v>
      </c>
      <c r="C258" s="1" t="str">
        <f>"08773068"</f>
        <v>08773068</v>
      </c>
      <c r="D258" s="1" t="s">
        <v>196</v>
      </c>
      <c r="F258" s="1" t="str">
        <f>"136"</f>
        <v>136</v>
      </c>
      <c r="G258" s="2">
        <v>41953</v>
      </c>
      <c r="H258" s="1">
        <v>165000</v>
      </c>
      <c r="I258" s="1">
        <v>165000</v>
      </c>
      <c r="J258" s="1">
        <v>115000</v>
      </c>
      <c r="K258" s="2">
        <v>41953</v>
      </c>
      <c r="L258" s="1">
        <v>101</v>
      </c>
      <c r="M258" s="2">
        <v>42053</v>
      </c>
      <c r="N258" s="1">
        <v>101</v>
      </c>
      <c r="O258" s="2">
        <v>42053</v>
      </c>
      <c r="P258" s="1">
        <v>1109</v>
      </c>
      <c r="Q258" s="1" t="s">
        <v>197</v>
      </c>
      <c r="R258" s="2">
        <v>42143</v>
      </c>
      <c r="S258" s="1">
        <v>84713</v>
      </c>
      <c r="T258" s="1">
        <v>1800</v>
      </c>
      <c r="U258" s="1">
        <v>70</v>
      </c>
      <c r="V258" s="1" t="s">
        <v>4055</v>
      </c>
      <c r="W258" s="1" t="s">
        <v>264</v>
      </c>
      <c r="Y258" s="1">
        <v>2</v>
      </c>
      <c r="Z258" s="1" t="s">
        <v>370</v>
      </c>
      <c r="AA258" s="1" t="s">
        <v>3680</v>
      </c>
      <c r="AB258" s="1">
        <v>60136</v>
      </c>
      <c r="AD258" s="1" t="s">
        <v>4056</v>
      </c>
      <c r="AE258" s="1" t="s">
        <v>4057</v>
      </c>
      <c r="AF258" s="1">
        <v>2003</v>
      </c>
      <c r="AG258" s="1" t="s">
        <v>204</v>
      </c>
      <c r="AH258" s="1" t="s">
        <v>3682</v>
      </c>
      <c r="AI258" s="1" t="s">
        <v>665</v>
      </c>
      <c r="AJ258" s="1" t="s">
        <v>748</v>
      </c>
      <c r="AK258" s="1" t="s">
        <v>4058</v>
      </c>
      <c r="AL258" s="1">
        <v>8</v>
      </c>
      <c r="AM258" s="1">
        <v>2</v>
      </c>
      <c r="AN258" s="1">
        <v>2</v>
      </c>
      <c r="AO258" s="1">
        <v>1</v>
      </c>
      <c r="AP258" s="1" t="s">
        <v>209</v>
      </c>
      <c r="AR258" s="1" t="s">
        <v>209</v>
      </c>
      <c r="AS258" s="1" t="s">
        <v>204</v>
      </c>
      <c r="AT258" s="1" t="s">
        <v>211</v>
      </c>
      <c r="AU258" s="1">
        <v>2</v>
      </c>
      <c r="AW258" s="1" t="s">
        <v>204</v>
      </c>
      <c r="AX258" s="1" t="s">
        <v>4059</v>
      </c>
      <c r="AZ258" s="1">
        <v>4954.8999999999996</v>
      </c>
      <c r="BA258" s="1">
        <v>2012</v>
      </c>
      <c r="BB258" s="1" t="s">
        <v>210</v>
      </c>
      <c r="BE258" s="1">
        <v>1684</v>
      </c>
      <c r="BF258" s="1">
        <v>1</v>
      </c>
      <c r="BG258" s="1">
        <v>0</v>
      </c>
      <c r="BL258" s="1">
        <v>230</v>
      </c>
      <c r="BM258" s="1" t="s">
        <v>413</v>
      </c>
      <c r="BN258" s="1" t="s">
        <v>213</v>
      </c>
      <c r="BO258" s="1">
        <v>80</v>
      </c>
      <c r="BP258" s="1" t="s">
        <v>204</v>
      </c>
      <c r="BR258" s="1" t="str">
        <f>"0236273009"</f>
        <v>0236273009</v>
      </c>
      <c r="BT258" s="1" t="s">
        <v>4060</v>
      </c>
      <c r="BU258" s="1" t="s">
        <v>4061</v>
      </c>
      <c r="BV258" s="1" t="s">
        <v>754</v>
      </c>
      <c r="BW258" s="1" t="s">
        <v>755</v>
      </c>
      <c r="BX258" s="1">
        <v>300</v>
      </c>
      <c r="BY258" s="1">
        <v>300</v>
      </c>
      <c r="BZ258" s="1">
        <v>300</v>
      </c>
      <c r="CB258" s="1" t="str">
        <f>"15"</f>
        <v>15</v>
      </c>
      <c r="CC258" s="1" t="str">
        <f>"0"</f>
        <v>0</v>
      </c>
      <c r="CD258" s="1">
        <v>39</v>
      </c>
      <c r="CE258" s="1">
        <v>0</v>
      </c>
      <c r="CG258" s="1" t="s">
        <v>757</v>
      </c>
      <c r="CH258" s="1" t="s">
        <v>219</v>
      </c>
      <c r="CI258" s="1" t="s">
        <v>220</v>
      </c>
      <c r="CK258" s="1" t="s">
        <v>437</v>
      </c>
      <c r="CL258" s="1" t="s">
        <v>277</v>
      </c>
      <c r="CM258" s="1" t="s">
        <v>220</v>
      </c>
      <c r="CO258" s="1" t="s">
        <v>461</v>
      </c>
      <c r="CP258" s="1" t="s">
        <v>219</v>
      </c>
      <c r="CQ258" s="1" t="s">
        <v>220</v>
      </c>
      <c r="CS258" s="1" t="s">
        <v>465</v>
      </c>
      <c r="CT258" s="1" t="s">
        <v>277</v>
      </c>
      <c r="CU258" s="1" t="s">
        <v>220</v>
      </c>
      <c r="CX258" s="1" t="s">
        <v>224</v>
      </c>
      <c r="DB258" s="1" t="s">
        <v>224</v>
      </c>
      <c r="DE258" s="1" t="s">
        <v>1297</v>
      </c>
      <c r="DF258" s="1" t="s">
        <v>219</v>
      </c>
      <c r="DG258" s="1" t="s">
        <v>438</v>
      </c>
      <c r="DI258" s="1" t="s">
        <v>602</v>
      </c>
      <c r="DJ258" s="1" t="s">
        <v>219</v>
      </c>
      <c r="DK258" s="1" t="s">
        <v>220</v>
      </c>
      <c r="DM258" s="1" t="s">
        <v>464</v>
      </c>
      <c r="DN258" s="1" t="s">
        <v>934</v>
      </c>
      <c r="DR258" s="1" t="s">
        <v>461</v>
      </c>
      <c r="DS258" s="1" t="s">
        <v>277</v>
      </c>
      <c r="DT258" s="1" t="s">
        <v>220</v>
      </c>
      <c r="DV258" s="1" t="s">
        <v>4062</v>
      </c>
      <c r="DW258" s="1" t="s">
        <v>43</v>
      </c>
      <c r="DX258" s="1" t="s">
        <v>220</v>
      </c>
      <c r="EA258" s="1" t="s">
        <v>230</v>
      </c>
      <c r="EE258" s="1" t="s">
        <v>230</v>
      </c>
      <c r="EI258" s="1" t="s">
        <v>230</v>
      </c>
      <c r="EL258" s="1" t="s">
        <v>466</v>
      </c>
      <c r="EM258" s="1" t="s">
        <v>319</v>
      </c>
      <c r="EN258" s="1" t="s">
        <v>282</v>
      </c>
      <c r="EO258" s="1" t="s">
        <v>234</v>
      </c>
      <c r="EQ258" s="1" t="s">
        <v>4063</v>
      </c>
      <c r="ER258" s="1" t="s">
        <v>544</v>
      </c>
      <c r="ES258" s="1" t="s">
        <v>824</v>
      </c>
      <c r="EU258" s="1" t="s">
        <v>610</v>
      </c>
      <c r="EV258" s="1" t="s">
        <v>240</v>
      </c>
      <c r="EW258" s="1" t="s">
        <v>353</v>
      </c>
      <c r="EY258" s="1" t="s">
        <v>242</v>
      </c>
      <c r="EZ258" s="1" t="s">
        <v>3875</v>
      </c>
      <c r="FA258" s="1" t="s">
        <v>354</v>
      </c>
      <c r="FB258" s="1" t="s">
        <v>289</v>
      </c>
      <c r="FD258" s="1" t="s">
        <v>246</v>
      </c>
      <c r="FE258" s="1" t="s">
        <v>975</v>
      </c>
      <c r="FF258" s="1" t="s">
        <v>248</v>
      </c>
      <c r="FH258" s="1" t="s">
        <v>442</v>
      </c>
      <c r="FL258" s="1" t="s">
        <v>358</v>
      </c>
      <c r="FM258" s="1" t="s">
        <v>252</v>
      </c>
      <c r="FN258" s="1" t="s">
        <v>213</v>
      </c>
      <c r="FO258" s="1" t="s">
        <v>213</v>
      </c>
      <c r="FQ258" s="1" t="s">
        <v>3439</v>
      </c>
      <c r="FR258" s="1" t="s">
        <v>210</v>
      </c>
      <c r="FS258" s="1" t="s">
        <v>4064</v>
      </c>
      <c r="FT258" s="1" t="s">
        <v>3440</v>
      </c>
      <c r="FU258" s="1" t="s">
        <v>204</v>
      </c>
      <c r="FW258" s="1" t="s">
        <v>1742</v>
      </c>
      <c r="FX258" s="1">
        <v>25401</v>
      </c>
      <c r="FY258" s="1" t="s">
        <v>1743</v>
      </c>
      <c r="FZ258" s="1" t="s">
        <v>1744</v>
      </c>
      <c r="GA258" s="1">
        <v>231228</v>
      </c>
      <c r="GB258" s="1" t="s">
        <v>1743</v>
      </c>
      <c r="GC258" s="1">
        <v>228582</v>
      </c>
      <c r="GE258" s="1" t="s">
        <v>210</v>
      </c>
      <c r="GI258" s="1" t="s">
        <v>213</v>
      </c>
      <c r="GJ258" s="1" t="s">
        <v>260</v>
      </c>
      <c r="GK258" s="1" t="s">
        <v>210</v>
      </c>
      <c r="GL258" s="2">
        <v>42145</v>
      </c>
      <c r="GM258" s="1" t="s">
        <v>4065</v>
      </c>
    </row>
    <row r="259" spans="1:195">
      <c r="A259" s="1">
        <v>185100</v>
      </c>
      <c r="B259" s="1" t="s">
        <v>195</v>
      </c>
      <c r="C259" s="1" t="str">
        <f>"08769380"</f>
        <v>08769380</v>
      </c>
      <c r="D259" s="1" t="s">
        <v>196</v>
      </c>
      <c r="F259" s="1" t="str">
        <f>"107"</f>
        <v>107</v>
      </c>
      <c r="G259" s="2">
        <v>41948</v>
      </c>
      <c r="H259" s="1">
        <v>228900</v>
      </c>
      <c r="I259" s="1">
        <v>185100</v>
      </c>
      <c r="J259" s="1">
        <v>185100</v>
      </c>
      <c r="K259" s="2">
        <v>41947</v>
      </c>
      <c r="L259" s="1">
        <v>157</v>
      </c>
      <c r="M259" s="2">
        <v>42103</v>
      </c>
      <c r="N259" s="1">
        <v>157</v>
      </c>
      <c r="O259" s="2">
        <v>42103</v>
      </c>
      <c r="P259" s="1">
        <v>23493</v>
      </c>
      <c r="Q259" s="1" t="s">
        <v>197</v>
      </c>
      <c r="R259" s="2">
        <v>42147</v>
      </c>
      <c r="S259" s="1">
        <v>229760</v>
      </c>
      <c r="U259" s="1">
        <v>1426</v>
      </c>
      <c r="V259" s="1" t="s">
        <v>4066</v>
      </c>
      <c r="W259" s="1" t="s">
        <v>264</v>
      </c>
      <c r="Y259" s="1">
        <v>4</v>
      </c>
      <c r="Z259" s="1" t="s">
        <v>200</v>
      </c>
      <c r="AA259" s="1" t="s">
        <v>1211</v>
      </c>
      <c r="AB259" s="1">
        <v>60107</v>
      </c>
      <c r="AD259" s="1" t="s">
        <v>4067</v>
      </c>
      <c r="AE259" s="1" t="s">
        <v>4068</v>
      </c>
      <c r="AF259" s="1">
        <v>2008</v>
      </c>
      <c r="AG259" s="1" t="s">
        <v>204</v>
      </c>
      <c r="AH259" s="1" t="s">
        <v>1214</v>
      </c>
      <c r="AI259" s="1" t="s">
        <v>310</v>
      </c>
      <c r="AJ259" s="1" t="s">
        <v>374</v>
      </c>
      <c r="AL259" s="1">
        <v>7</v>
      </c>
      <c r="AM259" s="1">
        <v>2</v>
      </c>
      <c r="AN259" s="1">
        <v>2</v>
      </c>
      <c r="AO259" s="1">
        <v>1</v>
      </c>
      <c r="AP259" s="1" t="s">
        <v>209</v>
      </c>
      <c r="AQ259" s="1">
        <v>1</v>
      </c>
      <c r="AR259" s="1" t="s">
        <v>209</v>
      </c>
      <c r="AS259" s="1" t="s">
        <v>204</v>
      </c>
      <c r="AT259" s="1" t="s">
        <v>211</v>
      </c>
      <c r="AU259" s="1">
        <v>2</v>
      </c>
      <c r="AW259" s="1" t="s">
        <v>204</v>
      </c>
      <c r="AX259" s="1" t="s">
        <v>212</v>
      </c>
      <c r="AZ259" s="1">
        <v>5147.78</v>
      </c>
      <c r="BA259" s="1">
        <v>2013</v>
      </c>
      <c r="BB259" s="1" t="s">
        <v>405</v>
      </c>
      <c r="BE259" s="1">
        <v>1632</v>
      </c>
      <c r="BF259" s="1">
        <v>1</v>
      </c>
      <c r="BG259" s="1">
        <v>30</v>
      </c>
      <c r="BL259" s="1">
        <v>179</v>
      </c>
      <c r="BM259" s="1" t="s">
        <v>204</v>
      </c>
      <c r="BN259" s="1" t="s">
        <v>213</v>
      </c>
      <c r="BP259" s="1" t="s">
        <v>204</v>
      </c>
      <c r="BR259" s="1" t="str">
        <f>"06282000560000"</f>
        <v>06282000560000</v>
      </c>
      <c r="BT259" s="1" t="s">
        <v>4069</v>
      </c>
      <c r="BU259" s="1" t="s">
        <v>1486</v>
      </c>
      <c r="BV259" s="1" t="s">
        <v>3557</v>
      </c>
      <c r="BW259" s="1" t="s">
        <v>1217</v>
      </c>
      <c r="BX259" s="1">
        <v>46</v>
      </c>
      <c r="BY259" s="1">
        <v>46</v>
      </c>
      <c r="BZ259" s="1">
        <v>46</v>
      </c>
      <c r="CB259" s="1" t="str">
        <f t="shared" ref="CB259:CC259" si="207">""</f>
        <v/>
      </c>
      <c r="CC259" s="1" t="str">
        <f t="shared" si="207"/>
        <v/>
      </c>
      <c r="CG259" s="1" t="s">
        <v>2402</v>
      </c>
      <c r="CH259" s="1" t="s">
        <v>219</v>
      </c>
      <c r="CI259" s="1" t="s">
        <v>438</v>
      </c>
      <c r="CK259" s="1" t="s">
        <v>538</v>
      </c>
      <c r="CL259" s="1" t="s">
        <v>277</v>
      </c>
      <c r="CM259" s="1" t="s">
        <v>438</v>
      </c>
      <c r="CO259" s="1" t="s">
        <v>318</v>
      </c>
      <c r="CP259" s="1" t="s">
        <v>219</v>
      </c>
      <c r="CQ259" s="1" t="s">
        <v>438</v>
      </c>
      <c r="CS259" s="1" t="s">
        <v>1046</v>
      </c>
      <c r="CT259" s="1" t="s">
        <v>277</v>
      </c>
      <c r="CU259" s="1" t="s">
        <v>438</v>
      </c>
      <c r="CX259" s="1" t="s">
        <v>224</v>
      </c>
      <c r="DB259" s="1" t="s">
        <v>224</v>
      </c>
      <c r="DE259" s="1" t="s">
        <v>837</v>
      </c>
      <c r="DF259" s="1" t="s">
        <v>219</v>
      </c>
      <c r="DG259" s="1" t="s">
        <v>438</v>
      </c>
      <c r="DJ259" s="1" t="s">
        <v>224</v>
      </c>
      <c r="DM259" s="1" t="s">
        <v>464</v>
      </c>
      <c r="DN259" s="1" t="s">
        <v>934</v>
      </c>
      <c r="DR259" s="1" t="s">
        <v>4070</v>
      </c>
      <c r="DS259" s="1" t="s">
        <v>277</v>
      </c>
      <c r="DT259" s="1" t="s">
        <v>438</v>
      </c>
      <c r="DV259" s="1" t="s">
        <v>2992</v>
      </c>
      <c r="DW259" s="1" t="s">
        <v>822</v>
      </c>
      <c r="DX259" s="1" t="s">
        <v>438</v>
      </c>
      <c r="EA259" s="1" t="s">
        <v>230</v>
      </c>
      <c r="EE259" s="1" t="s">
        <v>230</v>
      </c>
      <c r="EI259" s="1" t="s">
        <v>230</v>
      </c>
      <c r="EL259" s="1" t="s">
        <v>491</v>
      </c>
      <c r="EM259" s="1" t="s">
        <v>232</v>
      </c>
      <c r="EN259" s="1" t="s">
        <v>282</v>
      </c>
      <c r="EO259" s="1" t="s">
        <v>234</v>
      </c>
      <c r="ER259" s="1" t="s">
        <v>544</v>
      </c>
      <c r="EV259" s="1" t="s">
        <v>352</v>
      </c>
      <c r="EW259" s="1" t="s">
        <v>887</v>
      </c>
      <c r="EZ259" s="1" t="s">
        <v>3875</v>
      </c>
      <c r="FB259" s="1" t="s">
        <v>289</v>
      </c>
      <c r="FD259" s="1" t="s">
        <v>3287</v>
      </c>
      <c r="FE259" s="1" t="s">
        <v>975</v>
      </c>
      <c r="FF259" s="1" t="s">
        <v>248</v>
      </c>
      <c r="FG259" s="1" t="s">
        <v>912</v>
      </c>
      <c r="FH259" s="1" t="s">
        <v>550</v>
      </c>
      <c r="FI259" s="1" t="s">
        <v>357</v>
      </c>
      <c r="FL259" s="1" t="s">
        <v>414</v>
      </c>
      <c r="FM259" s="1" t="s">
        <v>252</v>
      </c>
      <c r="FN259" s="1" t="s">
        <v>204</v>
      </c>
      <c r="FO259" s="1" t="s">
        <v>213</v>
      </c>
      <c r="FQ259" s="1" t="s">
        <v>4071</v>
      </c>
      <c r="FR259" s="1" t="s">
        <v>360</v>
      </c>
      <c r="FS259" s="1" t="s">
        <v>4072</v>
      </c>
      <c r="FT259" s="1" t="s">
        <v>4073</v>
      </c>
      <c r="FU259" s="1" t="s">
        <v>204</v>
      </c>
      <c r="FW259" s="1" t="s">
        <v>4074</v>
      </c>
      <c r="FX259" s="1">
        <v>1085</v>
      </c>
      <c r="FY259" s="1" t="s">
        <v>4075</v>
      </c>
      <c r="FZ259" s="1" t="s">
        <v>4076</v>
      </c>
      <c r="GA259" s="1">
        <v>84998</v>
      </c>
      <c r="GB259" s="1" t="s">
        <v>4077</v>
      </c>
      <c r="GE259" s="1" t="s">
        <v>480</v>
      </c>
      <c r="GI259" s="1" t="s">
        <v>213</v>
      </c>
      <c r="GJ259" s="1" t="s">
        <v>260</v>
      </c>
      <c r="GK259" s="1" t="s">
        <v>210</v>
      </c>
      <c r="GL259" s="2">
        <v>42147</v>
      </c>
      <c r="GM259" s="1" t="s">
        <v>397</v>
      </c>
    </row>
    <row r="260" spans="1:195">
      <c r="A260" s="1">
        <v>165000</v>
      </c>
      <c r="B260" s="1" t="s">
        <v>195</v>
      </c>
      <c r="C260" s="1" t="str">
        <f>"08770064"</f>
        <v>08770064</v>
      </c>
      <c r="D260" s="1" t="s">
        <v>196</v>
      </c>
      <c r="F260" s="1" t="str">
        <f>"118"</f>
        <v>118</v>
      </c>
      <c r="G260" s="2">
        <v>41949</v>
      </c>
      <c r="H260" s="1">
        <v>169900</v>
      </c>
      <c r="I260" s="1">
        <v>169900</v>
      </c>
      <c r="J260" s="1">
        <v>165000</v>
      </c>
      <c r="K260" s="2">
        <v>41949</v>
      </c>
      <c r="L260" s="1">
        <v>24</v>
      </c>
      <c r="M260" s="2">
        <v>41972</v>
      </c>
      <c r="N260" s="1">
        <v>24</v>
      </c>
      <c r="O260" s="2">
        <v>41972</v>
      </c>
      <c r="P260" s="1">
        <v>5042</v>
      </c>
      <c r="Q260" s="1" t="s">
        <v>197</v>
      </c>
      <c r="R260" s="2">
        <v>41997</v>
      </c>
      <c r="S260" s="1">
        <v>52187</v>
      </c>
      <c r="U260" s="1">
        <v>518</v>
      </c>
      <c r="V260" s="1" t="s">
        <v>4078</v>
      </c>
      <c r="W260" s="1" t="s">
        <v>425</v>
      </c>
      <c r="X260" s="1">
        <v>518</v>
      </c>
      <c r="Y260" s="1">
        <v>4</v>
      </c>
      <c r="Z260" s="1" t="s">
        <v>200</v>
      </c>
      <c r="AA260" s="1" t="s">
        <v>4079</v>
      </c>
      <c r="AB260" s="1">
        <v>60118</v>
      </c>
      <c r="AE260" s="1" t="s">
        <v>4080</v>
      </c>
      <c r="AF260" s="1" t="s">
        <v>402</v>
      </c>
      <c r="AG260" s="1" t="s">
        <v>204</v>
      </c>
      <c r="AH260" s="1" t="s">
        <v>2557</v>
      </c>
      <c r="AI260" s="1" t="s">
        <v>665</v>
      </c>
      <c r="AJ260" s="1" t="s">
        <v>805</v>
      </c>
      <c r="AL260" s="1">
        <v>8</v>
      </c>
      <c r="AM260" s="1">
        <v>2</v>
      </c>
      <c r="AN260" s="1">
        <v>2</v>
      </c>
      <c r="AO260" s="1">
        <v>1</v>
      </c>
      <c r="AP260" s="1" t="s">
        <v>209</v>
      </c>
      <c r="AQ260" s="1">
        <v>1</v>
      </c>
      <c r="AR260" s="1" t="s">
        <v>209</v>
      </c>
      <c r="AS260" s="1" t="s">
        <v>204</v>
      </c>
      <c r="AT260" s="1" t="s">
        <v>211</v>
      </c>
      <c r="AU260" s="1">
        <v>2</v>
      </c>
      <c r="AW260" s="1" t="s">
        <v>204</v>
      </c>
      <c r="AX260" s="1" t="s">
        <v>212</v>
      </c>
      <c r="AZ260" s="1">
        <v>4780</v>
      </c>
      <c r="BA260" s="1">
        <v>2013</v>
      </c>
      <c r="BE260" s="1">
        <v>1650</v>
      </c>
      <c r="BF260" s="1">
        <v>1</v>
      </c>
      <c r="BG260" s="1">
        <v>0</v>
      </c>
      <c r="BL260" s="1">
        <v>176</v>
      </c>
      <c r="BM260" s="1" t="s">
        <v>204</v>
      </c>
      <c r="BN260" s="1" t="s">
        <v>213</v>
      </c>
      <c r="BO260" s="1">
        <v>0</v>
      </c>
      <c r="BP260" s="1" t="s">
        <v>204</v>
      </c>
      <c r="BR260" s="1" t="str">
        <f>"0326204053"</f>
        <v>0326204053</v>
      </c>
      <c r="BT260" s="1" t="s">
        <v>4081</v>
      </c>
      <c r="BX260" s="1">
        <v>300</v>
      </c>
      <c r="BY260" s="1">
        <v>300</v>
      </c>
      <c r="BZ260" s="1">
        <v>300</v>
      </c>
      <c r="CB260" s="1" t="str">
        <f t="shared" ref="CB260:CC260" si="208">""</f>
        <v/>
      </c>
      <c r="CC260" s="1" t="str">
        <f t="shared" si="208"/>
        <v/>
      </c>
      <c r="CG260" s="1" t="s">
        <v>437</v>
      </c>
      <c r="CH260" s="1" t="s">
        <v>219</v>
      </c>
      <c r="CI260" s="1" t="s">
        <v>438</v>
      </c>
      <c r="CJ260" s="1" t="s">
        <v>463</v>
      </c>
      <c r="CK260" s="1" t="s">
        <v>669</v>
      </c>
      <c r="CL260" s="1" t="s">
        <v>277</v>
      </c>
      <c r="CM260" s="1" t="s">
        <v>438</v>
      </c>
      <c r="CN260" s="1" t="s">
        <v>463</v>
      </c>
      <c r="CO260" s="1" t="s">
        <v>465</v>
      </c>
      <c r="CP260" s="1" t="s">
        <v>219</v>
      </c>
      <c r="CQ260" s="1" t="s">
        <v>438</v>
      </c>
      <c r="CR260" s="1" t="s">
        <v>463</v>
      </c>
      <c r="CS260" s="1" t="s">
        <v>379</v>
      </c>
      <c r="CT260" s="1" t="s">
        <v>277</v>
      </c>
      <c r="CU260" s="1" t="s">
        <v>438</v>
      </c>
      <c r="CV260" s="1" t="s">
        <v>463</v>
      </c>
      <c r="CX260" s="1" t="s">
        <v>224</v>
      </c>
      <c r="DB260" s="1" t="s">
        <v>224</v>
      </c>
      <c r="DE260" s="1" t="s">
        <v>461</v>
      </c>
      <c r="DF260" s="1" t="s">
        <v>219</v>
      </c>
      <c r="DG260" s="1" t="s">
        <v>438</v>
      </c>
      <c r="DH260" s="1" t="s">
        <v>210</v>
      </c>
      <c r="DI260" s="1" t="s">
        <v>4082</v>
      </c>
      <c r="DJ260" s="1" t="s">
        <v>43</v>
      </c>
      <c r="DK260" s="1" t="s">
        <v>220</v>
      </c>
      <c r="DL260" s="1" t="s">
        <v>210</v>
      </c>
      <c r="DM260" s="1" t="s">
        <v>464</v>
      </c>
      <c r="DN260" s="1" t="s">
        <v>709</v>
      </c>
      <c r="DO260" s="1" t="s">
        <v>1614</v>
      </c>
      <c r="DP260" s="1" t="s">
        <v>4083</v>
      </c>
      <c r="DR260" s="1" t="s">
        <v>318</v>
      </c>
      <c r="DS260" s="1" t="s">
        <v>277</v>
      </c>
      <c r="DT260" s="1" t="s">
        <v>438</v>
      </c>
      <c r="DU260" s="1" t="s">
        <v>463</v>
      </c>
      <c r="DV260" s="1" t="s">
        <v>4084</v>
      </c>
      <c r="DW260" s="1" t="s">
        <v>219</v>
      </c>
      <c r="DX260" s="1" t="s">
        <v>438</v>
      </c>
      <c r="DY260" s="1" t="s">
        <v>210</v>
      </c>
      <c r="DZ260" s="1" t="s">
        <v>3848</v>
      </c>
      <c r="EA260" s="1" t="s">
        <v>43</v>
      </c>
      <c r="EB260" s="1" t="s">
        <v>347</v>
      </c>
      <c r="EC260" s="1" t="s">
        <v>210</v>
      </c>
      <c r="ED260" s="1" t="s">
        <v>4085</v>
      </c>
      <c r="EE260" s="1" t="s">
        <v>43</v>
      </c>
      <c r="EI260" s="1" t="s">
        <v>230</v>
      </c>
      <c r="EL260" s="1" t="s">
        <v>670</v>
      </c>
      <c r="EM260" s="1" t="s">
        <v>319</v>
      </c>
      <c r="EN260" s="1" t="s">
        <v>282</v>
      </c>
      <c r="EO260" s="1" t="s">
        <v>234</v>
      </c>
      <c r="EQ260" s="1" t="s">
        <v>2188</v>
      </c>
      <c r="ER260" s="1" t="s">
        <v>544</v>
      </c>
      <c r="ES260" s="1" t="s">
        <v>322</v>
      </c>
      <c r="EV260" s="1" t="s">
        <v>324</v>
      </c>
      <c r="EW260" s="1" t="s">
        <v>4086</v>
      </c>
      <c r="EY260" s="1" t="s">
        <v>242</v>
      </c>
      <c r="EZ260" s="1" t="s">
        <v>4087</v>
      </c>
      <c r="FD260" s="1" t="s">
        <v>246</v>
      </c>
      <c r="FE260" s="1" t="s">
        <v>975</v>
      </c>
      <c r="FF260" s="1" t="s">
        <v>248</v>
      </c>
      <c r="FH260" s="1" t="s">
        <v>249</v>
      </c>
      <c r="FI260" s="1" t="s">
        <v>357</v>
      </c>
      <c r="FJ260" s="1" t="s">
        <v>197</v>
      </c>
      <c r="FL260" s="1" t="s">
        <v>358</v>
      </c>
      <c r="FM260" s="1" t="s">
        <v>252</v>
      </c>
      <c r="FN260" s="1" t="s">
        <v>213</v>
      </c>
      <c r="FO260" s="1" t="s">
        <v>213</v>
      </c>
      <c r="FQ260" s="1" t="s">
        <v>4088</v>
      </c>
      <c r="FR260" s="1" t="s">
        <v>210</v>
      </c>
      <c r="FS260" s="1" t="s">
        <v>2960</v>
      </c>
      <c r="FT260" s="1" t="s">
        <v>4089</v>
      </c>
      <c r="FU260" s="1" t="s">
        <v>204</v>
      </c>
      <c r="FW260" s="1" t="s">
        <v>4090</v>
      </c>
      <c r="FX260" s="1">
        <v>7470</v>
      </c>
      <c r="FY260" s="1" t="s">
        <v>4091</v>
      </c>
      <c r="FZ260" s="1" t="s">
        <v>4092</v>
      </c>
      <c r="GA260" s="1">
        <v>77577</v>
      </c>
      <c r="GB260" s="1" t="s">
        <v>4093</v>
      </c>
      <c r="GE260" s="1" t="s">
        <v>480</v>
      </c>
      <c r="GI260" s="1" t="s">
        <v>213</v>
      </c>
      <c r="GJ260" s="1" t="s">
        <v>260</v>
      </c>
      <c r="GK260" s="1" t="s">
        <v>210</v>
      </c>
      <c r="GL260" s="2">
        <v>41999</v>
      </c>
      <c r="GM260" s="1" t="s">
        <v>4094</v>
      </c>
    </row>
    <row r="261" spans="1:195">
      <c r="A261" s="1">
        <v>117000</v>
      </c>
      <c r="B261" s="1" t="s">
        <v>195</v>
      </c>
      <c r="C261" s="1" t="str">
        <f>"08785301"</f>
        <v>08785301</v>
      </c>
      <c r="D261" s="1" t="s">
        <v>196</v>
      </c>
      <c r="F261" s="1" t="str">
        <f>"507"</f>
        <v>507</v>
      </c>
      <c r="G261" s="2">
        <v>41956</v>
      </c>
      <c r="H261" s="1">
        <v>125000</v>
      </c>
      <c r="I261" s="1">
        <v>119000</v>
      </c>
      <c r="J261" s="1">
        <v>117000</v>
      </c>
      <c r="K261" s="2">
        <v>41954</v>
      </c>
      <c r="L261" s="1">
        <v>311</v>
      </c>
      <c r="M261" s="2">
        <v>42089</v>
      </c>
      <c r="N261" s="1">
        <v>136</v>
      </c>
      <c r="O261" s="2">
        <v>42089</v>
      </c>
      <c r="P261" s="1">
        <v>22029</v>
      </c>
      <c r="Q261" s="1" t="s">
        <v>197</v>
      </c>
      <c r="R261" s="2">
        <v>42136</v>
      </c>
      <c r="S261" s="1">
        <v>244264</v>
      </c>
      <c r="T261" s="1">
        <v>500</v>
      </c>
      <c r="U261" s="1">
        <v>2426</v>
      </c>
      <c r="V261" s="1" t="s">
        <v>3924</v>
      </c>
      <c r="W261" s="1" t="s">
        <v>449</v>
      </c>
      <c r="X261" s="1">
        <v>2</v>
      </c>
      <c r="Y261" s="1">
        <v>5</v>
      </c>
      <c r="Z261" s="1" t="s">
        <v>370</v>
      </c>
      <c r="AA261" s="1" t="s">
        <v>1123</v>
      </c>
      <c r="AB261" s="1">
        <v>60506</v>
      </c>
      <c r="AD261" s="1" t="s">
        <v>3925</v>
      </c>
      <c r="AE261" s="1" t="s">
        <v>4095</v>
      </c>
      <c r="AF261" s="1">
        <v>1999</v>
      </c>
      <c r="AG261" s="1" t="s">
        <v>204</v>
      </c>
      <c r="AH261" s="1" t="s">
        <v>1126</v>
      </c>
      <c r="AI261" s="1" t="s">
        <v>665</v>
      </c>
      <c r="AJ261" s="1" t="s">
        <v>3240</v>
      </c>
      <c r="AK261" s="1" t="s">
        <v>4049</v>
      </c>
      <c r="AL261" s="1">
        <v>6</v>
      </c>
      <c r="AM261" s="1">
        <v>2</v>
      </c>
      <c r="AN261" s="1">
        <v>1</v>
      </c>
      <c r="AO261" s="1">
        <v>1</v>
      </c>
      <c r="AP261" s="1" t="s">
        <v>210</v>
      </c>
      <c r="AR261" s="1" t="s">
        <v>1421</v>
      </c>
      <c r="AS261" s="1" t="s">
        <v>204</v>
      </c>
      <c r="AT261" s="1" t="s">
        <v>211</v>
      </c>
      <c r="AU261" s="1">
        <v>2</v>
      </c>
      <c r="AW261" s="1" t="s">
        <v>204</v>
      </c>
      <c r="AX261" s="1" t="s">
        <v>212</v>
      </c>
      <c r="AZ261" s="1">
        <v>4506</v>
      </c>
      <c r="BA261" s="1">
        <v>2013</v>
      </c>
      <c r="BB261" s="1" t="s">
        <v>405</v>
      </c>
      <c r="BE261" s="1">
        <v>1250</v>
      </c>
      <c r="BF261" s="1">
        <v>1</v>
      </c>
      <c r="BG261" s="1">
        <v>0</v>
      </c>
      <c r="BL261" s="1">
        <v>154</v>
      </c>
      <c r="BM261" s="1" t="s">
        <v>204</v>
      </c>
      <c r="BN261" s="1" t="s">
        <v>213</v>
      </c>
      <c r="BO261" s="1">
        <v>0</v>
      </c>
      <c r="BP261" s="1" t="s">
        <v>204</v>
      </c>
      <c r="BR261" s="1" t="str">
        <f>"1413233040"</f>
        <v>1413233040</v>
      </c>
      <c r="BT261" s="1" t="s">
        <v>4096</v>
      </c>
      <c r="BU261" s="1" t="s">
        <v>3928</v>
      </c>
      <c r="BV261" s="1" t="s">
        <v>4097</v>
      </c>
      <c r="BW261" s="1" t="s">
        <v>3930</v>
      </c>
      <c r="BX261" s="1">
        <v>129</v>
      </c>
      <c r="BY261" s="1">
        <v>129</v>
      </c>
      <c r="BZ261" s="1">
        <v>129</v>
      </c>
      <c r="CB261" s="1" t="str">
        <f t="shared" ref="CB261:CC261" si="209">""</f>
        <v/>
      </c>
      <c r="CC261" s="1" t="str">
        <f t="shared" si="209"/>
        <v/>
      </c>
      <c r="CG261" s="1" t="s">
        <v>3151</v>
      </c>
      <c r="CH261" s="1" t="s">
        <v>219</v>
      </c>
      <c r="CI261" s="1" t="s">
        <v>220</v>
      </c>
      <c r="CK261" s="1" t="s">
        <v>2935</v>
      </c>
      <c r="CL261" s="1" t="s">
        <v>277</v>
      </c>
      <c r="CM261" s="1" t="s">
        <v>220</v>
      </c>
      <c r="CO261" s="1" t="s">
        <v>1360</v>
      </c>
      <c r="CP261" s="1" t="s">
        <v>219</v>
      </c>
      <c r="CQ261" s="1" t="s">
        <v>220</v>
      </c>
      <c r="CS261" s="1" t="s">
        <v>1046</v>
      </c>
      <c r="CT261" s="1" t="s">
        <v>277</v>
      </c>
      <c r="CU261" s="1" t="s">
        <v>229</v>
      </c>
      <c r="CX261" s="1" t="s">
        <v>224</v>
      </c>
      <c r="DB261" s="1" t="s">
        <v>224</v>
      </c>
      <c r="DE261" s="1" t="s">
        <v>4098</v>
      </c>
      <c r="DF261" s="1" t="s">
        <v>219</v>
      </c>
      <c r="DG261" s="1" t="s">
        <v>342</v>
      </c>
      <c r="DJ261" s="1" t="s">
        <v>224</v>
      </c>
      <c r="DM261" s="1" t="s">
        <v>411</v>
      </c>
      <c r="DR261" s="1" t="s">
        <v>346</v>
      </c>
      <c r="DS261" s="1" t="s">
        <v>822</v>
      </c>
      <c r="DW261" s="1" t="s">
        <v>230</v>
      </c>
      <c r="EA261" s="1" t="s">
        <v>230</v>
      </c>
      <c r="EE261" s="1" t="s">
        <v>230</v>
      </c>
      <c r="EI261" s="1" t="s">
        <v>230</v>
      </c>
      <c r="EL261" s="1" t="s">
        <v>466</v>
      </c>
      <c r="EM261" s="1" t="s">
        <v>319</v>
      </c>
      <c r="EN261" s="1" t="s">
        <v>282</v>
      </c>
      <c r="EO261" s="1" t="s">
        <v>234</v>
      </c>
      <c r="EP261" s="1" t="s">
        <v>4099</v>
      </c>
      <c r="EQ261" s="1" t="s">
        <v>236</v>
      </c>
      <c r="ER261" s="1" t="s">
        <v>544</v>
      </c>
      <c r="ES261" s="1" t="s">
        <v>608</v>
      </c>
      <c r="EV261" s="1" t="s">
        <v>324</v>
      </c>
      <c r="EW261" s="1" t="s">
        <v>887</v>
      </c>
      <c r="EZ261" s="1" t="s">
        <v>411</v>
      </c>
      <c r="FB261" s="1" t="s">
        <v>289</v>
      </c>
      <c r="FC261" s="1" t="s">
        <v>326</v>
      </c>
      <c r="FD261" s="1" t="s">
        <v>246</v>
      </c>
      <c r="FE261" s="1" t="s">
        <v>472</v>
      </c>
      <c r="FF261" s="1" t="s">
        <v>248</v>
      </c>
      <c r="FH261" s="1" t="s">
        <v>550</v>
      </c>
      <c r="FI261" s="1" t="s">
        <v>473</v>
      </c>
      <c r="FJ261" s="1" t="s">
        <v>518</v>
      </c>
      <c r="FL261" s="1" t="s">
        <v>358</v>
      </c>
      <c r="FM261" s="1" t="s">
        <v>252</v>
      </c>
      <c r="FN261" s="1" t="s">
        <v>213</v>
      </c>
      <c r="FO261" s="1" t="s">
        <v>213</v>
      </c>
      <c r="FQ261" s="1" t="s">
        <v>956</v>
      </c>
      <c r="FR261" s="1" t="s">
        <v>210</v>
      </c>
      <c r="FS261" s="1" t="s">
        <v>4100</v>
      </c>
      <c r="FT261" s="1" t="s">
        <v>295</v>
      </c>
      <c r="FU261" s="1" t="s">
        <v>204</v>
      </c>
      <c r="FW261" s="1" t="s">
        <v>1475</v>
      </c>
      <c r="FX261" s="1">
        <v>23265</v>
      </c>
      <c r="FY261" s="1" t="s">
        <v>1476</v>
      </c>
      <c r="FZ261" s="1" t="s">
        <v>4101</v>
      </c>
      <c r="GA261" s="1">
        <v>215634</v>
      </c>
      <c r="GB261" s="1" t="s">
        <v>4102</v>
      </c>
      <c r="GE261" s="1" t="s">
        <v>480</v>
      </c>
      <c r="GI261" s="1" t="s">
        <v>213</v>
      </c>
      <c r="GJ261" s="1" t="s">
        <v>260</v>
      </c>
      <c r="GK261" s="1" t="s">
        <v>210</v>
      </c>
      <c r="GL261" s="2">
        <v>42136</v>
      </c>
      <c r="GM261" s="1" t="s">
        <v>4103</v>
      </c>
    </row>
    <row r="262" spans="1:195">
      <c r="A262" s="1">
        <v>154000</v>
      </c>
      <c r="B262" s="1" t="s">
        <v>195</v>
      </c>
      <c r="C262" s="1" t="str">
        <f>"08796070"</f>
        <v>08796070</v>
      </c>
      <c r="D262" s="1" t="s">
        <v>196</v>
      </c>
      <c r="F262" s="1" t="str">
        <f>"187"</f>
        <v>187</v>
      </c>
      <c r="G262" s="2">
        <v>41976</v>
      </c>
      <c r="H262" s="1">
        <v>158000</v>
      </c>
      <c r="I262" s="1">
        <v>159000</v>
      </c>
      <c r="J262" s="1">
        <v>154000</v>
      </c>
      <c r="K262" s="2">
        <v>41976</v>
      </c>
      <c r="L262" s="1">
        <v>61</v>
      </c>
      <c r="M262" s="2">
        <v>42036</v>
      </c>
      <c r="N262" s="1">
        <v>61</v>
      </c>
      <c r="O262" s="2">
        <v>42036</v>
      </c>
      <c r="P262" s="1">
        <v>23163</v>
      </c>
      <c r="Q262" s="1" t="s">
        <v>197</v>
      </c>
      <c r="R262" s="2">
        <v>42072</v>
      </c>
      <c r="S262" s="1">
        <v>215303</v>
      </c>
      <c r="U262" s="1">
        <v>1917</v>
      </c>
      <c r="V262" s="1" t="s">
        <v>4104</v>
      </c>
      <c r="W262" s="1" t="s">
        <v>504</v>
      </c>
      <c r="X262" s="1" t="s">
        <v>527</v>
      </c>
      <c r="Y262" s="1">
        <v>4</v>
      </c>
      <c r="Z262" s="1" t="s">
        <v>200</v>
      </c>
      <c r="AA262" s="1" t="s">
        <v>964</v>
      </c>
      <c r="AB262" s="1">
        <v>60189</v>
      </c>
      <c r="AD262" s="1" t="s">
        <v>1354</v>
      </c>
      <c r="AE262" s="1" t="s">
        <v>4105</v>
      </c>
      <c r="AF262" s="1">
        <v>1984</v>
      </c>
      <c r="AG262" s="1" t="s">
        <v>204</v>
      </c>
      <c r="AH262" s="1" t="s">
        <v>967</v>
      </c>
      <c r="AI262" s="1" t="s">
        <v>206</v>
      </c>
      <c r="AJ262" s="1" t="s">
        <v>207</v>
      </c>
      <c r="AK262" s="1" t="s">
        <v>4106</v>
      </c>
      <c r="AL262" s="1">
        <v>5</v>
      </c>
      <c r="AM262" s="1">
        <v>2</v>
      </c>
      <c r="AN262" s="1">
        <v>2</v>
      </c>
      <c r="AO262" s="1">
        <v>0</v>
      </c>
      <c r="AP262" s="1" t="s">
        <v>210</v>
      </c>
      <c r="AQ262" s="1">
        <v>1</v>
      </c>
      <c r="AR262" s="1" t="s">
        <v>210</v>
      </c>
      <c r="AS262" s="1" t="s">
        <v>204</v>
      </c>
      <c r="AT262" s="1" t="s">
        <v>211</v>
      </c>
      <c r="AU262" s="1">
        <v>1</v>
      </c>
      <c r="AW262" s="1" t="s">
        <v>204</v>
      </c>
      <c r="AX262" s="1" t="s">
        <v>212</v>
      </c>
      <c r="AZ262" s="1">
        <v>3007</v>
      </c>
      <c r="BA262" s="1">
        <v>2013</v>
      </c>
      <c r="BE262" s="1">
        <v>1201</v>
      </c>
      <c r="BF262" s="1">
        <v>1</v>
      </c>
      <c r="BG262" s="1">
        <v>15</v>
      </c>
      <c r="BL262" s="1">
        <v>295</v>
      </c>
      <c r="BM262" s="1" t="s">
        <v>204</v>
      </c>
      <c r="BN262" s="1" t="s">
        <v>213</v>
      </c>
      <c r="BO262" s="1">
        <v>999</v>
      </c>
      <c r="BP262" s="1" t="s">
        <v>204</v>
      </c>
      <c r="BR262" s="1" t="str">
        <f>"0519211053"</f>
        <v>0519211053</v>
      </c>
      <c r="BT262" s="1" t="s">
        <v>4107</v>
      </c>
      <c r="BX262" s="1">
        <v>200</v>
      </c>
      <c r="BY262" s="1">
        <v>200</v>
      </c>
      <c r="BZ262" s="1">
        <v>200</v>
      </c>
      <c r="CB262" s="1" t="str">
        <f t="shared" ref="CB262:CC262" si="210">""</f>
        <v/>
      </c>
      <c r="CC262" s="1" t="str">
        <f t="shared" si="210"/>
        <v/>
      </c>
      <c r="CD262" s="1">
        <v>26</v>
      </c>
      <c r="CE262" s="1">
        <v>1</v>
      </c>
      <c r="CG262" s="1" t="s">
        <v>885</v>
      </c>
      <c r="CH262" s="1" t="s">
        <v>219</v>
      </c>
      <c r="CI262" s="1" t="s">
        <v>220</v>
      </c>
      <c r="CK262" s="1" t="s">
        <v>1045</v>
      </c>
      <c r="CL262" s="1" t="s">
        <v>219</v>
      </c>
      <c r="CM262" s="1" t="s">
        <v>220</v>
      </c>
      <c r="CN262" s="1" t="s">
        <v>210</v>
      </c>
      <c r="CO262" s="1" t="s">
        <v>409</v>
      </c>
      <c r="CP262" s="1" t="s">
        <v>219</v>
      </c>
      <c r="CQ262" s="1" t="s">
        <v>220</v>
      </c>
      <c r="CS262" s="1" t="s">
        <v>1358</v>
      </c>
      <c r="CT262" s="1" t="s">
        <v>219</v>
      </c>
      <c r="CU262" s="1" t="s">
        <v>220</v>
      </c>
      <c r="CX262" s="1" t="s">
        <v>224</v>
      </c>
      <c r="DB262" s="1" t="s">
        <v>224</v>
      </c>
      <c r="DE262" s="1" t="s">
        <v>409</v>
      </c>
      <c r="DF262" s="1" t="s">
        <v>219</v>
      </c>
      <c r="DG262" s="1" t="s">
        <v>347</v>
      </c>
      <c r="DJ262" s="1" t="s">
        <v>224</v>
      </c>
      <c r="DS262" s="1" t="s">
        <v>230</v>
      </c>
      <c r="DW262" s="1" t="s">
        <v>230</v>
      </c>
      <c r="EA262" s="1" t="s">
        <v>230</v>
      </c>
      <c r="EE262" s="1" t="s">
        <v>230</v>
      </c>
      <c r="EI262" s="1" t="s">
        <v>230</v>
      </c>
      <c r="EL262" s="1" t="s">
        <v>231</v>
      </c>
      <c r="EM262" s="1" t="s">
        <v>232</v>
      </c>
      <c r="EN262" s="1" t="s">
        <v>282</v>
      </c>
      <c r="EO262" s="1" t="s">
        <v>234</v>
      </c>
      <c r="EP262" s="1" t="s">
        <v>650</v>
      </c>
      <c r="EQ262" s="1" t="s">
        <v>1109</v>
      </c>
      <c r="ER262" s="1" t="s">
        <v>210</v>
      </c>
      <c r="ES262" s="1" t="s">
        <v>322</v>
      </c>
      <c r="EV262" s="1" t="s">
        <v>324</v>
      </c>
      <c r="EW262" s="1" t="s">
        <v>4108</v>
      </c>
      <c r="EY262" s="1" t="s">
        <v>441</v>
      </c>
      <c r="EZ262" s="1" t="s">
        <v>287</v>
      </c>
      <c r="FD262" s="1" t="s">
        <v>246</v>
      </c>
      <c r="FE262" s="1" t="s">
        <v>549</v>
      </c>
      <c r="FF262" s="1" t="s">
        <v>248</v>
      </c>
      <c r="FH262" s="1" t="s">
        <v>249</v>
      </c>
      <c r="FL262" s="1" t="s">
        <v>358</v>
      </c>
      <c r="FM262" s="1" t="s">
        <v>252</v>
      </c>
      <c r="FN262" s="1" t="s">
        <v>213</v>
      </c>
      <c r="FO262" s="1" t="s">
        <v>213</v>
      </c>
      <c r="FQ262" s="1" t="s">
        <v>569</v>
      </c>
      <c r="FR262" s="1" t="s">
        <v>210</v>
      </c>
      <c r="FS262" s="1" t="s">
        <v>4109</v>
      </c>
      <c r="FT262" s="1" t="s">
        <v>362</v>
      </c>
      <c r="FU262" s="1" t="s">
        <v>204</v>
      </c>
      <c r="FW262" s="1" t="s">
        <v>1559</v>
      </c>
      <c r="FX262" s="1">
        <v>25083</v>
      </c>
      <c r="FY262" s="1" t="s">
        <v>4110</v>
      </c>
      <c r="FZ262" s="1" t="s">
        <v>4111</v>
      </c>
      <c r="GA262" s="1">
        <v>225671</v>
      </c>
      <c r="GB262" s="1" t="s">
        <v>4112</v>
      </c>
      <c r="GE262" s="1" t="s">
        <v>480</v>
      </c>
      <c r="GI262" s="1" t="s">
        <v>213</v>
      </c>
      <c r="GJ262" s="1" t="s">
        <v>260</v>
      </c>
      <c r="GK262" s="1" t="s">
        <v>210</v>
      </c>
      <c r="GL262" s="2">
        <v>42072</v>
      </c>
      <c r="GM262" s="1" t="s">
        <v>4113</v>
      </c>
    </row>
    <row r="263" spans="1:195">
      <c r="A263" s="1">
        <v>146000</v>
      </c>
      <c r="B263" s="1" t="s">
        <v>195</v>
      </c>
      <c r="C263" s="1" t="str">
        <f>"08774489"</f>
        <v>08774489</v>
      </c>
      <c r="D263" s="1" t="s">
        <v>196</v>
      </c>
      <c r="F263" s="1" t="str">
        <f>"104"</f>
        <v>104</v>
      </c>
      <c r="G263" s="2">
        <v>41955</v>
      </c>
      <c r="H263" s="1">
        <v>159900</v>
      </c>
      <c r="I263" s="1">
        <v>155000</v>
      </c>
      <c r="J263" s="1">
        <v>146000</v>
      </c>
      <c r="K263" s="2">
        <v>41955</v>
      </c>
      <c r="L263" s="1">
        <v>93</v>
      </c>
      <c r="M263" s="2">
        <v>42047</v>
      </c>
      <c r="N263" s="1">
        <v>93</v>
      </c>
      <c r="O263" s="2">
        <v>42047</v>
      </c>
      <c r="P263" s="1">
        <v>8073</v>
      </c>
      <c r="Q263" s="1" t="s">
        <v>197</v>
      </c>
      <c r="R263" s="2">
        <v>42095</v>
      </c>
      <c r="S263" s="1">
        <v>83618</v>
      </c>
      <c r="U263" s="1">
        <v>421</v>
      </c>
      <c r="V263" s="1" t="s">
        <v>4114</v>
      </c>
      <c r="W263" s="1" t="s">
        <v>304</v>
      </c>
      <c r="X263" s="1">
        <v>2</v>
      </c>
      <c r="Y263" s="1">
        <v>4</v>
      </c>
      <c r="Z263" s="1" t="s">
        <v>370</v>
      </c>
      <c r="AA263" s="1" t="s">
        <v>371</v>
      </c>
      <c r="AB263" s="1">
        <v>60103</v>
      </c>
      <c r="AD263" s="1" t="s">
        <v>4115</v>
      </c>
      <c r="AE263" s="1" t="s">
        <v>4116</v>
      </c>
      <c r="AF263" s="1">
        <v>1994</v>
      </c>
      <c r="AG263" s="1" t="s">
        <v>204</v>
      </c>
      <c r="AH263" s="1" t="s">
        <v>373</v>
      </c>
      <c r="AI263" s="1" t="s">
        <v>206</v>
      </c>
      <c r="AJ263" s="1" t="s">
        <v>2654</v>
      </c>
      <c r="AK263" s="1" t="s">
        <v>4117</v>
      </c>
      <c r="AL263" s="1">
        <v>6</v>
      </c>
      <c r="AM263" s="1">
        <v>2</v>
      </c>
      <c r="AN263" s="1">
        <v>2</v>
      </c>
      <c r="AO263" s="1">
        <v>0</v>
      </c>
      <c r="AP263" s="1" t="s">
        <v>209</v>
      </c>
      <c r="AQ263" s="1">
        <v>1</v>
      </c>
      <c r="AR263" s="1" t="s">
        <v>210</v>
      </c>
      <c r="AS263" s="1" t="s">
        <v>204</v>
      </c>
      <c r="AT263" s="1" t="s">
        <v>211</v>
      </c>
      <c r="AU263" s="1">
        <v>2</v>
      </c>
      <c r="AW263" s="1" t="s">
        <v>204</v>
      </c>
      <c r="AX263" s="1" t="s">
        <v>212</v>
      </c>
      <c r="AZ263" s="1">
        <v>4200.9399999999996</v>
      </c>
      <c r="BA263" s="1">
        <v>2013</v>
      </c>
      <c r="BB263" s="1" t="s">
        <v>405</v>
      </c>
      <c r="BE263" s="1">
        <v>1578</v>
      </c>
      <c r="BF263" s="1">
        <v>2</v>
      </c>
      <c r="BG263" s="1">
        <v>0</v>
      </c>
      <c r="BL263" s="1">
        <v>263</v>
      </c>
      <c r="BM263" s="1" t="s">
        <v>204</v>
      </c>
      <c r="BN263" s="1" t="s">
        <v>213</v>
      </c>
      <c r="BO263" s="1">
        <v>20</v>
      </c>
      <c r="BP263" s="1" t="s">
        <v>204</v>
      </c>
      <c r="BR263" s="1" t="str">
        <f>"0114430186"</f>
        <v>0114430186</v>
      </c>
      <c r="BT263" s="1" t="s">
        <v>4118</v>
      </c>
      <c r="BU263" s="1" t="s">
        <v>4119</v>
      </c>
      <c r="BV263" s="1" t="s">
        <v>4120</v>
      </c>
      <c r="BW263" s="1" t="s">
        <v>4121</v>
      </c>
      <c r="BX263" s="1">
        <v>46</v>
      </c>
      <c r="BY263" s="1">
        <v>46</v>
      </c>
      <c r="BZ263" s="1">
        <v>46</v>
      </c>
      <c r="CB263" s="1" t="str">
        <f>"5"</f>
        <v>5</v>
      </c>
      <c r="CC263" s="1" t="str">
        <f t="shared" ref="CC263:CC264" si="211">""</f>
        <v/>
      </c>
      <c r="CD263" s="1">
        <v>28</v>
      </c>
      <c r="CG263" s="1" t="s">
        <v>3100</v>
      </c>
      <c r="CH263" s="1" t="s">
        <v>219</v>
      </c>
      <c r="CI263" s="1" t="s">
        <v>220</v>
      </c>
      <c r="CJ263" s="1" t="s">
        <v>463</v>
      </c>
      <c r="CK263" s="1" t="s">
        <v>228</v>
      </c>
      <c r="CL263" s="1" t="s">
        <v>219</v>
      </c>
      <c r="CM263" s="1" t="s">
        <v>220</v>
      </c>
      <c r="CN263" s="1" t="s">
        <v>343</v>
      </c>
      <c r="CO263" s="1" t="s">
        <v>379</v>
      </c>
      <c r="CP263" s="1" t="s">
        <v>219</v>
      </c>
      <c r="CQ263" s="1" t="s">
        <v>220</v>
      </c>
      <c r="CR263" s="1" t="s">
        <v>210</v>
      </c>
      <c r="CS263" s="1" t="s">
        <v>346</v>
      </c>
      <c r="CT263" s="1" t="s">
        <v>219</v>
      </c>
      <c r="CU263" s="1" t="s">
        <v>220</v>
      </c>
      <c r="CV263" s="1" t="s">
        <v>343</v>
      </c>
      <c r="CX263" s="1" t="s">
        <v>224</v>
      </c>
      <c r="DB263" s="1" t="s">
        <v>224</v>
      </c>
      <c r="DE263" s="1" t="s">
        <v>757</v>
      </c>
      <c r="DF263" s="1" t="s">
        <v>219</v>
      </c>
      <c r="DG263" s="1" t="s">
        <v>226</v>
      </c>
      <c r="DH263" s="1" t="s">
        <v>343</v>
      </c>
      <c r="DJ263" s="1" t="s">
        <v>224</v>
      </c>
      <c r="DM263" s="1" t="s">
        <v>464</v>
      </c>
      <c r="DR263" s="1" t="s">
        <v>1358</v>
      </c>
      <c r="DS263" s="1" t="s">
        <v>219</v>
      </c>
      <c r="DT263" s="1" t="s">
        <v>220</v>
      </c>
      <c r="DU263" s="1" t="s">
        <v>463</v>
      </c>
      <c r="DW263" s="1" t="s">
        <v>230</v>
      </c>
      <c r="EA263" s="1" t="s">
        <v>230</v>
      </c>
      <c r="EE263" s="1" t="s">
        <v>230</v>
      </c>
      <c r="EI263" s="1" t="s">
        <v>230</v>
      </c>
      <c r="EL263" s="1" t="s">
        <v>670</v>
      </c>
      <c r="EM263" s="1" t="s">
        <v>319</v>
      </c>
      <c r="EN263" s="1" t="s">
        <v>282</v>
      </c>
      <c r="EO263" s="1" t="s">
        <v>234</v>
      </c>
      <c r="EP263" s="1" t="s">
        <v>1489</v>
      </c>
      <c r="EQ263" s="1" t="s">
        <v>236</v>
      </c>
      <c r="ER263" s="1" t="s">
        <v>210</v>
      </c>
      <c r="ES263" s="1" t="s">
        <v>4122</v>
      </c>
      <c r="EU263" s="1" t="s">
        <v>239</v>
      </c>
      <c r="EV263" s="1" t="s">
        <v>240</v>
      </c>
      <c r="EW263" s="1" t="s">
        <v>887</v>
      </c>
      <c r="EY263" s="1" t="s">
        <v>242</v>
      </c>
      <c r="EZ263" s="1" t="s">
        <v>464</v>
      </c>
      <c r="FA263" s="1" t="s">
        <v>471</v>
      </c>
      <c r="FB263" s="1" t="s">
        <v>289</v>
      </c>
      <c r="FD263" s="1" t="s">
        <v>246</v>
      </c>
      <c r="FE263" s="1" t="s">
        <v>386</v>
      </c>
      <c r="FF263" s="1" t="s">
        <v>248</v>
      </c>
      <c r="FG263" s="1" t="s">
        <v>2406</v>
      </c>
      <c r="FH263" s="1" t="s">
        <v>2221</v>
      </c>
      <c r="FI263" s="1" t="s">
        <v>473</v>
      </c>
      <c r="FL263" s="1" t="s">
        <v>358</v>
      </c>
      <c r="FM263" s="1" t="s">
        <v>252</v>
      </c>
      <c r="FN263" s="1" t="s">
        <v>213</v>
      </c>
      <c r="FO263" s="1" t="s">
        <v>213</v>
      </c>
      <c r="FQ263" s="1" t="s">
        <v>4123</v>
      </c>
      <c r="FR263" s="1" t="s">
        <v>210</v>
      </c>
      <c r="FS263" s="1" t="s">
        <v>4124</v>
      </c>
      <c r="FT263" s="1" t="s">
        <v>295</v>
      </c>
      <c r="FU263" s="1" t="s">
        <v>204</v>
      </c>
      <c r="FW263" s="1" t="s">
        <v>4125</v>
      </c>
      <c r="FX263" s="1">
        <v>8073</v>
      </c>
      <c r="FY263" s="1" t="s">
        <v>4126</v>
      </c>
      <c r="FZ263" s="1" t="s">
        <v>4127</v>
      </c>
      <c r="GA263" s="1">
        <v>83321</v>
      </c>
      <c r="GB263" s="1" t="s">
        <v>4128</v>
      </c>
      <c r="GE263" s="1" t="s">
        <v>480</v>
      </c>
      <c r="GI263" s="1" t="s">
        <v>213</v>
      </c>
      <c r="GJ263" s="1" t="s">
        <v>260</v>
      </c>
      <c r="GK263" s="1" t="s">
        <v>210</v>
      </c>
      <c r="GL263" s="2">
        <v>42095</v>
      </c>
    </row>
    <row r="264" spans="1:195">
      <c r="A264" s="1">
        <v>70500</v>
      </c>
      <c r="B264" s="1" t="s">
        <v>195</v>
      </c>
      <c r="C264" s="1" t="str">
        <f>"08770656"</f>
        <v>08770656</v>
      </c>
      <c r="D264" s="1" t="s">
        <v>196</v>
      </c>
      <c r="F264" s="1" t="str">
        <f>"177"</f>
        <v>177</v>
      </c>
      <c r="G264" s="2">
        <v>41949</v>
      </c>
      <c r="H264" s="1">
        <v>74500</v>
      </c>
      <c r="I264" s="1">
        <v>74500</v>
      </c>
      <c r="J264" s="1">
        <v>70500</v>
      </c>
      <c r="K264" s="2">
        <v>41947</v>
      </c>
      <c r="L264" s="1">
        <v>29</v>
      </c>
      <c r="M264" s="2">
        <v>41975</v>
      </c>
      <c r="N264" s="1">
        <v>29</v>
      </c>
      <c r="O264" s="2">
        <v>41975</v>
      </c>
      <c r="P264" s="1">
        <v>1855</v>
      </c>
      <c r="Q264" s="1" t="s">
        <v>302</v>
      </c>
      <c r="R264" s="2">
        <v>42024</v>
      </c>
      <c r="S264" s="1">
        <v>242744</v>
      </c>
      <c r="T264" s="1">
        <v>2115</v>
      </c>
      <c r="U264" s="1">
        <v>1105</v>
      </c>
      <c r="V264" s="1" t="s">
        <v>4129</v>
      </c>
      <c r="W264" s="1" t="s">
        <v>725</v>
      </c>
      <c r="X264" s="1">
        <v>1105</v>
      </c>
      <c r="Y264" s="1">
        <v>4</v>
      </c>
      <c r="Z264" s="1" t="s">
        <v>370</v>
      </c>
      <c r="AA264" s="1" t="s">
        <v>1461</v>
      </c>
      <c r="AB264" s="1">
        <v>60177</v>
      </c>
      <c r="AE264" s="1" t="s">
        <v>4130</v>
      </c>
      <c r="AF264" s="1">
        <v>1989</v>
      </c>
      <c r="AG264" s="1" t="s">
        <v>204</v>
      </c>
      <c r="AH264" s="1" t="s">
        <v>1464</v>
      </c>
      <c r="AI264" s="1" t="s">
        <v>665</v>
      </c>
      <c r="AJ264" s="1" t="s">
        <v>1175</v>
      </c>
      <c r="AL264" s="1">
        <v>5</v>
      </c>
      <c r="AM264" s="1">
        <v>2</v>
      </c>
      <c r="AN264" s="1">
        <v>2</v>
      </c>
      <c r="AO264" s="1">
        <v>0</v>
      </c>
      <c r="AP264" s="1" t="s">
        <v>209</v>
      </c>
      <c r="AQ264" s="1">
        <v>1</v>
      </c>
      <c r="AR264" s="1" t="s">
        <v>210</v>
      </c>
      <c r="AT264" s="1" t="s">
        <v>375</v>
      </c>
      <c r="AU264" s="1">
        <v>1</v>
      </c>
      <c r="AV264" s="1">
        <v>1</v>
      </c>
      <c r="AW264" s="1" t="s">
        <v>204</v>
      </c>
      <c r="AX264" s="1" t="s">
        <v>1581</v>
      </c>
      <c r="AZ264" s="1">
        <v>2423.04</v>
      </c>
      <c r="BA264" s="1">
        <v>2012</v>
      </c>
      <c r="BB264" s="1" t="s">
        <v>405</v>
      </c>
      <c r="BE264" s="1">
        <v>1100</v>
      </c>
      <c r="BF264" s="1">
        <v>2</v>
      </c>
      <c r="BG264" s="1">
        <v>3</v>
      </c>
      <c r="BL264" s="1">
        <v>135</v>
      </c>
      <c r="BM264" s="1" t="s">
        <v>204</v>
      </c>
      <c r="BN264" s="1" t="s">
        <v>213</v>
      </c>
      <c r="BO264" s="1">
        <v>0</v>
      </c>
      <c r="BP264" s="1" t="s">
        <v>204</v>
      </c>
      <c r="BR264" s="1" t="str">
        <f>"0634128038"</f>
        <v>0634128038</v>
      </c>
      <c r="BT264" s="1" t="s">
        <v>4131</v>
      </c>
      <c r="BX264" s="1">
        <v>46</v>
      </c>
      <c r="BY264" s="1">
        <v>46</v>
      </c>
      <c r="BZ264" s="1">
        <v>46</v>
      </c>
      <c r="CB264" s="1" t="str">
        <f>"9"</f>
        <v>9</v>
      </c>
      <c r="CC264" s="1" t="str">
        <f t="shared" si="211"/>
        <v/>
      </c>
      <c r="CD264" s="1">
        <v>35</v>
      </c>
      <c r="CG264" s="1" t="s">
        <v>601</v>
      </c>
      <c r="CH264" s="1" t="s">
        <v>219</v>
      </c>
      <c r="CI264" s="1" t="s">
        <v>229</v>
      </c>
      <c r="CK264" s="1" t="s">
        <v>729</v>
      </c>
      <c r="CL264" s="1" t="s">
        <v>219</v>
      </c>
      <c r="CM264" s="1" t="s">
        <v>229</v>
      </c>
      <c r="CO264" s="1" t="s">
        <v>837</v>
      </c>
      <c r="CP264" s="1" t="s">
        <v>219</v>
      </c>
      <c r="CQ264" s="1" t="s">
        <v>229</v>
      </c>
      <c r="CR264" s="1" t="s">
        <v>343</v>
      </c>
      <c r="CS264" s="1" t="s">
        <v>379</v>
      </c>
      <c r="CT264" s="1" t="s">
        <v>219</v>
      </c>
      <c r="CU264" s="1" t="s">
        <v>229</v>
      </c>
      <c r="CV264" s="1" t="s">
        <v>343</v>
      </c>
      <c r="CX264" s="1" t="s">
        <v>224</v>
      </c>
      <c r="DB264" s="1" t="s">
        <v>224</v>
      </c>
      <c r="DE264" s="1" t="s">
        <v>379</v>
      </c>
      <c r="DF264" s="1" t="s">
        <v>219</v>
      </c>
      <c r="DG264" s="1" t="s">
        <v>229</v>
      </c>
      <c r="DJ264" s="1" t="s">
        <v>224</v>
      </c>
      <c r="DS264" s="1" t="s">
        <v>230</v>
      </c>
      <c r="DW264" s="1" t="s">
        <v>230</v>
      </c>
      <c r="EA264" s="1" t="s">
        <v>230</v>
      </c>
      <c r="EE264" s="1" t="s">
        <v>230</v>
      </c>
      <c r="EI264" s="1" t="s">
        <v>230</v>
      </c>
      <c r="EL264" s="1" t="s">
        <v>382</v>
      </c>
      <c r="EM264" s="1" t="s">
        <v>319</v>
      </c>
      <c r="EN264" s="1" t="s">
        <v>282</v>
      </c>
      <c r="EO264" s="1" t="s">
        <v>234</v>
      </c>
      <c r="ER264" s="1" t="s">
        <v>210</v>
      </c>
      <c r="EU264" s="1" t="s">
        <v>239</v>
      </c>
      <c r="EW264" s="1" t="s">
        <v>210</v>
      </c>
      <c r="EY264" s="1" t="s">
        <v>242</v>
      </c>
      <c r="EZ264" s="1" t="s">
        <v>287</v>
      </c>
      <c r="FB264" s="1" t="s">
        <v>289</v>
      </c>
      <c r="FD264" s="1" t="s">
        <v>246</v>
      </c>
      <c r="FE264" s="1" t="s">
        <v>549</v>
      </c>
      <c r="FF264" s="1" t="s">
        <v>248</v>
      </c>
      <c r="FG264" s="1" t="s">
        <v>912</v>
      </c>
      <c r="FH264" s="1" t="s">
        <v>249</v>
      </c>
      <c r="FI264" s="1" t="s">
        <v>473</v>
      </c>
      <c r="FK264" s="1" t="s">
        <v>389</v>
      </c>
      <c r="FL264" s="1" t="s">
        <v>358</v>
      </c>
      <c r="FM264" s="1" t="s">
        <v>252</v>
      </c>
      <c r="FN264" s="1" t="s">
        <v>213</v>
      </c>
      <c r="FO264" s="1" t="s">
        <v>213</v>
      </c>
      <c r="FQ264" s="1" t="s">
        <v>689</v>
      </c>
      <c r="FR264" s="1" t="s">
        <v>210</v>
      </c>
      <c r="FS264" s="1" t="s">
        <v>1805</v>
      </c>
      <c r="FT264" s="1" t="s">
        <v>654</v>
      </c>
      <c r="FU264" s="1" t="s">
        <v>204</v>
      </c>
      <c r="FW264" s="1" t="s">
        <v>1806</v>
      </c>
      <c r="FX264" s="1">
        <v>25196</v>
      </c>
      <c r="FY264" s="1" t="s">
        <v>1807</v>
      </c>
      <c r="FZ264" s="1" t="s">
        <v>1808</v>
      </c>
      <c r="GA264" s="1">
        <v>214545</v>
      </c>
      <c r="GB264" s="1" t="s">
        <v>1807</v>
      </c>
      <c r="GC264" s="1">
        <v>239627</v>
      </c>
      <c r="GE264" s="1" t="s">
        <v>210</v>
      </c>
      <c r="GI264" s="1" t="s">
        <v>213</v>
      </c>
      <c r="GJ264" s="1" t="s">
        <v>260</v>
      </c>
      <c r="GK264" s="1" t="s">
        <v>210</v>
      </c>
      <c r="GL264" s="2">
        <v>42027</v>
      </c>
      <c r="GM264" s="1" t="s">
        <v>4132</v>
      </c>
    </row>
    <row r="265" spans="1:195">
      <c r="A265" s="1">
        <v>27000</v>
      </c>
      <c r="B265" s="1" t="s">
        <v>195</v>
      </c>
      <c r="C265" s="1" t="str">
        <f>"08771732"</f>
        <v>08771732</v>
      </c>
      <c r="D265" s="1" t="s">
        <v>196</v>
      </c>
      <c r="F265" s="1" t="str">
        <f>"123"</f>
        <v>123</v>
      </c>
      <c r="G265" s="2">
        <v>41951</v>
      </c>
      <c r="H265" s="1">
        <v>38000</v>
      </c>
      <c r="I265" s="1">
        <v>30900</v>
      </c>
      <c r="J265" s="1">
        <v>27000</v>
      </c>
      <c r="K265" s="2">
        <v>41950</v>
      </c>
      <c r="L265" s="1">
        <v>126</v>
      </c>
      <c r="M265" s="2">
        <v>42075</v>
      </c>
      <c r="N265" s="1">
        <v>126</v>
      </c>
      <c r="O265" s="2">
        <v>42075</v>
      </c>
      <c r="P265" s="1">
        <v>5153</v>
      </c>
      <c r="Q265" s="1" t="s">
        <v>302</v>
      </c>
      <c r="R265" s="2">
        <v>42104</v>
      </c>
      <c r="S265" s="1">
        <v>55327</v>
      </c>
      <c r="U265" s="1">
        <v>801</v>
      </c>
      <c r="V265" s="1" t="s">
        <v>4133</v>
      </c>
      <c r="W265" s="1" t="s">
        <v>199</v>
      </c>
      <c r="X265" s="1">
        <v>216</v>
      </c>
      <c r="Y265" s="1">
        <v>90</v>
      </c>
      <c r="Z265" s="1" t="s">
        <v>249</v>
      </c>
      <c r="AA265" s="1" t="s">
        <v>1173</v>
      </c>
      <c r="AB265" s="1">
        <v>60123</v>
      </c>
      <c r="AE265" s="1" t="s">
        <v>4134</v>
      </c>
      <c r="AF265" s="1">
        <v>2005</v>
      </c>
      <c r="AG265" s="1" t="s">
        <v>204</v>
      </c>
      <c r="AH265" s="1" t="s">
        <v>1175</v>
      </c>
      <c r="AI265" s="1" t="s">
        <v>665</v>
      </c>
      <c r="AJ265" s="1" t="s">
        <v>1175</v>
      </c>
      <c r="AL265" s="1">
        <v>4</v>
      </c>
      <c r="AM265" s="1">
        <v>2</v>
      </c>
      <c r="AN265" s="1">
        <v>1</v>
      </c>
      <c r="AO265" s="1">
        <v>1</v>
      </c>
      <c r="AP265" s="1" t="s">
        <v>209</v>
      </c>
      <c r="AR265" s="1" t="s">
        <v>210</v>
      </c>
      <c r="AS265" s="1" t="s">
        <v>204</v>
      </c>
      <c r="AT265" s="1" t="s">
        <v>271</v>
      </c>
      <c r="AV265" s="1">
        <v>1</v>
      </c>
      <c r="AW265" s="1" t="s">
        <v>204</v>
      </c>
      <c r="AX265" s="1" t="s">
        <v>212</v>
      </c>
      <c r="AZ265" s="1">
        <v>2556</v>
      </c>
      <c r="BA265" s="1">
        <v>2013</v>
      </c>
      <c r="BB265" s="1" t="s">
        <v>210</v>
      </c>
      <c r="BE265" s="1">
        <v>975</v>
      </c>
      <c r="BF265" s="1">
        <v>2</v>
      </c>
      <c r="BG265" s="1">
        <v>2</v>
      </c>
      <c r="BL265" s="1">
        <v>1342</v>
      </c>
      <c r="BM265" s="1" t="s">
        <v>204</v>
      </c>
      <c r="BN265" s="1" t="s">
        <v>213</v>
      </c>
      <c r="BP265" s="1" t="s">
        <v>204</v>
      </c>
      <c r="BR265" s="1" t="str">
        <f>"0610181097"</f>
        <v>0610181097</v>
      </c>
      <c r="BT265" s="1" t="s">
        <v>4135</v>
      </c>
      <c r="BX265" s="1">
        <v>46</v>
      </c>
      <c r="BY265" s="1">
        <v>46</v>
      </c>
      <c r="BZ265" s="1">
        <v>46</v>
      </c>
      <c r="CB265" s="1" t="str">
        <f t="shared" ref="CB265:CC265" si="212">""</f>
        <v/>
      </c>
      <c r="CC265" s="1" t="str">
        <f t="shared" si="212"/>
        <v/>
      </c>
      <c r="CG265" s="1" t="s">
        <v>669</v>
      </c>
      <c r="CH265" s="1" t="s">
        <v>277</v>
      </c>
      <c r="CI265" s="1" t="s">
        <v>220</v>
      </c>
      <c r="CJ265" s="1" t="s">
        <v>252</v>
      </c>
      <c r="CK265" s="1" t="s">
        <v>344</v>
      </c>
      <c r="CL265" s="1" t="s">
        <v>277</v>
      </c>
      <c r="CM265" s="1" t="s">
        <v>220</v>
      </c>
      <c r="CN265" s="1" t="s">
        <v>252</v>
      </c>
      <c r="CP265" s="1" t="s">
        <v>224</v>
      </c>
      <c r="CS265" s="1" t="s">
        <v>317</v>
      </c>
      <c r="CT265" s="1" t="s">
        <v>277</v>
      </c>
      <c r="CU265" s="1" t="s">
        <v>220</v>
      </c>
      <c r="CV265" s="1" t="s">
        <v>252</v>
      </c>
      <c r="CX265" s="1" t="s">
        <v>224</v>
      </c>
      <c r="DB265" s="1" t="s">
        <v>224</v>
      </c>
      <c r="DE265" s="1" t="s">
        <v>1046</v>
      </c>
      <c r="DF265" s="1" t="s">
        <v>277</v>
      </c>
      <c r="DG265" s="1" t="s">
        <v>342</v>
      </c>
      <c r="DJ265" s="1" t="s">
        <v>224</v>
      </c>
      <c r="DS265" s="1" t="s">
        <v>230</v>
      </c>
      <c r="DW265" s="1" t="s">
        <v>230</v>
      </c>
      <c r="EA265" s="1" t="s">
        <v>230</v>
      </c>
      <c r="EE265" s="1" t="s">
        <v>230</v>
      </c>
      <c r="EI265" s="1" t="s">
        <v>230</v>
      </c>
      <c r="EL265" s="1" t="s">
        <v>491</v>
      </c>
      <c r="EM265" s="1" t="s">
        <v>319</v>
      </c>
      <c r="EN265" s="1" t="s">
        <v>282</v>
      </c>
      <c r="EO265" s="1" t="s">
        <v>840</v>
      </c>
      <c r="EP265" s="1" t="s">
        <v>4136</v>
      </c>
      <c r="EQ265" s="1" t="s">
        <v>236</v>
      </c>
      <c r="ER265" s="1" t="s">
        <v>210</v>
      </c>
      <c r="ET265" s="1" t="s">
        <v>609</v>
      </c>
      <c r="EU265" s="1" t="s">
        <v>843</v>
      </c>
      <c r="EW265" s="1" t="s">
        <v>4137</v>
      </c>
      <c r="EY265" s="1" t="s">
        <v>242</v>
      </c>
      <c r="EZ265" s="1" t="s">
        <v>287</v>
      </c>
      <c r="FA265" s="1" t="s">
        <v>1586</v>
      </c>
      <c r="FB265" s="1" t="s">
        <v>244</v>
      </c>
      <c r="FC265" s="1" t="s">
        <v>326</v>
      </c>
      <c r="FD265" s="1" t="s">
        <v>736</v>
      </c>
      <c r="FE265" s="1" t="s">
        <v>247</v>
      </c>
      <c r="FF265" s="1" t="s">
        <v>248</v>
      </c>
      <c r="FH265" s="1" t="s">
        <v>249</v>
      </c>
      <c r="FJ265" s="1" t="s">
        <v>197</v>
      </c>
      <c r="FK265" s="1" t="s">
        <v>2076</v>
      </c>
      <c r="FL265" s="1" t="s">
        <v>358</v>
      </c>
      <c r="FM265" s="1" t="s">
        <v>252</v>
      </c>
      <c r="FN265" s="1" t="s">
        <v>213</v>
      </c>
      <c r="FO265" s="1" t="s">
        <v>213</v>
      </c>
      <c r="FQ265" s="1" t="s">
        <v>582</v>
      </c>
      <c r="FR265" s="1" t="s">
        <v>652</v>
      </c>
      <c r="FS265" s="1" t="s">
        <v>4138</v>
      </c>
      <c r="FT265" s="1" t="s">
        <v>255</v>
      </c>
      <c r="FU265" s="1" t="s">
        <v>204</v>
      </c>
      <c r="FW265" s="1" t="s">
        <v>3291</v>
      </c>
      <c r="FX265" s="1">
        <v>7450</v>
      </c>
      <c r="FY265" s="1" t="s">
        <v>3292</v>
      </c>
      <c r="FZ265" s="1" t="s">
        <v>4139</v>
      </c>
      <c r="GA265" s="1">
        <v>70016</v>
      </c>
      <c r="GB265" s="1" t="s">
        <v>4140</v>
      </c>
      <c r="GE265" s="1" t="s">
        <v>623</v>
      </c>
      <c r="GH265" s="1" t="s">
        <v>230</v>
      </c>
      <c r="GI265" s="1" t="s">
        <v>213</v>
      </c>
      <c r="GJ265" s="1" t="s">
        <v>260</v>
      </c>
      <c r="GK265" s="1" t="s">
        <v>210</v>
      </c>
      <c r="GL265" s="2">
        <v>42104</v>
      </c>
      <c r="GM265" s="1" t="s">
        <v>4141</v>
      </c>
    </row>
    <row r="266" spans="1:195">
      <c r="A266" s="1">
        <v>139260</v>
      </c>
      <c r="B266" s="1" t="s">
        <v>195</v>
      </c>
      <c r="C266" s="1" t="str">
        <f>"08771865"</f>
        <v>08771865</v>
      </c>
      <c r="D266" s="1" t="s">
        <v>196</v>
      </c>
      <c r="F266" s="1" t="str">
        <f>"555"</f>
        <v>555</v>
      </c>
      <c r="G266" s="2">
        <v>41951</v>
      </c>
      <c r="H266" s="1">
        <v>143500</v>
      </c>
      <c r="I266" s="1">
        <v>143500</v>
      </c>
      <c r="J266" s="1">
        <v>139260</v>
      </c>
      <c r="K266" s="2">
        <v>41950</v>
      </c>
      <c r="L266" s="1">
        <v>14</v>
      </c>
      <c r="M266" s="2">
        <v>41963</v>
      </c>
      <c r="N266" s="1">
        <v>14</v>
      </c>
      <c r="O266" s="2">
        <v>41963</v>
      </c>
      <c r="P266" s="1">
        <v>890</v>
      </c>
      <c r="Q266" s="1" t="s">
        <v>197</v>
      </c>
      <c r="R266" s="2">
        <v>42013</v>
      </c>
      <c r="S266" s="1">
        <v>8770</v>
      </c>
      <c r="U266" s="1" t="s">
        <v>4142</v>
      </c>
      <c r="V266" s="1" t="s">
        <v>4143</v>
      </c>
      <c r="W266" s="1" t="s">
        <v>264</v>
      </c>
      <c r="X266" s="1" t="s">
        <v>4144</v>
      </c>
      <c r="Y266" s="1">
        <v>8</v>
      </c>
      <c r="Z266" s="1" t="s">
        <v>249</v>
      </c>
      <c r="AA266" s="1" t="s">
        <v>984</v>
      </c>
      <c r="AB266" s="1">
        <v>60555</v>
      </c>
      <c r="AD266" s="1" t="s">
        <v>4143</v>
      </c>
      <c r="AE266" s="1" t="s">
        <v>4145</v>
      </c>
      <c r="AF266" s="1">
        <v>1977</v>
      </c>
      <c r="AG266" s="1" t="s">
        <v>213</v>
      </c>
      <c r="AH266" s="1" t="s">
        <v>986</v>
      </c>
      <c r="AI266" s="1" t="s">
        <v>206</v>
      </c>
      <c r="AJ266" s="1" t="s">
        <v>987</v>
      </c>
      <c r="AL266" s="1">
        <v>5</v>
      </c>
      <c r="AM266" s="1">
        <v>2</v>
      </c>
      <c r="AN266" s="1">
        <v>2</v>
      </c>
      <c r="AO266" s="1">
        <v>0</v>
      </c>
      <c r="AP266" s="1" t="s">
        <v>209</v>
      </c>
      <c r="AQ266" s="1">
        <v>1</v>
      </c>
      <c r="AR266" s="1" t="s">
        <v>210</v>
      </c>
      <c r="AS266" s="1" t="s">
        <v>204</v>
      </c>
      <c r="AT266" s="1" t="s">
        <v>211</v>
      </c>
      <c r="AU266" s="1">
        <v>1</v>
      </c>
      <c r="AW266" s="1" t="s">
        <v>204</v>
      </c>
      <c r="AX266" s="1" t="s">
        <v>212</v>
      </c>
      <c r="AZ266" s="1">
        <v>2801</v>
      </c>
      <c r="BA266" s="1">
        <v>2013</v>
      </c>
      <c r="BB266" s="1" t="s">
        <v>405</v>
      </c>
      <c r="BE266" s="1">
        <v>1100</v>
      </c>
      <c r="BF266" s="1">
        <v>1</v>
      </c>
      <c r="BG266" s="1">
        <v>0</v>
      </c>
      <c r="BL266" s="1">
        <v>280</v>
      </c>
      <c r="BM266" s="1" t="s">
        <v>204</v>
      </c>
      <c r="BN266" s="1" t="s">
        <v>213</v>
      </c>
      <c r="BO266" s="1">
        <v>999</v>
      </c>
      <c r="BP266" s="1" t="s">
        <v>204</v>
      </c>
      <c r="BR266" s="1" t="str">
        <f>"0427414055"</f>
        <v>0427414055</v>
      </c>
      <c r="BT266" s="1" t="s">
        <v>4146</v>
      </c>
      <c r="BX266" s="1">
        <v>200</v>
      </c>
      <c r="BY266" s="1">
        <v>200</v>
      </c>
      <c r="BZ266" s="1">
        <v>200</v>
      </c>
      <c r="CB266" s="1" t="str">
        <f t="shared" ref="CB266:CC266" si="213">""</f>
        <v/>
      </c>
      <c r="CC266" s="1" t="str">
        <f t="shared" si="213"/>
        <v/>
      </c>
      <c r="CG266" s="1" t="s">
        <v>1200</v>
      </c>
      <c r="CH266" s="1" t="s">
        <v>219</v>
      </c>
      <c r="CI266" s="1" t="s">
        <v>438</v>
      </c>
      <c r="CJ266" s="1" t="s">
        <v>210</v>
      </c>
      <c r="CK266" s="1" t="s">
        <v>932</v>
      </c>
      <c r="CL266" s="1" t="s">
        <v>219</v>
      </c>
      <c r="CM266" s="1" t="s">
        <v>220</v>
      </c>
      <c r="CN266" s="1" t="s">
        <v>210</v>
      </c>
      <c r="CO266" s="1" t="s">
        <v>630</v>
      </c>
      <c r="CP266" s="1" t="s">
        <v>219</v>
      </c>
      <c r="CQ266" s="1" t="s">
        <v>438</v>
      </c>
      <c r="CR266" s="1" t="s">
        <v>210</v>
      </c>
      <c r="CS266" s="1" t="s">
        <v>1046</v>
      </c>
      <c r="CT266" s="1" t="s">
        <v>219</v>
      </c>
      <c r="CU266" s="1" t="s">
        <v>220</v>
      </c>
      <c r="CV266" s="1" t="s">
        <v>210</v>
      </c>
      <c r="CX266" s="1" t="s">
        <v>224</v>
      </c>
      <c r="DB266" s="1" t="s">
        <v>224</v>
      </c>
      <c r="DE266" s="1" t="s">
        <v>4147</v>
      </c>
      <c r="DF266" s="1" t="s">
        <v>219</v>
      </c>
      <c r="DG266" s="1" t="s">
        <v>438</v>
      </c>
      <c r="DH266" s="1" t="s">
        <v>210</v>
      </c>
      <c r="DJ266" s="1" t="s">
        <v>224</v>
      </c>
      <c r="DM266" s="1" t="s">
        <v>3011</v>
      </c>
      <c r="DR266" s="1" t="s">
        <v>4148</v>
      </c>
      <c r="DS266" s="1" t="s">
        <v>219</v>
      </c>
      <c r="DT266" s="1" t="s">
        <v>226</v>
      </c>
      <c r="DU266" s="1" t="s">
        <v>210</v>
      </c>
      <c r="DW266" s="1" t="s">
        <v>230</v>
      </c>
      <c r="EA266" s="1" t="s">
        <v>230</v>
      </c>
      <c r="EE266" s="1" t="s">
        <v>230</v>
      </c>
      <c r="EI266" s="1" t="s">
        <v>230</v>
      </c>
      <c r="EL266" s="1" t="s">
        <v>231</v>
      </c>
      <c r="EM266" s="1" t="s">
        <v>319</v>
      </c>
      <c r="EN266" s="1" t="s">
        <v>282</v>
      </c>
      <c r="EO266" s="1" t="s">
        <v>234</v>
      </c>
      <c r="EP266" s="1" t="s">
        <v>4149</v>
      </c>
      <c r="EQ266" s="1" t="s">
        <v>4150</v>
      </c>
      <c r="ER266" s="1" t="s">
        <v>210</v>
      </c>
      <c r="ES266" s="1" t="s">
        <v>865</v>
      </c>
      <c r="EU266" s="1" t="s">
        <v>239</v>
      </c>
      <c r="EV266" s="1" t="s">
        <v>240</v>
      </c>
      <c r="EW266" s="1" t="s">
        <v>4151</v>
      </c>
      <c r="EY266" s="1" t="s">
        <v>790</v>
      </c>
      <c r="EZ266" s="1" t="s">
        <v>3011</v>
      </c>
      <c r="FA266" s="1" t="s">
        <v>1270</v>
      </c>
      <c r="FB266" s="1" t="s">
        <v>289</v>
      </c>
      <c r="FC266" s="1" t="s">
        <v>4152</v>
      </c>
      <c r="FD266" s="1" t="s">
        <v>246</v>
      </c>
      <c r="FE266" s="1" t="s">
        <v>889</v>
      </c>
      <c r="FF266" s="1" t="s">
        <v>248</v>
      </c>
      <c r="FG266" s="1" t="s">
        <v>1682</v>
      </c>
      <c r="FH266" s="1" t="s">
        <v>1316</v>
      </c>
      <c r="FI266" s="1" t="s">
        <v>473</v>
      </c>
      <c r="FL266" s="1" t="s">
        <v>358</v>
      </c>
      <c r="FM266" s="1" t="s">
        <v>252</v>
      </c>
      <c r="FN266" s="1" t="s">
        <v>213</v>
      </c>
      <c r="FO266" s="1" t="s">
        <v>213</v>
      </c>
      <c r="FQ266" s="1" t="s">
        <v>3545</v>
      </c>
      <c r="FR266" s="1" t="s">
        <v>210</v>
      </c>
      <c r="FS266" s="1" t="s">
        <v>2971</v>
      </c>
      <c r="FT266" s="1" t="s">
        <v>4153</v>
      </c>
      <c r="FU266" s="1" t="s">
        <v>204</v>
      </c>
      <c r="FW266" s="1" t="s">
        <v>4154</v>
      </c>
      <c r="FX266" s="1">
        <v>22014</v>
      </c>
      <c r="FY266" s="1" t="s">
        <v>4155</v>
      </c>
      <c r="FZ266" s="1" t="s">
        <v>4156</v>
      </c>
      <c r="GA266" s="1">
        <v>224144</v>
      </c>
      <c r="GB266" s="1" t="s">
        <v>4157</v>
      </c>
      <c r="GD266" s="1" t="s">
        <v>4158</v>
      </c>
      <c r="GE266" s="1" t="s">
        <v>480</v>
      </c>
      <c r="GI266" s="1" t="s">
        <v>213</v>
      </c>
      <c r="GJ266" s="1" t="s">
        <v>260</v>
      </c>
      <c r="GK266" s="1" t="s">
        <v>210</v>
      </c>
      <c r="GL266" s="2">
        <v>42016</v>
      </c>
      <c r="GM266" s="1" t="s">
        <v>4159</v>
      </c>
    </row>
    <row r="267" spans="1:195">
      <c r="A267" s="1">
        <v>70000</v>
      </c>
      <c r="B267" s="1" t="s">
        <v>195</v>
      </c>
      <c r="C267" s="1" t="str">
        <f>"08772326"</f>
        <v>08772326</v>
      </c>
      <c r="D267" s="1" t="s">
        <v>196</v>
      </c>
      <c r="F267" s="1" t="str">
        <f>"507"</f>
        <v>507</v>
      </c>
      <c r="G267" s="2">
        <v>41953</v>
      </c>
      <c r="H267" s="1">
        <v>59900</v>
      </c>
      <c r="I267" s="1">
        <v>59900</v>
      </c>
      <c r="J267" s="1">
        <v>70000</v>
      </c>
      <c r="K267" s="2">
        <v>41950</v>
      </c>
      <c r="L267" s="1">
        <v>20</v>
      </c>
      <c r="M267" s="2">
        <v>41969</v>
      </c>
      <c r="N267" s="1">
        <v>20</v>
      </c>
      <c r="O267" s="2">
        <v>41969</v>
      </c>
      <c r="P267" s="1">
        <v>4553</v>
      </c>
      <c r="Q267" s="1" t="s">
        <v>302</v>
      </c>
      <c r="R267" s="2">
        <v>42025</v>
      </c>
      <c r="S267" s="1">
        <v>63267</v>
      </c>
      <c r="U267" s="1">
        <v>1593</v>
      </c>
      <c r="V267" s="1" t="s">
        <v>4160</v>
      </c>
      <c r="W267" s="1" t="s">
        <v>449</v>
      </c>
      <c r="X267" s="1">
        <v>1593</v>
      </c>
      <c r="Y267" s="1">
        <v>1</v>
      </c>
      <c r="Z267" s="1" t="s">
        <v>249</v>
      </c>
      <c r="AA267" s="1" t="s">
        <v>1123</v>
      </c>
      <c r="AB267" s="1">
        <v>60504</v>
      </c>
      <c r="AE267" s="1" t="s">
        <v>4161</v>
      </c>
      <c r="AF267" s="1">
        <v>2006</v>
      </c>
      <c r="AG267" s="1" t="s">
        <v>204</v>
      </c>
      <c r="AH267" s="1" t="s">
        <v>1126</v>
      </c>
      <c r="AI267" s="1" t="s">
        <v>665</v>
      </c>
      <c r="AJ267" s="1" t="s">
        <v>1126</v>
      </c>
      <c r="AL267" s="1">
        <v>4</v>
      </c>
      <c r="AM267" s="1">
        <v>2</v>
      </c>
      <c r="AN267" s="1">
        <v>1</v>
      </c>
      <c r="AO267" s="1">
        <v>1</v>
      </c>
      <c r="AP267" s="1" t="s">
        <v>210</v>
      </c>
      <c r="AR267" s="1" t="s">
        <v>210</v>
      </c>
      <c r="AS267" s="1" t="s">
        <v>204</v>
      </c>
      <c r="AT267" s="1" t="s">
        <v>211</v>
      </c>
      <c r="AU267" s="1">
        <v>2</v>
      </c>
      <c r="AW267" s="1" t="s">
        <v>204</v>
      </c>
      <c r="AX267" s="1">
        <v>0</v>
      </c>
      <c r="AZ267" s="1">
        <v>1368.22</v>
      </c>
      <c r="BA267" s="1">
        <v>2012</v>
      </c>
      <c r="BE267" s="1">
        <v>1288</v>
      </c>
      <c r="BF267" s="1">
        <v>1</v>
      </c>
      <c r="BG267" s="1">
        <v>5</v>
      </c>
      <c r="BL267" s="1">
        <v>172</v>
      </c>
      <c r="BM267" s="1" t="s">
        <v>204</v>
      </c>
      <c r="BN267" s="1" t="s">
        <v>213</v>
      </c>
      <c r="BO267" s="1">
        <v>0</v>
      </c>
      <c r="BP267" s="1" t="s">
        <v>204</v>
      </c>
      <c r="BR267" s="1" t="str">
        <f>"1525320118"</f>
        <v>1525320118</v>
      </c>
      <c r="BT267" s="1" t="s">
        <v>4162</v>
      </c>
      <c r="BX267" s="1">
        <v>131</v>
      </c>
      <c r="BY267" s="1">
        <v>131</v>
      </c>
      <c r="BZ267" s="1">
        <v>131</v>
      </c>
      <c r="CB267" s="1" t="str">
        <f t="shared" ref="CB267:CC267" si="214">""</f>
        <v/>
      </c>
      <c r="CC267" s="1" t="str">
        <f t="shared" si="214"/>
        <v/>
      </c>
      <c r="CG267" s="1" t="s">
        <v>1788</v>
      </c>
      <c r="CH267" s="1" t="s">
        <v>219</v>
      </c>
      <c r="CK267" s="1" t="s">
        <v>378</v>
      </c>
      <c r="CL267" s="1" t="s">
        <v>277</v>
      </c>
      <c r="CP267" s="1" t="s">
        <v>224</v>
      </c>
      <c r="CS267" s="1" t="s">
        <v>378</v>
      </c>
      <c r="CT267" s="1" t="s">
        <v>277</v>
      </c>
      <c r="CX267" s="1" t="s">
        <v>224</v>
      </c>
      <c r="DB267" s="1" t="s">
        <v>224</v>
      </c>
      <c r="DE267" s="1" t="s">
        <v>1403</v>
      </c>
      <c r="DF267" s="1" t="s">
        <v>219</v>
      </c>
      <c r="DJ267" s="1" t="s">
        <v>224</v>
      </c>
      <c r="DS267" s="1" t="s">
        <v>230</v>
      </c>
      <c r="DW267" s="1" t="s">
        <v>230</v>
      </c>
      <c r="EA267" s="1" t="s">
        <v>230</v>
      </c>
      <c r="EE267" s="1" t="s">
        <v>230</v>
      </c>
      <c r="EI267" s="1" t="s">
        <v>230</v>
      </c>
      <c r="EL267" s="1" t="s">
        <v>491</v>
      </c>
      <c r="EM267" s="1" t="s">
        <v>319</v>
      </c>
      <c r="EN267" s="1" t="s">
        <v>210</v>
      </c>
      <c r="EO267" s="1" t="s">
        <v>234</v>
      </c>
      <c r="ER267" s="1" t="s">
        <v>1269</v>
      </c>
      <c r="EW267" s="1" t="s">
        <v>4163</v>
      </c>
      <c r="EZ267" s="1" t="s">
        <v>287</v>
      </c>
      <c r="FD267" s="1" t="s">
        <v>246</v>
      </c>
      <c r="FE267" s="1" t="s">
        <v>355</v>
      </c>
      <c r="FF267" s="1" t="s">
        <v>248</v>
      </c>
      <c r="FH267" s="1" t="s">
        <v>249</v>
      </c>
      <c r="FL267" s="1" t="s">
        <v>414</v>
      </c>
      <c r="FM267" s="1" t="s">
        <v>252</v>
      </c>
      <c r="FN267" s="1" t="s">
        <v>213</v>
      </c>
      <c r="FO267" s="1" t="s">
        <v>213</v>
      </c>
      <c r="FQ267" s="1" t="s">
        <v>582</v>
      </c>
      <c r="FR267" s="1" t="s">
        <v>210</v>
      </c>
      <c r="FS267" s="1" t="s">
        <v>4164</v>
      </c>
      <c r="FT267" s="1" t="s">
        <v>4165</v>
      </c>
      <c r="FU267" s="1" t="s">
        <v>204</v>
      </c>
      <c r="FW267" s="1" t="s">
        <v>4166</v>
      </c>
      <c r="FX267" s="1">
        <v>31420</v>
      </c>
      <c r="FY267" s="1" t="s">
        <v>4167</v>
      </c>
      <c r="FZ267" s="1" t="s">
        <v>4168</v>
      </c>
      <c r="GA267" s="1">
        <v>314232</v>
      </c>
      <c r="GB267" s="1" t="s">
        <v>4169</v>
      </c>
      <c r="GE267" s="1" t="s">
        <v>210</v>
      </c>
      <c r="GI267" s="1" t="s">
        <v>213</v>
      </c>
      <c r="GJ267" s="1" t="s">
        <v>260</v>
      </c>
      <c r="GK267" s="1" t="s">
        <v>210</v>
      </c>
      <c r="GL267" s="2">
        <v>42028</v>
      </c>
      <c r="GM267" s="1" t="s">
        <v>4170</v>
      </c>
    </row>
    <row r="268" spans="1:195">
      <c r="A268" s="1">
        <v>157000</v>
      </c>
      <c r="B268" s="1" t="s">
        <v>195</v>
      </c>
      <c r="C268" s="1" t="str">
        <f>"08774494"</f>
        <v>08774494</v>
      </c>
      <c r="D268" s="1" t="s">
        <v>196</v>
      </c>
      <c r="F268" s="1" t="str">
        <f>"108"</f>
        <v>108</v>
      </c>
      <c r="G268" s="2">
        <v>41955</v>
      </c>
      <c r="H268" s="1">
        <v>150000</v>
      </c>
      <c r="I268" s="1">
        <v>150000</v>
      </c>
      <c r="J268" s="1">
        <v>157000</v>
      </c>
      <c r="K268" s="2">
        <v>41955</v>
      </c>
      <c r="L268" s="1">
        <v>17</v>
      </c>
      <c r="M268" s="2">
        <v>41971</v>
      </c>
      <c r="N268" s="1">
        <v>17</v>
      </c>
      <c r="O268" s="2">
        <v>41971</v>
      </c>
      <c r="P268" s="1">
        <v>25215</v>
      </c>
      <c r="Q268" s="1" t="s">
        <v>302</v>
      </c>
      <c r="R268" s="2">
        <v>42012</v>
      </c>
      <c r="S268" s="1">
        <v>236610</v>
      </c>
      <c r="U268" s="1">
        <v>149</v>
      </c>
      <c r="V268" s="1" t="s">
        <v>4171</v>
      </c>
      <c r="W268" s="1" t="s">
        <v>304</v>
      </c>
      <c r="Y268" s="1">
        <v>6</v>
      </c>
      <c r="Z268" s="1" t="s">
        <v>370</v>
      </c>
      <c r="AA268" s="1" t="s">
        <v>829</v>
      </c>
      <c r="AB268" s="1">
        <v>60108</v>
      </c>
      <c r="AD268" s="1" t="s">
        <v>4172</v>
      </c>
      <c r="AE268" s="1" t="s">
        <v>4173</v>
      </c>
      <c r="AF268" s="1">
        <v>1985</v>
      </c>
      <c r="AG268" s="1" t="s">
        <v>204</v>
      </c>
      <c r="AH268" s="1" t="s">
        <v>269</v>
      </c>
      <c r="AI268" s="1" t="s">
        <v>206</v>
      </c>
      <c r="AJ268" s="1" t="s">
        <v>269</v>
      </c>
      <c r="AL268" s="1">
        <v>6</v>
      </c>
      <c r="AM268" s="1">
        <v>2</v>
      </c>
      <c r="AN268" s="1">
        <v>1</v>
      </c>
      <c r="AO268" s="1">
        <v>1</v>
      </c>
      <c r="AP268" s="1" t="s">
        <v>455</v>
      </c>
      <c r="AQ268" s="1">
        <v>1</v>
      </c>
      <c r="AR268" s="1" t="s">
        <v>210</v>
      </c>
      <c r="AS268" s="1" t="s">
        <v>204</v>
      </c>
      <c r="AT268" s="1" t="s">
        <v>375</v>
      </c>
      <c r="AU268" s="1">
        <v>1</v>
      </c>
      <c r="AV268" s="1">
        <v>1</v>
      </c>
      <c r="AW268" s="1" t="s">
        <v>204</v>
      </c>
      <c r="AX268" s="1" t="s">
        <v>4174</v>
      </c>
      <c r="AZ268" s="1">
        <v>3556</v>
      </c>
      <c r="BA268" s="1">
        <v>2013</v>
      </c>
      <c r="BB268" s="1" t="s">
        <v>405</v>
      </c>
      <c r="BE268" s="1">
        <v>1280</v>
      </c>
      <c r="BF268" s="1">
        <v>1</v>
      </c>
      <c r="BG268" s="1">
        <v>0</v>
      </c>
      <c r="BL268" s="1">
        <v>200</v>
      </c>
      <c r="BM268" s="1" t="s">
        <v>204</v>
      </c>
      <c r="BN268" s="1" t="s">
        <v>213</v>
      </c>
      <c r="BO268" s="1">
        <v>0</v>
      </c>
      <c r="BP268" s="1" t="s">
        <v>204</v>
      </c>
      <c r="BR268" s="1" t="str">
        <f>"0215209026"</f>
        <v>0215209026</v>
      </c>
      <c r="BT268" s="1" t="s">
        <v>4175</v>
      </c>
      <c r="BU268" s="1" t="s">
        <v>833</v>
      </c>
      <c r="BV268" s="1" t="s">
        <v>834</v>
      </c>
      <c r="BW268" s="1" t="s">
        <v>275</v>
      </c>
      <c r="BX268" s="1">
        <v>13</v>
      </c>
      <c r="BY268" s="1">
        <v>13</v>
      </c>
      <c r="BZ268" s="1">
        <v>108</v>
      </c>
      <c r="CB268" s="1" t="str">
        <f>"5"</f>
        <v>5</v>
      </c>
      <c r="CC268" s="1" t="str">
        <f>"0"</f>
        <v>0</v>
      </c>
      <c r="CD268" s="1">
        <v>23</v>
      </c>
      <c r="CE268" s="1">
        <v>0</v>
      </c>
      <c r="CG268" s="1" t="s">
        <v>1045</v>
      </c>
      <c r="CH268" s="1" t="s">
        <v>219</v>
      </c>
      <c r="CI268" s="1" t="s">
        <v>438</v>
      </c>
      <c r="CJ268" s="1" t="s">
        <v>343</v>
      </c>
      <c r="CK268" s="1" t="s">
        <v>228</v>
      </c>
      <c r="CL268" s="1" t="s">
        <v>277</v>
      </c>
      <c r="CM268" s="1" t="s">
        <v>438</v>
      </c>
      <c r="CN268" s="1" t="s">
        <v>343</v>
      </c>
      <c r="CP268" s="1" t="s">
        <v>224</v>
      </c>
      <c r="CS268" s="1" t="s">
        <v>1046</v>
      </c>
      <c r="CT268" s="1" t="s">
        <v>277</v>
      </c>
      <c r="CU268" s="1" t="s">
        <v>438</v>
      </c>
      <c r="CV268" s="1" t="s">
        <v>343</v>
      </c>
      <c r="CX268" s="1" t="s">
        <v>224</v>
      </c>
      <c r="DB268" s="1" t="s">
        <v>224</v>
      </c>
      <c r="DE268" s="1" t="s">
        <v>318</v>
      </c>
      <c r="DF268" s="1" t="s">
        <v>219</v>
      </c>
      <c r="DG268" s="1" t="s">
        <v>226</v>
      </c>
      <c r="DH268" s="1" t="s">
        <v>210</v>
      </c>
      <c r="DJ268" s="1" t="s">
        <v>224</v>
      </c>
      <c r="DM268" s="1" t="s">
        <v>381</v>
      </c>
      <c r="DN268" s="1" t="s">
        <v>464</v>
      </c>
      <c r="DO268" s="1" t="s">
        <v>709</v>
      </c>
      <c r="DR268" s="1" t="s">
        <v>951</v>
      </c>
      <c r="DS268" s="1" t="s">
        <v>219</v>
      </c>
      <c r="DT268" s="1" t="s">
        <v>226</v>
      </c>
      <c r="DU268" s="1" t="s">
        <v>343</v>
      </c>
      <c r="DV268" s="1" t="s">
        <v>786</v>
      </c>
      <c r="DW268" s="1" t="s">
        <v>277</v>
      </c>
      <c r="DX268" s="1" t="s">
        <v>438</v>
      </c>
      <c r="DY268" s="1" t="s">
        <v>210</v>
      </c>
      <c r="DZ268" s="1" t="s">
        <v>4176</v>
      </c>
      <c r="EA268" s="1" t="s">
        <v>219</v>
      </c>
      <c r="EB268" s="1" t="s">
        <v>438</v>
      </c>
      <c r="EC268" s="1" t="s">
        <v>343</v>
      </c>
      <c r="EE268" s="1" t="s">
        <v>230</v>
      </c>
      <c r="EI268" s="1" t="s">
        <v>230</v>
      </c>
      <c r="EL268" s="1" t="s">
        <v>542</v>
      </c>
      <c r="EM268" s="1" t="s">
        <v>232</v>
      </c>
      <c r="EN268" s="1" t="s">
        <v>282</v>
      </c>
      <c r="EO268" s="1" t="s">
        <v>234</v>
      </c>
      <c r="EQ268" s="1" t="s">
        <v>2188</v>
      </c>
      <c r="ER268" s="1" t="s">
        <v>383</v>
      </c>
      <c r="ES268" s="1" t="s">
        <v>824</v>
      </c>
      <c r="ET268" s="1" t="s">
        <v>4177</v>
      </c>
      <c r="EU268" s="1" t="s">
        <v>712</v>
      </c>
      <c r="EW268" s="1" t="s">
        <v>353</v>
      </c>
      <c r="EY268" s="1" t="s">
        <v>441</v>
      </c>
      <c r="EZ268" s="1" t="s">
        <v>868</v>
      </c>
      <c r="FA268" s="1" t="s">
        <v>714</v>
      </c>
      <c r="FB268" s="1" t="s">
        <v>289</v>
      </c>
      <c r="FC268" s="1" t="s">
        <v>548</v>
      </c>
      <c r="FD268" s="1" t="s">
        <v>246</v>
      </c>
      <c r="FE268" s="1" t="s">
        <v>386</v>
      </c>
      <c r="FF268" s="1" t="s">
        <v>248</v>
      </c>
      <c r="FG268" s="1" t="s">
        <v>715</v>
      </c>
      <c r="FH268" s="1" t="s">
        <v>550</v>
      </c>
      <c r="FI268" s="1" t="s">
        <v>473</v>
      </c>
      <c r="FJ268" s="1" t="s">
        <v>197</v>
      </c>
      <c r="FK268" s="1" t="s">
        <v>4178</v>
      </c>
      <c r="FL268" s="1" t="s">
        <v>358</v>
      </c>
      <c r="FM268" s="1" t="s">
        <v>252</v>
      </c>
      <c r="FN268" s="1" t="s">
        <v>213</v>
      </c>
      <c r="FO268" s="1" t="s">
        <v>213</v>
      </c>
      <c r="FQ268" s="1" t="s">
        <v>359</v>
      </c>
      <c r="FR268" s="1" t="s">
        <v>210</v>
      </c>
      <c r="FS268" s="1" t="s">
        <v>4179</v>
      </c>
      <c r="FT268" s="1" t="s">
        <v>691</v>
      </c>
      <c r="FU268" s="1" t="s">
        <v>204</v>
      </c>
      <c r="FW268" s="1" t="s">
        <v>915</v>
      </c>
      <c r="FX268" s="1">
        <v>6022</v>
      </c>
      <c r="FY268" s="1" t="s">
        <v>4180</v>
      </c>
      <c r="FZ268" s="1" t="s">
        <v>4181</v>
      </c>
      <c r="GA268" s="1">
        <v>60228</v>
      </c>
      <c r="GB268" s="1" t="s">
        <v>4182</v>
      </c>
      <c r="GE268" s="1" t="s">
        <v>1226</v>
      </c>
      <c r="GH268" s="1" t="s">
        <v>800</v>
      </c>
      <c r="GI268" s="1" t="s">
        <v>213</v>
      </c>
      <c r="GJ268" s="1" t="s">
        <v>260</v>
      </c>
      <c r="GK268" s="1" t="s">
        <v>210</v>
      </c>
      <c r="GL268" s="2">
        <v>42012</v>
      </c>
      <c r="GM268" s="1" t="s">
        <v>4183</v>
      </c>
    </row>
    <row r="269" spans="1:195">
      <c r="A269" s="1">
        <v>55684</v>
      </c>
      <c r="B269" s="1" t="s">
        <v>195</v>
      </c>
      <c r="C269" s="1" t="str">
        <f>"08772255"</f>
        <v>08772255</v>
      </c>
      <c r="D269" s="1" t="s">
        <v>196</v>
      </c>
      <c r="F269" s="1" t="str">
        <f>"514"</f>
        <v>514</v>
      </c>
      <c r="G269" s="2">
        <v>41953</v>
      </c>
      <c r="H269" s="1">
        <v>59100</v>
      </c>
      <c r="I269" s="1">
        <v>39000</v>
      </c>
      <c r="J269" s="1">
        <v>55684</v>
      </c>
      <c r="K269" s="2">
        <v>41953</v>
      </c>
      <c r="L269" s="1">
        <v>112</v>
      </c>
      <c r="M269" s="2">
        <v>41957</v>
      </c>
      <c r="N269" s="1">
        <v>5</v>
      </c>
      <c r="O269" s="2">
        <v>41957</v>
      </c>
      <c r="P269" s="1">
        <v>22205</v>
      </c>
      <c r="Q269" s="1" t="s">
        <v>197</v>
      </c>
      <c r="R269" s="2">
        <v>41990</v>
      </c>
      <c r="S269" s="1">
        <v>227193</v>
      </c>
      <c r="U269" s="1">
        <v>5740</v>
      </c>
      <c r="V269" s="1" t="s">
        <v>3639</v>
      </c>
      <c r="W269" s="1" t="s">
        <v>504</v>
      </c>
      <c r="X269" s="1">
        <v>12</v>
      </c>
      <c r="Y269" s="1">
        <v>16</v>
      </c>
      <c r="Z269" s="1" t="s">
        <v>370</v>
      </c>
      <c r="AA269" s="1" t="s">
        <v>2691</v>
      </c>
      <c r="AB269" s="1">
        <v>60514</v>
      </c>
      <c r="AE269" s="1" t="s">
        <v>4184</v>
      </c>
      <c r="AF269" s="1">
        <v>1966</v>
      </c>
      <c r="AG269" s="1" t="s">
        <v>213</v>
      </c>
      <c r="AH269" s="1" t="s">
        <v>2693</v>
      </c>
      <c r="AI269" s="1" t="s">
        <v>206</v>
      </c>
      <c r="AJ269" s="1" t="s">
        <v>903</v>
      </c>
      <c r="AL269" s="1">
        <v>5</v>
      </c>
      <c r="AM269" s="1">
        <v>2</v>
      </c>
      <c r="AN269" s="1">
        <v>1</v>
      </c>
      <c r="AO269" s="1">
        <v>1</v>
      </c>
      <c r="AP269" s="1" t="s">
        <v>210</v>
      </c>
      <c r="AR269" s="1" t="s">
        <v>210</v>
      </c>
      <c r="AS269" s="1" t="s">
        <v>204</v>
      </c>
      <c r="AT269" s="1" t="s">
        <v>210</v>
      </c>
      <c r="AW269" s="1" t="s">
        <v>204</v>
      </c>
      <c r="AX269" s="1" t="s">
        <v>212</v>
      </c>
      <c r="AZ269" s="1">
        <v>1218</v>
      </c>
      <c r="BA269" s="1">
        <v>2013</v>
      </c>
      <c r="BE269" s="1">
        <v>1100</v>
      </c>
      <c r="BF269" s="1">
        <v>2</v>
      </c>
      <c r="BG269" s="1">
        <v>0</v>
      </c>
      <c r="BL269" s="1">
        <v>314</v>
      </c>
      <c r="BM269" s="1" t="s">
        <v>413</v>
      </c>
      <c r="BN269" s="1" t="s">
        <v>204</v>
      </c>
      <c r="BP269" s="1" t="s">
        <v>204</v>
      </c>
      <c r="BR269" s="1" t="str">
        <f>"0914122087"</f>
        <v>0914122087</v>
      </c>
      <c r="BT269" s="1" t="s">
        <v>3770</v>
      </c>
      <c r="BX269" s="1">
        <v>181</v>
      </c>
      <c r="BY269" s="1">
        <v>181</v>
      </c>
      <c r="BZ269" s="1">
        <v>86</v>
      </c>
      <c r="CB269" s="1" t="str">
        <f t="shared" ref="CB269:CC269" si="215">""</f>
        <v/>
      </c>
      <c r="CC269" s="1" t="str">
        <f t="shared" si="215"/>
        <v/>
      </c>
      <c r="CG269" s="1" t="s">
        <v>221</v>
      </c>
      <c r="CH269" s="1" t="s">
        <v>219</v>
      </c>
      <c r="CK269" s="1" t="s">
        <v>1533</v>
      </c>
      <c r="CL269" s="1" t="s">
        <v>219</v>
      </c>
      <c r="CO269" s="1" t="s">
        <v>1854</v>
      </c>
      <c r="CP269" s="1" t="s">
        <v>219</v>
      </c>
      <c r="CS269" s="1" t="s">
        <v>2122</v>
      </c>
      <c r="CT269" s="1" t="s">
        <v>219</v>
      </c>
      <c r="CX269" s="1" t="s">
        <v>224</v>
      </c>
      <c r="DB269" s="1" t="s">
        <v>224</v>
      </c>
      <c r="DE269" s="1" t="s">
        <v>1470</v>
      </c>
      <c r="DF269" s="1" t="s">
        <v>219</v>
      </c>
      <c r="DJ269" s="1" t="s">
        <v>224</v>
      </c>
      <c r="DS269" s="1" t="s">
        <v>230</v>
      </c>
      <c r="DW269" s="1" t="s">
        <v>230</v>
      </c>
      <c r="EA269" s="1" t="s">
        <v>230</v>
      </c>
      <c r="EE269" s="1" t="s">
        <v>230</v>
      </c>
      <c r="EI269" s="1" t="s">
        <v>230</v>
      </c>
      <c r="EL269" s="1" t="s">
        <v>605</v>
      </c>
      <c r="EM269" s="1" t="s">
        <v>319</v>
      </c>
      <c r="EN269" s="1" t="s">
        <v>210</v>
      </c>
      <c r="EO269" s="1" t="s">
        <v>347</v>
      </c>
      <c r="ER269" s="1" t="s">
        <v>210</v>
      </c>
      <c r="EW269" s="1" t="s">
        <v>347</v>
      </c>
      <c r="EZ269" s="1" t="s">
        <v>287</v>
      </c>
      <c r="FD269" s="1" t="s">
        <v>1112</v>
      </c>
      <c r="FE269" s="1" t="s">
        <v>496</v>
      </c>
      <c r="FF269" s="1" t="s">
        <v>248</v>
      </c>
      <c r="FH269" s="1" t="s">
        <v>249</v>
      </c>
      <c r="FJ269" s="1" t="s">
        <v>1472</v>
      </c>
      <c r="FL269" s="1" t="s">
        <v>347</v>
      </c>
      <c r="FM269" s="1" t="s">
        <v>252</v>
      </c>
      <c r="FN269" s="1" t="s">
        <v>213</v>
      </c>
      <c r="FO269" s="1" t="s">
        <v>213</v>
      </c>
      <c r="FQ269" s="1" t="s">
        <v>582</v>
      </c>
      <c r="FR269" s="1" t="s">
        <v>210</v>
      </c>
      <c r="FS269" s="1" t="s">
        <v>4185</v>
      </c>
      <c r="FT269" s="1" t="s">
        <v>4186</v>
      </c>
      <c r="FU269" s="1" t="s">
        <v>204</v>
      </c>
      <c r="FW269" s="1" t="s">
        <v>3774</v>
      </c>
      <c r="FX269" s="1">
        <v>1984</v>
      </c>
      <c r="FY269" s="1" t="s">
        <v>3775</v>
      </c>
      <c r="FZ269" s="1" t="s">
        <v>3776</v>
      </c>
      <c r="GA269" s="1">
        <v>922950</v>
      </c>
      <c r="GE269" s="1" t="s">
        <v>210</v>
      </c>
      <c r="GH269" s="1" t="s">
        <v>421</v>
      </c>
      <c r="GI269" s="1" t="s">
        <v>204</v>
      </c>
      <c r="GJ269" s="1" t="s">
        <v>260</v>
      </c>
      <c r="GK269" s="1" t="s">
        <v>210</v>
      </c>
      <c r="GL269" s="2">
        <v>41992</v>
      </c>
      <c r="GM269" s="1" t="s">
        <v>3777</v>
      </c>
    </row>
    <row r="270" spans="1:195">
      <c r="A270" s="1">
        <v>137500</v>
      </c>
      <c r="B270" s="1" t="s">
        <v>195</v>
      </c>
      <c r="C270" s="1" t="str">
        <f>"08785698"</f>
        <v>08785698</v>
      </c>
      <c r="D270" s="1" t="s">
        <v>196</v>
      </c>
      <c r="F270" s="1" t="str">
        <f>"186"</f>
        <v>186</v>
      </c>
      <c r="G270" s="2">
        <v>41956</v>
      </c>
      <c r="H270" s="1">
        <v>157900</v>
      </c>
      <c r="I270" s="1">
        <v>157900</v>
      </c>
      <c r="J270" s="1">
        <v>137500</v>
      </c>
      <c r="K270" s="2">
        <v>41956</v>
      </c>
      <c r="L270" s="1">
        <v>85</v>
      </c>
      <c r="M270" s="2">
        <v>42040</v>
      </c>
      <c r="N270" s="1">
        <v>85</v>
      </c>
      <c r="O270" s="2">
        <v>42040</v>
      </c>
      <c r="P270" s="1">
        <v>13691</v>
      </c>
      <c r="Q270" s="1" t="s">
        <v>423</v>
      </c>
      <c r="R270" s="2">
        <v>42087</v>
      </c>
      <c r="S270" s="1">
        <v>841184</v>
      </c>
      <c r="T270" s="1">
        <v>4000</v>
      </c>
      <c r="U270" s="1" t="s">
        <v>4187</v>
      </c>
      <c r="V270" s="1" t="s">
        <v>4188</v>
      </c>
      <c r="W270" s="1" t="s">
        <v>425</v>
      </c>
      <c r="Y270" s="1">
        <v>1</v>
      </c>
      <c r="Z270" s="1" t="s">
        <v>200</v>
      </c>
      <c r="AA270" s="1" t="s">
        <v>2099</v>
      </c>
      <c r="AB270" s="1">
        <v>60181</v>
      </c>
      <c r="AD270" s="1" t="s">
        <v>2195</v>
      </c>
      <c r="AE270" s="1" t="s">
        <v>4189</v>
      </c>
      <c r="AF270" s="1">
        <v>1968</v>
      </c>
      <c r="AG270" s="1" t="s">
        <v>213</v>
      </c>
      <c r="AH270" s="1" t="s">
        <v>2101</v>
      </c>
      <c r="AI270" s="1" t="s">
        <v>206</v>
      </c>
      <c r="AJ270" s="1" t="s">
        <v>1608</v>
      </c>
      <c r="AL270" s="1">
        <v>6</v>
      </c>
      <c r="AM270" s="1">
        <v>2</v>
      </c>
      <c r="AN270" s="1">
        <v>2</v>
      </c>
      <c r="AO270" s="1">
        <v>0</v>
      </c>
      <c r="AP270" s="1" t="s">
        <v>210</v>
      </c>
      <c r="AQ270" s="1">
        <v>0</v>
      </c>
      <c r="AR270" s="1" t="s">
        <v>209</v>
      </c>
      <c r="AS270" s="1" t="s">
        <v>204</v>
      </c>
      <c r="AT270" s="1" t="s">
        <v>211</v>
      </c>
      <c r="AU270" s="1">
        <v>2</v>
      </c>
      <c r="AW270" s="1" t="s">
        <v>204</v>
      </c>
      <c r="AX270" s="1" t="s">
        <v>4190</v>
      </c>
      <c r="AZ270" s="1">
        <v>3187</v>
      </c>
      <c r="BA270" s="1">
        <v>2013</v>
      </c>
      <c r="BB270" s="1" t="s">
        <v>210</v>
      </c>
      <c r="BC270" s="1">
        <v>0</v>
      </c>
      <c r="BD270" s="1">
        <v>2013</v>
      </c>
      <c r="BE270" s="1">
        <v>1178</v>
      </c>
      <c r="BF270" s="1">
        <v>1</v>
      </c>
      <c r="BG270" s="1">
        <v>30</v>
      </c>
      <c r="BL270" s="1">
        <v>189</v>
      </c>
      <c r="BM270" s="1" t="s">
        <v>204</v>
      </c>
      <c r="BN270" s="1" t="s">
        <v>213</v>
      </c>
      <c r="BO270" s="1">
        <v>100</v>
      </c>
      <c r="BP270" s="1" t="s">
        <v>204</v>
      </c>
      <c r="BR270" s="1" t="str">
        <f>"0622103016"</f>
        <v>0622103016</v>
      </c>
      <c r="BT270" s="1" t="s">
        <v>4191</v>
      </c>
      <c r="BU270" s="1" t="s">
        <v>3822</v>
      </c>
      <c r="BV270" s="1" t="s">
        <v>3315</v>
      </c>
      <c r="BW270" s="1" t="s">
        <v>2201</v>
      </c>
      <c r="BX270" s="1">
        <v>48</v>
      </c>
      <c r="BY270" s="1">
        <v>48</v>
      </c>
      <c r="BZ270" s="1">
        <v>88</v>
      </c>
      <c r="CB270" s="1" t="str">
        <f t="shared" ref="CB270:CC270" si="216">"0"</f>
        <v>0</v>
      </c>
      <c r="CC270" s="1" t="str">
        <f t="shared" si="216"/>
        <v>0</v>
      </c>
      <c r="CD270" s="1">
        <v>17</v>
      </c>
      <c r="CE270" s="1">
        <v>1</v>
      </c>
      <c r="CG270" s="1" t="s">
        <v>1267</v>
      </c>
      <c r="CH270" s="1" t="s">
        <v>219</v>
      </c>
      <c r="CI270" s="1" t="s">
        <v>438</v>
      </c>
      <c r="CK270" s="1" t="s">
        <v>344</v>
      </c>
      <c r="CL270" s="1" t="s">
        <v>277</v>
      </c>
      <c r="CM270" s="1" t="s">
        <v>438</v>
      </c>
      <c r="CP270" s="1" t="s">
        <v>224</v>
      </c>
      <c r="CQ270" s="1" t="s">
        <v>347</v>
      </c>
      <c r="CS270" s="1" t="s">
        <v>281</v>
      </c>
      <c r="CT270" s="1" t="s">
        <v>277</v>
      </c>
      <c r="CU270" s="1" t="s">
        <v>438</v>
      </c>
      <c r="CV270" s="1" t="s">
        <v>210</v>
      </c>
      <c r="CX270" s="1" t="s">
        <v>224</v>
      </c>
      <c r="DB270" s="1" t="s">
        <v>224</v>
      </c>
      <c r="DE270" s="1" t="s">
        <v>972</v>
      </c>
      <c r="DF270" s="1" t="s">
        <v>219</v>
      </c>
      <c r="DG270" s="1" t="s">
        <v>342</v>
      </c>
      <c r="DI270" s="1" t="s">
        <v>218</v>
      </c>
      <c r="DJ270" s="1" t="s">
        <v>822</v>
      </c>
      <c r="DK270" s="1" t="s">
        <v>342</v>
      </c>
      <c r="DM270" s="1" t="s">
        <v>464</v>
      </c>
      <c r="DR270" s="1" t="s">
        <v>222</v>
      </c>
      <c r="DS270" s="1" t="s">
        <v>277</v>
      </c>
      <c r="DT270" s="1" t="s">
        <v>438</v>
      </c>
      <c r="DU270" s="1" t="s">
        <v>210</v>
      </c>
      <c r="DW270" s="1" t="s">
        <v>230</v>
      </c>
      <c r="EA270" s="1" t="s">
        <v>230</v>
      </c>
      <c r="EE270" s="1" t="s">
        <v>230</v>
      </c>
      <c r="EI270" s="1" t="s">
        <v>230</v>
      </c>
      <c r="EL270" s="1" t="s">
        <v>605</v>
      </c>
      <c r="EM270" s="1" t="s">
        <v>232</v>
      </c>
      <c r="EN270" s="1" t="s">
        <v>282</v>
      </c>
      <c r="EO270" s="1" t="s">
        <v>840</v>
      </c>
      <c r="EP270" s="1" t="s">
        <v>4192</v>
      </c>
      <c r="EQ270" s="1" t="s">
        <v>468</v>
      </c>
      <c r="ER270" s="1" t="s">
        <v>544</v>
      </c>
      <c r="ES270" s="1" t="s">
        <v>322</v>
      </c>
      <c r="EU270" s="1" t="s">
        <v>546</v>
      </c>
      <c r="EW270" s="1" t="s">
        <v>1679</v>
      </c>
      <c r="EZ270" s="1" t="s">
        <v>464</v>
      </c>
      <c r="FB270" s="1" t="s">
        <v>1755</v>
      </c>
      <c r="FC270" s="1" t="s">
        <v>633</v>
      </c>
      <c r="FD270" s="1" t="s">
        <v>246</v>
      </c>
      <c r="FE270" s="1" t="s">
        <v>247</v>
      </c>
      <c r="FF270" s="1" t="s">
        <v>248</v>
      </c>
      <c r="FH270" s="1" t="s">
        <v>550</v>
      </c>
      <c r="FI270" s="1" t="s">
        <v>357</v>
      </c>
      <c r="FL270" s="1" t="s">
        <v>1073</v>
      </c>
      <c r="FM270" s="1" t="s">
        <v>252</v>
      </c>
      <c r="FN270" s="1" t="s">
        <v>213</v>
      </c>
      <c r="FO270" s="1" t="s">
        <v>213</v>
      </c>
      <c r="FQ270" s="1" t="s">
        <v>4193</v>
      </c>
      <c r="FR270" s="1" t="s">
        <v>210</v>
      </c>
      <c r="FS270" s="1" t="s">
        <v>4194</v>
      </c>
      <c r="FT270" s="1" t="s">
        <v>362</v>
      </c>
      <c r="FU270" s="1" t="s">
        <v>204</v>
      </c>
      <c r="FW270" s="1" t="s">
        <v>4195</v>
      </c>
      <c r="FX270" s="1">
        <v>24309</v>
      </c>
      <c r="FY270" s="1" t="s">
        <v>4196</v>
      </c>
      <c r="FZ270" s="1" t="s">
        <v>4197</v>
      </c>
      <c r="GA270" s="1">
        <v>239472</v>
      </c>
      <c r="GB270" s="1" t="s">
        <v>4198</v>
      </c>
      <c r="GE270" s="1" t="s">
        <v>210</v>
      </c>
      <c r="GI270" s="1" t="s">
        <v>213</v>
      </c>
      <c r="GJ270" s="1" t="s">
        <v>260</v>
      </c>
      <c r="GK270" s="1" t="s">
        <v>210</v>
      </c>
      <c r="GL270" s="2">
        <v>42087</v>
      </c>
      <c r="GM270" s="1" t="s">
        <v>4199</v>
      </c>
    </row>
    <row r="271" spans="1:195">
      <c r="A271" s="1">
        <v>64000</v>
      </c>
      <c r="B271" s="1" t="s">
        <v>195</v>
      </c>
      <c r="C271" s="1" t="str">
        <f>"08789061"</f>
        <v>08789061</v>
      </c>
      <c r="D271" s="1" t="s">
        <v>196</v>
      </c>
      <c r="F271" s="1" t="str">
        <f>"31"</f>
        <v>31</v>
      </c>
      <c r="G271" s="2">
        <v>41962</v>
      </c>
      <c r="H271" s="1">
        <v>74900</v>
      </c>
      <c r="I271" s="1">
        <v>74900</v>
      </c>
      <c r="J271" s="1">
        <v>64000</v>
      </c>
      <c r="K271" s="2">
        <v>41961</v>
      </c>
      <c r="L271" s="1">
        <v>8</v>
      </c>
      <c r="M271" s="2">
        <v>41968</v>
      </c>
      <c r="N271" s="1">
        <v>8</v>
      </c>
      <c r="O271" s="2">
        <v>41968</v>
      </c>
      <c r="P271" s="1">
        <v>2644</v>
      </c>
      <c r="Q271" s="1" t="s">
        <v>302</v>
      </c>
      <c r="R271" s="2">
        <v>42009</v>
      </c>
      <c r="S271" s="1">
        <v>16586</v>
      </c>
      <c r="U271" s="1">
        <v>920</v>
      </c>
      <c r="V271" s="1" t="s">
        <v>2582</v>
      </c>
      <c r="W271" s="1" t="s">
        <v>264</v>
      </c>
      <c r="X271" s="1">
        <v>105</v>
      </c>
      <c r="Y271" s="1">
        <v>72</v>
      </c>
      <c r="Z271" s="1" t="s">
        <v>200</v>
      </c>
      <c r="AA271" s="1" t="s">
        <v>1057</v>
      </c>
      <c r="AB271" s="1">
        <v>60031</v>
      </c>
      <c r="AD271" s="1" t="s">
        <v>4200</v>
      </c>
      <c r="AE271" s="1" t="s">
        <v>4201</v>
      </c>
      <c r="AF271" s="1">
        <v>1978</v>
      </c>
      <c r="AG271" s="1" t="s">
        <v>204</v>
      </c>
      <c r="AH271" s="1" t="s">
        <v>1060</v>
      </c>
      <c r="AI271" s="1" t="s">
        <v>509</v>
      </c>
      <c r="AJ271" s="1" t="s">
        <v>1061</v>
      </c>
      <c r="AK271" s="1" t="s">
        <v>2584</v>
      </c>
      <c r="AL271" s="1">
        <v>5</v>
      </c>
      <c r="AM271" s="1">
        <v>2</v>
      </c>
      <c r="AN271" s="1">
        <v>1</v>
      </c>
      <c r="AO271" s="1">
        <v>0</v>
      </c>
      <c r="AP271" s="1" t="s">
        <v>667</v>
      </c>
      <c r="AR271" s="1" t="s">
        <v>210</v>
      </c>
      <c r="AS271" s="1" t="s">
        <v>204</v>
      </c>
      <c r="AT271" s="1" t="s">
        <v>211</v>
      </c>
      <c r="AU271" s="1">
        <v>1</v>
      </c>
      <c r="AW271" s="1" t="s">
        <v>204</v>
      </c>
      <c r="AX271" s="1" t="s">
        <v>212</v>
      </c>
      <c r="AZ271" s="1">
        <v>1685</v>
      </c>
      <c r="BA271" s="1">
        <v>2013</v>
      </c>
      <c r="BB271" s="1" t="s">
        <v>210</v>
      </c>
      <c r="BE271" s="1">
        <v>930</v>
      </c>
      <c r="BF271" s="1">
        <v>1</v>
      </c>
      <c r="BG271" s="1">
        <v>0</v>
      </c>
      <c r="BL271" s="1">
        <v>333</v>
      </c>
      <c r="BM271" s="1" t="s">
        <v>204</v>
      </c>
      <c r="BN271" s="1" t="s">
        <v>213</v>
      </c>
      <c r="BO271" s="1">
        <v>999</v>
      </c>
      <c r="BP271" s="1" t="s">
        <v>204</v>
      </c>
      <c r="BR271" s="1" t="str">
        <f>"07284090060000"</f>
        <v>07284090060000</v>
      </c>
      <c r="BT271" s="1" t="s">
        <v>4202</v>
      </c>
      <c r="BU271" s="1" t="s">
        <v>1064</v>
      </c>
      <c r="BV271" s="1" t="s">
        <v>1065</v>
      </c>
      <c r="BW271" s="1" t="s">
        <v>1066</v>
      </c>
      <c r="BX271" s="1">
        <v>50</v>
      </c>
      <c r="BY271" s="1">
        <v>50</v>
      </c>
      <c r="BZ271" s="1">
        <v>121</v>
      </c>
      <c r="CB271" s="1" t="str">
        <f>"33"</f>
        <v>33</v>
      </c>
      <c r="CC271" s="1" t="str">
        <f>""</f>
        <v/>
      </c>
      <c r="CD271" s="1">
        <v>16</v>
      </c>
      <c r="CF271" s="1" t="s">
        <v>4203</v>
      </c>
      <c r="CG271" s="1" t="s">
        <v>2402</v>
      </c>
      <c r="CH271" s="1" t="s">
        <v>219</v>
      </c>
      <c r="CI271" s="1" t="s">
        <v>220</v>
      </c>
      <c r="CJ271" s="1" t="s">
        <v>343</v>
      </c>
      <c r="CK271" s="1" t="s">
        <v>344</v>
      </c>
      <c r="CL271" s="1" t="s">
        <v>219</v>
      </c>
      <c r="CM271" s="1" t="s">
        <v>220</v>
      </c>
      <c r="CN271" s="1" t="s">
        <v>252</v>
      </c>
      <c r="CO271" s="1" t="s">
        <v>629</v>
      </c>
      <c r="CP271" s="1" t="s">
        <v>219</v>
      </c>
      <c r="CQ271" s="1" t="s">
        <v>220</v>
      </c>
      <c r="CR271" s="1" t="s">
        <v>210</v>
      </c>
      <c r="CS271" s="1" t="s">
        <v>281</v>
      </c>
      <c r="CT271" s="1" t="s">
        <v>219</v>
      </c>
      <c r="CU271" s="1" t="s">
        <v>220</v>
      </c>
      <c r="CV271" s="1" t="s">
        <v>252</v>
      </c>
      <c r="CX271" s="1" t="s">
        <v>224</v>
      </c>
      <c r="DB271" s="1" t="s">
        <v>224</v>
      </c>
      <c r="DE271" s="1" t="s">
        <v>630</v>
      </c>
      <c r="DF271" s="1" t="s">
        <v>219</v>
      </c>
      <c r="DG271" s="1" t="s">
        <v>342</v>
      </c>
      <c r="DH271" s="1" t="s">
        <v>210</v>
      </c>
      <c r="DJ271" s="1" t="s">
        <v>224</v>
      </c>
      <c r="DS271" s="1" t="s">
        <v>230</v>
      </c>
      <c r="DW271" s="1" t="s">
        <v>230</v>
      </c>
      <c r="EA271" s="1" t="s">
        <v>230</v>
      </c>
      <c r="EE271" s="1" t="s">
        <v>230</v>
      </c>
      <c r="EI271" s="1" t="s">
        <v>230</v>
      </c>
      <c r="EL271" s="1" t="s">
        <v>231</v>
      </c>
      <c r="EM271" s="1" t="s">
        <v>232</v>
      </c>
      <c r="EN271" s="1" t="s">
        <v>282</v>
      </c>
      <c r="EO271" s="1" t="s">
        <v>234</v>
      </c>
      <c r="EP271" s="1" t="s">
        <v>4204</v>
      </c>
      <c r="EQ271" s="1" t="s">
        <v>468</v>
      </c>
      <c r="ER271" s="1" t="s">
        <v>210</v>
      </c>
      <c r="ES271" s="1" t="s">
        <v>322</v>
      </c>
      <c r="EU271" s="1" t="s">
        <v>843</v>
      </c>
      <c r="EV271" s="1" t="s">
        <v>240</v>
      </c>
      <c r="EW271" s="1" t="s">
        <v>2587</v>
      </c>
      <c r="EY271" s="1" t="s">
        <v>242</v>
      </c>
      <c r="EZ271" s="1" t="s">
        <v>287</v>
      </c>
      <c r="FA271" s="1" t="s">
        <v>672</v>
      </c>
      <c r="FB271" s="1" t="s">
        <v>289</v>
      </c>
      <c r="FD271" s="1" t="s">
        <v>246</v>
      </c>
      <c r="FE271" s="1" t="s">
        <v>247</v>
      </c>
      <c r="FF271" s="1" t="s">
        <v>387</v>
      </c>
      <c r="FH271" s="1" t="s">
        <v>249</v>
      </c>
      <c r="FI271" s="1" t="s">
        <v>250</v>
      </c>
      <c r="FJ271" s="1" t="s">
        <v>518</v>
      </c>
      <c r="FL271" s="1" t="s">
        <v>1073</v>
      </c>
      <c r="FM271" s="1" t="s">
        <v>252</v>
      </c>
      <c r="FN271" s="1" t="s">
        <v>213</v>
      </c>
      <c r="FO271" s="1" t="s">
        <v>213</v>
      </c>
      <c r="FQ271" s="1" t="s">
        <v>4205</v>
      </c>
      <c r="FR271" s="1" t="s">
        <v>210</v>
      </c>
      <c r="FS271" s="1" t="s">
        <v>4206</v>
      </c>
      <c r="FT271" s="1" t="s">
        <v>2589</v>
      </c>
      <c r="FU271" s="1" t="s">
        <v>204</v>
      </c>
      <c r="FW271" s="1" t="s">
        <v>585</v>
      </c>
      <c r="FX271" s="1">
        <v>2050</v>
      </c>
      <c r="FY271" s="1" t="s">
        <v>4207</v>
      </c>
      <c r="FZ271" s="1" t="s">
        <v>4208</v>
      </c>
      <c r="GA271" s="1">
        <v>14938</v>
      </c>
      <c r="GB271" s="1" t="s">
        <v>4209</v>
      </c>
      <c r="GE271" s="1" t="s">
        <v>335</v>
      </c>
      <c r="GI271" s="1" t="s">
        <v>213</v>
      </c>
      <c r="GJ271" s="1" t="s">
        <v>260</v>
      </c>
      <c r="GK271" s="1" t="s">
        <v>210</v>
      </c>
      <c r="GL271" s="2">
        <v>42009</v>
      </c>
      <c r="GM271" s="1" t="s">
        <v>4210</v>
      </c>
    </row>
    <row r="272" spans="1:195">
      <c r="A272" s="1">
        <v>134000</v>
      </c>
      <c r="B272" s="1" t="s">
        <v>195</v>
      </c>
      <c r="C272" s="1" t="str">
        <f>"08770971"</f>
        <v>08770971</v>
      </c>
      <c r="D272" s="1" t="s">
        <v>196</v>
      </c>
      <c r="F272" s="1" t="str">
        <f>"60"</f>
        <v>60</v>
      </c>
      <c r="G272" s="2">
        <v>41950</v>
      </c>
      <c r="H272" s="1">
        <v>149900</v>
      </c>
      <c r="I272" s="1">
        <v>139900</v>
      </c>
      <c r="J272" s="1">
        <v>134000</v>
      </c>
      <c r="K272" s="2">
        <v>41949</v>
      </c>
      <c r="L272" s="1">
        <v>17</v>
      </c>
      <c r="M272" s="2">
        <v>41965</v>
      </c>
      <c r="N272" s="1">
        <v>17</v>
      </c>
      <c r="O272" s="2">
        <v>41965</v>
      </c>
      <c r="P272" s="1">
        <v>3710</v>
      </c>
      <c r="Q272" s="1" t="s">
        <v>197</v>
      </c>
      <c r="R272" s="2">
        <v>42027</v>
      </c>
      <c r="S272" s="1">
        <v>34297</v>
      </c>
      <c r="U272" s="1">
        <v>1186</v>
      </c>
      <c r="V272" s="1" t="s">
        <v>1687</v>
      </c>
      <c r="W272" s="1" t="s">
        <v>779</v>
      </c>
      <c r="X272" s="1" t="s">
        <v>800</v>
      </c>
      <c r="Y272" s="1">
        <v>5</v>
      </c>
      <c r="Z272" s="1" t="s">
        <v>249</v>
      </c>
      <c r="AA272" s="1" t="s">
        <v>1689</v>
      </c>
      <c r="AB272" s="1">
        <v>60060</v>
      </c>
      <c r="AD272" s="1" t="s">
        <v>1690</v>
      </c>
      <c r="AE272" s="1" t="s">
        <v>4211</v>
      </c>
      <c r="AF272" s="1">
        <v>1986</v>
      </c>
      <c r="AG272" s="1" t="s">
        <v>204</v>
      </c>
      <c r="AH272" s="1" t="s">
        <v>1692</v>
      </c>
      <c r="AI272" s="1" t="s">
        <v>509</v>
      </c>
      <c r="AJ272" s="1" t="s">
        <v>1693</v>
      </c>
      <c r="AL272" s="1">
        <v>5</v>
      </c>
      <c r="AM272" s="1">
        <v>2</v>
      </c>
      <c r="AN272" s="1">
        <v>2</v>
      </c>
      <c r="AO272" s="1">
        <v>0</v>
      </c>
      <c r="AP272" s="1" t="s">
        <v>209</v>
      </c>
      <c r="AR272" s="1" t="s">
        <v>210</v>
      </c>
      <c r="AS272" s="1" t="s">
        <v>204</v>
      </c>
      <c r="AT272" s="1" t="s">
        <v>211</v>
      </c>
      <c r="AU272" s="1">
        <v>1</v>
      </c>
      <c r="AW272" s="1" t="s">
        <v>204</v>
      </c>
      <c r="AX272" s="1" t="s">
        <v>270</v>
      </c>
      <c r="AZ272" s="1">
        <v>2994</v>
      </c>
      <c r="BA272" s="1">
        <v>2013</v>
      </c>
      <c r="BB272" s="1" t="s">
        <v>405</v>
      </c>
      <c r="BE272" s="1">
        <v>1261</v>
      </c>
      <c r="BF272" s="1">
        <v>2</v>
      </c>
      <c r="BG272" s="1">
        <v>0</v>
      </c>
      <c r="BL272" s="1">
        <v>299</v>
      </c>
      <c r="BM272" s="1" t="s">
        <v>204</v>
      </c>
      <c r="BN272" s="1" t="s">
        <v>213</v>
      </c>
      <c r="BO272" s="1">
        <v>99</v>
      </c>
      <c r="BP272" s="1" t="s">
        <v>204</v>
      </c>
      <c r="BR272" s="1" t="str">
        <f>"11293000480000"</f>
        <v>11293000480000</v>
      </c>
      <c r="BT272" s="1" t="s">
        <v>4212</v>
      </c>
      <c r="BW272" s="1" t="s">
        <v>1696</v>
      </c>
      <c r="BX272" s="1">
        <v>73</v>
      </c>
      <c r="BY272" s="1">
        <v>73</v>
      </c>
      <c r="BZ272" s="1">
        <v>128</v>
      </c>
      <c r="CB272" s="1" t="str">
        <f t="shared" ref="CB272:CC272" si="217">""</f>
        <v/>
      </c>
      <c r="CC272" s="1" t="str">
        <f t="shared" si="217"/>
        <v/>
      </c>
      <c r="CG272" s="1" t="s">
        <v>1155</v>
      </c>
      <c r="CH272" s="1" t="s">
        <v>277</v>
      </c>
      <c r="CI272" s="1" t="s">
        <v>220</v>
      </c>
      <c r="CJ272" s="1" t="s">
        <v>343</v>
      </c>
      <c r="CK272" s="1" t="s">
        <v>437</v>
      </c>
      <c r="CL272" s="1" t="s">
        <v>277</v>
      </c>
      <c r="CM272" s="1" t="s">
        <v>220</v>
      </c>
      <c r="CN272" s="1" t="s">
        <v>343</v>
      </c>
      <c r="CO272" s="1" t="s">
        <v>223</v>
      </c>
      <c r="CP272" s="1" t="s">
        <v>277</v>
      </c>
      <c r="CQ272" s="1" t="s">
        <v>220</v>
      </c>
      <c r="CR272" s="1" t="s">
        <v>210</v>
      </c>
      <c r="CS272" s="1" t="s">
        <v>1046</v>
      </c>
      <c r="CT272" s="1" t="s">
        <v>277</v>
      </c>
      <c r="CV272" s="1" t="s">
        <v>343</v>
      </c>
      <c r="CX272" s="1" t="s">
        <v>224</v>
      </c>
      <c r="DB272" s="1" t="s">
        <v>224</v>
      </c>
      <c r="DE272" s="1" t="s">
        <v>346</v>
      </c>
      <c r="DF272" s="1" t="s">
        <v>277</v>
      </c>
      <c r="DG272" s="1" t="s">
        <v>226</v>
      </c>
      <c r="DH272" s="1" t="s">
        <v>343</v>
      </c>
      <c r="DJ272" s="1" t="s">
        <v>224</v>
      </c>
      <c r="DM272" s="1" t="s">
        <v>1771</v>
      </c>
      <c r="DN272" s="1" t="s">
        <v>838</v>
      </c>
      <c r="DR272" s="1" t="s">
        <v>4213</v>
      </c>
      <c r="DS272" s="1" t="s">
        <v>277</v>
      </c>
      <c r="DT272" s="1" t="s">
        <v>220</v>
      </c>
      <c r="DV272" s="1" t="s">
        <v>4214</v>
      </c>
      <c r="DW272" s="1" t="s">
        <v>277</v>
      </c>
      <c r="DX272" s="1" t="s">
        <v>347</v>
      </c>
      <c r="EA272" s="1" t="s">
        <v>230</v>
      </c>
      <c r="EE272" s="1" t="s">
        <v>230</v>
      </c>
      <c r="EI272" s="1" t="s">
        <v>230</v>
      </c>
      <c r="EL272" s="1" t="s">
        <v>542</v>
      </c>
      <c r="EM272" s="1" t="s">
        <v>232</v>
      </c>
      <c r="EN272" s="1" t="s">
        <v>282</v>
      </c>
      <c r="EO272" s="1" t="s">
        <v>234</v>
      </c>
      <c r="EQ272" s="1" t="s">
        <v>1551</v>
      </c>
      <c r="ER272" s="1" t="s">
        <v>210</v>
      </c>
      <c r="ES272" s="1" t="s">
        <v>1552</v>
      </c>
      <c r="ET272" s="1" t="s">
        <v>842</v>
      </c>
      <c r="EV272" s="1" t="s">
        <v>324</v>
      </c>
      <c r="EW272" s="1" t="s">
        <v>1940</v>
      </c>
      <c r="EZ272" s="1" t="s">
        <v>1941</v>
      </c>
      <c r="FB272" s="1" t="s">
        <v>289</v>
      </c>
      <c r="FD272" s="1" t="s">
        <v>246</v>
      </c>
      <c r="FE272" s="1" t="s">
        <v>549</v>
      </c>
      <c r="FF272" s="1" t="s">
        <v>248</v>
      </c>
      <c r="FH272" s="1" t="s">
        <v>388</v>
      </c>
      <c r="FI272" s="1" t="s">
        <v>357</v>
      </c>
      <c r="FL272" s="1" t="s">
        <v>4215</v>
      </c>
      <c r="FM272" s="1" t="s">
        <v>252</v>
      </c>
      <c r="FN272" s="1" t="s">
        <v>213</v>
      </c>
      <c r="FO272" s="1" t="s">
        <v>213</v>
      </c>
      <c r="FQ272" s="1" t="s">
        <v>4216</v>
      </c>
      <c r="FR272" s="1" t="s">
        <v>210</v>
      </c>
      <c r="FS272" s="1" t="s">
        <v>4217</v>
      </c>
      <c r="FT272" s="1" t="s">
        <v>295</v>
      </c>
      <c r="FU272" s="1" t="s">
        <v>204</v>
      </c>
      <c r="FW272" s="1" t="s">
        <v>554</v>
      </c>
      <c r="FX272" s="1">
        <v>8081</v>
      </c>
      <c r="FY272" s="1" t="s">
        <v>4218</v>
      </c>
      <c r="FZ272" s="1" t="s">
        <v>4219</v>
      </c>
      <c r="GA272" s="1">
        <v>922227</v>
      </c>
      <c r="GB272" s="1" t="s">
        <v>4220</v>
      </c>
      <c r="GE272" s="1" t="s">
        <v>210</v>
      </c>
      <c r="GI272" s="1" t="s">
        <v>213</v>
      </c>
      <c r="GJ272" s="1" t="s">
        <v>260</v>
      </c>
      <c r="GK272" s="1" t="s">
        <v>210</v>
      </c>
      <c r="GL272" s="2">
        <v>42029</v>
      </c>
      <c r="GM272" s="1" t="s">
        <v>4221</v>
      </c>
    </row>
    <row r="273" spans="1:195">
      <c r="A273" s="1">
        <v>115000</v>
      </c>
      <c r="B273" s="1" t="s">
        <v>195</v>
      </c>
      <c r="C273" s="1" t="str">
        <f>"08772074"</f>
        <v>08772074</v>
      </c>
      <c r="D273" s="1" t="s">
        <v>196</v>
      </c>
      <c r="F273" s="1" t="str">
        <f>"108"</f>
        <v>108</v>
      </c>
      <c r="G273" s="2">
        <v>41952</v>
      </c>
      <c r="H273" s="1">
        <v>125000</v>
      </c>
      <c r="I273" s="1">
        <v>125000</v>
      </c>
      <c r="J273" s="1">
        <v>115000</v>
      </c>
      <c r="K273" s="2">
        <v>41952</v>
      </c>
      <c r="L273" s="1">
        <v>27</v>
      </c>
      <c r="M273" s="2">
        <v>41978</v>
      </c>
      <c r="N273" s="1">
        <v>27</v>
      </c>
      <c r="O273" s="2">
        <v>41978</v>
      </c>
      <c r="P273" s="1">
        <v>24213</v>
      </c>
      <c r="Q273" s="1" t="s">
        <v>197</v>
      </c>
      <c r="R273" s="2">
        <v>42062</v>
      </c>
      <c r="S273" s="1">
        <v>244776</v>
      </c>
      <c r="U273" s="1">
        <v>317</v>
      </c>
      <c r="V273" s="1" t="s">
        <v>4222</v>
      </c>
      <c r="W273" s="1" t="s">
        <v>304</v>
      </c>
      <c r="X273" s="1" t="s">
        <v>1688</v>
      </c>
      <c r="Y273" s="1">
        <v>4</v>
      </c>
      <c r="Z273" s="1" t="s">
        <v>249</v>
      </c>
      <c r="AA273" s="1" t="s">
        <v>829</v>
      </c>
      <c r="AB273" s="1">
        <v>60108</v>
      </c>
      <c r="AE273" s="1" t="s">
        <v>4223</v>
      </c>
      <c r="AF273" s="1">
        <v>1972</v>
      </c>
      <c r="AG273" s="1" t="s">
        <v>213</v>
      </c>
      <c r="AH273" s="1" t="s">
        <v>269</v>
      </c>
      <c r="AI273" s="1" t="s">
        <v>206</v>
      </c>
      <c r="AJ273" s="1" t="s">
        <v>269</v>
      </c>
      <c r="AL273" s="1">
        <v>6</v>
      </c>
      <c r="AM273" s="1">
        <v>2</v>
      </c>
      <c r="AN273" s="1">
        <v>1</v>
      </c>
      <c r="AO273" s="1">
        <v>0</v>
      </c>
      <c r="AP273" s="1" t="s">
        <v>210</v>
      </c>
      <c r="AR273" s="1" t="s">
        <v>209</v>
      </c>
      <c r="AS273" s="1" t="s">
        <v>204</v>
      </c>
      <c r="AT273" s="1" t="s">
        <v>211</v>
      </c>
      <c r="AU273" s="1">
        <v>1</v>
      </c>
      <c r="AW273" s="1" t="s">
        <v>204</v>
      </c>
      <c r="AX273" s="1" t="s">
        <v>212</v>
      </c>
      <c r="AZ273" s="1">
        <v>3317</v>
      </c>
      <c r="BA273" s="1">
        <v>2013</v>
      </c>
      <c r="BE273" s="1">
        <v>1080</v>
      </c>
      <c r="BF273" s="1">
        <v>1</v>
      </c>
      <c r="BG273" s="1">
        <v>0</v>
      </c>
      <c r="BL273" s="1">
        <v>195</v>
      </c>
      <c r="BM273" s="1" t="s">
        <v>204</v>
      </c>
      <c r="BN273" s="1" t="s">
        <v>213</v>
      </c>
      <c r="BO273" s="1">
        <v>50</v>
      </c>
      <c r="BP273" s="1" t="s">
        <v>204</v>
      </c>
      <c r="BR273" s="1" t="str">
        <f>"0223121004"</f>
        <v>0223121004</v>
      </c>
      <c r="BT273" s="1" t="s">
        <v>4224</v>
      </c>
      <c r="BX273" s="1">
        <v>15</v>
      </c>
      <c r="BY273" s="1">
        <v>15</v>
      </c>
      <c r="BZ273" s="1">
        <v>87</v>
      </c>
      <c r="CB273" s="1" t="str">
        <f t="shared" ref="CB273:CC273" si="218">""</f>
        <v/>
      </c>
      <c r="CC273" s="1" t="str">
        <f t="shared" si="218"/>
        <v/>
      </c>
      <c r="CG273" s="1" t="s">
        <v>4225</v>
      </c>
      <c r="CH273" s="1" t="s">
        <v>219</v>
      </c>
      <c r="CK273" s="1" t="s">
        <v>3083</v>
      </c>
      <c r="CL273" s="1" t="s">
        <v>277</v>
      </c>
      <c r="CO273" s="1" t="s">
        <v>2123</v>
      </c>
      <c r="CP273" s="1" t="s">
        <v>219</v>
      </c>
      <c r="CS273" s="1" t="s">
        <v>1046</v>
      </c>
      <c r="CT273" s="1" t="s">
        <v>277</v>
      </c>
      <c r="CX273" s="1" t="s">
        <v>224</v>
      </c>
      <c r="DB273" s="1" t="s">
        <v>224</v>
      </c>
      <c r="DE273" s="1" t="s">
        <v>345</v>
      </c>
      <c r="DF273" s="1" t="s">
        <v>219</v>
      </c>
      <c r="DI273" s="1" t="s">
        <v>861</v>
      </c>
      <c r="DJ273" s="1" t="s">
        <v>43</v>
      </c>
      <c r="DS273" s="1" t="s">
        <v>230</v>
      </c>
      <c r="DW273" s="1" t="s">
        <v>230</v>
      </c>
      <c r="EA273" s="1" t="s">
        <v>230</v>
      </c>
      <c r="EE273" s="1" t="s">
        <v>230</v>
      </c>
      <c r="EI273" s="1" t="s">
        <v>230</v>
      </c>
      <c r="EL273" s="1" t="s">
        <v>605</v>
      </c>
      <c r="EM273" s="1" t="s">
        <v>319</v>
      </c>
      <c r="EN273" s="1" t="s">
        <v>282</v>
      </c>
      <c r="EO273" s="1" t="s">
        <v>234</v>
      </c>
      <c r="ER273" s="1" t="s">
        <v>544</v>
      </c>
      <c r="EW273" s="1" t="s">
        <v>887</v>
      </c>
      <c r="EZ273" s="1" t="s">
        <v>287</v>
      </c>
      <c r="FD273" s="1" t="s">
        <v>246</v>
      </c>
      <c r="FE273" s="1" t="s">
        <v>651</v>
      </c>
      <c r="FF273" s="1" t="s">
        <v>248</v>
      </c>
      <c r="FH273" s="1" t="s">
        <v>249</v>
      </c>
      <c r="FL273" s="1" t="s">
        <v>358</v>
      </c>
      <c r="FM273" s="1" t="s">
        <v>252</v>
      </c>
      <c r="FN273" s="1" t="s">
        <v>213</v>
      </c>
      <c r="FO273" s="1" t="s">
        <v>213</v>
      </c>
      <c r="FQ273" s="1" t="s">
        <v>673</v>
      </c>
      <c r="FR273" s="1" t="s">
        <v>210</v>
      </c>
      <c r="FS273" s="1" t="s">
        <v>4226</v>
      </c>
      <c r="FT273" s="1" t="s">
        <v>295</v>
      </c>
      <c r="FU273" s="1" t="s">
        <v>204</v>
      </c>
      <c r="FW273" s="1" t="s">
        <v>4227</v>
      </c>
      <c r="FX273" s="1">
        <v>16636</v>
      </c>
      <c r="FY273" s="1" t="s">
        <v>720</v>
      </c>
      <c r="FZ273" s="1" t="s">
        <v>4228</v>
      </c>
      <c r="GA273" s="1">
        <v>166650</v>
      </c>
      <c r="GB273" s="1" t="s">
        <v>4229</v>
      </c>
      <c r="GE273" s="1" t="s">
        <v>210</v>
      </c>
      <c r="GI273" s="1" t="s">
        <v>204</v>
      </c>
      <c r="GJ273" s="1" t="s">
        <v>260</v>
      </c>
      <c r="GK273" s="1" t="s">
        <v>261</v>
      </c>
      <c r="GL273" s="2">
        <v>42063</v>
      </c>
      <c r="GM273" s="1" t="s">
        <v>4230</v>
      </c>
    </row>
    <row r="274" spans="1:195">
      <c r="A274" s="1">
        <v>82050</v>
      </c>
      <c r="B274" s="1" t="s">
        <v>195</v>
      </c>
      <c r="C274" s="1" t="str">
        <f>"08789454"</f>
        <v>08789454</v>
      </c>
      <c r="D274" s="1" t="s">
        <v>196</v>
      </c>
      <c r="F274" s="1" t="str">
        <f>"188"</f>
        <v>188</v>
      </c>
      <c r="G274" s="2">
        <v>41962</v>
      </c>
      <c r="H274" s="1">
        <v>79900</v>
      </c>
      <c r="I274" s="1">
        <v>79900</v>
      </c>
      <c r="J274" s="1">
        <v>82050</v>
      </c>
      <c r="K274" s="2">
        <v>41961</v>
      </c>
      <c r="L274" s="1">
        <v>17</v>
      </c>
      <c r="M274" s="2">
        <v>41977</v>
      </c>
      <c r="N274" s="1">
        <v>17</v>
      </c>
      <c r="O274" s="2">
        <v>41977</v>
      </c>
      <c r="P274" s="1">
        <v>24475</v>
      </c>
      <c r="Q274" s="1" t="s">
        <v>423</v>
      </c>
      <c r="R274" s="2">
        <v>42055</v>
      </c>
      <c r="S274" s="1">
        <v>223030</v>
      </c>
      <c r="T274" s="1">
        <v>3218.42</v>
      </c>
      <c r="U274" s="1">
        <v>500</v>
      </c>
      <c r="V274" s="1" t="s">
        <v>4231</v>
      </c>
      <c r="W274" s="1" t="s">
        <v>264</v>
      </c>
      <c r="X274" s="1" t="s">
        <v>4232</v>
      </c>
      <c r="Y274" s="1">
        <v>204</v>
      </c>
      <c r="Z274" s="1" t="s">
        <v>249</v>
      </c>
      <c r="AA274" s="1" t="s">
        <v>1084</v>
      </c>
      <c r="AB274" s="1">
        <v>60188</v>
      </c>
      <c r="AD274" s="1" t="s">
        <v>4231</v>
      </c>
      <c r="AE274" s="1" t="s">
        <v>4233</v>
      </c>
      <c r="AF274" s="1">
        <v>1982</v>
      </c>
      <c r="AG274" s="1" t="s">
        <v>204</v>
      </c>
      <c r="AH274" s="1" t="s">
        <v>1087</v>
      </c>
      <c r="AI274" s="1" t="s">
        <v>206</v>
      </c>
      <c r="AJ274" s="1" t="s">
        <v>207</v>
      </c>
      <c r="AL274" s="1">
        <v>5</v>
      </c>
      <c r="AM274" s="1">
        <v>2</v>
      </c>
      <c r="AN274" s="1">
        <v>2</v>
      </c>
      <c r="AO274" s="1">
        <v>0</v>
      </c>
      <c r="AP274" s="1" t="s">
        <v>209</v>
      </c>
      <c r="AQ274" s="1">
        <v>1</v>
      </c>
      <c r="AR274" s="1" t="s">
        <v>210</v>
      </c>
      <c r="AS274" s="1" t="s">
        <v>204</v>
      </c>
      <c r="AT274" s="1" t="s">
        <v>271</v>
      </c>
      <c r="AV274" s="1">
        <v>2</v>
      </c>
      <c r="AW274" s="1" t="s">
        <v>204</v>
      </c>
      <c r="AX274" s="1" t="s">
        <v>212</v>
      </c>
      <c r="AZ274" s="1">
        <v>2930</v>
      </c>
      <c r="BA274" s="1">
        <v>2013</v>
      </c>
      <c r="BB274" s="1" t="s">
        <v>405</v>
      </c>
      <c r="BE274" s="1">
        <v>1050</v>
      </c>
      <c r="BF274" s="1">
        <v>1</v>
      </c>
      <c r="BG274" s="1">
        <v>0</v>
      </c>
      <c r="BL274" s="1">
        <v>274</v>
      </c>
      <c r="BM274" s="1" t="s">
        <v>204</v>
      </c>
      <c r="BN274" s="1" t="s">
        <v>213</v>
      </c>
      <c r="BP274" s="1" t="s">
        <v>204</v>
      </c>
      <c r="BR274" s="1" t="str">
        <f>"0503305147"</f>
        <v>0503305147</v>
      </c>
      <c r="BT274" s="1" t="s">
        <v>4234</v>
      </c>
      <c r="BU274" s="1" t="s">
        <v>2167</v>
      </c>
      <c r="BV274" s="1" t="s">
        <v>2168</v>
      </c>
      <c r="BW274" s="1" t="s">
        <v>2169</v>
      </c>
      <c r="BX274" s="1">
        <v>41</v>
      </c>
      <c r="BY274" s="1">
        <v>41</v>
      </c>
      <c r="BZ274" s="1">
        <v>87</v>
      </c>
      <c r="CB274" s="1" t="str">
        <f t="shared" ref="CB274:CC274" si="219">""</f>
        <v/>
      </c>
      <c r="CC274" s="1" t="str">
        <f t="shared" si="219"/>
        <v/>
      </c>
      <c r="CG274" s="1" t="s">
        <v>1045</v>
      </c>
      <c r="CH274" s="1" t="s">
        <v>219</v>
      </c>
      <c r="CI274" s="1" t="s">
        <v>220</v>
      </c>
      <c r="CK274" s="1" t="s">
        <v>278</v>
      </c>
      <c r="CL274" s="1" t="s">
        <v>219</v>
      </c>
      <c r="CM274" s="1" t="s">
        <v>220</v>
      </c>
      <c r="CO274" s="1" t="s">
        <v>348</v>
      </c>
      <c r="CP274" s="1" t="s">
        <v>219</v>
      </c>
      <c r="CQ274" s="1" t="s">
        <v>220</v>
      </c>
      <c r="CS274" s="1" t="s">
        <v>1297</v>
      </c>
      <c r="CT274" s="1" t="s">
        <v>219</v>
      </c>
      <c r="CU274" s="1" t="s">
        <v>220</v>
      </c>
      <c r="CX274" s="1" t="s">
        <v>224</v>
      </c>
      <c r="DB274" s="1" t="s">
        <v>224</v>
      </c>
      <c r="DE274" s="1" t="s">
        <v>516</v>
      </c>
      <c r="DF274" s="1" t="s">
        <v>219</v>
      </c>
      <c r="DG274" s="1" t="s">
        <v>342</v>
      </c>
      <c r="DJ274" s="1" t="s">
        <v>224</v>
      </c>
      <c r="DM274" s="1" t="s">
        <v>3011</v>
      </c>
      <c r="DR274" s="1" t="s">
        <v>4213</v>
      </c>
      <c r="DS274" s="1" t="s">
        <v>219</v>
      </c>
      <c r="DW274" s="1" t="s">
        <v>230</v>
      </c>
      <c r="EA274" s="1" t="s">
        <v>230</v>
      </c>
      <c r="EE274" s="1" t="s">
        <v>230</v>
      </c>
      <c r="EI274" s="1" t="s">
        <v>230</v>
      </c>
      <c r="EL274" s="1" t="s">
        <v>231</v>
      </c>
      <c r="EM274" s="1" t="s">
        <v>232</v>
      </c>
      <c r="EN274" s="1" t="s">
        <v>282</v>
      </c>
      <c r="EO274" s="1" t="s">
        <v>234</v>
      </c>
      <c r="EP274" s="1" t="s">
        <v>4235</v>
      </c>
      <c r="EQ274" s="1" t="s">
        <v>468</v>
      </c>
      <c r="ER274" s="1" t="s">
        <v>210</v>
      </c>
      <c r="ES274" s="1" t="s">
        <v>545</v>
      </c>
      <c r="EU274" s="1" t="s">
        <v>712</v>
      </c>
      <c r="EV274" s="1" t="s">
        <v>240</v>
      </c>
      <c r="EW274" s="1" t="s">
        <v>4236</v>
      </c>
      <c r="EY274" s="1" t="s">
        <v>242</v>
      </c>
      <c r="EZ274" s="1" t="s">
        <v>3011</v>
      </c>
      <c r="FB274" s="1" t="s">
        <v>289</v>
      </c>
      <c r="FD274" s="1" t="s">
        <v>4003</v>
      </c>
      <c r="FE274" s="1" t="s">
        <v>549</v>
      </c>
      <c r="FF274" s="1" t="s">
        <v>248</v>
      </c>
      <c r="FH274" s="1" t="s">
        <v>249</v>
      </c>
      <c r="FL274" s="1" t="s">
        <v>358</v>
      </c>
      <c r="FM274" s="1" t="s">
        <v>252</v>
      </c>
      <c r="FN274" s="1" t="s">
        <v>213</v>
      </c>
      <c r="FO274" s="1" t="s">
        <v>213</v>
      </c>
      <c r="FQ274" s="1" t="s">
        <v>4237</v>
      </c>
      <c r="FR274" s="1" t="s">
        <v>210</v>
      </c>
      <c r="FS274" s="1" t="s">
        <v>4238</v>
      </c>
      <c r="FT274" s="1" t="s">
        <v>362</v>
      </c>
      <c r="FU274" s="1" t="s">
        <v>204</v>
      </c>
      <c r="FW274" s="1" t="s">
        <v>1475</v>
      </c>
      <c r="FX274" s="1">
        <v>23265</v>
      </c>
      <c r="FY274" s="1" t="s">
        <v>1476</v>
      </c>
      <c r="FZ274" s="1" t="s">
        <v>4239</v>
      </c>
      <c r="GA274" s="1">
        <v>232733</v>
      </c>
      <c r="GB274" s="1" t="s">
        <v>4240</v>
      </c>
      <c r="GD274" s="1" t="s">
        <v>4241</v>
      </c>
      <c r="GE274" s="1" t="s">
        <v>1333</v>
      </c>
      <c r="GI274" s="1" t="s">
        <v>213</v>
      </c>
      <c r="GJ274" s="1" t="s">
        <v>260</v>
      </c>
      <c r="GK274" s="1" t="s">
        <v>210</v>
      </c>
      <c r="GL274" s="2">
        <v>42055</v>
      </c>
      <c r="GM274" s="1" t="s">
        <v>4242</v>
      </c>
    </row>
    <row r="275" spans="1:195">
      <c r="A275" s="1">
        <v>91000</v>
      </c>
      <c r="B275" s="1" t="s">
        <v>195</v>
      </c>
      <c r="C275" s="1" t="str">
        <f>"08772785"</f>
        <v>08772785</v>
      </c>
      <c r="D275" s="1" t="s">
        <v>196</v>
      </c>
      <c r="F275" s="1" t="str">
        <f>"186"</f>
        <v>186</v>
      </c>
      <c r="G275" s="2">
        <v>41953</v>
      </c>
      <c r="H275" s="1">
        <v>93500</v>
      </c>
      <c r="I275" s="1">
        <v>93500</v>
      </c>
      <c r="J275" s="1">
        <v>91000</v>
      </c>
      <c r="K275" s="2">
        <v>41953</v>
      </c>
      <c r="L275" s="1">
        <v>26</v>
      </c>
      <c r="M275" s="2">
        <v>41978</v>
      </c>
      <c r="N275" s="1">
        <v>26</v>
      </c>
      <c r="O275" s="2">
        <v>41978</v>
      </c>
      <c r="P275" s="1">
        <v>23018</v>
      </c>
      <c r="Q275" s="1" t="s">
        <v>197</v>
      </c>
      <c r="R275" s="2">
        <v>42045</v>
      </c>
      <c r="S275" s="1">
        <v>216640</v>
      </c>
      <c r="U275" s="1" t="s">
        <v>4243</v>
      </c>
      <c r="V275" s="1" t="s">
        <v>4244</v>
      </c>
      <c r="W275" s="1" t="s">
        <v>725</v>
      </c>
      <c r="Y275" s="1">
        <v>8</v>
      </c>
      <c r="Z275" s="1" t="s">
        <v>370</v>
      </c>
      <c r="AA275" s="1" t="s">
        <v>2099</v>
      </c>
      <c r="AB275" s="1">
        <v>60181</v>
      </c>
      <c r="AE275" s="1" t="s">
        <v>4245</v>
      </c>
      <c r="AF275" s="1">
        <v>1969</v>
      </c>
      <c r="AG275" s="1" t="s">
        <v>213</v>
      </c>
      <c r="AH275" s="1" t="s">
        <v>2101</v>
      </c>
      <c r="AI275" s="1" t="s">
        <v>206</v>
      </c>
      <c r="AJ275" s="1" t="s">
        <v>1608</v>
      </c>
      <c r="AL275" s="1">
        <v>5</v>
      </c>
      <c r="AM275" s="1">
        <v>2</v>
      </c>
      <c r="AN275" s="1">
        <v>1</v>
      </c>
      <c r="AO275" s="1">
        <v>1</v>
      </c>
      <c r="AP275" s="1" t="s">
        <v>1234</v>
      </c>
      <c r="AR275" s="1" t="s">
        <v>209</v>
      </c>
      <c r="AS275" s="1" t="s">
        <v>204</v>
      </c>
      <c r="AT275" s="1" t="s">
        <v>210</v>
      </c>
      <c r="AW275" s="1" t="s">
        <v>204</v>
      </c>
      <c r="AX275" s="1">
        <v>0</v>
      </c>
      <c r="AZ275" s="1">
        <v>1556</v>
      </c>
      <c r="BA275" s="1">
        <v>2013</v>
      </c>
      <c r="BE275" s="1">
        <v>1004</v>
      </c>
      <c r="BF275" s="1">
        <v>1</v>
      </c>
      <c r="BG275" s="1">
        <v>30</v>
      </c>
      <c r="BL275" s="1">
        <v>189</v>
      </c>
      <c r="BM275" s="1" t="s">
        <v>413</v>
      </c>
      <c r="BN275" s="1" t="s">
        <v>213</v>
      </c>
      <c r="BO275" s="1">
        <v>30</v>
      </c>
      <c r="BP275" s="1" t="s">
        <v>204</v>
      </c>
      <c r="BR275" s="1" t="str">
        <f>"0621214059"</f>
        <v>0621214059</v>
      </c>
      <c r="BT275" s="1" t="s">
        <v>4246</v>
      </c>
      <c r="BX275" s="1">
        <v>45</v>
      </c>
      <c r="BY275" s="1">
        <v>45</v>
      </c>
      <c r="BZ275" s="1">
        <v>88</v>
      </c>
      <c r="CB275" s="1" t="str">
        <f t="shared" ref="CB275:CC275" si="220">""</f>
        <v/>
      </c>
      <c r="CC275" s="1" t="str">
        <f t="shared" si="220"/>
        <v/>
      </c>
      <c r="CG275" s="1" t="s">
        <v>315</v>
      </c>
      <c r="CH275" s="1" t="s">
        <v>219</v>
      </c>
      <c r="CK275" s="1" t="s">
        <v>278</v>
      </c>
      <c r="CL275" s="1" t="s">
        <v>277</v>
      </c>
      <c r="CO275" s="1" t="s">
        <v>2231</v>
      </c>
      <c r="CP275" s="1" t="s">
        <v>219</v>
      </c>
      <c r="CS275" s="1" t="s">
        <v>821</v>
      </c>
      <c r="CT275" s="1" t="s">
        <v>277</v>
      </c>
      <c r="CX275" s="1" t="s">
        <v>224</v>
      </c>
      <c r="DB275" s="1" t="s">
        <v>224</v>
      </c>
      <c r="DE275" s="1" t="s">
        <v>973</v>
      </c>
      <c r="DF275" s="1" t="s">
        <v>219</v>
      </c>
      <c r="DJ275" s="1" t="s">
        <v>224</v>
      </c>
      <c r="DS275" s="1" t="s">
        <v>230</v>
      </c>
      <c r="DW275" s="1" t="s">
        <v>230</v>
      </c>
      <c r="EA275" s="1" t="s">
        <v>230</v>
      </c>
      <c r="EE275" s="1" t="s">
        <v>230</v>
      </c>
      <c r="EI275" s="1" t="s">
        <v>230</v>
      </c>
      <c r="EL275" s="1" t="s">
        <v>605</v>
      </c>
      <c r="EM275" s="1" t="s">
        <v>319</v>
      </c>
      <c r="EN275" s="1" t="s">
        <v>282</v>
      </c>
      <c r="EO275" s="1" t="s">
        <v>234</v>
      </c>
      <c r="ER275" s="1" t="s">
        <v>351</v>
      </c>
      <c r="EW275" s="1" t="s">
        <v>210</v>
      </c>
      <c r="EZ275" s="1" t="s">
        <v>287</v>
      </c>
      <c r="FD275" s="1" t="s">
        <v>246</v>
      </c>
      <c r="FE275" s="1" t="s">
        <v>975</v>
      </c>
      <c r="FF275" s="1" t="s">
        <v>248</v>
      </c>
      <c r="FH275" s="1" t="s">
        <v>550</v>
      </c>
      <c r="FJ275" s="1" t="s">
        <v>1472</v>
      </c>
      <c r="FL275" s="1" t="s">
        <v>414</v>
      </c>
      <c r="FM275" s="1" t="s">
        <v>252</v>
      </c>
      <c r="FN275" s="1" t="s">
        <v>213</v>
      </c>
      <c r="FO275" s="1" t="s">
        <v>213</v>
      </c>
      <c r="FQ275" s="1" t="s">
        <v>2417</v>
      </c>
      <c r="FR275" s="1" t="s">
        <v>210</v>
      </c>
      <c r="FS275" s="1" t="s">
        <v>3352</v>
      </c>
      <c r="FT275" s="1" t="s">
        <v>295</v>
      </c>
      <c r="FU275" s="1" t="s">
        <v>204</v>
      </c>
      <c r="FW275" s="1" t="s">
        <v>3353</v>
      </c>
      <c r="FX275" s="1">
        <v>8658</v>
      </c>
      <c r="FY275" s="1" t="s">
        <v>3354</v>
      </c>
      <c r="FZ275" s="1" t="s">
        <v>3355</v>
      </c>
      <c r="GA275" s="1">
        <v>84760</v>
      </c>
      <c r="GB275" s="1" t="s">
        <v>3354</v>
      </c>
      <c r="GD275" s="1" t="s">
        <v>3356</v>
      </c>
      <c r="GE275" s="1" t="s">
        <v>210</v>
      </c>
      <c r="GI275" s="1" t="s">
        <v>213</v>
      </c>
      <c r="GJ275" s="1" t="s">
        <v>260</v>
      </c>
      <c r="GK275" s="1" t="s">
        <v>210</v>
      </c>
      <c r="GL275" s="2">
        <v>42046</v>
      </c>
    </row>
    <row r="276" spans="1:195">
      <c r="A276" s="1">
        <v>85001</v>
      </c>
      <c r="B276" s="1" t="s">
        <v>195</v>
      </c>
      <c r="C276" s="1" t="str">
        <f>"08790630"</f>
        <v>08790630</v>
      </c>
      <c r="D276" s="1" t="s">
        <v>196</v>
      </c>
      <c r="F276" s="1" t="str">
        <f>"545"</f>
        <v>545</v>
      </c>
      <c r="G276" s="2">
        <v>41964</v>
      </c>
      <c r="H276" s="1">
        <v>100000</v>
      </c>
      <c r="I276" s="1">
        <v>90000</v>
      </c>
      <c r="J276" s="1">
        <v>85001</v>
      </c>
      <c r="K276" s="2">
        <v>41962</v>
      </c>
      <c r="L276" s="1">
        <v>122</v>
      </c>
      <c r="M276" s="2">
        <v>42083</v>
      </c>
      <c r="N276" s="1">
        <v>122</v>
      </c>
      <c r="O276" s="2">
        <v>42083</v>
      </c>
      <c r="P276" s="1">
        <v>25769</v>
      </c>
      <c r="Q276" s="1" t="s">
        <v>302</v>
      </c>
      <c r="R276" s="2">
        <v>42123</v>
      </c>
      <c r="S276" s="1">
        <v>232152</v>
      </c>
      <c r="T276" s="1">
        <v>2550</v>
      </c>
      <c r="U276" s="1">
        <v>3702</v>
      </c>
      <c r="V276" s="1" t="s">
        <v>4247</v>
      </c>
      <c r="W276" s="1" t="s">
        <v>725</v>
      </c>
      <c r="X276" s="1">
        <v>3702</v>
      </c>
      <c r="Y276" s="1">
        <v>4</v>
      </c>
      <c r="Z276" s="1" t="s">
        <v>249</v>
      </c>
      <c r="AA276" s="1" t="s">
        <v>1335</v>
      </c>
      <c r="AB276" s="1">
        <v>60545</v>
      </c>
      <c r="AE276" s="1" t="s">
        <v>4248</v>
      </c>
      <c r="AF276" s="1">
        <v>2006</v>
      </c>
      <c r="AG276" s="1" t="s">
        <v>204</v>
      </c>
      <c r="AH276" s="1" t="s">
        <v>1338</v>
      </c>
      <c r="AI276" s="1" t="s">
        <v>453</v>
      </c>
      <c r="AJ276" s="1" t="s">
        <v>1339</v>
      </c>
      <c r="AL276" s="1">
        <v>5</v>
      </c>
      <c r="AM276" s="1">
        <v>2</v>
      </c>
      <c r="AN276" s="1">
        <v>2</v>
      </c>
      <c r="AO276" s="1">
        <v>1</v>
      </c>
      <c r="AP276" s="1" t="s">
        <v>209</v>
      </c>
      <c r="AR276" s="1" t="s">
        <v>210</v>
      </c>
      <c r="AS276" s="1" t="s">
        <v>204</v>
      </c>
      <c r="AT276" s="1" t="s">
        <v>211</v>
      </c>
      <c r="AU276" s="1">
        <v>2</v>
      </c>
      <c r="AW276" s="1" t="s">
        <v>204</v>
      </c>
      <c r="AX276" s="1" t="s">
        <v>212</v>
      </c>
      <c r="AZ276" s="1">
        <v>4094</v>
      </c>
      <c r="BA276" s="1">
        <v>2012</v>
      </c>
      <c r="BB276" s="1" t="s">
        <v>210</v>
      </c>
      <c r="BE276" s="1">
        <v>1577</v>
      </c>
      <c r="BF276" s="1">
        <v>1</v>
      </c>
      <c r="BG276" s="1">
        <v>0</v>
      </c>
      <c r="BL276" s="1">
        <v>154</v>
      </c>
      <c r="BM276" s="1" t="s">
        <v>213</v>
      </c>
      <c r="BN276" s="1" t="s">
        <v>213</v>
      </c>
      <c r="BO276" s="1">
        <v>999</v>
      </c>
      <c r="BP276" s="1" t="s">
        <v>204</v>
      </c>
      <c r="BR276" s="1" t="str">
        <f>"0125204041"</f>
        <v>0125204041</v>
      </c>
      <c r="BT276" s="1" t="s">
        <v>4249</v>
      </c>
      <c r="BX276" s="1">
        <v>88</v>
      </c>
      <c r="BY276" s="1">
        <v>88</v>
      </c>
      <c r="BZ276" s="1">
        <v>88</v>
      </c>
      <c r="CB276" s="1" t="str">
        <f t="shared" ref="CB276:CC276" si="221">"0"</f>
        <v>0</v>
      </c>
      <c r="CC276" s="1" t="str">
        <f t="shared" si="221"/>
        <v>0</v>
      </c>
      <c r="CD276" s="1">
        <v>47</v>
      </c>
      <c r="CE276" s="1">
        <v>13</v>
      </c>
      <c r="CG276" s="1" t="s">
        <v>539</v>
      </c>
      <c r="CH276" s="1" t="s">
        <v>219</v>
      </c>
      <c r="CK276" s="1" t="s">
        <v>729</v>
      </c>
      <c r="CL276" s="1" t="s">
        <v>277</v>
      </c>
      <c r="CP276" s="1" t="s">
        <v>224</v>
      </c>
      <c r="CS276" s="1" t="s">
        <v>379</v>
      </c>
      <c r="CT276" s="1" t="s">
        <v>277</v>
      </c>
      <c r="CX276" s="1" t="s">
        <v>224</v>
      </c>
      <c r="DB276" s="1" t="s">
        <v>224</v>
      </c>
      <c r="DE276" s="1" t="s">
        <v>1045</v>
      </c>
      <c r="DF276" s="1" t="s">
        <v>219</v>
      </c>
      <c r="DJ276" s="1" t="s">
        <v>224</v>
      </c>
      <c r="DN276" s="1" t="s">
        <v>1005</v>
      </c>
      <c r="DS276" s="1" t="s">
        <v>230</v>
      </c>
      <c r="DV276" s="1" t="s">
        <v>409</v>
      </c>
      <c r="DW276" s="1" t="s">
        <v>219</v>
      </c>
      <c r="EA276" s="1" t="s">
        <v>230</v>
      </c>
      <c r="EE276" s="1" t="s">
        <v>230</v>
      </c>
      <c r="EI276" s="1" t="s">
        <v>230</v>
      </c>
      <c r="EL276" s="1" t="s">
        <v>491</v>
      </c>
      <c r="EM276" s="1" t="s">
        <v>319</v>
      </c>
      <c r="EN276" s="1" t="s">
        <v>282</v>
      </c>
      <c r="EO276" s="1" t="s">
        <v>234</v>
      </c>
      <c r="ER276" s="1" t="s">
        <v>210</v>
      </c>
      <c r="EW276" s="1" t="s">
        <v>4250</v>
      </c>
      <c r="EZ276" s="1" t="s">
        <v>1005</v>
      </c>
      <c r="FD276" s="1" t="s">
        <v>246</v>
      </c>
      <c r="FE276" s="1" t="s">
        <v>247</v>
      </c>
      <c r="FF276" s="1" t="s">
        <v>248</v>
      </c>
      <c r="FH276" s="1" t="s">
        <v>249</v>
      </c>
      <c r="FL276" s="1" t="s">
        <v>358</v>
      </c>
      <c r="FM276" s="1" t="s">
        <v>252</v>
      </c>
      <c r="FN276" s="1" t="s">
        <v>213</v>
      </c>
      <c r="FO276" s="1" t="s">
        <v>213</v>
      </c>
      <c r="FQ276" s="1" t="s">
        <v>689</v>
      </c>
      <c r="FR276" s="1" t="s">
        <v>210</v>
      </c>
      <c r="FS276" s="1" t="s">
        <v>1805</v>
      </c>
      <c r="FT276" s="1" t="s">
        <v>4251</v>
      </c>
      <c r="FU276" s="1" t="s">
        <v>204</v>
      </c>
      <c r="FW276" s="1" t="s">
        <v>1806</v>
      </c>
      <c r="FX276" s="1">
        <v>25196</v>
      </c>
      <c r="FY276" s="1" t="s">
        <v>1807</v>
      </c>
      <c r="FZ276" s="1" t="s">
        <v>1808</v>
      </c>
      <c r="GA276" s="1">
        <v>214545</v>
      </c>
      <c r="GB276" s="1" t="s">
        <v>1807</v>
      </c>
      <c r="GC276" s="1">
        <v>232216</v>
      </c>
      <c r="GE276" s="1" t="s">
        <v>210</v>
      </c>
      <c r="GI276" s="1" t="s">
        <v>213</v>
      </c>
      <c r="GJ276" s="1" t="s">
        <v>260</v>
      </c>
      <c r="GK276" s="1" t="s">
        <v>210</v>
      </c>
      <c r="GL276" s="2">
        <v>42125</v>
      </c>
      <c r="GM276" s="1" t="s">
        <v>4252</v>
      </c>
    </row>
    <row r="277" spans="1:195">
      <c r="A277" s="1">
        <v>195000</v>
      </c>
      <c r="B277" s="1" t="s">
        <v>195</v>
      </c>
      <c r="C277" s="1" t="str">
        <f>"08789554"</f>
        <v>08789554</v>
      </c>
      <c r="D277" s="1" t="s">
        <v>196</v>
      </c>
      <c r="F277" s="1" t="str">
        <f>"515"</f>
        <v>515</v>
      </c>
      <c r="G277" s="2">
        <v>41962</v>
      </c>
      <c r="H277" s="1">
        <v>215000</v>
      </c>
      <c r="I277" s="1">
        <v>205000</v>
      </c>
      <c r="J277" s="1">
        <v>195000</v>
      </c>
      <c r="K277" s="2">
        <v>41962</v>
      </c>
      <c r="L277" s="1">
        <v>39</v>
      </c>
      <c r="M277" s="2">
        <v>42000</v>
      </c>
      <c r="N277" s="1">
        <v>39</v>
      </c>
      <c r="O277" s="2">
        <v>42000</v>
      </c>
      <c r="P277" s="1">
        <v>21823</v>
      </c>
      <c r="Q277" s="1" t="s">
        <v>302</v>
      </c>
      <c r="R277" s="2">
        <v>42034</v>
      </c>
      <c r="S277" s="1">
        <v>216055</v>
      </c>
      <c r="U277" s="1">
        <v>6585</v>
      </c>
      <c r="V277" s="1" t="s">
        <v>4253</v>
      </c>
      <c r="W277" s="1" t="s">
        <v>725</v>
      </c>
      <c r="X277" s="1">
        <v>201</v>
      </c>
      <c r="Y277" s="1">
        <v>24</v>
      </c>
      <c r="Z277" s="1" t="s">
        <v>249</v>
      </c>
      <c r="AA277" s="1" t="s">
        <v>1294</v>
      </c>
      <c r="AB277" s="1">
        <v>60516</v>
      </c>
      <c r="AD277" s="1" t="s">
        <v>4254</v>
      </c>
      <c r="AE277" s="1" t="s">
        <v>4255</v>
      </c>
      <c r="AF277" s="1">
        <v>1973</v>
      </c>
      <c r="AG277" s="1" t="s">
        <v>213</v>
      </c>
      <c r="AH277" s="1" t="s">
        <v>903</v>
      </c>
      <c r="AI277" s="1" t="s">
        <v>206</v>
      </c>
      <c r="AJ277" s="1" t="s">
        <v>903</v>
      </c>
      <c r="AL277" s="1">
        <v>5</v>
      </c>
      <c r="AM277" s="1">
        <v>2</v>
      </c>
      <c r="AN277" s="1">
        <v>2</v>
      </c>
      <c r="AO277" s="1">
        <v>0</v>
      </c>
      <c r="AP277" s="1" t="s">
        <v>209</v>
      </c>
      <c r="AR277" s="1" t="s">
        <v>210</v>
      </c>
      <c r="AS277" s="1" t="s">
        <v>204</v>
      </c>
      <c r="AT277" s="1" t="s">
        <v>211</v>
      </c>
      <c r="AU277" s="1">
        <v>1</v>
      </c>
      <c r="AW277" s="1" t="s">
        <v>204</v>
      </c>
      <c r="AX277" s="1" t="s">
        <v>212</v>
      </c>
      <c r="AZ277" s="1">
        <v>2613</v>
      </c>
      <c r="BA277" s="1">
        <v>2013</v>
      </c>
      <c r="BB277" s="1" t="s">
        <v>405</v>
      </c>
      <c r="BE277" s="1">
        <v>1131</v>
      </c>
      <c r="BF277" s="1">
        <v>2</v>
      </c>
      <c r="BG277" s="1">
        <v>30</v>
      </c>
      <c r="BJ277" s="1">
        <v>100</v>
      </c>
      <c r="BL277" s="1">
        <v>311</v>
      </c>
      <c r="BM277" s="1" t="s">
        <v>204</v>
      </c>
      <c r="BN277" s="1" t="s">
        <v>213</v>
      </c>
      <c r="BO277" s="1">
        <v>30</v>
      </c>
      <c r="BP277" s="1" t="s">
        <v>204</v>
      </c>
      <c r="BR277" s="1" t="str">
        <f>"0920123073"</f>
        <v>0920123073</v>
      </c>
      <c r="BT277" s="1" t="s">
        <v>4256</v>
      </c>
      <c r="BU277" s="1" t="s">
        <v>4257</v>
      </c>
      <c r="BV277" s="1" t="s">
        <v>4258</v>
      </c>
      <c r="BW277" s="1" t="s">
        <v>3099</v>
      </c>
      <c r="BX277" s="1">
        <v>58</v>
      </c>
      <c r="BY277" s="1">
        <v>58</v>
      </c>
      <c r="BZ277" s="1">
        <v>99</v>
      </c>
      <c r="CB277" s="1" t="str">
        <f t="shared" ref="CB277:CC277" si="222">""</f>
        <v/>
      </c>
      <c r="CC277" s="1" t="str">
        <f t="shared" si="222"/>
        <v/>
      </c>
      <c r="CD277" s="1">
        <v>19</v>
      </c>
      <c r="CE277" s="1">
        <v>7</v>
      </c>
      <c r="CG277" s="1" t="s">
        <v>2992</v>
      </c>
      <c r="CH277" s="1" t="s">
        <v>219</v>
      </c>
      <c r="CI277" s="1" t="s">
        <v>438</v>
      </c>
      <c r="CJ277" s="1" t="s">
        <v>210</v>
      </c>
      <c r="CK277" s="1" t="s">
        <v>581</v>
      </c>
      <c r="CL277" s="1" t="s">
        <v>219</v>
      </c>
      <c r="CM277" s="1" t="s">
        <v>438</v>
      </c>
      <c r="CN277" s="1" t="s">
        <v>343</v>
      </c>
      <c r="CO277" s="1" t="s">
        <v>346</v>
      </c>
      <c r="CP277" s="1" t="s">
        <v>219</v>
      </c>
      <c r="CQ277" s="1" t="s">
        <v>438</v>
      </c>
      <c r="CR277" s="1" t="s">
        <v>210</v>
      </c>
      <c r="CS277" s="1" t="s">
        <v>346</v>
      </c>
      <c r="CT277" s="1" t="s">
        <v>219</v>
      </c>
      <c r="CU277" s="1" t="s">
        <v>438</v>
      </c>
      <c r="CV277" s="1" t="s">
        <v>343</v>
      </c>
      <c r="CX277" s="1" t="s">
        <v>224</v>
      </c>
      <c r="DB277" s="1" t="s">
        <v>224</v>
      </c>
      <c r="DE277" s="1" t="s">
        <v>380</v>
      </c>
      <c r="DF277" s="1" t="s">
        <v>219</v>
      </c>
      <c r="DG277" s="1" t="s">
        <v>438</v>
      </c>
      <c r="DJ277" s="1" t="s">
        <v>224</v>
      </c>
      <c r="DM277" s="1" t="s">
        <v>709</v>
      </c>
      <c r="DN277" s="1" t="s">
        <v>838</v>
      </c>
      <c r="DO277" s="1" t="s">
        <v>1614</v>
      </c>
      <c r="DR277" s="1" t="s">
        <v>4176</v>
      </c>
      <c r="DS277" s="1" t="s">
        <v>219</v>
      </c>
      <c r="DT277" s="1" t="s">
        <v>438</v>
      </c>
      <c r="DV277" s="1" t="s">
        <v>4259</v>
      </c>
      <c r="DW277" s="1" t="s">
        <v>219</v>
      </c>
      <c r="DZ277" s="1" t="s">
        <v>4260</v>
      </c>
      <c r="EA277" s="1" t="s">
        <v>784</v>
      </c>
      <c r="EE277" s="1" t="s">
        <v>230</v>
      </c>
      <c r="EI277" s="1" t="s">
        <v>230</v>
      </c>
      <c r="EL277" s="1" t="s">
        <v>605</v>
      </c>
      <c r="EM277" s="1" t="s">
        <v>730</v>
      </c>
      <c r="EN277" s="1" t="s">
        <v>282</v>
      </c>
      <c r="EO277" s="1" t="s">
        <v>840</v>
      </c>
      <c r="EP277" s="1" t="s">
        <v>4261</v>
      </c>
      <c r="EQ277" s="1" t="s">
        <v>492</v>
      </c>
      <c r="ER277" s="1" t="s">
        <v>210</v>
      </c>
      <c r="ES277" s="1" t="s">
        <v>3285</v>
      </c>
      <c r="EU277" s="1" t="s">
        <v>4262</v>
      </c>
      <c r="EV277" s="1" t="s">
        <v>1999</v>
      </c>
      <c r="EW277" s="1" t="s">
        <v>3113</v>
      </c>
      <c r="EY277" s="1" t="s">
        <v>790</v>
      </c>
      <c r="EZ277" s="1" t="s">
        <v>4263</v>
      </c>
      <c r="FB277" s="1" t="s">
        <v>1505</v>
      </c>
      <c r="FC277" s="1" t="s">
        <v>633</v>
      </c>
      <c r="FD277" s="1" t="s">
        <v>246</v>
      </c>
      <c r="FE277" s="1" t="s">
        <v>247</v>
      </c>
      <c r="FF277" s="1" t="s">
        <v>248</v>
      </c>
      <c r="FH277" s="1" t="s">
        <v>249</v>
      </c>
      <c r="FJ277" s="1" t="s">
        <v>1251</v>
      </c>
      <c r="FL277" s="1" t="s">
        <v>810</v>
      </c>
      <c r="FM277" s="1" t="s">
        <v>252</v>
      </c>
      <c r="FN277" s="1" t="s">
        <v>204</v>
      </c>
      <c r="FO277" s="1" t="s">
        <v>213</v>
      </c>
      <c r="FQ277" s="1" t="s">
        <v>4264</v>
      </c>
      <c r="FR277" s="1" t="s">
        <v>210</v>
      </c>
      <c r="FS277" s="1" t="s">
        <v>4265</v>
      </c>
      <c r="FT277" s="1" t="s">
        <v>362</v>
      </c>
      <c r="FU277" s="1" t="s">
        <v>204</v>
      </c>
      <c r="FV277" s="1" t="s">
        <v>4266</v>
      </c>
      <c r="FW277" s="1" t="s">
        <v>3116</v>
      </c>
      <c r="FX277" s="1">
        <v>21823</v>
      </c>
      <c r="FY277" s="1" t="s">
        <v>3117</v>
      </c>
      <c r="FZ277" s="1" t="s">
        <v>4267</v>
      </c>
      <c r="GA277" s="1">
        <v>214181</v>
      </c>
      <c r="GB277" s="1" t="s">
        <v>4268</v>
      </c>
      <c r="GE277" s="1" t="s">
        <v>658</v>
      </c>
      <c r="GI277" s="1" t="s">
        <v>213</v>
      </c>
      <c r="GJ277" s="1" t="s">
        <v>260</v>
      </c>
      <c r="GK277" s="1" t="s">
        <v>210</v>
      </c>
      <c r="GL277" s="2">
        <v>42034</v>
      </c>
      <c r="GM277" s="1" t="s">
        <v>4269</v>
      </c>
    </row>
    <row r="278" spans="1:195">
      <c r="A278" s="1">
        <v>120000</v>
      </c>
      <c r="B278" s="1" t="s">
        <v>195</v>
      </c>
      <c r="C278" s="1" t="str">
        <f>"08785716"</f>
        <v>08785716</v>
      </c>
      <c r="D278" s="1" t="s">
        <v>196</v>
      </c>
      <c r="F278" s="1" t="str">
        <f>"188"</f>
        <v>188</v>
      </c>
      <c r="G278" s="2">
        <v>41956</v>
      </c>
      <c r="H278" s="1">
        <v>140000</v>
      </c>
      <c r="I278" s="1">
        <v>140000</v>
      </c>
      <c r="J278" s="1">
        <v>120000</v>
      </c>
      <c r="K278" s="2">
        <v>41956</v>
      </c>
      <c r="L278" s="1">
        <v>100</v>
      </c>
      <c r="M278" s="2">
        <v>42055</v>
      </c>
      <c r="N278" s="1">
        <v>100</v>
      </c>
      <c r="O278" s="2">
        <v>42055</v>
      </c>
      <c r="P278" s="1">
        <v>23095</v>
      </c>
      <c r="Q278" s="1" t="s">
        <v>302</v>
      </c>
      <c r="R278" s="2">
        <v>42074</v>
      </c>
      <c r="S278" s="1">
        <v>244742</v>
      </c>
      <c r="U278" s="1">
        <v>239</v>
      </c>
      <c r="V278" s="1" t="s">
        <v>3639</v>
      </c>
      <c r="W278" s="1" t="s">
        <v>504</v>
      </c>
      <c r="X278" s="1">
        <v>239</v>
      </c>
      <c r="Y278" s="1">
        <v>3</v>
      </c>
      <c r="Z278" s="1" t="s">
        <v>249</v>
      </c>
      <c r="AA278" s="1" t="s">
        <v>1084</v>
      </c>
      <c r="AB278" s="1">
        <v>60188</v>
      </c>
      <c r="AD278" s="1" t="s">
        <v>4270</v>
      </c>
      <c r="AE278" s="1" t="s">
        <v>4271</v>
      </c>
      <c r="AF278" s="1">
        <v>1996</v>
      </c>
      <c r="AG278" s="1" t="s">
        <v>204</v>
      </c>
      <c r="AH278" s="1" t="s">
        <v>1087</v>
      </c>
      <c r="AI278" s="1" t="s">
        <v>206</v>
      </c>
      <c r="AJ278" s="1" t="s">
        <v>207</v>
      </c>
      <c r="AL278" s="1">
        <v>5</v>
      </c>
      <c r="AM278" s="1">
        <v>2</v>
      </c>
      <c r="AN278" s="1">
        <v>1</v>
      </c>
      <c r="AO278" s="1">
        <v>0</v>
      </c>
      <c r="AP278" s="1" t="s">
        <v>667</v>
      </c>
      <c r="AR278" s="1" t="s">
        <v>210</v>
      </c>
      <c r="AS278" s="1" t="s">
        <v>204</v>
      </c>
      <c r="AT278" s="1" t="s">
        <v>211</v>
      </c>
      <c r="AU278" s="1">
        <v>1</v>
      </c>
      <c r="AW278" s="1" t="s">
        <v>204</v>
      </c>
      <c r="AX278" s="1" t="s">
        <v>212</v>
      </c>
      <c r="AZ278" s="1">
        <v>3109</v>
      </c>
      <c r="BA278" s="1">
        <v>2013</v>
      </c>
      <c r="BB278" s="1" t="s">
        <v>405</v>
      </c>
      <c r="BE278" s="1">
        <v>1018</v>
      </c>
      <c r="BF278" s="1">
        <v>1</v>
      </c>
      <c r="BG278" s="1">
        <v>0</v>
      </c>
      <c r="BL278" s="1">
        <v>116</v>
      </c>
      <c r="BM278" s="1" t="s">
        <v>204</v>
      </c>
      <c r="BN278" s="1" t="s">
        <v>213</v>
      </c>
      <c r="BP278" s="1" t="s">
        <v>204</v>
      </c>
      <c r="BR278" s="1" t="str">
        <f>"0503110195"</f>
        <v>0503110195</v>
      </c>
      <c r="BT278" s="1" t="s">
        <v>4272</v>
      </c>
      <c r="BW278" s="1" t="s">
        <v>2169</v>
      </c>
      <c r="BX278" s="1">
        <v>41</v>
      </c>
      <c r="BY278" s="1">
        <v>41</v>
      </c>
      <c r="BZ278" s="1">
        <v>87</v>
      </c>
      <c r="CB278" s="1" t="str">
        <f t="shared" ref="CB278:CC278" si="223">""</f>
        <v/>
      </c>
      <c r="CC278" s="1" t="str">
        <f t="shared" si="223"/>
        <v/>
      </c>
      <c r="CG278" s="1" t="s">
        <v>465</v>
      </c>
      <c r="CH278" s="1" t="s">
        <v>219</v>
      </c>
      <c r="CI278" s="1" t="s">
        <v>220</v>
      </c>
      <c r="CJ278" s="1" t="s">
        <v>343</v>
      </c>
      <c r="CK278" s="1" t="s">
        <v>344</v>
      </c>
      <c r="CL278" s="1" t="s">
        <v>219</v>
      </c>
      <c r="CM278" s="1" t="s">
        <v>220</v>
      </c>
      <c r="CN278" s="1" t="s">
        <v>343</v>
      </c>
      <c r="CO278" s="1" t="s">
        <v>465</v>
      </c>
      <c r="CP278" s="1" t="s">
        <v>219</v>
      </c>
      <c r="CQ278" s="1" t="s">
        <v>220</v>
      </c>
      <c r="CR278" s="1" t="s">
        <v>343</v>
      </c>
      <c r="CS278" s="1" t="s">
        <v>318</v>
      </c>
      <c r="CT278" s="1" t="s">
        <v>219</v>
      </c>
      <c r="CU278" s="1" t="s">
        <v>220</v>
      </c>
      <c r="CV278" s="1" t="s">
        <v>343</v>
      </c>
      <c r="CX278" s="1" t="s">
        <v>224</v>
      </c>
      <c r="DB278" s="1" t="s">
        <v>224</v>
      </c>
      <c r="DE278" s="1" t="s">
        <v>465</v>
      </c>
      <c r="DF278" s="1" t="s">
        <v>219</v>
      </c>
      <c r="DG278" s="1" t="s">
        <v>342</v>
      </c>
      <c r="DH278" s="1" t="s">
        <v>343</v>
      </c>
      <c r="DJ278" s="1" t="s">
        <v>224</v>
      </c>
      <c r="DS278" s="1" t="s">
        <v>230</v>
      </c>
      <c r="DW278" s="1" t="s">
        <v>230</v>
      </c>
      <c r="EA278" s="1" t="s">
        <v>230</v>
      </c>
      <c r="EE278" s="1" t="s">
        <v>230</v>
      </c>
      <c r="EI278" s="1" t="s">
        <v>230</v>
      </c>
      <c r="EL278" s="1" t="s">
        <v>670</v>
      </c>
      <c r="EM278" s="1" t="s">
        <v>232</v>
      </c>
      <c r="EN278" s="1" t="s">
        <v>282</v>
      </c>
      <c r="EO278" s="1" t="s">
        <v>234</v>
      </c>
      <c r="EP278" s="1" t="s">
        <v>1268</v>
      </c>
      <c r="ER278" s="1" t="s">
        <v>210</v>
      </c>
      <c r="ET278" s="1" t="s">
        <v>842</v>
      </c>
      <c r="EW278" s="1" t="s">
        <v>353</v>
      </c>
      <c r="EZ278" s="1" t="s">
        <v>287</v>
      </c>
      <c r="FD278" s="1" t="s">
        <v>3287</v>
      </c>
      <c r="FE278" s="1" t="s">
        <v>386</v>
      </c>
      <c r="FF278" s="1" t="s">
        <v>248</v>
      </c>
      <c r="FH278" s="1" t="s">
        <v>249</v>
      </c>
      <c r="FI278" s="1" t="s">
        <v>473</v>
      </c>
      <c r="FL278" s="1" t="s">
        <v>414</v>
      </c>
      <c r="FM278" s="1" t="s">
        <v>252</v>
      </c>
      <c r="FN278" s="1" t="s">
        <v>213</v>
      </c>
      <c r="FO278" s="1" t="s">
        <v>213</v>
      </c>
      <c r="FQ278" s="1" t="s">
        <v>849</v>
      </c>
      <c r="FR278" s="1" t="s">
        <v>210</v>
      </c>
      <c r="FS278" s="1" t="s">
        <v>4273</v>
      </c>
      <c r="FT278" s="1" t="s">
        <v>295</v>
      </c>
      <c r="FU278" s="1" t="s">
        <v>204</v>
      </c>
      <c r="FW278" s="1" t="s">
        <v>4274</v>
      </c>
      <c r="FX278" s="1">
        <v>8022</v>
      </c>
      <c r="FY278" s="1" t="s">
        <v>4275</v>
      </c>
      <c r="FZ278" s="1" t="s">
        <v>4276</v>
      </c>
      <c r="GA278" s="1">
        <v>82555</v>
      </c>
      <c r="GB278" s="1" t="s">
        <v>4277</v>
      </c>
      <c r="GE278" s="1" t="s">
        <v>480</v>
      </c>
      <c r="GI278" s="1" t="s">
        <v>213</v>
      </c>
      <c r="GJ278" s="1" t="s">
        <v>260</v>
      </c>
      <c r="GK278" s="1" t="s">
        <v>210</v>
      </c>
      <c r="GL278" s="2">
        <v>42074</v>
      </c>
      <c r="GM278" s="1" t="s">
        <v>4278</v>
      </c>
    </row>
    <row r="279" spans="1:195">
      <c r="A279" s="1">
        <v>195599</v>
      </c>
      <c r="B279" s="1" t="s">
        <v>195</v>
      </c>
      <c r="C279" s="1" t="str">
        <f>"08786712"</f>
        <v>08786712</v>
      </c>
      <c r="D279" s="1" t="s">
        <v>196</v>
      </c>
      <c r="F279" s="1" t="str">
        <f>"172"</f>
        <v>172</v>
      </c>
      <c r="G279" s="2">
        <v>41957</v>
      </c>
      <c r="H279" s="1">
        <v>199896</v>
      </c>
      <c r="I279" s="1">
        <v>199896</v>
      </c>
      <c r="J279" s="1">
        <v>195599</v>
      </c>
      <c r="K279" s="2">
        <v>41957</v>
      </c>
      <c r="L279" s="1">
        <v>5</v>
      </c>
      <c r="M279" s="2">
        <v>41961</v>
      </c>
      <c r="N279" s="1">
        <v>5</v>
      </c>
      <c r="O279" s="2">
        <v>41961</v>
      </c>
      <c r="P279" s="1">
        <v>8059</v>
      </c>
      <c r="Q279" s="1" t="s">
        <v>197</v>
      </c>
      <c r="R279" s="2">
        <v>42004</v>
      </c>
      <c r="S279" s="1">
        <v>241083</v>
      </c>
      <c r="T279" s="1">
        <v>2000</v>
      </c>
      <c r="U279" s="1">
        <v>123</v>
      </c>
      <c r="V279" s="1" t="s">
        <v>4279</v>
      </c>
      <c r="W279" s="1" t="s">
        <v>304</v>
      </c>
      <c r="Y279" s="1">
        <v>6</v>
      </c>
      <c r="Z279" s="1" t="s">
        <v>249</v>
      </c>
      <c r="AA279" s="1" t="s">
        <v>266</v>
      </c>
      <c r="AB279" s="1">
        <v>60172</v>
      </c>
      <c r="AD279" s="1" t="s">
        <v>4280</v>
      </c>
      <c r="AE279" s="1" t="s">
        <v>4281</v>
      </c>
      <c r="AF279" s="1">
        <v>1994</v>
      </c>
      <c r="AG279" s="1" t="s">
        <v>204</v>
      </c>
      <c r="AH279" s="1" t="s">
        <v>3952</v>
      </c>
      <c r="AI279" s="1" t="s">
        <v>206</v>
      </c>
      <c r="AJ279" s="1" t="s">
        <v>269</v>
      </c>
      <c r="AK279" s="1" t="s">
        <v>4282</v>
      </c>
      <c r="AL279" s="1">
        <v>6</v>
      </c>
      <c r="AM279" s="1">
        <v>2</v>
      </c>
      <c r="AN279" s="1">
        <v>1</v>
      </c>
      <c r="AO279" s="1">
        <v>1</v>
      </c>
      <c r="AP279" s="1" t="s">
        <v>667</v>
      </c>
      <c r="AQ279" s="1">
        <v>0</v>
      </c>
      <c r="AR279" s="1" t="s">
        <v>210</v>
      </c>
      <c r="AS279" s="1" t="s">
        <v>204</v>
      </c>
      <c r="AT279" s="1" t="s">
        <v>211</v>
      </c>
      <c r="AU279" s="1">
        <v>2</v>
      </c>
      <c r="AW279" s="1" t="s">
        <v>204</v>
      </c>
      <c r="AX279" s="1" t="s">
        <v>1265</v>
      </c>
      <c r="AZ279" s="1">
        <v>4444</v>
      </c>
      <c r="BA279" s="1">
        <v>2013</v>
      </c>
      <c r="BB279" s="1" t="s">
        <v>405</v>
      </c>
      <c r="BE279" s="1">
        <v>1525</v>
      </c>
      <c r="BF279" s="1">
        <v>1</v>
      </c>
      <c r="BG279" s="1">
        <v>30</v>
      </c>
      <c r="BL279" s="1">
        <v>200</v>
      </c>
      <c r="BM279" s="1" t="s">
        <v>204</v>
      </c>
      <c r="BN279" s="1" t="s">
        <v>213</v>
      </c>
      <c r="BO279" s="1">
        <v>999</v>
      </c>
      <c r="BP279" s="1" t="s">
        <v>204</v>
      </c>
      <c r="BR279" s="1" t="str">
        <f>"0205220035"</f>
        <v>0205220035</v>
      </c>
      <c r="BT279" s="1" t="s">
        <v>4283</v>
      </c>
      <c r="BU279" s="1" t="s">
        <v>273</v>
      </c>
      <c r="BV279" s="1" t="s">
        <v>274</v>
      </c>
      <c r="BW279" s="1" t="s">
        <v>275</v>
      </c>
      <c r="BX279" s="1">
        <v>20</v>
      </c>
      <c r="BY279" s="1">
        <v>20</v>
      </c>
      <c r="BZ279" s="1">
        <v>108</v>
      </c>
      <c r="CB279" s="1" t="str">
        <f>"17"</f>
        <v>17</v>
      </c>
      <c r="CC279" s="1" t="str">
        <f>"0"</f>
        <v>0</v>
      </c>
      <c r="CD279" s="1">
        <v>25</v>
      </c>
      <c r="CE279" s="1">
        <v>0</v>
      </c>
      <c r="CG279" s="1" t="s">
        <v>218</v>
      </c>
      <c r="CH279" s="1" t="s">
        <v>219</v>
      </c>
      <c r="CI279" s="1" t="s">
        <v>438</v>
      </c>
      <c r="CJ279" s="1" t="s">
        <v>343</v>
      </c>
      <c r="CK279" s="1" t="s">
        <v>931</v>
      </c>
      <c r="CL279" s="1" t="s">
        <v>277</v>
      </c>
      <c r="CM279" s="1" t="s">
        <v>220</v>
      </c>
      <c r="CN279" s="1" t="s">
        <v>343</v>
      </c>
      <c r="CP279" s="1" t="s">
        <v>224</v>
      </c>
      <c r="CS279" s="1" t="s">
        <v>1046</v>
      </c>
      <c r="CT279" s="1" t="s">
        <v>277</v>
      </c>
      <c r="CU279" s="1" t="s">
        <v>220</v>
      </c>
      <c r="CV279" s="1" t="s">
        <v>343</v>
      </c>
      <c r="CX279" s="1" t="s">
        <v>224</v>
      </c>
      <c r="DB279" s="1" t="s">
        <v>224</v>
      </c>
      <c r="DE279" s="1" t="s">
        <v>409</v>
      </c>
      <c r="DF279" s="1" t="s">
        <v>219</v>
      </c>
      <c r="DG279" s="1" t="s">
        <v>438</v>
      </c>
      <c r="DH279" s="1" t="s">
        <v>210</v>
      </c>
      <c r="DJ279" s="1" t="s">
        <v>224</v>
      </c>
      <c r="DM279" s="1" t="s">
        <v>381</v>
      </c>
      <c r="DN279" s="1" t="s">
        <v>464</v>
      </c>
      <c r="DR279" s="1" t="s">
        <v>318</v>
      </c>
      <c r="DS279" s="1" t="s">
        <v>219</v>
      </c>
      <c r="DT279" s="1" t="s">
        <v>438</v>
      </c>
      <c r="DU279" s="1" t="s">
        <v>343</v>
      </c>
      <c r="DV279" s="1" t="s">
        <v>318</v>
      </c>
      <c r="DW279" s="1" t="s">
        <v>277</v>
      </c>
      <c r="DX279" s="1" t="s">
        <v>220</v>
      </c>
      <c r="DY279" s="1" t="s">
        <v>343</v>
      </c>
      <c r="EA279" s="1" t="s">
        <v>230</v>
      </c>
      <c r="EE279" s="1" t="s">
        <v>230</v>
      </c>
      <c r="EI279" s="1" t="s">
        <v>230</v>
      </c>
      <c r="EL279" s="1" t="s">
        <v>670</v>
      </c>
      <c r="EM279" s="1" t="s">
        <v>319</v>
      </c>
      <c r="EN279" s="1" t="s">
        <v>282</v>
      </c>
      <c r="EO279" s="1" t="s">
        <v>234</v>
      </c>
      <c r="EP279" s="1" t="s">
        <v>1268</v>
      </c>
      <c r="EQ279" s="1" t="s">
        <v>1551</v>
      </c>
      <c r="ER279" s="1" t="s">
        <v>210</v>
      </c>
      <c r="ES279" s="1" t="s">
        <v>3850</v>
      </c>
      <c r="ET279" s="1" t="s">
        <v>842</v>
      </c>
      <c r="EU279" s="1" t="s">
        <v>1110</v>
      </c>
      <c r="EV279" s="1" t="s">
        <v>240</v>
      </c>
      <c r="EW279" s="1" t="s">
        <v>887</v>
      </c>
      <c r="EY279" s="1" t="s">
        <v>242</v>
      </c>
      <c r="EZ279" s="1" t="s">
        <v>4284</v>
      </c>
      <c r="FA279" s="1" t="s">
        <v>4285</v>
      </c>
      <c r="FB279" s="1" t="s">
        <v>289</v>
      </c>
      <c r="FD279" s="1" t="s">
        <v>246</v>
      </c>
      <c r="FE279" s="1" t="s">
        <v>386</v>
      </c>
      <c r="FF279" s="1" t="s">
        <v>248</v>
      </c>
      <c r="FH279" s="1" t="s">
        <v>550</v>
      </c>
      <c r="FJ279" s="1" t="s">
        <v>1472</v>
      </c>
      <c r="FL279" s="1" t="s">
        <v>358</v>
      </c>
      <c r="FM279" s="1" t="s">
        <v>252</v>
      </c>
      <c r="FN279" s="1" t="s">
        <v>213</v>
      </c>
      <c r="FO279" s="1" t="s">
        <v>213</v>
      </c>
      <c r="FQ279" s="1" t="s">
        <v>635</v>
      </c>
      <c r="FR279" s="1" t="s">
        <v>652</v>
      </c>
      <c r="FS279" s="1" t="s">
        <v>4286</v>
      </c>
      <c r="FT279" s="1" t="s">
        <v>255</v>
      </c>
      <c r="FU279" s="1" t="s">
        <v>204</v>
      </c>
      <c r="FV279" s="1" t="s">
        <v>4287</v>
      </c>
      <c r="FW279" s="1" t="s">
        <v>4288</v>
      </c>
      <c r="FX279" s="1">
        <v>24475</v>
      </c>
      <c r="FY279" s="1" t="s">
        <v>4289</v>
      </c>
      <c r="FZ279" s="1" t="s">
        <v>4290</v>
      </c>
      <c r="GA279" s="1">
        <v>223030</v>
      </c>
      <c r="GB279" s="1" t="s">
        <v>4291</v>
      </c>
      <c r="GC279" s="1">
        <v>221476</v>
      </c>
      <c r="GD279" s="1" t="s">
        <v>4292</v>
      </c>
      <c r="GE279" s="1" t="s">
        <v>776</v>
      </c>
      <c r="GI279" s="1" t="s">
        <v>213</v>
      </c>
      <c r="GJ279" s="1" t="s">
        <v>260</v>
      </c>
      <c r="GK279" s="1" t="s">
        <v>210</v>
      </c>
      <c r="GL279" s="2">
        <v>42004</v>
      </c>
      <c r="GM279" s="1" t="s">
        <v>4293</v>
      </c>
    </row>
    <row r="280" spans="1:195">
      <c r="A280" s="1">
        <v>58000</v>
      </c>
      <c r="B280" s="1" t="s">
        <v>195</v>
      </c>
      <c r="C280" s="1" t="str">
        <f>"08772955"</f>
        <v>08772955</v>
      </c>
      <c r="D280" s="1" t="s">
        <v>196</v>
      </c>
      <c r="F280" s="1" t="str">
        <f>"559"</f>
        <v>559</v>
      </c>
      <c r="G280" s="2">
        <v>41953</v>
      </c>
      <c r="H280" s="1">
        <v>61900</v>
      </c>
      <c r="I280" s="1">
        <v>61900</v>
      </c>
      <c r="J280" s="1">
        <v>58000</v>
      </c>
      <c r="K280" s="2">
        <v>41953</v>
      </c>
      <c r="L280" s="1">
        <v>47</v>
      </c>
      <c r="M280" s="2">
        <v>41999</v>
      </c>
      <c r="N280" s="1">
        <v>47</v>
      </c>
      <c r="O280" s="2">
        <v>41999</v>
      </c>
      <c r="P280" s="1">
        <v>22516</v>
      </c>
      <c r="Q280" s="1" t="s">
        <v>302</v>
      </c>
      <c r="R280" s="2">
        <v>42044</v>
      </c>
      <c r="S280" s="1">
        <v>216089</v>
      </c>
      <c r="U280" s="1" t="s">
        <v>2097</v>
      </c>
      <c r="V280" s="1" t="s">
        <v>4294</v>
      </c>
      <c r="W280" s="1" t="s">
        <v>725</v>
      </c>
      <c r="X280" s="1" t="s">
        <v>4295</v>
      </c>
      <c r="Y280" s="1">
        <v>18</v>
      </c>
      <c r="Z280" s="1" t="s">
        <v>249</v>
      </c>
      <c r="AA280" s="1" t="s">
        <v>1950</v>
      </c>
      <c r="AB280" s="1">
        <v>60559</v>
      </c>
      <c r="AD280" s="1" t="s">
        <v>4296</v>
      </c>
      <c r="AE280" s="1" t="s">
        <v>4297</v>
      </c>
      <c r="AF280" s="1">
        <v>1968</v>
      </c>
      <c r="AG280" s="1" t="s">
        <v>213</v>
      </c>
      <c r="AH280" s="1" t="s">
        <v>1952</v>
      </c>
      <c r="AI280" s="1" t="s">
        <v>206</v>
      </c>
      <c r="AJ280" s="1" t="s">
        <v>903</v>
      </c>
      <c r="AL280" s="1">
        <v>5</v>
      </c>
      <c r="AM280" s="1">
        <v>2</v>
      </c>
      <c r="AN280" s="1">
        <v>1</v>
      </c>
      <c r="AO280" s="1">
        <v>0</v>
      </c>
      <c r="AP280" s="1" t="s">
        <v>210</v>
      </c>
      <c r="AR280" s="1" t="s">
        <v>210</v>
      </c>
      <c r="AS280" s="1" t="s">
        <v>204</v>
      </c>
      <c r="AT280" s="1" t="s">
        <v>271</v>
      </c>
      <c r="AV280" s="1">
        <v>2</v>
      </c>
      <c r="AW280" s="1" t="s">
        <v>204</v>
      </c>
      <c r="AX280" s="1" t="s">
        <v>212</v>
      </c>
      <c r="AZ280" s="1">
        <v>1548</v>
      </c>
      <c r="BA280" s="1">
        <v>2013</v>
      </c>
      <c r="BB280" s="1" t="s">
        <v>405</v>
      </c>
      <c r="BE280" s="1">
        <v>855</v>
      </c>
      <c r="BF280" s="1">
        <v>2</v>
      </c>
      <c r="BG280" s="1">
        <v>30</v>
      </c>
      <c r="BL280" s="1">
        <v>290</v>
      </c>
      <c r="BM280" s="1" t="s">
        <v>204</v>
      </c>
      <c r="BN280" s="1" t="s">
        <v>213</v>
      </c>
      <c r="BO280" s="1">
        <v>75</v>
      </c>
      <c r="BP280" s="1" t="s">
        <v>204</v>
      </c>
      <c r="BR280" s="1" t="str">
        <f>"0921216031"</f>
        <v>0921216031</v>
      </c>
      <c r="BT280" s="1" t="s">
        <v>4298</v>
      </c>
      <c r="BU280" s="1" t="s">
        <v>2980</v>
      </c>
      <c r="BV280" s="1" t="s">
        <v>2981</v>
      </c>
      <c r="BW280" s="1" t="s">
        <v>3099</v>
      </c>
      <c r="BX280" s="1">
        <v>60</v>
      </c>
      <c r="BY280" s="1">
        <v>60</v>
      </c>
      <c r="BZ280" s="1">
        <v>99</v>
      </c>
      <c r="CB280" s="1" t="str">
        <f t="shared" ref="CB280:CC280" si="224">""</f>
        <v/>
      </c>
      <c r="CC280" s="1" t="str">
        <f t="shared" si="224"/>
        <v/>
      </c>
      <c r="CG280" s="1" t="s">
        <v>1045</v>
      </c>
      <c r="CH280" s="1" t="s">
        <v>219</v>
      </c>
      <c r="CI280" s="1" t="s">
        <v>220</v>
      </c>
      <c r="CJ280" s="1" t="s">
        <v>463</v>
      </c>
      <c r="CK280" s="1" t="s">
        <v>539</v>
      </c>
      <c r="CL280" s="1" t="s">
        <v>219</v>
      </c>
      <c r="CM280" s="1" t="s">
        <v>220</v>
      </c>
      <c r="CO280" s="1" t="s">
        <v>4299</v>
      </c>
      <c r="CP280" s="1" t="s">
        <v>219</v>
      </c>
      <c r="CQ280" s="1" t="s">
        <v>226</v>
      </c>
      <c r="CS280" s="1" t="s">
        <v>951</v>
      </c>
      <c r="CT280" s="1" t="s">
        <v>219</v>
      </c>
      <c r="CU280" s="1" t="s">
        <v>220</v>
      </c>
      <c r="CX280" s="1" t="s">
        <v>224</v>
      </c>
      <c r="DB280" s="1" t="s">
        <v>224</v>
      </c>
      <c r="DE280" s="1" t="s">
        <v>785</v>
      </c>
      <c r="DF280" s="1" t="s">
        <v>219</v>
      </c>
      <c r="DG280" s="1" t="s">
        <v>226</v>
      </c>
      <c r="DJ280" s="1" t="s">
        <v>224</v>
      </c>
      <c r="DS280" s="1" t="s">
        <v>230</v>
      </c>
      <c r="DW280" s="1" t="s">
        <v>230</v>
      </c>
      <c r="EA280" s="1" t="s">
        <v>230</v>
      </c>
      <c r="EE280" s="1" t="s">
        <v>230</v>
      </c>
      <c r="EI280" s="1" t="s">
        <v>230</v>
      </c>
      <c r="EL280" s="1" t="s">
        <v>605</v>
      </c>
      <c r="EM280" s="1" t="s">
        <v>232</v>
      </c>
      <c r="EN280" s="1" t="s">
        <v>731</v>
      </c>
      <c r="EO280" s="1" t="s">
        <v>234</v>
      </c>
      <c r="EP280" s="1" t="s">
        <v>4300</v>
      </c>
      <c r="EQ280" s="1" t="s">
        <v>350</v>
      </c>
      <c r="ER280" s="1" t="s">
        <v>210</v>
      </c>
      <c r="EV280" s="1" t="s">
        <v>240</v>
      </c>
      <c r="EW280" s="1" t="s">
        <v>4301</v>
      </c>
      <c r="EZ280" s="1" t="s">
        <v>287</v>
      </c>
      <c r="FA280" s="1" t="s">
        <v>1048</v>
      </c>
      <c r="FB280" s="1" t="s">
        <v>289</v>
      </c>
      <c r="FC280" s="1" t="s">
        <v>326</v>
      </c>
      <c r="FD280" s="1" t="s">
        <v>290</v>
      </c>
      <c r="FE280" s="1" t="s">
        <v>247</v>
      </c>
      <c r="FF280" s="1" t="s">
        <v>248</v>
      </c>
      <c r="FH280" s="1" t="s">
        <v>249</v>
      </c>
      <c r="FJ280" s="1" t="s">
        <v>197</v>
      </c>
      <c r="FL280" s="1" t="s">
        <v>1164</v>
      </c>
      <c r="FM280" s="1" t="s">
        <v>252</v>
      </c>
      <c r="FN280" s="1" t="s">
        <v>213</v>
      </c>
      <c r="FO280" s="1" t="s">
        <v>213</v>
      </c>
      <c r="FQ280" s="1" t="s">
        <v>4302</v>
      </c>
      <c r="FR280" s="1" t="s">
        <v>210</v>
      </c>
      <c r="FS280" s="1" t="s">
        <v>4303</v>
      </c>
      <c r="FT280" s="1" t="s">
        <v>4304</v>
      </c>
      <c r="FU280" s="1" t="s">
        <v>204</v>
      </c>
      <c r="FW280" s="1" t="s">
        <v>4305</v>
      </c>
      <c r="FX280" s="1">
        <v>22474</v>
      </c>
      <c r="FY280" s="1" t="s">
        <v>4306</v>
      </c>
      <c r="FZ280" s="1" t="s">
        <v>4307</v>
      </c>
      <c r="GA280" s="1">
        <v>213672</v>
      </c>
      <c r="GB280" s="1" t="s">
        <v>4308</v>
      </c>
      <c r="GE280" s="1" t="s">
        <v>480</v>
      </c>
      <c r="GI280" s="1" t="s">
        <v>213</v>
      </c>
      <c r="GJ280" s="1" t="s">
        <v>260</v>
      </c>
      <c r="GK280" s="1" t="s">
        <v>210</v>
      </c>
      <c r="GL280" s="2">
        <v>42044</v>
      </c>
      <c r="GM280" s="1" t="s">
        <v>4309</v>
      </c>
    </row>
    <row r="281" spans="1:195">
      <c r="A281" s="1">
        <v>104900</v>
      </c>
      <c r="B281" s="1" t="s">
        <v>195</v>
      </c>
      <c r="C281" s="1" t="str">
        <f>"08773923"</f>
        <v>08773923</v>
      </c>
      <c r="D281" s="1" t="s">
        <v>196</v>
      </c>
      <c r="F281" s="1" t="str">
        <f>"540"</f>
        <v>540</v>
      </c>
      <c r="G281" s="2">
        <v>41955</v>
      </c>
      <c r="H281" s="1">
        <v>104900</v>
      </c>
      <c r="I281" s="1">
        <v>104900</v>
      </c>
      <c r="J281" s="1">
        <v>104900</v>
      </c>
      <c r="K281" s="2">
        <v>41953</v>
      </c>
      <c r="L281" s="1">
        <v>16</v>
      </c>
      <c r="M281" s="2">
        <v>41968</v>
      </c>
      <c r="N281" s="1">
        <v>16</v>
      </c>
      <c r="O281" s="2">
        <v>41968</v>
      </c>
      <c r="P281" s="1">
        <v>21517</v>
      </c>
      <c r="Q281" s="1" t="s">
        <v>302</v>
      </c>
      <c r="R281" s="2">
        <v>41992</v>
      </c>
      <c r="S281" s="1">
        <v>221157</v>
      </c>
      <c r="U281" s="1">
        <v>1304</v>
      </c>
      <c r="V281" s="1" t="s">
        <v>4310</v>
      </c>
      <c r="W281" s="1" t="s">
        <v>1056</v>
      </c>
      <c r="X281" s="1">
        <v>204</v>
      </c>
      <c r="Y281" s="1">
        <v>8</v>
      </c>
      <c r="Z281" s="1" t="s">
        <v>249</v>
      </c>
      <c r="AA281" s="1" t="s">
        <v>921</v>
      </c>
      <c r="AB281" s="1">
        <v>60563</v>
      </c>
      <c r="AE281" s="1" t="s">
        <v>4311</v>
      </c>
      <c r="AF281" s="1">
        <v>1985</v>
      </c>
      <c r="AG281" s="1" t="s">
        <v>204</v>
      </c>
      <c r="AH281" s="1" t="s">
        <v>924</v>
      </c>
      <c r="AI281" s="1" t="s">
        <v>206</v>
      </c>
      <c r="AJ281" s="1" t="s">
        <v>924</v>
      </c>
      <c r="AL281" s="1">
        <v>5</v>
      </c>
      <c r="AM281" s="1">
        <v>2</v>
      </c>
      <c r="AN281" s="1">
        <v>1</v>
      </c>
      <c r="AO281" s="1">
        <v>0</v>
      </c>
      <c r="AP281" s="1" t="s">
        <v>210</v>
      </c>
      <c r="AR281" s="1" t="s">
        <v>210</v>
      </c>
      <c r="AS281" s="1" t="s">
        <v>204</v>
      </c>
      <c r="AT281" s="1" t="s">
        <v>271</v>
      </c>
      <c r="AV281" s="1">
        <v>1</v>
      </c>
      <c r="AW281" s="1" t="s">
        <v>204</v>
      </c>
      <c r="AX281" s="1" t="s">
        <v>212</v>
      </c>
      <c r="AZ281" s="1">
        <v>1544</v>
      </c>
      <c r="BA281" s="1">
        <v>2013</v>
      </c>
      <c r="BE281" s="1">
        <v>809</v>
      </c>
      <c r="BF281" s="1">
        <v>2</v>
      </c>
      <c r="BG281" s="1">
        <v>0</v>
      </c>
      <c r="BL281" s="1">
        <v>233</v>
      </c>
      <c r="BM281" s="1" t="s">
        <v>204</v>
      </c>
      <c r="BN281" s="1" t="s">
        <v>213</v>
      </c>
      <c r="BO281" s="1">
        <v>0</v>
      </c>
      <c r="BP281" s="1" t="s">
        <v>204</v>
      </c>
      <c r="BR281" s="1" t="str">
        <f>"0710213296"</f>
        <v>0710213296</v>
      </c>
      <c r="BT281" s="1" t="s">
        <v>4312</v>
      </c>
      <c r="BX281" s="1">
        <v>204</v>
      </c>
      <c r="BY281" s="1">
        <v>204</v>
      </c>
      <c r="BZ281" s="1">
        <v>204</v>
      </c>
      <c r="CB281" s="1" t="str">
        <f t="shared" ref="CB281:CC281" si="225">""</f>
        <v/>
      </c>
      <c r="CC281" s="1" t="str">
        <f t="shared" si="225"/>
        <v/>
      </c>
      <c r="CG281" s="1" t="s">
        <v>1045</v>
      </c>
      <c r="CH281" s="1" t="s">
        <v>277</v>
      </c>
      <c r="CK281" s="1" t="s">
        <v>2170</v>
      </c>
      <c r="CL281" s="1" t="s">
        <v>277</v>
      </c>
      <c r="CO281" s="1" t="s">
        <v>2308</v>
      </c>
      <c r="CP281" s="1" t="s">
        <v>277</v>
      </c>
      <c r="CS281" s="1" t="s">
        <v>2982</v>
      </c>
      <c r="CT281" s="1" t="s">
        <v>277</v>
      </c>
      <c r="CX281" s="1" t="s">
        <v>224</v>
      </c>
      <c r="DB281" s="1" t="s">
        <v>224</v>
      </c>
      <c r="DE281" s="1" t="s">
        <v>409</v>
      </c>
      <c r="DF281" s="1" t="s">
        <v>277</v>
      </c>
      <c r="DJ281" s="1" t="s">
        <v>224</v>
      </c>
      <c r="DS281" s="1" t="s">
        <v>230</v>
      </c>
      <c r="DW281" s="1" t="s">
        <v>230</v>
      </c>
      <c r="EA281" s="1" t="s">
        <v>230</v>
      </c>
      <c r="EE281" s="1" t="s">
        <v>230</v>
      </c>
      <c r="EI281" s="1" t="s">
        <v>230</v>
      </c>
      <c r="EL281" s="1" t="s">
        <v>542</v>
      </c>
      <c r="EM281" s="1" t="s">
        <v>319</v>
      </c>
      <c r="EN281" s="1" t="s">
        <v>282</v>
      </c>
      <c r="EO281" s="1" t="s">
        <v>234</v>
      </c>
      <c r="ER281" s="1" t="s">
        <v>210</v>
      </c>
      <c r="EW281" s="1" t="s">
        <v>4313</v>
      </c>
      <c r="EZ281" s="1" t="s">
        <v>287</v>
      </c>
      <c r="FD281" s="1" t="s">
        <v>246</v>
      </c>
      <c r="FE281" s="1" t="s">
        <v>472</v>
      </c>
      <c r="FF281" s="1" t="s">
        <v>248</v>
      </c>
      <c r="FH281" s="1" t="s">
        <v>249</v>
      </c>
      <c r="FL281" s="1" t="s">
        <v>358</v>
      </c>
      <c r="FM281" s="1" t="s">
        <v>252</v>
      </c>
      <c r="FN281" s="1" t="s">
        <v>213</v>
      </c>
      <c r="FO281" s="1" t="s">
        <v>213</v>
      </c>
      <c r="FQ281" s="1" t="s">
        <v>689</v>
      </c>
      <c r="FR281" s="1" t="s">
        <v>210</v>
      </c>
      <c r="FS281" s="1" t="s">
        <v>4314</v>
      </c>
      <c r="FT281" s="1" t="s">
        <v>1828</v>
      </c>
      <c r="FU281" s="1" t="s">
        <v>204</v>
      </c>
      <c r="FW281" s="1" t="s">
        <v>813</v>
      </c>
      <c r="FX281" s="1">
        <v>23286</v>
      </c>
      <c r="FY281" s="1" t="s">
        <v>4315</v>
      </c>
      <c r="FZ281" s="1" t="s">
        <v>4316</v>
      </c>
      <c r="GA281" s="1">
        <v>223647</v>
      </c>
      <c r="GB281" s="1" t="s">
        <v>4317</v>
      </c>
      <c r="GC281" s="1">
        <v>230243</v>
      </c>
      <c r="GE281" s="1" t="s">
        <v>210</v>
      </c>
      <c r="GI281" s="1" t="s">
        <v>213</v>
      </c>
      <c r="GJ281" s="1" t="s">
        <v>260</v>
      </c>
      <c r="GK281" s="1" t="s">
        <v>210</v>
      </c>
      <c r="GL281" s="2">
        <v>41995</v>
      </c>
      <c r="GM281" s="1" t="s">
        <v>4318</v>
      </c>
    </row>
    <row r="282" spans="1:195">
      <c r="A282" s="1">
        <v>30000</v>
      </c>
      <c r="B282" s="1" t="s">
        <v>195</v>
      </c>
      <c r="C282" s="1" t="str">
        <f>"08790378"</f>
        <v>08790378</v>
      </c>
      <c r="D282" s="1" t="s">
        <v>196</v>
      </c>
      <c r="F282" s="1" t="str">
        <f>"8043"</f>
        <v>8043</v>
      </c>
      <c r="G282" s="2">
        <v>41964</v>
      </c>
      <c r="H282" s="1">
        <v>49900</v>
      </c>
      <c r="I282" s="1">
        <v>34900</v>
      </c>
      <c r="J282" s="1">
        <v>30000</v>
      </c>
      <c r="K282" s="2">
        <v>41964</v>
      </c>
      <c r="L282" s="1">
        <v>128</v>
      </c>
      <c r="M282" s="2">
        <v>42091</v>
      </c>
      <c r="N282" s="1">
        <v>128</v>
      </c>
      <c r="O282" s="2">
        <v>42091</v>
      </c>
      <c r="P282" s="1">
        <v>13361</v>
      </c>
      <c r="Q282" s="1" t="s">
        <v>302</v>
      </c>
      <c r="R282" s="2">
        <v>42125</v>
      </c>
      <c r="S282" s="1">
        <v>106868</v>
      </c>
      <c r="U282" s="1">
        <v>6802</v>
      </c>
      <c r="V282" s="1" t="s">
        <v>4319</v>
      </c>
      <c r="W282" s="1" t="s">
        <v>425</v>
      </c>
      <c r="X282" s="1">
        <v>1</v>
      </c>
      <c r="Y282" s="1">
        <v>8</v>
      </c>
      <c r="Z282" s="1" t="s">
        <v>249</v>
      </c>
      <c r="AA282" s="1" t="s">
        <v>400</v>
      </c>
      <c r="AB282" s="1">
        <v>60649</v>
      </c>
      <c r="AE282" s="1" t="s">
        <v>4320</v>
      </c>
      <c r="AF282" s="1" t="s">
        <v>402</v>
      </c>
      <c r="AG282" s="1" t="s">
        <v>213</v>
      </c>
      <c r="AH282" s="1" t="s">
        <v>403</v>
      </c>
      <c r="AI282" s="1" t="s">
        <v>310</v>
      </c>
      <c r="AJ282" s="1" t="s">
        <v>562</v>
      </c>
      <c r="AL282" s="1">
        <v>5</v>
      </c>
      <c r="AM282" s="1">
        <v>2</v>
      </c>
      <c r="AN282" s="1">
        <v>2</v>
      </c>
      <c r="AO282" s="1">
        <v>0</v>
      </c>
      <c r="AP282" s="1" t="s">
        <v>209</v>
      </c>
      <c r="AR282" s="1" t="s">
        <v>210</v>
      </c>
      <c r="AT282" s="1" t="s">
        <v>210</v>
      </c>
      <c r="AW282" s="1" t="s">
        <v>204</v>
      </c>
      <c r="AX282" s="1" t="s">
        <v>2379</v>
      </c>
      <c r="AZ282" s="1">
        <v>572.45000000000005</v>
      </c>
      <c r="BA282" s="1">
        <v>2013</v>
      </c>
      <c r="BE282" s="1">
        <v>1800</v>
      </c>
      <c r="BF282" s="1">
        <v>1</v>
      </c>
      <c r="BG282" s="1">
        <v>0</v>
      </c>
      <c r="BL282" s="1">
        <v>510</v>
      </c>
      <c r="BM282" s="1" t="s">
        <v>204</v>
      </c>
      <c r="BN282" s="1" t="s">
        <v>213</v>
      </c>
      <c r="BO282" s="1">
        <v>0</v>
      </c>
      <c r="BP282" s="1" t="s">
        <v>204</v>
      </c>
      <c r="BR282" s="1" t="str">
        <f>"20244110211016"</f>
        <v>20244110211016</v>
      </c>
      <c r="BT282" s="1" t="s">
        <v>4321</v>
      </c>
      <c r="BX282" s="1">
        <v>299</v>
      </c>
      <c r="BY282" s="1">
        <v>299</v>
      </c>
      <c r="BZ282" s="1">
        <v>299</v>
      </c>
      <c r="CB282" s="1" t="str">
        <f>"0"</f>
        <v>0</v>
      </c>
      <c r="CC282" s="1" t="str">
        <f>"2400"</f>
        <v>2400</v>
      </c>
      <c r="CD282" s="1">
        <v>0</v>
      </c>
      <c r="CE282" s="1">
        <v>6800</v>
      </c>
      <c r="CG282" s="1" t="s">
        <v>4322</v>
      </c>
      <c r="CH282" s="1" t="s">
        <v>219</v>
      </c>
      <c r="CI282" s="1" t="s">
        <v>220</v>
      </c>
      <c r="CK282" s="1" t="s">
        <v>3913</v>
      </c>
      <c r="CL282" s="1" t="s">
        <v>219</v>
      </c>
      <c r="CM282" s="1" t="s">
        <v>220</v>
      </c>
      <c r="CO282" s="1" t="s">
        <v>3913</v>
      </c>
      <c r="CP282" s="1" t="s">
        <v>219</v>
      </c>
      <c r="CQ282" s="1" t="s">
        <v>220</v>
      </c>
      <c r="CS282" s="1" t="s">
        <v>1177</v>
      </c>
      <c r="CT282" s="1" t="s">
        <v>219</v>
      </c>
      <c r="CU282" s="1" t="s">
        <v>220</v>
      </c>
      <c r="CX282" s="1" t="s">
        <v>224</v>
      </c>
      <c r="DB282" s="1" t="s">
        <v>224</v>
      </c>
      <c r="DE282" s="1" t="s">
        <v>380</v>
      </c>
      <c r="DF282" s="1" t="s">
        <v>219</v>
      </c>
      <c r="DJ282" s="1" t="s">
        <v>224</v>
      </c>
      <c r="DM282" s="1" t="s">
        <v>603</v>
      </c>
      <c r="DR282" s="1" t="s">
        <v>316</v>
      </c>
      <c r="DS282" s="1" t="s">
        <v>219</v>
      </c>
      <c r="DW282" s="1" t="s">
        <v>230</v>
      </c>
      <c r="EA282" s="1" t="s">
        <v>230</v>
      </c>
      <c r="EE282" s="1" t="s">
        <v>230</v>
      </c>
      <c r="EI282" s="1" t="s">
        <v>230</v>
      </c>
      <c r="EL282" s="1" t="s">
        <v>413</v>
      </c>
      <c r="EM282" s="1" t="s">
        <v>319</v>
      </c>
      <c r="EN282" s="1" t="s">
        <v>1158</v>
      </c>
      <c r="EO282" s="1" t="s">
        <v>234</v>
      </c>
      <c r="EP282" s="1" t="s">
        <v>4323</v>
      </c>
      <c r="ER282" s="1" t="s">
        <v>210</v>
      </c>
      <c r="ET282" s="1" t="s">
        <v>2140</v>
      </c>
      <c r="EW282" s="1" t="s">
        <v>4324</v>
      </c>
      <c r="EZ282" s="1" t="s">
        <v>603</v>
      </c>
      <c r="FC282" s="1" t="s">
        <v>1386</v>
      </c>
      <c r="FD282" s="1" t="s">
        <v>246</v>
      </c>
      <c r="FE282" s="1" t="s">
        <v>247</v>
      </c>
      <c r="FF282" s="1" t="s">
        <v>248</v>
      </c>
      <c r="FH282" s="1" t="s">
        <v>249</v>
      </c>
      <c r="FJ282" s="1" t="s">
        <v>197</v>
      </c>
      <c r="FL282" s="1" t="s">
        <v>414</v>
      </c>
      <c r="FM282" s="1" t="s">
        <v>252</v>
      </c>
      <c r="FN282" s="1" t="s">
        <v>213</v>
      </c>
      <c r="FO282" s="1" t="s">
        <v>213</v>
      </c>
      <c r="FQ282" s="1" t="s">
        <v>1599</v>
      </c>
      <c r="FR282" s="1" t="s">
        <v>210</v>
      </c>
      <c r="FS282" s="1" t="s">
        <v>4325</v>
      </c>
      <c r="FT282" s="1" t="s">
        <v>255</v>
      </c>
      <c r="FU282" s="1" t="s">
        <v>204</v>
      </c>
      <c r="FW282" s="1" t="s">
        <v>4326</v>
      </c>
      <c r="FX282" s="1">
        <v>85991</v>
      </c>
      <c r="FY282" s="1" t="s">
        <v>4327</v>
      </c>
      <c r="FZ282" s="1" t="s">
        <v>4328</v>
      </c>
      <c r="GA282" s="1">
        <v>169742</v>
      </c>
      <c r="GB282" s="1" t="s">
        <v>4329</v>
      </c>
      <c r="GE282" s="1" t="s">
        <v>1187</v>
      </c>
      <c r="GH282" s="1" t="s">
        <v>421</v>
      </c>
      <c r="GI282" s="1" t="s">
        <v>204</v>
      </c>
      <c r="GJ282" s="1" t="s">
        <v>260</v>
      </c>
      <c r="GK282" s="1" t="s">
        <v>210</v>
      </c>
      <c r="GL282" s="2">
        <v>42128</v>
      </c>
      <c r="GM282" s="1" t="s">
        <v>4330</v>
      </c>
    </row>
    <row r="283" spans="1:195">
      <c r="A283" s="1">
        <v>84000</v>
      </c>
      <c r="B283" s="1" t="s">
        <v>195</v>
      </c>
      <c r="C283" s="1" t="str">
        <f>"08773791"</f>
        <v>08773791</v>
      </c>
      <c r="D283" s="1" t="s">
        <v>196</v>
      </c>
      <c r="F283" s="1" t="str">
        <f>"515"</f>
        <v>515</v>
      </c>
      <c r="G283" s="2">
        <v>41954</v>
      </c>
      <c r="H283" s="1">
        <v>89900</v>
      </c>
      <c r="I283" s="1">
        <v>89900</v>
      </c>
      <c r="J283" s="1">
        <v>84000</v>
      </c>
      <c r="K283" s="2">
        <v>41954</v>
      </c>
      <c r="L283" s="1">
        <v>136</v>
      </c>
      <c r="M283" s="2">
        <v>42089</v>
      </c>
      <c r="N283" s="1">
        <v>136</v>
      </c>
      <c r="O283" s="2">
        <v>42089</v>
      </c>
      <c r="P283" s="1">
        <v>16636</v>
      </c>
      <c r="Q283" s="1" t="s">
        <v>302</v>
      </c>
      <c r="R283" s="2">
        <v>42121</v>
      </c>
      <c r="S283" s="1">
        <v>184033</v>
      </c>
      <c r="U283" s="1">
        <v>2800</v>
      </c>
      <c r="V283" s="1" t="s">
        <v>3963</v>
      </c>
      <c r="W283" s="1" t="s">
        <v>425</v>
      </c>
      <c r="X283" s="1" t="s">
        <v>4331</v>
      </c>
      <c r="Y283" s="1">
        <v>108</v>
      </c>
      <c r="Z283" s="1" t="s">
        <v>249</v>
      </c>
      <c r="AA283" s="1" t="s">
        <v>1294</v>
      </c>
      <c r="AB283" s="1">
        <v>60515</v>
      </c>
      <c r="AD283" s="1" t="s">
        <v>4332</v>
      </c>
      <c r="AE283" s="1" t="s">
        <v>4333</v>
      </c>
      <c r="AF283" s="1">
        <v>1966</v>
      </c>
      <c r="AG283" s="1" t="s">
        <v>213</v>
      </c>
      <c r="AH283" s="1" t="s">
        <v>903</v>
      </c>
      <c r="AI283" s="1" t="s">
        <v>206</v>
      </c>
      <c r="AJ283" s="1" t="s">
        <v>903</v>
      </c>
      <c r="AL283" s="1">
        <v>5</v>
      </c>
      <c r="AM283" s="1">
        <v>2</v>
      </c>
      <c r="AN283" s="1">
        <v>1</v>
      </c>
      <c r="AO283" s="1">
        <v>0</v>
      </c>
      <c r="AP283" s="1" t="s">
        <v>210</v>
      </c>
      <c r="AR283" s="1" t="s">
        <v>210</v>
      </c>
      <c r="AS283" s="1" t="s">
        <v>204</v>
      </c>
      <c r="AT283" s="1" t="s">
        <v>375</v>
      </c>
      <c r="AU283" s="1">
        <v>1</v>
      </c>
      <c r="AV283" s="1">
        <v>120</v>
      </c>
      <c r="AW283" s="1" t="s">
        <v>204</v>
      </c>
      <c r="AX283" s="1" t="s">
        <v>1813</v>
      </c>
      <c r="AZ283" s="1">
        <v>901</v>
      </c>
      <c r="BA283" s="1">
        <v>2013</v>
      </c>
      <c r="BE283" s="1">
        <v>850</v>
      </c>
      <c r="BF283" s="1">
        <v>3</v>
      </c>
      <c r="BG283" s="1">
        <v>7</v>
      </c>
      <c r="BL283" s="1">
        <v>513</v>
      </c>
      <c r="BM283" s="1" t="s">
        <v>204</v>
      </c>
      <c r="BN283" s="1" t="s">
        <v>204</v>
      </c>
      <c r="BP283" s="1" t="s">
        <v>204</v>
      </c>
      <c r="BR283" s="1" t="str">
        <f>"0814207078"</f>
        <v>0814207078</v>
      </c>
      <c r="BT283" s="1" t="s">
        <v>4334</v>
      </c>
      <c r="BX283" s="1">
        <v>202</v>
      </c>
      <c r="BY283" s="1">
        <v>202</v>
      </c>
      <c r="BZ283" s="1">
        <v>202</v>
      </c>
      <c r="CB283" s="1" t="str">
        <f t="shared" ref="CB283:CC283" si="226">""</f>
        <v/>
      </c>
      <c r="CC283" s="1" t="str">
        <f t="shared" si="226"/>
        <v/>
      </c>
      <c r="CG283" s="1" t="s">
        <v>315</v>
      </c>
      <c r="CH283" s="1" t="s">
        <v>219</v>
      </c>
      <c r="CI283" s="1" t="s">
        <v>220</v>
      </c>
      <c r="CJ283" s="1" t="s">
        <v>343</v>
      </c>
      <c r="CK283" s="1" t="s">
        <v>1297</v>
      </c>
      <c r="CL283" s="1" t="s">
        <v>219</v>
      </c>
      <c r="CM283" s="1" t="s">
        <v>220</v>
      </c>
      <c r="CN283" s="1" t="s">
        <v>343</v>
      </c>
      <c r="CO283" s="1" t="s">
        <v>281</v>
      </c>
      <c r="CP283" s="1" t="s">
        <v>219</v>
      </c>
      <c r="CQ283" s="1" t="s">
        <v>229</v>
      </c>
      <c r="CR283" s="1" t="s">
        <v>210</v>
      </c>
      <c r="CS283" s="1" t="s">
        <v>1297</v>
      </c>
      <c r="CT283" s="1" t="s">
        <v>219</v>
      </c>
      <c r="CU283" s="1" t="s">
        <v>220</v>
      </c>
      <c r="CV283" s="1" t="s">
        <v>343</v>
      </c>
      <c r="CX283" s="1" t="s">
        <v>224</v>
      </c>
      <c r="DB283" s="1" t="s">
        <v>224</v>
      </c>
      <c r="DE283" s="1" t="s">
        <v>2308</v>
      </c>
      <c r="DF283" s="1" t="s">
        <v>219</v>
      </c>
      <c r="DG283" s="1" t="s">
        <v>229</v>
      </c>
      <c r="DH283" s="1" t="s">
        <v>210</v>
      </c>
      <c r="DJ283" s="1" t="s">
        <v>224</v>
      </c>
      <c r="DS283" s="1" t="s">
        <v>230</v>
      </c>
      <c r="DW283" s="1" t="s">
        <v>230</v>
      </c>
      <c r="EA283" s="1" t="s">
        <v>230</v>
      </c>
      <c r="EE283" s="1" t="s">
        <v>230</v>
      </c>
      <c r="EI283" s="1" t="s">
        <v>230</v>
      </c>
      <c r="EL283" s="1" t="s">
        <v>605</v>
      </c>
      <c r="EM283" s="1" t="s">
        <v>730</v>
      </c>
      <c r="EN283" s="1" t="s">
        <v>282</v>
      </c>
      <c r="EO283" s="1" t="s">
        <v>234</v>
      </c>
      <c r="ER283" s="1" t="s">
        <v>210</v>
      </c>
      <c r="EW283" s="1" t="s">
        <v>4335</v>
      </c>
      <c r="EZ283" s="1" t="s">
        <v>287</v>
      </c>
      <c r="FD283" s="1" t="s">
        <v>1112</v>
      </c>
      <c r="FE283" s="1" t="s">
        <v>247</v>
      </c>
      <c r="FF283" s="1" t="s">
        <v>248</v>
      </c>
      <c r="FH283" s="1" t="s">
        <v>249</v>
      </c>
      <c r="FK283" s="1" t="s">
        <v>2076</v>
      </c>
      <c r="FL283" s="1" t="s">
        <v>292</v>
      </c>
      <c r="FM283" s="1" t="s">
        <v>252</v>
      </c>
      <c r="FN283" s="1" t="s">
        <v>213</v>
      </c>
      <c r="FO283" s="1" t="s">
        <v>213</v>
      </c>
      <c r="FQ283" s="1" t="s">
        <v>673</v>
      </c>
      <c r="FR283" s="1" t="s">
        <v>210</v>
      </c>
      <c r="FS283" s="1" t="s">
        <v>4336</v>
      </c>
      <c r="FT283" s="1" t="s">
        <v>295</v>
      </c>
      <c r="FU283" s="1" t="s">
        <v>213</v>
      </c>
      <c r="FW283" s="1" t="s">
        <v>4337</v>
      </c>
      <c r="FX283" s="1">
        <v>17317</v>
      </c>
      <c r="FY283" s="1" t="s">
        <v>4338</v>
      </c>
      <c r="FZ283" s="1" t="s">
        <v>4339</v>
      </c>
      <c r="GA283" s="1">
        <v>847284</v>
      </c>
      <c r="GB283" s="1" t="s">
        <v>4340</v>
      </c>
      <c r="GE283" s="1" t="s">
        <v>623</v>
      </c>
      <c r="GI283" s="1" t="s">
        <v>213</v>
      </c>
      <c r="GJ283" s="1" t="s">
        <v>260</v>
      </c>
      <c r="GK283" s="1" t="s">
        <v>210</v>
      </c>
      <c r="GL283" s="2">
        <v>42121</v>
      </c>
      <c r="GM283" s="1" t="s">
        <v>4341</v>
      </c>
    </row>
    <row r="284" spans="1:195">
      <c r="A284" s="1">
        <v>160000</v>
      </c>
      <c r="B284" s="1" t="s">
        <v>195</v>
      </c>
      <c r="C284" s="1" t="str">
        <f>"08771575"</f>
        <v>08771575</v>
      </c>
      <c r="D284" s="1" t="s">
        <v>196</v>
      </c>
      <c r="F284" s="1" t="str">
        <f>"61"</f>
        <v>61</v>
      </c>
      <c r="G284" s="2">
        <v>41950</v>
      </c>
      <c r="H284" s="1">
        <v>164900</v>
      </c>
      <c r="I284" s="1">
        <v>164900</v>
      </c>
      <c r="J284" s="1">
        <v>160000</v>
      </c>
      <c r="K284" s="2">
        <v>41950</v>
      </c>
      <c r="L284" s="1">
        <v>15</v>
      </c>
      <c r="M284" s="2">
        <v>41964</v>
      </c>
      <c r="N284" s="1">
        <v>15</v>
      </c>
      <c r="O284" s="2">
        <v>41964</v>
      </c>
      <c r="P284" s="1">
        <v>1837</v>
      </c>
      <c r="Q284" s="1" t="s">
        <v>197</v>
      </c>
      <c r="R284" s="2">
        <v>42002</v>
      </c>
      <c r="S284" s="1">
        <v>89362</v>
      </c>
      <c r="U284" s="1">
        <v>692</v>
      </c>
      <c r="V284" s="1" t="s">
        <v>4342</v>
      </c>
      <c r="W284" s="1" t="s">
        <v>449</v>
      </c>
      <c r="Y284" s="1">
        <v>4</v>
      </c>
      <c r="Z284" s="1" t="s">
        <v>200</v>
      </c>
      <c r="AA284" s="1" t="s">
        <v>505</v>
      </c>
      <c r="AB284" s="1">
        <v>60061</v>
      </c>
      <c r="AE284" s="1" t="s">
        <v>4343</v>
      </c>
      <c r="AF284" s="1">
        <v>1992</v>
      </c>
      <c r="AG284" s="1" t="s">
        <v>204</v>
      </c>
      <c r="AH284" s="1" t="s">
        <v>508</v>
      </c>
      <c r="AI284" s="1" t="s">
        <v>509</v>
      </c>
      <c r="AJ284" s="1" t="s">
        <v>510</v>
      </c>
      <c r="AL284" s="1">
        <v>5</v>
      </c>
      <c r="AM284" s="1">
        <v>2</v>
      </c>
      <c r="AN284" s="1">
        <v>2</v>
      </c>
      <c r="AO284" s="1">
        <v>0</v>
      </c>
      <c r="AP284" s="1" t="s">
        <v>209</v>
      </c>
      <c r="AQ284" s="1">
        <v>1</v>
      </c>
      <c r="AR284" s="1" t="s">
        <v>210</v>
      </c>
      <c r="AS284" s="1" t="s">
        <v>204</v>
      </c>
      <c r="AT284" s="1" t="s">
        <v>211</v>
      </c>
      <c r="AU284" s="1">
        <v>2</v>
      </c>
      <c r="AW284" s="1" t="s">
        <v>204</v>
      </c>
      <c r="AX284" s="1" t="s">
        <v>212</v>
      </c>
      <c r="AZ284" s="1">
        <v>5637.41</v>
      </c>
      <c r="BA284" s="1">
        <v>2012</v>
      </c>
      <c r="BE284" s="1">
        <v>1278</v>
      </c>
      <c r="BF284" s="1">
        <v>1</v>
      </c>
      <c r="BG284" s="1">
        <v>30</v>
      </c>
      <c r="BL284" s="1">
        <v>320</v>
      </c>
      <c r="BM284" s="1" t="s">
        <v>204</v>
      </c>
      <c r="BN284" s="1" t="s">
        <v>213</v>
      </c>
      <c r="BO284" s="1">
        <v>100</v>
      </c>
      <c r="BP284" s="1" t="s">
        <v>204</v>
      </c>
      <c r="BR284" s="1" t="str">
        <f>"15062050180000"</f>
        <v>15062050180000</v>
      </c>
      <c r="BT284" s="1" t="s">
        <v>4344</v>
      </c>
      <c r="BX284" s="1">
        <v>125</v>
      </c>
      <c r="BY284" s="1">
        <v>125</v>
      </c>
      <c r="BZ284" s="1">
        <v>125</v>
      </c>
      <c r="CB284" s="1" t="str">
        <f t="shared" ref="CB284:CC284" si="227">""</f>
        <v/>
      </c>
      <c r="CC284" s="1" t="str">
        <f t="shared" si="227"/>
        <v/>
      </c>
      <c r="CG284" s="1" t="s">
        <v>885</v>
      </c>
      <c r="CH284" s="1" t="s">
        <v>219</v>
      </c>
      <c r="CK284" s="1" t="s">
        <v>885</v>
      </c>
      <c r="CL284" s="1" t="s">
        <v>219</v>
      </c>
      <c r="CO284" s="1" t="s">
        <v>379</v>
      </c>
      <c r="CP284" s="1" t="s">
        <v>219</v>
      </c>
      <c r="CS284" s="1" t="s">
        <v>346</v>
      </c>
      <c r="CT284" s="1" t="s">
        <v>219</v>
      </c>
      <c r="CX284" s="1" t="s">
        <v>224</v>
      </c>
      <c r="DB284" s="1" t="s">
        <v>224</v>
      </c>
      <c r="DE284" s="1" t="s">
        <v>885</v>
      </c>
      <c r="DF284" s="1" t="s">
        <v>219</v>
      </c>
      <c r="DJ284" s="1" t="s">
        <v>224</v>
      </c>
      <c r="DS284" s="1" t="s">
        <v>230</v>
      </c>
      <c r="DW284" s="1" t="s">
        <v>230</v>
      </c>
      <c r="EA284" s="1" t="s">
        <v>230</v>
      </c>
      <c r="EE284" s="1" t="s">
        <v>230</v>
      </c>
      <c r="EI284" s="1" t="s">
        <v>230</v>
      </c>
      <c r="EL284" s="1" t="s">
        <v>382</v>
      </c>
      <c r="EM284" s="1" t="s">
        <v>730</v>
      </c>
      <c r="EN284" s="1" t="s">
        <v>282</v>
      </c>
      <c r="EO284" s="1" t="s">
        <v>234</v>
      </c>
      <c r="EQ284" s="1" t="s">
        <v>4345</v>
      </c>
      <c r="ER284" s="1" t="s">
        <v>1069</v>
      </c>
      <c r="EW284" s="1" t="s">
        <v>937</v>
      </c>
      <c r="EY284" s="1" t="s">
        <v>612</v>
      </c>
      <c r="EZ284" s="1" t="s">
        <v>287</v>
      </c>
      <c r="FA284" s="1" t="s">
        <v>1427</v>
      </c>
      <c r="FB284" s="1" t="s">
        <v>289</v>
      </c>
      <c r="FD284" s="1" t="s">
        <v>385</v>
      </c>
      <c r="FE284" s="1" t="s">
        <v>386</v>
      </c>
      <c r="FF284" s="1" t="s">
        <v>248</v>
      </c>
      <c r="FG284" s="1" t="s">
        <v>871</v>
      </c>
      <c r="FH284" s="1" t="s">
        <v>825</v>
      </c>
      <c r="FI284" s="1" t="s">
        <v>357</v>
      </c>
      <c r="FL284" s="1" t="s">
        <v>810</v>
      </c>
      <c r="FM284" s="1" t="s">
        <v>252</v>
      </c>
      <c r="FN284" s="1" t="s">
        <v>213</v>
      </c>
      <c r="FO284" s="1" t="s">
        <v>213</v>
      </c>
      <c r="FQ284" s="1" t="s">
        <v>849</v>
      </c>
      <c r="FR284" s="1" t="s">
        <v>210</v>
      </c>
      <c r="FS284" s="1" t="s">
        <v>4346</v>
      </c>
      <c r="FT284" s="1" t="s">
        <v>1076</v>
      </c>
      <c r="FU284" s="1" t="s">
        <v>204</v>
      </c>
      <c r="FW284" s="1" t="s">
        <v>4347</v>
      </c>
      <c r="FX284" s="1">
        <v>1958</v>
      </c>
      <c r="FY284" s="1" t="s">
        <v>4348</v>
      </c>
      <c r="FZ284" s="1" t="s">
        <v>4349</v>
      </c>
      <c r="GA284" s="1">
        <v>26977</v>
      </c>
      <c r="GB284" s="1" t="s">
        <v>4348</v>
      </c>
      <c r="GE284" s="1" t="s">
        <v>480</v>
      </c>
      <c r="GI284" s="1" t="s">
        <v>204</v>
      </c>
      <c r="GJ284" s="1" t="s">
        <v>260</v>
      </c>
      <c r="GK284" s="1" t="s">
        <v>210</v>
      </c>
      <c r="GL284" s="2">
        <v>42020</v>
      </c>
      <c r="GM284" s="1" t="s">
        <v>4350</v>
      </c>
    </row>
    <row r="285" spans="1:195">
      <c r="A285" s="1">
        <v>120000</v>
      </c>
      <c r="B285" s="1" t="s">
        <v>195</v>
      </c>
      <c r="C285" s="1" t="str">
        <f>"08785441"</f>
        <v>08785441</v>
      </c>
      <c r="D285" s="1" t="s">
        <v>196</v>
      </c>
      <c r="F285" s="1" t="str">
        <f>"507"</f>
        <v>507</v>
      </c>
      <c r="G285" s="2">
        <v>41956</v>
      </c>
      <c r="H285" s="1">
        <v>134900</v>
      </c>
      <c r="I285" s="1">
        <v>119900</v>
      </c>
      <c r="J285" s="1">
        <v>120000</v>
      </c>
      <c r="K285" s="2">
        <v>41956</v>
      </c>
      <c r="L285" s="1">
        <v>168</v>
      </c>
      <c r="M285" s="2">
        <v>42036</v>
      </c>
      <c r="N285" s="1">
        <v>81</v>
      </c>
      <c r="O285" s="2">
        <v>42036</v>
      </c>
      <c r="P285" s="1">
        <v>22667</v>
      </c>
      <c r="Q285" s="1" t="s">
        <v>423</v>
      </c>
      <c r="R285" s="2">
        <v>42095</v>
      </c>
      <c r="S285" s="1">
        <v>220614</v>
      </c>
      <c r="U285" s="1">
        <v>2462</v>
      </c>
      <c r="V285" s="1" t="s">
        <v>4351</v>
      </c>
      <c r="W285" s="1" t="s">
        <v>449</v>
      </c>
      <c r="X285" s="1">
        <v>2462</v>
      </c>
      <c r="Y285" s="1">
        <v>6</v>
      </c>
      <c r="Z285" s="1" t="s">
        <v>200</v>
      </c>
      <c r="AA285" s="1" t="s">
        <v>1123</v>
      </c>
      <c r="AB285" s="1">
        <v>60503</v>
      </c>
      <c r="AD285" s="1" t="s">
        <v>3884</v>
      </c>
      <c r="AE285" s="1" t="s">
        <v>4352</v>
      </c>
      <c r="AF285" s="1">
        <v>2002</v>
      </c>
      <c r="AG285" s="1" t="s">
        <v>204</v>
      </c>
      <c r="AH285" s="1" t="s">
        <v>1126</v>
      </c>
      <c r="AI285" s="1" t="s">
        <v>1800</v>
      </c>
      <c r="AJ285" s="1" t="s">
        <v>1801</v>
      </c>
      <c r="AL285" s="1">
        <v>6</v>
      </c>
      <c r="AM285" s="1">
        <v>2</v>
      </c>
      <c r="AN285" s="1">
        <v>1</v>
      </c>
      <c r="AO285" s="1">
        <v>1</v>
      </c>
      <c r="AP285" s="1" t="s">
        <v>210</v>
      </c>
      <c r="AR285" s="1" t="s">
        <v>210</v>
      </c>
      <c r="AS285" s="1" t="s">
        <v>204</v>
      </c>
      <c r="AT285" s="1" t="s">
        <v>211</v>
      </c>
      <c r="AU285" s="1">
        <v>2</v>
      </c>
      <c r="AW285" s="1" t="s">
        <v>204</v>
      </c>
      <c r="AX285" s="1" t="s">
        <v>212</v>
      </c>
      <c r="AZ285" s="1" t="s">
        <v>4353</v>
      </c>
      <c r="BA285" s="1">
        <v>2013</v>
      </c>
      <c r="BB285" s="1" t="s">
        <v>210</v>
      </c>
      <c r="BE285" s="1">
        <v>1193</v>
      </c>
      <c r="BF285" s="1">
        <v>1</v>
      </c>
      <c r="BG285" s="1">
        <v>30</v>
      </c>
      <c r="BL285" s="1">
        <v>145</v>
      </c>
      <c r="BM285" s="1" t="s">
        <v>204</v>
      </c>
      <c r="BN285" s="1" t="s">
        <v>213</v>
      </c>
      <c r="BO285" s="1" t="s">
        <v>4354</v>
      </c>
      <c r="BP285" s="1" t="s">
        <v>204</v>
      </c>
      <c r="BR285" s="1" t="str">
        <f>"01064100491004"</f>
        <v>01064100491004</v>
      </c>
      <c r="BT285" s="1" t="s">
        <v>4355</v>
      </c>
      <c r="BX285" s="1">
        <v>308</v>
      </c>
      <c r="BY285" s="1">
        <v>308</v>
      </c>
      <c r="BZ285" s="1">
        <v>308</v>
      </c>
      <c r="CB285" s="1" t="str">
        <f t="shared" ref="CB285:CC285" si="228">"0"</f>
        <v>0</v>
      </c>
      <c r="CC285" s="1" t="str">
        <f t="shared" si="228"/>
        <v>0</v>
      </c>
      <c r="CD285" s="1">
        <v>32</v>
      </c>
      <c r="CE285" s="1">
        <v>10</v>
      </c>
      <c r="CG285" s="1" t="s">
        <v>3100</v>
      </c>
      <c r="CH285" s="1" t="s">
        <v>219</v>
      </c>
      <c r="CI285" s="1" t="s">
        <v>220</v>
      </c>
      <c r="CK285" s="1" t="s">
        <v>539</v>
      </c>
      <c r="CL285" s="1" t="s">
        <v>277</v>
      </c>
      <c r="CM285" s="1" t="s">
        <v>220</v>
      </c>
      <c r="CN285" s="1" t="s">
        <v>463</v>
      </c>
      <c r="CO285" s="1" t="s">
        <v>2547</v>
      </c>
      <c r="CP285" s="1" t="s">
        <v>219</v>
      </c>
      <c r="CQ285" s="1" t="s">
        <v>220</v>
      </c>
      <c r="CR285" s="1" t="s">
        <v>210</v>
      </c>
      <c r="CS285" s="1" t="s">
        <v>346</v>
      </c>
      <c r="CT285" s="1" t="s">
        <v>277</v>
      </c>
      <c r="CU285" s="1" t="s">
        <v>220</v>
      </c>
      <c r="CV285" s="1" t="s">
        <v>463</v>
      </c>
      <c r="CX285" s="1" t="s">
        <v>224</v>
      </c>
      <c r="DB285" s="1" t="s">
        <v>224</v>
      </c>
      <c r="DE285" s="1" t="s">
        <v>409</v>
      </c>
      <c r="DF285" s="1" t="s">
        <v>219</v>
      </c>
      <c r="DG285" s="1" t="s">
        <v>342</v>
      </c>
      <c r="DH285" s="1" t="s">
        <v>210</v>
      </c>
      <c r="DJ285" s="1" t="s">
        <v>224</v>
      </c>
      <c r="DM285" s="1" t="s">
        <v>464</v>
      </c>
      <c r="DR285" s="1" t="s">
        <v>1919</v>
      </c>
      <c r="DS285" s="1" t="s">
        <v>277</v>
      </c>
      <c r="DT285" s="1" t="s">
        <v>220</v>
      </c>
      <c r="DU285" s="1" t="s">
        <v>210</v>
      </c>
      <c r="DW285" s="1" t="s">
        <v>230</v>
      </c>
      <c r="EA285" s="1" t="s">
        <v>230</v>
      </c>
      <c r="EE285" s="1" t="s">
        <v>230</v>
      </c>
      <c r="EI285" s="1" t="s">
        <v>230</v>
      </c>
      <c r="EL285" s="1" t="s">
        <v>466</v>
      </c>
      <c r="EM285" s="1" t="s">
        <v>319</v>
      </c>
      <c r="EN285" s="1" t="s">
        <v>282</v>
      </c>
      <c r="EO285" s="1" t="s">
        <v>234</v>
      </c>
      <c r="EP285" s="1" t="s">
        <v>1268</v>
      </c>
      <c r="EQ285" s="1" t="s">
        <v>4356</v>
      </c>
      <c r="ER285" s="1" t="s">
        <v>383</v>
      </c>
      <c r="ES285" s="1" t="s">
        <v>545</v>
      </c>
      <c r="EW285" s="1" t="s">
        <v>4357</v>
      </c>
      <c r="EY285" s="1" t="s">
        <v>790</v>
      </c>
      <c r="EZ285" s="1" t="s">
        <v>464</v>
      </c>
      <c r="FA285" s="1" t="s">
        <v>714</v>
      </c>
      <c r="FD285" s="1" t="s">
        <v>246</v>
      </c>
      <c r="FE285" s="1" t="s">
        <v>472</v>
      </c>
      <c r="FF285" s="1" t="s">
        <v>248</v>
      </c>
      <c r="FH285" s="1" t="s">
        <v>249</v>
      </c>
      <c r="FI285" s="1" t="s">
        <v>4358</v>
      </c>
      <c r="FJ285" s="1" t="s">
        <v>1251</v>
      </c>
      <c r="FL285" s="1" t="s">
        <v>358</v>
      </c>
      <c r="FM285" s="1" t="s">
        <v>252</v>
      </c>
      <c r="FN285" s="1" t="s">
        <v>213</v>
      </c>
      <c r="FO285" s="1" t="s">
        <v>213</v>
      </c>
      <c r="FQ285" s="1" t="s">
        <v>4359</v>
      </c>
      <c r="FR285" s="1" t="s">
        <v>210</v>
      </c>
      <c r="FS285" s="1" t="s">
        <v>4360</v>
      </c>
      <c r="FT285" s="1" t="s">
        <v>4361</v>
      </c>
      <c r="FU285" s="1" t="s">
        <v>213</v>
      </c>
      <c r="FW285" s="1" t="s">
        <v>4362</v>
      </c>
      <c r="FX285" s="1">
        <v>74305</v>
      </c>
      <c r="FY285" s="1" t="s">
        <v>4363</v>
      </c>
      <c r="FZ285" s="1" t="s">
        <v>4364</v>
      </c>
      <c r="GA285" s="1">
        <v>705281</v>
      </c>
      <c r="GB285" s="1" t="s">
        <v>4365</v>
      </c>
      <c r="GE285" s="1" t="s">
        <v>210</v>
      </c>
      <c r="GI285" s="1" t="s">
        <v>213</v>
      </c>
      <c r="GJ285" s="1" t="s">
        <v>260</v>
      </c>
      <c r="GK285" s="1" t="s">
        <v>210</v>
      </c>
      <c r="GL285" s="2">
        <v>42096</v>
      </c>
      <c r="GM285" s="1" t="s">
        <v>4366</v>
      </c>
    </row>
    <row r="286" spans="1:195">
      <c r="A286" s="1">
        <v>9900</v>
      </c>
      <c r="B286" s="1" t="s">
        <v>195</v>
      </c>
      <c r="C286" s="1" t="str">
        <f>"08789948"</f>
        <v>08789948</v>
      </c>
      <c r="D286" s="1" t="s">
        <v>196</v>
      </c>
      <c r="F286" s="1" t="str">
        <f>"8065"</f>
        <v>8065</v>
      </c>
      <c r="G286" s="2">
        <v>41963</v>
      </c>
      <c r="H286" s="1">
        <v>19900</v>
      </c>
      <c r="I286" s="1">
        <v>9900</v>
      </c>
      <c r="J286" s="1">
        <v>9900</v>
      </c>
      <c r="K286" s="2">
        <v>41961</v>
      </c>
      <c r="L286" s="1">
        <v>155</v>
      </c>
      <c r="M286" s="2">
        <v>42115</v>
      </c>
      <c r="N286" s="1">
        <v>155</v>
      </c>
      <c r="O286" s="2">
        <v>42115</v>
      </c>
      <c r="P286" s="1">
        <v>84082</v>
      </c>
      <c r="Q286" s="1" t="s">
        <v>302</v>
      </c>
      <c r="R286" s="2">
        <v>42132</v>
      </c>
      <c r="S286" s="1">
        <v>162465</v>
      </c>
      <c r="U286" s="1">
        <v>4350</v>
      </c>
      <c r="V286" s="1" t="s">
        <v>4367</v>
      </c>
      <c r="W286" s="1" t="s">
        <v>264</v>
      </c>
      <c r="X286" s="1">
        <v>203</v>
      </c>
      <c r="Y286" s="1">
        <v>100</v>
      </c>
      <c r="Z286" s="1" t="s">
        <v>249</v>
      </c>
      <c r="AA286" s="1" t="s">
        <v>400</v>
      </c>
      <c r="AB286" s="1">
        <v>60652</v>
      </c>
      <c r="AE286" s="1" t="s">
        <v>4368</v>
      </c>
      <c r="AF286" s="1">
        <v>1978</v>
      </c>
      <c r="AG286" s="1" t="s">
        <v>204</v>
      </c>
      <c r="AH286" s="1" t="s">
        <v>403</v>
      </c>
      <c r="AI286" s="1" t="s">
        <v>310</v>
      </c>
      <c r="AJ286" s="1" t="s">
        <v>683</v>
      </c>
      <c r="AL286" s="1">
        <v>4</v>
      </c>
      <c r="AM286" s="1">
        <v>2</v>
      </c>
      <c r="AN286" s="1">
        <v>2</v>
      </c>
      <c r="AO286" s="1">
        <v>0</v>
      </c>
      <c r="AP286" s="1" t="s">
        <v>210</v>
      </c>
      <c r="AR286" s="1" t="s">
        <v>210</v>
      </c>
      <c r="AS286" s="1" t="s">
        <v>204</v>
      </c>
      <c r="AT286" s="1" t="s">
        <v>210</v>
      </c>
      <c r="AW286" s="1" t="s">
        <v>204</v>
      </c>
      <c r="AX286" s="1" t="s">
        <v>212</v>
      </c>
      <c r="AZ286" s="1">
        <v>409.5</v>
      </c>
      <c r="BA286" s="1">
        <v>2013</v>
      </c>
      <c r="BB286" s="1" t="s">
        <v>405</v>
      </c>
      <c r="BE286" s="1">
        <v>900</v>
      </c>
      <c r="BF286" s="1">
        <v>2</v>
      </c>
      <c r="BG286" s="1">
        <v>0</v>
      </c>
      <c r="BJ286" s="1">
        <v>85</v>
      </c>
      <c r="BL286" s="1">
        <v>290</v>
      </c>
      <c r="BM286" s="1" t="s">
        <v>213</v>
      </c>
      <c r="BN286" s="1" t="s">
        <v>213</v>
      </c>
      <c r="BO286" s="1">
        <v>0</v>
      </c>
      <c r="BP286" s="1" t="s">
        <v>204</v>
      </c>
      <c r="BR286" s="1" t="str">
        <f>"19274010381151"</f>
        <v>19274010381151</v>
      </c>
      <c r="BT286" s="1" t="s">
        <v>4369</v>
      </c>
      <c r="BX286" s="1">
        <v>299</v>
      </c>
      <c r="BY286" s="1">
        <v>299</v>
      </c>
      <c r="BZ286" s="1">
        <v>299</v>
      </c>
      <c r="CB286" s="1" t="str">
        <f t="shared" ref="CB286:CC286" si="229">"0"</f>
        <v>0</v>
      </c>
      <c r="CC286" s="1" t="str">
        <f t="shared" si="229"/>
        <v>0</v>
      </c>
      <c r="CD286" s="1">
        <v>4350</v>
      </c>
      <c r="CE286" s="1">
        <v>7700</v>
      </c>
      <c r="CG286" s="1" t="s">
        <v>757</v>
      </c>
      <c r="CH286" s="1" t="s">
        <v>219</v>
      </c>
      <c r="CI286" s="1" t="s">
        <v>220</v>
      </c>
      <c r="CJ286" s="1" t="s">
        <v>210</v>
      </c>
      <c r="CK286" s="1" t="s">
        <v>1403</v>
      </c>
      <c r="CL286" s="1" t="s">
        <v>219</v>
      </c>
      <c r="CM286" s="1" t="s">
        <v>220</v>
      </c>
      <c r="CN286" s="1" t="s">
        <v>210</v>
      </c>
      <c r="CP286" s="1" t="s">
        <v>224</v>
      </c>
      <c r="CS286" s="1" t="s">
        <v>379</v>
      </c>
      <c r="CT286" s="1" t="s">
        <v>219</v>
      </c>
      <c r="CU286" s="1" t="s">
        <v>220</v>
      </c>
      <c r="CV286" s="1" t="s">
        <v>210</v>
      </c>
      <c r="CX286" s="1" t="s">
        <v>224</v>
      </c>
      <c r="DB286" s="1" t="s">
        <v>224</v>
      </c>
      <c r="DE286" s="1" t="s">
        <v>409</v>
      </c>
      <c r="DF286" s="1" t="s">
        <v>219</v>
      </c>
      <c r="DG286" s="1" t="s">
        <v>342</v>
      </c>
      <c r="DH286" s="1" t="s">
        <v>210</v>
      </c>
      <c r="DJ286" s="1" t="s">
        <v>224</v>
      </c>
      <c r="DS286" s="1" t="s">
        <v>230</v>
      </c>
      <c r="DW286" s="1" t="s">
        <v>230</v>
      </c>
      <c r="EA286" s="1" t="s">
        <v>230</v>
      </c>
      <c r="EE286" s="1" t="s">
        <v>230</v>
      </c>
      <c r="EI286" s="1" t="s">
        <v>230</v>
      </c>
      <c r="EL286" s="1" t="s">
        <v>231</v>
      </c>
      <c r="EM286" s="1" t="s">
        <v>319</v>
      </c>
      <c r="EN286" s="1" t="s">
        <v>210</v>
      </c>
      <c r="EO286" s="1" t="s">
        <v>234</v>
      </c>
      <c r="ER286" s="1" t="s">
        <v>210</v>
      </c>
      <c r="EW286" s="1" t="s">
        <v>1804</v>
      </c>
      <c r="EZ286" s="1" t="s">
        <v>287</v>
      </c>
      <c r="FD286" s="1" t="s">
        <v>246</v>
      </c>
      <c r="FE286" s="1" t="s">
        <v>247</v>
      </c>
      <c r="FF286" s="1" t="s">
        <v>248</v>
      </c>
      <c r="FH286" s="1" t="s">
        <v>249</v>
      </c>
      <c r="FL286" s="1" t="s">
        <v>358</v>
      </c>
      <c r="FM286" s="1" t="s">
        <v>252</v>
      </c>
      <c r="FN286" s="1" t="s">
        <v>213</v>
      </c>
      <c r="FO286" s="1" t="s">
        <v>213</v>
      </c>
      <c r="FQ286" s="1" t="s">
        <v>849</v>
      </c>
      <c r="FR286" s="1" t="s">
        <v>210</v>
      </c>
      <c r="FS286" s="1" t="s">
        <v>4370</v>
      </c>
      <c r="FT286" s="1" t="s">
        <v>4371</v>
      </c>
      <c r="FU286" s="1" t="s">
        <v>204</v>
      </c>
      <c r="FW286" s="1" t="s">
        <v>4372</v>
      </c>
      <c r="FX286" s="1">
        <v>16416</v>
      </c>
      <c r="FY286" s="1" t="s">
        <v>4373</v>
      </c>
      <c r="FZ286" s="1" t="s">
        <v>4374</v>
      </c>
      <c r="GA286" s="1">
        <v>148228</v>
      </c>
      <c r="GB286" s="1" t="s">
        <v>4373</v>
      </c>
      <c r="GE286" s="1" t="s">
        <v>210</v>
      </c>
      <c r="GH286" s="1" t="s">
        <v>589</v>
      </c>
      <c r="GI286" s="1" t="s">
        <v>213</v>
      </c>
      <c r="GJ286" s="1" t="s">
        <v>260</v>
      </c>
      <c r="GK286" s="1" t="s">
        <v>210</v>
      </c>
      <c r="GL286" s="2">
        <v>42137</v>
      </c>
      <c r="GM286" s="1" t="s">
        <v>4375</v>
      </c>
    </row>
    <row r="287" spans="1:195">
      <c r="A287" s="1">
        <v>85000</v>
      </c>
      <c r="B287" s="1" t="s">
        <v>195</v>
      </c>
      <c r="C287" s="1" t="str">
        <f>"08787660"</f>
        <v>08787660</v>
      </c>
      <c r="D287" s="1" t="s">
        <v>196</v>
      </c>
      <c r="F287" s="1" t="str">
        <f>"8056"</f>
        <v>8056</v>
      </c>
      <c r="G287" s="2">
        <v>41960</v>
      </c>
      <c r="H287" s="1">
        <v>105000</v>
      </c>
      <c r="I287" s="1">
        <v>102900</v>
      </c>
      <c r="J287" s="1">
        <v>85000</v>
      </c>
      <c r="K287" s="2">
        <v>41960</v>
      </c>
      <c r="L287" s="1">
        <v>87</v>
      </c>
      <c r="M287" s="2">
        <v>42046</v>
      </c>
      <c r="N287" s="1">
        <v>87</v>
      </c>
      <c r="O287" s="2">
        <v>42046</v>
      </c>
      <c r="P287" s="1">
        <v>22616</v>
      </c>
      <c r="Q287" s="1" t="s">
        <v>302</v>
      </c>
      <c r="R287" s="2">
        <v>42123</v>
      </c>
      <c r="S287" s="1">
        <v>603046</v>
      </c>
      <c r="U287" s="1">
        <v>6015</v>
      </c>
      <c r="V287" s="1" t="s">
        <v>3144</v>
      </c>
      <c r="W287" s="1" t="s">
        <v>425</v>
      </c>
      <c r="X287" s="1" t="s">
        <v>4376</v>
      </c>
      <c r="Y287" s="1">
        <v>6</v>
      </c>
      <c r="Z287" s="1" t="s">
        <v>200</v>
      </c>
      <c r="AA287" s="1" t="s">
        <v>400</v>
      </c>
      <c r="AB287" s="1">
        <v>60638</v>
      </c>
      <c r="AE287" s="1" t="s">
        <v>4377</v>
      </c>
      <c r="AF287" s="1">
        <v>1980</v>
      </c>
      <c r="AG287" s="1" t="s">
        <v>204</v>
      </c>
      <c r="AH287" s="1" t="s">
        <v>403</v>
      </c>
      <c r="AI287" s="1" t="s">
        <v>310</v>
      </c>
      <c r="AJ287" s="1" t="s">
        <v>683</v>
      </c>
      <c r="AL287" s="1">
        <v>5</v>
      </c>
      <c r="AM287" s="1">
        <v>2</v>
      </c>
      <c r="AN287" s="1">
        <v>1</v>
      </c>
      <c r="AO287" s="1">
        <v>0</v>
      </c>
      <c r="AP287" s="1" t="s">
        <v>210</v>
      </c>
      <c r="AR287" s="1" t="s">
        <v>209</v>
      </c>
      <c r="AS287" s="1" t="s">
        <v>204</v>
      </c>
      <c r="AT287" s="1" t="s">
        <v>271</v>
      </c>
      <c r="AV287" s="1">
        <v>1</v>
      </c>
      <c r="AW287" s="1" t="s">
        <v>204</v>
      </c>
      <c r="AX287" s="1" t="s">
        <v>212</v>
      </c>
      <c r="AZ287" s="1">
        <v>1433</v>
      </c>
      <c r="BA287" s="1">
        <v>2013</v>
      </c>
      <c r="BB287" s="1" t="s">
        <v>405</v>
      </c>
      <c r="BE287" s="1">
        <v>800</v>
      </c>
      <c r="BF287" s="1">
        <v>3</v>
      </c>
      <c r="BG287" s="1">
        <v>15</v>
      </c>
      <c r="BJ287" s="1">
        <v>100</v>
      </c>
      <c r="BL287" s="1">
        <v>145</v>
      </c>
      <c r="BM287" s="1" t="s">
        <v>204</v>
      </c>
      <c r="BN287" s="1" t="s">
        <v>204</v>
      </c>
      <c r="BP287" s="1" t="s">
        <v>204</v>
      </c>
      <c r="BR287" s="1" t="str">
        <f>"19084260201006"</f>
        <v>19084260201006</v>
      </c>
      <c r="BT287" s="1" t="s">
        <v>4378</v>
      </c>
      <c r="BX287" s="1">
        <v>299</v>
      </c>
      <c r="BY287" s="1">
        <v>299</v>
      </c>
      <c r="BZ287" s="1">
        <v>299</v>
      </c>
      <c r="CB287" s="1" t="str">
        <f t="shared" ref="CB287:CC287" si="230">"0"</f>
        <v>0</v>
      </c>
      <c r="CC287" s="1" t="str">
        <f t="shared" si="230"/>
        <v>0</v>
      </c>
      <c r="CD287" s="1">
        <v>6015</v>
      </c>
      <c r="CE287" s="1">
        <v>5400</v>
      </c>
      <c r="CG287" s="1" t="s">
        <v>885</v>
      </c>
      <c r="CH287" s="1" t="s">
        <v>219</v>
      </c>
      <c r="CI287" s="1" t="s">
        <v>229</v>
      </c>
      <c r="CJ287" s="1" t="s">
        <v>252</v>
      </c>
      <c r="CK287" s="1" t="s">
        <v>461</v>
      </c>
      <c r="CL287" s="1" t="s">
        <v>219</v>
      </c>
      <c r="CM287" s="1" t="s">
        <v>229</v>
      </c>
      <c r="CN287" s="1" t="s">
        <v>252</v>
      </c>
      <c r="CO287" s="1" t="s">
        <v>951</v>
      </c>
      <c r="CP287" s="1" t="s">
        <v>219</v>
      </c>
      <c r="CQ287" s="1" t="s">
        <v>229</v>
      </c>
      <c r="CR287" s="1" t="s">
        <v>252</v>
      </c>
      <c r="CS287" s="1" t="s">
        <v>379</v>
      </c>
      <c r="CT287" s="1" t="s">
        <v>219</v>
      </c>
      <c r="CU287" s="1" t="s">
        <v>229</v>
      </c>
      <c r="CV287" s="1" t="s">
        <v>252</v>
      </c>
      <c r="CX287" s="1" t="s">
        <v>224</v>
      </c>
      <c r="DB287" s="1" t="s">
        <v>224</v>
      </c>
      <c r="DE287" s="1" t="s">
        <v>951</v>
      </c>
      <c r="DF287" s="1" t="s">
        <v>219</v>
      </c>
      <c r="DG287" s="1" t="s">
        <v>229</v>
      </c>
      <c r="DH287" s="1" t="s">
        <v>252</v>
      </c>
      <c r="DJ287" s="1" t="s">
        <v>224</v>
      </c>
      <c r="DS287" s="1" t="s">
        <v>230</v>
      </c>
      <c r="DW287" s="1" t="s">
        <v>230</v>
      </c>
      <c r="EA287" s="1" t="s">
        <v>230</v>
      </c>
      <c r="EE287" s="1" t="s">
        <v>230</v>
      </c>
      <c r="EI287" s="1" t="s">
        <v>230</v>
      </c>
      <c r="EL287" s="1" t="s">
        <v>231</v>
      </c>
      <c r="EM287" s="1" t="s">
        <v>232</v>
      </c>
      <c r="EN287" s="1" t="s">
        <v>282</v>
      </c>
      <c r="EO287" s="1" t="s">
        <v>234</v>
      </c>
      <c r="EP287" s="1" t="s">
        <v>4379</v>
      </c>
      <c r="ER287" s="1" t="s">
        <v>351</v>
      </c>
      <c r="EW287" s="1" t="s">
        <v>286</v>
      </c>
      <c r="EY287" s="1" t="s">
        <v>242</v>
      </c>
      <c r="EZ287" s="1" t="s">
        <v>287</v>
      </c>
      <c r="FB287" s="1" t="s">
        <v>244</v>
      </c>
      <c r="FD287" s="1" t="s">
        <v>1112</v>
      </c>
      <c r="FE287" s="1" t="s">
        <v>247</v>
      </c>
      <c r="FF287" s="1" t="s">
        <v>248</v>
      </c>
      <c r="FH287" s="1" t="s">
        <v>249</v>
      </c>
      <c r="FK287" s="1" t="s">
        <v>291</v>
      </c>
      <c r="FL287" s="1" t="s">
        <v>292</v>
      </c>
      <c r="FM287" s="1" t="s">
        <v>252</v>
      </c>
      <c r="FN287" s="1" t="s">
        <v>213</v>
      </c>
      <c r="FO287" s="1" t="s">
        <v>213</v>
      </c>
      <c r="FQ287" s="1" t="s">
        <v>2253</v>
      </c>
      <c r="FR287" s="1" t="s">
        <v>210</v>
      </c>
      <c r="FS287" s="1" t="s">
        <v>4380</v>
      </c>
      <c r="FT287" s="1" t="s">
        <v>1139</v>
      </c>
      <c r="FU287" s="1" t="s">
        <v>204</v>
      </c>
      <c r="FW287" s="1" t="s">
        <v>1652</v>
      </c>
      <c r="FX287" s="1">
        <v>12174</v>
      </c>
      <c r="FY287" s="1" t="s">
        <v>4381</v>
      </c>
      <c r="FZ287" s="1" t="s">
        <v>4382</v>
      </c>
      <c r="GA287" s="1">
        <v>116546</v>
      </c>
      <c r="GB287" s="1" t="s">
        <v>4383</v>
      </c>
      <c r="GE287" s="1" t="s">
        <v>1379</v>
      </c>
      <c r="GH287" s="1" t="s">
        <v>421</v>
      </c>
      <c r="GI287" s="1" t="s">
        <v>213</v>
      </c>
      <c r="GJ287" s="1" t="s">
        <v>260</v>
      </c>
      <c r="GK287" s="1" t="s">
        <v>210</v>
      </c>
      <c r="GL287" s="2">
        <v>42125</v>
      </c>
      <c r="GM287" s="1" t="s">
        <v>4384</v>
      </c>
    </row>
    <row r="288" spans="1:195">
      <c r="A288" s="1">
        <v>100500</v>
      </c>
      <c r="B288" s="1" t="s">
        <v>195</v>
      </c>
      <c r="C288" s="1" t="str">
        <f>"08788175"</f>
        <v>08788175</v>
      </c>
      <c r="D288" s="1" t="s">
        <v>196</v>
      </c>
      <c r="F288" s="1" t="str">
        <f>"87"</f>
        <v>87</v>
      </c>
      <c r="G288" s="2">
        <v>41960</v>
      </c>
      <c r="H288" s="1">
        <v>99900</v>
      </c>
      <c r="I288" s="1">
        <v>99900</v>
      </c>
      <c r="J288" s="1">
        <v>100500</v>
      </c>
      <c r="K288" s="2">
        <v>41960</v>
      </c>
      <c r="L288" s="1">
        <v>148</v>
      </c>
      <c r="M288" s="2">
        <v>41997</v>
      </c>
      <c r="N288" s="1">
        <v>38</v>
      </c>
      <c r="O288" s="2">
        <v>41997</v>
      </c>
      <c r="P288" s="1">
        <v>25614</v>
      </c>
      <c r="Q288" s="1" t="s">
        <v>197</v>
      </c>
      <c r="R288" s="2">
        <v>42066</v>
      </c>
      <c r="S288" s="1">
        <v>19118</v>
      </c>
      <c r="T288" s="1">
        <v>2000</v>
      </c>
      <c r="U288" s="1">
        <v>39153</v>
      </c>
      <c r="V288" s="1" t="s">
        <v>2530</v>
      </c>
      <c r="W288" s="1" t="s">
        <v>504</v>
      </c>
      <c r="Y288" s="1">
        <v>5</v>
      </c>
      <c r="Z288" s="1" t="s">
        <v>370</v>
      </c>
      <c r="AA288" s="1" t="s">
        <v>4385</v>
      </c>
      <c r="AB288" s="1">
        <v>60083</v>
      </c>
      <c r="AD288" s="1" t="s">
        <v>4386</v>
      </c>
      <c r="AE288" s="1" t="s">
        <v>4387</v>
      </c>
      <c r="AF288" s="1">
        <v>2003</v>
      </c>
      <c r="AG288" s="1" t="s">
        <v>204</v>
      </c>
      <c r="AH288" s="1" t="s">
        <v>4388</v>
      </c>
      <c r="AI288" s="1" t="s">
        <v>509</v>
      </c>
      <c r="AJ288" s="1" t="s">
        <v>4389</v>
      </c>
      <c r="AL288" s="1">
        <v>6</v>
      </c>
      <c r="AM288" s="1">
        <v>2</v>
      </c>
      <c r="AN288" s="1">
        <v>2</v>
      </c>
      <c r="AO288" s="1">
        <v>1</v>
      </c>
      <c r="AP288" s="1" t="s">
        <v>209</v>
      </c>
      <c r="AR288" s="1" t="s">
        <v>210</v>
      </c>
      <c r="AS288" s="1" t="s">
        <v>204</v>
      </c>
      <c r="AT288" s="1" t="s">
        <v>211</v>
      </c>
      <c r="AU288" s="1">
        <v>2</v>
      </c>
      <c r="AW288" s="1" t="s">
        <v>204</v>
      </c>
      <c r="AX288" s="1" t="s">
        <v>212</v>
      </c>
      <c r="AZ288" s="1">
        <v>3159.37</v>
      </c>
      <c r="BA288" s="1">
        <v>2013</v>
      </c>
      <c r="BE288" s="1">
        <v>1318</v>
      </c>
      <c r="BF288" s="1">
        <v>1</v>
      </c>
      <c r="BG288" s="1">
        <v>0</v>
      </c>
      <c r="BL288" s="1">
        <v>158</v>
      </c>
      <c r="BM288" s="1" t="s">
        <v>204</v>
      </c>
      <c r="BN288" s="1" t="s">
        <v>213</v>
      </c>
      <c r="BO288" s="1">
        <v>999</v>
      </c>
      <c r="BP288" s="1" t="s">
        <v>204</v>
      </c>
      <c r="BR288" s="1" t="str">
        <f>"04303070180000"</f>
        <v>04303070180000</v>
      </c>
      <c r="BT288" s="1" t="s">
        <v>4390</v>
      </c>
      <c r="BX288" s="1">
        <v>3</v>
      </c>
      <c r="BY288" s="1">
        <v>3</v>
      </c>
      <c r="BZ288" s="1">
        <v>126</v>
      </c>
      <c r="CB288" s="1" t="str">
        <f t="shared" ref="CB288:CC288" si="231">""</f>
        <v/>
      </c>
      <c r="CC288" s="1" t="str">
        <f t="shared" si="231"/>
        <v/>
      </c>
      <c r="CG288" s="1" t="s">
        <v>379</v>
      </c>
      <c r="CH288" s="1" t="s">
        <v>219</v>
      </c>
      <c r="CK288" s="1" t="s">
        <v>757</v>
      </c>
      <c r="CL288" s="1" t="s">
        <v>277</v>
      </c>
      <c r="CO288" s="1" t="s">
        <v>409</v>
      </c>
      <c r="CP288" s="1" t="s">
        <v>219</v>
      </c>
      <c r="CS288" s="1" t="s">
        <v>346</v>
      </c>
      <c r="CT288" s="1" t="s">
        <v>277</v>
      </c>
      <c r="CX288" s="1" t="s">
        <v>224</v>
      </c>
      <c r="DB288" s="1" t="s">
        <v>224</v>
      </c>
      <c r="DE288" s="1" t="s">
        <v>837</v>
      </c>
      <c r="DF288" s="1" t="s">
        <v>219</v>
      </c>
      <c r="DJ288" s="1" t="s">
        <v>224</v>
      </c>
      <c r="DM288" s="1" t="s">
        <v>464</v>
      </c>
      <c r="DR288" s="1" t="s">
        <v>1598</v>
      </c>
      <c r="DS288" s="1" t="s">
        <v>277</v>
      </c>
      <c r="DW288" s="1" t="s">
        <v>230</v>
      </c>
      <c r="EA288" s="1" t="s">
        <v>230</v>
      </c>
      <c r="EE288" s="1" t="s">
        <v>230</v>
      </c>
      <c r="EI288" s="1" t="s">
        <v>230</v>
      </c>
      <c r="EL288" s="1" t="s">
        <v>466</v>
      </c>
      <c r="EM288" s="1" t="s">
        <v>319</v>
      </c>
      <c r="EN288" s="1" t="s">
        <v>282</v>
      </c>
      <c r="EO288" s="1" t="s">
        <v>234</v>
      </c>
      <c r="ER288" s="1" t="s">
        <v>210</v>
      </c>
      <c r="EW288" s="1" t="s">
        <v>353</v>
      </c>
      <c r="EZ288" s="1" t="s">
        <v>464</v>
      </c>
      <c r="FD288" s="1" t="s">
        <v>246</v>
      </c>
      <c r="FE288" s="1" t="s">
        <v>870</v>
      </c>
      <c r="FF288" s="1" t="s">
        <v>248</v>
      </c>
      <c r="FH288" s="1" t="s">
        <v>550</v>
      </c>
      <c r="FL288" s="1" t="s">
        <v>358</v>
      </c>
      <c r="FM288" s="1" t="s">
        <v>252</v>
      </c>
      <c r="FN288" s="1" t="s">
        <v>213</v>
      </c>
      <c r="FO288" s="1" t="s">
        <v>213</v>
      </c>
      <c r="FQ288" s="1" t="s">
        <v>582</v>
      </c>
      <c r="FR288" s="1" t="s">
        <v>210</v>
      </c>
      <c r="FS288" s="1" t="s">
        <v>1575</v>
      </c>
      <c r="FT288" s="1" t="s">
        <v>584</v>
      </c>
      <c r="FU288" s="1" t="s">
        <v>204</v>
      </c>
      <c r="FW288" s="1" t="s">
        <v>4391</v>
      </c>
      <c r="FX288" s="1">
        <v>2510</v>
      </c>
      <c r="FY288" s="1" t="s">
        <v>4392</v>
      </c>
      <c r="FZ288" s="1" t="s">
        <v>4393</v>
      </c>
      <c r="GA288" s="1">
        <v>17049</v>
      </c>
      <c r="GB288" s="1" t="s">
        <v>4394</v>
      </c>
      <c r="GE288" s="1" t="s">
        <v>210</v>
      </c>
      <c r="GH288" s="1" t="s">
        <v>230</v>
      </c>
      <c r="GI288" s="1" t="s">
        <v>213</v>
      </c>
      <c r="GJ288" s="1" t="s">
        <v>260</v>
      </c>
      <c r="GK288" s="1" t="s">
        <v>210</v>
      </c>
      <c r="GL288" s="2">
        <v>42066</v>
      </c>
    </row>
    <row r="289" spans="1:195">
      <c r="A289" s="1">
        <v>85110</v>
      </c>
      <c r="B289" s="1" t="s">
        <v>195</v>
      </c>
      <c r="C289" s="1" t="str">
        <f>"08785617"</f>
        <v>08785617</v>
      </c>
      <c r="D289" s="1" t="s">
        <v>196</v>
      </c>
      <c r="F289" s="1" t="str">
        <f>"540"</f>
        <v>540</v>
      </c>
      <c r="G289" s="2">
        <v>41956</v>
      </c>
      <c r="H289" s="1">
        <v>91800</v>
      </c>
      <c r="I289" s="1">
        <v>91800</v>
      </c>
      <c r="J289" s="1">
        <v>85110</v>
      </c>
      <c r="K289" s="2">
        <v>41956</v>
      </c>
      <c r="L289" s="1">
        <v>5</v>
      </c>
      <c r="M289" s="2">
        <v>41960</v>
      </c>
      <c r="N289" s="1">
        <v>5</v>
      </c>
      <c r="O289" s="2">
        <v>41960</v>
      </c>
      <c r="P289" s="1">
        <v>21944</v>
      </c>
      <c r="Q289" s="1" t="s">
        <v>302</v>
      </c>
      <c r="R289" s="2">
        <v>42020</v>
      </c>
      <c r="S289" s="1">
        <v>245855</v>
      </c>
      <c r="U289" s="1">
        <v>39</v>
      </c>
      <c r="V289" s="1" t="s">
        <v>4395</v>
      </c>
      <c r="W289" s="1" t="s">
        <v>304</v>
      </c>
      <c r="X289" s="1" t="s">
        <v>4396</v>
      </c>
      <c r="Y289" s="1">
        <v>4</v>
      </c>
      <c r="Z289" s="1" t="s">
        <v>249</v>
      </c>
      <c r="AA289" s="1" t="s">
        <v>921</v>
      </c>
      <c r="AB289" s="1">
        <v>60565</v>
      </c>
      <c r="AE289" s="1" t="s">
        <v>4397</v>
      </c>
      <c r="AF289" s="1">
        <v>1982</v>
      </c>
      <c r="AG289" s="1" t="s">
        <v>204</v>
      </c>
      <c r="AH289" s="1" t="s">
        <v>924</v>
      </c>
      <c r="AI289" s="1" t="s">
        <v>206</v>
      </c>
      <c r="AJ289" s="1" t="s">
        <v>925</v>
      </c>
      <c r="AL289" s="1">
        <v>5</v>
      </c>
      <c r="AM289" s="1">
        <v>2</v>
      </c>
      <c r="AN289" s="1">
        <v>2</v>
      </c>
      <c r="AO289" s="1">
        <v>0</v>
      </c>
      <c r="AP289" s="1" t="s">
        <v>209</v>
      </c>
      <c r="AQ289" s="1">
        <v>1</v>
      </c>
      <c r="AR289" s="1" t="s">
        <v>210</v>
      </c>
      <c r="AS289" s="1" t="s">
        <v>204</v>
      </c>
      <c r="AT289" s="1" t="s">
        <v>211</v>
      </c>
      <c r="AU289" s="1">
        <v>1</v>
      </c>
      <c r="AW289" s="1" t="s">
        <v>204</v>
      </c>
      <c r="AX289" s="1" t="s">
        <v>212</v>
      </c>
      <c r="AZ289" s="1">
        <v>3090</v>
      </c>
      <c r="BA289" s="1">
        <v>2013</v>
      </c>
      <c r="BE289" s="1">
        <v>1067</v>
      </c>
      <c r="BF289" s="1">
        <v>1</v>
      </c>
      <c r="BG289" s="1">
        <v>30</v>
      </c>
      <c r="BL289" s="1">
        <v>213</v>
      </c>
      <c r="BM289" s="1" t="s">
        <v>413</v>
      </c>
      <c r="BN289" s="1" t="s">
        <v>213</v>
      </c>
      <c r="BO289" s="1">
        <v>0</v>
      </c>
      <c r="BP289" s="1" t="s">
        <v>204</v>
      </c>
      <c r="BR289" s="1" t="str">
        <f>"0831410038"</f>
        <v>0831410038</v>
      </c>
      <c r="BT289" s="1" t="s">
        <v>4398</v>
      </c>
      <c r="BX289" s="1">
        <v>203</v>
      </c>
      <c r="BY289" s="1">
        <v>203</v>
      </c>
      <c r="BZ289" s="1">
        <v>203</v>
      </c>
      <c r="CB289" s="1" t="str">
        <f t="shared" ref="CB289:CC289" si="232">""</f>
        <v/>
      </c>
      <c r="CC289" s="1" t="str">
        <f t="shared" si="232"/>
        <v/>
      </c>
      <c r="CG289" s="1" t="s">
        <v>315</v>
      </c>
      <c r="CH289" s="1" t="s">
        <v>219</v>
      </c>
      <c r="CK289" s="1" t="s">
        <v>278</v>
      </c>
      <c r="CL289" s="1" t="s">
        <v>219</v>
      </c>
      <c r="CO289" s="1" t="s">
        <v>316</v>
      </c>
      <c r="CP289" s="1" t="s">
        <v>219</v>
      </c>
      <c r="CS289" s="1" t="s">
        <v>318</v>
      </c>
      <c r="CT289" s="1" t="s">
        <v>219</v>
      </c>
      <c r="CX289" s="1" t="s">
        <v>224</v>
      </c>
      <c r="DB289" s="1" t="s">
        <v>224</v>
      </c>
      <c r="DE289" s="1" t="s">
        <v>409</v>
      </c>
      <c r="DF289" s="1" t="s">
        <v>219</v>
      </c>
      <c r="DJ289" s="1" t="s">
        <v>224</v>
      </c>
      <c r="DS289" s="1" t="s">
        <v>230</v>
      </c>
      <c r="DW289" s="1" t="s">
        <v>230</v>
      </c>
      <c r="EA289" s="1" t="s">
        <v>230</v>
      </c>
      <c r="EE289" s="1" t="s">
        <v>230</v>
      </c>
      <c r="EI289" s="1" t="s">
        <v>230</v>
      </c>
      <c r="EL289" s="1" t="s">
        <v>231</v>
      </c>
      <c r="EM289" s="1" t="s">
        <v>319</v>
      </c>
      <c r="EN289" s="1" t="s">
        <v>282</v>
      </c>
      <c r="EO289" s="1" t="s">
        <v>234</v>
      </c>
      <c r="ER289" s="1" t="s">
        <v>210</v>
      </c>
      <c r="EW289" s="1" t="s">
        <v>347</v>
      </c>
      <c r="EZ289" s="1" t="s">
        <v>287</v>
      </c>
      <c r="FD289" s="1" t="s">
        <v>1649</v>
      </c>
      <c r="FE289" s="1" t="s">
        <v>496</v>
      </c>
      <c r="FF289" s="1" t="s">
        <v>248</v>
      </c>
      <c r="FH289" s="1" t="s">
        <v>249</v>
      </c>
      <c r="FL289" s="1" t="s">
        <v>358</v>
      </c>
      <c r="FM289" s="1" t="s">
        <v>252</v>
      </c>
      <c r="FN289" s="1" t="s">
        <v>213</v>
      </c>
      <c r="FO289" s="1" t="s">
        <v>213</v>
      </c>
      <c r="FQ289" s="1" t="s">
        <v>689</v>
      </c>
      <c r="FR289" s="1" t="s">
        <v>210</v>
      </c>
      <c r="FS289" s="1" t="s">
        <v>2541</v>
      </c>
      <c r="FT289" s="1" t="s">
        <v>654</v>
      </c>
      <c r="FU289" s="1" t="s">
        <v>204</v>
      </c>
      <c r="FW289" s="1" t="s">
        <v>4399</v>
      </c>
      <c r="FX289" s="1">
        <v>8698</v>
      </c>
      <c r="FY289" s="1" t="s">
        <v>4400</v>
      </c>
      <c r="FZ289" s="1" t="s">
        <v>4401</v>
      </c>
      <c r="GA289" s="1">
        <v>85273</v>
      </c>
      <c r="GB289" s="1" t="s">
        <v>4400</v>
      </c>
      <c r="GE289" s="1" t="s">
        <v>210</v>
      </c>
      <c r="GI289" s="1" t="s">
        <v>204</v>
      </c>
      <c r="GJ289" s="1" t="s">
        <v>260</v>
      </c>
      <c r="GK289" s="1" t="s">
        <v>210</v>
      </c>
      <c r="GL289" s="2">
        <v>42020</v>
      </c>
      <c r="GM289" s="1" t="s">
        <v>4402</v>
      </c>
    </row>
    <row r="290" spans="1:195">
      <c r="A290" s="1">
        <v>95000</v>
      </c>
      <c r="B290" s="1" t="s">
        <v>195</v>
      </c>
      <c r="C290" s="1" t="str">
        <f>"08787717"</f>
        <v>08787717</v>
      </c>
      <c r="D290" s="1" t="s">
        <v>196</v>
      </c>
      <c r="F290" s="1" t="str">
        <f>"20"</f>
        <v>20</v>
      </c>
      <c r="G290" s="2">
        <v>41960</v>
      </c>
      <c r="H290" s="1">
        <v>99900</v>
      </c>
      <c r="I290" s="1">
        <v>99900</v>
      </c>
      <c r="J290" s="1">
        <v>95000</v>
      </c>
      <c r="K290" s="2">
        <v>41960</v>
      </c>
      <c r="L290" s="1">
        <v>16</v>
      </c>
      <c r="M290" s="2">
        <v>41975</v>
      </c>
      <c r="N290" s="1">
        <v>16</v>
      </c>
      <c r="O290" s="2">
        <v>41975</v>
      </c>
      <c r="P290" s="1">
        <v>5366</v>
      </c>
      <c r="Q290" s="1" t="s">
        <v>302</v>
      </c>
      <c r="R290" s="2">
        <v>42013</v>
      </c>
      <c r="S290" s="1">
        <v>53786</v>
      </c>
      <c r="U290" s="1">
        <v>8018</v>
      </c>
      <c r="V290" s="1" t="s">
        <v>4403</v>
      </c>
      <c r="W290" s="1" t="s">
        <v>304</v>
      </c>
      <c r="X290" s="1">
        <v>8018</v>
      </c>
      <c r="Y290" s="1">
        <v>8</v>
      </c>
      <c r="Z290" s="1" t="s">
        <v>249</v>
      </c>
      <c r="AA290" s="1" t="s">
        <v>592</v>
      </c>
      <c r="AB290" s="1">
        <v>60020</v>
      </c>
      <c r="AD290" s="1" t="s">
        <v>4404</v>
      </c>
      <c r="AE290" s="1" t="s">
        <v>4405</v>
      </c>
      <c r="AF290" s="1">
        <v>2001</v>
      </c>
      <c r="AG290" s="1" t="s">
        <v>204</v>
      </c>
      <c r="AH290" s="1" t="s">
        <v>595</v>
      </c>
      <c r="AI290" s="1" t="s">
        <v>509</v>
      </c>
      <c r="AJ290" s="1" t="s">
        <v>596</v>
      </c>
      <c r="AL290" s="1">
        <v>5</v>
      </c>
      <c r="AM290" s="1">
        <v>2</v>
      </c>
      <c r="AN290" s="1">
        <v>2</v>
      </c>
      <c r="AO290" s="1">
        <v>0</v>
      </c>
      <c r="AP290" s="1" t="s">
        <v>209</v>
      </c>
      <c r="AQ290" s="1">
        <v>1</v>
      </c>
      <c r="AR290" s="1" t="s">
        <v>210</v>
      </c>
      <c r="AS290" s="1" t="s">
        <v>204</v>
      </c>
      <c r="AT290" s="1" t="s">
        <v>211</v>
      </c>
      <c r="AU290" s="1">
        <v>2</v>
      </c>
      <c r="AW290" s="1" t="s">
        <v>204</v>
      </c>
      <c r="AX290" s="1" t="s">
        <v>212</v>
      </c>
      <c r="AZ290" s="1">
        <v>3658.11</v>
      </c>
      <c r="BA290" s="1">
        <v>2013</v>
      </c>
      <c r="BB290" s="1" t="s">
        <v>599</v>
      </c>
      <c r="BE290" s="1">
        <v>1299</v>
      </c>
      <c r="BF290" s="1">
        <v>1</v>
      </c>
      <c r="BG290" s="1">
        <v>0</v>
      </c>
      <c r="BL290" s="1">
        <v>169</v>
      </c>
      <c r="BM290" s="1" t="s">
        <v>204</v>
      </c>
      <c r="BN290" s="1" t="s">
        <v>213</v>
      </c>
      <c r="BO290" s="1">
        <v>999</v>
      </c>
      <c r="BP290" s="1" t="s">
        <v>204</v>
      </c>
      <c r="BR290" s="1" t="str">
        <f>"01273021010000"</f>
        <v>01273021010000</v>
      </c>
      <c r="BT290" s="1" t="s">
        <v>4406</v>
      </c>
      <c r="BU290" s="1" t="s">
        <v>2262</v>
      </c>
      <c r="BV290" s="1" t="s">
        <v>2263</v>
      </c>
      <c r="BW290" s="1" t="s">
        <v>2264</v>
      </c>
      <c r="BX290" s="1">
        <v>114</v>
      </c>
      <c r="BY290" s="1">
        <v>114</v>
      </c>
      <c r="BZ290" s="1">
        <v>124</v>
      </c>
      <c r="CB290" s="1" t="str">
        <f t="shared" ref="CB290:CC290" si="233">""</f>
        <v/>
      </c>
      <c r="CC290" s="1" t="str">
        <f t="shared" si="233"/>
        <v/>
      </c>
      <c r="CG290" s="1" t="s">
        <v>3035</v>
      </c>
      <c r="CH290" s="1" t="s">
        <v>219</v>
      </c>
      <c r="CI290" s="1" t="s">
        <v>438</v>
      </c>
      <c r="CJ290" s="1" t="s">
        <v>343</v>
      </c>
      <c r="CK290" s="1" t="s">
        <v>1178</v>
      </c>
      <c r="CL290" s="1" t="s">
        <v>219</v>
      </c>
      <c r="CM290" s="1" t="s">
        <v>220</v>
      </c>
      <c r="CN290" s="1" t="s">
        <v>343</v>
      </c>
      <c r="CO290" s="1" t="s">
        <v>629</v>
      </c>
      <c r="CP290" s="1" t="s">
        <v>219</v>
      </c>
      <c r="CQ290" s="1" t="s">
        <v>438</v>
      </c>
      <c r="CS290" s="1" t="s">
        <v>1358</v>
      </c>
      <c r="CT290" s="1" t="s">
        <v>219</v>
      </c>
      <c r="CU290" s="1" t="s">
        <v>220</v>
      </c>
      <c r="CV290" s="1" t="s">
        <v>343</v>
      </c>
      <c r="CX290" s="1" t="s">
        <v>224</v>
      </c>
      <c r="DB290" s="1" t="s">
        <v>224</v>
      </c>
      <c r="DE290" s="1" t="s">
        <v>539</v>
      </c>
      <c r="DF290" s="1" t="s">
        <v>219</v>
      </c>
      <c r="DG290" s="1" t="s">
        <v>438</v>
      </c>
      <c r="DJ290" s="1" t="s">
        <v>224</v>
      </c>
      <c r="DM290" s="1" t="s">
        <v>709</v>
      </c>
      <c r="DN290" s="1" t="s">
        <v>1771</v>
      </c>
      <c r="DR290" s="1" t="s">
        <v>4407</v>
      </c>
      <c r="DS290" s="1" t="s">
        <v>219</v>
      </c>
      <c r="DT290" s="1" t="s">
        <v>438</v>
      </c>
      <c r="DV290" s="1" t="s">
        <v>4408</v>
      </c>
      <c r="DW290" s="1" t="s">
        <v>219</v>
      </c>
      <c r="DX290" s="1" t="s">
        <v>220</v>
      </c>
      <c r="EA290" s="1" t="s">
        <v>230</v>
      </c>
      <c r="EE290" s="1" t="s">
        <v>230</v>
      </c>
      <c r="EI290" s="1" t="s">
        <v>230</v>
      </c>
      <c r="EL290" s="1" t="s">
        <v>466</v>
      </c>
      <c r="EM290" s="1" t="s">
        <v>319</v>
      </c>
      <c r="EN290" s="1" t="s">
        <v>282</v>
      </c>
      <c r="EO290" s="1" t="s">
        <v>234</v>
      </c>
      <c r="EP290" s="1" t="s">
        <v>1093</v>
      </c>
      <c r="EQ290" s="1" t="s">
        <v>236</v>
      </c>
      <c r="ER290" s="1" t="s">
        <v>383</v>
      </c>
      <c r="ES290" s="1" t="s">
        <v>469</v>
      </c>
      <c r="EU290" s="1" t="s">
        <v>4409</v>
      </c>
      <c r="EV290" s="1" t="s">
        <v>240</v>
      </c>
      <c r="EW290" s="1" t="s">
        <v>4410</v>
      </c>
      <c r="EZ290" s="1" t="s">
        <v>2948</v>
      </c>
      <c r="FA290" s="1" t="s">
        <v>4411</v>
      </c>
      <c r="FD290" s="1" t="s">
        <v>246</v>
      </c>
      <c r="FE290" s="1" t="s">
        <v>4412</v>
      </c>
      <c r="FF290" s="1" t="s">
        <v>248</v>
      </c>
      <c r="FG290" s="1" t="s">
        <v>2739</v>
      </c>
      <c r="FH290" s="1" t="s">
        <v>249</v>
      </c>
      <c r="FI290" s="1" t="s">
        <v>473</v>
      </c>
      <c r="FJ290" s="1" t="s">
        <v>197</v>
      </c>
      <c r="FL290" s="1" t="s">
        <v>358</v>
      </c>
      <c r="FM290" s="1" t="s">
        <v>252</v>
      </c>
      <c r="FN290" s="1" t="s">
        <v>213</v>
      </c>
      <c r="FO290" s="1" t="s">
        <v>213</v>
      </c>
      <c r="FQ290" s="1" t="s">
        <v>4413</v>
      </c>
      <c r="FR290" s="1" t="s">
        <v>210</v>
      </c>
      <c r="FS290" s="1" t="s">
        <v>443</v>
      </c>
      <c r="FT290" s="1" t="s">
        <v>4414</v>
      </c>
      <c r="FU290" s="1" t="s">
        <v>204</v>
      </c>
      <c r="FW290" s="1" t="s">
        <v>4415</v>
      </c>
      <c r="FX290" s="1">
        <v>6018</v>
      </c>
      <c r="FY290" s="1" t="s">
        <v>4416</v>
      </c>
      <c r="FZ290" s="1" t="s">
        <v>4417</v>
      </c>
      <c r="GA290" s="1">
        <v>61639</v>
      </c>
      <c r="GB290" s="1" t="s">
        <v>4418</v>
      </c>
      <c r="GE290" s="1" t="s">
        <v>210</v>
      </c>
      <c r="GI290" s="1" t="s">
        <v>213</v>
      </c>
      <c r="GJ290" s="1" t="s">
        <v>260</v>
      </c>
      <c r="GK290" s="1" t="s">
        <v>210</v>
      </c>
      <c r="GL290" s="2">
        <v>42013</v>
      </c>
    </row>
    <row r="291" spans="1:195">
      <c r="A291" s="1">
        <v>95000</v>
      </c>
      <c r="B291" s="1" t="s">
        <v>195</v>
      </c>
      <c r="C291" s="1" t="str">
        <f>"08787927"</f>
        <v>08787927</v>
      </c>
      <c r="D291" s="1" t="s">
        <v>196</v>
      </c>
      <c r="F291" s="1" t="str">
        <f>"123"</f>
        <v>123</v>
      </c>
      <c r="G291" s="2">
        <v>41960</v>
      </c>
      <c r="H291" s="1">
        <v>103500</v>
      </c>
      <c r="I291" s="1">
        <v>103500</v>
      </c>
      <c r="J291" s="1">
        <v>95000</v>
      </c>
      <c r="K291" s="2">
        <v>41960</v>
      </c>
      <c r="L291" s="1">
        <v>214</v>
      </c>
      <c r="M291" s="2">
        <v>41976</v>
      </c>
      <c r="N291" s="1">
        <v>17</v>
      </c>
      <c r="O291" s="2">
        <v>41976</v>
      </c>
      <c r="P291" s="1">
        <v>8101</v>
      </c>
      <c r="Q291" s="1" t="s">
        <v>197</v>
      </c>
      <c r="R291" s="2">
        <v>42019</v>
      </c>
      <c r="S291" s="1">
        <v>86888</v>
      </c>
      <c r="U291" s="1">
        <v>1105</v>
      </c>
      <c r="V291" s="1" t="s">
        <v>3400</v>
      </c>
      <c r="W291" s="1" t="s">
        <v>304</v>
      </c>
      <c r="X291" s="1" t="s">
        <v>483</v>
      </c>
      <c r="Y291" s="1">
        <v>4</v>
      </c>
      <c r="Z291" s="1" t="s">
        <v>249</v>
      </c>
      <c r="AA291" s="1" t="s">
        <v>1173</v>
      </c>
      <c r="AB291" s="1">
        <v>60120</v>
      </c>
      <c r="AD291" s="1" t="s">
        <v>4419</v>
      </c>
      <c r="AE291" s="1" t="s">
        <v>4420</v>
      </c>
      <c r="AF291" s="1">
        <v>1997</v>
      </c>
      <c r="AG291" s="1" t="s">
        <v>204</v>
      </c>
      <c r="AH291" s="1" t="s">
        <v>1175</v>
      </c>
      <c r="AI291" s="1" t="s">
        <v>310</v>
      </c>
      <c r="AJ291" s="1" t="s">
        <v>374</v>
      </c>
      <c r="AK291" s="1" t="s">
        <v>4421</v>
      </c>
      <c r="AL291" s="1">
        <v>5</v>
      </c>
      <c r="AM291" s="1">
        <v>2</v>
      </c>
      <c r="AN291" s="1">
        <v>2</v>
      </c>
      <c r="AO291" s="1">
        <v>0</v>
      </c>
      <c r="AP291" s="1" t="s">
        <v>209</v>
      </c>
      <c r="AR291" s="1" t="s">
        <v>210</v>
      </c>
      <c r="AS291" s="1" t="s">
        <v>204</v>
      </c>
      <c r="AT291" s="1" t="s">
        <v>211</v>
      </c>
      <c r="AU291" s="1">
        <v>1</v>
      </c>
      <c r="AW291" s="1" t="s">
        <v>204</v>
      </c>
      <c r="AX291" s="1" t="s">
        <v>1813</v>
      </c>
      <c r="AZ291" s="1">
        <v>2704.65</v>
      </c>
      <c r="BA291" s="1">
        <v>2013</v>
      </c>
      <c r="BB291" s="1" t="s">
        <v>210</v>
      </c>
      <c r="BE291" s="1">
        <v>1100</v>
      </c>
      <c r="BF291" s="1">
        <v>2</v>
      </c>
      <c r="BG291" s="1">
        <v>0</v>
      </c>
      <c r="BL291" s="1">
        <v>172</v>
      </c>
      <c r="BM291" s="1" t="s">
        <v>204</v>
      </c>
      <c r="BN291" s="1" t="s">
        <v>213</v>
      </c>
      <c r="BO291" s="1">
        <v>40</v>
      </c>
      <c r="BP291" s="1" t="s">
        <v>204</v>
      </c>
      <c r="BR291" s="1" t="str">
        <f>"06192100201006"</f>
        <v>06192100201006</v>
      </c>
      <c r="BT291" s="1" t="s">
        <v>4422</v>
      </c>
      <c r="BU291" s="1" t="s">
        <v>4423</v>
      </c>
      <c r="BV291" s="1" t="s">
        <v>3604</v>
      </c>
      <c r="BW291" s="1" t="s">
        <v>2058</v>
      </c>
      <c r="BX291" s="1">
        <v>46</v>
      </c>
      <c r="BY291" s="1">
        <v>46</v>
      </c>
      <c r="BZ291" s="1">
        <v>46</v>
      </c>
      <c r="CB291" s="1" t="str">
        <f>"10"</f>
        <v>10</v>
      </c>
      <c r="CC291" s="1" t="str">
        <f>"0"</f>
        <v>0</v>
      </c>
      <c r="CD291" s="1">
        <v>32</v>
      </c>
      <c r="CE291" s="1">
        <v>0</v>
      </c>
      <c r="CG291" s="1" t="s">
        <v>885</v>
      </c>
      <c r="CH291" s="1" t="s">
        <v>277</v>
      </c>
      <c r="CI291" s="1" t="s">
        <v>220</v>
      </c>
      <c r="CJ291" s="1" t="s">
        <v>343</v>
      </c>
      <c r="CK291" s="1" t="s">
        <v>861</v>
      </c>
      <c r="CL291" s="1" t="s">
        <v>277</v>
      </c>
      <c r="CM291" s="1" t="s">
        <v>220</v>
      </c>
      <c r="CN291" s="1" t="s">
        <v>252</v>
      </c>
      <c r="CO291" s="1" t="s">
        <v>837</v>
      </c>
      <c r="CP291" s="1" t="s">
        <v>277</v>
      </c>
      <c r="CQ291" s="1" t="s">
        <v>220</v>
      </c>
      <c r="CR291" s="1" t="s">
        <v>252</v>
      </c>
      <c r="CS291" s="1" t="s">
        <v>1297</v>
      </c>
      <c r="CT291" s="1" t="s">
        <v>277</v>
      </c>
      <c r="CU291" s="1" t="s">
        <v>220</v>
      </c>
      <c r="CV291" s="1" t="s">
        <v>252</v>
      </c>
      <c r="CX291" s="1" t="s">
        <v>224</v>
      </c>
      <c r="DB291" s="1" t="s">
        <v>224</v>
      </c>
      <c r="DE291" s="1" t="s">
        <v>348</v>
      </c>
      <c r="DF291" s="1" t="s">
        <v>277</v>
      </c>
      <c r="DG291" s="1" t="s">
        <v>342</v>
      </c>
      <c r="DH291" s="1" t="s">
        <v>210</v>
      </c>
      <c r="DJ291" s="1" t="s">
        <v>224</v>
      </c>
      <c r="DS291" s="1" t="s">
        <v>230</v>
      </c>
      <c r="DW291" s="1" t="s">
        <v>230</v>
      </c>
      <c r="EA291" s="1" t="s">
        <v>230</v>
      </c>
      <c r="EE291" s="1" t="s">
        <v>230</v>
      </c>
      <c r="EI291" s="1" t="s">
        <v>230</v>
      </c>
      <c r="EL291" s="1" t="s">
        <v>670</v>
      </c>
      <c r="EM291" s="1" t="s">
        <v>232</v>
      </c>
      <c r="EN291" s="1" t="s">
        <v>282</v>
      </c>
      <c r="EO291" s="1" t="s">
        <v>234</v>
      </c>
      <c r="EQ291" s="1" t="s">
        <v>236</v>
      </c>
      <c r="ER291" s="1" t="s">
        <v>210</v>
      </c>
      <c r="EU291" s="1" t="s">
        <v>1894</v>
      </c>
      <c r="EV291" s="1" t="s">
        <v>324</v>
      </c>
      <c r="EW291" s="1" t="s">
        <v>353</v>
      </c>
      <c r="EY291" s="1" t="s">
        <v>790</v>
      </c>
      <c r="EZ291" s="1" t="s">
        <v>287</v>
      </c>
      <c r="FA291" s="1" t="s">
        <v>4424</v>
      </c>
      <c r="FB291" s="1" t="s">
        <v>289</v>
      </c>
      <c r="FD291" s="1" t="s">
        <v>888</v>
      </c>
      <c r="FE291" s="1" t="s">
        <v>975</v>
      </c>
      <c r="FF291" s="1" t="s">
        <v>3103</v>
      </c>
      <c r="FH291" s="1" t="s">
        <v>249</v>
      </c>
      <c r="FI291" s="1" t="s">
        <v>473</v>
      </c>
      <c r="FJ291" s="1" t="s">
        <v>197</v>
      </c>
      <c r="FL291" s="1" t="s">
        <v>358</v>
      </c>
      <c r="FM291" s="1" t="s">
        <v>252</v>
      </c>
      <c r="FN291" s="1" t="s">
        <v>213</v>
      </c>
      <c r="FO291" s="1" t="s">
        <v>213</v>
      </c>
      <c r="FQ291" s="1" t="s">
        <v>4425</v>
      </c>
      <c r="FR291" s="1" t="s">
        <v>210</v>
      </c>
      <c r="FS291" s="1" t="s">
        <v>4426</v>
      </c>
      <c r="FT291" s="1" t="s">
        <v>255</v>
      </c>
      <c r="FU291" s="1" t="s">
        <v>204</v>
      </c>
      <c r="FW291" s="1" t="s">
        <v>4427</v>
      </c>
      <c r="FX291" s="1">
        <v>8064</v>
      </c>
      <c r="FY291" s="1" t="s">
        <v>4428</v>
      </c>
      <c r="FZ291" s="1" t="s">
        <v>4429</v>
      </c>
      <c r="GA291" s="1">
        <v>81549</v>
      </c>
      <c r="GB291" s="1" t="s">
        <v>4430</v>
      </c>
      <c r="GD291" s="1" t="s">
        <v>4431</v>
      </c>
      <c r="GE291" s="1" t="s">
        <v>480</v>
      </c>
      <c r="GI291" s="1" t="s">
        <v>213</v>
      </c>
      <c r="GJ291" s="1" t="s">
        <v>260</v>
      </c>
      <c r="GK291" s="1" t="s">
        <v>261</v>
      </c>
      <c r="GL291" s="2">
        <v>42019</v>
      </c>
    </row>
    <row r="292" spans="1:195">
      <c r="A292" s="1">
        <v>320000</v>
      </c>
      <c r="B292" s="1" t="s">
        <v>195</v>
      </c>
      <c r="C292" s="1" t="str">
        <f>"08790138"</f>
        <v>08790138</v>
      </c>
      <c r="D292" s="1" t="s">
        <v>196</v>
      </c>
      <c r="F292" s="1" t="str">
        <f>"523"</f>
        <v>523</v>
      </c>
      <c r="G292" s="2">
        <v>41963</v>
      </c>
      <c r="H292" s="1">
        <v>349900</v>
      </c>
      <c r="I292" s="1">
        <v>349900</v>
      </c>
      <c r="J292" s="1">
        <v>320000</v>
      </c>
      <c r="K292" s="2">
        <v>41963</v>
      </c>
      <c r="L292" s="1">
        <v>59</v>
      </c>
      <c r="M292" s="2">
        <v>42021</v>
      </c>
      <c r="N292" s="1">
        <v>59</v>
      </c>
      <c r="O292" s="2">
        <v>42021</v>
      </c>
      <c r="P292" s="1">
        <v>90140</v>
      </c>
      <c r="Q292" s="1" t="s">
        <v>302</v>
      </c>
      <c r="R292" s="2">
        <v>42062</v>
      </c>
      <c r="S292" s="1">
        <v>900598</v>
      </c>
      <c r="U292" s="1">
        <v>1</v>
      </c>
      <c r="V292" s="1" t="s">
        <v>3816</v>
      </c>
      <c r="W292" s="1" t="s">
        <v>264</v>
      </c>
      <c r="X292" s="1" t="s">
        <v>4432</v>
      </c>
      <c r="Y292" s="1">
        <v>108</v>
      </c>
      <c r="Z292" s="1" t="s">
        <v>249</v>
      </c>
      <c r="AA292" s="1" t="s">
        <v>3818</v>
      </c>
      <c r="AB292" s="1">
        <v>60523</v>
      </c>
      <c r="AE292" s="1" t="s">
        <v>4433</v>
      </c>
      <c r="AF292" s="1">
        <v>1971</v>
      </c>
      <c r="AG292" s="1" t="s">
        <v>213</v>
      </c>
      <c r="AH292" s="1" t="s">
        <v>3820</v>
      </c>
      <c r="AI292" s="1" t="s">
        <v>206</v>
      </c>
      <c r="AJ292" s="1" t="s">
        <v>1608</v>
      </c>
      <c r="AL292" s="1">
        <v>6</v>
      </c>
      <c r="AM292" s="1">
        <v>2</v>
      </c>
      <c r="AN292" s="1">
        <v>2</v>
      </c>
      <c r="AO292" s="1">
        <v>0</v>
      </c>
      <c r="AP292" s="1" t="s">
        <v>209</v>
      </c>
      <c r="AQ292" s="1">
        <v>1</v>
      </c>
      <c r="AR292" s="1" t="s">
        <v>210</v>
      </c>
      <c r="AT292" s="1" t="s">
        <v>211</v>
      </c>
      <c r="AU292" s="1">
        <v>2</v>
      </c>
      <c r="AW292" s="1" t="s">
        <v>204</v>
      </c>
      <c r="AX292" s="1" t="s">
        <v>270</v>
      </c>
      <c r="AZ292" s="1">
        <v>2957</v>
      </c>
      <c r="BA292" s="1">
        <v>2013</v>
      </c>
      <c r="BB292" s="1" t="s">
        <v>599</v>
      </c>
      <c r="BE292" s="1">
        <v>1824</v>
      </c>
      <c r="BF292" s="1">
        <v>2</v>
      </c>
      <c r="BG292" s="1">
        <v>7</v>
      </c>
      <c r="BJ292" s="1">
        <v>100</v>
      </c>
      <c r="BL292" s="1">
        <v>800</v>
      </c>
      <c r="BM292" s="1" t="s">
        <v>204</v>
      </c>
      <c r="BN292" s="1" t="s">
        <v>213</v>
      </c>
      <c r="BO292" s="1">
        <v>20</v>
      </c>
      <c r="BP292" s="1" t="s">
        <v>204</v>
      </c>
      <c r="BR292" s="1" t="str">
        <f>"0623106056"</f>
        <v>0623106056</v>
      </c>
      <c r="BT292" s="1" t="s">
        <v>4434</v>
      </c>
      <c r="BU292" s="1" t="s">
        <v>3822</v>
      </c>
      <c r="BV292" s="1" t="s">
        <v>3315</v>
      </c>
      <c r="BW292" s="1" t="s">
        <v>2201</v>
      </c>
      <c r="BX292" s="1">
        <v>48</v>
      </c>
      <c r="BY292" s="1">
        <v>48</v>
      </c>
      <c r="BZ292" s="1">
        <v>88</v>
      </c>
      <c r="CB292" s="1" t="str">
        <f t="shared" ref="CB292:CC292" si="234">""</f>
        <v/>
      </c>
      <c r="CC292" s="1" t="str">
        <f t="shared" si="234"/>
        <v/>
      </c>
      <c r="CG292" s="1" t="s">
        <v>3634</v>
      </c>
      <c r="CH292" s="1" t="s">
        <v>219</v>
      </c>
      <c r="CI292" s="1" t="s">
        <v>220</v>
      </c>
      <c r="CJ292" s="1" t="s">
        <v>463</v>
      </c>
      <c r="CK292" s="1" t="s">
        <v>3316</v>
      </c>
      <c r="CL292" s="1" t="s">
        <v>219</v>
      </c>
      <c r="CM292" s="1" t="s">
        <v>220</v>
      </c>
      <c r="CO292" s="1" t="s">
        <v>3083</v>
      </c>
      <c r="CP292" s="1" t="s">
        <v>219</v>
      </c>
      <c r="CQ292" s="1" t="s">
        <v>220</v>
      </c>
      <c r="CR292" s="1" t="s">
        <v>463</v>
      </c>
      <c r="CS292" s="1" t="s">
        <v>2170</v>
      </c>
      <c r="CT292" s="1" t="s">
        <v>219</v>
      </c>
      <c r="CU292" s="1" t="s">
        <v>220</v>
      </c>
      <c r="CV292" s="1" t="s">
        <v>343</v>
      </c>
      <c r="CX292" s="1" t="s">
        <v>224</v>
      </c>
      <c r="DB292" s="1" t="s">
        <v>224</v>
      </c>
      <c r="DE292" s="1" t="s">
        <v>4435</v>
      </c>
      <c r="DF292" s="1" t="s">
        <v>219</v>
      </c>
      <c r="DH292" s="1" t="s">
        <v>343</v>
      </c>
      <c r="DJ292" s="1" t="s">
        <v>224</v>
      </c>
      <c r="DM292" s="1" t="s">
        <v>1005</v>
      </c>
      <c r="DR292" s="1" t="s">
        <v>1788</v>
      </c>
      <c r="DS292" s="1" t="s">
        <v>219</v>
      </c>
      <c r="DT292" s="1" t="s">
        <v>1236</v>
      </c>
      <c r="DU292" s="1" t="s">
        <v>252</v>
      </c>
      <c r="DW292" s="1" t="s">
        <v>230</v>
      </c>
      <c r="EA292" s="1" t="s">
        <v>230</v>
      </c>
      <c r="EE292" s="1" t="s">
        <v>230</v>
      </c>
      <c r="EI292" s="1" t="s">
        <v>230</v>
      </c>
      <c r="EL292" s="1" t="s">
        <v>605</v>
      </c>
      <c r="EM292" s="1" t="s">
        <v>232</v>
      </c>
      <c r="EN292" s="1" t="s">
        <v>282</v>
      </c>
      <c r="EO292" s="1" t="s">
        <v>234</v>
      </c>
      <c r="EP292" s="1" t="s">
        <v>4436</v>
      </c>
      <c r="EQ292" s="1" t="s">
        <v>492</v>
      </c>
      <c r="ER292" s="1" t="s">
        <v>210</v>
      </c>
      <c r="ES292" s="1" t="s">
        <v>4437</v>
      </c>
      <c r="EV292" s="1" t="s">
        <v>324</v>
      </c>
      <c r="EW292" s="1" t="s">
        <v>4438</v>
      </c>
      <c r="EY292" s="1" t="s">
        <v>242</v>
      </c>
      <c r="EZ292" s="1" t="s">
        <v>1005</v>
      </c>
      <c r="FA292" s="1" t="s">
        <v>4439</v>
      </c>
      <c r="FB292" s="1" t="s">
        <v>244</v>
      </c>
      <c r="FC292" s="1" t="s">
        <v>735</v>
      </c>
      <c r="FD292" s="1" t="s">
        <v>290</v>
      </c>
      <c r="FE292" s="1" t="s">
        <v>247</v>
      </c>
      <c r="FF292" s="1" t="s">
        <v>248</v>
      </c>
      <c r="FH292" s="1" t="s">
        <v>249</v>
      </c>
      <c r="FI292" s="1" t="s">
        <v>1114</v>
      </c>
      <c r="FJ292" s="1" t="s">
        <v>197</v>
      </c>
      <c r="FL292" s="1" t="s">
        <v>292</v>
      </c>
      <c r="FM292" s="1" t="s">
        <v>252</v>
      </c>
      <c r="FN292" s="1" t="s">
        <v>213</v>
      </c>
      <c r="FO292" s="1" t="s">
        <v>213</v>
      </c>
      <c r="FQ292" s="1" t="s">
        <v>4440</v>
      </c>
      <c r="FR292" s="1" t="s">
        <v>210</v>
      </c>
      <c r="FS292" s="1" t="s">
        <v>4441</v>
      </c>
      <c r="FT292" s="1" t="s">
        <v>295</v>
      </c>
      <c r="FU292" s="1" t="s">
        <v>204</v>
      </c>
      <c r="FW292" s="1" t="s">
        <v>444</v>
      </c>
      <c r="FX292" s="1">
        <v>90330</v>
      </c>
      <c r="FY292" s="1" t="s">
        <v>445</v>
      </c>
      <c r="FZ292" s="1" t="s">
        <v>4442</v>
      </c>
      <c r="GA292" s="1">
        <v>900460</v>
      </c>
      <c r="GC292" s="1">
        <v>901627</v>
      </c>
      <c r="GD292" s="1" t="s">
        <v>4443</v>
      </c>
      <c r="GE292" s="1" t="s">
        <v>210</v>
      </c>
      <c r="GI292" s="1" t="s">
        <v>213</v>
      </c>
      <c r="GJ292" s="1" t="s">
        <v>260</v>
      </c>
      <c r="GK292" s="1" t="s">
        <v>210</v>
      </c>
      <c r="GL292" s="2">
        <v>42062</v>
      </c>
      <c r="GM292" s="1" t="s">
        <v>4444</v>
      </c>
    </row>
    <row r="293" spans="1:195">
      <c r="A293" s="1">
        <v>145000</v>
      </c>
      <c r="B293" s="1" t="s">
        <v>195</v>
      </c>
      <c r="C293" s="1" t="str">
        <f>"08769185"</f>
        <v>08769185</v>
      </c>
      <c r="D293" s="1" t="s">
        <v>196</v>
      </c>
      <c r="F293" s="1" t="str">
        <f>"123"</f>
        <v>123</v>
      </c>
      <c r="G293" s="2">
        <v>41948</v>
      </c>
      <c r="H293" s="1">
        <v>159900</v>
      </c>
      <c r="I293" s="1">
        <v>150000</v>
      </c>
      <c r="J293" s="1">
        <v>145000</v>
      </c>
      <c r="K293" s="2">
        <v>41948</v>
      </c>
      <c r="L293" s="1">
        <v>79</v>
      </c>
      <c r="M293" s="2">
        <v>42026</v>
      </c>
      <c r="N293" s="1">
        <v>79</v>
      </c>
      <c r="O293" s="2">
        <v>42026</v>
      </c>
      <c r="P293" s="1">
        <v>7661</v>
      </c>
      <c r="Q293" s="1" t="s">
        <v>197</v>
      </c>
      <c r="R293" s="2">
        <v>42062</v>
      </c>
      <c r="S293" s="1">
        <v>77445</v>
      </c>
      <c r="U293" s="1">
        <v>2023</v>
      </c>
      <c r="V293" s="1" t="s">
        <v>4445</v>
      </c>
      <c r="W293" s="1" t="s">
        <v>504</v>
      </c>
      <c r="Y293" s="1">
        <v>4</v>
      </c>
      <c r="Z293" s="1" t="s">
        <v>370</v>
      </c>
      <c r="AA293" s="1" t="s">
        <v>1173</v>
      </c>
      <c r="AB293" s="1">
        <v>60123</v>
      </c>
      <c r="AD293" s="1" t="s">
        <v>4446</v>
      </c>
      <c r="AE293" s="1" t="s">
        <v>4447</v>
      </c>
      <c r="AF293" s="1">
        <v>1998</v>
      </c>
      <c r="AG293" s="1" t="s">
        <v>204</v>
      </c>
      <c r="AH293" s="1" t="s">
        <v>1175</v>
      </c>
      <c r="AI293" s="1" t="s">
        <v>665</v>
      </c>
      <c r="AJ293" s="1" t="s">
        <v>1175</v>
      </c>
      <c r="AL293" s="1">
        <v>7</v>
      </c>
      <c r="AM293" s="1">
        <v>2</v>
      </c>
      <c r="AN293" s="1">
        <v>2</v>
      </c>
      <c r="AO293" s="1">
        <v>0</v>
      </c>
      <c r="AP293" s="1" t="s">
        <v>209</v>
      </c>
      <c r="AQ293" s="1">
        <v>1</v>
      </c>
      <c r="AR293" s="1" t="s">
        <v>4448</v>
      </c>
      <c r="AS293" s="1" t="s">
        <v>213</v>
      </c>
      <c r="AT293" s="1" t="s">
        <v>211</v>
      </c>
      <c r="AU293" s="1">
        <v>2</v>
      </c>
      <c r="AW293" s="1" t="s">
        <v>204</v>
      </c>
      <c r="AX293" s="1" t="s">
        <v>212</v>
      </c>
      <c r="AZ293" s="1">
        <v>3998.1</v>
      </c>
      <c r="BA293" s="1">
        <v>2013</v>
      </c>
      <c r="BB293" s="1" t="s">
        <v>405</v>
      </c>
      <c r="BE293" s="1">
        <v>1725</v>
      </c>
      <c r="BF293" s="1">
        <v>1</v>
      </c>
      <c r="BG293" s="1">
        <v>0</v>
      </c>
      <c r="BJ293" s="1">
        <v>100</v>
      </c>
      <c r="BL293" s="1">
        <v>230</v>
      </c>
      <c r="BM293" s="1" t="s">
        <v>204</v>
      </c>
      <c r="BN293" s="1" t="s">
        <v>213</v>
      </c>
      <c r="BO293" s="1">
        <v>100</v>
      </c>
      <c r="BP293" s="1" t="s">
        <v>204</v>
      </c>
      <c r="BR293" s="1" t="str">
        <f>"0604403026"</f>
        <v>0604403026</v>
      </c>
      <c r="BT293" s="1" t="s">
        <v>4449</v>
      </c>
      <c r="BX293" s="1">
        <v>46</v>
      </c>
      <c r="BY293" s="1">
        <v>46</v>
      </c>
      <c r="BZ293" s="1">
        <v>46</v>
      </c>
      <c r="CB293" s="1" t="str">
        <f t="shared" ref="CB293:CC293" si="235">""</f>
        <v/>
      </c>
      <c r="CC293" s="1" t="str">
        <f t="shared" si="235"/>
        <v/>
      </c>
      <c r="CG293" s="1" t="s">
        <v>1267</v>
      </c>
      <c r="CH293" s="1" t="s">
        <v>219</v>
      </c>
      <c r="CI293" s="1" t="s">
        <v>220</v>
      </c>
      <c r="CJ293" s="1" t="s">
        <v>343</v>
      </c>
      <c r="CK293" s="1" t="s">
        <v>1178</v>
      </c>
      <c r="CL293" s="1" t="s">
        <v>277</v>
      </c>
      <c r="CM293" s="1" t="s">
        <v>220</v>
      </c>
      <c r="CO293" s="1" t="s">
        <v>318</v>
      </c>
      <c r="CP293" s="1" t="s">
        <v>219</v>
      </c>
      <c r="CQ293" s="1" t="s">
        <v>226</v>
      </c>
      <c r="CR293" s="1" t="s">
        <v>343</v>
      </c>
      <c r="CS293" s="1" t="s">
        <v>379</v>
      </c>
      <c r="CT293" s="1" t="s">
        <v>4450</v>
      </c>
      <c r="CU293" s="1" t="s">
        <v>220</v>
      </c>
      <c r="CV293" s="1" t="s">
        <v>463</v>
      </c>
      <c r="CX293" s="1" t="s">
        <v>224</v>
      </c>
      <c r="DB293" s="1" t="s">
        <v>224</v>
      </c>
      <c r="DE293" s="1" t="s">
        <v>318</v>
      </c>
      <c r="DF293" s="1" t="s">
        <v>219</v>
      </c>
      <c r="DG293" s="1" t="s">
        <v>226</v>
      </c>
      <c r="DI293" s="1" t="s">
        <v>2560</v>
      </c>
      <c r="DJ293" s="1" t="s">
        <v>4450</v>
      </c>
      <c r="DK293" s="1" t="s">
        <v>438</v>
      </c>
      <c r="DL293" s="1" t="s">
        <v>463</v>
      </c>
      <c r="DM293" s="1" t="s">
        <v>464</v>
      </c>
      <c r="DN293" s="1" t="s">
        <v>1771</v>
      </c>
      <c r="DR293" s="1" t="s">
        <v>225</v>
      </c>
      <c r="DS293" s="1" t="s">
        <v>277</v>
      </c>
      <c r="DT293" s="1" t="s">
        <v>220</v>
      </c>
      <c r="DV293" s="1" t="s">
        <v>910</v>
      </c>
      <c r="DW293" s="1" t="s">
        <v>277</v>
      </c>
      <c r="DX293" s="1" t="s">
        <v>220</v>
      </c>
      <c r="EA293" s="1" t="s">
        <v>230</v>
      </c>
      <c r="EE293" s="1" t="s">
        <v>230</v>
      </c>
      <c r="EI293" s="1" t="s">
        <v>230</v>
      </c>
      <c r="EL293" s="1" t="s">
        <v>670</v>
      </c>
      <c r="EM293" s="1" t="s">
        <v>319</v>
      </c>
      <c r="EN293" s="1" t="s">
        <v>282</v>
      </c>
      <c r="EO293" s="1" t="s">
        <v>234</v>
      </c>
      <c r="EQ293" s="1" t="s">
        <v>236</v>
      </c>
      <c r="ER293" s="1" t="s">
        <v>544</v>
      </c>
      <c r="ES293" s="1" t="s">
        <v>493</v>
      </c>
      <c r="ET293" s="1" t="s">
        <v>866</v>
      </c>
      <c r="EW293" s="1" t="s">
        <v>887</v>
      </c>
      <c r="EZ293" s="1" t="s">
        <v>4451</v>
      </c>
      <c r="FA293" s="1" t="s">
        <v>672</v>
      </c>
      <c r="FD293" s="1" t="s">
        <v>246</v>
      </c>
      <c r="FE293" s="1" t="s">
        <v>549</v>
      </c>
      <c r="FF293" s="1" t="s">
        <v>248</v>
      </c>
      <c r="FG293" s="1" t="s">
        <v>912</v>
      </c>
      <c r="FH293" s="1" t="s">
        <v>1428</v>
      </c>
      <c r="FI293" s="1" t="s">
        <v>473</v>
      </c>
      <c r="FL293" s="1" t="s">
        <v>358</v>
      </c>
      <c r="FM293" s="1" t="s">
        <v>252</v>
      </c>
      <c r="FN293" s="1" t="s">
        <v>213</v>
      </c>
      <c r="FO293" s="1" t="s">
        <v>213</v>
      </c>
      <c r="FQ293" s="1" t="s">
        <v>793</v>
      </c>
      <c r="FR293" s="1" t="s">
        <v>210</v>
      </c>
      <c r="FS293" s="1" t="s">
        <v>4452</v>
      </c>
      <c r="FT293" s="1" t="s">
        <v>255</v>
      </c>
      <c r="FU293" s="1" t="s">
        <v>204</v>
      </c>
      <c r="FW293" s="1" t="s">
        <v>1097</v>
      </c>
      <c r="FX293" s="1">
        <v>355</v>
      </c>
      <c r="FY293" s="1" t="s">
        <v>1590</v>
      </c>
      <c r="FZ293" s="1" t="s">
        <v>4453</v>
      </c>
      <c r="GA293" s="1">
        <v>70118</v>
      </c>
      <c r="GB293" s="1" t="s">
        <v>4454</v>
      </c>
      <c r="GC293" s="1">
        <v>77887</v>
      </c>
      <c r="GD293" s="1" t="s">
        <v>4455</v>
      </c>
      <c r="GE293" s="1" t="s">
        <v>1256</v>
      </c>
      <c r="GI293" s="1" t="s">
        <v>213</v>
      </c>
      <c r="GJ293" s="1" t="s">
        <v>260</v>
      </c>
      <c r="GK293" s="1" t="s">
        <v>210</v>
      </c>
      <c r="GL293" s="2">
        <v>42062</v>
      </c>
      <c r="GM293" s="1" t="s">
        <v>4456</v>
      </c>
    </row>
    <row r="294" spans="1:195">
      <c r="A294" s="1">
        <v>115000</v>
      </c>
      <c r="B294" s="1" t="s">
        <v>195</v>
      </c>
      <c r="C294" s="1" t="str">
        <f>"08809813"</f>
        <v>08809813</v>
      </c>
      <c r="D294" s="1" t="s">
        <v>196</v>
      </c>
      <c r="F294" s="1" t="str">
        <f>"31"</f>
        <v>31</v>
      </c>
      <c r="G294" s="2">
        <v>42009</v>
      </c>
      <c r="H294" s="1">
        <v>119900</v>
      </c>
      <c r="I294" s="1">
        <v>119900</v>
      </c>
      <c r="J294" s="1">
        <v>115000</v>
      </c>
      <c r="K294" s="2">
        <v>42009</v>
      </c>
      <c r="L294" s="1">
        <v>5</v>
      </c>
      <c r="M294" s="2">
        <v>42013</v>
      </c>
      <c r="N294" s="1">
        <v>5</v>
      </c>
      <c r="O294" s="2">
        <v>42013</v>
      </c>
      <c r="P294" s="1">
        <v>23076</v>
      </c>
      <c r="Q294" s="1" t="s">
        <v>302</v>
      </c>
      <c r="R294" s="2">
        <v>42032</v>
      </c>
      <c r="S294" s="1">
        <v>225492</v>
      </c>
      <c r="U294" s="1">
        <v>917</v>
      </c>
      <c r="V294" s="1" t="s">
        <v>4457</v>
      </c>
      <c r="W294" s="1" t="s">
        <v>264</v>
      </c>
      <c r="X294" s="1">
        <v>408</v>
      </c>
      <c r="Y294" s="1">
        <v>72</v>
      </c>
      <c r="Z294" s="1" t="s">
        <v>249</v>
      </c>
      <c r="AA294" s="1" t="s">
        <v>1057</v>
      </c>
      <c r="AB294" s="1">
        <v>60031</v>
      </c>
      <c r="AD294" s="1" t="s">
        <v>4200</v>
      </c>
      <c r="AE294" s="1" t="s">
        <v>4458</v>
      </c>
      <c r="AF294" s="1">
        <v>1978</v>
      </c>
      <c r="AG294" s="1" t="s">
        <v>204</v>
      </c>
      <c r="AH294" s="1" t="s">
        <v>1060</v>
      </c>
      <c r="AI294" s="1" t="s">
        <v>509</v>
      </c>
      <c r="AJ294" s="1" t="s">
        <v>1061</v>
      </c>
      <c r="AL294" s="1">
        <v>5</v>
      </c>
      <c r="AM294" s="1">
        <v>2</v>
      </c>
      <c r="AN294" s="1">
        <v>2</v>
      </c>
      <c r="AO294" s="1">
        <v>0</v>
      </c>
      <c r="AP294" s="1" t="s">
        <v>209</v>
      </c>
      <c r="AQ294" s="1">
        <v>1</v>
      </c>
      <c r="AR294" s="1" t="s">
        <v>210</v>
      </c>
      <c r="AS294" s="1" t="s">
        <v>204</v>
      </c>
      <c r="AT294" s="1" t="s">
        <v>375</v>
      </c>
      <c r="AU294" s="1">
        <v>1</v>
      </c>
      <c r="AV294" s="1">
        <v>1</v>
      </c>
      <c r="AW294" s="1" t="s">
        <v>204</v>
      </c>
      <c r="AX294" s="1" t="s">
        <v>1265</v>
      </c>
      <c r="AZ294" s="1">
        <v>1766</v>
      </c>
      <c r="BA294" s="1">
        <v>2013</v>
      </c>
      <c r="BB294" s="1" t="s">
        <v>599</v>
      </c>
      <c r="BE294" s="1">
        <v>1380</v>
      </c>
      <c r="BF294" s="1">
        <v>4</v>
      </c>
      <c r="BG294" s="1">
        <v>0</v>
      </c>
      <c r="BL294" s="1">
        <v>398</v>
      </c>
      <c r="BM294" s="1" t="s">
        <v>204</v>
      </c>
      <c r="BN294" s="1" t="s">
        <v>213</v>
      </c>
      <c r="BO294" s="1">
        <v>999</v>
      </c>
      <c r="BP294" s="1" t="s">
        <v>204</v>
      </c>
      <c r="BR294" s="1" t="str">
        <f>"07284050440000"</f>
        <v>07284050440000</v>
      </c>
      <c r="BT294" s="1" t="s">
        <v>4459</v>
      </c>
      <c r="BX294" s="1">
        <v>50</v>
      </c>
      <c r="BY294" s="1">
        <v>50</v>
      </c>
      <c r="BZ294" s="1">
        <v>121</v>
      </c>
      <c r="CB294" s="1" t="str">
        <f>"33"</f>
        <v>33</v>
      </c>
      <c r="CC294" s="1" t="str">
        <f>"0"</f>
        <v>0</v>
      </c>
      <c r="CD294" s="1">
        <v>16</v>
      </c>
      <c r="CE294" s="1">
        <v>0</v>
      </c>
      <c r="CG294" s="1" t="s">
        <v>4460</v>
      </c>
      <c r="CH294" s="1" t="s">
        <v>219</v>
      </c>
      <c r="CI294" s="1" t="s">
        <v>229</v>
      </c>
      <c r="CJ294" s="1" t="s">
        <v>210</v>
      </c>
      <c r="CK294" s="1" t="s">
        <v>538</v>
      </c>
      <c r="CL294" s="1" t="s">
        <v>219</v>
      </c>
      <c r="CM294" s="1" t="s">
        <v>229</v>
      </c>
      <c r="CN294" s="1" t="s">
        <v>210</v>
      </c>
      <c r="CO294" s="1" t="s">
        <v>318</v>
      </c>
      <c r="CP294" s="1" t="s">
        <v>219</v>
      </c>
      <c r="CQ294" s="1" t="s">
        <v>229</v>
      </c>
      <c r="CR294" s="1" t="s">
        <v>210</v>
      </c>
      <c r="CS294" s="1" t="s">
        <v>461</v>
      </c>
      <c r="CT294" s="1" t="s">
        <v>219</v>
      </c>
      <c r="CU294" s="1" t="s">
        <v>229</v>
      </c>
      <c r="CV294" s="1" t="s">
        <v>210</v>
      </c>
      <c r="CX294" s="1" t="s">
        <v>224</v>
      </c>
      <c r="DB294" s="1" t="s">
        <v>224</v>
      </c>
      <c r="DE294" s="1" t="s">
        <v>2231</v>
      </c>
      <c r="DF294" s="1" t="s">
        <v>219</v>
      </c>
      <c r="DG294" s="1" t="s">
        <v>229</v>
      </c>
      <c r="DH294" s="1" t="s">
        <v>210</v>
      </c>
      <c r="DJ294" s="1" t="s">
        <v>224</v>
      </c>
      <c r="DM294" s="1" t="s">
        <v>709</v>
      </c>
      <c r="DR294" s="1" t="s">
        <v>973</v>
      </c>
      <c r="DS294" s="1" t="s">
        <v>219</v>
      </c>
      <c r="DT294" s="1" t="s">
        <v>229</v>
      </c>
      <c r="DU294" s="1" t="s">
        <v>210</v>
      </c>
      <c r="DW294" s="1" t="s">
        <v>230</v>
      </c>
      <c r="EA294" s="1" t="s">
        <v>230</v>
      </c>
      <c r="EE294" s="1" t="s">
        <v>230</v>
      </c>
      <c r="EI294" s="1" t="s">
        <v>230</v>
      </c>
      <c r="EL294" s="1" t="s">
        <v>231</v>
      </c>
      <c r="EM294" s="1" t="s">
        <v>232</v>
      </c>
      <c r="EN294" s="1" t="s">
        <v>282</v>
      </c>
      <c r="EO294" s="1" t="s">
        <v>234</v>
      </c>
      <c r="EP294" s="1" t="s">
        <v>4461</v>
      </c>
      <c r="EQ294" s="1" t="s">
        <v>4462</v>
      </c>
      <c r="ER294" s="1" t="s">
        <v>210</v>
      </c>
      <c r="ET294" s="1" t="s">
        <v>323</v>
      </c>
      <c r="EV294" s="1" t="s">
        <v>352</v>
      </c>
      <c r="EW294" s="1" t="s">
        <v>2587</v>
      </c>
      <c r="EY294" s="1" t="s">
        <v>242</v>
      </c>
      <c r="EZ294" s="1" t="s">
        <v>709</v>
      </c>
      <c r="FB294" s="1" t="s">
        <v>4027</v>
      </c>
      <c r="FD294" s="1" t="s">
        <v>246</v>
      </c>
      <c r="FE294" s="1" t="s">
        <v>247</v>
      </c>
      <c r="FF294" s="1" t="s">
        <v>248</v>
      </c>
      <c r="FG294" s="1" t="s">
        <v>939</v>
      </c>
      <c r="FH294" s="1" t="s">
        <v>1942</v>
      </c>
      <c r="FI294" s="1" t="s">
        <v>250</v>
      </c>
      <c r="FJ294" s="1" t="s">
        <v>1251</v>
      </c>
      <c r="FK294" s="1" t="s">
        <v>2190</v>
      </c>
      <c r="FL294" s="1" t="s">
        <v>292</v>
      </c>
      <c r="FM294" s="1" t="s">
        <v>252</v>
      </c>
      <c r="FN294" s="1" t="s">
        <v>213</v>
      </c>
      <c r="FO294" s="1" t="s">
        <v>213</v>
      </c>
      <c r="FQ294" s="1" t="s">
        <v>793</v>
      </c>
      <c r="FR294" s="1" t="s">
        <v>210</v>
      </c>
      <c r="FS294" s="1" t="s">
        <v>4463</v>
      </c>
      <c r="FT294" s="1" t="s">
        <v>255</v>
      </c>
      <c r="FU294" s="1" t="s">
        <v>204</v>
      </c>
      <c r="FV294" s="1" t="s">
        <v>4464</v>
      </c>
      <c r="FW294" s="1" t="s">
        <v>4465</v>
      </c>
      <c r="FX294" s="1">
        <v>2414</v>
      </c>
      <c r="FY294" s="1" t="s">
        <v>4466</v>
      </c>
      <c r="FZ294" s="1" t="s">
        <v>4467</v>
      </c>
      <c r="GA294" s="1">
        <v>224819</v>
      </c>
      <c r="GB294" s="1" t="s">
        <v>4468</v>
      </c>
      <c r="GE294" s="1" t="s">
        <v>210</v>
      </c>
      <c r="GI294" s="1" t="s">
        <v>213</v>
      </c>
      <c r="GJ294" s="1" t="s">
        <v>260</v>
      </c>
      <c r="GK294" s="1" t="s">
        <v>210</v>
      </c>
      <c r="GL294" s="2">
        <v>42033</v>
      </c>
      <c r="GM294" s="1" t="s">
        <v>4469</v>
      </c>
    </row>
    <row r="295" spans="1:195">
      <c r="A295" s="1">
        <v>99900</v>
      </c>
      <c r="B295" s="1" t="s">
        <v>195</v>
      </c>
      <c r="C295" s="1" t="str">
        <f>"08793111"</f>
        <v>08793111</v>
      </c>
      <c r="D295" s="1" t="s">
        <v>196</v>
      </c>
      <c r="F295" s="1" t="str">
        <f>"545"</f>
        <v>545</v>
      </c>
      <c r="G295" s="2">
        <v>41969</v>
      </c>
      <c r="H295" s="1">
        <v>99900</v>
      </c>
      <c r="I295" s="1">
        <v>99900</v>
      </c>
      <c r="J295" s="1">
        <v>99900</v>
      </c>
      <c r="K295" s="2">
        <v>41969</v>
      </c>
      <c r="L295" s="1">
        <v>301</v>
      </c>
      <c r="M295" s="2">
        <v>42033</v>
      </c>
      <c r="N295" s="1">
        <v>65</v>
      </c>
      <c r="O295" s="2">
        <v>42033</v>
      </c>
      <c r="P295" s="1">
        <v>23030</v>
      </c>
      <c r="Q295" s="1" t="s">
        <v>302</v>
      </c>
      <c r="R295" s="2">
        <v>42075</v>
      </c>
      <c r="S295" s="1">
        <v>227819</v>
      </c>
      <c r="U295" s="1">
        <v>3957</v>
      </c>
      <c r="V295" s="1" t="s">
        <v>4470</v>
      </c>
      <c r="W295" s="1" t="s">
        <v>725</v>
      </c>
      <c r="Y295" s="1">
        <v>4</v>
      </c>
      <c r="Z295" s="1" t="s">
        <v>370</v>
      </c>
      <c r="AA295" s="1" t="s">
        <v>1335</v>
      </c>
      <c r="AB295" s="1">
        <v>60545</v>
      </c>
      <c r="AE295" s="1" t="s">
        <v>4471</v>
      </c>
      <c r="AF295" s="1">
        <v>2010</v>
      </c>
      <c r="AG295" s="1" t="s">
        <v>204</v>
      </c>
      <c r="AH295" s="1" t="s">
        <v>1338</v>
      </c>
      <c r="AI295" s="1" t="s">
        <v>453</v>
      </c>
      <c r="AJ295" s="1" t="s">
        <v>1339</v>
      </c>
      <c r="AL295" s="1">
        <v>6</v>
      </c>
      <c r="AM295" s="1">
        <v>2</v>
      </c>
      <c r="AN295" s="1">
        <v>2</v>
      </c>
      <c r="AO295" s="1">
        <v>1</v>
      </c>
      <c r="AP295" s="1" t="s">
        <v>209</v>
      </c>
      <c r="AR295" s="1" t="s">
        <v>210</v>
      </c>
      <c r="AS295" s="1" t="s">
        <v>204</v>
      </c>
      <c r="AT295" s="1" t="s">
        <v>211</v>
      </c>
      <c r="AU295" s="1">
        <v>2</v>
      </c>
      <c r="AW295" s="1" t="s">
        <v>204</v>
      </c>
      <c r="AX295" s="1" t="s">
        <v>212</v>
      </c>
      <c r="AZ295" s="1">
        <v>4510</v>
      </c>
      <c r="BA295" s="1">
        <v>2013</v>
      </c>
      <c r="BB295" s="1" t="s">
        <v>405</v>
      </c>
      <c r="BE295" s="1">
        <v>1475</v>
      </c>
      <c r="BF295" s="1">
        <v>1</v>
      </c>
      <c r="BG295" s="1">
        <v>0</v>
      </c>
      <c r="BL295" s="1">
        <v>130</v>
      </c>
      <c r="BM295" s="1" t="s">
        <v>204</v>
      </c>
      <c r="BN295" s="1" t="s">
        <v>213</v>
      </c>
      <c r="BO295" s="1">
        <v>99</v>
      </c>
      <c r="BP295" s="1" t="s">
        <v>204</v>
      </c>
      <c r="BR295" s="1" t="str">
        <f>"0125204040"</f>
        <v>0125204040</v>
      </c>
      <c r="BT295" s="1" t="s">
        <v>4472</v>
      </c>
      <c r="BX295" s="1">
        <v>88</v>
      </c>
      <c r="BY295" s="1">
        <v>88</v>
      </c>
      <c r="BZ295" s="1">
        <v>88</v>
      </c>
      <c r="CB295" s="1" t="str">
        <f t="shared" ref="CB295:CC295" si="236">""</f>
        <v/>
      </c>
      <c r="CC295" s="1" t="str">
        <f t="shared" si="236"/>
        <v/>
      </c>
      <c r="CG295" s="1" t="s">
        <v>2307</v>
      </c>
      <c r="CH295" s="1" t="s">
        <v>219</v>
      </c>
      <c r="CI295" s="1" t="s">
        <v>220</v>
      </c>
      <c r="CK295" s="1" t="s">
        <v>757</v>
      </c>
      <c r="CL295" s="1" t="s">
        <v>277</v>
      </c>
      <c r="CO295" s="1" t="s">
        <v>757</v>
      </c>
      <c r="CP295" s="1" t="s">
        <v>219</v>
      </c>
      <c r="CQ295" s="1" t="s">
        <v>220</v>
      </c>
      <c r="CS295" s="1" t="s">
        <v>379</v>
      </c>
      <c r="CT295" s="1" t="s">
        <v>277</v>
      </c>
      <c r="CX295" s="1" t="s">
        <v>224</v>
      </c>
      <c r="DB295" s="1" t="s">
        <v>224</v>
      </c>
      <c r="DE295" s="1" t="s">
        <v>539</v>
      </c>
      <c r="DF295" s="1" t="s">
        <v>219</v>
      </c>
      <c r="DG295" s="1" t="s">
        <v>226</v>
      </c>
      <c r="DJ295" s="1" t="s">
        <v>224</v>
      </c>
      <c r="DM295" s="1" t="s">
        <v>464</v>
      </c>
      <c r="DR295" s="1" t="s">
        <v>757</v>
      </c>
      <c r="DS295" s="1" t="s">
        <v>277</v>
      </c>
      <c r="DW295" s="1" t="s">
        <v>230</v>
      </c>
      <c r="EA295" s="1" t="s">
        <v>230</v>
      </c>
      <c r="EE295" s="1" t="s">
        <v>230</v>
      </c>
      <c r="EI295" s="1" t="s">
        <v>230</v>
      </c>
      <c r="EL295" s="1" t="s">
        <v>1549</v>
      </c>
      <c r="EM295" s="1" t="s">
        <v>319</v>
      </c>
      <c r="EN295" s="1" t="s">
        <v>282</v>
      </c>
      <c r="EO295" s="1" t="s">
        <v>234</v>
      </c>
      <c r="ER295" s="1" t="s">
        <v>210</v>
      </c>
      <c r="EW295" s="1" t="s">
        <v>867</v>
      </c>
      <c r="EZ295" s="1" t="s">
        <v>464</v>
      </c>
      <c r="FD295" s="1" t="s">
        <v>246</v>
      </c>
      <c r="FE295" s="1" t="s">
        <v>472</v>
      </c>
      <c r="FF295" s="1" t="s">
        <v>248</v>
      </c>
      <c r="FH295" s="1" t="s">
        <v>550</v>
      </c>
      <c r="FL295" s="1" t="s">
        <v>810</v>
      </c>
      <c r="FM295" s="1" t="s">
        <v>252</v>
      </c>
      <c r="FN295" s="1" t="s">
        <v>213</v>
      </c>
      <c r="FO295" s="1" t="s">
        <v>213</v>
      </c>
      <c r="FQ295" s="1" t="s">
        <v>582</v>
      </c>
      <c r="FR295" s="1" t="s">
        <v>210</v>
      </c>
      <c r="FS295" s="1" t="s">
        <v>1347</v>
      </c>
      <c r="FT295" s="1" t="s">
        <v>520</v>
      </c>
      <c r="FU295" s="1" t="s">
        <v>204</v>
      </c>
      <c r="FW295" s="1" t="s">
        <v>1348</v>
      </c>
      <c r="FX295" s="1">
        <v>83</v>
      </c>
      <c r="FY295" s="1" t="s">
        <v>1349</v>
      </c>
      <c r="FZ295" s="1" t="s">
        <v>1350</v>
      </c>
      <c r="GA295" s="1">
        <v>287</v>
      </c>
      <c r="GB295" s="1" t="s">
        <v>1351</v>
      </c>
      <c r="GE295" s="1" t="s">
        <v>210</v>
      </c>
      <c r="GI295" s="1" t="s">
        <v>213</v>
      </c>
      <c r="GJ295" s="1" t="s">
        <v>260</v>
      </c>
      <c r="GK295" s="1" t="s">
        <v>261</v>
      </c>
      <c r="GL295" s="2">
        <v>42076</v>
      </c>
      <c r="GM295" s="1" t="s">
        <v>4473</v>
      </c>
    </row>
    <row r="296" spans="1:195">
      <c r="A296" s="1">
        <v>92000</v>
      </c>
      <c r="B296" s="1" t="s">
        <v>195</v>
      </c>
      <c r="C296" s="1" t="str">
        <f>"08772192"</f>
        <v>08772192</v>
      </c>
      <c r="D296" s="1" t="s">
        <v>196</v>
      </c>
      <c r="F296" s="1" t="str">
        <f>"559"</f>
        <v>559</v>
      </c>
      <c r="G296" s="2">
        <v>41952</v>
      </c>
      <c r="H296" s="1">
        <v>99900</v>
      </c>
      <c r="I296" s="1">
        <v>92000</v>
      </c>
      <c r="J296" s="1">
        <v>92000</v>
      </c>
      <c r="K296" s="2">
        <v>41950</v>
      </c>
      <c r="L296" s="1">
        <v>59</v>
      </c>
      <c r="M296" s="2">
        <v>42004</v>
      </c>
      <c r="N296" s="1">
        <v>55</v>
      </c>
      <c r="O296" s="2">
        <v>42004</v>
      </c>
      <c r="P296" s="1">
        <v>85812</v>
      </c>
      <c r="Q296" s="1" t="s">
        <v>197</v>
      </c>
      <c r="R296" s="2">
        <v>42052</v>
      </c>
      <c r="S296" s="1">
        <v>135274</v>
      </c>
      <c r="U296" s="1">
        <v>67</v>
      </c>
      <c r="V296" s="1" t="s">
        <v>4474</v>
      </c>
      <c r="W296" s="1" t="s">
        <v>725</v>
      </c>
      <c r="X296" s="1">
        <v>103</v>
      </c>
      <c r="Y296" s="1">
        <v>12</v>
      </c>
      <c r="Z296" s="1" t="s">
        <v>370</v>
      </c>
      <c r="AA296" s="1" t="s">
        <v>1950</v>
      </c>
      <c r="AB296" s="1">
        <v>60559</v>
      </c>
      <c r="AD296" s="1" t="s">
        <v>4475</v>
      </c>
      <c r="AE296" s="1" t="s">
        <v>4476</v>
      </c>
      <c r="AF296" s="1">
        <v>1975</v>
      </c>
      <c r="AG296" s="1" t="s">
        <v>213</v>
      </c>
      <c r="AH296" s="1" t="s">
        <v>1952</v>
      </c>
      <c r="AI296" s="1" t="s">
        <v>206</v>
      </c>
      <c r="AJ296" s="1" t="s">
        <v>903</v>
      </c>
      <c r="AL296" s="1">
        <v>5</v>
      </c>
      <c r="AM296" s="1">
        <v>2</v>
      </c>
      <c r="AN296" s="1">
        <v>2</v>
      </c>
      <c r="AO296" s="1">
        <v>0</v>
      </c>
      <c r="AP296" s="1" t="s">
        <v>209</v>
      </c>
      <c r="AQ296" s="1">
        <v>1</v>
      </c>
      <c r="AR296" s="1" t="s">
        <v>210</v>
      </c>
      <c r="AT296" s="1" t="s">
        <v>211</v>
      </c>
      <c r="AU296" s="1">
        <v>1</v>
      </c>
      <c r="AW296" s="1" t="s">
        <v>204</v>
      </c>
      <c r="AX296" s="1" t="s">
        <v>212</v>
      </c>
      <c r="AZ296" s="1">
        <v>1804</v>
      </c>
      <c r="BA296" s="1">
        <v>2013</v>
      </c>
      <c r="BB296" s="1" t="s">
        <v>405</v>
      </c>
      <c r="BE296" s="1">
        <v>750</v>
      </c>
      <c r="BF296" s="1">
        <v>1</v>
      </c>
      <c r="BG296" s="1">
        <v>10</v>
      </c>
      <c r="BL296" s="1">
        <v>232</v>
      </c>
      <c r="BM296" s="1" t="s">
        <v>413</v>
      </c>
      <c r="BN296" s="1" t="s">
        <v>213</v>
      </c>
      <c r="BO296" s="1">
        <v>40</v>
      </c>
      <c r="BP296" s="1" t="s">
        <v>204</v>
      </c>
      <c r="BR296" s="1" t="str">
        <f>"0921213055"</f>
        <v>0921213055</v>
      </c>
      <c r="BT296" s="1" t="s">
        <v>4477</v>
      </c>
      <c r="BX296" s="1">
        <v>60</v>
      </c>
      <c r="BY296" s="1">
        <v>60</v>
      </c>
      <c r="BZ296" s="1">
        <v>99</v>
      </c>
      <c r="CB296" s="1" t="str">
        <f t="shared" ref="CB296:CC296" si="237">"0"</f>
        <v>0</v>
      </c>
      <c r="CC296" s="1" t="str">
        <f t="shared" si="237"/>
        <v>0</v>
      </c>
      <c r="CD296" s="1">
        <v>1</v>
      </c>
      <c r="CE296" s="1">
        <v>18</v>
      </c>
      <c r="CG296" s="1" t="s">
        <v>1045</v>
      </c>
      <c r="CH296" s="1" t="s">
        <v>219</v>
      </c>
      <c r="CI296" s="1" t="s">
        <v>220</v>
      </c>
      <c r="CK296" s="1" t="s">
        <v>539</v>
      </c>
      <c r="CL296" s="1" t="s">
        <v>219</v>
      </c>
      <c r="CM296" s="1" t="s">
        <v>220</v>
      </c>
      <c r="CO296" s="1" t="s">
        <v>2231</v>
      </c>
      <c r="CP296" s="1" t="s">
        <v>219</v>
      </c>
      <c r="CQ296" s="1" t="s">
        <v>220</v>
      </c>
      <c r="CR296" s="1" t="s">
        <v>210</v>
      </c>
      <c r="CS296" s="1" t="s">
        <v>346</v>
      </c>
      <c r="CT296" s="1" t="s">
        <v>219</v>
      </c>
      <c r="CU296" s="1" t="s">
        <v>220</v>
      </c>
      <c r="CX296" s="1" t="s">
        <v>224</v>
      </c>
      <c r="DB296" s="1" t="s">
        <v>224</v>
      </c>
      <c r="DE296" s="1" t="s">
        <v>821</v>
      </c>
      <c r="DF296" s="1" t="s">
        <v>219</v>
      </c>
      <c r="DJ296" s="1" t="s">
        <v>224</v>
      </c>
      <c r="DS296" s="1" t="s">
        <v>230</v>
      </c>
      <c r="DW296" s="1" t="s">
        <v>230</v>
      </c>
      <c r="EA296" s="1" t="s">
        <v>230</v>
      </c>
      <c r="EE296" s="1" t="s">
        <v>230</v>
      </c>
      <c r="EI296" s="1" t="s">
        <v>230</v>
      </c>
      <c r="EL296" s="1" t="s">
        <v>231</v>
      </c>
      <c r="EM296" s="1" t="s">
        <v>232</v>
      </c>
      <c r="EN296" s="1" t="s">
        <v>282</v>
      </c>
      <c r="EO296" s="1" t="s">
        <v>234</v>
      </c>
      <c r="EP296" s="1" t="s">
        <v>4478</v>
      </c>
      <c r="EQ296" s="1" t="s">
        <v>1109</v>
      </c>
      <c r="ER296" s="1" t="s">
        <v>210</v>
      </c>
      <c r="ES296" s="1" t="s">
        <v>545</v>
      </c>
      <c r="EU296" s="1" t="s">
        <v>239</v>
      </c>
      <c r="EV296" s="1" t="s">
        <v>324</v>
      </c>
      <c r="EW296" s="1" t="s">
        <v>4479</v>
      </c>
      <c r="EY296" s="1" t="s">
        <v>242</v>
      </c>
      <c r="EZ296" s="1" t="s">
        <v>287</v>
      </c>
      <c r="FB296" s="1" t="s">
        <v>1505</v>
      </c>
      <c r="FC296" s="1" t="s">
        <v>1405</v>
      </c>
      <c r="FD296" s="1" t="s">
        <v>246</v>
      </c>
      <c r="FE296" s="1" t="s">
        <v>549</v>
      </c>
      <c r="FF296" s="1" t="s">
        <v>248</v>
      </c>
      <c r="FH296" s="1" t="s">
        <v>249</v>
      </c>
      <c r="FL296" s="1" t="s">
        <v>414</v>
      </c>
      <c r="FM296" s="1" t="s">
        <v>252</v>
      </c>
      <c r="FN296" s="1" t="s">
        <v>213</v>
      </c>
      <c r="FO296" s="1" t="s">
        <v>213</v>
      </c>
      <c r="FQ296" s="1" t="s">
        <v>689</v>
      </c>
      <c r="FR296" s="1" t="s">
        <v>210</v>
      </c>
      <c r="FS296" s="1" t="s">
        <v>4480</v>
      </c>
      <c r="FT296" s="1" t="s">
        <v>1828</v>
      </c>
      <c r="FU296" s="1" t="s">
        <v>204</v>
      </c>
      <c r="FW296" s="1" t="s">
        <v>4481</v>
      </c>
      <c r="FX296" s="1">
        <v>84467</v>
      </c>
      <c r="FY296" s="1" t="s">
        <v>4482</v>
      </c>
      <c r="FZ296" s="1" t="s">
        <v>4483</v>
      </c>
      <c r="GA296" s="1">
        <v>183899</v>
      </c>
      <c r="GD296" s="1" t="s">
        <v>4484</v>
      </c>
      <c r="GE296" s="1" t="s">
        <v>480</v>
      </c>
      <c r="GH296" s="1" t="s">
        <v>589</v>
      </c>
      <c r="GI296" s="1" t="s">
        <v>213</v>
      </c>
      <c r="GJ296" s="1" t="s">
        <v>260</v>
      </c>
      <c r="GK296" s="1" t="s">
        <v>210</v>
      </c>
      <c r="GL296" s="2">
        <v>42052</v>
      </c>
      <c r="GM296" s="1" t="s">
        <v>4485</v>
      </c>
    </row>
    <row r="297" spans="1:195">
      <c r="A297" s="1">
        <v>345000</v>
      </c>
      <c r="B297" s="1" t="s">
        <v>195</v>
      </c>
      <c r="C297" s="1" t="str">
        <f>"08793604"</f>
        <v>08793604</v>
      </c>
      <c r="D297" s="1" t="s">
        <v>196</v>
      </c>
      <c r="F297" s="1" t="str">
        <f>"540"</f>
        <v>540</v>
      </c>
      <c r="G297" s="2">
        <v>41971</v>
      </c>
      <c r="H297" s="1">
        <v>349900</v>
      </c>
      <c r="I297" s="1">
        <v>349900</v>
      </c>
      <c r="J297" s="1">
        <v>345000</v>
      </c>
      <c r="K297" s="2">
        <v>41971</v>
      </c>
      <c r="L297" s="1">
        <v>6</v>
      </c>
      <c r="M297" s="2">
        <v>41976</v>
      </c>
      <c r="N297" s="1">
        <v>6</v>
      </c>
      <c r="O297" s="2">
        <v>41976</v>
      </c>
      <c r="P297" s="1">
        <v>25196</v>
      </c>
      <c r="Q297" s="1" t="s">
        <v>302</v>
      </c>
      <c r="R297" s="2">
        <v>42034</v>
      </c>
      <c r="S297" s="1">
        <v>214545</v>
      </c>
      <c r="U297" s="1">
        <v>509</v>
      </c>
      <c r="V297" s="1" t="s">
        <v>1126</v>
      </c>
      <c r="W297" s="1" t="s">
        <v>425</v>
      </c>
      <c r="X297" s="1">
        <v>117</v>
      </c>
      <c r="Y297" s="1">
        <v>120</v>
      </c>
      <c r="Z297" s="1" t="s">
        <v>249</v>
      </c>
      <c r="AA297" s="1" t="s">
        <v>921</v>
      </c>
      <c r="AB297" s="1">
        <v>60540</v>
      </c>
      <c r="AD297" s="1" t="s">
        <v>4486</v>
      </c>
      <c r="AE297" s="1" t="s">
        <v>4487</v>
      </c>
      <c r="AF297" s="1">
        <v>1986</v>
      </c>
      <c r="AG297" s="1" t="s">
        <v>204</v>
      </c>
      <c r="AH297" s="1" t="s">
        <v>924</v>
      </c>
      <c r="AI297" s="1" t="s">
        <v>206</v>
      </c>
      <c r="AJ297" s="1" t="s">
        <v>924</v>
      </c>
      <c r="AK297" s="1" t="s">
        <v>4488</v>
      </c>
      <c r="AL297" s="1">
        <v>5</v>
      </c>
      <c r="AM297" s="1">
        <v>2</v>
      </c>
      <c r="AN297" s="1">
        <v>2</v>
      </c>
      <c r="AO297" s="1">
        <v>0</v>
      </c>
      <c r="AP297" s="1" t="s">
        <v>209</v>
      </c>
      <c r="AR297" s="1" t="s">
        <v>210</v>
      </c>
      <c r="AT297" s="1" t="s">
        <v>211</v>
      </c>
      <c r="AU297" s="1">
        <v>1</v>
      </c>
      <c r="AW297" s="1" t="s">
        <v>213</v>
      </c>
      <c r="AX297" s="1" t="s">
        <v>212</v>
      </c>
      <c r="AZ297" s="1">
        <v>5834</v>
      </c>
      <c r="BA297" s="1">
        <v>2013</v>
      </c>
      <c r="BB297" s="1" t="s">
        <v>405</v>
      </c>
      <c r="BE297" s="1">
        <v>1192</v>
      </c>
      <c r="BF297" s="1">
        <v>1</v>
      </c>
      <c r="BG297" s="1">
        <v>0</v>
      </c>
      <c r="BL297" s="1">
        <v>633</v>
      </c>
      <c r="BM297" s="1" t="s">
        <v>204</v>
      </c>
      <c r="BN297" s="1" t="s">
        <v>213</v>
      </c>
      <c r="BP297" s="1" t="s">
        <v>204</v>
      </c>
      <c r="BR297" s="1" t="str">
        <f>"0724124204"</f>
        <v>0724124204</v>
      </c>
      <c r="BT297" s="1" t="s">
        <v>4489</v>
      </c>
      <c r="BU297" s="1" t="s">
        <v>928</v>
      </c>
      <c r="BV297" s="1" t="s">
        <v>929</v>
      </c>
      <c r="BW297" s="1" t="s">
        <v>930</v>
      </c>
      <c r="BX297" s="1">
        <v>203</v>
      </c>
      <c r="BY297" s="1">
        <v>203</v>
      </c>
      <c r="BZ297" s="1">
        <v>203</v>
      </c>
      <c r="CB297" s="1" t="str">
        <f t="shared" ref="CB297:CC297" si="238">"0"</f>
        <v>0</v>
      </c>
      <c r="CC297" s="1" t="str">
        <f t="shared" si="238"/>
        <v>0</v>
      </c>
      <c r="CD297" s="1">
        <v>27</v>
      </c>
      <c r="CE297" s="1">
        <v>7</v>
      </c>
      <c r="CG297" s="1" t="s">
        <v>861</v>
      </c>
      <c r="CH297" s="1" t="s">
        <v>219</v>
      </c>
      <c r="CI297" s="1" t="s">
        <v>347</v>
      </c>
      <c r="CJ297" s="1" t="s">
        <v>343</v>
      </c>
      <c r="CK297" s="1" t="s">
        <v>221</v>
      </c>
      <c r="CL297" s="1" t="s">
        <v>219</v>
      </c>
      <c r="CM297" s="1" t="s">
        <v>220</v>
      </c>
      <c r="CN297" s="1" t="s">
        <v>343</v>
      </c>
      <c r="CO297" s="1" t="s">
        <v>316</v>
      </c>
      <c r="CP297" s="1" t="s">
        <v>219</v>
      </c>
      <c r="CQ297" s="1" t="s">
        <v>347</v>
      </c>
      <c r="CR297" s="1" t="s">
        <v>343</v>
      </c>
      <c r="CS297" s="1" t="s">
        <v>1046</v>
      </c>
      <c r="CT297" s="1" t="s">
        <v>219</v>
      </c>
      <c r="CU297" s="1" t="s">
        <v>347</v>
      </c>
      <c r="CV297" s="1" t="s">
        <v>343</v>
      </c>
      <c r="CX297" s="1" t="s">
        <v>224</v>
      </c>
      <c r="DB297" s="1" t="s">
        <v>224</v>
      </c>
      <c r="DE297" s="1" t="s">
        <v>2031</v>
      </c>
      <c r="DF297" s="1" t="s">
        <v>219</v>
      </c>
      <c r="DG297" s="1" t="s">
        <v>226</v>
      </c>
      <c r="DH297" s="1" t="s">
        <v>210</v>
      </c>
      <c r="DJ297" s="1" t="s">
        <v>224</v>
      </c>
      <c r="DS297" s="1" t="s">
        <v>230</v>
      </c>
      <c r="DW297" s="1" t="s">
        <v>230</v>
      </c>
      <c r="EA297" s="1" t="s">
        <v>230</v>
      </c>
      <c r="EE297" s="1" t="s">
        <v>230</v>
      </c>
      <c r="EI297" s="1" t="s">
        <v>230</v>
      </c>
      <c r="EL297" s="1" t="s">
        <v>542</v>
      </c>
      <c r="EM297" s="1" t="s">
        <v>232</v>
      </c>
      <c r="EN297" s="1" t="s">
        <v>282</v>
      </c>
      <c r="EO297" s="1" t="s">
        <v>234</v>
      </c>
      <c r="EP297" s="1" t="s">
        <v>4490</v>
      </c>
      <c r="EQ297" s="1" t="s">
        <v>236</v>
      </c>
      <c r="ER297" s="1" t="s">
        <v>210</v>
      </c>
      <c r="ES297" s="1" t="s">
        <v>545</v>
      </c>
      <c r="EU297" s="1" t="s">
        <v>4491</v>
      </c>
      <c r="EV297" s="1" t="s">
        <v>240</v>
      </c>
      <c r="EW297" s="1" t="s">
        <v>4492</v>
      </c>
      <c r="EY297" s="1" t="s">
        <v>242</v>
      </c>
      <c r="EZ297" s="1" t="s">
        <v>287</v>
      </c>
      <c r="FA297" s="1" t="s">
        <v>4493</v>
      </c>
      <c r="FB297" s="1" t="s">
        <v>4494</v>
      </c>
      <c r="FC297" s="1" t="s">
        <v>326</v>
      </c>
      <c r="FD297" s="1" t="s">
        <v>4003</v>
      </c>
      <c r="FE297" s="1" t="s">
        <v>247</v>
      </c>
      <c r="FF297" s="1" t="s">
        <v>248</v>
      </c>
      <c r="FH297" s="1" t="s">
        <v>1942</v>
      </c>
      <c r="FI297" s="1" t="s">
        <v>473</v>
      </c>
      <c r="FJ297" s="1" t="s">
        <v>1251</v>
      </c>
      <c r="FL297" s="1" t="s">
        <v>1907</v>
      </c>
      <c r="FM297" s="1" t="s">
        <v>252</v>
      </c>
      <c r="FN297" s="1" t="s">
        <v>213</v>
      </c>
      <c r="FO297" s="1" t="s">
        <v>213</v>
      </c>
      <c r="FQ297" s="1" t="s">
        <v>1758</v>
      </c>
      <c r="FR297" s="1" t="s">
        <v>210</v>
      </c>
      <c r="FS297" s="1" t="s">
        <v>4495</v>
      </c>
      <c r="FT297" s="1" t="s">
        <v>295</v>
      </c>
      <c r="FU297" s="1" t="s">
        <v>204</v>
      </c>
      <c r="FV297" s="1" t="s">
        <v>4496</v>
      </c>
      <c r="FW297" s="1" t="s">
        <v>1806</v>
      </c>
      <c r="FX297" s="1">
        <v>21324</v>
      </c>
      <c r="FY297" s="1" t="s">
        <v>2395</v>
      </c>
      <c r="FZ297" s="1" t="s">
        <v>4497</v>
      </c>
      <c r="GA297" s="1">
        <v>234654</v>
      </c>
      <c r="GB297" s="1" t="s">
        <v>4498</v>
      </c>
      <c r="GD297" s="1" t="s">
        <v>4496</v>
      </c>
      <c r="GE297" s="1" t="s">
        <v>335</v>
      </c>
      <c r="GI297" s="1" t="s">
        <v>213</v>
      </c>
      <c r="GJ297" s="1" t="s">
        <v>260</v>
      </c>
      <c r="GK297" s="1" t="s">
        <v>210</v>
      </c>
      <c r="GL297" s="2">
        <v>42034</v>
      </c>
    </row>
    <row r="298" spans="1:195">
      <c r="A298" s="1">
        <v>170000</v>
      </c>
      <c r="B298" s="1" t="s">
        <v>195</v>
      </c>
      <c r="C298" s="1" t="str">
        <f>"08793603"</f>
        <v>08793603</v>
      </c>
      <c r="D298" s="1" t="s">
        <v>196</v>
      </c>
      <c r="F298" s="1" t="str">
        <f>"148"</f>
        <v>148</v>
      </c>
      <c r="G298" s="2">
        <v>41971</v>
      </c>
      <c r="H298" s="1">
        <v>199900</v>
      </c>
      <c r="I298" s="1">
        <v>189900</v>
      </c>
      <c r="J298" s="1">
        <v>170000</v>
      </c>
      <c r="K298" s="2">
        <v>41971</v>
      </c>
      <c r="L298" s="1">
        <v>85</v>
      </c>
      <c r="M298" s="2">
        <v>42055</v>
      </c>
      <c r="N298" s="1">
        <v>85</v>
      </c>
      <c r="O298" s="2">
        <v>42055</v>
      </c>
      <c r="P298" s="1">
        <v>92063</v>
      </c>
      <c r="Q298" s="1" t="s">
        <v>302</v>
      </c>
      <c r="R298" s="2">
        <v>42101</v>
      </c>
      <c r="S298" s="1">
        <v>26265</v>
      </c>
      <c r="U298" s="1">
        <v>437</v>
      </c>
      <c r="V298" s="1" t="s">
        <v>4499</v>
      </c>
      <c r="W298" s="1" t="s">
        <v>264</v>
      </c>
      <c r="Y298" s="1">
        <v>8</v>
      </c>
      <c r="Z298" s="1" t="s">
        <v>370</v>
      </c>
      <c r="AA298" s="1" t="s">
        <v>1927</v>
      </c>
      <c r="AB298" s="1">
        <v>60148</v>
      </c>
      <c r="AD298" s="1" t="s">
        <v>4500</v>
      </c>
      <c r="AE298" s="1" t="s">
        <v>4501</v>
      </c>
      <c r="AF298" s="1">
        <v>1998</v>
      </c>
      <c r="AG298" s="1" t="s">
        <v>204</v>
      </c>
      <c r="AH298" s="1" t="s">
        <v>1930</v>
      </c>
      <c r="AI298" s="1" t="s">
        <v>206</v>
      </c>
      <c r="AJ298" s="1" t="s">
        <v>1608</v>
      </c>
      <c r="AL298" s="1">
        <v>6</v>
      </c>
      <c r="AM298" s="1">
        <v>2</v>
      </c>
      <c r="AN298" s="1">
        <v>2</v>
      </c>
      <c r="AO298" s="1">
        <v>1</v>
      </c>
      <c r="AP298" s="1" t="s">
        <v>209</v>
      </c>
      <c r="AR298" s="1" t="s">
        <v>210</v>
      </c>
      <c r="AS298" s="1" t="s">
        <v>204</v>
      </c>
      <c r="AT298" s="1" t="s">
        <v>211</v>
      </c>
      <c r="AU298" s="1">
        <v>1</v>
      </c>
      <c r="AW298" s="1" t="s">
        <v>204</v>
      </c>
      <c r="AX298" s="1" t="s">
        <v>212</v>
      </c>
      <c r="AZ298" s="1">
        <v>4054</v>
      </c>
      <c r="BA298" s="1">
        <v>2013</v>
      </c>
      <c r="BB298" s="1" t="s">
        <v>405</v>
      </c>
      <c r="BE298" s="1">
        <v>1300</v>
      </c>
      <c r="BF298" s="1">
        <v>1</v>
      </c>
      <c r="BG298" s="1">
        <v>30</v>
      </c>
      <c r="BL298" s="1">
        <v>250</v>
      </c>
      <c r="BM298" s="1" t="s">
        <v>204</v>
      </c>
      <c r="BN298" s="1" t="s">
        <v>213</v>
      </c>
      <c r="BP298" s="1" t="s">
        <v>204</v>
      </c>
      <c r="BR298" s="1" t="str">
        <f>"0630207085"</f>
        <v>0630207085</v>
      </c>
      <c r="BT298" s="1" t="s">
        <v>4502</v>
      </c>
      <c r="BU298" s="1" t="s">
        <v>1933</v>
      </c>
      <c r="BV298" s="1" t="s">
        <v>1934</v>
      </c>
      <c r="BW298" s="1" t="s">
        <v>1935</v>
      </c>
      <c r="BX298" s="1">
        <v>44</v>
      </c>
      <c r="BY298" s="1">
        <v>44</v>
      </c>
      <c r="BZ298" s="1">
        <v>87</v>
      </c>
      <c r="CB298" s="1" t="str">
        <f t="shared" ref="CB298:CC298" si="239">""</f>
        <v/>
      </c>
      <c r="CC298" s="1" t="str">
        <f t="shared" si="239"/>
        <v/>
      </c>
      <c r="CG298" s="1" t="s">
        <v>1045</v>
      </c>
      <c r="CH298" s="1" t="s">
        <v>219</v>
      </c>
      <c r="CI298" s="1" t="s">
        <v>438</v>
      </c>
      <c r="CK298" s="1" t="s">
        <v>1045</v>
      </c>
      <c r="CL298" s="1" t="s">
        <v>277</v>
      </c>
      <c r="CM298" s="1" t="s">
        <v>220</v>
      </c>
      <c r="CO298" s="1" t="s">
        <v>821</v>
      </c>
      <c r="CP298" s="1" t="s">
        <v>219</v>
      </c>
      <c r="CQ298" s="1" t="s">
        <v>438</v>
      </c>
      <c r="CS298" s="1" t="s">
        <v>221</v>
      </c>
      <c r="CT298" s="1" t="s">
        <v>277</v>
      </c>
      <c r="CU298" s="1" t="s">
        <v>220</v>
      </c>
      <c r="CX298" s="1" t="s">
        <v>224</v>
      </c>
      <c r="DB298" s="1" t="s">
        <v>224</v>
      </c>
      <c r="DE298" s="1" t="s">
        <v>630</v>
      </c>
      <c r="DF298" s="1" t="s">
        <v>219</v>
      </c>
      <c r="DG298" s="1" t="s">
        <v>226</v>
      </c>
      <c r="DJ298" s="1" t="s">
        <v>224</v>
      </c>
      <c r="DM298" s="1" t="s">
        <v>464</v>
      </c>
      <c r="DR298" s="1" t="s">
        <v>379</v>
      </c>
      <c r="DS298" s="1" t="s">
        <v>277</v>
      </c>
      <c r="DT298" s="1" t="s">
        <v>220</v>
      </c>
      <c r="DW298" s="1" t="s">
        <v>230</v>
      </c>
      <c r="EA298" s="1" t="s">
        <v>230</v>
      </c>
      <c r="EE298" s="1" t="s">
        <v>230</v>
      </c>
      <c r="EI298" s="1" t="s">
        <v>230</v>
      </c>
      <c r="EL298" s="1" t="s">
        <v>670</v>
      </c>
      <c r="EM298" s="1" t="s">
        <v>232</v>
      </c>
      <c r="EN298" s="1" t="s">
        <v>282</v>
      </c>
      <c r="EO298" s="1" t="s">
        <v>234</v>
      </c>
      <c r="EQ298" s="1" t="s">
        <v>1109</v>
      </c>
      <c r="ER298" s="1" t="s">
        <v>210</v>
      </c>
      <c r="EW298" s="1" t="s">
        <v>1804</v>
      </c>
      <c r="EZ298" s="1" t="s">
        <v>464</v>
      </c>
      <c r="FC298" s="1" t="s">
        <v>326</v>
      </c>
      <c r="FD298" s="1" t="s">
        <v>3287</v>
      </c>
      <c r="FE298" s="1" t="s">
        <v>1006</v>
      </c>
      <c r="FF298" s="1" t="s">
        <v>248</v>
      </c>
      <c r="FH298" s="1" t="s">
        <v>550</v>
      </c>
      <c r="FJ298" s="1" t="s">
        <v>518</v>
      </c>
      <c r="FL298" s="1" t="s">
        <v>358</v>
      </c>
      <c r="FM298" s="1" t="s">
        <v>252</v>
      </c>
      <c r="FN298" s="1" t="s">
        <v>213</v>
      </c>
      <c r="FO298" s="1" t="s">
        <v>213</v>
      </c>
      <c r="FQ298" s="1" t="s">
        <v>569</v>
      </c>
      <c r="FR298" s="1" t="s">
        <v>210</v>
      </c>
      <c r="FS298" s="1" t="s">
        <v>4109</v>
      </c>
      <c r="FT298" s="1" t="s">
        <v>362</v>
      </c>
      <c r="FU298" s="1" t="s">
        <v>204</v>
      </c>
      <c r="FW298" s="1" t="s">
        <v>1559</v>
      </c>
      <c r="FX298" s="1">
        <v>25083</v>
      </c>
      <c r="FY298" s="1" t="s">
        <v>4110</v>
      </c>
      <c r="FZ298" s="1" t="s">
        <v>4503</v>
      </c>
      <c r="GA298" s="1">
        <v>250887</v>
      </c>
      <c r="GC298" s="1">
        <v>235046</v>
      </c>
      <c r="GE298" s="1" t="s">
        <v>210</v>
      </c>
      <c r="GI298" s="1" t="s">
        <v>213</v>
      </c>
      <c r="GJ298" s="1" t="s">
        <v>260</v>
      </c>
      <c r="GK298" s="1" t="s">
        <v>210</v>
      </c>
      <c r="GL298" s="2">
        <v>42101</v>
      </c>
      <c r="GM298" s="1" t="s">
        <v>4504</v>
      </c>
    </row>
    <row r="299" spans="1:195">
      <c r="A299" s="1">
        <v>66000</v>
      </c>
      <c r="B299" s="1" t="s">
        <v>195</v>
      </c>
      <c r="C299" s="1" t="str">
        <f>"08771358"</f>
        <v>08771358</v>
      </c>
      <c r="D299" s="1" t="s">
        <v>196</v>
      </c>
      <c r="F299" s="1" t="str">
        <f>"516"</f>
        <v>516</v>
      </c>
      <c r="G299" s="2">
        <v>41950</v>
      </c>
      <c r="H299" s="1">
        <v>81500</v>
      </c>
      <c r="I299" s="1">
        <v>71500</v>
      </c>
      <c r="J299" s="1">
        <v>66000</v>
      </c>
      <c r="K299" s="2">
        <v>41950</v>
      </c>
      <c r="L299" s="1">
        <v>46</v>
      </c>
      <c r="M299" s="2">
        <v>41995</v>
      </c>
      <c r="N299" s="1">
        <v>46</v>
      </c>
      <c r="O299" s="2">
        <v>41995</v>
      </c>
      <c r="P299" s="1">
        <v>18235</v>
      </c>
      <c r="Q299" s="1" t="s">
        <v>302</v>
      </c>
      <c r="R299" s="2">
        <v>42020</v>
      </c>
      <c r="S299" s="1">
        <v>148236</v>
      </c>
      <c r="U299" s="1" t="s">
        <v>4505</v>
      </c>
      <c r="V299" s="1" t="s">
        <v>4506</v>
      </c>
      <c r="X299" s="1">
        <v>205</v>
      </c>
      <c r="Y299" s="1">
        <v>16</v>
      </c>
      <c r="Z299" s="1" t="s">
        <v>249</v>
      </c>
      <c r="AA299" s="1" t="s">
        <v>1417</v>
      </c>
      <c r="AB299" s="1">
        <v>60527</v>
      </c>
      <c r="AE299" s="1" t="s">
        <v>4507</v>
      </c>
      <c r="AF299" s="1">
        <v>1981</v>
      </c>
      <c r="AG299" s="1" t="s">
        <v>204</v>
      </c>
      <c r="AH299" s="1" t="s">
        <v>882</v>
      </c>
      <c r="AI299" s="1" t="s">
        <v>206</v>
      </c>
      <c r="AJ299" s="1" t="s">
        <v>903</v>
      </c>
      <c r="AL299" s="1">
        <v>5</v>
      </c>
      <c r="AM299" s="1">
        <v>2</v>
      </c>
      <c r="AN299" s="1">
        <v>1</v>
      </c>
      <c r="AO299" s="1">
        <v>0</v>
      </c>
      <c r="AP299" s="1" t="s">
        <v>210</v>
      </c>
      <c r="AQ299" s="1">
        <v>0</v>
      </c>
      <c r="AR299" s="1" t="s">
        <v>209</v>
      </c>
      <c r="AS299" s="1" t="s">
        <v>204</v>
      </c>
      <c r="AT299" s="1" t="s">
        <v>271</v>
      </c>
      <c r="AV299" s="1">
        <v>2</v>
      </c>
      <c r="AW299" s="1" t="s">
        <v>204</v>
      </c>
      <c r="AX299" s="1" t="s">
        <v>270</v>
      </c>
      <c r="AZ299" s="1">
        <v>969.9</v>
      </c>
      <c r="BA299" s="1">
        <v>2013</v>
      </c>
      <c r="BB299" s="1" t="s">
        <v>210</v>
      </c>
      <c r="BE299" s="1">
        <v>1061</v>
      </c>
      <c r="BF299" s="1">
        <v>2</v>
      </c>
      <c r="BG299" s="1">
        <v>10</v>
      </c>
      <c r="BJ299" s="1">
        <v>100</v>
      </c>
      <c r="BL299" s="1">
        <v>266</v>
      </c>
      <c r="BM299" s="1" t="s">
        <v>204</v>
      </c>
      <c r="BN299" s="1" t="s">
        <v>213</v>
      </c>
      <c r="BO299" s="1">
        <v>0</v>
      </c>
      <c r="BP299" s="1" t="s">
        <v>204</v>
      </c>
      <c r="BR299" s="1" t="str">
        <f>"1002307381"</f>
        <v>1002307381</v>
      </c>
      <c r="BT299" s="1" t="s">
        <v>4508</v>
      </c>
      <c r="BX299" s="1">
        <v>180</v>
      </c>
      <c r="BY299" s="1">
        <v>180</v>
      </c>
      <c r="BZ299" s="1">
        <v>86</v>
      </c>
      <c r="CB299" s="1" t="str">
        <f t="shared" ref="CB299:CC299" si="240">"0"</f>
        <v>0</v>
      </c>
      <c r="CC299" s="1" t="str">
        <f t="shared" si="240"/>
        <v>0</v>
      </c>
      <c r="CD299" s="1">
        <v>16</v>
      </c>
      <c r="CE299" s="1">
        <v>10</v>
      </c>
      <c r="CG299" s="1" t="s">
        <v>628</v>
      </c>
      <c r="CH299" s="1" t="s">
        <v>277</v>
      </c>
      <c r="CI299" s="1" t="s">
        <v>342</v>
      </c>
      <c r="CK299" s="1" t="s">
        <v>1533</v>
      </c>
      <c r="CL299" s="1" t="s">
        <v>277</v>
      </c>
      <c r="CM299" s="1" t="s">
        <v>220</v>
      </c>
      <c r="CO299" s="1" t="s">
        <v>409</v>
      </c>
      <c r="CP299" s="1" t="s">
        <v>277</v>
      </c>
      <c r="CQ299" s="1" t="s">
        <v>342</v>
      </c>
      <c r="CS299" s="1" t="s">
        <v>539</v>
      </c>
      <c r="CT299" s="1" t="s">
        <v>277</v>
      </c>
      <c r="CU299" s="1" t="s">
        <v>220</v>
      </c>
      <c r="CX299" s="1" t="s">
        <v>224</v>
      </c>
      <c r="DB299" s="1" t="s">
        <v>224</v>
      </c>
      <c r="DE299" s="1" t="s">
        <v>516</v>
      </c>
      <c r="DF299" s="1" t="s">
        <v>277</v>
      </c>
      <c r="DG299" s="1" t="s">
        <v>226</v>
      </c>
      <c r="DJ299" s="1" t="s">
        <v>224</v>
      </c>
      <c r="DS299" s="1" t="s">
        <v>230</v>
      </c>
      <c r="DW299" s="1" t="s">
        <v>230</v>
      </c>
      <c r="EA299" s="1" t="s">
        <v>230</v>
      </c>
      <c r="EE299" s="1" t="s">
        <v>230</v>
      </c>
      <c r="EI299" s="1" t="s">
        <v>230</v>
      </c>
      <c r="EL299" s="1" t="s">
        <v>231</v>
      </c>
      <c r="EM299" s="1" t="s">
        <v>319</v>
      </c>
      <c r="EN299" s="1" t="s">
        <v>282</v>
      </c>
      <c r="EO299" s="1" t="s">
        <v>234</v>
      </c>
      <c r="EP299" s="1" t="s">
        <v>4509</v>
      </c>
      <c r="EQ299" s="1" t="s">
        <v>953</v>
      </c>
      <c r="ER299" s="1" t="s">
        <v>347</v>
      </c>
      <c r="ET299" s="1" t="s">
        <v>1752</v>
      </c>
      <c r="EW299" s="1" t="s">
        <v>4510</v>
      </c>
      <c r="EZ299" s="1" t="s">
        <v>287</v>
      </c>
      <c r="FD299" s="1" t="s">
        <v>290</v>
      </c>
      <c r="FE299" s="1" t="s">
        <v>651</v>
      </c>
      <c r="FF299" s="1" t="s">
        <v>248</v>
      </c>
      <c r="FH299" s="1" t="s">
        <v>249</v>
      </c>
      <c r="FK299" s="1" t="s">
        <v>891</v>
      </c>
      <c r="FL299" s="1" t="s">
        <v>414</v>
      </c>
      <c r="FM299" s="1" t="s">
        <v>252</v>
      </c>
      <c r="FN299" s="1" t="s">
        <v>213</v>
      </c>
      <c r="FO299" s="1" t="s">
        <v>213</v>
      </c>
      <c r="FQ299" s="1" t="s">
        <v>689</v>
      </c>
      <c r="FR299" s="1" t="s">
        <v>210</v>
      </c>
      <c r="FS299" s="1" t="s">
        <v>475</v>
      </c>
      <c r="FT299" s="1" t="s">
        <v>4511</v>
      </c>
      <c r="FU299" s="1" t="s">
        <v>204</v>
      </c>
      <c r="FW299" s="1" t="s">
        <v>4512</v>
      </c>
      <c r="FX299" s="1">
        <v>84804</v>
      </c>
      <c r="FY299" s="1" t="s">
        <v>4513</v>
      </c>
      <c r="FZ299" s="1" t="s">
        <v>4514</v>
      </c>
      <c r="GA299" s="1">
        <v>141005</v>
      </c>
      <c r="GB299" s="1" t="s">
        <v>4513</v>
      </c>
      <c r="GE299" s="1" t="s">
        <v>210</v>
      </c>
      <c r="GI299" s="1" t="s">
        <v>204</v>
      </c>
      <c r="GJ299" s="1" t="s">
        <v>260</v>
      </c>
      <c r="GK299" s="1" t="s">
        <v>210</v>
      </c>
      <c r="GL299" s="2">
        <v>42022</v>
      </c>
      <c r="GM299" s="1" t="s">
        <v>4515</v>
      </c>
    </row>
    <row r="300" spans="1:195">
      <c r="A300" s="1">
        <v>226000</v>
      </c>
      <c r="B300" s="1" t="s">
        <v>195</v>
      </c>
      <c r="C300" s="1" t="str">
        <f>"08788273"</f>
        <v>08788273</v>
      </c>
      <c r="D300" s="1" t="s">
        <v>196</v>
      </c>
      <c r="F300" s="1" t="str">
        <f>"562"</f>
        <v>562</v>
      </c>
      <c r="G300" s="2">
        <v>41961</v>
      </c>
      <c r="H300" s="1">
        <v>229900</v>
      </c>
      <c r="I300" s="1">
        <v>229900</v>
      </c>
      <c r="J300" s="1">
        <v>226000</v>
      </c>
      <c r="K300" s="2">
        <v>41961</v>
      </c>
      <c r="L300" s="1">
        <v>8</v>
      </c>
      <c r="M300" s="2">
        <v>41968</v>
      </c>
      <c r="N300" s="1">
        <v>8</v>
      </c>
      <c r="O300" s="2">
        <v>41968</v>
      </c>
      <c r="P300" s="1">
        <v>20179</v>
      </c>
      <c r="Q300" s="1" t="s">
        <v>302</v>
      </c>
      <c r="R300" s="2">
        <v>41983</v>
      </c>
      <c r="S300" s="1">
        <v>237631</v>
      </c>
      <c r="U300" s="1">
        <v>1117</v>
      </c>
      <c r="V300" s="1" t="s">
        <v>4516</v>
      </c>
      <c r="W300" s="1" t="s">
        <v>304</v>
      </c>
      <c r="X300" s="1">
        <v>1117</v>
      </c>
      <c r="Y300" s="1">
        <v>4</v>
      </c>
      <c r="Z300" s="1" t="s">
        <v>370</v>
      </c>
      <c r="AA300" s="1" t="s">
        <v>899</v>
      </c>
      <c r="AB300" s="1">
        <v>60561</v>
      </c>
      <c r="AD300" s="1" t="s">
        <v>4517</v>
      </c>
      <c r="AE300" s="1" t="s">
        <v>4518</v>
      </c>
      <c r="AF300" s="1">
        <v>1987</v>
      </c>
      <c r="AG300" s="1" t="s">
        <v>204</v>
      </c>
      <c r="AH300" s="1" t="s">
        <v>902</v>
      </c>
      <c r="AI300" s="1" t="s">
        <v>206</v>
      </c>
      <c r="AJ300" s="1" t="s">
        <v>903</v>
      </c>
      <c r="AK300" s="1" t="s">
        <v>4519</v>
      </c>
      <c r="AL300" s="1">
        <v>5</v>
      </c>
      <c r="AM300" s="1">
        <v>2</v>
      </c>
      <c r="AN300" s="1">
        <v>2</v>
      </c>
      <c r="AO300" s="1">
        <v>0</v>
      </c>
      <c r="AP300" s="1" t="s">
        <v>209</v>
      </c>
      <c r="AQ300" s="1">
        <v>1</v>
      </c>
      <c r="AR300" s="1" t="s">
        <v>209</v>
      </c>
      <c r="AS300" s="1" t="s">
        <v>204</v>
      </c>
      <c r="AT300" s="1" t="s">
        <v>211</v>
      </c>
      <c r="AU300" s="1">
        <v>1</v>
      </c>
      <c r="AW300" s="1" t="s">
        <v>204</v>
      </c>
      <c r="AX300" s="1" t="s">
        <v>212</v>
      </c>
      <c r="AZ300" s="3">
        <v>4164</v>
      </c>
      <c r="BA300" s="1">
        <v>2013</v>
      </c>
      <c r="BB300" s="1" t="s">
        <v>599</v>
      </c>
      <c r="BE300" s="1">
        <v>1410</v>
      </c>
      <c r="BF300" s="1">
        <v>1</v>
      </c>
      <c r="BG300" s="1">
        <v>15</v>
      </c>
      <c r="BL300" s="1">
        <v>316</v>
      </c>
      <c r="BM300" s="1" t="s">
        <v>204</v>
      </c>
      <c r="BN300" s="1" t="s">
        <v>213</v>
      </c>
      <c r="BO300" s="1">
        <v>0</v>
      </c>
      <c r="BP300" s="1" t="s">
        <v>204</v>
      </c>
      <c r="BR300" s="1" t="str">
        <f>"0922318090"</f>
        <v>0922318090</v>
      </c>
      <c r="BT300" s="1" t="s">
        <v>4520</v>
      </c>
      <c r="BU300" s="1" t="s">
        <v>4521</v>
      </c>
      <c r="BV300" s="1" t="s">
        <v>3098</v>
      </c>
      <c r="BW300" s="1" t="s">
        <v>907</v>
      </c>
      <c r="BX300" s="1">
        <v>61</v>
      </c>
      <c r="BY300" s="1">
        <v>61</v>
      </c>
      <c r="BZ300" s="1">
        <v>86</v>
      </c>
      <c r="CB300" s="1" t="str">
        <f t="shared" ref="CB300:CC300" si="241">""</f>
        <v/>
      </c>
      <c r="CC300" s="1" t="str">
        <f t="shared" si="241"/>
        <v/>
      </c>
      <c r="CG300" s="1" t="s">
        <v>218</v>
      </c>
      <c r="CH300" s="1" t="s">
        <v>219</v>
      </c>
      <c r="CI300" s="1" t="s">
        <v>220</v>
      </c>
      <c r="CJ300" s="1" t="s">
        <v>343</v>
      </c>
      <c r="CK300" s="1" t="s">
        <v>315</v>
      </c>
      <c r="CL300" s="1" t="s">
        <v>219</v>
      </c>
      <c r="CM300" s="1" t="s">
        <v>220</v>
      </c>
      <c r="CO300" s="1" t="s">
        <v>378</v>
      </c>
      <c r="CP300" s="1" t="s">
        <v>219</v>
      </c>
      <c r="CQ300" s="1" t="s">
        <v>220</v>
      </c>
      <c r="CR300" s="1" t="s">
        <v>343</v>
      </c>
      <c r="CS300" s="1" t="s">
        <v>465</v>
      </c>
      <c r="CT300" s="1" t="s">
        <v>219</v>
      </c>
      <c r="CU300" s="1" t="s">
        <v>220</v>
      </c>
      <c r="CX300" s="1" t="s">
        <v>224</v>
      </c>
      <c r="DB300" s="1" t="s">
        <v>224</v>
      </c>
      <c r="DE300" s="1" t="s">
        <v>4522</v>
      </c>
      <c r="DF300" s="1" t="s">
        <v>219</v>
      </c>
      <c r="DG300" s="1" t="s">
        <v>342</v>
      </c>
      <c r="DH300" s="1" t="s">
        <v>343</v>
      </c>
      <c r="DJ300" s="1" t="s">
        <v>224</v>
      </c>
      <c r="DS300" s="1" t="s">
        <v>230</v>
      </c>
      <c r="DW300" s="1" t="s">
        <v>230</v>
      </c>
      <c r="EA300" s="1" t="s">
        <v>230</v>
      </c>
      <c r="EE300" s="1" t="s">
        <v>230</v>
      </c>
      <c r="EI300" s="1" t="s">
        <v>230</v>
      </c>
      <c r="EL300" s="1" t="s">
        <v>542</v>
      </c>
      <c r="EM300" s="1" t="s">
        <v>232</v>
      </c>
      <c r="EN300" s="1" t="s">
        <v>282</v>
      </c>
      <c r="EO300" s="1" t="s">
        <v>840</v>
      </c>
      <c r="EP300" s="1" t="s">
        <v>1489</v>
      </c>
      <c r="EQ300" s="1" t="s">
        <v>1094</v>
      </c>
      <c r="ER300" s="1" t="s">
        <v>1249</v>
      </c>
      <c r="ES300" s="1" t="s">
        <v>322</v>
      </c>
      <c r="ET300" s="1" t="s">
        <v>4523</v>
      </c>
      <c r="EU300" s="1" t="s">
        <v>4524</v>
      </c>
      <c r="EV300" s="1" t="s">
        <v>1999</v>
      </c>
      <c r="EW300" s="1" t="s">
        <v>353</v>
      </c>
      <c r="EY300" s="1" t="s">
        <v>441</v>
      </c>
      <c r="EZ300" s="1" t="s">
        <v>287</v>
      </c>
      <c r="FA300" s="1" t="s">
        <v>354</v>
      </c>
      <c r="FB300" s="1" t="s">
        <v>289</v>
      </c>
      <c r="FD300" s="1" t="s">
        <v>246</v>
      </c>
      <c r="FE300" s="1" t="s">
        <v>4525</v>
      </c>
      <c r="FF300" s="1" t="s">
        <v>248</v>
      </c>
      <c r="FG300" s="1" t="s">
        <v>2406</v>
      </c>
      <c r="FH300" s="1" t="s">
        <v>1387</v>
      </c>
      <c r="FI300" s="1" t="s">
        <v>473</v>
      </c>
      <c r="FJ300" s="1" t="s">
        <v>197</v>
      </c>
      <c r="FL300" s="1" t="s">
        <v>414</v>
      </c>
      <c r="FM300" s="1" t="s">
        <v>252</v>
      </c>
      <c r="FN300" s="1" t="s">
        <v>213</v>
      </c>
      <c r="FO300" s="1" t="s">
        <v>213</v>
      </c>
      <c r="FQ300" s="1" t="s">
        <v>793</v>
      </c>
      <c r="FR300" s="1" t="s">
        <v>210</v>
      </c>
      <c r="FS300" s="1" t="s">
        <v>4526</v>
      </c>
      <c r="FT300" s="1" t="s">
        <v>295</v>
      </c>
      <c r="FU300" s="1" t="s">
        <v>204</v>
      </c>
      <c r="FW300" s="1" t="s">
        <v>2702</v>
      </c>
      <c r="FX300" s="1">
        <v>22025</v>
      </c>
      <c r="FY300" s="1" t="s">
        <v>2703</v>
      </c>
      <c r="FZ300" s="1" t="s">
        <v>4527</v>
      </c>
      <c r="GA300" s="1">
        <v>223866</v>
      </c>
      <c r="GB300" s="1" t="s">
        <v>4528</v>
      </c>
      <c r="GD300" s="1" t="s">
        <v>4529</v>
      </c>
      <c r="GE300" s="1" t="s">
        <v>1120</v>
      </c>
      <c r="GI300" s="1" t="s">
        <v>213</v>
      </c>
      <c r="GJ300" s="1" t="s">
        <v>260</v>
      </c>
      <c r="GK300" s="1" t="s">
        <v>210</v>
      </c>
      <c r="GL300" s="2">
        <v>41986</v>
      </c>
    </row>
    <row r="301" spans="1:195">
      <c r="A301" s="1">
        <v>105000</v>
      </c>
      <c r="B301" s="1" t="s">
        <v>195</v>
      </c>
      <c r="C301" s="1" t="str">
        <f>"08808637"</f>
        <v>08808637</v>
      </c>
      <c r="D301" s="1" t="s">
        <v>196</v>
      </c>
      <c r="F301" s="1" t="str">
        <f>"540"</f>
        <v>540</v>
      </c>
      <c r="G301" s="2">
        <v>42006</v>
      </c>
      <c r="H301" s="1">
        <v>108000</v>
      </c>
      <c r="I301" s="1">
        <v>108000</v>
      </c>
      <c r="J301" s="1">
        <v>105000</v>
      </c>
      <c r="K301" s="2">
        <v>42006</v>
      </c>
      <c r="L301" s="1">
        <v>25</v>
      </c>
      <c r="M301" s="2">
        <v>42030</v>
      </c>
      <c r="N301" s="1">
        <v>25</v>
      </c>
      <c r="O301" s="2">
        <v>42030</v>
      </c>
      <c r="P301" s="1">
        <v>24695</v>
      </c>
      <c r="Q301" s="1" t="s">
        <v>197</v>
      </c>
      <c r="R301" s="2">
        <v>42079</v>
      </c>
      <c r="S301" s="1">
        <v>226390</v>
      </c>
      <c r="T301" s="1">
        <v>3000</v>
      </c>
      <c r="U301" s="1">
        <v>1257</v>
      </c>
      <c r="V301" s="1" t="s">
        <v>2820</v>
      </c>
      <c r="W301" s="1" t="s">
        <v>1056</v>
      </c>
      <c r="X301" s="1">
        <v>201</v>
      </c>
      <c r="Y301" s="1">
        <v>6</v>
      </c>
      <c r="Z301" s="1" t="s">
        <v>249</v>
      </c>
      <c r="AA301" s="1" t="s">
        <v>921</v>
      </c>
      <c r="AB301" s="1">
        <v>60563</v>
      </c>
      <c r="AD301" s="1" t="s">
        <v>4530</v>
      </c>
      <c r="AE301" s="1" t="s">
        <v>4531</v>
      </c>
      <c r="AF301" s="1">
        <v>1985</v>
      </c>
      <c r="AG301" s="1" t="s">
        <v>204</v>
      </c>
      <c r="AH301" s="1" t="s">
        <v>924</v>
      </c>
      <c r="AI301" s="1" t="s">
        <v>206</v>
      </c>
      <c r="AJ301" s="1" t="s">
        <v>924</v>
      </c>
      <c r="AL301" s="1">
        <v>5</v>
      </c>
      <c r="AM301" s="1">
        <v>2</v>
      </c>
      <c r="AN301" s="1">
        <v>2</v>
      </c>
      <c r="AO301" s="1">
        <v>0</v>
      </c>
      <c r="AP301" s="1" t="s">
        <v>209</v>
      </c>
      <c r="AR301" s="1" t="s">
        <v>210</v>
      </c>
      <c r="AS301" s="1" t="s">
        <v>204</v>
      </c>
      <c r="AT301" s="1" t="s">
        <v>375</v>
      </c>
      <c r="AU301" s="1">
        <v>1</v>
      </c>
      <c r="AV301" s="1">
        <v>1</v>
      </c>
      <c r="AW301" s="1" t="s">
        <v>204</v>
      </c>
      <c r="AX301" s="1" t="s">
        <v>212</v>
      </c>
      <c r="AZ301" s="1">
        <v>1677</v>
      </c>
      <c r="BA301" s="1">
        <v>2013</v>
      </c>
      <c r="BB301" s="1" t="s">
        <v>405</v>
      </c>
      <c r="BE301" s="1">
        <v>937</v>
      </c>
      <c r="BF301" s="1">
        <v>2</v>
      </c>
      <c r="BG301" s="1">
        <v>30</v>
      </c>
      <c r="BJ301" s="1">
        <v>100</v>
      </c>
      <c r="BL301" s="1">
        <v>225</v>
      </c>
      <c r="BM301" s="1" t="s">
        <v>204</v>
      </c>
      <c r="BN301" s="1" t="s">
        <v>213</v>
      </c>
      <c r="BO301" s="1">
        <v>25</v>
      </c>
      <c r="BP301" s="1" t="s">
        <v>204</v>
      </c>
      <c r="BR301" s="1" t="str">
        <f>"0714222040"</f>
        <v>0714222040</v>
      </c>
      <c r="BT301" s="1" t="s">
        <v>4532</v>
      </c>
      <c r="BU301" s="1" t="s">
        <v>2823</v>
      </c>
      <c r="BV301" s="1" t="s">
        <v>2824</v>
      </c>
      <c r="BW301" s="1" t="s">
        <v>2825</v>
      </c>
      <c r="BX301" s="1">
        <v>203</v>
      </c>
      <c r="BY301" s="1">
        <v>203</v>
      </c>
      <c r="BZ301" s="1">
        <v>203</v>
      </c>
      <c r="CB301" s="1" t="str">
        <f t="shared" ref="CB301:CC301" si="242">""</f>
        <v/>
      </c>
      <c r="CC301" s="1" t="str">
        <f t="shared" si="242"/>
        <v/>
      </c>
      <c r="CG301" s="1" t="s">
        <v>1178</v>
      </c>
      <c r="CH301" s="1" t="s">
        <v>277</v>
      </c>
      <c r="CI301" s="1" t="s">
        <v>220</v>
      </c>
      <c r="CK301" s="1" t="s">
        <v>344</v>
      </c>
      <c r="CL301" s="1" t="s">
        <v>277</v>
      </c>
      <c r="CM301" s="1" t="s">
        <v>220</v>
      </c>
      <c r="CO301" s="1" t="s">
        <v>630</v>
      </c>
      <c r="CP301" s="1" t="s">
        <v>277</v>
      </c>
      <c r="CQ301" s="1" t="s">
        <v>220</v>
      </c>
      <c r="CS301" s="1" t="s">
        <v>379</v>
      </c>
      <c r="CT301" s="1" t="s">
        <v>277</v>
      </c>
      <c r="CU301" s="1" t="s">
        <v>220</v>
      </c>
      <c r="CX301" s="1" t="s">
        <v>224</v>
      </c>
      <c r="DB301" s="1" t="s">
        <v>224</v>
      </c>
      <c r="DE301" s="1" t="s">
        <v>821</v>
      </c>
      <c r="DF301" s="1" t="s">
        <v>277</v>
      </c>
      <c r="DG301" s="1" t="s">
        <v>342</v>
      </c>
      <c r="DJ301" s="1" t="s">
        <v>224</v>
      </c>
      <c r="DS301" s="1" t="s">
        <v>230</v>
      </c>
      <c r="DW301" s="1" t="s">
        <v>230</v>
      </c>
      <c r="EA301" s="1" t="s">
        <v>230</v>
      </c>
      <c r="EE301" s="1" t="s">
        <v>230</v>
      </c>
      <c r="EI301" s="1" t="s">
        <v>230</v>
      </c>
      <c r="EL301" s="1" t="s">
        <v>542</v>
      </c>
      <c r="EM301" s="1" t="s">
        <v>232</v>
      </c>
      <c r="EN301" s="1" t="s">
        <v>282</v>
      </c>
      <c r="EO301" s="1" t="s">
        <v>840</v>
      </c>
      <c r="EP301" s="1" t="s">
        <v>1047</v>
      </c>
      <c r="EQ301" s="1" t="s">
        <v>2188</v>
      </c>
      <c r="ER301" s="1" t="s">
        <v>210</v>
      </c>
      <c r="ES301" s="1" t="s">
        <v>322</v>
      </c>
      <c r="EV301" s="1" t="s">
        <v>352</v>
      </c>
      <c r="EW301" s="1" t="s">
        <v>4533</v>
      </c>
      <c r="EY301" s="1" t="s">
        <v>242</v>
      </c>
      <c r="EZ301" s="1" t="s">
        <v>287</v>
      </c>
      <c r="FA301" s="1" t="s">
        <v>1270</v>
      </c>
      <c r="FB301" s="1" t="s">
        <v>1505</v>
      </c>
      <c r="FC301" s="1" t="s">
        <v>548</v>
      </c>
      <c r="FD301" s="1" t="s">
        <v>290</v>
      </c>
      <c r="FE301" s="1" t="s">
        <v>247</v>
      </c>
      <c r="FF301" s="1" t="s">
        <v>248</v>
      </c>
      <c r="FH301" s="1" t="s">
        <v>249</v>
      </c>
      <c r="FI301" s="1" t="s">
        <v>473</v>
      </c>
      <c r="FJ301" s="1" t="s">
        <v>518</v>
      </c>
      <c r="FK301" s="1" t="s">
        <v>4534</v>
      </c>
      <c r="FL301" s="1" t="s">
        <v>358</v>
      </c>
      <c r="FM301" s="1" t="s">
        <v>252</v>
      </c>
      <c r="FN301" s="1" t="s">
        <v>213</v>
      </c>
      <c r="FO301" s="1" t="s">
        <v>213</v>
      </c>
      <c r="FQ301" s="1" t="s">
        <v>4535</v>
      </c>
      <c r="FR301" s="1" t="s">
        <v>210</v>
      </c>
      <c r="FS301" s="1" t="s">
        <v>4536</v>
      </c>
      <c r="FT301" s="1" t="s">
        <v>4537</v>
      </c>
      <c r="FU301" s="1" t="s">
        <v>204</v>
      </c>
      <c r="FV301" s="1" t="s">
        <v>4538</v>
      </c>
      <c r="FW301" s="1" t="s">
        <v>943</v>
      </c>
      <c r="FX301" s="1">
        <v>23120</v>
      </c>
      <c r="FY301" s="1" t="s">
        <v>944</v>
      </c>
      <c r="FZ301" s="1" t="s">
        <v>4539</v>
      </c>
      <c r="GA301" s="1">
        <v>221674</v>
      </c>
      <c r="GB301" s="1" t="s">
        <v>4540</v>
      </c>
      <c r="GC301" s="1">
        <v>240373</v>
      </c>
      <c r="GE301" s="1" t="s">
        <v>1226</v>
      </c>
      <c r="GI301" s="1" t="s">
        <v>213</v>
      </c>
      <c r="GJ301" s="1" t="s">
        <v>260</v>
      </c>
      <c r="GK301" s="1" t="s">
        <v>210</v>
      </c>
      <c r="GL301" s="2">
        <v>42079</v>
      </c>
      <c r="GM301" s="1" t="s">
        <v>4541</v>
      </c>
    </row>
    <row r="302" spans="1:195">
      <c r="A302" s="1">
        <v>121000</v>
      </c>
      <c r="B302" s="1" t="s">
        <v>195</v>
      </c>
      <c r="C302" s="1" t="str">
        <f>"08772278"</f>
        <v>08772278</v>
      </c>
      <c r="D302" s="1" t="s">
        <v>196</v>
      </c>
      <c r="F302" s="1" t="str">
        <f>"148"</f>
        <v>148</v>
      </c>
      <c r="G302" s="2">
        <v>41953</v>
      </c>
      <c r="H302" s="1">
        <v>102400</v>
      </c>
      <c r="I302" s="1">
        <v>102400</v>
      </c>
      <c r="J302" s="1">
        <v>121000</v>
      </c>
      <c r="K302" s="2">
        <v>41953</v>
      </c>
      <c r="L302" s="1">
        <v>203</v>
      </c>
      <c r="M302" s="2">
        <v>41955</v>
      </c>
      <c r="N302" s="1">
        <v>3</v>
      </c>
      <c r="O302" s="2">
        <v>41955</v>
      </c>
      <c r="P302" s="1">
        <v>23959</v>
      </c>
      <c r="Q302" s="1" t="s">
        <v>302</v>
      </c>
      <c r="R302" s="2">
        <v>41978</v>
      </c>
      <c r="S302" s="1">
        <v>238047</v>
      </c>
      <c r="U302" s="1">
        <v>237</v>
      </c>
      <c r="V302" s="1" t="s">
        <v>4542</v>
      </c>
      <c r="W302" s="1" t="s">
        <v>504</v>
      </c>
      <c r="X302" s="1" t="s">
        <v>4543</v>
      </c>
      <c r="Y302" s="1" t="s">
        <v>432</v>
      </c>
      <c r="Z302" s="1" t="s">
        <v>249</v>
      </c>
      <c r="AA302" s="1" t="s">
        <v>1927</v>
      </c>
      <c r="AB302" s="1">
        <v>60148</v>
      </c>
      <c r="AE302" s="1" t="s">
        <v>4544</v>
      </c>
      <c r="AF302" s="1">
        <v>1995</v>
      </c>
      <c r="AG302" s="1" t="s">
        <v>204</v>
      </c>
      <c r="AH302" s="1" t="s">
        <v>1930</v>
      </c>
      <c r="AI302" s="1" t="s">
        <v>206</v>
      </c>
      <c r="AJ302" s="1" t="s">
        <v>1608</v>
      </c>
      <c r="AL302" s="1">
        <v>4</v>
      </c>
      <c r="AM302" s="1">
        <v>2</v>
      </c>
      <c r="AN302" s="1">
        <v>2</v>
      </c>
      <c r="AO302" s="1">
        <v>1</v>
      </c>
      <c r="AP302" s="1" t="s">
        <v>210</v>
      </c>
      <c r="AR302" s="1" t="s">
        <v>210</v>
      </c>
      <c r="AS302" s="1" t="s">
        <v>204</v>
      </c>
      <c r="AT302" s="1" t="s">
        <v>211</v>
      </c>
      <c r="AU302" s="1">
        <v>1</v>
      </c>
      <c r="AW302" s="1" t="s">
        <v>204</v>
      </c>
      <c r="AX302" s="1" t="s">
        <v>212</v>
      </c>
      <c r="AZ302" s="1">
        <v>4006.84</v>
      </c>
      <c r="BA302" s="1">
        <v>2012</v>
      </c>
      <c r="BB302" s="1" t="s">
        <v>405</v>
      </c>
      <c r="BE302" s="1">
        <v>1280</v>
      </c>
      <c r="BF302" s="1">
        <v>1</v>
      </c>
      <c r="BG302" s="1">
        <v>30</v>
      </c>
      <c r="BL302" s="1">
        <v>244</v>
      </c>
      <c r="BM302" s="1" t="s">
        <v>204</v>
      </c>
      <c r="BN302" s="1" t="s">
        <v>204</v>
      </c>
      <c r="BP302" s="1" t="s">
        <v>204</v>
      </c>
      <c r="BR302" s="1" t="str">
        <f>"0630207047"</f>
        <v>0630207047</v>
      </c>
      <c r="BT302" s="1" t="s">
        <v>4545</v>
      </c>
      <c r="BX302" s="1">
        <v>44</v>
      </c>
      <c r="BY302" s="1">
        <v>44</v>
      </c>
      <c r="BZ302" s="1">
        <v>87</v>
      </c>
      <c r="CB302" s="1" t="str">
        <f t="shared" ref="CB302:CC302" si="243">""</f>
        <v/>
      </c>
      <c r="CC302" s="1" t="str">
        <f t="shared" si="243"/>
        <v/>
      </c>
      <c r="CG302" s="1" t="s">
        <v>4546</v>
      </c>
      <c r="CH302" s="1" t="s">
        <v>219</v>
      </c>
      <c r="CK302" s="1" t="s">
        <v>2934</v>
      </c>
      <c r="CL302" s="1" t="s">
        <v>277</v>
      </c>
      <c r="CP302" s="1" t="s">
        <v>224</v>
      </c>
      <c r="CS302" s="1" t="s">
        <v>490</v>
      </c>
      <c r="CT302" s="1" t="s">
        <v>277</v>
      </c>
      <c r="CX302" s="1" t="s">
        <v>224</v>
      </c>
      <c r="DB302" s="1" t="s">
        <v>224</v>
      </c>
      <c r="DE302" s="1" t="s">
        <v>2982</v>
      </c>
      <c r="DF302" s="1" t="s">
        <v>219</v>
      </c>
      <c r="DJ302" s="1" t="s">
        <v>224</v>
      </c>
      <c r="DS302" s="1" t="s">
        <v>230</v>
      </c>
      <c r="DW302" s="1" t="s">
        <v>230</v>
      </c>
      <c r="EA302" s="1" t="s">
        <v>230</v>
      </c>
      <c r="EE302" s="1" t="s">
        <v>230</v>
      </c>
      <c r="EI302" s="1" t="s">
        <v>230</v>
      </c>
      <c r="EL302" s="1" t="s">
        <v>670</v>
      </c>
      <c r="EM302" s="1" t="s">
        <v>730</v>
      </c>
      <c r="EN302" s="1" t="s">
        <v>282</v>
      </c>
      <c r="EO302" s="1" t="s">
        <v>234</v>
      </c>
      <c r="ER302" s="1" t="s">
        <v>383</v>
      </c>
      <c r="EW302" s="1" t="s">
        <v>347</v>
      </c>
      <c r="EZ302" s="1" t="s">
        <v>287</v>
      </c>
      <c r="FD302" s="1" t="s">
        <v>1112</v>
      </c>
      <c r="FE302" s="1" t="s">
        <v>975</v>
      </c>
      <c r="FF302" s="1" t="s">
        <v>248</v>
      </c>
      <c r="FH302" s="1" t="s">
        <v>550</v>
      </c>
      <c r="FL302" s="1" t="s">
        <v>358</v>
      </c>
      <c r="FM302" s="1" t="s">
        <v>252</v>
      </c>
      <c r="FN302" s="1" t="s">
        <v>213</v>
      </c>
      <c r="FO302" s="1" t="s">
        <v>213</v>
      </c>
      <c r="FQ302" s="1" t="s">
        <v>582</v>
      </c>
      <c r="FR302" s="1" t="s">
        <v>210</v>
      </c>
      <c r="FS302" s="1" t="s">
        <v>4547</v>
      </c>
      <c r="FT302" s="1" t="s">
        <v>1393</v>
      </c>
      <c r="FU302" s="1" t="s">
        <v>204</v>
      </c>
      <c r="FW302" s="1" t="s">
        <v>2985</v>
      </c>
      <c r="FX302" s="1">
        <v>23959</v>
      </c>
      <c r="FY302" s="1" t="s">
        <v>2986</v>
      </c>
      <c r="FZ302" s="1" t="s">
        <v>2987</v>
      </c>
      <c r="GA302" s="1">
        <v>220868</v>
      </c>
      <c r="GB302" s="1" t="s">
        <v>2986</v>
      </c>
      <c r="GE302" s="1" t="s">
        <v>210</v>
      </c>
      <c r="GI302" s="1" t="s">
        <v>213</v>
      </c>
      <c r="GJ302" s="1" t="s">
        <v>260</v>
      </c>
      <c r="GK302" s="1" t="s">
        <v>210</v>
      </c>
      <c r="GL302" s="2">
        <v>41978</v>
      </c>
      <c r="GM302" s="1" t="s">
        <v>4548</v>
      </c>
    </row>
    <row r="303" spans="1:195">
      <c r="A303" s="1">
        <v>208000</v>
      </c>
      <c r="B303" s="1" t="s">
        <v>195</v>
      </c>
      <c r="C303" s="1" t="str">
        <f>"08786177"</f>
        <v>08786177</v>
      </c>
      <c r="D303" s="1" t="s">
        <v>196</v>
      </c>
      <c r="F303" s="1" t="str">
        <f>"10"</f>
        <v>10</v>
      </c>
      <c r="G303" s="2">
        <v>41957</v>
      </c>
      <c r="H303" s="1">
        <v>230000</v>
      </c>
      <c r="I303" s="1">
        <v>230000</v>
      </c>
      <c r="J303" s="1">
        <v>208000</v>
      </c>
      <c r="K303" s="2">
        <v>41957</v>
      </c>
      <c r="L303" s="1">
        <v>50</v>
      </c>
      <c r="M303" s="2">
        <v>42006</v>
      </c>
      <c r="N303" s="1">
        <v>50</v>
      </c>
      <c r="O303" s="2">
        <v>42006</v>
      </c>
      <c r="P303" s="1">
        <v>6025</v>
      </c>
      <c r="Q303" s="1" t="s">
        <v>302</v>
      </c>
      <c r="R303" s="2">
        <v>42037</v>
      </c>
      <c r="S303" s="1">
        <v>62778</v>
      </c>
      <c r="U303" s="1">
        <v>649</v>
      </c>
      <c r="V303" s="1" t="s">
        <v>4549</v>
      </c>
      <c r="W303" s="1" t="s">
        <v>1056</v>
      </c>
      <c r="X303" s="1" t="s">
        <v>1688</v>
      </c>
      <c r="Y303" s="1">
        <v>4</v>
      </c>
      <c r="Z303" s="1" t="s">
        <v>249</v>
      </c>
      <c r="AA303" s="1" t="s">
        <v>1985</v>
      </c>
      <c r="AB303" s="1">
        <v>60010</v>
      </c>
      <c r="AD303" s="1" t="s">
        <v>1986</v>
      </c>
      <c r="AE303" s="1" t="s">
        <v>4550</v>
      </c>
      <c r="AF303" s="1">
        <v>1985</v>
      </c>
      <c r="AG303" s="1" t="s">
        <v>204</v>
      </c>
      <c r="AH303" s="1" t="s">
        <v>1988</v>
      </c>
      <c r="AI303" s="1" t="s">
        <v>509</v>
      </c>
      <c r="AJ303" s="1" t="s">
        <v>1989</v>
      </c>
      <c r="AK303" s="1" t="s">
        <v>4551</v>
      </c>
      <c r="AL303" s="1">
        <v>5</v>
      </c>
      <c r="AM303" s="1">
        <v>2</v>
      </c>
      <c r="AN303" s="1">
        <v>2</v>
      </c>
      <c r="AO303" s="1">
        <v>0</v>
      </c>
      <c r="AP303" s="1" t="s">
        <v>209</v>
      </c>
      <c r="AQ303" s="1">
        <v>1</v>
      </c>
      <c r="AR303" s="1" t="s">
        <v>210</v>
      </c>
      <c r="AT303" s="1" t="s">
        <v>211</v>
      </c>
      <c r="AU303" s="1">
        <v>2</v>
      </c>
      <c r="AW303" s="1" t="s">
        <v>213</v>
      </c>
      <c r="AX303" s="1" t="s">
        <v>4552</v>
      </c>
      <c r="AZ303" s="1">
        <v>3454</v>
      </c>
      <c r="BA303" s="1">
        <v>2013</v>
      </c>
      <c r="BB303" s="1" t="s">
        <v>405</v>
      </c>
      <c r="BE303" s="1">
        <v>1590</v>
      </c>
      <c r="BF303" s="1">
        <v>2</v>
      </c>
      <c r="BG303" s="1">
        <v>30</v>
      </c>
      <c r="BL303" s="1">
        <v>425</v>
      </c>
      <c r="BM303" s="1" t="s">
        <v>204</v>
      </c>
      <c r="BN303" s="1" t="s">
        <v>204</v>
      </c>
      <c r="BP303" s="1" t="s">
        <v>204</v>
      </c>
      <c r="BR303" s="1" t="str">
        <f>"13111000440000"</f>
        <v>13111000440000</v>
      </c>
      <c r="BT303" s="1" t="s">
        <v>4553</v>
      </c>
      <c r="BU303" s="1" t="s">
        <v>1992</v>
      </c>
      <c r="BV303" s="1" t="s">
        <v>1993</v>
      </c>
      <c r="BW303" s="1" t="s">
        <v>1994</v>
      </c>
      <c r="BX303" s="1">
        <v>220</v>
      </c>
      <c r="BY303" s="1">
        <v>220</v>
      </c>
      <c r="BZ303" s="1">
        <v>220</v>
      </c>
      <c r="CB303" s="1" t="str">
        <f>"24"</f>
        <v>24</v>
      </c>
      <c r="CC303" s="1" t="str">
        <f>"0"</f>
        <v>0</v>
      </c>
      <c r="CD303" s="1">
        <v>26</v>
      </c>
      <c r="CE303" s="1">
        <v>0</v>
      </c>
      <c r="CG303" s="1" t="s">
        <v>4554</v>
      </c>
      <c r="CH303" s="1" t="s">
        <v>219</v>
      </c>
      <c r="CI303" s="1" t="s">
        <v>220</v>
      </c>
      <c r="CK303" s="1" t="s">
        <v>221</v>
      </c>
      <c r="CL303" s="1" t="s">
        <v>219</v>
      </c>
      <c r="CM303" s="1" t="s">
        <v>220</v>
      </c>
      <c r="CN303" s="1" t="s">
        <v>4555</v>
      </c>
      <c r="CO303" s="1" t="s">
        <v>317</v>
      </c>
      <c r="CP303" s="1" t="s">
        <v>219</v>
      </c>
      <c r="CQ303" s="1" t="s">
        <v>220</v>
      </c>
      <c r="CR303" s="1" t="s">
        <v>343</v>
      </c>
      <c r="CS303" s="1" t="s">
        <v>379</v>
      </c>
      <c r="CT303" s="1" t="s">
        <v>219</v>
      </c>
      <c r="CU303" s="1" t="s">
        <v>220</v>
      </c>
      <c r="CV303" s="1" t="s">
        <v>343</v>
      </c>
      <c r="CX303" s="1" t="s">
        <v>224</v>
      </c>
      <c r="DB303" s="1" t="s">
        <v>224</v>
      </c>
      <c r="DE303" s="1" t="s">
        <v>4556</v>
      </c>
      <c r="DF303" s="1" t="s">
        <v>219</v>
      </c>
      <c r="DG303" s="1" t="s">
        <v>220</v>
      </c>
      <c r="DH303" s="1" t="s">
        <v>343</v>
      </c>
      <c r="DJ303" s="1" t="s">
        <v>224</v>
      </c>
      <c r="DM303" s="1" t="s">
        <v>603</v>
      </c>
      <c r="DR303" s="1" t="s">
        <v>1133</v>
      </c>
      <c r="DS303" s="1" t="s">
        <v>219</v>
      </c>
      <c r="DT303" s="1" t="s">
        <v>220</v>
      </c>
      <c r="DW303" s="1" t="s">
        <v>230</v>
      </c>
      <c r="EA303" s="1" t="s">
        <v>230</v>
      </c>
      <c r="EE303" s="1" t="s">
        <v>230</v>
      </c>
      <c r="EI303" s="1" t="s">
        <v>230</v>
      </c>
      <c r="EL303" s="1" t="s">
        <v>542</v>
      </c>
      <c r="EM303" s="1" t="s">
        <v>761</v>
      </c>
      <c r="EN303" s="1" t="s">
        <v>282</v>
      </c>
      <c r="EO303" s="1" t="s">
        <v>234</v>
      </c>
      <c r="EP303" s="1" t="s">
        <v>4557</v>
      </c>
      <c r="EQ303" s="1" t="s">
        <v>4558</v>
      </c>
      <c r="ER303" s="1" t="s">
        <v>210</v>
      </c>
      <c r="ES303" s="1" t="s">
        <v>865</v>
      </c>
      <c r="EU303" s="1" t="s">
        <v>4559</v>
      </c>
      <c r="EV303" s="1" t="s">
        <v>352</v>
      </c>
      <c r="EW303" s="1" t="s">
        <v>4560</v>
      </c>
      <c r="EY303" s="1" t="s">
        <v>242</v>
      </c>
      <c r="EZ303" s="1" t="s">
        <v>603</v>
      </c>
      <c r="FA303" s="1" t="s">
        <v>4561</v>
      </c>
      <c r="FB303" s="1" t="s">
        <v>1755</v>
      </c>
      <c r="FC303" s="1" t="s">
        <v>1386</v>
      </c>
      <c r="FD303" s="1" t="s">
        <v>1112</v>
      </c>
      <c r="FE303" s="1" t="s">
        <v>889</v>
      </c>
      <c r="FF303" s="1" t="s">
        <v>248</v>
      </c>
      <c r="FG303" s="1" t="s">
        <v>939</v>
      </c>
      <c r="FH303" s="1" t="s">
        <v>249</v>
      </c>
      <c r="FI303" s="1" t="s">
        <v>473</v>
      </c>
      <c r="FJ303" s="1" t="s">
        <v>197</v>
      </c>
      <c r="FL303" s="1" t="s">
        <v>1073</v>
      </c>
      <c r="FM303" s="1" t="s">
        <v>252</v>
      </c>
      <c r="FN303" s="1" t="s">
        <v>213</v>
      </c>
      <c r="FO303" s="1" t="s">
        <v>213</v>
      </c>
      <c r="FQ303" s="1" t="s">
        <v>4562</v>
      </c>
      <c r="FR303" s="1" t="s">
        <v>210</v>
      </c>
      <c r="FS303" s="1" t="s">
        <v>443</v>
      </c>
      <c r="FT303" s="1" t="s">
        <v>2589</v>
      </c>
      <c r="FU303" s="1" t="s">
        <v>204</v>
      </c>
      <c r="FW303" s="1" t="s">
        <v>4563</v>
      </c>
      <c r="FX303" s="1">
        <v>6025</v>
      </c>
      <c r="FY303" s="1" t="s">
        <v>4564</v>
      </c>
      <c r="FZ303" s="1" t="s">
        <v>4565</v>
      </c>
      <c r="GA303" s="1">
        <v>62778</v>
      </c>
      <c r="GB303" s="1" t="s">
        <v>4564</v>
      </c>
      <c r="GE303" s="1" t="s">
        <v>480</v>
      </c>
      <c r="GI303" s="1" t="s">
        <v>213</v>
      </c>
      <c r="GJ303" s="1" t="s">
        <v>260</v>
      </c>
      <c r="GK303" s="1" t="s">
        <v>210</v>
      </c>
      <c r="GL303" s="2">
        <v>42037</v>
      </c>
      <c r="GM303" s="1" t="s">
        <v>4566</v>
      </c>
    </row>
    <row r="304" spans="1:195">
      <c r="A304" s="1">
        <v>94000</v>
      </c>
      <c r="B304" s="1" t="s">
        <v>195</v>
      </c>
      <c r="C304" s="1" t="str">
        <f>"08772367"</f>
        <v>08772367</v>
      </c>
      <c r="D304" s="1" t="s">
        <v>196</v>
      </c>
      <c r="F304" s="1" t="str">
        <f>"540"</f>
        <v>540</v>
      </c>
      <c r="G304" s="2">
        <v>41953</v>
      </c>
      <c r="H304" s="1">
        <v>99000</v>
      </c>
      <c r="I304" s="1">
        <v>99000</v>
      </c>
      <c r="J304" s="1">
        <v>94000</v>
      </c>
      <c r="K304" s="2">
        <v>41953</v>
      </c>
      <c r="L304" s="1">
        <v>156</v>
      </c>
      <c r="M304" s="2">
        <v>42108</v>
      </c>
      <c r="N304" s="1">
        <v>156</v>
      </c>
      <c r="O304" s="2">
        <v>42108</v>
      </c>
      <c r="P304" s="1">
        <v>23163</v>
      </c>
      <c r="Q304" s="1" t="s">
        <v>302</v>
      </c>
      <c r="R304" s="2">
        <v>42139</v>
      </c>
      <c r="S304" s="1">
        <v>223639</v>
      </c>
      <c r="U304" s="1">
        <v>1049</v>
      </c>
      <c r="V304" s="1" t="s">
        <v>4567</v>
      </c>
      <c r="W304" s="1" t="s">
        <v>425</v>
      </c>
      <c r="X304" s="1">
        <v>115</v>
      </c>
      <c r="Y304" s="1">
        <v>51</v>
      </c>
      <c r="Z304" s="1" t="s">
        <v>249</v>
      </c>
      <c r="AA304" s="1" t="s">
        <v>921</v>
      </c>
      <c r="AB304" s="1">
        <v>60563</v>
      </c>
      <c r="AD304" s="1" t="s">
        <v>4568</v>
      </c>
      <c r="AE304" s="1" t="s">
        <v>4569</v>
      </c>
      <c r="AF304" s="1">
        <v>1968</v>
      </c>
      <c r="AG304" s="1" t="s">
        <v>213</v>
      </c>
      <c r="AH304" s="1" t="s">
        <v>924</v>
      </c>
      <c r="AI304" s="1" t="s">
        <v>206</v>
      </c>
      <c r="AJ304" s="1" t="s">
        <v>924</v>
      </c>
      <c r="AL304" s="1">
        <v>5</v>
      </c>
      <c r="AM304" s="1">
        <v>2</v>
      </c>
      <c r="AN304" s="1">
        <v>2</v>
      </c>
      <c r="AO304" s="1">
        <v>0</v>
      </c>
      <c r="AP304" s="1" t="s">
        <v>209</v>
      </c>
      <c r="AR304" s="1" t="s">
        <v>210</v>
      </c>
      <c r="AT304" s="1" t="s">
        <v>211</v>
      </c>
      <c r="AU304" s="1">
        <v>1</v>
      </c>
      <c r="AW304" s="1" t="s">
        <v>204</v>
      </c>
      <c r="AX304" s="1" t="s">
        <v>212</v>
      </c>
      <c r="AZ304" s="1">
        <v>2419</v>
      </c>
      <c r="BA304" s="1">
        <v>2013</v>
      </c>
      <c r="BE304" s="1">
        <v>1050</v>
      </c>
      <c r="BF304" s="1">
        <v>1</v>
      </c>
      <c r="BG304" s="1">
        <v>0</v>
      </c>
      <c r="BL304" s="1">
        <v>378</v>
      </c>
      <c r="BM304" s="1" t="s">
        <v>213</v>
      </c>
      <c r="BN304" s="1" t="s">
        <v>213</v>
      </c>
      <c r="BO304" s="1">
        <v>10</v>
      </c>
      <c r="BP304" s="1" t="s">
        <v>204</v>
      </c>
      <c r="BR304" s="1" t="str">
        <f>"0711409015"</f>
        <v>0711409015</v>
      </c>
      <c r="BT304" s="1" t="s">
        <v>4570</v>
      </c>
      <c r="BU304" s="1" t="s">
        <v>2823</v>
      </c>
      <c r="BV304" s="1" t="s">
        <v>2824</v>
      </c>
      <c r="BW304" s="1" t="s">
        <v>2825</v>
      </c>
      <c r="BX304" s="1">
        <v>203</v>
      </c>
      <c r="BY304" s="1">
        <v>203</v>
      </c>
      <c r="BZ304" s="1">
        <v>203</v>
      </c>
      <c r="CB304" s="1" t="str">
        <f t="shared" ref="CB304:CC304" si="244">"0"</f>
        <v>0</v>
      </c>
      <c r="CC304" s="1" t="str">
        <f t="shared" si="244"/>
        <v>0</v>
      </c>
      <c r="CD304" s="1">
        <v>27</v>
      </c>
      <c r="CE304" s="1">
        <v>5</v>
      </c>
      <c r="CG304" s="1" t="s">
        <v>4571</v>
      </c>
      <c r="CH304" s="1" t="s">
        <v>219</v>
      </c>
      <c r="CI304" s="1" t="s">
        <v>220</v>
      </c>
      <c r="CK304" s="1" t="s">
        <v>315</v>
      </c>
      <c r="CL304" s="1" t="s">
        <v>219</v>
      </c>
      <c r="CM304" s="1" t="s">
        <v>220</v>
      </c>
      <c r="CO304" s="1" t="s">
        <v>629</v>
      </c>
      <c r="CP304" s="1" t="s">
        <v>219</v>
      </c>
      <c r="CQ304" s="1" t="s">
        <v>220</v>
      </c>
      <c r="CS304" s="1" t="s">
        <v>461</v>
      </c>
      <c r="CT304" s="1" t="s">
        <v>219</v>
      </c>
      <c r="CU304" s="1" t="s">
        <v>220</v>
      </c>
      <c r="CX304" s="1" t="s">
        <v>224</v>
      </c>
      <c r="DB304" s="1" t="s">
        <v>224</v>
      </c>
      <c r="DE304" s="1" t="s">
        <v>223</v>
      </c>
      <c r="DF304" s="1" t="s">
        <v>219</v>
      </c>
      <c r="DG304" s="1" t="s">
        <v>342</v>
      </c>
      <c r="DJ304" s="1" t="s">
        <v>224</v>
      </c>
      <c r="DS304" s="1" t="s">
        <v>230</v>
      </c>
      <c r="DW304" s="1" t="s">
        <v>230</v>
      </c>
      <c r="EA304" s="1" t="s">
        <v>230</v>
      </c>
      <c r="EE304" s="1" t="s">
        <v>230</v>
      </c>
      <c r="EI304" s="1" t="s">
        <v>230</v>
      </c>
      <c r="EL304" s="1" t="s">
        <v>605</v>
      </c>
      <c r="EM304" s="1" t="s">
        <v>232</v>
      </c>
      <c r="EN304" s="1" t="s">
        <v>1158</v>
      </c>
      <c r="EO304" s="1" t="s">
        <v>234</v>
      </c>
      <c r="EP304" s="1" t="s">
        <v>4572</v>
      </c>
      <c r="EQ304" s="1" t="s">
        <v>350</v>
      </c>
      <c r="ER304" s="1" t="s">
        <v>210</v>
      </c>
      <c r="ES304" s="1" t="s">
        <v>237</v>
      </c>
      <c r="ET304" s="1" t="s">
        <v>323</v>
      </c>
      <c r="EV304" s="1" t="s">
        <v>240</v>
      </c>
      <c r="EW304" s="1" t="s">
        <v>4573</v>
      </c>
      <c r="EZ304" s="1" t="s">
        <v>287</v>
      </c>
      <c r="FB304" s="1" t="s">
        <v>289</v>
      </c>
      <c r="FD304" s="1" t="s">
        <v>246</v>
      </c>
      <c r="FE304" s="1" t="s">
        <v>247</v>
      </c>
      <c r="FF304" s="1" t="s">
        <v>248</v>
      </c>
      <c r="FH304" s="1" t="s">
        <v>249</v>
      </c>
      <c r="FL304" s="1" t="s">
        <v>2233</v>
      </c>
      <c r="FM304" s="1" t="s">
        <v>252</v>
      </c>
      <c r="FN304" s="1" t="s">
        <v>213</v>
      </c>
      <c r="FO304" s="1" t="s">
        <v>213</v>
      </c>
      <c r="FQ304" s="1" t="s">
        <v>1758</v>
      </c>
      <c r="FR304" s="1" t="s">
        <v>210</v>
      </c>
      <c r="FS304" s="1" t="s">
        <v>4574</v>
      </c>
      <c r="FT304" s="1" t="s">
        <v>295</v>
      </c>
      <c r="FU304" s="1" t="s">
        <v>204</v>
      </c>
      <c r="FW304" s="1" t="s">
        <v>915</v>
      </c>
      <c r="FX304" s="1">
        <v>23076</v>
      </c>
      <c r="FY304" s="1" t="s">
        <v>1909</v>
      </c>
      <c r="FZ304" s="1" t="s">
        <v>4575</v>
      </c>
      <c r="GA304" s="1">
        <v>233713</v>
      </c>
      <c r="GB304" s="1" t="s">
        <v>4576</v>
      </c>
      <c r="GE304" s="1" t="s">
        <v>658</v>
      </c>
      <c r="GH304" s="1" t="s">
        <v>589</v>
      </c>
      <c r="GI304" s="1" t="s">
        <v>213</v>
      </c>
      <c r="GJ304" s="1" t="s">
        <v>260</v>
      </c>
      <c r="GK304" s="1" t="s">
        <v>210</v>
      </c>
      <c r="GL304" s="2">
        <v>42139</v>
      </c>
      <c r="GM304" s="1" t="s">
        <v>4577</v>
      </c>
    </row>
    <row r="305" spans="1:195">
      <c r="A305" s="1">
        <v>80000</v>
      </c>
      <c r="B305" s="1" t="s">
        <v>195</v>
      </c>
      <c r="C305" s="1" t="str">
        <f>"08790573"</f>
        <v>08790573</v>
      </c>
      <c r="D305" s="1" t="s">
        <v>196</v>
      </c>
      <c r="F305" s="1" t="str">
        <f>"115"</f>
        <v>115</v>
      </c>
      <c r="G305" s="2">
        <v>41964</v>
      </c>
      <c r="H305" s="1">
        <v>89500</v>
      </c>
      <c r="I305" s="1">
        <v>82900</v>
      </c>
      <c r="J305" s="1">
        <v>80000</v>
      </c>
      <c r="K305" s="2">
        <v>41963</v>
      </c>
      <c r="L305" s="1">
        <v>92</v>
      </c>
      <c r="M305" s="2">
        <v>42054</v>
      </c>
      <c r="N305" s="1">
        <v>92</v>
      </c>
      <c r="O305" s="2">
        <v>42054</v>
      </c>
      <c r="P305" s="1">
        <v>93043</v>
      </c>
      <c r="Q305" s="1" t="s">
        <v>302</v>
      </c>
      <c r="R305" s="2">
        <v>42069</v>
      </c>
      <c r="S305" s="1">
        <v>930150</v>
      </c>
      <c r="U305" s="1">
        <v>3238</v>
      </c>
      <c r="V305" s="1" t="s">
        <v>4578</v>
      </c>
      <c r="W305" s="1" t="s">
        <v>304</v>
      </c>
      <c r="Y305" s="1">
        <v>4</v>
      </c>
      <c r="Z305" s="1" t="s">
        <v>370</v>
      </c>
      <c r="AA305" s="1" t="s">
        <v>2242</v>
      </c>
      <c r="AB305" s="1">
        <v>60115</v>
      </c>
      <c r="AE305" s="1" t="s">
        <v>4579</v>
      </c>
      <c r="AF305" s="1">
        <v>2006</v>
      </c>
      <c r="AG305" s="1" t="s">
        <v>204</v>
      </c>
      <c r="AH305" s="1" t="s">
        <v>2245</v>
      </c>
      <c r="AI305" s="1" t="s">
        <v>2246</v>
      </c>
      <c r="AJ305" s="1" t="s">
        <v>2245</v>
      </c>
      <c r="AL305" s="1">
        <v>4</v>
      </c>
      <c r="AM305" s="1">
        <v>2</v>
      </c>
      <c r="AN305" s="1">
        <v>1</v>
      </c>
      <c r="AO305" s="1">
        <v>0</v>
      </c>
      <c r="AP305" s="1" t="s">
        <v>210</v>
      </c>
      <c r="AQ305" s="1">
        <v>0</v>
      </c>
      <c r="AR305" s="1" t="s">
        <v>209</v>
      </c>
      <c r="AS305" s="1" t="s">
        <v>204</v>
      </c>
      <c r="AT305" s="1" t="s">
        <v>211</v>
      </c>
      <c r="AU305" s="1">
        <v>2</v>
      </c>
      <c r="AW305" s="1" t="s">
        <v>204</v>
      </c>
      <c r="AX305" s="1" t="s">
        <v>4580</v>
      </c>
      <c r="AZ305" s="1">
        <v>3617.16</v>
      </c>
      <c r="BA305" s="1">
        <v>2013</v>
      </c>
      <c r="BE305" s="1">
        <v>772</v>
      </c>
      <c r="BF305" s="1">
        <v>1</v>
      </c>
      <c r="BG305" s="1">
        <v>0</v>
      </c>
      <c r="BL305" s="1">
        <v>75</v>
      </c>
      <c r="BM305" s="1" t="s">
        <v>204</v>
      </c>
      <c r="BN305" s="1" t="s">
        <v>213</v>
      </c>
      <c r="BO305" s="1">
        <v>999</v>
      </c>
      <c r="BP305" s="1" t="s">
        <v>204</v>
      </c>
      <c r="BR305" s="1" t="str">
        <f>"0803475042"</f>
        <v>0803475042</v>
      </c>
      <c r="BT305" s="1" t="s">
        <v>4581</v>
      </c>
      <c r="BX305" s="1">
        <v>428</v>
      </c>
      <c r="BY305" s="1">
        <v>428</v>
      </c>
      <c r="BZ305" s="1">
        <v>428</v>
      </c>
      <c r="CB305" s="1" t="str">
        <f t="shared" ref="CB305:CC305" si="245">""</f>
        <v/>
      </c>
      <c r="CC305" s="1" t="str">
        <f t="shared" si="245"/>
        <v/>
      </c>
      <c r="CG305" s="1" t="s">
        <v>407</v>
      </c>
      <c r="CH305" s="1" t="s">
        <v>219</v>
      </c>
      <c r="CI305" s="1" t="s">
        <v>220</v>
      </c>
      <c r="CK305" s="1" t="s">
        <v>407</v>
      </c>
      <c r="CL305" s="1" t="s">
        <v>219</v>
      </c>
      <c r="CP305" s="1" t="s">
        <v>224</v>
      </c>
      <c r="CS305" s="1" t="s">
        <v>348</v>
      </c>
      <c r="CT305" s="1" t="s">
        <v>219</v>
      </c>
      <c r="CX305" s="1" t="s">
        <v>224</v>
      </c>
      <c r="DB305" s="1" t="s">
        <v>224</v>
      </c>
      <c r="DE305" s="1" t="s">
        <v>1854</v>
      </c>
      <c r="DF305" s="1" t="s">
        <v>219</v>
      </c>
      <c r="DG305" s="1" t="s">
        <v>438</v>
      </c>
      <c r="DJ305" s="1" t="s">
        <v>224</v>
      </c>
      <c r="DS305" s="1" t="s">
        <v>230</v>
      </c>
      <c r="DW305" s="1" t="s">
        <v>230</v>
      </c>
      <c r="EA305" s="1" t="s">
        <v>230</v>
      </c>
      <c r="EE305" s="1" t="s">
        <v>230</v>
      </c>
      <c r="EI305" s="1" t="s">
        <v>230</v>
      </c>
      <c r="EL305" s="1" t="s">
        <v>491</v>
      </c>
      <c r="EM305" s="1" t="s">
        <v>319</v>
      </c>
      <c r="EN305" s="1" t="s">
        <v>282</v>
      </c>
      <c r="EO305" s="1" t="s">
        <v>234</v>
      </c>
      <c r="ER305" s="1" t="s">
        <v>1249</v>
      </c>
      <c r="ES305" s="1" t="s">
        <v>322</v>
      </c>
      <c r="EW305" s="1" t="s">
        <v>1250</v>
      </c>
      <c r="EZ305" s="1" t="s">
        <v>287</v>
      </c>
      <c r="FD305" s="1" t="s">
        <v>246</v>
      </c>
      <c r="FE305" s="1" t="s">
        <v>472</v>
      </c>
      <c r="FF305" s="1" t="s">
        <v>248</v>
      </c>
      <c r="FH305" s="1" t="s">
        <v>825</v>
      </c>
      <c r="FL305" s="1" t="s">
        <v>358</v>
      </c>
      <c r="FM305" s="1" t="s">
        <v>252</v>
      </c>
      <c r="FN305" s="1" t="s">
        <v>213</v>
      </c>
      <c r="FO305" s="1" t="s">
        <v>213</v>
      </c>
      <c r="FQ305" s="1" t="s">
        <v>689</v>
      </c>
      <c r="FR305" s="1" t="s">
        <v>210</v>
      </c>
      <c r="FS305" s="1" t="s">
        <v>4582</v>
      </c>
      <c r="FT305" s="1" t="s">
        <v>584</v>
      </c>
      <c r="FU305" s="1" t="s">
        <v>204</v>
      </c>
      <c r="FW305" s="1" t="s">
        <v>4583</v>
      </c>
      <c r="FX305" s="1">
        <v>24811</v>
      </c>
      <c r="FY305" s="1" t="s">
        <v>4584</v>
      </c>
      <c r="FZ305" s="1" t="s">
        <v>4585</v>
      </c>
      <c r="GA305" s="1">
        <v>237447</v>
      </c>
      <c r="GE305" s="1" t="s">
        <v>210</v>
      </c>
      <c r="GI305" s="1" t="s">
        <v>213</v>
      </c>
      <c r="GJ305" s="1" t="s">
        <v>260</v>
      </c>
      <c r="GK305" s="1" t="s">
        <v>210</v>
      </c>
      <c r="GL305" s="2">
        <v>42069</v>
      </c>
      <c r="GM305" s="1" t="s">
        <v>4586</v>
      </c>
    </row>
    <row r="306" spans="1:195">
      <c r="A306" s="1">
        <v>133900</v>
      </c>
      <c r="B306" s="1" t="s">
        <v>195</v>
      </c>
      <c r="C306" s="1" t="str">
        <f>"08773328"</f>
        <v>08773328</v>
      </c>
      <c r="D306" s="1" t="s">
        <v>196</v>
      </c>
      <c r="F306" s="1" t="str">
        <f>"188"</f>
        <v>188</v>
      </c>
      <c r="G306" s="2">
        <v>41954</v>
      </c>
      <c r="H306" s="1">
        <v>132900</v>
      </c>
      <c r="I306" s="1">
        <v>132900</v>
      </c>
      <c r="J306" s="1">
        <v>133900</v>
      </c>
      <c r="K306" s="2">
        <v>41954</v>
      </c>
      <c r="L306" s="1">
        <v>111</v>
      </c>
      <c r="M306" s="2">
        <v>41979</v>
      </c>
      <c r="N306" s="1">
        <v>26</v>
      </c>
      <c r="O306" s="2">
        <v>41979</v>
      </c>
      <c r="P306" s="1">
        <v>25279</v>
      </c>
      <c r="Q306" s="1" t="s">
        <v>423</v>
      </c>
      <c r="R306" s="2">
        <v>42030</v>
      </c>
      <c r="S306" s="1">
        <v>241582</v>
      </c>
      <c r="U306" s="1">
        <v>1462</v>
      </c>
      <c r="V306" s="1" t="s">
        <v>4587</v>
      </c>
      <c r="W306" s="1" t="s">
        <v>449</v>
      </c>
      <c r="Y306" s="1">
        <v>6</v>
      </c>
      <c r="Z306" s="1" t="s">
        <v>200</v>
      </c>
      <c r="AA306" s="1" t="s">
        <v>1084</v>
      </c>
      <c r="AB306" s="1">
        <v>60188</v>
      </c>
      <c r="AE306" s="1" t="s">
        <v>4588</v>
      </c>
      <c r="AF306" s="1">
        <v>1986</v>
      </c>
      <c r="AG306" s="1" t="s">
        <v>204</v>
      </c>
      <c r="AH306" s="1" t="s">
        <v>1087</v>
      </c>
      <c r="AI306" s="1" t="s">
        <v>206</v>
      </c>
      <c r="AJ306" s="1" t="s">
        <v>2654</v>
      </c>
      <c r="AL306" s="1">
        <v>5</v>
      </c>
      <c r="AM306" s="1">
        <v>2</v>
      </c>
      <c r="AN306" s="1">
        <v>1</v>
      </c>
      <c r="AO306" s="1">
        <v>1</v>
      </c>
      <c r="AP306" s="1" t="s">
        <v>667</v>
      </c>
      <c r="AR306" s="1" t="s">
        <v>210</v>
      </c>
      <c r="AS306" s="1" t="s">
        <v>204</v>
      </c>
      <c r="AT306" s="1" t="s">
        <v>211</v>
      </c>
      <c r="AU306" s="1">
        <v>1</v>
      </c>
      <c r="AW306" s="1" t="s">
        <v>204</v>
      </c>
      <c r="AX306" s="1" t="s">
        <v>4589</v>
      </c>
      <c r="AZ306" s="1">
        <v>3592.24</v>
      </c>
      <c r="BA306" s="1">
        <v>2013</v>
      </c>
      <c r="BB306" s="1" t="s">
        <v>405</v>
      </c>
      <c r="BE306" s="1">
        <v>1120</v>
      </c>
      <c r="BF306" s="1">
        <v>1</v>
      </c>
      <c r="BG306" s="1">
        <v>0</v>
      </c>
      <c r="BL306" s="1">
        <v>0</v>
      </c>
      <c r="BM306" s="1" t="s">
        <v>204</v>
      </c>
      <c r="BN306" s="1" t="s">
        <v>213</v>
      </c>
      <c r="BO306" s="1">
        <v>999</v>
      </c>
      <c r="BP306" s="1" t="s">
        <v>204</v>
      </c>
      <c r="BR306" s="1" t="str">
        <f>"0123403002"</f>
        <v>0123403002</v>
      </c>
      <c r="BT306" s="1" t="s">
        <v>4590</v>
      </c>
      <c r="BU306" s="1" t="s">
        <v>4591</v>
      </c>
      <c r="BV306" s="1" t="s">
        <v>4120</v>
      </c>
      <c r="BW306" s="1" t="s">
        <v>4121</v>
      </c>
      <c r="BX306" s="1">
        <v>46</v>
      </c>
      <c r="BY306" s="1">
        <v>46</v>
      </c>
      <c r="BZ306" s="1">
        <v>46</v>
      </c>
      <c r="CB306" s="1" t="str">
        <f t="shared" ref="CB306:CC306" si="246">""</f>
        <v/>
      </c>
      <c r="CC306" s="1" t="str">
        <f t="shared" si="246"/>
        <v/>
      </c>
      <c r="CG306" s="1" t="s">
        <v>581</v>
      </c>
      <c r="CH306" s="1" t="s">
        <v>219</v>
      </c>
      <c r="CI306" s="1" t="s">
        <v>220</v>
      </c>
      <c r="CJ306" s="1" t="s">
        <v>252</v>
      </c>
      <c r="CK306" s="1" t="s">
        <v>581</v>
      </c>
      <c r="CL306" s="1" t="s">
        <v>277</v>
      </c>
      <c r="CM306" s="1" t="s">
        <v>220</v>
      </c>
      <c r="CN306" s="1" t="s">
        <v>252</v>
      </c>
      <c r="CP306" s="1" t="s">
        <v>224</v>
      </c>
      <c r="CS306" s="1" t="s">
        <v>757</v>
      </c>
      <c r="CT306" s="1" t="s">
        <v>277</v>
      </c>
      <c r="CU306" s="1" t="s">
        <v>220</v>
      </c>
      <c r="CV306" s="1" t="s">
        <v>252</v>
      </c>
      <c r="CX306" s="1" t="s">
        <v>224</v>
      </c>
      <c r="DB306" s="1" t="s">
        <v>224</v>
      </c>
      <c r="DE306" s="1" t="s">
        <v>2466</v>
      </c>
      <c r="DF306" s="1" t="s">
        <v>219</v>
      </c>
      <c r="DG306" s="1" t="s">
        <v>226</v>
      </c>
      <c r="DH306" s="1" t="s">
        <v>252</v>
      </c>
      <c r="DJ306" s="1" t="s">
        <v>224</v>
      </c>
      <c r="DM306" s="1" t="s">
        <v>1548</v>
      </c>
      <c r="DR306" s="1" t="s">
        <v>836</v>
      </c>
      <c r="DS306" s="1" t="s">
        <v>219</v>
      </c>
      <c r="DT306" s="1" t="s">
        <v>226</v>
      </c>
      <c r="DU306" s="1" t="s">
        <v>252</v>
      </c>
      <c r="DW306" s="1" t="s">
        <v>230</v>
      </c>
      <c r="EA306" s="1" t="s">
        <v>230</v>
      </c>
      <c r="EE306" s="1" t="s">
        <v>230</v>
      </c>
      <c r="EI306" s="1" t="s">
        <v>230</v>
      </c>
      <c r="EL306" s="1" t="s">
        <v>542</v>
      </c>
      <c r="EM306" s="1" t="s">
        <v>232</v>
      </c>
      <c r="EN306" s="1" t="s">
        <v>282</v>
      </c>
      <c r="EO306" s="1" t="s">
        <v>234</v>
      </c>
      <c r="EP306" s="1" t="s">
        <v>1489</v>
      </c>
      <c r="EQ306" s="1" t="s">
        <v>4592</v>
      </c>
      <c r="ER306" s="1" t="s">
        <v>383</v>
      </c>
      <c r="EU306" s="1" t="s">
        <v>546</v>
      </c>
      <c r="EW306" s="1" t="s">
        <v>210</v>
      </c>
      <c r="EZ306" s="1" t="s">
        <v>1548</v>
      </c>
      <c r="FA306" s="1" t="s">
        <v>4593</v>
      </c>
      <c r="FC306" s="1" t="s">
        <v>1386</v>
      </c>
      <c r="FD306" s="1" t="s">
        <v>246</v>
      </c>
      <c r="FE306" s="1" t="s">
        <v>975</v>
      </c>
      <c r="FF306" s="1" t="s">
        <v>3103</v>
      </c>
      <c r="FH306" s="1" t="s">
        <v>550</v>
      </c>
      <c r="FI306" s="1" t="s">
        <v>473</v>
      </c>
      <c r="FJ306" s="1" t="s">
        <v>518</v>
      </c>
      <c r="FL306" s="1" t="s">
        <v>358</v>
      </c>
      <c r="FM306" s="1" t="s">
        <v>252</v>
      </c>
      <c r="FN306" s="1" t="s">
        <v>213</v>
      </c>
      <c r="FO306" s="1" t="s">
        <v>213</v>
      </c>
      <c r="FQ306" s="1" t="s">
        <v>4594</v>
      </c>
      <c r="FR306" s="1" t="s">
        <v>652</v>
      </c>
      <c r="FS306" s="1" t="s">
        <v>4595</v>
      </c>
      <c r="FT306" s="1" t="s">
        <v>295</v>
      </c>
      <c r="FU306" s="1" t="s">
        <v>204</v>
      </c>
      <c r="FW306" s="1" t="s">
        <v>4596</v>
      </c>
      <c r="FX306" s="1">
        <v>8969</v>
      </c>
      <c r="FY306" s="1" t="s">
        <v>4597</v>
      </c>
      <c r="FZ306" s="1" t="s">
        <v>4598</v>
      </c>
      <c r="GA306" s="1">
        <v>82280</v>
      </c>
      <c r="GB306" s="1" t="s">
        <v>4599</v>
      </c>
      <c r="GE306" s="1" t="s">
        <v>210</v>
      </c>
      <c r="GI306" s="1" t="s">
        <v>213</v>
      </c>
      <c r="GJ306" s="1" t="s">
        <v>260</v>
      </c>
      <c r="GK306" s="1" t="s">
        <v>210</v>
      </c>
      <c r="GL306" s="2">
        <v>42030</v>
      </c>
      <c r="GM306" s="1" t="s">
        <v>4600</v>
      </c>
    </row>
    <row r="307" spans="1:195">
      <c r="A307" s="1">
        <v>165000</v>
      </c>
      <c r="B307" s="1" t="s">
        <v>195</v>
      </c>
      <c r="C307" s="1" t="str">
        <f>"08774526"</f>
        <v>08774526</v>
      </c>
      <c r="D307" s="1" t="s">
        <v>196</v>
      </c>
      <c r="F307" s="1" t="str">
        <f>"186"</f>
        <v>186</v>
      </c>
      <c r="G307" s="2">
        <v>41955</v>
      </c>
      <c r="H307" s="1">
        <v>150000</v>
      </c>
      <c r="I307" s="1">
        <v>150000</v>
      </c>
      <c r="J307" s="1">
        <v>165000</v>
      </c>
      <c r="K307" s="2">
        <v>41955</v>
      </c>
      <c r="L307" s="1">
        <v>55</v>
      </c>
      <c r="M307" s="2">
        <v>42009</v>
      </c>
      <c r="N307" s="1">
        <v>55</v>
      </c>
      <c r="O307" s="2">
        <v>42009</v>
      </c>
      <c r="P307" s="1">
        <v>24039</v>
      </c>
      <c r="Q307" s="1" t="s">
        <v>197</v>
      </c>
      <c r="R307" s="2">
        <v>42027</v>
      </c>
      <c r="S307" s="1">
        <v>236146</v>
      </c>
      <c r="U307" s="1">
        <v>1500</v>
      </c>
      <c r="V307" s="1" t="s">
        <v>4104</v>
      </c>
      <c r="W307" s="1" t="s">
        <v>425</v>
      </c>
      <c r="X307" s="1">
        <v>505</v>
      </c>
      <c r="Y307" s="1">
        <v>68</v>
      </c>
      <c r="Z307" s="1" t="s">
        <v>249</v>
      </c>
      <c r="AA307" s="1" t="s">
        <v>2099</v>
      </c>
      <c r="AB307" s="1">
        <v>60181</v>
      </c>
      <c r="AE307" s="1" t="s">
        <v>4601</v>
      </c>
      <c r="AF307" s="1">
        <v>1998</v>
      </c>
      <c r="AG307" s="1" t="s">
        <v>204</v>
      </c>
      <c r="AH307" s="1" t="s">
        <v>2101</v>
      </c>
      <c r="AI307" s="1" t="s">
        <v>206</v>
      </c>
      <c r="AJ307" s="1" t="s">
        <v>1608</v>
      </c>
      <c r="AL307" s="1">
        <v>5</v>
      </c>
      <c r="AM307" s="1">
        <v>2</v>
      </c>
      <c r="AN307" s="1">
        <v>1</v>
      </c>
      <c r="AO307" s="1">
        <v>0</v>
      </c>
      <c r="AP307" s="1" t="s">
        <v>667</v>
      </c>
      <c r="AR307" s="1" t="s">
        <v>210</v>
      </c>
      <c r="AS307" s="1" t="s">
        <v>204</v>
      </c>
      <c r="AT307" s="1" t="s">
        <v>211</v>
      </c>
      <c r="AU307" s="1">
        <v>1</v>
      </c>
      <c r="AW307" s="1" t="s">
        <v>204</v>
      </c>
      <c r="AX307" s="1" t="s">
        <v>212</v>
      </c>
      <c r="AZ307" s="1">
        <v>2823</v>
      </c>
      <c r="BA307" s="1">
        <v>2013</v>
      </c>
      <c r="BE307" s="1">
        <v>0</v>
      </c>
      <c r="BF307" s="1">
        <v>5</v>
      </c>
      <c r="BG307" s="1">
        <v>30</v>
      </c>
      <c r="BL307" s="1">
        <v>295</v>
      </c>
      <c r="BM307" s="1" t="s">
        <v>204</v>
      </c>
      <c r="BN307" s="1" t="s">
        <v>213</v>
      </c>
      <c r="BO307" s="1">
        <v>25</v>
      </c>
      <c r="BP307" s="1" t="s">
        <v>204</v>
      </c>
      <c r="BR307" s="1" t="str">
        <f>"0616402046"</f>
        <v>0616402046</v>
      </c>
      <c r="BT307" s="1" t="s">
        <v>4602</v>
      </c>
      <c r="BU307" s="1" t="s">
        <v>4603</v>
      </c>
      <c r="BV307" s="1" t="s">
        <v>2200</v>
      </c>
      <c r="BW307" s="1" t="s">
        <v>2201</v>
      </c>
      <c r="BX307" s="1">
        <v>45</v>
      </c>
      <c r="BY307" s="1">
        <v>45</v>
      </c>
      <c r="BZ307" s="1">
        <v>88</v>
      </c>
      <c r="CB307" s="1" t="str">
        <f t="shared" ref="CB307:CC307" si="247">""</f>
        <v/>
      </c>
      <c r="CC307" s="1" t="str">
        <f t="shared" si="247"/>
        <v/>
      </c>
      <c r="CG307" s="1" t="s">
        <v>1178</v>
      </c>
      <c r="CH307" s="1" t="s">
        <v>219</v>
      </c>
      <c r="CI307" s="1" t="s">
        <v>220</v>
      </c>
      <c r="CK307" s="1" t="s">
        <v>729</v>
      </c>
      <c r="CL307" s="1" t="s">
        <v>219</v>
      </c>
      <c r="CM307" s="1" t="s">
        <v>220</v>
      </c>
      <c r="CO307" s="1" t="s">
        <v>972</v>
      </c>
      <c r="CP307" s="1" t="s">
        <v>219</v>
      </c>
      <c r="CQ307" s="1" t="s">
        <v>220</v>
      </c>
      <c r="CS307" s="1" t="s">
        <v>378</v>
      </c>
      <c r="CT307" s="1" t="s">
        <v>219</v>
      </c>
      <c r="CU307" s="1" t="s">
        <v>220</v>
      </c>
      <c r="CX307" s="1" t="s">
        <v>224</v>
      </c>
      <c r="DB307" s="1" t="s">
        <v>224</v>
      </c>
      <c r="DE307" s="1" t="s">
        <v>757</v>
      </c>
      <c r="DF307" s="1" t="s">
        <v>219</v>
      </c>
      <c r="DG307" s="1" t="s">
        <v>229</v>
      </c>
      <c r="DJ307" s="1" t="s">
        <v>224</v>
      </c>
      <c r="DM307" s="1" t="s">
        <v>709</v>
      </c>
      <c r="DN307" s="1" t="s">
        <v>838</v>
      </c>
      <c r="DR307" s="1" t="s">
        <v>4604</v>
      </c>
      <c r="DS307" s="1" t="s">
        <v>219</v>
      </c>
      <c r="DV307" s="1" t="s">
        <v>4605</v>
      </c>
      <c r="DW307" s="1" t="s">
        <v>219</v>
      </c>
      <c r="EA307" s="1" t="s">
        <v>230</v>
      </c>
      <c r="EE307" s="1" t="s">
        <v>230</v>
      </c>
      <c r="EI307" s="1" t="s">
        <v>230</v>
      </c>
      <c r="EL307" s="1" t="s">
        <v>670</v>
      </c>
      <c r="EM307" s="1" t="s">
        <v>232</v>
      </c>
      <c r="EN307" s="1" t="s">
        <v>282</v>
      </c>
      <c r="EO307" s="1" t="s">
        <v>234</v>
      </c>
      <c r="EP307" s="1" t="s">
        <v>4606</v>
      </c>
      <c r="EQ307" s="1" t="s">
        <v>236</v>
      </c>
      <c r="ER307" s="1" t="s">
        <v>210</v>
      </c>
      <c r="ES307" s="1" t="s">
        <v>954</v>
      </c>
      <c r="EV307" s="1" t="s">
        <v>324</v>
      </c>
      <c r="EW307" s="1" t="s">
        <v>4607</v>
      </c>
      <c r="EZ307" s="1" t="s">
        <v>3826</v>
      </c>
      <c r="FD307" s="1" t="s">
        <v>290</v>
      </c>
      <c r="FE307" s="1" t="s">
        <v>247</v>
      </c>
      <c r="FF307" s="1" t="s">
        <v>248</v>
      </c>
      <c r="FH307" s="1" t="s">
        <v>249</v>
      </c>
      <c r="FI307" s="1" t="s">
        <v>3300</v>
      </c>
      <c r="FL307" s="1" t="s">
        <v>358</v>
      </c>
      <c r="FM307" s="1" t="s">
        <v>252</v>
      </c>
      <c r="FN307" s="1" t="s">
        <v>213</v>
      </c>
      <c r="FO307" s="1" t="s">
        <v>213</v>
      </c>
      <c r="FQ307" s="1" t="s">
        <v>2004</v>
      </c>
      <c r="FR307" s="1" t="s">
        <v>210</v>
      </c>
      <c r="FS307" s="1" t="s">
        <v>4608</v>
      </c>
      <c r="FT307" s="1" t="s">
        <v>362</v>
      </c>
      <c r="FU307" s="1" t="s">
        <v>204</v>
      </c>
      <c r="FW307" s="1" t="s">
        <v>2006</v>
      </c>
      <c r="FX307" s="1">
        <v>25792</v>
      </c>
      <c r="FY307" s="1" t="s">
        <v>3181</v>
      </c>
      <c r="FZ307" s="1" t="s">
        <v>4609</v>
      </c>
      <c r="GA307" s="1">
        <v>214645</v>
      </c>
      <c r="GB307" s="1" t="s">
        <v>4610</v>
      </c>
      <c r="GC307" s="1">
        <v>214646</v>
      </c>
      <c r="GE307" s="1" t="s">
        <v>210</v>
      </c>
      <c r="GH307" s="1" t="s">
        <v>421</v>
      </c>
      <c r="GI307" s="1" t="s">
        <v>213</v>
      </c>
      <c r="GJ307" s="1" t="s">
        <v>300</v>
      </c>
      <c r="GK307" s="1" t="s">
        <v>210</v>
      </c>
      <c r="GL307" s="2">
        <v>42028</v>
      </c>
      <c r="GM307" s="1" t="s">
        <v>4611</v>
      </c>
    </row>
    <row r="308" spans="1:195">
      <c r="A308" s="1">
        <v>190000</v>
      </c>
      <c r="B308" s="1" t="s">
        <v>195</v>
      </c>
      <c r="C308" s="1" t="str">
        <f>"08774306"</f>
        <v>08774306</v>
      </c>
      <c r="D308" s="1" t="s">
        <v>196</v>
      </c>
      <c r="F308" s="1" t="str">
        <f>"543"</f>
        <v>543</v>
      </c>
      <c r="G308" s="2">
        <v>41955</v>
      </c>
      <c r="H308" s="1">
        <v>199900</v>
      </c>
      <c r="I308" s="1">
        <v>199900</v>
      </c>
      <c r="J308" s="1">
        <v>190000</v>
      </c>
      <c r="K308" s="2">
        <v>41954</v>
      </c>
      <c r="L308" s="1">
        <v>109</v>
      </c>
      <c r="M308" s="2">
        <v>42062</v>
      </c>
      <c r="N308" s="1">
        <v>109</v>
      </c>
      <c r="O308" s="2">
        <v>42062</v>
      </c>
      <c r="P308" s="1">
        <v>23265</v>
      </c>
      <c r="Q308" s="1" t="s">
        <v>302</v>
      </c>
      <c r="R308" s="2">
        <v>42079</v>
      </c>
      <c r="S308" s="1">
        <v>217220</v>
      </c>
      <c r="U308" s="1">
        <v>581</v>
      </c>
      <c r="V308" s="1" t="s">
        <v>4612</v>
      </c>
      <c r="W308" s="1" t="s">
        <v>449</v>
      </c>
      <c r="Y308" s="1">
        <v>2</v>
      </c>
      <c r="Z308" s="1" t="s">
        <v>370</v>
      </c>
      <c r="AA308" s="1" t="s">
        <v>2639</v>
      </c>
      <c r="AB308" s="1">
        <v>60543</v>
      </c>
      <c r="AD308" s="1" t="s">
        <v>4613</v>
      </c>
      <c r="AE308" s="1" t="s">
        <v>4614</v>
      </c>
      <c r="AF308" s="1">
        <v>2005</v>
      </c>
      <c r="AG308" s="1" t="s">
        <v>204</v>
      </c>
      <c r="AH308" s="1" t="s">
        <v>1397</v>
      </c>
      <c r="AI308" s="1" t="s">
        <v>453</v>
      </c>
      <c r="AJ308" s="1" t="s">
        <v>1397</v>
      </c>
      <c r="AK308" s="1" t="s">
        <v>4615</v>
      </c>
      <c r="AL308" s="1">
        <v>6</v>
      </c>
      <c r="AM308" s="1">
        <v>2</v>
      </c>
      <c r="AN308" s="1">
        <v>2</v>
      </c>
      <c r="AO308" s="1">
        <v>1</v>
      </c>
      <c r="AP308" s="1" t="s">
        <v>209</v>
      </c>
      <c r="AQ308" s="1">
        <v>1</v>
      </c>
      <c r="AR308" s="1" t="s">
        <v>209</v>
      </c>
      <c r="AS308" s="1" t="s">
        <v>204</v>
      </c>
      <c r="AT308" s="1" t="s">
        <v>211</v>
      </c>
      <c r="AU308" s="1">
        <v>2</v>
      </c>
      <c r="AW308" s="1" t="s">
        <v>204</v>
      </c>
      <c r="AX308" s="1" t="s">
        <v>4616</v>
      </c>
      <c r="AZ308" s="1">
        <v>7339</v>
      </c>
      <c r="BA308" s="1">
        <v>2013</v>
      </c>
      <c r="BB308" s="1" t="s">
        <v>210</v>
      </c>
      <c r="BE308" s="1">
        <v>1819</v>
      </c>
      <c r="BF308" s="1">
        <v>1</v>
      </c>
      <c r="BG308" s="1">
        <v>30</v>
      </c>
      <c r="BL308" s="1">
        <v>475</v>
      </c>
      <c r="BM308" s="1" t="s">
        <v>204</v>
      </c>
      <c r="BN308" s="1" t="s">
        <v>213</v>
      </c>
      <c r="BO308" s="1">
        <v>99</v>
      </c>
      <c r="BP308" s="1" t="s">
        <v>204</v>
      </c>
      <c r="BR308" s="1" t="str">
        <f>"0329114033"</f>
        <v>0329114033</v>
      </c>
      <c r="BT308" s="1" t="s">
        <v>4617</v>
      </c>
      <c r="BU308" s="1" t="s">
        <v>4618</v>
      </c>
      <c r="BV308" s="1" t="s">
        <v>459</v>
      </c>
      <c r="BW308" s="1" t="s">
        <v>460</v>
      </c>
      <c r="BX308" s="1">
        <v>308</v>
      </c>
      <c r="BY308" s="1">
        <v>308</v>
      </c>
      <c r="BZ308" s="1">
        <v>308</v>
      </c>
      <c r="CB308" s="1" t="str">
        <f t="shared" ref="CB308:CC308" si="248">"0"</f>
        <v>0</v>
      </c>
      <c r="CC308" s="1" t="str">
        <f t="shared" si="248"/>
        <v>0</v>
      </c>
      <c r="CD308" s="1">
        <v>37</v>
      </c>
      <c r="CE308" s="1">
        <v>13</v>
      </c>
      <c r="CG308" s="1" t="s">
        <v>729</v>
      </c>
      <c r="CH308" s="1" t="s">
        <v>219</v>
      </c>
      <c r="CI308" s="1" t="s">
        <v>220</v>
      </c>
      <c r="CJ308" s="1" t="s">
        <v>343</v>
      </c>
      <c r="CK308" s="1" t="s">
        <v>669</v>
      </c>
      <c r="CL308" s="1" t="s">
        <v>277</v>
      </c>
      <c r="CM308" s="1" t="s">
        <v>220</v>
      </c>
      <c r="CN308" s="1" t="s">
        <v>343</v>
      </c>
      <c r="CO308" s="1" t="s">
        <v>1046</v>
      </c>
      <c r="CP308" s="1" t="s">
        <v>219</v>
      </c>
      <c r="CQ308" s="1" t="s">
        <v>220</v>
      </c>
      <c r="CR308" s="1" t="s">
        <v>343</v>
      </c>
      <c r="CS308" s="1" t="s">
        <v>465</v>
      </c>
      <c r="CT308" s="1" t="s">
        <v>277</v>
      </c>
      <c r="CU308" s="1" t="s">
        <v>220</v>
      </c>
      <c r="CV308" s="1" t="s">
        <v>343</v>
      </c>
      <c r="CX308" s="1" t="s">
        <v>224</v>
      </c>
      <c r="DB308" s="1" t="s">
        <v>224</v>
      </c>
      <c r="DE308" s="1" t="s">
        <v>221</v>
      </c>
      <c r="DF308" s="1" t="s">
        <v>219</v>
      </c>
      <c r="DG308" s="1" t="s">
        <v>438</v>
      </c>
      <c r="DH308" s="1" t="s">
        <v>343</v>
      </c>
      <c r="DJ308" s="1" t="s">
        <v>224</v>
      </c>
      <c r="DM308" s="1" t="s">
        <v>464</v>
      </c>
      <c r="DR308" s="1" t="s">
        <v>757</v>
      </c>
      <c r="DS308" s="1" t="s">
        <v>277</v>
      </c>
      <c r="DT308" s="1" t="s">
        <v>220</v>
      </c>
      <c r="DU308" s="1" t="s">
        <v>343</v>
      </c>
      <c r="DW308" s="1" t="s">
        <v>230</v>
      </c>
      <c r="EA308" s="1" t="s">
        <v>230</v>
      </c>
      <c r="EE308" s="1" t="s">
        <v>230</v>
      </c>
      <c r="EI308" s="1" t="s">
        <v>230</v>
      </c>
      <c r="EL308" s="1" t="s">
        <v>491</v>
      </c>
      <c r="EM308" s="1" t="s">
        <v>319</v>
      </c>
      <c r="EN308" s="1" t="s">
        <v>282</v>
      </c>
      <c r="EO308" s="1" t="s">
        <v>234</v>
      </c>
      <c r="EP308" s="1" t="s">
        <v>4619</v>
      </c>
      <c r="EQ308" s="1" t="s">
        <v>236</v>
      </c>
      <c r="ER308" s="1" t="s">
        <v>4620</v>
      </c>
      <c r="ES308" s="1" t="s">
        <v>4621</v>
      </c>
      <c r="ET308" s="1" t="s">
        <v>1201</v>
      </c>
      <c r="EV308" s="1" t="s">
        <v>4622</v>
      </c>
      <c r="EW308" s="1" t="s">
        <v>347</v>
      </c>
      <c r="EY308" s="1" t="s">
        <v>242</v>
      </c>
      <c r="EZ308" s="1" t="s">
        <v>464</v>
      </c>
      <c r="FA308" s="1" t="s">
        <v>4623</v>
      </c>
      <c r="FB308" s="1" t="s">
        <v>289</v>
      </c>
      <c r="FD308" s="1" t="s">
        <v>246</v>
      </c>
      <c r="FE308" s="1" t="s">
        <v>386</v>
      </c>
      <c r="FF308" s="1" t="s">
        <v>387</v>
      </c>
      <c r="FG308" s="1" t="s">
        <v>1682</v>
      </c>
      <c r="FH308" s="1" t="s">
        <v>442</v>
      </c>
      <c r="FI308" s="1" t="s">
        <v>357</v>
      </c>
      <c r="FJ308" s="1" t="s">
        <v>1251</v>
      </c>
      <c r="FL308" s="1" t="s">
        <v>358</v>
      </c>
      <c r="FM308" s="1" t="s">
        <v>252</v>
      </c>
      <c r="FN308" s="1" t="s">
        <v>213</v>
      </c>
      <c r="FO308" s="1" t="s">
        <v>213</v>
      </c>
      <c r="FQ308" s="1" t="s">
        <v>849</v>
      </c>
      <c r="FR308" s="1" t="s">
        <v>210</v>
      </c>
      <c r="FS308" s="1" t="s">
        <v>2624</v>
      </c>
      <c r="FT308" s="1" t="s">
        <v>295</v>
      </c>
      <c r="FU308" s="1" t="s">
        <v>204</v>
      </c>
      <c r="FW308" s="1" t="s">
        <v>719</v>
      </c>
      <c r="FX308" s="1">
        <v>22029</v>
      </c>
      <c r="FY308" s="1" t="s">
        <v>720</v>
      </c>
      <c r="FZ308" s="1" t="s">
        <v>2626</v>
      </c>
      <c r="GA308" s="1">
        <v>231272</v>
      </c>
      <c r="GB308" s="1" t="s">
        <v>2627</v>
      </c>
      <c r="GD308" s="1" t="s">
        <v>2628</v>
      </c>
      <c r="GE308" s="1" t="s">
        <v>480</v>
      </c>
      <c r="GI308" s="1" t="s">
        <v>204</v>
      </c>
      <c r="GJ308" s="1" t="s">
        <v>260</v>
      </c>
      <c r="GK308" s="1" t="s">
        <v>261</v>
      </c>
      <c r="GL308" s="2">
        <v>42079</v>
      </c>
      <c r="GM308" s="1" t="s">
        <v>4624</v>
      </c>
    </row>
    <row r="309" spans="1:195">
      <c r="A309" s="1">
        <v>105000</v>
      </c>
      <c r="B309" s="1" t="s">
        <v>195</v>
      </c>
      <c r="C309" s="1" t="str">
        <f>"08772980"</f>
        <v>08772980</v>
      </c>
      <c r="D309" s="1" t="s">
        <v>196</v>
      </c>
      <c r="F309" s="1" t="str">
        <f>"555"</f>
        <v>555</v>
      </c>
      <c r="G309" s="2">
        <v>41953</v>
      </c>
      <c r="H309" s="1">
        <v>119000</v>
      </c>
      <c r="I309" s="1">
        <v>109500</v>
      </c>
      <c r="J309" s="1">
        <v>105000</v>
      </c>
      <c r="K309" s="2">
        <v>41953</v>
      </c>
      <c r="L309" s="1">
        <v>113</v>
      </c>
      <c r="M309" s="2">
        <v>42065</v>
      </c>
      <c r="N309" s="1">
        <v>113</v>
      </c>
      <c r="O309" s="2">
        <v>42065</v>
      </c>
      <c r="P309" s="1">
        <v>23819</v>
      </c>
      <c r="Q309" s="1" t="s">
        <v>302</v>
      </c>
      <c r="R309" s="2">
        <v>42084</v>
      </c>
      <c r="S309" s="1">
        <v>601452</v>
      </c>
      <c r="U309" s="1" t="s">
        <v>4625</v>
      </c>
      <c r="V309" s="1" t="s">
        <v>4626</v>
      </c>
      <c r="W309" s="1" t="s">
        <v>304</v>
      </c>
      <c r="X309" s="1" t="s">
        <v>4627</v>
      </c>
      <c r="Y309" s="1">
        <v>4</v>
      </c>
      <c r="Z309" s="1" t="s">
        <v>249</v>
      </c>
      <c r="AA309" s="1" t="s">
        <v>984</v>
      </c>
      <c r="AB309" s="1">
        <v>60555</v>
      </c>
      <c r="AD309" s="1" t="s">
        <v>4628</v>
      </c>
      <c r="AE309" s="1" t="s">
        <v>4629</v>
      </c>
      <c r="AF309" s="1">
        <v>1979</v>
      </c>
      <c r="AG309" s="1" t="s">
        <v>204</v>
      </c>
      <c r="AH309" s="1" t="s">
        <v>986</v>
      </c>
      <c r="AI309" s="1" t="s">
        <v>206</v>
      </c>
      <c r="AJ309" s="1" t="s">
        <v>987</v>
      </c>
      <c r="AK309" s="1" t="s">
        <v>1088</v>
      </c>
      <c r="AL309" s="1">
        <v>5</v>
      </c>
      <c r="AM309" s="1">
        <v>2</v>
      </c>
      <c r="AN309" s="1">
        <v>2</v>
      </c>
      <c r="AO309" s="1">
        <v>0</v>
      </c>
      <c r="AP309" s="1" t="s">
        <v>209</v>
      </c>
      <c r="AQ309" s="1">
        <v>1</v>
      </c>
      <c r="AR309" s="1" t="s">
        <v>210</v>
      </c>
      <c r="AS309" s="1" t="s">
        <v>204</v>
      </c>
      <c r="AT309" s="1" t="s">
        <v>211</v>
      </c>
      <c r="AU309" s="1">
        <v>1</v>
      </c>
      <c r="AW309" s="1" t="s">
        <v>204</v>
      </c>
      <c r="AX309" s="1" t="s">
        <v>212</v>
      </c>
      <c r="AZ309" s="1">
        <v>2790</v>
      </c>
      <c r="BA309" s="1">
        <v>2013</v>
      </c>
      <c r="BB309" s="1" t="s">
        <v>210</v>
      </c>
      <c r="BE309" s="1">
        <v>1200</v>
      </c>
      <c r="BF309" s="1">
        <v>2</v>
      </c>
      <c r="BG309" s="1">
        <v>0</v>
      </c>
      <c r="BJ309" s="1">
        <v>100</v>
      </c>
      <c r="BL309" s="1">
        <v>258</v>
      </c>
      <c r="BM309" s="1" t="s">
        <v>204</v>
      </c>
      <c r="BN309" s="1" t="s">
        <v>213</v>
      </c>
      <c r="BO309" s="1" t="s">
        <v>4630</v>
      </c>
      <c r="BP309" s="1" t="s">
        <v>204</v>
      </c>
      <c r="BR309" s="1" t="str">
        <f>"0427414016"</f>
        <v>0427414016</v>
      </c>
      <c r="BT309" s="1" t="s">
        <v>4631</v>
      </c>
      <c r="BU309" s="1" t="s">
        <v>989</v>
      </c>
      <c r="BV309" s="1" t="s">
        <v>990</v>
      </c>
      <c r="BW309" s="1" t="s">
        <v>971</v>
      </c>
      <c r="BX309" s="1">
        <v>200</v>
      </c>
      <c r="BY309" s="1">
        <v>200</v>
      </c>
      <c r="BZ309" s="1">
        <v>200</v>
      </c>
      <c r="CB309" s="1" t="str">
        <f t="shared" ref="CB309:CC309" si="249">"0"</f>
        <v>0</v>
      </c>
      <c r="CC309" s="1" t="str">
        <f t="shared" si="249"/>
        <v>0</v>
      </c>
      <c r="CD309" s="1">
        <v>29</v>
      </c>
      <c r="CE309" s="1">
        <v>2</v>
      </c>
      <c r="CG309" s="1" t="s">
        <v>729</v>
      </c>
      <c r="CH309" s="1" t="s">
        <v>219</v>
      </c>
      <c r="CI309" s="1" t="s">
        <v>220</v>
      </c>
      <c r="CJ309" s="1" t="s">
        <v>252</v>
      </c>
      <c r="CK309" s="1" t="s">
        <v>437</v>
      </c>
      <c r="CL309" s="1" t="s">
        <v>219</v>
      </c>
      <c r="CM309" s="1" t="s">
        <v>220</v>
      </c>
      <c r="CN309" s="1" t="s">
        <v>252</v>
      </c>
      <c r="CO309" s="1" t="s">
        <v>2231</v>
      </c>
      <c r="CP309" s="1" t="s">
        <v>219</v>
      </c>
      <c r="CQ309" s="1" t="s">
        <v>220</v>
      </c>
      <c r="CR309" s="1" t="s">
        <v>252</v>
      </c>
      <c r="CS309" s="1" t="s">
        <v>465</v>
      </c>
      <c r="CT309" s="1" t="s">
        <v>219</v>
      </c>
      <c r="CU309" s="1" t="s">
        <v>220</v>
      </c>
      <c r="CV309" s="1" t="s">
        <v>252</v>
      </c>
      <c r="CX309" s="1" t="s">
        <v>224</v>
      </c>
      <c r="DB309" s="1" t="s">
        <v>224</v>
      </c>
      <c r="DE309" s="1" t="s">
        <v>758</v>
      </c>
      <c r="DF309" s="1" t="s">
        <v>219</v>
      </c>
      <c r="DG309" s="1" t="s">
        <v>347</v>
      </c>
      <c r="DH309" s="1" t="s">
        <v>252</v>
      </c>
      <c r="DJ309" s="1" t="s">
        <v>224</v>
      </c>
      <c r="DM309" s="1" t="s">
        <v>838</v>
      </c>
      <c r="DR309" s="1" t="s">
        <v>4604</v>
      </c>
      <c r="DS309" s="1" t="s">
        <v>219</v>
      </c>
      <c r="DW309" s="1" t="s">
        <v>230</v>
      </c>
      <c r="EA309" s="1" t="s">
        <v>230</v>
      </c>
      <c r="EE309" s="1" t="s">
        <v>230</v>
      </c>
      <c r="EI309" s="1" t="s">
        <v>230</v>
      </c>
      <c r="EL309" s="1" t="s">
        <v>231</v>
      </c>
      <c r="EM309" s="1" t="s">
        <v>319</v>
      </c>
      <c r="EN309" s="1" t="s">
        <v>282</v>
      </c>
      <c r="EO309" s="1" t="s">
        <v>234</v>
      </c>
      <c r="EP309" s="1" t="s">
        <v>4632</v>
      </c>
      <c r="EQ309" s="1" t="s">
        <v>468</v>
      </c>
      <c r="ER309" s="1" t="s">
        <v>210</v>
      </c>
      <c r="ES309" s="1" t="s">
        <v>824</v>
      </c>
      <c r="ET309" s="1" t="s">
        <v>4633</v>
      </c>
      <c r="EU309" s="1" t="s">
        <v>239</v>
      </c>
      <c r="EV309" s="1" t="s">
        <v>324</v>
      </c>
      <c r="EW309" s="1" t="s">
        <v>4151</v>
      </c>
      <c r="EY309" s="1" t="s">
        <v>242</v>
      </c>
      <c r="EZ309" s="1" t="s">
        <v>838</v>
      </c>
      <c r="FA309" s="1" t="s">
        <v>4634</v>
      </c>
      <c r="FB309" s="1" t="s">
        <v>289</v>
      </c>
      <c r="FD309" s="1" t="s">
        <v>246</v>
      </c>
      <c r="FE309" s="1" t="s">
        <v>2970</v>
      </c>
      <c r="FF309" s="1" t="s">
        <v>2998</v>
      </c>
      <c r="FG309" s="1" t="s">
        <v>4635</v>
      </c>
      <c r="FH309" s="1" t="s">
        <v>249</v>
      </c>
      <c r="FI309" s="1" t="s">
        <v>473</v>
      </c>
      <c r="FL309" s="1" t="s">
        <v>358</v>
      </c>
      <c r="FM309" s="1" t="s">
        <v>252</v>
      </c>
      <c r="FN309" s="1" t="s">
        <v>213</v>
      </c>
      <c r="FO309" s="1" t="s">
        <v>213</v>
      </c>
      <c r="FQ309" s="1" t="s">
        <v>4636</v>
      </c>
      <c r="FR309" s="1" t="s">
        <v>210</v>
      </c>
      <c r="FS309" s="1" t="s">
        <v>4637</v>
      </c>
      <c r="FT309" s="1" t="s">
        <v>4638</v>
      </c>
      <c r="FU309" s="1" t="s">
        <v>204</v>
      </c>
      <c r="FW309" s="1" t="s">
        <v>4639</v>
      </c>
      <c r="FX309" s="1">
        <v>61153</v>
      </c>
      <c r="FY309" s="1" t="s">
        <v>4640</v>
      </c>
      <c r="FZ309" s="1" t="s">
        <v>4641</v>
      </c>
      <c r="GA309" s="1">
        <v>224163</v>
      </c>
      <c r="GB309" s="1" t="s">
        <v>4642</v>
      </c>
      <c r="GE309" s="1" t="s">
        <v>658</v>
      </c>
      <c r="GI309" s="1" t="s">
        <v>204</v>
      </c>
      <c r="GJ309" s="1" t="s">
        <v>260</v>
      </c>
      <c r="GK309" s="1" t="s">
        <v>210</v>
      </c>
      <c r="GL309" s="2">
        <v>42087</v>
      </c>
      <c r="GM309" s="1" t="s">
        <v>4643</v>
      </c>
    </row>
    <row r="310" spans="1:195">
      <c r="A310" s="1">
        <v>235000</v>
      </c>
      <c r="B310" s="1" t="s">
        <v>195</v>
      </c>
      <c r="C310" s="1" t="str">
        <f>"08789027"</f>
        <v>08789027</v>
      </c>
      <c r="D310" s="1" t="s">
        <v>196</v>
      </c>
      <c r="F310" s="1" t="str">
        <f>"137"</f>
        <v>137</v>
      </c>
      <c r="G310" s="2">
        <v>41962</v>
      </c>
      <c r="H310" s="1">
        <v>258900</v>
      </c>
      <c r="I310" s="1">
        <v>249900</v>
      </c>
      <c r="J310" s="1">
        <v>235000</v>
      </c>
      <c r="K310" s="2">
        <v>41962</v>
      </c>
      <c r="L310" s="1">
        <v>95</v>
      </c>
      <c r="M310" s="2">
        <v>42056</v>
      </c>
      <c r="N310" s="1">
        <v>95</v>
      </c>
      <c r="O310" s="2">
        <v>42056</v>
      </c>
      <c r="P310" s="1">
        <v>8093</v>
      </c>
      <c r="Q310" s="1" t="s">
        <v>197</v>
      </c>
      <c r="R310" s="2">
        <v>42090</v>
      </c>
      <c r="S310" s="1">
        <v>86678</v>
      </c>
      <c r="U310" s="1">
        <v>55</v>
      </c>
      <c r="V310" s="1" t="s">
        <v>3693</v>
      </c>
      <c r="W310" s="1" t="s">
        <v>264</v>
      </c>
      <c r="X310" s="1">
        <v>55</v>
      </c>
      <c r="Y310" s="1">
        <v>4</v>
      </c>
      <c r="Z310" s="1" t="s">
        <v>200</v>
      </c>
      <c r="AA310" s="1" t="s">
        <v>201</v>
      </c>
      <c r="AB310" s="1">
        <v>60137</v>
      </c>
      <c r="AD310" s="1" t="s">
        <v>4644</v>
      </c>
      <c r="AE310" s="1" t="s">
        <v>4645</v>
      </c>
      <c r="AF310" s="1">
        <v>1999</v>
      </c>
      <c r="AG310" s="1" t="s">
        <v>204</v>
      </c>
      <c r="AH310" s="1" t="s">
        <v>205</v>
      </c>
      <c r="AI310" s="1" t="s">
        <v>206</v>
      </c>
      <c r="AJ310" s="1" t="s">
        <v>207</v>
      </c>
      <c r="AK310" s="1" t="s">
        <v>4646</v>
      </c>
      <c r="AL310" s="1">
        <v>6</v>
      </c>
      <c r="AM310" s="1">
        <v>2</v>
      </c>
      <c r="AN310" s="1">
        <v>1</v>
      </c>
      <c r="AO310" s="1">
        <v>1</v>
      </c>
      <c r="AP310" s="1" t="s">
        <v>210</v>
      </c>
      <c r="AQ310" s="1">
        <v>1</v>
      </c>
      <c r="AR310" s="1" t="s">
        <v>2275</v>
      </c>
      <c r="AS310" s="1" t="s">
        <v>204</v>
      </c>
      <c r="AT310" s="1" t="s">
        <v>211</v>
      </c>
      <c r="AU310" s="1">
        <v>2</v>
      </c>
      <c r="AW310" s="1" t="s">
        <v>204</v>
      </c>
      <c r="AX310" s="1" t="s">
        <v>212</v>
      </c>
      <c r="AZ310" s="1">
        <v>6319</v>
      </c>
      <c r="BA310" s="1">
        <v>2013</v>
      </c>
      <c r="BE310" s="1">
        <v>1461</v>
      </c>
      <c r="BF310" s="1">
        <v>1</v>
      </c>
      <c r="BG310" s="1">
        <v>0</v>
      </c>
      <c r="BL310" s="1">
        <v>211</v>
      </c>
      <c r="BM310" s="1" t="s">
        <v>413</v>
      </c>
      <c r="BN310" s="1" t="s">
        <v>213</v>
      </c>
      <c r="BO310" s="1">
        <v>999</v>
      </c>
      <c r="BP310" s="1" t="s">
        <v>204</v>
      </c>
      <c r="BR310" s="1" t="str">
        <f>"0513333007"</f>
        <v>0513333007</v>
      </c>
      <c r="BT310" s="1" t="s">
        <v>4647</v>
      </c>
      <c r="BU310" s="1" t="s">
        <v>215</v>
      </c>
      <c r="BV310" s="1" t="s">
        <v>216</v>
      </c>
      <c r="BW310" s="1" t="s">
        <v>217</v>
      </c>
      <c r="BX310" s="1">
        <v>89</v>
      </c>
      <c r="BY310" s="1">
        <v>89</v>
      </c>
      <c r="BZ310" s="1">
        <v>87</v>
      </c>
      <c r="CB310" s="1" t="str">
        <f t="shared" ref="CB310:CC310" si="250">""</f>
        <v/>
      </c>
      <c r="CC310" s="1" t="str">
        <f t="shared" si="250"/>
        <v/>
      </c>
      <c r="CG310" s="1" t="s">
        <v>729</v>
      </c>
      <c r="CH310" s="1" t="s">
        <v>219</v>
      </c>
      <c r="CI310" s="1" t="s">
        <v>220</v>
      </c>
      <c r="CJ310" s="1" t="s">
        <v>439</v>
      </c>
      <c r="CK310" s="1" t="s">
        <v>729</v>
      </c>
      <c r="CL310" s="1" t="s">
        <v>277</v>
      </c>
      <c r="CM310" s="1" t="s">
        <v>220</v>
      </c>
      <c r="CO310" s="1" t="s">
        <v>465</v>
      </c>
      <c r="CP310" s="1" t="s">
        <v>219</v>
      </c>
      <c r="CQ310" s="1" t="s">
        <v>220</v>
      </c>
      <c r="CR310" s="1" t="s">
        <v>439</v>
      </c>
      <c r="CS310" s="1" t="s">
        <v>757</v>
      </c>
      <c r="CT310" s="1" t="s">
        <v>277</v>
      </c>
      <c r="CU310" s="1" t="s">
        <v>220</v>
      </c>
      <c r="CX310" s="1" t="s">
        <v>224</v>
      </c>
      <c r="DB310" s="1" t="s">
        <v>224</v>
      </c>
      <c r="DE310" s="1" t="s">
        <v>346</v>
      </c>
      <c r="DF310" s="1" t="s">
        <v>219</v>
      </c>
      <c r="DG310" s="1" t="s">
        <v>438</v>
      </c>
      <c r="DH310" s="1" t="s">
        <v>210</v>
      </c>
      <c r="DJ310" s="1" t="s">
        <v>224</v>
      </c>
      <c r="DM310" s="1" t="s">
        <v>464</v>
      </c>
      <c r="DN310" s="1" t="s">
        <v>1614</v>
      </c>
      <c r="DR310" s="1" t="s">
        <v>4648</v>
      </c>
      <c r="DS310" s="1" t="s">
        <v>277</v>
      </c>
      <c r="DT310" s="1" t="s">
        <v>220</v>
      </c>
      <c r="DU310" s="1" t="s">
        <v>210</v>
      </c>
      <c r="DV310" s="1" t="s">
        <v>4649</v>
      </c>
      <c r="DW310" s="1" t="s">
        <v>4450</v>
      </c>
      <c r="DX310" s="1" t="s">
        <v>347</v>
      </c>
      <c r="EA310" s="1" t="s">
        <v>230</v>
      </c>
      <c r="EE310" s="1" t="s">
        <v>230</v>
      </c>
      <c r="EI310" s="1" t="s">
        <v>230</v>
      </c>
      <c r="EL310" s="1" t="s">
        <v>670</v>
      </c>
      <c r="EM310" s="1" t="s">
        <v>232</v>
      </c>
      <c r="EN310" s="1" t="s">
        <v>282</v>
      </c>
      <c r="EO310" s="1" t="s">
        <v>234</v>
      </c>
      <c r="EP310" s="1" t="s">
        <v>1489</v>
      </c>
      <c r="ER310" s="1" t="s">
        <v>1249</v>
      </c>
      <c r="EW310" s="1" t="s">
        <v>1426</v>
      </c>
      <c r="EY310" s="1" t="s">
        <v>4650</v>
      </c>
      <c r="EZ310" s="1" t="s">
        <v>4651</v>
      </c>
      <c r="FC310" s="1" t="s">
        <v>633</v>
      </c>
      <c r="FD310" s="1" t="s">
        <v>246</v>
      </c>
      <c r="FE310" s="1" t="s">
        <v>386</v>
      </c>
      <c r="FF310" s="1" t="s">
        <v>248</v>
      </c>
      <c r="FG310" s="1" t="s">
        <v>912</v>
      </c>
      <c r="FH310" s="1" t="s">
        <v>550</v>
      </c>
      <c r="FL310" s="1" t="s">
        <v>414</v>
      </c>
      <c r="FM310" s="1" t="s">
        <v>252</v>
      </c>
      <c r="FN310" s="1" t="s">
        <v>213</v>
      </c>
      <c r="FO310" s="1" t="s">
        <v>213</v>
      </c>
      <c r="FQ310" s="1" t="s">
        <v>4652</v>
      </c>
      <c r="FR310" s="1" t="s">
        <v>210</v>
      </c>
      <c r="FS310" s="1" t="s">
        <v>4653</v>
      </c>
      <c r="FT310" s="1" t="s">
        <v>362</v>
      </c>
      <c r="FU310" s="1" t="s">
        <v>204</v>
      </c>
      <c r="FW310" s="1" t="s">
        <v>1559</v>
      </c>
      <c r="FX310" s="1">
        <v>25083</v>
      </c>
      <c r="FY310" s="1" t="s">
        <v>4110</v>
      </c>
      <c r="FZ310" s="1" t="s">
        <v>4654</v>
      </c>
      <c r="GA310" s="1">
        <v>255900</v>
      </c>
      <c r="GB310" s="1" t="s">
        <v>4655</v>
      </c>
      <c r="GE310" s="1" t="s">
        <v>210</v>
      </c>
      <c r="GI310" s="1" t="s">
        <v>213</v>
      </c>
      <c r="GJ310" s="1" t="s">
        <v>260</v>
      </c>
      <c r="GK310" s="1" t="s">
        <v>1413</v>
      </c>
      <c r="GL310" s="2">
        <v>42090</v>
      </c>
      <c r="GM310" s="1" t="s">
        <v>4656</v>
      </c>
    </row>
    <row r="311" spans="1:195">
      <c r="A311" s="1">
        <v>84000</v>
      </c>
      <c r="B311" s="1" t="s">
        <v>195</v>
      </c>
      <c r="C311" s="1" t="str">
        <f>"08786097"</f>
        <v>08786097</v>
      </c>
      <c r="D311" s="1" t="s">
        <v>196</v>
      </c>
      <c r="F311" s="1" t="str">
        <f>"540"</f>
        <v>540</v>
      </c>
      <c r="G311" s="2">
        <v>41957</v>
      </c>
      <c r="H311" s="1">
        <v>98000</v>
      </c>
      <c r="I311" s="1">
        <v>89000</v>
      </c>
      <c r="J311" s="1">
        <v>84000</v>
      </c>
      <c r="K311" s="2">
        <v>41957</v>
      </c>
      <c r="L311" s="1">
        <v>102</v>
      </c>
      <c r="M311" s="2">
        <v>42058</v>
      </c>
      <c r="N311" s="1">
        <v>102</v>
      </c>
      <c r="O311" s="2">
        <v>42058</v>
      </c>
      <c r="P311" s="1">
        <v>24695</v>
      </c>
      <c r="Q311" s="1" t="s">
        <v>302</v>
      </c>
      <c r="R311" s="2">
        <v>42076</v>
      </c>
      <c r="S311" s="1">
        <v>231171</v>
      </c>
      <c r="U311" s="1">
        <v>1056</v>
      </c>
      <c r="V311" s="1" t="s">
        <v>4657</v>
      </c>
      <c r="W311" s="1" t="s">
        <v>725</v>
      </c>
      <c r="X311" s="1">
        <v>112</v>
      </c>
      <c r="Y311" s="1">
        <v>35</v>
      </c>
      <c r="Z311" s="1" t="s">
        <v>249</v>
      </c>
      <c r="AA311" s="1" t="s">
        <v>921</v>
      </c>
      <c r="AB311" s="1">
        <v>60563</v>
      </c>
      <c r="AD311" s="1" t="s">
        <v>4658</v>
      </c>
      <c r="AE311" s="1" t="s">
        <v>4659</v>
      </c>
      <c r="AF311" s="1">
        <v>1979</v>
      </c>
      <c r="AG311" s="1" t="s">
        <v>204</v>
      </c>
      <c r="AH311" s="1" t="s">
        <v>924</v>
      </c>
      <c r="AI311" s="1" t="s">
        <v>206</v>
      </c>
      <c r="AJ311" s="1" t="s">
        <v>924</v>
      </c>
      <c r="AL311" s="1">
        <v>5</v>
      </c>
      <c r="AM311" s="1">
        <v>2</v>
      </c>
      <c r="AN311" s="1">
        <v>1</v>
      </c>
      <c r="AO311" s="1">
        <v>1</v>
      </c>
      <c r="AP311" s="1" t="s">
        <v>209</v>
      </c>
      <c r="AR311" s="1" t="s">
        <v>210</v>
      </c>
      <c r="AS311" s="1" t="s">
        <v>204</v>
      </c>
      <c r="AT311" s="1" t="s">
        <v>271</v>
      </c>
      <c r="AV311" s="1">
        <v>2</v>
      </c>
      <c r="AW311" s="1" t="s">
        <v>204</v>
      </c>
      <c r="AX311" s="1" t="s">
        <v>212</v>
      </c>
      <c r="AZ311" s="1">
        <v>1638</v>
      </c>
      <c r="BA311" s="1">
        <v>2013</v>
      </c>
      <c r="BB311" s="1" t="s">
        <v>405</v>
      </c>
      <c r="BC311" s="1">
        <v>0</v>
      </c>
      <c r="BE311" s="1">
        <v>1060</v>
      </c>
      <c r="BF311" s="1">
        <v>1</v>
      </c>
      <c r="BG311" s="1">
        <v>0</v>
      </c>
      <c r="BJ311" s="1">
        <v>100</v>
      </c>
      <c r="BL311" s="1">
        <v>324</v>
      </c>
      <c r="BM311" s="1" t="s">
        <v>204</v>
      </c>
      <c r="BN311" s="1" t="s">
        <v>213</v>
      </c>
      <c r="BO311" s="1">
        <v>0</v>
      </c>
      <c r="BP311" s="1" t="s">
        <v>204</v>
      </c>
      <c r="BR311" s="1" t="str">
        <f>"0712426254"</f>
        <v>0712426254</v>
      </c>
      <c r="BT311" s="1" t="s">
        <v>4660</v>
      </c>
      <c r="BU311" s="1" t="s">
        <v>2823</v>
      </c>
      <c r="BV311" s="1" t="s">
        <v>2824</v>
      </c>
      <c r="BW311" s="1" t="s">
        <v>2825</v>
      </c>
      <c r="BX311" s="1">
        <v>203</v>
      </c>
      <c r="BY311" s="1">
        <v>203</v>
      </c>
      <c r="BZ311" s="1">
        <v>203</v>
      </c>
      <c r="CB311" s="1" t="str">
        <f t="shared" ref="CB311:CC311" si="251">"0"</f>
        <v>0</v>
      </c>
      <c r="CC311" s="1" t="str">
        <f t="shared" si="251"/>
        <v>0</v>
      </c>
      <c r="CD311" s="1">
        <v>27</v>
      </c>
      <c r="CE311" s="1">
        <v>6</v>
      </c>
      <c r="CG311" s="1" t="s">
        <v>2992</v>
      </c>
      <c r="CH311" s="1" t="s">
        <v>219</v>
      </c>
      <c r="CI311" s="1" t="s">
        <v>229</v>
      </c>
      <c r="CK311" s="1" t="s">
        <v>437</v>
      </c>
      <c r="CL311" s="1" t="s">
        <v>219</v>
      </c>
      <c r="CM311" s="1" t="s">
        <v>220</v>
      </c>
      <c r="CO311" s="1" t="s">
        <v>409</v>
      </c>
      <c r="CP311" s="1" t="s">
        <v>219</v>
      </c>
      <c r="CQ311" s="1" t="s">
        <v>229</v>
      </c>
      <c r="CS311" s="1" t="s">
        <v>344</v>
      </c>
      <c r="CT311" s="1" t="s">
        <v>219</v>
      </c>
      <c r="CU311" s="1" t="s">
        <v>220</v>
      </c>
      <c r="CX311" s="1" t="s">
        <v>224</v>
      </c>
      <c r="DB311" s="1" t="s">
        <v>224</v>
      </c>
      <c r="DE311" s="1" t="s">
        <v>951</v>
      </c>
      <c r="DF311" s="1" t="s">
        <v>219</v>
      </c>
      <c r="DG311" s="1" t="s">
        <v>566</v>
      </c>
      <c r="DJ311" s="1" t="s">
        <v>224</v>
      </c>
      <c r="DS311" s="1" t="s">
        <v>230</v>
      </c>
      <c r="DW311" s="1" t="s">
        <v>230</v>
      </c>
      <c r="EA311" s="1" t="s">
        <v>230</v>
      </c>
      <c r="EE311" s="1" t="s">
        <v>230</v>
      </c>
      <c r="EI311" s="1" t="s">
        <v>230</v>
      </c>
      <c r="EL311" s="1" t="s">
        <v>231</v>
      </c>
      <c r="EM311" s="1" t="s">
        <v>232</v>
      </c>
      <c r="EN311" s="1" t="s">
        <v>233</v>
      </c>
      <c r="EO311" s="1" t="s">
        <v>234</v>
      </c>
      <c r="EP311" s="1" t="s">
        <v>4661</v>
      </c>
      <c r="EQ311" s="1" t="s">
        <v>284</v>
      </c>
      <c r="ER311" s="1" t="s">
        <v>210</v>
      </c>
      <c r="EV311" s="1" t="s">
        <v>240</v>
      </c>
      <c r="EW311" s="1" t="s">
        <v>4662</v>
      </c>
      <c r="EY311" s="1" t="s">
        <v>242</v>
      </c>
      <c r="EZ311" s="1" t="s">
        <v>287</v>
      </c>
      <c r="FB311" s="1" t="s">
        <v>244</v>
      </c>
      <c r="FD311" s="1" t="s">
        <v>246</v>
      </c>
      <c r="FE311" s="1" t="s">
        <v>247</v>
      </c>
      <c r="FF311" s="1" t="s">
        <v>248</v>
      </c>
      <c r="FH311" s="1" t="s">
        <v>249</v>
      </c>
      <c r="FK311" s="1" t="s">
        <v>4663</v>
      </c>
      <c r="FL311" s="1" t="s">
        <v>328</v>
      </c>
      <c r="FM311" s="1" t="s">
        <v>252</v>
      </c>
      <c r="FN311" s="1" t="s">
        <v>213</v>
      </c>
      <c r="FO311" s="1" t="s">
        <v>213</v>
      </c>
      <c r="FQ311" s="1" t="s">
        <v>4664</v>
      </c>
      <c r="FR311" s="1" t="s">
        <v>210</v>
      </c>
      <c r="FS311" s="1" t="s">
        <v>4665</v>
      </c>
      <c r="FT311" s="1" t="s">
        <v>295</v>
      </c>
      <c r="FU311" s="1" t="s">
        <v>213</v>
      </c>
      <c r="FW311" s="1" t="s">
        <v>4666</v>
      </c>
      <c r="FX311" s="1">
        <v>25494</v>
      </c>
      <c r="FY311" s="1" t="s">
        <v>4667</v>
      </c>
      <c r="FZ311" s="1" t="s">
        <v>4668</v>
      </c>
      <c r="GA311" s="1">
        <v>242554</v>
      </c>
      <c r="GE311" s="1" t="s">
        <v>1256</v>
      </c>
      <c r="GH311" s="1" t="s">
        <v>230</v>
      </c>
      <c r="GI311" s="1" t="s">
        <v>213</v>
      </c>
      <c r="GJ311" s="1" t="s">
        <v>260</v>
      </c>
      <c r="GK311" s="1" t="s">
        <v>210</v>
      </c>
      <c r="GL311" s="2">
        <v>42080</v>
      </c>
      <c r="GM311" s="1" t="s">
        <v>4669</v>
      </c>
    </row>
    <row r="312" spans="1:195">
      <c r="A312" s="1">
        <v>35000</v>
      </c>
      <c r="B312" s="1" t="s">
        <v>195</v>
      </c>
      <c r="C312" s="1" t="str">
        <f>"08773943"</f>
        <v>08773943</v>
      </c>
      <c r="D312" s="1" t="s">
        <v>196</v>
      </c>
      <c r="F312" s="1" t="str">
        <f>"123"</f>
        <v>123</v>
      </c>
      <c r="G312" s="2">
        <v>41955</v>
      </c>
      <c r="H312" s="1">
        <v>39900</v>
      </c>
      <c r="I312" s="1">
        <v>39900</v>
      </c>
      <c r="J312" s="1">
        <v>35000</v>
      </c>
      <c r="K312" s="2">
        <v>41955</v>
      </c>
      <c r="L312" s="1">
        <v>802</v>
      </c>
      <c r="M312" s="2">
        <v>42122</v>
      </c>
      <c r="N312" s="1">
        <v>168</v>
      </c>
      <c r="O312" s="2">
        <v>42122</v>
      </c>
      <c r="P312" s="1">
        <v>5153</v>
      </c>
      <c r="Q312" s="1" t="s">
        <v>302</v>
      </c>
      <c r="R312" s="2">
        <v>42137</v>
      </c>
      <c r="S312" s="1">
        <v>55327</v>
      </c>
      <c r="U312" s="1">
        <v>801</v>
      </c>
      <c r="V312" s="1" t="s">
        <v>1578</v>
      </c>
      <c r="W312" s="1" t="s">
        <v>199</v>
      </c>
      <c r="X312" s="1">
        <v>220</v>
      </c>
      <c r="Y312" s="1">
        <v>90</v>
      </c>
      <c r="Z312" s="1" t="s">
        <v>249</v>
      </c>
      <c r="AA312" s="1" t="s">
        <v>1173</v>
      </c>
      <c r="AB312" s="1">
        <v>60123</v>
      </c>
      <c r="AC312" s="1">
        <v>2067</v>
      </c>
      <c r="AD312" s="1" t="s">
        <v>4670</v>
      </c>
      <c r="AE312" s="1" t="s">
        <v>4671</v>
      </c>
      <c r="AF312" s="1">
        <v>2002</v>
      </c>
      <c r="AG312" s="1" t="s">
        <v>204</v>
      </c>
      <c r="AH312" s="1" t="s">
        <v>1175</v>
      </c>
      <c r="AI312" s="1" t="s">
        <v>665</v>
      </c>
      <c r="AJ312" s="1" t="s">
        <v>1175</v>
      </c>
      <c r="AL312" s="1">
        <v>4</v>
      </c>
      <c r="AM312" s="1">
        <v>2</v>
      </c>
      <c r="AN312" s="1">
        <v>1</v>
      </c>
      <c r="AO312" s="1">
        <v>1</v>
      </c>
      <c r="AP312" s="1" t="s">
        <v>209</v>
      </c>
      <c r="AQ312" s="1">
        <v>0</v>
      </c>
      <c r="AR312" s="1" t="s">
        <v>209</v>
      </c>
      <c r="AS312" s="1" t="s">
        <v>204</v>
      </c>
      <c r="AT312" s="1" t="s">
        <v>210</v>
      </c>
      <c r="AW312" s="1" t="s">
        <v>204</v>
      </c>
      <c r="AX312" s="1" t="s">
        <v>212</v>
      </c>
      <c r="AZ312" s="1">
        <v>1435</v>
      </c>
      <c r="BA312" s="1">
        <v>2013</v>
      </c>
      <c r="BB312" s="1" t="s">
        <v>599</v>
      </c>
      <c r="BE312" s="1">
        <v>975</v>
      </c>
      <c r="BF312" s="1">
        <v>2</v>
      </c>
      <c r="BG312" s="1">
        <v>0</v>
      </c>
      <c r="BL312" s="1">
        <v>1341</v>
      </c>
      <c r="BM312" s="1" t="s">
        <v>204</v>
      </c>
      <c r="BN312" s="1" t="s">
        <v>213</v>
      </c>
      <c r="BO312" s="1">
        <v>20</v>
      </c>
      <c r="BP312" s="1" t="s">
        <v>204</v>
      </c>
      <c r="BR312" s="1" t="str">
        <f>"0610181099"</f>
        <v>0610181099</v>
      </c>
      <c r="BT312" s="1" t="s">
        <v>4672</v>
      </c>
      <c r="BX312" s="1">
        <v>46</v>
      </c>
      <c r="BY312" s="1">
        <v>46</v>
      </c>
      <c r="BZ312" s="1">
        <v>46</v>
      </c>
      <c r="CB312" s="1" t="str">
        <f>"12"</f>
        <v>12</v>
      </c>
      <c r="CC312" s="1" t="str">
        <f>"0"</f>
        <v>0</v>
      </c>
      <c r="CD312" s="1">
        <v>35</v>
      </c>
      <c r="CE312" s="1">
        <v>0</v>
      </c>
      <c r="CG312" s="1" t="s">
        <v>669</v>
      </c>
      <c r="CH312" s="1" t="s">
        <v>277</v>
      </c>
      <c r="CI312" s="1" t="s">
        <v>220</v>
      </c>
      <c r="CJ312" s="1" t="s">
        <v>252</v>
      </c>
      <c r="CK312" s="1" t="s">
        <v>344</v>
      </c>
      <c r="CL312" s="1" t="s">
        <v>277</v>
      </c>
      <c r="CM312" s="1" t="s">
        <v>220</v>
      </c>
      <c r="CN312" s="1" t="s">
        <v>252</v>
      </c>
      <c r="CP312" s="1" t="s">
        <v>224</v>
      </c>
      <c r="CS312" s="1" t="s">
        <v>317</v>
      </c>
      <c r="CT312" s="1" t="s">
        <v>277</v>
      </c>
      <c r="CU312" s="1" t="s">
        <v>220</v>
      </c>
      <c r="CV312" s="1" t="s">
        <v>252</v>
      </c>
      <c r="CX312" s="1" t="s">
        <v>224</v>
      </c>
      <c r="DB312" s="1" t="s">
        <v>224</v>
      </c>
      <c r="DE312" s="1" t="s">
        <v>346</v>
      </c>
      <c r="DF312" s="1" t="s">
        <v>277</v>
      </c>
      <c r="DG312" s="1" t="s">
        <v>342</v>
      </c>
      <c r="DJ312" s="1" t="s">
        <v>224</v>
      </c>
      <c r="DS312" s="1" t="s">
        <v>230</v>
      </c>
      <c r="DW312" s="1" t="s">
        <v>230</v>
      </c>
      <c r="EA312" s="1" t="s">
        <v>230</v>
      </c>
      <c r="EE312" s="1" t="s">
        <v>230</v>
      </c>
      <c r="EI312" s="1" t="s">
        <v>230</v>
      </c>
      <c r="EL312" s="1" t="s">
        <v>466</v>
      </c>
      <c r="EM312" s="1" t="s">
        <v>319</v>
      </c>
      <c r="EN312" s="1" t="s">
        <v>282</v>
      </c>
      <c r="EO312" s="1" t="s">
        <v>234</v>
      </c>
      <c r="EP312" s="1" t="s">
        <v>4673</v>
      </c>
      <c r="EQ312" s="1" t="s">
        <v>468</v>
      </c>
      <c r="ER312" s="1" t="s">
        <v>1249</v>
      </c>
      <c r="ES312" s="1" t="s">
        <v>322</v>
      </c>
      <c r="ET312" s="1" t="s">
        <v>1584</v>
      </c>
      <c r="EU312" s="1" t="s">
        <v>712</v>
      </c>
      <c r="EW312" s="1" t="s">
        <v>4674</v>
      </c>
      <c r="EY312" s="1" t="s">
        <v>242</v>
      </c>
      <c r="EZ312" s="1" t="s">
        <v>287</v>
      </c>
      <c r="FA312" s="1" t="s">
        <v>4675</v>
      </c>
      <c r="FB312" s="1" t="s">
        <v>244</v>
      </c>
      <c r="FC312" s="1" t="s">
        <v>26</v>
      </c>
      <c r="FD312" s="1" t="s">
        <v>4676</v>
      </c>
      <c r="FE312" s="1" t="s">
        <v>247</v>
      </c>
      <c r="FF312" s="1" t="s">
        <v>248</v>
      </c>
      <c r="FH312" s="1" t="s">
        <v>249</v>
      </c>
      <c r="FJ312" s="1" t="s">
        <v>197</v>
      </c>
      <c r="FL312" s="1" t="s">
        <v>358</v>
      </c>
      <c r="FM312" s="1" t="s">
        <v>252</v>
      </c>
      <c r="FN312" s="1" t="s">
        <v>213</v>
      </c>
      <c r="FO312" s="1" t="s">
        <v>213</v>
      </c>
      <c r="FQ312" s="1" t="s">
        <v>913</v>
      </c>
      <c r="FR312" s="1" t="s">
        <v>210</v>
      </c>
      <c r="FS312" s="1" t="s">
        <v>1587</v>
      </c>
      <c r="FT312" s="1" t="s">
        <v>1588</v>
      </c>
      <c r="FU312" s="1" t="s">
        <v>204</v>
      </c>
      <c r="FV312" s="1" t="s">
        <v>1589</v>
      </c>
      <c r="FW312" s="1" t="s">
        <v>1097</v>
      </c>
      <c r="FX312" s="1">
        <v>5153</v>
      </c>
      <c r="FY312" s="1" t="s">
        <v>1590</v>
      </c>
      <c r="FZ312" s="1" t="s">
        <v>1591</v>
      </c>
      <c r="GA312" s="1">
        <v>55327</v>
      </c>
      <c r="GB312" s="1" t="s">
        <v>1592</v>
      </c>
      <c r="GD312" s="1" t="s">
        <v>1593</v>
      </c>
      <c r="GE312" s="1" t="s">
        <v>623</v>
      </c>
      <c r="GH312" s="1" t="s">
        <v>230</v>
      </c>
      <c r="GI312" s="1" t="s">
        <v>213</v>
      </c>
      <c r="GJ312" s="1" t="s">
        <v>260</v>
      </c>
      <c r="GK312" s="1" t="s">
        <v>210</v>
      </c>
      <c r="GL312" s="2">
        <v>42138</v>
      </c>
      <c r="GM312" s="1" t="s">
        <v>4677</v>
      </c>
    </row>
    <row r="313" spans="1:195">
      <c r="A313" s="1">
        <v>155000</v>
      </c>
      <c r="B313" s="1" t="s">
        <v>195</v>
      </c>
      <c r="C313" s="1" t="str">
        <f>"08788471"</f>
        <v>08788471</v>
      </c>
      <c r="D313" s="1" t="s">
        <v>196</v>
      </c>
      <c r="F313" s="1" t="str">
        <f>"188"</f>
        <v>188</v>
      </c>
      <c r="G313" s="2">
        <v>41961</v>
      </c>
      <c r="H313" s="1">
        <v>159281</v>
      </c>
      <c r="I313" s="1">
        <v>159281</v>
      </c>
      <c r="J313" s="1">
        <v>155000</v>
      </c>
      <c r="K313" s="2">
        <v>41961</v>
      </c>
      <c r="L313" s="1">
        <v>48</v>
      </c>
      <c r="M313" s="2">
        <v>42008</v>
      </c>
      <c r="N313" s="1">
        <v>48</v>
      </c>
      <c r="O313" s="2">
        <v>42008</v>
      </c>
      <c r="P313" s="1">
        <v>8965</v>
      </c>
      <c r="Q313" s="1" t="s">
        <v>197</v>
      </c>
      <c r="R313" s="2">
        <v>42086</v>
      </c>
      <c r="S313" s="1">
        <v>85447</v>
      </c>
      <c r="U313" s="1">
        <v>1281</v>
      </c>
      <c r="V313" s="1" t="s">
        <v>4678</v>
      </c>
      <c r="W313" s="1" t="s">
        <v>264</v>
      </c>
      <c r="Y313" s="1">
        <v>2</v>
      </c>
      <c r="Z313" s="1" t="s">
        <v>200</v>
      </c>
      <c r="AA313" s="1" t="s">
        <v>1084</v>
      </c>
      <c r="AB313" s="1">
        <v>60188</v>
      </c>
      <c r="AD313" s="1" t="s">
        <v>2922</v>
      </c>
      <c r="AE313" s="1" t="s">
        <v>4679</v>
      </c>
      <c r="AF313" s="1">
        <v>1989</v>
      </c>
      <c r="AG313" s="1" t="s">
        <v>204</v>
      </c>
      <c r="AH313" s="1" t="s">
        <v>1087</v>
      </c>
      <c r="AI313" s="1" t="s">
        <v>206</v>
      </c>
      <c r="AJ313" s="1" t="s">
        <v>2654</v>
      </c>
      <c r="AL313" s="1">
        <v>6</v>
      </c>
      <c r="AM313" s="1">
        <v>2</v>
      </c>
      <c r="AN313" s="1">
        <v>1</v>
      </c>
      <c r="AO313" s="1">
        <v>1</v>
      </c>
      <c r="AP313" s="1" t="s">
        <v>210</v>
      </c>
      <c r="AQ313" s="1">
        <v>0</v>
      </c>
      <c r="AR313" s="1" t="s">
        <v>210</v>
      </c>
      <c r="AS313" s="1" t="s">
        <v>204</v>
      </c>
      <c r="AT313" s="1" t="s">
        <v>211</v>
      </c>
      <c r="AU313" s="1">
        <v>1</v>
      </c>
      <c r="AW313" s="1" t="s">
        <v>204</v>
      </c>
      <c r="AX313" s="1" t="s">
        <v>4680</v>
      </c>
      <c r="AZ313" s="1">
        <v>4434</v>
      </c>
      <c r="BA313" s="1">
        <v>2013</v>
      </c>
      <c r="BB313" s="1" t="s">
        <v>599</v>
      </c>
      <c r="BE313" s="1">
        <v>1622</v>
      </c>
      <c r="BF313" s="1">
        <v>1</v>
      </c>
      <c r="BG313" s="1">
        <v>0</v>
      </c>
      <c r="BL313" s="1">
        <v>0</v>
      </c>
      <c r="BM313" s="1" t="s">
        <v>204</v>
      </c>
      <c r="BN313" s="1" t="s">
        <v>213</v>
      </c>
      <c r="BO313" s="1">
        <v>999</v>
      </c>
      <c r="BP313" s="1" t="s">
        <v>204</v>
      </c>
      <c r="BR313" s="1" t="str">
        <f>"0124415070"</f>
        <v>0124415070</v>
      </c>
      <c r="BT313" s="1" t="s">
        <v>4681</v>
      </c>
      <c r="BU313" s="1" t="s">
        <v>1090</v>
      </c>
      <c r="BV313" s="1" t="s">
        <v>1091</v>
      </c>
      <c r="BW313" s="1" t="s">
        <v>1092</v>
      </c>
      <c r="BX313" s="1">
        <v>93</v>
      </c>
      <c r="BY313" s="1">
        <v>93</v>
      </c>
      <c r="BZ313" s="1">
        <v>87</v>
      </c>
      <c r="CB313" s="1" t="str">
        <f>"4"</f>
        <v>4</v>
      </c>
      <c r="CC313" s="1" t="str">
        <f>""</f>
        <v/>
      </c>
      <c r="CD313" s="1">
        <v>26</v>
      </c>
      <c r="CG313" s="1" t="s">
        <v>2747</v>
      </c>
      <c r="CH313" s="1" t="s">
        <v>219</v>
      </c>
      <c r="CI313" s="1" t="s">
        <v>229</v>
      </c>
      <c r="CK313" s="1" t="s">
        <v>1788</v>
      </c>
      <c r="CL313" s="1" t="s">
        <v>277</v>
      </c>
      <c r="CM313" s="1" t="s">
        <v>220</v>
      </c>
      <c r="CP313" s="1" t="s">
        <v>224</v>
      </c>
      <c r="CS313" s="1" t="s">
        <v>408</v>
      </c>
      <c r="CT313" s="1" t="s">
        <v>277</v>
      </c>
      <c r="CU313" s="1" t="s">
        <v>220</v>
      </c>
      <c r="CX313" s="1" t="s">
        <v>224</v>
      </c>
      <c r="DB313" s="1" t="s">
        <v>224</v>
      </c>
      <c r="DE313" s="1" t="s">
        <v>3716</v>
      </c>
      <c r="DF313" s="1" t="s">
        <v>219</v>
      </c>
      <c r="DG313" s="1" t="s">
        <v>229</v>
      </c>
      <c r="DI313" s="1" t="s">
        <v>1402</v>
      </c>
      <c r="DJ313" s="1" t="s">
        <v>219</v>
      </c>
      <c r="DK313" s="1" t="s">
        <v>220</v>
      </c>
      <c r="DM313" s="1" t="s">
        <v>464</v>
      </c>
      <c r="DR313" s="1" t="s">
        <v>2467</v>
      </c>
      <c r="DS313" s="1" t="s">
        <v>277</v>
      </c>
      <c r="DT313" s="1" t="s">
        <v>220</v>
      </c>
      <c r="DW313" s="1" t="s">
        <v>230</v>
      </c>
      <c r="EA313" s="1" t="s">
        <v>230</v>
      </c>
      <c r="EE313" s="1" t="s">
        <v>230</v>
      </c>
      <c r="EI313" s="1" t="s">
        <v>230</v>
      </c>
      <c r="EL313" s="1" t="s">
        <v>542</v>
      </c>
      <c r="EM313" s="1" t="s">
        <v>319</v>
      </c>
      <c r="EN313" s="1" t="s">
        <v>282</v>
      </c>
      <c r="EO313" s="1" t="s">
        <v>1020</v>
      </c>
      <c r="EQ313" s="1" t="s">
        <v>492</v>
      </c>
      <c r="ER313" s="1" t="s">
        <v>210</v>
      </c>
      <c r="ES313" s="1" t="s">
        <v>493</v>
      </c>
      <c r="EW313" s="1" t="s">
        <v>210</v>
      </c>
      <c r="EZ313" s="1" t="s">
        <v>464</v>
      </c>
      <c r="FA313" s="1" t="s">
        <v>471</v>
      </c>
      <c r="FD313" s="1" t="s">
        <v>246</v>
      </c>
      <c r="FE313" s="1" t="s">
        <v>386</v>
      </c>
      <c r="FF313" s="1" t="s">
        <v>248</v>
      </c>
      <c r="FH313" s="1" t="s">
        <v>442</v>
      </c>
      <c r="FI313" s="1" t="s">
        <v>357</v>
      </c>
      <c r="FL313" s="1" t="s">
        <v>358</v>
      </c>
      <c r="FM313" s="1" t="s">
        <v>252</v>
      </c>
      <c r="FN313" s="1" t="s">
        <v>213</v>
      </c>
      <c r="FO313" s="1" t="s">
        <v>213</v>
      </c>
      <c r="FQ313" s="1" t="s">
        <v>4682</v>
      </c>
      <c r="FR313" s="1" t="s">
        <v>210</v>
      </c>
      <c r="FS313" s="1" t="s">
        <v>4683</v>
      </c>
      <c r="FT313" s="1" t="s">
        <v>362</v>
      </c>
      <c r="FU313" s="1" t="s">
        <v>204</v>
      </c>
      <c r="FW313" s="1" t="s">
        <v>256</v>
      </c>
      <c r="FX313" s="1">
        <v>25163</v>
      </c>
      <c r="FY313" s="1" t="s">
        <v>257</v>
      </c>
      <c r="FZ313" s="1" t="s">
        <v>4684</v>
      </c>
      <c r="GA313" s="1">
        <v>253931</v>
      </c>
      <c r="GB313" s="1" t="s">
        <v>4685</v>
      </c>
      <c r="GE313" s="1" t="s">
        <v>210</v>
      </c>
      <c r="GI313" s="1" t="s">
        <v>213</v>
      </c>
      <c r="GJ313" s="1" t="s">
        <v>260</v>
      </c>
      <c r="GK313" s="1" t="s">
        <v>261</v>
      </c>
      <c r="GL313" s="2">
        <v>42087</v>
      </c>
      <c r="GM313" s="1" t="s">
        <v>4686</v>
      </c>
    </row>
    <row r="314" spans="1:195">
      <c r="A314" s="1">
        <v>190500</v>
      </c>
      <c r="B314" s="1" t="s">
        <v>195</v>
      </c>
      <c r="C314" s="1" t="str">
        <f>"08787889"</f>
        <v>08787889</v>
      </c>
      <c r="D314" s="1" t="s">
        <v>196</v>
      </c>
      <c r="F314" s="1" t="str">
        <f>"562"</f>
        <v>562</v>
      </c>
      <c r="G314" s="2">
        <v>41960</v>
      </c>
      <c r="H314" s="1">
        <v>195000</v>
      </c>
      <c r="I314" s="1">
        <v>195000</v>
      </c>
      <c r="J314" s="1">
        <v>190500</v>
      </c>
      <c r="K314" s="2">
        <v>41960</v>
      </c>
      <c r="L314" s="1">
        <v>4</v>
      </c>
      <c r="M314" s="2">
        <v>41963</v>
      </c>
      <c r="N314" s="1">
        <v>4</v>
      </c>
      <c r="O314" s="2">
        <v>41963</v>
      </c>
      <c r="P314" s="1">
        <v>22097</v>
      </c>
      <c r="Q314" s="1" t="s">
        <v>1393</v>
      </c>
      <c r="R314" s="2">
        <v>42004</v>
      </c>
      <c r="S314" s="1">
        <v>215968</v>
      </c>
      <c r="T314" s="1">
        <v>300</v>
      </c>
      <c r="U314" s="1">
        <v>1048</v>
      </c>
      <c r="V314" s="1" t="s">
        <v>4687</v>
      </c>
      <c r="Y314" s="1">
        <v>3</v>
      </c>
      <c r="Z314" s="1" t="s">
        <v>249</v>
      </c>
      <c r="AA314" s="1" t="s">
        <v>899</v>
      </c>
      <c r="AB314" s="1">
        <v>60561</v>
      </c>
      <c r="AE314" s="1" t="s">
        <v>4688</v>
      </c>
      <c r="AF314" s="1">
        <v>1994</v>
      </c>
      <c r="AG314" s="1" t="s">
        <v>204</v>
      </c>
      <c r="AH314" s="1" t="s">
        <v>903</v>
      </c>
      <c r="AI314" s="1" t="s">
        <v>206</v>
      </c>
      <c r="AJ314" s="1" t="s">
        <v>903</v>
      </c>
      <c r="AL314" s="1">
        <v>5</v>
      </c>
      <c r="AM314" s="1">
        <v>2</v>
      </c>
      <c r="AN314" s="1">
        <v>2</v>
      </c>
      <c r="AO314" s="1">
        <v>0</v>
      </c>
      <c r="AP314" s="1" t="s">
        <v>210</v>
      </c>
      <c r="AR314" s="1" t="s">
        <v>210</v>
      </c>
      <c r="AS314" s="1" t="s">
        <v>204</v>
      </c>
      <c r="AT314" s="1" t="s">
        <v>211</v>
      </c>
      <c r="AU314" s="1">
        <v>1</v>
      </c>
      <c r="AW314" s="1" t="s">
        <v>204</v>
      </c>
      <c r="AX314" s="1" t="s">
        <v>212</v>
      </c>
      <c r="AZ314" s="1">
        <v>3207</v>
      </c>
      <c r="BA314" s="1">
        <v>2013</v>
      </c>
      <c r="BE314" s="1">
        <v>1100</v>
      </c>
      <c r="BF314" s="1">
        <v>1</v>
      </c>
      <c r="BG314" s="1">
        <v>0</v>
      </c>
      <c r="BL314" s="1">
        <v>169</v>
      </c>
      <c r="BM314" s="1" t="s">
        <v>204</v>
      </c>
      <c r="BN314" s="1" t="s">
        <v>213</v>
      </c>
      <c r="BO314" s="1">
        <v>999</v>
      </c>
      <c r="BP314" s="1" t="s">
        <v>204</v>
      </c>
      <c r="BR314" s="1" t="str">
        <f>"0934123101"</f>
        <v>0934123101</v>
      </c>
      <c r="BT314" s="1" t="s">
        <v>4689</v>
      </c>
      <c r="BU314" s="1" t="s">
        <v>2882</v>
      </c>
      <c r="BV314" s="1" t="s">
        <v>2883</v>
      </c>
      <c r="BW314" s="1" t="s">
        <v>907</v>
      </c>
      <c r="BX314" s="1">
        <v>63</v>
      </c>
      <c r="BY314" s="1">
        <v>63</v>
      </c>
      <c r="BZ314" s="1">
        <v>86</v>
      </c>
      <c r="CB314" s="1" t="str">
        <f t="shared" ref="CB314:CC314" si="252">""</f>
        <v/>
      </c>
      <c r="CC314" s="1" t="str">
        <f t="shared" si="252"/>
        <v/>
      </c>
      <c r="CG314" s="1" t="s">
        <v>4690</v>
      </c>
      <c r="CH314" s="1" t="s">
        <v>219</v>
      </c>
      <c r="CK314" s="1" t="s">
        <v>2170</v>
      </c>
      <c r="CL314" s="1" t="s">
        <v>219</v>
      </c>
      <c r="CO314" s="1" t="s">
        <v>629</v>
      </c>
      <c r="CP314" s="1" t="s">
        <v>219</v>
      </c>
      <c r="CS314" s="1" t="s">
        <v>318</v>
      </c>
      <c r="CT314" s="1" t="s">
        <v>219</v>
      </c>
      <c r="CX314" s="1" t="s">
        <v>224</v>
      </c>
      <c r="DB314" s="1" t="s">
        <v>224</v>
      </c>
      <c r="DE314" s="1" t="s">
        <v>836</v>
      </c>
      <c r="DF314" s="1" t="s">
        <v>219</v>
      </c>
      <c r="DJ314" s="1" t="s">
        <v>224</v>
      </c>
      <c r="DS314" s="1" t="s">
        <v>230</v>
      </c>
      <c r="DW314" s="1" t="s">
        <v>230</v>
      </c>
      <c r="EA314" s="1" t="s">
        <v>230</v>
      </c>
      <c r="EE314" s="1" t="s">
        <v>230</v>
      </c>
      <c r="EI314" s="1" t="s">
        <v>230</v>
      </c>
      <c r="EL314" s="1" t="s">
        <v>670</v>
      </c>
      <c r="EM314" s="1" t="s">
        <v>232</v>
      </c>
      <c r="EN314" s="1" t="s">
        <v>282</v>
      </c>
      <c r="EO314" s="1" t="s">
        <v>234</v>
      </c>
      <c r="EQ314" s="1" t="s">
        <v>4691</v>
      </c>
      <c r="ER314" s="1" t="s">
        <v>210</v>
      </c>
      <c r="ES314" s="1" t="s">
        <v>493</v>
      </c>
      <c r="EU314" s="1" t="s">
        <v>4692</v>
      </c>
      <c r="EV314" s="1" t="s">
        <v>240</v>
      </c>
      <c r="EW314" s="1" t="s">
        <v>2778</v>
      </c>
      <c r="EZ314" s="1" t="s">
        <v>287</v>
      </c>
      <c r="FB314" s="1" t="s">
        <v>289</v>
      </c>
      <c r="FD314" s="1" t="s">
        <v>246</v>
      </c>
      <c r="FE314" s="1" t="s">
        <v>870</v>
      </c>
      <c r="FF314" s="1" t="s">
        <v>248</v>
      </c>
      <c r="FH314" s="1" t="s">
        <v>825</v>
      </c>
      <c r="FJ314" s="1" t="s">
        <v>1251</v>
      </c>
      <c r="FL314" s="1" t="s">
        <v>414</v>
      </c>
      <c r="FM314" s="1" t="s">
        <v>252</v>
      </c>
      <c r="FN314" s="1" t="s">
        <v>213</v>
      </c>
      <c r="FO314" s="1" t="s">
        <v>213</v>
      </c>
      <c r="FQ314" s="1" t="s">
        <v>2293</v>
      </c>
      <c r="FR314" s="1" t="s">
        <v>210</v>
      </c>
      <c r="FS314" s="1" t="s">
        <v>1429</v>
      </c>
      <c r="FT314" s="1" t="s">
        <v>255</v>
      </c>
      <c r="FU314" s="1" t="s">
        <v>204</v>
      </c>
      <c r="FW314" s="1" t="s">
        <v>915</v>
      </c>
      <c r="FX314" s="1">
        <v>10115</v>
      </c>
      <c r="FY314" s="1" t="s">
        <v>4693</v>
      </c>
      <c r="FZ314" s="1" t="s">
        <v>4694</v>
      </c>
      <c r="GA314" s="1">
        <v>165227</v>
      </c>
      <c r="GB314" s="1" t="s">
        <v>4695</v>
      </c>
      <c r="GE314" s="1" t="s">
        <v>210</v>
      </c>
      <c r="GI314" s="1" t="s">
        <v>213</v>
      </c>
      <c r="GJ314" s="1" t="s">
        <v>260</v>
      </c>
      <c r="GK314" s="1" t="s">
        <v>210</v>
      </c>
      <c r="GL314" s="2">
        <v>42006</v>
      </c>
    </row>
    <row r="315" spans="1:195">
      <c r="A315" s="1">
        <v>102000</v>
      </c>
      <c r="B315" s="1" t="s">
        <v>195</v>
      </c>
      <c r="C315" s="1" t="str">
        <f>"08798063"</f>
        <v>08798063</v>
      </c>
      <c r="D315" s="1" t="s">
        <v>196</v>
      </c>
      <c r="F315" s="1" t="str">
        <f>"178"</f>
        <v>178</v>
      </c>
      <c r="G315" s="2">
        <v>41979</v>
      </c>
      <c r="H315" s="1">
        <v>118900</v>
      </c>
      <c r="I315" s="1">
        <v>114900</v>
      </c>
      <c r="J315" s="1">
        <v>102000</v>
      </c>
      <c r="K315" s="2">
        <v>41979</v>
      </c>
      <c r="L315" s="1">
        <v>74</v>
      </c>
      <c r="M315" s="2">
        <v>42052</v>
      </c>
      <c r="N315" s="1">
        <v>74</v>
      </c>
      <c r="O315" s="2">
        <v>42052</v>
      </c>
      <c r="P315" s="1">
        <v>93099</v>
      </c>
      <c r="Q315" s="1" t="s">
        <v>302</v>
      </c>
      <c r="R315" s="2">
        <v>42076</v>
      </c>
      <c r="S315" s="1">
        <v>930261</v>
      </c>
      <c r="U315" s="1">
        <v>112</v>
      </c>
      <c r="V315" s="1" t="s">
        <v>1669</v>
      </c>
      <c r="W315" s="1" t="s">
        <v>504</v>
      </c>
      <c r="X315" s="1">
        <v>112</v>
      </c>
      <c r="Y315" s="1">
        <v>4</v>
      </c>
      <c r="Z315" s="1" t="s">
        <v>249</v>
      </c>
      <c r="AA315" s="1" t="s">
        <v>3334</v>
      </c>
      <c r="AB315" s="1">
        <v>60178</v>
      </c>
      <c r="AD315" s="1" t="s">
        <v>3532</v>
      </c>
      <c r="AE315" s="1" t="s">
        <v>4696</v>
      </c>
      <c r="AF315" s="1">
        <v>2005</v>
      </c>
      <c r="AG315" s="1" t="s">
        <v>204</v>
      </c>
      <c r="AH315" s="1" t="s">
        <v>3336</v>
      </c>
      <c r="AI315" s="1" t="s">
        <v>2246</v>
      </c>
      <c r="AJ315" s="1" t="s">
        <v>3336</v>
      </c>
      <c r="AL315" s="1">
        <v>5</v>
      </c>
      <c r="AM315" s="1">
        <v>2</v>
      </c>
      <c r="AN315" s="1">
        <v>2</v>
      </c>
      <c r="AO315" s="1">
        <v>0</v>
      </c>
      <c r="AP315" s="1" t="s">
        <v>209</v>
      </c>
      <c r="AQ315" s="1">
        <v>1</v>
      </c>
      <c r="AR315" s="1" t="s">
        <v>210</v>
      </c>
      <c r="AS315" s="1" t="s">
        <v>204</v>
      </c>
      <c r="AT315" s="1" t="s">
        <v>211</v>
      </c>
      <c r="AU315" s="1">
        <v>1</v>
      </c>
      <c r="AW315" s="1" t="s">
        <v>213</v>
      </c>
      <c r="AX315" s="1" t="s">
        <v>212</v>
      </c>
      <c r="AZ315" s="1">
        <v>3423.8</v>
      </c>
      <c r="BA315" s="1">
        <v>2013</v>
      </c>
      <c r="BB315" s="1" t="s">
        <v>210</v>
      </c>
      <c r="BE315" s="1">
        <v>1350</v>
      </c>
      <c r="BF315" s="1">
        <v>2</v>
      </c>
      <c r="BG315" s="1">
        <v>0</v>
      </c>
      <c r="BL315" s="1">
        <v>102</v>
      </c>
      <c r="BM315" s="1" t="s">
        <v>204</v>
      </c>
      <c r="BN315" s="1" t="s">
        <v>213</v>
      </c>
      <c r="BO315" s="1">
        <v>0</v>
      </c>
      <c r="BP315" s="1" t="s">
        <v>204</v>
      </c>
      <c r="BR315" s="1" t="str">
        <f>"0628352073"</f>
        <v>0628352073</v>
      </c>
      <c r="BT315" s="1" t="s">
        <v>4697</v>
      </c>
      <c r="BX315" s="1">
        <v>427</v>
      </c>
      <c r="BY315" s="1">
        <v>427</v>
      </c>
      <c r="BZ315" s="1">
        <v>427</v>
      </c>
      <c r="CB315" s="1" t="str">
        <f t="shared" ref="CB315:CC315" si="253">""</f>
        <v/>
      </c>
      <c r="CC315" s="1" t="str">
        <f t="shared" si="253"/>
        <v/>
      </c>
      <c r="CG315" s="1" t="s">
        <v>932</v>
      </c>
      <c r="CH315" s="1" t="s">
        <v>219</v>
      </c>
      <c r="CI315" s="1" t="s">
        <v>220</v>
      </c>
      <c r="CJ315" s="1" t="s">
        <v>252</v>
      </c>
      <c r="CK315" s="1" t="s">
        <v>221</v>
      </c>
      <c r="CL315" s="1" t="s">
        <v>219</v>
      </c>
      <c r="CM315" s="1" t="s">
        <v>220</v>
      </c>
      <c r="CN315" s="1" t="s">
        <v>252</v>
      </c>
      <c r="CO315" s="1" t="s">
        <v>932</v>
      </c>
      <c r="CP315" s="1" t="s">
        <v>219</v>
      </c>
      <c r="CQ315" s="1" t="s">
        <v>220</v>
      </c>
      <c r="CR315" s="1" t="s">
        <v>252</v>
      </c>
      <c r="CS315" s="1" t="s">
        <v>1297</v>
      </c>
      <c r="CT315" s="1" t="s">
        <v>219</v>
      </c>
      <c r="CU315" s="1" t="s">
        <v>220</v>
      </c>
      <c r="CV315" s="1" t="s">
        <v>252</v>
      </c>
      <c r="CX315" s="1" t="s">
        <v>224</v>
      </c>
      <c r="DB315" s="1" t="s">
        <v>224</v>
      </c>
      <c r="DE315" s="1" t="s">
        <v>1297</v>
      </c>
      <c r="DF315" s="1" t="s">
        <v>219</v>
      </c>
      <c r="DG315" s="1" t="s">
        <v>226</v>
      </c>
      <c r="DH315" s="1" t="s">
        <v>210</v>
      </c>
      <c r="DJ315" s="1" t="s">
        <v>224</v>
      </c>
      <c r="DS315" s="1" t="s">
        <v>230</v>
      </c>
      <c r="DW315" s="1" t="s">
        <v>230</v>
      </c>
      <c r="EA315" s="1" t="s">
        <v>230</v>
      </c>
      <c r="EE315" s="1" t="s">
        <v>230</v>
      </c>
      <c r="EI315" s="1" t="s">
        <v>230</v>
      </c>
      <c r="EL315" s="1" t="s">
        <v>491</v>
      </c>
      <c r="EM315" s="1" t="s">
        <v>319</v>
      </c>
      <c r="EN315" s="1" t="s">
        <v>282</v>
      </c>
      <c r="EO315" s="1" t="s">
        <v>234</v>
      </c>
      <c r="EP315" s="1" t="s">
        <v>1268</v>
      </c>
      <c r="EQ315" s="1" t="s">
        <v>236</v>
      </c>
      <c r="ER315" s="1" t="s">
        <v>210</v>
      </c>
      <c r="ES315" s="1" t="s">
        <v>493</v>
      </c>
      <c r="EV315" s="1" t="s">
        <v>324</v>
      </c>
      <c r="EW315" s="1" t="s">
        <v>1250</v>
      </c>
      <c r="EY315" s="1" t="s">
        <v>242</v>
      </c>
      <c r="EZ315" s="1" t="s">
        <v>287</v>
      </c>
      <c r="FA315" s="1" t="s">
        <v>4698</v>
      </c>
      <c r="FB315" s="1" t="s">
        <v>244</v>
      </c>
      <c r="FD315" s="1" t="s">
        <v>246</v>
      </c>
      <c r="FE315" s="1" t="s">
        <v>975</v>
      </c>
      <c r="FF315" s="1" t="s">
        <v>248</v>
      </c>
      <c r="FG315" s="1" t="s">
        <v>912</v>
      </c>
      <c r="FH315" s="1" t="s">
        <v>249</v>
      </c>
      <c r="FI315" s="1" t="s">
        <v>473</v>
      </c>
      <c r="FL315" s="1" t="s">
        <v>358</v>
      </c>
      <c r="FM315" s="1" t="s">
        <v>252</v>
      </c>
      <c r="FN315" s="1" t="s">
        <v>213</v>
      </c>
      <c r="FO315" s="1" t="s">
        <v>213</v>
      </c>
      <c r="FQ315" s="1" t="s">
        <v>4699</v>
      </c>
      <c r="FR315" s="1" t="s">
        <v>210</v>
      </c>
      <c r="FS315" s="1" t="s">
        <v>583</v>
      </c>
      <c r="FT315" s="1" t="s">
        <v>295</v>
      </c>
      <c r="FU315" s="1" t="s">
        <v>204</v>
      </c>
      <c r="FW315" s="1" t="s">
        <v>585</v>
      </c>
      <c r="FX315" s="1">
        <v>49</v>
      </c>
      <c r="FY315" s="1" t="s">
        <v>2408</v>
      </c>
      <c r="FZ315" s="1" t="s">
        <v>4700</v>
      </c>
      <c r="GA315" s="1">
        <v>7198</v>
      </c>
      <c r="GB315" s="1" t="s">
        <v>4701</v>
      </c>
      <c r="GC315" s="1">
        <v>8691</v>
      </c>
      <c r="GE315" s="1" t="s">
        <v>480</v>
      </c>
      <c r="GI315" s="1" t="s">
        <v>213</v>
      </c>
      <c r="GJ315" s="1" t="s">
        <v>260</v>
      </c>
      <c r="GK315" s="1" t="s">
        <v>210</v>
      </c>
      <c r="GL315" s="2">
        <v>42076</v>
      </c>
      <c r="GM315" s="1" t="s">
        <v>4702</v>
      </c>
    </row>
    <row r="316" spans="1:195">
      <c r="A316" s="1">
        <v>101500</v>
      </c>
      <c r="B316" s="1" t="s">
        <v>195</v>
      </c>
      <c r="C316" s="1" t="str">
        <f>"08788182"</f>
        <v>08788182</v>
      </c>
      <c r="D316" s="1" t="s">
        <v>196</v>
      </c>
      <c r="F316" s="1" t="str">
        <f>"115"</f>
        <v>115</v>
      </c>
      <c r="G316" s="2">
        <v>41960</v>
      </c>
      <c r="H316" s="1">
        <v>109000</v>
      </c>
      <c r="I316" s="1">
        <v>109000</v>
      </c>
      <c r="J316" s="1">
        <v>101500</v>
      </c>
      <c r="K316" s="2">
        <v>41960</v>
      </c>
      <c r="L316" s="1">
        <v>108</v>
      </c>
      <c r="M316" s="2">
        <v>42067</v>
      </c>
      <c r="N316" s="1">
        <v>108</v>
      </c>
      <c r="O316" s="2">
        <v>42067</v>
      </c>
      <c r="P316" s="1">
        <v>41</v>
      </c>
      <c r="Q316" s="1" t="s">
        <v>302</v>
      </c>
      <c r="R316" s="2">
        <v>42094</v>
      </c>
      <c r="S316" s="1">
        <v>752</v>
      </c>
      <c r="U316" s="1">
        <v>1548</v>
      </c>
      <c r="V316" s="1" t="s">
        <v>3296</v>
      </c>
      <c r="W316" s="1" t="s">
        <v>264</v>
      </c>
      <c r="X316" s="1">
        <v>4</v>
      </c>
      <c r="Y316" s="1">
        <v>6</v>
      </c>
      <c r="Z316" s="1" t="s">
        <v>249</v>
      </c>
      <c r="AA316" s="1" t="s">
        <v>2242</v>
      </c>
      <c r="AB316" s="1">
        <v>60115</v>
      </c>
      <c r="AD316" s="1" t="s">
        <v>4703</v>
      </c>
      <c r="AE316" s="1" t="s">
        <v>4704</v>
      </c>
      <c r="AF316" s="1">
        <v>2005</v>
      </c>
      <c r="AG316" s="1" t="s">
        <v>204</v>
      </c>
      <c r="AH316" s="1" t="s">
        <v>2245</v>
      </c>
      <c r="AI316" s="1" t="s">
        <v>2246</v>
      </c>
      <c r="AJ316" s="1" t="s">
        <v>2245</v>
      </c>
      <c r="AL316" s="1">
        <v>5</v>
      </c>
      <c r="AM316" s="1">
        <v>2</v>
      </c>
      <c r="AN316" s="1">
        <v>2</v>
      </c>
      <c r="AO316" s="1">
        <v>1</v>
      </c>
      <c r="AP316" s="1" t="s">
        <v>209</v>
      </c>
      <c r="AR316" s="1" t="s">
        <v>1631</v>
      </c>
      <c r="AS316" s="1" t="s">
        <v>204</v>
      </c>
      <c r="AT316" s="1" t="s">
        <v>211</v>
      </c>
      <c r="AU316" s="1">
        <v>2</v>
      </c>
      <c r="AW316" s="1" t="s">
        <v>204</v>
      </c>
      <c r="AX316" s="1" t="s">
        <v>270</v>
      </c>
      <c r="AZ316" s="1">
        <v>4127</v>
      </c>
      <c r="BA316" s="1">
        <v>2013</v>
      </c>
      <c r="BB316" s="1" t="s">
        <v>405</v>
      </c>
      <c r="BE316" s="1">
        <v>1333</v>
      </c>
      <c r="BF316" s="1" t="s">
        <v>1688</v>
      </c>
      <c r="BG316" s="1">
        <v>7</v>
      </c>
      <c r="BL316" s="1">
        <v>140</v>
      </c>
      <c r="BM316" s="1" t="s">
        <v>213</v>
      </c>
      <c r="BN316" s="1" t="s">
        <v>213</v>
      </c>
      <c r="BO316" s="1">
        <v>999</v>
      </c>
      <c r="BP316" s="1" t="s">
        <v>204</v>
      </c>
      <c r="BR316" s="1" t="str">
        <f>"0813176027"</f>
        <v>0813176027</v>
      </c>
      <c r="BT316" s="1" t="s">
        <v>4705</v>
      </c>
      <c r="BX316" s="1">
        <v>428</v>
      </c>
      <c r="BY316" s="1">
        <v>428</v>
      </c>
      <c r="BZ316" s="1">
        <v>428</v>
      </c>
      <c r="CB316" s="1" t="str">
        <f t="shared" ref="CB316:CC316" si="254">"0"</f>
        <v>0</v>
      </c>
      <c r="CC316" s="1" t="str">
        <f t="shared" si="254"/>
        <v>0</v>
      </c>
      <c r="CD316" s="1">
        <v>0</v>
      </c>
      <c r="CE316" s="1">
        <v>0</v>
      </c>
      <c r="CG316" s="1" t="s">
        <v>4706</v>
      </c>
      <c r="CH316" s="1" t="s">
        <v>219</v>
      </c>
      <c r="CI316" s="1" t="s">
        <v>220</v>
      </c>
      <c r="CJ316" s="1" t="s">
        <v>343</v>
      </c>
      <c r="CK316" s="1" t="s">
        <v>490</v>
      </c>
      <c r="CL316" s="1" t="s">
        <v>277</v>
      </c>
      <c r="CM316" s="1" t="s">
        <v>220</v>
      </c>
      <c r="CN316" s="1" t="s">
        <v>343</v>
      </c>
      <c r="CO316" s="1" t="s">
        <v>836</v>
      </c>
      <c r="CP316" s="1" t="s">
        <v>219</v>
      </c>
      <c r="CQ316" s="1" t="s">
        <v>220</v>
      </c>
      <c r="CR316" s="1" t="s">
        <v>343</v>
      </c>
      <c r="CS316" s="1" t="s">
        <v>2122</v>
      </c>
      <c r="CT316" s="1" t="s">
        <v>277</v>
      </c>
      <c r="CU316" s="1" t="s">
        <v>220</v>
      </c>
      <c r="CV316" s="1" t="s">
        <v>343</v>
      </c>
      <c r="CX316" s="1" t="s">
        <v>224</v>
      </c>
      <c r="DB316" s="1" t="s">
        <v>224</v>
      </c>
      <c r="DE316" s="1" t="s">
        <v>836</v>
      </c>
      <c r="DF316" s="1" t="s">
        <v>219</v>
      </c>
      <c r="DG316" s="1" t="s">
        <v>342</v>
      </c>
      <c r="DH316" s="1" t="s">
        <v>343</v>
      </c>
      <c r="DJ316" s="1" t="s">
        <v>224</v>
      </c>
      <c r="DM316" s="1" t="s">
        <v>2278</v>
      </c>
      <c r="DR316" s="1" t="s">
        <v>836</v>
      </c>
      <c r="DS316" s="1" t="s">
        <v>822</v>
      </c>
      <c r="DT316" s="1" t="s">
        <v>220</v>
      </c>
      <c r="DU316" s="1" t="s">
        <v>210</v>
      </c>
      <c r="DW316" s="1" t="s">
        <v>230</v>
      </c>
      <c r="EA316" s="1" t="s">
        <v>230</v>
      </c>
      <c r="EE316" s="1" t="s">
        <v>230</v>
      </c>
      <c r="EI316" s="1" t="s">
        <v>230</v>
      </c>
      <c r="EL316" s="1" t="s">
        <v>491</v>
      </c>
      <c r="EM316" s="1" t="s">
        <v>319</v>
      </c>
      <c r="EN316" s="1" t="s">
        <v>282</v>
      </c>
      <c r="EO316" s="1" t="s">
        <v>234</v>
      </c>
      <c r="EP316" s="1" t="s">
        <v>650</v>
      </c>
      <c r="EQ316" s="1" t="s">
        <v>468</v>
      </c>
      <c r="ER316" s="1" t="s">
        <v>351</v>
      </c>
      <c r="ES316" s="1" t="s">
        <v>3285</v>
      </c>
      <c r="EV316" s="1" t="s">
        <v>240</v>
      </c>
      <c r="EW316" s="1" t="s">
        <v>4707</v>
      </c>
      <c r="EZ316" s="1" t="s">
        <v>2278</v>
      </c>
      <c r="FD316" s="1" t="s">
        <v>246</v>
      </c>
      <c r="FE316" s="1" t="s">
        <v>472</v>
      </c>
      <c r="FF316" s="1" t="s">
        <v>248</v>
      </c>
      <c r="FH316" s="1" t="s">
        <v>550</v>
      </c>
      <c r="FI316" s="1" t="s">
        <v>357</v>
      </c>
      <c r="FL316" s="1" t="s">
        <v>358</v>
      </c>
      <c r="FM316" s="1" t="s">
        <v>252</v>
      </c>
      <c r="FN316" s="1" t="s">
        <v>213</v>
      </c>
      <c r="FO316" s="1" t="s">
        <v>213</v>
      </c>
      <c r="FQ316" s="1" t="s">
        <v>4708</v>
      </c>
      <c r="FR316" s="1" t="s">
        <v>210</v>
      </c>
      <c r="FS316" s="1" t="s">
        <v>4709</v>
      </c>
      <c r="FT316" s="1" t="s">
        <v>4710</v>
      </c>
      <c r="FU316" s="1" t="s">
        <v>204</v>
      </c>
      <c r="FW316" s="1" t="s">
        <v>813</v>
      </c>
      <c r="FX316" s="1">
        <v>93043</v>
      </c>
      <c r="FY316" s="1" t="s">
        <v>2255</v>
      </c>
      <c r="FZ316" s="1" t="s">
        <v>4711</v>
      </c>
      <c r="GA316" s="1">
        <v>930101</v>
      </c>
      <c r="GB316" s="1" t="s">
        <v>4712</v>
      </c>
      <c r="GE316" s="1" t="s">
        <v>480</v>
      </c>
      <c r="GI316" s="1" t="s">
        <v>213</v>
      </c>
      <c r="GJ316" s="1" t="s">
        <v>260</v>
      </c>
      <c r="GK316" s="1" t="s">
        <v>210</v>
      </c>
      <c r="GL316" s="2">
        <v>42094</v>
      </c>
      <c r="GM316" s="1" t="s">
        <v>4713</v>
      </c>
    </row>
    <row r="317" spans="1:195">
      <c r="A317" s="1">
        <v>133000</v>
      </c>
      <c r="B317" s="1" t="s">
        <v>195</v>
      </c>
      <c r="C317" s="1" t="str">
        <f>"08774083"</f>
        <v>08774083</v>
      </c>
      <c r="D317" s="1" t="s">
        <v>196</v>
      </c>
      <c r="F317" s="1" t="str">
        <f>"174"</f>
        <v>174</v>
      </c>
      <c r="G317" s="2">
        <v>41955</v>
      </c>
      <c r="H317" s="1">
        <v>134900</v>
      </c>
      <c r="I317" s="1">
        <v>134900</v>
      </c>
      <c r="J317" s="1">
        <v>133000</v>
      </c>
      <c r="K317" s="2">
        <v>41954</v>
      </c>
      <c r="L317" s="1">
        <v>1</v>
      </c>
      <c r="M317" s="2">
        <v>41954</v>
      </c>
      <c r="N317" s="1">
        <v>1</v>
      </c>
      <c r="O317" s="2">
        <v>41954</v>
      </c>
      <c r="P317" s="1">
        <v>383</v>
      </c>
      <c r="Q317" s="1" t="s">
        <v>197</v>
      </c>
      <c r="R317" s="2">
        <v>41983</v>
      </c>
      <c r="S317" s="1">
        <v>335</v>
      </c>
      <c r="T317" s="1">
        <v>3000</v>
      </c>
      <c r="U317" s="1">
        <v>233</v>
      </c>
      <c r="V317" s="1" t="s">
        <v>4714</v>
      </c>
      <c r="W317" s="1" t="s">
        <v>304</v>
      </c>
      <c r="X317" s="1">
        <v>233</v>
      </c>
      <c r="Y317" s="1">
        <v>4</v>
      </c>
      <c r="Z317" s="1" t="s">
        <v>249</v>
      </c>
      <c r="AA317" s="1" t="s">
        <v>879</v>
      </c>
      <c r="AB317" s="1">
        <v>60174</v>
      </c>
      <c r="AD317" s="1" t="s">
        <v>4715</v>
      </c>
      <c r="AE317" s="1" t="s">
        <v>4716</v>
      </c>
      <c r="AF317" s="1">
        <v>1983</v>
      </c>
      <c r="AG317" s="1" t="s">
        <v>204</v>
      </c>
      <c r="AH317" s="1" t="s">
        <v>883</v>
      </c>
      <c r="AI317" s="1" t="s">
        <v>665</v>
      </c>
      <c r="AJ317" s="1" t="s">
        <v>883</v>
      </c>
      <c r="AL317" s="1">
        <v>5</v>
      </c>
      <c r="AM317" s="1">
        <v>2</v>
      </c>
      <c r="AN317" s="1">
        <v>2</v>
      </c>
      <c r="AO317" s="1">
        <v>0</v>
      </c>
      <c r="AP317" s="1" t="s">
        <v>209</v>
      </c>
      <c r="AQ317" s="1">
        <v>1</v>
      </c>
      <c r="AR317" s="1" t="s">
        <v>210</v>
      </c>
      <c r="AT317" s="1" t="s">
        <v>211</v>
      </c>
      <c r="AU317" s="1">
        <v>1</v>
      </c>
      <c r="AW317" s="1" t="s">
        <v>204</v>
      </c>
      <c r="AX317" s="1" t="s">
        <v>212</v>
      </c>
      <c r="AZ317" s="1">
        <v>3598.74</v>
      </c>
      <c r="BA317" s="1">
        <v>2013</v>
      </c>
      <c r="BB317" s="1" t="s">
        <v>210</v>
      </c>
      <c r="BE317" s="1">
        <v>1188</v>
      </c>
      <c r="BF317" s="1">
        <v>2</v>
      </c>
      <c r="BG317" s="1">
        <v>0</v>
      </c>
      <c r="BJ317" s="1">
        <v>100</v>
      </c>
      <c r="BL317" s="1">
        <v>210</v>
      </c>
      <c r="BM317" s="1" t="s">
        <v>204</v>
      </c>
      <c r="BN317" s="1" t="s">
        <v>213</v>
      </c>
      <c r="BO317" s="1">
        <v>75</v>
      </c>
      <c r="BP317" s="1" t="s">
        <v>204</v>
      </c>
      <c r="BR317" s="1" t="str">
        <f>"0928426022"</f>
        <v>0928426022</v>
      </c>
      <c r="BT317" s="1" t="s">
        <v>4717</v>
      </c>
      <c r="BU317" s="1" t="s">
        <v>4718</v>
      </c>
      <c r="BW317" s="1" t="s">
        <v>4719</v>
      </c>
      <c r="BX317" s="1">
        <v>303</v>
      </c>
      <c r="BY317" s="1">
        <v>303</v>
      </c>
      <c r="BZ317" s="1">
        <v>303</v>
      </c>
      <c r="CB317" s="1" t="str">
        <f>"3"</f>
        <v>3</v>
      </c>
      <c r="CC317" s="1" t="str">
        <f>"0"</f>
        <v>0</v>
      </c>
      <c r="CD317" s="1">
        <v>36</v>
      </c>
      <c r="CE317" s="1">
        <v>0</v>
      </c>
      <c r="CG317" s="1" t="s">
        <v>1570</v>
      </c>
      <c r="CH317" s="1" t="s">
        <v>219</v>
      </c>
      <c r="CI317" s="1" t="s">
        <v>229</v>
      </c>
      <c r="CJ317" s="1" t="s">
        <v>343</v>
      </c>
      <c r="CK317" s="1" t="s">
        <v>538</v>
      </c>
      <c r="CL317" s="1" t="s">
        <v>219</v>
      </c>
      <c r="CM317" s="1" t="s">
        <v>220</v>
      </c>
      <c r="CN317" s="1" t="s">
        <v>343</v>
      </c>
      <c r="CO317" s="1" t="s">
        <v>379</v>
      </c>
      <c r="CP317" s="1" t="s">
        <v>219</v>
      </c>
      <c r="CQ317" s="1" t="s">
        <v>229</v>
      </c>
      <c r="CR317" s="1" t="s">
        <v>210</v>
      </c>
      <c r="CS317" s="1" t="s">
        <v>1046</v>
      </c>
      <c r="CT317" s="1" t="s">
        <v>219</v>
      </c>
      <c r="CU317" s="1" t="s">
        <v>220</v>
      </c>
      <c r="CX317" s="1" t="s">
        <v>224</v>
      </c>
      <c r="DB317" s="1" t="s">
        <v>224</v>
      </c>
      <c r="DE317" s="1" t="s">
        <v>379</v>
      </c>
      <c r="DF317" s="1" t="s">
        <v>219</v>
      </c>
      <c r="DG317" s="1" t="s">
        <v>229</v>
      </c>
      <c r="DH317" s="1" t="s">
        <v>210</v>
      </c>
      <c r="DJ317" s="1" t="s">
        <v>224</v>
      </c>
      <c r="DS317" s="1" t="s">
        <v>230</v>
      </c>
      <c r="DW317" s="1" t="s">
        <v>230</v>
      </c>
      <c r="EA317" s="1" t="s">
        <v>230</v>
      </c>
      <c r="EE317" s="1" t="s">
        <v>230</v>
      </c>
      <c r="EI317" s="1" t="s">
        <v>230</v>
      </c>
      <c r="EL317" s="1" t="s">
        <v>231</v>
      </c>
      <c r="EM317" s="1" t="s">
        <v>319</v>
      </c>
      <c r="EN317" s="1" t="s">
        <v>282</v>
      </c>
      <c r="EO317" s="1" t="s">
        <v>234</v>
      </c>
      <c r="EQ317" s="1" t="s">
        <v>492</v>
      </c>
      <c r="ER317" s="1" t="s">
        <v>210</v>
      </c>
      <c r="ES317" s="1" t="s">
        <v>322</v>
      </c>
      <c r="EU317" s="1" t="s">
        <v>1202</v>
      </c>
      <c r="EV317" s="1" t="s">
        <v>352</v>
      </c>
      <c r="EW317" s="1" t="s">
        <v>353</v>
      </c>
      <c r="EY317" s="1" t="s">
        <v>790</v>
      </c>
      <c r="EZ317" s="1" t="s">
        <v>287</v>
      </c>
      <c r="FA317" s="1" t="s">
        <v>1681</v>
      </c>
      <c r="FB317" s="1" t="s">
        <v>289</v>
      </c>
      <c r="FC317" s="1" t="s">
        <v>1386</v>
      </c>
      <c r="FD317" s="1" t="s">
        <v>246</v>
      </c>
      <c r="FE317" s="1" t="s">
        <v>386</v>
      </c>
      <c r="FF317" s="1" t="s">
        <v>248</v>
      </c>
      <c r="FG317" s="1" t="s">
        <v>871</v>
      </c>
      <c r="FH317" s="1" t="s">
        <v>249</v>
      </c>
      <c r="FI317" s="1" t="s">
        <v>473</v>
      </c>
      <c r="FJ317" s="1" t="s">
        <v>197</v>
      </c>
      <c r="FL317" s="1" t="s">
        <v>358</v>
      </c>
      <c r="FM317" s="1" t="s">
        <v>252</v>
      </c>
      <c r="FN317" s="1" t="s">
        <v>213</v>
      </c>
      <c r="FO317" s="1" t="s">
        <v>213</v>
      </c>
      <c r="FQ317" s="1" t="s">
        <v>3342</v>
      </c>
      <c r="FR317" s="1" t="s">
        <v>652</v>
      </c>
      <c r="FS317" s="1" t="s">
        <v>4720</v>
      </c>
      <c r="FT317" s="1" t="s">
        <v>520</v>
      </c>
      <c r="FU317" s="1" t="s">
        <v>204</v>
      </c>
      <c r="FW317" s="1" t="s">
        <v>4721</v>
      </c>
      <c r="FX317" s="1">
        <v>383</v>
      </c>
      <c r="FY317" s="1" t="s">
        <v>4722</v>
      </c>
      <c r="FZ317" s="1" t="s">
        <v>4723</v>
      </c>
      <c r="GA317" s="1">
        <v>335</v>
      </c>
      <c r="GB317" s="1" t="s">
        <v>4724</v>
      </c>
      <c r="GD317" s="1" t="s">
        <v>4725</v>
      </c>
      <c r="GE317" s="1" t="s">
        <v>480</v>
      </c>
      <c r="GI317" s="1" t="s">
        <v>213</v>
      </c>
      <c r="GJ317" s="1" t="s">
        <v>260</v>
      </c>
      <c r="GK317" s="1" t="s">
        <v>210</v>
      </c>
      <c r="GL317" s="2">
        <v>41983</v>
      </c>
    </row>
    <row r="318" spans="1:195">
      <c r="A318" s="1">
        <v>192500</v>
      </c>
      <c r="B318" s="1" t="s">
        <v>195</v>
      </c>
      <c r="C318" s="1" t="str">
        <f>"08817071"</f>
        <v>08817071</v>
      </c>
      <c r="D318" s="1" t="s">
        <v>196</v>
      </c>
      <c r="F318" s="1" t="str">
        <f>"154"</f>
        <v>154</v>
      </c>
      <c r="G318" s="2">
        <v>42019</v>
      </c>
      <c r="H318" s="1">
        <v>205000</v>
      </c>
      <c r="I318" s="1">
        <v>199500</v>
      </c>
      <c r="J318" s="1">
        <v>192500</v>
      </c>
      <c r="K318" s="2">
        <v>42019</v>
      </c>
      <c r="L318" s="1">
        <v>61</v>
      </c>
      <c r="M318" s="2">
        <v>42079</v>
      </c>
      <c r="N318" s="1">
        <v>61</v>
      </c>
      <c r="O318" s="2">
        <v>42079</v>
      </c>
      <c r="P318" s="1">
        <v>22097</v>
      </c>
      <c r="Q318" s="1" t="s">
        <v>197</v>
      </c>
      <c r="R318" s="2">
        <v>42125</v>
      </c>
      <c r="S318" s="1">
        <v>222520</v>
      </c>
      <c r="U318" s="1">
        <v>2807</v>
      </c>
      <c r="V318" s="1" t="s">
        <v>4726</v>
      </c>
      <c r="W318" s="1" t="s">
        <v>304</v>
      </c>
      <c r="Y318" s="1">
        <v>1</v>
      </c>
      <c r="Z318" s="1" t="s">
        <v>370</v>
      </c>
      <c r="AA318" s="1" t="s">
        <v>1190</v>
      </c>
      <c r="AB318" s="1">
        <v>60154</v>
      </c>
      <c r="AD318" s="1" t="s">
        <v>4727</v>
      </c>
      <c r="AE318" s="1" t="s">
        <v>4728</v>
      </c>
      <c r="AF318" s="1">
        <v>1984</v>
      </c>
      <c r="AG318" s="1" t="s">
        <v>204</v>
      </c>
      <c r="AH318" s="1" t="s">
        <v>1193</v>
      </c>
      <c r="AI318" s="1" t="s">
        <v>310</v>
      </c>
      <c r="AJ318" s="1" t="s">
        <v>429</v>
      </c>
      <c r="AK318" s="1" t="s">
        <v>4729</v>
      </c>
      <c r="AL318" s="1">
        <v>5</v>
      </c>
      <c r="AM318" s="1">
        <v>2</v>
      </c>
      <c r="AN318" s="1">
        <v>1</v>
      </c>
      <c r="AO318" s="1">
        <v>1</v>
      </c>
      <c r="AP318" s="1" t="s">
        <v>210</v>
      </c>
      <c r="AQ318" s="1">
        <v>1</v>
      </c>
      <c r="AR318" s="1" t="s">
        <v>210</v>
      </c>
      <c r="AS318" s="1" t="s">
        <v>204</v>
      </c>
      <c r="AT318" s="1" t="s">
        <v>211</v>
      </c>
      <c r="AU318" s="1">
        <v>2</v>
      </c>
      <c r="AW318" s="1" t="s">
        <v>204</v>
      </c>
      <c r="AX318" s="1" t="s">
        <v>212</v>
      </c>
      <c r="AZ318" s="1">
        <v>4355.87</v>
      </c>
      <c r="BA318" s="1">
        <v>2013</v>
      </c>
      <c r="BB318" s="1" t="s">
        <v>405</v>
      </c>
      <c r="BE318" s="1">
        <v>0</v>
      </c>
      <c r="BF318" s="1">
        <v>1</v>
      </c>
      <c r="BG318" s="1">
        <v>0</v>
      </c>
      <c r="BL318" s="1">
        <v>150</v>
      </c>
      <c r="BM318" s="1" t="s">
        <v>204</v>
      </c>
      <c r="BN318" s="1" t="s">
        <v>213</v>
      </c>
      <c r="BO318" s="1">
        <v>99</v>
      </c>
      <c r="BP318" s="1" t="s">
        <v>204</v>
      </c>
      <c r="BR318" s="1" t="str">
        <f>"15293230050000"</f>
        <v>15293230050000</v>
      </c>
      <c r="BT318" s="1" t="s">
        <v>4730</v>
      </c>
      <c r="BU318" s="1" t="s">
        <v>1198</v>
      </c>
      <c r="BV318" s="1" t="s">
        <v>1196</v>
      </c>
      <c r="BW318" s="1" t="s">
        <v>1197</v>
      </c>
      <c r="BX318" s="1">
        <v>92.5</v>
      </c>
      <c r="BY318" s="1">
        <v>92.5</v>
      </c>
      <c r="BZ318" s="1">
        <v>209</v>
      </c>
      <c r="CB318" s="1" t="str">
        <f t="shared" ref="CB318:CC318" si="255">""</f>
        <v/>
      </c>
      <c r="CC318" s="1" t="str">
        <f t="shared" si="255"/>
        <v/>
      </c>
      <c r="CG318" s="1" t="s">
        <v>862</v>
      </c>
      <c r="CH318" s="1" t="s">
        <v>219</v>
      </c>
      <c r="CI318" s="1" t="s">
        <v>438</v>
      </c>
      <c r="CK318" s="1" t="s">
        <v>1533</v>
      </c>
      <c r="CL318" s="1" t="s">
        <v>277</v>
      </c>
      <c r="CM318" s="1" t="s">
        <v>220</v>
      </c>
      <c r="CO318" s="1" t="s">
        <v>2231</v>
      </c>
      <c r="CP318" s="1" t="s">
        <v>219</v>
      </c>
      <c r="CQ318" s="1" t="s">
        <v>438</v>
      </c>
      <c r="CS318" s="1" t="s">
        <v>3264</v>
      </c>
      <c r="CT318" s="1" t="s">
        <v>277</v>
      </c>
      <c r="CU318" s="1" t="s">
        <v>220</v>
      </c>
      <c r="CX318" s="1" t="s">
        <v>224</v>
      </c>
      <c r="DB318" s="1" t="s">
        <v>224</v>
      </c>
      <c r="DE318" s="1" t="s">
        <v>1534</v>
      </c>
      <c r="DF318" s="1" t="s">
        <v>219</v>
      </c>
      <c r="DG318" s="1" t="s">
        <v>438</v>
      </c>
      <c r="DJ318" s="1" t="s">
        <v>224</v>
      </c>
      <c r="DS318" s="1" t="s">
        <v>230</v>
      </c>
      <c r="DW318" s="1" t="s">
        <v>230</v>
      </c>
      <c r="EA318" s="1" t="s">
        <v>230</v>
      </c>
      <c r="EE318" s="1" t="s">
        <v>230</v>
      </c>
      <c r="EI318" s="1" t="s">
        <v>230</v>
      </c>
      <c r="EL318" s="1" t="s">
        <v>231</v>
      </c>
      <c r="EM318" s="1" t="s">
        <v>232</v>
      </c>
      <c r="EN318" s="1" t="s">
        <v>282</v>
      </c>
      <c r="EO318" s="1" t="s">
        <v>234</v>
      </c>
      <c r="EP318" s="1" t="s">
        <v>283</v>
      </c>
      <c r="EQ318" s="1" t="s">
        <v>468</v>
      </c>
      <c r="ER318" s="1" t="s">
        <v>210</v>
      </c>
      <c r="ES318" s="1" t="s">
        <v>3285</v>
      </c>
      <c r="EV318" s="1" t="s">
        <v>240</v>
      </c>
      <c r="EW318" s="1" t="s">
        <v>353</v>
      </c>
      <c r="EZ318" s="1" t="s">
        <v>287</v>
      </c>
      <c r="FD318" s="1" t="s">
        <v>246</v>
      </c>
      <c r="FE318" s="1" t="s">
        <v>2016</v>
      </c>
      <c r="FF318" s="1" t="s">
        <v>248</v>
      </c>
      <c r="FG318" s="1" t="s">
        <v>2406</v>
      </c>
      <c r="FH318" s="1" t="s">
        <v>550</v>
      </c>
      <c r="FL318" s="1" t="s">
        <v>358</v>
      </c>
      <c r="FM318" s="1" t="s">
        <v>252</v>
      </c>
      <c r="FN318" s="1" t="s">
        <v>213</v>
      </c>
      <c r="FO318" s="1" t="s">
        <v>213</v>
      </c>
      <c r="FQ318" s="1" t="s">
        <v>793</v>
      </c>
      <c r="FR318" s="1" t="s">
        <v>210</v>
      </c>
      <c r="FS318" s="1" t="s">
        <v>2624</v>
      </c>
      <c r="FT318" s="1" t="s">
        <v>295</v>
      </c>
      <c r="FU318" s="1" t="s">
        <v>204</v>
      </c>
      <c r="FW318" s="1" t="s">
        <v>915</v>
      </c>
      <c r="FX318" s="1">
        <v>22049</v>
      </c>
      <c r="FY318" s="1" t="s">
        <v>4731</v>
      </c>
      <c r="FZ318" s="1" t="s">
        <v>4732</v>
      </c>
      <c r="GA318" s="1">
        <v>224881</v>
      </c>
      <c r="GB318" s="1" t="s">
        <v>4733</v>
      </c>
      <c r="GD318" s="1" t="s">
        <v>4734</v>
      </c>
      <c r="GE318" s="1" t="s">
        <v>210</v>
      </c>
      <c r="GI318" s="1" t="s">
        <v>213</v>
      </c>
      <c r="GJ318" s="1" t="s">
        <v>260</v>
      </c>
      <c r="GK318" s="1" t="s">
        <v>210</v>
      </c>
      <c r="GL318" s="2">
        <v>42125</v>
      </c>
      <c r="GM318" s="1" t="s">
        <v>4735</v>
      </c>
    </row>
    <row r="319" spans="1:195">
      <c r="A319" s="1">
        <v>156000</v>
      </c>
      <c r="B319" s="1" t="s">
        <v>195</v>
      </c>
      <c r="C319" s="1" t="str">
        <f>"08789681"</f>
        <v>08789681</v>
      </c>
      <c r="D319" s="1" t="s">
        <v>196</v>
      </c>
      <c r="F319" s="1" t="str">
        <f>"31"</f>
        <v>31</v>
      </c>
      <c r="G319" s="2">
        <v>41963</v>
      </c>
      <c r="H319" s="1">
        <v>165000</v>
      </c>
      <c r="I319" s="1">
        <v>159900</v>
      </c>
      <c r="J319" s="1">
        <v>156000</v>
      </c>
      <c r="K319" s="2">
        <v>41963</v>
      </c>
      <c r="L319" s="1">
        <v>103</v>
      </c>
      <c r="M319" s="2">
        <v>42065</v>
      </c>
      <c r="N319" s="1">
        <v>103</v>
      </c>
      <c r="O319" s="2">
        <v>42065</v>
      </c>
      <c r="P319" s="1">
        <v>25211</v>
      </c>
      <c r="Q319" s="1" t="s">
        <v>197</v>
      </c>
      <c r="R319" s="2">
        <v>42104</v>
      </c>
      <c r="S319" s="1">
        <v>923304</v>
      </c>
      <c r="U319" s="1">
        <v>1542</v>
      </c>
      <c r="V319" s="1" t="s">
        <v>4736</v>
      </c>
      <c r="W319" s="1" t="s">
        <v>504</v>
      </c>
      <c r="Y319" s="1">
        <v>4</v>
      </c>
      <c r="Z319" s="1" t="s">
        <v>249</v>
      </c>
      <c r="AA319" s="1" t="s">
        <v>1057</v>
      </c>
      <c r="AB319" s="1">
        <v>60031</v>
      </c>
      <c r="AD319" s="1" t="s">
        <v>4737</v>
      </c>
      <c r="AE319" s="1" t="s">
        <v>4738</v>
      </c>
      <c r="AF319" s="1">
        <v>1994</v>
      </c>
      <c r="AG319" s="1" t="s">
        <v>204</v>
      </c>
      <c r="AH319" s="1" t="s">
        <v>1060</v>
      </c>
      <c r="AI319" s="1" t="s">
        <v>509</v>
      </c>
      <c r="AJ319" s="1" t="s">
        <v>1061</v>
      </c>
      <c r="AK319" s="1" t="s">
        <v>4739</v>
      </c>
      <c r="AL319" s="1">
        <v>5</v>
      </c>
      <c r="AM319" s="1">
        <v>2</v>
      </c>
      <c r="AN319" s="1">
        <v>1</v>
      </c>
      <c r="AO319" s="1">
        <v>1</v>
      </c>
      <c r="AP319" s="1" t="s">
        <v>455</v>
      </c>
      <c r="AR319" s="1" t="s">
        <v>210</v>
      </c>
      <c r="AT319" s="1" t="s">
        <v>211</v>
      </c>
      <c r="AU319" s="1">
        <v>2</v>
      </c>
      <c r="AW319" s="1" t="s">
        <v>204</v>
      </c>
      <c r="AX319" s="1" t="s">
        <v>4740</v>
      </c>
      <c r="AZ319" s="6">
        <v>3190</v>
      </c>
      <c r="BA319" s="1">
        <v>2013</v>
      </c>
      <c r="BB319" s="1" t="s">
        <v>405</v>
      </c>
      <c r="BE319" s="1">
        <v>1396</v>
      </c>
      <c r="BF319" s="1">
        <v>1</v>
      </c>
      <c r="BG319" s="1">
        <v>0</v>
      </c>
      <c r="BL319" s="1">
        <v>215</v>
      </c>
      <c r="BM319" s="1" t="s">
        <v>204</v>
      </c>
      <c r="BN319" s="1" t="s">
        <v>213</v>
      </c>
      <c r="BO319" s="1">
        <v>100</v>
      </c>
      <c r="BP319" s="1" t="s">
        <v>204</v>
      </c>
      <c r="BR319" s="1" t="str">
        <f>"07171110320000"</f>
        <v>07171110320000</v>
      </c>
      <c r="BT319" s="1" t="s">
        <v>4741</v>
      </c>
      <c r="BX319" s="1">
        <v>50</v>
      </c>
      <c r="BY319" s="1">
        <v>50</v>
      </c>
      <c r="BZ319" s="1">
        <v>121</v>
      </c>
      <c r="CB319" s="1" t="str">
        <f>"35"</f>
        <v>35</v>
      </c>
      <c r="CC319" s="1" t="str">
        <f>"0"</f>
        <v>0</v>
      </c>
      <c r="CD319" s="1">
        <v>17</v>
      </c>
      <c r="CE319" s="1">
        <v>0</v>
      </c>
      <c r="CG319" s="1" t="s">
        <v>862</v>
      </c>
      <c r="CH319" s="1" t="s">
        <v>219</v>
      </c>
      <c r="CI319" s="1" t="s">
        <v>229</v>
      </c>
      <c r="CJ319" s="1" t="s">
        <v>252</v>
      </c>
      <c r="CK319" s="1" t="s">
        <v>228</v>
      </c>
      <c r="CL319" s="1" t="s">
        <v>277</v>
      </c>
      <c r="CM319" s="1" t="s">
        <v>220</v>
      </c>
      <c r="CN319" s="1" t="s">
        <v>252</v>
      </c>
      <c r="CO319" s="1" t="s">
        <v>465</v>
      </c>
      <c r="CP319" s="1" t="s">
        <v>219</v>
      </c>
      <c r="CQ319" s="1" t="s">
        <v>229</v>
      </c>
      <c r="CR319" s="1" t="s">
        <v>210</v>
      </c>
      <c r="CS319" s="1" t="s">
        <v>317</v>
      </c>
      <c r="CT319" s="1" t="s">
        <v>277</v>
      </c>
      <c r="CU319" s="1" t="s">
        <v>220</v>
      </c>
      <c r="CV319" s="1" t="s">
        <v>252</v>
      </c>
      <c r="CX319" s="1" t="s">
        <v>224</v>
      </c>
      <c r="DB319" s="1" t="s">
        <v>224</v>
      </c>
      <c r="DE319" s="1" t="s">
        <v>379</v>
      </c>
      <c r="DF319" s="1" t="s">
        <v>219</v>
      </c>
      <c r="DG319" s="1" t="s">
        <v>229</v>
      </c>
      <c r="DH319" s="1" t="s">
        <v>210</v>
      </c>
      <c r="DJ319" s="1" t="s">
        <v>224</v>
      </c>
      <c r="DS319" s="1" t="s">
        <v>230</v>
      </c>
      <c r="DW319" s="1" t="s">
        <v>230</v>
      </c>
      <c r="EA319" s="1" t="s">
        <v>230</v>
      </c>
      <c r="EE319" s="1" t="s">
        <v>230</v>
      </c>
      <c r="EI319" s="1" t="s">
        <v>230</v>
      </c>
      <c r="EL319" s="1" t="s">
        <v>382</v>
      </c>
      <c r="EM319" s="1" t="s">
        <v>232</v>
      </c>
      <c r="EN319" s="1" t="s">
        <v>282</v>
      </c>
      <c r="EO319" s="1" t="s">
        <v>840</v>
      </c>
      <c r="EQ319" s="1" t="s">
        <v>4356</v>
      </c>
      <c r="ER319" s="1" t="s">
        <v>383</v>
      </c>
      <c r="ES319" s="1" t="s">
        <v>608</v>
      </c>
      <c r="ET319" s="1" t="s">
        <v>842</v>
      </c>
      <c r="EU319" s="1" t="s">
        <v>712</v>
      </c>
      <c r="EV319" s="1" t="s">
        <v>352</v>
      </c>
      <c r="EW319" s="1" t="s">
        <v>887</v>
      </c>
      <c r="EY319" s="1" t="s">
        <v>790</v>
      </c>
      <c r="EZ319" s="1" t="s">
        <v>287</v>
      </c>
      <c r="FA319" s="1" t="s">
        <v>4742</v>
      </c>
      <c r="FB319" s="1" t="s">
        <v>289</v>
      </c>
      <c r="FC319" s="1" t="s">
        <v>548</v>
      </c>
      <c r="FD319" s="1" t="s">
        <v>246</v>
      </c>
      <c r="FE319" s="1" t="s">
        <v>472</v>
      </c>
      <c r="FF319" s="1" t="s">
        <v>248</v>
      </c>
      <c r="FH319" s="1" t="s">
        <v>550</v>
      </c>
      <c r="FI319" s="1" t="s">
        <v>473</v>
      </c>
      <c r="FJ319" s="1" t="s">
        <v>197</v>
      </c>
      <c r="FL319" s="1" t="s">
        <v>358</v>
      </c>
      <c r="FM319" s="1" t="s">
        <v>252</v>
      </c>
      <c r="FN319" s="1" t="s">
        <v>213</v>
      </c>
      <c r="FO319" s="1" t="s">
        <v>213</v>
      </c>
      <c r="FQ319" s="1" t="s">
        <v>4743</v>
      </c>
      <c r="FR319" s="1" t="s">
        <v>210</v>
      </c>
      <c r="FS319" s="1" t="s">
        <v>4744</v>
      </c>
      <c r="FT319" s="1" t="s">
        <v>295</v>
      </c>
      <c r="FU319" s="1" t="s">
        <v>204</v>
      </c>
      <c r="FW319" s="1" t="s">
        <v>2006</v>
      </c>
      <c r="FX319" s="1">
        <v>25752</v>
      </c>
      <c r="FY319" s="1" t="s">
        <v>4745</v>
      </c>
      <c r="FZ319" s="1" t="s">
        <v>4746</v>
      </c>
      <c r="GA319" s="1">
        <v>16381</v>
      </c>
      <c r="GB319" s="1" t="s">
        <v>4747</v>
      </c>
      <c r="GD319" s="1" t="s">
        <v>4748</v>
      </c>
      <c r="GE319" s="1" t="s">
        <v>1120</v>
      </c>
      <c r="GI319" s="1" t="s">
        <v>213</v>
      </c>
      <c r="GJ319" s="1" t="s">
        <v>260</v>
      </c>
      <c r="GK319" s="1" t="s">
        <v>210</v>
      </c>
      <c r="GL319" s="2">
        <v>42104</v>
      </c>
      <c r="GM319" s="1" t="s">
        <v>4749</v>
      </c>
    </row>
    <row r="320" spans="1:195">
      <c r="A320" s="1">
        <v>90000</v>
      </c>
      <c r="B320" s="1" t="s">
        <v>195</v>
      </c>
      <c r="C320" s="1" t="str">
        <f>"08787742"</f>
        <v>08787742</v>
      </c>
      <c r="D320" s="1" t="s">
        <v>196</v>
      </c>
      <c r="F320" s="1" t="str">
        <f>"543"</f>
        <v>543</v>
      </c>
      <c r="G320" s="2">
        <v>41960</v>
      </c>
      <c r="H320" s="1">
        <v>104900</v>
      </c>
      <c r="I320" s="1">
        <v>95000</v>
      </c>
      <c r="J320" s="1">
        <v>90000</v>
      </c>
      <c r="K320" s="2">
        <v>41960</v>
      </c>
      <c r="L320" s="1">
        <v>111</v>
      </c>
      <c r="M320" s="2">
        <v>42070</v>
      </c>
      <c r="N320" s="1">
        <v>111</v>
      </c>
      <c r="O320" s="2">
        <v>42070</v>
      </c>
      <c r="P320" s="1">
        <v>30</v>
      </c>
      <c r="Q320" s="1" t="s">
        <v>197</v>
      </c>
      <c r="R320" s="2">
        <v>42125</v>
      </c>
      <c r="S320" s="1">
        <v>538</v>
      </c>
      <c r="U320" s="1">
        <v>604</v>
      </c>
      <c r="V320" s="1" t="s">
        <v>4750</v>
      </c>
      <c r="W320" s="1" t="s">
        <v>264</v>
      </c>
      <c r="X320" s="1" t="s">
        <v>4751</v>
      </c>
      <c r="Y320" s="1">
        <v>16</v>
      </c>
      <c r="Z320" s="1" t="s">
        <v>249</v>
      </c>
      <c r="AA320" s="1" t="s">
        <v>2639</v>
      </c>
      <c r="AB320" s="1">
        <v>60543</v>
      </c>
      <c r="AD320" s="1" t="s">
        <v>4752</v>
      </c>
      <c r="AE320" s="1" t="s">
        <v>4753</v>
      </c>
      <c r="AF320" s="1">
        <v>2007</v>
      </c>
      <c r="AG320" s="1" t="s">
        <v>204</v>
      </c>
      <c r="AH320" s="1" t="s">
        <v>1397</v>
      </c>
      <c r="AI320" s="1" t="s">
        <v>453</v>
      </c>
      <c r="AJ320" s="1" t="s">
        <v>454</v>
      </c>
      <c r="AL320" s="1">
        <v>5</v>
      </c>
      <c r="AM320" s="1">
        <v>2</v>
      </c>
      <c r="AN320" s="1">
        <v>2</v>
      </c>
      <c r="AO320" s="1">
        <v>0</v>
      </c>
      <c r="AP320" s="1" t="s">
        <v>209</v>
      </c>
      <c r="AQ320" s="1">
        <v>0</v>
      </c>
      <c r="AR320" s="1" t="s">
        <v>210</v>
      </c>
      <c r="AT320" s="1" t="s">
        <v>211</v>
      </c>
      <c r="AU320" s="1">
        <v>1</v>
      </c>
      <c r="AW320" s="1" t="s">
        <v>204</v>
      </c>
      <c r="AX320" s="1" t="s">
        <v>212</v>
      </c>
      <c r="AZ320" s="1">
        <v>3280</v>
      </c>
      <c r="BA320" s="1">
        <v>2013</v>
      </c>
      <c r="BB320" s="1" t="s">
        <v>405</v>
      </c>
      <c r="BE320" s="1">
        <v>1220</v>
      </c>
      <c r="BF320" s="1">
        <v>2</v>
      </c>
      <c r="BG320" s="1">
        <v>0</v>
      </c>
      <c r="BL320" s="1">
        <v>225</v>
      </c>
      <c r="BM320" s="1" t="s">
        <v>204</v>
      </c>
      <c r="BN320" s="1" t="s">
        <v>213</v>
      </c>
      <c r="BO320" s="1">
        <v>60</v>
      </c>
      <c r="BP320" s="1" t="s">
        <v>204</v>
      </c>
      <c r="BR320" s="1" t="str">
        <f>"0212350111"</f>
        <v>0212350111</v>
      </c>
      <c r="BT320" s="1" t="s">
        <v>4754</v>
      </c>
      <c r="BX320" s="1">
        <v>308</v>
      </c>
      <c r="BY320" s="1">
        <v>308</v>
      </c>
      <c r="BZ320" s="1">
        <v>308</v>
      </c>
      <c r="CB320" s="1" t="str">
        <f t="shared" ref="CB320:CC320" si="256">""</f>
        <v/>
      </c>
      <c r="CC320" s="1" t="str">
        <f t="shared" si="256"/>
        <v/>
      </c>
      <c r="CD320" s="1">
        <v>39</v>
      </c>
      <c r="CE320" s="1">
        <v>11</v>
      </c>
      <c r="CG320" s="1" t="s">
        <v>862</v>
      </c>
      <c r="CH320" s="1" t="s">
        <v>277</v>
      </c>
      <c r="CI320" s="1" t="s">
        <v>438</v>
      </c>
      <c r="CK320" s="1" t="s">
        <v>317</v>
      </c>
      <c r="CL320" s="1" t="s">
        <v>277</v>
      </c>
      <c r="CM320" s="1" t="s">
        <v>220</v>
      </c>
      <c r="CO320" s="1" t="s">
        <v>409</v>
      </c>
      <c r="CP320" s="1" t="s">
        <v>277</v>
      </c>
      <c r="CQ320" s="1" t="s">
        <v>438</v>
      </c>
      <c r="CS320" s="1" t="s">
        <v>602</v>
      </c>
      <c r="CT320" s="1" t="s">
        <v>277</v>
      </c>
      <c r="CU320" s="1" t="s">
        <v>220</v>
      </c>
      <c r="CX320" s="1" t="s">
        <v>224</v>
      </c>
      <c r="DB320" s="1" t="s">
        <v>224</v>
      </c>
      <c r="DE320" s="1" t="s">
        <v>951</v>
      </c>
      <c r="DF320" s="1" t="s">
        <v>277</v>
      </c>
      <c r="DG320" s="1" t="s">
        <v>438</v>
      </c>
      <c r="DJ320" s="1" t="s">
        <v>224</v>
      </c>
      <c r="DM320" s="1" t="s">
        <v>838</v>
      </c>
      <c r="DR320" s="1" t="s">
        <v>4213</v>
      </c>
      <c r="DS320" s="1" t="s">
        <v>277</v>
      </c>
      <c r="DW320" s="1" t="s">
        <v>230</v>
      </c>
      <c r="EA320" s="1" t="s">
        <v>230</v>
      </c>
      <c r="EE320" s="1" t="s">
        <v>230</v>
      </c>
      <c r="EI320" s="1" t="s">
        <v>230</v>
      </c>
      <c r="EL320" s="1" t="s">
        <v>491</v>
      </c>
      <c r="EM320" s="1" t="s">
        <v>319</v>
      </c>
      <c r="EN320" s="1" t="s">
        <v>282</v>
      </c>
      <c r="EO320" s="1" t="s">
        <v>234</v>
      </c>
      <c r="EP320" s="1" t="s">
        <v>4755</v>
      </c>
      <c r="EQ320" s="1" t="s">
        <v>236</v>
      </c>
      <c r="ER320" s="1" t="s">
        <v>210</v>
      </c>
      <c r="ES320" s="1" t="s">
        <v>545</v>
      </c>
      <c r="ET320" s="1" t="s">
        <v>323</v>
      </c>
      <c r="EU320" s="1" t="s">
        <v>239</v>
      </c>
      <c r="EV320" s="1" t="s">
        <v>324</v>
      </c>
      <c r="EW320" s="1" t="s">
        <v>3255</v>
      </c>
      <c r="EZ320" s="1" t="s">
        <v>838</v>
      </c>
      <c r="FB320" s="1" t="s">
        <v>289</v>
      </c>
      <c r="FD320" s="1" t="s">
        <v>246</v>
      </c>
      <c r="FE320" s="1" t="s">
        <v>975</v>
      </c>
      <c r="FF320" s="1" t="s">
        <v>248</v>
      </c>
      <c r="FH320" s="1" t="s">
        <v>249</v>
      </c>
      <c r="FI320" s="1" t="s">
        <v>473</v>
      </c>
      <c r="FJ320" s="1" t="s">
        <v>197</v>
      </c>
      <c r="FL320" s="1" t="s">
        <v>358</v>
      </c>
      <c r="FM320" s="1" t="s">
        <v>252</v>
      </c>
      <c r="FN320" s="1" t="s">
        <v>213</v>
      </c>
      <c r="FO320" s="1" t="s">
        <v>213</v>
      </c>
      <c r="FQ320" s="1" t="s">
        <v>4756</v>
      </c>
      <c r="FR320" s="1" t="s">
        <v>652</v>
      </c>
      <c r="FS320" s="1" t="s">
        <v>4757</v>
      </c>
      <c r="FT320" s="1" t="s">
        <v>691</v>
      </c>
      <c r="FU320" s="1" t="s">
        <v>204</v>
      </c>
      <c r="FW320" s="1" t="s">
        <v>676</v>
      </c>
      <c r="FX320" s="1">
        <v>30</v>
      </c>
      <c r="FY320" s="1" t="s">
        <v>677</v>
      </c>
      <c r="FZ320" s="1" t="s">
        <v>4758</v>
      </c>
      <c r="GA320" s="1">
        <v>1661</v>
      </c>
      <c r="GB320" s="1" t="s">
        <v>4759</v>
      </c>
      <c r="GE320" s="1" t="s">
        <v>658</v>
      </c>
      <c r="GI320" s="1" t="s">
        <v>213</v>
      </c>
      <c r="GJ320" s="1" t="s">
        <v>260</v>
      </c>
      <c r="GK320" s="1" t="s">
        <v>210</v>
      </c>
      <c r="GL320" s="2">
        <v>42128</v>
      </c>
      <c r="GM320" s="1" t="s">
        <v>4760</v>
      </c>
    </row>
    <row r="321" spans="1:195">
      <c r="A321" s="1">
        <v>25000</v>
      </c>
      <c r="B321" s="1" t="s">
        <v>195</v>
      </c>
      <c r="C321" s="1" t="str">
        <f>"08789230"</f>
        <v>08789230</v>
      </c>
      <c r="D321" s="1" t="s">
        <v>196</v>
      </c>
      <c r="F321" s="1" t="str">
        <f>"8049"</f>
        <v>8049</v>
      </c>
      <c r="G321" s="2">
        <v>41962</v>
      </c>
      <c r="H321" s="1">
        <v>26500</v>
      </c>
      <c r="I321" s="1">
        <v>26500</v>
      </c>
      <c r="J321" s="1">
        <v>25000</v>
      </c>
      <c r="K321" s="2">
        <v>41962</v>
      </c>
      <c r="L321" s="1">
        <v>41</v>
      </c>
      <c r="M321" s="2">
        <v>42002</v>
      </c>
      <c r="N321" s="1">
        <v>41</v>
      </c>
      <c r="O321" s="2">
        <v>42002</v>
      </c>
      <c r="P321" s="1">
        <v>13909</v>
      </c>
      <c r="Q321" s="1" t="s">
        <v>302</v>
      </c>
      <c r="R321" s="2">
        <v>42018</v>
      </c>
      <c r="S321" s="1">
        <v>126761</v>
      </c>
      <c r="U321" s="1">
        <v>255</v>
      </c>
      <c r="V321" s="1" t="s">
        <v>4761</v>
      </c>
      <c r="W321" s="1" t="s">
        <v>725</v>
      </c>
      <c r="X321" s="1">
        <v>1</v>
      </c>
      <c r="Y321" s="1">
        <v>2</v>
      </c>
      <c r="Z321" s="1" t="s">
        <v>200</v>
      </c>
      <c r="AA321" s="1" t="s">
        <v>400</v>
      </c>
      <c r="AB321" s="1">
        <v>60619</v>
      </c>
      <c r="AE321" s="1" t="s">
        <v>4762</v>
      </c>
      <c r="AF321" s="1">
        <v>1945</v>
      </c>
      <c r="AG321" s="1" t="s">
        <v>213</v>
      </c>
      <c r="AH321" s="1" t="s">
        <v>403</v>
      </c>
      <c r="AI321" s="1" t="s">
        <v>310</v>
      </c>
      <c r="AJ321" s="1" t="s">
        <v>562</v>
      </c>
      <c r="AL321" s="1">
        <v>5</v>
      </c>
      <c r="AM321" s="1">
        <v>2</v>
      </c>
      <c r="AN321" s="1">
        <v>1</v>
      </c>
      <c r="AO321" s="1">
        <v>1</v>
      </c>
      <c r="AP321" s="1" t="s">
        <v>210</v>
      </c>
      <c r="AR321" s="1" t="s">
        <v>210</v>
      </c>
      <c r="AS321" s="1" t="s">
        <v>204</v>
      </c>
      <c r="AT321" s="1" t="s">
        <v>211</v>
      </c>
      <c r="AU321" s="1">
        <v>1</v>
      </c>
      <c r="AW321" s="1" t="s">
        <v>204</v>
      </c>
      <c r="AX321" s="1">
        <v>4207</v>
      </c>
      <c r="AZ321" s="1">
        <v>1510</v>
      </c>
      <c r="BA321" s="1">
        <v>2013</v>
      </c>
      <c r="BB321" s="1" t="s">
        <v>405</v>
      </c>
      <c r="BE321" s="1">
        <v>1094</v>
      </c>
      <c r="BF321" s="1">
        <v>1</v>
      </c>
      <c r="BG321" s="1">
        <v>0</v>
      </c>
      <c r="BL321" s="1">
        <v>0</v>
      </c>
      <c r="BM321" s="1" t="s">
        <v>204</v>
      </c>
      <c r="BN321" s="1" t="s">
        <v>213</v>
      </c>
      <c r="BO321" s="1">
        <v>99</v>
      </c>
      <c r="BP321" s="1" t="s">
        <v>204</v>
      </c>
      <c r="BR321" s="1" t="str">
        <f>"25033110390000"</f>
        <v>25033110390000</v>
      </c>
      <c r="BT321" s="1" t="s">
        <v>4763</v>
      </c>
      <c r="BX321" s="1">
        <v>299</v>
      </c>
      <c r="BY321" s="1">
        <v>299</v>
      </c>
      <c r="BZ321" s="1">
        <v>299</v>
      </c>
      <c r="CB321" s="1" t="str">
        <f>"0"</f>
        <v>0</v>
      </c>
      <c r="CC321" s="1" t="str">
        <f>"200"</f>
        <v>200</v>
      </c>
      <c r="CD321" s="1">
        <v>0</v>
      </c>
      <c r="CE321" s="1">
        <v>9200</v>
      </c>
      <c r="CG321" s="1" t="s">
        <v>1788</v>
      </c>
      <c r="CH321" s="1" t="s">
        <v>219</v>
      </c>
      <c r="CI321" s="1" t="s">
        <v>220</v>
      </c>
      <c r="CK321" s="1" t="s">
        <v>379</v>
      </c>
      <c r="CL321" s="1" t="s">
        <v>277</v>
      </c>
      <c r="CO321" s="1" t="s">
        <v>379</v>
      </c>
      <c r="CP321" s="1" t="s">
        <v>219</v>
      </c>
      <c r="CQ321" s="1" t="s">
        <v>220</v>
      </c>
      <c r="CS321" s="1" t="s">
        <v>379</v>
      </c>
      <c r="CT321" s="1" t="s">
        <v>277</v>
      </c>
      <c r="CX321" s="1" t="s">
        <v>224</v>
      </c>
      <c r="DB321" s="1" t="s">
        <v>224</v>
      </c>
      <c r="DE321" s="1" t="s">
        <v>409</v>
      </c>
      <c r="DF321" s="1" t="s">
        <v>219</v>
      </c>
      <c r="DJ321" s="1" t="s">
        <v>224</v>
      </c>
      <c r="DS321" s="1" t="s">
        <v>230</v>
      </c>
      <c r="DW321" s="1" t="s">
        <v>230</v>
      </c>
      <c r="EA321" s="1" t="s">
        <v>230</v>
      </c>
      <c r="EE321" s="1" t="s">
        <v>230</v>
      </c>
      <c r="EI321" s="1" t="s">
        <v>230</v>
      </c>
      <c r="EL321" s="1" t="s">
        <v>3717</v>
      </c>
      <c r="EM321" s="1" t="s">
        <v>319</v>
      </c>
      <c r="EN321" s="1" t="s">
        <v>4764</v>
      </c>
      <c r="EO321" s="1" t="s">
        <v>234</v>
      </c>
      <c r="ER321" s="1" t="s">
        <v>210</v>
      </c>
      <c r="EW321" s="1" t="s">
        <v>210</v>
      </c>
      <c r="EZ321" s="1" t="s">
        <v>287</v>
      </c>
      <c r="FD321" s="1" t="s">
        <v>246</v>
      </c>
      <c r="FE321" s="1" t="s">
        <v>247</v>
      </c>
      <c r="FF321" s="1" t="s">
        <v>248</v>
      </c>
      <c r="FH321" s="1" t="s">
        <v>550</v>
      </c>
      <c r="FL321" s="1" t="s">
        <v>414</v>
      </c>
      <c r="FM321" s="1" t="s">
        <v>252</v>
      </c>
      <c r="FN321" s="1" t="s">
        <v>213</v>
      </c>
      <c r="FO321" s="1" t="s">
        <v>213</v>
      </c>
      <c r="FQ321" s="1" t="s">
        <v>4765</v>
      </c>
      <c r="FR321" s="1" t="s">
        <v>210</v>
      </c>
      <c r="FS321" s="1" t="s">
        <v>4766</v>
      </c>
      <c r="FT321" s="1" t="s">
        <v>1828</v>
      </c>
      <c r="FU321" s="1" t="s">
        <v>204</v>
      </c>
      <c r="FW321" s="1" t="s">
        <v>4767</v>
      </c>
      <c r="FX321" s="1">
        <v>16165</v>
      </c>
      <c r="FY321" s="1" t="s">
        <v>4768</v>
      </c>
      <c r="FZ321" s="1" t="s">
        <v>4769</v>
      </c>
      <c r="GA321" s="1">
        <v>171061</v>
      </c>
      <c r="GE321" s="1" t="s">
        <v>210</v>
      </c>
      <c r="GH321" s="1" t="s">
        <v>800</v>
      </c>
      <c r="GI321" s="1" t="s">
        <v>204</v>
      </c>
      <c r="GJ321" s="1" t="s">
        <v>260</v>
      </c>
      <c r="GK321" s="1" t="s">
        <v>210</v>
      </c>
      <c r="GL321" s="2">
        <v>42018</v>
      </c>
      <c r="GM321" s="1" t="s">
        <v>4770</v>
      </c>
    </row>
    <row r="322" spans="1:195">
      <c r="A322" s="1">
        <v>289990</v>
      </c>
      <c r="B322" s="1" t="s">
        <v>195</v>
      </c>
      <c r="C322" s="1" t="str">
        <f>"08787763"</f>
        <v>08787763</v>
      </c>
      <c r="D322" s="1" t="s">
        <v>196</v>
      </c>
      <c r="F322" s="1" t="str">
        <f>"188"</f>
        <v>188</v>
      </c>
      <c r="G322" s="2">
        <v>41960</v>
      </c>
      <c r="H322" s="1">
        <v>299990</v>
      </c>
      <c r="I322" s="1">
        <v>289990</v>
      </c>
      <c r="J322" s="1">
        <v>289990</v>
      </c>
      <c r="K322" s="2">
        <v>41960</v>
      </c>
      <c r="L322" s="1">
        <v>141</v>
      </c>
      <c r="M322" s="2">
        <v>42100</v>
      </c>
      <c r="N322" s="1">
        <v>141</v>
      </c>
      <c r="O322" s="2">
        <v>42100</v>
      </c>
      <c r="P322" s="1" t="s">
        <v>1039</v>
      </c>
      <c r="Q322" s="1" t="s">
        <v>197</v>
      </c>
      <c r="R322" s="2">
        <v>42150</v>
      </c>
      <c r="S322" s="1">
        <v>99999</v>
      </c>
      <c r="U322" s="1">
        <v>283</v>
      </c>
      <c r="V322" s="1" t="s">
        <v>4771</v>
      </c>
      <c r="W322" s="1" t="s">
        <v>264</v>
      </c>
      <c r="Y322" s="1">
        <v>5</v>
      </c>
      <c r="Z322" s="1" t="s">
        <v>370</v>
      </c>
      <c r="AA322" s="1" t="s">
        <v>1084</v>
      </c>
      <c r="AB322" s="1">
        <v>60188</v>
      </c>
      <c r="AD322" s="1" t="s">
        <v>4772</v>
      </c>
      <c r="AE322" s="1" t="s">
        <v>4773</v>
      </c>
      <c r="AF322" s="1">
        <v>2014</v>
      </c>
      <c r="AG322" s="1" t="s">
        <v>204</v>
      </c>
      <c r="AH322" s="1" t="s">
        <v>1087</v>
      </c>
      <c r="AI322" s="1" t="s">
        <v>206</v>
      </c>
      <c r="AJ322" s="1" t="s">
        <v>269</v>
      </c>
      <c r="AK322" s="1" t="s">
        <v>4774</v>
      </c>
      <c r="AL322" s="1">
        <v>6</v>
      </c>
      <c r="AM322" s="1">
        <v>2</v>
      </c>
      <c r="AN322" s="1">
        <v>2</v>
      </c>
      <c r="AO322" s="1">
        <v>1</v>
      </c>
      <c r="AP322" s="1" t="s">
        <v>209</v>
      </c>
      <c r="AR322" s="1" t="s">
        <v>210</v>
      </c>
      <c r="AS322" s="1" t="s">
        <v>204</v>
      </c>
      <c r="AT322" s="1" t="s">
        <v>211</v>
      </c>
      <c r="AU322" s="1">
        <v>2</v>
      </c>
      <c r="AW322" s="1" t="s">
        <v>204</v>
      </c>
      <c r="AX322" s="1" t="s">
        <v>212</v>
      </c>
      <c r="AZ322" s="1" t="s">
        <v>751</v>
      </c>
      <c r="BA322" s="1">
        <v>2013</v>
      </c>
      <c r="BE322" s="1">
        <v>2379</v>
      </c>
      <c r="BF322" s="1">
        <v>3</v>
      </c>
      <c r="BG322" s="1">
        <v>0</v>
      </c>
      <c r="BL322" s="1">
        <v>133</v>
      </c>
      <c r="BM322" s="1" t="s">
        <v>204</v>
      </c>
      <c r="BN322" s="1" t="s">
        <v>213</v>
      </c>
      <c r="BO322" s="1">
        <v>0</v>
      </c>
      <c r="BP322" s="1" t="s">
        <v>213</v>
      </c>
      <c r="BQ322" s="2">
        <v>42039</v>
      </c>
      <c r="BR322" s="1" t="str">
        <f>"0232307084"</f>
        <v>0232307084</v>
      </c>
      <c r="BT322" s="1" t="s">
        <v>4775</v>
      </c>
      <c r="BU322" s="1" t="s">
        <v>4776</v>
      </c>
      <c r="BV322" s="1" t="s">
        <v>1502</v>
      </c>
      <c r="BW322" s="1" t="s">
        <v>1092</v>
      </c>
      <c r="BX322" s="1">
        <v>93</v>
      </c>
      <c r="BY322" s="1">
        <v>93</v>
      </c>
      <c r="BZ322" s="1">
        <v>87</v>
      </c>
      <c r="CB322" s="1" t="str">
        <f>"2"</f>
        <v>2</v>
      </c>
      <c r="CC322" s="1" t="str">
        <f t="shared" ref="CC322:CC323" si="257">"0"</f>
        <v>0</v>
      </c>
      <c r="CD322" s="1">
        <v>25</v>
      </c>
      <c r="CE322" s="1">
        <v>0</v>
      </c>
      <c r="CG322" s="1" t="s">
        <v>437</v>
      </c>
      <c r="CH322" s="1" t="s">
        <v>219</v>
      </c>
      <c r="CI322" s="1" t="s">
        <v>438</v>
      </c>
      <c r="CK322" s="1" t="s">
        <v>669</v>
      </c>
      <c r="CL322" s="1" t="s">
        <v>277</v>
      </c>
      <c r="CM322" s="1" t="s">
        <v>220</v>
      </c>
      <c r="CP322" s="1" t="s">
        <v>224</v>
      </c>
      <c r="CS322" s="1" t="s">
        <v>346</v>
      </c>
      <c r="CT322" s="1" t="s">
        <v>277</v>
      </c>
      <c r="CU322" s="1" t="s">
        <v>220</v>
      </c>
      <c r="CX322" s="1" t="s">
        <v>224</v>
      </c>
      <c r="DB322" s="1" t="s">
        <v>224</v>
      </c>
      <c r="DE322" s="1" t="s">
        <v>317</v>
      </c>
      <c r="DF322" s="1" t="s">
        <v>219</v>
      </c>
      <c r="DG322" s="1" t="s">
        <v>438</v>
      </c>
      <c r="DJ322" s="1" t="s">
        <v>224</v>
      </c>
      <c r="DM322" s="1" t="s">
        <v>464</v>
      </c>
      <c r="DN322" s="1" t="s">
        <v>1676</v>
      </c>
      <c r="DR322" s="1" t="s">
        <v>1046</v>
      </c>
      <c r="DS322" s="1" t="s">
        <v>277</v>
      </c>
      <c r="DT322" s="1" t="s">
        <v>220</v>
      </c>
      <c r="DV322" s="1" t="s">
        <v>461</v>
      </c>
      <c r="DW322" s="1" t="s">
        <v>219</v>
      </c>
      <c r="DX322" s="1" t="s">
        <v>438</v>
      </c>
      <c r="EA322" s="1" t="s">
        <v>230</v>
      </c>
      <c r="EE322" s="1" t="s">
        <v>230</v>
      </c>
      <c r="EI322" s="1" t="s">
        <v>230</v>
      </c>
      <c r="EL322" s="1" t="s">
        <v>1455</v>
      </c>
      <c r="EM322" s="1" t="s">
        <v>319</v>
      </c>
      <c r="EN322" s="1" t="s">
        <v>282</v>
      </c>
      <c r="EO322" s="1" t="s">
        <v>234</v>
      </c>
      <c r="EQ322" s="1" t="s">
        <v>3849</v>
      </c>
      <c r="ER322" s="1" t="s">
        <v>210</v>
      </c>
      <c r="ES322" s="1" t="s">
        <v>322</v>
      </c>
      <c r="ET322" s="1" t="s">
        <v>866</v>
      </c>
      <c r="EV322" s="1" t="s">
        <v>324</v>
      </c>
      <c r="EW322" s="1" t="s">
        <v>867</v>
      </c>
      <c r="EY322" s="1" t="s">
        <v>242</v>
      </c>
      <c r="EZ322" s="1" t="s">
        <v>1680</v>
      </c>
      <c r="FA322" s="1" t="s">
        <v>1270</v>
      </c>
      <c r="FD322" s="1" t="s">
        <v>246</v>
      </c>
      <c r="FE322" s="1" t="s">
        <v>975</v>
      </c>
      <c r="FF322" s="1" t="s">
        <v>248</v>
      </c>
      <c r="FH322" s="1" t="s">
        <v>1428</v>
      </c>
      <c r="FJ322" s="1" t="s">
        <v>518</v>
      </c>
      <c r="FL322" s="1" t="s">
        <v>358</v>
      </c>
      <c r="FM322" s="1" t="s">
        <v>252</v>
      </c>
      <c r="FN322" s="1" t="s">
        <v>213</v>
      </c>
      <c r="FO322" s="1" t="s">
        <v>213</v>
      </c>
      <c r="FQ322" s="1" t="s">
        <v>3853</v>
      </c>
      <c r="FR322" s="1" t="s">
        <v>210</v>
      </c>
      <c r="FS322" s="1" t="s">
        <v>4777</v>
      </c>
      <c r="FT322" s="1" t="s">
        <v>4778</v>
      </c>
      <c r="FU322" s="1" t="s">
        <v>204</v>
      </c>
      <c r="FV322" s="1" t="s">
        <v>4779</v>
      </c>
      <c r="FW322" s="1" t="s">
        <v>3857</v>
      </c>
      <c r="FX322" s="1">
        <v>23223</v>
      </c>
      <c r="FY322" s="1" t="s">
        <v>3858</v>
      </c>
      <c r="FZ322" s="1" t="s">
        <v>3859</v>
      </c>
      <c r="GA322" s="1">
        <v>236300</v>
      </c>
      <c r="GC322" s="1">
        <v>210778</v>
      </c>
      <c r="GE322" s="1" t="s">
        <v>335</v>
      </c>
      <c r="GI322" s="1" t="s">
        <v>204</v>
      </c>
      <c r="GJ322" s="1" t="s">
        <v>300</v>
      </c>
      <c r="GK322" s="1" t="s">
        <v>210</v>
      </c>
      <c r="GL322" s="2">
        <v>42150</v>
      </c>
      <c r="GM322" s="1" t="s">
        <v>4780</v>
      </c>
    </row>
    <row r="323" spans="1:195">
      <c r="A323" s="1">
        <v>98000</v>
      </c>
      <c r="B323" s="1" t="s">
        <v>195</v>
      </c>
      <c r="C323" s="1" t="str">
        <f>"08773860"</f>
        <v>08773860</v>
      </c>
      <c r="D323" s="1" t="s">
        <v>196</v>
      </c>
      <c r="F323" s="1" t="str">
        <f>"73"</f>
        <v>73</v>
      </c>
      <c r="G323" s="2">
        <v>41954</v>
      </c>
      <c r="H323" s="1">
        <v>114900</v>
      </c>
      <c r="I323" s="1">
        <v>114900</v>
      </c>
      <c r="J323" s="1">
        <v>98000</v>
      </c>
      <c r="K323" s="2">
        <v>41953</v>
      </c>
      <c r="L323" s="1">
        <v>277</v>
      </c>
      <c r="M323" s="2">
        <v>42087</v>
      </c>
      <c r="N323" s="1">
        <v>135</v>
      </c>
      <c r="O323" s="2">
        <v>42087</v>
      </c>
      <c r="P323" s="1">
        <v>2626</v>
      </c>
      <c r="Q323" s="1" t="s">
        <v>197</v>
      </c>
      <c r="R323" s="2">
        <v>42132</v>
      </c>
      <c r="S323" s="1">
        <v>18004</v>
      </c>
      <c r="U323" s="1">
        <v>139</v>
      </c>
      <c r="V323" s="1" t="s">
        <v>4781</v>
      </c>
      <c r="W323" s="1" t="s">
        <v>504</v>
      </c>
      <c r="Y323" s="1">
        <v>2</v>
      </c>
      <c r="Z323" s="1" t="s">
        <v>370</v>
      </c>
      <c r="AA323" s="1" t="s">
        <v>1259</v>
      </c>
      <c r="AB323" s="1">
        <v>60073</v>
      </c>
      <c r="AD323" s="1" t="s">
        <v>4782</v>
      </c>
      <c r="AE323" s="1" t="s">
        <v>4783</v>
      </c>
      <c r="AF323" s="1">
        <v>2005</v>
      </c>
      <c r="AG323" s="1" t="s">
        <v>204</v>
      </c>
      <c r="AH323" s="1" t="s">
        <v>1262</v>
      </c>
      <c r="AI323" s="1" t="s">
        <v>509</v>
      </c>
      <c r="AJ323" s="1" t="s">
        <v>1263</v>
      </c>
      <c r="AK323" s="1" t="s">
        <v>1088</v>
      </c>
      <c r="AL323" s="1">
        <v>5</v>
      </c>
      <c r="AM323" s="1">
        <v>2</v>
      </c>
      <c r="AN323" s="1">
        <v>1</v>
      </c>
      <c r="AO323" s="1">
        <v>0</v>
      </c>
      <c r="AP323" s="1" t="s">
        <v>209</v>
      </c>
      <c r="AR323" s="1" t="s">
        <v>210</v>
      </c>
      <c r="AS323" s="1" t="s">
        <v>204</v>
      </c>
      <c r="AT323" s="1" t="s">
        <v>211</v>
      </c>
      <c r="AU323" s="1">
        <v>2</v>
      </c>
      <c r="AW323" s="1" t="s">
        <v>204</v>
      </c>
      <c r="AX323" s="1" t="s">
        <v>212</v>
      </c>
      <c r="AZ323" s="1">
        <v>3684.92</v>
      </c>
      <c r="BA323" s="1">
        <v>2013</v>
      </c>
      <c r="BB323" s="1" t="s">
        <v>599</v>
      </c>
      <c r="BE323" s="1">
        <v>1204</v>
      </c>
      <c r="BF323" s="1">
        <v>1</v>
      </c>
      <c r="BG323" s="1">
        <v>0</v>
      </c>
      <c r="BL323" s="1">
        <v>137</v>
      </c>
      <c r="BM323" s="1" t="s">
        <v>204</v>
      </c>
      <c r="BN323" s="1" t="s">
        <v>213</v>
      </c>
      <c r="BO323" s="1">
        <v>0</v>
      </c>
      <c r="BP323" s="1" t="s">
        <v>204</v>
      </c>
      <c r="BR323" s="1" t="str">
        <f>"06322111220000"</f>
        <v>06322111220000</v>
      </c>
      <c r="BT323" s="1" t="s">
        <v>4784</v>
      </c>
      <c r="BX323" s="1">
        <v>46</v>
      </c>
      <c r="BY323" s="1">
        <v>46</v>
      </c>
      <c r="BZ323" s="1">
        <v>127</v>
      </c>
      <c r="CB323" s="1" t="str">
        <f>"32"</f>
        <v>32</v>
      </c>
      <c r="CC323" s="1" t="str">
        <f t="shared" si="257"/>
        <v>0</v>
      </c>
      <c r="CD323" s="1">
        <v>23</v>
      </c>
      <c r="CE323" s="1">
        <v>0</v>
      </c>
      <c r="CG323" s="1" t="s">
        <v>515</v>
      </c>
      <c r="CH323" s="1" t="s">
        <v>219</v>
      </c>
      <c r="CI323" s="1" t="s">
        <v>220</v>
      </c>
      <c r="CK323" s="1" t="s">
        <v>315</v>
      </c>
      <c r="CL323" s="1" t="s">
        <v>219</v>
      </c>
      <c r="CM323" s="1" t="s">
        <v>220</v>
      </c>
      <c r="CO323" s="1" t="s">
        <v>409</v>
      </c>
      <c r="CP323" s="1" t="s">
        <v>219</v>
      </c>
      <c r="CQ323" s="1" t="s">
        <v>342</v>
      </c>
      <c r="CS323" s="1" t="s">
        <v>318</v>
      </c>
      <c r="CT323" s="1" t="s">
        <v>219</v>
      </c>
      <c r="CU323" s="1" t="s">
        <v>220</v>
      </c>
      <c r="CX323" s="1" t="s">
        <v>224</v>
      </c>
      <c r="DB323" s="1" t="s">
        <v>224</v>
      </c>
      <c r="DE323" s="1" t="s">
        <v>318</v>
      </c>
      <c r="DF323" s="1" t="s">
        <v>219</v>
      </c>
      <c r="DG323" s="1" t="s">
        <v>342</v>
      </c>
      <c r="DJ323" s="1" t="s">
        <v>224</v>
      </c>
      <c r="DS323" s="1" t="s">
        <v>230</v>
      </c>
      <c r="DW323" s="1" t="s">
        <v>230</v>
      </c>
      <c r="EA323" s="1" t="s">
        <v>230</v>
      </c>
      <c r="EE323" s="1" t="s">
        <v>230</v>
      </c>
      <c r="EI323" s="1" t="s">
        <v>230</v>
      </c>
      <c r="EL323" s="1" t="s">
        <v>491</v>
      </c>
      <c r="EM323" s="1" t="s">
        <v>319</v>
      </c>
      <c r="EN323" s="1" t="s">
        <v>282</v>
      </c>
      <c r="EO323" s="1" t="s">
        <v>234</v>
      </c>
      <c r="EP323" s="1" t="s">
        <v>936</v>
      </c>
      <c r="EQ323" s="1" t="s">
        <v>468</v>
      </c>
      <c r="ER323" s="1" t="s">
        <v>383</v>
      </c>
      <c r="ES323" s="1" t="s">
        <v>322</v>
      </c>
      <c r="EU323" s="1" t="s">
        <v>1517</v>
      </c>
      <c r="EW323" s="1" t="s">
        <v>353</v>
      </c>
      <c r="EY323" s="1" t="s">
        <v>242</v>
      </c>
      <c r="EZ323" s="1" t="s">
        <v>287</v>
      </c>
      <c r="FB323" s="1" t="s">
        <v>289</v>
      </c>
      <c r="FD323" s="1" t="s">
        <v>246</v>
      </c>
      <c r="FE323" s="1" t="s">
        <v>472</v>
      </c>
      <c r="FF323" s="1" t="s">
        <v>248</v>
      </c>
      <c r="FH323" s="1" t="s">
        <v>4785</v>
      </c>
      <c r="FI323" s="1" t="s">
        <v>473</v>
      </c>
      <c r="FJ323" s="1" t="s">
        <v>197</v>
      </c>
      <c r="FL323" s="1" t="s">
        <v>4786</v>
      </c>
      <c r="FM323" s="1" t="s">
        <v>252</v>
      </c>
      <c r="FN323" s="1" t="s">
        <v>213</v>
      </c>
      <c r="FO323" s="1" t="s">
        <v>213</v>
      </c>
      <c r="FQ323" s="1" t="s">
        <v>2512</v>
      </c>
      <c r="FR323" s="1" t="s">
        <v>210</v>
      </c>
      <c r="FS323" s="1" t="s">
        <v>4787</v>
      </c>
      <c r="FT323" s="1" t="s">
        <v>1139</v>
      </c>
      <c r="FU323" s="1" t="s">
        <v>204</v>
      </c>
      <c r="FW323" s="1" t="s">
        <v>1275</v>
      </c>
      <c r="FX323" s="1">
        <v>2411</v>
      </c>
      <c r="FY323" s="1" t="s">
        <v>1276</v>
      </c>
      <c r="FZ323" s="1" t="s">
        <v>4788</v>
      </c>
      <c r="GA323" s="1">
        <v>15497</v>
      </c>
      <c r="GB323" s="1" t="s">
        <v>4789</v>
      </c>
      <c r="GE323" s="1" t="s">
        <v>480</v>
      </c>
      <c r="GI323" s="1" t="s">
        <v>213</v>
      </c>
      <c r="GJ323" s="1" t="s">
        <v>260</v>
      </c>
      <c r="GK323" s="1" t="s">
        <v>210</v>
      </c>
      <c r="GL323" s="2">
        <v>42133</v>
      </c>
    </row>
    <row r="324" spans="1:195">
      <c r="A324" s="1">
        <v>100000</v>
      </c>
      <c r="B324" s="1" t="s">
        <v>195</v>
      </c>
      <c r="C324" s="1" t="str">
        <f>"08789939"</f>
        <v>08789939</v>
      </c>
      <c r="D324" s="1" t="s">
        <v>196</v>
      </c>
      <c r="F324" s="1" t="str">
        <f>"31"</f>
        <v>31</v>
      </c>
      <c r="G324" s="2">
        <v>41963</v>
      </c>
      <c r="H324" s="1">
        <v>104900</v>
      </c>
      <c r="I324" s="1">
        <v>104900</v>
      </c>
      <c r="J324" s="1">
        <v>100000</v>
      </c>
      <c r="K324" s="2">
        <v>41962</v>
      </c>
      <c r="L324" s="1">
        <v>29</v>
      </c>
      <c r="M324" s="2">
        <v>41990</v>
      </c>
      <c r="N324" s="1">
        <v>29</v>
      </c>
      <c r="O324" s="2">
        <v>41990</v>
      </c>
      <c r="P324" s="1">
        <v>16379</v>
      </c>
      <c r="Q324" s="1" t="s">
        <v>197</v>
      </c>
      <c r="R324" s="2">
        <v>42061</v>
      </c>
      <c r="S324" s="1">
        <v>171581</v>
      </c>
      <c r="U324" s="1">
        <v>739</v>
      </c>
      <c r="V324" s="1" t="s">
        <v>4790</v>
      </c>
      <c r="W324" s="1" t="s">
        <v>304</v>
      </c>
      <c r="Y324" s="1">
        <v>3</v>
      </c>
      <c r="Z324" s="1" t="s">
        <v>249</v>
      </c>
      <c r="AA324" s="1" t="s">
        <v>1057</v>
      </c>
      <c r="AB324" s="1">
        <v>60031</v>
      </c>
      <c r="AD324" s="1" t="s">
        <v>1058</v>
      </c>
      <c r="AE324" s="1" t="s">
        <v>4791</v>
      </c>
      <c r="AF324" s="1">
        <v>1976</v>
      </c>
      <c r="AG324" s="1" t="s">
        <v>213</v>
      </c>
      <c r="AH324" s="1" t="s">
        <v>1060</v>
      </c>
      <c r="AI324" s="1" t="s">
        <v>509</v>
      </c>
      <c r="AJ324" s="1" t="s">
        <v>1061</v>
      </c>
      <c r="AK324" s="1" t="s">
        <v>4792</v>
      </c>
      <c r="AL324" s="1">
        <v>6</v>
      </c>
      <c r="AM324" s="1">
        <v>2</v>
      </c>
      <c r="AN324" s="1">
        <v>2</v>
      </c>
      <c r="AO324" s="1">
        <v>0</v>
      </c>
      <c r="AP324" s="1" t="s">
        <v>209</v>
      </c>
      <c r="AQ324" s="1">
        <v>1</v>
      </c>
      <c r="AR324" s="1" t="s">
        <v>210</v>
      </c>
      <c r="AT324" s="1" t="s">
        <v>211</v>
      </c>
      <c r="AU324" s="1">
        <v>1</v>
      </c>
      <c r="AW324" s="1" t="s">
        <v>204</v>
      </c>
      <c r="AX324" s="1" t="s">
        <v>4793</v>
      </c>
      <c r="AZ324" s="1">
        <v>2098.81</v>
      </c>
      <c r="BA324" s="1">
        <v>2013</v>
      </c>
      <c r="BE324" s="1">
        <v>1383</v>
      </c>
      <c r="BF324" s="1">
        <v>1</v>
      </c>
      <c r="BG324" s="1">
        <v>0</v>
      </c>
      <c r="BL324" s="1">
        <v>383</v>
      </c>
      <c r="BM324" s="1" t="s">
        <v>204</v>
      </c>
      <c r="BN324" s="1" t="s">
        <v>213</v>
      </c>
      <c r="BO324" s="1">
        <v>999</v>
      </c>
      <c r="BP324" s="1" t="s">
        <v>204</v>
      </c>
      <c r="BR324" s="1" t="str">
        <f>"07284020230000"</f>
        <v>07284020230000</v>
      </c>
      <c r="BT324" s="1" t="s">
        <v>4794</v>
      </c>
      <c r="BU324" s="1" t="s">
        <v>1064</v>
      </c>
      <c r="BV324" s="1" t="s">
        <v>1065</v>
      </c>
      <c r="BW324" s="1" t="s">
        <v>1066</v>
      </c>
      <c r="BX324" s="1">
        <v>50</v>
      </c>
      <c r="BY324" s="1">
        <v>50</v>
      </c>
      <c r="BZ324" s="1">
        <v>121</v>
      </c>
      <c r="CB324" s="1" t="str">
        <f>"16"</f>
        <v>16</v>
      </c>
      <c r="CC324" s="1" t="str">
        <f>""</f>
        <v/>
      </c>
      <c r="CD324" s="1">
        <v>33</v>
      </c>
      <c r="CG324" s="1" t="s">
        <v>4795</v>
      </c>
      <c r="CH324" s="1" t="s">
        <v>219</v>
      </c>
      <c r="CI324" s="1" t="s">
        <v>220</v>
      </c>
      <c r="CJ324" s="1" t="s">
        <v>343</v>
      </c>
      <c r="CK324" s="1" t="s">
        <v>465</v>
      </c>
      <c r="CL324" s="1" t="s">
        <v>277</v>
      </c>
      <c r="CM324" s="1" t="s">
        <v>220</v>
      </c>
      <c r="CN324" s="1" t="s">
        <v>343</v>
      </c>
      <c r="CO324" s="1" t="s">
        <v>629</v>
      </c>
      <c r="CP324" s="1" t="s">
        <v>219</v>
      </c>
      <c r="CQ324" s="1" t="s">
        <v>220</v>
      </c>
      <c r="CS324" s="1" t="s">
        <v>465</v>
      </c>
      <c r="CT324" s="1" t="s">
        <v>219</v>
      </c>
      <c r="CU324" s="1" t="s">
        <v>220</v>
      </c>
      <c r="CV324" s="1" t="s">
        <v>343</v>
      </c>
      <c r="CX324" s="1" t="s">
        <v>224</v>
      </c>
      <c r="DB324" s="1" t="s">
        <v>224</v>
      </c>
      <c r="DE324" s="1" t="s">
        <v>1854</v>
      </c>
      <c r="DF324" s="1" t="s">
        <v>219</v>
      </c>
      <c r="DG324" s="1" t="s">
        <v>226</v>
      </c>
      <c r="DH324" s="1" t="s">
        <v>463</v>
      </c>
      <c r="DJ324" s="1" t="s">
        <v>224</v>
      </c>
      <c r="DM324" s="1" t="s">
        <v>464</v>
      </c>
      <c r="DR324" s="1" t="s">
        <v>317</v>
      </c>
      <c r="DS324" s="1" t="s">
        <v>277</v>
      </c>
      <c r="DT324" s="1" t="s">
        <v>1236</v>
      </c>
      <c r="DW324" s="1" t="s">
        <v>230</v>
      </c>
      <c r="EA324" s="1" t="s">
        <v>230</v>
      </c>
      <c r="EE324" s="1" t="s">
        <v>230</v>
      </c>
      <c r="EI324" s="1" t="s">
        <v>230</v>
      </c>
      <c r="EL324" s="1" t="s">
        <v>231</v>
      </c>
      <c r="EM324" s="1" t="s">
        <v>319</v>
      </c>
      <c r="EN324" s="1" t="s">
        <v>282</v>
      </c>
      <c r="EO324" s="1" t="s">
        <v>234</v>
      </c>
      <c r="EP324" s="1" t="s">
        <v>4796</v>
      </c>
      <c r="EQ324" s="1" t="s">
        <v>236</v>
      </c>
      <c r="ER324" s="1" t="s">
        <v>1069</v>
      </c>
      <c r="ES324" s="1" t="s">
        <v>322</v>
      </c>
      <c r="ET324" s="1" t="s">
        <v>323</v>
      </c>
      <c r="EV324" s="1" t="s">
        <v>240</v>
      </c>
      <c r="EW324" s="1" t="s">
        <v>2587</v>
      </c>
      <c r="EZ324" s="1" t="s">
        <v>464</v>
      </c>
      <c r="FB324" s="1" t="s">
        <v>289</v>
      </c>
      <c r="FD324" s="1" t="s">
        <v>246</v>
      </c>
      <c r="FE324" s="1" t="s">
        <v>889</v>
      </c>
      <c r="FF324" s="1" t="s">
        <v>248</v>
      </c>
      <c r="FG324" s="1" t="s">
        <v>939</v>
      </c>
      <c r="FH324" s="1" t="s">
        <v>550</v>
      </c>
      <c r="FI324" s="1" t="s">
        <v>357</v>
      </c>
      <c r="FL324" s="1" t="s">
        <v>1073</v>
      </c>
      <c r="FM324" s="1" t="s">
        <v>252</v>
      </c>
      <c r="FN324" s="1" t="s">
        <v>213</v>
      </c>
      <c r="FO324" s="1" t="s">
        <v>213</v>
      </c>
      <c r="FQ324" s="1" t="s">
        <v>1599</v>
      </c>
      <c r="FR324" s="1" t="s">
        <v>210</v>
      </c>
      <c r="FS324" s="1" t="s">
        <v>4797</v>
      </c>
      <c r="FT324" s="1" t="s">
        <v>362</v>
      </c>
      <c r="FU324" s="1" t="s">
        <v>204</v>
      </c>
      <c r="FW324" s="1" t="s">
        <v>915</v>
      </c>
      <c r="FX324" s="1">
        <v>3640</v>
      </c>
      <c r="FY324" s="1" t="s">
        <v>4798</v>
      </c>
      <c r="FZ324" s="1" t="s">
        <v>4799</v>
      </c>
      <c r="GA324" s="1">
        <v>32387</v>
      </c>
      <c r="GB324" s="1" t="s">
        <v>4800</v>
      </c>
      <c r="GD324" s="1" t="s">
        <v>4801</v>
      </c>
      <c r="GE324" s="1" t="s">
        <v>480</v>
      </c>
      <c r="GI324" s="1" t="s">
        <v>213</v>
      </c>
      <c r="GJ324" s="1" t="s">
        <v>260</v>
      </c>
      <c r="GK324" s="1" t="s">
        <v>210</v>
      </c>
      <c r="GL324" s="2">
        <v>42062</v>
      </c>
      <c r="GM324" s="1" t="s">
        <v>4802</v>
      </c>
    </row>
    <row r="325" spans="1:195">
      <c r="A325" s="1">
        <v>27900</v>
      </c>
      <c r="B325" s="1" t="s">
        <v>195</v>
      </c>
      <c r="C325" s="1" t="str">
        <f>"08790315"</f>
        <v>08790315</v>
      </c>
      <c r="D325" s="1" t="s">
        <v>196</v>
      </c>
      <c r="F325" s="1" t="str">
        <f>"8038"</f>
        <v>8038</v>
      </c>
      <c r="G325" s="2">
        <v>41963</v>
      </c>
      <c r="H325" s="1">
        <v>27900</v>
      </c>
      <c r="I325" s="1">
        <v>27900</v>
      </c>
      <c r="J325" s="1">
        <v>27900</v>
      </c>
      <c r="K325" s="2">
        <v>41963</v>
      </c>
      <c r="L325" s="1">
        <v>83</v>
      </c>
      <c r="M325" s="2">
        <v>42045</v>
      </c>
      <c r="N325" s="1">
        <v>83</v>
      </c>
      <c r="O325" s="2">
        <v>42045</v>
      </c>
      <c r="P325" s="1">
        <v>18080</v>
      </c>
      <c r="Q325" s="1" t="s">
        <v>302</v>
      </c>
      <c r="R325" s="2">
        <v>42062</v>
      </c>
      <c r="S325" s="1">
        <v>129147</v>
      </c>
      <c r="U325" s="1">
        <v>4943</v>
      </c>
      <c r="V325" s="1" t="s">
        <v>4803</v>
      </c>
      <c r="W325" s="1" t="s">
        <v>425</v>
      </c>
      <c r="X325" s="1" t="s">
        <v>4804</v>
      </c>
      <c r="Y325" s="1">
        <v>8</v>
      </c>
      <c r="Z325" s="1" t="s">
        <v>249</v>
      </c>
      <c r="AA325" s="1" t="s">
        <v>400</v>
      </c>
      <c r="AB325" s="1">
        <v>60615</v>
      </c>
      <c r="AE325" s="1" t="s">
        <v>4805</v>
      </c>
      <c r="AF325" s="1">
        <v>1920</v>
      </c>
      <c r="AG325" s="1" t="s">
        <v>213</v>
      </c>
      <c r="AH325" s="1" t="s">
        <v>403</v>
      </c>
      <c r="AI325" s="1" t="s">
        <v>310</v>
      </c>
      <c r="AJ325" s="1" t="s">
        <v>562</v>
      </c>
      <c r="AL325" s="1">
        <v>6</v>
      </c>
      <c r="AM325" s="1">
        <v>2</v>
      </c>
      <c r="AN325" s="1">
        <v>1</v>
      </c>
      <c r="AO325" s="1">
        <v>0</v>
      </c>
      <c r="AP325" s="1" t="s">
        <v>209</v>
      </c>
      <c r="AQ325" s="1">
        <v>1</v>
      </c>
      <c r="AR325" s="1" t="s">
        <v>210</v>
      </c>
      <c r="AS325" s="1" t="s">
        <v>204</v>
      </c>
      <c r="AT325" s="1" t="s">
        <v>271</v>
      </c>
      <c r="AV325" s="1">
        <v>1</v>
      </c>
      <c r="AW325" s="1" t="s">
        <v>204</v>
      </c>
      <c r="AX325" s="1" t="s">
        <v>212</v>
      </c>
      <c r="AZ325" s="1">
        <v>1269</v>
      </c>
      <c r="BA325" s="1">
        <v>2013</v>
      </c>
      <c r="BE325" s="1">
        <v>1000</v>
      </c>
      <c r="BF325" s="1" t="s">
        <v>4806</v>
      </c>
      <c r="BG325" s="1">
        <v>0</v>
      </c>
      <c r="BL325" s="1">
        <v>199</v>
      </c>
      <c r="BM325" s="1" t="s">
        <v>204</v>
      </c>
      <c r="BN325" s="1" t="s">
        <v>213</v>
      </c>
      <c r="BO325" s="1">
        <v>99</v>
      </c>
      <c r="BP325" s="1" t="s">
        <v>204</v>
      </c>
      <c r="BR325" s="1" t="str">
        <f>"20101140311002"</f>
        <v>20101140311002</v>
      </c>
      <c r="BT325" s="1" t="s">
        <v>4807</v>
      </c>
      <c r="BX325" s="1">
        <v>299</v>
      </c>
      <c r="BY325" s="1">
        <v>299</v>
      </c>
      <c r="BZ325" s="1">
        <v>299</v>
      </c>
      <c r="CB325" s="1" t="str">
        <f>"0"</f>
        <v>0</v>
      </c>
      <c r="CC325" s="1" t="str">
        <f>"100"</f>
        <v>100</v>
      </c>
      <c r="CD325" s="1">
        <v>0</v>
      </c>
      <c r="CE325" s="1">
        <v>4900</v>
      </c>
      <c r="CG325" s="1" t="s">
        <v>4808</v>
      </c>
      <c r="CH325" s="1" t="s">
        <v>219</v>
      </c>
      <c r="CK325" s="1" t="s">
        <v>1533</v>
      </c>
      <c r="CL325" s="1" t="s">
        <v>219</v>
      </c>
      <c r="CO325" s="1" t="s">
        <v>629</v>
      </c>
      <c r="CP325" s="1" t="s">
        <v>219</v>
      </c>
      <c r="CS325" s="1" t="s">
        <v>3591</v>
      </c>
      <c r="CT325" s="1" t="s">
        <v>219</v>
      </c>
      <c r="CX325" s="1" t="s">
        <v>224</v>
      </c>
      <c r="DB325" s="1" t="s">
        <v>224</v>
      </c>
      <c r="DE325" s="1" t="s">
        <v>540</v>
      </c>
      <c r="DF325" s="1" t="s">
        <v>219</v>
      </c>
      <c r="DI325" s="1" t="s">
        <v>4808</v>
      </c>
      <c r="DJ325" s="1" t="s">
        <v>219</v>
      </c>
      <c r="DS325" s="1" t="s">
        <v>230</v>
      </c>
      <c r="DW325" s="1" t="s">
        <v>230</v>
      </c>
      <c r="EA325" s="1" t="s">
        <v>230</v>
      </c>
      <c r="EE325" s="1" t="s">
        <v>230</v>
      </c>
      <c r="EI325" s="1" t="s">
        <v>230</v>
      </c>
      <c r="EL325" s="1" t="s">
        <v>2521</v>
      </c>
      <c r="EM325" s="1" t="s">
        <v>319</v>
      </c>
      <c r="EN325" s="1" t="s">
        <v>282</v>
      </c>
      <c r="EO325" s="1" t="s">
        <v>234</v>
      </c>
      <c r="EQ325" s="1" t="s">
        <v>1551</v>
      </c>
      <c r="ER325" s="1" t="s">
        <v>210</v>
      </c>
      <c r="ES325" s="1" t="s">
        <v>469</v>
      </c>
      <c r="EV325" s="1" t="s">
        <v>240</v>
      </c>
      <c r="EW325" s="1" t="s">
        <v>4809</v>
      </c>
      <c r="EZ325" s="1" t="s">
        <v>287</v>
      </c>
      <c r="FB325" s="1" t="s">
        <v>289</v>
      </c>
      <c r="FD325" s="1" t="s">
        <v>246</v>
      </c>
      <c r="FE325" s="1" t="s">
        <v>247</v>
      </c>
      <c r="FF325" s="1" t="s">
        <v>248</v>
      </c>
      <c r="FG325" s="1" t="s">
        <v>912</v>
      </c>
      <c r="FH325" s="1" t="s">
        <v>1373</v>
      </c>
      <c r="FK325" s="1" t="s">
        <v>688</v>
      </c>
      <c r="FL325" s="1" t="s">
        <v>414</v>
      </c>
      <c r="FM325" s="1" t="s">
        <v>252</v>
      </c>
      <c r="FN325" s="1" t="s">
        <v>213</v>
      </c>
      <c r="FO325" s="1" t="s">
        <v>213</v>
      </c>
      <c r="FQ325" s="1" t="s">
        <v>4810</v>
      </c>
      <c r="FR325" s="1" t="s">
        <v>210</v>
      </c>
      <c r="FS325" s="1" t="s">
        <v>4766</v>
      </c>
      <c r="FT325" s="1" t="s">
        <v>1828</v>
      </c>
      <c r="FU325" s="1" t="s">
        <v>204</v>
      </c>
      <c r="FW325" s="1" t="s">
        <v>4767</v>
      </c>
      <c r="FX325" s="1">
        <v>16165</v>
      </c>
      <c r="FY325" s="1" t="s">
        <v>4768</v>
      </c>
      <c r="FZ325" s="1" t="s">
        <v>4769</v>
      </c>
      <c r="GA325" s="1">
        <v>171061</v>
      </c>
      <c r="GE325" s="1" t="s">
        <v>210</v>
      </c>
      <c r="GH325" s="1" t="s">
        <v>421</v>
      </c>
      <c r="GI325" s="1" t="s">
        <v>204</v>
      </c>
      <c r="GJ325" s="1" t="s">
        <v>260</v>
      </c>
      <c r="GK325" s="1" t="s">
        <v>210</v>
      </c>
      <c r="GL325" s="2">
        <v>42062</v>
      </c>
      <c r="GM325" s="1" t="s">
        <v>4811</v>
      </c>
    </row>
    <row r="326" spans="1:195">
      <c r="A326" s="1">
        <v>295000</v>
      </c>
      <c r="B326" s="1" t="s">
        <v>195</v>
      </c>
      <c r="C326" s="1" t="str">
        <f>"08793099"</f>
        <v>08793099</v>
      </c>
      <c r="D326" s="1" t="s">
        <v>196</v>
      </c>
      <c r="F326" s="1" t="str">
        <f>"522"</f>
        <v>522</v>
      </c>
      <c r="G326" s="2">
        <v>41969</v>
      </c>
      <c r="H326" s="1">
        <v>329998</v>
      </c>
      <c r="I326" s="1">
        <v>315000</v>
      </c>
      <c r="J326" s="1">
        <v>295000</v>
      </c>
      <c r="K326" s="2">
        <v>41969</v>
      </c>
      <c r="L326" s="1">
        <v>50</v>
      </c>
      <c r="M326" s="2">
        <v>42018</v>
      </c>
      <c r="N326" s="1">
        <v>50</v>
      </c>
      <c r="O326" s="2">
        <v>42018</v>
      </c>
      <c r="P326" s="1">
        <v>22592</v>
      </c>
      <c r="Q326" s="1" t="s">
        <v>197</v>
      </c>
      <c r="R326" s="2">
        <v>42089</v>
      </c>
      <c r="S326" s="1">
        <v>228693</v>
      </c>
      <c r="U326" s="1">
        <v>801</v>
      </c>
      <c r="V326" s="1" t="s">
        <v>4045</v>
      </c>
      <c r="W326" s="1" t="s">
        <v>264</v>
      </c>
      <c r="X326" s="1">
        <v>406</v>
      </c>
      <c r="Y326" s="1">
        <v>24</v>
      </c>
      <c r="Z326" s="1" t="s">
        <v>249</v>
      </c>
      <c r="AA326" s="1" t="s">
        <v>698</v>
      </c>
      <c r="AB326" s="1">
        <v>60527</v>
      </c>
      <c r="AE326" s="1" t="s">
        <v>4812</v>
      </c>
      <c r="AF326" s="1">
        <v>2008</v>
      </c>
      <c r="AG326" s="1" t="s">
        <v>204</v>
      </c>
      <c r="AH326" s="1" t="s">
        <v>701</v>
      </c>
      <c r="AI326" s="1" t="s">
        <v>310</v>
      </c>
      <c r="AJ326" s="1" t="s">
        <v>702</v>
      </c>
      <c r="AL326" s="1">
        <v>4</v>
      </c>
      <c r="AM326" s="1">
        <v>2</v>
      </c>
      <c r="AN326" s="1">
        <v>2</v>
      </c>
      <c r="AO326" s="1">
        <v>0</v>
      </c>
      <c r="AP326" s="1" t="s">
        <v>209</v>
      </c>
      <c r="AR326" s="1" t="s">
        <v>210</v>
      </c>
      <c r="AS326" s="1" t="s">
        <v>204</v>
      </c>
      <c r="AT326" s="1" t="s">
        <v>211</v>
      </c>
      <c r="AU326" s="1">
        <v>1</v>
      </c>
      <c r="AW326" s="1" t="s">
        <v>204</v>
      </c>
      <c r="AX326" s="1" t="s">
        <v>270</v>
      </c>
      <c r="AZ326" s="1">
        <v>604.74</v>
      </c>
      <c r="BA326" s="1">
        <v>2012</v>
      </c>
      <c r="BE326" s="1">
        <v>1237</v>
      </c>
      <c r="BF326" s="1">
        <v>4</v>
      </c>
      <c r="BG326" s="1">
        <v>0</v>
      </c>
      <c r="BL326" s="1">
        <v>435</v>
      </c>
      <c r="BM326" s="1" t="s">
        <v>204</v>
      </c>
      <c r="BN326" s="1" t="s">
        <v>213</v>
      </c>
      <c r="BO326" s="1" t="s">
        <v>402</v>
      </c>
      <c r="BP326" s="1" t="s">
        <v>204</v>
      </c>
      <c r="BR326" s="1" t="str">
        <f>"18303000571022"</f>
        <v>18303000571022</v>
      </c>
      <c r="BT326" s="1" t="s">
        <v>4813</v>
      </c>
      <c r="BX326" s="1">
        <v>107</v>
      </c>
      <c r="BY326" s="1">
        <v>107</v>
      </c>
      <c r="BZ326" s="1">
        <v>204</v>
      </c>
      <c r="CB326" s="1" t="str">
        <f t="shared" ref="CB326:CC326" si="258">""</f>
        <v/>
      </c>
      <c r="CC326" s="1" t="str">
        <f t="shared" si="258"/>
        <v/>
      </c>
      <c r="CG326" s="1" t="s">
        <v>1132</v>
      </c>
      <c r="CH326" s="1" t="s">
        <v>219</v>
      </c>
      <c r="CK326" s="1" t="s">
        <v>437</v>
      </c>
      <c r="CL326" s="1" t="s">
        <v>219</v>
      </c>
      <c r="CM326" s="1" t="s">
        <v>220</v>
      </c>
      <c r="CN326" s="1" t="s">
        <v>343</v>
      </c>
      <c r="CP326" s="1" t="s">
        <v>224</v>
      </c>
      <c r="CS326" s="1" t="s">
        <v>1046</v>
      </c>
      <c r="CT326" s="1" t="s">
        <v>219</v>
      </c>
      <c r="CX326" s="1" t="s">
        <v>224</v>
      </c>
      <c r="DB326" s="1" t="s">
        <v>224</v>
      </c>
      <c r="DE326" s="1" t="s">
        <v>836</v>
      </c>
      <c r="DF326" s="1" t="s">
        <v>219</v>
      </c>
      <c r="DJ326" s="1" t="s">
        <v>224</v>
      </c>
      <c r="DS326" s="1" t="s">
        <v>230</v>
      </c>
      <c r="DW326" s="1" t="s">
        <v>230</v>
      </c>
      <c r="EA326" s="1" t="s">
        <v>230</v>
      </c>
      <c r="EE326" s="1" t="s">
        <v>230</v>
      </c>
      <c r="EI326" s="1" t="s">
        <v>230</v>
      </c>
      <c r="EL326" s="1" t="s">
        <v>491</v>
      </c>
      <c r="EM326" s="1" t="s">
        <v>232</v>
      </c>
      <c r="EN326" s="1" t="s">
        <v>282</v>
      </c>
      <c r="EO326" s="1" t="s">
        <v>234</v>
      </c>
      <c r="EP326" s="1" t="s">
        <v>4814</v>
      </c>
      <c r="ER326" s="1" t="s">
        <v>210</v>
      </c>
      <c r="EW326" s="1" t="s">
        <v>4815</v>
      </c>
      <c r="EZ326" s="1" t="s">
        <v>287</v>
      </c>
      <c r="FB326" s="1" t="s">
        <v>289</v>
      </c>
      <c r="FD326" s="1" t="s">
        <v>246</v>
      </c>
      <c r="FE326" s="1" t="s">
        <v>247</v>
      </c>
      <c r="FF326" s="1" t="s">
        <v>248</v>
      </c>
      <c r="FH326" s="1" t="s">
        <v>249</v>
      </c>
      <c r="FI326" s="1" t="s">
        <v>1114</v>
      </c>
      <c r="FL326" s="1" t="s">
        <v>1907</v>
      </c>
      <c r="FM326" s="1" t="s">
        <v>252</v>
      </c>
      <c r="FN326" s="1" t="s">
        <v>213</v>
      </c>
      <c r="FO326" s="1" t="s">
        <v>213</v>
      </c>
      <c r="FQ326" s="1" t="s">
        <v>3220</v>
      </c>
      <c r="FR326" s="1" t="s">
        <v>210</v>
      </c>
      <c r="FS326" s="1" t="s">
        <v>4816</v>
      </c>
      <c r="FT326" s="1" t="s">
        <v>4817</v>
      </c>
      <c r="FU326" s="1" t="s">
        <v>204</v>
      </c>
      <c r="FW326" s="1" t="s">
        <v>1652</v>
      </c>
      <c r="FX326" s="1">
        <v>349</v>
      </c>
      <c r="FY326" s="1" t="s">
        <v>4818</v>
      </c>
      <c r="FZ326" s="1" t="s">
        <v>4819</v>
      </c>
      <c r="GA326" s="1">
        <v>8766</v>
      </c>
      <c r="GB326" s="1" t="s">
        <v>4820</v>
      </c>
      <c r="GE326" s="1" t="s">
        <v>210</v>
      </c>
      <c r="GI326" s="1" t="s">
        <v>213</v>
      </c>
      <c r="GJ326" s="1" t="s">
        <v>260</v>
      </c>
      <c r="GK326" s="1" t="s">
        <v>210</v>
      </c>
      <c r="GL326" s="2">
        <v>42089</v>
      </c>
      <c r="GM326" s="1" t="s">
        <v>4821</v>
      </c>
    </row>
    <row r="327" spans="1:195">
      <c r="A327" s="1">
        <v>45000</v>
      </c>
      <c r="B327" s="1" t="s">
        <v>195</v>
      </c>
      <c r="C327" s="1" t="str">
        <f>"08786569"</f>
        <v>08786569</v>
      </c>
      <c r="D327" s="1" t="s">
        <v>196</v>
      </c>
      <c r="F327" s="1" t="str">
        <f>"507"</f>
        <v>507</v>
      </c>
      <c r="G327" s="2">
        <v>41957</v>
      </c>
      <c r="H327" s="1">
        <v>42500</v>
      </c>
      <c r="I327" s="1">
        <v>42500</v>
      </c>
      <c r="J327" s="1">
        <v>45000</v>
      </c>
      <c r="K327" s="2">
        <v>41956</v>
      </c>
      <c r="L327" s="1">
        <v>14</v>
      </c>
      <c r="M327" s="2">
        <v>41969</v>
      </c>
      <c r="N327" s="1">
        <v>14</v>
      </c>
      <c r="O327" s="2">
        <v>41969</v>
      </c>
      <c r="P327" s="1">
        <v>8064</v>
      </c>
      <c r="Q327" s="1" t="s">
        <v>302</v>
      </c>
      <c r="R327" s="2">
        <v>42025</v>
      </c>
      <c r="S327" s="1">
        <v>240026</v>
      </c>
      <c r="U327" s="1">
        <v>1750</v>
      </c>
      <c r="V327" s="1" t="s">
        <v>4822</v>
      </c>
      <c r="W327" s="1" t="s">
        <v>425</v>
      </c>
      <c r="X327" s="1">
        <v>110</v>
      </c>
      <c r="Y327" s="1">
        <v>30</v>
      </c>
      <c r="Z327" s="1" t="s">
        <v>249</v>
      </c>
      <c r="AA327" s="1" t="s">
        <v>1123</v>
      </c>
      <c r="AB327" s="1">
        <v>60505</v>
      </c>
      <c r="AE327" s="1" t="s">
        <v>4823</v>
      </c>
      <c r="AF327" s="1" t="s">
        <v>402</v>
      </c>
      <c r="AG327" s="1" t="s">
        <v>213</v>
      </c>
      <c r="AH327" s="1" t="s">
        <v>1126</v>
      </c>
      <c r="AI327" s="1" t="s">
        <v>665</v>
      </c>
      <c r="AJ327" s="1" t="s">
        <v>1126</v>
      </c>
      <c r="AL327" s="1">
        <v>5</v>
      </c>
      <c r="AM327" s="1">
        <v>2</v>
      </c>
      <c r="AN327" s="1">
        <v>1</v>
      </c>
      <c r="AO327" s="1">
        <v>0</v>
      </c>
      <c r="AP327" s="1" t="s">
        <v>210</v>
      </c>
      <c r="AR327" s="1" t="s">
        <v>210</v>
      </c>
      <c r="AS327" s="1" t="s">
        <v>204</v>
      </c>
      <c r="AT327" s="1" t="s">
        <v>271</v>
      </c>
      <c r="AV327" s="1">
        <v>1</v>
      </c>
      <c r="AW327" s="1" t="s">
        <v>204</v>
      </c>
      <c r="AX327" s="1">
        <v>0</v>
      </c>
      <c r="AZ327" s="1">
        <v>1538.42</v>
      </c>
      <c r="BA327" s="1">
        <v>2013</v>
      </c>
      <c r="BE327" s="1">
        <v>1020</v>
      </c>
      <c r="BF327" s="1">
        <v>1</v>
      </c>
      <c r="BG327" s="1">
        <v>5</v>
      </c>
      <c r="BL327" s="1">
        <v>330</v>
      </c>
      <c r="BM327" s="1" t="s">
        <v>413</v>
      </c>
      <c r="BN327" s="1" t="s">
        <v>204</v>
      </c>
      <c r="BP327" s="1" t="s">
        <v>204</v>
      </c>
      <c r="BR327" s="1" t="str">
        <f>"1511276021"</f>
        <v>1511276021</v>
      </c>
      <c r="BT327" s="1" t="s">
        <v>4824</v>
      </c>
      <c r="BX327" s="1">
        <v>131</v>
      </c>
      <c r="BY327" s="1">
        <v>131</v>
      </c>
      <c r="BZ327" s="1">
        <v>131</v>
      </c>
      <c r="CB327" s="1" t="str">
        <f t="shared" ref="CB327:CC327" si="259">""</f>
        <v/>
      </c>
      <c r="CC327" s="1" t="str">
        <f t="shared" si="259"/>
        <v/>
      </c>
      <c r="CG327" s="1" t="s">
        <v>1177</v>
      </c>
      <c r="CH327" s="1" t="s">
        <v>219</v>
      </c>
      <c r="CK327" s="1" t="s">
        <v>2466</v>
      </c>
      <c r="CL327" s="1" t="s">
        <v>219</v>
      </c>
      <c r="CO327" s="1" t="s">
        <v>318</v>
      </c>
      <c r="CP327" s="1" t="s">
        <v>219</v>
      </c>
      <c r="CS327" s="1" t="s">
        <v>318</v>
      </c>
      <c r="CT327" s="1" t="s">
        <v>219</v>
      </c>
      <c r="CX327" s="1" t="s">
        <v>224</v>
      </c>
      <c r="DB327" s="1" t="s">
        <v>224</v>
      </c>
      <c r="DE327" s="1" t="s">
        <v>318</v>
      </c>
      <c r="DF327" s="1" t="s">
        <v>219</v>
      </c>
      <c r="DJ327" s="1" t="s">
        <v>224</v>
      </c>
      <c r="DS327" s="1" t="s">
        <v>230</v>
      </c>
      <c r="DW327" s="1" t="s">
        <v>230</v>
      </c>
      <c r="EA327" s="1" t="s">
        <v>230</v>
      </c>
      <c r="EE327" s="1" t="s">
        <v>230</v>
      </c>
      <c r="EI327" s="1" t="s">
        <v>230</v>
      </c>
      <c r="EL327" s="1" t="s">
        <v>440</v>
      </c>
      <c r="EM327" s="1" t="s">
        <v>319</v>
      </c>
      <c r="EN327" s="1" t="s">
        <v>210</v>
      </c>
      <c r="EO327" s="1" t="s">
        <v>234</v>
      </c>
      <c r="ER327" s="1" t="s">
        <v>383</v>
      </c>
      <c r="EW327" s="1" t="s">
        <v>210</v>
      </c>
      <c r="EZ327" s="1" t="s">
        <v>287</v>
      </c>
      <c r="FD327" s="1" t="s">
        <v>1112</v>
      </c>
      <c r="FE327" s="1" t="s">
        <v>4825</v>
      </c>
      <c r="FF327" s="1" t="s">
        <v>248</v>
      </c>
      <c r="FH327" s="1" t="s">
        <v>249</v>
      </c>
      <c r="FL327" s="1" t="s">
        <v>292</v>
      </c>
      <c r="FM327" s="1" t="s">
        <v>252</v>
      </c>
      <c r="FN327" s="1" t="s">
        <v>213</v>
      </c>
      <c r="FO327" s="1" t="s">
        <v>213</v>
      </c>
      <c r="FQ327" s="1" t="s">
        <v>582</v>
      </c>
      <c r="FR327" s="1" t="s">
        <v>210</v>
      </c>
      <c r="FS327" s="1" t="s">
        <v>4164</v>
      </c>
      <c r="FT327" s="1" t="s">
        <v>4165</v>
      </c>
      <c r="FU327" s="1" t="s">
        <v>204</v>
      </c>
      <c r="FW327" s="1" t="s">
        <v>4166</v>
      </c>
      <c r="FX327" s="1">
        <v>31420</v>
      </c>
      <c r="FY327" s="1" t="s">
        <v>4167</v>
      </c>
      <c r="FZ327" s="1" t="s">
        <v>4168</v>
      </c>
      <c r="GA327" s="1">
        <v>314232</v>
      </c>
      <c r="GB327" s="1" t="s">
        <v>4169</v>
      </c>
      <c r="GE327" s="1" t="s">
        <v>210</v>
      </c>
      <c r="GH327" s="1" t="s">
        <v>230</v>
      </c>
      <c r="GI327" s="1" t="s">
        <v>213</v>
      </c>
      <c r="GJ327" s="1" t="s">
        <v>260</v>
      </c>
      <c r="GK327" s="1" t="s">
        <v>210</v>
      </c>
      <c r="GL327" s="2">
        <v>42028</v>
      </c>
      <c r="GM327" s="1" t="s">
        <v>4826</v>
      </c>
    </row>
    <row r="328" spans="1:195">
      <c r="A328" s="1">
        <v>104900</v>
      </c>
      <c r="B328" s="1" t="s">
        <v>195</v>
      </c>
      <c r="C328" s="1" t="str">
        <f>"08792790"</f>
        <v>08792790</v>
      </c>
      <c r="D328" s="1" t="s">
        <v>196</v>
      </c>
      <c r="F328" s="1" t="str">
        <f>"178"</f>
        <v>178</v>
      </c>
      <c r="G328" s="2">
        <v>41968</v>
      </c>
      <c r="H328" s="1">
        <v>118900</v>
      </c>
      <c r="I328" s="1">
        <v>110900</v>
      </c>
      <c r="J328" s="1">
        <v>104900</v>
      </c>
      <c r="K328" s="2">
        <v>41968</v>
      </c>
      <c r="L328" s="1">
        <v>91</v>
      </c>
      <c r="M328" s="2">
        <v>42058</v>
      </c>
      <c r="N328" s="1">
        <v>91</v>
      </c>
      <c r="O328" s="2">
        <v>42058</v>
      </c>
      <c r="P328" s="1">
        <v>93099</v>
      </c>
      <c r="Q328" s="1" t="s">
        <v>302</v>
      </c>
      <c r="R328" s="2">
        <v>42081</v>
      </c>
      <c r="S328" s="1">
        <v>930261</v>
      </c>
      <c r="U328" s="1">
        <v>113</v>
      </c>
      <c r="V328" s="1" t="s">
        <v>2389</v>
      </c>
      <c r="W328" s="1" t="s">
        <v>504</v>
      </c>
      <c r="X328" s="1">
        <v>1</v>
      </c>
      <c r="Y328" s="1">
        <v>4</v>
      </c>
      <c r="Z328" s="1" t="s">
        <v>370</v>
      </c>
      <c r="AA328" s="1" t="s">
        <v>3334</v>
      </c>
      <c r="AB328" s="1">
        <v>60178</v>
      </c>
      <c r="AD328" s="1" t="s">
        <v>3532</v>
      </c>
      <c r="AE328" s="1" t="s">
        <v>4827</v>
      </c>
      <c r="AF328" s="1">
        <v>2005</v>
      </c>
      <c r="AG328" s="1" t="s">
        <v>204</v>
      </c>
      <c r="AH328" s="1" t="s">
        <v>3336</v>
      </c>
      <c r="AI328" s="1" t="s">
        <v>2246</v>
      </c>
      <c r="AJ328" s="1" t="s">
        <v>3336</v>
      </c>
      <c r="AL328" s="1">
        <v>5</v>
      </c>
      <c r="AM328" s="1">
        <v>2</v>
      </c>
      <c r="AN328" s="1">
        <v>2</v>
      </c>
      <c r="AO328" s="1">
        <v>0</v>
      </c>
      <c r="AP328" s="1" t="s">
        <v>209</v>
      </c>
      <c r="AQ328" s="1">
        <v>1</v>
      </c>
      <c r="AR328" s="1" t="s">
        <v>210</v>
      </c>
      <c r="AT328" s="1" t="s">
        <v>211</v>
      </c>
      <c r="AU328" s="1">
        <v>2</v>
      </c>
      <c r="AW328" s="1" t="s">
        <v>204</v>
      </c>
      <c r="AX328" s="1" t="s">
        <v>212</v>
      </c>
      <c r="AZ328" s="1">
        <v>3624.1</v>
      </c>
      <c r="BA328" s="1">
        <v>2013</v>
      </c>
      <c r="BB328" s="1" t="s">
        <v>405</v>
      </c>
      <c r="BE328" s="1">
        <v>1360</v>
      </c>
      <c r="BF328" s="1">
        <v>1</v>
      </c>
      <c r="BG328" s="1">
        <v>0</v>
      </c>
      <c r="BL328" s="1">
        <v>102</v>
      </c>
      <c r="BM328" s="1" t="s">
        <v>204</v>
      </c>
      <c r="BN328" s="1" t="s">
        <v>213</v>
      </c>
      <c r="BO328" s="1">
        <v>0</v>
      </c>
      <c r="BP328" s="1" t="s">
        <v>204</v>
      </c>
      <c r="BR328" s="1" t="str">
        <f>"0628353054"</f>
        <v>0628353054</v>
      </c>
      <c r="BT328" s="1" t="s">
        <v>4828</v>
      </c>
      <c r="BX328" s="1">
        <v>427</v>
      </c>
      <c r="BY328" s="1">
        <v>427</v>
      </c>
      <c r="BZ328" s="1">
        <v>427</v>
      </c>
      <c r="CB328" s="1" t="str">
        <f t="shared" ref="CB328:CC328" si="260">"0"</f>
        <v>0</v>
      </c>
      <c r="CC328" s="1" t="str">
        <f t="shared" si="260"/>
        <v>0</v>
      </c>
      <c r="CD328" s="1">
        <v>0</v>
      </c>
      <c r="CE328" s="1">
        <v>0</v>
      </c>
      <c r="CG328" s="1" t="s">
        <v>932</v>
      </c>
      <c r="CH328" s="1" t="s">
        <v>219</v>
      </c>
      <c r="CI328" s="1" t="s">
        <v>220</v>
      </c>
      <c r="CK328" s="1" t="s">
        <v>221</v>
      </c>
      <c r="CL328" s="1" t="s">
        <v>219</v>
      </c>
      <c r="CM328" s="1" t="s">
        <v>220</v>
      </c>
      <c r="CO328" s="1" t="s">
        <v>932</v>
      </c>
      <c r="CP328" s="1" t="s">
        <v>219</v>
      </c>
      <c r="CQ328" s="1" t="s">
        <v>220</v>
      </c>
      <c r="CS328" s="1" t="s">
        <v>1297</v>
      </c>
      <c r="CT328" s="1" t="s">
        <v>219</v>
      </c>
      <c r="CU328" s="1" t="s">
        <v>220</v>
      </c>
      <c r="CX328" s="1" t="s">
        <v>224</v>
      </c>
      <c r="DB328" s="1" t="s">
        <v>224</v>
      </c>
      <c r="DE328" s="1" t="s">
        <v>1297</v>
      </c>
      <c r="DF328" s="1" t="s">
        <v>219</v>
      </c>
      <c r="DJ328" s="1" t="s">
        <v>224</v>
      </c>
      <c r="DM328" s="1" t="s">
        <v>3011</v>
      </c>
      <c r="DR328" s="1" t="s">
        <v>4829</v>
      </c>
      <c r="DS328" s="1" t="s">
        <v>219</v>
      </c>
      <c r="DW328" s="1" t="s">
        <v>230</v>
      </c>
      <c r="EA328" s="1" t="s">
        <v>230</v>
      </c>
      <c r="EE328" s="1" t="s">
        <v>230</v>
      </c>
      <c r="EI328" s="1" t="s">
        <v>230</v>
      </c>
      <c r="EL328" s="1" t="s">
        <v>491</v>
      </c>
      <c r="EM328" s="1" t="s">
        <v>319</v>
      </c>
      <c r="EN328" s="1" t="s">
        <v>282</v>
      </c>
      <c r="EO328" s="1" t="s">
        <v>234</v>
      </c>
      <c r="EP328" s="1" t="s">
        <v>4830</v>
      </c>
      <c r="EQ328" s="1" t="s">
        <v>236</v>
      </c>
      <c r="ER328" s="1" t="s">
        <v>1269</v>
      </c>
      <c r="EV328" s="1" t="s">
        <v>240</v>
      </c>
      <c r="EW328" s="1" t="s">
        <v>353</v>
      </c>
      <c r="EY328" s="1" t="s">
        <v>242</v>
      </c>
      <c r="EZ328" s="1" t="s">
        <v>3011</v>
      </c>
      <c r="FA328" s="1" t="s">
        <v>4831</v>
      </c>
      <c r="FD328" s="1" t="s">
        <v>246</v>
      </c>
      <c r="FE328" s="1" t="s">
        <v>566</v>
      </c>
      <c r="FF328" s="1" t="s">
        <v>248</v>
      </c>
      <c r="FG328" s="1" t="s">
        <v>912</v>
      </c>
      <c r="FH328" s="1" t="s">
        <v>249</v>
      </c>
      <c r="FI328" s="1" t="s">
        <v>473</v>
      </c>
      <c r="FL328" s="1" t="s">
        <v>358</v>
      </c>
      <c r="FM328" s="1" t="s">
        <v>252</v>
      </c>
      <c r="FN328" s="1" t="s">
        <v>213</v>
      </c>
      <c r="FO328" s="1" t="s">
        <v>213</v>
      </c>
      <c r="FQ328" s="1" t="s">
        <v>582</v>
      </c>
      <c r="FR328" s="1" t="s">
        <v>210</v>
      </c>
      <c r="FS328" s="1" t="s">
        <v>2128</v>
      </c>
      <c r="FT328" s="1" t="s">
        <v>4832</v>
      </c>
      <c r="FU328" s="1" t="s">
        <v>204</v>
      </c>
      <c r="FW328" s="1" t="s">
        <v>3393</v>
      </c>
      <c r="FX328" s="1">
        <v>93083</v>
      </c>
      <c r="FY328" s="1" t="s">
        <v>3394</v>
      </c>
      <c r="FZ328" s="1" t="s">
        <v>3395</v>
      </c>
      <c r="GA328" s="1">
        <v>930215</v>
      </c>
      <c r="GC328" s="1">
        <v>930217</v>
      </c>
      <c r="GD328" s="1">
        <v>930217</v>
      </c>
      <c r="GE328" s="1" t="s">
        <v>210</v>
      </c>
      <c r="GI328" s="1" t="s">
        <v>204</v>
      </c>
      <c r="GJ328" s="1" t="s">
        <v>260</v>
      </c>
      <c r="GK328" s="1" t="s">
        <v>210</v>
      </c>
      <c r="GL328" s="2">
        <v>42093</v>
      </c>
      <c r="GM328" s="1" t="s">
        <v>3538</v>
      </c>
    </row>
    <row r="329" spans="1:195">
      <c r="A329" s="1">
        <v>237500</v>
      </c>
      <c r="B329" s="1" t="s">
        <v>195</v>
      </c>
      <c r="C329" s="1" t="str">
        <f>"08789693"</f>
        <v>08789693</v>
      </c>
      <c r="D329" s="1" t="s">
        <v>196</v>
      </c>
      <c r="F329" s="1" t="str">
        <f>"134"</f>
        <v>134</v>
      </c>
      <c r="G329" s="2">
        <v>41963</v>
      </c>
      <c r="H329" s="1">
        <v>239900</v>
      </c>
      <c r="I329" s="1">
        <v>239900</v>
      </c>
      <c r="J329" s="1">
        <v>237500</v>
      </c>
      <c r="K329" s="2">
        <v>41963</v>
      </c>
      <c r="L329" s="1">
        <v>5</v>
      </c>
      <c r="M329" s="2">
        <v>41967</v>
      </c>
      <c r="N329" s="1">
        <v>5</v>
      </c>
      <c r="O329" s="2">
        <v>41967</v>
      </c>
      <c r="P329" s="1">
        <v>431</v>
      </c>
      <c r="Q329" s="1" t="s">
        <v>302</v>
      </c>
      <c r="R329" s="2">
        <v>42027</v>
      </c>
      <c r="S329" s="1">
        <v>8307</v>
      </c>
      <c r="U329" s="1" t="s">
        <v>4833</v>
      </c>
      <c r="V329" s="1" t="s">
        <v>4834</v>
      </c>
      <c r="W329" s="1" t="s">
        <v>264</v>
      </c>
      <c r="Y329" s="1">
        <v>4</v>
      </c>
      <c r="Z329" s="1" t="s">
        <v>370</v>
      </c>
      <c r="AA329" s="1" t="s">
        <v>661</v>
      </c>
      <c r="AB329" s="1">
        <v>60134</v>
      </c>
      <c r="AD329" s="1" t="s">
        <v>2441</v>
      </c>
      <c r="AE329" s="1" t="s">
        <v>4835</v>
      </c>
      <c r="AF329" s="1">
        <v>1999</v>
      </c>
      <c r="AG329" s="1" t="s">
        <v>204</v>
      </c>
      <c r="AH329" s="1" t="s">
        <v>882</v>
      </c>
      <c r="AI329" s="1" t="s">
        <v>665</v>
      </c>
      <c r="AJ329" s="1" t="s">
        <v>2443</v>
      </c>
      <c r="AK329" s="1" t="s">
        <v>4836</v>
      </c>
      <c r="AL329" s="1">
        <v>6</v>
      </c>
      <c r="AM329" s="1">
        <v>2</v>
      </c>
      <c r="AN329" s="1">
        <v>2</v>
      </c>
      <c r="AO329" s="1">
        <v>1</v>
      </c>
      <c r="AP329" s="1" t="s">
        <v>209</v>
      </c>
      <c r="AQ329" s="1">
        <v>1</v>
      </c>
      <c r="AR329" s="1" t="s">
        <v>209</v>
      </c>
      <c r="AS329" s="1" t="s">
        <v>204</v>
      </c>
      <c r="AT329" s="1" t="s">
        <v>211</v>
      </c>
      <c r="AU329" s="1">
        <v>2</v>
      </c>
      <c r="AW329" s="1" t="s">
        <v>204</v>
      </c>
      <c r="AX329" s="1" t="s">
        <v>212</v>
      </c>
      <c r="AZ329" s="1">
        <v>6027</v>
      </c>
      <c r="BA329" s="1">
        <v>2013</v>
      </c>
      <c r="BB329" s="1" t="s">
        <v>405</v>
      </c>
      <c r="BE329" s="1">
        <v>0</v>
      </c>
      <c r="BF329" s="1">
        <v>1</v>
      </c>
      <c r="BG329" s="1">
        <v>0</v>
      </c>
      <c r="BL329" s="1">
        <v>100</v>
      </c>
      <c r="BM329" s="1" t="s">
        <v>204</v>
      </c>
      <c r="BN329" s="1" t="s">
        <v>213</v>
      </c>
      <c r="BO329" s="1">
        <v>999</v>
      </c>
      <c r="BP329" s="1" t="s">
        <v>204</v>
      </c>
      <c r="BR329" s="1" t="str">
        <f>"1112405007"</f>
        <v>1112405007</v>
      </c>
      <c r="BT329" s="1" t="s">
        <v>4837</v>
      </c>
      <c r="BU329" s="1" t="s">
        <v>2446</v>
      </c>
      <c r="BV329" s="1" t="s">
        <v>2447</v>
      </c>
      <c r="BW329" s="1" t="s">
        <v>2448</v>
      </c>
      <c r="BX329" s="1">
        <v>304</v>
      </c>
      <c r="BY329" s="1">
        <v>304</v>
      </c>
      <c r="BZ329" s="1">
        <v>304</v>
      </c>
      <c r="CB329" s="1" t="str">
        <f t="shared" ref="CB329:CC329" si="261">"0"</f>
        <v>0</v>
      </c>
      <c r="CC329" s="1" t="str">
        <f t="shared" si="261"/>
        <v>0</v>
      </c>
      <c r="CD329" s="1">
        <v>39</v>
      </c>
      <c r="CE329" s="1">
        <v>3</v>
      </c>
      <c r="CG329" s="1" t="s">
        <v>885</v>
      </c>
      <c r="CH329" s="1" t="s">
        <v>219</v>
      </c>
      <c r="CI329" s="1" t="s">
        <v>220</v>
      </c>
      <c r="CK329" s="1" t="s">
        <v>885</v>
      </c>
      <c r="CL329" s="1" t="s">
        <v>277</v>
      </c>
      <c r="CM329" s="1" t="s">
        <v>220</v>
      </c>
      <c r="CO329" s="1" t="s">
        <v>1612</v>
      </c>
      <c r="CP329" s="1" t="s">
        <v>219</v>
      </c>
      <c r="CQ329" s="1" t="s">
        <v>220</v>
      </c>
      <c r="CS329" s="1" t="s">
        <v>932</v>
      </c>
      <c r="CT329" s="1" t="s">
        <v>277</v>
      </c>
      <c r="CU329" s="1" t="s">
        <v>220</v>
      </c>
      <c r="CX329" s="1" t="s">
        <v>224</v>
      </c>
      <c r="DB329" s="1" t="s">
        <v>224</v>
      </c>
      <c r="DE329" s="1" t="s">
        <v>4838</v>
      </c>
      <c r="DF329" s="1" t="s">
        <v>219</v>
      </c>
      <c r="DG329" s="1" t="s">
        <v>438</v>
      </c>
      <c r="DI329" s="1" t="s">
        <v>602</v>
      </c>
      <c r="DJ329" s="1" t="s">
        <v>219</v>
      </c>
      <c r="DK329" s="1" t="s">
        <v>438</v>
      </c>
      <c r="DS329" s="1" t="s">
        <v>230</v>
      </c>
      <c r="DW329" s="1" t="s">
        <v>230</v>
      </c>
      <c r="EA329" s="1" t="s">
        <v>230</v>
      </c>
      <c r="EE329" s="1" t="s">
        <v>230</v>
      </c>
      <c r="EI329" s="1" t="s">
        <v>230</v>
      </c>
      <c r="EL329" s="1" t="s">
        <v>466</v>
      </c>
      <c r="EM329" s="1" t="s">
        <v>319</v>
      </c>
      <c r="EN329" s="1" t="s">
        <v>282</v>
      </c>
      <c r="EO329" s="1" t="s">
        <v>234</v>
      </c>
      <c r="EP329" s="1" t="s">
        <v>4839</v>
      </c>
      <c r="EQ329" s="1" t="s">
        <v>2188</v>
      </c>
      <c r="ER329" s="1" t="s">
        <v>2453</v>
      </c>
      <c r="ES329" s="1" t="s">
        <v>4840</v>
      </c>
      <c r="ET329" s="1" t="s">
        <v>1404</v>
      </c>
      <c r="EU329" s="1" t="s">
        <v>712</v>
      </c>
      <c r="EV329" s="1" t="s">
        <v>240</v>
      </c>
      <c r="EW329" s="1" t="s">
        <v>353</v>
      </c>
      <c r="EY329" s="1" t="s">
        <v>242</v>
      </c>
      <c r="EZ329" s="1" t="s">
        <v>287</v>
      </c>
      <c r="FA329" s="1" t="s">
        <v>4841</v>
      </c>
      <c r="FD329" s="1" t="s">
        <v>246</v>
      </c>
      <c r="FE329" s="1" t="s">
        <v>386</v>
      </c>
      <c r="FF329" s="1" t="s">
        <v>248</v>
      </c>
      <c r="FG329" s="1" t="s">
        <v>912</v>
      </c>
      <c r="FH329" s="1" t="s">
        <v>550</v>
      </c>
      <c r="FI329" s="1" t="s">
        <v>473</v>
      </c>
      <c r="FL329" s="1" t="s">
        <v>358</v>
      </c>
      <c r="FM329" s="1" t="s">
        <v>252</v>
      </c>
      <c r="FN329" s="1" t="s">
        <v>213</v>
      </c>
      <c r="FO329" s="1" t="s">
        <v>213</v>
      </c>
      <c r="FQ329" s="1" t="s">
        <v>793</v>
      </c>
      <c r="FR329" s="1" t="s">
        <v>210</v>
      </c>
      <c r="FS329" s="1" t="s">
        <v>4842</v>
      </c>
      <c r="FT329" s="1" t="s">
        <v>295</v>
      </c>
      <c r="FU329" s="1" t="s">
        <v>204</v>
      </c>
      <c r="FW329" s="1" t="s">
        <v>3243</v>
      </c>
      <c r="FX329" s="1">
        <v>604</v>
      </c>
      <c r="FY329" s="1" t="s">
        <v>3244</v>
      </c>
      <c r="FZ329" s="1" t="s">
        <v>3245</v>
      </c>
      <c r="GA329" s="1">
        <v>381</v>
      </c>
      <c r="GB329" s="1" t="s">
        <v>3246</v>
      </c>
      <c r="GC329" s="1">
        <v>8297</v>
      </c>
      <c r="GD329" s="1" t="s">
        <v>4843</v>
      </c>
      <c r="GE329" s="1" t="s">
        <v>1256</v>
      </c>
      <c r="GI329" s="1" t="s">
        <v>213</v>
      </c>
      <c r="GJ329" s="1" t="s">
        <v>260</v>
      </c>
      <c r="GK329" s="1" t="s">
        <v>210</v>
      </c>
      <c r="GL329" s="2">
        <v>42027</v>
      </c>
      <c r="GM329" s="1" t="s">
        <v>4844</v>
      </c>
    </row>
    <row r="330" spans="1:195">
      <c r="A330" s="1">
        <v>143000</v>
      </c>
      <c r="B330" s="1" t="s">
        <v>195</v>
      </c>
      <c r="C330" s="1" t="str">
        <f>"08792928"</f>
        <v>08792928</v>
      </c>
      <c r="D330" s="1" t="s">
        <v>196</v>
      </c>
      <c r="F330" s="1" t="str">
        <f>"507"</f>
        <v>507</v>
      </c>
      <c r="G330" s="2">
        <v>41969</v>
      </c>
      <c r="H330" s="1">
        <v>152000</v>
      </c>
      <c r="I330" s="1">
        <v>137900</v>
      </c>
      <c r="J330" s="1">
        <v>143000</v>
      </c>
      <c r="K330" s="2">
        <v>41967</v>
      </c>
      <c r="L330" s="1">
        <v>106</v>
      </c>
      <c r="M330" s="2">
        <v>42072</v>
      </c>
      <c r="N330" s="1">
        <v>106</v>
      </c>
      <c r="O330" s="2">
        <v>42072</v>
      </c>
      <c r="P330" s="1">
        <v>25695</v>
      </c>
      <c r="Q330" s="1" t="s">
        <v>197</v>
      </c>
      <c r="R330" s="2">
        <v>42123</v>
      </c>
      <c r="S330" s="1">
        <v>240478</v>
      </c>
      <c r="T330" s="1">
        <v>4200</v>
      </c>
      <c r="U330" s="1">
        <v>2286</v>
      </c>
      <c r="V330" s="1" t="s">
        <v>1122</v>
      </c>
      <c r="W330" s="1" t="s">
        <v>264</v>
      </c>
      <c r="Y330" s="1">
        <v>5</v>
      </c>
      <c r="Z330" s="1" t="s">
        <v>370</v>
      </c>
      <c r="AA330" s="1" t="s">
        <v>1123</v>
      </c>
      <c r="AB330" s="1">
        <v>60502</v>
      </c>
      <c r="AE330" s="1" t="s">
        <v>4845</v>
      </c>
      <c r="AF330" s="1">
        <v>2000</v>
      </c>
      <c r="AG330" s="1" t="s">
        <v>204</v>
      </c>
      <c r="AH330" s="1" t="s">
        <v>1126</v>
      </c>
      <c r="AI330" s="1" t="s">
        <v>206</v>
      </c>
      <c r="AJ330" s="1" t="s">
        <v>924</v>
      </c>
      <c r="AK330" s="1" t="s">
        <v>1127</v>
      </c>
      <c r="AL330" s="1">
        <v>5</v>
      </c>
      <c r="AM330" s="1">
        <v>2</v>
      </c>
      <c r="AN330" s="1">
        <v>2</v>
      </c>
      <c r="AO330" s="1">
        <v>1</v>
      </c>
      <c r="AP330" s="1" t="s">
        <v>209</v>
      </c>
      <c r="AR330" s="1" t="s">
        <v>210</v>
      </c>
      <c r="AS330" s="1" t="s">
        <v>204</v>
      </c>
      <c r="AT330" s="1" t="s">
        <v>211</v>
      </c>
      <c r="AU330" s="1">
        <v>2</v>
      </c>
      <c r="AW330" s="1" t="s">
        <v>204</v>
      </c>
      <c r="AX330" s="1">
        <v>0</v>
      </c>
      <c r="AZ330" s="1">
        <v>3319</v>
      </c>
      <c r="BA330" s="1">
        <v>2013</v>
      </c>
      <c r="BE330" s="1">
        <v>1404</v>
      </c>
      <c r="BF330" s="1">
        <v>1</v>
      </c>
      <c r="BG330" s="1">
        <v>0</v>
      </c>
      <c r="BL330" s="1">
        <v>184</v>
      </c>
      <c r="BM330" s="1" t="s">
        <v>204</v>
      </c>
      <c r="BN330" s="1" t="s">
        <v>213</v>
      </c>
      <c r="BO330" s="1">
        <v>0</v>
      </c>
      <c r="BP330" s="1" t="s">
        <v>204</v>
      </c>
      <c r="BR330" s="1" t="str">
        <f>"0719104166"</f>
        <v>0719104166</v>
      </c>
      <c r="BT330" s="1" t="s">
        <v>4846</v>
      </c>
      <c r="BX330" s="1">
        <v>204</v>
      </c>
      <c r="BY330" s="1">
        <v>204</v>
      </c>
      <c r="BZ330" s="1">
        <v>204</v>
      </c>
      <c r="CB330" s="1" t="str">
        <f t="shared" ref="CB330:CC330" si="262">""</f>
        <v/>
      </c>
      <c r="CC330" s="1" t="str">
        <f t="shared" si="262"/>
        <v/>
      </c>
      <c r="CG330" s="1" t="s">
        <v>1533</v>
      </c>
      <c r="CH330" s="1" t="s">
        <v>219</v>
      </c>
      <c r="CK330" s="1" t="s">
        <v>932</v>
      </c>
      <c r="CL330" s="1" t="s">
        <v>277</v>
      </c>
      <c r="CO330" s="1" t="s">
        <v>380</v>
      </c>
      <c r="CP330" s="1" t="s">
        <v>219</v>
      </c>
      <c r="CS330" s="1" t="s">
        <v>1046</v>
      </c>
      <c r="CT330" s="1" t="s">
        <v>277</v>
      </c>
      <c r="CX330" s="1" t="s">
        <v>224</v>
      </c>
      <c r="DB330" s="1" t="s">
        <v>224</v>
      </c>
      <c r="DE330" s="1" t="s">
        <v>2138</v>
      </c>
      <c r="DF330" s="1" t="s">
        <v>219</v>
      </c>
      <c r="DJ330" s="1" t="s">
        <v>224</v>
      </c>
      <c r="DS330" s="1" t="s">
        <v>230</v>
      </c>
      <c r="DW330" s="1" t="s">
        <v>230</v>
      </c>
      <c r="EA330" s="1" t="s">
        <v>230</v>
      </c>
      <c r="EE330" s="1" t="s">
        <v>230</v>
      </c>
      <c r="EI330" s="1" t="s">
        <v>230</v>
      </c>
      <c r="EL330" s="1" t="s">
        <v>466</v>
      </c>
      <c r="EM330" s="1" t="s">
        <v>319</v>
      </c>
      <c r="EN330" s="1" t="s">
        <v>282</v>
      </c>
      <c r="EO330" s="1" t="s">
        <v>234</v>
      </c>
      <c r="ER330" s="1" t="s">
        <v>210</v>
      </c>
      <c r="EV330" s="1" t="s">
        <v>240</v>
      </c>
      <c r="EW330" s="1" t="s">
        <v>867</v>
      </c>
      <c r="EZ330" s="1" t="s">
        <v>287</v>
      </c>
      <c r="FD330" s="1" t="s">
        <v>246</v>
      </c>
      <c r="FE330" s="1" t="s">
        <v>472</v>
      </c>
      <c r="FF330" s="1" t="s">
        <v>248</v>
      </c>
      <c r="FH330" s="1" t="s">
        <v>550</v>
      </c>
      <c r="FL330" s="1" t="s">
        <v>810</v>
      </c>
      <c r="FM330" s="1" t="s">
        <v>252</v>
      </c>
      <c r="FN330" s="1" t="s">
        <v>213</v>
      </c>
      <c r="FO330" s="1" t="s">
        <v>213</v>
      </c>
      <c r="FQ330" s="1" t="s">
        <v>689</v>
      </c>
      <c r="FR330" s="1" t="s">
        <v>210</v>
      </c>
      <c r="FS330" s="1" t="s">
        <v>4314</v>
      </c>
      <c r="FT330" s="1" t="s">
        <v>1828</v>
      </c>
      <c r="FU330" s="1" t="s">
        <v>204</v>
      </c>
      <c r="FW330" s="1" t="s">
        <v>813</v>
      </c>
      <c r="FX330" s="1">
        <v>23286</v>
      </c>
      <c r="FY330" s="1" t="s">
        <v>4315</v>
      </c>
      <c r="FZ330" s="1" t="s">
        <v>4316</v>
      </c>
      <c r="GA330" s="1">
        <v>223647</v>
      </c>
      <c r="GB330" s="1" t="s">
        <v>4317</v>
      </c>
      <c r="GC330" s="1">
        <v>230243</v>
      </c>
      <c r="GE330" s="1" t="s">
        <v>210</v>
      </c>
      <c r="GI330" s="1" t="s">
        <v>213</v>
      </c>
      <c r="GJ330" s="1" t="s">
        <v>260</v>
      </c>
      <c r="GK330" s="1" t="s">
        <v>210</v>
      </c>
      <c r="GL330" s="2">
        <v>42124</v>
      </c>
      <c r="GM330" s="1" t="s">
        <v>4847</v>
      </c>
    </row>
    <row r="331" spans="1:195">
      <c r="A331" s="1">
        <v>85000</v>
      </c>
      <c r="B331" s="1" t="s">
        <v>195</v>
      </c>
      <c r="C331" s="1" t="str">
        <f>"08792222"</f>
        <v>08792222</v>
      </c>
      <c r="D331" s="1" t="s">
        <v>196</v>
      </c>
      <c r="F331" s="1" t="str">
        <f>"8064"</f>
        <v>8064</v>
      </c>
      <c r="G331" s="2">
        <v>41967</v>
      </c>
      <c r="H331" s="1">
        <v>99900</v>
      </c>
      <c r="I331" s="1">
        <v>89900</v>
      </c>
      <c r="J331" s="1">
        <v>85000</v>
      </c>
      <c r="K331" s="2">
        <v>41967</v>
      </c>
      <c r="L331" s="1">
        <v>122</v>
      </c>
      <c r="M331" s="2">
        <v>42088</v>
      </c>
      <c r="N331" s="1">
        <v>122</v>
      </c>
      <c r="O331" s="2">
        <v>42088</v>
      </c>
      <c r="P331" s="1">
        <v>12174</v>
      </c>
      <c r="Q331" s="1" t="s">
        <v>197</v>
      </c>
      <c r="R331" s="2">
        <v>42143</v>
      </c>
      <c r="S331" s="1">
        <v>116577</v>
      </c>
      <c r="U331" s="1">
        <v>6252</v>
      </c>
      <c r="V331" s="1" t="s">
        <v>4848</v>
      </c>
      <c r="W331" s="1" t="s">
        <v>425</v>
      </c>
      <c r="X331" s="1" t="s">
        <v>4849</v>
      </c>
      <c r="Y331" s="1">
        <v>6</v>
      </c>
      <c r="Z331" s="1" t="s">
        <v>249</v>
      </c>
      <c r="AA331" s="1" t="s">
        <v>400</v>
      </c>
      <c r="AB331" s="1">
        <v>60638</v>
      </c>
      <c r="AE331" s="1" t="s">
        <v>4850</v>
      </c>
      <c r="AF331" s="1">
        <v>1984</v>
      </c>
      <c r="AG331" s="1" t="s">
        <v>204</v>
      </c>
      <c r="AH331" s="1" t="s">
        <v>403</v>
      </c>
      <c r="AI331" s="1" t="s">
        <v>310</v>
      </c>
      <c r="AJ331" s="1" t="s">
        <v>683</v>
      </c>
      <c r="AL331" s="1">
        <v>5</v>
      </c>
      <c r="AM331" s="1">
        <v>2</v>
      </c>
      <c r="AN331" s="1">
        <v>1</v>
      </c>
      <c r="AO331" s="1">
        <v>1</v>
      </c>
      <c r="AP331" s="1" t="s">
        <v>1234</v>
      </c>
      <c r="AQ331" s="1">
        <v>0</v>
      </c>
      <c r="AR331" s="1" t="s">
        <v>210</v>
      </c>
      <c r="AS331" s="1" t="s">
        <v>204</v>
      </c>
      <c r="AT331" s="1" t="s">
        <v>271</v>
      </c>
      <c r="AV331" s="1">
        <v>0</v>
      </c>
      <c r="AW331" s="1" t="s">
        <v>204</v>
      </c>
      <c r="AX331" s="1" t="s">
        <v>270</v>
      </c>
      <c r="AZ331" s="1">
        <v>1299.79</v>
      </c>
      <c r="BA331" s="1">
        <v>2012</v>
      </c>
      <c r="BE331" s="1">
        <v>950</v>
      </c>
      <c r="BF331" s="1">
        <v>2</v>
      </c>
      <c r="BG331" s="1">
        <v>0</v>
      </c>
      <c r="BL331" s="1">
        <v>184</v>
      </c>
      <c r="BM331" s="1" t="s">
        <v>204</v>
      </c>
      <c r="BN331" s="1" t="s">
        <v>213</v>
      </c>
      <c r="BO331" s="1">
        <v>20</v>
      </c>
      <c r="BP331" s="1" t="s">
        <v>204</v>
      </c>
      <c r="BR331" s="1" t="str">
        <f>"19183020741009"</f>
        <v>19183020741009</v>
      </c>
      <c r="BT331" s="1" t="s">
        <v>4851</v>
      </c>
      <c r="BX331" s="1">
        <v>299</v>
      </c>
      <c r="BY331" s="1">
        <v>299</v>
      </c>
      <c r="BZ331" s="1">
        <v>299</v>
      </c>
      <c r="CB331" s="1" t="str">
        <f t="shared" ref="CB331:CC331" si="263">"0"</f>
        <v>0</v>
      </c>
      <c r="CC331" s="1" t="str">
        <f t="shared" si="263"/>
        <v>0</v>
      </c>
      <c r="CD331" s="1">
        <v>6900</v>
      </c>
      <c r="CE331" s="1">
        <v>6300</v>
      </c>
      <c r="CF331" s="1">
        <v>299</v>
      </c>
      <c r="CG331" s="1" t="s">
        <v>1045</v>
      </c>
      <c r="CH331" s="1" t="s">
        <v>277</v>
      </c>
      <c r="CK331" s="1" t="s">
        <v>1045</v>
      </c>
      <c r="CL331" s="1" t="s">
        <v>277</v>
      </c>
      <c r="CO331" s="1" t="s">
        <v>758</v>
      </c>
      <c r="CP331" s="1" t="s">
        <v>277</v>
      </c>
      <c r="CS331" s="1" t="s">
        <v>317</v>
      </c>
      <c r="CT331" s="1" t="s">
        <v>277</v>
      </c>
      <c r="CX331" s="1" t="s">
        <v>224</v>
      </c>
      <c r="DB331" s="1" t="s">
        <v>224</v>
      </c>
      <c r="DE331" s="1" t="s">
        <v>4852</v>
      </c>
      <c r="DF331" s="1" t="s">
        <v>277</v>
      </c>
      <c r="DJ331" s="1" t="s">
        <v>224</v>
      </c>
      <c r="DS331" s="1" t="s">
        <v>230</v>
      </c>
      <c r="DW331" s="1" t="s">
        <v>230</v>
      </c>
      <c r="EA331" s="1" t="s">
        <v>230</v>
      </c>
      <c r="EE331" s="1" t="s">
        <v>230</v>
      </c>
      <c r="EI331" s="1" t="s">
        <v>230</v>
      </c>
      <c r="EL331" s="1" t="s">
        <v>231</v>
      </c>
      <c r="EM331" s="1" t="s">
        <v>232</v>
      </c>
      <c r="EN331" s="1" t="s">
        <v>282</v>
      </c>
      <c r="EO331" s="1" t="s">
        <v>234</v>
      </c>
      <c r="EP331" s="1" t="s">
        <v>543</v>
      </c>
      <c r="ER331" s="1" t="s">
        <v>210</v>
      </c>
      <c r="EW331" s="1" t="s">
        <v>1804</v>
      </c>
      <c r="EZ331" s="1" t="s">
        <v>287</v>
      </c>
      <c r="FC331" s="1" t="s">
        <v>1386</v>
      </c>
      <c r="FD331" s="1" t="s">
        <v>888</v>
      </c>
      <c r="FE331" s="1" t="s">
        <v>247</v>
      </c>
      <c r="FF331" s="1" t="s">
        <v>248</v>
      </c>
      <c r="FH331" s="1" t="s">
        <v>249</v>
      </c>
      <c r="FJ331" s="1" t="s">
        <v>197</v>
      </c>
      <c r="FK331" s="1" t="s">
        <v>1757</v>
      </c>
      <c r="FL331" s="1" t="s">
        <v>358</v>
      </c>
      <c r="FM331" s="1" t="s">
        <v>252</v>
      </c>
      <c r="FN331" s="1" t="s">
        <v>213</v>
      </c>
      <c r="FO331" s="1" t="s">
        <v>213</v>
      </c>
      <c r="FQ331" s="1" t="s">
        <v>4853</v>
      </c>
      <c r="FR331" s="1" t="s">
        <v>210</v>
      </c>
      <c r="FS331" s="1" t="s">
        <v>4854</v>
      </c>
      <c r="FT331" s="1" t="s">
        <v>4855</v>
      </c>
      <c r="FU331" s="1" t="s">
        <v>204</v>
      </c>
      <c r="FW331" s="1" t="s">
        <v>4856</v>
      </c>
      <c r="FX331" s="1">
        <v>84818</v>
      </c>
      <c r="FY331" s="1" t="s">
        <v>4857</v>
      </c>
      <c r="FZ331" s="1" t="s">
        <v>4858</v>
      </c>
      <c r="GA331" s="1">
        <v>110478</v>
      </c>
      <c r="GB331" s="1" t="s">
        <v>4857</v>
      </c>
      <c r="GE331" s="1" t="s">
        <v>210</v>
      </c>
      <c r="GH331" s="1" t="s">
        <v>421</v>
      </c>
      <c r="GI331" s="1" t="s">
        <v>213</v>
      </c>
      <c r="GJ331" s="1" t="s">
        <v>260</v>
      </c>
      <c r="GK331" s="1" t="s">
        <v>210</v>
      </c>
      <c r="GL331" s="2">
        <v>42143</v>
      </c>
      <c r="GM331" s="1" t="s">
        <v>4859</v>
      </c>
    </row>
    <row r="332" spans="1:195">
      <c r="A332" s="1">
        <v>140000</v>
      </c>
      <c r="B332" s="1" t="s">
        <v>195</v>
      </c>
      <c r="C332" s="1" t="str">
        <f>"08774520"</f>
        <v>08774520</v>
      </c>
      <c r="D332" s="1" t="s">
        <v>196</v>
      </c>
      <c r="F332" s="1" t="str">
        <f>"540"</f>
        <v>540</v>
      </c>
      <c r="G332" s="2">
        <v>41955</v>
      </c>
      <c r="H332" s="1">
        <v>154900</v>
      </c>
      <c r="I332" s="1">
        <v>139900</v>
      </c>
      <c r="J332" s="1">
        <v>140000</v>
      </c>
      <c r="K332" s="2">
        <v>41955</v>
      </c>
      <c r="L332" s="1">
        <v>87</v>
      </c>
      <c r="M332" s="2">
        <v>42041</v>
      </c>
      <c r="N332" s="1">
        <v>87</v>
      </c>
      <c r="O332" s="2">
        <v>42041</v>
      </c>
      <c r="P332" s="1">
        <v>23156</v>
      </c>
      <c r="Q332" s="1" t="s">
        <v>302</v>
      </c>
      <c r="R332" s="2">
        <v>42055</v>
      </c>
      <c r="S332" s="1">
        <v>232038</v>
      </c>
      <c r="U332" s="1">
        <v>2459</v>
      </c>
      <c r="V332" s="1" t="s">
        <v>4860</v>
      </c>
      <c r="W332" s="1" t="s">
        <v>264</v>
      </c>
      <c r="X332" s="1">
        <v>202</v>
      </c>
      <c r="Y332" s="1">
        <v>8</v>
      </c>
      <c r="Z332" s="1" t="s">
        <v>370</v>
      </c>
      <c r="AA332" s="1" t="s">
        <v>921</v>
      </c>
      <c r="AB332" s="1">
        <v>60564</v>
      </c>
      <c r="AE332" s="1" t="s">
        <v>4861</v>
      </c>
      <c r="AF332" s="1">
        <v>2000</v>
      </c>
      <c r="AG332" s="1" t="s">
        <v>204</v>
      </c>
      <c r="AH332" s="1" t="s">
        <v>924</v>
      </c>
      <c r="AI332" s="1" t="s">
        <v>1800</v>
      </c>
      <c r="AJ332" s="1" t="s">
        <v>1801</v>
      </c>
      <c r="AL332" s="1">
        <v>5</v>
      </c>
      <c r="AM332" s="1">
        <v>2</v>
      </c>
      <c r="AN332" s="1">
        <v>2</v>
      </c>
      <c r="AO332" s="1">
        <v>0</v>
      </c>
      <c r="AP332" s="1" t="s">
        <v>210</v>
      </c>
      <c r="AQ332" s="1">
        <v>1</v>
      </c>
      <c r="AR332" s="1" t="s">
        <v>210</v>
      </c>
      <c r="AS332" s="1" t="s">
        <v>204</v>
      </c>
      <c r="AT332" s="1" t="s">
        <v>211</v>
      </c>
      <c r="AU332" s="1">
        <v>1</v>
      </c>
      <c r="AW332" s="1" t="s">
        <v>204</v>
      </c>
      <c r="AX332" s="1" t="s">
        <v>212</v>
      </c>
      <c r="AZ332" s="1">
        <v>3547.02</v>
      </c>
      <c r="BA332" s="1">
        <v>2012</v>
      </c>
      <c r="BE332" s="1">
        <v>1304</v>
      </c>
      <c r="BF332" s="1">
        <v>2</v>
      </c>
      <c r="BG332" s="1">
        <v>0</v>
      </c>
      <c r="BL332" s="1">
        <v>255</v>
      </c>
      <c r="BM332" s="1" t="s">
        <v>204</v>
      </c>
      <c r="BN332" s="1" t="s">
        <v>213</v>
      </c>
      <c r="BO332" s="1">
        <v>999</v>
      </c>
      <c r="BP332" s="1" t="s">
        <v>204</v>
      </c>
      <c r="BR332" s="1" t="str">
        <f>"01031020371006"</f>
        <v>01031020371006</v>
      </c>
      <c r="BT332" s="1" t="s">
        <v>4862</v>
      </c>
      <c r="BX332" s="1">
        <v>204</v>
      </c>
      <c r="BY332" s="1">
        <v>204</v>
      </c>
      <c r="BZ332" s="1">
        <v>204</v>
      </c>
      <c r="CB332" s="1" t="str">
        <f t="shared" ref="CB332:CC332" si="264">""</f>
        <v/>
      </c>
      <c r="CC332" s="1" t="str">
        <f t="shared" si="264"/>
        <v/>
      </c>
      <c r="CG332" s="1" t="s">
        <v>1402</v>
      </c>
      <c r="CH332" s="1" t="s">
        <v>277</v>
      </c>
      <c r="CK332" s="1" t="s">
        <v>2170</v>
      </c>
      <c r="CL332" s="1" t="s">
        <v>277</v>
      </c>
      <c r="CO332" s="1" t="s">
        <v>836</v>
      </c>
      <c r="CP332" s="1" t="s">
        <v>277</v>
      </c>
      <c r="CS332" s="1" t="s">
        <v>2070</v>
      </c>
      <c r="CT332" s="1" t="s">
        <v>277</v>
      </c>
      <c r="CX332" s="1" t="s">
        <v>224</v>
      </c>
      <c r="DB332" s="1" t="s">
        <v>224</v>
      </c>
      <c r="DE332" s="1" t="s">
        <v>4863</v>
      </c>
      <c r="DF332" s="1" t="s">
        <v>277</v>
      </c>
      <c r="DJ332" s="1" t="s">
        <v>224</v>
      </c>
      <c r="DS332" s="1" t="s">
        <v>230</v>
      </c>
      <c r="DW332" s="1" t="s">
        <v>230</v>
      </c>
      <c r="EA332" s="1" t="s">
        <v>230</v>
      </c>
      <c r="EE332" s="1" t="s">
        <v>230</v>
      </c>
      <c r="EI332" s="1" t="s">
        <v>230</v>
      </c>
      <c r="EL332" s="1" t="s">
        <v>466</v>
      </c>
      <c r="EM332" s="1" t="s">
        <v>232</v>
      </c>
      <c r="EN332" s="1" t="s">
        <v>282</v>
      </c>
      <c r="EO332" s="1" t="s">
        <v>234</v>
      </c>
      <c r="ER332" s="1" t="s">
        <v>210</v>
      </c>
      <c r="EW332" s="1" t="s">
        <v>1804</v>
      </c>
      <c r="EZ332" s="1" t="s">
        <v>287</v>
      </c>
      <c r="FD332" s="1" t="s">
        <v>246</v>
      </c>
      <c r="FE332" s="1" t="s">
        <v>870</v>
      </c>
      <c r="FF332" s="1" t="s">
        <v>248</v>
      </c>
      <c r="FH332" s="1" t="s">
        <v>249</v>
      </c>
      <c r="FL332" s="1" t="s">
        <v>358</v>
      </c>
      <c r="FM332" s="1" t="s">
        <v>252</v>
      </c>
      <c r="FN332" s="1" t="s">
        <v>213</v>
      </c>
      <c r="FO332" s="1" t="s">
        <v>213</v>
      </c>
      <c r="FQ332" s="1" t="s">
        <v>582</v>
      </c>
      <c r="FR332" s="1" t="s">
        <v>210</v>
      </c>
      <c r="FS332" s="1" t="s">
        <v>1805</v>
      </c>
      <c r="FT332" s="1" t="s">
        <v>584</v>
      </c>
      <c r="FU332" s="1" t="s">
        <v>204</v>
      </c>
      <c r="FW332" s="1" t="s">
        <v>1806</v>
      </c>
      <c r="FX332" s="1">
        <v>25196</v>
      </c>
      <c r="FY332" s="1" t="s">
        <v>1807</v>
      </c>
      <c r="FZ332" s="1" t="s">
        <v>1808</v>
      </c>
      <c r="GA332" s="1">
        <v>214545</v>
      </c>
      <c r="GB332" s="1" t="s">
        <v>1807</v>
      </c>
      <c r="GC332" s="1">
        <v>239627</v>
      </c>
      <c r="GE332" s="1" t="s">
        <v>335</v>
      </c>
      <c r="GI332" s="1" t="s">
        <v>213</v>
      </c>
      <c r="GJ332" s="1" t="s">
        <v>260</v>
      </c>
      <c r="GK332" s="1" t="s">
        <v>210</v>
      </c>
      <c r="GL332" s="2">
        <v>42055</v>
      </c>
      <c r="GM332" s="1" t="s">
        <v>4864</v>
      </c>
    </row>
    <row r="333" spans="1:195">
      <c r="A333" s="1">
        <v>95500</v>
      </c>
      <c r="B333" s="1" t="s">
        <v>195</v>
      </c>
      <c r="C333" s="1" t="str">
        <f>"08793485"</f>
        <v>08793485</v>
      </c>
      <c r="D333" s="1" t="s">
        <v>196</v>
      </c>
      <c r="F333" s="1" t="str">
        <f>"107"</f>
        <v>107</v>
      </c>
      <c r="G333" s="2">
        <v>41971</v>
      </c>
      <c r="H333" s="1">
        <v>99500</v>
      </c>
      <c r="I333" s="1">
        <v>95000</v>
      </c>
      <c r="J333" s="1">
        <v>95500</v>
      </c>
      <c r="K333" s="2">
        <v>41968</v>
      </c>
      <c r="L333" s="1">
        <v>125</v>
      </c>
      <c r="M333" s="2">
        <v>42092</v>
      </c>
      <c r="N333" s="1">
        <v>125</v>
      </c>
      <c r="O333" s="2">
        <v>42092</v>
      </c>
      <c r="P333" s="1">
        <v>143</v>
      </c>
      <c r="Q333" s="1" t="s">
        <v>423</v>
      </c>
      <c r="R333" s="2">
        <v>42142</v>
      </c>
      <c r="S333" s="1">
        <v>7957</v>
      </c>
      <c r="U333" s="1">
        <v>1425</v>
      </c>
      <c r="V333" s="1" t="s">
        <v>4865</v>
      </c>
      <c r="W333" s="1" t="s">
        <v>425</v>
      </c>
      <c r="Y333" s="1">
        <v>4</v>
      </c>
      <c r="Z333" s="1" t="s">
        <v>370</v>
      </c>
      <c r="AA333" s="1" t="s">
        <v>1211</v>
      </c>
      <c r="AB333" s="1">
        <v>60107</v>
      </c>
      <c r="AD333" s="1" t="s">
        <v>4866</v>
      </c>
      <c r="AE333" s="1" t="s">
        <v>4867</v>
      </c>
      <c r="AF333" s="1">
        <v>1974</v>
      </c>
      <c r="AG333" s="1" t="s">
        <v>213</v>
      </c>
      <c r="AH333" s="1" t="s">
        <v>339</v>
      </c>
      <c r="AI333" s="1" t="s">
        <v>310</v>
      </c>
      <c r="AJ333" s="1" t="s">
        <v>374</v>
      </c>
      <c r="AL333" s="1">
        <v>4</v>
      </c>
      <c r="AM333" s="1">
        <v>2</v>
      </c>
      <c r="AN333" s="1">
        <v>1</v>
      </c>
      <c r="AO333" s="1">
        <v>1</v>
      </c>
      <c r="AP333" s="1" t="s">
        <v>210</v>
      </c>
      <c r="AR333" s="1" t="s">
        <v>210</v>
      </c>
      <c r="AS333" s="1" t="s">
        <v>204</v>
      </c>
      <c r="AT333" s="1" t="s">
        <v>271</v>
      </c>
      <c r="AV333" s="1">
        <v>1</v>
      </c>
      <c r="AW333" s="1" t="s">
        <v>204</v>
      </c>
      <c r="AX333" s="1" t="s">
        <v>4868</v>
      </c>
      <c r="AZ333" s="1">
        <v>3450.89</v>
      </c>
      <c r="BA333" s="1">
        <v>2013</v>
      </c>
      <c r="BE333" s="1">
        <v>1000</v>
      </c>
      <c r="BF333" s="1">
        <v>1</v>
      </c>
      <c r="BG333" s="1">
        <v>0</v>
      </c>
      <c r="BL333" s="1">
        <v>170</v>
      </c>
      <c r="BM333" s="1" t="s">
        <v>204</v>
      </c>
      <c r="BN333" s="1" t="s">
        <v>213</v>
      </c>
      <c r="BO333" s="1">
        <v>999</v>
      </c>
      <c r="BP333" s="1" t="s">
        <v>204</v>
      </c>
      <c r="BR333" s="1" t="str">
        <f>"06253120090000"</f>
        <v>06253120090000</v>
      </c>
      <c r="BT333" s="1" t="s">
        <v>4869</v>
      </c>
      <c r="BX333" s="1">
        <v>46</v>
      </c>
      <c r="BY333" s="1">
        <v>46</v>
      </c>
      <c r="BZ333" s="1">
        <v>46</v>
      </c>
      <c r="CB333" s="1" t="str">
        <f t="shared" ref="CB333:CC333" si="265">""</f>
        <v/>
      </c>
      <c r="CC333" s="1" t="str">
        <f t="shared" si="265"/>
        <v/>
      </c>
      <c r="CG333" s="1" t="s">
        <v>315</v>
      </c>
      <c r="CH333" s="1" t="s">
        <v>219</v>
      </c>
      <c r="CI333" s="1" t="s">
        <v>229</v>
      </c>
      <c r="CK333" s="1" t="s">
        <v>757</v>
      </c>
      <c r="CL333" s="1" t="s">
        <v>277</v>
      </c>
      <c r="CM333" s="1" t="s">
        <v>220</v>
      </c>
      <c r="CP333" s="1" t="s">
        <v>224</v>
      </c>
      <c r="CS333" s="1" t="s">
        <v>465</v>
      </c>
      <c r="CT333" s="1" t="s">
        <v>277</v>
      </c>
      <c r="CU333" s="1" t="s">
        <v>220</v>
      </c>
      <c r="CX333" s="1" t="s">
        <v>224</v>
      </c>
      <c r="DB333" s="1" t="s">
        <v>224</v>
      </c>
      <c r="DE333" s="1" t="s">
        <v>1297</v>
      </c>
      <c r="DF333" s="1" t="s">
        <v>219</v>
      </c>
      <c r="DG333" s="1" t="s">
        <v>226</v>
      </c>
      <c r="DJ333" s="1" t="s">
        <v>224</v>
      </c>
      <c r="DS333" s="1" t="s">
        <v>230</v>
      </c>
      <c r="DW333" s="1" t="s">
        <v>230</v>
      </c>
      <c r="EA333" s="1" t="s">
        <v>230</v>
      </c>
      <c r="EE333" s="1" t="s">
        <v>230</v>
      </c>
      <c r="EI333" s="1" t="s">
        <v>230</v>
      </c>
      <c r="EL333" s="1" t="s">
        <v>231</v>
      </c>
      <c r="EM333" s="1" t="s">
        <v>319</v>
      </c>
      <c r="EN333" s="1" t="s">
        <v>282</v>
      </c>
      <c r="EO333" s="1" t="s">
        <v>234</v>
      </c>
      <c r="EQ333" s="1" t="s">
        <v>492</v>
      </c>
      <c r="ER333" s="1" t="s">
        <v>210</v>
      </c>
      <c r="ES333" s="1" t="s">
        <v>322</v>
      </c>
      <c r="EU333" s="1" t="s">
        <v>546</v>
      </c>
      <c r="EW333" s="1" t="s">
        <v>887</v>
      </c>
      <c r="EZ333" s="1" t="s">
        <v>287</v>
      </c>
      <c r="FD333" s="1" t="s">
        <v>246</v>
      </c>
      <c r="FE333" s="1" t="s">
        <v>247</v>
      </c>
      <c r="FF333" s="1" t="s">
        <v>248</v>
      </c>
      <c r="FH333" s="1" t="s">
        <v>550</v>
      </c>
      <c r="FL333" s="1" t="s">
        <v>358</v>
      </c>
      <c r="FM333" s="1" t="s">
        <v>252</v>
      </c>
      <c r="FN333" s="1" t="s">
        <v>213</v>
      </c>
      <c r="FO333" s="1" t="s">
        <v>213</v>
      </c>
      <c r="FQ333" s="1" t="s">
        <v>849</v>
      </c>
      <c r="FR333" s="1" t="s">
        <v>210</v>
      </c>
      <c r="FS333" s="1" t="s">
        <v>4870</v>
      </c>
      <c r="FT333" s="1" t="s">
        <v>295</v>
      </c>
      <c r="FU333" s="1" t="s">
        <v>204</v>
      </c>
      <c r="FW333" s="1" t="s">
        <v>4871</v>
      </c>
      <c r="FX333" s="1">
        <v>1481</v>
      </c>
      <c r="FY333" s="1" t="s">
        <v>4872</v>
      </c>
      <c r="FZ333" s="1" t="s">
        <v>4873</v>
      </c>
      <c r="GA333" s="1">
        <v>28920</v>
      </c>
      <c r="GB333" s="1" t="s">
        <v>4874</v>
      </c>
      <c r="GE333" s="1" t="s">
        <v>210</v>
      </c>
      <c r="GI333" s="1" t="s">
        <v>213</v>
      </c>
      <c r="GJ333" s="1" t="s">
        <v>260</v>
      </c>
      <c r="GK333" s="1" t="s">
        <v>210</v>
      </c>
      <c r="GL333" s="2">
        <v>42150</v>
      </c>
    </row>
    <row r="334" spans="1:195">
      <c r="A334" s="1">
        <v>65126</v>
      </c>
      <c r="B334" s="1" t="s">
        <v>195</v>
      </c>
      <c r="C334" s="1" t="str">
        <f>"08792273"</f>
        <v>08792273</v>
      </c>
      <c r="D334" s="1" t="s">
        <v>196</v>
      </c>
      <c r="F334" s="1" t="str">
        <f>"176"</f>
        <v>176</v>
      </c>
      <c r="G334" s="2">
        <v>41967</v>
      </c>
      <c r="H334" s="1">
        <v>57300</v>
      </c>
      <c r="I334" s="1">
        <v>57300</v>
      </c>
      <c r="J334" s="1">
        <v>65126</v>
      </c>
      <c r="K334" s="2">
        <v>41967</v>
      </c>
      <c r="L334" s="1">
        <v>19</v>
      </c>
      <c r="M334" s="2">
        <v>41985</v>
      </c>
      <c r="N334" s="1">
        <v>19</v>
      </c>
      <c r="O334" s="2">
        <v>41985</v>
      </c>
      <c r="P334" s="1">
        <v>37814</v>
      </c>
      <c r="Q334" s="1" t="s">
        <v>302</v>
      </c>
      <c r="R334" s="2">
        <v>42020</v>
      </c>
      <c r="S334" s="1">
        <v>370692</v>
      </c>
      <c r="U334" s="1">
        <v>4934</v>
      </c>
      <c r="V334" s="1" t="s">
        <v>4875</v>
      </c>
      <c r="W334" s="1" t="s">
        <v>425</v>
      </c>
      <c r="X334" s="1" t="s">
        <v>1747</v>
      </c>
      <c r="Y334" s="1">
        <v>12</v>
      </c>
      <c r="Z334" s="1" t="s">
        <v>249</v>
      </c>
      <c r="AA334" s="1" t="s">
        <v>306</v>
      </c>
      <c r="AB334" s="1">
        <v>60176</v>
      </c>
      <c r="AE334" s="1" t="s">
        <v>4876</v>
      </c>
      <c r="AF334" s="1" t="s">
        <v>402</v>
      </c>
      <c r="AG334" s="1" t="s">
        <v>213</v>
      </c>
      <c r="AH334" s="1" t="s">
        <v>309</v>
      </c>
      <c r="AI334" s="1" t="s">
        <v>310</v>
      </c>
      <c r="AJ334" s="1" t="s">
        <v>311</v>
      </c>
      <c r="AL334" s="1">
        <v>4</v>
      </c>
      <c r="AM334" s="1">
        <v>2</v>
      </c>
      <c r="AN334" s="1">
        <v>1</v>
      </c>
      <c r="AO334" s="1">
        <v>0</v>
      </c>
      <c r="AP334" s="1" t="s">
        <v>210</v>
      </c>
      <c r="AR334" s="1" t="s">
        <v>210</v>
      </c>
      <c r="AS334" s="1" t="s">
        <v>204</v>
      </c>
      <c r="AT334" s="1" t="s">
        <v>271</v>
      </c>
      <c r="AV334" s="1">
        <v>1</v>
      </c>
      <c r="AW334" s="1" t="s">
        <v>204</v>
      </c>
      <c r="AX334" s="1" t="s">
        <v>212</v>
      </c>
      <c r="AZ334" s="5">
        <v>2681.7</v>
      </c>
      <c r="BA334" s="1">
        <v>2012</v>
      </c>
      <c r="BE334" s="1">
        <v>0</v>
      </c>
      <c r="BF334" s="1">
        <v>3</v>
      </c>
      <c r="BG334" s="1">
        <v>30</v>
      </c>
      <c r="BL334" s="1">
        <v>233</v>
      </c>
      <c r="BM334" s="1" t="s">
        <v>204</v>
      </c>
      <c r="BN334" s="1" t="s">
        <v>213</v>
      </c>
      <c r="BO334" s="1">
        <v>50</v>
      </c>
      <c r="BP334" s="1" t="s">
        <v>204</v>
      </c>
      <c r="BR334" s="1" t="str">
        <f>"12094220471009"</f>
        <v>12094220471009</v>
      </c>
      <c r="BT334" s="1" t="s">
        <v>4877</v>
      </c>
      <c r="BX334" s="1">
        <v>81</v>
      </c>
      <c r="BY334" s="1">
        <v>81</v>
      </c>
      <c r="BZ334" s="1">
        <v>212</v>
      </c>
      <c r="CB334" s="1" t="str">
        <f>"4934"</f>
        <v>4934</v>
      </c>
      <c r="CC334" s="1" t="str">
        <f>"0"</f>
        <v>0</v>
      </c>
      <c r="CD334" s="1">
        <v>9700</v>
      </c>
      <c r="CE334" s="1">
        <v>0</v>
      </c>
      <c r="CG334" s="1" t="s">
        <v>1402</v>
      </c>
      <c r="CH334" s="1" t="s">
        <v>784</v>
      </c>
      <c r="CK334" s="1" t="s">
        <v>2170</v>
      </c>
      <c r="CL334" s="1" t="s">
        <v>784</v>
      </c>
      <c r="CP334" s="1" t="s">
        <v>224</v>
      </c>
      <c r="CS334" s="1" t="s">
        <v>318</v>
      </c>
      <c r="CT334" s="1" t="s">
        <v>784</v>
      </c>
      <c r="CX334" s="1" t="s">
        <v>224</v>
      </c>
      <c r="DB334" s="1" t="s">
        <v>224</v>
      </c>
      <c r="DE334" s="1" t="s">
        <v>2466</v>
      </c>
      <c r="DF334" s="1" t="s">
        <v>784</v>
      </c>
      <c r="DJ334" s="1" t="s">
        <v>224</v>
      </c>
      <c r="DS334" s="1" t="s">
        <v>230</v>
      </c>
      <c r="DW334" s="1" t="s">
        <v>230</v>
      </c>
      <c r="EA334" s="1" t="s">
        <v>230</v>
      </c>
      <c r="EE334" s="1" t="s">
        <v>230</v>
      </c>
      <c r="EI334" s="1" t="s">
        <v>230</v>
      </c>
      <c r="EL334" s="1" t="s">
        <v>413</v>
      </c>
      <c r="EM334" s="1" t="s">
        <v>232</v>
      </c>
      <c r="EN334" s="1" t="s">
        <v>210</v>
      </c>
      <c r="EO334" s="1" t="s">
        <v>234</v>
      </c>
      <c r="ER334" s="1" t="s">
        <v>210</v>
      </c>
      <c r="EW334" s="1" t="s">
        <v>2804</v>
      </c>
      <c r="EZ334" s="1" t="s">
        <v>287</v>
      </c>
      <c r="FB334" s="1" t="s">
        <v>289</v>
      </c>
      <c r="FC334" s="1" t="s">
        <v>1386</v>
      </c>
      <c r="FD334" s="1" t="s">
        <v>246</v>
      </c>
      <c r="FE334" s="1" t="s">
        <v>247</v>
      </c>
      <c r="FF334" s="1" t="s">
        <v>347</v>
      </c>
      <c r="FH334" s="1" t="s">
        <v>249</v>
      </c>
      <c r="FL334" s="1" t="s">
        <v>414</v>
      </c>
      <c r="FM334" s="1" t="s">
        <v>252</v>
      </c>
      <c r="FN334" s="1" t="s">
        <v>213</v>
      </c>
      <c r="FO334" s="1" t="s">
        <v>213</v>
      </c>
      <c r="FQ334" s="1" t="s">
        <v>2562</v>
      </c>
      <c r="FR334" s="1" t="s">
        <v>210</v>
      </c>
      <c r="FS334" s="1" t="s">
        <v>3507</v>
      </c>
      <c r="FT334" s="1" t="s">
        <v>2589</v>
      </c>
      <c r="FU334" s="1" t="s">
        <v>204</v>
      </c>
      <c r="FW334" s="1" t="s">
        <v>4878</v>
      </c>
      <c r="FX334" s="1">
        <v>85118</v>
      </c>
      <c r="FY334" s="1" t="s">
        <v>4879</v>
      </c>
      <c r="FZ334" s="1" t="s">
        <v>4880</v>
      </c>
      <c r="GA334" s="1">
        <v>125393</v>
      </c>
      <c r="GB334" s="1" t="s">
        <v>4881</v>
      </c>
      <c r="GE334" s="1" t="s">
        <v>210</v>
      </c>
      <c r="GI334" s="1" t="s">
        <v>204</v>
      </c>
      <c r="GJ334" s="1" t="s">
        <v>260</v>
      </c>
      <c r="GK334" s="1" t="s">
        <v>210</v>
      </c>
      <c r="GL334" s="2">
        <v>42021</v>
      </c>
    </row>
    <row r="335" spans="1:195">
      <c r="A335" s="1">
        <v>55000</v>
      </c>
      <c r="B335" s="1" t="s">
        <v>195</v>
      </c>
      <c r="C335" s="1" t="str">
        <f>"08792835"</f>
        <v>08792835</v>
      </c>
      <c r="D335" s="1" t="s">
        <v>196</v>
      </c>
      <c r="F335" s="1" t="str">
        <f>"8064"</f>
        <v>8064</v>
      </c>
      <c r="G335" s="2">
        <v>41968</v>
      </c>
      <c r="H335" s="1">
        <v>55900</v>
      </c>
      <c r="I335" s="1">
        <v>55900</v>
      </c>
      <c r="J335" s="1">
        <v>55000</v>
      </c>
      <c r="K335" s="2">
        <v>41968</v>
      </c>
      <c r="L335" s="1">
        <v>18</v>
      </c>
      <c r="M335" s="2">
        <v>41985</v>
      </c>
      <c r="N335" s="1">
        <v>18</v>
      </c>
      <c r="O335" s="2">
        <v>41985</v>
      </c>
      <c r="P335" s="1">
        <v>85118</v>
      </c>
      <c r="Q335" s="1" t="s">
        <v>302</v>
      </c>
      <c r="R335" s="2">
        <v>42004</v>
      </c>
      <c r="S335" s="1">
        <v>105105</v>
      </c>
      <c r="U335" s="1">
        <v>6255</v>
      </c>
      <c r="V335" s="1" t="s">
        <v>4882</v>
      </c>
      <c r="W335" s="1" t="s">
        <v>425</v>
      </c>
      <c r="X335" s="1" t="s">
        <v>4883</v>
      </c>
      <c r="Y335" s="1">
        <v>12</v>
      </c>
      <c r="Z335" s="1" t="s">
        <v>249</v>
      </c>
      <c r="AA335" s="1" t="s">
        <v>400</v>
      </c>
      <c r="AB335" s="1">
        <v>60638</v>
      </c>
      <c r="AE335" s="1" t="s">
        <v>4884</v>
      </c>
      <c r="AF335" s="1">
        <v>1973</v>
      </c>
      <c r="AG335" s="1" t="s">
        <v>213</v>
      </c>
      <c r="AH335" s="1" t="s">
        <v>403</v>
      </c>
      <c r="AI335" s="1" t="s">
        <v>310</v>
      </c>
      <c r="AJ335" s="1" t="s">
        <v>683</v>
      </c>
      <c r="AK335" s="1" t="s">
        <v>270</v>
      </c>
      <c r="AL335" s="1">
        <v>5</v>
      </c>
      <c r="AM335" s="1">
        <v>2</v>
      </c>
      <c r="AN335" s="1">
        <v>1</v>
      </c>
      <c r="AO335" s="1">
        <v>0</v>
      </c>
      <c r="AP335" s="1" t="s">
        <v>210</v>
      </c>
      <c r="AR335" s="1" t="s">
        <v>210</v>
      </c>
      <c r="AS335" s="1" t="s">
        <v>204</v>
      </c>
      <c r="AT335" s="1" t="s">
        <v>271</v>
      </c>
      <c r="AV335" s="1">
        <v>1</v>
      </c>
      <c r="AW335" s="1" t="s">
        <v>204</v>
      </c>
      <c r="AX335" s="1" t="s">
        <v>212</v>
      </c>
      <c r="AZ335" s="5">
        <v>1499.29</v>
      </c>
      <c r="BA335" s="1">
        <v>2012</v>
      </c>
      <c r="BE335" s="1">
        <v>0</v>
      </c>
      <c r="BF335" s="1">
        <v>1</v>
      </c>
      <c r="BG335" s="1">
        <v>15</v>
      </c>
      <c r="BL335" s="1">
        <v>275</v>
      </c>
      <c r="BM335" s="1" t="s">
        <v>204</v>
      </c>
      <c r="BN335" s="1" t="s">
        <v>213</v>
      </c>
      <c r="BO335" s="1">
        <v>15</v>
      </c>
      <c r="BP335" s="1" t="s">
        <v>204</v>
      </c>
      <c r="BR335" s="1" t="str">
        <f>"19174250441004"</f>
        <v>19174250441004</v>
      </c>
      <c r="BT335" s="1" t="s">
        <v>4885</v>
      </c>
      <c r="BX335" s="1">
        <v>299</v>
      </c>
      <c r="BY335" s="1">
        <v>299</v>
      </c>
      <c r="BZ335" s="1">
        <v>299</v>
      </c>
      <c r="CB335" s="1" t="str">
        <f t="shared" ref="CB335:CC335" si="266">"0"</f>
        <v>0</v>
      </c>
      <c r="CC335" s="1" t="str">
        <f t="shared" si="266"/>
        <v>0</v>
      </c>
      <c r="CD335" s="1">
        <v>6100</v>
      </c>
      <c r="CE335" s="1">
        <v>6255</v>
      </c>
      <c r="CG335" s="1" t="s">
        <v>1936</v>
      </c>
      <c r="CH335" s="1" t="s">
        <v>219</v>
      </c>
      <c r="CK335" s="1" t="s">
        <v>757</v>
      </c>
      <c r="CL335" s="1" t="s">
        <v>219</v>
      </c>
      <c r="CO335" s="1" t="s">
        <v>409</v>
      </c>
      <c r="CP335" s="1" t="s">
        <v>219</v>
      </c>
      <c r="CS335" s="1" t="s">
        <v>1854</v>
      </c>
      <c r="CT335" s="1" t="s">
        <v>219</v>
      </c>
      <c r="CX335" s="1" t="s">
        <v>224</v>
      </c>
      <c r="DB335" s="1" t="s">
        <v>224</v>
      </c>
      <c r="DE335" s="1" t="s">
        <v>408</v>
      </c>
      <c r="DF335" s="1" t="s">
        <v>219</v>
      </c>
      <c r="DJ335" s="1" t="s">
        <v>224</v>
      </c>
      <c r="DS335" s="1" t="s">
        <v>230</v>
      </c>
      <c r="DW335" s="1" t="s">
        <v>230</v>
      </c>
      <c r="EA335" s="1" t="s">
        <v>230</v>
      </c>
      <c r="EE335" s="1" t="s">
        <v>230</v>
      </c>
      <c r="EI335" s="1" t="s">
        <v>230</v>
      </c>
      <c r="EL335" s="1" t="s">
        <v>605</v>
      </c>
      <c r="EM335" s="1" t="s">
        <v>730</v>
      </c>
      <c r="EN335" s="1" t="s">
        <v>210</v>
      </c>
      <c r="EO335" s="1" t="s">
        <v>234</v>
      </c>
      <c r="EP335" s="1" t="s">
        <v>732</v>
      </c>
      <c r="ER335" s="1" t="s">
        <v>210</v>
      </c>
      <c r="ET335" s="1" t="s">
        <v>1752</v>
      </c>
      <c r="EW335" s="1" t="s">
        <v>2344</v>
      </c>
      <c r="EZ335" s="1" t="s">
        <v>287</v>
      </c>
      <c r="FB335" s="1" t="s">
        <v>289</v>
      </c>
      <c r="FD335" s="1" t="s">
        <v>246</v>
      </c>
      <c r="FE335" s="1" t="s">
        <v>247</v>
      </c>
      <c r="FF335" s="1" t="s">
        <v>248</v>
      </c>
      <c r="FH335" s="1" t="s">
        <v>249</v>
      </c>
      <c r="FK335" s="1" t="s">
        <v>291</v>
      </c>
      <c r="FL335" s="1" t="s">
        <v>414</v>
      </c>
      <c r="FM335" s="1" t="s">
        <v>252</v>
      </c>
      <c r="FN335" s="1" t="s">
        <v>213</v>
      </c>
      <c r="FO335" s="1" t="s">
        <v>213</v>
      </c>
      <c r="FQ335" s="1" t="s">
        <v>582</v>
      </c>
      <c r="FR335" s="1" t="s">
        <v>210</v>
      </c>
      <c r="FS335" s="1" t="s">
        <v>4886</v>
      </c>
      <c r="FT335" s="1" t="s">
        <v>2589</v>
      </c>
      <c r="FU335" s="1" t="s">
        <v>204</v>
      </c>
      <c r="FW335" s="1" t="s">
        <v>4878</v>
      </c>
      <c r="FX335" s="1">
        <v>85118</v>
      </c>
      <c r="FY335" s="1" t="s">
        <v>4879</v>
      </c>
      <c r="FZ335" s="1" t="s">
        <v>4880</v>
      </c>
      <c r="GA335" s="1">
        <v>125393</v>
      </c>
      <c r="GB335" s="1" t="s">
        <v>4881</v>
      </c>
      <c r="GE335" s="1" t="s">
        <v>210</v>
      </c>
      <c r="GH335" s="1" t="s">
        <v>421</v>
      </c>
      <c r="GI335" s="1" t="s">
        <v>213</v>
      </c>
      <c r="GJ335" s="1" t="s">
        <v>260</v>
      </c>
      <c r="GK335" s="1" t="s">
        <v>210</v>
      </c>
      <c r="GL335" s="2">
        <v>42006</v>
      </c>
      <c r="GM335" s="1" t="s">
        <v>4887</v>
      </c>
    </row>
    <row r="336" spans="1:195">
      <c r="A336" s="1">
        <v>355000</v>
      </c>
      <c r="B336" s="1" t="s">
        <v>195</v>
      </c>
      <c r="C336" s="1" t="str">
        <f>"08792325"</f>
        <v>08792325</v>
      </c>
      <c r="D336" s="1" t="s">
        <v>196</v>
      </c>
      <c r="F336" s="1" t="str">
        <f>"126"</f>
        <v>126</v>
      </c>
      <c r="G336" s="2">
        <v>41967</v>
      </c>
      <c r="H336" s="1">
        <v>369000</v>
      </c>
      <c r="I336" s="1">
        <v>369000</v>
      </c>
      <c r="J336" s="1">
        <v>355000</v>
      </c>
      <c r="K336" s="2">
        <v>41967</v>
      </c>
      <c r="L336" s="1">
        <v>17</v>
      </c>
      <c r="M336" s="2">
        <v>41983</v>
      </c>
      <c r="N336" s="1">
        <v>17</v>
      </c>
      <c r="O336" s="2">
        <v>41983</v>
      </c>
      <c r="P336" s="1">
        <v>22076</v>
      </c>
      <c r="Q336" s="1" t="s">
        <v>302</v>
      </c>
      <c r="R336" s="2">
        <v>42009</v>
      </c>
      <c r="S336" s="1">
        <v>242899</v>
      </c>
      <c r="U336" s="1">
        <v>135</v>
      </c>
      <c r="V336" s="1" t="s">
        <v>3168</v>
      </c>
      <c r="W336" s="1" t="s">
        <v>725</v>
      </c>
      <c r="X336" s="1">
        <v>416</v>
      </c>
      <c r="Y336" s="1">
        <v>56</v>
      </c>
      <c r="Z336" s="1" t="s">
        <v>370</v>
      </c>
      <c r="AA336" s="1" t="s">
        <v>3169</v>
      </c>
      <c r="AB336" s="1">
        <v>60126</v>
      </c>
      <c r="AD336" s="1" t="s">
        <v>3170</v>
      </c>
      <c r="AE336" s="1" t="s">
        <v>4888</v>
      </c>
      <c r="AF336" s="1">
        <v>2005</v>
      </c>
      <c r="AG336" s="1" t="s">
        <v>204</v>
      </c>
      <c r="AH336" s="1" t="s">
        <v>3172</v>
      </c>
      <c r="AI336" s="1" t="s">
        <v>206</v>
      </c>
      <c r="AJ336" s="1" t="s">
        <v>1608</v>
      </c>
      <c r="AK336" s="1" t="s">
        <v>4889</v>
      </c>
      <c r="AL336" s="1">
        <v>5</v>
      </c>
      <c r="AM336" s="1">
        <v>2</v>
      </c>
      <c r="AN336" s="1">
        <v>2</v>
      </c>
      <c r="AO336" s="1">
        <v>0</v>
      </c>
      <c r="AP336" s="1" t="s">
        <v>209</v>
      </c>
      <c r="AR336" s="1" t="s">
        <v>210</v>
      </c>
      <c r="AS336" s="1" t="s">
        <v>204</v>
      </c>
      <c r="AT336" s="1" t="s">
        <v>211</v>
      </c>
      <c r="AU336" s="1">
        <v>2</v>
      </c>
      <c r="AW336" s="1" t="s">
        <v>204</v>
      </c>
      <c r="AX336" s="1" t="s">
        <v>212</v>
      </c>
      <c r="AZ336" s="1">
        <v>5866</v>
      </c>
      <c r="BA336" s="1">
        <v>2013</v>
      </c>
      <c r="BB336" s="1" t="s">
        <v>210</v>
      </c>
      <c r="BE336" s="1">
        <v>1335</v>
      </c>
      <c r="BF336" s="1">
        <v>4</v>
      </c>
      <c r="BG336" s="1">
        <v>15</v>
      </c>
      <c r="BJ336" s="1">
        <v>80</v>
      </c>
      <c r="BL336" s="1">
        <v>266</v>
      </c>
      <c r="BM336" s="1" t="s">
        <v>204</v>
      </c>
      <c r="BN336" s="1" t="s">
        <v>213</v>
      </c>
      <c r="BO336" s="1">
        <v>40</v>
      </c>
      <c r="BP336" s="1" t="s">
        <v>204</v>
      </c>
      <c r="BR336" s="1" t="str">
        <f>"0601326173"</f>
        <v>0601326173</v>
      </c>
      <c r="BT336" s="1" t="s">
        <v>4890</v>
      </c>
      <c r="BU336" s="1" t="s">
        <v>3174</v>
      </c>
      <c r="BV336" s="1" t="s">
        <v>3175</v>
      </c>
      <c r="BW336" s="1" t="s">
        <v>3176</v>
      </c>
      <c r="BX336" s="1">
        <v>205</v>
      </c>
      <c r="BY336" s="1">
        <v>205</v>
      </c>
      <c r="BZ336" s="1">
        <v>205</v>
      </c>
      <c r="CB336" s="1" t="str">
        <f>"1"</f>
        <v>1</v>
      </c>
      <c r="CC336" s="1" t="str">
        <f t="shared" ref="CC336:CC337" si="267">"0"</f>
        <v>0</v>
      </c>
      <c r="CD336" s="1">
        <v>15</v>
      </c>
      <c r="CE336" s="1">
        <v>0</v>
      </c>
      <c r="CG336" s="1" t="s">
        <v>4891</v>
      </c>
      <c r="CH336" s="1" t="s">
        <v>685</v>
      </c>
      <c r="CI336" s="1" t="s">
        <v>220</v>
      </c>
      <c r="CK336" s="1" t="s">
        <v>437</v>
      </c>
      <c r="CL336" s="1" t="s">
        <v>685</v>
      </c>
      <c r="CM336" s="1" t="s">
        <v>220</v>
      </c>
      <c r="CO336" s="1" t="s">
        <v>629</v>
      </c>
      <c r="CP336" s="1" t="s">
        <v>685</v>
      </c>
      <c r="CS336" s="1" t="s">
        <v>539</v>
      </c>
      <c r="CT336" s="1" t="s">
        <v>685</v>
      </c>
      <c r="CU336" s="1" t="s">
        <v>220</v>
      </c>
      <c r="CX336" s="1" t="s">
        <v>224</v>
      </c>
      <c r="DB336" s="1" t="s">
        <v>224</v>
      </c>
      <c r="DE336" s="1" t="s">
        <v>821</v>
      </c>
      <c r="DF336" s="1" t="s">
        <v>685</v>
      </c>
      <c r="DG336" s="1" t="s">
        <v>226</v>
      </c>
      <c r="DJ336" s="1" t="s">
        <v>224</v>
      </c>
      <c r="DN336" s="1" t="s">
        <v>709</v>
      </c>
      <c r="DS336" s="1" t="s">
        <v>230</v>
      </c>
      <c r="DV336" s="1" t="s">
        <v>281</v>
      </c>
      <c r="DW336" s="1" t="s">
        <v>685</v>
      </c>
      <c r="DX336" s="1" t="s">
        <v>226</v>
      </c>
      <c r="EA336" s="1" t="s">
        <v>230</v>
      </c>
      <c r="EE336" s="1" t="s">
        <v>230</v>
      </c>
      <c r="EI336" s="1" t="s">
        <v>230</v>
      </c>
      <c r="EL336" s="1" t="s">
        <v>491</v>
      </c>
      <c r="EM336" s="1" t="s">
        <v>232</v>
      </c>
      <c r="EN336" s="1" t="s">
        <v>282</v>
      </c>
      <c r="EO336" s="1" t="s">
        <v>234</v>
      </c>
      <c r="EP336" s="1" t="s">
        <v>4892</v>
      </c>
      <c r="ER336" s="1" t="s">
        <v>210</v>
      </c>
      <c r="ET336" s="1" t="s">
        <v>1404</v>
      </c>
      <c r="EW336" s="1" t="s">
        <v>4893</v>
      </c>
      <c r="EZ336" s="1" t="s">
        <v>709</v>
      </c>
      <c r="FC336" s="1" t="s">
        <v>1386</v>
      </c>
      <c r="FD336" s="1" t="s">
        <v>246</v>
      </c>
      <c r="FE336" s="1" t="s">
        <v>247</v>
      </c>
      <c r="FF336" s="1" t="s">
        <v>1113</v>
      </c>
      <c r="FH336" s="1" t="s">
        <v>249</v>
      </c>
      <c r="FI336" s="1" t="s">
        <v>4894</v>
      </c>
      <c r="FL336" s="1" t="s">
        <v>4895</v>
      </c>
      <c r="FM336" s="1" t="s">
        <v>252</v>
      </c>
      <c r="FN336" s="1" t="s">
        <v>213</v>
      </c>
      <c r="FO336" s="1" t="s">
        <v>213</v>
      </c>
      <c r="FQ336" s="1" t="s">
        <v>4896</v>
      </c>
      <c r="FR336" s="1" t="s">
        <v>210</v>
      </c>
      <c r="FS336" s="1" t="s">
        <v>4897</v>
      </c>
      <c r="FT336" s="1" t="s">
        <v>1139</v>
      </c>
      <c r="FU336" s="1" t="s">
        <v>204</v>
      </c>
      <c r="FW336" s="1" t="s">
        <v>4898</v>
      </c>
      <c r="FX336" s="1">
        <v>40233</v>
      </c>
      <c r="FY336" s="1" t="s">
        <v>4899</v>
      </c>
      <c r="FZ336" s="1" t="s">
        <v>4900</v>
      </c>
      <c r="GA336" s="1">
        <v>404063</v>
      </c>
      <c r="GB336" s="1" t="s">
        <v>4901</v>
      </c>
      <c r="GE336" s="1" t="s">
        <v>1333</v>
      </c>
      <c r="GH336" s="1" t="s">
        <v>421</v>
      </c>
      <c r="GI336" s="1" t="s">
        <v>213</v>
      </c>
      <c r="GJ336" s="1" t="s">
        <v>260</v>
      </c>
      <c r="GK336" s="1" t="s">
        <v>210</v>
      </c>
      <c r="GL336" s="2">
        <v>42010</v>
      </c>
      <c r="GM336" s="1" t="s">
        <v>4902</v>
      </c>
    </row>
    <row r="337" spans="1:195">
      <c r="A337" s="1">
        <v>182500</v>
      </c>
      <c r="B337" s="1" t="s">
        <v>195</v>
      </c>
      <c r="C337" s="1" t="str">
        <f>"08791113"</f>
        <v>08791113</v>
      </c>
      <c r="D337" s="1" t="s">
        <v>196</v>
      </c>
      <c r="F337" s="1" t="str">
        <f>"101"</f>
        <v>101</v>
      </c>
      <c r="G337" s="2">
        <v>41964</v>
      </c>
      <c r="H337" s="1">
        <v>189900</v>
      </c>
      <c r="I337" s="1">
        <v>189400</v>
      </c>
      <c r="J337" s="1">
        <v>182500</v>
      </c>
      <c r="K337" s="2">
        <v>41964</v>
      </c>
      <c r="L337" s="1">
        <v>68</v>
      </c>
      <c r="M337" s="2">
        <v>42031</v>
      </c>
      <c r="N337" s="1">
        <v>68</v>
      </c>
      <c r="O337" s="2">
        <v>42031</v>
      </c>
      <c r="P337" s="1">
        <v>8971</v>
      </c>
      <c r="Q337" s="1" t="s">
        <v>197</v>
      </c>
      <c r="R337" s="2">
        <v>42058</v>
      </c>
      <c r="S337" s="1">
        <v>81077</v>
      </c>
      <c r="U337" s="1">
        <v>1259</v>
      </c>
      <c r="V337" s="1" t="s">
        <v>509</v>
      </c>
      <c r="W337" s="1" t="s">
        <v>725</v>
      </c>
      <c r="X337" s="1">
        <v>204</v>
      </c>
      <c r="Y337" s="1">
        <v>18</v>
      </c>
      <c r="Z337" s="1" t="s">
        <v>370</v>
      </c>
      <c r="AA337" s="1" t="s">
        <v>2631</v>
      </c>
      <c r="AB337" s="1">
        <v>60101</v>
      </c>
      <c r="AE337" s="1" t="s">
        <v>4903</v>
      </c>
      <c r="AF337" s="1">
        <v>2002</v>
      </c>
      <c r="AG337" s="1" t="s">
        <v>204</v>
      </c>
      <c r="AH337" s="1" t="s">
        <v>1233</v>
      </c>
      <c r="AI337" s="1" t="s">
        <v>206</v>
      </c>
      <c r="AJ337" s="1" t="s">
        <v>1233</v>
      </c>
      <c r="AK337" s="1" t="s">
        <v>4904</v>
      </c>
      <c r="AL337" s="1">
        <v>5</v>
      </c>
      <c r="AM337" s="1">
        <v>2</v>
      </c>
      <c r="AN337" s="1">
        <v>2</v>
      </c>
      <c r="AO337" s="1">
        <v>0</v>
      </c>
      <c r="AP337" s="1" t="s">
        <v>209</v>
      </c>
      <c r="AQ337" s="1">
        <v>1</v>
      </c>
      <c r="AR337" s="1" t="s">
        <v>210</v>
      </c>
      <c r="AT337" s="1" t="s">
        <v>211</v>
      </c>
      <c r="AU337" s="1">
        <v>1</v>
      </c>
      <c r="AW337" s="1" t="s">
        <v>204</v>
      </c>
      <c r="AX337" s="1" t="s">
        <v>212</v>
      </c>
      <c r="AZ337" s="1">
        <v>3216</v>
      </c>
      <c r="BA337" s="1">
        <v>2013</v>
      </c>
      <c r="BB337" s="1" t="s">
        <v>405</v>
      </c>
      <c r="BE337" s="1">
        <v>1297</v>
      </c>
      <c r="BF337" s="1">
        <v>2</v>
      </c>
      <c r="BG337" s="1">
        <v>0</v>
      </c>
      <c r="BL337" s="1">
        <v>269</v>
      </c>
      <c r="BM337" s="1" t="s">
        <v>204</v>
      </c>
      <c r="BN337" s="1" t="s">
        <v>213</v>
      </c>
      <c r="BO337" s="1">
        <v>20</v>
      </c>
      <c r="BP337" s="1" t="s">
        <v>204</v>
      </c>
      <c r="BR337" s="1" t="str">
        <f>"0319214028"</f>
        <v>0319214028</v>
      </c>
      <c r="BT337" s="1" t="s">
        <v>4905</v>
      </c>
      <c r="BX337" s="1">
        <v>4</v>
      </c>
      <c r="BY337" s="1">
        <v>44</v>
      </c>
      <c r="BZ337" s="1">
        <v>88</v>
      </c>
      <c r="CB337" s="1" t="str">
        <f>"4"</f>
        <v>4</v>
      </c>
      <c r="CC337" s="1" t="str">
        <f t="shared" si="267"/>
        <v>0</v>
      </c>
      <c r="CD337" s="1">
        <v>20</v>
      </c>
      <c r="CE337" s="1">
        <v>0</v>
      </c>
      <c r="CG337" s="1" t="s">
        <v>1045</v>
      </c>
      <c r="CH337" s="1" t="s">
        <v>219</v>
      </c>
      <c r="CI337" s="1" t="s">
        <v>438</v>
      </c>
      <c r="CJ337" s="1" t="s">
        <v>463</v>
      </c>
      <c r="CK337" s="1" t="s">
        <v>581</v>
      </c>
      <c r="CL337" s="1" t="s">
        <v>219</v>
      </c>
      <c r="CM337" s="1" t="s">
        <v>220</v>
      </c>
      <c r="CN337" s="1" t="s">
        <v>343</v>
      </c>
      <c r="CO337" s="1" t="s">
        <v>318</v>
      </c>
      <c r="CP337" s="1" t="s">
        <v>219</v>
      </c>
      <c r="CQ337" s="1" t="s">
        <v>438</v>
      </c>
      <c r="CS337" s="1" t="s">
        <v>581</v>
      </c>
      <c r="CT337" s="1" t="s">
        <v>219</v>
      </c>
      <c r="CU337" s="1" t="s">
        <v>220</v>
      </c>
      <c r="CV337" s="1" t="s">
        <v>343</v>
      </c>
      <c r="CX337" s="1" t="s">
        <v>224</v>
      </c>
      <c r="DB337" s="1" t="s">
        <v>224</v>
      </c>
      <c r="DE337" s="1" t="s">
        <v>2031</v>
      </c>
      <c r="DF337" s="1" t="s">
        <v>219</v>
      </c>
      <c r="DG337" s="1" t="s">
        <v>226</v>
      </c>
      <c r="DJ337" s="1" t="s">
        <v>224</v>
      </c>
      <c r="DS337" s="1" t="s">
        <v>230</v>
      </c>
      <c r="DW337" s="1" t="s">
        <v>230</v>
      </c>
      <c r="EA337" s="1" t="s">
        <v>230</v>
      </c>
      <c r="EE337" s="1" t="s">
        <v>230</v>
      </c>
      <c r="EI337" s="1" t="s">
        <v>230</v>
      </c>
      <c r="EL337" s="1" t="s">
        <v>466</v>
      </c>
      <c r="EM337" s="1" t="s">
        <v>232</v>
      </c>
      <c r="EN337" s="1" t="s">
        <v>282</v>
      </c>
      <c r="EO337" s="1" t="s">
        <v>234</v>
      </c>
      <c r="EP337" s="1" t="s">
        <v>2764</v>
      </c>
      <c r="EQ337" s="1" t="s">
        <v>2188</v>
      </c>
      <c r="ER337" s="1" t="s">
        <v>210</v>
      </c>
      <c r="ES337" s="1" t="s">
        <v>608</v>
      </c>
      <c r="EU337" s="1" t="s">
        <v>4906</v>
      </c>
      <c r="EV337" s="1" t="s">
        <v>324</v>
      </c>
      <c r="EW337" s="1" t="s">
        <v>4907</v>
      </c>
      <c r="EY337" s="1" t="s">
        <v>242</v>
      </c>
      <c r="EZ337" s="1" t="s">
        <v>287</v>
      </c>
      <c r="FB337" s="1" t="s">
        <v>289</v>
      </c>
      <c r="FC337" s="1" t="s">
        <v>1386</v>
      </c>
      <c r="FD337" s="1" t="s">
        <v>246</v>
      </c>
      <c r="FE337" s="1" t="s">
        <v>3771</v>
      </c>
      <c r="FF337" s="1" t="s">
        <v>248</v>
      </c>
      <c r="FG337" s="1" t="s">
        <v>871</v>
      </c>
      <c r="FH337" s="1" t="s">
        <v>249</v>
      </c>
      <c r="FI337" s="1" t="s">
        <v>1114</v>
      </c>
      <c r="FJ337" s="1" t="s">
        <v>197</v>
      </c>
      <c r="FL337" s="1" t="s">
        <v>358</v>
      </c>
      <c r="FM337" s="1" t="s">
        <v>252</v>
      </c>
      <c r="FN337" s="1" t="s">
        <v>213</v>
      </c>
      <c r="FO337" s="1" t="s">
        <v>213</v>
      </c>
      <c r="FQ337" s="1" t="s">
        <v>3616</v>
      </c>
      <c r="FR337" s="1" t="s">
        <v>210</v>
      </c>
      <c r="FS337" s="1" t="s">
        <v>4908</v>
      </c>
      <c r="FT337" s="1" t="s">
        <v>4909</v>
      </c>
      <c r="FU337" s="1" t="s">
        <v>213</v>
      </c>
      <c r="FW337" s="1" t="s">
        <v>2658</v>
      </c>
      <c r="FX337" s="1">
        <v>92063</v>
      </c>
      <c r="FY337" s="1" t="s">
        <v>2659</v>
      </c>
      <c r="FZ337" s="1" t="s">
        <v>2660</v>
      </c>
      <c r="GA337" s="1">
        <v>26265</v>
      </c>
      <c r="GD337" s="1" t="s">
        <v>4910</v>
      </c>
      <c r="GE337" s="1" t="s">
        <v>210</v>
      </c>
      <c r="GI337" s="1" t="s">
        <v>213</v>
      </c>
      <c r="GJ337" s="1" t="s">
        <v>260</v>
      </c>
      <c r="GK337" s="1" t="s">
        <v>210</v>
      </c>
      <c r="GL337" s="2">
        <v>42058</v>
      </c>
      <c r="GM337" s="1" t="s">
        <v>4911</v>
      </c>
    </row>
    <row r="338" spans="1:195">
      <c r="A338" s="1">
        <v>160500</v>
      </c>
      <c r="B338" s="1" t="s">
        <v>195</v>
      </c>
      <c r="C338" s="1" t="str">
        <f>"08790907"</f>
        <v>08790907</v>
      </c>
      <c r="D338" s="1" t="s">
        <v>196</v>
      </c>
      <c r="F338" s="1" t="str">
        <f>"178"</f>
        <v>178</v>
      </c>
      <c r="G338" s="2">
        <v>41964</v>
      </c>
      <c r="H338" s="1">
        <v>175000</v>
      </c>
      <c r="I338" s="1">
        <v>169900</v>
      </c>
      <c r="J338" s="1">
        <v>160500</v>
      </c>
      <c r="K338" s="2">
        <v>41964</v>
      </c>
      <c r="L338" s="1">
        <v>89</v>
      </c>
      <c r="M338" s="2">
        <v>42052</v>
      </c>
      <c r="N338" s="1">
        <v>89</v>
      </c>
      <c r="O338" s="2">
        <v>42052</v>
      </c>
      <c r="P338" s="1">
        <v>24809</v>
      </c>
      <c r="Q338" s="1" t="s">
        <v>197</v>
      </c>
      <c r="R338" s="2">
        <v>42107</v>
      </c>
      <c r="S338" s="1">
        <v>237413</v>
      </c>
      <c r="U338" s="1">
        <v>838</v>
      </c>
      <c r="V338" s="1" t="s">
        <v>4912</v>
      </c>
      <c r="W338" s="1" t="s">
        <v>304</v>
      </c>
      <c r="Y338" s="1">
        <v>3</v>
      </c>
      <c r="Z338" s="1" t="s">
        <v>370</v>
      </c>
      <c r="AA338" s="1" t="s">
        <v>3334</v>
      </c>
      <c r="AB338" s="1">
        <v>60178</v>
      </c>
      <c r="AE338" s="1" t="s">
        <v>4913</v>
      </c>
      <c r="AF338" s="1">
        <v>1993</v>
      </c>
      <c r="AG338" s="1" t="s">
        <v>204</v>
      </c>
      <c r="AH338" s="1" t="s">
        <v>3336</v>
      </c>
      <c r="AI338" s="1" t="s">
        <v>2246</v>
      </c>
      <c r="AJ338" s="1" t="s">
        <v>3337</v>
      </c>
      <c r="AL338" s="1">
        <v>5</v>
      </c>
      <c r="AM338" s="1">
        <v>2</v>
      </c>
      <c r="AN338" s="1">
        <v>2</v>
      </c>
      <c r="AO338" s="1">
        <v>0</v>
      </c>
      <c r="AP338" s="1" t="s">
        <v>209</v>
      </c>
      <c r="AQ338" s="1">
        <v>1</v>
      </c>
      <c r="AR338" s="1" t="s">
        <v>209</v>
      </c>
      <c r="AS338" s="1" t="s">
        <v>204</v>
      </c>
      <c r="AT338" s="1" t="s">
        <v>211</v>
      </c>
      <c r="AU338" s="1">
        <v>2</v>
      </c>
      <c r="AW338" s="1" t="s">
        <v>204</v>
      </c>
      <c r="AX338" s="1" t="s">
        <v>4914</v>
      </c>
      <c r="AZ338" s="1">
        <v>4165</v>
      </c>
      <c r="BA338" s="1">
        <v>2013</v>
      </c>
      <c r="BB338" s="1" t="s">
        <v>599</v>
      </c>
      <c r="BE338" s="1">
        <v>1620</v>
      </c>
      <c r="BF338" s="1">
        <v>1</v>
      </c>
      <c r="BG338" s="1">
        <v>0</v>
      </c>
      <c r="BL338" s="1">
        <v>150</v>
      </c>
      <c r="BM338" s="1" t="s">
        <v>204</v>
      </c>
      <c r="BN338" s="1" t="s">
        <v>213</v>
      </c>
      <c r="BO338" s="1">
        <v>999</v>
      </c>
      <c r="BP338" s="1" t="s">
        <v>204</v>
      </c>
      <c r="BR338" s="1" t="str">
        <f>"0906102022"</f>
        <v>0906102022</v>
      </c>
      <c r="BT338" s="1" t="s">
        <v>4915</v>
      </c>
      <c r="BX338" s="1">
        <v>427</v>
      </c>
      <c r="BY338" s="1">
        <v>427</v>
      </c>
      <c r="BZ338" s="1">
        <v>427</v>
      </c>
      <c r="CB338" s="1" t="str">
        <f t="shared" ref="CB338:CC338" si="268">""</f>
        <v/>
      </c>
      <c r="CC338" s="1" t="str">
        <f t="shared" si="268"/>
        <v/>
      </c>
      <c r="CG338" s="1" t="s">
        <v>4916</v>
      </c>
      <c r="CH338" s="1" t="s">
        <v>219</v>
      </c>
      <c r="CI338" s="1" t="s">
        <v>220</v>
      </c>
      <c r="CJ338" s="1" t="s">
        <v>252</v>
      </c>
      <c r="CK338" s="1" t="s">
        <v>538</v>
      </c>
      <c r="CL338" s="1" t="s">
        <v>219</v>
      </c>
      <c r="CM338" s="1" t="s">
        <v>220</v>
      </c>
      <c r="CN338" s="1" t="s">
        <v>252</v>
      </c>
      <c r="CO338" s="1" t="s">
        <v>629</v>
      </c>
      <c r="CP338" s="1" t="s">
        <v>219</v>
      </c>
      <c r="CQ338" s="1" t="s">
        <v>220</v>
      </c>
      <c r="CR338" s="1" t="s">
        <v>252</v>
      </c>
      <c r="CS338" s="1" t="s">
        <v>317</v>
      </c>
      <c r="CT338" s="1" t="s">
        <v>219</v>
      </c>
      <c r="CU338" s="1" t="s">
        <v>220</v>
      </c>
      <c r="CV338" s="1" t="s">
        <v>252</v>
      </c>
      <c r="CX338" s="1" t="s">
        <v>224</v>
      </c>
      <c r="DB338" s="1" t="s">
        <v>224</v>
      </c>
      <c r="DE338" s="1" t="s">
        <v>581</v>
      </c>
      <c r="DF338" s="1" t="s">
        <v>219</v>
      </c>
      <c r="DG338" s="1" t="s">
        <v>438</v>
      </c>
      <c r="DH338" s="1" t="s">
        <v>252</v>
      </c>
      <c r="DJ338" s="1" t="s">
        <v>224</v>
      </c>
      <c r="DS338" s="1" t="s">
        <v>230</v>
      </c>
      <c r="DW338" s="1" t="s">
        <v>230</v>
      </c>
      <c r="EA338" s="1" t="s">
        <v>230</v>
      </c>
      <c r="EE338" s="1" t="s">
        <v>230</v>
      </c>
      <c r="EI338" s="1" t="s">
        <v>230</v>
      </c>
      <c r="EL338" s="1" t="s">
        <v>382</v>
      </c>
      <c r="EM338" s="1" t="s">
        <v>319</v>
      </c>
      <c r="EN338" s="1" t="s">
        <v>282</v>
      </c>
      <c r="EO338" s="1" t="s">
        <v>234</v>
      </c>
      <c r="EP338" s="1" t="s">
        <v>1489</v>
      </c>
      <c r="EQ338" s="1" t="s">
        <v>236</v>
      </c>
      <c r="ER338" s="1" t="s">
        <v>1249</v>
      </c>
      <c r="ES338" s="1" t="s">
        <v>824</v>
      </c>
      <c r="EU338" s="1" t="s">
        <v>1202</v>
      </c>
      <c r="EV338" s="1" t="s">
        <v>240</v>
      </c>
      <c r="EW338" s="1" t="s">
        <v>353</v>
      </c>
      <c r="EY338" s="1" t="s">
        <v>242</v>
      </c>
      <c r="EZ338" s="1" t="s">
        <v>287</v>
      </c>
      <c r="FA338" s="1" t="s">
        <v>4917</v>
      </c>
      <c r="FC338" s="1" t="s">
        <v>633</v>
      </c>
      <c r="FD338" s="1" t="s">
        <v>246</v>
      </c>
      <c r="FE338" s="1" t="s">
        <v>386</v>
      </c>
      <c r="FF338" s="1" t="s">
        <v>248</v>
      </c>
      <c r="FG338" s="1" t="s">
        <v>871</v>
      </c>
      <c r="FH338" s="1" t="s">
        <v>1205</v>
      </c>
      <c r="FL338" s="1" t="s">
        <v>358</v>
      </c>
      <c r="FM338" s="1" t="s">
        <v>252</v>
      </c>
      <c r="FN338" s="1" t="s">
        <v>213</v>
      </c>
      <c r="FO338" s="1" t="s">
        <v>213</v>
      </c>
      <c r="FQ338" s="1" t="s">
        <v>2091</v>
      </c>
      <c r="FR338" s="1" t="s">
        <v>210</v>
      </c>
      <c r="FS338" s="1" t="s">
        <v>3605</v>
      </c>
      <c r="FT338" s="1" t="s">
        <v>1182</v>
      </c>
      <c r="FU338" s="1" t="s">
        <v>204</v>
      </c>
      <c r="FW338" s="1" t="s">
        <v>813</v>
      </c>
      <c r="FX338" s="1">
        <v>93043</v>
      </c>
      <c r="FY338" s="1" t="s">
        <v>2255</v>
      </c>
      <c r="FZ338" s="1" t="s">
        <v>4918</v>
      </c>
      <c r="GA338" s="1">
        <v>930143</v>
      </c>
      <c r="GB338" s="1" t="s">
        <v>4919</v>
      </c>
      <c r="GE338" s="1" t="s">
        <v>776</v>
      </c>
      <c r="GI338" s="1" t="s">
        <v>213</v>
      </c>
      <c r="GJ338" s="1" t="s">
        <v>260</v>
      </c>
      <c r="GK338" s="1" t="s">
        <v>4920</v>
      </c>
      <c r="GL338" s="2">
        <v>42107</v>
      </c>
      <c r="GM338" s="1" t="s">
        <v>4921</v>
      </c>
    </row>
    <row r="339" spans="1:195">
      <c r="A339" s="1">
        <v>47500</v>
      </c>
      <c r="B339" s="1" t="s">
        <v>195</v>
      </c>
      <c r="C339" s="1" t="str">
        <f>"08793160"</f>
        <v>08793160</v>
      </c>
      <c r="D339" s="1" t="s">
        <v>196</v>
      </c>
      <c r="F339" s="1" t="str">
        <f>"8064"</f>
        <v>8064</v>
      </c>
      <c r="G339" s="2">
        <v>41969</v>
      </c>
      <c r="H339" s="1">
        <v>57300</v>
      </c>
      <c r="I339" s="1">
        <v>0</v>
      </c>
      <c r="J339" s="1">
        <v>47500</v>
      </c>
      <c r="K339" s="2">
        <v>41969</v>
      </c>
      <c r="L339" s="1">
        <v>38</v>
      </c>
      <c r="M339" s="2">
        <v>42006</v>
      </c>
      <c r="N339" s="1">
        <v>38</v>
      </c>
      <c r="O339" s="2">
        <v>42006</v>
      </c>
      <c r="P339" s="1">
        <v>61146</v>
      </c>
      <c r="Q339" s="1" t="s">
        <v>302</v>
      </c>
      <c r="R339" s="2">
        <v>42034</v>
      </c>
      <c r="S339" s="1">
        <v>607725</v>
      </c>
      <c r="U339" s="1">
        <v>6455</v>
      </c>
      <c r="V339" s="1" t="s">
        <v>4922</v>
      </c>
      <c r="W339" s="1" t="s">
        <v>425</v>
      </c>
      <c r="X339" s="1" t="s">
        <v>4923</v>
      </c>
      <c r="Y339" s="1">
        <v>6</v>
      </c>
      <c r="Z339" s="1" t="s">
        <v>249</v>
      </c>
      <c r="AA339" s="1" t="s">
        <v>400</v>
      </c>
      <c r="AB339" s="1">
        <v>60638</v>
      </c>
      <c r="AE339" s="1" t="s">
        <v>4924</v>
      </c>
      <c r="AF339" s="1">
        <v>1974</v>
      </c>
      <c r="AG339" s="1" t="s">
        <v>213</v>
      </c>
      <c r="AH339" s="1" t="s">
        <v>403</v>
      </c>
      <c r="AI339" s="1" t="s">
        <v>310</v>
      </c>
      <c r="AJ339" s="1" t="s">
        <v>683</v>
      </c>
      <c r="AL339" s="1">
        <v>5</v>
      </c>
      <c r="AM339" s="1">
        <v>2</v>
      </c>
      <c r="AN339" s="1">
        <v>1</v>
      </c>
      <c r="AO339" s="1">
        <v>0</v>
      </c>
      <c r="AP339" s="1" t="s">
        <v>210</v>
      </c>
      <c r="AR339" s="1" t="s">
        <v>210</v>
      </c>
      <c r="AT339" s="1" t="s">
        <v>210</v>
      </c>
      <c r="AW339" s="1" t="s">
        <v>204</v>
      </c>
      <c r="AX339" s="1">
        <v>0</v>
      </c>
      <c r="AZ339" s="1">
        <v>953.96</v>
      </c>
      <c r="BA339" s="1">
        <v>2012</v>
      </c>
      <c r="BE339" s="1">
        <v>920</v>
      </c>
      <c r="BF339" s="1">
        <v>3</v>
      </c>
      <c r="BG339" s="1">
        <v>30</v>
      </c>
      <c r="BL339" s="1">
        <v>200</v>
      </c>
      <c r="BM339" s="1" t="s">
        <v>204</v>
      </c>
      <c r="BN339" s="1" t="s">
        <v>213</v>
      </c>
      <c r="BO339" s="1">
        <v>30</v>
      </c>
      <c r="BP339" s="1" t="s">
        <v>204</v>
      </c>
      <c r="BR339" s="1" t="str">
        <f>"19201120481008"</f>
        <v>19201120481008</v>
      </c>
      <c r="BT339" s="1" t="s">
        <v>4925</v>
      </c>
      <c r="BX339" s="1">
        <v>299</v>
      </c>
      <c r="BY339" s="1">
        <v>299</v>
      </c>
      <c r="BZ339" s="1">
        <v>299</v>
      </c>
      <c r="CB339" s="1" t="str">
        <f t="shared" ref="CB339:CC339" si="269">"0"</f>
        <v>0</v>
      </c>
      <c r="CC339" s="1" t="str">
        <f t="shared" si="269"/>
        <v>0</v>
      </c>
      <c r="CD339" s="1">
        <v>6451</v>
      </c>
      <c r="CE339" s="1">
        <v>6400</v>
      </c>
      <c r="CG339" s="1" t="s">
        <v>581</v>
      </c>
      <c r="CH339" s="1" t="s">
        <v>219</v>
      </c>
      <c r="CK339" s="1" t="s">
        <v>378</v>
      </c>
      <c r="CL339" s="1" t="s">
        <v>219</v>
      </c>
      <c r="CO339" s="1" t="s">
        <v>4926</v>
      </c>
      <c r="CP339" s="1" t="s">
        <v>219</v>
      </c>
      <c r="CS339" s="1" t="s">
        <v>379</v>
      </c>
      <c r="CT339" s="1" t="s">
        <v>219</v>
      </c>
      <c r="CX339" s="1" t="s">
        <v>224</v>
      </c>
      <c r="DB339" s="1" t="s">
        <v>224</v>
      </c>
      <c r="DE339" s="1" t="s">
        <v>4926</v>
      </c>
      <c r="DF339" s="1" t="s">
        <v>219</v>
      </c>
      <c r="DJ339" s="1" t="s">
        <v>224</v>
      </c>
      <c r="DS339" s="1" t="s">
        <v>230</v>
      </c>
      <c r="DW339" s="1" t="s">
        <v>230</v>
      </c>
      <c r="EA339" s="1" t="s">
        <v>230</v>
      </c>
      <c r="EE339" s="1" t="s">
        <v>230</v>
      </c>
      <c r="EI339" s="1" t="s">
        <v>230</v>
      </c>
      <c r="EL339" s="1" t="s">
        <v>231</v>
      </c>
      <c r="EM339" s="1" t="s">
        <v>319</v>
      </c>
      <c r="EN339" s="1" t="s">
        <v>210</v>
      </c>
      <c r="EO339" s="1" t="s">
        <v>234</v>
      </c>
      <c r="ER339" s="1" t="s">
        <v>210</v>
      </c>
      <c r="EW339" s="1" t="s">
        <v>142</v>
      </c>
      <c r="EZ339" s="1" t="s">
        <v>287</v>
      </c>
      <c r="FD339" s="1" t="s">
        <v>246</v>
      </c>
      <c r="FE339" s="1" t="s">
        <v>247</v>
      </c>
      <c r="FF339" s="1" t="s">
        <v>4927</v>
      </c>
      <c r="FH339" s="1" t="s">
        <v>249</v>
      </c>
      <c r="FJ339" s="1" t="s">
        <v>2046</v>
      </c>
      <c r="FL339" s="1" t="s">
        <v>414</v>
      </c>
      <c r="FM339" s="1" t="s">
        <v>252</v>
      </c>
      <c r="FN339" s="1" t="s">
        <v>213</v>
      </c>
      <c r="FO339" s="1" t="s">
        <v>213</v>
      </c>
      <c r="FQ339" s="1" t="s">
        <v>4928</v>
      </c>
      <c r="FR339" s="1" t="s">
        <v>210</v>
      </c>
      <c r="FS339" s="1" t="s">
        <v>4929</v>
      </c>
      <c r="FT339" s="1" t="s">
        <v>295</v>
      </c>
      <c r="FU339" s="1" t="s">
        <v>204</v>
      </c>
      <c r="FW339" s="1" t="s">
        <v>3353</v>
      </c>
      <c r="FX339" s="1">
        <v>8658</v>
      </c>
      <c r="FY339" s="1" t="s">
        <v>3354</v>
      </c>
      <c r="FZ339" s="1" t="s">
        <v>3355</v>
      </c>
      <c r="GA339" s="1">
        <v>84760</v>
      </c>
      <c r="GB339" s="1" t="s">
        <v>3354</v>
      </c>
      <c r="GE339" s="1" t="s">
        <v>210</v>
      </c>
      <c r="GH339" s="1" t="s">
        <v>421</v>
      </c>
      <c r="GI339" s="1" t="s">
        <v>213</v>
      </c>
      <c r="GJ339" s="1" t="s">
        <v>260</v>
      </c>
      <c r="GK339" s="1" t="s">
        <v>210</v>
      </c>
      <c r="GL339" s="2">
        <v>42034</v>
      </c>
      <c r="GM339" s="1" t="s">
        <v>4930</v>
      </c>
    </row>
    <row r="340" spans="1:195">
      <c r="A340" s="1">
        <v>127500</v>
      </c>
      <c r="B340" s="1" t="s">
        <v>195</v>
      </c>
      <c r="C340" s="1" t="str">
        <f>"08790217"</f>
        <v>08790217</v>
      </c>
      <c r="D340" s="1" t="s">
        <v>196</v>
      </c>
      <c r="F340" s="1" t="str">
        <f>"532"</f>
        <v>532</v>
      </c>
      <c r="G340" s="2">
        <v>41963</v>
      </c>
      <c r="H340" s="1">
        <v>134900</v>
      </c>
      <c r="I340" s="1">
        <v>134900</v>
      </c>
      <c r="J340" s="1">
        <v>127500</v>
      </c>
      <c r="K340" s="2">
        <v>41963</v>
      </c>
      <c r="L340" s="1">
        <v>21</v>
      </c>
      <c r="M340" s="2">
        <v>41983</v>
      </c>
      <c r="N340" s="1">
        <v>21</v>
      </c>
      <c r="O340" s="2">
        <v>41983</v>
      </c>
      <c r="P340" s="1">
        <v>79754</v>
      </c>
      <c r="Q340" s="1" t="s">
        <v>197</v>
      </c>
      <c r="R340" s="2">
        <v>42041</v>
      </c>
      <c r="S340" s="1">
        <v>702176</v>
      </c>
      <c r="U340" s="1">
        <v>2748</v>
      </c>
      <c r="V340" s="1" t="s">
        <v>4931</v>
      </c>
      <c r="W340" s="1" t="s">
        <v>264</v>
      </c>
      <c r="X340" s="1" t="s">
        <v>4932</v>
      </c>
      <c r="Y340" s="1">
        <v>4</v>
      </c>
      <c r="Z340" s="1" t="s">
        <v>249</v>
      </c>
      <c r="AA340" s="1" t="s">
        <v>1566</v>
      </c>
      <c r="AB340" s="1">
        <v>60532</v>
      </c>
      <c r="AD340" s="1" t="s">
        <v>4933</v>
      </c>
      <c r="AE340" s="1" t="s">
        <v>4934</v>
      </c>
      <c r="AF340" s="1">
        <v>1981</v>
      </c>
      <c r="AG340" s="1" t="s">
        <v>204</v>
      </c>
      <c r="AH340" s="1" t="s">
        <v>925</v>
      </c>
      <c r="AI340" s="1" t="s">
        <v>206</v>
      </c>
      <c r="AJ340" s="1" t="s">
        <v>925</v>
      </c>
      <c r="AL340" s="1">
        <v>5</v>
      </c>
      <c r="AM340" s="1">
        <v>2</v>
      </c>
      <c r="AN340" s="1">
        <v>1</v>
      </c>
      <c r="AO340" s="1">
        <v>0</v>
      </c>
      <c r="AP340" s="1" t="s">
        <v>667</v>
      </c>
      <c r="AR340" s="1" t="s">
        <v>210</v>
      </c>
      <c r="AS340" s="1" t="s">
        <v>204</v>
      </c>
      <c r="AT340" s="1" t="s">
        <v>211</v>
      </c>
      <c r="AU340" s="1">
        <v>1</v>
      </c>
      <c r="AW340" s="1" t="s">
        <v>204</v>
      </c>
      <c r="AX340" s="1" t="s">
        <v>212</v>
      </c>
      <c r="AZ340" s="1">
        <v>2858</v>
      </c>
      <c r="BA340" s="1">
        <v>2013</v>
      </c>
      <c r="BB340" s="1" t="s">
        <v>405</v>
      </c>
      <c r="BE340" s="1">
        <v>1108</v>
      </c>
      <c r="BF340" s="1">
        <v>2</v>
      </c>
      <c r="BG340" s="1">
        <v>0</v>
      </c>
      <c r="BL340" s="1">
        <v>206</v>
      </c>
      <c r="BM340" s="1" t="s">
        <v>204</v>
      </c>
      <c r="BN340" s="1" t="s">
        <v>213</v>
      </c>
      <c r="BO340" s="1">
        <v>999</v>
      </c>
      <c r="BP340" s="1" t="s">
        <v>204</v>
      </c>
      <c r="BR340" s="1" t="str">
        <f>"0816311024"</f>
        <v>0816311024</v>
      </c>
      <c r="BT340" s="1" t="s">
        <v>4935</v>
      </c>
      <c r="BU340" s="1" t="s">
        <v>4936</v>
      </c>
      <c r="BV340" s="1" t="s">
        <v>4937</v>
      </c>
      <c r="BW340" s="1" t="s">
        <v>2825</v>
      </c>
      <c r="BX340" s="1">
        <v>203</v>
      </c>
      <c r="BY340" s="1">
        <v>203</v>
      </c>
      <c r="BZ340" s="1">
        <v>203</v>
      </c>
      <c r="CB340" s="1" t="str">
        <f t="shared" ref="CB340:CC340" si="270">""</f>
        <v/>
      </c>
      <c r="CC340" s="1" t="str">
        <f t="shared" si="270"/>
        <v/>
      </c>
      <c r="CG340" s="1" t="s">
        <v>1267</v>
      </c>
      <c r="CH340" s="1" t="s">
        <v>219</v>
      </c>
      <c r="CI340" s="1" t="s">
        <v>220</v>
      </c>
      <c r="CJ340" s="1" t="s">
        <v>343</v>
      </c>
      <c r="CK340" s="1" t="s">
        <v>581</v>
      </c>
      <c r="CL340" s="1" t="s">
        <v>219</v>
      </c>
      <c r="CM340" s="1" t="s">
        <v>220</v>
      </c>
      <c r="CN340" s="1" t="s">
        <v>343</v>
      </c>
      <c r="CO340" s="1" t="s">
        <v>951</v>
      </c>
      <c r="CP340" s="1" t="s">
        <v>219</v>
      </c>
      <c r="CQ340" s="1" t="s">
        <v>220</v>
      </c>
      <c r="CR340" s="1" t="s">
        <v>343</v>
      </c>
      <c r="CS340" s="1" t="s">
        <v>1297</v>
      </c>
      <c r="CT340" s="1" t="s">
        <v>219</v>
      </c>
      <c r="CU340" s="1" t="s">
        <v>229</v>
      </c>
      <c r="CV340" s="1" t="s">
        <v>343</v>
      </c>
      <c r="CX340" s="1" t="s">
        <v>224</v>
      </c>
      <c r="DB340" s="1" t="s">
        <v>224</v>
      </c>
      <c r="DE340" s="1" t="s">
        <v>316</v>
      </c>
      <c r="DF340" s="1" t="s">
        <v>219</v>
      </c>
      <c r="DG340" s="1" t="s">
        <v>229</v>
      </c>
      <c r="DH340" s="1" t="s">
        <v>210</v>
      </c>
      <c r="DJ340" s="1" t="s">
        <v>224</v>
      </c>
      <c r="DS340" s="1" t="s">
        <v>230</v>
      </c>
      <c r="DW340" s="1" t="s">
        <v>230</v>
      </c>
      <c r="EA340" s="1" t="s">
        <v>230</v>
      </c>
      <c r="EE340" s="1" t="s">
        <v>230</v>
      </c>
      <c r="EI340" s="1" t="s">
        <v>230</v>
      </c>
      <c r="EL340" s="1" t="s">
        <v>231</v>
      </c>
      <c r="EM340" s="1" t="s">
        <v>232</v>
      </c>
      <c r="EN340" s="1" t="s">
        <v>282</v>
      </c>
      <c r="EO340" s="1" t="s">
        <v>234</v>
      </c>
      <c r="EP340" s="1" t="s">
        <v>4938</v>
      </c>
      <c r="EQ340" s="1" t="s">
        <v>236</v>
      </c>
      <c r="ER340" s="1" t="s">
        <v>210</v>
      </c>
      <c r="ES340" s="1" t="s">
        <v>3285</v>
      </c>
      <c r="EV340" s="1" t="s">
        <v>352</v>
      </c>
      <c r="EW340" s="1" t="s">
        <v>4939</v>
      </c>
      <c r="EZ340" s="1" t="s">
        <v>287</v>
      </c>
      <c r="FB340" s="1" t="s">
        <v>1505</v>
      </c>
      <c r="FC340" s="1" t="s">
        <v>548</v>
      </c>
      <c r="FD340" s="1" t="s">
        <v>246</v>
      </c>
      <c r="FE340" s="1" t="s">
        <v>4940</v>
      </c>
      <c r="FF340" s="1" t="s">
        <v>387</v>
      </c>
      <c r="FH340" s="1" t="s">
        <v>249</v>
      </c>
      <c r="FI340" s="1" t="s">
        <v>473</v>
      </c>
      <c r="FJ340" s="1" t="s">
        <v>1472</v>
      </c>
      <c r="FL340" s="1" t="s">
        <v>358</v>
      </c>
      <c r="FM340" s="1" t="s">
        <v>252</v>
      </c>
      <c r="FN340" s="1" t="s">
        <v>213</v>
      </c>
      <c r="FO340" s="1" t="s">
        <v>213</v>
      </c>
      <c r="FQ340" s="1" t="s">
        <v>3616</v>
      </c>
      <c r="FR340" s="1" t="s">
        <v>210</v>
      </c>
      <c r="FS340" s="1" t="s">
        <v>4941</v>
      </c>
      <c r="FT340" s="1" t="s">
        <v>362</v>
      </c>
      <c r="FU340" s="1" t="s">
        <v>213</v>
      </c>
      <c r="FW340" s="1" t="s">
        <v>3116</v>
      </c>
      <c r="FX340" s="1">
        <v>21823</v>
      </c>
      <c r="FY340" s="1" t="s">
        <v>3117</v>
      </c>
      <c r="FZ340" s="1" t="s">
        <v>4942</v>
      </c>
      <c r="GA340" s="1">
        <v>211761</v>
      </c>
      <c r="GB340" s="1" t="s">
        <v>4943</v>
      </c>
      <c r="GE340" s="1" t="s">
        <v>480</v>
      </c>
      <c r="GI340" s="1" t="s">
        <v>213</v>
      </c>
      <c r="GJ340" s="1" t="s">
        <v>260</v>
      </c>
      <c r="GK340" s="1" t="s">
        <v>210</v>
      </c>
      <c r="GL340" s="2">
        <v>42041</v>
      </c>
      <c r="GM340" s="1" t="s">
        <v>4944</v>
      </c>
    </row>
    <row r="341" spans="1:195">
      <c r="A341" s="1">
        <v>136000</v>
      </c>
      <c r="B341" s="1" t="s">
        <v>195</v>
      </c>
      <c r="C341" s="1" t="str">
        <f>"08793781"</f>
        <v>08793781</v>
      </c>
      <c r="D341" s="1" t="s">
        <v>196</v>
      </c>
      <c r="F341" s="1" t="str">
        <f>"559"</f>
        <v>559</v>
      </c>
      <c r="G341" s="2">
        <v>41972</v>
      </c>
      <c r="H341" s="1">
        <v>146900</v>
      </c>
      <c r="I341" s="1">
        <v>146900</v>
      </c>
      <c r="J341" s="1">
        <v>136000</v>
      </c>
      <c r="K341" s="2">
        <v>41972</v>
      </c>
      <c r="L341" s="1">
        <v>68</v>
      </c>
      <c r="M341" s="2">
        <v>42039</v>
      </c>
      <c r="N341" s="1">
        <v>68</v>
      </c>
      <c r="O341" s="2">
        <v>42039</v>
      </c>
      <c r="P341" s="1">
        <v>25042</v>
      </c>
      <c r="Q341" s="1" t="s">
        <v>197</v>
      </c>
      <c r="R341" s="2">
        <v>42079</v>
      </c>
      <c r="S341" s="1">
        <v>215007</v>
      </c>
      <c r="U341" s="1">
        <v>245</v>
      </c>
      <c r="V341" s="1" t="s">
        <v>4945</v>
      </c>
      <c r="W341" s="1" t="s">
        <v>504</v>
      </c>
      <c r="X341" s="1">
        <v>3</v>
      </c>
      <c r="Y341" s="1">
        <v>8</v>
      </c>
      <c r="Z341" s="1" t="s">
        <v>370</v>
      </c>
      <c r="AA341" s="1" t="s">
        <v>1950</v>
      </c>
      <c r="AB341" s="1">
        <v>60559</v>
      </c>
      <c r="AD341" s="1" t="s">
        <v>4946</v>
      </c>
      <c r="AE341" s="1" t="s">
        <v>4947</v>
      </c>
      <c r="AF341" s="1">
        <v>1984</v>
      </c>
      <c r="AG341" s="1" t="s">
        <v>204</v>
      </c>
      <c r="AH341" s="1" t="s">
        <v>1952</v>
      </c>
      <c r="AI341" s="1" t="s">
        <v>206</v>
      </c>
      <c r="AJ341" s="1" t="s">
        <v>903</v>
      </c>
      <c r="AL341" s="1">
        <v>5</v>
      </c>
      <c r="AM341" s="1">
        <v>2</v>
      </c>
      <c r="AN341" s="1">
        <v>2</v>
      </c>
      <c r="AO341" s="1">
        <v>0</v>
      </c>
      <c r="AP341" s="1" t="s">
        <v>209</v>
      </c>
      <c r="AR341" s="1" t="s">
        <v>210</v>
      </c>
      <c r="AT341" s="1" t="s">
        <v>211</v>
      </c>
      <c r="AU341" s="1">
        <v>1</v>
      </c>
      <c r="AW341" s="1" t="s">
        <v>204</v>
      </c>
      <c r="AX341" s="1" t="s">
        <v>212</v>
      </c>
      <c r="AZ341" s="1">
        <v>2824.7</v>
      </c>
      <c r="BA341" s="1">
        <v>2013</v>
      </c>
      <c r="BB341" s="1" t="s">
        <v>599</v>
      </c>
      <c r="BE341" s="1">
        <v>1020</v>
      </c>
      <c r="BF341" s="1">
        <v>2</v>
      </c>
      <c r="BG341" s="1">
        <v>0</v>
      </c>
      <c r="BL341" s="1">
        <v>231</v>
      </c>
      <c r="BM341" s="1" t="s">
        <v>204</v>
      </c>
      <c r="BN341" s="1" t="s">
        <v>213</v>
      </c>
      <c r="BO341" s="1">
        <v>20</v>
      </c>
      <c r="BP341" s="1" t="s">
        <v>204</v>
      </c>
      <c r="BR341" s="1" t="str">
        <f>"0921218119"</f>
        <v>0921218119</v>
      </c>
      <c r="BT341" s="1" t="s">
        <v>4948</v>
      </c>
      <c r="BU341" s="1" t="s">
        <v>2980</v>
      </c>
      <c r="BV341" s="1" t="s">
        <v>2981</v>
      </c>
      <c r="BW341" s="1" t="s">
        <v>3099</v>
      </c>
      <c r="BX341" s="1">
        <v>60</v>
      </c>
      <c r="BY341" s="1">
        <v>60</v>
      </c>
      <c r="BZ341" s="1">
        <v>99</v>
      </c>
      <c r="CB341" s="1" t="str">
        <f t="shared" ref="CB341:CC341" si="271">""</f>
        <v/>
      </c>
      <c r="CC341" s="1" t="str">
        <f t="shared" si="271"/>
        <v/>
      </c>
      <c r="CG341" s="1" t="s">
        <v>2935</v>
      </c>
      <c r="CH341" s="1" t="s">
        <v>277</v>
      </c>
      <c r="CI341" s="1" t="s">
        <v>220</v>
      </c>
      <c r="CJ341" s="1" t="s">
        <v>343</v>
      </c>
      <c r="CK341" s="1" t="s">
        <v>2170</v>
      </c>
      <c r="CL341" s="1" t="s">
        <v>277</v>
      </c>
      <c r="CM341" s="1" t="s">
        <v>220</v>
      </c>
      <c r="CN341" s="1" t="s">
        <v>343</v>
      </c>
      <c r="CO341" s="1" t="s">
        <v>1470</v>
      </c>
      <c r="CP341" s="1" t="s">
        <v>277</v>
      </c>
      <c r="CQ341" s="1" t="s">
        <v>220</v>
      </c>
      <c r="CR341" s="1" t="s">
        <v>343</v>
      </c>
      <c r="CS341" s="1" t="s">
        <v>318</v>
      </c>
      <c r="CT341" s="1" t="s">
        <v>277</v>
      </c>
      <c r="CU341" s="1" t="s">
        <v>220</v>
      </c>
      <c r="CV341" s="1" t="s">
        <v>2449</v>
      </c>
      <c r="CX341" s="1" t="s">
        <v>224</v>
      </c>
      <c r="DB341" s="1" t="s">
        <v>224</v>
      </c>
      <c r="DE341" s="1" t="s">
        <v>348</v>
      </c>
      <c r="DF341" s="1" t="s">
        <v>277</v>
      </c>
      <c r="DG341" s="1" t="s">
        <v>226</v>
      </c>
      <c r="DH341" s="1" t="s">
        <v>210</v>
      </c>
      <c r="DJ341" s="1" t="s">
        <v>224</v>
      </c>
      <c r="DS341" s="1" t="s">
        <v>230</v>
      </c>
      <c r="DW341" s="1" t="s">
        <v>230</v>
      </c>
      <c r="EA341" s="1" t="s">
        <v>230</v>
      </c>
      <c r="EE341" s="1" t="s">
        <v>230</v>
      </c>
      <c r="EI341" s="1" t="s">
        <v>230</v>
      </c>
      <c r="EL341" s="1" t="s">
        <v>542</v>
      </c>
      <c r="EM341" s="1" t="s">
        <v>730</v>
      </c>
      <c r="EN341" s="1" t="s">
        <v>282</v>
      </c>
      <c r="EO341" s="1" t="s">
        <v>234</v>
      </c>
      <c r="EP341" s="1" t="s">
        <v>4949</v>
      </c>
      <c r="EQ341" s="1" t="s">
        <v>236</v>
      </c>
      <c r="ER341" s="1" t="s">
        <v>210</v>
      </c>
      <c r="ES341" s="1" t="s">
        <v>824</v>
      </c>
      <c r="EV341" s="1" t="s">
        <v>324</v>
      </c>
      <c r="EW341" s="1" t="s">
        <v>286</v>
      </c>
      <c r="EY341" s="1" t="s">
        <v>242</v>
      </c>
      <c r="EZ341" s="1" t="s">
        <v>287</v>
      </c>
      <c r="FB341" s="1" t="s">
        <v>289</v>
      </c>
      <c r="FC341" s="1" t="s">
        <v>548</v>
      </c>
      <c r="FD341" s="1" t="s">
        <v>290</v>
      </c>
      <c r="FE341" s="1" t="s">
        <v>386</v>
      </c>
      <c r="FF341" s="1" t="s">
        <v>248</v>
      </c>
      <c r="FH341" s="1" t="s">
        <v>249</v>
      </c>
      <c r="FI341" s="1" t="s">
        <v>473</v>
      </c>
      <c r="FJ341" s="1" t="s">
        <v>197</v>
      </c>
      <c r="FL341" s="1" t="s">
        <v>358</v>
      </c>
      <c r="FM341" s="1" t="s">
        <v>252</v>
      </c>
      <c r="FN341" s="1" t="s">
        <v>213</v>
      </c>
      <c r="FO341" s="1" t="s">
        <v>213</v>
      </c>
      <c r="FQ341" s="1" t="s">
        <v>1032</v>
      </c>
      <c r="FR341" s="1" t="s">
        <v>210</v>
      </c>
      <c r="FS341" s="1" t="s">
        <v>4950</v>
      </c>
      <c r="FT341" s="1" t="s">
        <v>362</v>
      </c>
      <c r="FU341" s="1" t="s">
        <v>204</v>
      </c>
      <c r="FW341" s="1" t="s">
        <v>585</v>
      </c>
      <c r="FX341" s="1">
        <v>23156</v>
      </c>
      <c r="FY341" s="1" t="s">
        <v>1253</v>
      </c>
      <c r="FZ341" s="1" t="s">
        <v>4951</v>
      </c>
      <c r="GA341" s="1">
        <v>270983</v>
      </c>
      <c r="GB341" s="1" t="s">
        <v>4952</v>
      </c>
      <c r="GE341" s="1" t="s">
        <v>480</v>
      </c>
      <c r="GI341" s="1" t="s">
        <v>213</v>
      </c>
      <c r="GJ341" s="1" t="s">
        <v>260</v>
      </c>
      <c r="GK341" s="1" t="s">
        <v>210</v>
      </c>
      <c r="GL341" s="2">
        <v>42079</v>
      </c>
      <c r="GM341" s="1" t="s">
        <v>4953</v>
      </c>
    </row>
    <row r="342" spans="1:195">
      <c r="A342" s="1">
        <v>139900</v>
      </c>
      <c r="B342" s="1" t="s">
        <v>195</v>
      </c>
      <c r="C342" s="1" t="str">
        <f>"08791691"</f>
        <v>08791691</v>
      </c>
      <c r="D342" s="1" t="s">
        <v>196</v>
      </c>
      <c r="F342" s="1" t="str">
        <f>"61"</f>
        <v>61</v>
      </c>
      <c r="G342" s="2">
        <v>41967</v>
      </c>
      <c r="H342" s="1">
        <v>149900</v>
      </c>
      <c r="I342" s="1">
        <v>144900</v>
      </c>
      <c r="J342" s="1">
        <v>139900</v>
      </c>
      <c r="K342" s="2">
        <v>41967</v>
      </c>
      <c r="L342" s="1">
        <v>40</v>
      </c>
      <c r="M342" s="2">
        <v>42006</v>
      </c>
      <c r="N342" s="1">
        <v>40</v>
      </c>
      <c r="O342" s="2">
        <v>42006</v>
      </c>
      <c r="P342" s="1">
        <v>2626</v>
      </c>
      <c r="Q342" s="1" t="s">
        <v>197</v>
      </c>
      <c r="R342" s="2">
        <v>42044</v>
      </c>
      <c r="S342" s="1">
        <v>20849</v>
      </c>
      <c r="U342" s="1">
        <v>948</v>
      </c>
      <c r="V342" s="1" t="s">
        <v>4954</v>
      </c>
      <c r="W342" s="1" t="s">
        <v>304</v>
      </c>
      <c r="X342" s="1">
        <v>948</v>
      </c>
      <c r="Y342" s="1">
        <v>5</v>
      </c>
      <c r="Z342" s="1" t="s">
        <v>249</v>
      </c>
      <c r="AA342" s="1" t="s">
        <v>505</v>
      </c>
      <c r="AB342" s="1">
        <v>60061</v>
      </c>
      <c r="AD342" s="1" t="s">
        <v>4955</v>
      </c>
      <c r="AE342" s="1" t="s">
        <v>4956</v>
      </c>
      <c r="AF342" s="1">
        <v>1979</v>
      </c>
      <c r="AG342" s="1" t="s">
        <v>204</v>
      </c>
      <c r="AH342" s="1" t="s">
        <v>508</v>
      </c>
      <c r="AI342" s="1" t="s">
        <v>509</v>
      </c>
      <c r="AJ342" s="1" t="s">
        <v>1693</v>
      </c>
      <c r="AL342" s="1">
        <v>6</v>
      </c>
      <c r="AM342" s="1">
        <v>2</v>
      </c>
      <c r="AN342" s="1">
        <v>1</v>
      </c>
      <c r="AO342" s="1">
        <v>1</v>
      </c>
      <c r="AP342" s="1" t="s">
        <v>667</v>
      </c>
      <c r="AQ342" s="1">
        <v>1</v>
      </c>
      <c r="AR342" s="1" t="s">
        <v>209</v>
      </c>
      <c r="AS342" s="1" t="s">
        <v>204</v>
      </c>
      <c r="AT342" s="1" t="s">
        <v>211</v>
      </c>
      <c r="AU342" s="1">
        <v>1</v>
      </c>
      <c r="AW342" s="1" t="s">
        <v>204</v>
      </c>
      <c r="AX342" s="1" t="s">
        <v>4740</v>
      </c>
      <c r="AZ342" s="1">
        <v>4155</v>
      </c>
      <c r="BA342" s="1">
        <v>2013</v>
      </c>
      <c r="BB342" s="1" t="s">
        <v>210</v>
      </c>
      <c r="BE342" s="1">
        <v>1172</v>
      </c>
      <c r="BF342" s="1">
        <v>1</v>
      </c>
      <c r="BG342" s="1">
        <v>30</v>
      </c>
      <c r="BL342" s="1">
        <v>264</v>
      </c>
      <c r="BM342" s="1" t="s">
        <v>204</v>
      </c>
      <c r="BN342" s="1" t="s">
        <v>213</v>
      </c>
      <c r="BO342" s="1">
        <v>999</v>
      </c>
      <c r="BP342" s="1" t="s">
        <v>204</v>
      </c>
      <c r="BR342" s="1" t="str">
        <f>"11324130340000"</f>
        <v>11324130340000</v>
      </c>
      <c r="BT342" s="1" t="s">
        <v>4957</v>
      </c>
      <c r="BU342" s="1" t="s">
        <v>1879</v>
      </c>
      <c r="BV342" s="1" t="s">
        <v>1880</v>
      </c>
      <c r="BW342" s="1" t="s">
        <v>514</v>
      </c>
      <c r="BX342" s="1">
        <v>73</v>
      </c>
      <c r="BY342" s="1">
        <v>73</v>
      </c>
      <c r="BZ342" s="1">
        <v>128</v>
      </c>
      <c r="CB342" s="1" t="str">
        <f t="shared" ref="CB342:CC342" si="272">""</f>
        <v/>
      </c>
      <c r="CC342" s="1" t="str">
        <f t="shared" si="272"/>
        <v/>
      </c>
      <c r="CG342" s="1" t="s">
        <v>379</v>
      </c>
      <c r="CH342" s="1" t="s">
        <v>219</v>
      </c>
      <c r="CI342" s="1" t="s">
        <v>220</v>
      </c>
      <c r="CK342" s="1" t="s">
        <v>278</v>
      </c>
      <c r="CL342" s="1" t="s">
        <v>277</v>
      </c>
      <c r="CM342" s="1" t="s">
        <v>220</v>
      </c>
      <c r="CO342" s="1" t="s">
        <v>346</v>
      </c>
      <c r="CP342" s="1" t="s">
        <v>219</v>
      </c>
      <c r="CQ342" s="1" t="s">
        <v>220</v>
      </c>
      <c r="CS342" s="1" t="s">
        <v>346</v>
      </c>
      <c r="CT342" s="1" t="s">
        <v>277</v>
      </c>
      <c r="CU342" s="1" t="s">
        <v>220</v>
      </c>
      <c r="CX342" s="1" t="s">
        <v>224</v>
      </c>
      <c r="DB342" s="1" t="s">
        <v>224</v>
      </c>
      <c r="DE342" s="1" t="s">
        <v>409</v>
      </c>
      <c r="DF342" s="1" t="s">
        <v>219</v>
      </c>
      <c r="DG342" s="1" t="s">
        <v>4958</v>
      </c>
      <c r="DI342" s="1" t="s">
        <v>315</v>
      </c>
      <c r="DJ342" s="1" t="s">
        <v>219</v>
      </c>
      <c r="DK342" s="1" t="s">
        <v>220</v>
      </c>
      <c r="DS342" s="1" t="s">
        <v>230</v>
      </c>
      <c r="DW342" s="1" t="s">
        <v>230</v>
      </c>
      <c r="EA342" s="1" t="s">
        <v>230</v>
      </c>
      <c r="EE342" s="1" t="s">
        <v>230</v>
      </c>
      <c r="EI342" s="1" t="s">
        <v>230</v>
      </c>
      <c r="EL342" s="1" t="s">
        <v>231</v>
      </c>
      <c r="EM342" s="1" t="s">
        <v>319</v>
      </c>
      <c r="EN342" s="1" t="s">
        <v>282</v>
      </c>
      <c r="EO342" s="1" t="s">
        <v>234</v>
      </c>
      <c r="ER342" s="1" t="s">
        <v>1249</v>
      </c>
      <c r="EW342" s="1" t="s">
        <v>4959</v>
      </c>
      <c r="EZ342" s="1" t="s">
        <v>287</v>
      </c>
      <c r="FB342" s="1" t="s">
        <v>289</v>
      </c>
      <c r="FD342" s="1" t="s">
        <v>246</v>
      </c>
      <c r="FE342" s="1" t="s">
        <v>2074</v>
      </c>
      <c r="FF342" s="1" t="s">
        <v>248</v>
      </c>
      <c r="FH342" s="1" t="s">
        <v>4960</v>
      </c>
      <c r="FL342" s="1" t="s">
        <v>358</v>
      </c>
      <c r="FM342" s="1" t="s">
        <v>252</v>
      </c>
      <c r="FN342" s="1" t="s">
        <v>213</v>
      </c>
      <c r="FO342" s="1" t="s">
        <v>213</v>
      </c>
      <c r="FQ342" s="1" t="s">
        <v>849</v>
      </c>
      <c r="FR342" s="1" t="s">
        <v>210</v>
      </c>
      <c r="FS342" s="1" t="s">
        <v>4961</v>
      </c>
      <c r="FT342" s="1" t="s">
        <v>1182</v>
      </c>
      <c r="FU342" s="1" t="s">
        <v>204</v>
      </c>
      <c r="FW342" s="1" t="s">
        <v>1559</v>
      </c>
      <c r="FX342" s="1">
        <v>3770</v>
      </c>
      <c r="FY342" s="1" t="s">
        <v>4962</v>
      </c>
      <c r="FZ342" s="1" t="s">
        <v>4963</v>
      </c>
      <c r="GA342" s="1">
        <v>32251</v>
      </c>
      <c r="GB342" s="1" t="s">
        <v>4964</v>
      </c>
      <c r="GD342" s="1" t="s">
        <v>4965</v>
      </c>
      <c r="GE342" s="1" t="s">
        <v>1120</v>
      </c>
      <c r="GI342" s="1" t="s">
        <v>213</v>
      </c>
      <c r="GJ342" s="1" t="s">
        <v>260</v>
      </c>
      <c r="GK342" s="1" t="s">
        <v>210</v>
      </c>
      <c r="GL342" s="2">
        <v>42044</v>
      </c>
      <c r="GM342" s="1" t="s">
        <v>4966</v>
      </c>
    </row>
    <row r="343" spans="1:195">
      <c r="A343" s="1">
        <v>172500</v>
      </c>
      <c r="B343" s="1" t="s">
        <v>195</v>
      </c>
      <c r="C343" s="1" t="str">
        <f>"08792022"</f>
        <v>08792022</v>
      </c>
      <c r="D343" s="1" t="s">
        <v>196</v>
      </c>
      <c r="F343" s="1" t="str">
        <f>"507"</f>
        <v>507</v>
      </c>
      <c r="G343" s="2">
        <v>41967</v>
      </c>
      <c r="H343" s="1">
        <v>179900</v>
      </c>
      <c r="I343" s="1">
        <v>174900</v>
      </c>
      <c r="J343" s="1">
        <v>172500</v>
      </c>
      <c r="K343" s="2">
        <v>41967</v>
      </c>
      <c r="L343" s="1">
        <v>75</v>
      </c>
      <c r="M343" s="2">
        <v>42041</v>
      </c>
      <c r="N343" s="1">
        <v>75</v>
      </c>
      <c r="O343" s="2">
        <v>42041</v>
      </c>
      <c r="P343" s="1">
        <v>21823</v>
      </c>
      <c r="Q343" s="1" t="s">
        <v>423</v>
      </c>
      <c r="R343" s="2">
        <v>42081</v>
      </c>
      <c r="S343" s="1">
        <v>227591</v>
      </c>
      <c r="U343" s="1">
        <v>3156</v>
      </c>
      <c r="V343" s="1" t="s">
        <v>3759</v>
      </c>
      <c r="W343" s="1" t="s">
        <v>504</v>
      </c>
      <c r="Y343" s="1">
        <v>2</v>
      </c>
      <c r="Z343" s="1" t="s">
        <v>370</v>
      </c>
      <c r="AA343" s="1" t="s">
        <v>1123</v>
      </c>
      <c r="AB343" s="1">
        <v>60502</v>
      </c>
      <c r="AD343" s="1" t="s">
        <v>3760</v>
      </c>
      <c r="AE343" s="1" t="s">
        <v>4967</v>
      </c>
      <c r="AF343" s="1">
        <v>2002</v>
      </c>
      <c r="AG343" s="1" t="s">
        <v>204</v>
      </c>
      <c r="AH343" s="1" t="s">
        <v>1126</v>
      </c>
      <c r="AI343" s="1" t="s">
        <v>206</v>
      </c>
      <c r="AJ343" s="1" t="s">
        <v>924</v>
      </c>
      <c r="AL343" s="1">
        <v>6</v>
      </c>
      <c r="AM343" s="1">
        <v>2</v>
      </c>
      <c r="AN343" s="1">
        <v>2</v>
      </c>
      <c r="AO343" s="1">
        <v>1</v>
      </c>
      <c r="AP343" s="1" t="s">
        <v>209</v>
      </c>
      <c r="AR343" s="1" t="s">
        <v>210</v>
      </c>
      <c r="AS343" s="1" t="s">
        <v>204</v>
      </c>
      <c r="AT343" s="1" t="s">
        <v>211</v>
      </c>
      <c r="AU343" s="1">
        <v>2</v>
      </c>
      <c r="AW343" s="1" t="s">
        <v>204</v>
      </c>
      <c r="AX343" s="1" t="s">
        <v>212</v>
      </c>
      <c r="AZ343" s="1">
        <v>4648</v>
      </c>
      <c r="BA343" s="1">
        <v>2013</v>
      </c>
      <c r="BE343" s="1">
        <v>1576</v>
      </c>
      <c r="BF343" s="1">
        <v>1</v>
      </c>
      <c r="BG343" s="1">
        <v>1</v>
      </c>
      <c r="BL343" s="1">
        <v>149</v>
      </c>
      <c r="BM343" s="1" t="s">
        <v>204</v>
      </c>
      <c r="BN343" s="1" t="s">
        <v>213</v>
      </c>
      <c r="BO343" s="1">
        <v>50</v>
      </c>
      <c r="BP343" s="1" t="s">
        <v>204</v>
      </c>
      <c r="BR343" s="1" t="str">
        <f>"0717121266"</f>
        <v>0717121266</v>
      </c>
      <c r="BT343" s="1" t="s">
        <v>4968</v>
      </c>
      <c r="BU343" s="1" t="s">
        <v>1129</v>
      </c>
      <c r="BV343" s="1" t="s">
        <v>1248</v>
      </c>
      <c r="BW343" s="1" t="s">
        <v>1312</v>
      </c>
      <c r="BX343" s="1">
        <v>204</v>
      </c>
      <c r="BY343" s="1">
        <v>204</v>
      </c>
      <c r="BZ343" s="1">
        <v>204</v>
      </c>
      <c r="CB343" s="1" t="str">
        <f t="shared" ref="CB343:CC343" si="273">"0"</f>
        <v>0</v>
      </c>
      <c r="CC343" s="1" t="str">
        <f t="shared" si="273"/>
        <v>0</v>
      </c>
      <c r="CD343" s="1">
        <v>30</v>
      </c>
      <c r="CE343" s="1">
        <v>6</v>
      </c>
      <c r="CG343" s="1" t="s">
        <v>2992</v>
      </c>
      <c r="CH343" s="1" t="s">
        <v>219</v>
      </c>
      <c r="CI343" s="1" t="s">
        <v>220</v>
      </c>
      <c r="CK343" s="1" t="s">
        <v>538</v>
      </c>
      <c r="CL343" s="1" t="s">
        <v>277</v>
      </c>
      <c r="CM343" s="1" t="s">
        <v>220</v>
      </c>
      <c r="CO343" s="1" t="s">
        <v>318</v>
      </c>
      <c r="CP343" s="1" t="s">
        <v>219</v>
      </c>
      <c r="CQ343" s="1" t="s">
        <v>220</v>
      </c>
      <c r="CS343" s="1" t="s">
        <v>1046</v>
      </c>
      <c r="CT343" s="1" t="s">
        <v>277</v>
      </c>
      <c r="CU343" s="1" t="s">
        <v>220</v>
      </c>
      <c r="CX343" s="1" t="s">
        <v>224</v>
      </c>
      <c r="DB343" s="1" t="s">
        <v>224</v>
      </c>
      <c r="DE343" s="1" t="s">
        <v>281</v>
      </c>
      <c r="DF343" s="1" t="s">
        <v>219</v>
      </c>
      <c r="DG343" s="1" t="s">
        <v>342</v>
      </c>
      <c r="DJ343" s="1" t="s">
        <v>224</v>
      </c>
      <c r="DM343" s="1" t="s">
        <v>464</v>
      </c>
      <c r="DR343" s="1" t="s">
        <v>757</v>
      </c>
      <c r="DS343" s="1" t="s">
        <v>277</v>
      </c>
      <c r="DT343" s="1" t="s">
        <v>220</v>
      </c>
      <c r="DW343" s="1" t="s">
        <v>230</v>
      </c>
      <c r="EA343" s="1" t="s">
        <v>230</v>
      </c>
      <c r="EE343" s="1" t="s">
        <v>230</v>
      </c>
      <c r="EI343" s="1" t="s">
        <v>230</v>
      </c>
      <c r="EL343" s="1" t="s">
        <v>466</v>
      </c>
      <c r="EM343" s="1" t="s">
        <v>319</v>
      </c>
      <c r="EN343" s="1" t="s">
        <v>282</v>
      </c>
      <c r="EO343" s="1" t="s">
        <v>234</v>
      </c>
      <c r="EP343" s="1" t="s">
        <v>210</v>
      </c>
      <c r="EQ343" s="1" t="s">
        <v>236</v>
      </c>
      <c r="ER343" s="1" t="s">
        <v>210</v>
      </c>
      <c r="EW343" s="1" t="s">
        <v>353</v>
      </c>
      <c r="EZ343" s="1" t="s">
        <v>464</v>
      </c>
      <c r="FD343" s="1" t="s">
        <v>246</v>
      </c>
      <c r="FE343" s="1" t="s">
        <v>566</v>
      </c>
      <c r="FF343" s="1" t="s">
        <v>248</v>
      </c>
      <c r="FH343" s="1" t="s">
        <v>550</v>
      </c>
      <c r="FL343" s="1" t="s">
        <v>358</v>
      </c>
      <c r="FM343" s="1" t="s">
        <v>252</v>
      </c>
      <c r="FN343" s="1" t="s">
        <v>213</v>
      </c>
      <c r="FO343" s="1" t="s">
        <v>213</v>
      </c>
      <c r="FQ343" s="1" t="s">
        <v>4413</v>
      </c>
      <c r="FR343" s="1" t="s">
        <v>210</v>
      </c>
      <c r="FS343" s="1" t="s">
        <v>4969</v>
      </c>
      <c r="FT343" s="1" t="s">
        <v>362</v>
      </c>
      <c r="FU343" s="1" t="s">
        <v>213</v>
      </c>
      <c r="FW343" s="1" t="s">
        <v>4970</v>
      </c>
      <c r="FX343" s="1">
        <v>22876</v>
      </c>
      <c r="FY343" s="1" t="s">
        <v>4971</v>
      </c>
      <c r="FZ343" s="1" t="s">
        <v>4972</v>
      </c>
      <c r="GA343" s="1">
        <v>234171</v>
      </c>
      <c r="GB343" s="1" t="s">
        <v>4973</v>
      </c>
      <c r="GD343" s="1" t="s">
        <v>4974</v>
      </c>
      <c r="GE343" s="1" t="s">
        <v>210</v>
      </c>
      <c r="GI343" s="1" t="s">
        <v>213</v>
      </c>
      <c r="GJ343" s="1" t="s">
        <v>260</v>
      </c>
      <c r="GK343" s="1" t="s">
        <v>210</v>
      </c>
      <c r="GL343" s="2">
        <v>42081</v>
      </c>
    </row>
    <row r="344" spans="1:195">
      <c r="A344" s="1">
        <v>160000</v>
      </c>
      <c r="B344" s="1" t="s">
        <v>195</v>
      </c>
      <c r="C344" s="1" t="str">
        <f>"08794248"</f>
        <v>08794248</v>
      </c>
      <c r="D344" s="1" t="s">
        <v>196</v>
      </c>
      <c r="F344" s="1" t="str">
        <f>"104"</f>
        <v>104</v>
      </c>
      <c r="G344" s="2">
        <v>41974</v>
      </c>
      <c r="H344" s="1">
        <v>161900</v>
      </c>
      <c r="I344" s="1">
        <v>159900</v>
      </c>
      <c r="J344" s="1">
        <v>160000</v>
      </c>
      <c r="K344" s="2">
        <v>41974</v>
      </c>
      <c r="L344" s="1">
        <v>72</v>
      </c>
      <c r="M344" s="2">
        <v>42045</v>
      </c>
      <c r="N344" s="1">
        <v>72</v>
      </c>
      <c r="O344" s="2">
        <v>42045</v>
      </c>
      <c r="P344" s="1">
        <v>256</v>
      </c>
      <c r="Q344" s="1" t="s">
        <v>197</v>
      </c>
      <c r="R344" s="2">
        <v>42101</v>
      </c>
      <c r="S344" s="1">
        <v>1369</v>
      </c>
      <c r="U344" s="1" t="s">
        <v>4975</v>
      </c>
      <c r="V344" s="1" t="s">
        <v>4976</v>
      </c>
      <c r="W344" s="1" t="s">
        <v>304</v>
      </c>
      <c r="X344" s="1">
        <v>3</v>
      </c>
      <c r="Y344" s="1">
        <v>4</v>
      </c>
      <c r="Z344" s="1" t="s">
        <v>370</v>
      </c>
      <c r="AA344" s="1" t="s">
        <v>371</v>
      </c>
      <c r="AB344" s="1">
        <v>60103</v>
      </c>
      <c r="AD344" s="1" t="s">
        <v>4977</v>
      </c>
      <c r="AE344" s="1" t="s">
        <v>4978</v>
      </c>
      <c r="AF344" s="1">
        <v>1996</v>
      </c>
      <c r="AG344" s="1" t="s">
        <v>204</v>
      </c>
      <c r="AH344" s="1" t="s">
        <v>373</v>
      </c>
      <c r="AI344" s="1" t="s">
        <v>206</v>
      </c>
      <c r="AJ344" s="1" t="s">
        <v>2654</v>
      </c>
      <c r="AK344" s="1" t="s">
        <v>454</v>
      </c>
      <c r="AL344" s="1">
        <v>6</v>
      </c>
      <c r="AM344" s="1">
        <v>2</v>
      </c>
      <c r="AN344" s="1">
        <v>2</v>
      </c>
      <c r="AO344" s="1">
        <v>0</v>
      </c>
      <c r="AP344" s="1" t="s">
        <v>209</v>
      </c>
      <c r="AQ344" s="1">
        <v>1</v>
      </c>
      <c r="AR344" s="1" t="s">
        <v>210</v>
      </c>
      <c r="AT344" s="1" t="s">
        <v>211</v>
      </c>
      <c r="AU344" s="1">
        <v>2</v>
      </c>
      <c r="AW344" s="1" t="s">
        <v>204</v>
      </c>
      <c r="AX344" s="1" t="s">
        <v>212</v>
      </c>
      <c r="AZ344" s="1">
        <v>4792</v>
      </c>
      <c r="BA344" s="1">
        <v>2013</v>
      </c>
      <c r="BB344" s="1" t="s">
        <v>405</v>
      </c>
      <c r="BE344" s="1">
        <v>1458</v>
      </c>
      <c r="BF344" s="1">
        <v>1</v>
      </c>
      <c r="BG344" s="1">
        <v>0</v>
      </c>
      <c r="BL344" s="1">
        <v>229</v>
      </c>
      <c r="BM344" s="1" t="s">
        <v>204</v>
      </c>
      <c r="BN344" s="1" t="s">
        <v>213</v>
      </c>
      <c r="BO344" s="1">
        <v>99</v>
      </c>
      <c r="BP344" s="1" t="s">
        <v>204</v>
      </c>
      <c r="BR344" s="1" t="str">
        <f>"0113126151"</f>
        <v>0113126151</v>
      </c>
      <c r="BT344" s="1" t="s">
        <v>4979</v>
      </c>
      <c r="BU344" s="1" t="s">
        <v>4119</v>
      </c>
      <c r="BV344" s="1" t="s">
        <v>4120</v>
      </c>
      <c r="BW344" s="1" t="s">
        <v>4121</v>
      </c>
      <c r="BX344" s="1">
        <v>46</v>
      </c>
      <c r="BY344" s="1">
        <v>46</v>
      </c>
      <c r="BZ344" s="1">
        <v>46</v>
      </c>
      <c r="CB344" s="1" t="str">
        <f t="shared" ref="CB344:CC344" si="274">""</f>
        <v/>
      </c>
      <c r="CC344" s="1" t="str">
        <f t="shared" si="274"/>
        <v/>
      </c>
      <c r="CG344" s="1" t="s">
        <v>228</v>
      </c>
      <c r="CH344" s="1" t="s">
        <v>219</v>
      </c>
      <c r="CI344" s="1" t="s">
        <v>220</v>
      </c>
      <c r="CJ344" s="1" t="s">
        <v>252</v>
      </c>
      <c r="CK344" s="1" t="s">
        <v>1737</v>
      </c>
      <c r="CL344" s="1" t="s">
        <v>219</v>
      </c>
      <c r="CM344" s="1" t="s">
        <v>220</v>
      </c>
      <c r="CN344" s="1" t="s">
        <v>252</v>
      </c>
      <c r="CO344" s="1" t="s">
        <v>972</v>
      </c>
      <c r="CP344" s="1" t="s">
        <v>219</v>
      </c>
      <c r="CQ344" s="1" t="s">
        <v>220</v>
      </c>
      <c r="CR344" s="1" t="s">
        <v>210</v>
      </c>
      <c r="CS344" s="1" t="s">
        <v>346</v>
      </c>
      <c r="CT344" s="1" t="s">
        <v>219</v>
      </c>
      <c r="CU344" s="1" t="s">
        <v>220</v>
      </c>
      <c r="CV344" s="1" t="s">
        <v>252</v>
      </c>
      <c r="CX344" s="1" t="s">
        <v>224</v>
      </c>
      <c r="DB344" s="1" t="s">
        <v>224</v>
      </c>
      <c r="DE344" s="1" t="s">
        <v>461</v>
      </c>
      <c r="DF344" s="1" t="s">
        <v>219</v>
      </c>
      <c r="DG344" s="1" t="s">
        <v>342</v>
      </c>
      <c r="DH344" s="1" t="s">
        <v>252</v>
      </c>
      <c r="DJ344" s="1" t="s">
        <v>224</v>
      </c>
      <c r="DM344" s="1" t="s">
        <v>1005</v>
      </c>
      <c r="DR344" s="1" t="s">
        <v>346</v>
      </c>
      <c r="DS344" s="1" t="s">
        <v>219</v>
      </c>
      <c r="DT344" s="1" t="s">
        <v>220</v>
      </c>
      <c r="DU344" s="1" t="s">
        <v>252</v>
      </c>
      <c r="DW344" s="1" t="s">
        <v>230</v>
      </c>
      <c r="EA344" s="1" t="s">
        <v>230</v>
      </c>
      <c r="EE344" s="1" t="s">
        <v>230</v>
      </c>
      <c r="EI344" s="1" t="s">
        <v>230</v>
      </c>
      <c r="EL344" s="1" t="s">
        <v>670</v>
      </c>
      <c r="EM344" s="1" t="s">
        <v>319</v>
      </c>
      <c r="EN344" s="1" t="s">
        <v>282</v>
      </c>
      <c r="EO344" s="1" t="s">
        <v>234</v>
      </c>
      <c r="EQ344" s="1" t="s">
        <v>236</v>
      </c>
      <c r="ER344" s="1" t="s">
        <v>210</v>
      </c>
      <c r="ES344" s="1" t="s">
        <v>824</v>
      </c>
      <c r="ET344" s="1" t="s">
        <v>2140</v>
      </c>
      <c r="EU344" s="1" t="s">
        <v>1110</v>
      </c>
      <c r="EW344" s="1" t="s">
        <v>911</v>
      </c>
      <c r="EY344" s="1" t="s">
        <v>242</v>
      </c>
      <c r="EZ344" s="1" t="s">
        <v>1005</v>
      </c>
      <c r="FA344" s="1" t="s">
        <v>4980</v>
      </c>
      <c r="FB344" s="1" t="s">
        <v>289</v>
      </c>
      <c r="FC344" s="1" t="s">
        <v>1386</v>
      </c>
      <c r="FD344" s="1" t="s">
        <v>246</v>
      </c>
      <c r="FE344" s="1" t="s">
        <v>549</v>
      </c>
      <c r="FF344" s="1" t="s">
        <v>248</v>
      </c>
      <c r="FG344" s="1" t="s">
        <v>912</v>
      </c>
      <c r="FH344" s="1" t="s">
        <v>550</v>
      </c>
      <c r="FI344" s="1" t="s">
        <v>473</v>
      </c>
      <c r="FL344" s="1" t="s">
        <v>358</v>
      </c>
      <c r="FM344" s="1" t="s">
        <v>252</v>
      </c>
      <c r="FN344" s="1" t="s">
        <v>213</v>
      </c>
      <c r="FO344" s="1" t="s">
        <v>213</v>
      </c>
      <c r="FQ344" s="1" t="s">
        <v>329</v>
      </c>
      <c r="FR344" s="1" t="s">
        <v>210</v>
      </c>
      <c r="FS344" s="1" t="s">
        <v>4981</v>
      </c>
      <c r="FT344" s="1" t="s">
        <v>255</v>
      </c>
      <c r="FU344" s="1" t="s">
        <v>204</v>
      </c>
      <c r="FV344" s="1" t="s">
        <v>4982</v>
      </c>
      <c r="FW344" s="1" t="s">
        <v>554</v>
      </c>
      <c r="FX344" s="1">
        <v>25215</v>
      </c>
      <c r="FY344" s="1" t="s">
        <v>1508</v>
      </c>
      <c r="FZ344" s="1" t="s">
        <v>4983</v>
      </c>
      <c r="GA344" s="1">
        <v>253383</v>
      </c>
      <c r="GB344" s="1" t="s">
        <v>4984</v>
      </c>
      <c r="GC344" s="1">
        <v>257050</v>
      </c>
      <c r="GD344" s="1" t="s">
        <v>4982</v>
      </c>
      <c r="GE344" s="1" t="s">
        <v>480</v>
      </c>
      <c r="GI344" s="1" t="s">
        <v>213</v>
      </c>
      <c r="GJ344" s="1" t="s">
        <v>260</v>
      </c>
      <c r="GK344" s="1" t="s">
        <v>210</v>
      </c>
      <c r="GL344" s="2">
        <v>42101</v>
      </c>
    </row>
    <row r="345" spans="1:195">
      <c r="A345" s="1">
        <v>144000</v>
      </c>
      <c r="B345" s="1" t="s">
        <v>195</v>
      </c>
      <c r="C345" s="1" t="str">
        <f>"08791619"</f>
        <v>08791619</v>
      </c>
      <c r="D345" s="1" t="s">
        <v>196</v>
      </c>
      <c r="F345" s="1" t="str">
        <f>"555"</f>
        <v>555</v>
      </c>
      <c r="G345" s="2">
        <v>41967</v>
      </c>
      <c r="H345" s="1">
        <v>145000</v>
      </c>
      <c r="I345" s="1">
        <v>145000</v>
      </c>
      <c r="J345" s="1">
        <v>144000</v>
      </c>
      <c r="K345" s="2">
        <v>41967</v>
      </c>
      <c r="L345" s="1">
        <v>63</v>
      </c>
      <c r="M345" s="2">
        <v>42029</v>
      </c>
      <c r="N345" s="1">
        <v>63</v>
      </c>
      <c r="O345" s="2">
        <v>42029</v>
      </c>
      <c r="P345" s="1">
        <v>85115</v>
      </c>
      <c r="Q345" s="1" t="s">
        <v>197</v>
      </c>
      <c r="R345" s="2">
        <v>42076</v>
      </c>
      <c r="S345" s="1">
        <v>168502</v>
      </c>
      <c r="T345" s="1">
        <v>6000</v>
      </c>
      <c r="U345" s="1" t="s">
        <v>4985</v>
      </c>
      <c r="V345" s="1" t="s">
        <v>4986</v>
      </c>
      <c r="W345" s="1" t="s">
        <v>264</v>
      </c>
      <c r="Y345" s="1">
        <v>2</v>
      </c>
      <c r="Z345" s="1" t="s">
        <v>370</v>
      </c>
      <c r="AA345" s="1" t="s">
        <v>984</v>
      </c>
      <c r="AB345" s="1">
        <v>60555</v>
      </c>
      <c r="AD345" s="1" t="s">
        <v>4987</v>
      </c>
      <c r="AE345" s="1" t="s">
        <v>4988</v>
      </c>
      <c r="AF345" s="1">
        <v>1987</v>
      </c>
      <c r="AG345" s="1" t="s">
        <v>204</v>
      </c>
      <c r="AH345" s="1" t="s">
        <v>882</v>
      </c>
      <c r="AI345" s="1" t="s">
        <v>206</v>
      </c>
      <c r="AJ345" s="1" t="s">
        <v>987</v>
      </c>
      <c r="AL345" s="1">
        <v>6</v>
      </c>
      <c r="AM345" s="1">
        <v>2</v>
      </c>
      <c r="AN345" s="1">
        <v>1</v>
      </c>
      <c r="AO345" s="1">
        <v>1</v>
      </c>
      <c r="AP345" s="1" t="s">
        <v>210</v>
      </c>
      <c r="AQ345" s="1">
        <v>1</v>
      </c>
      <c r="AR345" s="1" t="s">
        <v>210</v>
      </c>
      <c r="AT345" s="1" t="s">
        <v>211</v>
      </c>
      <c r="AU345" s="1">
        <v>2</v>
      </c>
      <c r="AW345" s="1" t="s">
        <v>204</v>
      </c>
      <c r="AX345" s="1" t="s">
        <v>212</v>
      </c>
      <c r="AZ345" s="1">
        <v>3377</v>
      </c>
      <c r="BA345" s="1">
        <v>2013</v>
      </c>
      <c r="BB345" s="1" t="s">
        <v>405</v>
      </c>
      <c r="BE345" s="1">
        <v>1403</v>
      </c>
      <c r="BF345" s="1">
        <v>1</v>
      </c>
      <c r="BG345" s="1">
        <v>0</v>
      </c>
      <c r="BL345" s="1">
        <v>181</v>
      </c>
      <c r="BM345" s="1" t="s">
        <v>204</v>
      </c>
      <c r="BN345" s="1" t="s">
        <v>213</v>
      </c>
      <c r="BO345" s="1">
        <v>50</v>
      </c>
      <c r="BP345" s="1" t="s">
        <v>204</v>
      </c>
      <c r="BR345" s="1" t="str">
        <f>"0427306048"</f>
        <v>0427306048</v>
      </c>
      <c r="BT345" s="1" t="s">
        <v>4989</v>
      </c>
      <c r="BX345" s="1">
        <v>200</v>
      </c>
      <c r="BY345" s="1">
        <v>200</v>
      </c>
      <c r="BZ345" s="1">
        <v>200</v>
      </c>
      <c r="CB345" s="1" t="str">
        <f t="shared" ref="CB345:CC345" si="275">""</f>
        <v/>
      </c>
      <c r="CC345" s="1" t="str">
        <f t="shared" si="275"/>
        <v/>
      </c>
      <c r="CG345" s="1" t="s">
        <v>278</v>
      </c>
      <c r="CH345" s="1" t="s">
        <v>219</v>
      </c>
      <c r="CI345" s="1" t="s">
        <v>226</v>
      </c>
      <c r="CK345" s="1" t="s">
        <v>3591</v>
      </c>
      <c r="CL345" s="1" t="s">
        <v>277</v>
      </c>
      <c r="CM345" s="1" t="s">
        <v>220</v>
      </c>
      <c r="CP345" s="1" t="s">
        <v>224</v>
      </c>
      <c r="CS345" s="1" t="s">
        <v>379</v>
      </c>
      <c r="CT345" s="1" t="s">
        <v>277</v>
      </c>
      <c r="CU345" s="1" t="s">
        <v>220</v>
      </c>
      <c r="CX345" s="1" t="s">
        <v>224</v>
      </c>
      <c r="DB345" s="1" t="s">
        <v>224</v>
      </c>
      <c r="DE345" s="1" t="s">
        <v>4926</v>
      </c>
      <c r="DF345" s="1" t="s">
        <v>219</v>
      </c>
      <c r="DG345" s="1" t="s">
        <v>226</v>
      </c>
      <c r="DJ345" s="1" t="s">
        <v>224</v>
      </c>
      <c r="DM345" s="1" t="s">
        <v>381</v>
      </c>
      <c r="DN345" s="1" t="s">
        <v>464</v>
      </c>
      <c r="DR345" s="1" t="s">
        <v>821</v>
      </c>
      <c r="DS345" s="1" t="s">
        <v>219</v>
      </c>
      <c r="DT345" s="1" t="s">
        <v>226</v>
      </c>
      <c r="DV345" s="1" t="s">
        <v>1045</v>
      </c>
      <c r="DW345" s="1" t="s">
        <v>277</v>
      </c>
      <c r="DX345" s="1" t="s">
        <v>220</v>
      </c>
      <c r="EA345" s="1" t="s">
        <v>230</v>
      </c>
      <c r="EE345" s="1" t="s">
        <v>230</v>
      </c>
      <c r="EI345" s="1" t="s">
        <v>230</v>
      </c>
      <c r="EL345" s="1" t="s">
        <v>542</v>
      </c>
      <c r="EM345" s="1" t="s">
        <v>319</v>
      </c>
      <c r="EN345" s="1" t="s">
        <v>282</v>
      </c>
      <c r="EO345" s="1" t="s">
        <v>234</v>
      </c>
      <c r="ER345" s="1" t="s">
        <v>210</v>
      </c>
      <c r="EW345" s="1" t="s">
        <v>1372</v>
      </c>
      <c r="EZ345" s="1" t="s">
        <v>4284</v>
      </c>
      <c r="FB345" s="1" t="s">
        <v>734</v>
      </c>
      <c r="FD345" s="1" t="s">
        <v>246</v>
      </c>
      <c r="FE345" s="1" t="s">
        <v>355</v>
      </c>
      <c r="FF345" s="1" t="s">
        <v>248</v>
      </c>
      <c r="FG345" s="1" t="s">
        <v>939</v>
      </c>
      <c r="FH345" s="1" t="s">
        <v>442</v>
      </c>
      <c r="FI345" s="1" t="s">
        <v>473</v>
      </c>
      <c r="FL345" s="1" t="s">
        <v>358</v>
      </c>
      <c r="FM345" s="1" t="s">
        <v>252</v>
      </c>
      <c r="FN345" s="1" t="s">
        <v>213</v>
      </c>
      <c r="FO345" s="1" t="s">
        <v>213</v>
      </c>
      <c r="FQ345" s="1" t="s">
        <v>2700</v>
      </c>
      <c r="FR345" s="1" t="s">
        <v>210</v>
      </c>
      <c r="FS345" s="1" t="s">
        <v>4990</v>
      </c>
      <c r="FT345" s="1" t="s">
        <v>295</v>
      </c>
      <c r="FU345" s="1" t="s">
        <v>204</v>
      </c>
      <c r="FW345" s="1" t="s">
        <v>915</v>
      </c>
      <c r="FX345" s="1">
        <v>23076</v>
      </c>
      <c r="FY345" s="1" t="s">
        <v>1909</v>
      </c>
      <c r="FZ345" s="1" t="s">
        <v>4991</v>
      </c>
      <c r="GA345" s="1">
        <v>233288</v>
      </c>
      <c r="GB345" s="1" t="s">
        <v>4992</v>
      </c>
      <c r="GE345" s="1" t="s">
        <v>210</v>
      </c>
      <c r="GI345" s="1" t="s">
        <v>213</v>
      </c>
      <c r="GJ345" s="1" t="s">
        <v>260</v>
      </c>
      <c r="GK345" s="1" t="s">
        <v>210</v>
      </c>
      <c r="GL345" s="2">
        <v>42076</v>
      </c>
      <c r="GM345" s="1" t="s">
        <v>4993</v>
      </c>
    </row>
    <row r="346" spans="1:195">
      <c r="A346" s="1">
        <v>164000</v>
      </c>
      <c r="B346" s="1" t="s">
        <v>195</v>
      </c>
      <c r="C346" s="1" t="str">
        <f>"08793885"</f>
        <v>08793885</v>
      </c>
      <c r="D346" s="1" t="s">
        <v>196</v>
      </c>
      <c r="F346" s="1" t="str">
        <f>"559"</f>
        <v>559</v>
      </c>
      <c r="G346" s="2">
        <v>41972</v>
      </c>
      <c r="H346" s="1">
        <v>175000</v>
      </c>
      <c r="I346" s="1">
        <v>175000</v>
      </c>
      <c r="J346" s="1">
        <v>164000</v>
      </c>
      <c r="K346" s="2">
        <v>41972</v>
      </c>
      <c r="L346" s="1">
        <v>123</v>
      </c>
      <c r="M346" s="2">
        <v>42094</v>
      </c>
      <c r="N346" s="1">
        <v>123</v>
      </c>
      <c r="O346" s="2">
        <v>42094</v>
      </c>
      <c r="P346" s="1">
        <v>20188</v>
      </c>
      <c r="Q346" s="1" t="s">
        <v>197</v>
      </c>
      <c r="R346" s="2">
        <v>42135</v>
      </c>
      <c r="S346" s="1">
        <v>230834</v>
      </c>
      <c r="U346" s="1">
        <v>1512</v>
      </c>
      <c r="V346" s="1" t="s">
        <v>4994</v>
      </c>
      <c r="W346" s="1" t="s">
        <v>504</v>
      </c>
      <c r="Y346" s="1">
        <v>4</v>
      </c>
      <c r="Z346" s="1" t="s">
        <v>370</v>
      </c>
      <c r="AA346" s="1" t="s">
        <v>1950</v>
      </c>
      <c r="AB346" s="1">
        <v>60559</v>
      </c>
      <c r="AD346" s="1" t="s">
        <v>4995</v>
      </c>
      <c r="AE346" s="1" t="s">
        <v>4996</v>
      </c>
      <c r="AF346" s="1">
        <v>1986</v>
      </c>
      <c r="AG346" s="1" t="s">
        <v>204</v>
      </c>
      <c r="AH346" s="1" t="s">
        <v>1952</v>
      </c>
      <c r="AI346" s="1" t="s">
        <v>206</v>
      </c>
      <c r="AJ346" s="1" t="s">
        <v>903</v>
      </c>
      <c r="AL346" s="1">
        <v>6</v>
      </c>
      <c r="AM346" s="1">
        <v>2</v>
      </c>
      <c r="AN346" s="1">
        <v>1</v>
      </c>
      <c r="AO346" s="1">
        <v>1</v>
      </c>
      <c r="AP346" s="1" t="s">
        <v>667</v>
      </c>
      <c r="AQ346" s="1">
        <v>1</v>
      </c>
      <c r="AR346" s="1" t="s">
        <v>210</v>
      </c>
      <c r="AS346" s="1" t="s">
        <v>204</v>
      </c>
      <c r="AT346" s="1" t="s">
        <v>211</v>
      </c>
      <c r="AU346" s="1">
        <v>1</v>
      </c>
      <c r="AW346" s="1" t="s">
        <v>204</v>
      </c>
      <c r="AX346" s="1" t="s">
        <v>4997</v>
      </c>
      <c r="AZ346" s="1">
        <v>3367</v>
      </c>
      <c r="BA346" s="1">
        <v>2013</v>
      </c>
      <c r="BB346" s="1" t="s">
        <v>405</v>
      </c>
      <c r="BE346" s="1">
        <v>1174</v>
      </c>
      <c r="BF346" s="1">
        <v>1</v>
      </c>
      <c r="BG346" s="1">
        <v>0</v>
      </c>
      <c r="BL346" s="1">
        <v>242</v>
      </c>
      <c r="BM346" s="1" t="s">
        <v>213</v>
      </c>
      <c r="BN346" s="1" t="s">
        <v>213</v>
      </c>
      <c r="BO346" s="1">
        <v>0</v>
      </c>
      <c r="BP346" s="1" t="s">
        <v>204</v>
      </c>
      <c r="BR346" s="1" t="str">
        <f>"0921220016"</f>
        <v>0921220016</v>
      </c>
      <c r="BT346" s="1" t="s">
        <v>4998</v>
      </c>
      <c r="BU346" s="1" t="s">
        <v>2980</v>
      </c>
      <c r="BV346" s="1" t="s">
        <v>2981</v>
      </c>
      <c r="BW346" s="1" t="s">
        <v>2762</v>
      </c>
      <c r="BX346" s="1">
        <v>60</v>
      </c>
      <c r="BY346" s="1">
        <v>60</v>
      </c>
      <c r="BZ346" s="1">
        <v>99</v>
      </c>
      <c r="CB346" s="1" t="str">
        <f t="shared" ref="CB346:CC346" si="276">""</f>
        <v/>
      </c>
      <c r="CC346" s="1" t="str">
        <f t="shared" si="276"/>
        <v/>
      </c>
      <c r="CD346" s="1">
        <v>17</v>
      </c>
      <c r="CE346" s="1">
        <v>7</v>
      </c>
      <c r="CG346" s="1" t="s">
        <v>4554</v>
      </c>
      <c r="CH346" s="1" t="s">
        <v>219</v>
      </c>
      <c r="CI346" s="1" t="s">
        <v>438</v>
      </c>
      <c r="CJ346" s="1" t="s">
        <v>252</v>
      </c>
      <c r="CK346" s="1" t="s">
        <v>1469</v>
      </c>
      <c r="CL346" s="1" t="s">
        <v>277</v>
      </c>
      <c r="CM346" s="1" t="s">
        <v>220</v>
      </c>
      <c r="CN346" s="1" t="s">
        <v>252</v>
      </c>
      <c r="CO346" s="1" t="s">
        <v>4999</v>
      </c>
      <c r="CP346" s="1" t="s">
        <v>219</v>
      </c>
      <c r="CQ346" s="1" t="s">
        <v>438</v>
      </c>
      <c r="CR346" s="1" t="s">
        <v>252</v>
      </c>
      <c r="CS346" s="1" t="s">
        <v>346</v>
      </c>
      <c r="CT346" s="1" t="s">
        <v>277</v>
      </c>
      <c r="CU346" s="1" t="s">
        <v>220</v>
      </c>
      <c r="CV346" s="1" t="s">
        <v>252</v>
      </c>
      <c r="CX346" s="1" t="s">
        <v>224</v>
      </c>
      <c r="DB346" s="1" t="s">
        <v>224</v>
      </c>
      <c r="DE346" s="1" t="s">
        <v>1854</v>
      </c>
      <c r="DF346" s="1" t="s">
        <v>219</v>
      </c>
      <c r="DG346" s="1" t="s">
        <v>226</v>
      </c>
      <c r="DH346" s="1" t="s">
        <v>252</v>
      </c>
      <c r="DJ346" s="1" t="s">
        <v>224</v>
      </c>
      <c r="DM346" s="1" t="s">
        <v>464</v>
      </c>
      <c r="DR346" s="1" t="s">
        <v>4829</v>
      </c>
      <c r="DS346" s="1" t="s">
        <v>277</v>
      </c>
      <c r="DT346" s="1" t="s">
        <v>220</v>
      </c>
      <c r="DW346" s="1" t="s">
        <v>230</v>
      </c>
      <c r="EA346" s="1" t="s">
        <v>230</v>
      </c>
      <c r="EE346" s="1" t="s">
        <v>230</v>
      </c>
      <c r="EI346" s="1" t="s">
        <v>230</v>
      </c>
      <c r="EL346" s="1" t="s">
        <v>542</v>
      </c>
      <c r="EM346" s="1" t="s">
        <v>232</v>
      </c>
      <c r="EN346" s="1" t="s">
        <v>282</v>
      </c>
      <c r="EO346" s="1" t="s">
        <v>234</v>
      </c>
      <c r="EP346" s="1" t="s">
        <v>1268</v>
      </c>
      <c r="EQ346" s="1" t="s">
        <v>492</v>
      </c>
      <c r="ER346" s="1" t="s">
        <v>210</v>
      </c>
      <c r="ES346" s="1" t="s">
        <v>493</v>
      </c>
      <c r="ET346" s="1" t="s">
        <v>4177</v>
      </c>
      <c r="EU346" s="1" t="s">
        <v>3377</v>
      </c>
      <c r="EV346" s="1" t="s">
        <v>240</v>
      </c>
      <c r="EW346" s="1" t="s">
        <v>353</v>
      </c>
      <c r="EY346" s="1" t="s">
        <v>242</v>
      </c>
      <c r="EZ346" s="1" t="s">
        <v>464</v>
      </c>
      <c r="FA346" s="1" t="s">
        <v>471</v>
      </c>
      <c r="FD346" s="1" t="s">
        <v>246</v>
      </c>
      <c r="FE346" s="1" t="s">
        <v>386</v>
      </c>
      <c r="FF346" s="1" t="s">
        <v>248</v>
      </c>
      <c r="FG346" s="1" t="s">
        <v>912</v>
      </c>
      <c r="FH346" s="1" t="s">
        <v>550</v>
      </c>
      <c r="FI346" s="1" t="s">
        <v>473</v>
      </c>
      <c r="FL346" s="1" t="s">
        <v>358</v>
      </c>
      <c r="FM346" s="1" t="s">
        <v>252</v>
      </c>
      <c r="FN346" s="1" t="s">
        <v>213</v>
      </c>
      <c r="FO346" s="1" t="s">
        <v>213</v>
      </c>
      <c r="FQ346" s="1" t="s">
        <v>5000</v>
      </c>
      <c r="FR346" s="1" t="s">
        <v>210</v>
      </c>
      <c r="FS346" s="1" t="s">
        <v>5001</v>
      </c>
      <c r="FT346" s="1" t="s">
        <v>295</v>
      </c>
      <c r="FU346" s="1" t="s">
        <v>204</v>
      </c>
      <c r="FW346" s="1" t="s">
        <v>585</v>
      </c>
      <c r="FX346" s="1">
        <v>20001</v>
      </c>
      <c r="FY346" s="1" t="s">
        <v>5002</v>
      </c>
      <c r="FZ346" s="1" t="s">
        <v>5003</v>
      </c>
      <c r="GA346" s="1">
        <v>214345</v>
      </c>
      <c r="GB346" s="1" t="s">
        <v>5004</v>
      </c>
      <c r="GE346" s="1" t="s">
        <v>480</v>
      </c>
      <c r="GI346" s="1" t="s">
        <v>213</v>
      </c>
      <c r="GJ346" s="1" t="s">
        <v>260</v>
      </c>
      <c r="GK346" s="1" t="s">
        <v>210</v>
      </c>
      <c r="GL346" s="2">
        <v>42136</v>
      </c>
      <c r="GM346" s="1" t="s">
        <v>5005</v>
      </c>
    </row>
    <row r="347" spans="1:195">
      <c r="A347" s="1">
        <v>123000</v>
      </c>
      <c r="B347" s="1" t="s">
        <v>195</v>
      </c>
      <c r="C347" s="1" t="str">
        <f>"08791001"</f>
        <v>08791001</v>
      </c>
      <c r="D347" s="1" t="s">
        <v>196</v>
      </c>
      <c r="F347" s="1" t="str">
        <f>"123"</f>
        <v>123</v>
      </c>
      <c r="G347" s="2">
        <v>41964</v>
      </c>
      <c r="H347" s="1">
        <v>129900</v>
      </c>
      <c r="I347" s="1">
        <v>129900</v>
      </c>
      <c r="J347" s="1">
        <v>123000</v>
      </c>
      <c r="K347" s="2">
        <v>41964</v>
      </c>
      <c r="L347" s="1">
        <v>41</v>
      </c>
      <c r="M347" s="2">
        <v>42004</v>
      </c>
      <c r="N347" s="1">
        <v>41</v>
      </c>
      <c r="O347" s="2">
        <v>42004</v>
      </c>
      <c r="P347" s="1">
        <v>1582</v>
      </c>
      <c r="Q347" s="1" t="s">
        <v>197</v>
      </c>
      <c r="R347" s="2">
        <v>42059</v>
      </c>
      <c r="S347" s="1">
        <v>84285</v>
      </c>
      <c r="U347" s="1">
        <v>646</v>
      </c>
      <c r="V347" s="1" t="s">
        <v>5006</v>
      </c>
      <c r="W347" s="1" t="s">
        <v>526</v>
      </c>
      <c r="Y347" s="1">
        <v>4</v>
      </c>
      <c r="Z347" s="1" t="s">
        <v>370</v>
      </c>
      <c r="AA347" s="1" t="s">
        <v>1173</v>
      </c>
      <c r="AB347" s="1">
        <v>60120</v>
      </c>
      <c r="AD347" s="1" t="s">
        <v>5007</v>
      </c>
      <c r="AE347" s="1" t="s">
        <v>5008</v>
      </c>
      <c r="AF347" s="1">
        <v>2000</v>
      </c>
      <c r="AG347" s="1" t="s">
        <v>204</v>
      </c>
      <c r="AH347" s="1" t="s">
        <v>1175</v>
      </c>
      <c r="AI347" s="1" t="s">
        <v>310</v>
      </c>
      <c r="AJ347" s="1" t="s">
        <v>374</v>
      </c>
      <c r="AL347" s="1">
        <v>6</v>
      </c>
      <c r="AM347" s="1">
        <v>2</v>
      </c>
      <c r="AN347" s="1">
        <v>2</v>
      </c>
      <c r="AO347" s="1">
        <v>1</v>
      </c>
      <c r="AP347" s="1" t="s">
        <v>209</v>
      </c>
      <c r="AQ347" s="1">
        <v>0</v>
      </c>
      <c r="AR347" s="1" t="s">
        <v>1631</v>
      </c>
      <c r="AS347" s="1" t="s">
        <v>204</v>
      </c>
      <c r="AT347" s="1" t="s">
        <v>211</v>
      </c>
      <c r="AU347" s="1">
        <v>2</v>
      </c>
      <c r="AW347" s="1" t="s">
        <v>204</v>
      </c>
      <c r="AX347" s="1" t="s">
        <v>212</v>
      </c>
      <c r="AZ347" s="1">
        <v>3537.3</v>
      </c>
      <c r="BA347" s="1">
        <v>2013</v>
      </c>
      <c r="BB347" s="1" t="s">
        <v>405</v>
      </c>
      <c r="BE347" s="1">
        <v>1323</v>
      </c>
      <c r="BF347" s="1">
        <v>1</v>
      </c>
      <c r="BG347" s="1">
        <v>0</v>
      </c>
      <c r="BL347" s="1">
        <v>172</v>
      </c>
      <c r="BM347" s="1" t="s">
        <v>204</v>
      </c>
      <c r="BN347" s="1" t="s">
        <v>213</v>
      </c>
      <c r="BO347" s="1">
        <v>0</v>
      </c>
      <c r="BP347" s="1" t="s">
        <v>204</v>
      </c>
      <c r="BR347" s="1" t="str">
        <f>"06202080181019"</f>
        <v>06202080181019</v>
      </c>
      <c r="BT347" s="1" t="s">
        <v>5009</v>
      </c>
      <c r="BU347" s="1" t="s">
        <v>5010</v>
      </c>
      <c r="BV347" s="1" t="s">
        <v>2057</v>
      </c>
      <c r="BW347" s="1" t="s">
        <v>2058</v>
      </c>
      <c r="BX347" s="1">
        <v>46</v>
      </c>
      <c r="BY347" s="1">
        <v>46</v>
      </c>
      <c r="BZ347" s="1">
        <v>46</v>
      </c>
      <c r="CB347" s="1" t="str">
        <f t="shared" ref="CB347:CC347" si="277">""</f>
        <v/>
      </c>
      <c r="CC347" s="1" t="str">
        <f t="shared" si="277"/>
        <v/>
      </c>
      <c r="CG347" s="1" t="s">
        <v>729</v>
      </c>
      <c r="CH347" s="1" t="s">
        <v>219</v>
      </c>
      <c r="CI347" s="1" t="s">
        <v>438</v>
      </c>
      <c r="CK347" s="1" t="s">
        <v>932</v>
      </c>
      <c r="CL347" s="1" t="s">
        <v>277</v>
      </c>
      <c r="CM347" s="1" t="s">
        <v>220</v>
      </c>
      <c r="CO347" s="1" t="s">
        <v>281</v>
      </c>
      <c r="CP347" s="1" t="s">
        <v>219</v>
      </c>
      <c r="CQ347" s="1" t="s">
        <v>438</v>
      </c>
      <c r="CS347" s="1" t="s">
        <v>317</v>
      </c>
      <c r="CT347" s="1" t="s">
        <v>277</v>
      </c>
      <c r="CU347" s="1" t="s">
        <v>220</v>
      </c>
      <c r="CX347" s="1" t="s">
        <v>224</v>
      </c>
      <c r="DB347" s="1" t="s">
        <v>224</v>
      </c>
      <c r="DE347" s="1" t="s">
        <v>837</v>
      </c>
      <c r="DF347" s="1" t="s">
        <v>219</v>
      </c>
      <c r="DG347" s="1" t="s">
        <v>438</v>
      </c>
      <c r="DJ347" s="1" t="s">
        <v>224</v>
      </c>
      <c r="DM347" s="1" t="s">
        <v>411</v>
      </c>
      <c r="DR347" s="1" t="s">
        <v>1612</v>
      </c>
      <c r="DS347" s="1" t="s">
        <v>43</v>
      </c>
      <c r="DT347" s="1" t="s">
        <v>342</v>
      </c>
      <c r="DW347" s="1" t="s">
        <v>230</v>
      </c>
      <c r="EA347" s="1" t="s">
        <v>230</v>
      </c>
      <c r="EE347" s="1" t="s">
        <v>230</v>
      </c>
      <c r="EI347" s="1" t="s">
        <v>230</v>
      </c>
      <c r="EL347" s="1" t="s">
        <v>466</v>
      </c>
      <c r="EM347" s="1" t="s">
        <v>319</v>
      </c>
      <c r="EN347" s="1" t="s">
        <v>282</v>
      </c>
      <c r="EO347" s="1" t="s">
        <v>234</v>
      </c>
      <c r="ER347" s="1" t="s">
        <v>544</v>
      </c>
      <c r="ES347" s="1" t="s">
        <v>954</v>
      </c>
      <c r="EV347" s="1" t="s">
        <v>240</v>
      </c>
      <c r="EW347" s="1" t="s">
        <v>887</v>
      </c>
      <c r="EY347" s="1" t="s">
        <v>790</v>
      </c>
      <c r="EZ347" s="1" t="s">
        <v>411</v>
      </c>
      <c r="FB347" s="1" t="s">
        <v>289</v>
      </c>
      <c r="FD347" s="1" t="s">
        <v>495</v>
      </c>
      <c r="FE347" s="1" t="s">
        <v>472</v>
      </c>
      <c r="FF347" s="1" t="s">
        <v>248</v>
      </c>
      <c r="FH347" s="1" t="s">
        <v>550</v>
      </c>
      <c r="FI347" s="1" t="s">
        <v>473</v>
      </c>
      <c r="FJ347" s="1" t="s">
        <v>197</v>
      </c>
      <c r="FL347" s="1" t="s">
        <v>358</v>
      </c>
      <c r="FM347" s="1" t="s">
        <v>252</v>
      </c>
      <c r="FN347" s="1" t="s">
        <v>213</v>
      </c>
      <c r="FO347" s="1" t="s">
        <v>213</v>
      </c>
      <c r="FQ347" s="1" t="s">
        <v>5011</v>
      </c>
      <c r="FR347" s="1" t="s">
        <v>210</v>
      </c>
      <c r="FS347" s="1" t="s">
        <v>2513</v>
      </c>
      <c r="FT347" s="1" t="s">
        <v>5012</v>
      </c>
      <c r="FU347" s="1" t="s">
        <v>204</v>
      </c>
      <c r="FW347" s="1" t="s">
        <v>554</v>
      </c>
      <c r="FX347" s="1">
        <v>5042</v>
      </c>
      <c r="FY347" s="1" t="s">
        <v>5013</v>
      </c>
      <c r="FZ347" s="1" t="s">
        <v>5014</v>
      </c>
      <c r="GA347" s="1">
        <v>51963</v>
      </c>
      <c r="GB347" s="1" t="s">
        <v>5015</v>
      </c>
      <c r="GE347" s="1" t="s">
        <v>480</v>
      </c>
      <c r="GI347" s="1" t="s">
        <v>213</v>
      </c>
      <c r="GJ347" s="1" t="s">
        <v>260</v>
      </c>
      <c r="GK347" s="1" t="s">
        <v>210</v>
      </c>
      <c r="GL347" s="2">
        <v>42060</v>
      </c>
    </row>
    <row r="348" spans="1:195">
      <c r="A348" s="1">
        <v>105000</v>
      </c>
      <c r="B348" s="1" t="s">
        <v>195</v>
      </c>
      <c r="C348" s="1" t="str">
        <f>"08789628"</f>
        <v>08789628</v>
      </c>
      <c r="D348" s="1" t="s">
        <v>196</v>
      </c>
      <c r="F348" s="1" t="str">
        <f>"20"</f>
        <v>20</v>
      </c>
      <c r="G348" s="2">
        <v>41962</v>
      </c>
      <c r="H348" s="1">
        <v>119000</v>
      </c>
      <c r="I348" s="1">
        <v>119000</v>
      </c>
      <c r="J348" s="1">
        <v>105000</v>
      </c>
      <c r="K348" s="2">
        <v>41962</v>
      </c>
      <c r="L348" s="1">
        <v>106</v>
      </c>
      <c r="M348" s="2">
        <v>42067</v>
      </c>
      <c r="N348" s="1">
        <v>106</v>
      </c>
      <c r="O348" s="2">
        <v>42067</v>
      </c>
      <c r="P348" s="1">
        <v>5338</v>
      </c>
      <c r="Q348" s="1" t="s">
        <v>197</v>
      </c>
      <c r="R348" s="2">
        <v>42104</v>
      </c>
      <c r="S348" s="1">
        <v>54376</v>
      </c>
      <c r="U348" s="1">
        <v>7112</v>
      </c>
      <c r="V348" s="1" t="s">
        <v>591</v>
      </c>
      <c r="W348" s="1" t="s">
        <v>504</v>
      </c>
      <c r="Y348" s="1">
        <v>2</v>
      </c>
      <c r="Z348" s="1" t="s">
        <v>370</v>
      </c>
      <c r="AA348" s="1" t="s">
        <v>592</v>
      </c>
      <c r="AB348" s="1">
        <v>60020</v>
      </c>
      <c r="AD348" s="1" t="s">
        <v>593</v>
      </c>
      <c r="AE348" s="1" t="s">
        <v>5016</v>
      </c>
      <c r="AF348" s="1">
        <v>1972</v>
      </c>
      <c r="AG348" s="1" t="s">
        <v>213</v>
      </c>
      <c r="AH348" s="1" t="s">
        <v>595</v>
      </c>
      <c r="AI348" s="1" t="s">
        <v>509</v>
      </c>
      <c r="AJ348" s="1" t="s">
        <v>596</v>
      </c>
      <c r="AK348" s="1" t="s">
        <v>5017</v>
      </c>
      <c r="AL348" s="1">
        <v>5</v>
      </c>
      <c r="AM348" s="1">
        <v>2</v>
      </c>
      <c r="AN348" s="1">
        <v>2</v>
      </c>
      <c r="AO348" s="1">
        <v>0</v>
      </c>
      <c r="AP348" s="1" t="s">
        <v>209</v>
      </c>
      <c r="AQ348" s="1">
        <v>1</v>
      </c>
      <c r="AR348" s="1" t="s">
        <v>210</v>
      </c>
      <c r="AS348" s="1" t="s">
        <v>204</v>
      </c>
      <c r="AT348" s="1" t="s">
        <v>211</v>
      </c>
      <c r="AU348" s="1">
        <v>1</v>
      </c>
      <c r="AW348" s="1" t="s">
        <v>204</v>
      </c>
      <c r="AX348" s="1" t="s">
        <v>1265</v>
      </c>
      <c r="AZ348" s="1">
        <v>3279.4</v>
      </c>
      <c r="BA348" s="1">
        <v>2013</v>
      </c>
      <c r="BB348" s="1" t="s">
        <v>405</v>
      </c>
      <c r="BE348" s="1">
        <v>1412</v>
      </c>
      <c r="BF348" s="1">
        <v>1</v>
      </c>
      <c r="BG348" s="1">
        <v>30</v>
      </c>
      <c r="BL348" s="1">
        <v>387</v>
      </c>
      <c r="BM348" s="1" t="s">
        <v>213</v>
      </c>
      <c r="BN348" s="1" t="s">
        <v>213</v>
      </c>
      <c r="BO348" s="1">
        <v>0</v>
      </c>
      <c r="BP348" s="1" t="s">
        <v>204</v>
      </c>
      <c r="BR348" s="1" t="str">
        <f>"01283000260000"</f>
        <v>01283000260000</v>
      </c>
      <c r="BT348" s="1" t="s">
        <v>5018</v>
      </c>
      <c r="BX348" s="1">
        <v>114</v>
      </c>
      <c r="BY348" s="1">
        <v>114</v>
      </c>
      <c r="BZ348" s="1">
        <v>124</v>
      </c>
      <c r="CB348" s="1" t="str">
        <f>"39"</f>
        <v>39</v>
      </c>
      <c r="CC348" s="1" t="str">
        <f t="shared" ref="CC348:CC349" si="278">"0"</f>
        <v>0</v>
      </c>
      <c r="CD348" s="1">
        <v>28</v>
      </c>
      <c r="CE348" s="1">
        <v>0</v>
      </c>
      <c r="CG348" s="1" t="s">
        <v>3389</v>
      </c>
      <c r="CH348" s="1" t="s">
        <v>219</v>
      </c>
      <c r="CI348" s="1" t="s">
        <v>220</v>
      </c>
      <c r="CK348" s="1" t="s">
        <v>1402</v>
      </c>
      <c r="CL348" s="1" t="s">
        <v>219</v>
      </c>
      <c r="CM348" s="1" t="s">
        <v>220</v>
      </c>
      <c r="CO348" s="1" t="s">
        <v>1469</v>
      </c>
      <c r="CP348" s="1" t="s">
        <v>219</v>
      </c>
      <c r="CQ348" s="1" t="s">
        <v>342</v>
      </c>
      <c r="CS348" s="1" t="s">
        <v>602</v>
      </c>
      <c r="CT348" s="1" t="s">
        <v>219</v>
      </c>
      <c r="CU348" s="1" t="s">
        <v>220</v>
      </c>
      <c r="CX348" s="1" t="s">
        <v>224</v>
      </c>
      <c r="DB348" s="1" t="s">
        <v>224</v>
      </c>
      <c r="DE348" s="1" t="s">
        <v>1107</v>
      </c>
      <c r="DF348" s="1" t="s">
        <v>219</v>
      </c>
      <c r="DG348" s="1" t="s">
        <v>342</v>
      </c>
      <c r="DJ348" s="1" t="s">
        <v>224</v>
      </c>
      <c r="DM348" s="1" t="s">
        <v>603</v>
      </c>
      <c r="DR348" s="1" t="s">
        <v>279</v>
      </c>
      <c r="DS348" s="1" t="s">
        <v>219</v>
      </c>
      <c r="DT348" s="1" t="s">
        <v>220</v>
      </c>
      <c r="DW348" s="1" t="s">
        <v>230</v>
      </c>
      <c r="EA348" s="1" t="s">
        <v>230</v>
      </c>
      <c r="EE348" s="1" t="s">
        <v>230</v>
      </c>
      <c r="EI348" s="1" t="s">
        <v>230</v>
      </c>
      <c r="EL348" s="1" t="s">
        <v>605</v>
      </c>
      <c r="EM348" s="1" t="s">
        <v>319</v>
      </c>
      <c r="EN348" s="1" t="s">
        <v>282</v>
      </c>
      <c r="EO348" s="1" t="s">
        <v>234</v>
      </c>
      <c r="EP348" s="1" t="s">
        <v>5019</v>
      </c>
      <c r="EQ348" s="1" t="s">
        <v>5020</v>
      </c>
      <c r="ER348" s="1" t="s">
        <v>210</v>
      </c>
      <c r="ES348" s="1" t="s">
        <v>608</v>
      </c>
      <c r="ET348" s="1" t="s">
        <v>323</v>
      </c>
      <c r="EV348" s="1" t="s">
        <v>324</v>
      </c>
      <c r="EW348" s="1" t="s">
        <v>5021</v>
      </c>
      <c r="EY348" s="1" t="s">
        <v>242</v>
      </c>
      <c r="EZ348" s="1" t="s">
        <v>603</v>
      </c>
      <c r="FB348" s="1" t="s">
        <v>1755</v>
      </c>
      <c r="FD348" s="1" t="s">
        <v>495</v>
      </c>
      <c r="FE348" s="1" t="s">
        <v>386</v>
      </c>
      <c r="FF348" s="1" t="s">
        <v>248</v>
      </c>
      <c r="FG348" s="1" t="s">
        <v>939</v>
      </c>
      <c r="FH348" s="1" t="s">
        <v>442</v>
      </c>
      <c r="FI348" s="1" t="s">
        <v>357</v>
      </c>
      <c r="FL348" s="1" t="s">
        <v>614</v>
      </c>
      <c r="FM348" s="1" t="s">
        <v>252</v>
      </c>
      <c r="FN348" s="1" t="s">
        <v>213</v>
      </c>
      <c r="FO348" s="1" t="s">
        <v>213</v>
      </c>
      <c r="FQ348" s="1" t="s">
        <v>5022</v>
      </c>
      <c r="FR348" s="1" t="s">
        <v>652</v>
      </c>
      <c r="FS348" s="1" t="s">
        <v>5023</v>
      </c>
      <c r="FT348" s="1" t="s">
        <v>362</v>
      </c>
      <c r="FU348" s="1" t="s">
        <v>204</v>
      </c>
      <c r="FW348" s="1" t="s">
        <v>5024</v>
      </c>
      <c r="FX348" s="1">
        <v>1886</v>
      </c>
      <c r="FY348" s="1" t="s">
        <v>5025</v>
      </c>
      <c r="FZ348" s="1" t="s">
        <v>5026</v>
      </c>
      <c r="GA348" s="1">
        <v>20110</v>
      </c>
      <c r="GB348" s="1" t="s">
        <v>5027</v>
      </c>
      <c r="GE348" s="1" t="s">
        <v>5028</v>
      </c>
      <c r="GI348" s="1" t="s">
        <v>204</v>
      </c>
      <c r="GJ348" s="1" t="s">
        <v>260</v>
      </c>
      <c r="GK348" s="1" t="s">
        <v>210</v>
      </c>
      <c r="GL348" s="2">
        <v>42104</v>
      </c>
      <c r="GM348" s="1" t="s">
        <v>5029</v>
      </c>
    </row>
    <row r="349" spans="1:195">
      <c r="A349" s="1">
        <v>150000</v>
      </c>
      <c r="B349" s="1" t="s">
        <v>195</v>
      </c>
      <c r="C349" s="1" t="str">
        <f>"08789467"</f>
        <v>08789467</v>
      </c>
      <c r="D349" s="1" t="s">
        <v>196</v>
      </c>
      <c r="F349" s="1" t="str">
        <f>"101"</f>
        <v>101</v>
      </c>
      <c r="G349" s="2">
        <v>41962</v>
      </c>
      <c r="H349" s="1">
        <v>154900</v>
      </c>
      <c r="I349" s="1">
        <v>154900</v>
      </c>
      <c r="J349" s="1">
        <v>150000</v>
      </c>
      <c r="K349" s="2">
        <v>41962</v>
      </c>
      <c r="L349" s="1">
        <v>42</v>
      </c>
      <c r="M349" s="2">
        <v>42003</v>
      </c>
      <c r="N349" s="1">
        <v>42</v>
      </c>
      <c r="O349" s="2">
        <v>42003</v>
      </c>
      <c r="P349" s="1">
        <v>10267</v>
      </c>
      <c r="Q349" s="1" t="s">
        <v>197</v>
      </c>
      <c r="R349" s="2">
        <v>42040</v>
      </c>
      <c r="S349" s="1">
        <v>154947</v>
      </c>
      <c r="U349" s="1">
        <v>209</v>
      </c>
      <c r="V349" s="1" t="s">
        <v>509</v>
      </c>
      <c r="W349" s="1" t="s">
        <v>725</v>
      </c>
      <c r="X349" s="1" t="s">
        <v>3349</v>
      </c>
      <c r="Y349" s="1">
        <v>1</v>
      </c>
      <c r="Z349" s="1" t="s">
        <v>370</v>
      </c>
      <c r="AA349" s="1" t="s">
        <v>2631</v>
      </c>
      <c r="AB349" s="1">
        <v>60101</v>
      </c>
      <c r="AE349" s="1" t="s">
        <v>5030</v>
      </c>
      <c r="AF349" s="1">
        <v>2004</v>
      </c>
      <c r="AG349" s="1" t="s">
        <v>204</v>
      </c>
      <c r="AH349" s="1" t="s">
        <v>1233</v>
      </c>
      <c r="AI349" s="1" t="s">
        <v>206</v>
      </c>
      <c r="AJ349" s="1" t="s">
        <v>1233</v>
      </c>
      <c r="AL349" s="1">
        <v>6</v>
      </c>
      <c r="AM349" s="1">
        <v>2</v>
      </c>
      <c r="AN349" s="1">
        <v>2</v>
      </c>
      <c r="AO349" s="1">
        <v>1</v>
      </c>
      <c r="AP349" s="1" t="s">
        <v>209</v>
      </c>
      <c r="AR349" s="1" t="s">
        <v>209</v>
      </c>
      <c r="AS349" s="1" t="s">
        <v>204</v>
      </c>
      <c r="AT349" s="1" t="s">
        <v>211</v>
      </c>
      <c r="AU349" s="1">
        <v>1</v>
      </c>
      <c r="AW349" s="1" t="s">
        <v>204</v>
      </c>
      <c r="AX349" s="1" t="s">
        <v>212</v>
      </c>
      <c r="AZ349" s="1">
        <v>4553</v>
      </c>
      <c r="BA349" s="1">
        <v>2013</v>
      </c>
      <c r="BE349" s="1">
        <v>0</v>
      </c>
      <c r="BF349" s="1">
        <v>1</v>
      </c>
      <c r="BG349" s="1">
        <v>0</v>
      </c>
      <c r="BL349" s="1">
        <v>150</v>
      </c>
      <c r="BM349" s="1" t="s">
        <v>204</v>
      </c>
      <c r="BN349" s="1" t="s">
        <v>204</v>
      </c>
      <c r="BP349" s="1" t="s">
        <v>204</v>
      </c>
      <c r="BR349" s="1" t="str">
        <f>"0328224056"</f>
        <v>0328224056</v>
      </c>
      <c r="BT349" s="1" t="s">
        <v>5031</v>
      </c>
      <c r="BU349" s="1" t="s">
        <v>2719</v>
      </c>
      <c r="BV349" s="1" t="s">
        <v>2720</v>
      </c>
      <c r="BW349" s="1" t="s">
        <v>2201</v>
      </c>
      <c r="BX349" s="1">
        <v>4</v>
      </c>
      <c r="BY349" s="1">
        <v>4</v>
      </c>
      <c r="BZ349" s="1">
        <v>88</v>
      </c>
      <c r="CB349" s="1" t="str">
        <f>"3"</f>
        <v>3</v>
      </c>
      <c r="CC349" s="1" t="str">
        <f t="shared" si="278"/>
        <v>0</v>
      </c>
      <c r="CD349" s="1">
        <v>18</v>
      </c>
      <c r="CE349" s="1">
        <v>0</v>
      </c>
      <c r="CG349" s="1" t="s">
        <v>972</v>
      </c>
      <c r="CH349" s="1" t="s">
        <v>219</v>
      </c>
      <c r="CI349" s="1" t="s">
        <v>438</v>
      </c>
      <c r="CK349" s="1" t="s">
        <v>539</v>
      </c>
      <c r="CL349" s="1" t="s">
        <v>277</v>
      </c>
      <c r="CM349" s="1" t="s">
        <v>438</v>
      </c>
      <c r="CO349" s="1" t="s">
        <v>2231</v>
      </c>
      <c r="CP349" s="1" t="s">
        <v>219</v>
      </c>
      <c r="CQ349" s="1" t="s">
        <v>438</v>
      </c>
      <c r="CS349" s="1" t="s">
        <v>465</v>
      </c>
      <c r="CT349" s="1" t="s">
        <v>277</v>
      </c>
      <c r="CU349" s="1" t="s">
        <v>438</v>
      </c>
      <c r="CX349" s="1" t="s">
        <v>224</v>
      </c>
      <c r="DB349" s="1" t="s">
        <v>224</v>
      </c>
      <c r="DE349" s="1" t="s">
        <v>2841</v>
      </c>
      <c r="DF349" s="1" t="s">
        <v>219</v>
      </c>
      <c r="DG349" s="1" t="s">
        <v>226</v>
      </c>
      <c r="DI349" s="1" t="s">
        <v>5032</v>
      </c>
      <c r="DJ349" s="1" t="s">
        <v>43</v>
      </c>
      <c r="DK349" s="1" t="s">
        <v>342</v>
      </c>
      <c r="DS349" s="1" t="s">
        <v>230</v>
      </c>
      <c r="DW349" s="1" t="s">
        <v>230</v>
      </c>
      <c r="EA349" s="1" t="s">
        <v>230</v>
      </c>
      <c r="EE349" s="1" t="s">
        <v>230</v>
      </c>
      <c r="EI349" s="1" t="s">
        <v>230</v>
      </c>
      <c r="EL349" s="1" t="s">
        <v>491</v>
      </c>
      <c r="EM349" s="1" t="s">
        <v>232</v>
      </c>
      <c r="EN349" s="1" t="s">
        <v>282</v>
      </c>
      <c r="EO349" s="1" t="s">
        <v>234</v>
      </c>
      <c r="EP349" s="1" t="s">
        <v>543</v>
      </c>
      <c r="ER349" s="1" t="s">
        <v>544</v>
      </c>
      <c r="ES349" s="1" t="s">
        <v>3932</v>
      </c>
      <c r="ET349" s="1" t="s">
        <v>842</v>
      </c>
      <c r="EV349" s="1" t="s">
        <v>240</v>
      </c>
      <c r="EW349" s="1" t="s">
        <v>887</v>
      </c>
      <c r="EZ349" s="1" t="s">
        <v>287</v>
      </c>
      <c r="FD349" s="1" t="s">
        <v>1112</v>
      </c>
      <c r="FE349" s="1" t="s">
        <v>3771</v>
      </c>
      <c r="FF349" s="1" t="s">
        <v>248</v>
      </c>
      <c r="FH349" s="1" t="s">
        <v>550</v>
      </c>
      <c r="FL349" s="1" t="s">
        <v>358</v>
      </c>
      <c r="FM349" s="1" t="s">
        <v>252</v>
      </c>
      <c r="FN349" s="1" t="s">
        <v>213</v>
      </c>
      <c r="FO349" s="1" t="s">
        <v>213</v>
      </c>
      <c r="FQ349" s="1" t="s">
        <v>673</v>
      </c>
      <c r="FR349" s="1" t="s">
        <v>210</v>
      </c>
      <c r="FS349" s="1" t="s">
        <v>5033</v>
      </c>
      <c r="FT349" s="1" t="s">
        <v>295</v>
      </c>
      <c r="FU349" s="1" t="s">
        <v>204</v>
      </c>
      <c r="FW349" s="1" t="s">
        <v>5034</v>
      </c>
      <c r="FX349" s="1">
        <v>3906</v>
      </c>
      <c r="FY349" s="1" t="s">
        <v>739</v>
      </c>
      <c r="FZ349" s="1" t="s">
        <v>5035</v>
      </c>
      <c r="GA349" s="1">
        <v>33715</v>
      </c>
      <c r="GB349" s="1" t="s">
        <v>5036</v>
      </c>
      <c r="GE349" s="1" t="s">
        <v>210</v>
      </c>
      <c r="GH349" s="1" t="s">
        <v>800</v>
      </c>
      <c r="GI349" s="1" t="s">
        <v>213</v>
      </c>
      <c r="GJ349" s="1" t="s">
        <v>260</v>
      </c>
      <c r="GK349" s="1" t="s">
        <v>210</v>
      </c>
      <c r="GL349" s="2">
        <v>42040</v>
      </c>
      <c r="GM349" s="1" t="s">
        <v>5037</v>
      </c>
    </row>
    <row r="350" spans="1:195">
      <c r="A350" s="1">
        <v>143500</v>
      </c>
      <c r="B350" s="1" t="s">
        <v>195</v>
      </c>
      <c r="C350" s="1" t="str">
        <f>"08787526"</f>
        <v>08787526</v>
      </c>
      <c r="D350" s="1" t="s">
        <v>196</v>
      </c>
      <c r="F350" s="1" t="str">
        <f>"61"</f>
        <v>61</v>
      </c>
      <c r="G350" s="2">
        <v>41960</v>
      </c>
      <c r="H350" s="1">
        <v>149900</v>
      </c>
      <c r="I350" s="1">
        <v>149900</v>
      </c>
      <c r="J350" s="1">
        <v>143500</v>
      </c>
      <c r="K350" s="2">
        <v>41960</v>
      </c>
      <c r="L350" s="1">
        <v>157</v>
      </c>
      <c r="M350" s="2">
        <v>41968</v>
      </c>
      <c r="N350" s="1">
        <v>9</v>
      </c>
      <c r="O350" s="2">
        <v>41968</v>
      </c>
      <c r="P350" s="1">
        <v>2280</v>
      </c>
      <c r="Q350" s="1" t="s">
        <v>197</v>
      </c>
      <c r="R350" s="2">
        <v>42013</v>
      </c>
      <c r="S350" s="1">
        <v>85534</v>
      </c>
      <c r="U350" s="1">
        <v>576</v>
      </c>
      <c r="V350" s="1" t="s">
        <v>5038</v>
      </c>
      <c r="W350" s="1" t="s">
        <v>304</v>
      </c>
      <c r="X350" s="1" t="s">
        <v>5039</v>
      </c>
      <c r="Y350" s="1">
        <v>4</v>
      </c>
      <c r="Z350" s="1" t="s">
        <v>249</v>
      </c>
      <c r="AA350" s="1" t="s">
        <v>505</v>
      </c>
      <c r="AB350" s="1">
        <v>60061</v>
      </c>
      <c r="AD350" s="1" t="s">
        <v>5040</v>
      </c>
      <c r="AE350" s="1" t="s">
        <v>5041</v>
      </c>
      <c r="AF350" s="1">
        <v>1993</v>
      </c>
      <c r="AG350" s="1" t="s">
        <v>204</v>
      </c>
      <c r="AH350" s="1" t="s">
        <v>508</v>
      </c>
      <c r="AI350" s="1" t="s">
        <v>509</v>
      </c>
      <c r="AJ350" s="1" t="s">
        <v>510</v>
      </c>
      <c r="AL350" s="1">
        <v>6</v>
      </c>
      <c r="AM350" s="1">
        <v>2</v>
      </c>
      <c r="AN350" s="1">
        <v>2</v>
      </c>
      <c r="AO350" s="1">
        <v>0</v>
      </c>
      <c r="AP350" s="1" t="s">
        <v>209</v>
      </c>
      <c r="AQ350" s="1">
        <v>1</v>
      </c>
      <c r="AR350" s="1" t="s">
        <v>210</v>
      </c>
      <c r="AS350" s="1" t="s">
        <v>204</v>
      </c>
      <c r="AT350" s="1" t="s">
        <v>211</v>
      </c>
      <c r="AU350" s="1">
        <v>2</v>
      </c>
      <c r="AW350" s="1" t="s">
        <v>204</v>
      </c>
      <c r="AX350" s="1" t="s">
        <v>212</v>
      </c>
      <c r="AZ350" s="1">
        <v>5292.68</v>
      </c>
      <c r="BA350" s="1">
        <v>2013</v>
      </c>
      <c r="BB350" s="1" t="s">
        <v>405</v>
      </c>
      <c r="BE350" s="1">
        <v>1449</v>
      </c>
      <c r="BF350" s="1">
        <v>1</v>
      </c>
      <c r="BG350" s="1">
        <v>0</v>
      </c>
      <c r="BL350" s="1">
        <v>330</v>
      </c>
      <c r="BM350" s="1" t="s">
        <v>204</v>
      </c>
      <c r="BN350" s="1" t="s">
        <v>213</v>
      </c>
      <c r="BO350" s="1">
        <v>0</v>
      </c>
      <c r="BP350" s="1" t="s">
        <v>204</v>
      </c>
      <c r="BR350" s="1" t="str">
        <f>"15062050630000"</f>
        <v>15062050630000</v>
      </c>
      <c r="BT350" s="1" t="s">
        <v>5042</v>
      </c>
      <c r="BU350" s="1" t="s">
        <v>1530</v>
      </c>
      <c r="BV350" s="1" t="s">
        <v>1531</v>
      </c>
      <c r="BW350" s="1" t="s">
        <v>1532</v>
      </c>
      <c r="BX350" s="1">
        <v>76</v>
      </c>
      <c r="BY350" s="1">
        <v>76</v>
      </c>
      <c r="BZ350" s="1">
        <v>125</v>
      </c>
      <c r="CB350" s="1" t="str">
        <f>"25"</f>
        <v>25</v>
      </c>
      <c r="CC350" s="1" t="str">
        <f>""</f>
        <v/>
      </c>
      <c r="CD350" s="1">
        <v>18</v>
      </c>
      <c r="CG350" s="1" t="s">
        <v>931</v>
      </c>
      <c r="CH350" s="1" t="s">
        <v>277</v>
      </c>
      <c r="CI350" s="1" t="s">
        <v>220</v>
      </c>
      <c r="CJ350" s="1" t="s">
        <v>252</v>
      </c>
      <c r="CK350" s="1" t="s">
        <v>932</v>
      </c>
      <c r="CL350" s="1" t="s">
        <v>277</v>
      </c>
      <c r="CM350" s="1" t="s">
        <v>220</v>
      </c>
      <c r="CO350" s="1" t="s">
        <v>1571</v>
      </c>
      <c r="CP350" s="1" t="s">
        <v>277</v>
      </c>
      <c r="CQ350" s="1" t="s">
        <v>220</v>
      </c>
      <c r="CR350" s="1" t="s">
        <v>252</v>
      </c>
      <c r="CS350" s="1" t="s">
        <v>318</v>
      </c>
      <c r="CT350" s="1" t="s">
        <v>277</v>
      </c>
      <c r="CU350" s="1" t="s">
        <v>220</v>
      </c>
      <c r="CV350" s="1" t="s">
        <v>252</v>
      </c>
      <c r="CX350" s="1" t="s">
        <v>224</v>
      </c>
      <c r="DB350" s="1" t="s">
        <v>224</v>
      </c>
      <c r="DE350" s="1" t="s">
        <v>281</v>
      </c>
      <c r="DF350" s="1" t="s">
        <v>277</v>
      </c>
      <c r="DG350" s="1" t="s">
        <v>342</v>
      </c>
      <c r="DH350" s="1" t="s">
        <v>252</v>
      </c>
      <c r="DJ350" s="1" t="s">
        <v>224</v>
      </c>
      <c r="DM350" s="1" t="s">
        <v>381</v>
      </c>
      <c r="DR350" s="1" t="s">
        <v>409</v>
      </c>
      <c r="DS350" s="1" t="s">
        <v>277</v>
      </c>
      <c r="DT350" s="1" t="s">
        <v>342</v>
      </c>
      <c r="DU350" s="1" t="s">
        <v>252</v>
      </c>
      <c r="DW350" s="1" t="s">
        <v>230</v>
      </c>
      <c r="EA350" s="1" t="s">
        <v>230</v>
      </c>
      <c r="EE350" s="1" t="s">
        <v>230</v>
      </c>
      <c r="EI350" s="1" t="s">
        <v>230</v>
      </c>
      <c r="EL350" s="1" t="s">
        <v>382</v>
      </c>
      <c r="EM350" s="1" t="s">
        <v>319</v>
      </c>
      <c r="EN350" s="1" t="s">
        <v>282</v>
      </c>
      <c r="EO350" s="1" t="s">
        <v>234</v>
      </c>
      <c r="EP350" s="1" t="s">
        <v>650</v>
      </c>
      <c r="EQ350" s="1" t="s">
        <v>1094</v>
      </c>
      <c r="ER350" s="1" t="s">
        <v>210</v>
      </c>
      <c r="ES350" s="1" t="s">
        <v>322</v>
      </c>
      <c r="EU350" s="1" t="s">
        <v>5043</v>
      </c>
      <c r="EV350" s="1" t="s">
        <v>240</v>
      </c>
      <c r="EW350" s="1" t="s">
        <v>1804</v>
      </c>
      <c r="EZ350" s="1" t="s">
        <v>381</v>
      </c>
      <c r="FA350" s="1" t="s">
        <v>5044</v>
      </c>
      <c r="FD350" s="1" t="s">
        <v>246</v>
      </c>
      <c r="FE350" s="1" t="s">
        <v>975</v>
      </c>
      <c r="FF350" s="1" t="s">
        <v>248</v>
      </c>
      <c r="FH350" s="1" t="s">
        <v>550</v>
      </c>
      <c r="FI350" s="1" t="s">
        <v>473</v>
      </c>
      <c r="FL350" s="1" t="s">
        <v>358</v>
      </c>
      <c r="FM350" s="1" t="s">
        <v>252</v>
      </c>
      <c r="FN350" s="1" t="s">
        <v>213</v>
      </c>
      <c r="FO350" s="1" t="s">
        <v>213</v>
      </c>
      <c r="FQ350" s="1" t="s">
        <v>329</v>
      </c>
      <c r="FR350" s="1" t="s">
        <v>652</v>
      </c>
      <c r="FS350" s="1" t="s">
        <v>5045</v>
      </c>
      <c r="FT350" s="1" t="s">
        <v>520</v>
      </c>
      <c r="FU350" s="1" t="s">
        <v>204</v>
      </c>
      <c r="FW350" s="1" t="s">
        <v>5046</v>
      </c>
      <c r="FX350" s="1">
        <v>2280</v>
      </c>
      <c r="FY350" s="1" t="s">
        <v>5047</v>
      </c>
      <c r="FZ350" s="1" t="s">
        <v>5048</v>
      </c>
      <c r="GA350" s="1">
        <v>85534</v>
      </c>
      <c r="GB350" s="1" t="s">
        <v>5049</v>
      </c>
      <c r="GD350" s="1" t="s">
        <v>5050</v>
      </c>
      <c r="GE350" s="1" t="s">
        <v>480</v>
      </c>
      <c r="GI350" s="1" t="s">
        <v>213</v>
      </c>
      <c r="GJ350" s="1" t="s">
        <v>260</v>
      </c>
      <c r="GK350" s="1" t="s">
        <v>210</v>
      </c>
      <c r="GL350" s="2">
        <v>42013</v>
      </c>
      <c r="GM350" s="1" t="s">
        <v>5051</v>
      </c>
    </row>
    <row r="351" spans="1:195">
      <c r="A351" s="1">
        <v>167000</v>
      </c>
      <c r="B351" s="1" t="s">
        <v>195</v>
      </c>
      <c r="C351" s="1" t="str">
        <f>"08797040"</f>
        <v>08797040</v>
      </c>
      <c r="D351" s="1" t="s">
        <v>196</v>
      </c>
      <c r="F351" s="1" t="str">
        <f>"140"</f>
        <v>140</v>
      </c>
      <c r="G351" s="2">
        <v>41977</v>
      </c>
      <c r="H351" s="1">
        <v>175000</v>
      </c>
      <c r="I351" s="1">
        <v>175000</v>
      </c>
      <c r="J351" s="1">
        <v>167000</v>
      </c>
      <c r="K351" s="2">
        <v>41977</v>
      </c>
      <c r="L351" s="1">
        <v>9</v>
      </c>
      <c r="M351" s="2">
        <v>41985</v>
      </c>
      <c r="N351" s="1">
        <v>9</v>
      </c>
      <c r="O351" s="2">
        <v>41985</v>
      </c>
      <c r="P351" s="1">
        <v>24215</v>
      </c>
      <c r="Q351" s="1" t="s">
        <v>197</v>
      </c>
      <c r="R351" s="2">
        <v>42024</v>
      </c>
      <c r="S351" s="1">
        <v>237716</v>
      </c>
      <c r="U351" s="1">
        <v>821</v>
      </c>
      <c r="V351" s="1" t="s">
        <v>5052</v>
      </c>
      <c r="W351" s="1" t="s">
        <v>264</v>
      </c>
      <c r="Y351" s="1">
        <v>2</v>
      </c>
      <c r="Z351" s="1" t="s">
        <v>200</v>
      </c>
      <c r="AA351" s="1" t="s">
        <v>1658</v>
      </c>
      <c r="AB351" s="1">
        <v>60140</v>
      </c>
      <c r="AD351" s="1" t="s">
        <v>5053</v>
      </c>
      <c r="AE351" s="1" t="s">
        <v>5054</v>
      </c>
      <c r="AF351" s="1">
        <v>2012</v>
      </c>
      <c r="AG351" s="1" t="s">
        <v>204</v>
      </c>
      <c r="AH351" s="1" t="s">
        <v>1660</v>
      </c>
      <c r="AI351" s="1" t="s">
        <v>665</v>
      </c>
      <c r="AJ351" s="1" t="s">
        <v>1660</v>
      </c>
      <c r="AK351" s="1" t="s">
        <v>1088</v>
      </c>
      <c r="AL351" s="1">
        <v>5</v>
      </c>
      <c r="AM351" s="1">
        <v>2</v>
      </c>
      <c r="AN351" s="1">
        <v>2</v>
      </c>
      <c r="AO351" s="1">
        <v>0</v>
      </c>
      <c r="AP351" s="1" t="s">
        <v>209</v>
      </c>
      <c r="AQ351" s="1">
        <v>0</v>
      </c>
      <c r="AR351" s="1" t="s">
        <v>209</v>
      </c>
      <c r="AS351" s="1" t="s">
        <v>204</v>
      </c>
      <c r="AT351" s="1" t="s">
        <v>211</v>
      </c>
      <c r="AU351" s="1">
        <v>2</v>
      </c>
      <c r="AW351" s="1" t="s">
        <v>204</v>
      </c>
      <c r="AX351" s="1" t="s">
        <v>5055</v>
      </c>
      <c r="AZ351" s="1">
        <v>5900</v>
      </c>
      <c r="BA351" s="1">
        <v>2013</v>
      </c>
      <c r="BB351" s="1" t="s">
        <v>210</v>
      </c>
      <c r="BE351" s="1">
        <v>1774</v>
      </c>
      <c r="BF351" s="1">
        <v>1</v>
      </c>
      <c r="BG351" s="1">
        <v>0</v>
      </c>
      <c r="BJ351" s="1">
        <v>100</v>
      </c>
      <c r="BL351" s="1">
        <v>0</v>
      </c>
      <c r="BM351" s="1" t="s">
        <v>204</v>
      </c>
      <c r="BN351" s="1" t="s">
        <v>213</v>
      </c>
      <c r="BO351" s="1">
        <v>100</v>
      </c>
      <c r="BP351" s="1" t="s">
        <v>204</v>
      </c>
      <c r="BR351" s="1" t="str">
        <f>"0127281016"</f>
        <v>0127281016</v>
      </c>
      <c r="BT351" s="1" t="s">
        <v>5056</v>
      </c>
      <c r="BU351" s="1" t="s">
        <v>5057</v>
      </c>
      <c r="BV351" s="1" t="s">
        <v>754</v>
      </c>
      <c r="BW351" s="1" t="s">
        <v>755</v>
      </c>
      <c r="BX351" s="1">
        <v>300</v>
      </c>
      <c r="BY351" s="1">
        <v>300</v>
      </c>
      <c r="BZ351" s="1">
        <v>300</v>
      </c>
      <c r="CB351" s="1" t="str">
        <f t="shared" ref="CB351:CC351" si="279">""</f>
        <v/>
      </c>
      <c r="CC351" s="1" t="str">
        <f t="shared" si="279"/>
        <v/>
      </c>
      <c r="CG351" s="1" t="s">
        <v>5058</v>
      </c>
      <c r="CH351" s="1" t="s">
        <v>219</v>
      </c>
      <c r="CI351" s="1" t="s">
        <v>220</v>
      </c>
      <c r="CK351" s="1" t="s">
        <v>228</v>
      </c>
      <c r="CL351" s="1" t="s">
        <v>219</v>
      </c>
      <c r="CM351" s="1" t="s">
        <v>220</v>
      </c>
      <c r="CO351" s="1" t="s">
        <v>318</v>
      </c>
      <c r="CP351" s="1" t="s">
        <v>219</v>
      </c>
      <c r="CQ351" s="1" t="s">
        <v>438</v>
      </c>
      <c r="CS351" s="1" t="s">
        <v>1358</v>
      </c>
      <c r="CT351" s="1" t="s">
        <v>219</v>
      </c>
      <c r="CU351" s="1" t="s">
        <v>220</v>
      </c>
      <c r="CX351" s="1" t="s">
        <v>224</v>
      </c>
      <c r="DB351" s="1" t="s">
        <v>224</v>
      </c>
      <c r="DE351" s="1" t="s">
        <v>228</v>
      </c>
      <c r="DF351" s="1" t="s">
        <v>219</v>
      </c>
      <c r="DG351" s="1" t="s">
        <v>438</v>
      </c>
      <c r="DJ351" s="1" t="s">
        <v>224</v>
      </c>
      <c r="DM351" s="1" t="s">
        <v>603</v>
      </c>
      <c r="DR351" s="1" t="s">
        <v>379</v>
      </c>
      <c r="DS351" s="1" t="s">
        <v>219</v>
      </c>
      <c r="DT351" s="1" t="s">
        <v>347</v>
      </c>
      <c r="DW351" s="1" t="s">
        <v>230</v>
      </c>
      <c r="EA351" s="1" t="s">
        <v>230</v>
      </c>
      <c r="EE351" s="1" t="s">
        <v>230</v>
      </c>
      <c r="EI351" s="1" t="s">
        <v>230</v>
      </c>
      <c r="EL351" s="1" t="s">
        <v>1549</v>
      </c>
      <c r="EM351" s="1" t="s">
        <v>761</v>
      </c>
      <c r="EN351" s="1" t="s">
        <v>282</v>
      </c>
      <c r="EO351" s="1" t="s">
        <v>234</v>
      </c>
      <c r="EP351" s="1" t="s">
        <v>3782</v>
      </c>
      <c r="EQ351" s="1" t="s">
        <v>3849</v>
      </c>
      <c r="ER351" s="1" t="s">
        <v>2453</v>
      </c>
      <c r="ES351" s="1" t="s">
        <v>4621</v>
      </c>
      <c r="ET351" s="1" t="s">
        <v>1752</v>
      </c>
      <c r="EU351" s="1" t="s">
        <v>1820</v>
      </c>
      <c r="EW351" s="1" t="s">
        <v>210</v>
      </c>
      <c r="EY351" s="1" t="s">
        <v>2455</v>
      </c>
      <c r="EZ351" s="1" t="s">
        <v>603</v>
      </c>
      <c r="FA351" s="1" t="s">
        <v>5059</v>
      </c>
      <c r="FC351" s="1" t="s">
        <v>633</v>
      </c>
      <c r="FD351" s="1" t="s">
        <v>246</v>
      </c>
      <c r="FE351" s="1" t="s">
        <v>975</v>
      </c>
      <c r="FF351" s="1" t="s">
        <v>248</v>
      </c>
      <c r="FH351" s="1" t="s">
        <v>442</v>
      </c>
      <c r="FI351" s="1" t="s">
        <v>473</v>
      </c>
      <c r="FJ351" s="1" t="s">
        <v>518</v>
      </c>
      <c r="FL351" s="1" t="s">
        <v>358</v>
      </c>
      <c r="FM351" s="1" t="s">
        <v>252</v>
      </c>
      <c r="FN351" s="1" t="s">
        <v>213</v>
      </c>
      <c r="FO351" s="1" t="s">
        <v>213</v>
      </c>
      <c r="FQ351" s="1" t="s">
        <v>5060</v>
      </c>
      <c r="FR351" s="1" t="s">
        <v>652</v>
      </c>
      <c r="FS351" s="1" t="s">
        <v>5061</v>
      </c>
      <c r="FT351" s="1" t="s">
        <v>295</v>
      </c>
      <c r="FU351" s="1" t="s">
        <v>213</v>
      </c>
      <c r="FW351" s="1" t="s">
        <v>256</v>
      </c>
      <c r="FX351" s="1">
        <v>8079</v>
      </c>
      <c r="FY351" s="1" t="s">
        <v>3625</v>
      </c>
      <c r="FZ351" s="1" t="s">
        <v>5062</v>
      </c>
      <c r="GA351" s="1">
        <v>920884</v>
      </c>
      <c r="GB351" s="1" t="s">
        <v>5063</v>
      </c>
      <c r="GE351" s="1" t="s">
        <v>210</v>
      </c>
      <c r="GI351" s="1" t="s">
        <v>213</v>
      </c>
      <c r="GJ351" s="1" t="s">
        <v>260</v>
      </c>
      <c r="GK351" s="1" t="s">
        <v>261</v>
      </c>
      <c r="GL351" s="2">
        <v>42025</v>
      </c>
      <c r="GM351" s="1" t="s">
        <v>5064</v>
      </c>
    </row>
    <row r="352" spans="1:195">
      <c r="A352" s="1">
        <v>82000</v>
      </c>
      <c r="B352" s="1" t="s">
        <v>195</v>
      </c>
      <c r="C352" s="1" t="str">
        <f>"08774074"</f>
        <v>08774074</v>
      </c>
      <c r="D352" s="1" t="s">
        <v>196</v>
      </c>
      <c r="F352" s="1" t="str">
        <f>"538"</f>
        <v>538</v>
      </c>
      <c r="G352" s="2">
        <v>41955</v>
      </c>
      <c r="H352" s="1">
        <v>82900</v>
      </c>
      <c r="I352" s="1">
        <v>82900</v>
      </c>
      <c r="J352" s="1">
        <v>82000</v>
      </c>
      <c r="K352" s="2">
        <v>41955</v>
      </c>
      <c r="L352" s="1">
        <v>9</v>
      </c>
      <c r="M352" s="2">
        <v>41963</v>
      </c>
      <c r="N352" s="1">
        <v>9</v>
      </c>
      <c r="O352" s="2">
        <v>41963</v>
      </c>
      <c r="P352" s="1">
        <v>31580</v>
      </c>
      <c r="Q352" s="1" t="s">
        <v>197</v>
      </c>
      <c r="R352" s="2">
        <v>42002</v>
      </c>
      <c r="S352" s="1">
        <v>8171</v>
      </c>
      <c r="U352" s="1">
        <v>2228</v>
      </c>
      <c r="V352" s="1" t="s">
        <v>448</v>
      </c>
      <c r="W352" s="1" t="s">
        <v>449</v>
      </c>
      <c r="Y352" s="1">
        <v>2</v>
      </c>
      <c r="Z352" s="1" t="s">
        <v>200</v>
      </c>
      <c r="AA352" s="1" t="s">
        <v>450</v>
      </c>
      <c r="AB352" s="1">
        <v>60538</v>
      </c>
      <c r="AD352" s="1" t="s">
        <v>5065</v>
      </c>
      <c r="AE352" s="1" t="s">
        <v>5066</v>
      </c>
      <c r="AF352" s="1">
        <v>2001</v>
      </c>
      <c r="AG352" s="1" t="s">
        <v>204</v>
      </c>
      <c r="AH352" s="1" t="s">
        <v>452</v>
      </c>
      <c r="AI352" s="1" t="s">
        <v>453</v>
      </c>
      <c r="AJ352" s="1" t="s">
        <v>454</v>
      </c>
      <c r="AK352" s="1" t="s">
        <v>2571</v>
      </c>
      <c r="AL352" s="1">
        <v>5</v>
      </c>
      <c r="AM352" s="1">
        <v>2</v>
      </c>
      <c r="AN352" s="1">
        <v>1</v>
      </c>
      <c r="AO352" s="1">
        <v>1</v>
      </c>
      <c r="AP352" s="1" t="s">
        <v>5067</v>
      </c>
      <c r="AR352" s="1" t="s">
        <v>210</v>
      </c>
      <c r="AS352" s="1" t="s">
        <v>204</v>
      </c>
      <c r="AT352" s="1" t="s">
        <v>375</v>
      </c>
      <c r="AU352" s="1">
        <v>1</v>
      </c>
      <c r="AV352" s="1">
        <v>1</v>
      </c>
      <c r="AW352" s="1" t="s">
        <v>204</v>
      </c>
      <c r="AX352" s="1" t="s">
        <v>5068</v>
      </c>
      <c r="AZ352" s="1">
        <v>3309.66</v>
      </c>
      <c r="BA352" s="1">
        <v>2013</v>
      </c>
      <c r="BB352" s="1" t="s">
        <v>405</v>
      </c>
      <c r="BE352" s="1">
        <v>930</v>
      </c>
      <c r="BF352" s="1">
        <v>1</v>
      </c>
      <c r="BG352" s="1">
        <v>5</v>
      </c>
      <c r="BL352" s="1">
        <v>82</v>
      </c>
      <c r="BM352" s="1" t="s">
        <v>413</v>
      </c>
      <c r="BN352" s="1" t="s">
        <v>213</v>
      </c>
      <c r="BO352" s="1">
        <v>999</v>
      </c>
      <c r="BP352" s="1" t="s">
        <v>204</v>
      </c>
      <c r="BR352" s="1" t="str">
        <f>"0202201067"</f>
        <v>0202201067</v>
      </c>
      <c r="BT352" s="1" t="s">
        <v>5069</v>
      </c>
      <c r="BX352" s="1">
        <v>308</v>
      </c>
      <c r="BY352" s="1">
        <v>308</v>
      </c>
      <c r="BZ352" s="1">
        <v>308</v>
      </c>
      <c r="CB352" s="1" t="str">
        <f t="shared" ref="CB352:CC352" si="280">""</f>
        <v/>
      </c>
      <c r="CC352" s="1" t="str">
        <f t="shared" si="280"/>
        <v/>
      </c>
      <c r="CG352" s="1" t="s">
        <v>1854</v>
      </c>
      <c r="CH352" s="1" t="s">
        <v>219</v>
      </c>
      <c r="CI352" s="1" t="s">
        <v>220</v>
      </c>
      <c r="CJ352" s="1" t="s">
        <v>210</v>
      </c>
      <c r="CK352" s="1" t="s">
        <v>1403</v>
      </c>
      <c r="CL352" s="1" t="s">
        <v>219</v>
      </c>
      <c r="CM352" s="1" t="s">
        <v>220</v>
      </c>
      <c r="CN352" s="1" t="s">
        <v>210</v>
      </c>
      <c r="CO352" s="1" t="s">
        <v>409</v>
      </c>
      <c r="CP352" s="1" t="s">
        <v>219</v>
      </c>
      <c r="CQ352" s="1" t="s">
        <v>220</v>
      </c>
      <c r="CR352" s="1" t="s">
        <v>210</v>
      </c>
      <c r="CS352" s="1" t="s">
        <v>318</v>
      </c>
      <c r="CT352" s="1" t="s">
        <v>219</v>
      </c>
      <c r="CU352" s="1" t="s">
        <v>220</v>
      </c>
      <c r="CV352" s="1" t="s">
        <v>210</v>
      </c>
      <c r="CX352" s="1" t="s">
        <v>224</v>
      </c>
      <c r="DB352" s="1" t="s">
        <v>224</v>
      </c>
      <c r="DE352" s="1" t="s">
        <v>346</v>
      </c>
      <c r="DF352" s="1" t="s">
        <v>219</v>
      </c>
      <c r="DG352" s="1" t="s">
        <v>342</v>
      </c>
      <c r="DH352" s="1" t="s">
        <v>210</v>
      </c>
      <c r="DJ352" s="1" t="s">
        <v>224</v>
      </c>
      <c r="DM352" s="1" t="s">
        <v>709</v>
      </c>
      <c r="DR352" s="1" t="s">
        <v>3320</v>
      </c>
      <c r="DS352" s="1" t="s">
        <v>219</v>
      </c>
      <c r="DT352" s="1" t="s">
        <v>342</v>
      </c>
      <c r="DW352" s="1" t="s">
        <v>230</v>
      </c>
      <c r="EA352" s="1" t="s">
        <v>230</v>
      </c>
      <c r="EE352" s="1" t="s">
        <v>230</v>
      </c>
      <c r="EI352" s="1" t="s">
        <v>230</v>
      </c>
      <c r="EL352" s="1" t="s">
        <v>466</v>
      </c>
      <c r="EM352" s="1" t="s">
        <v>319</v>
      </c>
      <c r="EN352" s="1" t="s">
        <v>282</v>
      </c>
      <c r="EO352" s="1" t="s">
        <v>234</v>
      </c>
      <c r="ER352" s="1" t="s">
        <v>1269</v>
      </c>
      <c r="EV352" s="1" t="s">
        <v>240</v>
      </c>
      <c r="EW352" s="1" t="s">
        <v>5070</v>
      </c>
      <c r="EZ352" s="1" t="s">
        <v>709</v>
      </c>
      <c r="FD352" s="1" t="s">
        <v>495</v>
      </c>
      <c r="FE352" s="1" t="s">
        <v>2074</v>
      </c>
      <c r="FF352" s="1" t="s">
        <v>248</v>
      </c>
      <c r="FH352" s="1" t="s">
        <v>442</v>
      </c>
      <c r="FL352" s="1" t="s">
        <v>358</v>
      </c>
      <c r="FM352" s="1" t="s">
        <v>252</v>
      </c>
      <c r="FN352" s="1" t="s">
        <v>213</v>
      </c>
      <c r="FO352" s="1" t="s">
        <v>213</v>
      </c>
      <c r="FQ352" s="1" t="s">
        <v>5071</v>
      </c>
      <c r="FR352" s="1" t="s">
        <v>210</v>
      </c>
      <c r="FS352" s="1" t="s">
        <v>5072</v>
      </c>
      <c r="FT352" s="1" t="s">
        <v>295</v>
      </c>
      <c r="FU352" s="1" t="s">
        <v>204</v>
      </c>
      <c r="FW352" s="1" t="s">
        <v>2420</v>
      </c>
      <c r="FX352" s="1">
        <v>41</v>
      </c>
      <c r="FY352" s="1" t="s">
        <v>2421</v>
      </c>
      <c r="FZ352" s="1" t="s">
        <v>5073</v>
      </c>
      <c r="GA352" s="1">
        <v>8731</v>
      </c>
      <c r="GE352" s="1" t="s">
        <v>210</v>
      </c>
      <c r="GI352" s="1" t="s">
        <v>213</v>
      </c>
      <c r="GJ352" s="1" t="s">
        <v>260</v>
      </c>
      <c r="GK352" s="1" t="s">
        <v>210</v>
      </c>
      <c r="GL352" s="2">
        <v>42002</v>
      </c>
      <c r="GM352" s="1" t="s">
        <v>5074</v>
      </c>
    </row>
    <row r="353" spans="1:195">
      <c r="A353" s="1">
        <v>165000</v>
      </c>
      <c r="B353" s="1" t="s">
        <v>195</v>
      </c>
      <c r="C353" s="1" t="str">
        <f>"08788035"</f>
        <v>08788035</v>
      </c>
      <c r="D353" s="1" t="s">
        <v>196</v>
      </c>
      <c r="F353" s="1" t="str">
        <f>"559"</f>
        <v>559</v>
      </c>
      <c r="G353" s="2">
        <v>41960</v>
      </c>
      <c r="H353" s="1">
        <v>169500</v>
      </c>
      <c r="I353" s="1">
        <v>165000</v>
      </c>
      <c r="J353" s="1">
        <v>165000</v>
      </c>
      <c r="K353" s="2">
        <v>41960</v>
      </c>
      <c r="L353" s="1">
        <v>18</v>
      </c>
      <c r="M353" s="2">
        <v>41977</v>
      </c>
      <c r="N353" s="1">
        <v>18</v>
      </c>
      <c r="O353" s="2">
        <v>41977</v>
      </c>
      <c r="P353" s="1">
        <v>24071</v>
      </c>
      <c r="Q353" s="1" t="s">
        <v>197</v>
      </c>
      <c r="R353" s="2">
        <v>42020</v>
      </c>
      <c r="S353" s="1">
        <v>245756</v>
      </c>
      <c r="T353" s="1">
        <v>700</v>
      </c>
      <c r="U353" s="1">
        <v>128</v>
      </c>
      <c r="V353" s="1" t="s">
        <v>5075</v>
      </c>
      <c r="W353" s="1" t="s">
        <v>264</v>
      </c>
      <c r="Y353" s="1">
        <v>6</v>
      </c>
      <c r="Z353" s="1" t="s">
        <v>370</v>
      </c>
      <c r="AA353" s="1" t="s">
        <v>1950</v>
      </c>
      <c r="AB353" s="1">
        <v>60559</v>
      </c>
      <c r="AE353" s="1" t="s">
        <v>5076</v>
      </c>
      <c r="AF353" s="1">
        <v>1986</v>
      </c>
      <c r="AG353" s="1" t="s">
        <v>204</v>
      </c>
      <c r="AH353" s="1" t="s">
        <v>1952</v>
      </c>
      <c r="AI353" s="1" t="s">
        <v>206</v>
      </c>
      <c r="AJ353" s="1" t="s">
        <v>903</v>
      </c>
      <c r="AL353" s="1">
        <v>5</v>
      </c>
      <c r="AM353" s="1">
        <v>2</v>
      </c>
      <c r="AN353" s="1">
        <v>2</v>
      </c>
      <c r="AO353" s="1">
        <v>1</v>
      </c>
      <c r="AP353" s="1" t="s">
        <v>209</v>
      </c>
      <c r="AQ353" s="1">
        <v>1</v>
      </c>
      <c r="AR353" s="1" t="s">
        <v>210</v>
      </c>
      <c r="AS353" s="1" t="s">
        <v>204</v>
      </c>
      <c r="AT353" s="1" t="s">
        <v>211</v>
      </c>
      <c r="AU353" s="1">
        <v>1</v>
      </c>
      <c r="AW353" s="1" t="s">
        <v>204</v>
      </c>
      <c r="AX353" s="1" t="s">
        <v>212</v>
      </c>
      <c r="AZ353" s="1">
        <v>3403</v>
      </c>
      <c r="BA353" s="1">
        <v>2013</v>
      </c>
      <c r="BE353" s="1">
        <v>1400</v>
      </c>
      <c r="BF353" s="1">
        <v>1</v>
      </c>
      <c r="BG353" s="1">
        <v>0</v>
      </c>
      <c r="BL353" s="1">
        <v>242</v>
      </c>
      <c r="BM353" s="1" t="s">
        <v>204</v>
      </c>
      <c r="BN353" s="1" t="s">
        <v>213</v>
      </c>
      <c r="BO353" s="1">
        <v>999</v>
      </c>
      <c r="BP353" s="1" t="s">
        <v>204</v>
      </c>
      <c r="BR353" s="1" t="str">
        <f>"0921221010"</f>
        <v>0921221010</v>
      </c>
      <c r="BT353" s="1" t="s">
        <v>5077</v>
      </c>
      <c r="BU353" s="1" t="s">
        <v>2980</v>
      </c>
      <c r="BV353" s="1" t="s">
        <v>2981</v>
      </c>
      <c r="BW353" s="1" t="s">
        <v>2762</v>
      </c>
      <c r="BX353" s="1">
        <v>60</v>
      </c>
      <c r="BY353" s="1">
        <v>60</v>
      </c>
      <c r="BZ353" s="1">
        <v>99</v>
      </c>
      <c r="CB353" s="1" t="str">
        <f t="shared" ref="CB353:CC353" si="281">""</f>
        <v/>
      </c>
      <c r="CC353" s="1" t="str">
        <f t="shared" si="281"/>
        <v/>
      </c>
      <c r="CG353" s="1" t="s">
        <v>1723</v>
      </c>
      <c r="CH353" s="1" t="s">
        <v>219</v>
      </c>
      <c r="CI353" s="1" t="s">
        <v>220</v>
      </c>
      <c r="CK353" s="1" t="s">
        <v>669</v>
      </c>
      <c r="CL353" s="1" t="s">
        <v>277</v>
      </c>
      <c r="CM353" s="1" t="s">
        <v>220</v>
      </c>
      <c r="CO353" s="1" t="s">
        <v>316</v>
      </c>
      <c r="CP353" s="1" t="s">
        <v>219</v>
      </c>
      <c r="CQ353" s="1" t="s">
        <v>220</v>
      </c>
      <c r="CS353" s="1" t="s">
        <v>315</v>
      </c>
      <c r="CT353" s="1" t="s">
        <v>277</v>
      </c>
      <c r="CX353" s="1" t="s">
        <v>224</v>
      </c>
      <c r="DB353" s="1" t="s">
        <v>224</v>
      </c>
      <c r="DE353" s="1" t="s">
        <v>380</v>
      </c>
      <c r="DF353" s="1" t="s">
        <v>219</v>
      </c>
      <c r="DJ353" s="1" t="s">
        <v>224</v>
      </c>
      <c r="DS353" s="1" t="s">
        <v>230</v>
      </c>
      <c r="DW353" s="1" t="s">
        <v>230</v>
      </c>
      <c r="EA353" s="1" t="s">
        <v>230</v>
      </c>
      <c r="EE353" s="1" t="s">
        <v>230</v>
      </c>
      <c r="EI353" s="1" t="s">
        <v>230</v>
      </c>
      <c r="EL353" s="1" t="s">
        <v>542</v>
      </c>
      <c r="EM353" s="1" t="s">
        <v>232</v>
      </c>
      <c r="EN353" s="1" t="s">
        <v>282</v>
      </c>
      <c r="EO353" s="1" t="s">
        <v>234</v>
      </c>
      <c r="EP353" s="1" t="s">
        <v>650</v>
      </c>
      <c r="ER353" s="1" t="s">
        <v>210</v>
      </c>
      <c r="ET353" s="1" t="s">
        <v>4177</v>
      </c>
      <c r="EW353" s="1" t="s">
        <v>353</v>
      </c>
      <c r="EZ353" s="1" t="s">
        <v>287</v>
      </c>
      <c r="FD353" s="1" t="s">
        <v>246</v>
      </c>
      <c r="FE353" s="1" t="s">
        <v>975</v>
      </c>
      <c r="FF353" s="1" t="s">
        <v>248</v>
      </c>
      <c r="FG353" s="1" t="s">
        <v>912</v>
      </c>
      <c r="FH353" s="1" t="s">
        <v>550</v>
      </c>
      <c r="FI353" s="1" t="s">
        <v>3300</v>
      </c>
      <c r="FJ353" s="1" t="s">
        <v>518</v>
      </c>
      <c r="FL353" s="1" t="s">
        <v>358</v>
      </c>
      <c r="FM353" s="1" t="s">
        <v>252</v>
      </c>
      <c r="FN353" s="1" t="s">
        <v>213</v>
      </c>
      <c r="FO353" s="1" t="s">
        <v>213</v>
      </c>
      <c r="FQ353" s="1" t="s">
        <v>793</v>
      </c>
      <c r="FR353" s="1" t="s">
        <v>210</v>
      </c>
      <c r="FS353" s="1" t="s">
        <v>1429</v>
      </c>
      <c r="FT353" s="1" t="s">
        <v>295</v>
      </c>
      <c r="FU353" s="1" t="s">
        <v>204</v>
      </c>
      <c r="FW353" s="1" t="s">
        <v>915</v>
      </c>
      <c r="FX353" s="1">
        <v>20179</v>
      </c>
      <c r="FY353" s="1" t="s">
        <v>1944</v>
      </c>
      <c r="FZ353" s="1" t="s">
        <v>2860</v>
      </c>
      <c r="GA353" s="1">
        <v>241733</v>
      </c>
      <c r="GE353" s="1" t="s">
        <v>335</v>
      </c>
      <c r="GI353" s="1" t="s">
        <v>213</v>
      </c>
      <c r="GJ353" s="1" t="s">
        <v>260</v>
      </c>
      <c r="GK353" s="1" t="s">
        <v>210</v>
      </c>
      <c r="GL353" s="2">
        <v>42020</v>
      </c>
      <c r="GM353" s="1" t="s">
        <v>5078</v>
      </c>
    </row>
    <row r="354" spans="1:195">
      <c r="A354" s="1">
        <v>140000</v>
      </c>
      <c r="B354" s="1" t="s">
        <v>195</v>
      </c>
      <c r="C354" s="1" t="str">
        <f>"08786536"</f>
        <v>08786536</v>
      </c>
      <c r="D354" s="1" t="s">
        <v>196</v>
      </c>
      <c r="F354" s="1" t="str">
        <f>"61"</f>
        <v>61</v>
      </c>
      <c r="G354" s="2">
        <v>41957</v>
      </c>
      <c r="H354" s="1">
        <v>158900</v>
      </c>
      <c r="I354" s="1">
        <v>138900</v>
      </c>
      <c r="J354" s="1">
        <v>140000</v>
      </c>
      <c r="K354" s="2">
        <v>41957</v>
      </c>
      <c r="L354" s="1">
        <v>210</v>
      </c>
      <c r="M354" s="2">
        <v>42059</v>
      </c>
      <c r="N354" s="1">
        <v>103</v>
      </c>
      <c r="O354" s="2">
        <v>42059</v>
      </c>
      <c r="P354" s="1">
        <v>2626</v>
      </c>
      <c r="Q354" s="1" t="s">
        <v>302</v>
      </c>
      <c r="R354" s="2">
        <v>42121</v>
      </c>
      <c r="S354" s="1">
        <v>15670</v>
      </c>
      <c r="U354" s="1">
        <v>927</v>
      </c>
      <c r="V354" s="1" t="s">
        <v>1525</v>
      </c>
      <c r="W354" s="1" t="s">
        <v>504</v>
      </c>
      <c r="Y354" s="1">
        <v>7</v>
      </c>
      <c r="Z354" s="1" t="s">
        <v>249</v>
      </c>
      <c r="AA354" s="1" t="s">
        <v>505</v>
      </c>
      <c r="AB354" s="1">
        <v>60061</v>
      </c>
      <c r="AD354" s="1" t="s">
        <v>1526</v>
      </c>
      <c r="AE354" s="1" t="s">
        <v>5079</v>
      </c>
      <c r="AF354" s="1">
        <v>1991</v>
      </c>
      <c r="AG354" s="1" t="s">
        <v>204</v>
      </c>
      <c r="AH354" s="1" t="s">
        <v>508</v>
      </c>
      <c r="AI354" s="1" t="s">
        <v>509</v>
      </c>
      <c r="AJ354" s="1" t="s">
        <v>510</v>
      </c>
      <c r="AL354" s="1">
        <v>5</v>
      </c>
      <c r="AM354" s="1">
        <v>2</v>
      </c>
      <c r="AN354" s="1">
        <v>2</v>
      </c>
      <c r="AO354" s="1">
        <v>0</v>
      </c>
      <c r="AP354" s="1" t="s">
        <v>209</v>
      </c>
      <c r="AQ354" s="1">
        <v>1</v>
      </c>
      <c r="AR354" s="1" t="s">
        <v>210</v>
      </c>
      <c r="AS354" s="1" t="s">
        <v>204</v>
      </c>
      <c r="AT354" s="1" t="s">
        <v>211</v>
      </c>
      <c r="AU354" s="1">
        <v>2</v>
      </c>
      <c r="AW354" s="1" t="s">
        <v>204</v>
      </c>
      <c r="AX354" s="1" t="s">
        <v>1265</v>
      </c>
      <c r="AZ354" s="1">
        <v>5256.04</v>
      </c>
      <c r="BA354" s="1">
        <v>2013</v>
      </c>
      <c r="BE354" s="1">
        <v>1449</v>
      </c>
      <c r="BF354" s="1">
        <v>2</v>
      </c>
      <c r="BG354" s="1">
        <v>0</v>
      </c>
      <c r="BL354" s="1">
        <v>340</v>
      </c>
      <c r="BM354" s="1" t="s">
        <v>204</v>
      </c>
      <c r="BN354" s="1" t="s">
        <v>213</v>
      </c>
      <c r="BO354" s="1">
        <v>0</v>
      </c>
      <c r="BP354" s="1" t="s">
        <v>204</v>
      </c>
      <c r="BR354" s="1" t="str">
        <f>"15062060430000"</f>
        <v>15062060430000</v>
      </c>
      <c r="BT354" s="1" t="s">
        <v>5080</v>
      </c>
      <c r="BW354" s="1" t="s">
        <v>1532</v>
      </c>
      <c r="BX354" s="1">
        <v>76</v>
      </c>
      <c r="BY354" s="1">
        <v>76</v>
      </c>
      <c r="BZ354" s="1">
        <v>125</v>
      </c>
      <c r="CB354" s="1" t="str">
        <f t="shared" ref="CB354:CC354" si="282">""</f>
        <v/>
      </c>
      <c r="CC354" s="1" t="str">
        <f t="shared" si="282"/>
        <v/>
      </c>
      <c r="CG354" s="1" t="s">
        <v>931</v>
      </c>
      <c r="CH354" s="1" t="s">
        <v>277</v>
      </c>
      <c r="CI354" s="1" t="s">
        <v>220</v>
      </c>
      <c r="CK354" s="1" t="s">
        <v>221</v>
      </c>
      <c r="CL354" s="1" t="s">
        <v>277</v>
      </c>
      <c r="CM354" s="1" t="s">
        <v>220</v>
      </c>
      <c r="CO354" s="1" t="s">
        <v>821</v>
      </c>
      <c r="CP354" s="1" t="s">
        <v>277</v>
      </c>
      <c r="CQ354" s="1" t="s">
        <v>220</v>
      </c>
      <c r="CS354" s="1" t="s">
        <v>346</v>
      </c>
      <c r="CT354" s="1" t="s">
        <v>277</v>
      </c>
      <c r="CU354" s="1" t="s">
        <v>220</v>
      </c>
      <c r="CX354" s="1" t="s">
        <v>224</v>
      </c>
      <c r="DB354" s="1" t="s">
        <v>224</v>
      </c>
      <c r="DE354" s="1" t="s">
        <v>538</v>
      </c>
      <c r="DF354" s="1" t="s">
        <v>277</v>
      </c>
      <c r="DJ354" s="1" t="s">
        <v>224</v>
      </c>
      <c r="DS354" s="1" t="s">
        <v>230</v>
      </c>
      <c r="DW354" s="1" t="s">
        <v>230</v>
      </c>
      <c r="EA354" s="1" t="s">
        <v>230</v>
      </c>
      <c r="EE354" s="1" t="s">
        <v>230</v>
      </c>
      <c r="EI354" s="1" t="s">
        <v>230</v>
      </c>
      <c r="EL354" s="1" t="s">
        <v>382</v>
      </c>
      <c r="EM354" s="1" t="s">
        <v>232</v>
      </c>
      <c r="EN354" s="1" t="s">
        <v>282</v>
      </c>
      <c r="EO354" s="1" t="s">
        <v>234</v>
      </c>
      <c r="EQ354" s="1" t="s">
        <v>321</v>
      </c>
      <c r="ER354" s="1" t="s">
        <v>210</v>
      </c>
      <c r="EU354" s="1" t="s">
        <v>239</v>
      </c>
      <c r="EW354" s="1" t="s">
        <v>1426</v>
      </c>
      <c r="EZ354" s="1" t="s">
        <v>287</v>
      </c>
      <c r="FD354" s="1" t="s">
        <v>246</v>
      </c>
      <c r="FE354" s="1" t="s">
        <v>247</v>
      </c>
      <c r="FF354" s="1" t="s">
        <v>248</v>
      </c>
      <c r="FG354" s="1" t="s">
        <v>939</v>
      </c>
      <c r="FH354" s="1" t="s">
        <v>550</v>
      </c>
      <c r="FL354" s="1" t="s">
        <v>358</v>
      </c>
      <c r="FM354" s="1" t="s">
        <v>252</v>
      </c>
      <c r="FN354" s="1" t="s">
        <v>213</v>
      </c>
      <c r="FO354" s="1" t="s">
        <v>213</v>
      </c>
      <c r="FQ354" s="1" t="s">
        <v>582</v>
      </c>
      <c r="FR354" s="1" t="s">
        <v>210</v>
      </c>
      <c r="FS354" s="1" t="s">
        <v>5081</v>
      </c>
      <c r="FT354" s="1" t="s">
        <v>1408</v>
      </c>
      <c r="FU354" s="1" t="s">
        <v>204</v>
      </c>
      <c r="FW354" s="1" t="s">
        <v>5082</v>
      </c>
      <c r="FX354" s="1">
        <v>1989</v>
      </c>
      <c r="FY354" s="1" t="s">
        <v>5083</v>
      </c>
      <c r="FZ354" s="1" t="s">
        <v>5084</v>
      </c>
      <c r="GA354" s="1">
        <v>81066</v>
      </c>
      <c r="GB354" s="1" t="s">
        <v>5083</v>
      </c>
      <c r="GC354" s="1">
        <v>922882</v>
      </c>
      <c r="GE354" s="1" t="s">
        <v>210</v>
      </c>
      <c r="GI354" s="1" t="s">
        <v>204</v>
      </c>
      <c r="GJ354" s="1" t="s">
        <v>260</v>
      </c>
      <c r="GK354" s="1" t="s">
        <v>210</v>
      </c>
      <c r="GL354" s="2">
        <v>42122</v>
      </c>
      <c r="GM354" s="1" t="s">
        <v>5085</v>
      </c>
    </row>
    <row r="355" spans="1:195">
      <c r="A355" s="1">
        <v>94000</v>
      </c>
      <c r="B355" s="1" t="s">
        <v>195</v>
      </c>
      <c r="C355" s="1" t="str">
        <f>"08785976"</f>
        <v>08785976</v>
      </c>
      <c r="D355" s="1" t="s">
        <v>196</v>
      </c>
      <c r="F355" s="1" t="str">
        <f>"148"</f>
        <v>148</v>
      </c>
      <c r="G355" s="2">
        <v>41956</v>
      </c>
      <c r="H355" s="1">
        <v>99900</v>
      </c>
      <c r="I355" s="1">
        <v>99900</v>
      </c>
      <c r="J355" s="1">
        <v>94000</v>
      </c>
      <c r="K355" s="2">
        <v>41956</v>
      </c>
      <c r="L355" s="1">
        <v>14</v>
      </c>
      <c r="M355" s="2">
        <v>41969</v>
      </c>
      <c r="N355" s="1">
        <v>14</v>
      </c>
      <c r="O355" s="2">
        <v>41969</v>
      </c>
      <c r="P355" s="1">
        <v>21823</v>
      </c>
      <c r="Q355" s="1" t="s">
        <v>302</v>
      </c>
      <c r="R355" s="2">
        <v>41995</v>
      </c>
      <c r="S355" s="1">
        <v>232175</v>
      </c>
      <c r="U355" s="1">
        <v>1301</v>
      </c>
      <c r="V355" s="1" t="s">
        <v>2226</v>
      </c>
      <c r="W355" s="1" t="s">
        <v>1056</v>
      </c>
      <c r="X355" s="1">
        <v>211</v>
      </c>
      <c r="Y355" s="1">
        <v>84</v>
      </c>
      <c r="Z355" s="1" t="s">
        <v>249</v>
      </c>
      <c r="AA355" s="1" t="s">
        <v>1927</v>
      </c>
      <c r="AB355" s="1">
        <v>60148</v>
      </c>
      <c r="AE355" s="1" t="s">
        <v>5086</v>
      </c>
      <c r="AF355" s="1">
        <v>1973</v>
      </c>
      <c r="AG355" s="1" t="s">
        <v>213</v>
      </c>
      <c r="AH355" s="1" t="s">
        <v>1930</v>
      </c>
      <c r="AI355" s="1" t="s">
        <v>206</v>
      </c>
      <c r="AJ355" s="1" t="s">
        <v>1608</v>
      </c>
      <c r="AL355" s="1">
        <v>5</v>
      </c>
      <c r="AM355" s="1">
        <v>2</v>
      </c>
      <c r="AN355" s="1">
        <v>1</v>
      </c>
      <c r="AO355" s="1">
        <v>1</v>
      </c>
      <c r="AP355" s="1" t="s">
        <v>1234</v>
      </c>
      <c r="AQ355" s="1">
        <v>0</v>
      </c>
      <c r="AR355" s="1" t="s">
        <v>210</v>
      </c>
      <c r="AS355" s="1" t="s">
        <v>204</v>
      </c>
      <c r="AT355" s="1" t="s">
        <v>210</v>
      </c>
      <c r="AW355" s="1" t="s">
        <v>204</v>
      </c>
      <c r="AX355" s="1" t="s">
        <v>212</v>
      </c>
      <c r="AZ355" s="1">
        <v>1649.58</v>
      </c>
      <c r="BA355" s="1">
        <v>2013</v>
      </c>
      <c r="BB355" s="1" t="s">
        <v>405</v>
      </c>
      <c r="BE355" s="1">
        <v>1134</v>
      </c>
      <c r="BF355" s="1">
        <v>2</v>
      </c>
      <c r="BG355" s="1">
        <v>15</v>
      </c>
      <c r="BL355" s="1">
        <v>394</v>
      </c>
      <c r="BM355" s="1" t="s">
        <v>204</v>
      </c>
      <c r="BN355" s="1" t="s">
        <v>213</v>
      </c>
      <c r="BO355" s="1">
        <v>20</v>
      </c>
      <c r="BP355" s="1" t="s">
        <v>204</v>
      </c>
      <c r="BR355" s="1" t="str">
        <f>"0619212029"</f>
        <v>0619212029</v>
      </c>
      <c r="BT355" s="1" t="s">
        <v>5087</v>
      </c>
      <c r="BU355" s="1" t="s">
        <v>1933</v>
      </c>
      <c r="BV355" s="1" t="s">
        <v>1934</v>
      </c>
      <c r="BW355" s="1" t="s">
        <v>1935</v>
      </c>
      <c r="BX355" s="1">
        <v>44</v>
      </c>
      <c r="BY355" s="1">
        <v>44</v>
      </c>
      <c r="BZ355" s="1">
        <v>87</v>
      </c>
      <c r="CB355" s="1" t="str">
        <f t="shared" ref="CB355:CC355" si="283">""</f>
        <v/>
      </c>
      <c r="CC355" s="1" t="str">
        <f t="shared" si="283"/>
        <v/>
      </c>
      <c r="CG355" s="1" t="s">
        <v>228</v>
      </c>
      <c r="CH355" s="1" t="s">
        <v>219</v>
      </c>
      <c r="CI355" s="1" t="s">
        <v>220</v>
      </c>
      <c r="CK355" s="1" t="s">
        <v>437</v>
      </c>
      <c r="CL355" s="1" t="s">
        <v>219</v>
      </c>
      <c r="CM355" s="1" t="s">
        <v>220</v>
      </c>
      <c r="CO355" s="1" t="s">
        <v>630</v>
      </c>
      <c r="CP355" s="1" t="s">
        <v>219</v>
      </c>
      <c r="CQ355" s="1" t="s">
        <v>220</v>
      </c>
      <c r="CR355" s="1" t="s">
        <v>210</v>
      </c>
      <c r="CS355" s="1" t="s">
        <v>317</v>
      </c>
      <c r="CT355" s="1" t="s">
        <v>219</v>
      </c>
      <c r="CU355" s="1" t="s">
        <v>220</v>
      </c>
      <c r="CX355" s="1" t="s">
        <v>224</v>
      </c>
      <c r="DB355" s="1" t="s">
        <v>224</v>
      </c>
      <c r="DE355" s="1" t="s">
        <v>465</v>
      </c>
      <c r="DF355" s="1" t="s">
        <v>219</v>
      </c>
      <c r="DG355" s="1" t="s">
        <v>226</v>
      </c>
      <c r="DJ355" s="1" t="s">
        <v>224</v>
      </c>
      <c r="DS355" s="1" t="s">
        <v>230</v>
      </c>
      <c r="DW355" s="1" t="s">
        <v>230</v>
      </c>
      <c r="EA355" s="1" t="s">
        <v>230</v>
      </c>
      <c r="EE355" s="1" t="s">
        <v>230</v>
      </c>
      <c r="EI355" s="1" t="s">
        <v>230</v>
      </c>
      <c r="EL355" s="1" t="s">
        <v>605</v>
      </c>
      <c r="EM355" s="1" t="s">
        <v>232</v>
      </c>
      <c r="EN355" s="1" t="s">
        <v>233</v>
      </c>
      <c r="EO355" s="1" t="s">
        <v>840</v>
      </c>
      <c r="EP355" s="1" t="s">
        <v>5088</v>
      </c>
      <c r="EQ355" s="1" t="s">
        <v>1109</v>
      </c>
      <c r="ER355" s="1" t="s">
        <v>210</v>
      </c>
      <c r="ES355" s="1" t="s">
        <v>322</v>
      </c>
      <c r="EV355" s="1" t="s">
        <v>240</v>
      </c>
      <c r="EW355" s="1" t="s">
        <v>5089</v>
      </c>
      <c r="EY355" s="1" t="s">
        <v>242</v>
      </c>
      <c r="EZ355" s="1" t="s">
        <v>287</v>
      </c>
      <c r="FA355" s="1" t="s">
        <v>3504</v>
      </c>
      <c r="FB355" s="1" t="s">
        <v>289</v>
      </c>
      <c r="FC355" s="1" t="s">
        <v>633</v>
      </c>
      <c r="FD355" s="1" t="s">
        <v>290</v>
      </c>
      <c r="FE355" s="1" t="s">
        <v>247</v>
      </c>
      <c r="FF355" s="1" t="s">
        <v>248</v>
      </c>
      <c r="FH355" s="1" t="s">
        <v>249</v>
      </c>
      <c r="FJ355" s="1" t="s">
        <v>518</v>
      </c>
      <c r="FL355" s="1" t="s">
        <v>5090</v>
      </c>
      <c r="FM355" s="1" t="s">
        <v>252</v>
      </c>
      <c r="FN355" s="1" t="s">
        <v>213</v>
      </c>
      <c r="FO355" s="1" t="s">
        <v>213</v>
      </c>
      <c r="FQ355" s="1" t="s">
        <v>582</v>
      </c>
      <c r="FR355" s="1" t="s">
        <v>210</v>
      </c>
      <c r="FS355" s="1" t="s">
        <v>1709</v>
      </c>
      <c r="FT355" s="1" t="s">
        <v>2589</v>
      </c>
      <c r="FU355" s="1" t="s">
        <v>204</v>
      </c>
      <c r="FW355" s="1" t="s">
        <v>2235</v>
      </c>
      <c r="FX355" s="1">
        <v>24321</v>
      </c>
      <c r="FY355" s="1" t="s">
        <v>2236</v>
      </c>
      <c r="FZ355" s="1" t="s">
        <v>5091</v>
      </c>
      <c r="GA355" s="1">
        <v>240661</v>
      </c>
      <c r="GB355" s="1" t="s">
        <v>5092</v>
      </c>
      <c r="GD355" s="1" t="s">
        <v>5093</v>
      </c>
      <c r="GE355" s="1" t="s">
        <v>480</v>
      </c>
      <c r="GH355" s="1" t="s">
        <v>421</v>
      </c>
      <c r="GI355" s="1" t="s">
        <v>213</v>
      </c>
      <c r="GJ355" s="1" t="s">
        <v>260</v>
      </c>
      <c r="GK355" s="1" t="s">
        <v>210</v>
      </c>
      <c r="GL355" s="2">
        <v>41996</v>
      </c>
    </row>
    <row r="356" spans="1:195">
      <c r="A356" s="1">
        <v>155000</v>
      </c>
      <c r="B356" s="1" t="s">
        <v>195</v>
      </c>
      <c r="C356" s="1" t="str">
        <f>"08786625"</f>
        <v>08786625</v>
      </c>
      <c r="D356" s="1" t="s">
        <v>196</v>
      </c>
      <c r="F356" s="1" t="str">
        <f>"47"</f>
        <v>47</v>
      </c>
      <c r="G356" s="2">
        <v>41957</v>
      </c>
      <c r="H356" s="1">
        <v>159900</v>
      </c>
      <c r="I356" s="1">
        <v>159900</v>
      </c>
      <c r="J356" s="1">
        <v>155000</v>
      </c>
      <c r="K356" s="2">
        <v>41957</v>
      </c>
      <c r="L356" s="1">
        <v>83</v>
      </c>
      <c r="M356" s="2">
        <v>42039</v>
      </c>
      <c r="N356" s="1">
        <v>83</v>
      </c>
      <c r="O356" s="2">
        <v>42039</v>
      </c>
      <c r="P356" s="1">
        <v>25645</v>
      </c>
      <c r="Q356" s="1" t="s">
        <v>197</v>
      </c>
      <c r="R356" s="2">
        <v>42048</v>
      </c>
      <c r="S356" s="1">
        <v>27392</v>
      </c>
      <c r="U356" s="1">
        <v>128</v>
      </c>
      <c r="V356" s="1" t="s">
        <v>5094</v>
      </c>
      <c r="W356" s="1" t="s">
        <v>526</v>
      </c>
      <c r="X356" s="1" t="s">
        <v>483</v>
      </c>
      <c r="Y356" s="1">
        <v>4</v>
      </c>
      <c r="Z356" s="1" t="s">
        <v>370</v>
      </c>
      <c r="AA356" s="1" t="s">
        <v>528</v>
      </c>
      <c r="AB356" s="1">
        <v>60047</v>
      </c>
      <c r="AD356" s="1" t="s">
        <v>5095</v>
      </c>
      <c r="AE356" s="1" t="s">
        <v>5096</v>
      </c>
      <c r="AF356" s="1">
        <v>1985</v>
      </c>
      <c r="AG356" s="1" t="s">
        <v>204</v>
      </c>
      <c r="AH356" s="1" t="s">
        <v>531</v>
      </c>
      <c r="AI356" s="1" t="s">
        <v>509</v>
      </c>
      <c r="AJ356" s="1" t="s">
        <v>532</v>
      </c>
      <c r="AK356" s="1" t="s">
        <v>5097</v>
      </c>
      <c r="AL356" s="1">
        <v>6</v>
      </c>
      <c r="AM356" s="1">
        <v>2</v>
      </c>
      <c r="AN356" s="1">
        <v>1</v>
      </c>
      <c r="AO356" s="1">
        <v>1</v>
      </c>
      <c r="AP356" s="1" t="s">
        <v>455</v>
      </c>
      <c r="AQ356" s="1">
        <v>1</v>
      </c>
      <c r="AR356" s="1" t="s">
        <v>209</v>
      </c>
      <c r="AS356" s="1" t="s">
        <v>204</v>
      </c>
      <c r="AT356" s="1" t="s">
        <v>211</v>
      </c>
      <c r="AU356" s="1">
        <v>1</v>
      </c>
      <c r="AW356" s="1" t="s">
        <v>204</v>
      </c>
      <c r="AX356" s="1" t="s">
        <v>212</v>
      </c>
      <c r="AZ356" s="1">
        <v>3202</v>
      </c>
      <c r="BA356" s="1">
        <v>2013</v>
      </c>
      <c r="BB356" s="1" t="s">
        <v>405</v>
      </c>
      <c r="BE356" s="1">
        <v>1017</v>
      </c>
      <c r="BF356" s="1">
        <v>1</v>
      </c>
      <c r="BG356" s="1">
        <v>7</v>
      </c>
      <c r="BL356" s="1">
        <v>125</v>
      </c>
      <c r="BM356" s="1" t="s">
        <v>204</v>
      </c>
      <c r="BN356" s="1" t="s">
        <v>213</v>
      </c>
      <c r="BO356" s="1">
        <v>100</v>
      </c>
      <c r="BP356" s="1" t="s">
        <v>204</v>
      </c>
      <c r="BR356" s="1" t="str">
        <f>"14202050310000"</f>
        <v>14202050310000</v>
      </c>
      <c r="BT356" s="1" t="s">
        <v>5098</v>
      </c>
      <c r="BU356" s="1" t="s">
        <v>535</v>
      </c>
      <c r="BV356" s="1" t="s">
        <v>536</v>
      </c>
      <c r="BW356" s="1" t="s">
        <v>537</v>
      </c>
      <c r="BX356" s="1">
        <v>95</v>
      </c>
      <c r="BY356" s="1">
        <v>95</v>
      </c>
      <c r="BZ356" s="1">
        <v>95</v>
      </c>
      <c r="CB356" s="1" t="str">
        <f>"22"</f>
        <v>22</v>
      </c>
      <c r="CC356" s="1" t="str">
        <f>"0"</f>
        <v>0</v>
      </c>
      <c r="CD356" s="1">
        <v>23</v>
      </c>
      <c r="CE356" s="1">
        <v>0</v>
      </c>
      <c r="CG356" s="1" t="s">
        <v>538</v>
      </c>
      <c r="CH356" s="1" t="s">
        <v>219</v>
      </c>
      <c r="CI356" s="1" t="s">
        <v>438</v>
      </c>
      <c r="CK356" s="1" t="s">
        <v>539</v>
      </c>
      <c r="CL356" s="1" t="s">
        <v>277</v>
      </c>
      <c r="CM356" s="1" t="s">
        <v>220</v>
      </c>
      <c r="CO356" s="1" t="s">
        <v>2031</v>
      </c>
      <c r="CP356" s="1" t="s">
        <v>219</v>
      </c>
      <c r="CQ356" s="1" t="s">
        <v>438</v>
      </c>
      <c r="CS356" s="1" t="s">
        <v>379</v>
      </c>
      <c r="CT356" s="1" t="s">
        <v>277</v>
      </c>
      <c r="CU356" s="1" t="s">
        <v>220</v>
      </c>
      <c r="CX356" s="1" t="s">
        <v>224</v>
      </c>
      <c r="DB356" s="1" t="s">
        <v>224</v>
      </c>
      <c r="DE356" s="1" t="s">
        <v>1133</v>
      </c>
      <c r="DF356" s="1" t="s">
        <v>219</v>
      </c>
      <c r="DG356" s="1" t="s">
        <v>226</v>
      </c>
      <c r="DI356" s="1" t="s">
        <v>1132</v>
      </c>
      <c r="DJ356" s="1" t="s">
        <v>43</v>
      </c>
      <c r="DK356" s="1" t="s">
        <v>220</v>
      </c>
      <c r="DS356" s="1" t="s">
        <v>230</v>
      </c>
      <c r="DW356" s="1" t="s">
        <v>230</v>
      </c>
      <c r="EA356" s="1" t="s">
        <v>230</v>
      </c>
      <c r="EE356" s="1" t="s">
        <v>230</v>
      </c>
      <c r="EI356" s="1" t="s">
        <v>230</v>
      </c>
      <c r="EL356" s="1" t="s">
        <v>542</v>
      </c>
      <c r="EM356" s="1" t="s">
        <v>319</v>
      </c>
      <c r="EN356" s="1" t="s">
        <v>282</v>
      </c>
      <c r="EO356" s="1" t="s">
        <v>234</v>
      </c>
      <c r="EP356" s="1" t="s">
        <v>650</v>
      </c>
      <c r="EQ356" s="1" t="s">
        <v>5099</v>
      </c>
      <c r="ER356" s="1" t="s">
        <v>544</v>
      </c>
      <c r="ES356" s="1" t="s">
        <v>608</v>
      </c>
      <c r="ET356" s="1" t="s">
        <v>1752</v>
      </c>
      <c r="EU356" s="1" t="s">
        <v>3670</v>
      </c>
      <c r="EV356" s="1" t="s">
        <v>240</v>
      </c>
      <c r="EW356" s="1" t="s">
        <v>5100</v>
      </c>
      <c r="EY356" s="1" t="s">
        <v>242</v>
      </c>
      <c r="EZ356" s="1" t="s">
        <v>287</v>
      </c>
      <c r="FA356" s="1" t="s">
        <v>5059</v>
      </c>
      <c r="FB356" s="1" t="s">
        <v>244</v>
      </c>
      <c r="FD356" s="1" t="s">
        <v>246</v>
      </c>
      <c r="FE356" s="1" t="s">
        <v>549</v>
      </c>
      <c r="FF356" s="1" t="s">
        <v>248</v>
      </c>
      <c r="FG356" s="1" t="s">
        <v>2406</v>
      </c>
      <c r="FH356" s="1" t="s">
        <v>249</v>
      </c>
      <c r="FI356" s="1" t="s">
        <v>357</v>
      </c>
      <c r="FJ356" s="1" t="s">
        <v>518</v>
      </c>
      <c r="FL356" s="1" t="s">
        <v>358</v>
      </c>
      <c r="FM356" s="1" t="s">
        <v>252</v>
      </c>
      <c r="FN356" s="1" t="s">
        <v>213</v>
      </c>
      <c r="FO356" s="1" t="s">
        <v>213</v>
      </c>
      <c r="FQ356" s="1" t="s">
        <v>329</v>
      </c>
      <c r="FR356" s="1" t="s">
        <v>360</v>
      </c>
      <c r="FS356" s="1" t="s">
        <v>5061</v>
      </c>
      <c r="FT356" s="1" t="s">
        <v>295</v>
      </c>
      <c r="FU356" s="1" t="s">
        <v>204</v>
      </c>
      <c r="FW356" s="1" t="s">
        <v>256</v>
      </c>
      <c r="FX356" s="1">
        <v>8079</v>
      </c>
      <c r="FY356" s="1" t="s">
        <v>3625</v>
      </c>
      <c r="FZ356" s="1" t="s">
        <v>5062</v>
      </c>
      <c r="GA356" s="1">
        <v>920884</v>
      </c>
      <c r="GB356" s="1" t="s">
        <v>5063</v>
      </c>
      <c r="GE356" s="1" t="s">
        <v>480</v>
      </c>
      <c r="GI356" s="1" t="s">
        <v>213</v>
      </c>
      <c r="GJ356" s="1" t="s">
        <v>260</v>
      </c>
      <c r="GK356" s="1" t="s">
        <v>261</v>
      </c>
      <c r="GL356" s="2">
        <v>42048</v>
      </c>
      <c r="GM356" s="1" t="s">
        <v>5101</v>
      </c>
    </row>
    <row r="357" spans="1:195">
      <c r="A357" s="1">
        <v>138000</v>
      </c>
      <c r="B357" s="1" t="s">
        <v>195</v>
      </c>
      <c r="C357" s="1" t="str">
        <f>"08786456"</f>
        <v>08786456</v>
      </c>
      <c r="D357" s="1" t="s">
        <v>196</v>
      </c>
      <c r="F357" s="1" t="str">
        <f>"31"</f>
        <v>31</v>
      </c>
      <c r="G357" s="2">
        <v>41957</v>
      </c>
      <c r="H357" s="1">
        <v>149900</v>
      </c>
      <c r="I357" s="1">
        <v>149900</v>
      </c>
      <c r="J357" s="1">
        <v>138000</v>
      </c>
      <c r="K357" s="2">
        <v>41957</v>
      </c>
      <c r="L357" s="1">
        <v>46</v>
      </c>
      <c r="M357" s="2">
        <v>42002</v>
      </c>
      <c r="N357" s="1">
        <v>46</v>
      </c>
      <c r="O357" s="2">
        <v>42002</v>
      </c>
      <c r="P357" s="1">
        <v>1393</v>
      </c>
      <c r="Q357" s="1" t="s">
        <v>423</v>
      </c>
      <c r="R357" s="2">
        <v>42033</v>
      </c>
      <c r="S357" s="1">
        <v>241354</v>
      </c>
      <c r="U357" s="1">
        <v>83</v>
      </c>
      <c r="V357" s="1" t="s">
        <v>5102</v>
      </c>
      <c r="W357" s="1" t="s">
        <v>304</v>
      </c>
      <c r="Y357" s="1">
        <v>4</v>
      </c>
      <c r="Z357" s="1" t="s">
        <v>370</v>
      </c>
      <c r="AA357" s="1" t="s">
        <v>1057</v>
      </c>
      <c r="AB357" s="1">
        <v>60031</v>
      </c>
      <c r="AE357" s="1" t="s">
        <v>5103</v>
      </c>
      <c r="AF357" s="1">
        <v>1990</v>
      </c>
      <c r="AG357" s="1" t="s">
        <v>204</v>
      </c>
      <c r="AH357" s="1" t="s">
        <v>1060</v>
      </c>
      <c r="AI357" s="1" t="s">
        <v>509</v>
      </c>
      <c r="AJ357" s="1" t="s">
        <v>1061</v>
      </c>
      <c r="AL357" s="1">
        <v>6</v>
      </c>
      <c r="AM357" s="1">
        <v>2</v>
      </c>
      <c r="AN357" s="1">
        <v>2</v>
      </c>
      <c r="AO357" s="1">
        <v>1</v>
      </c>
      <c r="AP357" s="1" t="s">
        <v>209</v>
      </c>
      <c r="AQ357" s="1">
        <v>0</v>
      </c>
      <c r="AR357" s="1" t="s">
        <v>209</v>
      </c>
      <c r="AS357" s="1" t="s">
        <v>204</v>
      </c>
      <c r="AT357" s="1" t="s">
        <v>211</v>
      </c>
      <c r="AU357" s="1">
        <v>1</v>
      </c>
      <c r="AW357" s="1" t="s">
        <v>204</v>
      </c>
      <c r="AX357" s="1" t="s">
        <v>579</v>
      </c>
      <c r="AZ357" s="1">
        <v>3013.32</v>
      </c>
      <c r="BA357" s="1">
        <v>2012</v>
      </c>
      <c r="BE357" s="1">
        <v>1640</v>
      </c>
      <c r="BF357" s="1">
        <v>1</v>
      </c>
      <c r="BG357" s="1">
        <v>0</v>
      </c>
      <c r="BL357" s="1">
        <v>250</v>
      </c>
      <c r="BM357" s="1" t="s">
        <v>204</v>
      </c>
      <c r="BN357" s="1" t="s">
        <v>213</v>
      </c>
      <c r="BO357" s="1" t="s">
        <v>432</v>
      </c>
      <c r="BP357" s="1" t="s">
        <v>204</v>
      </c>
      <c r="BR357" s="1" t="str">
        <f>"07234181450000"</f>
        <v>07234181450000</v>
      </c>
      <c r="BT357" s="1" t="s">
        <v>5104</v>
      </c>
      <c r="BW357" s="1" t="s">
        <v>1066</v>
      </c>
      <c r="BX357" s="1">
        <v>56</v>
      </c>
      <c r="BY357" s="1">
        <v>56</v>
      </c>
      <c r="BZ357" s="1">
        <v>121</v>
      </c>
      <c r="CB357" s="1" t="str">
        <f t="shared" ref="CB357:CC357" si="284">""</f>
        <v/>
      </c>
      <c r="CC357" s="1" t="str">
        <f t="shared" si="284"/>
        <v/>
      </c>
      <c r="CG357" s="1" t="s">
        <v>581</v>
      </c>
      <c r="CH357" s="1" t="s">
        <v>219</v>
      </c>
      <c r="CI357" s="1" t="s">
        <v>438</v>
      </c>
      <c r="CK357" s="1" t="s">
        <v>314</v>
      </c>
      <c r="CL357" s="1" t="s">
        <v>277</v>
      </c>
      <c r="CM357" s="1" t="s">
        <v>220</v>
      </c>
      <c r="CO357" s="1" t="s">
        <v>318</v>
      </c>
      <c r="CP357" s="1" t="s">
        <v>219</v>
      </c>
      <c r="CQ357" s="1" t="s">
        <v>438</v>
      </c>
      <c r="CS357" s="1" t="s">
        <v>539</v>
      </c>
      <c r="CT357" s="1" t="s">
        <v>277</v>
      </c>
      <c r="CU357" s="1" t="s">
        <v>220</v>
      </c>
      <c r="CX357" s="1" t="s">
        <v>224</v>
      </c>
      <c r="DB357" s="1" t="s">
        <v>224</v>
      </c>
      <c r="DE357" s="1" t="s">
        <v>5105</v>
      </c>
      <c r="DF357" s="1" t="s">
        <v>219</v>
      </c>
      <c r="DG357" s="1" t="s">
        <v>438</v>
      </c>
      <c r="DJ357" s="1" t="s">
        <v>224</v>
      </c>
      <c r="DM357" s="1" t="s">
        <v>464</v>
      </c>
      <c r="DR357" s="1" t="s">
        <v>539</v>
      </c>
      <c r="DS357" s="1" t="s">
        <v>277</v>
      </c>
      <c r="DT357" s="1" t="s">
        <v>220</v>
      </c>
      <c r="DW357" s="1" t="s">
        <v>230</v>
      </c>
      <c r="EA357" s="1" t="s">
        <v>230</v>
      </c>
      <c r="EE357" s="1" t="s">
        <v>230</v>
      </c>
      <c r="EI357" s="1" t="s">
        <v>230</v>
      </c>
      <c r="EL357" s="1" t="s">
        <v>382</v>
      </c>
      <c r="EM357" s="1" t="s">
        <v>319</v>
      </c>
      <c r="EN357" s="1" t="s">
        <v>282</v>
      </c>
      <c r="EO357" s="1" t="s">
        <v>234</v>
      </c>
      <c r="EP357" s="1" t="s">
        <v>650</v>
      </c>
      <c r="EQ357" s="1" t="s">
        <v>236</v>
      </c>
      <c r="ER357" s="1" t="s">
        <v>1249</v>
      </c>
      <c r="ES357" s="1" t="s">
        <v>824</v>
      </c>
      <c r="EU357" s="1" t="s">
        <v>4692</v>
      </c>
      <c r="EV357" s="1" t="s">
        <v>240</v>
      </c>
      <c r="EW357" s="1" t="s">
        <v>210</v>
      </c>
      <c r="EZ357" s="1" t="s">
        <v>464</v>
      </c>
      <c r="FA357" s="1" t="s">
        <v>5106</v>
      </c>
      <c r="FD357" s="1" t="s">
        <v>246</v>
      </c>
      <c r="FE357" s="1" t="s">
        <v>975</v>
      </c>
      <c r="FF357" s="1" t="s">
        <v>248</v>
      </c>
      <c r="FH357" s="1" t="s">
        <v>550</v>
      </c>
      <c r="FI357" s="1" t="s">
        <v>473</v>
      </c>
      <c r="FL357" s="1" t="s">
        <v>358</v>
      </c>
      <c r="FM357" s="1" t="s">
        <v>252</v>
      </c>
      <c r="FN357" s="1" t="s">
        <v>213</v>
      </c>
      <c r="FO357" s="1" t="s">
        <v>213</v>
      </c>
      <c r="FQ357" s="1" t="s">
        <v>5107</v>
      </c>
      <c r="FR357" s="1" t="s">
        <v>210</v>
      </c>
      <c r="FS357" s="1" t="s">
        <v>1429</v>
      </c>
      <c r="FT357" s="1" t="s">
        <v>520</v>
      </c>
      <c r="FU357" s="1" t="s">
        <v>204</v>
      </c>
      <c r="FW357" s="1" t="s">
        <v>5108</v>
      </c>
      <c r="FX357" s="1">
        <v>5093</v>
      </c>
      <c r="FY357" s="1" t="s">
        <v>5109</v>
      </c>
      <c r="FZ357" s="1" t="s">
        <v>5110</v>
      </c>
      <c r="GA357" s="1">
        <v>55964</v>
      </c>
      <c r="GC357" s="1">
        <v>55633</v>
      </c>
      <c r="GE357" s="1" t="s">
        <v>480</v>
      </c>
      <c r="GI357" s="1" t="s">
        <v>213</v>
      </c>
      <c r="GJ357" s="1" t="s">
        <v>260</v>
      </c>
      <c r="GK357" s="1" t="s">
        <v>210</v>
      </c>
      <c r="GL357" s="2">
        <v>42033</v>
      </c>
      <c r="GM357" s="1" t="s">
        <v>5111</v>
      </c>
    </row>
    <row r="358" spans="1:195">
      <c r="A358" s="1">
        <v>260000</v>
      </c>
      <c r="B358" s="1" t="s">
        <v>195</v>
      </c>
      <c r="C358" s="1" t="str">
        <f>"08787325"</f>
        <v>08787325</v>
      </c>
      <c r="D358" s="1" t="s">
        <v>196</v>
      </c>
      <c r="F358" s="1" t="str">
        <f>"540"</f>
        <v>540</v>
      </c>
      <c r="G358" s="2">
        <v>41959</v>
      </c>
      <c r="H358" s="1">
        <v>268000</v>
      </c>
      <c r="I358" s="1">
        <v>268000</v>
      </c>
      <c r="J358" s="1">
        <v>260000</v>
      </c>
      <c r="K358" s="2">
        <v>41959</v>
      </c>
      <c r="L358" s="1">
        <v>245</v>
      </c>
      <c r="M358" s="2">
        <v>41990</v>
      </c>
      <c r="N358" s="1">
        <v>32</v>
      </c>
      <c r="O358" s="2">
        <v>41990</v>
      </c>
      <c r="P358" s="1">
        <v>23156</v>
      </c>
      <c r="Q358" s="1" t="s">
        <v>197</v>
      </c>
      <c r="R358" s="2">
        <v>42068</v>
      </c>
      <c r="S358" s="1">
        <v>236904</v>
      </c>
      <c r="U358" s="1">
        <v>2003</v>
      </c>
      <c r="V358" s="1" t="s">
        <v>5112</v>
      </c>
      <c r="W358" s="1" t="s">
        <v>304</v>
      </c>
      <c r="Y358" s="1">
        <v>3</v>
      </c>
      <c r="Z358" s="1" t="s">
        <v>370</v>
      </c>
      <c r="AA358" s="1" t="s">
        <v>921</v>
      </c>
      <c r="AB358" s="1">
        <v>60563</v>
      </c>
      <c r="AC358" s="1">
        <v>1844</v>
      </c>
      <c r="AD358" s="1" t="s">
        <v>5113</v>
      </c>
      <c r="AE358" s="1" t="s">
        <v>5114</v>
      </c>
      <c r="AF358" s="1">
        <v>2005</v>
      </c>
      <c r="AG358" s="1" t="s">
        <v>204</v>
      </c>
      <c r="AH358" s="1" t="s">
        <v>924</v>
      </c>
      <c r="AI358" s="1" t="s">
        <v>206</v>
      </c>
      <c r="AJ358" s="1" t="s">
        <v>924</v>
      </c>
      <c r="AK358" s="1" t="s">
        <v>5115</v>
      </c>
      <c r="AL358" s="1">
        <v>7</v>
      </c>
      <c r="AM358" s="1">
        <v>2</v>
      </c>
      <c r="AN358" s="1">
        <v>2</v>
      </c>
      <c r="AO358" s="1">
        <v>2</v>
      </c>
      <c r="AP358" s="1" t="s">
        <v>209</v>
      </c>
      <c r="AQ358" s="1">
        <v>1</v>
      </c>
      <c r="AR358" s="1" t="s">
        <v>4448</v>
      </c>
      <c r="AS358" s="1" t="s">
        <v>213</v>
      </c>
      <c r="AT358" s="1" t="s">
        <v>211</v>
      </c>
      <c r="AU358" s="1">
        <v>2</v>
      </c>
      <c r="AW358" s="1" t="s">
        <v>204</v>
      </c>
      <c r="AX358" s="1" t="s">
        <v>212</v>
      </c>
      <c r="AZ358" s="1">
        <v>8885.1</v>
      </c>
      <c r="BA358" s="1">
        <v>2013</v>
      </c>
      <c r="BB358" s="1" t="s">
        <v>405</v>
      </c>
      <c r="BE358" s="1">
        <v>2380</v>
      </c>
      <c r="BF358" s="1">
        <v>1</v>
      </c>
      <c r="BG358" s="1">
        <v>0</v>
      </c>
      <c r="BL358" s="1">
        <v>250</v>
      </c>
      <c r="BM358" s="1" t="s">
        <v>204</v>
      </c>
      <c r="BN358" s="1" t="s">
        <v>213</v>
      </c>
      <c r="BO358" s="1">
        <v>999</v>
      </c>
      <c r="BP358" s="1" t="s">
        <v>204</v>
      </c>
      <c r="BR358" s="1" t="str">
        <f>"0704402022"</f>
        <v>0704402022</v>
      </c>
      <c r="BT358" s="1" t="s">
        <v>5116</v>
      </c>
      <c r="BX358" s="1">
        <v>204</v>
      </c>
      <c r="BY358" s="1">
        <v>204</v>
      </c>
      <c r="BZ358" s="1">
        <v>204</v>
      </c>
      <c r="CB358" s="1" t="str">
        <f t="shared" ref="CB358:CC358" si="285">"0"</f>
        <v>0</v>
      </c>
      <c r="CC358" s="1" t="str">
        <f t="shared" si="285"/>
        <v>0</v>
      </c>
      <c r="CD358" s="1">
        <v>30</v>
      </c>
      <c r="CE358" s="1">
        <v>5</v>
      </c>
      <c r="CG358" s="1" t="s">
        <v>2042</v>
      </c>
      <c r="CH358" s="1" t="s">
        <v>219</v>
      </c>
      <c r="CI358" s="1" t="s">
        <v>438</v>
      </c>
      <c r="CJ358" s="1" t="s">
        <v>210</v>
      </c>
      <c r="CK358" s="1" t="s">
        <v>228</v>
      </c>
      <c r="CL358" s="1" t="s">
        <v>277</v>
      </c>
      <c r="CM358" s="1" t="s">
        <v>220</v>
      </c>
      <c r="CN358" s="1" t="s">
        <v>439</v>
      </c>
      <c r="CO358" s="1" t="s">
        <v>223</v>
      </c>
      <c r="CP358" s="1" t="s">
        <v>219</v>
      </c>
      <c r="CQ358" s="1" t="s">
        <v>438</v>
      </c>
      <c r="CR358" s="1" t="s">
        <v>210</v>
      </c>
      <c r="CS358" s="1" t="s">
        <v>669</v>
      </c>
      <c r="CT358" s="1" t="s">
        <v>277</v>
      </c>
      <c r="CU358" s="1" t="s">
        <v>220</v>
      </c>
      <c r="CV358" s="1" t="s">
        <v>439</v>
      </c>
      <c r="CX358" s="1" t="s">
        <v>224</v>
      </c>
      <c r="DB358" s="1" t="s">
        <v>224</v>
      </c>
      <c r="DE358" s="1" t="s">
        <v>3872</v>
      </c>
      <c r="DF358" s="1" t="s">
        <v>219</v>
      </c>
      <c r="DG358" s="1" t="s">
        <v>226</v>
      </c>
      <c r="DH358" s="1" t="s">
        <v>210</v>
      </c>
      <c r="DJ358" s="1" t="s">
        <v>224</v>
      </c>
      <c r="DM358" s="1" t="s">
        <v>381</v>
      </c>
      <c r="DN358" s="1" t="s">
        <v>934</v>
      </c>
      <c r="DR358" s="1" t="s">
        <v>344</v>
      </c>
      <c r="DS358" s="1" t="s">
        <v>219</v>
      </c>
      <c r="DT358" s="1" t="s">
        <v>438</v>
      </c>
      <c r="DU358" s="1" t="s">
        <v>210</v>
      </c>
      <c r="DV358" s="1" t="s">
        <v>2747</v>
      </c>
      <c r="DW358" s="1" t="s">
        <v>822</v>
      </c>
      <c r="DX358" s="1" t="s">
        <v>220</v>
      </c>
      <c r="DY358" s="1" t="s">
        <v>210</v>
      </c>
      <c r="EA358" s="1" t="s">
        <v>230</v>
      </c>
      <c r="EE358" s="1" t="s">
        <v>230</v>
      </c>
      <c r="EI358" s="1" t="s">
        <v>230</v>
      </c>
      <c r="EL358" s="1" t="s">
        <v>491</v>
      </c>
      <c r="EM358" s="1" t="s">
        <v>232</v>
      </c>
      <c r="EN358" s="1" t="s">
        <v>282</v>
      </c>
      <c r="EO358" s="1" t="s">
        <v>234</v>
      </c>
      <c r="EP358" s="1" t="s">
        <v>650</v>
      </c>
      <c r="EQ358" s="1" t="s">
        <v>236</v>
      </c>
      <c r="ER358" s="1" t="s">
        <v>823</v>
      </c>
      <c r="ES358" s="1" t="s">
        <v>5117</v>
      </c>
      <c r="ET358" s="1" t="s">
        <v>5118</v>
      </c>
      <c r="EU358" s="1" t="s">
        <v>239</v>
      </c>
      <c r="EV358" s="1" t="s">
        <v>240</v>
      </c>
      <c r="EW358" s="1" t="s">
        <v>887</v>
      </c>
      <c r="EY358" s="1" t="s">
        <v>242</v>
      </c>
      <c r="EZ358" s="1" t="s">
        <v>5119</v>
      </c>
      <c r="FA358" s="1" t="s">
        <v>1072</v>
      </c>
      <c r="FB358" s="1" t="s">
        <v>289</v>
      </c>
      <c r="FC358" s="1" t="s">
        <v>3646</v>
      </c>
      <c r="FD358" s="1" t="s">
        <v>495</v>
      </c>
      <c r="FE358" s="1" t="s">
        <v>5120</v>
      </c>
      <c r="FF358" s="1" t="s">
        <v>248</v>
      </c>
      <c r="FG358" s="1" t="s">
        <v>5121</v>
      </c>
      <c r="FH358" s="1" t="s">
        <v>1428</v>
      </c>
      <c r="FI358" s="1" t="s">
        <v>473</v>
      </c>
      <c r="FJ358" s="1" t="s">
        <v>197</v>
      </c>
      <c r="FL358" s="1" t="s">
        <v>5122</v>
      </c>
      <c r="FM358" s="1" t="s">
        <v>252</v>
      </c>
      <c r="FN358" s="1" t="s">
        <v>213</v>
      </c>
      <c r="FO358" s="1" t="s">
        <v>213</v>
      </c>
      <c r="FQ358" s="1" t="s">
        <v>5000</v>
      </c>
      <c r="FR358" s="1" t="s">
        <v>210</v>
      </c>
      <c r="FS358" s="1" t="s">
        <v>5123</v>
      </c>
      <c r="FT358" s="1" t="s">
        <v>362</v>
      </c>
      <c r="FU358" s="1" t="s">
        <v>204</v>
      </c>
      <c r="FV358" s="1" t="s">
        <v>4464</v>
      </c>
      <c r="FW358" s="1" t="s">
        <v>5124</v>
      </c>
      <c r="FX358" s="1">
        <v>84550</v>
      </c>
      <c r="FY358" s="1" t="s">
        <v>5125</v>
      </c>
      <c r="FZ358" s="1" t="s">
        <v>5126</v>
      </c>
      <c r="GA358" s="1">
        <v>840218</v>
      </c>
      <c r="GB358" s="1" t="s">
        <v>5127</v>
      </c>
      <c r="GD358" s="1" t="s">
        <v>5128</v>
      </c>
      <c r="GE358" s="1" t="s">
        <v>1764</v>
      </c>
      <c r="GI358" s="1" t="s">
        <v>213</v>
      </c>
      <c r="GJ358" s="1" t="s">
        <v>260</v>
      </c>
      <c r="GK358" s="1" t="s">
        <v>210</v>
      </c>
      <c r="GL358" s="2">
        <v>42069</v>
      </c>
      <c r="GM358" s="1" t="s">
        <v>5129</v>
      </c>
    </row>
    <row r="359" spans="1:195">
      <c r="A359" s="1">
        <v>65000</v>
      </c>
      <c r="B359" s="1" t="s">
        <v>195</v>
      </c>
      <c r="C359" s="1" t="str">
        <f>"08774130"</f>
        <v>08774130</v>
      </c>
      <c r="D359" s="1" t="s">
        <v>196</v>
      </c>
      <c r="F359" s="1" t="str">
        <f>"139"</f>
        <v>139</v>
      </c>
      <c r="G359" s="2">
        <v>41955</v>
      </c>
      <c r="H359" s="1">
        <v>79900</v>
      </c>
      <c r="I359" s="1">
        <v>74900</v>
      </c>
      <c r="J359" s="1">
        <v>65000</v>
      </c>
      <c r="K359" s="2">
        <v>41955</v>
      </c>
      <c r="L359" s="1">
        <v>305</v>
      </c>
      <c r="M359" s="2">
        <v>42097</v>
      </c>
      <c r="N359" s="1">
        <v>143</v>
      </c>
      <c r="O359" s="2">
        <v>42097</v>
      </c>
      <c r="P359" s="1">
        <v>23655</v>
      </c>
      <c r="Q359" s="1" t="s">
        <v>302</v>
      </c>
      <c r="R359" s="2">
        <v>42123</v>
      </c>
      <c r="S359" s="1">
        <v>222796</v>
      </c>
      <c r="U359" s="1">
        <v>1892</v>
      </c>
      <c r="V359" s="1" t="s">
        <v>503</v>
      </c>
      <c r="W359" s="1" t="s">
        <v>264</v>
      </c>
      <c r="X359" s="1" t="s">
        <v>4883</v>
      </c>
      <c r="Y359" s="1">
        <v>12</v>
      </c>
      <c r="Z359" s="1" t="s">
        <v>249</v>
      </c>
      <c r="AA359" s="1" t="s">
        <v>1732</v>
      </c>
      <c r="AB359" s="1">
        <v>60139</v>
      </c>
      <c r="AD359" s="1" t="s">
        <v>5130</v>
      </c>
      <c r="AE359" s="1" t="s">
        <v>5131</v>
      </c>
      <c r="AF359" s="1">
        <v>1974</v>
      </c>
      <c r="AG359" s="1" t="s">
        <v>213</v>
      </c>
      <c r="AH359" s="1" t="s">
        <v>1735</v>
      </c>
      <c r="AI359" s="1" t="s">
        <v>206</v>
      </c>
      <c r="AJ359" s="1" t="s">
        <v>269</v>
      </c>
      <c r="AL359" s="1">
        <v>4</v>
      </c>
      <c r="AM359" s="1">
        <v>2</v>
      </c>
      <c r="AN359" s="1">
        <v>1</v>
      </c>
      <c r="AO359" s="1">
        <v>0</v>
      </c>
      <c r="AP359" s="1" t="s">
        <v>210</v>
      </c>
      <c r="AR359" s="1" t="s">
        <v>210</v>
      </c>
      <c r="AS359" s="1" t="s">
        <v>204</v>
      </c>
      <c r="AT359" s="1" t="s">
        <v>271</v>
      </c>
      <c r="AV359" s="1">
        <v>2</v>
      </c>
      <c r="AW359" s="1" t="s">
        <v>204</v>
      </c>
      <c r="AX359" s="1" t="s">
        <v>212</v>
      </c>
      <c r="AZ359" s="1">
        <v>1489</v>
      </c>
      <c r="BA359" s="1">
        <v>2013</v>
      </c>
      <c r="BB359" s="1" t="s">
        <v>405</v>
      </c>
      <c r="BE359" s="1">
        <v>639</v>
      </c>
      <c r="BF359" s="1" t="s">
        <v>4806</v>
      </c>
      <c r="BG359" s="1">
        <v>30</v>
      </c>
      <c r="BL359" s="1">
        <v>212</v>
      </c>
      <c r="BM359" s="1" t="s">
        <v>204</v>
      </c>
      <c r="BN359" s="1" t="s">
        <v>213</v>
      </c>
      <c r="BO359" s="1">
        <v>50</v>
      </c>
      <c r="BP359" s="1" t="s">
        <v>204</v>
      </c>
      <c r="BR359" s="1" t="str">
        <f>"0226108004"</f>
        <v>0226108004</v>
      </c>
      <c r="BT359" s="1" t="s">
        <v>5132</v>
      </c>
      <c r="BU359" s="1" t="s">
        <v>5133</v>
      </c>
      <c r="BV359" s="1" t="s">
        <v>2015</v>
      </c>
      <c r="BW359" s="1" t="s">
        <v>1935</v>
      </c>
      <c r="BX359" s="1">
        <v>15</v>
      </c>
      <c r="BY359" s="1">
        <v>15</v>
      </c>
      <c r="BZ359" s="1">
        <v>87</v>
      </c>
      <c r="CB359" s="1" t="str">
        <f t="shared" ref="CB359:CC359" si="286">""</f>
        <v/>
      </c>
      <c r="CC359" s="1" t="str">
        <f t="shared" si="286"/>
        <v/>
      </c>
      <c r="CG359" s="1" t="s">
        <v>932</v>
      </c>
      <c r="CH359" s="1" t="s">
        <v>219</v>
      </c>
      <c r="CI359" s="1" t="s">
        <v>226</v>
      </c>
      <c r="CJ359" s="1" t="s">
        <v>343</v>
      </c>
      <c r="CK359" s="1" t="s">
        <v>1267</v>
      </c>
      <c r="CL359" s="1" t="s">
        <v>219</v>
      </c>
      <c r="CM359" s="1" t="s">
        <v>226</v>
      </c>
      <c r="CP359" s="1" t="s">
        <v>224</v>
      </c>
      <c r="CS359" s="1" t="s">
        <v>1046</v>
      </c>
      <c r="CT359" s="1" t="s">
        <v>219</v>
      </c>
      <c r="CU359" s="1" t="s">
        <v>226</v>
      </c>
      <c r="CX359" s="1" t="s">
        <v>224</v>
      </c>
      <c r="DB359" s="1" t="s">
        <v>224</v>
      </c>
      <c r="DE359" s="1" t="s">
        <v>758</v>
      </c>
      <c r="DF359" s="1" t="s">
        <v>219</v>
      </c>
      <c r="DG359" s="1" t="s">
        <v>226</v>
      </c>
      <c r="DJ359" s="1" t="s">
        <v>224</v>
      </c>
      <c r="DS359" s="1" t="s">
        <v>230</v>
      </c>
      <c r="DW359" s="1" t="s">
        <v>230</v>
      </c>
      <c r="EA359" s="1" t="s">
        <v>230</v>
      </c>
      <c r="EE359" s="1" t="s">
        <v>230</v>
      </c>
      <c r="EI359" s="1" t="s">
        <v>230</v>
      </c>
      <c r="EL359" s="1" t="s">
        <v>231</v>
      </c>
      <c r="EM359" s="1" t="s">
        <v>319</v>
      </c>
      <c r="EN359" s="1" t="s">
        <v>731</v>
      </c>
      <c r="EO359" s="1" t="s">
        <v>234</v>
      </c>
      <c r="EP359" s="1" t="s">
        <v>543</v>
      </c>
      <c r="EQ359" s="1" t="s">
        <v>3572</v>
      </c>
      <c r="ER359" s="1" t="s">
        <v>210</v>
      </c>
      <c r="ES359" s="1" t="s">
        <v>322</v>
      </c>
      <c r="EU359" s="1" t="s">
        <v>239</v>
      </c>
      <c r="EW359" s="1" t="s">
        <v>4510</v>
      </c>
      <c r="EY359" s="1" t="s">
        <v>790</v>
      </c>
      <c r="EZ359" s="1" t="s">
        <v>287</v>
      </c>
      <c r="FD359" s="1" t="s">
        <v>246</v>
      </c>
      <c r="FE359" s="1" t="s">
        <v>247</v>
      </c>
      <c r="FF359" s="1" t="s">
        <v>248</v>
      </c>
      <c r="FH359" s="1" t="s">
        <v>249</v>
      </c>
      <c r="FK359" s="1" t="s">
        <v>891</v>
      </c>
      <c r="FL359" s="1" t="s">
        <v>292</v>
      </c>
      <c r="FM359" s="1" t="s">
        <v>252</v>
      </c>
      <c r="FN359" s="1" t="s">
        <v>213</v>
      </c>
      <c r="FO359" s="1" t="s">
        <v>204</v>
      </c>
      <c r="FQ359" s="1" t="s">
        <v>793</v>
      </c>
      <c r="FR359" s="1" t="s">
        <v>210</v>
      </c>
      <c r="FS359" s="1" t="s">
        <v>1709</v>
      </c>
      <c r="FT359" s="1" t="s">
        <v>362</v>
      </c>
      <c r="FU359" s="1" t="s">
        <v>204</v>
      </c>
      <c r="FW359" s="1" t="s">
        <v>3546</v>
      </c>
      <c r="FX359" s="1">
        <v>24695</v>
      </c>
      <c r="FY359" s="1" t="s">
        <v>3547</v>
      </c>
      <c r="FZ359" s="1" t="s">
        <v>5134</v>
      </c>
      <c r="GA359" s="1">
        <v>229820</v>
      </c>
      <c r="GB359" s="1" t="s">
        <v>5135</v>
      </c>
      <c r="GE359" s="1" t="s">
        <v>210</v>
      </c>
      <c r="GI359" s="1" t="s">
        <v>213</v>
      </c>
      <c r="GJ359" s="1" t="s">
        <v>260</v>
      </c>
      <c r="GK359" s="1" t="s">
        <v>210</v>
      </c>
      <c r="GL359" s="2">
        <v>42127</v>
      </c>
    </row>
    <row r="360" spans="1:195">
      <c r="A360" s="1">
        <v>84944</v>
      </c>
      <c r="B360" s="1" t="s">
        <v>195</v>
      </c>
      <c r="C360" s="1" t="str">
        <f>"08773625"</f>
        <v>08773625</v>
      </c>
      <c r="D360" s="1" t="s">
        <v>196</v>
      </c>
      <c r="F360" s="1" t="str">
        <f>"107"</f>
        <v>107</v>
      </c>
      <c r="G360" s="2">
        <v>41954</v>
      </c>
      <c r="H360" s="1">
        <v>107060</v>
      </c>
      <c r="I360" s="1">
        <v>87360</v>
      </c>
      <c r="J360" s="1">
        <v>84944</v>
      </c>
      <c r="K360" s="2">
        <v>41954</v>
      </c>
      <c r="L360" s="1">
        <v>77</v>
      </c>
      <c r="M360" s="2">
        <v>42030</v>
      </c>
      <c r="N360" s="1">
        <v>77</v>
      </c>
      <c r="O360" s="2">
        <v>42030</v>
      </c>
      <c r="P360" s="1">
        <v>18148</v>
      </c>
      <c r="Q360" s="1" t="s">
        <v>302</v>
      </c>
      <c r="R360" s="2">
        <v>42059</v>
      </c>
      <c r="S360" s="1">
        <v>103689</v>
      </c>
      <c r="U360" s="1">
        <v>209</v>
      </c>
      <c r="V360" s="1" t="s">
        <v>5136</v>
      </c>
      <c r="W360" s="1" t="s">
        <v>264</v>
      </c>
      <c r="Y360" s="1">
        <v>4</v>
      </c>
      <c r="Z360" s="1" t="s">
        <v>370</v>
      </c>
      <c r="AA360" s="1" t="s">
        <v>1211</v>
      </c>
      <c r="AB360" s="1">
        <v>60107</v>
      </c>
      <c r="AD360" s="1" t="s">
        <v>5137</v>
      </c>
      <c r="AE360" s="1" t="s">
        <v>5138</v>
      </c>
      <c r="AF360" s="1">
        <v>1987</v>
      </c>
      <c r="AG360" s="1" t="s">
        <v>204</v>
      </c>
      <c r="AH360" s="1" t="s">
        <v>1214</v>
      </c>
      <c r="AI360" s="1" t="s">
        <v>310</v>
      </c>
      <c r="AJ360" s="1" t="s">
        <v>374</v>
      </c>
      <c r="AK360" s="1" t="s">
        <v>3188</v>
      </c>
      <c r="AL360" s="1">
        <v>5</v>
      </c>
      <c r="AM360" s="1">
        <v>2</v>
      </c>
      <c r="AN360" s="1">
        <v>1</v>
      </c>
      <c r="AO360" s="1">
        <v>1</v>
      </c>
      <c r="AP360" s="1" t="s">
        <v>210</v>
      </c>
      <c r="AQ360" s="1">
        <v>1</v>
      </c>
      <c r="AR360" s="1" t="s">
        <v>210</v>
      </c>
      <c r="AS360" s="1" t="s">
        <v>204</v>
      </c>
      <c r="AT360" s="1" t="s">
        <v>211</v>
      </c>
      <c r="AU360" s="1">
        <v>1</v>
      </c>
      <c r="AW360" s="1" t="s">
        <v>204</v>
      </c>
      <c r="AX360" s="1">
        <v>2939</v>
      </c>
      <c r="AZ360" s="1">
        <v>4062.52</v>
      </c>
      <c r="BA360" s="1">
        <v>2012</v>
      </c>
      <c r="BB360" s="1" t="s">
        <v>210</v>
      </c>
      <c r="BE360" s="1">
        <v>1133</v>
      </c>
      <c r="BF360" s="1">
        <v>1</v>
      </c>
      <c r="BG360" s="1">
        <v>0</v>
      </c>
      <c r="BL360" s="1">
        <v>188</v>
      </c>
      <c r="BM360" s="1" t="s">
        <v>204</v>
      </c>
      <c r="BN360" s="1" t="s">
        <v>213</v>
      </c>
      <c r="BO360" s="1" t="s">
        <v>230</v>
      </c>
      <c r="BP360" s="1" t="s">
        <v>204</v>
      </c>
      <c r="BR360" s="1" t="str">
        <f>"06244130480000"</f>
        <v>06244130480000</v>
      </c>
      <c r="BT360" s="1" t="s">
        <v>5139</v>
      </c>
      <c r="BX360" s="1">
        <v>46</v>
      </c>
      <c r="BY360" s="1">
        <v>46</v>
      </c>
      <c r="BZ360" s="1">
        <v>46</v>
      </c>
      <c r="CB360" s="1" t="str">
        <f>"27"</f>
        <v>27</v>
      </c>
      <c r="CC360" s="1" t="str">
        <f>"0"</f>
        <v>0</v>
      </c>
      <c r="CD360" s="1">
        <v>10</v>
      </c>
      <c r="CE360" s="1">
        <v>0</v>
      </c>
      <c r="CG360" s="1" t="s">
        <v>538</v>
      </c>
      <c r="CH360" s="1" t="s">
        <v>219</v>
      </c>
      <c r="CK360" s="1" t="s">
        <v>315</v>
      </c>
      <c r="CL360" s="1" t="s">
        <v>277</v>
      </c>
      <c r="CO360" s="1" t="s">
        <v>516</v>
      </c>
      <c r="CP360" s="1" t="s">
        <v>219</v>
      </c>
      <c r="CS360" s="1" t="s">
        <v>1297</v>
      </c>
      <c r="CT360" s="1" t="s">
        <v>277</v>
      </c>
      <c r="CX360" s="1" t="s">
        <v>224</v>
      </c>
      <c r="DB360" s="1" t="s">
        <v>224</v>
      </c>
      <c r="DE360" s="1" t="s">
        <v>316</v>
      </c>
      <c r="DF360" s="1" t="s">
        <v>219</v>
      </c>
      <c r="DJ360" s="1" t="s">
        <v>224</v>
      </c>
      <c r="DS360" s="1" t="s">
        <v>230</v>
      </c>
      <c r="DW360" s="1" t="s">
        <v>230</v>
      </c>
      <c r="EA360" s="1" t="s">
        <v>230</v>
      </c>
      <c r="EE360" s="1" t="s">
        <v>230</v>
      </c>
      <c r="EI360" s="1" t="s">
        <v>230</v>
      </c>
      <c r="EL360" s="1" t="s">
        <v>542</v>
      </c>
      <c r="EM360" s="1" t="s">
        <v>232</v>
      </c>
      <c r="EN360" s="1" t="s">
        <v>282</v>
      </c>
      <c r="EO360" s="1" t="s">
        <v>234</v>
      </c>
      <c r="ER360" s="1" t="s">
        <v>383</v>
      </c>
      <c r="ES360" s="1" t="s">
        <v>824</v>
      </c>
      <c r="EW360" s="1" t="s">
        <v>3255</v>
      </c>
      <c r="EZ360" s="1" t="s">
        <v>287</v>
      </c>
      <c r="FD360" s="1" t="s">
        <v>246</v>
      </c>
      <c r="FE360" s="1" t="s">
        <v>355</v>
      </c>
      <c r="FF360" s="1" t="s">
        <v>387</v>
      </c>
      <c r="FH360" s="1" t="s">
        <v>550</v>
      </c>
      <c r="FL360" s="1" t="s">
        <v>358</v>
      </c>
      <c r="FM360" s="1" t="s">
        <v>252</v>
      </c>
      <c r="FN360" s="1" t="s">
        <v>213</v>
      </c>
      <c r="FO360" s="1" t="s">
        <v>213</v>
      </c>
      <c r="FQ360" s="1" t="s">
        <v>849</v>
      </c>
      <c r="FR360" s="1" t="s">
        <v>210</v>
      </c>
      <c r="FS360" s="1" t="s">
        <v>2106</v>
      </c>
      <c r="FT360" s="1" t="s">
        <v>3773</v>
      </c>
      <c r="FU360" s="1" t="s">
        <v>204</v>
      </c>
      <c r="FW360" s="1" t="s">
        <v>2108</v>
      </c>
      <c r="FX360" s="1">
        <v>5085</v>
      </c>
      <c r="FY360" s="1" t="s">
        <v>2109</v>
      </c>
      <c r="FZ360" s="1" t="s">
        <v>3142</v>
      </c>
      <c r="GA360" s="1">
        <v>55547</v>
      </c>
      <c r="GE360" s="1" t="s">
        <v>480</v>
      </c>
      <c r="GI360" s="1" t="s">
        <v>204</v>
      </c>
      <c r="GJ360" s="1" t="s">
        <v>260</v>
      </c>
      <c r="GK360" s="1" t="s">
        <v>210</v>
      </c>
      <c r="GL360" s="2">
        <v>42060</v>
      </c>
      <c r="GM360" s="1" t="s">
        <v>5140</v>
      </c>
    </row>
    <row r="361" spans="1:195">
      <c r="A361" s="1">
        <v>33000</v>
      </c>
      <c r="B361" s="1" t="s">
        <v>195</v>
      </c>
      <c r="C361" s="1" t="str">
        <f>"08774387"</f>
        <v>08774387</v>
      </c>
      <c r="D361" s="1" t="s">
        <v>196</v>
      </c>
      <c r="F361" s="1" t="str">
        <f>"188"</f>
        <v>188</v>
      </c>
      <c r="G361" s="2">
        <v>41955</v>
      </c>
      <c r="H361" s="1">
        <v>46900</v>
      </c>
      <c r="I361" s="1">
        <v>35500</v>
      </c>
      <c r="J361" s="1">
        <v>33000</v>
      </c>
      <c r="K361" s="2">
        <v>41955</v>
      </c>
      <c r="L361" s="1">
        <v>62</v>
      </c>
      <c r="M361" s="2">
        <v>42016</v>
      </c>
      <c r="N361" s="1">
        <v>62</v>
      </c>
      <c r="O361" s="2">
        <v>42016</v>
      </c>
      <c r="P361" s="1">
        <v>25113</v>
      </c>
      <c r="Q361" s="1" t="s">
        <v>302</v>
      </c>
      <c r="R361" s="2">
        <v>42048</v>
      </c>
      <c r="S361" s="1">
        <v>243083</v>
      </c>
      <c r="U361" s="1">
        <v>155</v>
      </c>
      <c r="V361" s="1" t="s">
        <v>5141</v>
      </c>
      <c r="W361" s="1" t="s">
        <v>526</v>
      </c>
      <c r="X361" s="1">
        <v>152</v>
      </c>
      <c r="Y361" s="1">
        <v>12</v>
      </c>
      <c r="Z361" s="1" t="s">
        <v>249</v>
      </c>
      <c r="AA361" s="1" t="s">
        <v>1084</v>
      </c>
      <c r="AB361" s="1">
        <v>60188</v>
      </c>
      <c r="AE361" s="1" t="s">
        <v>5142</v>
      </c>
      <c r="AF361" s="1">
        <v>1980</v>
      </c>
      <c r="AG361" s="1" t="s">
        <v>204</v>
      </c>
      <c r="AH361" s="1" t="s">
        <v>1087</v>
      </c>
      <c r="AI361" s="1" t="s">
        <v>206</v>
      </c>
      <c r="AJ361" s="1" t="s">
        <v>269</v>
      </c>
      <c r="AL361" s="1">
        <v>5</v>
      </c>
      <c r="AM361" s="1">
        <v>2</v>
      </c>
      <c r="AN361" s="1">
        <v>1</v>
      </c>
      <c r="AO361" s="1">
        <v>1</v>
      </c>
      <c r="AP361" s="1" t="s">
        <v>1234</v>
      </c>
      <c r="AR361" s="1" t="s">
        <v>210</v>
      </c>
      <c r="AS361" s="1" t="s">
        <v>204</v>
      </c>
      <c r="AT361" s="1" t="s">
        <v>271</v>
      </c>
      <c r="AV361" s="1">
        <v>2</v>
      </c>
      <c r="AW361" s="1" t="s">
        <v>204</v>
      </c>
      <c r="AX361" s="1" t="s">
        <v>212</v>
      </c>
      <c r="AZ361" s="1">
        <v>1323</v>
      </c>
      <c r="BA361" s="1">
        <v>2013</v>
      </c>
      <c r="BE361" s="1">
        <v>981</v>
      </c>
      <c r="BF361" s="1">
        <v>1</v>
      </c>
      <c r="BG361" s="1">
        <v>10</v>
      </c>
      <c r="BL361" s="1">
        <v>352</v>
      </c>
      <c r="BM361" s="1" t="s">
        <v>204</v>
      </c>
      <c r="BN361" s="1" t="s">
        <v>213</v>
      </c>
      <c r="BP361" s="1" t="s">
        <v>204</v>
      </c>
      <c r="BR361" s="1" t="str">
        <f>"0229111161"</f>
        <v>0229111161</v>
      </c>
      <c r="BT361" s="1" t="s">
        <v>5143</v>
      </c>
      <c r="BX361" s="1">
        <v>93</v>
      </c>
      <c r="BY361" s="1">
        <v>93</v>
      </c>
      <c r="BZ361" s="1">
        <v>87</v>
      </c>
      <c r="CB361" s="1" t="str">
        <f t="shared" ref="CB361:CC361" si="287">""</f>
        <v/>
      </c>
      <c r="CC361" s="1" t="str">
        <f t="shared" si="287"/>
        <v/>
      </c>
      <c r="CG361" s="1" t="s">
        <v>1402</v>
      </c>
      <c r="CH361" s="1" t="s">
        <v>219</v>
      </c>
      <c r="CK361" s="1" t="s">
        <v>378</v>
      </c>
      <c r="CL361" s="1" t="s">
        <v>219</v>
      </c>
      <c r="CO361" s="1" t="s">
        <v>348</v>
      </c>
      <c r="CP361" s="1" t="s">
        <v>219</v>
      </c>
      <c r="CS361" s="1" t="s">
        <v>379</v>
      </c>
      <c r="CT361" s="1" t="s">
        <v>219</v>
      </c>
      <c r="CX361" s="1" t="s">
        <v>224</v>
      </c>
      <c r="DB361" s="1" t="s">
        <v>224</v>
      </c>
      <c r="DE361" s="1" t="s">
        <v>4214</v>
      </c>
      <c r="DF361" s="1" t="s">
        <v>219</v>
      </c>
      <c r="DJ361" s="1" t="s">
        <v>224</v>
      </c>
      <c r="DS361" s="1" t="s">
        <v>230</v>
      </c>
      <c r="DW361" s="1" t="s">
        <v>230</v>
      </c>
      <c r="EA361" s="1" t="s">
        <v>230</v>
      </c>
      <c r="EE361" s="1" t="s">
        <v>230</v>
      </c>
      <c r="EI361" s="1" t="s">
        <v>230</v>
      </c>
      <c r="EL361" s="1" t="s">
        <v>231</v>
      </c>
      <c r="EM361" s="1" t="s">
        <v>319</v>
      </c>
      <c r="EN361" s="1" t="s">
        <v>1158</v>
      </c>
      <c r="EO361" s="1" t="s">
        <v>234</v>
      </c>
      <c r="ER361" s="1" t="s">
        <v>210</v>
      </c>
      <c r="EW361" s="1" t="s">
        <v>5144</v>
      </c>
      <c r="EZ361" s="1" t="s">
        <v>287</v>
      </c>
      <c r="FB361" s="1" t="s">
        <v>289</v>
      </c>
      <c r="FD361" s="1" t="s">
        <v>736</v>
      </c>
      <c r="FE361" s="1" t="s">
        <v>247</v>
      </c>
      <c r="FF361" s="1" t="s">
        <v>248</v>
      </c>
      <c r="FH361" s="1" t="s">
        <v>249</v>
      </c>
      <c r="FL361" s="1" t="s">
        <v>2370</v>
      </c>
      <c r="FM361" s="1" t="s">
        <v>252</v>
      </c>
      <c r="FN361" s="1" t="s">
        <v>213</v>
      </c>
      <c r="FO361" s="1" t="s">
        <v>213</v>
      </c>
      <c r="FQ361" s="1" t="s">
        <v>582</v>
      </c>
      <c r="FR361" s="1" t="s">
        <v>210</v>
      </c>
      <c r="FS361" s="1" t="s">
        <v>5145</v>
      </c>
      <c r="FT361" s="1" t="s">
        <v>362</v>
      </c>
      <c r="FU361" s="1" t="s">
        <v>204</v>
      </c>
      <c r="FW361" s="1" t="s">
        <v>1050</v>
      </c>
      <c r="FX361" s="1">
        <v>23025</v>
      </c>
      <c r="FY361" s="1" t="s">
        <v>1051</v>
      </c>
      <c r="FZ361" s="1" t="s">
        <v>1052</v>
      </c>
      <c r="GA361" s="1">
        <v>233762</v>
      </c>
      <c r="GB361" s="1" t="s">
        <v>1053</v>
      </c>
      <c r="GE361" s="1" t="s">
        <v>210</v>
      </c>
      <c r="GI361" s="1" t="s">
        <v>213</v>
      </c>
      <c r="GJ361" s="1" t="s">
        <v>260</v>
      </c>
      <c r="GK361" s="1" t="s">
        <v>210</v>
      </c>
      <c r="GL361" s="2">
        <v>42049</v>
      </c>
      <c r="GM361" s="1" t="s">
        <v>5146</v>
      </c>
    </row>
    <row r="362" spans="1:195">
      <c r="A362" s="1">
        <v>50000</v>
      </c>
      <c r="B362" s="1" t="s">
        <v>195</v>
      </c>
      <c r="C362" s="1" t="str">
        <f>"08789314"</f>
        <v>08789314</v>
      </c>
      <c r="D362" s="1" t="s">
        <v>196</v>
      </c>
      <c r="F362" s="1" t="str">
        <f>"517"</f>
        <v>517</v>
      </c>
      <c r="G362" s="2">
        <v>41962</v>
      </c>
      <c r="H362" s="1">
        <v>64900</v>
      </c>
      <c r="I362" s="1">
        <v>54900</v>
      </c>
      <c r="J362" s="1">
        <v>50000</v>
      </c>
      <c r="K362" s="2">
        <v>41962</v>
      </c>
      <c r="L362" s="1">
        <v>99</v>
      </c>
      <c r="M362" s="2">
        <v>42060</v>
      </c>
      <c r="N362" s="1">
        <v>99</v>
      </c>
      <c r="O362" s="2">
        <v>42060</v>
      </c>
      <c r="P362" s="1">
        <v>84624</v>
      </c>
      <c r="Q362" s="1" t="s">
        <v>302</v>
      </c>
      <c r="R362" s="2">
        <v>42080</v>
      </c>
      <c r="S362" s="1">
        <v>145453</v>
      </c>
      <c r="U362" s="1">
        <v>8315</v>
      </c>
      <c r="V362" s="1" t="s">
        <v>5147</v>
      </c>
      <c r="X362" s="1" t="s">
        <v>5148</v>
      </c>
      <c r="Y362" s="1">
        <v>20</v>
      </c>
      <c r="Z362" s="1" t="s">
        <v>249</v>
      </c>
      <c r="AA362" s="1" t="s">
        <v>2850</v>
      </c>
      <c r="AB362" s="1">
        <v>60517</v>
      </c>
      <c r="AD362" s="1" t="s">
        <v>5149</v>
      </c>
      <c r="AE362" s="1" t="s">
        <v>5150</v>
      </c>
      <c r="AF362" s="1">
        <v>1979</v>
      </c>
      <c r="AG362" s="1" t="s">
        <v>204</v>
      </c>
      <c r="AH362" s="1" t="s">
        <v>2853</v>
      </c>
      <c r="AI362" s="1" t="s">
        <v>206</v>
      </c>
      <c r="AJ362" s="1" t="s">
        <v>925</v>
      </c>
      <c r="AL362" s="1">
        <v>5</v>
      </c>
      <c r="AM362" s="1">
        <v>2</v>
      </c>
      <c r="AN362" s="1">
        <v>1</v>
      </c>
      <c r="AO362" s="1">
        <v>1</v>
      </c>
      <c r="AP362" s="1" t="s">
        <v>1234</v>
      </c>
      <c r="AR362" s="1" t="s">
        <v>210</v>
      </c>
      <c r="AS362" s="1" t="s">
        <v>204</v>
      </c>
      <c r="AT362" s="1" t="s">
        <v>271</v>
      </c>
      <c r="AV362" s="1">
        <v>2</v>
      </c>
      <c r="AW362" s="1" t="s">
        <v>204</v>
      </c>
      <c r="AX362" s="1" t="s">
        <v>212</v>
      </c>
      <c r="AZ362" s="1">
        <v>1493</v>
      </c>
      <c r="BA362" s="1">
        <v>2013</v>
      </c>
      <c r="BE362" s="1">
        <v>1032</v>
      </c>
      <c r="BF362" s="1">
        <v>2</v>
      </c>
      <c r="BG362" s="1">
        <v>30</v>
      </c>
      <c r="BL362" s="1">
        <v>326</v>
      </c>
      <c r="BM362" s="1" t="s">
        <v>204</v>
      </c>
      <c r="BN362" s="1" t="s">
        <v>213</v>
      </c>
      <c r="BO362" s="1">
        <v>40</v>
      </c>
      <c r="BP362" s="1" t="s">
        <v>204</v>
      </c>
      <c r="BR362" s="1" t="str">
        <f>"0835304036"</f>
        <v>0835304036</v>
      </c>
      <c r="BT362" s="1" t="s">
        <v>5151</v>
      </c>
      <c r="BX362" s="1">
        <v>68</v>
      </c>
      <c r="BY362" s="1">
        <v>68</v>
      </c>
      <c r="BZ362" s="1">
        <v>99</v>
      </c>
      <c r="CB362" s="1" t="str">
        <f t="shared" ref="CB362:CC362" si="288">""</f>
        <v/>
      </c>
      <c r="CC362" s="1" t="str">
        <f t="shared" si="288"/>
        <v/>
      </c>
      <c r="CG362" s="1" t="s">
        <v>908</v>
      </c>
      <c r="CH362" s="1" t="s">
        <v>277</v>
      </c>
      <c r="CK362" s="1" t="s">
        <v>278</v>
      </c>
      <c r="CL362" s="1" t="s">
        <v>277</v>
      </c>
      <c r="CO362" s="1" t="s">
        <v>409</v>
      </c>
      <c r="CP362" s="1" t="s">
        <v>277</v>
      </c>
      <c r="CS362" s="1" t="s">
        <v>379</v>
      </c>
      <c r="CT362" s="1" t="s">
        <v>277</v>
      </c>
      <c r="CX362" s="1" t="s">
        <v>224</v>
      </c>
      <c r="DB362" s="1" t="s">
        <v>224</v>
      </c>
      <c r="DE362" s="1" t="s">
        <v>837</v>
      </c>
      <c r="DF362" s="1" t="s">
        <v>277</v>
      </c>
      <c r="DJ362" s="1" t="s">
        <v>224</v>
      </c>
      <c r="DS362" s="1" t="s">
        <v>230</v>
      </c>
      <c r="DW362" s="1" t="s">
        <v>230</v>
      </c>
      <c r="EA362" s="1" t="s">
        <v>230</v>
      </c>
      <c r="EE362" s="1" t="s">
        <v>230</v>
      </c>
      <c r="EI362" s="1" t="s">
        <v>230</v>
      </c>
      <c r="EL362" s="1" t="s">
        <v>231</v>
      </c>
      <c r="EM362" s="1" t="s">
        <v>232</v>
      </c>
      <c r="EN362" s="1" t="s">
        <v>1158</v>
      </c>
      <c r="EO362" s="1" t="s">
        <v>234</v>
      </c>
      <c r="ER362" s="1" t="s">
        <v>210</v>
      </c>
      <c r="ES362" s="1" t="s">
        <v>3719</v>
      </c>
      <c r="EV362" s="1" t="s">
        <v>352</v>
      </c>
      <c r="EW362" s="1" t="s">
        <v>5152</v>
      </c>
      <c r="EZ362" s="1" t="s">
        <v>287</v>
      </c>
      <c r="FD362" s="1" t="s">
        <v>290</v>
      </c>
      <c r="FE362" s="1" t="s">
        <v>247</v>
      </c>
      <c r="FF362" s="1" t="s">
        <v>248</v>
      </c>
      <c r="FH362" s="1" t="s">
        <v>249</v>
      </c>
      <c r="FJ362" s="1" t="s">
        <v>2046</v>
      </c>
      <c r="FL362" s="1" t="s">
        <v>328</v>
      </c>
      <c r="FM362" s="1" t="s">
        <v>252</v>
      </c>
      <c r="FN362" s="1" t="s">
        <v>213</v>
      </c>
      <c r="FO362" s="1" t="s">
        <v>213</v>
      </c>
      <c r="FQ362" s="1" t="s">
        <v>689</v>
      </c>
      <c r="FR362" s="1" t="s">
        <v>210</v>
      </c>
      <c r="FS362" s="1" t="s">
        <v>5153</v>
      </c>
      <c r="FT362" s="1" t="s">
        <v>362</v>
      </c>
      <c r="FU362" s="1" t="s">
        <v>204</v>
      </c>
      <c r="FW362" s="1" t="s">
        <v>1475</v>
      </c>
      <c r="FX362" s="1">
        <v>23265</v>
      </c>
      <c r="FY362" s="1" t="s">
        <v>1476</v>
      </c>
      <c r="FZ362" s="1" t="s">
        <v>4239</v>
      </c>
      <c r="GA362" s="1">
        <v>232733</v>
      </c>
      <c r="GB362" s="1" t="s">
        <v>4240</v>
      </c>
      <c r="GD362" s="1" t="s">
        <v>4241</v>
      </c>
      <c r="GE362" s="1" t="s">
        <v>1145</v>
      </c>
      <c r="GI362" s="1" t="s">
        <v>204</v>
      </c>
      <c r="GJ362" s="1" t="s">
        <v>260</v>
      </c>
      <c r="GK362" s="1" t="s">
        <v>210</v>
      </c>
      <c r="GL362" s="2">
        <v>42080</v>
      </c>
      <c r="GM362" s="1" t="s">
        <v>5154</v>
      </c>
    </row>
    <row r="363" spans="1:195">
      <c r="A363" s="1">
        <v>20200</v>
      </c>
      <c r="B363" s="1" t="s">
        <v>195</v>
      </c>
      <c r="C363" s="1" t="str">
        <f>"08773922"</f>
        <v>08773922</v>
      </c>
      <c r="D363" s="1" t="s">
        <v>196</v>
      </c>
      <c r="F363" s="1" t="str">
        <f>"8043"</f>
        <v>8043</v>
      </c>
      <c r="G363" s="2">
        <v>41955</v>
      </c>
      <c r="H363" s="1">
        <v>25000</v>
      </c>
      <c r="I363" s="1">
        <v>25000</v>
      </c>
      <c r="J363" s="1">
        <v>20200</v>
      </c>
      <c r="K363" s="2">
        <v>41955</v>
      </c>
      <c r="L363" s="1">
        <v>29</v>
      </c>
      <c r="M363" s="2">
        <v>41983</v>
      </c>
      <c r="N363" s="1">
        <v>29</v>
      </c>
      <c r="O363" s="2">
        <v>41983</v>
      </c>
      <c r="P363" s="1">
        <v>23576</v>
      </c>
      <c r="Q363" s="1" t="s">
        <v>302</v>
      </c>
      <c r="R363" s="2">
        <v>42004</v>
      </c>
      <c r="S363" s="1">
        <v>503036</v>
      </c>
      <c r="U363" s="1">
        <v>7011</v>
      </c>
      <c r="V363" s="1" t="s">
        <v>5155</v>
      </c>
      <c r="W363" s="1" t="s">
        <v>425</v>
      </c>
      <c r="X363" s="1" t="s">
        <v>800</v>
      </c>
      <c r="Y363" s="1">
        <v>10</v>
      </c>
      <c r="Z363" s="1" t="s">
        <v>200</v>
      </c>
      <c r="AA363" s="1" t="s">
        <v>400</v>
      </c>
      <c r="AB363" s="1">
        <v>60649</v>
      </c>
      <c r="AE363" s="1" t="s">
        <v>5156</v>
      </c>
      <c r="AF363" s="1" t="s">
        <v>402</v>
      </c>
      <c r="AG363" s="1" t="s">
        <v>213</v>
      </c>
      <c r="AH363" s="1" t="s">
        <v>403</v>
      </c>
      <c r="AI363" s="1" t="s">
        <v>310</v>
      </c>
      <c r="AJ363" s="1" t="s">
        <v>562</v>
      </c>
      <c r="AL363" s="1">
        <v>5</v>
      </c>
      <c r="AM363" s="1">
        <v>2</v>
      </c>
      <c r="AN363" s="1">
        <v>1</v>
      </c>
      <c r="AO363" s="1">
        <v>1</v>
      </c>
      <c r="AP363" s="1" t="s">
        <v>210</v>
      </c>
      <c r="AR363" s="1" t="s">
        <v>209</v>
      </c>
      <c r="AS363" s="1" t="s">
        <v>204</v>
      </c>
      <c r="AT363" s="1" t="s">
        <v>210</v>
      </c>
      <c r="AW363" s="1" t="s">
        <v>204</v>
      </c>
      <c r="AX363" s="1" t="s">
        <v>5157</v>
      </c>
      <c r="AZ363" s="1">
        <v>1259</v>
      </c>
      <c r="BA363" s="1">
        <v>2013</v>
      </c>
      <c r="BE363" s="1">
        <v>1100</v>
      </c>
      <c r="BF363" s="1">
        <v>1</v>
      </c>
      <c r="BG363" s="1">
        <v>0</v>
      </c>
      <c r="BL363" s="1">
        <v>0</v>
      </c>
      <c r="BM363" s="1" t="s">
        <v>204</v>
      </c>
      <c r="BN363" s="1" t="s">
        <v>213</v>
      </c>
      <c r="BO363" s="1" t="s">
        <v>432</v>
      </c>
      <c r="BP363" s="1" t="s">
        <v>204</v>
      </c>
      <c r="BR363" s="1" t="str">
        <f>"20243250500000"</f>
        <v>20243250500000</v>
      </c>
      <c r="BT363" s="1" t="s">
        <v>5158</v>
      </c>
      <c r="BX363" s="1">
        <v>299</v>
      </c>
      <c r="BY363" s="1">
        <v>299</v>
      </c>
      <c r="BZ363" s="1">
        <v>299</v>
      </c>
      <c r="CB363" s="1" t="str">
        <f>"0"</f>
        <v>0</v>
      </c>
      <c r="CC363" s="1" t="str">
        <f>"1700"</f>
        <v>1700</v>
      </c>
      <c r="CD363" s="1">
        <v>0</v>
      </c>
      <c r="CE363" s="1">
        <v>7011</v>
      </c>
      <c r="CG363" s="1" t="s">
        <v>2934</v>
      </c>
      <c r="CH363" s="1" t="s">
        <v>219</v>
      </c>
      <c r="CI363" s="1" t="s">
        <v>229</v>
      </c>
      <c r="CK363" s="1" t="s">
        <v>462</v>
      </c>
      <c r="CL363" s="1" t="s">
        <v>277</v>
      </c>
      <c r="CM363" s="1" t="s">
        <v>229</v>
      </c>
      <c r="CP363" s="1" t="s">
        <v>224</v>
      </c>
      <c r="CS363" s="1" t="s">
        <v>317</v>
      </c>
      <c r="CT363" s="1" t="s">
        <v>277</v>
      </c>
      <c r="CU363" s="1" t="s">
        <v>229</v>
      </c>
      <c r="CX363" s="1" t="s">
        <v>224</v>
      </c>
      <c r="DB363" s="1" t="s">
        <v>224</v>
      </c>
      <c r="DE363" s="1" t="s">
        <v>317</v>
      </c>
      <c r="DF363" s="1" t="s">
        <v>219</v>
      </c>
      <c r="DG363" s="1" t="s">
        <v>229</v>
      </c>
      <c r="DI363" s="1" t="s">
        <v>2121</v>
      </c>
      <c r="DJ363" s="1" t="s">
        <v>43</v>
      </c>
      <c r="DS363" s="1" t="s">
        <v>230</v>
      </c>
      <c r="DW363" s="1" t="s">
        <v>230</v>
      </c>
      <c r="EA363" s="1" t="s">
        <v>230</v>
      </c>
      <c r="EE363" s="1" t="s">
        <v>230</v>
      </c>
      <c r="EI363" s="1" t="s">
        <v>230</v>
      </c>
      <c r="EL363" s="1" t="s">
        <v>413</v>
      </c>
      <c r="EM363" s="1" t="s">
        <v>232</v>
      </c>
      <c r="EN363" s="1" t="s">
        <v>210</v>
      </c>
      <c r="EO363" s="1" t="s">
        <v>234</v>
      </c>
      <c r="ER363" s="1" t="s">
        <v>544</v>
      </c>
      <c r="EW363" s="1" t="s">
        <v>210</v>
      </c>
      <c r="EZ363" s="1" t="s">
        <v>287</v>
      </c>
      <c r="FD363" s="1" t="s">
        <v>246</v>
      </c>
      <c r="FE363" s="1" t="s">
        <v>247</v>
      </c>
      <c r="FF363" s="1" t="s">
        <v>248</v>
      </c>
      <c r="FH363" s="1" t="s">
        <v>550</v>
      </c>
      <c r="FL363" s="1" t="s">
        <v>328</v>
      </c>
      <c r="FM363" s="1" t="s">
        <v>252</v>
      </c>
      <c r="FN363" s="1" t="s">
        <v>213</v>
      </c>
      <c r="FO363" s="1" t="s">
        <v>213</v>
      </c>
      <c r="FQ363" s="1" t="s">
        <v>5159</v>
      </c>
      <c r="FR363" s="1" t="s">
        <v>210</v>
      </c>
      <c r="FS363" s="1" t="s">
        <v>5160</v>
      </c>
      <c r="FT363" s="1" t="s">
        <v>1139</v>
      </c>
      <c r="FU363" s="1" t="s">
        <v>204</v>
      </c>
      <c r="FW363" s="1" t="s">
        <v>5161</v>
      </c>
      <c r="FX363" s="1">
        <v>23576</v>
      </c>
      <c r="FY363" s="1" t="s">
        <v>5162</v>
      </c>
      <c r="FZ363" s="1" t="s">
        <v>5163</v>
      </c>
      <c r="GA363" s="1">
        <v>503036</v>
      </c>
      <c r="GB363" s="1" t="s">
        <v>5162</v>
      </c>
      <c r="GE363" s="1" t="s">
        <v>2504</v>
      </c>
      <c r="GH363" s="1" t="s">
        <v>421</v>
      </c>
      <c r="GI363" s="1" t="s">
        <v>213</v>
      </c>
      <c r="GJ363" s="1" t="s">
        <v>260</v>
      </c>
      <c r="GK363" s="1" t="s">
        <v>210</v>
      </c>
      <c r="GL363" s="2">
        <v>42005</v>
      </c>
    </row>
    <row r="364" spans="1:195">
      <c r="A364" s="1">
        <v>256990</v>
      </c>
      <c r="B364" s="1" t="s">
        <v>195</v>
      </c>
      <c r="C364" s="1" t="str">
        <f>"08791498"</f>
        <v>08791498</v>
      </c>
      <c r="D364" s="1" t="s">
        <v>196</v>
      </c>
      <c r="F364" s="1" t="str">
        <f>"540"</f>
        <v>540</v>
      </c>
      <c r="G364" s="2">
        <v>41966</v>
      </c>
      <c r="H364" s="1">
        <v>256990</v>
      </c>
      <c r="I364" s="1">
        <v>256990</v>
      </c>
      <c r="J364" s="1">
        <v>256990</v>
      </c>
      <c r="K364" s="2">
        <v>41966</v>
      </c>
      <c r="L364" s="1">
        <v>124</v>
      </c>
      <c r="M364" s="2">
        <v>42089</v>
      </c>
      <c r="N364" s="1">
        <v>124</v>
      </c>
      <c r="O364" s="2">
        <v>42089</v>
      </c>
      <c r="P364" s="1">
        <v>23076</v>
      </c>
      <c r="Q364" s="1" t="s">
        <v>302</v>
      </c>
      <c r="R364" s="2">
        <v>42124</v>
      </c>
      <c r="S364" s="1">
        <v>232964</v>
      </c>
      <c r="U364" s="1">
        <v>2655</v>
      </c>
      <c r="V364" s="1" t="s">
        <v>3248</v>
      </c>
      <c r="W364" s="1" t="s">
        <v>449</v>
      </c>
      <c r="Y364" s="1">
        <v>6</v>
      </c>
      <c r="Z364" s="1" t="s">
        <v>370</v>
      </c>
      <c r="AA364" s="1" t="s">
        <v>921</v>
      </c>
      <c r="AB364" s="1">
        <v>60564</v>
      </c>
      <c r="AD364" s="1" t="s">
        <v>3249</v>
      </c>
      <c r="AE364" s="1" t="s">
        <v>3250</v>
      </c>
      <c r="AF364" s="1">
        <v>2014</v>
      </c>
      <c r="AG364" s="1" t="s">
        <v>204</v>
      </c>
      <c r="AH364" s="1" t="s">
        <v>924</v>
      </c>
      <c r="AI364" s="1" t="s">
        <v>1800</v>
      </c>
      <c r="AJ364" s="1" t="s">
        <v>1801</v>
      </c>
      <c r="AK364" s="1" t="s">
        <v>3251</v>
      </c>
      <c r="AL364" s="1">
        <v>6</v>
      </c>
      <c r="AM364" s="1">
        <v>2</v>
      </c>
      <c r="AN364" s="1">
        <v>2</v>
      </c>
      <c r="AO364" s="1">
        <v>0</v>
      </c>
      <c r="AP364" s="1" t="s">
        <v>209</v>
      </c>
      <c r="AR364" s="1" t="s">
        <v>210</v>
      </c>
      <c r="AS364" s="1" t="s">
        <v>204</v>
      </c>
      <c r="AT364" s="1" t="s">
        <v>211</v>
      </c>
      <c r="AU364" s="1">
        <v>2</v>
      </c>
      <c r="AW364" s="1" t="s">
        <v>204</v>
      </c>
      <c r="AX364" s="1" t="s">
        <v>3252</v>
      </c>
      <c r="AZ364" s="1" t="s">
        <v>751</v>
      </c>
      <c r="BA364" s="1">
        <v>2012</v>
      </c>
      <c r="BE364" s="1">
        <v>1447</v>
      </c>
      <c r="BF364" s="1">
        <v>1</v>
      </c>
      <c r="BG364" s="1">
        <v>0</v>
      </c>
      <c r="BL364" s="1">
        <v>244</v>
      </c>
      <c r="BM364" s="1" t="s">
        <v>204</v>
      </c>
      <c r="BN364" s="1" t="s">
        <v>213</v>
      </c>
      <c r="BO364" s="1">
        <v>999</v>
      </c>
      <c r="BP364" s="1" t="s">
        <v>213</v>
      </c>
      <c r="BQ364" s="2">
        <v>42095</v>
      </c>
      <c r="BR364" s="1" t="str">
        <f>"01054100060000"</f>
        <v>01054100060000</v>
      </c>
      <c r="BT364" s="1" t="s">
        <v>5164</v>
      </c>
      <c r="BX364" s="1">
        <v>204</v>
      </c>
      <c r="BY364" s="1">
        <v>204</v>
      </c>
      <c r="BZ364" s="1">
        <v>204</v>
      </c>
      <c r="CB364" s="1" t="str">
        <f t="shared" ref="CB364:CC364" si="289">""</f>
        <v/>
      </c>
      <c r="CC364" s="1" t="str">
        <f t="shared" si="289"/>
        <v/>
      </c>
      <c r="CG364" s="1" t="s">
        <v>315</v>
      </c>
      <c r="CH364" s="1" t="s">
        <v>219</v>
      </c>
      <c r="CK364" s="1" t="s">
        <v>757</v>
      </c>
      <c r="CL364" s="1" t="s">
        <v>219</v>
      </c>
      <c r="CO364" s="1" t="s">
        <v>836</v>
      </c>
      <c r="CP364" s="1" t="s">
        <v>219</v>
      </c>
      <c r="CS364" s="1" t="s">
        <v>318</v>
      </c>
      <c r="CT364" s="1" t="s">
        <v>219</v>
      </c>
      <c r="CX364" s="1" t="s">
        <v>224</v>
      </c>
      <c r="DB364" s="1" t="s">
        <v>224</v>
      </c>
      <c r="DE364" s="1" t="s">
        <v>539</v>
      </c>
      <c r="DF364" s="1" t="s">
        <v>219</v>
      </c>
      <c r="DJ364" s="1" t="s">
        <v>224</v>
      </c>
      <c r="DM364" s="1" t="s">
        <v>1789</v>
      </c>
      <c r="DR364" s="1" t="s">
        <v>4098</v>
      </c>
      <c r="DS364" s="1" t="s">
        <v>219</v>
      </c>
      <c r="DW364" s="1" t="s">
        <v>230</v>
      </c>
      <c r="EA364" s="1" t="s">
        <v>230</v>
      </c>
      <c r="EE364" s="1" t="s">
        <v>230</v>
      </c>
      <c r="EI364" s="1" t="s">
        <v>230</v>
      </c>
      <c r="EL364" s="1" t="s">
        <v>760</v>
      </c>
      <c r="EM364" s="1" t="s">
        <v>730</v>
      </c>
      <c r="EN364" s="1" t="s">
        <v>282</v>
      </c>
      <c r="EO364" s="1" t="s">
        <v>840</v>
      </c>
      <c r="EP364" s="1" t="s">
        <v>3254</v>
      </c>
      <c r="ER364" s="1" t="s">
        <v>210</v>
      </c>
      <c r="EU364" s="1" t="s">
        <v>2548</v>
      </c>
      <c r="EW364" s="1" t="s">
        <v>3255</v>
      </c>
      <c r="EZ364" s="1" t="s">
        <v>1789</v>
      </c>
      <c r="FD364" s="1" t="s">
        <v>246</v>
      </c>
      <c r="FE364" s="1" t="s">
        <v>975</v>
      </c>
      <c r="FF364" s="1" t="s">
        <v>248</v>
      </c>
      <c r="FH364" s="1" t="s">
        <v>825</v>
      </c>
      <c r="FL364" s="1" t="s">
        <v>358</v>
      </c>
      <c r="FM364" s="1" t="s">
        <v>252</v>
      </c>
      <c r="FN364" s="1" t="s">
        <v>213</v>
      </c>
      <c r="FO364" s="1" t="s">
        <v>213</v>
      </c>
      <c r="FQ364" s="1" t="s">
        <v>582</v>
      </c>
      <c r="FR364" s="1" t="s">
        <v>210</v>
      </c>
      <c r="FS364" s="1" t="s">
        <v>5165</v>
      </c>
      <c r="FT364" s="1" t="s">
        <v>5166</v>
      </c>
      <c r="FU364" s="1" t="s">
        <v>204</v>
      </c>
      <c r="FV364" s="1" t="s">
        <v>3257</v>
      </c>
      <c r="FW364" s="1" t="s">
        <v>772</v>
      </c>
      <c r="FX364" s="1">
        <v>92038</v>
      </c>
      <c r="FY364" s="1" t="s">
        <v>773</v>
      </c>
      <c r="FZ364" s="1" t="s">
        <v>774</v>
      </c>
      <c r="GA364" s="1">
        <v>21137</v>
      </c>
      <c r="GB364" s="1" t="s">
        <v>775</v>
      </c>
      <c r="GE364" s="1" t="s">
        <v>623</v>
      </c>
      <c r="GI364" s="1" t="s">
        <v>204</v>
      </c>
      <c r="GJ364" s="1" t="s">
        <v>260</v>
      </c>
      <c r="GK364" s="1" t="s">
        <v>210</v>
      </c>
      <c r="GL364" s="2">
        <v>42125</v>
      </c>
      <c r="GM364" s="1" t="s">
        <v>5167</v>
      </c>
    </row>
    <row r="365" spans="1:195">
      <c r="A365" s="1">
        <v>288873</v>
      </c>
      <c r="B365" s="1" t="s">
        <v>195</v>
      </c>
      <c r="C365" s="1" t="str">
        <f>"08787755"</f>
        <v>08787755</v>
      </c>
      <c r="D365" s="1" t="s">
        <v>196</v>
      </c>
      <c r="F365" s="1" t="str">
        <f>"188"</f>
        <v>188</v>
      </c>
      <c r="G365" s="2">
        <v>41960</v>
      </c>
      <c r="H365" s="1">
        <v>294990</v>
      </c>
      <c r="I365" s="1">
        <v>294990</v>
      </c>
      <c r="J365" s="1">
        <v>288873</v>
      </c>
      <c r="K365" s="2">
        <v>41960</v>
      </c>
      <c r="L365" s="1">
        <v>14</v>
      </c>
      <c r="M365" s="2">
        <v>41973</v>
      </c>
      <c r="N365" s="1">
        <v>14</v>
      </c>
      <c r="O365" s="2">
        <v>41973</v>
      </c>
      <c r="P365" s="1">
        <v>2648</v>
      </c>
      <c r="Q365" s="1" t="s">
        <v>197</v>
      </c>
      <c r="R365" s="2">
        <v>42019</v>
      </c>
      <c r="S365" s="1">
        <v>20455</v>
      </c>
      <c r="U365" s="1">
        <v>299</v>
      </c>
      <c r="V365" s="1" t="s">
        <v>5168</v>
      </c>
      <c r="W365" s="1" t="s">
        <v>264</v>
      </c>
      <c r="Y365" s="1">
        <v>5</v>
      </c>
      <c r="Z365" s="1" t="s">
        <v>370</v>
      </c>
      <c r="AA365" s="1" t="s">
        <v>1084</v>
      </c>
      <c r="AB365" s="1">
        <v>60188</v>
      </c>
      <c r="AD365" s="1" t="s">
        <v>5169</v>
      </c>
      <c r="AE365" s="1" t="s">
        <v>5170</v>
      </c>
      <c r="AF365" s="1">
        <v>2014</v>
      </c>
      <c r="AG365" s="1" t="s">
        <v>204</v>
      </c>
      <c r="AH365" s="1" t="s">
        <v>1087</v>
      </c>
      <c r="AI365" s="1" t="s">
        <v>206</v>
      </c>
      <c r="AJ365" s="1" t="s">
        <v>269</v>
      </c>
      <c r="AK365" s="1" t="s">
        <v>5171</v>
      </c>
      <c r="AL365" s="1">
        <v>5</v>
      </c>
      <c r="AM365" s="1">
        <v>2</v>
      </c>
      <c r="AN365" s="1">
        <v>2</v>
      </c>
      <c r="AO365" s="1">
        <v>1</v>
      </c>
      <c r="AP365" s="1" t="s">
        <v>209</v>
      </c>
      <c r="AR365" s="1" t="s">
        <v>210</v>
      </c>
      <c r="AS365" s="1" t="s">
        <v>204</v>
      </c>
      <c r="AT365" s="1" t="s">
        <v>211</v>
      </c>
      <c r="AU365" s="1">
        <v>2</v>
      </c>
      <c r="AW365" s="1" t="s">
        <v>204</v>
      </c>
      <c r="AX365" s="1" t="s">
        <v>212</v>
      </c>
      <c r="AZ365" s="1" t="s">
        <v>751</v>
      </c>
      <c r="BA365" s="1">
        <v>2013</v>
      </c>
      <c r="BB365" s="1" t="s">
        <v>210</v>
      </c>
      <c r="BE365" s="1">
        <v>1865</v>
      </c>
      <c r="BF365" s="1">
        <v>1</v>
      </c>
      <c r="BG365" s="1">
        <v>0</v>
      </c>
      <c r="BL365" s="1">
        <v>130</v>
      </c>
      <c r="BM365" s="1" t="s">
        <v>204</v>
      </c>
      <c r="BN365" s="1" t="s">
        <v>213</v>
      </c>
      <c r="BO365" s="1">
        <v>0</v>
      </c>
      <c r="BP365" s="1" t="s">
        <v>213</v>
      </c>
      <c r="BQ365" s="2">
        <v>42020</v>
      </c>
      <c r="BR365" s="1" t="str">
        <f>"0232307084"</f>
        <v>0232307084</v>
      </c>
      <c r="BT365" s="1" t="s">
        <v>5172</v>
      </c>
      <c r="BU365" s="1" t="s">
        <v>4776</v>
      </c>
      <c r="BV365" s="1" t="s">
        <v>1502</v>
      </c>
      <c r="BW365" s="1" t="s">
        <v>1092</v>
      </c>
      <c r="BX365" s="1">
        <v>93</v>
      </c>
      <c r="BY365" s="1">
        <v>93</v>
      </c>
      <c r="BZ365" s="1">
        <v>87</v>
      </c>
      <c r="CB365" s="1" t="str">
        <f>"2"</f>
        <v>2</v>
      </c>
      <c r="CC365" s="1" t="str">
        <f>"0"</f>
        <v>0</v>
      </c>
      <c r="CD365" s="1">
        <v>25</v>
      </c>
      <c r="CE365" s="1">
        <v>0</v>
      </c>
      <c r="CH365" s="1" t="s">
        <v>224</v>
      </c>
      <c r="CK365" s="1" t="s">
        <v>377</v>
      </c>
      <c r="CL365" s="1" t="s">
        <v>277</v>
      </c>
      <c r="CM365" s="1" t="s">
        <v>220</v>
      </c>
      <c r="CP365" s="1" t="s">
        <v>224</v>
      </c>
      <c r="CS365" s="1" t="s">
        <v>2170</v>
      </c>
      <c r="CT365" s="1" t="s">
        <v>277</v>
      </c>
      <c r="CU365" s="1" t="s">
        <v>220</v>
      </c>
      <c r="CX365" s="1" t="s">
        <v>224</v>
      </c>
      <c r="DB365" s="1" t="s">
        <v>224</v>
      </c>
      <c r="DE365" s="1" t="s">
        <v>1297</v>
      </c>
      <c r="DF365" s="1" t="s">
        <v>219</v>
      </c>
      <c r="DG365" s="1" t="s">
        <v>229</v>
      </c>
      <c r="DJ365" s="1" t="s">
        <v>224</v>
      </c>
      <c r="DM365" s="1" t="s">
        <v>381</v>
      </c>
      <c r="DO365" s="1" t="s">
        <v>1676</v>
      </c>
      <c r="DR365" s="1" t="s">
        <v>1297</v>
      </c>
      <c r="DS365" s="1" t="s">
        <v>219</v>
      </c>
      <c r="DT365" s="1" t="s">
        <v>438</v>
      </c>
      <c r="DW365" s="1" t="s">
        <v>230</v>
      </c>
      <c r="DZ365" s="1" t="s">
        <v>377</v>
      </c>
      <c r="EA365" s="1" t="s">
        <v>219</v>
      </c>
      <c r="EB365" s="1" t="s">
        <v>438</v>
      </c>
      <c r="EE365" s="1" t="s">
        <v>230</v>
      </c>
      <c r="EI365" s="1" t="s">
        <v>230</v>
      </c>
      <c r="EL365" s="1" t="s">
        <v>760</v>
      </c>
      <c r="EM365" s="1" t="s">
        <v>319</v>
      </c>
      <c r="EN365" s="1" t="s">
        <v>282</v>
      </c>
      <c r="EO365" s="1" t="s">
        <v>234</v>
      </c>
      <c r="EQ365" s="1" t="s">
        <v>3849</v>
      </c>
      <c r="ER365" s="1" t="s">
        <v>210</v>
      </c>
      <c r="ES365" s="1" t="s">
        <v>322</v>
      </c>
      <c r="ET365" s="1" t="s">
        <v>866</v>
      </c>
      <c r="EU365" s="1" t="s">
        <v>239</v>
      </c>
      <c r="EW365" s="1" t="s">
        <v>867</v>
      </c>
      <c r="EY365" s="1" t="s">
        <v>790</v>
      </c>
      <c r="EZ365" s="1" t="s">
        <v>5173</v>
      </c>
      <c r="FA365" s="1" t="s">
        <v>1270</v>
      </c>
      <c r="FD365" s="1" t="s">
        <v>246</v>
      </c>
      <c r="FE365" s="1" t="s">
        <v>355</v>
      </c>
      <c r="FF365" s="1" t="s">
        <v>248</v>
      </c>
      <c r="FH365" s="1" t="s">
        <v>550</v>
      </c>
      <c r="FJ365" s="1" t="s">
        <v>518</v>
      </c>
      <c r="FL365" s="1" t="s">
        <v>358</v>
      </c>
      <c r="FM365" s="1" t="s">
        <v>252</v>
      </c>
      <c r="FN365" s="1" t="s">
        <v>213</v>
      </c>
      <c r="FO365" s="1" t="s">
        <v>213</v>
      </c>
      <c r="FQ365" s="1" t="s">
        <v>3853</v>
      </c>
      <c r="FR365" s="1" t="s">
        <v>210</v>
      </c>
      <c r="FS365" s="1" t="s">
        <v>5174</v>
      </c>
      <c r="FT365" s="1" t="s">
        <v>4778</v>
      </c>
      <c r="FU365" s="1" t="s">
        <v>204</v>
      </c>
      <c r="FV365" s="1" t="s">
        <v>5175</v>
      </c>
      <c r="FW365" s="1" t="s">
        <v>3857</v>
      </c>
      <c r="FX365" s="1">
        <v>23223</v>
      </c>
      <c r="FY365" s="1" t="s">
        <v>3858</v>
      </c>
      <c r="FZ365" s="1" t="s">
        <v>3859</v>
      </c>
      <c r="GA365" s="1">
        <v>236300</v>
      </c>
      <c r="GC365" s="1">
        <v>210778</v>
      </c>
      <c r="GE365" s="1" t="s">
        <v>480</v>
      </c>
      <c r="GI365" s="1" t="s">
        <v>204</v>
      </c>
      <c r="GJ365" s="1" t="s">
        <v>300</v>
      </c>
      <c r="GK365" s="1" t="s">
        <v>210</v>
      </c>
      <c r="GL365" s="2">
        <v>42019</v>
      </c>
      <c r="GM365" s="1" t="s">
        <v>5176</v>
      </c>
    </row>
    <row r="366" spans="1:195">
      <c r="A366" s="1">
        <v>136000</v>
      </c>
      <c r="B366" s="1" t="s">
        <v>195</v>
      </c>
      <c r="C366" s="1" t="str">
        <f>"08786687"</f>
        <v>08786687</v>
      </c>
      <c r="D366" s="1" t="s">
        <v>196</v>
      </c>
      <c r="F366" s="1" t="str">
        <f>"540"</f>
        <v>540</v>
      </c>
      <c r="G366" s="2">
        <v>41957</v>
      </c>
      <c r="H366" s="1">
        <v>145900</v>
      </c>
      <c r="I366" s="1">
        <v>145900</v>
      </c>
      <c r="J366" s="1">
        <v>136000</v>
      </c>
      <c r="K366" s="2">
        <v>41957</v>
      </c>
      <c r="L366" s="1">
        <v>116</v>
      </c>
      <c r="M366" s="2">
        <v>41963</v>
      </c>
      <c r="N366" s="1">
        <v>7</v>
      </c>
      <c r="O366" s="2">
        <v>41963</v>
      </c>
      <c r="P366" s="1">
        <v>4475</v>
      </c>
      <c r="Q366" s="1" t="s">
        <v>197</v>
      </c>
      <c r="R366" s="2">
        <v>41991</v>
      </c>
      <c r="S366" s="1">
        <v>38351</v>
      </c>
      <c r="U366" s="1">
        <v>2219</v>
      </c>
      <c r="V366" s="1" t="s">
        <v>5177</v>
      </c>
      <c r="W366" s="1" t="s">
        <v>304</v>
      </c>
      <c r="X366" s="1">
        <v>202</v>
      </c>
      <c r="Y366" s="1">
        <v>8</v>
      </c>
      <c r="Z366" s="1" t="s">
        <v>200</v>
      </c>
      <c r="AA366" s="1" t="s">
        <v>921</v>
      </c>
      <c r="AB366" s="1">
        <v>60564</v>
      </c>
      <c r="AD366" s="1" t="s">
        <v>5178</v>
      </c>
      <c r="AE366" s="1" t="s">
        <v>5179</v>
      </c>
      <c r="AF366" s="1">
        <v>2002</v>
      </c>
      <c r="AG366" s="1" t="s">
        <v>204</v>
      </c>
      <c r="AH366" s="1" t="s">
        <v>924</v>
      </c>
      <c r="AI366" s="1" t="s">
        <v>1800</v>
      </c>
      <c r="AJ366" s="1" t="s">
        <v>1801</v>
      </c>
      <c r="AK366" s="1" t="s">
        <v>5180</v>
      </c>
      <c r="AL366" s="1">
        <v>5</v>
      </c>
      <c r="AM366" s="1">
        <v>2</v>
      </c>
      <c r="AN366" s="1">
        <v>2</v>
      </c>
      <c r="AO366" s="1">
        <v>0</v>
      </c>
      <c r="AP366" s="1" t="s">
        <v>209</v>
      </c>
      <c r="AR366" s="1" t="s">
        <v>210</v>
      </c>
      <c r="AT366" s="1" t="s">
        <v>211</v>
      </c>
      <c r="AU366" s="1">
        <v>1</v>
      </c>
      <c r="AW366" s="1" t="s">
        <v>204</v>
      </c>
      <c r="AX366" s="1" t="s">
        <v>212</v>
      </c>
      <c r="AZ366" s="1">
        <v>3547.02</v>
      </c>
      <c r="BA366" s="1">
        <v>2012</v>
      </c>
      <c r="BB366" s="1" t="s">
        <v>210</v>
      </c>
      <c r="BE366" s="1">
        <v>1304</v>
      </c>
      <c r="BF366" s="1">
        <v>2</v>
      </c>
      <c r="BG366" s="1">
        <v>0</v>
      </c>
      <c r="BL366" s="1">
        <v>244</v>
      </c>
      <c r="BM366" s="1" t="s">
        <v>204</v>
      </c>
      <c r="BN366" s="1" t="s">
        <v>213</v>
      </c>
      <c r="BO366" s="1">
        <v>999</v>
      </c>
      <c r="BP366" s="1" t="s">
        <v>204</v>
      </c>
      <c r="BR366" s="1" t="str">
        <f>"01031020591008"</f>
        <v>01031020591008</v>
      </c>
      <c r="BT366" s="1" t="s">
        <v>5181</v>
      </c>
      <c r="BU366" s="1" t="s">
        <v>2216</v>
      </c>
      <c r="BV366" s="1" t="s">
        <v>2217</v>
      </c>
      <c r="BW366" s="1" t="s">
        <v>2218</v>
      </c>
      <c r="BX366" s="1">
        <v>204</v>
      </c>
      <c r="BY366" s="1">
        <v>204</v>
      </c>
      <c r="BZ366" s="1">
        <v>204</v>
      </c>
      <c r="CB366" s="1" t="str">
        <f t="shared" ref="CB366:CC366" si="290">""</f>
        <v/>
      </c>
      <c r="CC366" s="1" t="str">
        <f t="shared" si="290"/>
        <v/>
      </c>
      <c r="CG366" s="1" t="s">
        <v>669</v>
      </c>
      <c r="CH366" s="1" t="s">
        <v>219</v>
      </c>
      <c r="CI366" s="1" t="s">
        <v>220</v>
      </c>
      <c r="CJ366" s="1" t="s">
        <v>343</v>
      </c>
      <c r="CK366" s="1" t="s">
        <v>757</v>
      </c>
      <c r="CL366" s="1" t="s">
        <v>219</v>
      </c>
      <c r="CM366" s="1" t="s">
        <v>220</v>
      </c>
      <c r="CN366" s="1" t="s">
        <v>343</v>
      </c>
      <c r="CO366" s="1" t="s">
        <v>379</v>
      </c>
      <c r="CP366" s="1" t="s">
        <v>219</v>
      </c>
      <c r="CQ366" s="1" t="s">
        <v>220</v>
      </c>
      <c r="CR366" s="1" t="s">
        <v>343</v>
      </c>
      <c r="CS366" s="1" t="s">
        <v>972</v>
      </c>
      <c r="CT366" s="1" t="s">
        <v>219</v>
      </c>
      <c r="CU366" s="1" t="s">
        <v>220</v>
      </c>
      <c r="CV366" s="1" t="s">
        <v>343</v>
      </c>
      <c r="CX366" s="1" t="s">
        <v>224</v>
      </c>
      <c r="DB366" s="1" t="s">
        <v>224</v>
      </c>
      <c r="DE366" s="1" t="s">
        <v>1358</v>
      </c>
      <c r="DF366" s="1" t="s">
        <v>219</v>
      </c>
      <c r="DG366" s="1" t="s">
        <v>342</v>
      </c>
      <c r="DH366" s="1" t="s">
        <v>343</v>
      </c>
      <c r="DJ366" s="1" t="s">
        <v>224</v>
      </c>
      <c r="DS366" s="1" t="s">
        <v>230</v>
      </c>
      <c r="DW366" s="1" t="s">
        <v>230</v>
      </c>
      <c r="EA366" s="1" t="s">
        <v>230</v>
      </c>
      <c r="EE366" s="1" t="s">
        <v>230</v>
      </c>
      <c r="EI366" s="1" t="s">
        <v>230</v>
      </c>
      <c r="EL366" s="1" t="s">
        <v>466</v>
      </c>
      <c r="EM366" s="1" t="s">
        <v>232</v>
      </c>
      <c r="EN366" s="1" t="s">
        <v>282</v>
      </c>
      <c r="EO366" s="1" t="s">
        <v>234</v>
      </c>
      <c r="EP366" s="1" t="s">
        <v>650</v>
      </c>
      <c r="ER366" s="1" t="s">
        <v>210</v>
      </c>
      <c r="EU366" s="1" t="s">
        <v>1110</v>
      </c>
      <c r="EW366" s="1" t="s">
        <v>937</v>
      </c>
      <c r="EY366" s="1" t="s">
        <v>2644</v>
      </c>
      <c r="EZ366" s="1" t="s">
        <v>287</v>
      </c>
      <c r="FA366" s="1" t="s">
        <v>714</v>
      </c>
      <c r="FB366" s="1" t="s">
        <v>289</v>
      </c>
      <c r="FD366" s="1" t="s">
        <v>246</v>
      </c>
      <c r="FE366" s="1" t="s">
        <v>355</v>
      </c>
      <c r="FF366" s="1" t="s">
        <v>3103</v>
      </c>
      <c r="FH366" s="1" t="s">
        <v>825</v>
      </c>
      <c r="FI366" s="1" t="s">
        <v>473</v>
      </c>
      <c r="FJ366" s="1" t="s">
        <v>518</v>
      </c>
      <c r="FL366" s="1" t="s">
        <v>358</v>
      </c>
      <c r="FM366" s="1" t="s">
        <v>252</v>
      </c>
      <c r="FN366" s="1" t="s">
        <v>213</v>
      </c>
      <c r="FO366" s="1" t="s">
        <v>213</v>
      </c>
      <c r="FQ366" s="1" t="s">
        <v>4216</v>
      </c>
      <c r="FR366" s="1" t="s">
        <v>210</v>
      </c>
      <c r="FS366" s="1" t="s">
        <v>5182</v>
      </c>
      <c r="FT366" s="1" t="s">
        <v>295</v>
      </c>
      <c r="FU366" s="1" t="s">
        <v>204</v>
      </c>
      <c r="FV366" s="1" t="s">
        <v>5183</v>
      </c>
      <c r="FW366" s="1" t="s">
        <v>1898</v>
      </c>
      <c r="FX366" s="1">
        <v>23030</v>
      </c>
      <c r="FY366" s="1" t="s">
        <v>1899</v>
      </c>
      <c r="FZ366" s="1" t="s">
        <v>5184</v>
      </c>
      <c r="GA366" s="1">
        <v>233292</v>
      </c>
      <c r="GB366" s="1" t="s">
        <v>5185</v>
      </c>
      <c r="GE366" s="1" t="s">
        <v>480</v>
      </c>
      <c r="GI366" s="1" t="s">
        <v>213</v>
      </c>
      <c r="GJ366" s="1" t="s">
        <v>300</v>
      </c>
      <c r="GK366" s="1" t="s">
        <v>1413</v>
      </c>
      <c r="GL366" s="2">
        <v>42007</v>
      </c>
      <c r="GM366" s="1" t="s">
        <v>5186</v>
      </c>
    </row>
    <row r="367" spans="1:195">
      <c r="A367" s="1">
        <v>42000</v>
      </c>
      <c r="B367" s="1" t="s">
        <v>195</v>
      </c>
      <c r="C367" s="1" t="str">
        <f>"08786599"</f>
        <v>08786599</v>
      </c>
      <c r="D367" s="1" t="s">
        <v>196</v>
      </c>
      <c r="F367" s="1" t="str">
        <f>"507"</f>
        <v>507</v>
      </c>
      <c r="G367" s="2">
        <v>41957</v>
      </c>
      <c r="H367" s="1">
        <v>54900</v>
      </c>
      <c r="I367" s="1">
        <v>44900</v>
      </c>
      <c r="J367" s="1">
        <v>42000</v>
      </c>
      <c r="K367" s="2">
        <v>41957</v>
      </c>
      <c r="L367" s="1">
        <v>96</v>
      </c>
      <c r="M367" s="2">
        <v>42052</v>
      </c>
      <c r="N367" s="1">
        <v>96</v>
      </c>
      <c r="O367" s="2">
        <v>42052</v>
      </c>
      <c r="P367" s="1">
        <v>23156</v>
      </c>
      <c r="Q367" s="1" t="s">
        <v>302</v>
      </c>
      <c r="R367" s="2">
        <v>42073</v>
      </c>
      <c r="S367" s="1">
        <v>237779</v>
      </c>
      <c r="U367" s="1">
        <v>125</v>
      </c>
      <c r="V367" s="1" t="s">
        <v>5187</v>
      </c>
      <c r="W367" s="1" t="s">
        <v>725</v>
      </c>
      <c r="X367" s="1">
        <v>15</v>
      </c>
      <c r="Y367" s="1">
        <v>6</v>
      </c>
      <c r="Z367" s="1" t="s">
        <v>249</v>
      </c>
      <c r="AA367" s="1" t="s">
        <v>1123</v>
      </c>
      <c r="AB367" s="1">
        <v>60504</v>
      </c>
      <c r="AC367" s="1">
        <v>4142</v>
      </c>
      <c r="AE367" s="1" t="s">
        <v>5188</v>
      </c>
      <c r="AF367" s="1">
        <v>1981</v>
      </c>
      <c r="AG367" s="1" t="s">
        <v>204</v>
      </c>
      <c r="AH367" s="1" t="s">
        <v>1126</v>
      </c>
      <c r="AI367" s="1" t="s">
        <v>206</v>
      </c>
      <c r="AJ367" s="1" t="s">
        <v>924</v>
      </c>
      <c r="AL367" s="1">
        <v>4</v>
      </c>
      <c r="AM367" s="1">
        <v>2</v>
      </c>
      <c r="AN367" s="1">
        <v>1</v>
      </c>
      <c r="AO367" s="1">
        <v>1</v>
      </c>
      <c r="AP367" s="1" t="s">
        <v>210</v>
      </c>
      <c r="AR367" s="1" t="s">
        <v>210</v>
      </c>
      <c r="AS367" s="1" t="s">
        <v>204</v>
      </c>
      <c r="AT367" s="1" t="s">
        <v>271</v>
      </c>
      <c r="AV367" s="1">
        <v>1</v>
      </c>
      <c r="AW367" s="1" t="s">
        <v>204</v>
      </c>
      <c r="AX367" s="1" t="s">
        <v>212</v>
      </c>
      <c r="AZ367" s="1">
        <v>1384</v>
      </c>
      <c r="BA367" s="1">
        <v>2013</v>
      </c>
      <c r="BB367" s="1" t="s">
        <v>210</v>
      </c>
      <c r="BE367" s="1">
        <v>890</v>
      </c>
      <c r="BF367" s="1">
        <v>3</v>
      </c>
      <c r="BG367" s="1">
        <v>30</v>
      </c>
      <c r="BL367" s="1">
        <v>411</v>
      </c>
      <c r="BM367" s="1" t="s">
        <v>413</v>
      </c>
      <c r="BN367" s="1" t="s">
        <v>204</v>
      </c>
      <c r="BP367" s="1" t="s">
        <v>204</v>
      </c>
      <c r="BR367" s="1" t="str">
        <f>"0721306219"</f>
        <v>0721306219</v>
      </c>
      <c r="BT367" s="1" t="s">
        <v>5189</v>
      </c>
      <c r="BU367" s="1" t="s">
        <v>5190</v>
      </c>
      <c r="BV367" s="1" t="s">
        <v>1130</v>
      </c>
      <c r="BW367" s="1" t="s">
        <v>1312</v>
      </c>
      <c r="BX367" s="1">
        <v>204</v>
      </c>
      <c r="BY367" s="1">
        <v>204</v>
      </c>
      <c r="BZ367" s="1">
        <v>204</v>
      </c>
      <c r="CB367" s="1" t="str">
        <f t="shared" ref="CB367:CC367" si="291">"0"</f>
        <v>0</v>
      </c>
      <c r="CC367" s="1" t="str">
        <f t="shared" si="291"/>
        <v>0</v>
      </c>
      <c r="CD367" s="1">
        <v>30</v>
      </c>
      <c r="CE367" s="1">
        <v>8</v>
      </c>
      <c r="CG367" s="1" t="s">
        <v>5191</v>
      </c>
      <c r="CH367" s="1" t="s">
        <v>219</v>
      </c>
      <c r="CI367" s="1" t="s">
        <v>229</v>
      </c>
      <c r="CJ367" s="1" t="s">
        <v>210</v>
      </c>
      <c r="CK367" s="1" t="s">
        <v>344</v>
      </c>
      <c r="CL367" s="1" t="s">
        <v>219</v>
      </c>
      <c r="CM367" s="1" t="s">
        <v>229</v>
      </c>
      <c r="CN367" s="1" t="s">
        <v>210</v>
      </c>
      <c r="CP367" s="1" t="s">
        <v>224</v>
      </c>
      <c r="CS367" s="1" t="s">
        <v>821</v>
      </c>
      <c r="CT367" s="1" t="s">
        <v>219</v>
      </c>
      <c r="CU367" s="1" t="s">
        <v>229</v>
      </c>
      <c r="CX367" s="1" t="s">
        <v>224</v>
      </c>
      <c r="DB367" s="1" t="s">
        <v>224</v>
      </c>
      <c r="DE367" s="1" t="s">
        <v>281</v>
      </c>
      <c r="DF367" s="1" t="s">
        <v>219</v>
      </c>
      <c r="DG367" s="1" t="s">
        <v>226</v>
      </c>
      <c r="DH367" s="1" t="s">
        <v>210</v>
      </c>
      <c r="DJ367" s="1" t="s">
        <v>224</v>
      </c>
      <c r="DS367" s="1" t="s">
        <v>230</v>
      </c>
      <c r="DW367" s="1" t="s">
        <v>230</v>
      </c>
      <c r="EA367" s="1" t="s">
        <v>230</v>
      </c>
      <c r="EE367" s="1" t="s">
        <v>230</v>
      </c>
      <c r="EI367" s="1" t="s">
        <v>230</v>
      </c>
      <c r="EL367" s="1" t="s">
        <v>231</v>
      </c>
      <c r="EM367" s="1" t="s">
        <v>319</v>
      </c>
      <c r="EN367" s="1" t="s">
        <v>1158</v>
      </c>
      <c r="EO367" s="1" t="s">
        <v>234</v>
      </c>
      <c r="EP367" s="1" t="s">
        <v>5192</v>
      </c>
      <c r="EQ367" s="1" t="s">
        <v>5020</v>
      </c>
      <c r="ER367" s="1" t="s">
        <v>210</v>
      </c>
      <c r="ES367" s="1" t="s">
        <v>322</v>
      </c>
      <c r="EU367" s="1" t="s">
        <v>239</v>
      </c>
      <c r="EV367" s="1" t="s">
        <v>240</v>
      </c>
      <c r="EW367" s="1" t="s">
        <v>844</v>
      </c>
      <c r="EY367" s="1" t="s">
        <v>242</v>
      </c>
      <c r="EZ367" s="1" t="s">
        <v>287</v>
      </c>
      <c r="FB367" s="1" t="s">
        <v>1755</v>
      </c>
      <c r="FC367" s="1" t="s">
        <v>1386</v>
      </c>
      <c r="FD367" s="1" t="s">
        <v>1112</v>
      </c>
      <c r="FE367" s="1" t="s">
        <v>247</v>
      </c>
      <c r="FF367" s="1" t="s">
        <v>248</v>
      </c>
      <c r="FH367" s="1" t="s">
        <v>249</v>
      </c>
      <c r="FJ367" s="1" t="s">
        <v>1472</v>
      </c>
      <c r="FK367" s="1" t="s">
        <v>891</v>
      </c>
      <c r="FL367" s="1" t="s">
        <v>3483</v>
      </c>
      <c r="FM367" s="1" t="s">
        <v>252</v>
      </c>
      <c r="FN367" s="1" t="s">
        <v>213</v>
      </c>
      <c r="FO367" s="1" t="s">
        <v>213</v>
      </c>
      <c r="FQ367" s="1" t="s">
        <v>582</v>
      </c>
      <c r="FR367" s="1" t="s">
        <v>210</v>
      </c>
      <c r="FS367" s="1" t="s">
        <v>3944</v>
      </c>
      <c r="FT367" s="1" t="s">
        <v>362</v>
      </c>
      <c r="FU367" s="1" t="s">
        <v>204</v>
      </c>
      <c r="FW367" s="1" t="s">
        <v>2144</v>
      </c>
      <c r="FX367" s="1">
        <v>23163</v>
      </c>
      <c r="FY367" s="1" t="s">
        <v>2145</v>
      </c>
      <c r="FZ367" s="1" t="s">
        <v>3945</v>
      </c>
      <c r="GA367" s="1">
        <v>256811</v>
      </c>
      <c r="GB367" s="1" t="s">
        <v>3946</v>
      </c>
      <c r="GE367" s="1" t="s">
        <v>210</v>
      </c>
      <c r="GI367" s="1" t="s">
        <v>204</v>
      </c>
      <c r="GJ367" s="1" t="s">
        <v>260</v>
      </c>
      <c r="GK367" s="1" t="s">
        <v>210</v>
      </c>
      <c r="GL367" s="2">
        <v>42079</v>
      </c>
      <c r="GM367" s="1" t="s">
        <v>3947</v>
      </c>
    </row>
    <row r="368" spans="1:195">
      <c r="A368" s="1">
        <v>80000</v>
      </c>
      <c r="B368" s="1" t="s">
        <v>195</v>
      </c>
      <c r="C368" s="1" t="str">
        <f>"08789208"</f>
        <v>08789208</v>
      </c>
      <c r="D368" s="1" t="s">
        <v>196</v>
      </c>
      <c r="F368" s="1" t="str">
        <f>"517"</f>
        <v>517</v>
      </c>
      <c r="G368" s="2">
        <v>41962</v>
      </c>
      <c r="H368" s="1">
        <v>82500</v>
      </c>
      <c r="I368" s="1">
        <v>82500</v>
      </c>
      <c r="J368" s="1">
        <v>80000</v>
      </c>
      <c r="K368" s="2">
        <v>41961</v>
      </c>
      <c r="L368" s="1">
        <v>22</v>
      </c>
      <c r="M368" s="2">
        <v>41982</v>
      </c>
      <c r="N368" s="1">
        <v>22</v>
      </c>
      <c r="O368" s="2">
        <v>41982</v>
      </c>
      <c r="P368" s="1">
        <v>257</v>
      </c>
      <c r="Q368" s="1" t="s">
        <v>302</v>
      </c>
      <c r="R368" s="2">
        <v>42013</v>
      </c>
      <c r="S368" s="1">
        <v>313789</v>
      </c>
      <c r="U368" s="1">
        <v>2044</v>
      </c>
      <c r="V368" s="1" t="s">
        <v>5193</v>
      </c>
      <c r="W368" s="1" t="s">
        <v>264</v>
      </c>
      <c r="X368" s="1">
        <v>2044</v>
      </c>
      <c r="Y368" s="1">
        <v>8</v>
      </c>
      <c r="Z368" s="1" t="s">
        <v>370</v>
      </c>
      <c r="AA368" s="1" t="s">
        <v>2850</v>
      </c>
      <c r="AB368" s="1">
        <v>60517</v>
      </c>
      <c r="AD368" s="1" t="s">
        <v>5194</v>
      </c>
      <c r="AE368" s="1" t="s">
        <v>5195</v>
      </c>
      <c r="AF368" s="1">
        <v>1974</v>
      </c>
      <c r="AG368" s="1" t="s">
        <v>213</v>
      </c>
      <c r="AH368" s="1" t="s">
        <v>2853</v>
      </c>
      <c r="AI368" s="1" t="s">
        <v>206</v>
      </c>
      <c r="AJ368" s="1" t="s">
        <v>925</v>
      </c>
      <c r="AL368" s="1">
        <v>5</v>
      </c>
      <c r="AM368" s="1">
        <v>2</v>
      </c>
      <c r="AN368" s="1">
        <v>1</v>
      </c>
      <c r="AO368" s="1">
        <v>2</v>
      </c>
      <c r="AP368" s="1" t="s">
        <v>209</v>
      </c>
      <c r="AR368" s="1" t="s">
        <v>210</v>
      </c>
      <c r="AS368" s="1" t="s">
        <v>204</v>
      </c>
      <c r="AT368" s="1" t="s">
        <v>271</v>
      </c>
      <c r="AV368" s="1">
        <v>2</v>
      </c>
      <c r="AW368" s="1" t="s">
        <v>204</v>
      </c>
      <c r="AX368" s="1" t="s">
        <v>212</v>
      </c>
      <c r="AZ368" s="1">
        <v>2223</v>
      </c>
      <c r="BA368" s="1">
        <v>2012</v>
      </c>
      <c r="BE368" s="1">
        <v>1174</v>
      </c>
      <c r="BF368" s="1">
        <v>1</v>
      </c>
      <c r="BG368" s="1">
        <v>30</v>
      </c>
      <c r="BL368" s="1">
        <v>329</v>
      </c>
      <c r="BM368" s="1" t="s">
        <v>204</v>
      </c>
      <c r="BN368" s="1" t="s">
        <v>213</v>
      </c>
      <c r="BO368" s="1">
        <v>999</v>
      </c>
      <c r="BP368" s="1" t="s">
        <v>204</v>
      </c>
      <c r="BR368" s="1" t="str">
        <f>"0825420074"</f>
        <v>0825420074</v>
      </c>
      <c r="BT368" s="1" t="s">
        <v>5196</v>
      </c>
      <c r="BX368" s="1">
        <v>68</v>
      </c>
      <c r="BY368" s="1">
        <v>68</v>
      </c>
      <c r="BZ368" s="1">
        <v>99</v>
      </c>
      <c r="CB368" s="1" t="str">
        <f t="shared" ref="CB368:CC368" si="292">"0"</f>
        <v>0</v>
      </c>
      <c r="CC368" s="1" t="str">
        <f t="shared" si="292"/>
        <v>0</v>
      </c>
      <c r="CD368" s="1">
        <v>21</v>
      </c>
      <c r="CE368" s="1">
        <v>8</v>
      </c>
      <c r="CG368" s="1" t="s">
        <v>861</v>
      </c>
      <c r="CH368" s="1" t="s">
        <v>219</v>
      </c>
      <c r="CI368" s="1" t="s">
        <v>220</v>
      </c>
      <c r="CK368" s="1" t="s">
        <v>1178</v>
      </c>
      <c r="CL368" s="1" t="s">
        <v>277</v>
      </c>
      <c r="CM368" s="1" t="s">
        <v>220</v>
      </c>
      <c r="CO368" s="1" t="s">
        <v>409</v>
      </c>
      <c r="CP368" s="1" t="s">
        <v>219</v>
      </c>
      <c r="CQ368" s="1" t="s">
        <v>229</v>
      </c>
      <c r="CS368" s="1" t="s">
        <v>1358</v>
      </c>
      <c r="CT368" s="1" t="s">
        <v>277</v>
      </c>
      <c r="CU368" s="1" t="s">
        <v>220</v>
      </c>
      <c r="CX368" s="1" t="s">
        <v>224</v>
      </c>
      <c r="DB368" s="1" t="s">
        <v>224</v>
      </c>
      <c r="DE368" s="1" t="s">
        <v>379</v>
      </c>
      <c r="DF368" s="1" t="s">
        <v>219</v>
      </c>
      <c r="DG368" s="1" t="s">
        <v>226</v>
      </c>
      <c r="DJ368" s="1" t="s">
        <v>224</v>
      </c>
      <c r="DS368" s="1" t="s">
        <v>230</v>
      </c>
      <c r="DW368" s="1" t="s">
        <v>230</v>
      </c>
      <c r="EA368" s="1" t="s">
        <v>230</v>
      </c>
      <c r="EE368" s="1" t="s">
        <v>230</v>
      </c>
      <c r="EI368" s="1" t="s">
        <v>230</v>
      </c>
      <c r="EL368" s="1" t="s">
        <v>231</v>
      </c>
      <c r="EM368" s="1" t="s">
        <v>730</v>
      </c>
      <c r="EN368" s="1" t="s">
        <v>5197</v>
      </c>
      <c r="EO368" s="1" t="s">
        <v>234</v>
      </c>
      <c r="EP368" s="1" t="s">
        <v>5198</v>
      </c>
      <c r="ER368" s="1" t="s">
        <v>210</v>
      </c>
      <c r="EW368" s="1" t="s">
        <v>5199</v>
      </c>
      <c r="EZ368" s="1" t="s">
        <v>287</v>
      </c>
      <c r="FD368" s="1" t="s">
        <v>246</v>
      </c>
      <c r="FE368" s="1" t="s">
        <v>247</v>
      </c>
      <c r="FF368" s="1" t="s">
        <v>248</v>
      </c>
      <c r="FH368" s="1" t="s">
        <v>550</v>
      </c>
      <c r="FK368" s="1" t="s">
        <v>891</v>
      </c>
      <c r="FL368" s="1" t="s">
        <v>358</v>
      </c>
      <c r="FM368" s="1" t="s">
        <v>252</v>
      </c>
      <c r="FN368" s="1" t="s">
        <v>213</v>
      </c>
      <c r="FO368" s="1" t="s">
        <v>213</v>
      </c>
      <c r="FQ368" s="1" t="s">
        <v>5200</v>
      </c>
      <c r="FR368" s="1" t="s">
        <v>210</v>
      </c>
      <c r="FS368" s="1" t="s">
        <v>5201</v>
      </c>
      <c r="FT368" s="1" t="s">
        <v>584</v>
      </c>
      <c r="FU368" s="1" t="s">
        <v>204</v>
      </c>
      <c r="FW368" s="1" t="s">
        <v>5202</v>
      </c>
      <c r="FX368" s="1">
        <v>22067</v>
      </c>
      <c r="FY368" s="1" t="s">
        <v>5203</v>
      </c>
      <c r="FZ368" s="1" t="s">
        <v>5204</v>
      </c>
      <c r="GA368" s="1">
        <v>213895</v>
      </c>
      <c r="GB368" s="1" t="s">
        <v>5203</v>
      </c>
      <c r="GE368" s="1" t="s">
        <v>210</v>
      </c>
      <c r="GI368" s="1" t="s">
        <v>213</v>
      </c>
      <c r="GJ368" s="1" t="s">
        <v>260</v>
      </c>
      <c r="GK368" s="1" t="s">
        <v>210</v>
      </c>
      <c r="GL368" s="2">
        <v>42013</v>
      </c>
      <c r="GM368" s="1" t="s">
        <v>5205</v>
      </c>
    </row>
    <row r="369" spans="1:195">
      <c r="A369" s="1">
        <v>190000</v>
      </c>
      <c r="B369" s="1" t="s">
        <v>195</v>
      </c>
      <c r="C369" s="1" t="str">
        <f>"08787709"</f>
        <v>08787709</v>
      </c>
      <c r="D369" s="1" t="s">
        <v>196</v>
      </c>
      <c r="F369" s="1" t="str">
        <f>"540"</f>
        <v>540</v>
      </c>
      <c r="G369" s="2">
        <v>41960</v>
      </c>
      <c r="H369" s="1">
        <v>199900</v>
      </c>
      <c r="I369" s="1">
        <v>199900</v>
      </c>
      <c r="J369" s="1">
        <v>190000</v>
      </c>
      <c r="K369" s="2">
        <v>41960</v>
      </c>
      <c r="L369" s="1">
        <v>22</v>
      </c>
      <c r="M369" s="2">
        <v>41981</v>
      </c>
      <c r="N369" s="1">
        <v>22</v>
      </c>
      <c r="O369" s="2">
        <v>41981</v>
      </c>
      <c r="P369" s="1">
        <v>21927</v>
      </c>
      <c r="Q369" s="1" t="s">
        <v>197</v>
      </c>
      <c r="R369" s="2">
        <v>42033</v>
      </c>
      <c r="S369" s="1">
        <v>220029</v>
      </c>
      <c r="U369" s="1">
        <v>2889</v>
      </c>
      <c r="V369" s="1" t="s">
        <v>5206</v>
      </c>
      <c r="W369" s="1" t="s">
        <v>449</v>
      </c>
      <c r="Y369" s="1">
        <v>4</v>
      </c>
      <c r="Z369" s="1" t="s">
        <v>370</v>
      </c>
      <c r="AA369" s="1" t="s">
        <v>921</v>
      </c>
      <c r="AB369" s="1">
        <v>60564</v>
      </c>
      <c r="AD369" s="1" t="s">
        <v>2213</v>
      </c>
      <c r="AE369" s="1" t="s">
        <v>5207</v>
      </c>
      <c r="AF369" s="1">
        <v>1999</v>
      </c>
      <c r="AG369" s="1" t="s">
        <v>204</v>
      </c>
      <c r="AH369" s="1" t="s">
        <v>924</v>
      </c>
      <c r="AI369" s="1" t="s">
        <v>1800</v>
      </c>
      <c r="AJ369" s="1" t="s">
        <v>1801</v>
      </c>
      <c r="AL369" s="1">
        <v>7</v>
      </c>
      <c r="AM369" s="1">
        <v>2</v>
      </c>
      <c r="AN369" s="1">
        <v>2</v>
      </c>
      <c r="AO369" s="1">
        <v>1</v>
      </c>
      <c r="AP369" s="1" t="s">
        <v>209</v>
      </c>
      <c r="AQ369" s="1">
        <v>0</v>
      </c>
      <c r="AR369" s="1" t="s">
        <v>209</v>
      </c>
      <c r="AS369" s="1" t="s">
        <v>204</v>
      </c>
      <c r="AT369" s="1" t="s">
        <v>211</v>
      </c>
      <c r="AU369" s="1">
        <v>2</v>
      </c>
      <c r="AW369" s="1" t="s">
        <v>204</v>
      </c>
      <c r="AX369" s="1" t="s">
        <v>212</v>
      </c>
      <c r="AZ369" s="1">
        <v>4079.66</v>
      </c>
      <c r="BA369" s="1">
        <v>2012</v>
      </c>
      <c r="BE369" s="1">
        <v>1396</v>
      </c>
      <c r="BF369" s="1">
        <v>1</v>
      </c>
      <c r="BG369" s="1">
        <v>0</v>
      </c>
      <c r="BL369" s="1">
        <v>254</v>
      </c>
      <c r="BM369" s="1" t="s">
        <v>204</v>
      </c>
      <c r="BN369" s="1" t="s">
        <v>204</v>
      </c>
      <c r="BP369" s="1" t="s">
        <v>204</v>
      </c>
      <c r="BR369" s="1" t="str">
        <f>"01031040760000"</f>
        <v>01031040760000</v>
      </c>
      <c r="BT369" s="1" t="s">
        <v>5208</v>
      </c>
      <c r="BU369" s="1" t="s">
        <v>2216</v>
      </c>
      <c r="BV369" s="1" t="s">
        <v>2217</v>
      </c>
      <c r="BW369" s="1" t="s">
        <v>2218</v>
      </c>
      <c r="BX369" s="1">
        <v>204</v>
      </c>
      <c r="BY369" s="1">
        <v>204</v>
      </c>
      <c r="BZ369" s="1">
        <v>204</v>
      </c>
      <c r="CB369" s="1" t="str">
        <f t="shared" ref="CB369:CC369" si="293">""</f>
        <v/>
      </c>
      <c r="CC369" s="1" t="str">
        <f t="shared" si="293"/>
        <v/>
      </c>
      <c r="CG369" s="1" t="s">
        <v>317</v>
      </c>
      <c r="CH369" s="1" t="s">
        <v>219</v>
      </c>
      <c r="CK369" s="1" t="s">
        <v>317</v>
      </c>
      <c r="CL369" s="1" t="s">
        <v>277</v>
      </c>
      <c r="CO369" s="1" t="s">
        <v>346</v>
      </c>
      <c r="CP369" s="1" t="s">
        <v>219</v>
      </c>
      <c r="CS369" s="1" t="s">
        <v>318</v>
      </c>
      <c r="CT369" s="1" t="s">
        <v>277</v>
      </c>
      <c r="CX369" s="1" t="s">
        <v>224</v>
      </c>
      <c r="DB369" s="1" t="s">
        <v>224</v>
      </c>
      <c r="DE369" s="1" t="s">
        <v>461</v>
      </c>
      <c r="DF369" s="1" t="s">
        <v>219</v>
      </c>
      <c r="DJ369" s="1" t="s">
        <v>224</v>
      </c>
      <c r="DM369" s="1" t="s">
        <v>464</v>
      </c>
      <c r="DN369" s="1" t="s">
        <v>934</v>
      </c>
      <c r="DR369" s="1" t="s">
        <v>346</v>
      </c>
      <c r="DS369" s="1" t="s">
        <v>277</v>
      </c>
      <c r="DV369" s="1" t="s">
        <v>538</v>
      </c>
      <c r="DW369" s="1" t="s">
        <v>822</v>
      </c>
      <c r="EA369" s="1" t="s">
        <v>230</v>
      </c>
      <c r="EE369" s="1" t="s">
        <v>230</v>
      </c>
      <c r="EI369" s="1" t="s">
        <v>230</v>
      </c>
      <c r="EL369" s="1" t="s">
        <v>466</v>
      </c>
      <c r="EM369" s="1" t="s">
        <v>232</v>
      </c>
      <c r="EN369" s="1" t="s">
        <v>282</v>
      </c>
      <c r="EO369" s="1" t="s">
        <v>234</v>
      </c>
      <c r="ER369" s="1" t="s">
        <v>544</v>
      </c>
      <c r="EU369" s="1" t="s">
        <v>610</v>
      </c>
      <c r="EW369" s="1" t="s">
        <v>353</v>
      </c>
      <c r="EZ369" s="1" t="s">
        <v>3875</v>
      </c>
      <c r="FD369" s="1" t="s">
        <v>1112</v>
      </c>
      <c r="FE369" s="1" t="s">
        <v>472</v>
      </c>
      <c r="FF369" s="1" t="s">
        <v>248</v>
      </c>
      <c r="FH369" s="1" t="s">
        <v>550</v>
      </c>
      <c r="FL369" s="1" t="s">
        <v>358</v>
      </c>
      <c r="FM369" s="1" t="s">
        <v>252</v>
      </c>
      <c r="FN369" s="1" t="s">
        <v>213</v>
      </c>
      <c r="FO369" s="1" t="s">
        <v>213</v>
      </c>
      <c r="FQ369" s="1" t="s">
        <v>582</v>
      </c>
      <c r="FR369" s="1" t="s">
        <v>210</v>
      </c>
      <c r="FS369" s="1" t="s">
        <v>5209</v>
      </c>
      <c r="FT369" s="1" t="s">
        <v>584</v>
      </c>
      <c r="FU369" s="1" t="s">
        <v>204</v>
      </c>
      <c r="FW369" s="1" t="s">
        <v>3015</v>
      </c>
      <c r="FX369" s="1">
        <v>24199</v>
      </c>
      <c r="FY369" s="1" t="s">
        <v>3016</v>
      </c>
      <c r="FZ369" s="1" t="s">
        <v>3017</v>
      </c>
      <c r="GA369" s="1">
        <v>235607</v>
      </c>
      <c r="GB369" s="1" t="s">
        <v>3018</v>
      </c>
      <c r="GC369" s="1">
        <v>237175</v>
      </c>
      <c r="GE369" s="1" t="s">
        <v>480</v>
      </c>
      <c r="GI369" s="1" t="s">
        <v>204</v>
      </c>
      <c r="GJ369" s="1" t="s">
        <v>260</v>
      </c>
      <c r="GK369" s="1" t="s">
        <v>210</v>
      </c>
      <c r="GL369" s="2">
        <v>42038</v>
      </c>
      <c r="GM369" s="1" t="s">
        <v>5210</v>
      </c>
    </row>
    <row r="370" spans="1:195">
      <c r="A370" s="1">
        <v>13500</v>
      </c>
      <c r="B370" s="1" t="s">
        <v>195</v>
      </c>
      <c r="C370" s="1" t="str">
        <f>"08795551"</f>
        <v>08795551</v>
      </c>
      <c r="D370" s="1" t="s">
        <v>196</v>
      </c>
      <c r="F370" s="1" t="str">
        <f>"8050"</f>
        <v>8050</v>
      </c>
      <c r="G370" s="2">
        <v>41975</v>
      </c>
      <c r="H370" s="1">
        <v>14000</v>
      </c>
      <c r="I370" s="1">
        <v>11000</v>
      </c>
      <c r="J370" s="1">
        <v>13500</v>
      </c>
      <c r="K370" s="2">
        <v>41975</v>
      </c>
      <c r="L370" s="1">
        <v>113</v>
      </c>
      <c r="M370" s="2">
        <v>42087</v>
      </c>
      <c r="N370" s="1">
        <v>113</v>
      </c>
      <c r="O370" s="2">
        <v>42087</v>
      </c>
      <c r="P370" s="1">
        <v>24782</v>
      </c>
      <c r="Q370" s="1" t="s">
        <v>302</v>
      </c>
      <c r="R370" s="2">
        <v>42094</v>
      </c>
      <c r="S370" s="1">
        <v>237287</v>
      </c>
      <c r="U370" s="1">
        <v>662</v>
      </c>
      <c r="V370" s="1" t="s">
        <v>5211</v>
      </c>
      <c r="W370" s="1" t="s">
        <v>779</v>
      </c>
      <c r="Y370" s="1">
        <v>1</v>
      </c>
      <c r="Z370" s="1" t="s">
        <v>200</v>
      </c>
      <c r="AA370" s="1" t="s">
        <v>400</v>
      </c>
      <c r="AB370" s="1">
        <v>60628</v>
      </c>
      <c r="AE370" s="1" t="s">
        <v>5212</v>
      </c>
      <c r="AF370" s="1">
        <v>1944</v>
      </c>
      <c r="AG370" s="1" t="s">
        <v>213</v>
      </c>
      <c r="AH370" s="1" t="s">
        <v>403</v>
      </c>
      <c r="AI370" s="1" t="s">
        <v>310</v>
      </c>
      <c r="AJ370" s="1" t="s">
        <v>562</v>
      </c>
      <c r="AL370" s="1">
        <v>4</v>
      </c>
      <c r="AM370" s="1">
        <v>2</v>
      </c>
      <c r="AN370" s="1">
        <v>2</v>
      </c>
      <c r="AO370" s="1">
        <v>0</v>
      </c>
      <c r="AP370" s="1" t="s">
        <v>210</v>
      </c>
      <c r="AR370" s="1" t="s">
        <v>210</v>
      </c>
      <c r="AS370" s="1" t="s">
        <v>204</v>
      </c>
      <c r="AT370" s="1" t="s">
        <v>210</v>
      </c>
      <c r="AW370" s="1" t="s">
        <v>204</v>
      </c>
      <c r="AX370" s="1" t="s">
        <v>212</v>
      </c>
      <c r="AZ370" s="1">
        <v>1492</v>
      </c>
      <c r="BA370" s="1">
        <v>2013</v>
      </c>
      <c r="BE370" s="1">
        <v>890</v>
      </c>
      <c r="BF370" s="1">
        <v>1</v>
      </c>
      <c r="BG370" s="1">
        <v>0</v>
      </c>
      <c r="BL370" s="1">
        <v>0</v>
      </c>
      <c r="BM370" s="1" t="s">
        <v>204</v>
      </c>
      <c r="BN370" s="1" t="s">
        <v>213</v>
      </c>
      <c r="BO370" s="1">
        <v>0</v>
      </c>
      <c r="BP370" s="1" t="s">
        <v>204</v>
      </c>
      <c r="BR370" s="1" t="str">
        <f>"25152181230000"</f>
        <v>25152181230000</v>
      </c>
      <c r="BT370" s="1" t="s">
        <v>5213</v>
      </c>
      <c r="BX370" s="1">
        <v>299</v>
      </c>
      <c r="BY370" s="1">
        <v>299</v>
      </c>
      <c r="BZ370" s="1">
        <v>299</v>
      </c>
      <c r="CB370" s="1" t="str">
        <f>"0"</f>
        <v>0</v>
      </c>
      <c r="CC370" s="1" t="str">
        <f>"662"</f>
        <v>662</v>
      </c>
      <c r="CD370" s="1">
        <v>0</v>
      </c>
      <c r="CE370" s="1">
        <v>10500</v>
      </c>
      <c r="CG370" s="1" t="s">
        <v>377</v>
      </c>
      <c r="CH370" s="1" t="s">
        <v>219</v>
      </c>
      <c r="CK370" s="1" t="s">
        <v>378</v>
      </c>
      <c r="CL370" s="1" t="s">
        <v>277</v>
      </c>
      <c r="CP370" s="1" t="s">
        <v>224</v>
      </c>
      <c r="CS370" s="1" t="s">
        <v>318</v>
      </c>
      <c r="CT370" s="1" t="s">
        <v>277</v>
      </c>
      <c r="CX370" s="1" t="s">
        <v>224</v>
      </c>
      <c r="DB370" s="1" t="s">
        <v>224</v>
      </c>
      <c r="DE370" s="1" t="s">
        <v>1046</v>
      </c>
      <c r="DF370" s="1" t="s">
        <v>219</v>
      </c>
      <c r="DJ370" s="1" t="s">
        <v>224</v>
      </c>
      <c r="DS370" s="1" t="s">
        <v>230</v>
      </c>
      <c r="DW370" s="1" t="s">
        <v>230</v>
      </c>
      <c r="EA370" s="1" t="s">
        <v>230</v>
      </c>
      <c r="EE370" s="1" t="s">
        <v>230</v>
      </c>
      <c r="EI370" s="1" t="s">
        <v>230</v>
      </c>
      <c r="EL370" s="1" t="s">
        <v>3717</v>
      </c>
      <c r="EM370" s="1" t="s">
        <v>319</v>
      </c>
      <c r="EN370" s="1" t="s">
        <v>210</v>
      </c>
      <c r="EO370" s="1" t="s">
        <v>234</v>
      </c>
      <c r="ER370" s="1" t="s">
        <v>210</v>
      </c>
      <c r="EW370" s="1" t="s">
        <v>210</v>
      </c>
      <c r="EZ370" s="1" t="s">
        <v>287</v>
      </c>
      <c r="FD370" s="1" t="s">
        <v>246</v>
      </c>
      <c r="FE370" s="1" t="s">
        <v>247</v>
      </c>
      <c r="FF370" s="1" t="s">
        <v>248</v>
      </c>
      <c r="FH370" s="1" t="s">
        <v>550</v>
      </c>
      <c r="FL370" s="1" t="s">
        <v>414</v>
      </c>
      <c r="FM370" s="1" t="s">
        <v>252</v>
      </c>
      <c r="FN370" s="1" t="s">
        <v>213</v>
      </c>
      <c r="FO370" s="1" t="s">
        <v>213</v>
      </c>
      <c r="FQ370" s="1" t="s">
        <v>5214</v>
      </c>
      <c r="FR370" s="1" t="s">
        <v>210</v>
      </c>
      <c r="FS370" s="1" t="s">
        <v>2541</v>
      </c>
      <c r="FT370" s="1" t="s">
        <v>362</v>
      </c>
      <c r="FU370" s="1" t="s">
        <v>204</v>
      </c>
      <c r="FW370" s="1" t="s">
        <v>5215</v>
      </c>
      <c r="FX370" s="1">
        <v>23920</v>
      </c>
      <c r="FY370" s="1" t="s">
        <v>5216</v>
      </c>
      <c r="FZ370" s="1" t="s">
        <v>5217</v>
      </c>
      <c r="GA370" s="1">
        <v>604434</v>
      </c>
      <c r="GB370" s="1" t="s">
        <v>5216</v>
      </c>
      <c r="GE370" s="1" t="s">
        <v>210</v>
      </c>
      <c r="GH370" s="1" t="s">
        <v>800</v>
      </c>
      <c r="GI370" s="1" t="s">
        <v>213</v>
      </c>
      <c r="GJ370" s="1" t="s">
        <v>260</v>
      </c>
      <c r="GK370" s="1" t="s">
        <v>210</v>
      </c>
      <c r="GL370" s="2">
        <v>42094</v>
      </c>
      <c r="GM370" s="1" t="s">
        <v>5218</v>
      </c>
    </row>
    <row r="371" spans="1:195">
      <c r="A371" s="1">
        <v>387000</v>
      </c>
      <c r="B371" s="1" t="s">
        <v>195</v>
      </c>
      <c r="C371" s="1" t="str">
        <f>"08792582"</f>
        <v>08792582</v>
      </c>
      <c r="D371" s="1" t="s">
        <v>196</v>
      </c>
      <c r="F371" s="1" t="str">
        <f>"515"</f>
        <v>515</v>
      </c>
      <c r="G371" s="2">
        <v>41968</v>
      </c>
      <c r="H371" s="1">
        <v>422500</v>
      </c>
      <c r="I371" s="1">
        <v>417500</v>
      </c>
      <c r="J371" s="1">
        <v>387000</v>
      </c>
      <c r="K371" s="2">
        <v>41966</v>
      </c>
      <c r="L371" s="1">
        <v>46</v>
      </c>
      <c r="M371" s="2">
        <v>42011</v>
      </c>
      <c r="N371" s="1">
        <v>46</v>
      </c>
      <c r="O371" s="2">
        <v>42011</v>
      </c>
      <c r="P371" s="1">
        <v>10988</v>
      </c>
      <c r="Q371" s="1" t="s">
        <v>197</v>
      </c>
      <c r="R371" s="2">
        <v>42059</v>
      </c>
      <c r="S371" s="1">
        <v>874469</v>
      </c>
      <c r="U371" s="1">
        <v>945</v>
      </c>
      <c r="V371" s="1" t="s">
        <v>2756</v>
      </c>
      <c r="W371" s="1" t="s">
        <v>425</v>
      </c>
      <c r="X371" s="1">
        <v>203</v>
      </c>
      <c r="Y371" s="1">
        <v>42</v>
      </c>
      <c r="Z371" s="1" t="s">
        <v>200</v>
      </c>
      <c r="AA371" s="1" t="s">
        <v>1294</v>
      </c>
      <c r="AB371" s="1">
        <v>60515</v>
      </c>
      <c r="AD371" s="1" t="s">
        <v>2757</v>
      </c>
      <c r="AE371" s="1" t="s">
        <v>5219</v>
      </c>
      <c r="AF371" s="1">
        <v>2007</v>
      </c>
      <c r="AG371" s="1" t="s">
        <v>204</v>
      </c>
      <c r="AH371" s="1" t="s">
        <v>903</v>
      </c>
      <c r="AI371" s="1" t="s">
        <v>206</v>
      </c>
      <c r="AJ371" s="1" t="s">
        <v>903</v>
      </c>
      <c r="AL371" s="1">
        <v>6</v>
      </c>
      <c r="AM371" s="1">
        <v>2</v>
      </c>
      <c r="AN371" s="1">
        <v>2</v>
      </c>
      <c r="AO371" s="1">
        <v>0</v>
      </c>
      <c r="AP371" s="1" t="s">
        <v>209</v>
      </c>
      <c r="AR371" s="1" t="s">
        <v>210</v>
      </c>
      <c r="AS371" s="1" t="s">
        <v>204</v>
      </c>
      <c r="AT371" s="1" t="s">
        <v>211</v>
      </c>
      <c r="AU371" s="1">
        <v>2</v>
      </c>
      <c r="AW371" s="1" t="s">
        <v>204</v>
      </c>
      <c r="AX371" s="1" t="s">
        <v>212</v>
      </c>
      <c r="AZ371" s="1">
        <v>5557</v>
      </c>
      <c r="BA371" s="1">
        <v>2013</v>
      </c>
      <c r="BB371" s="1" t="s">
        <v>405</v>
      </c>
      <c r="BE371" s="1">
        <v>1419</v>
      </c>
      <c r="BF371" s="1">
        <v>3</v>
      </c>
      <c r="BG371" s="1">
        <v>0</v>
      </c>
      <c r="BL371" s="1">
        <v>404</v>
      </c>
      <c r="BM371" s="1" t="s">
        <v>204</v>
      </c>
      <c r="BN371" s="1" t="s">
        <v>213</v>
      </c>
      <c r="BO371" s="1">
        <v>0</v>
      </c>
      <c r="BP371" s="1" t="s">
        <v>204</v>
      </c>
      <c r="BR371" s="1" t="str">
        <f>"0908135003"</f>
        <v>0908135003</v>
      </c>
      <c r="BT371" s="1" t="s">
        <v>5220</v>
      </c>
      <c r="BU371" s="1" t="s">
        <v>2760</v>
      </c>
      <c r="BV371" s="1" t="s">
        <v>2761</v>
      </c>
      <c r="BW371" s="1" t="s">
        <v>2762</v>
      </c>
      <c r="BX371" s="1">
        <v>58</v>
      </c>
      <c r="BY371" s="1">
        <v>58</v>
      </c>
      <c r="BZ371" s="1">
        <v>99</v>
      </c>
      <c r="CB371" s="1" t="str">
        <f t="shared" ref="CB371:CC371" si="294">""</f>
        <v/>
      </c>
      <c r="CC371" s="1" t="str">
        <f t="shared" si="294"/>
        <v/>
      </c>
      <c r="CG371" s="1" t="s">
        <v>5221</v>
      </c>
      <c r="CH371" s="1" t="s">
        <v>219</v>
      </c>
      <c r="CI371" s="1" t="s">
        <v>438</v>
      </c>
      <c r="CJ371" s="1" t="s">
        <v>463</v>
      </c>
      <c r="CK371" s="1" t="s">
        <v>3634</v>
      </c>
      <c r="CL371" s="1" t="s">
        <v>219</v>
      </c>
      <c r="CM371" s="1" t="s">
        <v>438</v>
      </c>
      <c r="CN371" s="1" t="s">
        <v>909</v>
      </c>
      <c r="CO371" s="1" t="s">
        <v>629</v>
      </c>
      <c r="CP371" s="1" t="s">
        <v>219</v>
      </c>
      <c r="CQ371" s="1" t="s">
        <v>438</v>
      </c>
      <c r="CR371" s="1" t="s">
        <v>210</v>
      </c>
      <c r="CS371" s="1" t="s">
        <v>2170</v>
      </c>
      <c r="CT371" s="1" t="s">
        <v>219</v>
      </c>
      <c r="CU371" s="1" t="s">
        <v>438</v>
      </c>
      <c r="CV371" s="1" t="s">
        <v>909</v>
      </c>
      <c r="CX371" s="1" t="s">
        <v>224</v>
      </c>
      <c r="DB371" s="1" t="s">
        <v>224</v>
      </c>
      <c r="DE371" s="1" t="s">
        <v>1046</v>
      </c>
      <c r="DF371" s="1" t="s">
        <v>219</v>
      </c>
      <c r="DG371" s="1" t="s">
        <v>347</v>
      </c>
      <c r="DH371" s="1" t="s">
        <v>210</v>
      </c>
      <c r="DJ371" s="1" t="s">
        <v>224</v>
      </c>
      <c r="DM371" s="1" t="s">
        <v>227</v>
      </c>
      <c r="DR371" s="1" t="s">
        <v>5222</v>
      </c>
      <c r="DS371" s="1" t="s">
        <v>219</v>
      </c>
      <c r="DT371" s="1" t="s">
        <v>438</v>
      </c>
      <c r="DU371" s="1" t="s">
        <v>210</v>
      </c>
      <c r="DW371" s="1" t="s">
        <v>230</v>
      </c>
      <c r="EA371" s="1" t="s">
        <v>230</v>
      </c>
      <c r="EE371" s="1" t="s">
        <v>230</v>
      </c>
      <c r="EI371" s="1" t="s">
        <v>230</v>
      </c>
      <c r="EL371" s="1" t="s">
        <v>491</v>
      </c>
      <c r="EM371" s="1" t="s">
        <v>232</v>
      </c>
      <c r="EN371" s="1" t="s">
        <v>282</v>
      </c>
      <c r="EO371" s="1" t="s">
        <v>234</v>
      </c>
      <c r="EP371" s="1" t="s">
        <v>2764</v>
      </c>
      <c r="EQ371" s="1" t="s">
        <v>671</v>
      </c>
      <c r="ER371" s="1" t="s">
        <v>210</v>
      </c>
      <c r="ES371" s="1" t="s">
        <v>608</v>
      </c>
      <c r="ET371" s="1" t="s">
        <v>238</v>
      </c>
      <c r="EV371" s="1" t="s">
        <v>240</v>
      </c>
      <c r="EW371" s="1" t="s">
        <v>5223</v>
      </c>
      <c r="EY371" s="1" t="s">
        <v>242</v>
      </c>
      <c r="EZ371" s="1" t="s">
        <v>227</v>
      </c>
      <c r="FB371" s="1" t="s">
        <v>289</v>
      </c>
      <c r="FD371" s="1" t="s">
        <v>246</v>
      </c>
      <c r="FE371" s="1" t="s">
        <v>247</v>
      </c>
      <c r="FF371" s="1" t="s">
        <v>248</v>
      </c>
      <c r="FH371" s="1" t="s">
        <v>249</v>
      </c>
      <c r="FI371" s="1" t="s">
        <v>1114</v>
      </c>
      <c r="FL371" s="1" t="s">
        <v>358</v>
      </c>
      <c r="FM371" s="1" t="s">
        <v>252</v>
      </c>
      <c r="FN371" s="1" t="s">
        <v>213</v>
      </c>
      <c r="FO371" s="1" t="s">
        <v>213</v>
      </c>
      <c r="FQ371" s="1" t="s">
        <v>329</v>
      </c>
      <c r="FR371" s="1" t="s">
        <v>652</v>
      </c>
      <c r="FS371" s="1" t="s">
        <v>5224</v>
      </c>
      <c r="FT371" s="1" t="s">
        <v>255</v>
      </c>
      <c r="FU371" s="1" t="s">
        <v>204</v>
      </c>
      <c r="FV371" s="1" t="s">
        <v>5225</v>
      </c>
      <c r="FW371" s="1" t="s">
        <v>3116</v>
      </c>
      <c r="FX371" s="1">
        <v>21823</v>
      </c>
      <c r="FY371" s="1" t="s">
        <v>3117</v>
      </c>
      <c r="FZ371" s="1" t="s">
        <v>5226</v>
      </c>
      <c r="GA371" s="1">
        <v>219744</v>
      </c>
      <c r="GB371" s="1" t="s">
        <v>5227</v>
      </c>
      <c r="GE371" s="1" t="s">
        <v>5228</v>
      </c>
      <c r="GI371" s="1" t="s">
        <v>213</v>
      </c>
      <c r="GJ371" s="1" t="s">
        <v>260</v>
      </c>
      <c r="GK371" s="1" t="s">
        <v>210</v>
      </c>
      <c r="GL371" s="2">
        <v>42059</v>
      </c>
      <c r="GM371" s="1" t="s">
        <v>5229</v>
      </c>
    </row>
    <row r="372" spans="1:195">
      <c r="A372" s="1">
        <v>87000</v>
      </c>
      <c r="B372" s="1" t="s">
        <v>195</v>
      </c>
      <c r="C372" s="1" t="str">
        <f>"08789896"</f>
        <v>08789896</v>
      </c>
      <c r="D372" s="1" t="s">
        <v>196</v>
      </c>
      <c r="F372" s="1" t="str">
        <f>"516"</f>
        <v>516</v>
      </c>
      <c r="G372" s="2">
        <v>41963</v>
      </c>
      <c r="H372" s="1">
        <v>97000</v>
      </c>
      <c r="I372" s="1">
        <v>97000</v>
      </c>
      <c r="J372" s="1">
        <v>87000</v>
      </c>
      <c r="K372" s="2">
        <v>41963</v>
      </c>
      <c r="L372" s="1">
        <v>19</v>
      </c>
      <c r="M372" s="2">
        <v>41981</v>
      </c>
      <c r="N372" s="1">
        <v>19</v>
      </c>
      <c r="O372" s="2">
        <v>41981</v>
      </c>
      <c r="P372" s="1">
        <v>25042</v>
      </c>
      <c r="Q372" s="1" t="s">
        <v>302</v>
      </c>
      <c r="R372" s="2">
        <v>42046</v>
      </c>
      <c r="S372" s="1">
        <v>243066</v>
      </c>
      <c r="U372" s="1">
        <v>6156</v>
      </c>
      <c r="V372" s="1" t="s">
        <v>5230</v>
      </c>
      <c r="W372" s="1" t="s">
        <v>264</v>
      </c>
      <c r="X372" s="1">
        <v>204</v>
      </c>
      <c r="Y372" s="1">
        <v>12</v>
      </c>
      <c r="Z372" s="1" t="s">
        <v>249</v>
      </c>
      <c r="AA372" s="1" t="s">
        <v>1417</v>
      </c>
      <c r="AB372" s="1">
        <v>60527</v>
      </c>
      <c r="AE372" s="1" t="s">
        <v>5231</v>
      </c>
      <c r="AF372" s="1">
        <v>1973</v>
      </c>
      <c r="AG372" s="1" t="s">
        <v>213</v>
      </c>
      <c r="AH372" s="1" t="s">
        <v>1419</v>
      </c>
      <c r="AI372" s="1" t="s">
        <v>206</v>
      </c>
      <c r="AJ372" s="1" t="s">
        <v>903</v>
      </c>
      <c r="AL372" s="1">
        <v>5</v>
      </c>
      <c r="AM372" s="1">
        <v>2</v>
      </c>
      <c r="AN372" s="1">
        <v>2</v>
      </c>
      <c r="AO372" s="1">
        <v>0</v>
      </c>
      <c r="AP372" s="1" t="s">
        <v>209</v>
      </c>
      <c r="AR372" s="1" t="s">
        <v>210</v>
      </c>
      <c r="AS372" s="1" t="s">
        <v>204</v>
      </c>
      <c r="AT372" s="1" t="s">
        <v>271</v>
      </c>
      <c r="AV372" s="1">
        <v>2</v>
      </c>
      <c r="AW372" s="1" t="s">
        <v>204</v>
      </c>
      <c r="AX372" s="1" t="s">
        <v>212</v>
      </c>
      <c r="AZ372" s="1">
        <v>1652</v>
      </c>
      <c r="BA372" s="1">
        <v>2013</v>
      </c>
      <c r="BE372" s="1">
        <v>930</v>
      </c>
      <c r="BF372" s="1">
        <v>2</v>
      </c>
      <c r="BG372" s="1">
        <v>0</v>
      </c>
      <c r="BL372" s="1">
        <v>324</v>
      </c>
      <c r="BM372" s="1" t="s">
        <v>413</v>
      </c>
      <c r="BN372" s="1" t="s">
        <v>204</v>
      </c>
      <c r="BP372" s="1" t="s">
        <v>204</v>
      </c>
      <c r="BR372" s="1" t="str">
        <f>"0914303494"</f>
        <v>0914303494</v>
      </c>
      <c r="BT372" s="1" t="s">
        <v>5232</v>
      </c>
      <c r="BX372" s="1">
        <v>60</v>
      </c>
      <c r="BY372" s="1">
        <v>60</v>
      </c>
      <c r="BZ372" s="1">
        <v>86</v>
      </c>
      <c r="CB372" s="1" t="str">
        <f t="shared" ref="CB372:CC372" si="295">""</f>
        <v/>
      </c>
      <c r="CC372" s="1" t="str">
        <f t="shared" si="295"/>
        <v/>
      </c>
      <c r="CG372" s="1" t="s">
        <v>3316</v>
      </c>
      <c r="CH372" s="1" t="s">
        <v>219</v>
      </c>
      <c r="CK372" s="1" t="s">
        <v>318</v>
      </c>
      <c r="CL372" s="1" t="s">
        <v>219</v>
      </c>
      <c r="CO372" s="1" t="s">
        <v>3657</v>
      </c>
      <c r="CP372" s="1" t="s">
        <v>219</v>
      </c>
      <c r="CS372" s="1" t="s">
        <v>316</v>
      </c>
      <c r="CT372" s="1" t="s">
        <v>219</v>
      </c>
      <c r="CX372" s="1" t="s">
        <v>224</v>
      </c>
      <c r="DB372" s="1" t="s">
        <v>224</v>
      </c>
      <c r="DE372" s="1" t="s">
        <v>5233</v>
      </c>
      <c r="DF372" s="1" t="s">
        <v>219</v>
      </c>
      <c r="DJ372" s="1" t="s">
        <v>224</v>
      </c>
      <c r="DS372" s="1" t="s">
        <v>230</v>
      </c>
      <c r="DW372" s="1" t="s">
        <v>230</v>
      </c>
      <c r="EA372" s="1" t="s">
        <v>230</v>
      </c>
      <c r="EE372" s="1" t="s">
        <v>230</v>
      </c>
      <c r="EI372" s="1" t="s">
        <v>230</v>
      </c>
      <c r="EL372" s="1" t="s">
        <v>605</v>
      </c>
      <c r="EM372" s="1" t="s">
        <v>319</v>
      </c>
      <c r="EN372" s="1" t="s">
        <v>282</v>
      </c>
      <c r="EO372" s="1" t="s">
        <v>234</v>
      </c>
      <c r="ER372" s="1" t="s">
        <v>383</v>
      </c>
      <c r="EW372" s="1" t="s">
        <v>347</v>
      </c>
      <c r="EZ372" s="1" t="s">
        <v>287</v>
      </c>
      <c r="FD372" s="1" t="s">
        <v>1112</v>
      </c>
      <c r="FE372" s="1" t="s">
        <v>549</v>
      </c>
      <c r="FF372" s="1" t="s">
        <v>248</v>
      </c>
      <c r="FH372" s="1" t="s">
        <v>249</v>
      </c>
      <c r="FL372" s="1" t="s">
        <v>358</v>
      </c>
      <c r="FM372" s="1" t="s">
        <v>252</v>
      </c>
      <c r="FN372" s="1" t="s">
        <v>213</v>
      </c>
      <c r="FO372" s="1" t="s">
        <v>213</v>
      </c>
      <c r="FQ372" s="1" t="s">
        <v>582</v>
      </c>
      <c r="FR372" s="1" t="s">
        <v>210</v>
      </c>
      <c r="FS372" s="1" t="s">
        <v>475</v>
      </c>
      <c r="FT372" s="1" t="s">
        <v>654</v>
      </c>
      <c r="FU372" s="1" t="s">
        <v>204</v>
      </c>
      <c r="FW372" s="1" t="s">
        <v>5234</v>
      </c>
      <c r="FX372" s="1">
        <v>24138</v>
      </c>
      <c r="FY372" s="1" t="s">
        <v>5235</v>
      </c>
      <c r="FZ372" s="1" t="s">
        <v>5236</v>
      </c>
      <c r="GA372" s="1">
        <v>235435</v>
      </c>
      <c r="GB372" s="1" t="s">
        <v>5235</v>
      </c>
      <c r="GE372" s="1" t="s">
        <v>210</v>
      </c>
      <c r="GI372" s="1" t="s">
        <v>213</v>
      </c>
      <c r="GJ372" s="1" t="s">
        <v>260</v>
      </c>
      <c r="GK372" s="1" t="s">
        <v>210</v>
      </c>
      <c r="GL372" s="2">
        <v>42060</v>
      </c>
      <c r="GM372" s="1" t="s">
        <v>5237</v>
      </c>
    </row>
    <row r="373" spans="1:195">
      <c r="A373" s="1">
        <v>114000</v>
      </c>
      <c r="B373" s="1" t="s">
        <v>195</v>
      </c>
      <c r="C373" s="1" t="str">
        <f>"08797479"</f>
        <v>08797479</v>
      </c>
      <c r="D373" s="1" t="s">
        <v>196</v>
      </c>
      <c r="F373" s="1" t="str">
        <f>"47"</f>
        <v>47</v>
      </c>
      <c r="G373" s="2">
        <v>41978</v>
      </c>
      <c r="H373" s="1">
        <v>139000</v>
      </c>
      <c r="I373" s="1">
        <v>129000</v>
      </c>
      <c r="J373" s="1">
        <v>114000</v>
      </c>
      <c r="K373" s="2">
        <v>41978</v>
      </c>
      <c r="L373" s="1">
        <v>89</v>
      </c>
      <c r="M373" s="2">
        <v>42066</v>
      </c>
      <c r="N373" s="1">
        <v>89</v>
      </c>
      <c r="O373" s="2">
        <v>42066</v>
      </c>
      <c r="P373" s="1">
        <v>14316</v>
      </c>
      <c r="Q373" s="1" t="s">
        <v>197</v>
      </c>
      <c r="R373" s="2">
        <v>42115</v>
      </c>
      <c r="S373" s="1">
        <v>133470</v>
      </c>
      <c r="U373" s="1">
        <v>100</v>
      </c>
      <c r="V373" s="1" t="s">
        <v>5238</v>
      </c>
      <c r="W373" s="1" t="s">
        <v>504</v>
      </c>
      <c r="X373" s="1">
        <v>306</v>
      </c>
      <c r="Y373" s="1">
        <v>12</v>
      </c>
      <c r="Z373" s="1" t="s">
        <v>370</v>
      </c>
      <c r="AA373" s="1" t="s">
        <v>528</v>
      </c>
      <c r="AB373" s="1">
        <v>60047</v>
      </c>
      <c r="AD373" s="1" t="s">
        <v>5239</v>
      </c>
      <c r="AE373" s="1" t="s">
        <v>5240</v>
      </c>
      <c r="AF373" s="1">
        <v>1973</v>
      </c>
      <c r="AG373" s="1" t="s">
        <v>213</v>
      </c>
      <c r="AH373" s="1" t="s">
        <v>531</v>
      </c>
      <c r="AI373" s="1" t="s">
        <v>509</v>
      </c>
      <c r="AJ373" s="1" t="s">
        <v>532</v>
      </c>
      <c r="AL373" s="1">
        <v>6</v>
      </c>
      <c r="AM373" s="1">
        <v>2</v>
      </c>
      <c r="AN373" s="1">
        <v>2</v>
      </c>
      <c r="AO373" s="1">
        <v>0</v>
      </c>
      <c r="AP373" s="1" t="s">
        <v>209</v>
      </c>
      <c r="AR373" s="1" t="s">
        <v>210</v>
      </c>
      <c r="AS373" s="1" t="s">
        <v>204</v>
      </c>
      <c r="AT373" s="1" t="s">
        <v>271</v>
      </c>
      <c r="AV373" s="1">
        <v>1</v>
      </c>
      <c r="AW373" s="1" t="s">
        <v>213</v>
      </c>
      <c r="AX373" s="1" t="s">
        <v>1265</v>
      </c>
      <c r="AZ373" s="1">
        <v>2146.46</v>
      </c>
      <c r="BA373" s="1">
        <v>2013</v>
      </c>
      <c r="BB373" s="1" t="s">
        <v>210</v>
      </c>
      <c r="BE373" s="1">
        <v>1200</v>
      </c>
      <c r="BF373" s="1">
        <v>3</v>
      </c>
      <c r="BG373" s="1">
        <v>0</v>
      </c>
      <c r="BL373" s="1">
        <v>329</v>
      </c>
      <c r="BM373" s="1" t="s">
        <v>413</v>
      </c>
      <c r="BN373" s="1" t="s">
        <v>213</v>
      </c>
      <c r="BO373" s="1">
        <v>50</v>
      </c>
      <c r="BP373" s="1" t="s">
        <v>204</v>
      </c>
      <c r="BR373" s="1" t="str">
        <f>"14191010670000"</f>
        <v>14191010670000</v>
      </c>
      <c r="BT373" s="1" t="s">
        <v>5241</v>
      </c>
      <c r="BX373" s="1">
        <v>95</v>
      </c>
      <c r="BY373" s="1">
        <v>95</v>
      </c>
      <c r="BZ373" s="1">
        <v>95</v>
      </c>
      <c r="CB373" s="1" t="str">
        <f t="shared" ref="CB373:CC373" si="296">""</f>
        <v/>
      </c>
      <c r="CC373" s="1" t="str">
        <f t="shared" si="296"/>
        <v/>
      </c>
      <c r="CG373" s="1" t="s">
        <v>218</v>
      </c>
      <c r="CH373" s="1" t="s">
        <v>219</v>
      </c>
      <c r="CI373" s="1" t="s">
        <v>220</v>
      </c>
      <c r="CJ373" s="1" t="s">
        <v>343</v>
      </c>
      <c r="CK373" s="1" t="s">
        <v>437</v>
      </c>
      <c r="CL373" s="1" t="s">
        <v>219</v>
      </c>
      <c r="CM373" s="1" t="s">
        <v>220</v>
      </c>
      <c r="CN373" s="1" t="s">
        <v>343</v>
      </c>
      <c r="CO373" s="1" t="s">
        <v>629</v>
      </c>
      <c r="CP373" s="1" t="s">
        <v>219</v>
      </c>
      <c r="CQ373" s="1" t="s">
        <v>220</v>
      </c>
      <c r="CS373" s="1" t="s">
        <v>379</v>
      </c>
      <c r="CT373" s="1" t="s">
        <v>219</v>
      </c>
      <c r="CU373" s="1" t="s">
        <v>220</v>
      </c>
      <c r="CV373" s="1" t="s">
        <v>343</v>
      </c>
      <c r="CX373" s="1" t="s">
        <v>224</v>
      </c>
      <c r="DB373" s="1" t="s">
        <v>224</v>
      </c>
      <c r="DE373" s="1" t="s">
        <v>2031</v>
      </c>
      <c r="DF373" s="1" t="s">
        <v>219</v>
      </c>
      <c r="DG373" s="1" t="s">
        <v>226</v>
      </c>
      <c r="DJ373" s="1" t="s">
        <v>224</v>
      </c>
      <c r="DM373" s="1" t="s">
        <v>381</v>
      </c>
      <c r="DR373" s="1" t="s">
        <v>2031</v>
      </c>
      <c r="DS373" s="1" t="s">
        <v>219</v>
      </c>
      <c r="DT373" s="1" t="s">
        <v>226</v>
      </c>
      <c r="DW373" s="1" t="s">
        <v>230</v>
      </c>
      <c r="EA373" s="1" t="s">
        <v>230</v>
      </c>
      <c r="EE373" s="1" t="s">
        <v>230</v>
      </c>
      <c r="EI373" s="1" t="s">
        <v>230</v>
      </c>
      <c r="EL373" s="1" t="s">
        <v>605</v>
      </c>
      <c r="EM373" s="1" t="s">
        <v>319</v>
      </c>
      <c r="EN373" s="1" t="s">
        <v>282</v>
      </c>
      <c r="EO373" s="1" t="s">
        <v>234</v>
      </c>
      <c r="EQ373" s="1" t="s">
        <v>468</v>
      </c>
      <c r="ER373" s="1" t="s">
        <v>210</v>
      </c>
      <c r="ES373" s="1" t="s">
        <v>824</v>
      </c>
      <c r="EU373" s="1" t="s">
        <v>239</v>
      </c>
      <c r="EV373" s="1" t="s">
        <v>240</v>
      </c>
      <c r="EW373" s="1" t="s">
        <v>3113</v>
      </c>
      <c r="EZ373" s="1" t="s">
        <v>381</v>
      </c>
      <c r="FD373" s="1" t="s">
        <v>246</v>
      </c>
      <c r="FE373" s="1" t="s">
        <v>247</v>
      </c>
      <c r="FF373" s="1" t="s">
        <v>387</v>
      </c>
      <c r="FH373" s="1" t="s">
        <v>249</v>
      </c>
      <c r="FK373" s="1" t="s">
        <v>291</v>
      </c>
      <c r="FL373" s="1" t="s">
        <v>358</v>
      </c>
      <c r="FM373" s="1" t="s">
        <v>252</v>
      </c>
      <c r="FN373" s="1" t="s">
        <v>213</v>
      </c>
      <c r="FO373" s="1" t="s">
        <v>213</v>
      </c>
      <c r="FQ373" s="1" t="s">
        <v>5242</v>
      </c>
      <c r="FR373" s="1" t="s">
        <v>210</v>
      </c>
      <c r="FS373" s="1" t="s">
        <v>5243</v>
      </c>
      <c r="FT373" s="1" t="s">
        <v>295</v>
      </c>
      <c r="FU373" s="1" t="s">
        <v>204</v>
      </c>
      <c r="FW373" s="1" t="s">
        <v>2006</v>
      </c>
      <c r="FX373" s="1">
        <v>4564</v>
      </c>
      <c r="FY373" s="1" t="s">
        <v>5244</v>
      </c>
      <c r="FZ373" s="1" t="s">
        <v>5245</v>
      </c>
      <c r="GA373" s="1">
        <v>36621</v>
      </c>
      <c r="GB373" s="1" t="s">
        <v>5246</v>
      </c>
      <c r="GE373" s="1" t="s">
        <v>210</v>
      </c>
      <c r="GI373" s="1" t="s">
        <v>213</v>
      </c>
      <c r="GJ373" s="1" t="s">
        <v>260</v>
      </c>
      <c r="GK373" s="1" t="s">
        <v>210</v>
      </c>
      <c r="GL373" s="2">
        <v>42115</v>
      </c>
      <c r="GM373" s="1" t="s">
        <v>5247</v>
      </c>
    </row>
    <row r="374" spans="1:195">
      <c r="A374" s="1">
        <v>181000</v>
      </c>
      <c r="B374" s="1" t="s">
        <v>195</v>
      </c>
      <c r="C374" s="1" t="str">
        <f>"08790225"</f>
        <v>08790225</v>
      </c>
      <c r="D374" s="1" t="s">
        <v>196</v>
      </c>
      <c r="F374" s="1" t="str">
        <f>"507"</f>
        <v>507</v>
      </c>
      <c r="G374" s="2">
        <v>41963</v>
      </c>
      <c r="H374" s="1">
        <v>189000</v>
      </c>
      <c r="I374" s="1">
        <v>189000</v>
      </c>
      <c r="J374" s="1">
        <v>181000</v>
      </c>
      <c r="K374" s="2">
        <v>41963</v>
      </c>
      <c r="L374" s="1">
        <v>77</v>
      </c>
      <c r="M374" s="2">
        <v>42039</v>
      </c>
      <c r="N374" s="1">
        <v>77</v>
      </c>
      <c r="O374" s="2">
        <v>42039</v>
      </c>
      <c r="P374" s="1">
        <v>22076</v>
      </c>
      <c r="Q374" s="1" t="s">
        <v>197</v>
      </c>
      <c r="R374" s="2">
        <v>42072</v>
      </c>
      <c r="S374" s="1">
        <v>225570</v>
      </c>
      <c r="U374" s="1">
        <v>2521</v>
      </c>
      <c r="V374" s="1" t="s">
        <v>5248</v>
      </c>
      <c r="W374" s="1" t="s">
        <v>304</v>
      </c>
      <c r="X374" s="1">
        <v>2521</v>
      </c>
      <c r="Y374" s="1">
        <v>4</v>
      </c>
      <c r="Z374" s="1" t="s">
        <v>249</v>
      </c>
      <c r="AA374" s="1" t="s">
        <v>1123</v>
      </c>
      <c r="AB374" s="1">
        <v>60502</v>
      </c>
      <c r="AC374" s="1">
        <v>7300</v>
      </c>
      <c r="AD374" s="1" t="s">
        <v>900</v>
      </c>
      <c r="AE374" s="1" t="s">
        <v>5249</v>
      </c>
      <c r="AF374" s="1">
        <v>1999</v>
      </c>
      <c r="AG374" s="1" t="s">
        <v>204</v>
      </c>
      <c r="AH374" s="1" t="s">
        <v>1126</v>
      </c>
      <c r="AI374" s="1" t="s">
        <v>206</v>
      </c>
      <c r="AJ374" s="1" t="s">
        <v>924</v>
      </c>
      <c r="AL374" s="1">
        <v>7</v>
      </c>
      <c r="AM374" s="1">
        <v>2</v>
      </c>
      <c r="AN374" s="1">
        <v>2</v>
      </c>
      <c r="AO374" s="1">
        <v>1</v>
      </c>
      <c r="AP374" s="1" t="s">
        <v>209</v>
      </c>
      <c r="AQ374" s="1">
        <v>1</v>
      </c>
      <c r="AR374" s="1" t="s">
        <v>210</v>
      </c>
      <c r="AT374" s="1" t="s">
        <v>211</v>
      </c>
      <c r="AU374" s="1">
        <v>2</v>
      </c>
      <c r="AW374" s="1" t="s">
        <v>204</v>
      </c>
      <c r="AX374" s="1" t="s">
        <v>212</v>
      </c>
      <c r="AZ374" s="1">
        <v>3786</v>
      </c>
      <c r="BA374" s="1">
        <v>2013</v>
      </c>
      <c r="BB374" s="1" t="s">
        <v>405</v>
      </c>
      <c r="BE374" s="1">
        <v>1660</v>
      </c>
      <c r="BF374" s="1">
        <v>1</v>
      </c>
      <c r="BG374" s="1">
        <v>0</v>
      </c>
      <c r="BL374" s="1">
        <v>221</v>
      </c>
      <c r="BM374" s="1" t="s">
        <v>204</v>
      </c>
      <c r="BN374" s="1" t="s">
        <v>213</v>
      </c>
      <c r="BO374" s="1">
        <v>999</v>
      </c>
      <c r="BP374" s="1" t="s">
        <v>204</v>
      </c>
      <c r="BR374" s="1" t="str">
        <f>"0719104066"</f>
        <v>0719104066</v>
      </c>
      <c r="BT374" s="1" t="s">
        <v>5250</v>
      </c>
      <c r="BX374" s="1">
        <v>204</v>
      </c>
      <c r="BY374" s="1">
        <v>204</v>
      </c>
      <c r="BZ374" s="1">
        <v>204</v>
      </c>
      <c r="CB374" s="1" t="str">
        <f t="shared" ref="CB374:CC374" si="297">"0"</f>
        <v>0</v>
      </c>
      <c r="CC374" s="1" t="str">
        <f t="shared" si="297"/>
        <v>0</v>
      </c>
      <c r="CD374" s="1">
        <v>32</v>
      </c>
      <c r="CE374" s="1">
        <v>7</v>
      </c>
      <c r="CG374" s="1" t="s">
        <v>861</v>
      </c>
      <c r="CH374" s="1" t="s">
        <v>219</v>
      </c>
      <c r="CI374" s="1" t="s">
        <v>220</v>
      </c>
      <c r="CK374" s="1" t="s">
        <v>1267</v>
      </c>
      <c r="CL374" s="1" t="s">
        <v>277</v>
      </c>
      <c r="CM374" s="1" t="s">
        <v>220</v>
      </c>
      <c r="CO374" s="1" t="s">
        <v>837</v>
      </c>
      <c r="CP374" s="1" t="s">
        <v>219</v>
      </c>
      <c r="CQ374" s="1" t="s">
        <v>220</v>
      </c>
      <c r="CS374" s="1" t="s">
        <v>223</v>
      </c>
      <c r="CT374" s="1" t="s">
        <v>277</v>
      </c>
      <c r="CU374" s="1" t="s">
        <v>220</v>
      </c>
      <c r="CX374" s="1" t="s">
        <v>224</v>
      </c>
      <c r="DB374" s="1" t="s">
        <v>224</v>
      </c>
      <c r="DE374" s="1" t="s">
        <v>2138</v>
      </c>
      <c r="DF374" s="1" t="s">
        <v>219</v>
      </c>
      <c r="DG374" s="1" t="s">
        <v>226</v>
      </c>
      <c r="DI374" s="1" t="s">
        <v>932</v>
      </c>
      <c r="DJ374" s="1" t="s">
        <v>219</v>
      </c>
      <c r="DK374" s="1" t="s">
        <v>220</v>
      </c>
      <c r="DL374" s="1" t="s">
        <v>343</v>
      </c>
      <c r="DM374" s="1" t="s">
        <v>464</v>
      </c>
      <c r="DR374" s="1" t="s">
        <v>437</v>
      </c>
      <c r="DS374" s="1" t="s">
        <v>277</v>
      </c>
      <c r="DT374" s="1" t="s">
        <v>220</v>
      </c>
      <c r="DW374" s="1" t="s">
        <v>230</v>
      </c>
      <c r="EA374" s="1" t="s">
        <v>230</v>
      </c>
      <c r="EE374" s="1" t="s">
        <v>230</v>
      </c>
      <c r="EI374" s="1" t="s">
        <v>230</v>
      </c>
      <c r="EL374" s="1" t="s">
        <v>466</v>
      </c>
      <c r="EM374" s="1" t="s">
        <v>319</v>
      </c>
      <c r="EN374" s="1" t="s">
        <v>282</v>
      </c>
      <c r="EO374" s="1" t="s">
        <v>234</v>
      </c>
      <c r="EP374" s="1" t="s">
        <v>650</v>
      </c>
      <c r="ER374" s="1" t="s">
        <v>210</v>
      </c>
      <c r="ES374" s="1" t="s">
        <v>865</v>
      </c>
      <c r="ET374" s="1" t="s">
        <v>2404</v>
      </c>
      <c r="EU374" s="1" t="s">
        <v>5043</v>
      </c>
      <c r="EV374" s="1" t="s">
        <v>240</v>
      </c>
      <c r="EW374" s="1" t="s">
        <v>5251</v>
      </c>
      <c r="EY374" s="1" t="s">
        <v>242</v>
      </c>
      <c r="EZ374" s="1" t="s">
        <v>464</v>
      </c>
      <c r="FB374" s="1" t="s">
        <v>289</v>
      </c>
      <c r="FD374" s="1" t="s">
        <v>246</v>
      </c>
      <c r="FE374" s="1" t="s">
        <v>1031</v>
      </c>
      <c r="FF374" s="1" t="s">
        <v>248</v>
      </c>
      <c r="FG374" s="1" t="s">
        <v>912</v>
      </c>
      <c r="FH374" s="1" t="s">
        <v>249</v>
      </c>
      <c r="FL374" s="1" t="s">
        <v>358</v>
      </c>
      <c r="FM374" s="1" t="s">
        <v>252</v>
      </c>
      <c r="FN374" s="1" t="s">
        <v>213</v>
      </c>
      <c r="FO374" s="1" t="s">
        <v>213</v>
      </c>
      <c r="FQ374" s="1" t="s">
        <v>1137</v>
      </c>
      <c r="FR374" s="1" t="s">
        <v>210</v>
      </c>
      <c r="FS374" s="1" t="s">
        <v>5252</v>
      </c>
      <c r="FT374" s="1" t="s">
        <v>295</v>
      </c>
      <c r="FU374" s="1" t="s">
        <v>204</v>
      </c>
      <c r="FW374" s="1" t="s">
        <v>813</v>
      </c>
      <c r="FX374" s="1">
        <v>23286</v>
      </c>
      <c r="FY374" s="1" t="s">
        <v>4315</v>
      </c>
      <c r="FZ374" s="1" t="s">
        <v>5253</v>
      </c>
      <c r="GA374" s="1">
        <v>218749</v>
      </c>
      <c r="GB374" s="1" t="s">
        <v>5254</v>
      </c>
      <c r="GE374" s="1" t="s">
        <v>210</v>
      </c>
      <c r="GI374" s="1" t="s">
        <v>213</v>
      </c>
      <c r="GJ374" s="1" t="s">
        <v>260</v>
      </c>
      <c r="GK374" s="1" t="s">
        <v>210</v>
      </c>
      <c r="GL374" s="2">
        <v>42072</v>
      </c>
    </row>
    <row r="375" spans="1:195">
      <c r="A375" s="1">
        <v>92000</v>
      </c>
      <c r="B375" s="1" t="s">
        <v>195</v>
      </c>
      <c r="C375" s="1" t="str">
        <f>"08788023"</f>
        <v>08788023</v>
      </c>
      <c r="D375" s="1" t="s">
        <v>196</v>
      </c>
      <c r="F375" s="1" t="str">
        <f t="shared" ref="F375:F377" si="298">"540"</f>
        <v>540</v>
      </c>
      <c r="G375" s="2">
        <v>41960</v>
      </c>
      <c r="H375" s="1">
        <v>97000</v>
      </c>
      <c r="I375" s="1">
        <v>95500</v>
      </c>
      <c r="J375" s="1">
        <v>92000</v>
      </c>
      <c r="K375" s="2">
        <v>41960</v>
      </c>
      <c r="L375" s="1">
        <v>117</v>
      </c>
      <c r="M375" s="2">
        <v>42076</v>
      </c>
      <c r="N375" s="1">
        <v>117</v>
      </c>
      <c r="O375" s="2">
        <v>42076</v>
      </c>
      <c r="P375" s="1">
        <v>23591</v>
      </c>
      <c r="Q375" s="1" t="s">
        <v>197</v>
      </c>
      <c r="R375" s="2">
        <v>42123</v>
      </c>
      <c r="S375" s="1">
        <v>234965</v>
      </c>
      <c r="U375" s="1">
        <v>1245</v>
      </c>
      <c r="V375" s="1" t="s">
        <v>2820</v>
      </c>
      <c r="W375" s="1" t="s">
        <v>1056</v>
      </c>
      <c r="X375" s="1">
        <v>201</v>
      </c>
      <c r="Y375" s="1">
        <v>6</v>
      </c>
      <c r="Z375" s="1" t="s">
        <v>249</v>
      </c>
      <c r="AA375" s="1" t="s">
        <v>921</v>
      </c>
      <c r="AB375" s="1">
        <v>60563</v>
      </c>
      <c r="AD375" s="1" t="s">
        <v>4530</v>
      </c>
      <c r="AE375" s="1" t="s">
        <v>5255</v>
      </c>
      <c r="AF375" s="1">
        <v>1983</v>
      </c>
      <c r="AG375" s="1" t="s">
        <v>204</v>
      </c>
      <c r="AH375" s="1" t="s">
        <v>924</v>
      </c>
      <c r="AI375" s="1" t="s">
        <v>206</v>
      </c>
      <c r="AJ375" s="1" t="s">
        <v>924</v>
      </c>
      <c r="AL375" s="1">
        <v>5</v>
      </c>
      <c r="AM375" s="1">
        <v>2</v>
      </c>
      <c r="AN375" s="1">
        <v>2</v>
      </c>
      <c r="AO375" s="1">
        <v>0</v>
      </c>
      <c r="AP375" s="1" t="s">
        <v>209</v>
      </c>
      <c r="AR375" s="1" t="s">
        <v>210</v>
      </c>
      <c r="AS375" s="1" t="s">
        <v>204</v>
      </c>
      <c r="AT375" s="1" t="s">
        <v>375</v>
      </c>
      <c r="AU375" s="1">
        <v>1</v>
      </c>
      <c r="AV375" s="1">
        <v>1</v>
      </c>
      <c r="AW375" s="1" t="s">
        <v>204</v>
      </c>
      <c r="AX375" s="1" t="s">
        <v>212</v>
      </c>
      <c r="AZ375" s="1">
        <v>1677</v>
      </c>
      <c r="BA375" s="1">
        <v>2013</v>
      </c>
      <c r="BE375" s="1">
        <v>937</v>
      </c>
      <c r="BF375" s="1">
        <v>2</v>
      </c>
      <c r="BG375" s="1">
        <v>30</v>
      </c>
      <c r="BL375" s="1">
        <v>225</v>
      </c>
      <c r="BM375" s="1" t="s">
        <v>204</v>
      </c>
      <c r="BN375" s="1" t="s">
        <v>213</v>
      </c>
      <c r="BO375" s="1">
        <v>25</v>
      </c>
      <c r="BP375" s="1" t="s">
        <v>204</v>
      </c>
      <c r="BR375" s="1" t="str">
        <f>"0714222028"</f>
        <v>0714222028</v>
      </c>
      <c r="BT375" s="1" t="s">
        <v>5256</v>
      </c>
      <c r="BU375" s="1" t="s">
        <v>2823</v>
      </c>
      <c r="BV375" s="1" t="s">
        <v>2824</v>
      </c>
      <c r="BW375" s="1" t="s">
        <v>2825</v>
      </c>
      <c r="BX375" s="1">
        <v>203</v>
      </c>
      <c r="BY375" s="1">
        <v>203</v>
      </c>
      <c r="BZ375" s="1">
        <v>203</v>
      </c>
      <c r="CB375" s="1" t="str">
        <f t="shared" ref="CB375:CC375" si="299">"0"</f>
        <v>0</v>
      </c>
      <c r="CC375" s="1" t="str">
        <f t="shared" si="299"/>
        <v>0</v>
      </c>
      <c r="CD375" s="1">
        <v>28</v>
      </c>
      <c r="CE375" s="1">
        <v>6</v>
      </c>
      <c r="CG375" s="1" t="s">
        <v>1178</v>
      </c>
      <c r="CH375" s="1" t="s">
        <v>219</v>
      </c>
      <c r="CI375" s="1" t="s">
        <v>220</v>
      </c>
      <c r="CK375" s="1" t="s">
        <v>3656</v>
      </c>
      <c r="CL375" s="1" t="s">
        <v>219</v>
      </c>
      <c r="CM375" s="1" t="s">
        <v>220</v>
      </c>
      <c r="CO375" s="1" t="s">
        <v>318</v>
      </c>
      <c r="CP375" s="1" t="s">
        <v>219</v>
      </c>
      <c r="CQ375" s="1" t="s">
        <v>220</v>
      </c>
      <c r="CS375" s="1" t="s">
        <v>379</v>
      </c>
      <c r="CT375" s="1" t="s">
        <v>219</v>
      </c>
      <c r="CU375" s="1" t="s">
        <v>220</v>
      </c>
      <c r="CX375" s="1" t="s">
        <v>224</v>
      </c>
      <c r="DB375" s="1" t="s">
        <v>224</v>
      </c>
      <c r="DE375" s="1" t="s">
        <v>2231</v>
      </c>
      <c r="DF375" s="1" t="s">
        <v>219</v>
      </c>
      <c r="DG375" s="1" t="s">
        <v>226</v>
      </c>
      <c r="DJ375" s="1" t="s">
        <v>224</v>
      </c>
      <c r="DS375" s="1" t="s">
        <v>230</v>
      </c>
      <c r="DW375" s="1" t="s">
        <v>230</v>
      </c>
      <c r="EA375" s="1" t="s">
        <v>230</v>
      </c>
      <c r="EE375" s="1" t="s">
        <v>230</v>
      </c>
      <c r="EI375" s="1" t="s">
        <v>230</v>
      </c>
      <c r="EL375" s="1" t="s">
        <v>231</v>
      </c>
      <c r="EM375" s="1" t="s">
        <v>232</v>
      </c>
      <c r="EN375" s="1" t="s">
        <v>282</v>
      </c>
      <c r="EO375" s="1" t="s">
        <v>234</v>
      </c>
      <c r="EP375" s="1" t="s">
        <v>1047</v>
      </c>
      <c r="EQ375" s="1" t="s">
        <v>1094</v>
      </c>
      <c r="ER375" s="1" t="s">
        <v>210</v>
      </c>
      <c r="ES375" s="1" t="s">
        <v>322</v>
      </c>
      <c r="EU375" s="1" t="s">
        <v>239</v>
      </c>
      <c r="EV375" s="1" t="s">
        <v>352</v>
      </c>
      <c r="EW375" s="1" t="s">
        <v>286</v>
      </c>
      <c r="EY375" s="1" t="s">
        <v>242</v>
      </c>
      <c r="EZ375" s="1" t="s">
        <v>287</v>
      </c>
      <c r="FA375" s="1" t="s">
        <v>5257</v>
      </c>
      <c r="FB375" s="1" t="s">
        <v>289</v>
      </c>
      <c r="FD375" s="1" t="s">
        <v>888</v>
      </c>
      <c r="FE375" s="1" t="s">
        <v>247</v>
      </c>
      <c r="FF375" s="1" t="s">
        <v>248</v>
      </c>
      <c r="FH375" s="1" t="s">
        <v>249</v>
      </c>
      <c r="FI375" s="1" t="s">
        <v>473</v>
      </c>
      <c r="FL375" s="1" t="s">
        <v>358</v>
      </c>
      <c r="FM375" s="1" t="s">
        <v>252</v>
      </c>
      <c r="FN375" s="1" t="s">
        <v>213</v>
      </c>
      <c r="FO375" s="1" t="s">
        <v>204</v>
      </c>
      <c r="FQ375" s="1" t="s">
        <v>4123</v>
      </c>
      <c r="FR375" s="1" t="s">
        <v>210</v>
      </c>
      <c r="FS375" s="1" t="s">
        <v>5252</v>
      </c>
      <c r="FT375" s="1" t="s">
        <v>255</v>
      </c>
      <c r="FU375" s="1" t="s">
        <v>204</v>
      </c>
      <c r="FW375" s="1" t="s">
        <v>813</v>
      </c>
      <c r="FX375" s="1">
        <v>23177</v>
      </c>
      <c r="FY375" s="1" t="s">
        <v>5258</v>
      </c>
      <c r="FZ375" s="1" t="s">
        <v>5259</v>
      </c>
      <c r="GA375" s="1">
        <v>239776</v>
      </c>
      <c r="GB375" s="1" t="s">
        <v>5260</v>
      </c>
      <c r="GE375" s="1" t="s">
        <v>658</v>
      </c>
      <c r="GI375" s="1" t="s">
        <v>213</v>
      </c>
      <c r="GJ375" s="1" t="s">
        <v>260</v>
      </c>
      <c r="GK375" s="1" t="s">
        <v>210</v>
      </c>
      <c r="GL375" s="2">
        <v>42124</v>
      </c>
      <c r="GM375" s="1" t="s">
        <v>5261</v>
      </c>
    </row>
    <row r="376" spans="1:195">
      <c r="A376" s="1">
        <v>405000</v>
      </c>
      <c r="B376" s="1" t="s">
        <v>195</v>
      </c>
      <c r="C376" s="1" t="str">
        <f>"08788098"</f>
        <v>08788098</v>
      </c>
      <c r="D376" s="1" t="s">
        <v>196</v>
      </c>
      <c r="F376" s="1" t="str">
        <f t="shared" si="298"/>
        <v>540</v>
      </c>
      <c r="G376" s="2">
        <v>41960</v>
      </c>
      <c r="H376" s="1">
        <v>415000</v>
      </c>
      <c r="I376" s="1">
        <v>415000</v>
      </c>
      <c r="J376" s="1">
        <v>405000</v>
      </c>
      <c r="K376" s="2">
        <v>41960</v>
      </c>
      <c r="L376" s="1">
        <v>59</v>
      </c>
      <c r="M376" s="2">
        <v>41969</v>
      </c>
      <c r="N376" s="1">
        <v>10</v>
      </c>
      <c r="O376" s="2">
        <v>41969</v>
      </c>
      <c r="P376" s="1">
        <v>23120</v>
      </c>
      <c r="Q376" s="1" t="s">
        <v>197</v>
      </c>
      <c r="R376" s="2">
        <v>42012</v>
      </c>
      <c r="S376" s="1">
        <v>230757</v>
      </c>
      <c r="U376" s="1">
        <v>415</v>
      </c>
      <c r="V376" s="1" t="s">
        <v>5262</v>
      </c>
      <c r="W376" s="1" t="s">
        <v>449</v>
      </c>
      <c r="Y376" s="1">
        <v>2</v>
      </c>
      <c r="Z376" s="1" t="s">
        <v>370</v>
      </c>
      <c r="AA376" s="1" t="s">
        <v>921</v>
      </c>
      <c r="AB376" s="1">
        <v>60540</v>
      </c>
      <c r="AD376" s="1" t="s">
        <v>5263</v>
      </c>
      <c r="AE376" s="1" t="s">
        <v>5264</v>
      </c>
      <c r="AF376" s="1">
        <v>1986</v>
      </c>
      <c r="AG376" s="1" t="s">
        <v>204</v>
      </c>
      <c r="AH376" s="1" t="s">
        <v>924</v>
      </c>
      <c r="AI376" s="1" t="s">
        <v>206</v>
      </c>
      <c r="AJ376" s="1" t="s">
        <v>924</v>
      </c>
      <c r="AL376" s="1">
        <v>9</v>
      </c>
      <c r="AM376" s="1">
        <v>2</v>
      </c>
      <c r="AN376" s="1">
        <v>3</v>
      </c>
      <c r="AO376" s="1">
        <v>0</v>
      </c>
      <c r="AP376" s="1" t="s">
        <v>209</v>
      </c>
      <c r="AQ376" s="1">
        <v>1</v>
      </c>
      <c r="AR376" s="1" t="s">
        <v>209</v>
      </c>
      <c r="AS376" s="1" t="s">
        <v>213</v>
      </c>
      <c r="AT376" s="1" t="s">
        <v>211</v>
      </c>
      <c r="AU376" s="1">
        <v>2</v>
      </c>
      <c r="AW376" s="1" t="s">
        <v>204</v>
      </c>
      <c r="AX376" s="1" t="s">
        <v>5265</v>
      </c>
      <c r="AZ376" s="1">
        <v>7234</v>
      </c>
      <c r="BA376" s="1">
        <v>2013</v>
      </c>
      <c r="BB376" s="1" t="s">
        <v>599</v>
      </c>
      <c r="BE376" s="1">
        <v>1850</v>
      </c>
      <c r="BF376" s="1">
        <v>1</v>
      </c>
      <c r="BG376" s="1">
        <v>0</v>
      </c>
      <c r="BK376" s="1">
        <v>0</v>
      </c>
      <c r="BL376" s="1">
        <v>85</v>
      </c>
      <c r="BM376" s="1" t="s">
        <v>204</v>
      </c>
      <c r="BN376" s="1" t="s">
        <v>213</v>
      </c>
      <c r="BO376" s="1">
        <v>999</v>
      </c>
      <c r="BP376" s="1" t="s">
        <v>204</v>
      </c>
      <c r="BR376" s="1" t="str">
        <f>"0713322005"</f>
        <v>0713322005</v>
      </c>
      <c r="BT376" s="1" t="s">
        <v>5266</v>
      </c>
      <c r="BU376" s="1" t="s">
        <v>928</v>
      </c>
      <c r="BV376" s="1" t="s">
        <v>929</v>
      </c>
      <c r="BW376" s="1" t="s">
        <v>930</v>
      </c>
      <c r="BX376" s="1">
        <v>203</v>
      </c>
      <c r="BY376" s="1">
        <v>203</v>
      </c>
      <c r="BZ376" s="1">
        <v>203</v>
      </c>
      <c r="CB376" s="1" t="str">
        <f t="shared" ref="CB376:CC376" si="300">""</f>
        <v/>
      </c>
      <c r="CC376" s="1" t="str">
        <f t="shared" si="300"/>
        <v/>
      </c>
      <c r="CG376" s="1" t="s">
        <v>5267</v>
      </c>
      <c r="CH376" s="1" t="s">
        <v>219</v>
      </c>
      <c r="CI376" s="1" t="s">
        <v>220</v>
      </c>
      <c r="CJ376" s="1" t="s">
        <v>343</v>
      </c>
      <c r="CK376" s="1" t="s">
        <v>1995</v>
      </c>
      <c r="CL376" s="1" t="s">
        <v>219</v>
      </c>
      <c r="CM376" s="1" t="s">
        <v>220</v>
      </c>
      <c r="CN376" s="1" t="s">
        <v>343</v>
      </c>
      <c r="CO376" s="1" t="s">
        <v>490</v>
      </c>
      <c r="CP376" s="1" t="s">
        <v>219</v>
      </c>
      <c r="CQ376" s="1" t="s">
        <v>220</v>
      </c>
      <c r="CR376" s="1" t="s">
        <v>343</v>
      </c>
      <c r="CS376" s="1" t="s">
        <v>2122</v>
      </c>
      <c r="CT376" s="1" t="s">
        <v>219</v>
      </c>
      <c r="CU376" s="1" t="s">
        <v>220</v>
      </c>
      <c r="CV376" s="1" t="s">
        <v>343</v>
      </c>
      <c r="CW376" s="1" t="s">
        <v>1402</v>
      </c>
      <c r="CX376" s="1" t="s">
        <v>43</v>
      </c>
      <c r="CY376" s="1" t="s">
        <v>220</v>
      </c>
      <c r="CZ376" s="1" t="s">
        <v>210</v>
      </c>
      <c r="DB376" s="1" t="s">
        <v>224</v>
      </c>
      <c r="DE376" s="1" t="s">
        <v>490</v>
      </c>
      <c r="DF376" s="1" t="s">
        <v>219</v>
      </c>
      <c r="DG376" s="1" t="s">
        <v>438</v>
      </c>
      <c r="DH376" s="1" t="s">
        <v>343</v>
      </c>
      <c r="DI376" s="1" t="s">
        <v>1402</v>
      </c>
      <c r="DJ376" s="1" t="s">
        <v>219</v>
      </c>
      <c r="DK376" s="1" t="s">
        <v>438</v>
      </c>
      <c r="DL376" s="1" t="s">
        <v>343</v>
      </c>
      <c r="DM376" s="1" t="s">
        <v>934</v>
      </c>
      <c r="DN376" s="1" t="s">
        <v>4083</v>
      </c>
      <c r="DO376" s="1" t="s">
        <v>709</v>
      </c>
      <c r="DR376" s="1" t="s">
        <v>5268</v>
      </c>
      <c r="DS376" s="1" t="s">
        <v>43</v>
      </c>
      <c r="DT376" s="1" t="s">
        <v>220</v>
      </c>
      <c r="DU376" s="1" t="s">
        <v>210</v>
      </c>
      <c r="DV376" s="1" t="s">
        <v>5269</v>
      </c>
      <c r="DW376" s="1" t="s">
        <v>43</v>
      </c>
      <c r="DX376" s="1" t="s">
        <v>342</v>
      </c>
      <c r="DY376" s="1" t="s">
        <v>210</v>
      </c>
      <c r="DZ376" s="1" t="s">
        <v>759</v>
      </c>
      <c r="EA376" s="1" t="s">
        <v>219</v>
      </c>
      <c r="EB376" s="1" t="s">
        <v>438</v>
      </c>
      <c r="EC376" s="1" t="s">
        <v>210</v>
      </c>
      <c r="EE376" s="1" t="s">
        <v>230</v>
      </c>
      <c r="EI376" s="1" t="s">
        <v>230</v>
      </c>
      <c r="EL376" s="1" t="s">
        <v>542</v>
      </c>
      <c r="EM376" s="1" t="s">
        <v>232</v>
      </c>
      <c r="EN376" s="1" t="s">
        <v>282</v>
      </c>
      <c r="EO376" s="1" t="s">
        <v>234</v>
      </c>
      <c r="EP376" s="1" t="s">
        <v>650</v>
      </c>
      <c r="EQ376" s="1" t="s">
        <v>236</v>
      </c>
      <c r="ER376" s="1" t="s">
        <v>351</v>
      </c>
      <c r="ES376" s="1" t="s">
        <v>322</v>
      </c>
      <c r="ET376" s="1" t="s">
        <v>5270</v>
      </c>
      <c r="EV376" s="1" t="s">
        <v>324</v>
      </c>
      <c r="EW376" s="1" t="s">
        <v>547</v>
      </c>
      <c r="EY376" s="1" t="s">
        <v>242</v>
      </c>
      <c r="EZ376" s="1" t="s">
        <v>5271</v>
      </c>
      <c r="FA376" s="1" t="s">
        <v>869</v>
      </c>
      <c r="FB376" s="1" t="s">
        <v>734</v>
      </c>
      <c r="FD376" s="1" t="s">
        <v>495</v>
      </c>
      <c r="FE376" s="1" t="s">
        <v>386</v>
      </c>
      <c r="FF376" s="1" t="s">
        <v>248</v>
      </c>
      <c r="FG376" s="1" t="s">
        <v>1682</v>
      </c>
      <c r="FH376" s="1" t="s">
        <v>442</v>
      </c>
      <c r="FI376" s="1" t="s">
        <v>357</v>
      </c>
      <c r="FL376" s="1" t="s">
        <v>358</v>
      </c>
      <c r="FM376" s="1" t="s">
        <v>252</v>
      </c>
      <c r="FN376" s="1" t="s">
        <v>213</v>
      </c>
      <c r="FO376" s="1" t="s">
        <v>213</v>
      </c>
      <c r="FQ376" s="1" t="s">
        <v>793</v>
      </c>
      <c r="FR376" s="1" t="s">
        <v>210</v>
      </c>
      <c r="FS376" s="1" t="s">
        <v>5272</v>
      </c>
      <c r="FT376" s="1" t="s">
        <v>5273</v>
      </c>
      <c r="FU376" s="1" t="s">
        <v>204</v>
      </c>
      <c r="FW376" s="1" t="s">
        <v>943</v>
      </c>
      <c r="FX376" s="1">
        <v>23120</v>
      </c>
      <c r="FY376" s="1" t="s">
        <v>944</v>
      </c>
      <c r="FZ376" s="1" t="s">
        <v>5274</v>
      </c>
      <c r="GA376" s="1">
        <v>230757</v>
      </c>
      <c r="GB376" s="1" t="s">
        <v>5275</v>
      </c>
      <c r="GC376" s="1">
        <v>236351</v>
      </c>
      <c r="GD376" s="1" t="s">
        <v>5276</v>
      </c>
      <c r="GE376" s="1" t="s">
        <v>2504</v>
      </c>
      <c r="GI376" s="1" t="s">
        <v>213</v>
      </c>
      <c r="GJ376" s="1" t="s">
        <v>260</v>
      </c>
      <c r="GK376" s="1" t="s">
        <v>210</v>
      </c>
      <c r="GL376" s="2">
        <v>42012</v>
      </c>
      <c r="GM376" s="1" t="s">
        <v>5277</v>
      </c>
    </row>
    <row r="377" spans="1:195">
      <c r="A377" s="1">
        <v>58101</v>
      </c>
      <c r="B377" s="1" t="s">
        <v>195</v>
      </c>
      <c r="C377" s="1" t="str">
        <f>"08789237"</f>
        <v>08789237</v>
      </c>
      <c r="D377" s="1" t="s">
        <v>196</v>
      </c>
      <c r="F377" s="1" t="str">
        <f t="shared" si="298"/>
        <v>540</v>
      </c>
      <c r="G377" s="2">
        <v>41962</v>
      </c>
      <c r="H377" s="1">
        <v>72000</v>
      </c>
      <c r="I377" s="1">
        <v>57600</v>
      </c>
      <c r="J377" s="1">
        <v>58101</v>
      </c>
      <c r="K377" s="2">
        <v>41962</v>
      </c>
      <c r="L377" s="1">
        <v>86</v>
      </c>
      <c r="M377" s="2">
        <v>42047</v>
      </c>
      <c r="N377" s="1">
        <v>86</v>
      </c>
      <c r="O377" s="2">
        <v>42047</v>
      </c>
      <c r="P377" s="1">
        <v>23982</v>
      </c>
      <c r="Q377" s="1" t="s">
        <v>302</v>
      </c>
      <c r="R377" s="2">
        <v>42114</v>
      </c>
      <c r="S377" s="1">
        <v>214295</v>
      </c>
      <c r="U377" s="1" t="s">
        <v>5278</v>
      </c>
      <c r="V377" s="1" t="s">
        <v>5279</v>
      </c>
      <c r="W377" s="1" t="s">
        <v>504</v>
      </c>
      <c r="X377" s="1" t="s">
        <v>5280</v>
      </c>
      <c r="Y377" s="1">
        <v>40</v>
      </c>
      <c r="Z377" s="1" t="s">
        <v>370</v>
      </c>
      <c r="AA377" s="1" t="s">
        <v>921</v>
      </c>
      <c r="AB377" s="1">
        <v>60563</v>
      </c>
      <c r="AD377" s="1" t="s">
        <v>5281</v>
      </c>
      <c r="AE377" s="1" t="s">
        <v>5282</v>
      </c>
      <c r="AF377" s="1">
        <v>1974</v>
      </c>
      <c r="AG377" s="1" t="s">
        <v>213</v>
      </c>
      <c r="AH377" s="1" t="s">
        <v>882</v>
      </c>
      <c r="AI377" s="1" t="s">
        <v>206</v>
      </c>
      <c r="AJ377" s="1" t="s">
        <v>924</v>
      </c>
      <c r="AL377" s="1">
        <v>5</v>
      </c>
      <c r="AM377" s="1">
        <v>2</v>
      </c>
      <c r="AN377" s="1">
        <v>1</v>
      </c>
      <c r="AO377" s="1">
        <v>1</v>
      </c>
      <c r="AP377" s="1" t="s">
        <v>1234</v>
      </c>
      <c r="AR377" s="1" t="s">
        <v>210</v>
      </c>
      <c r="AT377" s="1" t="s">
        <v>271</v>
      </c>
      <c r="AV377" s="1">
        <v>1</v>
      </c>
      <c r="AW377" s="1" t="s">
        <v>204</v>
      </c>
      <c r="AX377" s="1" t="s">
        <v>212</v>
      </c>
      <c r="AZ377" s="1">
        <v>1574</v>
      </c>
      <c r="BA377" s="1">
        <v>2013</v>
      </c>
      <c r="BB377" s="1" t="s">
        <v>210</v>
      </c>
      <c r="BE377" s="1">
        <v>1050</v>
      </c>
      <c r="BF377" s="1">
        <v>5</v>
      </c>
      <c r="BG377" s="1">
        <v>0</v>
      </c>
      <c r="BL377" s="1">
        <v>397</v>
      </c>
      <c r="BM377" s="1" t="s">
        <v>204</v>
      </c>
      <c r="BN377" s="1" t="s">
        <v>213</v>
      </c>
      <c r="BO377" s="1">
        <v>0</v>
      </c>
      <c r="BP377" s="1" t="s">
        <v>204</v>
      </c>
      <c r="BR377" s="1" t="str">
        <f>"0709219040"</f>
        <v>0709219040</v>
      </c>
      <c r="BT377" s="1" t="s">
        <v>5283</v>
      </c>
      <c r="BX377" s="1">
        <v>204</v>
      </c>
      <c r="BY377" s="1">
        <v>204</v>
      </c>
      <c r="BZ377" s="1">
        <v>204</v>
      </c>
      <c r="CB377" s="1" t="str">
        <f t="shared" ref="CB377:CC377" si="301">""</f>
        <v/>
      </c>
      <c r="CC377" s="1" t="str">
        <f t="shared" si="301"/>
        <v/>
      </c>
      <c r="CG377" s="1" t="s">
        <v>1155</v>
      </c>
      <c r="CH377" s="1" t="s">
        <v>219</v>
      </c>
      <c r="CI377" s="1" t="s">
        <v>220</v>
      </c>
      <c r="CJ377" s="1" t="s">
        <v>210</v>
      </c>
      <c r="CK377" s="1" t="s">
        <v>490</v>
      </c>
      <c r="CL377" s="1" t="s">
        <v>219</v>
      </c>
      <c r="CM377" s="1" t="s">
        <v>220</v>
      </c>
      <c r="CN377" s="1" t="s">
        <v>210</v>
      </c>
      <c r="CO377" s="1" t="s">
        <v>318</v>
      </c>
      <c r="CP377" s="1" t="s">
        <v>219</v>
      </c>
      <c r="CQ377" s="1" t="s">
        <v>220</v>
      </c>
      <c r="CR377" s="1" t="s">
        <v>210</v>
      </c>
      <c r="CS377" s="1" t="s">
        <v>1854</v>
      </c>
      <c r="CT377" s="1" t="s">
        <v>219</v>
      </c>
      <c r="CU377" s="1" t="s">
        <v>220</v>
      </c>
      <c r="CV377" s="1" t="s">
        <v>210</v>
      </c>
      <c r="CX377" s="1" t="s">
        <v>224</v>
      </c>
      <c r="DB377" s="1" t="s">
        <v>224</v>
      </c>
      <c r="DE377" s="1" t="s">
        <v>316</v>
      </c>
      <c r="DF377" s="1" t="s">
        <v>219</v>
      </c>
      <c r="DG377" s="1" t="s">
        <v>342</v>
      </c>
      <c r="DH377" s="1" t="s">
        <v>210</v>
      </c>
      <c r="DJ377" s="1" t="s">
        <v>224</v>
      </c>
      <c r="DS377" s="1" t="s">
        <v>230</v>
      </c>
      <c r="DW377" s="1" t="s">
        <v>230</v>
      </c>
      <c r="EA377" s="1" t="s">
        <v>230</v>
      </c>
      <c r="EE377" s="1" t="s">
        <v>230</v>
      </c>
      <c r="EI377" s="1" t="s">
        <v>230</v>
      </c>
      <c r="EL377" s="1" t="s">
        <v>231</v>
      </c>
      <c r="EM377" s="1" t="s">
        <v>319</v>
      </c>
      <c r="EN377" s="1" t="s">
        <v>282</v>
      </c>
      <c r="EO377" s="1" t="s">
        <v>234</v>
      </c>
      <c r="ER377" s="1" t="s">
        <v>210</v>
      </c>
      <c r="ES377" s="1" t="s">
        <v>545</v>
      </c>
      <c r="EV377" s="1" t="s">
        <v>240</v>
      </c>
      <c r="EW377" s="1" t="s">
        <v>5284</v>
      </c>
      <c r="EZ377" s="1" t="s">
        <v>287</v>
      </c>
      <c r="FD377" s="1" t="s">
        <v>736</v>
      </c>
      <c r="FE377" s="1" t="s">
        <v>247</v>
      </c>
      <c r="FF377" s="1" t="s">
        <v>248</v>
      </c>
      <c r="FH377" s="1" t="s">
        <v>249</v>
      </c>
      <c r="FK377" s="1" t="s">
        <v>891</v>
      </c>
      <c r="FL377" s="1" t="s">
        <v>358</v>
      </c>
      <c r="FM377" s="1" t="s">
        <v>252</v>
      </c>
      <c r="FN377" s="1" t="s">
        <v>213</v>
      </c>
      <c r="FO377" s="1" t="s">
        <v>213</v>
      </c>
      <c r="FQ377" s="1" t="s">
        <v>689</v>
      </c>
      <c r="FR377" s="1" t="s">
        <v>652</v>
      </c>
      <c r="FS377" s="1" t="s">
        <v>5285</v>
      </c>
      <c r="FT377" s="1" t="s">
        <v>654</v>
      </c>
      <c r="FU377" s="1" t="s">
        <v>204</v>
      </c>
      <c r="FW377" s="1" t="s">
        <v>1857</v>
      </c>
      <c r="FX377" s="1">
        <v>22993</v>
      </c>
      <c r="FY377" s="1" t="s">
        <v>1858</v>
      </c>
      <c r="FZ377" s="1" t="s">
        <v>1859</v>
      </c>
      <c r="GA377" s="1">
        <v>233401</v>
      </c>
      <c r="GB377" s="1" t="s">
        <v>1858</v>
      </c>
      <c r="GD377" s="1" t="s">
        <v>1860</v>
      </c>
      <c r="GE377" s="1" t="s">
        <v>1187</v>
      </c>
      <c r="GI377" s="1" t="s">
        <v>213</v>
      </c>
      <c r="GJ377" s="1" t="s">
        <v>260</v>
      </c>
      <c r="GK377" s="1" t="s">
        <v>210</v>
      </c>
      <c r="GL377" s="2">
        <v>42114</v>
      </c>
      <c r="GM377" s="1" t="s">
        <v>5286</v>
      </c>
    </row>
    <row r="378" spans="1:195">
      <c r="A378" s="1">
        <v>125000</v>
      </c>
      <c r="B378" s="1" t="s">
        <v>195</v>
      </c>
      <c r="C378" s="1" t="str">
        <f>"08787756"</f>
        <v>08787756</v>
      </c>
      <c r="D378" s="1" t="s">
        <v>196</v>
      </c>
      <c r="F378" s="1" t="str">
        <f>"108"</f>
        <v>108</v>
      </c>
      <c r="G378" s="2">
        <v>41960</v>
      </c>
      <c r="H378" s="1">
        <v>135300</v>
      </c>
      <c r="I378" s="1">
        <v>122800</v>
      </c>
      <c r="J378" s="1">
        <v>125000</v>
      </c>
      <c r="K378" s="2">
        <v>41960</v>
      </c>
      <c r="L378" s="1">
        <v>44</v>
      </c>
      <c r="M378" s="2">
        <v>42003</v>
      </c>
      <c r="N378" s="1">
        <v>44</v>
      </c>
      <c r="O378" s="2">
        <v>42003</v>
      </c>
      <c r="P378" s="1">
        <v>16938</v>
      </c>
      <c r="Q378" s="1" t="s">
        <v>302</v>
      </c>
      <c r="R378" s="2">
        <v>42020</v>
      </c>
      <c r="S378" s="1">
        <v>137864</v>
      </c>
      <c r="U378" s="1">
        <v>135</v>
      </c>
      <c r="V378" s="1" t="s">
        <v>5287</v>
      </c>
      <c r="W378" s="1" t="s">
        <v>304</v>
      </c>
      <c r="Y378" s="1">
        <v>5</v>
      </c>
      <c r="Z378" s="1" t="s">
        <v>249</v>
      </c>
      <c r="AA378" s="1" t="s">
        <v>829</v>
      </c>
      <c r="AB378" s="1">
        <v>60108</v>
      </c>
      <c r="AE378" s="1" t="s">
        <v>5288</v>
      </c>
      <c r="AF378" s="1">
        <v>1988</v>
      </c>
      <c r="AG378" s="1" t="s">
        <v>204</v>
      </c>
      <c r="AH378" s="1" t="s">
        <v>269</v>
      </c>
      <c r="AI378" s="1" t="s">
        <v>206</v>
      </c>
      <c r="AJ378" s="1" t="s">
        <v>269</v>
      </c>
      <c r="AL378" s="1">
        <v>6</v>
      </c>
      <c r="AM378" s="1">
        <v>2</v>
      </c>
      <c r="AN378" s="1">
        <v>1</v>
      </c>
      <c r="AO378" s="1">
        <v>1</v>
      </c>
      <c r="AP378" s="1" t="s">
        <v>209</v>
      </c>
      <c r="AR378" s="1" t="s">
        <v>210</v>
      </c>
      <c r="AS378" s="1" t="s">
        <v>204</v>
      </c>
      <c r="AT378" s="1" t="s">
        <v>211</v>
      </c>
      <c r="AU378" s="1">
        <v>1</v>
      </c>
      <c r="AW378" s="1" t="s">
        <v>204</v>
      </c>
      <c r="AX378" s="1">
        <v>0</v>
      </c>
      <c r="AZ378" s="1">
        <v>3558</v>
      </c>
      <c r="BA378" s="1">
        <v>2013</v>
      </c>
      <c r="BB378" s="1" t="s">
        <v>405</v>
      </c>
      <c r="BC378" s="1">
        <v>0</v>
      </c>
      <c r="BD378" s="1">
        <v>2011</v>
      </c>
      <c r="BE378" s="1">
        <v>1200</v>
      </c>
      <c r="BF378" s="1">
        <v>1</v>
      </c>
      <c r="BG378" s="1">
        <v>0</v>
      </c>
      <c r="BL378" s="1">
        <v>200</v>
      </c>
      <c r="BM378" s="1" t="s">
        <v>204</v>
      </c>
      <c r="BN378" s="1" t="s">
        <v>213</v>
      </c>
      <c r="BO378" s="1">
        <v>50</v>
      </c>
      <c r="BP378" s="1" t="s">
        <v>204</v>
      </c>
      <c r="BR378" s="1" t="str">
        <f>"0215209047"</f>
        <v>0215209047</v>
      </c>
      <c r="BT378" s="1" t="s">
        <v>1965</v>
      </c>
      <c r="BU378" s="1" t="s">
        <v>833</v>
      </c>
      <c r="BV378" s="1" t="s">
        <v>834</v>
      </c>
      <c r="BW378" s="1" t="s">
        <v>275</v>
      </c>
      <c r="BX378" s="1">
        <v>13</v>
      </c>
      <c r="BY378" s="1">
        <v>13</v>
      </c>
      <c r="BZ378" s="1">
        <v>108</v>
      </c>
      <c r="CB378" s="1" t="str">
        <f t="shared" ref="CB378:CC378" si="302">""</f>
        <v/>
      </c>
      <c r="CC378" s="1" t="str">
        <f t="shared" si="302"/>
        <v/>
      </c>
      <c r="CG378" s="1" t="s">
        <v>314</v>
      </c>
      <c r="CH378" s="1" t="s">
        <v>219</v>
      </c>
      <c r="CK378" s="1" t="s">
        <v>1936</v>
      </c>
      <c r="CL378" s="1" t="s">
        <v>277</v>
      </c>
      <c r="CO378" s="1" t="s">
        <v>318</v>
      </c>
      <c r="CP378" s="1" t="s">
        <v>219</v>
      </c>
      <c r="CS378" s="1" t="s">
        <v>346</v>
      </c>
      <c r="CT378" s="1" t="s">
        <v>277</v>
      </c>
      <c r="CX378" s="1" t="s">
        <v>224</v>
      </c>
      <c r="DB378" s="1" t="s">
        <v>224</v>
      </c>
      <c r="DE378" s="1" t="s">
        <v>318</v>
      </c>
      <c r="DF378" s="1" t="s">
        <v>219</v>
      </c>
      <c r="DJ378" s="1" t="s">
        <v>224</v>
      </c>
      <c r="DM378" s="1" t="s">
        <v>464</v>
      </c>
      <c r="DR378" s="1" t="s">
        <v>280</v>
      </c>
      <c r="DS378" s="1" t="s">
        <v>277</v>
      </c>
      <c r="DW378" s="1" t="s">
        <v>230</v>
      </c>
      <c r="EA378" s="1" t="s">
        <v>230</v>
      </c>
      <c r="EE378" s="1" t="s">
        <v>230</v>
      </c>
      <c r="EI378" s="1" t="s">
        <v>230</v>
      </c>
      <c r="EL378" s="1" t="s">
        <v>542</v>
      </c>
      <c r="EM378" s="1" t="s">
        <v>232</v>
      </c>
      <c r="EN378" s="1" t="s">
        <v>282</v>
      </c>
      <c r="EO378" s="1" t="s">
        <v>234</v>
      </c>
      <c r="EQ378" s="1" t="s">
        <v>5289</v>
      </c>
      <c r="ER378" s="1" t="s">
        <v>210</v>
      </c>
      <c r="EV378" s="1" t="s">
        <v>352</v>
      </c>
      <c r="EW378" s="1" t="s">
        <v>911</v>
      </c>
      <c r="EY378" s="1" t="s">
        <v>2455</v>
      </c>
      <c r="EZ378" s="1" t="s">
        <v>464</v>
      </c>
      <c r="FD378" s="1" t="s">
        <v>246</v>
      </c>
      <c r="FE378" s="1" t="s">
        <v>355</v>
      </c>
      <c r="FF378" s="1" t="s">
        <v>248</v>
      </c>
      <c r="FH378" s="1" t="s">
        <v>550</v>
      </c>
      <c r="FJ378" s="1" t="s">
        <v>1472</v>
      </c>
      <c r="FL378" s="1" t="s">
        <v>810</v>
      </c>
      <c r="FM378" s="1" t="s">
        <v>252</v>
      </c>
      <c r="FN378" s="1" t="s">
        <v>213</v>
      </c>
      <c r="FO378" s="1" t="s">
        <v>213</v>
      </c>
      <c r="FQ378" s="1" t="s">
        <v>2417</v>
      </c>
      <c r="FR378" s="1" t="s">
        <v>210</v>
      </c>
      <c r="FS378" s="1" t="s">
        <v>3352</v>
      </c>
      <c r="FT378" s="1" t="s">
        <v>295</v>
      </c>
      <c r="FU378" s="1" t="s">
        <v>204</v>
      </c>
      <c r="FW378" s="1" t="s">
        <v>3353</v>
      </c>
      <c r="FX378" s="1">
        <v>8658</v>
      </c>
      <c r="FY378" s="1" t="s">
        <v>3354</v>
      </c>
      <c r="FZ378" s="1" t="s">
        <v>3355</v>
      </c>
      <c r="GA378" s="1">
        <v>84760</v>
      </c>
      <c r="GB378" s="1" t="s">
        <v>3354</v>
      </c>
      <c r="GD378" s="1" t="s">
        <v>3356</v>
      </c>
      <c r="GE378" s="1" t="s">
        <v>210</v>
      </c>
      <c r="GH378" s="1" t="s">
        <v>421</v>
      </c>
      <c r="GI378" s="1" t="s">
        <v>213</v>
      </c>
      <c r="GJ378" s="1" t="s">
        <v>260</v>
      </c>
      <c r="GK378" s="1" t="s">
        <v>210</v>
      </c>
      <c r="GL378" s="2">
        <v>42031</v>
      </c>
    </row>
    <row r="379" spans="1:195">
      <c r="A379" s="1">
        <v>20000</v>
      </c>
      <c r="B379" s="1" t="s">
        <v>195</v>
      </c>
      <c r="C379" s="1" t="str">
        <f>"08788848"</f>
        <v>08788848</v>
      </c>
      <c r="D379" s="1" t="s">
        <v>196</v>
      </c>
      <c r="F379" s="1" t="str">
        <f>"8051"</f>
        <v>8051</v>
      </c>
      <c r="G379" s="2">
        <v>41961</v>
      </c>
      <c r="H379" s="1">
        <v>22500</v>
      </c>
      <c r="I379" s="1">
        <v>22500</v>
      </c>
      <c r="J379" s="1">
        <v>20000</v>
      </c>
      <c r="K379" s="2">
        <v>41960</v>
      </c>
      <c r="L379" s="1">
        <v>66</v>
      </c>
      <c r="M379" s="2">
        <v>42025</v>
      </c>
      <c r="N379" s="1">
        <v>66</v>
      </c>
      <c r="O379" s="2">
        <v>42025</v>
      </c>
      <c r="P379" s="1">
        <v>1166</v>
      </c>
      <c r="Q379" s="1" t="s">
        <v>302</v>
      </c>
      <c r="R379" s="2">
        <v>42048</v>
      </c>
      <c r="S379" s="1">
        <v>923027</v>
      </c>
      <c r="U379" s="1">
        <v>9822</v>
      </c>
      <c r="V379" s="1" t="s">
        <v>5290</v>
      </c>
      <c r="W379" s="1" t="s">
        <v>199</v>
      </c>
      <c r="Y379" s="1">
        <v>2</v>
      </c>
      <c r="Z379" s="1" t="s">
        <v>200</v>
      </c>
      <c r="AA379" s="1" t="s">
        <v>400</v>
      </c>
      <c r="AB379" s="1">
        <v>60617</v>
      </c>
      <c r="AE379" s="1" t="s">
        <v>5291</v>
      </c>
      <c r="AF379" s="1">
        <v>1941</v>
      </c>
      <c r="AG379" s="1" t="s">
        <v>213</v>
      </c>
      <c r="AH379" s="1" t="s">
        <v>403</v>
      </c>
      <c r="AI379" s="1" t="s">
        <v>310</v>
      </c>
      <c r="AJ379" s="1" t="s">
        <v>404</v>
      </c>
      <c r="AL379" s="1">
        <v>5</v>
      </c>
      <c r="AM379" s="1">
        <v>2</v>
      </c>
      <c r="AN379" s="1">
        <v>1</v>
      </c>
      <c r="AO379" s="1">
        <v>0</v>
      </c>
      <c r="AP379" s="1" t="s">
        <v>210</v>
      </c>
      <c r="AQ379" s="1">
        <v>0</v>
      </c>
      <c r="AR379" s="1" t="s">
        <v>209</v>
      </c>
      <c r="AS379" s="1" t="s">
        <v>204</v>
      </c>
      <c r="AT379" s="1" t="s">
        <v>210</v>
      </c>
      <c r="AW379" s="1" t="s">
        <v>204</v>
      </c>
      <c r="AX379" s="1" t="s">
        <v>5292</v>
      </c>
      <c r="AZ379" s="1">
        <v>850</v>
      </c>
      <c r="BA379" s="1">
        <v>2012</v>
      </c>
      <c r="BE379" s="1">
        <v>0</v>
      </c>
      <c r="BF379" s="1">
        <v>1</v>
      </c>
      <c r="BG379" s="1">
        <v>10</v>
      </c>
      <c r="BL379" s="1">
        <v>0</v>
      </c>
      <c r="BM379" s="1" t="s">
        <v>413</v>
      </c>
      <c r="BN379" s="1" t="s">
        <v>213</v>
      </c>
      <c r="BO379" s="1">
        <v>0</v>
      </c>
      <c r="BP379" s="1" t="s">
        <v>204</v>
      </c>
      <c r="BR379" s="1" t="str">
        <f>"26071320340000"</f>
        <v>26071320340000</v>
      </c>
      <c r="BT379" s="1" t="s">
        <v>5293</v>
      </c>
      <c r="BX379" s="1">
        <v>299</v>
      </c>
      <c r="BY379" s="1">
        <v>299</v>
      </c>
      <c r="BZ379" s="1">
        <v>299</v>
      </c>
      <c r="CB379" s="1" t="str">
        <f>"0"</f>
        <v>0</v>
      </c>
      <c r="CC379" s="1" t="str">
        <f>"2400"</f>
        <v>2400</v>
      </c>
      <c r="CD379" s="1">
        <v>0</v>
      </c>
      <c r="CE379" s="1">
        <v>9822</v>
      </c>
      <c r="CG379" s="1" t="s">
        <v>437</v>
      </c>
      <c r="CH379" s="1" t="s">
        <v>219</v>
      </c>
      <c r="CK379" s="1" t="s">
        <v>757</v>
      </c>
      <c r="CL379" s="1" t="s">
        <v>277</v>
      </c>
      <c r="CO379" s="1" t="s">
        <v>409</v>
      </c>
      <c r="CP379" s="1" t="s">
        <v>219</v>
      </c>
      <c r="CS379" s="1" t="s">
        <v>836</v>
      </c>
      <c r="CT379" s="1" t="s">
        <v>277</v>
      </c>
      <c r="CX379" s="1" t="s">
        <v>224</v>
      </c>
      <c r="DB379" s="1" t="s">
        <v>224</v>
      </c>
      <c r="DE379" s="1" t="s">
        <v>1470</v>
      </c>
      <c r="DF379" s="1" t="s">
        <v>219</v>
      </c>
      <c r="DJ379" s="1" t="s">
        <v>224</v>
      </c>
      <c r="DS379" s="1" t="s">
        <v>230</v>
      </c>
      <c r="DW379" s="1" t="s">
        <v>230</v>
      </c>
      <c r="EA379" s="1" t="s">
        <v>230</v>
      </c>
      <c r="EE379" s="1" t="s">
        <v>230</v>
      </c>
      <c r="EI379" s="1" t="s">
        <v>230</v>
      </c>
      <c r="EL379" s="1" t="s">
        <v>440</v>
      </c>
      <c r="EM379" s="1" t="s">
        <v>730</v>
      </c>
      <c r="EN379" s="1" t="s">
        <v>210</v>
      </c>
      <c r="EO379" s="1" t="s">
        <v>234</v>
      </c>
      <c r="ER379" s="1" t="s">
        <v>351</v>
      </c>
      <c r="EV379" s="1" t="s">
        <v>324</v>
      </c>
      <c r="EW379" s="1" t="s">
        <v>210</v>
      </c>
      <c r="EZ379" s="1" t="s">
        <v>287</v>
      </c>
      <c r="FD379" s="1" t="s">
        <v>246</v>
      </c>
      <c r="FE379" s="1" t="s">
        <v>247</v>
      </c>
      <c r="FF379" s="1" t="s">
        <v>248</v>
      </c>
      <c r="FH379" s="1" t="s">
        <v>442</v>
      </c>
      <c r="FL379" s="1" t="s">
        <v>358</v>
      </c>
      <c r="FM379" s="1" t="s">
        <v>252</v>
      </c>
      <c r="FN379" s="1" t="s">
        <v>213</v>
      </c>
      <c r="FO379" s="1" t="s">
        <v>213</v>
      </c>
      <c r="FQ379" s="1" t="s">
        <v>826</v>
      </c>
      <c r="FR379" s="1" t="s">
        <v>210</v>
      </c>
      <c r="FS379" s="1" t="s">
        <v>653</v>
      </c>
      <c r="FT379" s="1" t="s">
        <v>295</v>
      </c>
      <c r="FU379" s="1" t="s">
        <v>204</v>
      </c>
      <c r="FW379" s="1" t="s">
        <v>655</v>
      </c>
      <c r="FX379" s="1">
        <v>10841</v>
      </c>
      <c r="FY379" s="1" t="s">
        <v>656</v>
      </c>
      <c r="FZ379" s="1" t="s">
        <v>657</v>
      </c>
      <c r="GA379" s="1">
        <v>109860</v>
      </c>
      <c r="GB379" s="1" t="s">
        <v>656</v>
      </c>
      <c r="GE379" s="1" t="s">
        <v>210</v>
      </c>
      <c r="GH379" s="1" t="s">
        <v>421</v>
      </c>
      <c r="GI379" s="1" t="s">
        <v>213</v>
      </c>
      <c r="GJ379" s="1" t="s">
        <v>260</v>
      </c>
      <c r="GK379" s="1" t="s">
        <v>210</v>
      </c>
      <c r="GL379" s="2">
        <v>42051</v>
      </c>
      <c r="GM379" s="1" t="s">
        <v>5294</v>
      </c>
    </row>
    <row r="380" spans="1:195">
      <c r="A380" s="1">
        <v>242000</v>
      </c>
      <c r="B380" s="1" t="s">
        <v>195</v>
      </c>
      <c r="C380" s="1" t="str">
        <f>"08792481"</f>
        <v>08792481</v>
      </c>
      <c r="D380" s="1" t="s">
        <v>196</v>
      </c>
      <c r="F380" s="1" t="str">
        <f>"134"</f>
        <v>134</v>
      </c>
      <c r="G380" s="2">
        <v>41968</v>
      </c>
      <c r="H380" s="1">
        <v>255900</v>
      </c>
      <c r="I380" s="1">
        <v>255900</v>
      </c>
      <c r="J380" s="1">
        <v>242000</v>
      </c>
      <c r="K380" s="2">
        <v>41968</v>
      </c>
      <c r="L380" s="1">
        <v>59</v>
      </c>
      <c r="M380" s="2">
        <v>42026</v>
      </c>
      <c r="N380" s="1">
        <v>59</v>
      </c>
      <c r="O380" s="2">
        <v>42026</v>
      </c>
      <c r="P380" s="1">
        <v>30</v>
      </c>
      <c r="Q380" s="1" t="s">
        <v>302</v>
      </c>
      <c r="R380" s="2">
        <v>42060</v>
      </c>
      <c r="S380" s="1">
        <v>359</v>
      </c>
      <c r="U380" s="1">
        <v>100</v>
      </c>
      <c r="V380" s="1" t="s">
        <v>5295</v>
      </c>
      <c r="W380" s="1" t="s">
        <v>504</v>
      </c>
      <c r="X380" s="1">
        <v>403</v>
      </c>
      <c r="Y380" s="1">
        <v>40</v>
      </c>
      <c r="Z380" s="1" t="s">
        <v>249</v>
      </c>
      <c r="AA380" s="1" t="s">
        <v>661</v>
      </c>
      <c r="AB380" s="1">
        <v>60134</v>
      </c>
      <c r="AD380" s="1" t="s">
        <v>5296</v>
      </c>
      <c r="AE380" s="1" t="s">
        <v>5297</v>
      </c>
      <c r="AF380" s="1">
        <v>2003</v>
      </c>
      <c r="AG380" s="1" t="s">
        <v>204</v>
      </c>
      <c r="AH380" s="1" t="s">
        <v>664</v>
      </c>
      <c r="AI380" s="1" t="s">
        <v>665</v>
      </c>
      <c r="AJ380" s="1" t="s">
        <v>664</v>
      </c>
      <c r="AL380" s="1">
        <v>5</v>
      </c>
      <c r="AM380" s="1">
        <v>2</v>
      </c>
      <c r="AN380" s="1">
        <v>2</v>
      </c>
      <c r="AO380" s="1">
        <v>0</v>
      </c>
      <c r="AP380" s="1" t="s">
        <v>209</v>
      </c>
      <c r="AQ380" s="1">
        <v>0</v>
      </c>
      <c r="AR380" s="1" t="s">
        <v>210</v>
      </c>
      <c r="AS380" s="1" t="s">
        <v>204</v>
      </c>
      <c r="AT380" s="1" t="s">
        <v>211</v>
      </c>
      <c r="AU380" s="1">
        <v>1</v>
      </c>
      <c r="AW380" s="1" t="s">
        <v>204</v>
      </c>
      <c r="AX380" s="1" t="s">
        <v>212</v>
      </c>
      <c r="AZ380" s="5">
        <v>6605.82</v>
      </c>
      <c r="BA380" s="1">
        <v>2013</v>
      </c>
      <c r="BE380" s="1">
        <v>1216</v>
      </c>
      <c r="BF380" s="1">
        <v>4</v>
      </c>
      <c r="BG380" s="1">
        <v>30</v>
      </c>
      <c r="BL380" s="1">
        <v>285</v>
      </c>
      <c r="BM380" s="1" t="s">
        <v>204</v>
      </c>
      <c r="BN380" s="1" t="s">
        <v>213</v>
      </c>
      <c r="BO380" s="1">
        <v>50</v>
      </c>
      <c r="BP380" s="1" t="s">
        <v>204</v>
      </c>
      <c r="BR380" s="1" t="str">
        <f>"1203429058"</f>
        <v>1203429058</v>
      </c>
      <c r="BT380" s="1" t="s">
        <v>5298</v>
      </c>
      <c r="BX380" s="1">
        <v>304</v>
      </c>
      <c r="BY380" s="1">
        <v>304</v>
      </c>
      <c r="BZ380" s="1">
        <v>304</v>
      </c>
      <c r="CB380" s="1" t="str">
        <f t="shared" ref="CB380:CC380" si="303">""</f>
        <v/>
      </c>
      <c r="CC380" s="1" t="str">
        <f t="shared" si="303"/>
        <v/>
      </c>
      <c r="CG380" s="1" t="s">
        <v>1267</v>
      </c>
      <c r="CH380" s="1" t="s">
        <v>685</v>
      </c>
      <c r="CI380" s="1" t="s">
        <v>220</v>
      </c>
      <c r="CK380" s="1" t="s">
        <v>221</v>
      </c>
      <c r="CL380" s="1" t="s">
        <v>685</v>
      </c>
      <c r="CM380" s="1" t="s">
        <v>220</v>
      </c>
      <c r="CO380" s="1" t="s">
        <v>786</v>
      </c>
      <c r="CP380" s="1" t="s">
        <v>685</v>
      </c>
      <c r="CQ380" s="1" t="s">
        <v>220</v>
      </c>
      <c r="CS380" s="1" t="s">
        <v>465</v>
      </c>
      <c r="CT380" s="1" t="s">
        <v>685</v>
      </c>
      <c r="CU380" s="1" t="s">
        <v>220</v>
      </c>
      <c r="CX380" s="1" t="s">
        <v>224</v>
      </c>
      <c r="DB380" s="1" t="s">
        <v>224</v>
      </c>
      <c r="DE380" s="1" t="s">
        <v>2547</v>
      </c>
      <c r="DF380" s="1" t="s">
        <v>685</v>
      </c>
      <c r="DG380" s="1" t="s">
        <v>226</v>
      </c>
      <c r="DJ380" s="1" t="s">
        <v>224</v>
      </c>
      <c r="DS380" s="1" t="s">
        <v>230</v>
      </c>
      <c r="DW380" s="1" t="s">
        <v>230</v>
      </c>
      <c r="EA380" s="1" t="s">
        <v>230</v>
      </c>
      <c r="EE380" s="1" t="s">
        <v>230</v>
      </c>
      <c r="EI380" s="1" t="s">
        <v>230</v>
      </c>
      <c r="EL380" s="1" t="s">
        <v>466</v>
      </c>
      <c r="EM380" s="1" t="s">
        <v>319</v>
      </c>
      <c r="EN380" s="1" t="s">
        <v>282</v>
      </c>
      <c r="EO380" s="1" t="s">
        <v>234</v>
      </c>
      <c r="EP380" s="1" t="s">
        <v>5299</v>
      </c>
      <c r="EQ380" s="1" t="s">
        <v>236</v>
      </c>
      <c r="ER380" s="1" t="s">
        <v>210</v>
      </c>
      <c r="ES380" s="1" t="s">
        <v>608</v>
      </c>
      <c r="ET380" s="1" t="s">
        <v>323</v>
      </c>
      <c r="EU380" s="1" t="s">
        <v>5300</v>
      </c>
      <c r="EV380" s="1" t="s">
        <v>240</v>
      </c>
      <c r="EW380" s="1" t="s">
        <v>5301</v>
      </c>
      <c r="EY380" s="1" t="s">
        <v>242</v>
      </c>
      <c r="EZ380" s="1" t="s">
        <v>287</v>
      </c>
      <c r="FA380" s="1" t="s">
        <v>5302</v>
      </c>
      <c r="FB380" s="1" t="s">
        <v>289</v>
      </c>
      <c r="FC380" s="1" t="s">
        <v>548</v>
      </c>
      <c r="FD380" s="1" t="s">
        <v>246</v>
      </c>
      <c r="FE380" s="1" t="s">
        <v>247</v>
      </c>
      <c r="FF380" s="1" t="s">
        <v>387</v>
      </c>
      <c r="FH380" s="1" t="s">
        <v>5303</v>
      </c>
      <c r="FI380" s="1" t="s">
        <v>250</v>
      </c>
      <c r="FJ380" s="1" t="s">
        <v>197</v>
      </c>
      <c r="FL380" s="1" t="s">
        <v>5304</v>
      </c>
      <c r="FM380" s="1" t="s">
        <v>252</v>
      </c>
      <c r="FN380" s="1" t="s">
        <v>213</v>
      </c>
      <c r="FO380" s="1" t="s">
        <v>213</v>
      </c>
      <c r="FQ380" s="1" t="s">
        <v>5305</v>
      </c>
      <c r="FR380" s="1" t="s">
        <v>210</v>
      </c>
      <c r="FS380" s="1" t="s">
        <v>2624</v>
      </c>
      <c r="FT380" s="1" t="s">
        <v>295</v>
      </c>
      <c r="FU380" s="1" t="s">
        <v>204</v>
      </c>
      <c r="FW380" s="1" t="s">
        <v>813</v>
      </c>
      <c r="FX380" s="1">
        <v>771</v>
      </c>
      <c r="FY380" s="1" t="s">
        <v>5306</v>
      </c>
      <c r="FZ380" s="1" t="s">
        <v>5307</v>
      </c>
      <c r="GA380" s="1">
        <v>560</v>
      </c>
      <c r="GB380" s="1" t="s">
        <v>5308</v>
      </c>
      <c r="GD380" s="1" t="s">
        <v>5309</v>
      </c>
      <c r="GE380" s="1" t="s">
        <v>1333</v>
      </c>
      <c r="GH380" s="1" t="s">
        <v>230</v>
      </c>
      <c r="GI380" s="1" t="s">
        <v>213</v>
      </c>
      <c r="GJ380" s="1" t="s">
        <v>260</v>
      </c>
      <c r="GK380" s="1" t="s">
        <v>210</v>
      </c>
      <c r="GL380" s="2">
        <v>42060</v>
      </c>
      <c r="GM380" s="1" t="s">
        <v>5310</v>
      </c>
    </row>
    <row r="381" spans="1:195">
      <c r="A381" s="1">
        <v>218000</v>
      </c>
      <c r="B381" s="1" t="s">
        <v>195</v>
      </c>
      <c r="C381" s="1" t="str">
        <f>"08795537"</f>
        <v>08795537</v>
      </c>
      <c r="D381" s="1" t="s">
        <v>196</v>
      </c>
      <c r="F381" s="1" t="str">
        <f>"507"</f>
        <v>507</v>
      </c>
      <c r="G381" s="2">
        <v>41975</v>
      </c>
      <c r="H381" s="1">
        <v>219900</v>
      </c>
      <c r="I381" s="1">
        <v>219900</v>
      </c>
      <c r="J381" s="1">
        <v>218000</v>
      </c>
      <c r="K381" s="2">
        <v>41975</v>
      </c>
      <c r="L381" s="1">
        <v>125</v>
      </c>
      <c r="M381" s="2">
        <v>42099</v>
      </c>
      <c r="N381" s="1">
        <v>125</v>
      </c>
      <c r="O381" s="2">
        <v>42099</v>
      </c>
      <c r="P381" s="1">
        <v>23265</v>
      </c>
      <c r="Q381" s="1" t="s">
        <v>302</v>
      </c>
      <c r="R381" s="2">
        <v>42142</v>
      </c>
      <c r="S381" s="1">
        <v>219834</v>
      </c>
      <c r="U381" s="1">
        <v>1616</v>
      </c>
      <c r="V381" s="1" t="s">
        <v>5311</v>
      </c>
      <c r="W381" s="1" t="s">
        <v>264</v>
      </c>
      <c r="X381" s="1">
        <v>1616</v>
      </c>
      <c r="Y381" s="1">
        <v>4</v>
      </c>
      <c r="Z381" s="1" t="s">
        <v>200</v>
      </c>
      <c r="AA381" s="1" t="s">
        <v>1123</v>
      </c>
      <c r="AB381" s="1">
        <v>60504</v>
      </c>
      <c r="AD381" s="1" t="s">
        <v>5312</v>
      </c>
      <c r="AE381" s="1" t="s">
        <v>5313</v>
      </c>
      <c r="AF381" s="1">
        <v>2005</v>
      </c>
      <c r="AG381" s="1" t="s">
        <v>204</v>
      </c>
      <c r="AH381" s="1" t="s">
        <v>1126</v>
      </c>
      <c r="AI381" s="1" t="s">
        <v>665</v>
      </c>
      <c r="AJ381" s="1" t="s">
        <v>1126</v>
      </c>
      <c r="AL381" s="1">
        <v>8</v>
      </c>
      <c r="AM381" s="1">
        <v>2</v>
      </c>
      <c r="AN381" s="1">
        <v>3</v>
      </c>
      <c r="AO381" s="1">
        <v>0</v>
      </c>
      <c r="AP381" s="1" t="s">
        <v>209</v>
      </c>
      <c r="AQ381" s="1">
        <v>0</v>
      </c>
      <c r="AR381" s="1" t="s">
        <v>209</v>
      </c>
      <c r="AS381" s="1" t="s">
        <v>213</v>
      </c>
      <c r="AT381" s="1" t="s">
        <v>211</v>
      </c>
      <c r="AU381" s="1">
        <v>2</v>
      </c>
      <c r="AW381" s="1" t="s">
        <v>204</v>
      </c>
      <c r="AX381" s="1" t="s">
        <v>5314</v>
      </c>
      <c r="AZ381" s="1">
        <v>4832</v>
      </c>
      <c r="BA381" s="1">
        <v>2013</v>
      </c>
      <c r="BB381" s="1" t="s">
        <v>405</v>
      </c>
      <c r="BE381" s="1">
        <v>1591</v>
      </c>
      <c r="BF381" s="1">
        <v>1</v>
      </c>
      <c r="BG381" s="1">
        <v>0</v>
      </c>
      <c r="BL381" s="1">
        <v>148</v>
      </c>
      <c r="BM381" s="1" t="s">
        <v>204</v>
      </c>
      <c r="BN381" s="1" t="s">
        <v>213</v>
      </c>
      <c r="BO381" s="1">
        <v>50</v>
      </c>
      <c r="BP381" s="1" t="s">
        <v>204</v>
      </c>
      <c r="BR381" s="1" t="str">
        <f>"1536359003"</f>
        <v>1536359003</v>
      </c>
      <c r="BT381" s="1" t="s">
        <v>5315</v>
      </c>
      <c r="BU381" s="1" t="s">
        <v>5316</v>
      </c>
      <c r="BV381" s="1" t="s">
        <v>5317</v>
      </c>
      <c r="BW381" s="1" t="s">
        <v>5318</v>
      </c>
      <c r="BX381" s="1">
        <v>131</v>
      </c>
      <c r="BY381" s="1">
        <v>131</v>
      </c>
      <c r="BZ381" s="1">
        <v>131</v>
      </c>
      <c r="CB381" s="1" t="str">
        <f t="shared" ref="CB381:CC381" si="304">"0"</f>
        <v>0</v>
      </c>
      <c r="CC381" s="1" t="str">
        <f t="shared" si="304"/>
        <v>0</v>
      </c>
      <c r="CD381" s="1">
        <v>34</v>
      </c>
      <c r="CE381" s="1">
        <v>9</v>
      </c>
      <c r="CG381" s="1" t="s">
        <v>707</v>
      </c>
      <c r="CH381" s="1" t="s">
        <v>219</v>
      </c>
      <c r="CI381" s="1" t="s">
        <v>438</v>
      </c>
      <c r="CK381" s="1" t="s">
        <v>5319</v>
      </c>
      <c r="CL381" s="1" t="s">
        <v>219</v>
      </c>
      <c r="CM381" s="1" t="s">
        <v>220</v>
      </c>
      <c r="CO381" s="1" t="s">
        <v>1297</v>
      </c>
      <c r="CP381" s="1" t="s">
        <v>219</v>
      </c>
      <c r="CQ381" s="1" t="s">
        <v>438</v>
      </c>
      <c r="CR381" s="1" t="s">
        <v>210</v>
      </c>
      <c r="CS381" s="1" t="s">
        <v>836</v>
      </c>
      <c r="CT381" s="1" t="s">
        <v>219</v>
      </c>
      <c r="CU381" s="1" t="s">
        <v>220</v>
      </c>
      <c r="CW381" s="1" t="s">
        <v>465</v>
      </c>
      <c r="CX381" s="1" t="s">
        <v>43</v>
      </c>
      <c r="CY381" s="1" t="s">
        <v>220</v>
      </c>
      <c r="DB381" s="1" t="s">
        <v>224</v>
      </c>
      <c r="DE381" s="1" t="s">
        <v>409</v>
      </c>
      <c r="DF381" s="1" t="s">
        <v>219</v>
      </c>
      <c r="DG381" s="1" t="s">
        <v>438</v>
      </c>
      <c r="DH381" s="1" t="s">
        <v>210</v>
      </c>
      <c r="DJ381" s="1" t="s">
        <v>224</v>
      </c>
      <c r="DM381" s="1" t="s">
        <v>3011</v>
      </c>
      <c r="DN381" s="1" t="s">
        <v>934</v>
      </c>
      <c r="DO381" s="1" t="s">
        <v>5320</v>
      </c>
      <c r="DP381" s="1" t="s">
        <v>1614</v>
      </c>
      <c r="DR381" s="1" t="s">
        <v>2031</v>
      </c>
      <c r="DS381" s="1" t="s">
        <v>219</v>
      </c>
      <c r="DV381" s="1" t="s">
        <v>5321</v>
      </c>
      <c r="DW381" s="1" t="s">
        <v>43</v>
      </c>
      <c r="DX381" s="1" t="s">
        <v>220</v>
      </c>
      <c r="DZ381" s="1" t="s">
        <v>4062</v>
      </c>
      <c r="EA381" s="1" t="s">
        <v>43</v>
      </c>
      <c r="ED381" s="1" t="s">
        <v>314</v>
      </c>
      <c r="EE381" s="1" t="s">
        <v>43</v>
      </c>
      <c r="EI381" s="1" t="s">
        <v>230</v>
      </c>
      <c r="EL381" s="1" t="s">
        <v>491</v>
      </c>
      <c r="EM381" s="1" t="s">
        <v>319</v>
      </c>
      <c r="EN381" s="1" t="s">
        <v>282</v>
      </c>
      <c r="EO381" s="1" t="s">
        <v>234</v>
      </c>
      <c r="EP381" s="1" t="s">
        <v>650</v>
      </c>
      <c r="EQ381" s="1" t="s">
        <v>236</v>
      </c>
      <c r="ER381" s="1" t="s">
        <v>544</v>
      </c>
      <c r="ES381" s="1" t="s">
        <v>3285</v>
      </c>
      <c r="ET381" s="1" t="s">
        <v>842</v>
      </c>
      <c r="EV381" s="1" t="s">
        <v>240</v>
      </c>
      <c r="EW381" s="1" t="s">
        <v>353</v>
      </c>
      <c r="EY381" s="1" t="s">
        <v>242</v>
      </c>
      <c r="EZ381" s="1" t="s">
        <v>5322</v>
      </c>
      <c r="FA381" s="1" t="s">
        <v>2291</v>
      </c>
      <c r="FB381" s="1" t="s">
        <v>289</v>
      </c>
      <c r="FC381" s="1" t="s">
        <v>633</v>
      </c>
      <c r="FD381" s="1" t="s">
        <v>246</v>
      </c>
      <c r="FE381" s="1" t="s">
        <v>247</v>
      </c>
      <c r="FF381" s="1" t="s">
        <v>248</v>
      </c>
      <c r="FH381" s="1" t="s">
        <v>825</v>
      </c>
      <c r="FL381" s="1" t="s">
        <v>358</v>
      </c>
      <c r="FM381" s="1" t="s">
        <v>252</v>
      </c>
      <c r="FN381" s="1" t="s">
        <v>213</v>
      </c>
      <c r="FO381" s="1" t="s">
        <v>213</v>
      </c>
      <c r="FQ381" s="1" t="s">
        <v>793</v>
      </c>
      <c r="FR381" s="1" t="s">
        <v>210</v>
      </c>
      <c r="FS381" s="1" t="s">
        <v>5323</v>
      </c>
      <c r="FT381" s="1" t="s">
        <v>295</v>
      </c>
      <c r="FU381" s="1" t="s">
        <v>204</v>
      </c>
      <c r="FW381" s="1" t="s">
        <v>5324</v>
      </c>
      <c r="FX381" s="1">
        <v>23865</v>
      </c>
      <c r="FY381" s="1" t="s">
        <v>5325</v>
      </c>
      <c r="FZ381" s="1" t="s">
        <v>5326</v>
      </c>
      <c r="GA381" s="1">
        <v>233463</v>
      </c>
      <c r="GB381" s="1" t="s">
        <v>5327</v>
      </c>
      <c r="GC381" s="1">
        <v>230758</v>
      </c>
      <c r="GE381" s="1" t="s">
        <v>623</v>
      </c>
      <c r="GI381" s="1" t="s">
        <v>213</v>
      </c>
      <c r="GJ381" s="1" t="s">
        <v>260</v>
      </c>
      <c r="GK381" s="1" t="s">
        <v>210</v>
      </c>
      <c r="GL381" s="2">
        <v>42142</v>
      </c>
    </row>
    <row r="382" spans="1:195">
      <c r="A382" s="1">
        <v>129000</v>
      </c>
      <c r="B382" s="1" t="s">
        <v>195</v>
      </c>
      <c r="C382" s="1" t="str">
        <f>"08789417"</f>
        <v>08789417</v>
      </c>
      <c r="D382" s="1" t="s">
        <v>196</v>
      </c>
      <c r="F382" s="1" t="str">
        <f>"73"</f>
        <v>73</v>
      </c>
      <c r="G382" s="2">
        <v>41962</v>
      </c>
      <c r="H382" s="1">
        <v>139900</v>
      </c>
      <c r="I382" s="1">
        <v>139900</v>
      </c>
      <c r="J382" s="1">
        <v>129000</v>
      </c>
      <c r="K382" s="2">
        <v>41962</v>
      </c>
      <c r="L382" s="1">
        <v>10</v>
      </c>
      <c r="M382" s="2">
        <v>41971</v>
      </c>
      <c r="N382" s="1">
        <v>10</v>
      </c>
      <c r="O382" s="2">
        <v>41971</v>
      </c>
      <c r="P382" s="1">
        <v>25898</v>
      </c>
      <c r="Q382" s="1" t="s">
        <v>423</v>
      </c>
      <c r="R382" s="2">
        <v>42012</v>
      </c>
      <c r="S382" s="1">
        <v>18453</v>
      </c>
      <c r="U382" s="1">
        <v>638</v>
      </c>
      <c r="V382" s="1" t="s">
        <v>5328</v>
      </c>
      <c r="W382" s="1" t="s">
        <v>1056</v>
      </c>
      <c r="Y382" s="1">
        <v>2</v>
      </c>
      <c r="Z382" s="1" t="s">
        <v>370</v>
      </c>
      <c r="AA382" s="1" t="s">
        <v>1259</v>
      </c>
      <c r="AB382" s="1">
        <v>60073</v>
      </c>
      <c r="AD382" s="1" t="s">
        <v>5329</v>
      </c>
      <c r="AE382" s="1" t="s">
        <v>5330</v>
      </c>
      <c r="AF382" s="1">
        <v>2004</v>
      </c>
      <c r="AG382" s="1" t="s">
        <v>204</v>
      </c>
      <c r="AH382" s="1" t="s">
        <v>1262</v>
      </c>
      <c r="AI382" s="1" t="s">
        <v>509</v>
      </c>
      <c r="AJ382" s="1" t="s">
        <v>1263</v>
      </c>
      <c r="AL382" s="1">
        <v>6</v>
      </c>
      <c r="AM382" s="1">
        <v>2</v>
      </c>
      <c r="AN382" s="1">
        <v>2</v>
      </c>
      <c r="AO382" s="1">
        <v>0</v>
      </c>
      <c r="AP382" s="1" t="s">
        <v>209</v>
      </c>
      <c r="AQ382" s="1">
        <v>1</v>
      </c>
      <c r="AR382" s="1" t="s">
        <v>210</v>
      </c>
      <c r="AS382" s="1" t="s">
        <v>204</v>
      </c>
      <c r="AT382" s="1" t="s">
        <v>211</v>
      </c>
      <c r="AU382" s="1">
        <v>2</v>
      </c>
      <c r="AW382" s="1" t="s">
        <v>204</v>
      </c>
      <c r="AX382" s="1" t="s">
        <v>212</v>
      </c>
      <c r="AZ382" s="1">
        <v>2669.07</v>
      </c>
      <c r="BA382" s="1">
        <v>2013</v>
      </c>
      <c r="BB382" s="1" t="s">
        <v>599</v>
      </c>
      <c r="BE382" s="1">
        <v>1554</v>
      </c>
      <c r="BF382" s="1">
        <v>1</v>
      </c>
      <c r="BG382" s="1">
        <v>0</v>
      </c>
      <c r="BL382" s="1">
        <v>195</v>
      </c>
      <c r="BM382" s="1" t="s">
        <v>204</v>
      </c>
      <c r="BN382" s="1" t="s">
        <v>213</v>
      </c>
      <c r="BO382" s="1">
        <v>0</v>
      </c>
      <c r="BP382" s="1" t="s">
        <v>204</v>
      </c>
      <c r="BR382" s="1" t="str">
        <f>"06322140170000"</f>
        <v>06322140170000</v>
      </c>
      <c r="BT382" s="1" t="s">
        <v>5331</v>
      </c>
      <c r="BU382" s="1" t="s">
        <v>5332</v>
      </c>
      <c r="BV382" s="1" t="s">
        <v>5333</v>
      </c>
      <c r="BW382" s="1" t="s">
        <v>2737</v>
      </c>
      <c r="BX382" s="1">
        <v>46</v>
      </c>
      <c r="BY382" s="1">
        <v>46</v>
      </c>
      <c r="BZ382" s="1">
        <v>127</v>
      </c>
      <c r="CB382" s="1" t="str">
        <f>"32"</f>
        <v>32</v>
      </c>
      <c r="CC382" s="1" t="str">
        <f>""</f>
        <v/>
      </c>
      <c r="CD382" s="1">
        <v>23</v>
      </c>
      <c r="CG382" s="1" t="s">
        <v>932</v>
      </c>
      <c r="CH382" s="1" t="s">
        <v>219</v>
      </c>
      <c r="CI382" s="1" t="s">
        <v>220</v>
      </c>
      <c r="CJ382" s="1" t="s">
        <v>252</v>
      </c>
      <c r="CK382" s="1" t="s">
        <v>221</v>
      </c>
      <c r="CL382" s="1" t="s">
        <v>219</v>
      </c>
      <c r="CM382" s="1" t="s">
        <v>220</v>
      </c>
      <c r="CN382" s="1" t="s">
        <v>252</v>
      </c>
      <c r="CO382" s="1" t="s">
        <v>315</v>
      </c>
      <c r="CP382" s="1" t="s">
        <v>219</v>
      </c>
      <c r="CQ382" s="1" t="s">
        <v>220</v>
      </c>
      <c r="CR382" s="1" t="s">
        <v>252</v>
      </c>
      <c r="CS382" s="1" t="s">
        <v>379</v>
      </c>
      <c r="CT382" s="1" t="s">
        <v>219</v>
      </c>
      <c r="CU382" s="1" t="s">
        <v>220</v>
      </c>
      <c r="CV382" s="1" t="s">
        <v>252</v>
      </c>
      <c r="CX382" s="1" t="s">
        <v>224</v>
      </c>
      <c r="DB382" s="1" t="s">
        <v>224</v>
      </c>
      <c r="DE382" s="1" t="s">
        <v>757</v>
      </c>
      <c r="DF382" s="1" t="s">
        <v>219</v>
      </c>
      <c r="DG382" s="1" t="s">
        <v>229</v>
      </c>
      <c r="DH382" s="1" t="s">
        <v>252</v>
      </c>
      <c r="DJ382" s="1" t="s">
        <v>224</v>
      </c>
      <c r="DM382" s="1" t="s">
        <v>1789</v>
      </c>
      <c r="DR382" s="1" t="s">
        <v>465</v>
      </c>
      <c r="DS382" s="1" t="s">
        <v>219</v>
      </c>
      <c r="DT382" s="1" t="s">
        <v>220</v>
      </c>
      <c r="DU382" s="1" t="s">
        <v>252</v>
      </c>
      <c r="DW382" s="1" t="s">
        <v>230</v>
      </c>
      <c r="EA382" s="1" t="s">
        <v>230</v>
      </c>
      <c r="EE382" s="1" t="s">
        <v>230</v>
      </c>
      <c r="EI382" s="1" t="s">
        <v>230</v>
      </c>
      <c r="EL382" s="1" t="s">
        <v>466</v>
      </c>
      <c r="EM382" s="1" t="s">
        <v>319</v>
      </c>
      <c r="EN382" s="1" t="s">
        <v>282</v>
      </c>
      <c r="EO382" s="1" t="s">
        <v>234</v>
      </c>
      <c r="EP382" s="1" t="s">
        <v>650</v>
      </c>
      <c r="EQ382" s="1" t="s">
        <v>236</v>
      </c>
      <c r="ER382" s="1" t="s">
        <v>210</v>
      </c>
      <c r="ES382" s="1" t="s">
        <v>824</v>
      </c>
      <c r="EU382" s="1" t="s">
        <v>1202</v>
      </c>
      <c r="EV382" s="1" t="s">
        <v>240</v>
      </c>
      <c r="EW382" s="1" t="s">
        <v>353</v>
      </c>
      <c r="EZ382" s="1" t="s">
        <v>1789</v>
      </c>
      <c r="FA382" s="1" t="s">
        <v>1726</v>
      </c>
      <c r="FD382" s="1" t="s">
        <v>246</v>
      </c>
      <c r="FE382" s="1" t="s">
        <v>472</v>
      </c>
      <c r="FF382" s="1" t="s">
        <v>248</v>
      </c>
      <c r="FG382" s="1" t="s">
        <v>2739</v>
      </c>
      <c r="FH382" s="1" t="s">
        <v>825</v>
      </c>
      <c r="FI382" s="1" t="s">
        <v>473</v>
      </c>
      <c r="FL382" s="1" t="s">
        <v>358</v>
      </c>
      <c r="FM382" s="1" t="s">
        <v>252</v>
      </c>
      <c r="FN382" s="1" t="s">
        <v>213</v>
      </c>
      <c r="FO382" s="1" t="s">
        <v>213</v>
      </c>
      <c r="FQ382" s="1" t="s">
        <v>329</v>
      </c>
      <c r="FR382" s="1" t="s">
        <v>652</v>
      </c>
      <c r="FS382" s="1" t="s">
        <v>5334</v>
      </c>
      <c r="FT382" s="1" t="s">
        <v>520</v>
      </c>
      <c r="FU382" s="1" t="s">
        <v>204</v>
      </c>
      <c r="FW382" s="1" t="s">
        <v>5046</v>
      </c>
      <c r="FX382" s="1">
        <v>2280</v>
      </c>
      <c r="FY382" s="1" t="s">
        <v>5047</v>
      </c>
      <c r="FZ382" s="1" t="s">
        <v>5048</v>
      </c>
      <c r="GA382" s="1">
        <v>85534</v>
      </c>
      <c r="GB382" s="1" t="s">
        <v>5049</v>
      </c>
      <c r="GD382" s="1" t="s">
        <v>5050</v>
      </c>
      <c r="GE382" s="1" t="s">
        <v>623</v>
      </c>
      <c r="GH382" s="1" t="s">
        <v>421</v>
      </c>
      <c r="GI382" s="1" t="s">
        <v>213</v>
      </c>
      <c r="GJ382" s="1" t="s">
        <v>260</v>
      </c>
      <c r="GK382" s="1" t="s">
        <v>210</v>
      </c>
      <c r="GL382" s="2">
        <v>42012</v>
      </c>
      <c r="GM382" s="1" t="s">
        <v>5335</v>
      </c>
    </row>
    <row r="383" spans="1:195">
      <c r="A383" s="1">
        <v>133100</v>
      </c>
      <c r="B383" s="1" t="s">
        <v>195</v>
      </c>
      <c r="C383" s="1" t="str">
        <f>"08790754"</f>
        <v>08790754</v>
      </c>
      <c r="D383" s="1" t="s">
        <v>196</v>
      </c>
      <c r="F383" s="1" t="str">
        <f>"507"</f>
        <v>507</v>
      </c>
      <c r="G383" s="2">
        <v>41964</v>
      </c>
      <c r="H383" s="1">
        <v>152900</v>
      </c>
      <c r="I383" s="1">
        <v>138000</v>
      </c>
      <c r="J383" s="1">
        <v>133100</v>
      </c>
      <c r="K383" s="2">
        <v>41964</v>
      </c>
      <c r="L383" s="1">
        <v>73</v>
      </c>
      <c r="M383" s="2">
        <v>42036</v>
      </c>
      <c r="N383" s="1">
        <v>73</v>
      </c>
      <c r="O383" s="2">
        <v>42036</v>
      </c>
      <c r="P383" s="1">
        <v>23076</v>
      </c>
      <c r="Q383" s="1" t="s">
        <v>302</v>
      </c>
      <c r="R383" s="2">
        <v>42062</v>
      </c>
      <c r="S383" s="1">
        <v>236101</v>
      </c>
      <c r="U383" s="1">
        <v>2346</v>
      </c>
      <c r="V383" s="1" t="s">
        <v>3630</v>
      </c>
      <c r="W383" s="1" t="s">
        <v>264</v>
      </c>
      <c r="Y383" s="1">
        <v>4</v>
      </c>
      <c r="Z383" s="1" t="s">
        <v>370</v>
      </c>
      <c r="AA383" s="1" t="s">
        <v>1123</v>
      </c>
      <c r="AB383" s="1">
        <v>60503</v>
      </c>
      <c r="AD383" s="1" t="s">
        <v>5336</v>
      </c>
      <c r="AE383" s="1" t="s">
        <v>5337</v>
      </c>
      <c r="AF383" s="1">
        <v>2001</v>
      </c>
      <c r="AG383" s="1" t="s">
        <v>204</v>
      </c>
      <c r="AH383" s="1" t="s">
        <v>1126</v>
      </c>
      <c r="AI383" s="1" t="s">
        <v>1800</v>
      </c>
      <c r="AJ383" s="1" t="s">
        <v>1801</v>
      </c>
      <c r="AL383" s="1">
        <v>7</v>
      </c>
      <c r="AM383" s="1">
        <v>2</v>
      </c>
      <c r="AN383" s="1">
        <v>2</v>
      </c>
      <c r="AO383" s="1">
        <v>0</v>
      </c>
      <c r="AP383" s="1" t="s">
        <v>210</v>
      </c>
      <c r="AR383" s="1" t="s">
        <v>1421</v>
      </c>
      <c r="AS383" s="1" t="s">
        <v>204</v>
      </c>
      <c r="AT383" s="1" t="s">
        <v>211</v>
      </c>
      <c r="AU383" s="1">
        <v>2</v>
      </c>
      <c r="AW383" s="1" t="s">
        <v>204</v>
      </c>
      <c r="AX383" s="1" t="s">
        <v>212</v>
      </c>
      <c r="AZ383" s="1">
        <v>3659</v>
      </c>
      <c r="BA383" s="1">
        <v>2012</v>
      </c>
      <c r="BE383" s="1">
        <v>1164</v>
      </c>
      <c r="BF383" s="1">
        <v>1</v>
      </c>
      <c r="BG383" s="1">
        <v>0</v>
      </c>
      <c r="BL383" s="1">
        <v>215</v>
      </c>
      <c r="BM383" s="1" t="s">
        <v>413</v>
      </c>
      <c r="BN383" s="1" t="s">
        <v>213</v>
      </c>
      <c r="BO383" s="1">
        <v>0</v>
      </c>
      <c r="BP383" s="1" t="s">
        <v>204</v>
      </c>
      <c r="BR383" s="1" t="str">
        <f>"01063030351004"</f>
        <v>01063030351004</v>
      </c>
      <c r="BT383" s="1" t="s">
        <v>5338</v>
      </c>
      <c r="BX383" s="1">
        <v>308</v>
      </c>
      <c r="BY383" s="1">
        <v>308</v>
      </c>
      <c r="BZ383" s="1">
        <v>308</v>
      </c>
      <c r="CB383" s="1" t="str">
        <f t="shared" ref="CB383:CC383" si="305">""</f>
        <v/>
      </c>
      <c r="CC383" s="1" t="str">
        <f t="shared" si="305"/>
        <v/>
      </c>
      <c r="CG383" s="1" t="s">
        <v>3591</v>
      </c>
      <c r="CH383" s="1" t="s">
        <v>277</v>
      </c>
      <c r="CK383" s="1" t="s">
        <v>2070</v>
      </c>
      <c r="CL383" s="1" t="s">
        <v>277</v>
      </c>
      <c r="CO383" s="1" t="s">
        <v>836</v>
      </c>
      <c r="CP383" s="1" t="s">
        <v>277</v>
      </c>
      <c r="CS383" s="1" t="s">
        <v>836</v>
      </c>
      <c r="CT383" s="1" t="s">
        <v>277</v>
      </c>
      <c r="CX383" s="1" t="s">
        <v>224</v>
      </c>
      <c r="DB383" s="1" t="s">
        <v>224</v>
      </c>
      <c r="DE383" s="1" t="s">
        <v>2122</v>
      </c>
      <c r="DF383" s="1" t="s">
        <v>277</v>
      </c>
      <c r="DI383" s="1" t="s">
        <v>3057</v>
      </c>
      <c r="DJ383" s="1" t="s">
        <v>822</v>
      </c>
      <c r="DM383" s="1" t="s">
        <v>464</v>
      </c>
      <c r="DR383" s="1" t="s">
        <v>3318</v>
      </c>
      <c r="DS383" s="1" t="s">
        <v>277</v>
      </c>
      <c r="DW383" s="1" t="s">
        <v>230</v>
      </c>
      <c r="EA383" s="1" t="s">
        <v>230</v>
      </c>
      <c r="EE383" s="1" t="s">
        <v>230</v>
      </c>
      <c r="EI383" s="1" t="s">
        <v>230</v>
      </c>
      <c r="EL383" s="1" t="s">
        <v>466</v>
      </c>
      <c r="EM383" s="1" t="s">
        <v>319</v>
      </c>
      <c r="EN383" s="1" t="s">
        <v>282</v>
      </c>
      <c r="EO383" s="1" t="s">
        <v>234</v>
      </c>
      <c r="ER383" s="1" t="s">
        <v>544</v>
      </c>
      <c r="EW383" s="1" t="s">
        <v>1471</v>
      </c>
      <c r="EZ383" s="1" t="s">
        <v>464</v>
      </c>
      <c r="FD383" s="1" t="s">
        <v>246</v>
      </c>
      <c r="FE383" s="1" t="s">
        <v>870</v>
      </c>
      <c r="FF383" s="1" t="s">
        <v>248</v>
      </c>
      <c r="FH383" s="1" t="s">
        <v>940</v>
      </c>
      <c r="FL383" s="1" t="s">
        <v>414</v>
      </c>
      <c r="FM383" s="1" t="s">
        <v>252</v>
      </c>
      <c r="FN383" s="1" t="s">
        <v>213</v>
      </c>
      <c r="FO383" s="1" t="s">
        <v>213</v>
      </c>
      <c r="FQ383" s="1" t="s">
        <v>689</v>
      </c>
      <c r="FR383" s="1" t="s">
        <v>210</v>
      </c>
      <c r="FS383" s="1" t="s">
        <v>2541</v>
      </c>
      <c r="FT383" s="1" t="s">
        <v>584</v>
      </c>
      <c r="FU383" s="1" t="s">
        <v>204</v>
      </c>
      <c r="FW383" s="1" t="s">
        <v>813</v>
      </c>
      <c r="FX383" s="1">
        <v>23286</v>
      </c>
      <c r="FY383" s="1" t="s">
        <v>4315</v>
      </c>
      <c r="FZ383" s="1" t="s">
        <v>4316</v>
      </c>
      <c r="GA383" s="1">
        <v>223647</v>
      </c>
      <c r="GB383" s="1" t="s">
        <v>4317</v>
      </c>
      <c r="GC383" s="1">
        <v>230243</v>
      </c>
      <c r="GE383" s="1" t="s">
        <v>210</v>
      </c>
      <c r="GI383" s="1" t="s">
        <v>213</v>
      </c>
      <c r="GJ383" s="1" t="s">
        <v>260</v>
      </c>
      <c r="GK383" s="1" t="s">
        <v>210</v>
      </c>
      <c r="GL383" s="2">
        <v>42064</v>
      </c>
      <c r="GM383" s="1" t="s">
        <v>4318</v>
      </c>
    </row>
    <row r="384" spans="1:195">
      <c r="A384" s="1">
        <v>149900</v>
      </c>
      <c r="B384" s="1" t="s">
        <v>195</v>
      </c>
      <c r="C384" s="1" t="str">
        <f>"08790349"</f>
        <v>08790349</v>
      </c>
      <c r="D384" s="1" t="s">
        <v>196</v>
      </c>
      <c r="F384" s="1" t="str">
        <f>"540"</f>
        <v>540</v>
      </c>
      <c r="G384" s="2">
        <v>41963</v>
      </c>
      <c r="H384" s="1">
        <v>149900</v>
      </c>
      <c r="I384" s="1">
        <v>149900</v>
      </c>
      <c r="J384" s="1">
        <v>149900</v>
      </c>
      <c r="K384" s="2">
        <v>41961</v>
      </c>
      <c r="L384" s="1">
        <v>8</v>
      </c>
      <c r="M384" s="2">
        <v>41968</v>
      </c>
      <c r="N384" s="1">
        <v>8</v>
      </c>
      <c r="O384" s="2">
        <v>41968</v>
      </c>
      <c r="P384" s="1">
        <v>60021</v>
      </c>
      <c r="Q384" s="1" t="s">
        <v>197</v>
      </c>
      <c r="R384" s="2">
        <v>42047</v>
      </c>
      <c r="S384" s="1">
        <v>602224</v>
      </c>
      <c r="U384" s="1">
        <v>434</v>
      </c>
      <c r="V384" s="1" t="s">
        <v>3065</v>
      </c>
      <c r="W384" s="1" t="s">
        <v>304</v>
      </c>
      <c r="Y384" s="1">
        <v>8</v>
      </c>
      <c r="Z384" s="1" t="s">
        <v>370</v>
      </c>
      <c r="AA384" s="1" t="s">
        <v>921</v>
      </c>
      <c r="AB384" s="1">
        <v>60563</v>
      </c>
      <c r="AD384" s="1" t="s">
        <v>5339</v>
      </c>
      <c r="AE384" s="1" t="s">
        <v>5340</v>
      </c>
      <c r="AF384" s="1">
        <v>1987</v>
      </c>
      <c r="AG384" s="1" t="s">
        <v>204</v>
      </c>
      <c r="AH384" s="1" t="s">
        <v>924</v>
      </c>
      <c r="AI384" s="1" t="s">
        <v>206</v>
      </c>
      <c r="AJ384" s="1" t="s">
        <v>924</v>
      </c>
      <c r="AL384" s="1">
        <v>5</v>
      </c>
      <c r="AM384" s="1">
        <v>2</v>
      </c>
      <c r="AN384" s="1">
        <v>1</v>
      </c>
      <c r="AO384" s="1">
        <v>1</v>
      </c>
      <c r="AP384" s="1" t="s">
        <v>210</v>
      </c>
      <c r="AQ384" s="1">
        <v>1</v>
      </c>
      <c r="AR384" s="1" t="s">
        <v>210</v>
      </c>
      <c r="AS384" s="1" t="s">
        <v>204</v>
      </c>
      <c r="AT384" s="1" t="s">
        <v>211</v>
      </c>
      <c r="AU384" s="1">
        <v>1</v>
      </c>
      <c r="AW384" s="1" t="s">
        <v>204</v>
      </c>
      <c r="AX384" s="1" t="s">
        <v>212</v>
      </c>
      <c r="AZ384" s="1">
        <v>2323</v>
      </c>
      <c r="BA384" s="1">
        <v>2013</v>
      </c>
      <c r="BB384" s="1" t="s">
        <v>210</v>
      </c>
      <c r="BE384" s="1">
        <v>1100</v>
      </c>
      <c r="BF384" s="1">
        <v>1</v>
      </c>
      <c r="BG384" s="1">
        <v>0</v>
      </c>
      <c r="BL384" s="1">
        <v>146</v>
      </c>
      <c r="BM384" s="1" t="s">
        <v>204</v>
      </c>
      <c r="BN384" s="1" t="s">
        <v>213</v>
      </c>
      <c r="BP384" s="1" t="s">
        <v>204</v>
      </c>
      <c r="BR384" s="1" t="str">
        <f>"0712224048"</f>
        <v>0712224048</v>
      </c>
      <c r="BT384" s="1" t="s">
        <v>5341</v>
      </c>
      <c r="BU384" s="1" t="s">
        <v>2823</v>
      </c>
      <c r="BV384" s="1" t="s">
        <v>2824</v>
      </c>
      <c r="BW384" s="1" t="s">
        <v>2825</v>
      </c>
      <c r="BX384" s="1">
        <v>203</v>
      </c>
      <c r="BY384" s="1">
        <v>203</v>
      </c>
      <c r="BZ384" s="1">
        <v>203</v>
      </c>
      <c r="CB384" s="1" t="str">
        <f t="shared" ref="CB384:CC384" si="306">"0"</f>
        <v>0</v>
      </c>
      <c r="CC384" s="1" t="str">
        <f t="shared" si="306"/>
        <v>0</v>
      </c>
      <c r="CD384" s="1">
        <v>27</v>
      </c>
      <c r="CE384" s="1">
        <v>5</v>
      </c>
      <c r="CG384" s="1" t="s">
        <v>221</v>
      </c>
      <c r="CH384" s="1" t="s">
        <v>219</v>
      </c>
      <c r="CI384" s="1" t="s">
        <v>438</v>
      </c>
      <c r="CK384" s="1" t="s">
        <v>538</v>
      </c>
      <c r="CL384" s="1" t="s">
        <v>277</v>
      </c>
      <c r="CM384" s="1" t="s">
        <v>220</v>
      </c>
      <c r="CO384" s="1" t="s">
        <v>4148</v>
      </c>
      <c r="CP384" s="1" t="s">
        <v>219</v>
      </c>
      <c r="CQ384" s="1" t="s">
        <v>438</v>
      </c>
      <c r="CS384" s="1" t="s">
        <v>1297</v>
      </c>
      <c r="CT384" s="1" t="s">
        <v>277</v>
      </c>
      <c r="CU384" s="1" t="s">
        <v>220</v>
      </c>
      <c r="CX384" s="1" t="s">
        <v>224</v>
      </c>
      <c r="DB384" s="1" t="s">
        <v>224</v>
      </c>
      <c r="DE384" s="1" t="s">
        <v>2841</v>
      </c>
      <c r="DF384" s="1" t="s">
        <v>219</v>
      </c>
      <c r="DG384" s="1" t="s">
        <v>438</v>
      </c>
      <c r="DJ384" s="1" t="s">
        <v>224</v>
      </c>
      <c r="DM384" s="1" t="s">
        <v>709</v>
      </c>
      <c r="DR384" s="1" t="s">
        <v>4213</v>
      </c>
      <c r="DS384" s="1" t="s">
        <v>219</v>
      </c>
      <c r="DT384" s="1" t="s">
        <v>438</v>
      </c>
      <c r="DW384" s="1" t="s">
        <v>230</v>
      </c>
      <c r="EA384" s="1" t="s">
        <v>230</v>
      </c>
      <c r="EE384" s="1" t="s">
        <v>230</v>
      </c>
      <c r="EI384" s="1" t="s">
        <v>230</v>
      </c>
      <c r="EL384" s="1" t="s">
        <v>542</v>
      </c>
      <c r="EM384" s="1" t="s">
        <v>232</v>
      </c>
      <c r="EN384" s="1" t="s">
        <v>282</v>
      </c>
      <c r="EO384" s="1" t="s">
        <v>840</v>
      </c>
      <c r="EP384" s="1" t="s">
        <v>650</v>
      </c>
      <c r="EQ384" s="1" t="s">
        <v>671</v>
      </c>
      <c r="ER384" s="1" t="s">
        <v>383</v>
      </c>
      <c r="ES384" s="1" t="s">
        <v>824</v>
      </c>
      <c r="EU384" s="1" t="s">
        <v>5342</v>
      </c>
      <c r="EW384" s="1" t="s">
        <v>887</v>
      </c>
      <c r="EZ384" s="1" t="s">
        <v>709</v>
      </c>
      <c r="FA384" s="1" t="s">
        <v>2220</v>
      </c>
      <c r="FD384" s="1" t="s">
        <v>5343</v>
      </c>
      <c r="FE384" s="1" t="s">
        <v>386</v>
      </c>
      <c r="FF384" s="1" t="s">
        <v>248</v>
      </c>
      <c r="FG384" s="1" t="s">
        <v>939</v>
      </c>
      <c r="FH384" s="1" t="s">
        <v>550</v>
      </c>
      <c r="FI384" s="1" t="s">
        <v>473</v>
      </c>
      <c r="FL384" s="1" t="s">
        <v>358</v>
      </c>
      <c r="FM384" s="1" t="s">
        <v>252</v>
      </c>
      <c r="FN384" s="1" t="s">
        <v>213</v>
      </c>
      <c r="FO384" s="1" t="s">
        <v>213</v>
      </c>
      <c r="FQ384" s="1" t="s">
        <v>2004</v>
      </c>
      <c r="FR384" s="1" t="s">
        <v>210</v>
      </c>
      <c r="FS384" s="1" t="s">
        <v>5344</v>
      </c>
      <c r="FT384" s="1" t="s">
        <v>255</v>
      </c>
      <c r="FU384" s="1" t="s">
        <v>213</v>
      </c>
      <c r="FW384" s="1" t="s">
        <v>585</v>
      </c>
      <c r="FX384" s="1">
        <v>23156</v>
      </c>
      <c r="FY384" s="1" t="s">
        <v>1253</v>
      </c>
      <c r="FZ384" s="1" t="s">
        <v>5345</v>
      </c>
      <c r="GA384" s="1">
        <v>233351</v>
      </c>
      <c r="GB384" s="1" t="s">
        <v>5346</v>
      </c>
      <c r="GC384" s="1">
        <v>242168</v>
      </c>
      <c r="GD384" s="1" t="s">
        <v>5347</v>
      </c>
      <c r="GE384" s="1" t="s">
        <v>1379</v>
      </c>
      <c r="GI384" s="1" t="s">
        <v>213</v>
      </c>
      <c r="GJ384" s="1" t="s">
        <v>260</v>
      </c>
      <c r="GK384" s="1" t="s">
        <v>210</v>
      </c>
      <c r="GL384" s="2">
        <v>42047</v>
      </c>
      <c r="GM384" s="1" t="s">
        <v>5348</v>
      </c>
    </row>
    <row r="385" spans="1:195">
      <c r="A385" s="1">
        <v>139000</v>
      </c>
      <c r="B385" s="1" t="s">
        <v>195</v>
      </c>
      <c r="C385" s="1" t="str">
        <f>"08801843"</f>
        <v>08801843</v>
      </c>
      <c r="D385" s="1" t="s">
        <v>196</v>
      </c>
      <c r="F385" s="1" t="str">
        <f>"83"</f>
        <v>83</v>
      </c>
      <c r="G385" s="2">
        <v>41986</v>
      </c>
      <c r="H385" s="1">
        <v>164900</v>
      </c>
      <c r="I385" s="1">
        <v>139900</v>
      </c>
      <c r="J385" s="1">
        <v>139000</v>
      </c>
      <c r="K385" s="2">
        <v>41985</v>
      </c>
      <c r="L385" s="1">
        <v>62</v>
      </c>
      <c r="M385" s="2">
        <v>42046</v>
      </c>
      <c r="N385" s="1">
        <v>62</v>
      </c>
      <c r="O385" s="2">
        <v>42046</v>
      </c>
      <c r="P385" s="1">
        <v>2626</v>
      </c>
      <c r="Q385" s="1" t="s">
        <v>1393</v>
      </c>
      <c r="R385" s="2">
        <v>42094</v>
      </c>
      <c r="S385" s="1">
        <v>13281</v>
      </c>
      <c r="T385" s="1">
        <v>3000</v>
      </c>
      <c r="U385" s="1">
        <v>3050</v>
      </c>
      <c r="V385" s="1" t="s">
        <v>5349</v>
      </c>
      <c r="W385" s="1" t="s">
        <v>504</v>
      </c>
      <c r="Y385" s="1">
        <v>6</v>
      </c>
      <c r="Z385" s="1" t="s">
        <v>200</v>
      </c>
      <c r="AA385" s="1" t="s">
        <v>3371</v>
      </c>
      <c r="AB385" s="1">
        <v>60083</v>
      </c>
      <c r="AE385" s="1" t="s">
        <v>5350</v>
      </c>
      <c r="AF385" s="1">
        <v>2005</v>
      </c>
      <c r="AG385" s="1" t="s">
        <v>204</v>
      </c>
      <c r="AH385" s="1" t="s">
        <v>5351</v>
      </c>
      <c r="AI385" s="1" t="s">
        <v>509</v>
      </c>
      <c r="AJ385" s="1" t="s">
        <v>1061</v>
      </c>
      <c r="AL385" s="1">
        <v>7</v>
      </c>
      <c r="AM385" s="1">
        <v>2</v>
      </c>
      <c r="AN385" s="1">
        <v>3</v>
      </c>
      <c r="AO385" s="1">
        <v>0</v>
      </c>
      <c r="AP385" s="1" t="s">
        <v>209</v>
      </c>
      <c r="AQ385" s="1">
        <v>1</v>
      </c>
      <c r="AR385" s="1" t="s">
        <v>4448</v>
      </c>
      <c r="AS385" s="1" t="s">
        <v>213</v>
      </c>
      <c r="AT385" s="1" t="s">
        <v>211</v>
      </c>
      <c r="AU385" s="1">
        <v>2</v>
      </c>
      <c r="AW385" s="1" t="s">
        <v>204</v>
      </c>
      <c r="AX385" s="1">
        <v>2380</v>
      </c>
      <c r="AZ385" s="1">
        <v>4889</v>
      </c>
      <c r="BA385" s="1">
        <v>2013</v>
      </c>
      <c r="BE385" s="1">
        <v>1687</v>
      </c>
      <c r="BF385" s="1">
        <v>1</v>
      </c>
      <c r="BG385" s="1">
        <v>0</v>
      </c>
      <c r="BL385" s="1">
        <v>206</v>
      </c>
      <c r="BM385" s="1" t="s">
        <v>204</v>
      </c>
      <c r="BN385" s="1" t="s">
        <v>213</v>
      </c>
      <c r="BO385" s="1">
        <v>0</v>
      </c>
      <c r="BP385" s="1" t="s">
        <v>204</v>
      </c>
      <c r="BR385" s="1" t="str">
        <f>"07022080550000"</f>
        <v>07022080550000</v>
      </c>
      <c r="BT385" s="1" t="s">
        <v>5352</v>
      </c>
      <c r="BX385" s="1">
        <v>56</v>
      </c>
      <c r="BY385" s="1">
        <v>56</v>
      </c>
      <c r="BZ385" s="1">
        <v>121</v>
      </c>
      <c r="CB385" s="1" t="str">
        <f t="shared" ref="CB385:CC385" si="307">""</f>
        <v/>
      </c>
      <c r="CC385" s="1" t="str">
        <f t="shared" si="307"/>
        <v/>
      </c>
      <c r="CG385" s="1" t="s">
        <v>757</v>
      </c>
      <c r="CH385" s="1" t="s">
        <v>219</v>
      </c>
      <c r="CI385" s="1" t="s">
        <v>220</v>
      </c>
      <c r="CK385" s="1" t="s">
        <v>1297</v>
      </c>
      <c r="CL385" s="1" t="s">
        <v>219</v>
      </c>
      <c r="CM385" s="1" t="s">
        <v>220</v>
      </c>
      <c r="CO385" s="1" t="s">
        <v>1046</v>
      </c>
      <c r="CP385" s="1" t="s">
        <v>219</v>
      </c>
      <c r="CQ385" s="1" t="s">
        <v>220</v>
      </c>
      <c r="CS385" s="1" t="s">
        <v>836</v>
      </c>
      <c r="CT385" s="1" t="s">
        <v>219</v>
      </c>
      <c r="CU385" s="1" t="s">
        <v>220</v>
      </c>
      <c r="CX385" s="1" t="s">
        <v>224</v>
      </c>
      <c r="DB385" s="1" t="s">
        <v>224</v>
      </c>
      <c r="DE385" s="1" t="s">
        <v>836</v>
      </c>
      <c r="DF385" s="1" t="s">
        <v>219</v>
      </c>
      <c r="DG385" s="1" t="s">
        <v>438</v>
      </c>
      <c r="DI385" s="1" t="s">
        <v>5353</v>
      </c>
      <c r="DJ385" s="1" t="s">
        <v>822</v>
      </c>
      <c r="DK385" s="1" t="s">
        <v>220</v>
      </c>
      <c r="DM385" s="1" t="s">
        <v>464</v>
      </c>
      <c r="DR385" s="1" t="s">
        <v>3318</v>
      </c>
      <c r="DS385" s="1" t="s">
        <v>219</v>
      </c>
      <c r="DW385" s="1" t="s">
        <v>230</v>
      </c>
      <c r="EA385" s="1" t="s">
        <v>230</v>
      </c>
      <c r="EE385" s="1" t="s">
        <v>230</v>
      </c>
      <c r="EI385" s="1" t="s">
        <v>230</v>
      </c>
      <c r="EL385" s="1" t="s">
        <v>491</v>
      </c>
      <c r="EM385" s="1" t="s">
        <v>319</v>
      </c>
      <c r="EN385" s="1" t="s">
        <v>282</v>
      </c>
      <c r="EO385" s="1" t="s">
        <v>234</v>
      </c>
      <c r="ER385" s="1" t="s">
        <v>544</v>
      </c>
      <c r="EW385" s="1" t="s">
        <v>3471</v>
      </c>
      <c r="EZ385" s="1" t="s">
        <v>464</v>
      </c>
      <c r="FD385" s="1" t="s">
        <v>246</v>
      </c>
      <c r="FE385" s="1" t="s">
        <v>472</v>
      </c>
      <c r="FF385" s="1" t="s">
        <v>248</v>
      </c>
      <c r="FH385" s="1" t="s">
        <v>940</v>
      </c>
      <c r="FL385" s="1" t="s">
        <v>358</v>
      </c>
      <c r="FM385" s="1" t="s">
        <v>252</v>
      </c>
      <c r="FN385" s="1" t="s">
        <v>213</v>
      </c>
      <c r="FO385" s="1" t="s">
        <v>213</v>
      </c>
      <c r="FQ385" s="1" t="s">
        <v>673</v>
      </c>
      <c r="FR385" s="1" t="s">
        <v>210</v>
      </c>
      <c r="FS385" s="1" t="s">
        <v>5354</v>
      </c>
      <c r="FT385" s="1" t="s">
        <v>2609</v>
      </c>
      <c r="FU385" s="1" t="s">
        <v>204</v>
      </c>
      <c r="FW385" s="1" t="s">
        <v>813</v>
      </c>
      <c r="FX385" s="1">
        <v>5291</v>
      </c>
      <c r="FY385" s="1" t="s">
        <v>5355</v>
      </c>
      <c r="FZ385" s="1" t="s">
        <v>5356</v>
      </c>
      <c r="GA385" s="1">
        <v>50983</v>
      </c>
      <c r="GB385" s="1" t="s">
        <v>5357</v>
      </c>
      <c r="GE385" s="1" t="s">
        <v>480</v>
      </c>
      <c r="GI385" s="1" t="s">
        <v>213</v>
      </c>
      <c r="GJ385" s="1" t="s">
        <v>260</v>
      </c>
      <c r="GK385" s="1" t="s">
        <v>210</v>
      </c>
      <c r="GL385" s="2">
        <v>42094</v>
      </c>
      <c r="GM385" s="1" t="s">
        <v>5358</v>
      </c>
    </row>
    <row r="386" spans="1:195">
      <c r="A386" s="1">
        <v>13000</v>
      </c>
      <c r="B386" s="1" t="s">
        <v>195</v>
      </c>
      <c r="C386" s="1" t="str">
        <f>"08796864"</f>
        <v>08796864</v>
      </c>
      <c r="D386" s="1" t="s">
        <v>196</v>
      </c>
      <c r="F386" s="1" t="str">
        <f>"8071"</f>
        <v>8071</v>
      </c>
      <c r="G386" s="2">
        <v>41977</v>
      </c>
      <c r="H386" s="1">
        <v>22000</v>
      </c>
      <c r="I386" s="1">
        <v>13500</v>
      </c>
      <c r="J386" s="1">
        <v>13000</v>
      </c>
      <c r="K386" s="2">
        <v>41977</v>
      </c>
      <c r="L386" s="1">
        <v>96</v>
      </c>
      <c r="M386" s="2">
        <v>42072</v>
      </c>
      <c r="N386" s="1">
        <v>96</v>
      </c>
      <c r="O386" s="2">
        <v>42072</v>
      </c>
      <c r="P386" s="1">
        <v>12519</v>
      </c>
      <c r="Q386" s="1" t="s">
        <v>302</v>
      </c>
      <c r="R386" s="2">
        <v>42145</v>
      </c>
      <c r="S386" s="1">
        <v>130535</v>
      </c>
      <c r="U386" s="1">
        <v>637</v>
      </c>
      <c r="V386" s="1" t="s">
        <v>5359</v>
      </c>
      <c r="W386" s="1" t="s">
        <v>725</v>
      </c>
      <c r="Y386" s="1">
        <v>1</v>
      </c>
      <c r="Z386" s="1" t="s">
        <v>200</v>
      </c>
      <c r="AA386" s="1" t="s">
        <v>400</v>
      </c>
      <c r="AB386" s="1">
        <v>60620</v>
      </c>
      <c r="AE386" s="1" t="s">
        <v>5360</v>
      </c>
      <c r="AF386" s="1">
        <v>1967</v>
      </c>
      <c r="AG386" s="1" t="s">
        <v>213</v>
      </c>
      <c r="AH386" s="1" t="s">
        <v>403</v>
      </c>
      <c r="AI386" s="1" t="s">
        <v>310</v>
      </c>
      <c r="AJ386" s="1" t="s">
        <v>683</v>
      </c>
      <c r="AL386" s="1">
        <v>4</v>
      </c>
      <c r="AM386" s="1">
        <v>2</v>
      </c>
      <c r="AN386" s="1">
        <v>1</v>
      </c>
      <c r="AO386" s="1">
        <v>0</v>
      </c>
      <c r="AP386" s="1" t="s">
        <v>667</v>
      </c>
      <c r="AR386" s="1" t="s">
        <v>210</v>
      </c>
      <c r="AS386" s="1" t="s">
        <v>204</v>
      </c>
      <c r="AT386" s="1" t="s">
        <v>210</v>
      </c>
      <c r="AW386" s="1" t="s">
        <v>204</v>
      </c>
      <c r="AX386" s="1" t="s">
        <v>5361</v>
      </c>
      <c r="AZ386" s="1">
        <v>605.17999999999995</v>
      </c>
      <c r="BA386" s="1">
        <v>2013</v>
      </c>
      <c r="BB386" s="1" t="s">
        <v>405</v>
      </c>
      <c r="BE386" s="1">
        <v>1008</v>
      </c>
      <c r="BF386" s="1">
        <v>1</v>
      </c>
      <c r="BG386" s="1">
        <v>0</v>
      </c>
      <c r="BL386" s="1">
        <v>0</v>
      </c>
      <c r="BM386" s="1" t="s">
        <v>204</v>
      </c>
      <c r="BN386" s="1" t="s">
        <v>213</v>
      </c>
      <c r="BO386" s="1">
        <v>20</v>
      </c>
      <c r="BP386" s="1" t="s">
        <v>204</v>
      </c>
      <c r="BR386" s="1" t="str">
        <f>"20331100420000"</f>
        <v>20331100420000</v>
      </c>
      <c r="BT386" s="1" t="s">
        <v>5362</v>
      </c>
      <c r="BX386" s="1">
        <v>299</v>
      </c>
      <c r="BY386" s="1">
        <v>299</v>
      </c>
      <c r="BZ386" s="1">
        <v>299</v>
      </c>
      <c r="CB386" s="1" t="str">
        <f t="shared" ref="CB386:CC386" si="308">"0"</f>
        <v>0</v>
      </c>
      <c r="CC386" s="1" t="str">
        <f t="shared" si="308"/>
        <v>0</v>
      </c>
      <c r="CD386" s="1">
        <v>637</v>
      </c>
      <c r="CE386" s="1">
        <v>80</v>
      </c>
      <c r="CG386" s="1" t="s">
        <v>1177</v>
      </c>
      <c r="CH386" s="1" t="s">
        <v>219</v>
      </c>
      <c r="CK386" s="1" t="s">
        <v>1403</v>
      </c>
      <c r="CL386" s="1" t="s">
        <v>277</v>
      </c>
      <c r="CP386" s="1" t="s">
        <v>224</v>
      </c>
      <c r="CS386" s="1" t="s">
        <v>1177</v>
      </c>
      <c r="CT386" s="1" t="s">
        <v>277</v>
      </c>
      <c r="CX386" s="1" t="s">
        <v>224</v>
      </c>
      <c r="DB386" s="1" t="s">
        <v>224</v>
      </c>
      <c r="DE386" s="1" t="s">
        <v>2170</v>
      </c>
      <c r="DF386" s="1" t="s">
        <v>219</v>
      </c>
      <c r="DJ386" s="1" t="s">
        <v>224</v>
      </c>
      <c r="DS386" s="1" t="s">
        <v>230</v>
      </c>
      <c r="DW386" s="1" t="s">
        <v>230</v>
      </c>
      <c r="EA386" s="1" t="s">
        <v>230</v>
      </c>
      <c r="EE386" s="1" t="s">
        <v>230</v>
      </c>
      <c r="EI386" s="1" t="s">
        <v>230</v>
      </c>
      <c r="EL386" s="1" t="s">
        <v>605</v>
      </c>
      <c r="EM386" s="1" t="s">
        <v>730</v>
      </c>
      <c r="EN386" s="1" t="s">
        <v>731</v>
      </c>
      <c r="EO386" s="1" t="s">
        <v>234</v>
      </c>
      <c r="ER386" s="1" t="s">
        <v>210</v>
      </c>
      <c r="EW386" s="1" t="s">
        <v>210</v>
      </c>
      <c r="EZ386" s="1" t="s">
        <v>287</v>
      </c>
      <c r="FD386" s="1" t="s">
        <v>246</v>
      </c>
      <c r="FE386" s="1" t="s">
        <v>247</v>
      </c>
      <c r="FF386" s="1" t="s">
        <v>248</v>
      </c>
      <c r="FH386" s="1" t="s">
        <v>550</v>
      </c>
      <c r="FJ386" s="1" t="s">
        <v>2046</v>
      </c>
      <c r="FL386" s="1" t="s">
        <v>414</v>
      </c>
      <c r="FM386" s="1" t="s">
        <v>252</v>
      </c>
      <c r="FN386" s="1" t="s">
        <v>213</v>
      </c>
      <c r="FO386" s="1" t="s">
        <v>213</v>
      </c>
      <c r="FQ386" s="1" t="s">
        <v>5363</v>
      </c>
      <c r="FR386" s="1" t="s">
        <v>210</v>
      </c>
      <c r="FS386" s="1" t="s">
        <v>5364</v>
      </c>
      <c r="FT386" s="1" t="s">
        <v>5365</v>
      </c>
      <c r="FU386" s="1" t="s">
        <v>204</v>
      </c>
      <c r="FW386" s="1" t="s">
        <v>5366</v>
      </c>
      <c r="FX386" s="1">
        <v>12519</v>
      </c>
      <c r="FY386" s="1" t="s">
        <v>5367</v>
      </c>
      <c r="FZ386" s="1" t="s">
        <v>5368</v>
      </c>
      <c r="GA386" s="1">
        <v>118439</v>
      </c>
      <c r="GB386" s="1" t="s">
        <v>5369</v>
      </c>
      <c r="GE386" s="1" t="s">
        <v>210</v>
      </c>
      <c r="GH386" s="1" t="s">
        <v>589</v>
      </c>
      <c r="GI386" s="1" t="s">
        <v>213</v>
      </c>
      <c r="GJ386" s="1" t="s">
        <v>260</v>
      </c>
      <c r="GK386" s="1" t="s">
        <v>210</v>
      </c>
      <c r="GL386" s="2">
        <v>42150</v>
      </c>
      <c r="GM386" s="1" t="s">
        <v>5370</v>
      </c>
    </row>
    <row r="387" spans="1:195">
      <c r="A387" s="1">
        <v>94000</v>
      </c>
      <c r="B387" s="1" t="s">
        <v>195</v>
      </c>
      <c r="C387" s="1" t="str">
        <f>"08793356"</f>
        <v>08793356</v>
      </c>
      <c r="D387" s="1" t="s">
        <v>196</v>
      </c>
      <c r="F387" s="1" t="str">
        <f>"20"</f>
        <v>20</v>
      </c>
      <c r="G387" s="2">
        <v>41969</v>
      </c>
      <c r="H387" s="1">
        <v>99000</v>
      </c>
      <c r="I387" s="1">
        <v>99000</v>
      </c>
      <c r="J387" s="1">
        <v>94000</v>
      </c>
      <c r="K387" s="2">
        <v>41969</v>
      </c>
      <c r="L387" s="1">
        <v>8</v>
      </c>
      <c r="M387" s="2">
        <v>41976</v>
      </c>
      <c r="N387" s="1">
        <v>8</v>
      </c>
      <c r="O387" s="2">
        <v>41976</v>
      </c>
      <c r="P387" s="1">
        <v>25211</v>
      </c>
      <c r="Q387" s="1" t="s">
        <v>302</v>
      </c>
      <c r="R387" s="2">
        <v>41992</v>
      </c>
      <c r="S387" s="1">
        <v>20382</v>
      </c>
      <c r="U387" s="1">
        <v>7108</v>
      </c>
      <c r="V387" s="1" t="s">
        <v>5371</v>
      </c>
      <c r="W387" s="1" t="s">
        <v>304</v>
      </c>
      <c r="Y387" s="1">
        <v>2</v>
      </c>
      <c r="Z387" s="1" t="s">
        <v>370</v>
      </c>
      <c r="AA387" s="1" t="s">
        <v>592</v>
      </c>
      <c r="AB387" s="1">
        <v>60020</v>
      </c>
      <c r="AD387" s="1" t="s">
        <v>5372</v>
      </c>
      <c r="AE387" s="1" t="s">
        <v>5373</v>
      </c>
      <c r="AF387" s="1">
        <v>1978</v>
      </c>
      <c r="AG387" s="1" t="s">
        <v>204</v>
      </c>
      <c r="AH387" s="1" t="s">
        <v>595</v>
      </c>
      <c r="AI387" s="1" t="s">
        <v>509</v>
      </c>
      <c r="AJ387" s="1" t="s">
        <v>596</v>
      </c>
      <c r="AK387" s="1" t="s">
        <v>5374</v>
      </c>
      <c r="AL387" s="1">
        <v>5</v>
      </c>
      <c r="AM387" s="1">
        <v>2</v>
      </c>
      <c r="AN387" s="1">
        <v>2</v>
      </c>
      <c r="AO387" s="1">
        <v>0</v>
      </c>
      <c r="AP387" s="1" t="s">
        <v>209</v>
      </c>
      <c r="AQ387" s="1">
        <v>0</v>
      </c>
      <c r="AR387" s="1" t="s">
        <v>210</v>
      </c>
      <c r="AS387" s="1" t="s">
        <v>204</v>
      </c>
      <c r="AT387" s="1" t="s">
        <v>211</v>
      </c>
      <c r="AU387" s="1">
        <v>1</v>
      </c>
      <c r="AW387" s="1" t="s">
        <v>204</v>
      </c>
      <c r="AX387" s="1" t="s">
        <v>212</v>
      </c>
      <c r="AZ387" s="1">
        <v>3115.55</v>
      </c>
      <c r="BA387" s="1">
        <v>2012</v>
      </c>
      <c r="BB387" s="1" t="s">
        <v>210</v>
      </c>
      <c r="BE387" s="1">
        <v>1137</v>
      </c>
      <c r="BF387" s="1">
        <v>1</v>
      </c>
      <c r="BG387" s="1">
        <v>0</v>
      </c>
      <c r="BL387" s="1">
        <v>304</v>
      </c>
      <c r="BM387" s="1" t="s">
        <v>204</v>
      </c>
      <c r="BN387" s="1" t="s">
        <v>213</v>
      </c>
      <c r="BO387" s="1">
        <v>25</v>
      </c>
      <c r="BP387" s="1" t="s">
        <v>204</v>
      </c>
      <c r="BR387" s="1" t="str">
        <f>"01284010990000"</f>
        <v>01284010990000</v>
      </c>
      <c r="BT387" s="1" t="s">
        <v>5375</v>
      </c>
      <c r="BW387" s="1" t="s">
        <v>2264</v>
      </c>
      <c r="BX387" s="1">
        <v>114</v>
      </c>
      <c r="BY387" s="1">
        <v>114</v>
      </c>
      <c r="BZ387" s="1">
        <v>124</v>
      </c>
      <c r="CB387" s="1" t="str">
        <f>"46"</f>
        <v>46</v>
      </c>
      <c r="CC387" s="1" t="str">
        <f>"9"</f>
        <v>9</v>
      </c>
      <c r="CG387" s="1" t="s">
        <v>932</v>
      </c>
      <c r="CH387" s="1" t="s">
        <v>219</v>
      </c>
      <c r="CI387" s="1" t="s">
        <v>220</v>
      </c>
      <c r="CJ387" s="1" t="s">
        <v>343</v>
      </c>
      <c r="CK387" s="1" t="s">
        <v>437</v>
      </c>
      <c r="CL387" s="1" t="s">
        <v>219</v>
      </c>
      <c r="CM387" s="1" t="s">
        <v>220</v>
      </c>
      <c r="CN387" s="1" t="s">
        <v>343</v>
      </c>
      <c r="CO387" s="1" t="s">
        <v>409</v>
      </c>
      <c r="CP387" s="1" t="s">
        <v>219</v>
      </c>
      <c r="CQ387" s="1" t="s">
        <v>220</v>
      </c>
      <c r="CR387" s="1" t="s">
        <v>343</v>
      </c>
      <c r="CS387" s="1" t="s">
        <v>318</v>
      </c>
      <c r="CT387" s="1" t="s">
        <v>219</v>
      </c>
      <c r="CU387" s="1" t="s">
        <v>220</v>
      </c>
      <c r="CV387" s="1" t="s">
        <v>343</v>
      </c>
      <c r="CX387" s="1" t="s">
        <v>224</v>
      </c>
      <c r="DB387" s="1" t="s">
        <v>224</v>
      </c>
      <c r="DE387" s="1" t="s">
        <v>2899</v>
      </c>
      <c r="DF387" s="1" t="s">
        <v>219</v>
      </c>
      <c r="DG387" s="1" t="s">
        <v>229</v>
      </c>
      <c r="DH387" s="1" t="s">
        <v>343</v>
      </c>
      <c r="DJ387" s="1" t="s">
        <v>224</v>
      </c>
      <c r="DS387" s="1" t="s">
        <v>230</v>
      </c>
      <c r="DW387" s="1" t="s">
        <v>230</v>
      </c>
      <c r="EA387" s="1" t="s">
        <v>230</v>
      </c>
      <c r="EE387" s="1" t="s">
        <v>230</v>
      </c>
      <c r="EI387" s="1" t="s">
        <v>230</v>
      </c>
      <c r="EL387" s="1" t="s">
        <v>231</v>
      </c>
      <c r="EM387" s="1" t="s">
        <v>319</v>
      </c>
      <c r="EN387" s="1" t="s">
        <v>282</v>
      </c>
      <c r="EO387" s="1" t="s">
        <v>234</v>
      </c>
      <c r="ER387" s="1" t="s">
        <v>210</v>
      </c>
      <c r="EU387" s="1" t="s">
        <v>239</v>
      </c>
      <c r="EW387" s="1" t="s">
        <v>5376</v>
      </c>
      <c r="EY387" s="1" t="s">
        <v>441</v>
      </c>
      <c r="EZ387" s="1" t="s">
        <v>287</v>
      </c>
      <c r="FB387" s="1" t="s">
        <v>244</v>
      </c>
      <c r="FD387" s="1" t="s">
        <v>5377</v>
      </c>
      <c r="FE387" s="1" t="s">
        <v>355</v>
      </c>
      <c r="FF387" s="1" t="s">
        <v>248</v>
      </c>
      <c r="FH387" s="1" t="s">
        <v>442</v>
      </c>
      <c r="FI387" s="1" t="s">
        <v>473</v>
      </c>
      <c r="FL387" s="1" t="s">
        <v>414</v>
      </c>
      <c r="FM387" s="1" t="s">
        <v>252</v>
      </c>
      <c r="FN387" s="1" t="s">
        <v>213</v>
      </c>
      <c r="FO387" s="1" t="s">
        <v>213</v>
      </c>
      <c r="FQ387" s="1" t="s">
        <v>811</v>
      </c>
      <c r="FR387" s="1" t="s">
        <v>210</v>
      </c>
      <c r="FS387" s="1" t="s">
        <v>5378</v>
      </c>
      <c r="FT387" s="1" t="s">
        <v>362</v>
      </c>
      <c r="FU387" s="1" t="s">
        <v>204</v>
      </c>
      <c r="FW387" s="1" t="s">
        <v>5379</v>
      </c>
      <c r="FX387" s="1">
        <v>2472</v>
      </c>
      <c r="FY387" s="1" t="s">
        <v>5380</v>
      </c>
      <c r="FZ387" s="1" t="s">
        <v>5381</v>
      </c>
      <c r="GA387" s="1">
        <v>19263</v>
      </c>
      <c r="GB387" s="1" t="s">
        <v>5382</v>
      </c>
      <c r="GE387" s="1" t="s">
        <v>623</v>
      </c>
      <c r="GI387" s="1" t="s">
        <v>213</v>
      </c>
      <c r="GJ387" s="1" t="s">
        <v>260</v>
      </c>
      <c r="GK387" s="1" t="s">
        <v>210</v>
      </c>
      <c r="GL387" s="2">
        <v>41993</v>
      </c>
    </row>
    <row r="388" spans="1:195">
      <c r="A388" s="1">
        <v>105000</v>
      </c>
      <c r="B388" s="1" t="s">
        <v>195</v>
      </c>
      <c r="C388" s="1" t="str">
        <f>"08789291"</f>
        <v>08789291</v>
      </c>
      <c r="D388" s="1" t="s">
        <v>196</v>
      </c>
      <c r="F388" s="1" t="str">
        <f>"107"</f>
        <v>107</v>
      </c>
      <c r="G388" s="2">
        <v>41962</v>
      </c>
      <c r="H388" s="1">
        <v>109900</v>
      </c>
      <c r="I388" s="1">
        <v>109900</v>
      </c>
      <c r="J388" s="1">
        <v>105000</v>
      </c>
      <c r="K388" s="2">
        <v>41962</v>
      </c>
      <c r="L388" s="1">
        <v>8</v>
      </c>
      <c r="M388" s="2">
        <v>41969</v>
      </c>
      <c r="N388" s="1">
        <v>8</v>
      </c>
      <c r="O388" s="2">
        <v>41969</v>
      </c>
      <c r="P388" s="1">
        <v>5115</v>
      </c>
      <c r="Q388" s="1" t="s">
        <v>197</v>
      </c>
      <c r="R388" s="2">
        <v>42017</v>
      </c>
      <c r="S388" s="1">
        <v>54511</v>
      </c>
      <c r="U388" s="1">
        <v>4041</v>
      </c>
      <c r="V388" s="1" t="s">
        <v>1480</v>
      </c>
      <c r="W388" s="1" t="s">
        <v>304</v>
      </c>
      <c r="Y388" s="1">
        <v>8</v>
      </c>
      <c r="Z388" s="1" t="s">
        <v>370</v>
      </c>
      <c r="AA388" s="1" t="s">
        <v>1211</v>
      </c>
      <c r="AB388" s="1">
        <v>60107</v>
      </c>
      <c r="AD388" s="1" t="s">
        <v>5383</v>
      </c>
      <c r="AE388" s="1" t="s">
        <v>5384</v>
      </c>
      <c r="AF388" s="1" t="s">
        <v>402</v>
      </c>
      <c r="AG388" s="1" t="s">
        <v>213</v>
      </c>
      <c r="AH388" s="1" t="s">
        <v>1214</v>
      </c>
      <c r="AI388" s="1" t="s">
        <v>310</v>
      </c>
      <c r="AJ388" s="1" t="s">
        <v>374</v>
      </c>
      <c r="AK388" s="1" t="s">
        <v>5385</v>
      </c>
      <c r="AL388" s="1">
        <v>6</v>
      </c>
      <c r="AM388" s="1">
        <v>2</v>
      </c>
      <c r="AN388" s="1">
        <v>2</v>
      </c>
      <c r="AO388" s="1">
        <v>1</v>
      </c>
      <c r="AP388" s="1" t="s">
        <v>210</v>
      </c>
      <c r="AR388" s="1" t="s">
        <v>209</v>
      </c>
      <c r="AS388" s="1" t="s">
        <v>213</v>
      </c>
      <c r="AT388" s="1" t="s">
        <v>271</v>
      </c>
      <c r="AV388" s="1">
        <v>2</v>
      </c>
      <c r="AW388" s="1" t="s">
        <v>204</v>
      </c>
      <c r="AX388" s="1" t="s">
        <v>1813</v>
      </c>
      <c r="AZ388" s="1">
        <v>2755.94</v>
      </c>
      <c r="BA388" s="1">
        <v>2013</v>
      </c>
      <c r="BB388" s="1" t="s">
        <v>405</v>
      </c>
      <c r="BE388" s="1">
        <v>944</v>
      </c>
      <c r="BF388" s="1">
        <v>1</v>
      </c>
      <c r="BG388" s="1">
        <v>0</v>
      </c>
      <c r="BL388" s="1">
        <v>185</v>
      </c>
      <c r="BM388" s="1" t="s">
        <v>204</v>
      </c>
      <c r="BN388" s="1" t="s">
        <v>213</v>
      </c>
      <c r="BO388" s="1">
        <v>999</v>
      </c>
      <c r="BP388" s="1" t="s">
        <v>204</v>
      </c>
      <c r="BR388" s="1" t="str">
        <f>"06263580010000"</f>
        <v>06263580010000</v>
      </c>
      <c r="BT388" s="1" t="s">
        <v>5386</v>
      </c>
      <c r="BU388" s="1" t="s">
        <v>1216</v>
      </c>
      <c r="BV388" s="1" t="s">
        <v>3623</v>
      </c>
      <c r="BW388" s="1" t="s">
        <v>1217</v>
      </c>
      <c r="BX388" s="1">
        <v>46</v>
      </c>
      <c r="BY388" s="1">
        <v>46</v>
      </c>
      <c r="BZ388" s="1">
        <v>46</v>
      </c>
      <c r="CB388" s="1" t="str">
        <f>"9"</f>
        <v>9</v>
      </c>
      <c r="CC388" s="1" t="str">
        <f>""</f>
        <v/>
      </c>
      <c r="CD388" s="1">
        <v>28</v>
      </c>
      <c r="CG388" s="1" t="s">
        <v>315</v>
      </c>
      <c r="CH388" s="1" t="s">
        <v>219</v>
      </c>
      <c r="CI388" s="1" t="s">
        <v>1236</v>
      </c>
      <c r="CJ388" s="1" t="s">
        <v>463</v>
      </c>
      <c r="CK388" s="1" t="s">
        <v>564</v>
      </c>
      <c r="CL388" s="1" t="s">
        <v>277</v>
      </c>
      <c r="CM388" s="1" t="s">
        <v>438</v>
      </c>
      <c r="CN388" s="1" t="s">
        <v>343</v>
      </c>
      <c r="CO388" s="1" t="s">
        <v>380</v>
      </c>
      <c r="CP388" s="1" t="s">
        <v>219</v>
      </c>
      <c r="CQ388" s="1" t="s">
        <v>1236</v>
      </c>
      <c r="CR388" s="1" t="s">
        <v>463</v>
      </c>
      <c r="CS388" s="1" t="s">
        <v>465</v>
      </c>
      <c r="CT388" s="1" t="s">
        <v>277</v>
      </c>
      <c r="CU388" s="1" t="s">
        <v>438</v>
      </c>
      <c r="CV388" s="1" t="s">
        <v>343</v>
      </c>
      <c r="CW388" s="1" t="s">
        <v>465</v>
      </c>
      <c r="CX388" s="1" t="s">
        <v>43</v>
      </c>
      <c r="DB388" s="1" t="s">
        <v>224</v>
      </c>
      <c r="DE388" s="1" t="s">
        <v>1133</v>
      </c>
      <c r="DF388" s="1" t="s">
        <v>219</v>
      </c>
      <c r="DG388" s="1" t="s">
        <v>1236</v>
      </c>
      <c r="DH388" s="1" t="s">
        <v>210</v>
      </c>
      <c r="DJ388" s="1" t="s">
        <v>224</v>
      </c>
      <c r="DS388" s="1" t="s">
        <v>230</v>
      </c>
      <c r="DW388" s="1" t="s">
        <v>230</v>
      </c>
      <c r="EA388" s="1" t="s">
        <v>230</v>
      </c>
      <c r="EE388" s="1" t="s">
        <v>230</v>
      </c>
      <c r="EI388" s="1" t="s">
        <v>230</v>
      </c>
      <c r="EL388" s="1" t="s">
        <v>413</v>
      </c>
      <c r="EM388" s="1" t="s">
        <v>232</v>
      </c>
      <c r="EN388" s="1" t="s">
        <v>210</v>
      </c>
      <c r="EO388" s="1" t="s">
        <v>234</v>
      </c>
      <c r="EP388" s="1" t="s">
        <v>4192</v>
      </c>
      <c r="ER388" s="1" t="s">
        <v>544</v>
      </c>
      <c r="EU388" s="1" t="s">
        <v>5387</v>
      </c>
      <c r="EV388" s="1" t="s">
        <v>352</v>
      </c>
      <c r="EW388" s="1" t="s">
        <v>991</v>
      </c>
      <c r="EY388" s="1" t="s">
        <v>441</v>
      </c>
      <c r="EZ388" s="1" t="s">
        <v>287</v>
      </c>
      <c r="FB388" s="1" t="s">
        <v>1755</v>
      </c>
      <c r="FD388" s="1" t="s">
        <v>246</v>
      </c>
      <c r="FE388" s="1" t="s">
        <v>5388</v>
      </c>
      <c r="FF388" s="1" t="s">
        <v>248</v>
      </c>
      <c r="FH388" s="1" t="s">
        <v>550</v>
      </c>
      <c r="FK388" s="1" t="s">
        <v>291</v>
      </c>
      <c r="FL388" s="1" t="s">
        <v>358</v>
      </c>
      <c r="FM388" s="1" t="s">
        <v>769</v>
      </c>
      <c r="FN388" s="1" t="s">
        <v>213</v>
      </c>
      <c r="FO388" s="1" t="s">
        <v>213</v>
      </c>
      <c r="FQ388" s="1" t="s">
        <v>2091</v>
      </c>
      <c r="FR388" s="1" t="s">
        <v>411</v>
      </c>
      <c r="FS388" s="1" t="s">
        <v>5389</v>
      </c>
      <c r="FT388" s="1" t="s">
        <v>362</v>
      </c>
      <c r="FU388" s="1" t="s">
        <v>213</v>
      </c>
      <c r="FW388" s="1" t="s">
        <v>5390</v>
      </c>
      <c r="FX388" s="1">
        <v>85486</v>
      </c>
      <c r="FY388" s="1" t="s">
        <v>5391</v>
      </c>
      <c r="FZ388" s="1" t="s">
        <v>5392</v>
      </c>
      <c r="GA388" s="1">
        <v>172715</v>
      </c>
      <c r="GE388" s="1" t="s">
        <v>480</v>
      </c>
      <c r="GI388" s="1" t="s">
        <v>204</v>
      </c>
      <c r="GJ388" s="1" t="s">
        <v>260</v>
      </c>
      <c r="GK388" s="1" t="s">
        <v>210</v>
      </c>
      <c r="GL388" s="2">
        <v>42017</v>
      </c>
      <c r="GM388" s="1" t="s">
        <v>5393</v>
      </c>
    </row>
    <row r="389" spans="1:195">
      <c r="A389" s="1">
        <v>86520</v>
      </c>
      <c r="B389" s="1" t="s">
        <v>195</v>
      </c>
      <c r="C389" s="1" t="str">
        <f>"08790068"</f>
        <v>08790068</v>
      </c>
      <c r="D389" s="1" t="s">
        <v>196</v>
      </c>
      <c r="F389" s="1" t="str">
        <f>"559"</f>
        <v>559</v>
      </c>
      <c r="G389" s="2">
        <v>41963</v>
      </c>
      <c r="H389" s="1">
        <v>94900</v>
      </c>
      <c r="I389" s="1">
        <v>84900</v>
      </c>
      <c r="J389" s="1">
        <v>86520</v>
      </c>
      <c r="K389" s="2">
        <v>41963</v>
      </c>
      <c r="L389" s="1">
        <v>118</v>
      </c>
      <c r="M389" s="2">
        <v>42080</v>
      </c>
      <c r="N389" s="1">
        <v>118</v>
      </c>
      <c r="O389" s="2">
        <v>42080</v>
      </c>
      <c r="P389" s="1">
        <v>4420</v>
      </c>
      <c r="Q389" s="1" t="s">
        <v>197</v>
      </c>
      <c r="R389" s="2">
        <v>42124</v>
      </c>
      <c r="S389" s="1">
        <v>35414</v>
      </c>
      <c r="T389" s="1">
        <v>2520</v>
      </c>
      <c r="U389" s="1">
        <v>475</v>
      </c>
      <c r="V389" s="1" t="s">
        <v>1948</v>
      </c>
      <c r="W389" s="1" t="s">
        <v>425</v>
      </c>
      <c r="X389" s="1">
        <v>110</v>
      </c>
      <c r="Y389" s="1">
        <v>48</v>
      </c>
      <c r="Z389" s="1" t="s">
        <v>249</v>
      </c>
      <c r="AA389" s="1" t="s">
        <v>1950</v>
      </c>
      <c r="AB389" s="1">
        <v>60559</v>
      </c>
      <c r="AD389" s="1" t="s">
        <v>5394</v>
      </c>
      <c r="AE389" s="1" t="s">
        <v>5395</v>
      </c>
      <c r="AF389" s="1">
        <v>1974</v>
      </c>
      <c r="AG389" s="1" t="s">
        <v>213</v>
      </c>
      <c r="AH389" s="1" t="s">
        <v>1952</v>
      </c>
      <c r="AI389" s="1" t="s">
        <v>206</v>
      </c>
      <c r="AJ389" s="1" t="s">
        <v>903</v>
      </c>
      <c r="AL389" s="1">
        <v>5</v>
      </c>
      <c r="AM389" s="1">
        <v>2</v>
      </c>
      <c r="AN389" s="1">
        <v>2</v>
      </c>
      <c r="AO389" s="1">
        <v>0</v>
      </c>
      <c r="AP389" s="1" t="s">
        <v>209</v>
      </c>
      <c r="AR389" s="1" t="s">
        <v>210</v>
      </c>
      <c r="AS389" s="1" t="s">
        <v>204</v>
      </c>
      <c r="AT389" s="1" t="s">
        <v>271</v>
      </c>
      <c r="AV389" s="1">
        <v>1</v>
      </c>
      <c r="AW389" s="1" t="s">
        <v>204</v>
      </c>
      <c r="AX389" s="1" t="s">
        <v>212</v>
      </c>
      <c r="AZ389" s="1">
        <v>1391</v>
      </c>
      <c r="BA389" s="1">
        <v>2013</v>
      </c>
      <c r="BE389" s="1">
        <v>1058</v>
      </c>
      <c r="BF389" s="1">
        <v>1</v>
      </c>
      <c r="BG389" s="1">
        <v>30</v>
      </c>
      <c r="BL389" s="1">
        <v>202</v>
      </c>
      <c r="BM389" s="1" t="s">
        <v>213</v>
      </c>
      <c r="BN389" s="1" t="s">
        <v>213</v>
      </c>
      <c r="BO389" s="1">
        <v>20</v>
      </c>
      <c r="BP389" s="1" t="s">
        <v>204</v>
      </c>
      <c r="BR389" s="1" t="str">
        <f>"0903315010"</f>
        <v>0903315010</v>
      </c>
      <c r="BT389" s="1" t="s">
        <v>5396</v>
      </c>
      <c r="BX389" s="1">
        <v>201</v>
      </c>
      <c r="BY389" s="1">
        <v>201</v>
      </c>
      <c r="BZ389" s="1">
        <v>201</v>
      </c>
      <c r="CB389" s="1" t="str">
        <f t="shared" ref="CB389:CC389" si="309">""</f>
        <v/>
      </c>
      <c r="CC389" s="1" t="str">
        <f t="shared" si="309"/>
        <v/>
      </c>
      <c r="CG389" s="1" t="s">
        <v>835</v>
      </c>
      <c r="CH389" s="1" t="s">
        <v>219</v>
      </c>
      <c r="CK389" s="1" t="s">
        <v>2935</v>
      </c>
      <c r="CL389" s="1" t="s">
        <v>219</v>
      </c>
      <c r="CO389" s="1" t="s">
        <v>318</v>
      </c>
      <c r="CP389" s="1" t="s">
        <v>219</v>
      </c>
      <c r="CS389" s="1" t="s">
        <v>1046</v>
      </c>
      <c r="CT389" s="1" t="s">
        <v>219</v>
      </c>
      <c r="CX389" s="1" t="s">
        <v>224</v>
      </c>
      <c r="DB389" s="1" t="s">
        <v>224</v>
      </c>
      <c r="DE389" s="1" t="s">
        <v>318</v>
      </c>
      <c r="DF389" s="1" t="s">
        <v>219</v>
      </c>
      <c r="DJ389" s="1" t="s">
        <v>224</v>
      </c>
      <c r="DS389" s="1" t="s">
        <v>230</v>
      </c>
      <c r="DW389" s="1" t="s">
        <v>230</v>
      </c>
      <c r="EA389" s="1" t="s">
        <v>230</v>
      </c>
      <c r="EE389" s="1" t="s">
        <v>230</v>
      </c>
      <c r="EI389" s="1" t="s">
        <v>230</v>
      </c>
      <c r="EL389" s="1" t="s">
        <v>605</v>
      </c>
      <c r="EM389" s="1" t="s">
        <v>232</v>
      </c>
      <c r="EN389" s="1" t="s">
        <v>282</v>
      </c>
      <c r="EO389" s="1" t="s">
        <v>234</v>
      </c>
      <c r="ER389" s="1" t="s">
        <v>210</v>
      </c>
      <c r="EU389" s="1" t="s">
        <v>712</v>
      </c>
      <c r="EW389" s="1" t="s">
        <v>5397</v>
      </c>
      <c r="EZ389" s="1" t="s">
        <v>287</v>
      </c>
      <c r="FD389" s="1" t="s">
        <v>246</v>
      </c>
      <c r="FE389" s="1" t="s">
        <v>247</v>
      </c>
      <c r="FF389" s="1" t="s">
        <v>248</v>
      </c>
      <c r="FH389" s="1" t="s">
        <v>249</v>
      </c>
      <c r="FJ389" s="1" t="s">
        <v>197</v>
      </c>
      <c r="FK389" s="1" t="s">
        <v>891</v>
      </c>
      <c r="FL389" s="1" t="s">
        <v>1073</v>
      </c>
      <c r="FM389" s="1" t="s">
        <v>252</v>
      </c>
      <c r="FN389" s="1" t="s">
        <v>213</v>
      </c>
      <c r="FO389" s="1" t="s">
        <v>213</v>
      </c>
      <c r="FQ389" s="1" t="s">
        <v>673</v>
      </c>
      <c r="FR389" s="1" t="s">
        <v>210</v>
      </c>
      <c r="FS389" s="1" t="s">
        <v>2984</v>
      </c>
      <c r="FT389" s="1" t="s">
        <v>3729</v>
      </c>
      <c r="FU389" s="1" t="s">
        <v>204</v>
      </c>
      <c r="FW389" s="1" t="s">
        <v>2985</v>
      </c>
      <c r="FX389" s="1">
        <v>23959</v>
      </c>
      <c r="FY389" s="1" t="s">
        <v>2986</v>
      </c>
      <c r="FZ389" s="1" t="s">
        <v>2987</v>
      </c>
      <c r="GA389" s="1">
        <v>220868</v>
      </c>
      <c r="GB389" s="1" t="s">
        <v>2986</v>
      </c>
      <c r="GE389" s="1" t="s">
        <v>210</v>
      </c>
      <c r="GH389" s="1" t="s">
        <v>230</v>
      </c>
      <c r="GI389" s="1" t="s">
        <v>213</v>
      </c>
      <c r="GJ389" s="1" t="s">
        <v>260</v>
      </c>
      <c r="GK389" s="1" t="s">
        <v>210</v>
      </c>
      <c r="GL389" s="2">
        <v>42125</v>
      </c>
      <c r="GM389" s="1" t="s">
        <v>5398</v>
      </c>
    </row>
    <row r="390" spans="1:195">
      <c r="A390" s="1">
        <v>122000</v>
      </c>
      <c r="B390" s="1" t="s">
        <v>195</v>
      </c>
      <c r="C390" s="1" t="str">
        <f>"08793847"</f>
        <v>08793847</v>
      </c>
      <c r="D390" s="1" t="s">
        <v>196</v>
      </c>
      <c r="F390" s="1" t="str">
        <f>"107"</f>
        <v>107</v>
      </c>
      <c r="G390" s="2">
        <v>41972</v>
      </c>
      <c r="H390" s="1">
        <v>132000</v>
      </c>
      <c r="I390" s="1">
        <v>132000</v>
      </c>
      <c r="J390" s="1">
        <v>122000</v>
      </c>
      <c r="K390" s="2">
        <v>41972</v>
      </c>
      <c r="L390" s="1">
        <v>33</v>
      </c>
      <c r="M390" s="2">
        <v>42004</v>
      </c>
      <c r="N390" s="1">
        <v>33</v>
      </c>
      <c r="O390" s="2">
        <v>42004</v>
      </c>
      <c r="P390" s="1">
        <v>8081</v>
      </c>
      <c r="Q390" s="1" t="s">
        <v>197</v>
      </c>
      <c r="R390" s="2">
        <v>42054</v>
      </c>
      <c r="S390" s="1">
        <v>242671</v>
      </c>
      <c r="U390" s="1">
        <v>26</v>
      </c>
      <c r="V390" s="1" t="s">
        <v>5399</v>
      </c>
      <c r="W390" s="1" t="s">
        <v>304</v>
      </c>
      <c r="X390" s="1" t="s">
        <v>1688</v>
      </c>
      <c r="Y390" s="1">
        <v>8</v>
      </c>
      <c r="Z390" s="1" t="s">
        <v>249</v>
      </c>
      <c r="AA390" s="1" t="s">
        <v>1211</v>
      </c>
      <c r="AB390" s="1">
        <v>60107</v>
      </c>
      <c r="AD390" s="1" t="s">
        <v>3552</v>
      </c>
      <c r="AE390" s="1" t="s">
        <v>5400</v>
      </c>
      <c r="AF390" s="1">
        <v>1991</v>
      </c>
      <c r="AG390" s="1" t="s">
        <v>204</v>
      </c>
      <c r="AH390" s="1" t="s">
        <v>1214</v>
      </c>
      <c r="AI390" s="1" t="s">
        <v>310</v>
      </c>
      <c r="AJ390" s="1" t="s">
        <v>374</v>
      </c>
      <c r="AK390" s="1" t="s">
        <v>2930</v>
      </c>
      <c r="AL390" s="1">
        <v>5</v>
      </c>
      <c r="AM390" s="1">
        <v>2</v>
      </c>
      <c r="AN390" s="1">
        <v>2</v>
      </c>
      <c r="AO390" s="1">
        <v>0</v>
      </c>
      <c r="AP390" s="1" t="s">
        <v>209</v>
      </c>
      <c r="AR390" s="1" t="s">
        <v>210</v>
      </c>
      <c r="AS390" s="1" t="s">
        <v>204</v>
      </c>
      <c r="AT390" s="1" t="s">
        <v>211</v>
      </c>
      <c r="AU390" s="1">
        <v>1</v>
      </c>
      <c r="AW390" s="1" t="s">
        <v>204</v>
      </c>
      <c r="AX390" s="1" t="s">
        <v>212</v>
      </c>
      <c r="AZ390" s="1">
        <v>2852.96</v>
      </c>
      <c r="BA390" s="1">
        <v>2013</v>
      </c>
      <c r="BB390" s="1" t="s">
        <v>210</v>
      </c>
      <c r="BE390" s="1">
        <v>1312</v>
      </c>
      <c r="BF390" s="1">
        <v>2</v>
      </c>
      <c r="BG390" s="1">
        <v>0</v>
      </c>
      <c r="BL390" s="1">
        <v>225</v>
      </c>
      <c r="BM390" s="1" t="s">
        <v>204</v>
      </c>
      <c r="BN390" s="1" t="s">
        <v>213</v>
      </c>
      <c r="BO390" s="1">
        <v>0</v>
      </c>
      <c r="BP390" s="1" t="s">
        <v>204</v>
      </c>
      <c r="BR390" s="1" t="str">
        <f>"06223030361264"</f>
        <v>06223030361264</v>
      </c>
      <c r="BT390" s="1" t="s">
        <v>5401</v>
      </c>
      <c r="BU390" s="1" t="s">
        <v>3556</v>
      </c>
      <c r="BV390" s="1" t="s">
        <v>3557</v>
      </c>
      <c r="BW390" s="1" t="s">
        <v>1217</v>
      </c>
      <c r="BX390" s="1">
        <v>46</v>
      </c>
      <c r="BY390" s="1">
        <v>46</v>
      </c>
      <c r="BZ390" s="1">
        <v>46</v>
      </c>
      <c r="CB390" s="1" t="str">
        <f>"10"</f>
        <v>10</v>
      </c>
      <c r="CC390" s="1" t="str">
        <f>""</f>
        <v/>
      </c>
      <c r="CD390" s="1">
        <v>29</v>
      </c>
      <c r="CG390" s="1" t="s">
        <v>932</v>
      </c>
      <c r="CH390" s="1" t="s">
        <v>277</v>
      </c>
      <c r="CI390" s="1" t="s">
        <v>220</v>
      </c>
      <c r="CJ390" s="1" t="s">
        <v>343</v>
      </c>
      <c r="CK390" s="1" t="s">
        <v>932</v>
      </c>
      <c r="CL390" s="1" t="s">
        <v>277</v>
      </c>
      <c r="CM390" s="1" t="s">
        <v>220</v>
      </c>
      <c r="CN390" s="1" t="s">
        <v>343</v>
      </c>
      <c r="CO390" s="1" t="s">
        <v>1297</v>
      </c>
      <c r="CP390" s="1" t="s">
        <v>277</v>
      </c>
      <c r="CQ390" s="1" t="s">
        <v>220</v>
      </c>
      <c r="CR390" s="1" t="s">
        <v>343</v>
      </c>
      <c r="CS390" s="1" t="s">
        <v>379</v>
      </c>
      <c r="CT390" s="1" t="s">
        <v>277</v>
      </c>
      <c r="CU390" s="1" t="s">
        <v>220</v>
      </c>
      <c r="CV390" s="1" t="s">
        <v>343</v>
      </c>
      <c r="CX390" s="1" t="s">
        <v>224</v>
      </c>
      <c r="DB390" s="1" t="s">
        <v>224</v>
      </c>
      <c r="DE390" s="1" t="s">
        <v>669</v>
      </c>
      <c r="DF390" s="1" t="s">
        <v>277</v>
      </c>
      <c r="DG390" s="1" t="s">
        <v>342</v>
      </c>
      <c r="DH390" s="1" t="s">
        <v>343</v>
      </c>
      <c r="DJ390" s="1" t="s">
        <v>224</v>
      </c>
      <c r="DS390" s="1" t="s">
        <v>230</v>
      </c>
      <c r="DW390" s="1" t="s">
        <v>230</v>
      </c>
      <c r="EA390" s="1" t="s">
        <v>230</v>
      </c>
      <c r="EE390" s="1" t="s">
        <v>230</v>
      </c>
      <c r="EI390" s="1" t="s">
        <v>230</v>
      </c>
      <c r="EL390" s="1" t="s">
        <v>382</v>
      </c>
      <c r="EM390" s="1" t="s">
        <v>319</v>
      </c>
      <c r="EN390" s="1" t="s">
        <v>282</v>
      </c>
      <c r="EO390" s="1" t="s">
        <v>234</v>
      </c>
      <c r="EQ390" s="1" t="s">
        <v>350</v>
      </c>
      <c r="ER390" s="1" t="s">
        <v>210</v>
      </c>
      <c r="ES390" s="1" t="s">
        <v>824</v>
      </c>
      <c r="ET390" s="1" t="s">
        <v>238</v>
      </c>
      <c r="EU390" s="1" t="s">
        <v>1894</v>
      </c>
      <c r="EW390" s="1" t="s">
        <v>937</v>
      </c>
      <c r="EY390" s="1" t="s">
        <v>790</v>
      </c>
      <c r="EZ390" s="1" t="s">
        <v>287</v>
      </c>
      <c r="FA390" s="1" t="s">
        <v>5402</v>
      </c>
      <c r="FB390" s="1" t="s">
        <v>289</v>
      </c>
      <c r="FD390" s="1" t="s">
        <v>246</v>
      </c>
      <c r="FE390" s="1" t="s">
        <v>386</v>
      </c>
      <c r="FF390" s="1" t="s">
        <v>248</v>
      </c>
      <c r="FH390" s="1" t="s">
        <v>249</v>
      </c>
      <c r="FI390" s="1" t="s">
        <v>473</v>
      </c>
      <c r="FL390" s="1" t="s">
        <v>358</v>
      </c>
      <c r="FM390" s="1" t="s">
        <v>252</v>
      </c>
      <c r="FN390" s="1" t="s">
        <v>213</v>
      </c>
      <c r="FO390" s="1" t="s">
        <v>213</v>
      </c>
      <c r="FQ390" s="1" t="s">
        <v>569</v>
      </c>
      <c r="FR390" s="1" t="s">
        <v>210</v>
      </c>
      <c r="FS390" s="1" t="s">
        <v>5403</v>
      </c>
      <c r="FT390" s="1" t="s">
        <v>362</v>
      </c>
      <c r="FU390" s="1" t="s">
        <v>204</v>
      </c>
      <c r="FW390" s="1" t="s">
        <v>1559</v>
      </c>
      <c r="FX390" s="1">
        <v>25083</v>
      </c>
      <c r="FY390" s="1" t="s">
        <v>4110</v>
      </c>
      <c r="FZ390" s="1" t="s">
        <v>4503</v>
      </c>
      <c r="GA390" s="1">
        <v>250887</v>
      </c>
      <c r="GE390" s="1" t="s">
        <v>1256</v>
      </c>
      <c r="GI390" s="1" t="s">
        <v>213</v>
      </c>
      <c r="GJ390" s="1" t="s">
        <v>260</v>
      </c>
      <c r="GK390" s="1" t="s">
        <v>210</v>
      </c>
      <c r="GL390" s="2">
        <v>42055</v>
      </c>
    </row>
    <row r="391" spans="1:195">
      <c r="A391" s="1">
        <v>329452</v>
      </c>
      <c r="B391" s="1" t="s">
        <v>195</v>
      </c>
      <c r="C391" s="1" t="str">
        <f>"08792843"</f>
        <v>08792843</v>
      </c>
      <c r="D391" s="1" t="s">
        <v>196</v>
      </c>
      <c r="F391" s="1" t="str">
        <f>"137"</f>
        <v>137</v>
      </c>
      <c r="G391" s="2">
        <v>41968</v>
      </c>
      <c r="H391" s="1">
        <v>336452</v>
      </c>
      <c r="I391" s="1">
        <v>336452</v>
      </c>
      <c r="J391" s="1">
        <v>329452</v>
      </c>
      <c r="K391" s="2">
        <v>41968</v>
      </c>
      <c r="L391" s="1">
        <v>79</v>
      </c>
      <c r="M391" s="2">
        <v>42046</v>
      </c>
      <c r="N391" s="1">
        <v>79</v>
      </c>
      <c r="O391" s="2">
        <v>42046</v>
      </c>
      <c r="P391" s="1">
        <v>25279</v>
      </c>
      <c r="Q391" s="1" t="s">
        <v>197</v>
      </c>
      <c r="R391" s="2">
        <v>42094</v>
      </c>
      <c r="S391" s="1">
        <v>219208</v>
      </c>
      <c r="U391" s="1">
        <v>499</v>
      </c>
      <c r="V391" s="1" t="s">
        <v>2161</v>
      </c>
      <c r="W391" s="1" t="s">
        <v>425</v>
      </c>
      <c r="Y391" s="1">
        <v>6</v>
      </c>
      <c r="Z391" s="1" t="s">
        <v>249</v>
      </c>
      <c r="AA391" s="1" t="s">
        <v>201</v>
      </c>
      <c r="AB391" s="1">
        <v>60137</v>
      </c>
      <c r="AD391" s="1" t="s">
        <v>2162</v>
      </c>
      <c r="AE391" s="1" t="s">
        <v>2163</v>
      </c>
      <c r="AF391" s="1">
        <v>2014</v>
      </c>
      <c r="AG391" s="1" t="s">
        <v>204</v>
      </c>
      <c r="AH391" s="1" t="s">
        <v>205</v>
      </c>
      <c r="AI391" s="1" t="s">
        <v>206</v>
      </c>
      <c r="AJ391" s="1" t="s">
        <v>207</v>
      </c>
      <c r="AK391" s="1" t="s">
        <v>2164</v>
      </c>
      <c r="AL391" s="1">
        <v>6</v>
      </c>
      <c r="AM391" s="1">
        <v>2</v>
      </c>
      <c r="AN391" s="1">
        <v>2</v>
      </c>
      <c r="AO391" s="1">
        <v>1</v>
      </c>
      <c r="AP391" s="1" t="s">
        <v>209</v>
      </c>
      <c r="AQ391" s="1">
        <v>1</v>
      </c>
      <c r="AR391" s="1" t="s">
        <v>2165</v>
      </c>
      <c r="AS391" s="1" t="s">
        <v>204</v>
      </c>
      <c r="AT391" s="1" t="s">
        <v>211</v>
      </c>
      <c r="AU391" s="1">
        <v>2</v>
      </c>
      <c r="AW391" s="1" t="s">
        <v>204</v>
      </c>
      <c r="AX391" s="1" t="s">
        <v>212</v>
      </c>
      <c r="AZ391" s="1" t="s">
        <v>751</v>
      </c>
      <c r="BA391" s="1">
        <v>2013</v>
      </c>
      <c r="BE391" s="1">
        <v>1824</v>
      </c>
      <c r="BF391" s="1">
        <v>1</v>
      </c>
      <c r="BG391" s="1">
        <v>0</v>
      </c>
      <c r="BL391" s="1">
        <v>230</v>
      </c>
      <c r="BM391" s="1" t="s">
        <v>204</v>
      </c>
      <c r="BN391" s="1" t="s">
        <v>213</v>
      </c>
      <c r="BO391" s="1" t="s">
        <v>432</v>
      </c>
      <c r="BP391" s="1" t="s">
        <v>213</v>
      </c>
      <c r="BQ391" s="2">
        <v>41944</v>
      </c>
      <c r="BR391" s="1" t="str">
        <f>"0510409046"</f>
        <v>0510409046</v>
      </c>
      <c r="BT391" s="1" t="s">
        <v>5404</v>
      </c>
      <c r="BU391" s="1" t="s">
        <v>2167</v>
      </c>
      <c r="BV391" s="1" t="s">
        <v>2168</v>
      </c>
      <c r="BW391" s="1" t="s">
        <v>2169</v>
      </c>
      <c r="BX391" s="1">
        <v>41</v>
      </c>
      <c r="BY391" s="1">
        <v>41</v>
      </c>
      <c r="BZ391" s="1">
        <v>87</v>
      </c>
      <c r="CB391" s="1" t="str">
        <f t="shared" ref="CB391:CC391" si="310">""</f>
        <v/>
      </c>
      <c r="CC391" s="1" t="str">
        <f t="shared" si="310"/>
        <v/>
      </c>
      <c r="CG391" s="1" t="s">
        <v>2170</v>
      </c>
      <c r="CH391" s="1" t="s">
        <v>219</v>
      </c>
      <c r="CI391" s="1" t="s">
        <v>438</v>
      </c>
      <c r="CK391" s="1" t="s">
        <v>437</v>
      </c>
      <c r="CL391" s="1" t="s">
        <v>277</v>
      </c>
      <c r="CM391" s="1" t="s">
        <v>220</v>
      </c>
      <c r="CO391" s="1" t="s">
        <v>379</v>
      </c>
      <c r="CP391" s="1" t="s">
        <v>219</v>
      </c>
      <c r="CQ391" s="1" t="s">
        <v>438</v>
      </c>
      <c r="CS391" s="1" t="s">
        <v>538</v>
      </c>
      <c r="CT391" s="1" t="s">
        <v>277</v>
      </c>
      <c r="CU391" s="1" t="s">
        <v>220</v>
      </c>
      <c r="CX391" s="1" t="s">
        <v>224</v>
      </c>
      <c r="DB391" s="1" t="s">
        <v>224</v>
      </c>
      <c r="DE391" s="1" t="s">
        <v>1534</v>
      </c>
      <c r="DF391" s="1" t="s">
        <v>219</v>
      </c>
      <c r="DG391" s="1" t="s">
        <v>438</v>
      </c>
      <c r="DI391" s="1" t="s">
        <v>1297</v>
      </c>
      <c r="DJ391" s="1" t="s">
        <v>822</v>
      </c>
      <c r="DK391" s="1" t="s">
        <v>220</v>
      </c>
      <c r="DM391" s="1" t="s">
        <v>838</v>
      </c>
      <c r="DR391" s="1" t="s">
        <v>2171</v>
      </c>
      <c r="DS391" s="1" t="s">
        <v>219</v>
      </c>
      <c r="DW391" s="1" t="s">
        <v>230</v>
      </c>
      <c r="EA391" s="1" t="s">
        <v>230</v>
      </c>
      <c r="EE391" s="1" t="s">
        <v>230</v>
      </c>
      <c r="EI391" s="1" t="s">
        <v>230</v>
      </c>
      <c r="EL391" s="1" t="s">
        <v>1455</v>
      </c>
      <c r="EM391" s="1" t="s">
        <v>232</v>
      </c>
      <c r="EN391" s="1" t="s">
        <v>282</v>
      </c>
      <c r="EO391" s="1" t="s">
        <v>234</v>
      </c>
      <c r="EP391" s="1" t="s">
        <v>2172</v>
      </c>
      <c r="EQ391" s="1" t="s">
        <v>1867</v>
      </c>
      <c r="ER391" s="1" t="s">
        <v>823</v>
      </c>
      <c r="ES391" s="1" t="s">
        <v>824</v>
      </c>
      <c r="ET391" s="1" t="s">
        <v>842</v>
      </c>
      <c r="EW391" s="1" t="s">
        <v>1250</v>
      </c>
      <c r="EY391" s="1" t="s">
        <v>242</v>
      </c>
      <c r="EZ391" s="1" t="s">
        <v>838</v>
      </c>
      <c r="FA391" s="1" t="s">
        <v>5405</v>
      </c>
      <c r="FD391" s="1" t="s">
        <v>495</v>
      </c>
      <c r="FE391" s="1" t="s">
        <v>247</v>
      </c>
      <c r="FF391" s="1" t="s">
        <v>248</v>
      </c>
      <c r="FG391" s="1" t="s">
        <v>2174</v>
      </c>
      <c r="FH391" s="1" t="s">
        <v>2175</v>
      </c>
      <c r="FL391" s="1" t="s">
        <v>358</v>
      </c>
      <c r="FM391" s="1" t="s">
        <v>252</v>
      </c>
      <c r="FN391" s="1" t="s">
        <v>213</v>
      </c>
      <c r="FO391" s="1" t="s">
        <v>213</v>
      </c>
      <c r="FQ391" s="1" t="s">
        <v>5406</v>
      </c>
      <c r="FR391" s="1" t="s">
        <v>411</v>
      </c>
      <c r="FS391" s="1" t="s">
        <v>2177</v>
      </c>
      <c r="FT391" s="1" t="s">
        <v>2178</v>
      </c>
      <c r="FU391" s="1" t="s">
        <v>204</v>
      </c>
      <c r="FW391" s="1" t="s">
        <v>2179</v>
      </c>
      <c r="FX391" s="1">
        <v>22039</v>
      </c>
      <c r="FY391" s="1" t="s">
        <v>2180</v>
      </c>
      <c r="FZ391" s="1" t="s">
        <v>2181</v>
      </c>
      <c r="GA391" s="1">
        <v>220163</v>
      </c>
      <c r="GB391" s="1" t="s">
        <v>2182</v>
      </c>
      <c r="GC391" s="1">
        <v>239827</v>
      </c>
      <c r="GE391" s="1" t="s">
        <v>1187</v>
      </c>
      <c r="GI391" s="1" t="s">
        <v>213</v>
      </c>
      <c r="GJ391" s="1" t="s">
        <v>260</v>
      </c>
      <c r="GK391" s="1" t="s">
        <v>210</v>
      </c>
      <c r="GL391" s="2">
        <v>42095</v>
      </c>
      <c r="GM391" s="1" t="s">
        <v>5407</v>
      </c>
    </row>
    <row r="392" spans="1:195">
      <c r="A392" s="1">
        <v>97127</v>
      </c>
      <c r="B392" s="1" t="s">
        <v>195</v>
      </c>
      <c r="C392" s="1" t="str">
        <f>"08795654"</f>
        <v>08795654</v>
      </c>
      <c r="D392" s="1" t="s">
        <v>196</v>
      </c>
      <c r="F392" s="1" t="str">
        <f>"507"</f>
        <v>507</v>
      </c>
      <c r="G392" s="2">
        <v>41975</v>
      </c>
      <c r="H392" s="1">
        <v>98900</v>
      </c>
      <c r="I392" s="1">
        <v>98900</v>
      </c>
      <c r="J392" s="1">
        <v>97127</v>
      </c>
      <c r="K392" s="2">
        <v>41975</v>
      </c>
      <c r="L392" s="1">
        <v>63</v>
      </c>
      <c r="M392" s="2">
        <v>42037</v>
      </c>
      <c r="N392" s="1">
        <v>63</v>
      </c>
      <c r="O392" s="2">
        <v>42037</v>
      </c>
      <c r="P392" s="1">
        <v>26036</v>
      </c>
      <c r="Q392" s="1" t="s">
        <v>423</v>
      </c>
      <c r="R392" s="2">
        <v>42109</v>
      </c>
      <c r="S392" s="1">
        <v>243157</v>
      </c>
      <c r="T392" s="1">
        <v>2913.8</v>
      </c>
      <c r="U392" s="1">
        <v>169</v>
      </c>
      <c r="V392" s="1" t="s">
        <v>5408</v>
      </c>
      <c r="W392" s="1" t="s">
        <v>264</v>
      </c>
      <c r="X392" s="1">
        <v>169</v>
      </c>
      <c r="Y392" s="1">
        <v>4</v>
      </c>
      <c r="Z392" s="1" t="s">
        <v>200</v>
      </c>
      <c r="AA392" s="1" t="s">
        <v>1123</v>
      </c>
      <c r="AB392" s="1">
        <v>60504</v>
      </c>
      <c r="AE392" s="1" t="s">
        <v>5409</v>
      </c>
      <c r="AF392" s="1">
        <v>1996</v>
      </c>
      <c r="AG392" s="1" t="s">
        <v>204</v>
      </c>
      <c r="AH392" s="1" t="s">
        <v>1126</v>
      </c>
      <c r="AI392" s="1" t="s">
        <v>206</v>
      </c>
      <c r="AJ392" s="1" t="s">
        <v>924</v>
      </c>
      <c r="AL392" s="1">
        <v>5</v>
      </c>
      <c r="AM392" s="1">
        <v>2</v>
      </c>
      <c r="AN392" s="1">
        <v>2</v>
      </c>
      <c r="AO392" s="1">
        <v>0</v>
      </c>
      <c r="AP392" s="1" t="s">
        <v>209</v>
      </c>
      <c r="AR392" s="1" t="s">
        <v>210</v>
      </c>
      <c r="AS392" s="1" t="s">
        <v>204</v>
      </c>
      <c r="AT392" s="1" t="s">
        <v>211</v>
      </c>
      <c r="AU392" s="1">
        <v>1</v>
      </c>
      <c r="AW392" s="1" t="s">
        <v>204</v>
      </c>
      <c r="AX392" s="1" t="s">
        <v>212</v>
      </c>
      <c r="AZ392" s="1">
        <v>2103</v>
      </c>
      <c r="BA392" s="1">
        <v>2013</v>
      </c>
      <c r="BE392" s="1">
        <v>907</v>
      </c>
      <c r="BF392" s="1">
        <v>2</v>
      </c>
      <c r="BG392" s="1">
        <v>0</v>
      </c>
      <c r="BL392" s="1">
        <v>165</v>
      </c>
      <c r="BM392" s="1" t="s">
        <v>413</v>
      </c>
      <c r="BN392" s="1" t="s">
        <v>204</v>
      </c>
      <c r="BP392" s="1" t="s">
        <v>204</v>
      </c>
      <c r="BR392" s="1" t="str">
        <f>"0720314026"</f>
        <v>0720314026</v>
      </c>
      <c r="BT392" s="1" t="s">
        <v>5410</v>
      </c>
      <c r="BX392" s="1">
        <v>204</v>
      </c>
      <c r="BY392" s="1">
        <v>204</v>
      </c>
      <c r="BZ392" s="1">
        <v>204</v>
      </c>
      <c r="CB392" s="1" t="str">
        <f t="shared" ref="CB392:CC392" si="311">""</f>
        <v/>
      </c>
      <c r="CC392" s="1" t="str">
        <f t="shared" si="311"/>
        <v/>
      </c>
      <c r="CG392" s="1" t="s">
        <v>461</v>
      </c>
      <c r="CH392" s="1" t="s">
        <v>277</v>
      </c>
      <c r="CK392" s="1" t="s">
        <v>564</v>
      </c>
      <c r="CL392" s="1" t="s">
        <v>277</v>
      </c>
      <c r="CO392" s="1" t="s">
        <v>409</v>
      </c>
      <c r="CP392" s="1" t="s">
        <v>277</v>
      </c>
      <c r="CS392" s="1" t="s">
        <v>2231</v>
      </c>
      <c r="CT392" s="1" t="s">
        <v>277</v>
      </c>
      <c r="CX392" s="1" t="s">
        <v>224</v>
      </c>
      <c r="DB392" s="1" t="s">
        <v>224</v>
      </c>
      <c r="DE392" s="1" t="s">
        <v>2231</v>
      </c>
      <c r="DF392" s="1" t="s">
        <v>277</v>
      </c>
      <c r="DJ392" s="1" t="s">
        <v>224</v>
      </c>
      <c r="DS392" s="1" t="s">
        <v>230</v>
      </c>
      <c r="DW392" s="1" t="s">
        <v>230</v>
      </c>
      <c r="EA392" s="1" t="s">
        <v>230</v>
      </c>
      <c r="EE392" s="1" t="s">
        <v>230</v>
      </c>
      <c r="EI392" s="1" t="s">
        <v>230</v>
      </c>
      <c r="EL392" s="1" t="s">
        <v>670</v>
      </c>
      <c r="EM392" s="1" t="s">
        <v>319</v>
      </c>
      <c r="EN392" s="1" t="s">
        <v>282</v>
      </c>
      <c r="EO392" s="1" t="s">
        <v>234</v>
      </c>
      <c r="ER392" s="1" t="s">
        <v>210</v>
      </c>
      <c r="EW392" s="1" t="s">
        <v>347</v>
      </c>
      <c r="EZ392" s="1" t="s">
        <v>287</v>
      </c>
      <c r="FD392" s="1" t="s">
        <v>1112</v>
      </c>
      <c r="FE392" s="1" t="s">
        <v>496</v>
      </c>
      <c r="FF392" s="1" t="s">
        <v>248</v>
      </c>
      <c r="FH392" s="1" t="s">
        <v>249</v>
      </c>
      <c r="FL392" s="1" t="s">
        <v>358</v>
      </c>
      <c r="FM392" s="1" t="s">
        <v>252</v>
      </c>
      <c r="FN392" s="1" t="s">
        <v>213</v>
      </c>
      <c r="FO392" s="1" t="s">
        <v>213</v>
      </c>
      <c r="FQ392" s="1" t="s">
        <v>689</v>
      </c>
      <c r="FR392" s="1" t="s">
        <v>210</v>
      </c>
      <c r="FS392" s="1" t="s">
        <v>2541</v>
      </c>
      <c r="FT392" s="1" t="s">
        <v>654</v>
      </c>
      <c r="FU392" s="1" t="s">
        <v>204</v>
      </c>
      <c r="FW392" s="1" t="s">
        <v>4399</v>
      </c>
      <c r="FX392" s="1">
        <v>8698</v>
      </c>
      <c r="FY392" s="1" t="s">
        <v>4400</v>
      </c>
      <c r="FZ392" s="1" t="s">
        <v>4401</v>
      </c>
      <c r="GA392" s="1">
        <v>85273</v>
      </c>
      <c r="GB392" s="1" t="s">
        <v>4400</v>
      </c>
      <c r="GE392" s="1" t="s">
        <v>210</v>
      </c>
      <c r="GH392" s="1" t="s">
        <v>230</v>
      </c>
      <c r="GI392" s="1" t="s">
        <v>204</v>
      </c>
      <c r="GJ392" s="1" t="s">
        <v>260</v>
      </c>
      <c r="GK392" s="1" t="s">
        <v>210</v>
      </c>
      <c r="GL392" s="2">
        <v>42110</v>
      </c>
      <c r="GM392" s="1" t="s">
        <v>5411</v>
      </c>
    </row>
    <row r="393" spans="1:195">
      <c r="A393" s="1">
        <v>130000</v>
      </c>
      <c r="B393" s="1" t="s">
        <v>195</v>
      </c>
      <c r="C393" s="1" t="str">
        <f>"08793203"</f>
        <v>08793203</v>
      </c>
      <c r="D393" s="1" t="s">
        <v>196</v>
      </c>
      <c r="F393" s="1" t="str">
        <f>"137"</f>
        <v>137</v>
      </c>
      <c r="G393" s="2">
        <v>41969</v>
      </c>
      <c r="H393" s="1">
        <v>129900</v>
      </c>
      <c r="I393" s="1">
        <v>129900</v>
      </c>
      <c r="J393" s="1">
        <v>130000</v>
      </c>
      <c r="K393" s="2">
        <v>41969</v>
      </c>
      <c r="L393" s="1">
        <v>10</v>
      </c>
      <c r="M393" s="2">
        <v>41978</v>
      </c>
      <c r="N393" s="1">
        <v>10</v>
      </c>
      <c r="O393" s="2">
        <v>41978</v>
      </c>
      <c r="P393" s="1">
        <v>25072</v>
      </c>
      <c r="Q393" s="1" t="s">
        <v>197</v>
      </c>
      <c r="R393" s="2">
        <v>42061</v>
      </c>
      <c r="S393" s="1">
        <v>257022</v>
      </c>
      <c r="U393" s="1">
        <v>1032</v>
      </c>
      <c r="V393" s="1" t="s">
        <v>5412</v>
      </c>
      <c r="W393" s="1" t="s">
        <v>1056</v>
      </c>
      <c r="X393" s="1" t="s">
        <v>5413</v>
      </c>
      <c r="Y393" s="1">
        <v>12</v>
      </c>
      <c r="Z393" s="1" t="s">
        <v>249</v>
      </c>
      <c r="AA393" s="1" t="s">
        <v>201</v>
      </c>
      <c r="AB393" s="1">
        <v>60137</v>
      </c>
      <c r="AE393" s="1" t="s">
        <v>5414</v>
      </c>
      <c r="AF393" s="1">
        <v>2009</v>
      </c>
      <c r="AG393" s="1" t="s">
        <v>204</v>
      </c>
      <c r="AH393" s="1" t="s">
        <v>205</v>
      </c>
      <c r="AI393" s="1" t="s">
        <v>206</v>
      </c>
      <c r="AJ393" s="1" t="s">
        <v>207</v>
      </c>
      <c r="AL393" s="1">
        <v>4</v>
      </c>
      <c r="AM393" s="1">
        <v>2</v>
      </c>
      <c r="AN393" s="1">
        <v>2</v>
      </c>
      <c r="AO393" s="1">
        <v>0</v>
      </c>
      <c r="AP393" s="1" t="s">
        <v>209</v>
      </c>
      <c r="AR393" s="1" t="s">
        <v>210</v>
      </c>
      <c r="AS393" s="1" t="s">
        <v>204</v>
      </c>
      <c r="AT393" s="1" t="s">
        <v>211</v>
      </c>
      <c r="AU393" s="1">
        <v>1</v>
      </c>
      <c r="AW393" s="1" t="s">
        <v>204</v>
      </c>
      <c r="AX393" s="1" t="s">
        <v>212</v>
      </c>
      <c r="AZ393" s="1">
        <v>4141</v>
      </c>
      <c r="BA393" s="1">
        <v>2013</v>
      </c>
      <c r="BB393" s="1" t="s">
        <v>405</v>
      </c>
      <c r="BE393" s="1">
        <v>1206</v>
      </c>
      <c r="BF393" s="1">
        <v>2</v>
      </c>
      <c r="BG393" s="1">
        <v>0</v>
      </c>
      <c r="BL393" s="1">
        <v>149</v>
      </c>
      <c r="BM393" s="1" t="s">
        <v>204</v>
      </c>
      <c r="BN393" s="1" t="s">
        <v>213</v>
      </c>
      <c r="BO393" s="1">
        <v>999</v>
      </c>
      <c r="BP393" s="1" t="s">
        <v>204</v>
      </c>
      <c r="BR393" s="1" t="str">
        <f>"0501113004"</f>
        <v>0501113004</v>
      </c>
      <c r="BT393" s="1" t="s">
        <v>5415</v>
      </c>
      <c r="BX393" s="1">
        <v>41</v>
      </c>
      <c r="BY393" s="1">
        <v>41</v>
      </c>
      <c r="BZ393" s="1">
        <v>89</v>
      </c>
      <c r="CB393" s="1" t="str">
        <f t="shared" ref="CB393:CC393" si="312">"0"</f>
        <v>0</v>
      </c>
      <c r="CC393" s="1" t="str">
        <f t="shared" si="312"/>
        <v>0</v>
      </c>
      <c r="CD393" s="1">
        <v>0</v>
      </c>
      <c r="CE393" s="1">
        <v>0</v>
      </c>
      <c r="CG393" s="1" t="s">
        <v>2121</v>
      </c>
      <c r="CH393" s="1" t="s">
        <v>277</v>
      </c>
      <c r="CI393" s="1" t="s">
        <v>438</v>
      </c>
      <c r="CJ393" s="1" t="s">
        <v>439</v>
      </c>
      <c r="CK393" s="1" t="s">
        <v>278</v>
      </c>
      <c r="CL393" s="1" t="s">
        <v>277</v>
      </c>
      <c r="CM393" s="1" t="s">
        <v>220</v>
      </c>
      <c r="CN393" s="1" t="s">
        <v>439</v>
      </c>
      <c r="CP393" s="1" t="s">
        <v>224</v>
      </c>
      <c r="CS393" s="1" t="s">
        <v>318</v>
      </c>
      <c r="CT393" s="1" t="s">
        <v>277</v>
      </c>
      <c r="CU393" s="1" t="s">
        <v>220</v>
      </c>
      <c r="CV393" s="1" t="s">
        <v>252</v>
      </c>
      <c r="CX393" s="1" t="s">
        <v>224</v>
      </c>
      <c r="DB393" s="1" t="s">
        <v>224</v>
      </c>
      <c r="DE393" s="1" t="s">
        <v>5416</v>
      </c>
      <c r="DF393" s="1" t="s">
        <v>277</v>
      </c>
      <c r="DG393" s="1" t="s">
        <v>226</v>
      </c>
      <c r="DH393" s="1" t="s">
        <v>439</v>
      </c>
      <c r="DJ393" s="1" t="s">
        <v>224</v>
      </c>
      <c r="DS393" s="1" t="s">
        <v>230</v>
      </c>
      <c r="DW393" s="1" t="s">
        <v>230</v>
      </c>
      <c r="EA393" s="1" t="s">
        <v>230</v>
      </c>
      <c r="EE393" s="1" t="s">
        <v>230</v>
      </c>
      <c r="EI393" s="1" t="s">
        <v>230</v>
      </c>
      <c r="EL393" s="1" t="s">
        <v>1549</v>
      </c>
      <c r="EM393" s="1" t="s">
        <v>232</v>
      </c>
      <c r="EN393" s="1" t="s">
        <v>282</v>
      </c>
      <c r="EO393" s="1" t="s">
        <v>234</v>
      </c>
      <c r="EP393" s="1" t="s">
        <v>4619</v>
      </c>
      <c r="EQ393" s="1" t="s">
        <v>236</v>
      </c>
      <c r="ER393" s="1" t="s">
        <v>210</v>
      </c>
      <c r="EU393" s="1" t="s">
        <v>5417</v>
      </c>
      <c r="EW393" s="1" t="s">
        <v>887</v>
      </c>
      <c r="EY393" s="1" t="s">
        <v>242</v>
      </c>
      <c r="EZ393" s="1" t="s">
        <v>287</v>
      </c>
      <c r="FB393" s="1" t="s">
        <v>289</v>
      </c>
      <c r="FC393" s="1" t="s">
        <v>1386</v>
      </c>
      <c r="FD393" s="1" t="s">
        <v>246</v>
      </c>
      <c r="FE393" s="1" t="s">
        <v>247</v>
      </c>
      <c r="FF393" s="1" t="s">
        <v>248</v>
      </c>
      <c r="FH393" s="1" t="s">
        <v>249</v>
      </c>
      <c r="FI393" s="1" t="s">
        <v>473</v>
      </c>
      <c r="FL393" s="1" t="s">
        <v>358</v>
      </c>
      <c r="FM393" s="1" t="s">
        <v>252</v>
      </c>
      <c r="FN393" s="1" t="s">
        <v>213</v>
      </c>
      <c r="FO393" s="1" t="s">
        <v>213</v>
      </c>
      <c r="FQ393" s="1" t="s">
        <v>3560</v>
      </c>
      <c r="FR393" s="1" t="s">
        <v>360</v>
      </c>
      <c r="FS393" s="1" t="s">
        <v>5418</v>
      </c>
      <c r="FT393" s="1" t="s">
        <v>295</v>
      </c>
      <c r="FU393" s="1" t="s">
        <v>204</v>
      </c>
      <c r="FW393" s="1" t="s">
        <v>1475</v>
      </c>
      <c r="FX393" s="1">
        <v>23265</v>
      </c>
      <c r="FY393" s="1" t="s">
        <v>1476</v>
      </c>
      <c r="FZ393" s="1" t="s">
        <v>5419</v>
      </c>
      <c r="GA393" s="1">
        <v>218055</v>
      </c>
      <c r="GB393" s="1" t="s">
        <v>5420</v>
      </c>
      <c r="GD393" s="1" t="s">
        <v>5421</v>
      </c>
      <c r="GE393" s="1" t="s">
        <v>210</v>
      </c>
      <c r="GI393" s="1" t="s">
        <v>213</v>
      </c>
      <c r="GJ393" s="1" t="s">
        <v>260</v>
      </c>
      <c r="GK393" s="1" t="s">
        <v>210</v>
      </c>
      <c r="GL393" s="2">
        <v>42061</v>
      </c>
      <c r="GM393" s="2" t="s">
        <v>5422</v>
      </c>
    </row>
    <row r="394" spans="1:195">
      <c r="A394" s="1">
        <v>255000</v>
      </c>
      <c r="B394" s="1" t="s">
        <v>195</v>
      </c>
      <c r="C394" s="1" t="str">
        <f>"08792642"</f>
        <v>08792642</v>
      </c>
      <c r="D394" s="1" t="s">
        <v>196</v>
      </c>
      <c r="F394" s="1" t="str">
        <f>"540"</f>
        <v>540</v>
      </c>
      <c r="G394" s="2">
        <v>41968</v>
      </c>
      <c r="H394" s="1">
        <v>287500</v>
      </c>
      <c r="I394" s="1">
        <v>272500</v>
      </c>
      <c r="J394" s="1">
        <v>255000</v>
      </c>
      <c r="K394" s="2">
        <v>41968</v>
      </c>
      <c r="L394" s="1">
        <v>145</v>
      </c>
      <c r="M394" s="2">
        <v>42112</v>
      </c>
      <c r="N394" s="1">
        <v>145</v>
      </c>
      <c r="O394" s="2">
        <v>42112</v>
      </c>
      <c r="P394" s="1">
        <v>23030</v>
      </c>
      <c r="Q394" s="1" t="s">
        <v>197</v>
      </c>
      <c r="R394" s="2">
        <v>42125</v>
      </c>
      <c r="S394" s="1">
        <v>233080</v>
      </c>
      <c r="U394" s="1">
        <v>2033</v>
      </c>
      <c r="V394" s="1" t="s">
        <v>5423</v>
      </c>
      <c r="W394" s="1" t="s">
        <v>304</v>
      </c>
      <c r="Y394" s="1">
        <v>5</v>
      </c>
      <c r="Z394" s="1" t="s">
        <v>370</v>
      </c>
      <c r="AA394" s="1" t="s">
        <v>921</v>
      </c>
      <c r="AB394" s="1">
        <v>60563</v>
      </c>
      <c r="AC394" s="1">
        <v>1844</v>
      </c>
      <c r="AD394" s="1" t="s">
        <v>5113</v>
      </c>
      <c r="AE394" s="1" t="s">
        <v>5424</v>
      </c>
      <c r="AF394" s="1">
        <v>2006</v>
      </c>
      <c r="AG394" s="1" t="s">
        <v>204</v>
      </c>
      <c r="AH394" s="1" t="s">
        <v>924</v>
      </c>
      <c r="AI394" s="1" t="s">
        <v>206</v>
      </c>
      <c r="AJ394" s="1" t="s">
        <v>924</v>
      </c>
      <c r="AL394" s="1">
        <v>8</v>
      </c>
      <c r="AM394" s="1">
        <v>2</v>
      </c>
      <c r="AN394" s="1">
        <v>2</v>
      </c>
      <c r="AO394" s="1">
        <v>1</v>
      </c>
      <c r="AP394" s="1" t="s">
        <v>209</v>
      </c>
      <c r="AR394" s="1" t="s">
        <v>2165</v>
      </c>
      <c r="AS394" s="1" t="s">
        <v>204</v>
      </c>
      <c r="AT394" s="1" t="s">
        <v>211</v>
      </c>
      <c r="AU394" s="1">
        <v>2.5</v>
      </c>
      <c r="AW394" s="1" t="s">
        <v>204</v>
      </c>
      <c r="AX394" s="1" t="s">
        <v>212</v>
      </c>
      <c r="AZ394" s="1">
        <v>7822.76</v>
      </c>
      <c r="BA394" s="1">
        <v>2013</v>
      </c>
      <c r="BB394" s="1" t="s">
        <v>210</v>
      </c>
      <c r="BE394" s="1">
        <v>2100</v>
      </c>
      <c r="BF394" s="1">
        <v>1</v>
      </c>
      <c r="BG394" s="1">
        <v>20</v>
      </c>
      <c r="BL394" s="1">
        <v>275</v>
      </c>
      <c r="BM394" s="1" t="s">
        <v>204</v>
      </c>
      <c r="BN394" s="1" t="s">
        <v>213</v>
      </c>
      <c r="BO394" s="1">
        <v>75</v>
      </c>
      <c r="BP394" s="1" t="s">
        <v>204</v>
      </c>
      <c r="BR394" s="1" t="str">
        <f>"0704402024"</f>
        <v>0704402024</v>
      </c>
      <c r="BT394" s="1" t="s">
        <v>5425</v>
      </c>
      <c r="BU394" s="1" t="s">
        <v>5426</v>
      </c>
      <c r="BV394" s="1" t="s">
        <v>1248</v>
      </c>
      <c r="BW394" s="1" t="s">
        <v>1131</v>
      </c>
      <c r="BX394" s="1">
        <v>204</v>
      </c>
      <c r="BY394" s="1">
        <v>204</v>
      </c>
      <c r="BZ394" s="1">
        <v>204</v>
      </c>
      <c r="CB394" s="1" t="str">
        <f t="shared" ref="CB394:CC394" si="313">"0"</f>
        <v>0</v>
      </c>
      <c r="CC394" s="1" t="str">
        <f t="shared" si="313"/>
        <v>0</v>
      </c>
      <c r="CD394" s="1">
        <v>30</v>
      </c>
      <c r="CE394" s="1">
        <v>5</v>
      </c>
      <c r="CG394" s="1" t="s">
        <v>1177</v>
      </c>
      <c r="CH394" s="1" t="s">
        <v>219</v>
      </c>
      <c r="CI394" s="1" t="s">
        <v>438</v>
      </c>
      <c r="CJ394" s="1" t="s">
        <v>463</v>
      </c>
      <c r="CK394" s="1" t="s">
        <v>1788</v>
      </c>
      <c r="CL394" s="1" t="s">
        <v>277</v>
      </c>
      <c r="CM394" s="1" t="s">
        <v>220</v>
      </c>
      <c r="CN394" s="1" t="s">
        <v>343</v>
      </c>
      <c r="CO394" s="1" t="s">
        <v>1107</v>
      </c>
      <c r="CP394" s="1" t="s">
        <v>219</v>
      </c>
      <c r="CQ394" s="1" t="s">
        <v>438</v>
      </c>
      <c r="CS394" s="1" t="s">
        <v>1854</v>
      </c>
      <c r="CT394" s="1" t="s">
        <v>277</v>
      </c>
      <c r="CU394" s="1" t="s">
        <v>220</v>
      </c>
      <c r="CV394" s="1" t="s">
        <v>343</v>
      </c>
      <c r="CX394" s="1" t="s">
        <v>224</v>
      </c>
      <c r="DB394" s="1" t="s">
        <v>224</v>
      </c>
      <c r="DE394" s="1" t="s">
        <v>407</v>
      </c>
      <c r="DF394" s="1" t="s">
        <v>219</v>
      </c>
      <c r="DG394" s="1" t="s">
        <v>438</v>
      </c>
      <c r="DH394" s="1" t="s">
        <v>343</v>
      </c>
      <c r="DI394" s="1" t="s">
        <v>3591</v>
      </c>
      <c r="DJ394" s="1" t="s">
        <v>219</v>
      </c>
      <c r="DK394" s="1" t="s">
        <v>438</v>
      </c>
      <c r="DL394" s="1" t="s">
        <v>343</v>
      </c>
      <c r="DM394" s="1" t="s">
        <v>411</v>
      </c>
      <c r="DN394" s="1" t="s">
        <v>934</v>
      </c>
      <c r="DR394" s="1" t="s">
        <v>348</v>
      </c>
      <c r="DS394" s="1" t="s">
        <v>277</v>
      </c>
      <c r="DT394" s="1" t="s">
        <v>220</v>
      </c>
      <c r="DU394" s="1" t="s">
        <v>343</v>
      </c>
      <c r="DV394" s="1" t="s">
        <v>5427</v>
      </c>
      <c r="DW394" s="1" t="s">
        <v>43</v>
      </c>
      <c r="DX394" s="1" t="s">
        <v>220</v>
      </c>
      <c r="DY394" s="1" t="s">
        <v>343</v>
      </c>
      <c r="EA394" s="1" t="s">
        <v>230</v>
      </c>
      <c r="EE394" s="1" t="s">
        <v>230</v>
      </c>
      <c r="EI394" s="1" t="s">
        <v>230</v>
      </c>
      <c r="EL394" s="1" t="s">
        <v>491</v>
      </c>
      <c r="EM394" s="1" t="s">
        <v>319</v>
      </c>
      <c r="EN394" s="1" t="s">
        <v>282</v>
      </c>
      <c r="EO394" s="1" t="s">
        <v>840</v>
      </c>
      <c r="EP394" s="1" t="s">
        <v>650</v>
      </c>
      <c r="EQ394" s="1" t="s">
        <v>236</v>
      </c>
      <c r="ER394" s="1" t="s">
        <v>544</v>
      </c>
      <c r="ET394" s="1" t="s">
        <v>866</v>
      </c>
      <c r="EU394" s="1" t="s">
        <v>239</v>
      </c>
      <c r="EV394" s="1" t="s">
        <v>240</v>
      </c>
      <c r="EW394" s="1" t="s">
        <v>353</v>
      </c>
      <c r="EY394" s="1" t="s">
        <v>2455</v>
      </c>
      <c r="EZ394" s="1" t="s">
        <v>3340</v>
      </c>
      <c r="FA394" s="1" t="s">
        <v>5059</v>
      </c>
      <c r="FB394" s="1" t="s">
        <v>289</v>
      </c>
      <c r="FC394" s="1" t="s">
        <v>633</v>
      </c>
      <c r="FD394" s="1" t="s">
        <v>3827</v>
      </c>
      <c r="FE394" s="1" t="s">
        <v>5428</v>
      </c>
      <c r="FF394" s="1" t="s">
        <v>248</v>
      </c>
      <c r="FH394" s="1" t="s">
        <v>550</v>
      </c>
      <c r="FI394" s="1" t="s">
        <v>473</v>
      </c>
      <c r="FJ394" s="1" t="s">
        <v>1179</v>
      </c>
      <c r="FL394" s="1" t="s">
        <v>358</v>
      </c>
      <c r="FM394" s="1" t="s">
        <v>252</v>
      </c>
      <c r="FN394" s="1" t="s">
        <v>213</v>
      </c>
      <c r="FO394" s="1" t="s">
        <v>213</v>
      </c>
      <c r="FQ394" s="1" t="s">
        <v>849</v>
      </c>
      <c r="FR394" s="1" t="s">
        <v>652</v>
      </c>
      <c r="FS394" s="1" t="s">
        <v>3605</v>
      </c>
      <c r="FT394" s="1" t="s">
        <v>295</v>
      </c>
      <c r="FU394" s="1" t="s">
        <v>204</v>
      </c>
      <c r="FW394" s="1" t="s">
        <v>1898</v>
      </c>
      <c r="FX394" s="1">
        <v>23030</v>
      </c>
      <c r="FY394" s="1" t="s">
        <v>1899</v>
      </c>
      <c r="FZ394" s="1" t="s">
        <v>5429</v>
      </c>
      <c r="GA394" s="1">
        <v>245396</v>
      </c>
      <c r="GB394" s="1" t="s">
        <v>5430</v>
      </c>
      <c r="GE394" s="1" t="s">
        <v>1226</v>
      </c>
      <c r="GI394" s="1" t="s">
        <v>213</v>
      </c>
      <c r="GJ394" s="1" t="s">
        <v>260</v>
      </c>
      <c r="GK394" s="1" t="s">
        <v>261</v>
      </c>
      <c r="GL394" s="2">
        <v>42128</v>
      </c>
      <c r="GM394" s="1" t="s">
        <v>5431</v>
      </c>
    </row>
    <row r="395" spans="1:195">
      <c r="A395" s="1">
        <v>125000</v>
      </c>
      <c r="B395" s="1" t="s">
        <v>195</v>
      </c>
      <c r="C395" s="1" t="str">
        <f>"08797793"</f>
        <v>08797793</v>
      </c>
      <c r="D395" s="1" t="s">
        <v>196</v>
      </c>
      <c r="F395" s="1" t="str">
        <f>"555"</f>
        <v>555</v>
      </c>
      <c r="G395" s="2">
        <v>41978</v>
      </c>
      <c r="H395" s="1">
        <v>129500</v>
      </c>
      <c r="I395" s="1">
        <v>129500</v>
      </c>
      <c r="J395" s="1">
        <v>125000</v>
      </c>
      <c r="K395" s="2">
        <v>41977</v>
      </c>
      <c r="L395" s="1">
        <v>72</v>
      </c>
      <c r="M395" s="2">
        <v>42048</v>
      </c>
      <c r="N395" s="1">
        <v>72</v>
      </c>
      <c r="O395" s="2">
        <v>42048</v>
      </c>
      <c r="P395" s="1">
        <v>22039</v>
      </c>
      <c r="Q395" s="1" t="s">
        <v>1393</v>
      </c>
      <c r="R395" s="2">
        <v>42089</v>
      </c>
      <c r="S395" s="1">
        <v>218864</v>
      </c>
      <c r="T395" s="1">
        <v>4375</v>
      </c>
      <c r="U395" s="1" t="s">
        <v>5432</v>
      </c>
      <c r="V395" s="1" t="s">
        <v>5433</v>
      </c>
      <c r="W395" s="1" t="s">
        <v>504</v>
      </c>
      <c r="X395" s="1">
        <v>622</v>
      </c>
      <c r="Y395" s="1">
        <v>4</v>
      </c>
      <c r="Z395" s="1" t="s">
        <v>370</v>
      </c>
      <c r="AA395" s="1" t="s">
        <v>984</v>
      </c>
      <c r="AB395" s="1">
        <v>60555</v>
      </c>
      <c r="AE395" s="1" t="s">
        <v>5434</v>
      </c>
      <c r="AF395" s="1">
        <v>1974</v>
      </c>
      <c r="AG395" s="1" t="s">
        <v>213</v>
      </c>
      <c r="AH395" s="1" t="s">
        <v>986</v>
      </c>
      <c r="AI395" s="1" t="s">
        <v>206</v>
      </c>
      <c r="AJ395" s="1" t="s">
        <v>987</v>
      </c>
      <c r="AL395" s="1">
        <v>5</v>
      </c>
      <c r="AM395" s="1">
        <v>2</v>
      </c>
      <c r="AN395" s="1">
        <v>1</v>
      </c>
      <c r="AO395" s="1">
        <v>0</v>
      </c>
      <c r="AP395" s="1" t="s">
        <v>210</v>
      </c>
      <c r="AQ395" s="1">
        <v>1</v>
      </c>
      <c r="AR395" s="1" t="s">
        <v>209</v>
      </c>
      <c r="AS395" s="1" t="s">
        <v>204</v>
      </c>
      <c r="AT395" s="1" t="s">
        <v>211</v>
      </c>
      <c r="AU395" s="1">
        <v>2</v>
      </c>
      <c r="AW395" s="1" t="s">
        <v>204</v>
      </c>
      <c r="AX395" s="1" t="s">
        <v>5435</v>
      </c>
      <c r="AZ395" s="1">
        <v>3286</v>
      </c>
      <c r="BA395" s="1">
        <v>2013</v>
      </c>
      <c r="BB395" s="1" t="s">
        <v>405</v>
      </c>
      <c r="BE395" s="1">
        <v>1062</v>
      </c>
      <c r="BF395" s="1">
        <v>1</v>
      </c>
      <c r="BG395" s="1">
        <v>0</v>
      </c>
      <c r="BL395" s="1">
        <v>284</v>
      </c>
      <c r="BM395" s="1" t="s">
        <v>204</v>
      </c>
      <c r="BN395" s="1" t="s">
        <v>213</v>
      </c>
      <c r="BO395" s="1">
        <v>99</v>
      </c>
      <c r="BP395" s="1" t="s">
        <v>204</v>
      </c>
      <c r="BR395" s="1" t="str">
        <f>"0427413030"</f>
        <v>0427413030</v>
      </c>
      <c r="BT395" s="1" t="s">
        <v>5436</v>
      </c>
      <c r="BX395" s="1">
        <v>200</v>
      </c>
      <c r="BY395" s="1">
        <v>200</v>
      </c>
      <c r="BZ395" s="1">
        <v>200</v>
      </c>
      <c r="CB395" s="1" t="str">
        <f t="shared" ref="CB395:CC395" si="314">""</f>
        <v/>
      </c>
      <c r="CC395" s="1" t="str">
        <f t="shared" si="314"/>
        <v/>
      </c>
      <c r="CG395" s="1" t="s">
        <v>1004</v>
      </c>
      <c r="CH395" s="1" t="s">
        <v>219</v>
      </c>
      <c r="CI395" s="1" t="s">
        <v>220</v>
      </c>
      <c r="CK395" s="1" t="s">
        <v>465</v>
      </c>
      <c r="CL395" s="1" t="s">
        <v>219</v>
      </c>
      <c r="CM395" s="1" t="s">
        <v>220</v>
      </c>
      <c r="CO395" s="1" t="s">
        <v>281</v>
      </c>
      <c r="CP395" s="1" t="s">
        <v>219</v>
      </c>
      <c r="CQ395" s="1" t="s">
        <v>220</v>
      </c>
      <c r="CS395" s="1" t="s">
        <v>465</v>
      </c>
      <c r="CT395" s="1" t="s">
        <v>219</v>
      </c>
      <c r="CU395" s="1" t="s">
        <v>220</v>
      </c>
      <c r="CX395" s="1" t="s">
        <v>224</v>
      </c>
      <c r="DB395" s="1" t="s">
        <v>224</v>
      </c>
      <c r="DE395" s="1" t="s">
        <v>2138</v>
      </c>
      <c r="DF395" s="1" t="s">
        <v>219</v>
      </c>
      <c r="DG395" s="1" t="s">
        <v>229</v>
      </c>
      <c r="DJ395" s="1" t="s">
        <v>224</v>
      </c>
      <c r="DS395" s="1" t="s">
        <v>230</v>
      </c>
      <c r="DW395" s="1" t="s">
        <v>230</v>
      </c>
      <c r="EA395" s="1" t="s">
        <v>230</v>
      </c>
      <c r="EE395" s="1" t="s">
        <v>230</v>
      </c>
      <c r="EI395" s="1" t="s">
        <v>230</v>
      </c>
      <c r="EL395" s="1" t="s">
        <v>605</v>
      </c>
      <c r="EM395" s="1" t="s">
        <v>319</v>
      </c>
      <c r="EN395" s="1" t="s">
        <v>282</v>
      </c>
      <c r="EO395" s="1" t="s">
        <v>234</v>
      </c>
      <c r="EP395" s="1" t="s">
        <v>5437</v>
      </c>
      <c r="ER395" s="1" t="s">
        <v>544</v>
      </c>
      <c r="EW395" s="1" t="s">
        <v>1617</v>
      </c>
      <c r="EZ395" s="1" t="s">
        <v>287</v>
      </c>
      <c r="FD395" s="1" t="s">
        <v>246</v>
      </c>
      <c r="FE395" s="1" t="s">
        <v>975</v>
      </c>
      <c r="FF395" s="1" t="s">
        <v>248</v>
      </c>
      <c r="FG395" s="1" t="s">
        <v>939</v>
      </c>
      <c r="FH395" s="1" t="s">
        <v>388</v>
      </c>
      <c r="FI395" s="1" t="s">
        <v>473</v>
      </c>
      <c r="FL395" s="1" t="s">
        <v>358</v>
      </c>
      <c r="FM395" s="1" t="s">
        <v>252</v>
      </c>
      <c r="FN395" s="1" t="s">
        <v>213</v>
      </c>
      <c r="FO395" s="1" t="s">
        <v>213</v>
      </c>
      <c r="FQ395" s="1" t="s">
        <v>5438</v>
      </c>
      <c r="FR395" s="1" t="s">
        <v>210</v>
      </c>
      <c r="FS395" s="1" t="s">
        <v>3061</v>
      </c>
      <c r="FT395" s="1" t="s">
        <v>5439</v>
      </c>
      <c r="FU395" s="1" t="s">
        <v>204</v>
      </c>
      <c r="FW395" s="1" t="s">
        <v>5440</v>
      </c>
      <c r="FX395" s="1">
        <v>25459</v>
      </c>
      <c r="FY395" s="1" t="s">
        <v>5441</v>
      </c>
      <c r="FZ395" s="1" t="s">
        <v>5442</v>
      </c>
      <c r="GA395" s="1">
        <v>241780</v>
      </c>
      <c r="GB395" s="1" t="s">
        <v>5443</v>
      </c>
      <c r="GC395" s="1">
        <v>259235</v>
      </c>
      <c r="GE395" s="1" t="s">
        <v>210</v>
      </c>
      <c r="GI395" s="1" t="s">
        <v>204</v>
      </c>
      <c r="GJ395" s="1" t="s">
        <v>260</v>
      </c>
      <c r="GK395" s="1" t="s">
        <v>210</v>
      </c>
      <c r="GL395" s="2">
        <v>42089</v>
      </c>
    </row>
    <row r="396" spans="1:195">
      <c r="A396" s="1">
        <v>63100</v>
      </c>
      <c r="B396" s="1" t="s">
        <v>195</v>
      </c>
      <c r="C396" s="1" t="str">
        <f>"08795873"</f>
        <v>08795873</v>
      </c>
      <c r="D396" s="1" t="s">
        <v>196</v>
      </c>
      <c r="F396" s="1" t="str">
        <f>"106"</f>
        <v>106</v>
      </c>
      <c r="G396" s="2">
        <v>41976</v>
      </c>
      <c r="H396" s="1">
        <v>59900</v>
      </c>
      <c r="I396" s="1">
        <v>59900</v>
      </c>
      <c r="J396" s="1">
        <v>63100</v>
      </c>
      <c r="K396" s="2">
        <v>41975</v>
      </c>
      <c r="L396" s="1">
        <v>10</v>
      </c>
      <c r="M396" s="2">
        <v>41984</v>
      </c>
      <c r="N396" s="1">
        <v>10</v>
      </c>
      <c r="O396" s="2">
        <v>41984</v>
      </c>
      <c r="P396" s="1">
        <v>18267</v>
      </c>
      <c r="Q396" s="1" t="s">
        <v>302</v>
      </c>
      <c r="R396" s="2">
        <v>42054</v>
      </c>
      <c r="S396" s="1">
        <v>116754</v>
      </c>
      <c r="U396" s="1">
        <v>399</v>
      </c>
      <c r="V396" s="1" t="s">
        <v>5444</v>
      </c>
      <c r="W396" s="1" t="s">
        <v>264</v>
      </c>
      <c r="X396" s="1">
        <v>4</v>
      </c>
      <c r="Y396" s="1">
        <v>4</v>
      </c>
      <c r="Z396" s="1" t="s">
        <v>370</v>
      </c>
      <c r="AA396" s="1" t="s">
        <v>1229</v>
      </c>
      <c r="AB396" s="1">
        <v>60106</v>
      </c>
      <c r="AE396" s="1" t="s">
        <v>5445</v>
      </c>
      <c r="AF396" s="1">
        <v>1977</v>
      </c>
      <c r="AG396" s="1" t="s">
        <v>213</v>
      </c>
      <c r="AH396" s="1" t="s">
        <v>1232</v>
      </c>
      <c r="AI396" s="1" t="s">
        <v>206</v>
      </c>
      <c r="AJ396" s="1" t="s">
        <v>1233</v>
      </c>
      <c r="AL396" s="1">
        <v>5</v>
      </c>
      <c r="AM396" s="1">
        <v>2</v>
      </c>
      <c r="AN396" s="1">
        <v>1</v>
      </c>
      <c r="AO396" s="1">
        <v>2</v>
      </c>
      <c r="AP396" s="1" t="s">
        <v>210</v>
      </c>
      <c r="AR396" s="1" t="s">
        <v>209</v>
      </c>
      <c r="AS396" s="1" t="s">
        <v>213</v>
      </c>
      <c r="AT396" s="1" t="s">
        <v>271</v>
      </c>
      <c r="AV396" s="1">
        <v>2</v>
      </c>
      <c r="AW396" s="1" t="s">
        <v>204</v>
      </c>
      <c r="AX396" s="1" t="s">
        <v>212</v>
      </c>
      <c r="AZ396" s="1">
        <v>2348</v>
      </c>
      <c r="BA396" s="1">
        <v>2013</v>
      </c>
      <c r="BE396" s="1">
        <v>1300</v>
      </c>
      <c r="BF396" s="1">
        <v>1</v>
      </c>
      <c r="BG396" s="1">
        <v>0</v>
      </c>
      <c r="BL396" s="1">
        <v>210</v>
      </c>
      <c r="BM396" s="1" t="s">
        <v>204</v>
      </c>
      <c r="BN396" s="1" t="s">
        <v>213</v>
      </c>
      <c r="BO396" s="1">
        <v>0</v>
      </c>
      <c r="BP396" s="1" t="s">
        <v>204</v>
      </c>
      <c r="BR396" s="1" t="str">
        <f>"0311405004"</f>
        <v>0311405004</v>
      </c>
      <c r="BT396" s="1" t="s">
        <v>5446</v>
      </c>
      <c r="BX396" s="1">
        <v>2</v>
      </c>
      <c r="BY396" s="1">
        <v>2</v>
      </c>
      <c r="BZ396" s="1">
        <v>100</v>
      </c>
      <c r="CB396" s="1" t="str">
        <f>"6"</f>
        <v>6</v>
      </c>
      <c r="CC396" s="1" t="str">
        <f>""</f>
        <v/>
      </c>
      <c r="CD396" s="1">
        <v>16</v>
      </c>
      <c r="CG396" s="1" t="s">
        <v>315</v>
      </c>
      <c r="CH396" s="1" t="s">
        <v>219</v>
      </c>
      <c r="CK396" s="1" t="s">
        <v>223</v>
      </c>
      <c r="CL396" s="1" t="s">
        <v>277</v>
      </c>
      <c r="CP396" s="1" t="s">
        <v>224</v>
      </c>
      <c r="CS396" s="1" t="s">
        <v>348</v>
      </c>
      <c r="CT396" s="1" t="s">
        <v>277</v>
      </c>
      <c r="CX396" s="1" t="s">
        <v>224</v>
      </c>
      <c r="DB396" s="1" t="s">
        <v>224</v>
      </c>
      <c r="DE396" s="1" t="s">
        <v>758</v>
      </c>
      <c r="DF396" s="1" t="s">
        <v>219</v>
      </c>
      <c r="DI396" s="1" t="s">
        <v>729</v>
      </c>
      <c r="DJ396" s="1" t="s">
        <v>43</v>
      </c>
      <c r="DS396" s="1" t="s">
        <v>230</v>
      </c>
      <c r="DW396" s="1" t="s">
        <v>230</v>
      </c>
      <c r="EA396" s="1" t="s">
        <v>230</v>
      </c>
      <c r="EE396" s="1" t="s">
        <v>230</v>
      </c>
      <c r="EI396" s="1" t="s">
        <v>230</v>
      </c>
      <c r="EL396" s="1" t="s">
        <v>231</v>
      </c>
      <c r="EM396" s="1" t="s">
        <v>232</v>
      </c>
      <c r="EN396" s="1" t="s">
        <v>731</v>
      </c>
      <c r="EO396" s="1" t="s">
        <v>234</v>
      </c>
      <c r="ER396" s="1" t="s">
        <v>544</v>
      </c>
      <c r="EW396" s="1" t="s">
        <v>5447</v>
      </c>
      <c r="EZ396" s="1" t="s">
        <v>287</v>
      </c>
      <c r="FD396" s="1" t="s">
        <v>246</v>
      </c>
      <c r="FE396" s="1" t="s">
        <v>651</v>
      </c>
      <c r="FF396" s="1" t="s">
        <v>248</v>
      </c>
      <c r="FH396" s="1" t="s">
        <v>550</v>
      </c>
      <c r="FL396" s="1" t="s">
        <v>328</v>
      </c>
      <c r="FM396" s="1" t="s">
        <v>252</v>
      </c>
      <c r="FN396" s="1" t="s">
        <v>213</v>
      </c>
      <c r="FO396" s="1" t="s">
        <v>213</v>
      </c>
      <c r="FQ396" s="1" t="s">
        <v>849</v>
      </c>
      <c r="FR396" s="1" t="s">
        <v>210</v>
      </c>
      <c r="FS396" s="1" t="s">
        <v>4325</v>
      </c>
      <c r="FT396" s="1" t="s">
        <v>295</v>
      </c>
      <c r="FU396" s="1" t="s">
        <v>204</v>
      </c>
      <c r="FW396" s="1" t="s">
        <v>1097</v>
      </c>
      <c r="FX396" s="1">
        <v>26020</v>
      </c>
      <c r="FY396" s="1" t="s">
        <v>5448</v>
      </c>
      <c r="FZ396" s="1" t="s">
        <v>5449</v>
      </c>
      <c r="GA396" s="1">
        <v>84260</v>
      </c>
      <c r="GE396" s="1" t="s">
        <v>210</v>
      </c>
      <c r="GH396" s="1" t="s">
        <v>589</v>
      </c>
      <c r="GI396" s="1" t="s">
        <v>204</v>
      </c>
      <c r="GJ396" s="1" t="s">
        <v>260</v>
      </c>
      <c r="GK396" s="1" t="s">
        <v>210</v>
      </c>
      <c r="GL396" s="2">
        <v>42054</v>
      </c>
      <c r="GM396" s="1" t="s">
        <v>5450</v>
      </c>
    </row>
    <row r="397" spans="1:195">
      <c r="A397" s="1">
        <v>149000</v>
      </c>
      <c r="B397" s="1" t="s">
        <v>195</v>
      </c>
      <c r="C397" s="1" t="str">
        <f>"08791409"</f>
        <v>08791409</v>
      </c>
      <c r="D397" s="1" t="s">
        <v>196</v>
      </c>
      <c r="F397" s="1" t="str">
        <f>"31"</f>
        <v>31</v>
      </c>
      <c r="G397" s="2">
        <v>41965</v>
      </c>
      <c r="H397" s="1">
        <v>159000</v>
      </c>
      <c r="I397" s="1">
        <v>159000</v>
      </c>
      <c r="J397" s="1">
        <v>149000</v>
      </c>
      <c r="K397" s="2">
        <v>41965</v>
      </c>
      <c r="L397" s="1">
        <v>113</v>
      </c>
      <c r="M397" s="2">
        <v>42077</v>
      </c>
      <c r="N397" s="1">
        <v>113</v>
      </c>
      <c r="O397" s="2">
        <v>42077</v>
      </c>
      <c r="P397" s="1">
        <v>2472</v>
      </c>
      <c r="Q397" s="1" t="s">
        <v>197</v>
      </c>
      <c r="R397" s="2">
        <v>42120</v>
      </c>
      <c r="S397" s="1">
        <v>20278</v>
      </c>
      <c r="U397" s="1">
        <v>722</v>
      </c>
      <c r="V397" s="1" t="s">
        <v>1055</v>
      </c>
      <c r="W397" s="1" t="s">
        <v>1056</v>
      </c>
      <c r="X397" s="1">
        <v>1</v>
      </c>
      <c r="Y397" s="1">
        <v>4</v>
      </c>
      <c r="Z397" s="1" t="s">
        <v>370</v>
      </c>
      <c r="AA397" s="1" t="s">
        <v>1057</v>
      </c>
      <c r="AB397" s="1">
        <v>60031</v>
      </c>
      <c r="AD397" s="1" t="s">
        <v>1058</v>
      </c>
      <c r="AE397" s="1" t="s">
        <v>5451</v>
      </c>
      <c r="AF397" s="1">
        <v>1976</v>
      </c>
      <c r="AG397" s="1" t="s">
        <v>213</v>
      </c>
      <c r="AH397" s="1" t="s">
        <v>1060</v>
      </c>
      <c r="AI397" s="1" t="s">
        <v>509</v>
      </c>
      <c r="AJ397" s="1" t="s">
        <v>1061</v>
      </c>
      <c r="AK397" s="1" t="s">
        <v>5452</v>
      </c>
      <c r="AL397" s="1">
        <v>4</v>
      </c>
      <c r="AM397" s="1">
        <v>2</v>
      </c>
      <c r="AN397" s="1">
        <v>2</v>
      </c>
      <c r="AO397" s="1">
        <v>0</v>
      </c>
      <c r="AP397" s="1" t="s">
        <v>209</v>
      </c>
      <c r="AQ397" s="1">
        <v>1</v>
      </c>
      <c r="AR397" s="1" t="s">
        <v>1631</v>
      </c>
      <c r="AS397" s="1" t="s">
        <v>204</v>
      </c>
      <c r="AT397" s="1" t="s">
        <v>375</v>
      </c>
      <c r="AU397" s="1">
        <v>1</v>
      </c>
      <c r="AV397" s="1">
        <v>2</v>
      </c>
      <c r="AW397" s="1" t="s">
        <v>204</v>
      </c>
      <c r="AX397" s="1" t="s">
        <v>579</v>
      </c>
      <c r="AZ397" s="1">
        <v>2100</v>
      </c>
      <c r="BA397" s="1">
        <v>2013</v>
      </c>
      <c r="BB397" s="1" t="s">
        <v>210</v>
      </c>
      <c r="BE397" s="1">
        <v>1200</v>
      </c>
      <c r="BF397" s="1">
        <v>1</v>
      </c>
      <c r="BG397" s="1">
        <v>0</v>
      </c>
      <c r="BL397" s="1">
        <v>385</v>
      </c>
      <c r="BM397" s="1" t="s">
        <v>204</v>
      </c>
      <c r="BN397" s="1" t="s">
        <v>213</v>
      </c>
      <c r="BO397" s="1">
        <v>150</v>
      </c>
      <c r="BP397" s="1" t="s">
        <v>204</v>
      </c>
      <c r="BR397" s="1" t="str">
        <f>"07284010140000"</f>
        <v>07284010140000</v>
      </c>
      <c r="BT397" s="1" t="s">
        <v>5453</v>
      </c>
      <c r="BU397" s="1" t="s">
        <v>1064</v>
      </c>
      <c r="BV397" s="1" t="s">
        <v>1065</v>
      </c>
      <c r="BW397" s="1" t="s">
        <v>1066</v>
      </c>
      <c r="BX397" s="1">
        <v>50</v>
      </c>
      <c r="BY397" s="1">
        <v>50</v>
      </c>
      <c r="BZ397" s="1">
        <v>121</v>
      </c>
      <c r="CB397" s="1" t="str">
        <f>"33"</f>
        <v>33</v>
      </c>
      <c r="CC397" s="1" t="str">
        <f>"0"</f>
        <v>0</v>
      </c>
      <c r="CD397" s="1">
        <v>16</v>
      </c>
      <c r="CE397" s="1">
        <v>0</v>
      </c>
      <c r="CH397" s="1" t="s">
        <v>224</v>
      </c>
      <c r="CK397" s="1" t="s">
        <v>932</v>
      </c>
      <c r="CL397" s="1" t="s">
        <v>277</v>
      </c>
      <c r="CM397" s="1" t="s">
        <v>220</v>
      </c>
      <c r="CP397" s="1" t="s">
        <v>224</v>
      </c>
      <c r="CS397" s="1" t="s">
        <v>317</v>
      </c>
      <c r="CT397" s="1" t="s">
        <v>219</v>
      </c>
      <c r="CU397" s="1" t="s">
        <v>438</v>
      </c>
      <c r="CX397" s="1" t="s">
        <v>224</v>
      </c>
      <c r="DB397" s="1" t="s">
        <v>224</v>
      </c>
      <c r="DE397" s="1" t="s">
        <v>1854</v>
      </c>
      <c r="DF397" s="1" t="s">
        <v>219</v>
      </c>
      <c r="DG397" s="1" t="s">
        <v>438</v>
      </c>
      <c r="DI397" s="1" t="s">
        <v>628</v>
      </c>
      <c r="DJ397" s="1" t="s">
        <v>219</v>
      </c>
      <c r="DK397" s="1" t="s">
        <v>438</v>
      </c>
      <c r="DS397" s="1" t="s">
        <v>230</v>
      </c>
      <c r="DW397" s="1" t="s">
        <v>230</v>
      </c>
      <c r="EA397" s="1" t="s">
        <v>230</v>
      </c>
      <c r="EE397" s="1" t="s">
        <v>230</v>
      </c>
      <c r="EI397" s="1" t="s">
        <v>230</v>
      </c>
      <c r="EL397" s="1" t="s">
        <v>231</v>
      </c>
      <c r="EM397" s="1" t="s">
        <v>319</v>
      </c>
      <c r="EN397" s="1" t="s">
        <v>282</v>
      </c>
      <c r="EO397" s="1" t="s">
        <v>234</v>
      </c>
      <c r="EP397" s="1" t="s">
        <v>5454</v>
      </c>
      <c r="EQ397" s="1" t="s">
        <v>5455</v>
      </c>
      <c r="ER397" s="1" t="s">
        <v>5456</v>
      </c>
      <c r="ES397" s="1" t="s">
        <v>493</v>
      </c>
      <c r="EU397" s="1" t="s">
        <v>5457</v>
      </c>
      <c r="EV397" s="1" t="s">
        <v>1553</v>
      </c>
      <c r="EW397" s="1" t="s">
        <v>5458</v>
      </c>
      <c r="EY397" s="1" t="s">
        <v>790</v>
      </c>
      <c r="EZ397" s="1" t="s">
        <v>287</v>
      </c>
      <c r="FB397" s="1" t="s">
        <v>244</v>
      </c>
      <c r="FC397" s="1" t="s">
        <v>1405</v>
      </c>
      <c r="FD397" s="1" t="s">
        <v>246</v>
      </c>
      <c r="FE397" s="1" t="s">
        <v>889</v>
      </c>
      <c r="FF397" s="1" t="s">
        <v>248</v>
      </c>
      <c r="FG397" s="1" t="s">
        <v>939</v>
      </c>
      <c r="FH397" s="1" t="s">
        <v>550</v>
      </c>
      <c r="FI397" s="1" t="s">
        <v>5459</v>
      </c>
      <c r="FJ397" s="1" t="s">
        <v>5460</v>
      </c>
      <c r="FK397" s="1" t="s">
        <v>4663</v>
      </c>
      <c r="FL397" s="1" t="s">
        <v>358</v>
      </c>
      <c r="FM397" s="1" t="s">
        <v>252</v>
      </c>
      <c r="FN397" s="1" t="s">
        <v>213</v>
      </c>
      <c r="FO397" s="1" t="s">
        <v>213</v>
      </c>
      <c r="FQ397" s="1" t="s">
        <v>2004</v>
      </c>
      <c r="FR397" s="1" t="s">
        <v>210</v>
      </c>
      <c r="FS397" s="1" t="s">
        <v>5461</v>
      </c>
      <c r="FT397" s="1" t="s">
        <v>295</v>
      </c>
      <c r="FU397" s="1" t="s">
        <v>213</v>
      </c>
      <c r="FW397" s="1" t="s">
        <v>5462</v>
      </c>
      <c r="FX397" s="1">
        <v>17311</v>
      </c>
      <c r="FY397" s="1" t="s">
        <v>5463</v>
      </c>
      <c r="FZ397" s="1" t="s">
        <v>5464</v>
      </c>
      <c r="GA397" s="1">
        <v>110751</v>
      </c>
      <c r="GB397" s="1" t="s">
        <v>5463</v>
      </c>
      <c r="GE397" s="1" t="s">
        <v>776</v>
      </c>
      <c r="GI397" s="1" t="s">
        <v>204</v>
      </c>
      <c r="GJ397" s="1" t="s">
        <v>300</v>
      </c>
      <c r="GK397" s="1" t="s">
        <v>210</v>
      </c>
      <c r="GL397" s="2">
        <v>42135</v>
      </c>
      <c r="GM397" s="1" t="s">
        <v>5465</v>
      </c>
    </row>
    <row r="398" spans="1:195">
      <c r="A398" s="1">
        <v>97000</v>
      </c>
      <c r="B398" s="1" t="s">
        <v>195</v>
      </c>
      <c r="C398" s="1" t="str">
        <f>"08791776"</f>
        <v>08791776</v>
      </c>
      <c r="D398" s="1" t="s">
        <v>196</v>
      </c>
      <c r="F398" s="1" t="str">
        <f>"186"</f>
        <v>186</v>
      </c>
      <c r="G398" s="2">
        <v>41967</v>
      </c>
      <c r="H398" s="1">
        <v>95000</v>
      </c>
      <c r="I398" s="1">
        <v>95000</v>
      </c>
      <c r="J398" s="1">
        <v>97000</v>
      </c>
      <c r="K398" s="2">
        <v>41967</v>
      </c>
      <c r="L398" s="1">
        <v>18</v>
      </c>
      <c r="M398" s="2">
        <v>41984</v>
      </c>
      <c r="N398" s="1">
        <v>18</v>
      </c>
      <c r="O398" s="2">
        <v>41984</v>
      </c>
      <c r="P398" s="1">
        <v>25505</v>
      </c>
      <c r="Q398" s="1" t="s">
        <v>197</v>
      </c>
      <c r="R398" s="2">
        <v>42065</v>
      </c>
      <c r="S398" s="1">
        <v>244918</v>
      </c>
      <c r="U398" s="1" t="s">
        <v>5466</v>
      </c>
      <c r="V398" s="1" t="s">
        <v>5467</v>
      </c>
      <c r="W398" s="1" t="s">
        <v>504</v>
      </c>
      <c r="Y398" s="1">
        <v>6</v>
      </c>
      <c r="Z398" s="1" t="s">
        <v>370</v>
      </c>
      <c r="AA398" s="1" t="s">
        <v>2099</v>
      </c>
      <c r="AB398" s="1">
        <v>60181</v>
      </c>
      <c r="AE398" s="1" t="s">
        <v>5468</v>
      </c>
      <c r="AF398" s="1">
        <v>1966</v>
      </c>
      <c r="AG398" s="1" t="s">
        <v>213</v>
      </c>
      <c r="AH398" s="1" t="s">
        <v>2101</v>
      </c>
      <c r="AI398" s="1" t="s">
        <v>206</v>
      </c>
      <c r="AJ398" s="1" t="s">
        <v>1608</v>
      </c>
      <c r="AL398" s="1">
        <v>5</v>
      </c>
      <c r="AM398" s="1">
        <v>2</v>
      </c>
      <c r="AN398" s="1">
        <v>2</v>
      </c>
      <c r="AO398" s="1">
        <v>0</v>
      </c>
      <c r="AP398" s="1" t="s">
        <v>210</v>
      </c>
      <c r="AR398" s="1" t="s">
        <v>209</v>
      </c>
      <c r="AS398" s="1" t="s">
        <v>213</v>
      </c>
      <c r="AT398" s="1" t="s">
        <v>271</v>
      </c>
      <c r="AV398" s="1">
        <v>1</v>
      </c>
      <c r="AW398" s="1" t="s">
        <v>204</v>
      </c>
      <c r="AX398" s="1" t="s">
        <v>212</v>
      </c>
      <c r="AZ398" s="1">
        <v>967</v>
      </c>
      <c r="BA398" s="1">
        <v>2013</v>
      </c>
      <c r="BE398" s="1">
        <v>0</v>
      </c>
      <c r="BF398" s="1">
        <v>1</v>
      </c>
      <c r="BG398" s="1">
        <v>0</v>
      </c>
      <c r="BL398" s="1">
        <v>189</v>
      </c>
      <c r="BM398" s="1" t="s">
        <v>204</v>
      </c>
      <c r="BN398" s="1" t="s">
        <v>213</v>
      </c>
      <c r="BO398" s="1">
        <v>20</v>
      </c>
      <c r="BP398" s="1" t="s">
        <v>204</v>
      </c>
      <c r="BR398" s="1" t="str">
        <f>"0621211067"</f>
        <v>0621211067</v>
      </c>
      <c r="BT398" s="1" t="s">
        <v>5469</v>
      </c>
      <c r="BX398" s="1">
        <v>45</v>
      </c>
      <c r="BY398" s="1">
        <v>45</v>
      </c>
      <c r="BZ398" s="1">
        <v>88</v>
      </c>
      <c r="CB398" s="1" t="str">
        <f t="shared" ref="CB398:CC398" si="315">""</f>
        <v/>
      </c>
      <c r="CC398" s="1" t="str">
        <f t="shared" si="315"/>
        <v/>
      </c>
      <c r="CG398" s="1" t="s">
        <v>5470</v>
      </c>
      <c r="CH398" s="1" t="s">
        <v>219</v>
      </c>
      <c r="CK398" s="1" t="s">
        <v>379</v>
      </c>
      <c r="CL398" s="1" t="s">
        <v>219</v>
      </c>
      <c r="CO398" s="1" t="s">
        <v>629</v>
      </c>
      <c r="CP398" s="1" t="s">
        <v>219</v>
      </c>
      <c r="CS398" s="1" t="s">
        <v>380</v>
      </c>
      <c r="CT398" s="1" t="s">
        <v>219</v>
      </c>
      <c r="CX398" s="1" t="s">
        <v>224</v>
      </c>
      <c r="DB398" s="1" t="s">
        <v>224</v>
      </c>
      <c r="DE398" s="1" t="s">
        <v>345</v>
      </c>
      <c r="DF398" s="1" t="s">
        <v>219</v>
      </c>
      <c r="DJ398" s="1" t="s">
        <v>224</v>
      </c>
      <c r="DS398" s="1" t="s">
        <v>230</v>
      </c>
      <c r="DW398" s="1" t="s">
        <v>230</v>
      </c>
      <c r="EA398" s="1" t="s">
        <v>230</v>
      </c>
      <c r="EE398" s="1" t="s">
        <v>230</v>
      </c>
      <c r="EI398" s="1" t="s">
        <v>230</v>
      </c>
      <c r="EL398" s="1" t="s">
        <v>605</v>
      </c>
      <c r="EM398" s="1" t="s">
        <v>319</v>
      </c>
      <c r="EN398" s="1" t="s">
        <v>282</v>
      </c>
      <c r="EO398" s="1" t="s">
        <v>234</v>
      </c>
      <c r="ER398" s="1" t="s">
        <v>544</v>
      </c>
      <c r="EW398" s="1" t="s">
        <v>5471</v>
      </c>
      <c r="EZ398" s="1" t="s">
        <v>287</v>
      </c>
      <c r="FD398" s="1" t="s">
        <v>246</v>
      </c>
      <c r="FE398" s="1" t="s">
        <v>247</v>
      </c>
      <c r="FF398" s="1" t="s">
        <v>248</v>
      </c>
      <c r="FH398" s="1" t="s">
        <v>550</v>
      </c>
      <c r="FL398" s="1" t="s">
        <v>358</v>
      </c>
      <c r="FM398" s="1" t="s">
        <v>252</v>
      </c>
      <c r="FN398" s="1" t="s">
        <v>213</v>
      </c>
      <c r="FO398" s="1" t="s">
        <v>213</v>
      </c>
      <c r="FQ398" s="1" t="s">
        <v>673</v>
      </c>
      <c r="FR398" s="1" t="s">
        <v>210</v>
      </c>
      <c r="FS398" s="1" t="s">
        <v>2753</v>
      </c>
      <c r="FT398" s="1" t="s">
        <v>255</v>
      </c>
      <c r="FU398" s="1" t="s">
        <v>204</v>
      </c>
      <c r="FW398" s="1" t="s">
        <v>1303</v>
      </c>
      <c r="FX398" s="1">
        <v>24072</v>
      </c>
      <c r="FY398" s="1" t="s">
        <v>1304</v>
      </c>
      <c r="FZ398" s="1" t="s">
        <v>5472</v>
      </c>
      <c r="GA398" s="1">
        <v>235600</v>
      </c>
      <c r="GB398" s="1" t="s">
        <v>1304</v>
      </c>
      <c r="GC398" s="1">
        <v>222267</v>
      </c>
      <c r="GD398" s="1" t="s">
        <v>2754</v>
      </c>
      <c r="GE398" s="1" t="s">
        <v>210</v>
      </c>
      <c r="GI398" s="1" t="s">
        <v>204</v>
      </c>
      <c r="GJ398" s="1" t="s">
        <v>260</v>
      </c>
      <c r="GK398" s="1" t="s">
        <v>210</v>
      </c>
      <c r="GL398" s="2">
        <v>42067</v>
      </c>
      <c r="GM398" s="1" t="s">
        <v>5473</v>
      </c>
    </row>
    <row r="399" spans="1:195">
      <c r="A399" s="1">
        <v>134500</v>
      </c>
      <c r="B399" s="1" t="s">
        <v>195</v>
      </c>
      <c r="C399" s="1" t="str">
        <f>"08789888"</f>
        <v>08789888</v>
      </c>
      <c r="D399" s="1" t="s">
        <v>196</v>
      </c>
      <c r="F399" s="1" t="str">
        <f>"543"</f>
        <v>543</v>
      </c>
      <c r="G399" s="2">
        <v>41963</v>
      </c>
      <c r="H399" s="1">
        <v>163000</v>
      </c>
      <c r="I399" s="1">
        <v>134500</v>
      </c>
      <c r="J399" s="1">
        <v>134500</v>
      </c>
      <c r="K399" s="2">
        <v>41962</v>
      </c>
      <c r="L399" s="1">
        <v>79</v>
      </c>
      <c r="M399" s="2">
        <v>42040</v>
      </c>
      <c r="N399" s="1">
        <v>79</v>
      </c>
      <c r="O399" s="2">
        <v>42040</v>
      </c>
      <c r="P399" s="1">
        <v>1936</v>
      </c>
      <c r="Q399" s="1" t="s">
        <v>423</v>
      </c>
      <c r="R399" s="2">
        <v>42083</v>
      </c>
      <c r="S399" s="1">
        <v>85045</v>
      </c>
      <c r="U399" s="1">
        <v>706</v>
      </c>
      <c r="V399" s="1" t="s">
        <v>5474</v>
      </c>
      <c r="W399" s="1" t="s">
        <v>449</v>
      </c>
      <c r="Y399" s="1">
        <v>2</v>
      </c>
      <c r="Z399" s="1" t="s">
        <v>370</v>
      </c>
      <c r="AA399" s="1" t="s">
        <v>2639</v>
      </c>
      <c r="AB399" s="1">
        <v>60543</v>
      </c>
      <c r="AD399" s="1" t="s">
        <v>1085</v>
      </c>
      <c r="AE399" s="1" t="s">
        <v>5475</v>
      </c>
      <c r="AF399" s="1">
        <v>2006</v>
      </c>
      <c r="AG399" s="1" t="s">
        <v>204</v>
      </c>
      <c r="AH399" s="1" t="s">
        <v>1397</v>
      </c>
      <c r="AI399" s="1" t="s">
        <v>453</v>
      </c>
      <c r="AJ399" s="1" t="s">
        <v>1397</v>
      </c>
      <c r="AK399" s="1" t="s">
        <v>5476</v>
      </c>
      <c r="AL399" s="1">
        <v>6</v>
      </c>
      <c r="AM399" s="1">
        <v>2</v>
      </c>
      <c r="AN399" s="1">
        <v>2</v>
      </c>
      <c r="AO399" s="1">
        <v>0</v>
      </c>
      <c r="AP399" s="1" t="s">
        <v>209</v>
      </c>
      <c r="AR399" s="1" t="s">
        <v>210</v>
      </c>
      <c r="AS399" s="1" t="s">
        <v>204</v>
      </c>
      <c r="AT399" s="1" t="s">
        <v>211</v>
      </c>
      <c r="AU399" s="1">
        <v>2</v>
      </c>
      <c r="AW399" s="1" t="s">
        <v>204</v>
      </c>
      <c r="AX399" s="1" t="s">
        <v>212</v>
      </c>
      <c r="AZ399" s="1">
        <v>4631</v>
      </c>
      <c r="BA399" s="1">
        <v>2012</v>
      </c>
      <c r="BB399" s="1" t="s">
        <v>405</v>
      </c>
      <c r="BE399" s="1">
        <v>1390</v>
      </c>
      <c r="BF399" s="1">
        <v>1</v>
      </c>
      <c r="BG399" s="1">
        <v>0</v>
      </c>
      <c r="BL399" s="1">
        <v>100</v>
      </c>
      <c r="BM399" s="1" t="s">
        <v>204</v>
      </c>
      <c r="BN399" s="1" t="s">
        <v>213</v>
      </c>
      <c r="BO399" s="1">
        <v>999</v>
      </c>
      <c r="BP399" s="1" t="s">
        <v>204</v>
      </c>
      <c r="BR399" s="1" t="str">
        <f>"0311103016"</f>
        <v>0311103016</v>
      </c>
      <c r="BT399" s="1" t="s">
        <v>5477</v>
      </c>
      <c r="BU399" s="1" t="s">
        <v>2167</v>
      </c>
      <c r="BV399" s="1" t="s">
        <v>3010</v>
      </c>
      <c r="BW399" s="1" t="s">
        <v>1401</v>
      </c>
      <c r="BX399" s="1">
        <v>308</v>
      </c>
      <c r="BY399" s="1">
        <v>308</v>
      </c>
      <c r="BZ399" s="1">
        <v>308</v>
      </c>
      <c r="CB399" s="1" t="str">
        <f t="shared" ref="CB399:CC399" si="316">"0"</f>
        <v>0</v>
      </c>
      <c r="CC399" s="1" t="str">
        <f t="shared" si="316"/>
        <v>0</v>
      </c>
      <c r="CD399" s="1">
        <v>0</v>
      </c>
      <c r="CE399" s="1">
        <v>0</v>
      </c>
      <c r="CH399" s="1" t="s">
        <v>224</v>
      </c>
      <c r="CK399" s="1" t="s">
        <v>757</v>
      </c>
      <c r="CL399" s="1" t="s">
        <v>219</v>
      </c>
      <c r="CM399" s="1" t="s">
        <v>220</v>
      </c>
      <c r="CO399" s="1" t="s">
        <v>346</v>
      </c>
      <c r="CP399" s="1" t="s">
        <v>219</v>
      </c>
      <c r="CQ399" s="1" t="s">
        <v>229</v>
      </c>
      <c r="CS399" s="1" t="s">
        <v>346</v>
      </c>
      <c r="CT399" s="1" t="s">
        <v>219</v>
      </c>
      <c r="CU399" s="1" t="s">
        <v>220</v>
      </c>
      <c r="CX399" s="1" t="s">
        <v>224</v>
      </c>
      <c r="DB399" s="1" t="s">
        <v>224</v>
      </c>
      <c r="DE399" s="1" t="s">
        <v>378</v>
      </c>
      <c r="DF399" s="1" t="s">
        <v>219</v>
      </c>
      <c r="DG399" s="1" t="s">
        <v>226</v>
      </c>
      <c r="DI399" s="1" t="s">
        <v>836</v>
      </c>
      <c r="DJ399" s="1" t="s">
        <v>219</v>
      </c>
      <c r="DK399" s="1" t="s">
        <v>229</v>
      </c>
      <c r="DM399" s="1" t="s">
        <v>381</v>
      </c>
      <c r="DR399" s="1" t="s">
        <v>318</v>
      </c>
      <c r="DS399" s="1" t="s">
        <v>219</v>
      </c>
      <c r="DT399" s="1" t="s">
        <v>226</v>
      </c>
      <c r="DW399" s="1" t="s">
        <v>230</v>
      </c>
      <c r="EA399" s="1" t="s">
        <v>230</v>
      </c>
      <c r="EE399" s="1" t="s">
        <v>230</v>
      </c>
      <c r="EI399" s="1" t="s">
        <v>230</v>
      </c>
      <c r="EL399" s="1" t="s">
        <v>491</v>
      </c>
      <c r="EM399" s="1" t="s">
        <v>319</v>
      </c>
      <c r="EN399" s="1" t="s">
        <v>282</v>
      </c>
      <c r="EO399" s="1" t="s">
        <v>234</v>
      </c>
      <c r="EP399" s="1" t="s">
        <v>4938</v>
      </c>
      <c r="ER399" s="1" t="s">
        <v>210</v>
      </c>
      <c r="ES399" s="1" t="s">
        <v>824</v>
      </c>
      <c r="ET399" s="1" t="s">
        <v>1161</v>
      </c>
      <c r="EU399" s="1" t="s">
        <v>610</v>
      </c>
      <c r="EV399" s="1" t="s">
        <v>1553</v>
      </c>
      <c r="EW399" s="1" t="s">
        <v>5478</v>
      </c>
      <c r="EY399" s="1" t="s">
        <v>1315</v>
      </c>
      <c r="EZ399" s="1" t="s">
        <v>381</v>
      </c>
      <c r="FB399" s="1" t="s">
        <v>289</v>
      </c>
      <c r="FC399" s="1" t="s">
        <v>326</v>
      </c>
      <c r="FD399" s="1" t="s">
        <v>246</v>
      </c>
      <c r="FE399" s="1" t="s">
        <v>472</v>
      </c>
      <c r="FF399" s="1" t="s">
        <v>248</v>
      </c>
      <c r="FH399" s="1" t="s">
        <v>5479</v>
      </c>
      <c r="FI399" s="1" t="s">
        <v>357</v>
      </c>
      <c r="FL399" s="1" t="s">
        <v>358</v>
      </c>
      <c r="FM399" s="1" t="s">
        <v>252</v>
      </c>
      <c r="FN399" s="1" t="s">
        <v>213</v>
      </c>
      <c r="FO399" s="1" t="s">
        <v>213</v>
      </c>
      <c r="FQ399" s="1" t="s">
        <v>689</v>
      </c>
      <c r="FR399" s="1" t="s">
        <v>210</v>
      </c>
      <c r="FS399" s="1" t="s">
        <v>5480</v>
      </c>
      <c r="FT399" s="1" t="s">
        <v>584</v>
      </c>
      <c r="FU399" s="1" t="s">
        <v>204</v>
      </c>
      <c r="FW399" s="1" t="s">
        <v>5481</v>
      </c>
      <c r="FX399" s="1">
        <v>23842</v>
      </c>
      <c r="FY399" s="1" t="s">
        <v>5482</v>
      </c>
      <c r="FZ399" s="1" t="s">
        <v>5483</v>
      </c>
      <c r="GA399" s="1">
        <v>217273</v>
      </c>
      <c r="GB399" s="1" t="s">
        <v>5484</v>
      </c>
      <c r="GC399" s="1">
        <v>235676</v>
      </c>
      <c r="GE399" s="1" t="s">
        <v>210</v>
      </c>
      <c r="GI399" s="1" t="s">
        <v>204</v>
      </c>
      <c r="GJ399" s="1" t="s">
        <v>260</v>
      </c>
      <c r="GK399" s="1" t="s">
        <v>210</v>
      </c>
      <c r="GL399" s="2">
        <v>42083</v>
      </c>
      <c r="GM399" s="1" t="s">
        <v>5485</v>
      </c>
    </row>
    <row r="400" spans="1:195">
      <c r="A400" s="1">
        <v>110000</v>
      </c>
      <c r="B400" s="1" t="s">
        <v>195</v>
      </c>
      <c r="C400" s="1" t="str">
        <f>"08798558"</f>
        <v>08798558</v>
      </c>
      <c r="D400" s="1" t="s">
        <v>196</v>
      </c>
      <c r="F400" s="1" t="str">
        <f>"126"</f>
        <v>126</v>
      </c>
      <c r="G400" s="2">
        <v>41981</v>
      </c>
      <c r="H400" s="1">
        <v>110000</v>
      </c>
      <c r="I400" s="1">
        <v>110000</v>
      </c>
      <c r="J400" s="1">
        <v>110000</v>
      </c>
      <c r="K400" s="2">
        <v>41981</v>
      </c>
      <c r="L400" s="1">
        <v>8</v>
      </c>
      <c r="M400" s="2">
        <v>41988</v>
      </c>
      <c r="N400" s="1">
        <v>8</v>
      </c>
      <c r="O400" s="2">
        <v>41988</v>
      </c>
      <c r="P400" s="1">
        <v>16379</v>
      </c>
      <c r="Q400" s="1" t="s">
        <v>423</v>
      </c>
      <c r="R400" s="2">
        <v>42030</v>
      </c>
      <c r="S400" s="1">
        <v>875934</v>
      </c>
      <c r="T400" s="1">
        <v>2500</v>
      </c>
      <c r="U400" s="1">
        <v>915</v>
      </c>
      <c r="V400" s="1" t="s">
        <v>3168</v>
      </c>
      <c r="W400" s="1" t="s">
        <v>725</v>
      </c>
      <c r="X400" s="1">
        <v>603</v>
      </c>
      <c r="Y400" s="1">
        <v>38</v>
      </c>
      <c r="Z400" s="1" t="s">
        <v>249</v>
      </c>
      <c r="AA400" s="1" t="s">
        <v>3169</v>
      </c>
      <c r="AB400" s="1">
        <v>60126</v>
      </c>
      <c r="AC400" s="1">
        <v>1232</v>
      </c>
      <c r="AE400" s="1" t="s">
        <v>5486</v>
      </c>
      <c r="AF400" s="1">
        <v>1979</v>
      </c>
      <c r="AG400" s="1" t="s">
        <v>204</v>
      </c>
      <c r="AH400" s="1" t="s">
        <v>3172</v>
      </c>
      <c r="AI400" s="1" t="s">
        <v>206</v>
      </c>
      <c r="AJ400" s="1" t="s">
        <v>1233</v>
      </c>
      <c r="AL400" s="1">
        <v>6</v>
      </c>
      <c r="AM400" s="1">
        <v>2</v>
      </c>
      <c r="AN400" s="1">
        <v>2</v>
      </c>
      <c r="AO400" s="1">
        <v>0</v>
      </c>
      <c r="AP400" s="1" t="s">
        <v>209</v>
      </c>
      <c r="AR400" s="1" t="s">
        <v>210</v>
      </c>
      <c r="AS400" s="1" t="s">
        <v>204</v>
      </c>
      <c r="AT400" s="1" t="s">
        <v>375</v>
      </c>
      <c r="AU400" s="1">
        <v>1</v>
      </c>
      <c r="AV400" s="1">
        <v>1</v>
      </c>
      <c r="AW400" s="1" t="s">
        <v>204</v>
      </c>
      <c r="AX400" s="1" t="s">
        <v>212</v>
      </c>
      <c r="AZ400" s="3">
        <v>2085</v>
      </c>
      <c r="BA400" s="1">
        <v>2013</v>
      </c>
      <c r="BB400" s="1" t="s">
        <v>2694</v>
      </c>
      <c r="BE400" s="1">
        <v>0</v>
      </c>
      <c r="BF400" s="1">
        <v>3</v>
      </c>
      <c r="BG400" s="1">
        <v>30</v>
      </c>
      <c r="BL400" s="1">
        <v>308</v>
      </c>
      <c r="BM400" s="1" t="s">
        <v>213</v>
      </c>
      <c r="BN400" s="1" t="s">
        <v>213</v>
      </c>
      <c r="BO400" s="1">
        <v>12</v>
      </c>
      <c r="BP400" s="1" t="s">
        <v>204</v>
      </c>
      <c r="BR400" s="1" t="str">
        <f>"0325325036"</f>
        <v>0325325036</v>
      </c>
      <c r="BT400" s="1" t="s">
        <v>5487</v>
      </c>
      <c r="BX400" s="1">
        <v>205</v>
      </c>
      <c r="BY400" s="1">
        <v>205</v>
      </c>
      <c r="BZ400" s="1">
        <v>205</v>
      </c>
      <c r="CB400" s="1" t="str">
        <f>"3"</f>
        <v>3</v>
      </c>
      <c r="CC400" s="1" t="str">
        <f>""</f>
        <v/>
      </c>
      <c r="CD400" s="1">
        <v>15</v>
      </c>
      <c r="CG400" s="1" t="s">
        <v>885</v>
      </c>
      <c r="CH400" s="1" t="s">
        <v>784</v>
      </c>
      <c r="CI400" s="1" t="s">
        <v>220</v>
      </c>
      <c r="CK400" s="1" t="s">
        <v>539</v>
      </c>
      <c r="CL400" s="1" t="s">
        <v>784</v>
      </c>
      <c r="CM400" s="1" t="s">
        <v>220</v>
      </c>
      <c r="CO400" s="1" t="s">
        <v>2547</v>
      </c>
      <c r="CP400" s="1" t="s">
        <v>784</v>
      </c>
      <c r="CQ400" s="1" t="s">
        <v>220</v>
      </c>
      <c r="CS400" s="1" t="s">
        <v>1046</v>
      </c>
      <c r="CT400" s="1" t="s">
        <v>784</v>
      </c>
      <c r="CU400" s="1" t="s">
        <v>220</v>
      </c>
      <c r="CX400" s="1" t="s">
        <v>224</v>
      </c>
      <c r="DB400" s="1" t="s">
        <v>224</v>
      </c>
      <c r="DE400" s="1" t="s">
        <v>758</v>
      </c>
      <c r="DF400" s="1" t="s">
        <v>784</v>
      </c>
      <c r="DJ400" s="1" t="s">
        <v>224</v>
      </c>
      <c r="DM400" s="1" t="s">
        <v>1548</v>
      </c>
      <c r="DR400" s="1" t="s">
        <v>3126</v>
      </c>
      <c r="DS400" s="1" t="s">
        <v>784</v>
      </c>
      <c r="DW400" s="1" t="s">
        <v>230</v>
      </c>
      <c r="EA400" s="1" t="s">
        <v>230</v>
      </c>
      <c r="EE400" s="1" t="s">
        <v>230</v>
      </c>
      <c r="EI400" s="1" t="s">
        <v>230</v>
      </c>
      <c r="EL400" s="1" t="s">
        <v>231</v>
      </c>
      <c r="EM400" s="1" t="s">
        <v>232</v>
      </c>
      <c r="EN400" s="1" t="s">
        <v>282</v>
      </c>
      <c r="EO400" s="1" t="s">
        <v>234</v>
      </c>
      <c r="ER400" s="1" t="s">
        <v>210</v>
      </c>
      <c r="EV400" s="1" t="s">
        <v>324</v>
      </c>
      <c r="EW400" s="1" t="s">
        <v>286</v>
      </c>
      <c r="EZ400" s="1" t="s">
        <v>1548</v>
      </c>
      <c r="FD400" s="1" t="s">
        <v>290</v>
      </c>
      <c r="FE400" s="1" t="s">
        <v>247</v>
      </c>
      <c r="FF400" s="1" t="s">
        <v>248</v>
      </c>
      <c r="FH400" s="1" t="s">
        <v>249</v>
      </c>
      <c r="FI400" s="1" t="s">
        <v>357</v>
      </c>
      <c r="FL400" s="1" t="s">
        <v>1073</v>
      </c>
      <c r="FM400" s="1" t="s">
        <v>252</v>
      </c>
      <c r="FN400" s="1" t="s">
        <v>213</v>
      </c>
      <c r="FO400" s="1" t="s">
        <v>213</v>
      </c>
      <c r="FQ400" s="1" t="s">
        <v>1518</v>
      </c>
      <c r="FR400" s="1" t="s">
        <v>210</v>
      </c>
      <c r="FS400" s="1" t="s">
        <v>5488</v>
      </c>
      <c r="FT400" s="1" t="s">
        <v>5489</v>
      </c>
      <c r="FU400" s="1" t="s">
        <v>204</v>
      </c>
      <c r="FW400" s="1" t="s">
        <v>5490</v>
      </c>
      <c r="FX400" s="1">
        <v>90140</v>
      </c>
      <c r="FY400" s="1" t="s">
        <v>5491</v>
      </c>
      <c r="FZ400" s="1" t="s">
        <v>5492</v>
      </c>
      <c r="GA400" s="1">
        <v>900095</v>
      </c>
      <c r="GB400" s="1" t="s">
        <v>5493</v>
      </c>
      <c r="GE400" s="1" t="s">
        <v>210</v>
      </c>
      <c r="GH400" s="1" t="s">
        <v>230</v>
      </c>
      <c r="GI400" s="1" t="s">
        <v>213</v>
      </c>
      <c r="GJ400" s="1" t="s">
        <v>260</v>
      </c>
      <c r="GK400" s="1" t="s">
        <v>4920</v>
      </c>
      <c r="GL400" s="2">
        <v>42030</v>
      </c>
      <c r="GM400" s="1" t="s">
        <v>5494</v>
      </c>
    </row>
    <row r="401" spans="1:195">
      <c r="A401" s="1">
        <v>204900</v>
      </c>
      <c r="B401" s="1" t="s">
        <v>195</v>
      </c>
      <c r="C401" s="1" t="str">
        <f>"08795218"</f>
        <v>08795218</v>
      </c>
      <c r="D401" s="1" t="s">
        <v>196</v>
      </c>
      <c r="F401" s="1" t="str">
        <f>"108"</f>
        <v>108</v>
      </c>
      <c r="G401" s="2">
        <v>41975</v>
      </c>
      <c r="H401" s="1">
        <v>229900</v>
      </c>
      <c r="I401" s="1">
        <v>204900</v>
      </c>
      <c r="J401" s="1">
        <v>204900</v>
      </c>
      <c r="K401" s="2">
        <v>41975</v>
      </c>
      <c r="L401" s="1">
        <v>46</v>
      </c>
      <c r="M401" s="2">
        <v>42020</v>
      </c>
      <c r="N401" s="1">
        <v>46</v>
      </c>
      <c r="O401" s="2">
        <v>42020</v>
      </c>
      <c r="P401" s="1">
        <v>25200</v>
      </c>
      <c r="Q401" s="1" t="s">
        <v>302</v>
      </c>
      <c r="R401" s="2">
        <v>42062</v>
      </c>
      <c r="S401" s="1">
        <v>259409</v>
      </c>
      <c r="U401" s="1">
        <v>80</v>
      </c>
      <c r="V401" s="1" t="s">
        <v>5495</v>
      </c>
      <c r="W401" s="1" t="s">
        <v>725</v>
      </c>
      <c r="Y401" s="1">
        <v>4</v>
      </c>
      <c r="Z401" s="1" t="s">
        <v>370</v>
      </c>
      <c r="AA401" s="1" t="s">
        <v>829</v>
      </c>
      <c r="AB401" s="1">
        <v>60108</v>
      </c>
      <c r="AD401" s="1" t="s">
        <v>5496</v>
      </c>
      <c r="AE401" s="1" t="s">
        <v>5497</v>
      </c>
      <c r="AF401" s="1">
        <v>1986</v>
      </c>
      <c r="AG401" s="1" t="s">
        <v>204</v>
      </c>
      <c r="AH401" s="1" t="s">
        <v>269</v>
      </c>
      <c r="AI401" s="1" t="s">
        <v>206</v>
      </c>
      <c r="AJ401" s="1" t="s">
        <v>269</v>
      </c>
      <c r="AK401" s="1" t="s">
        <v>5498</v>
      </c>
      <c r="AL401" s="1">
        <v>7</v>
      </c>
      <c r="AM401" s="1">
        <v>2</v>
      </c>
      <c r="AN401" s="1">
        <v>3</v>
      </c>
      <c r="AO401" s="1">
        <v>0</v>
      </c>
      <c r="AP401" s="1" t="s">
        <v>209</v>
      </c>
      <c r="AQ401" s="1">
        <v>1</v>
      </c>
      <c r="AR401" s="1" t="s">
        <v>209</v>
      </c>
      <c r="AS401" s="1" t="s">
        <v>213</v>
      </c>
      <c r="AT401" s="1" t="s">
        <v>211</v>
      </c>
      <c r="AU401" s="1">
        <v>2</v>
      </c>
      <c r="AW401" s="1" t="s">
        <v>204</v>
      </c>
      <c r="AX401" s="1" t="s">
        <v>5499</v>
      </c>
      <c r="AZ401" s="1">
        <v>5081</v>
      </c>
      <c r="BA401" s="1">
        <v>2013</v>
      </c>
      <c r="BB401" s="1" t="s">
        <v>599</v>
      </c>
      <c r="BE401" s="1">
        <v>1783</v>
      </c>
      <c r="BF401" s="1">
        <v>1</v>
      </c>
      <c r="BG401" s="1">
        <v>0</v>
      </c>
      <c r="BL401" s="1">
        <v>245</v>
      </c>
      <c r="BM401" s="1" t="s">
        <v>204</v>
      </c>
      <c r="BN401" s="1" t="s">
        <v>213</v>
      </c>
      <c r="BO401" s="1">
        <v>0</v>
      </c>
      <c r="BP401" s="1" t="s">
        <v>204</v>
      </c>
      <c r="BR401" s="1" t="str">
        <f>"0216209017"</f>
        <v>0216209017</v>
      </c>
      <c r="BT401" s="1" t="s">
        <v>5500</v>
      </c>
      <c r="BU401" s="1" t="s">
        <v>1611</v>
      </c>
      <c r="BV401" s="1" t="s">
        <v>834</v>
      </c>
      <c r="BW401" s="1" t="s">
        <v>275</v>
      </c>
      <c r="BX401" s="1">
        <v>13</v>
      </c>
      <c r="BY401" s="1">
        <v>13</v>
      </c>
      <c r="BZ401" s="1">
        <v>108</v>
      </c>
      <c r="CB401" s="1" t="str">
        <f t="shared" ref="CB401:CC401" si="317">""</f>
        <v/>
      </c>
      <c r="CC401" s="1" t="str">
        <f t="shared" si="317"/>
        <v/>
      </c>
      <c r="CG401" s="1" t="s">
        <v>5501</v>
      </c>
      <c r="CH401" s="1" t="s">
        <v>219</v>
      </c>
      <c r="CI401" s="1" t="s">
        <v>220</v>
      </c>
      <c r="CK401" s="1" t="s">
        <v>581</v>
      </c>
      <c r="CL401" s="1" t="s">
        <v>219</v>
      </c>
      <c r="CM401" s="1" t="s">
        <v>220</v>
      </c>
      <c r="CO401" s="1" t="s">
        <v>465</v>
      </c>
      <c r="CP401" s="1" t="s">
        <v>219</v>
      </c>
      <c r="CQ401" s="1" t="s">
        <v>220</v>
      </c>
      <c r="CS401" s="1" t="s">
        <v>317</v>
      </c>
      <c r="CT401" s="1" t="s">
        <v>219</v>
      </c>
      <c r="CU401" s="1" t="s">
        <v>220</v>
      </c>
      <c r="CW401" s="1" t="s">
        <v>539</v>
      </c>
      <c r="CX401" s="1" t="s">
        <v>43</v>
      </c>
      <c r="CY401" s="1" t="s">
        <v>342</v>
      </c>
      <c r="DB401" s="1" t="s">
        <v>224</v>
      </c>
      <c r="DE401" s="1" t="s">
        <v>1004</v>
      </c>
      <c r="DF401" s="1" t="s">
        <v>219</v>
      </c>
      <c r="DG401" s="1" t="s">
        <v>342</v>
      </c>
      <c r="DH401" s="1" t="s">
        <v>343</v>
      </c>
      <c r="DI401" s="1" t="s">
        <v>5502</v>
      </c>
      <c r="DJ401" s="1" t="s">
        <v>43</v>
      </c>
      <c r="DK401" s="1" t="s">
        <v>220</v>
      </c>
      <c r="DS401" s="1" t="s">
        <v>230</v>
      </c>
      <c r="DW401" s="1" t="s">
        <v>230</v>
      </c>
      <c r="EA401" s="1" t="s">
        <v>230</v>
      </c>
      <c r="EE401" s="1" t="s">
        <v>230</v>
      </c>
      <c r="EI401" s="1" t="s">
        <v>230</v>
      </c>
      <c r="EL401" s="1" t="s">
        <v>542</v>
      </c>
      <c r="EM401" s="1" t="s">
        <v>232</v>
      </c>
      <c r="EN401" s="1" t="s">
        <v>282</v>
      </c>
      <c r="EO401" s="1" t="s">
        <v>234</v>
      </c>
      <c r="EQ401" s="1" t="s">
        <v>4592</v>
      </c>
      <c r="ER401" s="1" t="s">
        <v>544</v>
      </c>
      <c r="ES401" s="1" t="s">
        <v>824</v>
      </c>
      <c r="ET401" s="1" t="s">
        <v>238</v>
      </c>
      <c r="EU401" s="1" t="s">
        <v>5503</v>
      </c>
      <c r="EV401" s="1" t="s">
        <v>240</v>
      </c>
      <c r="EW401" s="1" t="s">
        <v>887</v>
      </c>
      <c r="EY401" s="1" t="s">
        <v>242</v>
      </c>
      <c r="EZ401" s="1" t="s">
        <v>287</v>
      </c>
      <c r="FA401" s="1" t="s">
        <v>354</v>
      </c>
      <c r="FB401" s="1" t="s">
        <v>289</v>
      </c>
      <c r="FD401" s="1" t="s">
        <v>246</v>
      </c>
      <c r="FE401" s="1" t="s">
        <v>3771</v>
      </c>
      <c r="FF401" s="1" t="s">
        <v>248</v>
      </c>
      <c r="FH401" s="1" t="s">
        <v>825</v>
      </c>
      <c r="FI401" s="1" t="s">
        <v>357</v>
      </c>
      <c r="FJ401" s="1" t="s">
        <v>1620</v>
      </c>
      <c r="FL401" s="1" t="s">
        <v>358</v>
      </c>
      <c r="FM401" s="1" t="s">
        <v>252</v>
      </c>
      <c r="FN401" s="1" t="s">
        <v>213</v>
      </c>
      <c r="FO401" s="1" t="s">
        <v>213</v>
      </c>
      <c r="FQ401" s="1" t="s">
        <v>1621</v>
      </c>
      <c r="FR401" s="1" t="s">
        <v>210</v>
      </c>
      <c r="FS401" s="1" t="s">
        <v>2191</v>
      </c>
      <c r="FT401" s="1" t="s">
        <v>520</v>
      </c>
      <c r="FU401" s="1" t="s">
        <v>204</v>
      </c>
      <c r="FW401" s="1" t="s">
        <v>873</v>
      </c>
      <c r="FX401" s="1">
        <v>25309</v>
      </c>
      <c r="FY401" s="1" t="s">
        <v>874</v>
      </c>
      <c r="FZ401" s="1" t="s">
        <v>1623</v>
      </c>
      <c r="GA401" s="1">
        <v>222292</v>
      </c>
      <c r="GB401" s="1" t="s">
        <v>1624</v>
      </c>
      <c r="GD401" s="1" t="s">
        <v>5504</v>
      </c>
      <c r="GE401" s="1" t="s">
        <v>480</v>
      </c>
      <c r="GI401" s="1" t="s">
        <v>213</v>
      </c>
      <c r="GJ401" s="1" t="s">
        <v>260</v>
      </c>
      <c r="GK401" s="1" t="s">
        <v>261</v>
      </c>
      <c r="GL401" s="2">
        <v>42065</v>
      </c>
      <c r="GM401" s="1" t="s">
        <v>5505</v>
      </c>
    </row>
    <row r="402" spans="1:195">
      <c r="A402" s="1">
        <v>56729</v>
      </c>
      <c r="B402" s="1" t="s">
        <v>195</v>
      </c>
      <c r="C402" s="1" t="str">
        <f>"08795163"</f>
        <v>08795163</v>
      </c>
      <c r="D402" s="1" t="s">
        <v>196</v>
      </c>
      <c r="F402" s="1" t="str">
        <f>"139"</f>
        <v>139</v>
      </c>
      <c r="G402" s="2">
        <v>41975</v>
      </c>
      <c r="H402" s="1">
        <v>60420</v>
      </c>
      <c r="I402" s="1">
        <v>60420</v>
      </c>
      <c r="J402" s="1">
        <v>56729</v>
      </c>
      <c r="K402" s="2">
        <v>41975</v>
      </c>
      <c r="L402" s="1">
        <v>37</v>
      </c>
      <c r="M402" s="2">
        <v>42011</v>
      </c>
      <c r="N402" s="1">
        <v>37</v>
      </c>
      <c r="O402" s="2">
        <v>42011</v>
      </c>
      <c r="P402" s="1">
        <v>10646</v>
      </c>
      <c r="Q402" s="1" t="s">
        <v>302</v>
      </c>
      <c r="R402" s="2">
        <v>42122</v>
      </c>
      <c r="S402" s="1">
        <v>157941</v>
      </c>
      <c r="U402" s="1">
        <v>238</v>
      </c>
      <c r="V402" s="1" t="s">
        <v>5506</v>
      </c>
      <c r="W402" s="1" t="s">
        <v>264</v>
      </c>
      <c r="X402" s="1" t="s">
        <v>1382</v>
      </c>
      <c r="Y402" s="1">
        <v>12</v>
      </c>
      <c r="Z402" s="1" t="s">
        <v>249</v>
      </c>
      <c r="AA402" s="1" t="s">
        <v>1732</v>
      </c>
      <c r="AB402" s="1">
        <v>60139</v>
      </c>
      <c r="AD402" s="1" t="s">
        <v>5506</v>
      </c>
      <c r="AE402" s="1" t="s">
        <v>5507</v>
      </c>
      <c r="AF402" s="1">
        <v>1979</v>
      </c>
      <c r="AG402" s="1" t="s">
        <v>204</v>
      </c>
      <c r="AH402" s="1" t="s">
        <v>1735</v>
      </c>
      <c r="AI402" s="1" t="s">
        <v>206</v>
      </c>
      <c r="AJ402" s="1" t="s">
        <v>207</v>
      </c>
      <c r="AL402" s="1">
        <v>5</v>
      </c>
      <c r="AM402" s="1">
        <v>2</v>
      </c>
      <c r="AN402" s="1">
        <v>2</v>
      </c>
      <c r="AO402" s="1">
        <v>0</v>
      </c>
      <c r="AP402" s="1" t="s">
        <v>210</v>
      </c>
      <c r="AR402" s="1" t="s">
        <v>210</v>
      </c>
      <c r="AS402" s="1" t="s">
        <v>204</v>
      </c>
      <c r="AT402" s="1" t="s">
        <v>210</v>
      </c>
      <c r="AW402" s="1" t="s">
        <v>204</v>
      </c>
      <c r="AX402" s="1" t="s">
        <v>212</v>
      </c>
      <c r="AZ402" s="1">
        <v>1453</v>
      </c>
      <c r="BA402" s="1">
        <v>2013</v>
      </c>
      <c r="BE402" s="1">
        <v>1000</v>
      </c>
      <c r="BF402" s="1">
        <v>1</v>
      </c>
      <c r="BG402" s="1">
        <v>0</v>
      </c>
      <c r="BL402" s="1">
        <v>294</v>
      </c>
      <c r="BM402" s="1" t="s">
        <v>413</v>
      </c>
      <c r="BN402" s="1" t="s">
        <v>204</v>
      </c>
      <c r="BP402" s="1" t="s">
        <v>204</v>
      </c>
      <c r="BR402" s="1" t="str">
        <f>"0503207080"</f>
        <v>0503207080</v>
      </c>
      <c r="BT402" s="1" t="s">
        <v>3770</v>
      </c>
      <c r="BX402" s="1">
        <v>41</v>
      </c>
      <c r="BY402" s="1">
        <v>41</v>
      </c>
      <c r="BZ402" s="1">
        <v>87</v>
      </c>
      <c r="CB402" s="1" t="str">
        <f>"1"</f>
        <v>1</v>
      </c>
      <c r="CC402" s="1" t="str">
        <f t="shared" ref="CC402:CC405" si="318">"0"</f>
        <v>0</v>
      </c>
      <c r="CD402" s="1">
        <v>12</v>
      </c>
      <c r="CE402" s="1">
        <v>0</v>
      </c>
      <c r="CG402" s="1" t="s">
        <v>861</v>
      </c>
      <c r="CH402" s="1" t="s">
        <v>219</v>
      </c>
      <c r="CK402" s="1" t="s">
        <v>315</v>
      </c>
      <c r="CL402" s="1" t="s">
        <v>219</v>
      </c>
      <c r="CO402" s="1" t="s">
        <v>837</v>
      </c>
      <c r="CP402" s="1" t="s">
        <v>219</v>
      </c>
      <c r="CS402" s="1" t="s">
        <v>317</v>
      </c>
      <c r="CT402" s="1" t="s">
        <v>219</v>
      </c>
      <c r="CX402" s="1" t="s">
        <v>224</v>
      </c>
      <c r="DB402" s="1" t="s">
        <v>224</v>
      </c>
      <c r="DE402" s="1" t="s">
        <v>3284</v>
      </c>
      <c r="DF402" s="1" t="s">
        <v>219</v>
      </c>
      <c r="DJ402" s="1" t="s">
        <v>224</v>
      </c>
      <c r="DS402" s="1" t="s">
        <v>230</v>
      </c>
      <c r="DW402" s="1" t="s">
        <v>230</v>
      </c>
      <c r="EA402" s="1" t="s">
        <v>230</v>
      </c>
      <c r="EE402" s="1" t="s">
        <v>230</v>
      </c>
      <c r="EI402" s="1" t="s">
        <v>230</v>
      </c>
      <c r="EL402" s="1" t="s">
        <v>231</v>
      </c>
      <c r="EM402" s="1" t="s">
        <v>319</v>
      </c>
      <c r="EN402" s="1" t="s">
        <v>210</v>
      </c>
      <c r="EO402" s="1" t="s">
        <v>234</v>
      </c>
      <c r="ER402" s="1" t="s">
        <v>210</v>
      </c>
      <c r="ES402" s="1" t="s">
        <v>545</v>
      </c>
      <c r="EU402" s="1" t="s">
        <v>239</v>
      </c>
      <c r="EW402" s="1" t="s">
        <v>844</v>
      </c>
      <c r="EZ402" s="1" t="s">
        <v>287</v>
      </c>
      <c r="FD402" s="1" t="s">
        <v>1112</v>
      </c>
      <c r="FE402" s="1" t="s">
        <v>247</v>
      </c>
      <c r="FF402" s="1" t="s">
        <v>248</v>
      </c>
      <c r="FH402" s="1" t="s">
        <v>249</v>
      </c>
      <c r="FJ402" s="1" t="s">
        <v>197</v>
      </c>
      <c r="FL402" s="1" t="s">
        <v>347</v>
      </c>
      <c r="FM402" s="1" t="s">
        <v>252</v>
      </c>
      <c r="FN402" s="1" t="s">
        <v>213</v>
      </c>
      <c r="FO402" s="1" t="s">
        <v>213</v>
      </c>
      <c r="FQ402" s="1" t="s">
        <v>582</v>
      </c>
      <c r="FR402" s="1" t="s">
        <v>210</v>
      </c>
      <c r="FS402" s="1" t="s">
        <v>3772</v>
      </c>
      <c r="FT402" s="1" t="s">
        <v>3773</v>
      </c>
      <c r="FU402" s="1" t="s">
        <v>204</v>
      </c>
      <c r="FW402" s="1" t="s">
        <v>3774</v>
      </c>
      <c r="FX402" s="1">
        <v>1984</v>
      </c>
      <c r="FY402" s="1" t="s">
        <v>3775</v>
      </c>
      <c r="FZ402" s="1" t="s">
        <v>3776</v>
      </c>
      <c r="GA402" s="1">
        <v>922950</v>
      </c>
      <c r="GE402" s="1" t="s">
        <v>210</v>
      </c>
      <c r="GI402" s="1" t="s">
        <v>204</v>
      </c>
      <c r="GJ402" s="1" t="s">
        <v>260</v>
      </c>
      <c r="GK402" s="1" t="s">
        <v>210</v>
      </c>
      <c r="GL402" s="2">
        <v>42123</v>
      </c>
      <c r="GM402" s="1" t="s">
        <v>5508</v>
      </c>
    </row>
    <row r="403" spans="1:195">
      <c r="A403" s="1">
        <v>185000</v>
      </c>
      <c r="B403" s="1" t="s">
        <v>195</v>
      </c>
      <c r="C403" s="1" t="str">
        <f>"08796140"</f>
        <v>08796140</v>
      </c>
      <c r="D403" s="1" t="s">
        <v>196</v>
      </c>
      <c r="F403" s="1" t="str">
        <f>"634"</f>
        <v>634</v>
      </c>
      <c r="G403" s="2">
        <v>41976</v>
      </c>
      <c r="H403" s="1">
        <v>199000</v>
      </c>
      <c r="I403" s="1">
        <v>199000</v>
      </c>
      <c r="J403" s="1">
        <v>185000</v>
      </c>
      <c r="K403" s="2">
        <v>41976</v>
      </c>
      <c r="L403" s="1">
        <v>69</v>
      </c>
      <c r="M403" s="2">
        <v>42024</v>
      </c>
      <c r="N403" s="1">
        <v>49</v>
      </c>
      <c r="O403" s="2">
        <v>42024</v>
      </c>
      <c r="P403" s="1">
        <v>20119</v>
      </c>
      <c r="Q403" s="1" t="s">
        <v>197</v>
      </c>
      <c r="R403" s="2">
        <v>42072</v>
      </c>
      <c r="S403" s="1">
        <v>222586</v>
      </c>
      <c r="U403" s="1">
        <v>8540</v>
      </c>
      <c r="V403" s="1" t="s">
        <v>5509</v>
      </c>
      <c r="W403" s="1" t="s">
        <v>425</v>
      </c>
      <c r="X403" s="1">
        <v>708</v>
      </c>
      <c r="Y403" s="1">
        <v>60</v>
      </c>
      <c r="Z403" s="1" t="s">
        <v>249</v>
      </c>
      <c r="AA403" s="1" t="s">
        <v>3197</v>
      </c>
      <c r="AB403" s="1">
        <v>60706</v>
      </c>
      <c r="AE403" s="1" t="s">
        <v>5510</v>
      </c>
      <c r="AF403" s="1">
        <v>1996</v>
      </c>
      <c r="AG403" s="1" t="s">
        <v>204</v>
      </c>
      <c r="AH403" s="1" t="s">
        <v>3199</v>
      </c>
      <c r="AI403" s="1" t="s">
        <v>310</v>
      </c>
      <c r="AJ403" s="1" t="s">
        <v>311</v>
      </c>
      <c r="AL403" s="1">
        <v>5</v>
      </c>
      <c r="AM403" s="1">
        <v>2</v>
      </c>
      <c r="AN403" s="1">
        <v>2</v>
      </c>
      <c r="AO403" s="1">
        <v>0</v>
      </c>
      <c r="AP403" s="1" t="s">
        <v>209</v>
      </c>
      <c r="AR403" s="1" t="s">
        <v>210</v>
      </c>
      <c r="AS403" s="1" t="s">
        <v>204</v>
      </c>
      <c r="AT403" s="1" t="s">
        <v>211</v>
      </c>
      <c r="AU403" s="1">
        <v>1</v>
      </c>
      <c r="AW403" s="1" t="s">
        <v>204</v>
      </c>
      <c r="AX403" s="1" t="s">
        <v>579</v>
      </c>
      <c r="AZ403" s="1">
        <v>1280.92</v>
      </c>
      <c r="BA403" s="1">
        <v>2013</v>
      </c>
      <c r="BB403" s="1" t="s">
        <v>599</v>
      </c>
      <c r="BE403" s="1">
        <v>1400</v>
      </c>
      <c r="BF403" s="1">
        <v>7</v>
      </c>
      <c r="BG403" s="1">
        <v>10</v>
      </c>
      <c r="BJ403" s="1">
        <v>100</v>
      </c>
      <c r="BL403" s="1">
        <v>310</v>
      </c>
      <c r="BM403" s="1" t="s">
        <v>204</v>
      </c>
      <c r="BN403" s="1" t="s">
        <v>204</v>
      </c>
      <c r="BP403" s="1" t="s">
        <v>204</v>
      </c>
      <c r="BR403" s="1" t="str">
        <f>"12111021111058"</f>
        <v>12111021111058</v>
      </c>
      <c r="BT403" s="1" t="s">
        <v>5511</v>
      </c>
      <c r="BX403" s="1">
        <v>79</v>
      </c>
      <c r="BY403" s="1">
        <v>79</v>
      </c>
      <c r="BZ403" s="1">
        <v>207</v>
      </c>
      <c r="CB403" s="1" t="str">
        <f>"5200"</f>
        <v>5200</v>
      </c>
      <c r="CC403" s="1" t="str">
        <f t="shared" si="318"/>
        <v>0</v>
      </c>
      <c r="CD403" s="1">
        <v>8540</v>
      </c>
      <c r="CE403" s="1">
        <v>0</v>
      </c>
      <c r="CG403" s="1" t="s">
        <v>2042</v>
      </c>
      <c r="CH403" s="1" t="s">
        <v>219</v>
      </c>
      <c r="CK403" s="1" t="s">
        <v>581</v>
      </c>
      <c r="CL403" s="1" t="s">
        <v>219</v>
      </c>
      <c r="CO403" s="1" t="s">
        <v>278</v>
      </c>
      <c r="CP403" s="1" t="s">
        <v>219</v>
      </c>
      <c r="CS403" s="1" t="s">
        <v>461</v>
      </c>
      <c r="CT403" s="1" t="s">
        <v>219</v>
      </c>
      <c r="CX403" s="1" t="s">
        <v>224</v>
      </c>
      <c r="DB403" s="1" t="s">
        <v>224</v>
      </c>
      <c r="DE403" s="1" t="s">
        <v>539</v>
      </c>
      <c r="DF403" s="1" t="s">
        <v>219</v>
      </c>
      <c r="DJ403" s="1" t="s">
        <v>224</v>
      </c>
      <c r="DS403" s="1" t="s">
        <v>230</v>
      </c>
      <c r="DW403" s="1" t="s">
        <v>230</v>
      </c>
      <c r="EA403" s="1" t="s">
        <v>230</v>
      </c>
      <c r="EE403" s="1" t="s">
        <v>230</v>
      </c>
      <c r="EI403" s="1" t="s">
        <v>230</v>
      </c>
      <c r="EL403" s="1" t="s">
        <v>670</v>
      </c>
      <c r="EM403" s="1" t="s">
        <v>232</v>
      </c>
      <c r="EN403" s="1" t="s">
        <v>282</v>
      </c>
      <c r="EO403" s="1" t="s">
        <v>234</v>
      </c>
      <c r="EQ403" s="1" t="s">
        <v>492</v>
      </c>
      <c r="ER403" s="1" t="s">
        <v>210</v>
      </c>
      <c r="EV403" s="1" t="s">
        <v>240</v>
      </c>
      <c r="EW403" s="1" t="s">
        <v>2765</v>
      </c>
      <c r="EZ403" s="1" t="s">
        <v>287</v>
      </c>
      <c r="FD403" s="1" t="s">
        <v>1112</v>
      </c>
      <c r="FE403" s="1" t="s">
        <v>247</v>
      </c>
      <c r="FF403" s="1" t="s">
        <v>387</v>
      </c>
      <c r="FH403" s="1" t="s">
        <v>249</v>
      </c>
      <c r="FL403" s="1" t="s">
        <v>414</v>
      </c>
      <c r="FM403" s="1" t="s">
        <v>252</v>
      </c>
      <c r="FN403" s="1" t="s">
        <v>213</v>
      </c>
      <c r="FO403" s="1" t="s">
        <v>213</v>
      </c>
      <c r="FQ403" s="1" t="s">
        <v>1286</v>
      </c>
      <c r="FR403" s="1" t="s">
        <v>210</v>
      </c>
      <c r="FS403" s="1" t="s">
        <v>5512</v>
      </c>
      <c r="FT403" s="1" t="s">
        <v>295</v>
      </c>
      <c r="FU403" s="1" t="s">
        <v>204</v>
      </c>
      <c r="FW403" s="1" t="s">
        <v>5513</v>
      </c>
      <c r="FX403" s="1">
        <v>10840</v>
      </c>
      <c r="FY403" s="1" t="s">
        <v>5514</v>
      </c>
      <c r="FZ403" s="1" t="s">
        <v>5515</v>
      </c>
      <c r="GA403" s="1">
        <v>165719</v>
      </c>
      <c r="GB403" s="1" t="s">
        <v>5516</v>
      </c>
      <c r="GE403" s="1" t="s">
        <v>335</v>
      </c>
      <c r="GH403" s="1" t="s">
        <v>589</v>
      </c>
      <c r="GI403" s="1" t="s">
        <v>213</v>
      </c>
      <c r="GJ403" s="1" t="s">
        <v>260</v>
      </c>
      <c r="GK403" s="1" t="s">
        <v>210</v>
      </c>
      <c r="GL403" s="2">
        <v>42072</v>
      </c>
    </row>
    <row r="404" spans="1:195">
      <c r="A404" s="1">
        <v>135000</v>
      </c>
      <c r="B404" s="1" t="s">
        <v>195</v>
      </c>
      <c r="C404" s="1" t="str">
        <f>"08796608"</f>
        <v>08796608</v>
      </c>
      <c r="D404" s="1" t="s">
        <v>196</v>
      </c>
      <c r="F404" s="1" t="str">
        <f>"61"</f>
        <v>61</v>
      </c>
      <c r="G404" s="2">
        <v>41977</v>
      </c>
      <c r="H404" s="1">
        <v>144900</v>
      </c>
      <c r="I404" s="1">
        <v>144900</v>
      </c>
      <c r="J404" s="1">
        <v>135000</v>
      </c>
      <c r="K404" s="2">
        <v>41976</v>
      </c>
      <c r="L404" s="1">
        <v>135</v>
      </c>
      <c r="M404" s="2">
        <v>42017</v>
      </c>
      <c r="N404" s="1">
        <v>42</v>
      </c>
      <c r="O404" s="2">
        <v>42017</v>
      </c>
      <c r="P404" s="1">
        <v>4773</v>
      </c>
      <c r="Q404" s="1" t="s">
        <v>302</v>
      </c>
      <c r="R404" s="2">
        <v>42047</v>
      </c>
      <c r="S404" s="1">
        <v>42382</v>
      </c>
      <c r="U404" s="1">
        <v>431</v>
      </c>
      <c r="V404" s="1" t="s">
        <v>5399</v>
      </c>
      <c r="W404" s="1" t="s">
        <v>304</v>
      </c>
      <c r="X404" s="1">
        <v>431</v>
      </c>
      <c r="Y404" s="1">
        <v>6</v>
      </c>
      <c r="Z404" s="1" t="s">
        <v>249</v>
      </c>
      <c r="AA404" s="1" t="s">
        <v>505</v>
      </c>
      <c r="AB404" s="1">
        <v>60061</v>
      </c>
      <c r="AD404" s="1" t="s">
        <v>4955</v>
      </c>
      <c r="AE404" s="1" t="s">
        <v>5517</v>
      </c>
      <c r="AF404" s="1">
        <v>1978</v>
      </c>
      <c r="AG404" s="1" t="s">
        <v>204</v>
      </c>
      <c r="AH404" s="1" t="s">
        <v>508</v>
      </c>
      <c r="AI404" s="1" t="s">
        <v>509</v>
      </c>
      <c r="AJ404" s="1" t="s">
        <v>1693</v>
      </c>
      <c r="AL404" s="1">
        <v>5</v>
      </c>
      <c r="AM404" s="1">
        <v>2</v>
      </c>
      <c r="AN404" s="1">
        <v>1</v>
      </c>
      <c r="AO404" s="1">
        <v>1</v>
      </c>
      <c r="AP404" s="1" t="s">
        <v>210</v>
      </c>
      <c r="AR404" s="1" t="s">
        <v>210</v>
      </c>
      <c r="AS404" s="1" t="s">
        <v>204</v>
      </c>
      <c r="AT404" s="1" t="s">
        <v>211</v>
      </c>
      <c r="AU404" s="1">
        <v>1</v>
      </c>
      <c r="AW404" s="1" t="s">
        <v>204</v>
      </c>
      <c r="AX404" s="1" t="s">
        <v>212</v>
      </c>
      <c r="AZ404" s="1">
        <v>3730.26</v>
      </c>
      <c r="BA404" s="1">
        <v>2013</v>
      </c>
      <c r="BB404" s="1" t="s">
        <v>405</v>
      </c>
      <c r="BE404" s="1">
        <v>1025</v>
      </c>
      <c r="BF404" s="1">
        <v>1</v>
      </c>
      <c r="BG404" s="1">
        <v>0</v>
      </c>
      <c r="BL404" s="1">
        <v>173</v>
      </c>
      <c r="BM404" s="1" t="s">
        <v>204</v>
      </c>
      <c r="BN404" s="1" t="s">
        <v>213</v>
      </c>
      <c r="BO404" s="1">
        <v>999</v>
      </c>
      <c r="BP404" s="1" t="s">
        <v>204</v>
      </c>
      <c r="BR404" s="1" t="str">
        <f>"11323080030000"</f>
        <v>11323080030000</v>
      </c>
      <c r="BT404" s="1" t="s">
        <v>5518</v>
      </c>
      <c r="BW404" s="1" t="s">
        <v>514</v>
      </c>
      <c r="BX404" s="1">
        <v>73</v>
      </c>
      <c r="BY404" s="1">
        <v>73</v>
      </c>
      <c r="BZ404" s="1">
        <v>128</v>
      </c>
      <c r="CB404" s="1" t="str">
        <f>"26"</f>
        <v>26</v>
      </c>
      <c r="CC404" s="1" t="str">
        <f t="shared" si="318"/>
        <v>0</v>
      </c>
      <c r="CD404" s="1">
        <v>17</v>
      </c>
      <c r="CE404" s="1">
        <v>0</v>
      </c>
      <c r="CG404" s="1" t="s">
        <v>931</v>
      </c>
      <c r="CH404" s="1" t="s">
        <v>219</v>
      </c>
      <c r="CI404" s="1" t="s">
        <v>229</v>
      </c>
      <c r="CK404" s="1" t="s">
        <v>278</v>
      </c>
      <c r="CL404" s="1" t="s">
        <v>277</v>
      </c>
      <c r="CM404" s="1" t="s">
        <v>220</v>
      </c>
      <c r="CO404" s="1" t="s">
        <v>973</v>
      </c>
      <c r="CP404" s="1" t="s">
        <v>219</v>
      </c>
      <c r="CQ404" s="1" t="s">
        <v>226</v>
      </c>
      <c r="CS404" s="1" t="s">
        <v>346</v>
      </c>
      <c r="CT404" s="1" t="s">
        <v>277</v>
      </c>
      <c r="CU404" s="1" t="s">
        <v>220</v>
      </c>
      <c r="CX404" s="1" t="s">
        <v>224</v>
      </c>
      <c r="DB404" s="1" t="s">
        <v>224</v>
      </c>
      <c r="DE404" s="1" t="s">
        <v>5519</v>
      </c>
      <c r="DF404" s="1" t="s">
        <v>219</v>
      </c>
      <c r="DG404" s="1" t="s">
        <v>226</v>
      </c>
      <c r="DJ404" s="1" t="s">
        <v>224</v>
      </c>
      <c r="DM404" s="1" t="s">
        <v>1770</v>
      </c>
      <c r="DR404" s="1" t="s">
        <v>5520</v>
      </c>
      <c r="DS404" s="1" t="s">
        <v>277</v>
      </c>
      <c r="DW404" s="1" t="s">
        <v>230</v>
      </c>
      <c r="EA404" s="1" t="s">
        <v>230</v>
      </c>
      <c r="EE404" s="1" t="s">
        <v>230</v>
      </c>
      <c r="EI404" s="1" t="s">
        <v>230</v>
      </c>
      <c r="EL404" s="1" t="s">
        <v>231</v>
      </c>
      <c r="EM404" s="1" t="s">
        <v>232</v>
      </c>
      <c r="EN404" s="1" t="s">
        <v>282</v>
      </c>
      <c r="EO404" s="1" t="s">
        <v>840</v>
      </c>
      <c r="EP404" s="1" t="s">
        <v>2139</v>
      </c>
      <c r="EQ404" s="1" t="s">
        <v>468</v>
      </c>
      <c r="ER404" s="1" t="s">
        <v>210</v>
      </c>
      <c r="ES404" s="1" t="s">
        <v>824</v>
      </c>
      <c r="EU404" s="1" t="s">
        <v>712</v>
      </c>
      <c r="EW404" s="1" t="s">
        <v>991</v>
      </c>
      <c r="EZ404" s="1" t="s">
        <v>1770</v>
      </c>
      <c r="FA404" s="1" t="s">
        <v>3624</v>
      </c>
      <c r="FB404" s="1" t="s">
        <v>289</v>
      </c>
      <c r="FD404" s="1" t="s">
        <v>246</v>
      </c>
      <c r="FE404" s="1" t="s">
        <v>1031</v>
      </c>
      <c r="FF404" s="1" t="s">
        <v>3103</v>
      </c>
      <c r="FH404" s="1" t="s">
        <v>550</v>
      </c>
      <c r="FL404" s="1" t="s">
        <v>358</v>
      </c>
      <c r="FM404" s="1" t="s">
        <v>252</v>
      </c>
      <c r="FN404" s="1" t="s">
        <v>213</v>
      </c>
      <c r="FO404" s="1" t="s">
        <v>213</v>
      </c>
      <c r="FQ404" s="1" t="s">
        <v>359</v>
      </c>
      <c r="FR404" s="1" t="s">
        <v>210</v>
      </c>
      <c r="FS404" s="1" t="s">
        <v>5521</v>
      </c>
      <c r="FT404" s="1" t="s">
        <v>295</v>
      </c>
      <c r="FU404" s="1" t="s">
        <v>204</v>
      </c>
      <c r="FW404" s="1" t="s">
        <v>915</v>
      </c>
      <c r="FX404" s="1">
        <v>24988</v>
      </c>
      <c r="FY404" s="1" t="s">
        <v>4180</v>
      </c>
      <c r="FZ404" s="1" t="s">
        <v>5522</v>
      </c>
      <c r="GA404" s="1">
        <v>238390</v>
      </c>
      <c r="GE404" s="1" t="s">
        <v>1256</v>
      </c>
      <c r="GI404" s="1" t="s">
        <v>213</v>
      </c>
      <c r="GJ404" s="1" t="s">
        <v>260</v>
      </c>
      <c r="GK404" s="1" t="s">
        <v>210</v>
      </c>
      <c r="GL404" s="2">
        <v>42052</v>
      </c>
    </row>
    <row r="405" spans="1:195">
      <c r="A405" s="1">
        <v>124500</v>
      </c>
      <c r="B405" s="1" t="s">
        <v>195</v>
      </c>
      <c r="C405" s="1" t="str">
        <f>"08797092"</f>
        <v>08797092</v>
      </c>
      <c r="D405" s="1" t="s">
        <v>196</v>
      </c>
      <c r="F405" s="1" t="str">
        <f>"30"</f>
        <v>30</v>
      </c>
      <c r="G405" s="2">
        <v>41977</v>
      </c>
      <c r="H405" s="1">
        <v>129900</v>
      </c>
      <c r="I405" s="1">
        <v>129900</v>
      </c>
      <c r="J405" s="1">
        <v>124500</v>
      </c>
      <c r="K405" s="2">
        <v>41977</v>
      </c>
      <c r="L405" s="1">
        <v>31</v>
      </c>
      <c r="M405" s="2">
        <v>42007</v>
      </c>
      <c r="N405" s="1">
        <v>31</v>
      </c>
      <c r="O405" s="2">
        <v>42007</v>
      </c>
      <c r="P405" s="1">
        <v>5291</v>
      </c>
      <c r="Q405" s="1" t="s">
        <v>197</v>
      </c>
      <c r="R405" s="2">
        <v>42053</v>
      </c>
      <c r="S405" s="1">
        <v>50892</v>
      </c>
      <c r="U405" s="1">
        <v>1832</v>
      </c>
      <c r="V405" s="1" t="s">
        <v>5523</v>
      </c>
      <c r="W405" s="1" t="s">
        <v>304</v>
      </c>
      <c r="Y405" s="1">
        <v>2</v>
      </c>
      <c r="Z405" s="1" t="s">
        <v>249</v>
      </c>
      <c r="AA405" s="1" t="s">
        <v>1834</v>
      </c>
      <c r="AB405" s="1">
        <v>60030</v>
      </c>
      <c r="AD405" s="1" t="s">
        <v>5524</v>
      </c>
      <c r="AE405" s="1" t="s">
        <v>5525</v>
      </c>
      <c r="AF405" s="1">
        <v>2002</v>
      </c>
      <c r="AG405" s="1" t="s">
        <v>204</v>
      </c>
      <c r="AH405" s="1" t="s">
        <v>1837</v>
      </c>
      <c r="AI405" s="1" t="s">
        <v>509</v>
      </c>
      <c r="AJ405" s="1" t="s">
        <v>1263</v>
      </c>
      <c r="AL405" s="1">
        <v>5</v>
      </c>
      <c r="AM405" s="1">
        <v>2</v>
      </c>
      <c r="AN405" s="1">
        <v>1</v>
      </c>
      <c r="AO405" s="1">
        <v>1</v>
      </c>
      <c r="AP405" s="1" t="s">
        <v>667</v>
      </c>
      <c r="AR405" s="1" t="s">
        <v>210</v>
      </c>
      <c r="AT405" s="1" t="s">
        <v>211</v>
      </c>
      <c r="AU405" s="1">
        <v>2</v>
      </c>
      <c r="AW405" s="1" t="s">
        <v>204</v>
      </c>
      <c r="AX405" s="1" t="s">
        <v>579</v>
      </c>
      <c r="AZ405" s="1">
        <v>5425</v>
      </c>
      <c r="BA405" s="1">
        <v>2012</v>
      </c>
      <c r="BE405" s="1">
        <v>1775</v>
      </c>
      <c r="BF405" s="1">
        <v>1</v>
      </c>
      <c r="BG405" s="1">
        <v>0</v>
      </c>
      <c r="BL405" s="1">
        <v>180</v>
      </c>
      <c r="BM405" s="1" t="s">
        <v>204</v>
      </c>
      <c r="BN405" s="1" t="s">
        <v>213</v>
      </c>
      <c r="BO405" s="1">
        <v>100</v>
      </c>
      <c r="BP405" s="1" t="s">
        <v>204</v>
      </c>
      <c r="BR405" s="1" t="str">
        <f>"06153011000000"</f>
        <v>06153011000000</v>
      </c>
      <c r="BT405" s="1" t="s">
        <v>5526</v>
      </c>
      <c r="BU405" s="1" t="s">
        <v>5527</v>
      </c>
      <c r="BV405" s="1" t="s">
        <v>1842</v>
      </c>
      <c r="BW405" s="1" t="s">
        <v>1843</v>
      </c>
      <c r="BX405" s="1">
        <v>46</v>
      </c>
      <c r="BY405" s="1">
        <v>46</v>
      </c>
      <c r="BZ405" s="1">
        <v>127</v>
      </c>
      <c r="CB405" s="1" t="str">
        <f>"34"</f>
        <v>34</v>
      </c>
      <c r="CC405" s="1" t="str">
        <f t="shared" si="318"/>
        <v>0</v>
      </c>
      <c r="CD405" s="1">
        <v>21</v>
      </c>
      <c r="CE405" s="1">
        <v>0</v>
      </c>
      <c r="CG405" s="1" t="s">
        <v>315</v>
      </c>
      <c r="CH405" s="1" t="s">
        <v>219</v>
      </c>
      <c r="CK405" s="1" t="s">
        <v>437</v>
      </c>
      <c r="CL405" s="1" t="s">
        <v>277</v>
      </c>
      <c r="CO405" s="1" t="s">
        <v>465</v>
      </c>
      <c r="CP405" s="1" t="s">
        <v>219</v>
      </c>
      <c r="CS405" s="1" t="s">
        <v>1046</v>
      </c>
      <c r="CT405" s="1" t="s">
        <v>277</v>
      </c>
      <c r="CX405" s="1" t="s">
        <v>224</v>
      </c>
      <c r="DB405" s="1" t="s">
        <v>224</v>
      </c>
      <c r="DE405" s="1" t="s">
        <v>344</v>
      </c>
      <c r="DF405" s="1" t="s">
        <v>219</v>
      </c>
      <c r="DJ405" s="1" t="s">
        <v>224</v>
      </c>
      <c r="DS405" s="1" t="s">
        <v>230</v>
      </c>
      <c r="DW405" s="1" t="s">
        <v>230</v>
      </c>
      <c r="EA405" s="1" t="s">
        <v>230</v>
      </c>
      <c r="EE405" s="1" t="s">
        <v>230</v>
      </c>
      <c r="EI405" s="1" t="s">
        <v>230</v>
      </c>
      <c r="EL405" s="1" t="s">
        <v>466</v>
      </c>
      <c r="EM405" s="1" t="s">
        <v>232</v>
      </c>
      <c r="EN405" s="1" t="s">
        <v>282</v>
      </c>
      <c r="EO405" s="1" t="s">
        <v>234</v>
      </c>
      <c r="EQ405" s="1" t="s">
        <v>1109</v>
      </c>
      <c r="ER405" s="1" t="s">
        <v>210</v>
      </c>
      <c r="ES405" s="1" t="s">
        <v>322</v>
      </c>
      <c r="EV405" s="1" t="s">
        <v>324</v>
      </c>
      <c r="EW405" s="1" t="s">
        <v>353</v>
      </c>
      <c r="EY405" s="1" t="s">
        <v>1315</v>
      </c>
      <c r="EZ405" s="1" t="s">
        <v>287</v>
      </c>
      <c r="FD405" s="1" t="s">
        <v>246</v>
      </c>
      <c r="FE405" s="1" t="s">
        <v>765</v>
      </c>
      <c r="FF405" s="1" t="s">
        <v>248</v>
      </c>
      <c r="FH405" s="1" t="s">
        <v>550</v>
      </c>
      <c r="FI405" s="1" t="s">
        <v>357</v>
      </c>
      <c r="FL405" s="1" t="s">
        <v>358</v>
      </c>
      <c r="FM405" s="1" t="s">
        <v>252</v>
      </c>
      <c r="FN405" s="1" t="s">
        <v>213</v>
      </c>
      <c r="FO405" s="1" t="s">
        <v>213</v>
      </c>
      <c r="FQ405" s="1" t="s">
        <v>359</v>
      </c>
      <c r="FR405" s="1" t="s">
        <v>210</v>
      </c>
      <c r="FS405" s="1" t="s">
        <v>5528</v>
      </c>
      <c r="FT405" s="1" t="s">
        <v>5529</v>
      </c>
      <c r="FU405" s="1" t="s">
        <v>213</v>
      </c>
      <c r="FW405" s="1" t="s">
        <v>1637</v>
      </c>
      <c r="FX405" s="1">
        <v>2626</v>
      </c>
      <c r="FY405" s="1" t="s">
        <v>1638</v>
      </c>
      <c r="FZ405" s="1" t="s">
        <v>5530</v>
      </c>
      <c r="GA405" s="1">
        <v>28075</v>
      </c>
      <c r="GB405" s="1" t="s">
        <v>5531</v>
      </c>
      <c r="GE405" s="1" t="s">
        <v>480</v>
      </c>
      <c r="GI405" s="1" t="s">
        <v>213</v>
      </c>
      <c r="GJ405" s="1" t="s">
        <v>260</v>
      </c>
      <c r="GK405" s="1" t="s">
        <v>210</v>
      </c>
      <c r="GL405" s="2">
        <v>42053</v>
      </c>
      <c r="GM405" s="1" t="s">
        <v>5532</v>
      </c>
    </row>
    <row r="406" spans="1:195">
      <c r="A406" s="1">
        <v>71000</v>
      </c>
      <c r="B406" s="1" t="s">
        <v>195</v>
      </c>
      <c r="C406" s="1" t="str">
        <f>"08797392"</f>
        <v>08797392</v>
      </c>
      <c r="D406" s="1" t="s">
        <v>196</v>
      </c>
      <c r="F406" s="1" t="str">
        <f>"31"</f>
        <v>31</v>
      </c>
      <c r="G406" s="2">
        <v>41978</v>
      </c>
      <c r="H406" s="1">
        <v>79000</v>
      </c>
      <c r="I406" s="1">
        <v>79000</v>
      </c>
      <c r="J406" s="1">
        <v>71000</v>
      </c>
      <c r="K406" s="2">
        <v>41978</v>
      </c>
      <c r="L406" s="1">
        <v>83</v>
      </c>
      <c r="M406" s="2">
        <v>42060</v>
      </c>
      <c r="N406" s="1">
        <v>83</v>
      </c>
      <c r="O406" s="2">
        <v>42060</v>
      </c>
      <c r="P406" s="1">
        <v>8411</v>
      </c>
      <c r="Q406" s="1" t="s">
        <v>302</v>
      </c>
      <c r="R406" s="2">
        <v>42101</v>
      </c>
      <c r="S406" s="1">
        <v>86869</v>
      </c>
      <c r="U406" s="1">
        <v>5177</v>
      </c>
      <c r="V406" s="1" t="s">
        <v>1876</v>
      </c>
      <c r="W406" s="1" t="s">
        <v>504</v>
      </c>
      <c r="X406" s="1" t="s">
        <v>483</v>
      </c>
      <c r="Y406" s="1">
        <v>4</v>
      </c>
      <c r="Z406" s="1" t="s">
        <v>249</v>
      </c>
      <c r="AA406" s="1" t="s">
        <v>1057</v>
      </c>
      <c r="AB406" s="1">
        <v>60031</v>
      </c>
      <c r="AE406" s="1" t="s">
        <v>5533</v>
      </c>
      <c r="AF406" s="1">
        <v>1980</v>
      </c>
      <c r="AG406" s="1" t="s">
        <v>204</v>
      </c>
      <c r="AH406" s="1" t="s">
        <v>1060</v>
      </c>
      <c r="AI406" s="1" t="s">
        <v>509</v>
      </c>
      <c r="AJ406" s="1" t="s">
        <v>1061</v>
      </c>
      <c r="AL406" s="1">
        <v>5</v>
      </c>
      <c r="AM406" s="1">
        <v>2</v>
      </c>
      <c r="AN406" s="1">
        <v>2</v>
      </c>
      <c r="AO406" s="1">
        <v>0</v>
      </c>
      <c r="AP406" s="1" t="s">
        <v>209</v>
      </c>
      <c r="AQ406" s="1">
        <v>1</v>
      </c>
      <c r="AR406" s="1" t="s">
        <v>210</v>
      </c>
      <c r="AS406" s="1" t="s">
        <v>204</v>
      </c>
      <c r="AT406" s="1" t="s">
        <v>375</v>
      </c>
      <c r="AU406" s="1">
        <v>1</v>
      </c>
      <c r="AV406" s="1">
        <v>1</v>
      </c>
      <c r="AW406" s="1" t="s">
        <v>204</v>
      </c>
      <c r="AX406" s="1" t="s">
        <v>212</v>
      </c>
      <c r="AZ406" s="1">
        <v>2882.85</v>
      </c>
      <c r="BA406" s="1">
        <v>2013</v>
      </c>
      <c r="BE406" s="1">
        <v>1136</v>
      </c>
      <c r="BF406" s="1">
        <v>2</v>
      </c>
      <c r="BG406" s="1">
        <v>0</v>
      </c>
      <c r="BL406" s="1">
        <v>301</v>
      </c>
      <c r="BM406" s="1" t="s">
        <v>413</v>
      </c>
      <c r="BN406" s="1" t="s">
        <v>213</v>
      </c>
      <c r="BO406" s="1">
        <v>999</v>
      </c>
      <c r="BP406" s="1" t="s">
        <v>204</v>
      </c>
      <c r="BR406" s="1" t="str">
        <f>"07152070390000"</f>
        <v>07152070390000</v>
      </c>
      <c r="BT406" s="1" t="s">
        <v>5534</v>
      </c>
      <c r="BX406" s="1">
        <v>56</v>
      </c>
      <c r="BY406" s="1">
        <v>56</v>
      </c>
      <c r="BZ406" s="1">
        <v>121</v>
      </c>
      <c r="CB406" s="1" t="str">
        <f t="shared" ref="CB406:CC406" si="319">""</f>
        <v/>
      </c>
      <c r="CC406" s="1" t="str">
        <f t="shared" si="319"/>
        <v/>
      </c>
      <c r="CG406" s="1" t="s">
        <v>729</v>
      </c>
      <c r="CH406" s="1" t="s">
        <v>219</v>
      </c>
      <c r="CI406" s="1" t="s">
        <v>220</v>
      </c>
      <c r="CK406" s="1" t="s">
        <v>278</v>
      </c>
      <c r="CL406" s="1" t="s">
        <v>219</v>
      </c>
      <c r="CM406" s="1" t="s">
        <v>220</v>
      </c>
      <c r="CO406" s="1" t="s">
        <v>2031</v>
      </c>
      <c r="CP406" s="1" t="s">
        <v>219</v>
      </c>
      <c r="CQ406" s="1" t="s">
        <v>220</v>
      </c>
      <c r="CS406" s="1" t="s">
        <v>379</v>
      </c>
      <c r="CT406" s="1" t="s">
        <v>219</v>
      </c>
      <c r="CU406" s="1" t="s">
        <v>220</v>
      </c>
      <c r="CX406" s="1" t="s">
        <v>224</v>
      </c>
      <c r="DB406" s="1" t="s">
        <v>224</v>
      </c>
      <c r="DE406" s="1" t="s">
        <v>1612</v>
      </c>
      <c r="DF406" s="1" t="s">
        <v>219</v>
      </c>
      <c r="DG406" s="1" t="s">
        <v>342</v>
      </c>
      <c r="DJ406" s="1" t="s">
        <v>224</v>
      </c>
      <c r="DS406" s="1" t="s">
        <v>230</v>
      </c>
      <c r="DW406" s="1" t="s">
        <v>230</v>
      </c>
      <c r="EA406" s="1" t="s">
        <v>230</v>
      </c>
      <c r="EE406" s="1" t="s">
        <v>230</v>
      </c>
      <c r="EI406" s="1" t="s">
        <v>230</v>
      </c>
      <c r="EL406" s="1" t="s">
        <v>231</v>
      </c>
      <c r="EM406" s="1" t="s">
        <v>232</v>
      </c>
      <c r="EN406" s="1" t="s">
        <v>282</v>
      </c>
      <c r="EO406" s="1" t="s">
        <v>234</v>
      </c>
      <c r="EQ406" s="1" t="s">
        <v>5020</v>
      </c>
      <c r="ER406" s="1" t="s">
        <v>210</v>
      </c>
      <c r="ES406" s="1" t="s">
        <v>322</v>
      </c>
      <c r="EV406" s="1" t="s">
        <v>324</v>
      </c>
      <c r="EW406" s="1" t="s">
        <v>4236</v>
      </c>
      <c r="EZ406" s="1" t="s">
        <v>287</v>
      </c>
      <c r="FB406" s="1" t="s">
        <v>289</v>
      </c>
      <c r="FD406" s="1" t="s">
        <v>495</v>
      </c>
      <c r="FE406" s="1" t="s">
        <v>386</v>
      </c>
      <c r="FF406" s="1" t="s">
        <v>248</v>
      </c>
      <c r="FH406" s="1" t="s">
        <v>249</v>
      </c>
      <c r="FL406" s="1" t="s">
        <v>358</v>
      </c>
      <c r="FM406" s="1" t="s">
        <v>252</v>
      </c>
      <c r="FN406" s="1" t="s">
        <v>213</v>
      </c>
      <c r="FO406" s="1" t="s">
        <v>213</v>
      </c>
      <c r="FQ406" s="1" t="s">
        <v>5535</v>
      </c>
      <c r="FR406" s="1" t="s">
        <v>210</v>
      </c>
      <c r="FS406" s="1" t="s">
        <v>3919</v>
      </c>
      <c r="FT406" s="1" t="s">
        <v>2589</v>
      </c>
      <c r="FU406" s="1" t="s">
        <v>204</v>
      </c>
      <c r="FW406" s="1" t="s">
        <v>5536</v>
      </c>
      <c r="FX406" s="1">
        <v>92070</v>
      </c>
      <c r="FY406" s="1" t="s">
        <v>5537</v>
      </c>
      <c r="FZ406" s="1" t="s">
        <v>5538</v>
      </c>
      <c r="GA406" s="1">
        <v>15879</v>
      </c>
      <c r="GB406" s="1" t="s">
        <v>5539</v>
      </c>
      <c r="GE406" s="1" t="s">
        <v>210</v>
      </c>
      <c r="GI406" s="1" t="s">
        <v>213</v>
      </c>
      <c r="GJ406" s="1" t="s">
        <v>260</v>
      </c>
      <c r="GK406" s="1" t="s">
        <v>210</v>
      </c>
      <c r="GL406" s="2">
        <v>42111</v>
      </c>
      <c r="GM406" s="1" t="s">
        <v>5540</v>
      </c>
    </row>
    <row r="407" spans="1:195">
      <c r="A407" s="1">
        <v>95000</v>
      </c>
      <c r="B407" s="1" t="s">
        <v>195</v>
      </c>
      <c r="C407" s="1" t="str">
        <f>"08790543"</f>
        <v>08790543</v>
      </c>
      <c r="D407" s="1" t="s">
        <v>196</v>
      </c>
      <c r="F407" s="1" t="str">
        <f>"507"</f>
        <v>507</v>
      </c>
      <c r="G407" s="2">
        <v>41964</v>
      </c>
      <c r="H407" s="1">
        <v>105000</v>
      </c>
      <c r="I407" s="1">
        <v>105000</v>
      </c>
      <c r="J407" s="1">
        <v>95000</v>
      </c>
      <c r="K407" s="2">
        <v>41964</v>
      </c>
      <c r="L407" s="1">
        <v>39</v>
      </c>
      <c r="M407" s="2">
        <v>42002</v>
      </c>
      <c r="N407" s="1">
        <v>39</v>
      </c>
      <c r="O407" s="2">
        <v>42002</v>
      </c>
      <c r="P407" s="1">
        <v>23076</v>
      </c>
      <c r="Q407" s="1" t="s">
        <v>197</v>
      </c>
      <c r="R407" s="2">
        <v>42033</v>
      </c>
      <c r="S407" s="1">
        <v>241365</v>
      </c>
      <c r="U407" s="1">
        <v>395</v>
      </c>
      <c r="V407" s="1" t="s">
        <v>5541</v>
      </c>
      <c r="W407" s="1" t="s">
        <v>504</v>
      </c>
      <c r="X407" s="1" t="s">
        <v>1000</v>
      </c>
      <c r="Y407" s="1">
        <v>4</v>
      </c>
      <c r="Z407" s="1" t="s">
        <v>249</v>
      </c>
      <c r="AA407" s="1" t="s">
        <v>1123</v>
      </c>
      <c r="AB407" s="1">
        <v>60504</v>
      </c>
      <c r="AD407" s="1" t="s">
        <v>5542</v>
      </c>
      <c r="AE407" s="1" t="s">
        <v>5543</v>
      </c>
      <c r="AF407" s="1">
        <v>1986</v>
      </c>
      <c r="AG407" s="1" t="s">
        <v>204</v>
      </c>
      <c r="AH407" s="1" t="s">
        <v>1126</v>
      </c>
      <c r="AI407" s="1" t="s">
        <v>206</v>
      </c>
      <c r="AJ407" s="1" t="s">
        <v>924</v>
      </c>
      <c r="AL407" s="1">
        <v>5</v>
      </c>
      <c r="AM407" s="1">
        <v>2</v>
      </c>
      <c r="AN407" s="1">
        <v>2</v>
      </c>
      <c r="AO407" s="1">
        <v>0</v>
      </c>
      <c r="AP407" s="1" t="s">
        <v>209</v>
      </c>
      <c r="AQ407" s="1">
        <v>1</v>
      </c>
      <c r="AR407" s="1" t="s">
        <v>210</v>
      </c>
      <c r="AS407" s="1" t="s">
        <v>204</v>
      </c>
      <c r="AT407" s="1" t="s">
        <v>211</v>
      </c>
      <c r="AU407" s="1">
        <v>1</v>
      </c>
      <c r="AW407" s="1" t="s">
        <v>204</v>
      </c>
      <c r="AX407" s="1" t="s">
        <v>579</v>
      </c>
      <c r="AZ407" s="1">
        <v>2446</v>
      </c>
      <c r="BA407" s="1">
        <v>2013</v>
      </c>
      <c r="BB407" s="1" t="s">
        <v>405</v>
      </c>
      <c r="BE407" s="1">
        <v>1058</v>
      </c>
      <c r="BF407" s="1">
        <v>2</v>
      </c>
      <c r="BG407" s="1">
        <v>0</v>
      </c>
      <c r="BJ407" s="1">
        <v>90</v>
      </c>
      <c r="BK407" s="1">
        <v>75</v>
      </c>
      <c r="BL407" s="1">
        <v>208</v>
      </c>
      <c r="BM407" s="1" t="s">
        <v>204</v>
      </c>
      <c r="BN407" s="1" t="s">
        <v>213</v>
      </c>
      <c r="BO407" s="1">
        <v>30</v>
      </c>
      <c r="BP407" s="1" t="s">
        <v>204</v>
      </c>
      <c r="BR407" s="1" t="str">
        <f>"0720406031"</f>
        <v>0720406031</v>
      </c>
      <c r="BT407" s="1" t="s">
        <v>5544</v>
      </c>
      <c r="BU407" s="1" t="s">
        <v>2087</v>
      </c>
      <c r="BV407" s="1" t="s">
        <v>1130</v>
      </c>
      <c r="BW407" s="1" t="s">
        <v>1312</v>
      </c>
      <c r="BX407" s="1">
        <v>204</v>
      </c>
      <c r="BY407" s="1">
        <v>204</v>
      </c>
      <c r="BZ407" s="1">
        <v>204</v>
      </c>
      <c r="CB407" s="1" t="str">
        <f t="shared" ref="CB407:CC407" si="320">"0"</f>
        <v>0</v>
      </c>
      <c r="CC407" s="1" t="str">
        <f t="shared" si="320"/>
        <v>0</v>
      </c>
      <c r="CD407" s="1">
        <v>31</v>
      </c>
      <c r="CE407" s="1">
        <v>7</v>
      </c>
      <c r="CH407" s="1" t="s">
        <v>224</v>
      </c>
      <c r="CK407" s="1" t="s">
        <v>564</v>
      </c>
      <c r="CL407" s="1" t="s">
        <v>277</v>
      </c>
      <c r="CM407" s="1" t="s">
        <v>220</v>
      </c>
      <c r="CN407" s="1" t="s">
        <v>252</v>
      </c>
      <c r="CO407" s="1" t="s">
        <v>346</v>
      </c>
      <c r="CP407" s="1" t="s">
        <v>277</v>
      </c>
      <c r="CQ407" s="1" t="s">
        <v>220</v>
      </c>
      <c r="CR407" s="1" t="s">
        <v>210</v>
      </c>
      <c r="CS407" s="1" t="s">
        <v>346</v>
      </c>
      <c r="CT407" s="1" t="s">
        <v>277</v>
      </c>
      <c r="CU407" s="1" t="s">
        <v>220</v>
      </c>
      <c r="CV407" s="1" t="s">
        <v>252</v>
      </c>
      <c r="CX407" s="1" t="s">
        <v>224</v>
      </c>
      <c r="DB407" s="1" t="s">
        <v>224</v>
      </c>
      <c r="DE407" s="1" t="s">
        <v>346</v>
      </c>
      <c r="DF407" s="1" t="s">
        <v>277</v>
      </c>
      <c r="DG407" s="1" t="s">
        <v>226</v>
      </c>
      <c r="DI407" s="1" t="s">
        <v>515</v>
      </c>
      <c r="DJ407" s="1" t="s">
        <v>277</v>
      </c>
      <c r="DK407" s="1" t="s">
        <v>220</v>
      </c>
      <c r="DL407" s="1" t="s">
        <v>252</v>
      </c>
      <c r="DS407" s="1" t="s">
        <v>230</v>
      </c>
      <c r="DW407" s="1" t="s">
        <v>230</v>
      </c>
      <c r="EA407" s="1" t="s">
        <v>230</v>
      </c>
      <c r="EE407" s="1" t="s">
        <v>230</v>
      </c>
      <c r="EI407" s="1" t="s">
        <v>230</v>
      </c>
      <c r="EL407" s="1" t="s">
        <v>542</v>
      </c>
      <c r="EM407" s="1" t="s">
        <v>232</v>
      </c>
      <c r="EN407" s="1" t="s">
        <v>282</v>
      </c>
      <c r="EO407" s="1" t="s">
        <v>234</v>
      </c>
      <c r="EP407" s="1" t="s">
        <v>5545</v>
      </c>
      <c r="EQ407" s="1" t="s">
        <v>2188</v>
      </c>
      <c r="ER407" s="1" t="s">
        <v>210</v>
      </c>
      <c r="ES407" s="1" t="s">
        <v>493</v>
      </c>
      <c r="EV407" s="1" t="s">
        <v>352</v>
      </c>
      <c r="EW407" s="1" t="s">
        <v>5546</v>
      </c>
      <c r="EY407" s="1" t="s">
        <v>790</v>
      </c>
      <c r="EZ407" s="1" t="s">
        <v>287</v>
      </c>
      <c r="FA407" s="1" t="s">
        <v>5547</v>
      </c>
      <c r="FB407" s="1" t="s">
        <v>289</v>
      </c>
      <c r="FC407" s="1" t="s">
        <v>548</v>
      </c>
      <c r="FD407" s="1" t="s">
        <v>246</v>
      </c>
      <c r="FE407" s="1" t="s">
        <v>247</v>
      </c>
      <c r="FF407" s="1" t="s">
        <v>248</v>
      </c>
      <c r="FG407" s="1" t="s">
        <v>871</v>
      </c>
      <c r="FH407" s="1" t="s">
        <v>825</v>
      </c>
      <c r="FI407" s="1" t="s">
        <v>473</v>
      </c>
      <c r="FL407" s="1" t="s">
        <v>358</v>
      </c>
      <c r="FM407" s="1" t="s">
        <v>252</v>
      </c>
      <c r="FN407" s="1" t="s">
        <v>213</v>
      </c>
      <c r="FO407" s="1" t="s">
        <v>213</v>
      </c>
      <c r="FQ407" s="1" t="s">
        <v>3390</v>
      </c>
      <c r="FR407" s="1" t="s">
        <v>210</v>
      </c>
      <c r="FS407" s="1" t="s">
        <v>5548</v>
      </c>
      <c r="FT407" s="1" t="s">
        <v>5549</v>
      </c>
      <c r="FU407" s="1" t="s">
        <v>204</v>
      </c>
      <c r="FW407" s="1" t="s">
        <v>1898</v>
      </c>
      <c r="FX407" s="1">
        <v>23030</v>
      </c>
      <c r="FY407" s="1" t="s">
        <v>1899</v>
      </c>
      <c r="FZ407" s="1" t="s">
        <v>5550</v>
      </c>
      <c r="GA407" s="1">
        <v>234057</v>
      </c>
      <c r="GB407" s="1" t="s">
        <v>5551</v>
      </c>
      <c r="GC407" s="1">
        <v>231672</v>
      </c>
      <c r="GE407" s="1" t="s">
        <v>480</v>
      </c>
      <c r="GI407" s="1" t="s">
        <v>213</v>
      </c>
      <c r="GJ407" s="1" t="s">
        <v>260</v>
      </c>
      <c r="GK407" s="1" t="s">
        <v>210</v>
      </c>
      <c r="GL407" s="2">
        <v>42035</v>
      </c>
    </row>
    <row r="408" spans="1:195">
      <c r="A408" s="1">
        <v>96000</v>
      </c>
      <c r="B408" s="1" t="s">
        <v>195</v>
      </c>
      <c r="C408" s="1" t="str">
        <f>"08794731"</f>
        <v>08794731</v>
      </c>
      <c r="D408" s="1" t="s">
        <v>196</v>
      </c>
      <c r="F408" s="1" t="str">
        <f>"177"</f>
        <v>177</v>
      </c>
      <c r="G408" s="2">
        <v>41974</v>
      </c>
      <c r="H408" s="1">
        <v>114900</v>
      </c>
      <c r="I408" s="1">
        <v>104900</v>
      </c>
      <c r="J408" s="1">
        <v>96000</v>
      </c>
      <c r="K408" s="2">
        <v>41974</v>
      </c>
      <c r="L408" s="1">
        <v>60</v>
      </c>
      <c r="M408" s="2">
        <v>42033</v>
      </c>
      <c r="N408" s="1">
        <v>60</v>
      </c>
      <c r="O408" s="2">
        <v>42033</v>
      </c>
      <c r="P408" s="1">
        <v>41</v>
      </c>
      <c r="Q408" s="1" t="s">
        <v>302</v>
      </c>
      <c r="R408" s="2">
        <v>42041</v>
      </c>
      <c r="S408" s="1">
        <v>901</v>
      </c>
      <c r="U408" s="1">
        <v>258</v>
      </c>
      <c r="V408" s="1" t="s">
        <v>5552</v>
      </c>
      <c r="W408" s="1" t="s">
        <v>304</v>
      </c>
      <c r="X408" s="1" t="s">
        <v>1000</v>
      </c>
      <c r="Y408" s="1">
        <v>4</v>
      </c>
      <c r="Z408" s="1" t="s">
        <v>200</v>
      </c>
      <c r="AA408" s="1" t="s">
        <v>1461</v>
      </c>
      <c r="AB408" s="1">
        <v>60177</v>
      </c>
      <c r="AD408" s="1" t="s">
        <v>1462</v>
      </c>
      <c r="AE408" s="1" t="s">
        <v>5553</v>
      </c>
      <c r="AF408" s="1">
        <v>1999</v>
      </c>
      <c r="AG408" s="1" t="s">
        <v>204</v>
      </c>
      <c r="AH408" s="1" t="s">
        <v>1464</v>
      </c>
      <c r="AI408" s="1" t="s">
        <v>665</v>
      </c>
      <c r="AJ408" s="1" t="s">
        <v>1175</v>
      </c>
      <c r="AK408" s="1" t="s">
        <v>1000</v>
      </c>
      <c r="AL408" s="1">
        <v>7</v>
      </c>
      <c r="AM408" s="1">
        <v>2</v>
      </c>
      <c r="AN408" s="1">
        <v>1</v>
      </c>
      <c r="AO408" s="1">
        <v>1</v>
      </c>
      <c r="AP408" s="1" t="s">
        <v>667</v>
      </c>
      <c r="AR408" s="1" t="s">
        <v>209</v>
      </c>
      <c r="AS408" s="1" t="s">
        <v>204</v>
      </c>
      <c r="AT408" s="1" t="s">
        <v>211</v>
      </c>
      <c r="AU408" s="1">
        <v>1</v>
      </c>
      <c r="AW408" s="1" t="s">
        <v>204</v>
      </c>
      <c r="AX408" s="1" t="s">
        <v>212</v>
      </c>
      <c r="AZ408" s="1">
        <v>2803.74</v>
      </c>
      <c r="BA408" s="1">
        <v>2013</v>
      </c>
      <c r="BB408" s="1" t="s">
        <v>210</v>
      </c>
      <c r="BE408" s="1">
        <v>1100</v>
      </c>
      <c r="BF408" s="1">
        <v>1</v>
      </c>
      <c r="BG408" s="1">
        <v>1</v>
      </c>
      <c r="BL408" s="1">
        <v>146</v>
      </c>
      <c r="BM408" s="1" t="s">
        <v>204</v>
      </c>
      <c r="BN408" s="1" t="s">
        <v>213</v>
      </c>
      <c r="BO408" s="1">
        <v>999</v>
      </c>
      <c r="BP408" s="1" t="s">
        <v>204</v>
      </c>
      <c r="BR408" s="1" t="str">
        <f>"0635306065"</f>
        <v>0635306065</v>
      </c>
      <c r="BT408" s="1" t="s">
        <v>5554</v>
      </c>
      <c r="BX408" s="1">
        <v>46</v>
      </c>
      <c r="BY408" s="1">
        <v>46</v>
      </c>
      <c r="BZ408" s="1">
        <v>46</v>
      </c>
      <c r="CB408" s="1" t="str">
        <f>"8"</f>
        <v>8</v>
      </c>
      <c r="CC408" s="1" t="str">
        <f>"0"</f>
        <v>0</v>
      </c>
      <c r="CD408" s="1">
        <v>34</v>
      </c>
      <c r="CE408" s="1">
        <v>0</v>
      </c>
      <c r="CG408" s="1" t="s">
        <v>729</v>
      </c>
      <c r="CH408" s="1" t="s">
        <v>219</v>
      </c>
      <c r="CI408" s="1" t="s">
        <v>220</v>
      </c>
      <c r="CK408" s="1" t="s">
        <v>538</v>
      </c>
      <c r="CL408" s="1" t="s">
        <v>277</v>
      </c>
      <c r="CM408" s="1" t="s">
        <v>220</v>
      </c>
      <c r="CO408" s="1" t="s">
        <v>318</v>
      </c>
      <c r="CP408" s="1" t="s">
        <v>219</v>
      </c>
      <c r="CQ408" s="1" t="s">
        <v>220</v>
      </c>
      <c r="CS408" s="1" t="s">
        <v>1046</v>
      </c>
      <c r="CT408" s="1" t="s">
        <v>277</v>
      </c>
      <c r="CU408" s="1" t="s">
        <v>220</v>
      </c>
      <c r="CX408" s="1" t="s">
        <v>224</v>
      </c>
      <c r="DB408" s="1" t="s">
        <v>224</v>
      </c>
      <c r="DE408" s="1" t="s">
        <v>223</v>
      </c>
      <c r="DF408" s="1" t="s">
        <v>219</v>
      </c>
      <c r="DG408" s="1" t="s">
        <v>342</v>
      </c>
      <c r="DH408" s="1" t="s">
        <v>210</v>
      </c>
      <c r="DI408" s="1" t="s">
        <v>708</v>
      </c>
      <c r="DJ408" s="1" t="s">
        <v>822</v>
      </c>
      <c r="DK408" s="1" t="s">
        <v>220</v>
      </c>
      <c r="DM408" s="1" t="s">
        <v>464</v>
      </c>
      <c r="DR408" s="1" t="s">
        <v>4147</v>
      </c>
      <c r="DS408" s="1" t="s">
        <v>277</v>
      </c>
      <c r="DT408" s="1" t="s">
        <v>220</v>
      </c>
      <c r="DW408" s="1" t="s">
        <v>230</v>
      </c>
      <c r="EA408" s="1" t="s">
        <v>230</v>
      </c>
      <c r="EE408" s="1" t="s">
        <v>230</v>
      </c>
      <c r="EI408" s="1" t="s">
        <v>230</v>
      </c>
      <c r="EL408" s="1" t="s">
        <v>670</v>
      </c>
      <c r="EM408" s="1" t="s">
        <v>319</v>
      </c>
      <c r="EN408" s="1" t="s">
        <v>282</v>
      </c>
      <c r="EO408" s="1" t="s">
        <v>234</v>
      </c>
      <c r="ER408" s="1" t="s">
        <v>351</v>
      </c>
      <c r="ES408" s="1" t="s">
        <v>493</v>
      </c>
      <c r="EU408" s="1" t="s">
        <v>239</v>
      </c>
      <c r="EV408" s="1" t="s">
        <v>240</v>
      </c>
      <c r="EW408" s="1" t="s">
        <v>887</v>
      </c>
      <c r="EZ408" s="1" t="s">
        <v>464</v>
      </c>
      <c r="FA408" s="1" t="s">
        <v>2358</v>
      </c>
      <c r="FB408" s="1" t="s">
        <v>289</v>
      </c>
      <c r="FC408" s="1" t="s">
        <v>326</v>
      </c>
      <c r="FD408" s="1" t="s">
        <v>246</v>
      </c>
      <c r="FE408" s="1" t="s">
        <v>472</v>
      </c>
      <c r="FF408" s="1" t="s">
        <v>248</v>
      </c>
      <c r="FH408" s="1" t="s">
        <v>550</v>
      </c>
      <c r="FL408" s="1" t="s">
        <v>358</v>
      </c>
      <c r="FM408" s="1" t="s">
        <v>252</v>
      </c>
      <c r="FN408" s="1" t="s">
        <v>213</v>
      </c>
      <c r="FO408" s="1" t="s">
        <v>213</v>
      </c>
      <c r="FQ408" s="1" t="s">
        <v>582</v>
      </c>
      <c r="FR408" s="1" t="s">
        <v>210</v>
      </c>
      <c r="FS408" s="1" t="s">
        <v>5555</v>
      </c>
      <c r="FT408" s="1" t="s">
        <v>295</v>
      </c>
      <c r="FU408" s="1" t="s">
        <v>204</v>
      </c>
      <c r="FW408" s="1" t="s">
        <v>5556</v>
      </c>
      <c r="FX408" s="1">
        <v>25769</v>
      </c>
      <c r="FY408" s="1" t="s">
        <v>5557</v>
      </c>
      <c r="FZ408" s="1" t="s">
        <v>5558</v>
      </c>
      <c r="GA408" s="1">
        <v>221260</v>
      </c>
      <c r="GB408" s="1" t="s">
        <v>5559</v>
      </c>
      <c r="GE408" s="1" t="s">
        <v>210</v>
      </c>
      <c r="GI408" s="1" t="s">
        <v>213</v>
      </c>
      <c r="GJ408" s="1" t="s">
        <v>260</v>
      </c>
      <c r="GK408" s="1" t="s">
        <v>210</v>
      </c>
      <c r="GL408" s="2">
        <v>42044</v>
      </c>
      <c r="GM408" s="1" t="s">
        <v>5560</v>
      </c>
    </row>
    <row r="409" spans="1:195">
      <c r="A409" s="1">
        <v>90000</v>
      </c>
      <c r="B409" s="1" t="s">
        <v>195</v>
      </c>
      <c r="C409" s="1" t="str">
        <f>"08793571"</f>
        <v>08793571</v>
      </c>
      <c r="D409" s="1" t="s">
        <v>196</v>
      </c>
      <c r="F409" s="1" t="str">
        <f>"531"</f>
        <v>531</v>
      </c>
      <c r="G409" s="2">
        <v>41971</v>
      </c>
      <c r="H409" s="1">
        <v>90900</v>
      </c>
      <c r="I409" s="1">
        <v>90900</v>
      </c>
      <c r="J409" s="1">
        <v>90000</v>
      </c>
      <c r="K409" s="2">
        <v>41971</v>
      </c>
      <c r="L409" s="1">
        <v>11</v>
      </c>
      <c r="M409" s="2">
        <v>41981</v>
      </c>
      <c r="N409" s="1">
        <v>11</v>
      </c>
      <c r="O409" s="2">
        <v>41981</v>
      </c>
      <c r="P409" s="1">
        <v>24042</v>
      </c>
      <c r="Q409" s="1" t="s">
        <v>197</v>
      </c>
      <c r="R409" s="2">
        <v>42027</v>
      </c>
      <c r="S409" s="1">
        <v>241436</v>
      </c>
      <c r="U409" s="1">
        <v>6810</v>
      </c>
      <c r="V409" s="1" t="s">
        <v>5561</v>
      </c>
      <c r="W409" s="1" t="s">
        <v>1056</v>
      </c>
      <c r="X409" s="1">
        <v>2</v>
      </c>
      <c r="Y409" s="1">
        <v>12</v>
      </c>
      <c r="Z409" s="1" t="s">
        <v>370</v>
      </c>
      <c r="AA409" s="1" t="s">
        <v>2326</v>
      </c>
      <c r="AB409" s="1">
        <v>60525</v>
      </c>
      <c r="AD409" s="1" t="s">
        <v>5562</v>
      </c>
      <c r="AE409" s="1" t="s">
        <v>5563</v>
      </c>
      <c r="AF409" s="1">
        <v>1984</v>
      </c>
      <c r="AG409" s="1" t="s">
        <v>204</v>
      </c>
      <c r="AH409" s="1" t="s">
        <v>2329</v>
      </c>
      <c r="AI409" s="1" t="s">
        <v>310</v>
      </c>
      <c r="AJ409" s="1" t="s">
        <v>702</v>
      </c>
      <c r="AL409" s="1">
        <v>5</v>
      </c>
      <c r="AM409" s="1">
        <v>2</v>
      </c>
      <c r="AN409" s="1">
        <v>1</v>
      </c>
      <c r="AO409" s="1">
        <v>1</v>
      </c>
      <c r="AP409" s="1" t="s">
        <v>455</v>
      </c>
      <c r="AR409" s="1" t="s">
        <v>210</v>
      </c>
      <c r="AS409" s="1" t="s">
        <v>204</v>
      </c>
      <c r="AT409" s="1" t="s">
        <v>271</v>
      </c>
      <c r="AV409" s="1">
        <v>1</v>
      </c>
      <c r="AW409" s="1" t="s">
        <v>204</v>
      </c>
      <c r="AX409" s="1" t="s">
        <v>212</v>
      </c>
      <c r="AZ409" s="1">
        <v>2659.29</v>
      </c>
      <c r="BA409" s="1">
        <v>2013</v>
      </c>
      <c r="BB409" s="1" t="s">
        <v>210</v>
      </c>
      <c r="BE409" s="1">
        <v>1000</v>
      </c>
      <c r="BF409" s="1">
        <v>1</v>
      </c>
      <c r="BG409" s="1">
        <v>0</v>
      </c>
      <c r="BL409" s="1">
        <v>195</v>
      </c>
      <c r="BM409" s="1" t="s">
        <v>204</v>
      </c>
      <c r="BN409" s="1" t="s">
        <v>213</v>
      </c>
      <c r="BO409" s="1">
        <v>40</v>
      </c>
      <c r="BP409" s="1" t="s">
        <v>204</v>
      </c>
      <c r="BR409" s="1" t="str">
        <f>"18201000811029"</f>
        <v>18201000811029</v>
      </c>
      <c r="BT409" s="1" t="s">
        <v>5564</v>
      </c>
      <c r="BU409" s="1" t="s">
        <v>2495</v>
      </c>
      <c r="BV409" s="1" t="s">
        <v>2496</v>
      </c>
      <c r="BW409" s="1" t="s">
        <v>706</v>
      </c>
      <c r="BX409" s="1">
        <v>106</v>
      </c>
      <c r="BY409" s="1">
        <v>106</v>
      </c>
      <c r="BZ409" s="1">
        <v>204</v>
      </c>
      <c r="CB409" s="1" t="str">
        <f t="shared" ref="CB409:CC409" si="321">"0"</f>
        <v>0</v>
      </c>
      <c r="CC409" s="1" t="str">
        <f t="shared" si="321"/>
        <v>0</v>
      </c>
      <c r="CD409" s="1">
        <v>13</v>
      </c>
      <c r="CE409" s="1">
        <v>7</v>
      </c>
      <c r="CG409" s="1" t="s">
        <v>1004</v>
      </c>
      <c r="CH409" s="1" t="s">
        <v>219</v>
      </c>
      <c r="CI409" s="1" t="s">
        <v>226</v>
      </c>
      <c r="CK409" s="1" t="s">
        <v>221</v>
      </c>
      <c r="CL409" s="1" t="s">
        <v>219</v>
      </c>
      <c r="CM409" s="1" t="s">
        <v>226</v>
      </c>
      <c r="CO409" s="1" t="s">
        <v>409</v>
      </c>
      <c r="CP409" s="1" t="s">
        <v>219</v>
      </c>
      <c r="CQ409" s="1" t="s">
        <v>226</v>
      </c>
      <c r="CS409" s="1" t="s">
        <v>461</v>
      </c>
      <c r="CT409" s="1" t="s">
        <v>219</v>
      </c>
      <c r="CU409" s="1" t="s">
        <v>226</v>
      </c>
      <c r="CX409" s="1" t="s">
        <v>224</v>
      </c>
      <c r="DB409" s="1" t="s">
        <v>224</v>
      </c>
      <c r="DE409" s="1" t="s">
        <v>1133</v>
      </c>
      <c r="DF409" s="1" t="s">
        <v>219</v>
      </c>
      <c r="DG409" s="1" t="s">
        <v>226</v>
      </c>
      <c r="DJ409" s="1" t="s">
        <v>224</v>
      </c>
      <c r="DS409" s="1" t="s">
        <v>230</v>
      </c>
      <c r="DW409" s="1" t="s">
        <v>230</v>
      </c>
      <c r="EA409" s="1" t="s">
        <v>230</v>
      </c>
      <c r="EE409" s="1" t="s">
        <v>230</v>
      </c>
      <c r="EI409" s="1" t="s">
        <v>230</v>
      </c>
      <c r="EL409" s="1" t="s">
        <v>542</v>
      </c>
      <c r="EM409" s="1" t="s">
        <v>232</v>
      </c>
      <c r="EN409" s="1" t="s">
        <v>282</v>
      </c>
      <c r="EO409" s="1" t="s">
        <v>1020</v>
      </c>
      <c r="EP409" s="1" t="s">
        <v>5565</v>
      </c>
      <c r="EQ409" s="1" t="s">
        <v>5566</v>
      </c>
      <c r="ER409" s="1" t="s">
        <v>210</v>
      </c>
      <c r="ES409" s="1" t="s">
        <v>322</v>
      </c>
      <c r="EU409" s="1" t="s">
        <v>239</v>
      </c>
      <c r="EV409" s="1" t="s">
        <v>240</v>
      </c>
      <c r="EW409" s="1" t="s">
        <v>286</v>
      </c>
      <c r="EY409" s="1" t="s">
        <v>242</v>
      </c>
      <c r="EZ409" s="1" t="s">
        <v>287</v>
      </c>
      <c r="FB409" s="1" t="s">
        <v>289</v>
      </c>
      <c r="FD409" s="1" t="s">
        <v>246</v>
      </c>
      <c r="FE409" s="1" t="s">
        <v>247</v>
      </c>
      <c r="FF409" s="1" t="s">
        <v>248</v>
      </c>
      <c r="FH409" s="1" t="s">
        <v>249</v>
      </c>
      <c r="FK409" s="1" t="s">
        <v>389</v>
      </c>
      <c r="FL409" s="1" t="s">
        <v>358</v>
      </c>
      <c r="FM409" s="1" t="s">
        <v>252</v>
      </c>
      <c r="FN409" s="1" t="s">
        <v>213</v>
      </c>
      <c r="FO409" s="1" t="s">
        <v>213</v>
      </c>
      <c r="FQ409" s="1" t="s">
        <v>689</v>
      </c>
      <c r="FR409" s="1" t="s">
        <v>210</v>
      </c>
      <c r="FS409" s="1" t="s">
        <v>1709</v>
      </c>
      <c r="FT409" s="1" t="s">
        <v>362</v>
      </c>
      <c r="FU409" s="1" t="s">
        <v>204</v>
      </c>
      <c r="FW409" s="1" t="s">
        <v>1475</v>
      </c>
      <c r="FX409" s="1">
        <v>23265</v>
      </c>
      <c r="FY409" s="1" t="s">
        <v>1476</v>
      </c>
      <c r="FZ409" s="1" t="s">
        <v>4239</v>
      </c>
      <c r="GA409" s="1">
        <v>232733</v>
      </c>
      <c r="GB409" s="1" t="s">
        <v>4240</v>
      </c>
      <c r="GD409" s="1" t="s">
        <v>4241</v>
      </c>
      <c r="GE409" s="1" t="s">
        <v>1145</v>
      </c>
      <c r="GI409" s="1" t="s">
        <v>213</v>
      </c>
      <c r="GJ409" s="1" t="s">
        <v>260</v>
      </c>
      <c r="GK409" s="1" t="s">
        <v>210</v>
      </c>
      <c r="GL409" s="2">
        <v>42027</v>
      </c>
      <c r="GM409" s="1" t="s">
        <v>5567</v>
      </c>
    </row>
    <row r="410" spans="1:195">
      <c r="A410" s="1">
        <v>131000</v>
      </c>
      <c r="B410" s="1" t="s">
        <v>195</v>
      </c>
      <c r="C410" s="1" t="str">
        <f>"08794629"</f>
        <v>08794629</v>
      </c>
      <c r="D410" s="1" t="s">
        <v>196</v>
      </c>
      <c r="F410" s="1" t="str">
        <f>"8064"</f>
        <v>8064</v>
      </c>
      <c r="G410" s="2">
        <v>41974</v>
      </c>
      <c r="H410" s="1">
        <v>134900</v>
      </c>
      <c r="I410" s="1">
        <v>134900</v>
      </c>
      <c r="J410" s="1">
        <v>131000</v>
      </c>
      <c r="K410" s="2">
        <v>41974</v>
      </c>
      <c r="L410" s="1">
        <v>23</v>
      </c>
      <c r="M410" s="2">
        <v>41996</v>
      </c>
      <c r="N410" s="1">
        <v>23</v>
      </c>
      <c r="O410" s="2">
        <v>41996</v>
      </c>
      <c r="P410" s="1">
        <v>22592</v>
      </c>
      <c r="Q410" s="1" t="s">
        <v>423</v>
      </c>
      <c r="R410" s="2">
        <v>42041</v>
      </c>
      <c r="S410" s="1">
        <v>228693</v>
      </c>
      <c r="U410" s="1">
        <v>6328</v>
      </c>
      <c r="V410" s="1" t="s">
        <v>5568</v>
      </c>
      <c r="W410" s="1" t="s">
        <v>425</v>
      </c>
      <c r="X410" s="1">
        <v>6328</v>
      </c>
      <c r="Y410" s="1">
        <v>4</v>
      </c>
      <c r="Z410" s="1" t="s">
        <v>200</v>
      </c>
      <c r="AA410" s="1" t="s">
        <v>400</v>
      </c>
      <c r="AB410" s="1">
        <v>60638</v>
      </c>
      <c r="AC410" s="1">
        <v>5621</v>
      </c>
      <c r="AE410" s="1" t="s">
        <v>5569</v>
      </c>
      <c r="AF410" s="1">
        <v>1945</v>
      </c>
      <c r="AG410" s="1" t="s">
        <v>213</v>
      </c>
      <c r="AH410" s="1" t="s">
        <v>403</v>
      </c>
      <c r="AI410" s="1" t="s">
        <v>310</v>
      </c>
      <c r="AJ410" s="1" t="s">
        <v>683</v>
      </c>
      <c r="AL410" s="1">
        <v>6</v>
      </c>
      <c r="AM410" s="1">
        <v>2</v>
      </c>
      <c r="AN410" s="1">
        <v>1</v>
      </c>
      <c r="AO410" s="1">
        <v>0</v>
      </c>
      <c r="AP410" s="1" t="s">
        <v>210</v>
      </c>
      <c r="AR410" s="1" t="s">
        <v>2275</v>
      </c>
      <c r="AS410" s="1" t="s">
        <v>204</v>
      </c>
      <c r="AT410" s="1" t="s">
        <v>211</v>
      </c>
      <c r="AU410" s="1">
        <v>1</v>
      </c>
      <c r="AW410" s="1" t="s">
        <v>204</v>
      </c>
      <c r="AX410" s="1" t="s">
        <v>5570</v>
      </c>
      <c r="AZ410" s="1">
        <v>1607</v>
      </c>
      <c r="BA410" s="1">
        <v>2013</v>
      </c>
      <c r="BB410" s="1" t="s">
        <v>405</v>
      </c>
      <c r="BE410" s="1">
        <v>900</v>
      </c>
      <c r="BF410" s="1">
        <v>1</v>
      </c>
      <c r="BG410" s="1">
        <v>0</v>
      </c>
      <c r="BK410" s="1">
        <v>0</v>
      </c>
      <c r="BL410" s="1">
        <v>0</v>
      </c>
      <c r="BM410" s="1" t="s">
        <v>204</v>
      </c>
      <c r="BN410" s="1" t="s">
        <v>213</v>
      </c>
      <c r="BO410" s="1">
        <v>50</v>
      </c>
      <c r="BP410" s="1" t="s">
        <v>204</v>
      </c>
      <c r="BR410" s="1" t="str">
        <f>"19211020570000"</f>
        <v>19211020570000</v>
      </c>
      <c r="BT410" s="1" t="s">
        <v>5571</v>
      </c>
      <c r="BX410" s="1">
        <v>299</v>
      </c>
      <c r="BY410" s="1">
        <v>299</v>
      </c>
      <c r="BZ410" s="1">
        <v>299</v>
      </c>
      <c r="CB410" s="1" t="str">
        <f t="shared" ref="CB410:CC410" si="322">"0"</f>
        <v>0</v>
      </c>
      <c r="CC410" s="1" t="str">
        <f t="shared" si="322"/>
        <v>0</v>
      </c>
      <c r="CD410" s="1">
        <v>5300</v>
      </c>
      <c r="CE410" s="1">
        <v>6328</v>
      </c>
      <c r="CG410" s="1" t="s">
        <v>278</v>
      </c>
      <c r="CH410" s="1" t="s">
        <v>219</v>
      </c>
      <c r="CI410" s="1" t="s">
        <v>438</v>
      </c>
      <c r="CK410" s="1" t="s">
        <v>465</v>
      </c>
      <c r="CL410" s="1" t="s">
        <v>277</v>
      </c>
      <c r="CM410" s="1" t="s">
        <v>438</v>
      </c>
      <c r="CO410" s="1" t="s">
        <v>3657</v>
      </c>
      <c r="CP410" s="1" t="s">
        <v>219</v>
      </c>
      <c r="CQ410" s="1" t="s">
        <v>438</v>
      </c>
      <c r="CS410" s="1" t="s">
        <v>1470</v>
      </c>
      <c r="CT410" s="1" t="s">
        <v>277</v>
      </c>
      <c r="CU410" s="1" t="s">
        <v>438</v>
      </c>
      <c r="CX410" s="1" t="s">
        <v>224</v>
      </c>
      <c r="DB410" s="1" t="s">
        <v>224</v>
      </c>
      <c r="DE410" s="1" t="s">
        <v>4098</v>
      </c>
      <c r="DF410" s="1" t="s">
        <v>219</v>
      </c>
      <c r="DG410" s="1" t="s">
        <v>226</v>
      </c>
      <c r="DI410" s="1" t="s">
        <v>5572</v>
      </c>
      <c r="DJ410" s="1" t="s">
        <v>43</v>
      </c>
      <c r="DK410" s="1" t="s">
        <v>347</v>
      </c>
      <c r="DS410" s="1" t="s">
        <v>230</v>
      </c>
      <c r="DW410" s="1" t="s">
        <v>230</v>
      </c>
      <c r="EA410" s="1" t="s">
        <v>230</v>
      </c>
      <c r="EE410" s="1" t="s">
        <v>230</v>
      </c>
      <c r="EI410" s="1" t="s">
        <v>230</v>
      </c>
      <c r="EL410" s="1" t="s">
        <v>3717</v>
      </c>
      <c r="EM410" s="1" t="s">
        <v>232</v>
      </c>
      <c r="EN410" s="1" t="s">
        <v>282</v>
      </c>
      <c r="EO410" s="1" t="s">
        <v>5573</v>
      </c>
      <c r="EP410" s="1" t="s">
        <v>5574</v>
      </c>
      <c r="EQ410" s="1" t="s">
        <v>2319</v>
      </c>
      <c r="ER410" s="1" t="s">
        <v>544</v>
      </c>
      <c r="EU410" s="1" t="s">
        <v>546</v>
      </c>
      <c r="EV410" s="1" t="s">
        <v>240</v>
      </c>
      <c r="EW410" s="1" t="s">
        <v>210</v>
      </c>
      <c r="EY410" s="1" t="s">
        <v>242</v>
      </c>
      <c r="EZ410" s="1" t="s">
        <v>287</v>
      </c>
      <c r="FA410" s="1" t="s">
        <v>4439</v>
      </c>
      <c r="FD410" s="1" t="s">
        <v>246</v>
      </c>
      <c r="FE410" s="1" t="s">
        <v>247</v>
      </c>
      <c r="FF410" s="1" t="s">
        <v>387</v>
      </c>
      <c r="FH410" s="1" t="s">
        <v>550</v>
      </c>
      <c r="FJ410" s="1" t="s">
        <v>518</v>
      </c>
      <c r="FL410" s="1" t="s">
        <v>358</v>
      </c>
      <c r="FM410" s="1" t="s">
        <v>252</v>
      </c>
      <c r="FN410" s="1" t="s">
        <v>213</v>
      </c>
      <c r="FO410" s="1" t="s">
        <v>213</v>
      </c>
      <c r="FQ410" s="1" t="s">
        <v>1758</v>
      </c>
      <c r="FR410" s="1" t="s">
        <v>411</v>
      </c>
      <c r="FS410" s="1" t="s">
        <v>5575</v>
      </c>
      <c r="FT410" s="1" t="s">
        <v>255</v>
      </c>
      <c r="FU410" s="1" t="s">
        <v>204</v>
      </c>
      <c r="FW410" s="1" t="s">
        <v>5576</v>
      </c>
      <c r="FX410" s="1">
        <v>60321</v>
      </c>
      <c r="FY410" s="1" t="s">
        <v>5577</v>
      </c>
      <c r="FZ410" s="1" t="s">
        <v>5578</v>
      </c>
      <c r="GA410" s="1">
        <v>219100</v>
      </c>
      <c r="GD410" s="1" t="s">
        <v>5579</v>
      </c>
      <c r="GE410" s="1" t="s">
        <v>210</v>
      </c>
      <c r="GH410" s="1" t="s">
        <v>421</v>
      </c>
      <c r="GI410" s="1" t="s">
        <v>213</v>
      </c>
      <c r="GJ410" s="1" t="s">
        <v>260</v>
      </c>
      <c r="GK410" s="1" t="s">
        <v>261</v>
      </c>
      <c r="GL410" s="2">
        <v>42041</v>
      </c>
      <c r="GM410" s="1" t="s">
        <v>5580</v>
      </c>
    </row>
    <row r="411" spans="1:195">
      <c r="A411" s="1">
        <v>95000</v>
      </c>
      <c r="B411" s="1" t="s">
        <v>195</v>
      </c>
      <c r="C411" s="1" t="str">
        <f>"08791563"</f>
        <v>08791563</v>
      </c>
      <c r="D411" s="1" t="s">
        <v>196</v>
      </c>
      <c r="F411" s="1" t="str">
        <f>"126"</f>
        <v>126</v>
      </c>
      <c r="G411" s="2">
        <v>41966</v>
      </c>
      <c r="H411" s="1">
        <v>109000</v>
      </c>
      <c r="I411" s="1">
        <v>109000</v>
      </c>
      <c r="J411" s="1">
        <v>95000</v>
      </c>
      <c r="K411" s="2">
        <v>41966</v>
      </c>
      <c r="L411" s="1">
        <v>38</v>
      </c>
      <c r="M411" s="2">
        <v>42003</v>
      </c>
      <c r="N411" s="1">
        <v>38</v>
      </c>
      <c r="O411" s="2">
        <v>42003</v>
      </c>
      <c r="P411" s="1">
        <v>26013</v>
      </c>
      <c r="Q411" s="1" t="s">
        <v>197</v>
      </c>
      <c r="R411" s="2">
        <v>42034</v>
      </c>
      <c r="S411" s="1">
        <v>238305</v>
      </c>
      <c r="U411" s="1">
        <v>841</v>
      </c>
      <c r="V411" s="1" t="s">
        <v>3168</v>
      </c>
      <c r="W411" s="1" t="s">
        <v>725</v>
      </c>
      <c r="X411" s="1">
        <v>422</v>
      </c>
      <c r="Y411" s="1">
        <v>120</v>
      </c>
      <c r="Z411" s="1" t="s">
        <v>249</v>
      </c>
      <c r="AA411" s="1" t="s">
        <v>3169</v>
      </c>
      <c r="AB411" s="1">
        <v>60126</v>
      </c>
      <c r="AE411" s="1" t="s">
        <v>5581</v>
      </c>
      <c r="AF411" s="1">
        <v>1975</v>
      </c>
      <c r="AG411" s="1" t="s">
        <v>213</v>
      </c>
      <c r="AH411" s="1" t="s">
        <v>3172</v>
      </c>
      <c r="AI411" s="1" t="s">
        <v>206</v>
      </c>
      <c r="AJ411" s="1" t="s">
        <v>1233</v>
      </c>
      <c r="AL411" s="1">
        <v>5</v>
      </c>
      <c r="AM411" s="1">
        <v>2</v>
      </c>
      <c r="AN411" s="1">
        <v>2</v>
      </c>
      <c r="AO411" s="1">
        <v>0</v>
      </c>
      <c r="AP411" s="1" t="s">
        <v>209</v>
      </c>
      <c r="AR411" s="1" t="s">
        <v>210</v>
      </c>
      <c r="AS411" s="1" t="s">
        <v>204</v>
      </c>
      <c r="AT411" s="1" t="s">
        <v>271</v>
      </c>
      <c r="AV411" s="1">
        <v>2</v>
      </c>
      <c r="AW411" s="1" t="s">
        <v>204</v>
      </c>
      <c r="AX411" s="1" t="s">
        <v>212</v>
      </c>
      <c r="AZ411" s="1">
        <v>1915</v>
      </c>
      <c r="BA411" s="1">
        <v>2013</v>
      </c>
      <c r="BE411" s="1">
        <v>1000</v>
      </c>
      <c r="BF411" s="1">
        <v>4</v>
      </c>
      <c r="BG411" s="1">
        <v>0</v>
      </c>
      <c r="BJ411" s="1">
        <v>100</v>
      </c>
      <c r="BL411" s="1">
        <v>290</v>
      </c>
      <c r="BM411" s="1" t="s">
        <v>204</v>
      </c>
      <c r="BN411" s="1" t="s">
        <v>213</v>
      </c>
      <c r="BP411" s="1" t="s">
        <v>204</v>
      </c>
      <c r="BR411" s="1" t="str">
        <f>"0325326115"</f>
        <v>0325326115</v>
      </c>
      <c r="BT411" s="1" t="s">
        <v>5582</v>
      </c>
      <c r="BU411" s="1" t="s">
        <v>5583</v>
      </c>
      <c r="BV411" s="1" t="s">
        <v>5584</v>
      </c>
      <c r="BW411" s="1" t="s">
        <v>3176</v>
      </c>
      <c r="BX411" s="1">
        <v>205</v>
      </c>
      <c r="BY411" s="1">
        <v>205</v>
      </c>
      <c r="BZ411" s="1">
        <v>205</v>
      </c>
      <c r="CB411" s="1" t="str">
        <f t="shared" ref="CB411:CC411" si="323">""</f>
        <v/>
      </c>
      <c r="CC411" s="1" t="str">
        <f t="shared" si="323"/>
        <v/>
      </c>
      <c r="CG411" s="1" t="s">
        <v>885</v>
      </c>
      <c r="CH411" s="1" t="s">
        <v>219</v>
      </c>
      <c r="CI411" s="1" t="s">
        <v>220</v>
      </c>
      <c r="CJ411" s="1" t="s">
        <v>343</v>
      </c>
      <c r="CK411" s="1" t="s">
        <v>278</v>
      </c>
      <c r="CL411" s="1" t="s">
        <v>219</v>
      </c>
      <c r="CM411" s="1" t="s">
        <v>220</v>
      </c>
      <c r="CN411" s="1" t="s">
        <v>343</v>
      </c>
      <c r="CO411" s="1" t="s">
        <v>409</v>
      </c>
      <c r="CP411" s="1" t="s">
        <v>219</v>
      </c>
      <c r="CQ411" s="1" t="s">
        <v>220</v>
      </c>
      <c r="CR411" s="1" t="s">
        <v>210</v>
      </c>
      <c r="CS411" s="1" t="s">
        <v>1297</v>
      </c>
      <c r="CT411" s="1" t="s">
        <v>219</v>
      </c>
      <c r="CU411" s="1" t="s">
        <v>220</v>
      </c>
      <c r="CV411" s="1" t="s">
        <v>343</v>
      </c>
      <c r="CX411" s="1" t="s">
        <v>224</v>
      </c>
      <c r="DB411" s="1" t="s">
        <v>224</v>
      </c>
      <c r="DE411" s="1" t="s">
        <v>316</v>
      </c>
      <c r="DF411" s="1" t="s">
        <v>219</v>
      </c>
      <c r="DG411" s="1" t="s">
        <v>226</v>
      </c>
      <c r="DH411" s="1" t="s">
        <v>439</v>
      </c>
      <c r="DJ411" s="1" t="s">
        <v>224</v>
      </c>
      <c r="DS411" s="1" t="s">
        <v>230</v>
      </c>
      <c r="DW411" s="1" t="s">
        <v>230</v>
      </c>
      <c r="EA411" s="1" t="s">
        <v>230</v>
      </c>
      <c r="EE411" s="1" t="s">
        <v>230</v>
      </c>
      <c r="EI411" s="1" t="s">
        <v>230</v>
      </c>
      <c r="EL411" s="1" t="s">
        <v>231</v>
      </c>
      <c r="EM411" s="1" t="s">
        <v>232</v>
      </c>
      <c r="EN411" s="1" t="s">
        <v>282</v>
      </c>
      <c r="EO411" s="1" t="s">
        <v>234</v>
      </c>
      <c r="ER411" s="1" t="s">
        <v>210</v>
      </c>
      <c r="EW411" s="1" t="s">
        <v>5585</v>
      </c>
      <c r="EZ411" s="1" t="s">
        <v>287</v>
      </c>
      <c r="FD411" s="1" t="s">
        <v>736</v>
      </c>
      <c r="FE411" s="1" t="s">
        <v>247</v>
      </c>
      <c r="FF411" s="1" t="s">
        <v>248</v>
      </c>
      <c r="FH411" s="1" t="s">
        <v>249</v>
      </c>
      <c r="FK411" s="1" t="s">
        <v>4663</v>
      </c>
      <c r="FL411" s="1" t="s">
        <v>358</v>
      </c>
      <c r="FM411" s="1" t="s">
        <v>252</v>
      </c>
      <c r="FN411" s="1" t="s">
        <v>213</v>
      </c>
      <c r="FO411" s="1" t="s">
        <v>213</v>
      </c>
      <c r="FQ411" s="1" t="s">
        <v>913</v>
      </c>
      <c r="FR411" s="1" t="s">
        <v>210</v>
      </c>
      <c r="FS411" s="1" t="s">
        <v>5586</v>
      </c>
      <c r="FT411" s="1" t="s">
        <v>295</v>
      </c>
      <c r="FU411" s="1" t="s">
        <v>204</v>
      </c>
      <c r="FW411" s="1" t="s">
        <v>2179</v>
      </c>
      <c r="FX411" s="1">
        <v>22039</v>
      </c>
      <c r="FY411" s="1" t="s">
        <v>2180</v>
      </c>
      <c r="FZ411" s="1" t="s">
        <v>5587</v>
      </c>
      <c r="GA411" s="1">
        <v>229492</v>
      </c>
      <c r="GB411" s="1" t="s">
        <v>5588</v>
      </c>
      <c r="GE411" s="1" t="s">
        <v>1120</v>
      </c>
      <c r="GH411" s="1" t="s">
        <v>230</v>
      </c>
      <c r="GI411" s="1" t="s">
        <v>213</v>
      </c>
      <c r="GJ411" s="1" t="s">
        <v>260</v>
      </c>
      <c r="GK411" s="1" t="s">
        <v>261</v>
      </c>
      <c r="GL411" s="2">
        <v>42037</v>
      </c>
    </row>
    <row r="412" spans="1:195">
      <c r="A412" s="1">
        <v>70000</v>
      </c>
      <c r="B412" s="1" t="s">
        <v>195</v>
      </c>
      <c r="C412" s="1" t="str">
        <f>"08797996"</f>
        <v>08797996</v>
      </c>
      <c r="D412" s="1" t="s">
        <v>196</v>
      </c>
      <c r="F412" s="1" t="str">
        <f>"507"</f>
        <v>507</v>
      </c>
      <c r="G412" s="2">
        <v>41979</v>
      </c>
      <c r="H412" s="1">
        <v>69900</v>
      </c>
      <c r="I412" s="1">
        <v>69900</v>
      </c>
      <c r="J412" s="1">
        <v>70000</v>
      </c>
      <c r="K412" s="2">
        <v>41978</v>
      </c>
      <c r="L412" s="1">
        <v>18</v>
      </c>
      <c r="M412" s="2">
        <v>41995</v>
      </c>
      <c r="N412" s="1">
        <v>18</v>
      </c>
      <c r="O412" s="2">
        <v>41995</v>
      </c>
      <c r="P412" s="1">
        <v>22993</v>
      </c>
      <c r="Q412" s="1" t="s">
        <v>302</v>
      </c>
      <c r="R412" s="2">
        <v>42033</v>
      </c>
      <c r="S412" s="1">
        <v>236849</v>
      </c>
      <c r="U412" s="1">
        <v>304</v>
      </c>
      <c r="V412" s="1" t="s">
        <v>5589</v>
      </c>
      <c r="W412" s="1" t="s">
        <v>304</v>
      </c>
      <c r="X412" s="1" t="s">
        <v>5590</v>
      </c>
      <c r="Y412" s="1">
        <v>4</v>
      </c>
      <c r="Z412" s="1" t="s">
        <v>249</v>
      </c>
      <c r="AA412" s="1" t="s">
        <v>1123</v>
      </c>
      <c r="AB412" s="1">
        <v>60504</v>
      </c>
      <c r="AD412" s="1" t="s">
        <v>5542</v>
      </c>
      <c r="AE412" s="1" t="s">
        <v>5591</v>
      </c>
      <c r="AF412" s="1">
        <v>1986</v>
      </c>
      <c r="AG412" s="1" t="s">
        <v>204</v>
      </c>
      <c r="AH412" s="1" t="s">
        <v>1126</v>
      </c>
      <c r="AI412" s="1" t="s">
        <v>206</v>
      </c>
      <c r="AJ412" s="1" t="s">
        <v>924</v>
      </c>
      <c r="AL412" s="1">
        <v>5</v>
      </c>
      <c r="AM412" s="1">
        <v>2</v>
      </c>
      <c r="AN412" s="1">
        <v>1</v>
      </c>
      <c r="AO412" s="1">
        <v>0</v>
      </c>
      <c r="AP412" s="1" t="s">
        <v>210</v>
      </c>
      <c r="AR412" s="1" t="s">
        <v>210</v>
      </c>
      <c r="AS412" s="1" t="s">
        <v>204</v>
      </c>
      <c r="AT412" s="1" t="s">
        <v>211</v>
      </c>
      <c r="AU412" s="1">
        <v>1</v>
      </c>
      <c r="AW412" s="1" t="s">
        <v>204</v>
      </c>
      <c r="AX412" s="1" t="s">
        <v>212</v>
      </c>
      <c r="AZ412" s="4">
        <v>1597.4</v>
      </c>
      <c r="BA412" s="1">
        <v>2013</v>
      </c>
      <c r="BB412" s="1" t="s">
        <v>405</v>
      </c>
      <c r="BE412" s="1">
        <v>840</v>
      </c>
      <c r="BF412" s="1">
        <v>1</v>
      </c>
      <c r="BG412" s="1">
        <v>30</v>
      </c>
      <c r="BJ412" s="1">
        <v>100</v>
      </c>
      <c r="BL412" s="1">
        <v>221</v>
      </c>
      <c r="BM412" s="1" t="s">
        <v>413</v>
      </c>
      <c r="BN412" s="1" t="s">
        <v>213</v>
      </c>
      <c r="BO412" s="1">
        <v>30</v>
      </c>
      <c r="BP412" s="1" t="s">
        <v>204</v>
      </c>
      <c r="BR412" s="1" t="str">
        <f>"0720410163"</f>
        <v>0720410163</v>
      </c>
      <c r="BT412" s="1" t="s">
        <v>5592</v>
      </c>
      <c r="BX412" s="1">
        <v>204</v>
      </c>
      <c r="BY412" s="1">
        <v>204</v>
      </c>
      <c r="BZ412" s="1">
        <v>204</v>
      </c>
      <c r="CB412" s="1" t="str">
        <f t="shared" ref="CB412:CC412" si="324">""</f>
        <v/>
      </c>
      <c r="CC412" s="1" t="str">
        <f t="shared" si="324"/>
        <v/>
      </c>
      <c r="CG412" s="1" t="s">
        <v>581</v>
      </c>
      <c r="CH412" s="1" t="s">
        <v>219</v>
      </c>
      <c r="CI412" s="1" t="s">
        <v>220</v>
      </c>
      <c r="CJ412" s="1" t="s">
        <v>210</v>
      </c>
      <c r="CK412" s="1" t="s">
        <v>317</v>
      </c>
      <c r="CL412" s="1" t="s">
        <v>219</v>
      </c>
      <c r="CM412" s="1" t="s">
        <v>220</v>
      </c>
      <c r="CN412" s="1" t="s">
        <v>210</v>
      </c>
      <c r="CO412" s="1" t="s">
        <v>489</v>
      </c>
      <c r="CP412" s="1" t="s">
        <v>219</v>
      </c>
      <c r="CQ412" s="1" t="s">
        <v>220</v>
      </c>
      <c r="CR412" s="1" t="s">
        <v>210</v>
      </c>
      <c r="CS412" s="1" t="s">
        <v>630</v>
      </c>
      <c r="CT412" s="1" t="s">
        <v>219</v>
      </c>
      <c r="CU412" s="1" t="s">
        <v>220</v>
      </c>
      <c r="CV412" s="1" t="s">
        <v>210</v>
      </c>
      <c r="CX412" s="1" t="s">
        <v>224</v>
      </c>
      <c r="DB412" s="1" t="s">
        <v>224</v>
      </c>
      <c r="DE412" s="1" t="s">
        <v>630</v>
      </c>
      <c r="DF412" s="1" t="s">
        <v>219</v>
      </c>
      <c r="DG412" s="1" t="s">
        <v>342</v>
      </c>
      <c r="DH412" s="1" t="s">
        <v>210</v>
      </c>
      <c r="DJ412" s="1" t="s">
        <v>224</v>
      </c>
      <c r="DS412" s="1" t="s">
        <v>230</v>
      </c>
      <c r="DW412" s="1" t="s">
        <v>230</v>
      </c>
      <c r="EA412" s="1" t="s">
        <v>230</v>
      </c>
      <c r="EE412" s="1" t="s">
        <v>230</v>
      </c>
      <c r="EI412" s="1" t="s">
        <v>230</v>
      </c>
      <c r="EL412" s="1" t="s">
        <v>542</v>
      </c>
      <c r="EM412" s="1" t="s">
        <v>319</v>
      </c>
      <c r="EN412" s="1" t="s">
        <v>282</v>
      </c>
      <c r="EO412" s="1" t="s">
        <v>234</v>
      </c>
      <c r="EP412" s="1" t="s">
        <v>5593</v>
      </c>
      <c r="ER412" s="1" t="s">
        <v>383</v>
      </c>
      <c r="ES412" s="1" t="s">
        <v>322</v>
      </c>
      <c r="EU412" s="1" t="s">
        <v>5594</v>
      </c>
      <c r="EV412" s="1" t="s">
        <v>352</v>
      </c>
      <c r="EW412" s="1" t="s">
        <v>4939</v>
      </c>
      <c r="EY412" s="1" t="s">
        <v>242</v>
      </c>
      <c r="EZ412" s="1" t="s">
        <v>287</v>
      </c>
      <c r="FB412" s="1" t="s">
        <v>289</v>
      </c>
      <c r="FC412" s="1" t="s">
        <v>1386</v>
      </c>
      <c r="FD412" s="1" t="s">
        <v>246</v>
      </c>
      <c r="FE412" s="1" t="s">
        <v>355</v>
      </c>
      <c r="FF412" s="1" t="s">
        <v>248</v>
      </c>
      <c r="FH412" s="1" t="s">
        <v>249</v>
      </c>
      <c r="FI412" s="1" t="s">
        <v>2827</v>
      </c>
      <c r="FJ412" s="1" t="s">
        <v>197</v>
      </c>
      <c r="FL412" s="1" t="s">
        <v>358</v>
      </c>
      <c r="FM412" s="1" t="s">
        <v>252</v>
      </c>
      <c r="FN412" s="1" t="s">
        <v>213</v>
      </c>
      <c r="FO412" s="1" t="s">
        <v>213</v>
      </c>
      <c r="FQ412" s="1" t="s">
        <v>849</v>
      </c>
      <c r="FR412" s="1" t="s">
        <v>652</v>
      </c>
      <c r="FS412" s="1" t="s">
        <v>5595</v>
      </c>
      <c r="FT412" s="1" t="s">
        <v>255</v>
      </c>
      <c r="FU412" s="1" t="s">
        <v>204</v>
      </c>
      <c r="FW412" s="1" t="s">
        <v>1475</v>
      </c>
      <c r="FX412" s="1">
        <v>23265</v>
      </c>
      <c r="FY412" s="1" t="s">
        <v>1476</v>
      </c>
      <c r="FZ412" s="1" t="s">
        <v>5596</v>
      </c>
      <c r="GA412" s="1">
        <v>232671</v>
      </c>
      <c r="GB412" s="1" t="s">
        <v>5597</v>
      </c>
      <c r="GC412" s="1">
        <v>232638</v>
      </c>
      <c r="GD412" s="1" t="s">
        <v>5598</v>
      </c>
      <c r="GE412" s="1" t="s">
        <v>210</v>
      </c>
      <c r="GI412" s="1" t="s">
        <v>204</v>
      </c>
      <c r="GJ412" s="1" t="s">
        <v>260</v>
      </c>
      <c r="GK412" s="1" t="s">
        <v>261</v>
      </c>
      <c r="GL412" s="2">
        <v>42033</v>
      </c>
      <c r="GM412" s="1" t="s">
        <v>5599</v>
      </c>
    </row>
    <row r="413" spans="1:195">
      <c r="A413" s="1">
        <v>64000</v>
      </c>
      <c r="B413" s="1" t="s">
        <v>195</v>
      </c>
      <c r="C413" s="1" t="str">
        <f>"08796395"</f>
        <v>08796395</v>
      </c>
      <c r="D413" s="1" t="s">
        <v>196</v>
      </c>
      <c r="F413" s="1" t="str">
        <f>"8064"</f>
        <v>8064</v>
      </c>
      <c r="G413" s="2">
        <v>41976</v>
      </c>
      <c r="H413" s="1">
        <v>59900</v>
      </c>
      <c r="I413" s="1">
        <v>60000</v>
      </c>
      <c r="J413" s="1">
        <v>64000</v>
      </c>
      <c r="K413" s="2">
        <v>41975</v>
      </c>
      <c r="L413" s="1">
        <v>98</v>
      </c>
      <c r="M413" s="2">
        <v>42072</v>
      </c>
      <c r="N413" s="1">
        <v>98</v>
      </c>
      <c r="O413" s="2">
        <v>42072</v>
      </c>
      <c r="P413" s="1">
        <v>8666</v>
      </c>
      <c r="Q413" s="1" t="s">
        <v>302</v>
      </c>
      <c r="R413" s="2">
        <v>42115</v>
      </c>
      <c r="S413" s="1">
        <v>26083</v>
      </c>
      <c r="U413" s="1">
        <v>6314</v>
      </c>
      <c r="V413" s="1" t="s">
        <v>2273</v>
      </c>
      <c r="W413" s="1" t="s">
        <v>425</v>
      </c>
      <c r="Y413" s="1">
        <v>7</v>
      </c>
      <c r="Z413" s="1" t="s">
        <v>200</v>
      </c>
      <c r="AA413" s="1" t="s">
        <v>400</v>
      </c>
      <c r="AB413" s="1">
        <v>60638</v>
      </c>
      <c r="AE413" s="1" t="s">
        <v>5600</v>
      </c>
      <c r="AF413" s="1">
        <v>1940</v>
      </c>
      <c r="AG413" s="1" t="s">
        <v>213</v>
      </c>
      <c r="AH413" s="1" t="s">
        <v>403</v>
      </c>
      <c r="AI413" s="1" t="s">
        <v>310</v>
      </c>
      <c r="AJ413" s="1" t="s">
        <v>683</v>
      </c>
      <c r="AL413" s="1">
        <v>5</v>
      </c>
      <c r="AM413" s="1">
        <v>2</v>
      </c>
      <c r="AN413" s="1">
        <v>1</v>
      </c>
      <c r="AO413" s="1">
        <v>0</v>
      </c>
      <c r="AP413" s="1" t="s">
        <v>210</v>
      </c>
      <c r="AR413" s="1" t="s">
        <v>210</v>
      </c>
      <c r="AT413" s="1" t="s">
        <v>211</v>
      </c>
      <c r="AU413" s="1">
        <v>2</v>
      </c>
      <c r="AW413" s="1" t="s">
        <v>204</v>
      </c>
      <c r="AX413" s="1" t="s">
        <v>5601</v>
      </c>
      <c r="AZ413" s="1">
        <v>1703.5</v>
      </c>
      <c r="BA413" s="1">
        <v>2013</v>
      </c>
      <c r="BE413" s="1">
        <v>3088</v>
      </c>
      <c r="BF413" s="1">
        <v>1</v>
      </c>
      <c r="BG413" s="1">
        <v>0</v>
      </c>
      <c r="BL413" s="1">
        <v>0</v>
      </c>
      <c r="BM413" s="1" t="s">
        <v>204</v>
      </c>
      <c r="BN413" s="1" t="s">
        <v>213</v>
      </c>
      <c r="BO413" s="1">
        <v>0</v>
      </c>
      <c r="BP413" s="1" t="s">
        <v>204</v>
      </c>
      <c r="BR413" s="1" t="str">
        <f>"19211010410000"</f>
        <v>19211010410000</v>
      </c>
      <c r="BT413" s="1" t="s">
        <v>5602</v>
      </c>
      <c r="BX413" s="1">
        <v>299</v>
      </c>
      <c r="BY413" s="1">
        <v>299</v>
      </c>
      <c r="BZ413" s="1">
        <v>299</v>
      </c>
      <c r="CB413" s="1" t="str">
        <f t="shared" ref="CB413:CC413" si="325">"0"</f>
        <v>0</v>
      </c>
      <c r="CC413" s="1" t="str">
        <f t="shared" si="325"/>
        <v>0</v>
      </c>
      <c r="CD413" s="1">
        <v>5100</v>
      </c>
      <c r="CE413" s="1">
        <v>6300</v>
      </c>
      <c r="CG413" s="1" t="s">
        <v>280</v>
      </c>
      <c r="CH413" s="1" t="s">
        <v>219</v>
      </c>
      <c r="CK413" s="1" t="s">
        <v>378</v>
      </c>
      <c r="CL413" s="1" t="s">
        <v>277</v>
      </c>
      <c r="CO413" s="1" t="s">
        <v>4999</v>
      </c>
      <c r="CP413" s="1" t="s">
        <v>219</v>
      </c>
      <c r="CS413" s="1" t="s">
        <v>408</v>
      </c>
      <c r="CT413" s="1" t="s">
        <v>277</v>
      </c>
      <c r="CX413" s="1" t="s">
        <v>224</v>
      </c>
      <c r="DB413" s="1" t="s">
        <v>224</v>
      </c>
      <c r="DE413" s="1" t="s">
        <v>4999</v>
      </c>
      <c r="DF413" s="1" t="s">
        <v>219</v>
      </c>
      <c r="DJ413" s="1" t="s">
        <v>224</v>
      </c>
      <c r="DS413" s="1" t="s">
        <v>230</v>
      </c>
      <c r="DW413" s="1" t="s">
        <v>230</v>
      </c>
      <c r="EA413" s="1" t="s">
        <v>230</v>
      </c>
      <c r="EE413" s="1" t="s">
        <v>230</v>
      </c>
      <c r="EI413" s="1" t="s">
        <v>230</v>
      </c>
      <c r="EL413" s="1" t="s">
        <v>440</v>
      </c>
      <c r="EM413" s="1" t="s">
        <v>232</v>
      </c>
      <c r="EN413" s="1" t="s">
        <v>282</v>
      </c>
      <c r="EO413" s="1" t="s">
        <v>234</v>
      </c>
      <c r="ER413" s="1" t="s">
        <v>210</v>
      </c>
      <c r="EW413" s="1" t="s">
        <v>210</v>
      </c>
      <c r="EZ413" s="1" t="s">
        <v>287</v>
      </c>
      <c r="FD413" s="1" t="s">
        <v>246</v>
      </c>
      <c r="FE413" s="1" t="s">
        <v>247</v>
      </c>
      <c r="FF413" s="1" t="s">
        <v>248</v>
      </c>
      <c r="FH413" s="1" t="s">
        <v>825</v>
      </c>
      <c r="FJ413" s="1" t="s">
        <v>2046</v>
      </c>
      <c r="FL413" s="1" t="s">
        <v>358</v>
      </c>
      <c r="FM413" s="1" t="s">
        <v>252</v>
      </c>
      <c r="FN413" s="1" t="s">
        <v>213</v>
      </c>
      <c r="FO413" s="1" t="s">
        <v>213</v>
      </c>
      <c r="FQ413" s="1" t="s">
        <v>5603</v>
      </c>
      <c r="FR413" s="1" t="s">
        <v>360</v>
      </c>
      <c r="FS413" s="1" t="s">
        <v>1429</v>
      </c>
      <c r="FT413" s="1" t="s">
        <v>5604</v>
      </c>
      <c r="FU413" s="1" t="s">
        <v>204</v>
      </c>
      <c r="FW413" s="1" t="s">
        <v>5605</v>
      </c>
      <c r="FX413" s="1">
        <v>12555</v>
      </c>
      <c r="FY413" s="1" t="s">
        <v>5606</v>
      </c>
      <c r="FZ413" s="1" t="s">
        <v>5607</v>
      </c>
      <c r="GA413" s="1">
        <v>106514</v>
      </c>
      <c r="GB413" s="1" t="s">
        <v>5606</v>
      </c>
      <c r="GE413" s="1" t="s">
        <v>210</v>
      </c>
      <c r="GH413" s="1" t="s">
        <v>421</v>
      </c>
      <c r="GI413" s="1" t="s">
        <v>213</v>
      </c>
      <c r="GJ413" s="1" t="s">
        <v>260</v>
      </c>
      <c r="GK413" s="1" t="s">
        <v>210</v>
      </c>
      <c r="GL413" s="2">
        <v>42116</v>
      </c>
      <c r="GM413" s="1" t="s">
        <v>5608</v>
      </c>
    </row>
    <row r="414" spans="1:195">
      <c r="A414" s="1">
        <v>103000</v>
      </c>
      <c r="B414" s="1" t="s">
        <v>195</v>
      </c>
      <c r="C414" s="1" t="str">
        <f>"08797380"</f>
        <v>08797380</v>
      </c>
      <c r="D414" s="1" t="s">
        <v>196</v>
      </c>
      <c r="F414" s="1" t="str">
        <f>"30"</f>
        <v>30</v>
      </c>
      <c r="G414" s="2">
        <v>41978</v>
      </c>
      <c r="H414" s="1">
        <v>108500</v>
      </c>
      <c r="I414" s="1">
        <v>103500</v>
      </c>
      <c r="J414" s="1">
        <v>103000</v>
      </c>
      <c r="K414" s="2">
        <v>41978</v>
      </c>
      <c r="L414" s="1">
        <v>73</v>
      </c>
      <c r="M414" s="2">
        <v>42050</v>
      </c>
      <c r="N414" s="1">
        <v>73</v>
      </c>
      <c r="O414" s="2">
        <v>42050</v>
      </c>
      <c r="P414" s="1">
        <v>4667</v>
      </c>
      <c r="Q414" s="1" t="s">
        <v>197</v>
      </c>
      <c r="R414" s="2">
        <v>42083</v>
      </c>
      <c r="S414" s="1">
        <v>34818</v>
      </c>
      <c r="T414" s="1">
        <v>3000</v>
      </c>
      <c r="U414" s="1">
        <v>342</v>
      </c>
      <c r="V414" s="1" t="s">
        <v>5609</v>
      </c>
      <c r="W414" s="1" t="s">
        <v>504</v>
      </c>
      <c r="X414" s="1">
        <v>342</v>
      </c>
      <c r="Y414" s="1">
        <v>4</v>
      </c>
      <c r="Z414" s="1" t="s">
        <v>249</v>
      </c>
      <c r="AA414" s="1" t="s">
        <v>1628</v>
      </c>
      <c r="AB414" s="1">
        <v>60073</v>
      </c>
      <c r="AD414" s="1" t="s">
        <v>5610</v>
      </c>
      <c r="AE414" s="1" t="s">
        <v>5611</v>
      </c>
      <c r="AF414" s="1">
        <v>2001</v>
      </c>
      <c r="AG414" s="1" t="s">
        <v>204</v>
      </c>
      <c r="AH414" s="1" t="s">
        <v>1630</v>
      </c>
      <c r="AI414" s="1" t="s">
        <v>509</v>
      </c>
      <c r="AJ414" s="1" t="s">
        <v>1263</v>
      </c>
      <c r="AK414" s="1" t="s">
        <v>5612</v>
      </c>
      <c r="AL414" s="1">
        <v>8</v>
      </c>
      <c r="AM414" s="1">
        <v>2</v>
      </c>
      <c r="AN414" s="1">
        <v>1</v>
      </c>
      <c r="AO414" s="1">
        <v>1</v>
      </c>
      <c r="AP414" s="1" t="s">
        <v>667</v>
      </c>
      <c r="AR414" s="1" t="s">
        <v>1421</v>
      </c>
      <c r="AS414" s="1" t="s">
        <v>204</v>
      </c>
      <c r="AT414" s="1" t="s">
        <v>211</v>
      </c>
      <c r="AU414" s="1">
        <v>2</v>
      </c>
      <c r="AW414" s="1" t="s">
        <v>204</v>
      </c>
      <c r="AX414" s="1" t="s">
        <v>1265</v>
      </c>
      <c r="AZ414" s="1">
        <v>4362.3100000000004</v>
      </c>
      <c r="BA414" s="1">
        <v>2013</v>
      </c>
      <c r="BB414" s="1" t="s">
        <v>405</v>
      </c>
      <c r="BE414" s="1">
        <v>1792</v>
      </c>
      <c r="BF414" s="1">
        <v>1</v>
      </c>
      <c r="BG414" s="1">
        <v>0</v>
      </c>
      <c r="BL414" s="1">
        <v>211</v>
      </c>
      <c r="BM414" s="1" t="s">
        <v>204</v>
      </c>
      <c r="BN414" s="1" t="s">
        <v>213</v>
      </c>
      <c r="BO414" s="1">
        <v>999</v>
      </c>
      <c r="BP414" s="1" t="s">
        <v>204</v>
      </c>
      <c r="BR414" s="1" t="str">
        <f>"06283080860000"</f>
        <v>06283080860000</v>
      </c>
      <c r="BT414" s="1" t="s">
        <v>5613</v>
      </c>
      <c r="BU414" s="1" t="s">
        <v>5614</v>
      </c>
      <c r="BV414" s="1" t="s">
        <v>4025</v>
      </c>
      <c r="BW414" s="1" t="s">
        <v>4026</v>
      </c>
      <c r="BX414" s="1">
        <v>116</v>
      </c>
      <c r="BY414" s="1">
        <v>116</v>
      </c>
      <c r="BZ414" s="1">
        <v>116</v>
      </c>
      <c r="CB414" s="1" t="str">
        <f>"33"</f>
        <v>33</v>
      </c>
      <c r="CC414" s="1" t="str">
        <f>"0"</f>
        <v>0</v>
      </c>
      <c r="CD414" s="1">
        <v>22</v>
      </c>
      <c r="CE414" s="1">
        <v>0</v>
      </c>
      <c r="CG414" s="1" t="s">
        <v>757</v>
      </c>
      <c r="CH414" s="1" t="s">
        <v>219</v>
      </c>
      <c r="CI414" s="1" t="s">
        <v>229</v>
      </c>
      <c r="CK414" s="1" t="s">
        <v>1045</v>
      </c>
      <c r="CL414" s="1" t="s">
        <v>277</v>
      </c>
      <c r="CM414" s="1" t="s">
        <v>229</v>
      </c>
      <c r="CO414" s="1" t="s">
        <v>972</v>
      </c>
      <c r="CP414" s="1" t="s">
        <v>219</v>
      </c>
      <c r="CQ414" s="1" t="s">
        <v>229</v>
      </c>
      <c r="CS414" s="1" t="s">
        <v>1358</v>
      </c>
      <c r="CT414" s="1" t="s">
        <v>277</v>
      </c>
      <c r="CU414" s="1" t="s">
        <v>229</v>
      </c>
      <c r="CX414" s="1" t="s">
        <v>224</v>
      </c>
      <c r="DB414" s="1" t="s">
        <v>224</v>
      </c>
      <c r="DE414" s="1" t="s">
        <v>379</v>
      </c>
      <c r="DF414" s="1" t="s">
        <v>219</v>
      </c>
      <c r="DG414" s="1" t="s">
        <v>229</v>
      </c>
      <c r="DI414" s="1" t="s">
        <v>228</v>
      </c>
      <c r="DJ414" s="1" t="s">
        <v>822</v>
      </c>
      <c r="DK414" s="1" t="s">
        <v>220</v>
      </c>
      <c r="DM414" s="1" t="s">
        <v>464</v>
      </c>
      <c r="DN414" s="1" t="s">
        <v>1548</v>
      </c>
      <c r="DR414" s="1" t="s">
        <v>2231</v>
      </c>
      <c r="DS414" s="1" t="s">
        <v>277</v>
      </c>
      <c r="DT414" s="1" t="s">
        <v>220</v>
      </c>
      <c r="DV414" s="1" t="s">
        <v>630</v>
      </c>
      <c r="DW414" s="1" t="s">
        <v>219</v>
      </c>
      <c r="DX414" s="1" t="s">
        <v>229</v>
      </c>
      <c r="EA414" s="1" t="s">
        <v>230</v>
      </c>
      <c r="EE414" s="1" t="s">
        <v>230</v>
      </c>
      <c r="EI414" s="1" t="s">
        <v>230</v>
      </c>
      <c r="EL414" s="1" t="s">
        <v>466</v>
      </c>
      <c r="EM414" s="1" t="s">
        <v>319</v>
      </c>
      <c r="EN414" s="1" t="s">
        <v>282</v>
      </c>
      <c r="EO414" s="1" t="s">
        <v>234</v>
      </c>
      <c r="EP414" s="1" t="s">
        <v>5615</v>
      </c>
      <c r="EQ414" s="1" t="s">
        <v>236</v>
      </c>
      <c r="ER414" s="1" t="s">
        <v>544</v>
      </c>
      <c r="ES414" s="1" t="s">
        <v>865</v>
      </c>
      <c r="ET414" s="1" t="s">
        <v>238</v>
      </c>
      <c r="EU414" s="1" t="s">
        <v>712</v>
      </c>
      <c r="EV414" s="1" t="s">
        <v>240</v>
      </c>
      <c r="EW414" s="1" t="s">
        <v>937</v>
      </c>
      <c r="EZ414" s="1" t="s">
        <v>3544</v>
      </c>
      <c r="FA414" s="1" t="s">
        <v>1726</v>
      </c>
      <c r="FD414" s="1" t="s">
        <v>495</v>
      </c>
      <c r="FE414" s="1" t="s">
        <v>247</v>
      </c>
      <c r="FF414" s="1" t="s">
        <v>3103</v>
      </c>
      <c r="FH414" s="1" t="s">
        <v>550</v>
      </c>
      <c r="FI414" s="1" t="s">
        <v>473</v>
      </c>
      <c r="FL414" s="1" t="s">
        <v>358</v>
      </c>
      <c r="FM414" s="1" t="s">
        <v>252</v>
      </c>
      <c r="FN414" s="1" t="s">
        <v>213</v>
      </c>
      <c r="FO414" s="1" t="s">
        <v>213</v>
      </c>
      <c r="FQ414" s="1" t="s">
        <v>359</v>
      </c>
      <c r="FR414" s="1" t="s">
        <v>210</v>
      </c>
      <c r="FS414" s="1" t="s">
        <v>5616</v>
      </c>
      <c r="FT414" s="1" t="s">
        <v>295</v>
      </c>
      <c r="FU414" s="1" t="s">
        <v>204</v>
      </c>
      <c r="FW414" s="1" t="s">
        <v>1637</v>
      </c>
      <c r="FX414" s="1">
        <v>8256</v>
      </c>
      <c r="FY414" s="1" t="s">
        <v>5617</v>
      </c>
      <c r="FZ414" s="1" t="s">
        <v>5618</v>
      </c>
      <c r="GA414" s="1">
        <v>86739</v>
      </c>
      <c r="GB414" s="1" t="s">
        <v>5619</v>
      </c>
      <c r="GE414" s="1" t="s">
        <v>480</v>
      </c>
      <c r="GI414" s="1" t="s">
        <v>213</v>
      </c>
      <c r="GJ414" s="1" t="s">
        <v>260</v>
      </c>
      <c r="GK414" s="1" t="s">
        <v>210</v>
      </c>
      <c r="GL414" s="2">
        <v>42086</v>
      </c>
      <c r="GM414" s="1" t="s">
        <v>5620</v>
      </c>
    </row>
    <row r="415" spans="1:195">
      <c r="A415" s="1">
        <v>55000</v>
      </c>
      <c r="B415" s="1" t="s">
        <v>195</v>
      </c>
      <c r="C415" s="1" t="str">
        <f>"08774630"</f>
        <v>08774630</v>
      </c>
      <c r="D415" s="1" t="s">
        <v>196</v>
      </c>
      <c r="F415" s="1" t="str">
        <f>"507"</f>
        <v>507</v>
      </c>
      <c r="G415" s="2">
        <v>41955</v>
      </c>
      <c r="H415" s="1">
        <v>59900</v>
      </c>
      <c r="I415" s="1">
        <v>59900</v>
      </c>
      <c r="J415" s="1">
        <v>55000</v>
      </c>
      <c r="K415" s="2">
        <v>41955</v>
      </c>
      <c r="L415" s="1">
        <v>25</v>
      </c>
      <c r="M415" s="2">
        <v>41979</v>
      </c>
      <c r="N415" s="1">
        <v>25</v>
      </c>
      <c r="O415" s="2">
        <v>41979</v>
      </c>
      <c r="P415" s="1">
        <v>24664</v>
      </c>
      <c r="Q415" s="1" t="s">
        <v>302</v>
      </c>
      <c r="R415" s="2">
        <v>42014</v>
      </c>
      <c r="S415" s="1">
        <v>227621</v>
      </c>
      <c r="U415" s="1">
        <v>141</v>
      </c>
      <c r="V415" s="1" t="s">
        <v>5621</v>
      </c>
      <c r="W415" s="1" t="s">
        <v>725</v>
      </c>
      <c r="X415" s="1">
        <v>14</v>
      </c>
      <c r="Y415" s="1">
        <v>6</v>
      </c>
      <c r="Z415" s="1" t="s">
        <v>249</v>
      </c>
      <c r="AA415" s="1" t="s">
        <v>1123</v>
      </c>
      <c r="AB415" s="1">
        <v>60504</v>
      </c>
      <c r="AE415" s="1" t="s">
        <v>5622</v>
      </c>
      <c r="AF415" s="1">
        <v>1981</v>
      </c>
      <c r="AG415" s="1" t="s">
        <v>204</v>
      </c>
      <c r="AH415" s="1" t="s">
        <v>1126</v>
      </c>
      <c r="AI415" s="1" t="s">
        <v>206</v>
      </c>
      <c r="AJ415" s="1" t="s">
        <v>924</v>
      </c>
      <c r="AL415" s="1">
        <v>5</v>
      </c>
      <c r="AM415" s="1">
        <v>2</v>
      </c>
      <c r="AN415" s="1">
        <v>1</v>
      </c>
      <c r="AO415" s="1">
        <v>1</v>
      </c>
      <c r="AP415" s="1" t="s">
        <v>210</v>
      </c>
      <c r="AQ415" s="1">
        <v>0</v>
      </c>
      <c r="AR415" s="1" t="s">
        <v>210</v>
      </c>
      <c r="AS415" s="1" t="s">
        <v>204</v>
      </c>
      <c r="AT415" s="1" t="s">
        <v>271</v>
      </c>
      <c r="AV415" s="1">
        <v>2</v>
      </c>
      <c r="AW415" s="1" t="s">
        <v>204</v>
      </c>
      <c r="AX415" s="1" t="s">
        <v>270</v>
      </c>
      <c r="AZ415" s="1">
        <v>1384</v>
      </c>
      <c r="BA415" s="1">
        <v>2013</v>
      </c>
      <c r="BB415" s="1" t="s">
        <v>210</v>
      </c>
      <c r="BE415" s="1">
        <v>850</v>
      </c>
      <c r="BF415" s="1">
        <v>3</v>
      </c>
      <c r="BG415" s="1">
        <v>0</v>
      </c>
      <c r="BL415" s="1">
        <v>411</v>
      </c>
      <c r="BM415" s="1" t="s">
        <v>204</v>
      </c>
      <c r="BN415" s="1" t="s">
        <v>213</v>
      </c>
      <c r="BO415" s="1">
        <v>999</v>
      </c>
      <c r="BP415" s="1" t="s">
        <v>204</v>
      </c>
      <c r="BR415" s="1" t="str">
        <f>"0721306200"</f>
        <v>0721306200</v>
      </c>
      <c r="BT415" s="1" t="s">
        <v>5623</v>
      </c>
      <c r="BU415" s="1" t="s">
        <v>2087</v>
      </c>
      <c r="BV415" s="1" t="s">
        <v>1130</v>
      </c>
      <c r="BW415" s="1" t="s">
        <v>1312</v>
      </c>
      <c r="BX415" s="1">
        <v>204</v>
      </c>
      <c r="BY415" s="1">
        <v>204</v>
      </c>
      <c r="BZ415" s="1">
        <v>204</v>
      </c>
      <c r="CB415" s="1" t="str">
        <f t="shared" ref="CB415:CC415" si="326">"0"</f>
        <v>0</v>
      </c>
      <c r="CC415" s="1" t="str">
        <f t="shared" si="326"/>
        <v>0</v>
      </c>
      <c r="CD415" s="1">
        <v>30</v>
      </c>
      <c r="CE415" s="1">
        <v>7</v>
      </c>
      <c r="CG415" s="1" t="s">
        <v>1615</v>
      </c>
      <c r="CH415" s="1" t="s">
        <v>219</v>
      </c>
      <c r="CI415" s="1" t="s">
        <v>220</v>
      </c>
      <c r="CK415" s="1" t="s">
        <v>437</v>
      </c>
      <c r="CL415" s="1" t="s">
        <v>219</v>
      </c>
      <c r="CM415" s="1" t="s">
        <v>220</v>
      </c>
      <c r="CO415" s="1" t="s">
        <v>629</v>
      </c>
      <c r="CP415" s="1" t="s">
        <v>219</v>
      </c>
      <c r="CQ415" s="1" t="s">
        <v>220</v>
      </c>
      <c r="CS415" s="1" t="s">
        <v>346</v>
      </c>
      <c r="CT415" s="1" t="s">
        <v>219</v>
      </c>
      <c r="CU415" s="1" t="s">
        <v>220</v>
      </c>
      <c r="CX415" s="1" t="s">
        <v>224</v>
      </c>
      <c r="DB415" s="1" t="s">
        <v>224</v>
      </c>
      <c r="DE415" s="1" t="s">
        <v>408</v>
      </c>
      <c r="DF415" s="1" t="s">
        <v>219</v>
      </c>
      <c r="DG415" s="1" t="s">
        <v>347</v>
      </c>
      <c r="DJ415" s="1" t="s">
        <v>224</v>
      </c>
      <c r="DS415" s="1" t="s">
        <v>230</v>
      </c>
      <c r="DW415" s="1" t="s">
        <v>230</v>
      </c>
      <c r="EA415" s="1" t="s">
        <v>230</v>
      </c>
      <c r="EE415" s="1" t="s">
        <v>230</v>
      </c>
      <c r="EI415" s="1" t="s">
        <v>230</v>
      </c>
      <c r="EL415" s="1" t="s">
        <v>231</v>
      </c>
      <c r="EM415" s="1" t="s">
        <v>232</v>
      </c>
      <c r="EN415" s="1" t="s">
        <v>731</v>
      </c>
      <c r="EO415" s="1" t="s">
        <v>234</v>
      </c>
      <c r="EP415" s="1" t="s">
        <v>5624</v>
      </c>
      <c r="EQ415" s="1" t="s">
        <v>350</v>
      </c>
      <c r="ER415" s="1" t="s">
        <v>210</v>
      </c>
      <c r="ES415" s="1" t="s">
        <v>322</v>
      </c>
      <c r="EV415" s="1" t="s">
        <v>240</v>
      </c>
      <c r="EW415" s="1" t="s">
        <v>5625</v>
      </c>
      <c r="EY415" s="1" t="s">
        <v>242</v>
      </c>
      <c r="EZ415" s="1" t="s">
        <v>287</v>
      </c>
      <c r="FA415" s="1" t="s">
        <v>1427</v>
      </c>
      <c r="FB415" s="1" t="s">
        <v>613</v>
      </c>
      <c r="FC415" s="1" t="s">
        <v>1362</v>
      </c>
      <c r="FD415" s="1" t="s">
        <v>736</v>
      </c>
      <c r="FE415" s="1" t="s">
        <v>247</v>
      </c>
      <c r="FF415" s="1" t="s">
        <v>3574</v>
      </c>
      <c r="FH415" s="1" t="s">
        <v>249</v>
      </c>
      <c r="FJ415" s="1" t="s">
        <v>197</v>
      </c>
      <c r="FK415" s="1" t="s">
        <v>891</v>
      </c>
      <c r="FL415" s="1" t="s">
        <v>414</v>
      </c>
      <c r="FM415" s="1" t="s">
        <v>252</v>
      </c>
      <c r="FN415" s="1" t="s">
        <v>213</v>
      </c>
      <c r="FO415" s="1" t="s">
        <v>213</v>
      </c>
      <c r="FQ415" s="1" t="s">
        <v>3415</v>
      </c>
      <c r="FR415" s="1" t="s">
        <v>210</v>
      </c>
      <c r="FS415" s="1" t="s">
        <v>5626</v>
      </c>
      <c r="FT415" s="1" t="s">
        <v>295</v>
      </c>
      <c r="FU415" s="1" t="s">
        <v>204</v>
      </c>
      <c r="FV415" s="1" t="s">
        <v>5627</v>
      </c>
      <c r="FW415" s="1" t="s">
        <v>3578</v>
      </c>
      <c r="FX415" s="1">
        <v>1118</v>
      </c>
      <c r="FY415" s="1" t="s">
        <v>3579</v>
      </c>
      <c r="FZ415" s="1" t="s">
        <v>3580</v>
      </c>
      <c r="GA415" s="1">
        <v>88102</v>
      </c>
      <c r="GB415" s="1" t="s">
        <v>3581</v>
      </c>
      <c r="GC415" s="1">
        <v>80385</v>
      </c>
      <c r="GD415" s="1" t="s">
        <v>5628</v>
      </c>
      <c r="GE415" s="1" t="s">
        <v>210</v>
      </c>
      <c r="GI415" s="1" t="s">
        <v>204</v>
      </c>
      <c r="GJ415" s="1" t="s">
        <v>260</v>
      </c>
      <c r="GK415" s="1" t="s">
        <v>210</v>
      </c>
      <c r="GL415" s="2">
        <v>42017</v>
      </c>
      <c r="GM415" s="1" t="s">
        <v>5629</v>
      </c>
    </row>
    <row r="416" spans="1:195">
      <c r="A416" s="1">
        <v>181000</v>
      </c>
      <c r="B416" s="1" t="s">
        <v>195</v>
      </c>
      <c r="C416" s="1" t="str">
        <f>"08787855"</f>
        <v>08787855</v>
      </c>
      <c r="D416" s="1" t="s">
        <v>196</v>
      </c>
      <c r="F416" s="1" t="str">
        <f>"101"</f>
        <v>101</v>
      </c>
      <c r="G416" s="2">
        <v>41960</v>
      </c>
      <c r="H416" s="1">
        <v>199900</v>
      </c>
      <c r="I416" s="1">
        <v>184900</v>
      </c>
      <c r="J416" s="1">
        <v>181000</v>
      </c>
      <c r="K416" s="2">
        <v>41960</v>
      </c>
      <c r="L416" s="1">
        <v>93</v>
      </c>
      <c r="M416" s="2">
        <v>42052</v>
      </c>
      <c r="N416" s="1">
        <v>93</v>
      </c>
      <c r="O416" s="2">
        <v>42052</v>
      </c>
      <c r="P416" s="1">
        <v>22076</v>
      </c>
      <c r="Q416" s="1" t="s">
        <v>197</v>
      </c>
      <c r="R416" s="2">
        <v>42080</v>
      </c>
      <c r="S416" s="1">
        <v>238218</v>
      </c>
      <c r="U416" s="1">
        <v>1307</v>
      </c>
      <c r="V416" s="1" t="s">
        <v>509</v>
      </c>
      <c r="W416" s="1" t="s">
        <v>725</v>
      </c>
      <c r="X416" s="1">
        <v>303</v>
      </c>
      <c r="Y416" s="1">
        <v>18</v>
      </c>
      <c r="Z416" s="1" t="s">
        <v>249</v>
      </c>
      <c r="AA416" s="1" t="s">
        <v>2631</v>
      </c>
      <c r="AB416" s="1">
        <v>60101</v>
      </c>
      <c r="AD416" s="1" t="s">
        <v>5630</v>
      </c>
      <c r="AE416" s="1" t="s">
        <v>5631</v>
      </c>
      <c r="AF416" s="1">
        <v>2003</v>
      </c>
      <c r="AG416" s="1" t="s">
        <v>204</v>
      </c>
      <c r="AH416" s="1" t="s">
        <v>1233</v>
      </c>
      <c r="AI416" s="1" t="s">
        <v>206</v>
      </c>
      <c r="AJ416" s="1" t="s">
        <v>1233</v>
      </c>
      <c r="AL416" s="1">
        <v>6</v>
      </c>
      <c r="AM416" s="1">
        <v>2</v>
      </c>
      <c r="AN416" s="1">
        <v>2</v>
      </c>
      <c r="AO416" s="1">
        <v>0</v>
      </c>
      <c r="AP416" s="1" t="s">
        <v>209</v>
      </c>
      <c r="AR416" s="1" t="s">
        <v>210</v>
      </c>
      <c r="AS416" s="1" t="s">
        <v>204</v>
      </c>
      <c r="AT416" s="1" t="s">
        <v>211</v>
      </c>
      <c r="AU416" s="1">
        <v>1</v>
      </c>
      <c r="AW416" s="1" t="s">
        <v>204</v>
      </c>
      <c r="AX416" s="1">
        <v>0</v>
      </c>
      <c r="AZ416" s="1">
        <v>3779</v>
      </c>
      <c r="BA416" s="1">
        <v>2013</v>
      </c>
      <c r="BE416" s="1">
        <v>1876</v>
      </c>
      <c r="BF416" s="1">
        <v>3</v>
      </c>
      <c r="BG416" s="1">
        <v>1</v>
      </c>
      <c r="BL416" s="1">
        <v>389</v>
      </c>
      <c r="BM416" s="1" t="s">
        <v>204</v>
      </c>
      <c r="BN416" s="1" t="s">
        <v>213</v>
      </c>
      <c r="BO416" s="1">
        <v>25</v>
      </c>
      <c r="BP416" s="1" t="s">
        <v>204</v>
      </c>
      <c r="BR416" s="1" t="str">
        <f>"0319214069"</f>
        <v>0319214069</v>
      </c>
      <c r="BT416" s="1" t="s">
        <v>5632</v>
      </c>
      <c r="BX416" s="1">
        <v>4</v>
      </c>
      <c r="BY416" s="1">
        <v>4</v>
      </c>
      <c r="BZ416" s="1">
        <v>88</v>
      </c>
      <c r="CB416" s="1" t="str">
        <f t="shared" ref="CB416:CC416" si="327">""</f>
        <v/>
      </c>
      <c r="CC416" s="1" t="str">
        <f t="shared" si="327"/>
        <v/>
      </c>
      <c r="CG416" s="1" t="s">
        <v>931</v>
      </c>
      <c r="CH416" s="1" t="s">
        <v>219</v>
      </c>
      <c r="CK416" s="1" t="s">
        <v>1045</v>
      </c>
      <c r="CL416" s="1" t="s">
        <v>219</v>
      </c>
      <c r="CO416" s="1" t="s">
        <v>317</v>
      </c>
      <c r="CP416" s="1" t="s">
        <v>219</v>
      </c>
      <c r="CS416" s="1" t="s">
        <v>564</v>
      </c>
      <c r="CT416" s="1" t="s">
        <v>219</v>
      </c>
      <c r="DB416" s="1" t="s">
        <v>224</v>
      </c>
      <c r="DE416" s="1" t="s">
        <v>318</v>
      </c>
      <c r="DF416" s="1" t="s">
        <v>219</v>
      </c>
      <c r="DJ416" s="1" t="s">
        <v>224</v>
      </c>
      <c r="DM416" s="1" t="s">
        <v>464</v>
      </c>
      <c r="DR416" s="1" t="s">
        <v>461</v>
      </c>
      <c r="DS416" s="1" t="s">
        <v>277</v>
      </c>
      <c r="DW416" s="1" t="s">
        <v>230</v>
      </c>
      <c r="EA416" s="1" t="s">
        <v>230</v>
      </c>
      <c r="EE416" s="1" t="s">
        <v>230</v>
      </c>
      <c r="EI416" s="1" t="s">
        <v>230</v>
      </c>
      <c r="EL416" s="1" t="s">
        <v>466</v>
      </c>
      <c r="EM416" s="1" t="s">
        <v>319</v>
      </c>
      <c r="EN416" s="1" t="s">
        <v>282</v>
      </c>
      <c r="EO416" s="1" t="s">
        <v>234</v>
      </c>
      <c r="ER416" s="1" t="s">
        <v>210</v>
      </c>
      <c r="EW416" s="1" t="s">
        <v>1426</v>
      </c>
      <c r="EZ416" s="1" t="s">
        <v>464</v>
      </c>
      <c r="FB416" s="1" t="s">
        <v>289</v>
      </c>
      <c r="FD416" s="1" t="s">
        <v>888</v>
      </c>
      <c r="FE416" s="1" t="s">
        <v>386</v>
      </c>
      <c r="FF416" s="1" t="s">
        <v>248</v>
      </c>
      <c r="FH416" s="1" t="s">
        <v>249</v>
      </c>
      <c r="FL416" s="1" t="s">
        <v>414</v>
      </c>
      <c r="FM416" s="1" t="s">
        <v>252</v>
      </c>
      <c r="FN416" s="1" t="s">
        <v>213</v>
      </c>
      <c r="FO416" s="1" t="s">
        <v>213</v>
      </c>
      <c r="FQ416" s="1" t="s">
        <v>582</v>
      </c>
      <c r="FR416" s="1" t="s">
        <v>210</v>
      </c>
      <c r="FS416" s="1" t="s">
        <v>5633</v>
      </c>
      <c r="FT416" s="1" t="s">
        <v>295</v>
      </c>
      <c r="FU416" s="1" t="s">
        <v>204</v>
      </c>
      <c r="FW416" s="1" t="s">
        <v>1050</v>
      </c>
      <c r="FX416" s="1">
        <v>23025</v>
      </c>
      <c r="FY416" s="1" t="s">
        <v>1051</v>
      </c>
      <c r="FZ416" s="1" t="s">
        <v>1052</v>
      </c>
      <c r="GA416" s="1">
        <v>233762</v>
      </c>
      <c r="GB416" s="1" t="s">
        <v>1053</v>
      </c>
      <c r="GE416" s="1" t="s">
        <v>210</v>
      </c>
      <c r="GI416" s="1" t="s">
        <v>213</v>
      </c>
      <c r="GJ416" s="1" t="s">
        <v>260</v>
      </c>
      <c r="GK416" s="1" t="s">
        <v>210</v>
      </c>
      <c r="GL416" s="2">
        <v>42080</v>
      </c>
      <c r="GM416" s="1" t="s">
        <v>5634</v>
      </c>
    </row>
    <row r="417" spans="1:195">
      <c r="A417" s="1">
        <v>145000</v>
      </c>
      <c r="B417" s="1" t="s">
        <v>195</v>
      </c>
      <c r="C417" s="1" t="str">
        <f>"08787747"</f>
        <v>08787747</v>
      </c>
      <c r="D417" s="1" t="s">
        <v>196</v>
      </c>
      <c r="F417" s="1" t="str">
        <f>"123"</f>
        <v>123</v>
      </c>
      <c r="G417" s="2">
        <v>41960</v>
      </c>
      <c r="H417" s="1">
        <v>177900</v>
      </c>
      <c r="I417" s="1">
        <v>144900</v>
      </c>
      <c r="J417" s="1">
        <v>145000</v>
      </c>
      <c r="K417" s="2">
        <v>41959</v>
      </c>
      <c r="L417" s="1">
        <v>102</v>
      </c>
      <c r="M417" s="2">
        <v>42060</v>
      </c>
      <c r="N417" s="1">
        <v>102</v>
      </c>
      <c r="O417" s="2">
        <v>42060</v>
      </c>
      <c r="P417" s="1">
        <v>74</v>
      </c>
      <c r="Q417" s="1" t="s">
        <v>197</v>
      </c>
      <c r="R417" s="2">
        <v>42111</v>
      </c>
      <c r="S417" s="1">
        <v>8701</v>
      </c>
      <c r="T417" s="1">
        <v>2000</v>
      </c>
      <c r="U417" s="1">
        <v>3102</v>
      </c>
      <c r="V417" s="1" t="s">
        <v>5635</v>
      </c>
      <c r="W417" s="1" t="s">
        <v>725</v>
      </c>
      <c r="Y417" s="1">
        <v>6</v>
      </c>
      <c r="Z417" s="1" t="s">
        <v>370</v>
      </c>
      <c r="AA417" s="1" t="s">
        <v>1173</v>
      </c>
      <c r="AB417" s="1">
        <v>60124</v>
      </c>
      <c r="AE417" s="1" t="s">
        <v>5636</v>
      </c>
      <c r="AF417" s="1">
        <v>2007</v>
      </c>
      <c r="AG417" s="1" t="s">
        <v>204</v>
      </c>
      <c r="AH417" s="1" t="s">
        <v>1175</v>
      </c>
      <c r="AI417" s="1" t="s">
        <v>665</v>
      </c>
      <c r="AJ417" s="1" t="s">
        <v>1175</v>
      </c>
      <c r="AL417" s="1">
        <v>6</v>
      </c>
      <c r="AM417" s="1">
        <v>2</v>
      </c>
      <c r="AN417" s="1">
        <v>2</v>
      </c>
      <c r="AO417" s="1">
        <v>1</v>
      </c>
      <c r="AP417" s="1" t="s">
        <v>209</v>
      </c>
      <c r="AR417" s="1" t="s">
        <v>1421</v>
      </c>
      <c r="AS417" s="1" t="s">
        <v>204</v>
      </c>
      <c r="AT417" s="1" t="s">
        <v>211</v>
      </c>
      <c r="AU417" s="1">
        <v>2</v>
      </c>
      <c r="AW417" s="1" t="s">
        <v>204</v>
      </c>
      <c r="AX417" s="1" t="s">
        <v>212</v>
      </c>
      <c r="AZ417" s="1">
        <v>4203.46</v>
      </c>
      <c r="BA417" s="1">
        <v>2013</v>
      </c>
      <c r="BE417" s="1">
        <v>1731</v>
      </c>
      <c r="BF417" s="1">
        <v>1</v>
      </c>
      <c r="BG417" s="1">
        <v>0</v>
      </c>
      <c r="BL417" s="1">
        <v>122</v>
      </c>
      <c r="BM417" s="1" t="s">
        <v>204</v>
      </c>
      <c r="BN417" s="1" t="s">
        <v>213</v>
      </c>
      <c r="BO417" s="1">
        <v>0</v>
      </c>
      <c r="BP417" s="1" t="s">
        <v>204</v>
      </c>
      <c r="BR417" s="1" t="str">
        <f>"0618464069"</f>
        <v>0618464069</v>
      </c>
      <c r="BT417" s="1" t="s">
        <v>5637</v>
      </c>
      <c r="BX417" s="1">
        <v>301</v>
      </c>
      <c r="BY417" s="1">
        <v>301</v>
      </c>
      <c r="BZ417" s="1">
        <v>301</v>
      </c>
      <c r="CB417" s="1" t="str">
        <f t="shared" ref="CB417:CC417" si="328">""</f>
        <v/>
      </c>
      <c r="CC417" s="1" t="str">
        <f t="shared" si="328"/>
        <v/>
      </c>
      <c r="CG417" s="1" t="s">
        <v>1737</v>
      </c>
      <c r="CH417" s="1" t="s">
        <v>219</v>
      </c>
      <c r="CI417" s="1" t="s">
        <v>220</v>
      </c>
      <c r="CK417" s="1" t="s">
        <v>465</v>
      </c>
      <c r="CL417" s="1" t="s">
        <v>277</v>
      </c>
      <c r="CM417" s="1" t="s">
        <v>220</v>
      </c>
      <c r="CO417" s="1" t="s">
        <v>346</v>
      </c>
      <c r="CP417" s="1" t="s">
        <v>219</v>
      </c>
      <c r="CQ417" s="1" t="s">
        <v>226</v>
      </c>
      <c r="CS417" s="1" t="s">
        <v>465</v>
      </c>
      <c r="CT417" s="1" t="s">
        <v>277</v>
      </c>
      <c r="CU417" s="1" t="s">
        <v>220</v>
      </c>
      <c r="CX417" s="1" t="s">
        <v>224</v>
      </c>
      <c r="DB417" s="1" t="s">
        <v>224</v>
      </c>
      <c r="DE417" s="1" t="s">
        <v>346</v>
      </c>
      <c r="DF417" s="1" t="s">
        <v>219</v>
      </c>
      <c r="DG417" s="1" t="s">
        <v>226</v>
      </c>
      <c r="DI417" s="1" t="s">
        <v>318</v>
      </c>
      <c r="DJ417" s="1" t="s">
        <v>822</v>
      </c>
      <c r="DS417" s="1" t="s">
        <v>230</v>
      </c>
      <c r="DW417" s="1" t="s">
        <v>230</v>
      </c>
      <c r="EA417" s="1" t="s">
        <v>230</v>
      </c>
      <c r="EE417" s="1" t="s">
        <v>230</v>
      </c>
      <c r="EI417" s="1" t="s">
        <v>230</v>
      </c>
      <c r="EL417" s="1" t="s">
        <v>491</v>
      </c>
      <c r="EM417" s="1" t="s">
        <v>319</v>
      </c>
      <c r="EN417" s="1" t="s">
        <v>282</v>
      </c>
      <c r="EO417" s="1" t="s">
        <v>234</v>
      </c>
      <c r="EQ417" s="1" t="s">
        <v>492</v>
      </c>
      <c r="ER417" s="1" t="s">
        <v>544</v>
      </c>
      <c r="ES417" s="1" t="s">
        <v>1552</v>
      </c>
      <c r="ET417" s="1" t="s">
        <v>4177</v>
      </c>
      <c r="EV417" s="1" t="s">
        <v>324</v>
      </c>
      <c r="EW417" s="1" t="s">
        <v>1895</v>
      </c>
      <c r="EZ417" s="1" t="s">
        <v>287</v>
      </c>
      <c r="FD417" s="1" t="s">
        <v>246</v>
      </c>
      <c r="FE417" s="1" t="s">
        <v>975</v>
      </c>
      <c r="FF417" s="1" t="s">
        <v>248</v>
      </c>
      <c r="FH417" s="1" t="s">
        <v>1428</v>
      </c>
      <c r="FL417" s="1" t="s">
        <v>358</v>
      </c>
      <c r="FM417" s="1" t="s">
        <v>252</v>
      </c>
      <c r="FN417" s="1" t="s">
        <v>213</v>
      </c>
      <c r="FO417" s="1" t="s">
        <v>213</v>
      </c>
      <c r="FQ417" s="1" t="s">
        <v>2417</v>
      </c>
      <c r="FR417" s="1" t="s">
        <v>210</v>
      </c>
      <c r="FS417" s="1" t="s">
        <v>2418</v>
      </c>
      <c r="FT417" s="1" t="s">
        <v>584</v>
      </c>
      <c r="FU417" s="1" t="s">
        <v>204</v>
      </c>
      <c r="FV417" s="1" t="s">
        <v>2419</v>
      </c>
      <c r="FW417" s="1" t="s">
        <v>2420</v>
      </c>
      <c r="FX417" s="1">
        <v>41</v>
      </c>
      <c r="FY417" s="1" t="s">
        <v>2421</v>
      </c>
      <c r="FZ417" s="1" t="s">
        <v>2422</v>
      </c>
      <c r="GA417" s="1">
        <v>8483</v>
      </c>
      <c r="GB417" s="1" t="s">
        <v>2423</v>
      </c>
      <c r="GD417" s="1" t="s">
        <v>2424</v>
      </c>
      <c r="GE417" s="1" t="s">
        <v>210</v>
      </c>
      <c r="GI417" s="1" t="s">
        <v>213</v>
      </c>
      <c r="GJ417" s="1" t="s">
        <v>260</v>
      </c>
      <c r="GK417" s="1" t="s">
        <v>210</v>
      </c>
      <c r="GL417" s="2">
        <v>42111</v>
      </c>
      <c r="GM417" s="1" t="s">
        <v>2425</v>
      </c>
    </row>
    <row r="418" spans="1:195">
      <c r="A418" s="1">
        <v>120000</v>
      </c>
      <c r="B418" s="1" t="s">
        <v>195</v>
      </c>
      <c r="C418" s="1" t="str">
        <f>"08786867"</f>
        <v>08786867</v>
      </c>
      <c r="D418" s="1" t="s">
        <v>196</v>
      </c>
      <c r="F418" s="1" t="str">
        <f>"516"</f>
        <v>516</v>
      </c>
      <c r="G418" s="2">
        <v>41957</v>
      </c>
      <c r="H418" s="1">
        <v>135900</v>
      </c>
      <c r="I418" s="1">
        <v>133900</v>
      </c>
      <c r="J418" s="1">
        <v>120000</v>
      </c>
      <c r="K418" s="2">
        <v>41957</v>
      </c>
      <c r="L418" s="1">
        <v>130</v>
      </c>
      <c r="M418" s="2">
        <v>42086</v>
      </c>
      <c r="N418" s="1">
        <v>130</v>
      </c>
      <c r="O418" s="2">
        <v>42086</v>
      </c>
      <c r="P418" s="1">
        <v>25703</v>
      </c>
      <c r="Q418" s="1" t="s">
        <v>197</v>
      </c>
      <c r="R418" s="2">
        <v>42122</v>
      </c>
      <c r="S418" s="1">
        <v>87501</v>
      </c>
      <c r="U418" s="1">
        <v>6340</v>
      </c>
      <c r="V418" s="1" t="s">
        <v>5638</v>
      </c>
      <c r="W418" s="1" t="s">
        <v>264</v>
      </c>
      <c r="X418" s="1">
        <v>210</v>
      </c>
      <c r="Y418" s="1">
        <v>260</v>
      </c>
      <c r="Z418" s="1" t="s">
        <v>249</v>
      </c>
      <c r="AA418" s="1" t="s">
        <v>1417</v>
      </c>
      <c r="AB418" s="1">
        <v>60527</v>
      </c>
      <c r="AD418" s="1" t="s">
        <v>5639</v>
      </c>
      <c r="AE418" s="1" t="s">
        <v>5640</v>
      </c>
      <c r="AF418" s="1">
        <v>1973</v>
      </c>
      <c r="AG418" s="1" t="s">
        <v>213</v>
      </c>
      <c r="AH418" s="1" t="s">
        <v>1419</v>
      </c>
      <c r="AI418" s="1" t="s">
        <v>206</v>
      </c>
      <c r="AJ418" s="1" t="s">
        <v>903</v>
      </c>
      <c r="AL418" s="1">
        <v>5</v>
      </c>
      <c r="AM418" s="1">
        <v>2</v>
      </c>
      <c r="AN418" s="1">
        <v>2</v>
      </c>
      <c r="AO418" s="1">
        <v>0</v>
      </c>
      <c r="AP418" s="1" t="s">
        <v>209</v>
      </c>
      <c r="AQ418" s="1">
        <v>0</v>
      </c>
      <c r="AR418" s="1" t="s">
        <v>210</v>
      </c>
      <c r="AS418" s="1" t="s">
        <v>204</v>
      </c>
      <c r="AT418" s="1" t="s">
        <v>375</v>
      </c>
      <c r="AU418" s="1">
        <v>1</v>
      </c>
      <c r="AV418" s="1">
        <v>2</v>
      </c>
      <c r="AW418" s="1" t="s">
        <v>204</v>
      </c>
      <c r="AX418" s="1" t="s">
        <v>212</v>
      </c>
      <c r="AZ418" s="1">
        <v>1706</v>
      </c>
      <c r="BA418" s="1">
        <v>2013</v>
      </c>
      <c r="BB418" s="1" t="s">
        <v>405</v>
      </c>
      <c r="BE418" s="1">
        <v>1060</v>
      </c>
      <c r="BF418" s="1">
        <v>2</v>
      </c>
      <c r="BG418" s="1">
        <v>20</v>
      </c>
      <c r="BJ418" s="1">
        <v>85</v>
      </c>
      <c r="BK418" s="1">
        <v>100</v>
      </c>
      <c r="BL418" s="1">
        <v>399</v>
      </c>
      <c r="BM418" s="1" t="s">
        <v>204</v>
      </c>
      <c r="BN418" s="1" t="s">
        <v>213</v>
      </c>
      <c r="BP418" s="1" t="s">
        <v>204</v>
      </c>
      <c r="BR418" s="1" t="str">
        <f>"0923115027"</f>
        <v>0923115027</v>
      </c>
      <c r="BT418" s="1" t="s">
        <v>5641</v>
      </c>
      <c r="BV418" s="1" t="s">
        <v>2981</v>
      </c>
      <c r="BW418" s="1" t="s">
        <v>1546</v>
      </c>
      <c r="BX418" s="1">
        <v>60</v>
      </c>
      <c r="BY418" s="1">
        <v>60</v>
      </c>
      <c r="BZ418" s="1">
        <v>86</v>
      </c>
      <c r="CB418" s="1" t="str">
        <f t="shared" ref="CB418:CC418" si="329">"0"</f>
        <v>0</v>
      </c>
      <c r="CC418" s="1" t="str">
        <f t="shared" si="329"/>
        <v>0</v>
      </c>
      <c r="CD418" s="1">
        <v>17</v>
      </c>
      <c r="CE418" s="1">
        <v>7</v>
      </c>
      <c r="CG418" s="1" t="s">
        <v>5642</v>
      </c>
      <c r="CH418" s="1" t="s">
        <v>219</v>
      </c>
      <c r="CI418" s="1" t="s">
        <v>229</v>
      </c>
      <c r="CK418" s="1" t="s">
        <v>3083</v>
      </c>
      <c r="CL418" s="1" t="s">
        <v>219</v>
      </c>
      <c r="CM418" s="1" t="s">
        <v>229</v>
      </c>
      <c r="CO418" s="1" t="s">
        <v>1470</v>
      </c>
      <c r="CP418" s="1" t="s">
        <v>219</v>
      </c>
      <c r="CQ418" s="1" t="s">
        <v>229</v>
      </c>
      <c r="CS418" s="1" t="s">
        <v>1046</v>
      </c>
      <c r="CT418" s="1" t="s">
        <v>219</v>
      </c>
      <c r="CU418" s="1" t="s">
        <v>229</v>
      </c>
      <c r="CV418" s="1" t="s">
        <v>210</v>
      </c>
      <c r="CX418" s="1" t="s">
        <v>224</v>
      </c>
      <c r="DB418" s="1" t="s">
        <v>224</v>
      </c>
      <c r="DE418" s="1" t="s">
        <v>5643</v>
      </c>
      <c r="DF418" s="1" t="s">
        <v>219</v>
      </c>
      <c r="DG418" s="1" t="s">
        <v>229</v>
      </c>
      <c r="DH418" s="1" t="s">
        <v>210</v>
      </c>
      <c r="DJ418" s="1" t="s">
        <v>224</v>
      </c>
      <c r="DS418" s="1" t="s">
        <v>230</v>
      </c>
      <c r="DW418" s="1" t="s">
        <v>230</v>
      </c>
      <c r="EA418" s="1" t="s">
        <v>230</v>
      </c>
      <c r="EE418" s="1" t="s">
        <v>230</v>
      </c>
      <c r="EI418" s="1" t="s">
        <v>230</v>
      </c>
      <c r="EL418" s="1" t="s">
        <v>605</v>
      </c>
      <c r="EM418" s="1" t="s">
        <v>232</v>
      </c>
      <c r="EN418" s="1" t="s">
        <v>282</v>
      </c>
      <c r="EO418" s="1" t="s">
        <v>234</v>
      </c>
      <c r="EP418" s="1" t="s">
        <v>5644</v>
      </c>
      <c r="EQ418" s="1" t="s">
        <v>350</v>
      </c>
      <c r="ER418" s="1" t="s">
        <v>210</v>
      </c>
      <c r="ES418" s="1" t="s">
        <v>322</v>
      </c>
      <c r="EV418" s="1" t="s">
        <v>240</v>
      </c>
      <c r="EW418" s="1" t="s">
        <v>5645</v>
      </c>
      <c r="EY418" s="1" t="s">
        <v>242</v>
      </c>
      <c r="EZ418" s="1" t="s">
        <v>287</v>
      </c>
      <c r="FB418" s="1" t="s">
        <v>244</v>
      </c>
      <c r="FD418" s="1" t="s">
        <v>736</v>
      </c>
      <c r="FE418" s="1" t="s">
        <v>247</v>
      </c>
      <c r="FF418" s="1" t="s">
        <v>248</v>
      </c>
      <c r="FH418" s="1" t="s">
        <v>2432</v>
      </c>
      <c r="FL418" s="1" t="s">
        <v>358</v>
      </c>
      <c r="FM418" s="1" t="s">
        <v>252</v>
      </c>
      <c r="FN418" s="1" t="s">
        <v>213</v>
      </c>
      <c r="FO418" s="1" t="s">
        <v>213</v>
      </c>
      <c r="FQ418" s="1" t="s">
        <v>673</v>
      </c>
      <c r="FR418" s="1" t="s">
        <v>210</v>
      </c>
      <c r="FS418" s="1" t="s">
        <v>5646</v>
      </c>
      <c r="FT418" s="1" t="s">
        <v>5647</v>
      </c>
      <c r="FU418" s="1" t="s">
        <v>204</v>
      </c>
      <c r="FW418" s="1" t="s">
        <v>5648</v>
      </c>
      <c r="FX418" s="1">
        <v>23099</v>
      </c>
      <c r="FY418" s="1" t="s">
        <v>5649</v>
      </c>
      <c r="FZ418" s="1" t="s">
        <v>5650</v>
      </c>
      <c r="GA418" s="1">
        <v>223832</v>
      </c>
      <c r="GB418" s="1" t="s">
        <v>5651</v>
      </c>
      <c r="GE418" s="1" t="s">
        <v>658</v>
      </c>
      <c r="GI418" s="1" t="s">
        <v>213</v>
      </c>
      <c r="GJ418" s="1" t="s">
        <v>260</v>
      </c>
      <c r="GK418" s="1" t="s">
        <v>210</v>
      </c>
      <c r="GL418" s="2">
        <v>42122</v>
      </c>
      <c r="GM418" s="1" t="s">
        <v>5652</v>
      </c>
    </row>
    <row r="419" spans="1:195">
      <c r="A419" s="1">
        <v>100500</v>
      </c>
      <c r="B419" s="1" t="s">
        <v>195</v>
      </c>
      <c r="C419" s="1" t="str">
        <f>"08789705"</f>
        <v>08789705</v>
      </c>
      <c r="D419" s="1" t="s">
        <v>196</v>
      </c>
      <c r="F419" s="1" t="str">
        <f>"123"</f>
        <v>123</v>
      </c>
      <c r="G419" s="2">
        <v>41963</v>
      </c>
      <c r="H419" s="1">
        <v>104900</v>
      </c>
      <c r="I419" s="1">
        <v>104900</v>
      </c>
      <c r="J419" s="1">
        <v>100500</v>
      </c>
      <c r="K419" s="2">
        <v>41963</v>
      </c>
      <c r="L419" s="1">
        <v>67</v>
      </c>
      <c r="M419" s="2">
        <v>42029</v>
      </c>
      <c r="N419" s="1">
        <v>67</v>
      </c>
      <c r="O419" s="2">
        <v>42029</v>
      </c>
      <c r="P419" s="1">
        <v>237</v>
      </c>
      <c r="Q419" s="1" t="s">
        <v>197</v>
      </c>
      <c r="R419" s="2">
        <v>42072</v>
      </c>
      <c r="S419" s="1">
        <v>8473</v>
      </c>
      <c r="U419" s="1">
        <v>35</v>
      </c>
      <c r="V419" s="1" t="s">
        <v>1595</v>
      </c>
      <c r="W419" s="1" t="s">
        <v>449</v>
      </c>
      <c r="X419" s="1" t="s">
        <v>483</v>
      </c>
      <c r="Y419" s="1">
        <v>4</v>
      </c>
      <c r="Z419" s="1" t="s">
        <v>249</v>
      </c>
      <c r="AA419" s="1" t="s">
        <v>1173</v>
      </c>
      <c r="AB419" s="1">
        <v>60123</v>
      </c>
      <c r="AD419" s="1" t="s">
        <v>5653</v>
      </c>
      <c r="AE419" s="1" t="s">
        <v>5654</v>
      </c>
      <c r="AF419" s="1">
        <v>1981</v>
      </c>
      <c r="AG419" s="1" t="s">
        <v>204</v>
      </c>
      <c r="AH419" s="1" t="s">
        <v>1175</v>
      </c>
      <c r="AI419" s="1" t="s">
        <v>665</v>
      </c>
      <c r="AJ419" s="1" t="s">
        <v>805</v>
      </c>
      <c r="AL419" s="1">
        <v>5</v>
      </c>
      <c r="AM419" s="1">
        <v>2</v>
      </c>
      <c r="AN419" s="1">
        <v>2</v>
      </c>
      <c r="AO419" s="1">
        <v>0</v>
      </c>
      <c r="AP419" s="1" t="s">
        <v>209</v>
      </c>
      <c r="AQ419" s="1">
        <v>1</v>
      </c>
      <c r="AR419" s="1" t="s">
        <v>210</v>
      </c>
      <c r="AS419" s="1" t="s">
        <v>204</v>
      </c>
      <c r="AT419" s="1" t="s">
        <v>211</v>
      </c>
      <c r="AU419" s="1">
        <v>1</v>
      </c>
      <c r="AW419" s="1" t="s">
        <v>204</v>
      </c>
      <c r="AX419" s="1" t="s">
        <v>212</v>
      </c>
      <c r="AZ419" s="1">
        <v>2310.92</v>
      </c>
      <c r="BA419" s="1">
        <v>2013</v>
      </c>
      <c r="BB419" s="1" t="s">
        <v>405</v>
      </c>
      <c r="BE419" s="1">
        <v>1180</v>
      </c>
      <c r="BF419" s="1">
        <v>2</v>
      </c>
      <c r="BG419" s="1">
        <v>0</v>
      </c>
      <c r="BJ419" s="1">
        <v>100</v>
      </c>
      <c r="BL419" s="1">
        <v>213</v>
      </c>
      <c r="BM419" s="1" t="s">
        <v>204</v>
      </c>
      <c r="BN419" s="1" t="s">
        <v>213</v>
      </c>
      <c r="BO419" s="1">
        <v>999</v>
      </c>
      <c r="BP419" s="1" t="s">
        <v>204</v>
      </c>
      <c r="BR419" s="1" t="str">
        <f>"0332400035"</f>
        <v>0332400035</v>
      </c>
      <c r="BT419" s="1" t="s">
        <v>5655</v>
      </c>
      <c r="BU419" s="1" t="s">
        <v>5656</v>
      </c>
      <c r="BV419" s="1" t="s">
        <v>1487</v>
      </c>
      <c r="BW419" s="1" t="s">
        <v>1488</v>
      </c>
      <c r="BX419" s="1">
        <v>46</v>
      </c>
      <c r="BY419" s="1">
        <v>46</v>
      </c>
      <c r="BZ419" s="1">
        <v>46</v>
      </c>
      <c r="CB419" s="1" t="str">
        <f t="shared" ref="CB419:CC419" si="330">""</f>
        <v/>
      </c>
      <c r="CC419" s="1" t="str">
        <f t="shared" si="330"/>
        <v/>
      </c>
      <c r="CG419" s="1" t="s">
        <v>1004</v>
      </c>
      <c r="CH419" s="1" t="s">
        <v>219</v>
      </c>
      <c r="CI419" s="1" t="s">
        <v>220</v>
      </c>
      <c r="CJ419" s="1" t="s">
        <v>252</v>
      </c>
      <c r="CK419" s="1" t="s">
        <v>221</v>
      </c>
      <c r="CL419" s="1" t="s">
        <v>219</v>
      </c>
      <c r="CM419" s="1" t="s">
        <v>220</v>
      </c>
      <c r="CN419" s="1" t="s">
        <v>252</v>
      </c>
      <c r="CO419" s="1" t="s">
        <v>409</v>
      </c>
      <c r="CP419" s="1" t="s">
        <v>219</v>
      </c>
      <c r="CQ419" s="1" t="s">
        <v>229</v>
      </c>
      <c r="CR419" s="1" t="s">
        <v>210</v>
      </c>
      <c r="CS419" s="1" t="s">
        <v>1297</v>
      </c>
      <c r="CT419" s="1" t="s">
        <v>219</v>
      </c>
      <c r="CU419" s="1" t="s">
        <v>220</v>
      </c>
      <c r="CV419" s="1" t="s">
        <v>252</v>
      </c>
      <c r="CX419" s="1" t="s">
        <v>224</v>
      </c>
      <c r="DB419" s="1" t="s">
        <v>224</v>
      </c>
      <c r="DE419" s="1" t="s">
        <v>1598</v>
      </c>
      <c r="DF419" s="1" t="s">
        <v>219</v>
      </c>
      <c r="DG419" s="1" t="s">
        <v>229</v>
      </c>
      <c r="DH419" s="1" t="s">
        <v>252</v>
      </c>
      <c r="DJ419" s="1" t="s">
        <v>224</v>
      </c>
      <c r="DS419" s="1" t="s">
        <v>230</v>
      </c>
      <c r="DW419" s="1" t="s">
        <v>230</v>
      </c>
      <c r="EA419" s="1" t="s">
        <v>230</v>
      </c>
      <c r="EE419" s="1" t="s">
        <v>230</v>
      </c>
      <c r="EI419" s="1" t="s">
        <v>230</v>
      </c>
      <c r="EL419" s="1" t="s">
        <v>231</v>
      </c>
      <c r="EM419" s="1" t="s">
        <v>319</v>
      </c>
      <c r="EN419" s="1" t="s">
        <v>282</v>
      </c>
      <c r="EO419" s="1" t="s">
        <v>234</v>
      </c>
      <c r="EQ419" s="1" t="s">
        <v>4592</v>
      </c>
      <c r="ER419" s="1" t="s">
        <v>210</v>
      </c>
      <c r="ES419" s="1" t="s">
        <v>824</v>
      </c>
      <c r="EV419" s="1" t="s">
        <v>324</v>
      </c>
      <c r="EW419" s="1" t="s">
        <v>4108</v>
      </c>
      <c r="EZ419" s="1" t="s">
        <v>287</v>
      </c>
      <c r="FA419" s="1" t="s">
        <v>2189</v>
      </c>
      <c r="FD419" s="1" t="s">
        <v>246</v>
      </c>
      <c r="FE419" s="1" t="s">
        <v>549</v>
      </c>
      <c r="FF419" s="1" t="s">
        <v>248</v>
      </c>
      <c r="FG419" s="1" t="s">
        <v>871</v>
      </c>
      <c r="FH419" s="1" t="s">
        <v>249</v>
      </c>
      <c r="FI419" s="1" t="s">
        <v>473</v>
      </c>
      <c r="FJ419" s="1" t="s">
        <v>197</v>
      </c>
      <c r="FL419" s="1" t="s">
        <v>358</v>
      </c>
      <c r="FM419" s="1" t="s">
        <v>252</v>
      </c>
      <c r="FN419" s="1" t="s">
        <v>213</v>
      </c>
      <c r="FO419" s="1" t="s">
        <v>213</v>
      </c>
      <c r="FQ419" s="1" t="s">
        <v>5657</v>
      </c>
      <c r="FR419" s="1" t="s">
        <v>210</v>
      </c>
      <c r="FS419" s="1" t="s">
        <v>4124</v>
      </c>
      <c r="FT419" s="1" t="s">
        <v>295</v>
      </c>
      <c r="FU419" s="1" t="s">
        <v>204</v>
      </c>
      <c r="FW419" s="1" t="s">
        <v>554</v>
      </c>
      <c r="FX419" s="1">
        <v>5040</v>
      </c>
      <c r="FY419" s="1" t="s">
        <v>2611</v>
      </c>
      <c r="FZ419" s="1" t="s">
        <v>5658</v>
      </c>
      <c r="GA419" s="1">
        <v>54311</v>
      </c>
      <c r="GB419" s="1" t="s">
        <v>5659</v>
      </c>
      <c r="GD419" s="1" t="s">
        <v>5660</v>
      </c>
      <c r="GE419" s="1" t="s">
        <v>1764</v>
      </c>
      <c r="GI419" s="1" t="s">
        <v>213</v>
      </c>
      <c r="GJ419" s="1" t="s">
        <v>260</v>
      </c>
      <c r="GK419" s="1" t="s">
        <v>210</v>
      </c>
      <c r="GL419" s="2">
        <v>42073</v>
      </c>
      <c r="GM419" s="1" t="s">
        <v>5661</v>
      </c>
    </row>
    <row r="420" spans="1:195">
      <c r="A420" s="1">
        <v>60000</v>
      </c>
      <c r="B420" s="1" t="s">
        <v>195</v>
      </c>
      <c r="C420" s="1" t="str">
        <f>"08786615"</f>
        <v>08786615</v>
      </c>
      <c r="D420" s="1" t="s">
        <v>196</v>
      </c>
      <c r="F420" s="1" t="str">
        <f>"20"</f>
        <v>20</v>
      </c>
      <c r="G420" s="2">
        <v>41957</v>
      </c>
      <c r="H420" s="1">
        <v>74900</v>
      </c>
      <c r="I420" s="1">
        <v>74900</v>
      </c>
      <c r="J420" s="1">
        <v>60000</v>
      </c>
      <c r="K420" s="2">
        <v>41956</v>
      </c>
      <c r="L420" s="1">
        <v>63</v>
      </c>
      <c r="M420" s="2">
        <v>42018</v>
      </c>
      <c r="N420" s="1">
        <v>63</v>
      </c>
      <c r="O420" s="2">
        <v>42018</v>
      </c>
      <c r="P420" s="1">
        <v>2424</v>
      </c>
      <c r="Q420" s="1" t="s">
        <v>302</v>
      </c>
      <c r="R420" s="2">
        <v>42055</v>
      </c>
      <c r="S420" s="1">
        <v>18547</v>
      </c>
      <c r="U420" s="1">
        <v>24</v>
      </c>
      <c r="V420" s="1" t="s">
        <v>5662</v>
      </c>
      <c r="W420" s="1" t="s">
        <v>1056</v>
      </c>
      <c r="X420" s="1" t="s">
        <v>265</v>
      </c>
      <c r="Y420" s="1">
        <v>12</v>
      </c>
      <c r="Z420" s="1" t="s">
        <v>370</v>
      </c>
      <c r="AA420" s="1" t="s">
        <v>592</v>
      </c>
      <c r="AB420" s="1">
        <v>60020</v>
      </c>
      <c r="AE420" s="1" t="s">
        <v>5663</v>
      </c>
      <c r="AF420" s="1">
        <v>1976</v>
      </c>
      <c r="AG420" s="1" t="s">
        <v>213</v>
      </c>
      <c r="AH420" s="1" t="s">
        <v>595</v>
      </c>
      <c r="AI420" s="1" t="s">
        <v>509</v>
      </c>
      <c r="AJ420" s="1" t="s">
        <v>1016</v>
      </c>
      <c r="AL420" s="1">
        <v>4</v>
      </c>
      <c r="AM420" s="1">
        <v>2</v>
      </c>
      <c r="AN420" s="1">
        <v>2</v>
      </c>
      <c r="AO420" s="1">
        <v>0</v>
      </c>
      <c r="AP420" s="1" t="s">
        <v>209</v>
      </c>
      <c r="AR420" s="1" t="s">
        <v>210</v>
      </c>
      <c r="AS420" s="1" t="s">
        <v>204</v>
      </c>
      <c r="AT420" s="1" t="s">
        <v>271</v>
      </c>
      <c r="AV420" s="1">
        <v>2</v>
      </c>
      <c r="AW420" s="1" t="s">
        <v>213</v>
      </c>
      <c r="AX420" s="1" t="s">
        <v>1265</v>
      </c>
      <c r="AZ420" s="1">
        <v>2165</v>
      </c>
      <c r="BA420" s="1">
        <v>2013</v>
      </c>
      <c r="BB420" s="1" t="s">
        <v>210</v>
      </c>
      <c r="BE420" s="1">
        <v>1050</v>
      </c>
      <c r="BF420" s="1">
        <v>2</v>
      </c>
      <c r="BG420" s="1">
        <v>30</v>
      </c>
      <c r="BL420" s="1">
        <v>287</v>
      </c>
      <c r="BM420" s="1" t="s">
        <v>204</v>
      </c>
      <c r="BN420" s="1" t="s">
        <v>213</v>
      </c>
      <c r="BP420" s="1" t="s">
        <v>204</v>
      </c>
      <c r="BR420" s="1" t="str">
        <f>"05092100220000"</f>
        <v>05092100220000</v>
      </c>
      <c r="BT420" s="1" t="s">
        <v>5664</v>
      </c>
      <c r="BU420" s="1" t="s">
        <v>2262</v>
      </c>
      <c r="BV420" s="1" t="s">
        <v>2263</v>
      </c>
      <c r="BW420" s="1" t="s">
        <v>2264</v>
      </c>
      <c r="BX420" s="1">
        <v>114</v>
      </c>
      <c r="BY420" s="1">
        <v>114</v>
      </c>
      <c r="BZ420" s="1">
        <v>124</v>
      </c>
      <c r="CB420" s="1" t="str">
        <f>"37"</f>
        <v>37</v>
      </c>
      <c r="CC420" s="1" t="str">
        <f>"0"</f>
        <v>0</v>
      </c>
      <c r="CD420" s="1">
        <v>27</v>
      </c>
      <c r="CE420" s="1">
        <v>0</v>
      </c>
      <c r="CG420" s="1" t="s">
        <v>628</v>
      </c>
      <c r="CH420" s="1" t="s">
        <v>277</v>
      </c>
      <c r="CI420" s="1" t="s">
        <v>220</v>
      </c>
      <c r="CJ420" s="1" t="s">
        <v>463</v>
      </c>
      <c r="CK420" s="1" t="s">
        <v>461</v>
      </c>
      <c r="CL420" s="1" t="s">
        <v>277</v>
      </c>
      <c r="CM420" s="1" t="s">
        <v>220</v>
      </c>
      <c r="CN420" s="1" t="s">
        <v>463</v>
      </c>
      <c r="CP420" s="1" t="s">
        <v>224</v>
      </c>
      <c r="CS420" s="1" t="s">
        <v>378</v>
      </c>
      <c r="CT420" s="1" t="s">
        <v>277</v>
      </c>
      <c r="CU420" s="1" t="s">
        <v>220</v>
      </c>
      <c r="CV420" s="1" t="s">
        <v>343</v>
      </c>
      <c r="CX420" s="1" t="s">
        <v>224</v>
      </c>
      <c r="DB420" s="1" t="s">
        <v>224</v>
      </c>
      <c r="DE420" s="1" t="s">
        <v>379</v>
      </c>
      <c r="DF420" s="1" t="s">
        <v>277</v>
      </c>
      <c r="DG420" s="1" t="s">
        <v>5665</v>
      </c>
      <c r="DH420" s="1" t="s">
        <v>343</v>
      </c>
      <c r="DJ420" s="1" t="s">
        <v>224</v>
      </c>
      <c r="DM420" s="1" t="s">
        <v>838</v>
      </c>
      <c r="DR420" s="1" t="s">
        <v>5666</v>
      </c>
      <c r="DS420" s="1" t="s">
        <v>277</v>
      </c>
      <c r="DT420" s="1" t="s">
        <v>347</v>
      </c>
      <c r="DW420" s="1" t="s">
        <v>230</v>
      </c>
      <c r="EA420" s="1" t="s">
        <v>230</v>
      </c>
      <c r="EE420" s="1" t="s">
        <v>230</v>
      </c>
      <c r="EI420" s="1" t="s">
        <v>230</v>
      </c>
      <c r="EL420" s="1" t="s">
        <v>231</v>
      </c>
      <c r="EM420" s="1" t="s">
        <v>319</v>
      </c>
      <c r="EN420" s="1" t="s">
        <v>282</v>
      </c>
      <c r="EO420" s="1" t="s">
        <v>234</v>
      </c>
      <c r="EP420" s="1" t="s">
        <v>5667</v>
      </c>
      <c r="EQ420" s="1" t="s">
        <v>350</v>
      </c>
      <c r="ER420" s="1" t="s">
        <v>210</v>
      </c>
      <c r="ES420" s="1" t="s">
        <v>322</v>
      </c>
      <c r="EU420" s="1" t="s">
        <v>5668</v>
      </c>
      <c r="EW420" s="1" t="s">
        <v>5669</v>
      </c>
      <c r="EY420" s="1" t="s">
        <v>242</v>
      </c>
      <c r="EZ420" s="1" t="s">
        <v>838</v>
      </c>
      <c r="FA420" s="1" t="s">
        <v>1072</v>
      </c>
      <c r="FB420" s="1" t="s">
        <v>289</v>
      </c>
      <c r="FC420" s="1" t="s">
        <v>2002</v>
      </c>
      <c r="FD420" s="1" t="s">
        <v>4003</v>
      </c>
      <c r="FE420" s="1" t="s">
        <v>247</v>
      </c>
      <c r="FF420" s="1" t="s">
        <v>248</v>
      </c>
      <c r="FH420" s="1" t="s">
        <v>249</v>
      </c>
      <c r="FJ420" s="1" t="s">
        <v>197</v>
      </c>
      <c r="FK420" s="1" t="s">
        <v>389</v>
      </c>
      <c r="FL420" s="1" t="s">
        <v>358</v>
      </c>
      <c r="FM420" s="1" t="s">
        <v>252</v>
      </c>
      <c r="FN420" s="1" t="s">
        <v>213</v>
      </c>
      <c r="FO420" s="1" t="s">
        <v>213</v>
      </c>
      <c r="FQ420" s="1" t="s">
        <v>615</v>
      </c>
      <c r="FR420" s="1" t="s">
        <v>210</v>
      </c>
      <c r="FS420" s="1" t="s">
        <v>5670</v>
      </c>
      <c r="FT420" s="1" t="s">
        <v>255</v>
      </c>
      <c r="FU420" s="1" t="s">
        <v>204</v>
      </c>
      <c r="FW420" s="1" t="s">
        <v>2269</v>
      </c>
      <c r="FX420" s="1">
        <v>2424</v>
      </c>
      <c r="FY420" s="1" t="s">
        <v>2270</v>
      </c>
      <c r="FZ420" s="1" t="s">
        <v>5671</v>
      </c>
      <c r="GA420" s="1">
        <v>18547</v>
      </c>
      <c r="GB420" s="1" t="s">
        <v>2270</v>
      </c>
      <c r="GD420" s="1" t="s">
        <v>5672</v>
      </c>
      <c r="GE420" s="1" t="s">
        <v>1256</v>
      </c>
      <c r="GH420" s="1" t="s">
        <v>230</v>
      </c>
      <c r="GI420" s="1" t="s">
        <v>213</v>
      </c>
      <c r="GJ420" s="1" t="s">
        <v>260</v>
      </c>
      <c r="GK420" s="1" t="s">
        <v>210</v>
      </c>
      <c r="GL420" s="2">
        <v>42057</v>
      </c>
    </row>
    <row r="421" spans="1:195">
      <c r="A421" s="1">
        <v>275900</v>
      </c>
      <c r="B421" s="1" t="s">
        <v>195</v>
      </c>
      <c r="C421" s="1" t="str">
        <f>"08791109"</f>
        <v>08791109</v>
      </c>
      <c r="D421" s="1" t="s">
        <v>196</v>
      </c>
      <c r="F421" s="1" t="str">
        <f>"188"</f>
        <v>188</v>
      </c>
      <c r="G421" s="2">
        <v>41964</v>
      </c>
      <c r="H421" s="1">
        <v>284800</v>
      </c>
      <c r="I421" s="1">
        <v>284800</v>
      </c>
      <c r="J421" s="1">
        <v>275900</v>
      </c>
      <c r="K421" s="2">
        <v>41964</v>
      </c>
      <c r="L421" s="1">
        <v>93</v>
      </c>
      <c r="M421" s="2">
        <v>41994</v>
      </c>
      <c r="N421" s="1">
        <v>31</v>
      </c>
      <c r="O421" s="2">
        <v>41994</v>
      </c>
      <c r="P421" s="1">
        <v>25003</v>
      </c>
      <c r="Q421" s="1" t="s">
        <v>197</v>
      </c>
      <c r="R421" s="2">
        <v>42026</v>
      </c>
      <c r="S421" s="1">
        <v>241063</v>
      </c>
      <c r="U421" s="1">
        <v>278</v>
      </c>
      <c r="V421" s="1" t="s">
        <v>5673</v>
      </c>
      <c r="W421" s="1" t="s">
        <v>264</v>
      </c>
      <c r="Y421" s="1">
        <v>5</v>
      </c>
      <c r="Z421" s="1" t="s">
        <v>370</v>
      </c>
      <c r="AA421" s="1" t="s">
        <v>1084</v>
      </c>
      <c r="AB421" s="1">
        <v>60188</v>
      </c>
      <c r="AD421" s="1" t="s">
        <v>4772</v>
      </c>
      <c r="AE421" s="1" t="s">
        <v>5674</v>
      </c>
      <c r="AF421" s="1">
        <v>2013</v>
      </c>
      <c r="AG421" s="1" t="s">
        <v>204</v>
      </c>
      <c r="AH421" s="1" t="s">
        <v>1087</v>
      </c>
      <c r="AI421" s="1" t="s">
        <v>206</v>
      </c>
      <c r="AJ421" s="1" t="s">
        <v>269</v>
      </c>
      <c r="AK421" s="1" t="s">
        <v>5675</v>
      </c>
      <c r="AL421" s="1">
        <v>7</v>
      </c>
      <c r="AM421" s="1">
        <v>2</v>
      </c>
      <c r="AN421" s="1">
        <v>2</v>
      </c>
      <c r="AO421" s="1">
        <v>1</v>
      </c>
      <c r="AP421" s="1" t="s">
        <v>209</v>
      </c>
      <c r="AQ421" s="1">
        <v>0</v>
      </c>
      <c r="AR421" s="1" t="s">
        <v>1421</v>
      </c>
      <c r="AS421" s="1" t="s">
        <v>204</v>
      </c>
      <c r="AT421" s="1" t="s">
        <v>211</v>
      </c>
      <c r="AU421" s="1">
        <v>2</v>
      </c>
      <c r="AW421" s="1" t="s">
        <v>204</v>
      </c>
      <c r="AX421" s="1" t="s">
        <v>5676</v>
      </c>
      <c r="AZ421" s="1">
        <v>3751</v>
      </c>
      <c r="BA421" s="1">
        <v>2013</v>
      </c>
      <c r="BB421" s="1" t="s">
        <v>405</v>
      </c>
      <c r="BE421" s="1">
        <v>2366</v>
      </c>
      <c r="BF421" s="1">
        <v>1</v>
      </c>
      <c r="BG421" s="1">
        <v>0</v>
      </c>
      <c r="BL421" s="1">
        <v>130</v>
      </c>
      <c r="BM421" s="1" t="s">
        <v>204</v>
      </c>
      <c r="BN421" s="1" t="s">
        <v>213</v>
      </c>
      <c r="BO421" s="1">
        <v>999</v>
      </c>
      <c r="BP421" s="1" t="s">
        <v>204</v>
      </c>
      <c r="BR421" s="1" t="str">
        <f>"0232307120"</f>
        <v>0232307120</v>
      </c>
      <c r="BT421" s="1" t="s">
        <v>5677</v>
      </c>
      <c r="BU421" s="1" t="s">
        <v>4776</v>
      </c>
      <c r="BV421" s="1" t="s">
        <v>1502</v>
      </c>
      <c r="BW421" s="1" t="s">
        <v>1092</v>
      </c>
      <c r="BX421" s="1">
        <v>93</v>
      </c>
      <c r="BY421" s="1">
        <v>93</v>
      </c>
      <c r="BZ421" s="1">
        <v>87</v>
      </c>
      <c r="CB421" s="1" t="str">
        <f t="shared" ref="CB421:CC421" si="331">""</f>
        <v/>
      </c>
      <c r="CC421" s="1" t="str">
        <f t="shared" si="331"/>
        <v/>
      </c>
      <c r="CH421" s="1" t="s">
        <v>224</v>
      </c>
      <c r="CK421" s="1" t="s">
        <v>669</v>
      </c>
      <c r="CL421" s="1" t="s">
        <v>277</v>
      </c>
      <c r="CM421" s="1" t="s">
        <v>220</v>
      </c>
      <c r="CN421" s="1" t="s">
        <v>343</v>
      </c>
      <c r="CO421" s="1" t="s">
        <v>437</v>
      </c>
      <c r="CP421" s="1" t="s">
        <v>219</v>
      </c>
      <c r="CQ421" s="1" t="s">
        <v>438</v>
      </c>
      <c r="CR421" s="1" t="s">
        <v>343</v>
      </c>
      <c r="CS421" s="1" t="s">
        <v>346</v>
      </c>
      <c r="CT421" s="1" t="s">
        <v>277</v>
      </c>
      <c r="CU421" s="1" t="s">
        <v>220</v>
      </c>
      <c r="CV421" s="1" t="s">
        <v>343</v>
      </c>
      <c r="CX421" s="1" t="s">
        <v>224</v>
      </c>
      <c r="DB421" s="1" t="s">
        <v>224</v>
      </c>
      <c r="DE421" s="1" t="s">
        <v>317</v>
      </c>
      <c r="DF421" s="1" t="s">
        <v>219</v>
      </c>
      <c r="DG421" s="1" t="s">
        <v>438</v>
      </c>
      <c r="DH421" s="1" t="s">
        <v>210</v>
      </c>
      <c r="DI421" s="1" t="s">
        <v>5678</v>
      </c>
      <c r="DJ421" s="1" t="s">
        <v>822</v>
      </c>
      <c r="DK421" s="1" t="s">
        <v>220</v>
      </c>
      <c r="DL421" s="1" t="s">
        <v>343</v>
      </c>
      <c r="DM421" s="1" t="s">
        <v>1676</v>
      </c>
      <c r="DN421" s="1" t="s">
        <v>381</v>
      </c>
      <c r="DR421" s="1" t="s">
        <v>317</v>
      </c>
      <c r="DS421" s="1" t="s">
        <v>219</v>
      </c>
      <c r="DT421" s="1" t="s">
        <v>438</v>
      </c>
      <c r="DU421" s="1" t="s">
        <v>343</v>
      </c>
      <c r="DV421" s="1" t="s">
        <v>346</v>
      </c>
      <c r="DW421" s="1" t="s">
        <v>219</v>
      </c>
      <c r="DX421" s="1" t="s">
        <v>438</v>
      </c>
      <c r="DY421" s="1" t="s">
        <v>343</v>
      </c>
      <c r="EA421" s="1" t="s">
        <v>230</v>
      </c>
      <c r="EE421" s="1" t="s">
        <v>230</v>
      </c>
      <c r="EI421" s="1" t="s">
        <v>230</v>
      </c>
      <c r="EL421" s="1" t="s">
        <v>1549</v>
      </c>
      <c r="EM421" s="1" t="s">
        <v>319</v>
      </c>
      <c r="EN421" s="1" t="s">
        <v>282</v>
      </c>
      <c r="EO421" s="1" t="s">
        <v>234</v>
      </c>
      <c r="EQ421" s="1" t="s">
        <v>3849</v>
      </c>
      <c r="ER421" s="1" t="s">
        <v>544</v>
      </c>
      <c r="ES421" s="1" t="s">
        <v>608</v>
      </c>
      <c r="ET421" s="1" t="s">
        <v>1161</v>
      </c>
      <c r="EU421" s="1" t="s">
        <v>610</v>
      </c>
      <c r="EV421" s="1" t="s">
        <v>324</v>
      </c>
      <c r="EW421" s="1" t="s">
        <v>353</v>
      </c>
      <c r="EY421" s="1" t="s">
        <v>441</v>
      </c>
      <c r="EZ421" s="1" t="s">
        <v>5173</v>
      </c>
      <c r="FD421" s="1" t="s">
        <v>246</v>
      </c>
      <c r="FE421" s="1" t="s">
        <v>765</v>
      </c>
      <c r="FF421" s="1" t="s">
        <v>248</v>
      </c>
      <c r="FH421" s="1" t="s">
        <v>1634</v>
      </c>
      <c r="FI421" s="1" t="s">
        <v>473</v>
      </c>
      <c r="FL421" s="1" t="s">
        <v>358</v>
      </c>
      <c r="FM421" s="1" t="s">
        <v>252</v>
      </c>
      <c r="FN421" s="1" t="s">
        <v>213</v>
      </c>
      <c r="FO421" s="1" t="s">
        <v>213</v>
      </c>
      <c r="FQ421" s="1" t="s">
        <v>5679</v>
      </c>
      <c r="FR421" s="1" t="s">
        <v>210</v>
      </c>
      <c r="FS421" s="1" t="s">
        <v>5680</v>
      </c>
      <c r="FT421" s="1" t="s">
        <v>295</v>
      </c>
      <c r="FU421" s="1" t="s">
        <v>204</v>
      </c>
      <c r="FW421" s="1" t="s">
        <v>1637</v>
      </c>
      <c r="FX421" s="1">
        <v>8059</v>
      </c>
      <c r="FY421" s="1" t="s">
        <v>2034</v>
      </c>
      <c r="FZ421" s="1" t="s">
        <v>5681</v>
      </c>
      <c r="GA421" s="1">
        <v>89134</v>
      </c>
      <c r="GB421" s="1" t="s">
        <v>5682</v>
      </c>
      <c r="GE421" s="1" t="s">
        <v>210</v>
      </c>
      <c r="GI421" s="1" t="s">
        <v>213</v>
      </c>
      <c r="GJ421" s="1" t="s">
        <v>260</v>
      </c>
      <c r="GK421" s="1" t="s">
        <v>210</v>
      </c>
      <c r="GL421" s="2">
        <v>42026</v>
      </c>
      <c r="GM421" s="1" t="s">
        <v>5683</v>
      </c>
    </row>
    <row r="422" spans="1:195">
      <c r="A422" s="1">
        <v>99800</v>
      </c>
      <c r="B422" s="1" t="s">
        <v>195</v>
      </c>
      <c r="C422" s="1" t="str">
        <f>"08786807"</f>
        <v>08786807</v>
      </c>
      <c r="D422" s="1" t="s">
        <v>196</v>
      </c>
      <c r="F422" s="1" t="str">
        <f>"635"</f>
        <v>635</v>
      </c>
      <c r="G422" s="2">
        <v>41957</v>
      </c>
      <c r="H422" s="1">
        <v>108900</v>
      </c>
      <c r="I422" s="1">
        <v>108900</v>
      </c>
      <c r="J422" s="1">
        <v>99800</v>
      </c>
      <c r="K422" s="2">
        <v>41957</v>
      </c>
      <c r="L422" s="1">
        <v>9</v>
      </c>
      <c r="M422" s="2">
        <v>41965</v>
      </c>
      <c r="N422" s="1">
        <v>9</v>
      </c>
      <c r="O422" s="2">
        <v>41965</v>
      </c>
      <c r="P422" s="1">
        <v>8363</v>
      </c>
      <c r="Q422" s="1" t="s">
        <v>197</v>
      </c>
      <c r="R422" s="2">
        <v>42020</v>
      </c>
      <c r="S422" s="1">
        <v>80006</v>
      </c>
      <c r="U422" s="1">
        <v>2711</v>
      </c>
      <c r="V422" s="1" t="s">
        <v>5684</v>
      </c>
      <c r="W422" s="1" t="s">
        <v>304</v>
      </c>
      <c r="X422" s="1" t="s">
        <v>726</v>
      </c>
      <c r="Y422" s="1">
        <v>6</v>
      </c>
      <c r="Z422" s="1" t="s">
        <v>249</v>
      </c>
      <c r="AA422" s="1" t="s">
        <v>2377</v>
      </c>
      <c r="AB422" s="1">
        <v>60707</v>
      </c>
      <c r="AE422" s="1" t="s">
        <v>5685</v>
      </c>
      <c r="AF422" s="1">
        <v>1962</v>
      </c>
      <c r="AG422" s="1" t="s">
        <v>213</v>
      </c>
      <c r="AH422" s="1" t="s">
        <v>5686</v>
      </c>
      <c r="AI422" s="1" t="s">
        <v>310</v>
      </c>
      <c r="AJ422" s="1" t="s">
        <v>311</v>
      </c>
      <c r="AL422" s="1">
        <v>4</v>
      </c>
      <c r="AM422" s="1">
        <v>2</v>
      </c>
      <c r="AN422" s="1">
        <v>1</v>
      </c>
      <c r="AO422" s="1">
        <v>0</v>
      </c>
      <c r="AP422" s="1" t="s">
        <v>210</v>
      </c>
      <c r="AQ422" s="1">
        <v>0</v>
      </c>
      <c r="AR422" s="1" t="s">
        <v>210</v>
      </c>
      <c r="AS422" s="1" t="s">
        <v>204</v>
      </c>
      <c r="AT422" s="1" t="s">
        <v>211</v>
      </c>
      <c r="AU422" s="1">
        <v>1</v>
      </c>
      <c r="AW422" s="1" t="s">
        <v>204</v>
      </c>
      <c r="AX422" s="1" t="s">
        <v>212</v>
      </c>
      <c r="AZ422" s="1">
        <v>1041</v>
      </c>
      <c r="BA422" s="1">
        <v>2012</v>
      </c>
      <c r="BB422" s="1" t="s">
        <v>405</v>
      </c>
      <c r="BE422" s="1">
        <v>0</v>
      </c>
      <c r="BF422" s="1">
        <v>3</v>
      </c>
      <c r="BG422" s="1">
        <v>10</v>
      </c>
      <c r="BJ422" s="1">
        <v>75</v>
      </c>
      <c r="BK422" s="1">
        <v>100</v>
      </c>
      <c r="BL422" s="1">
        <v>240</v>
      </c>
      <c r="BM422" s="1" t="s">
        <v>204</v>
      </c>
      <c r="BN422" s="1" t="s">
        <v>213</v>
      </c>
      <c r="BO422" s="1">
        <v>999</v>
      </c>
      <c r="BP422" s="1" t="s">
        <v>204</v>
      </c>
      <c r="BR422" s="1" t="str">
        <f>"12254070431006"</f>
        <v>12254070431006</v>
      </c>
      <c r="BT422" s="1" t="s">
        <v>5687</v>
      </c>
      <c r="BX422" s="1">
        <v>401</v>
      </c>
      <c r="BY422" s="1">
        <v>401</v>
      </c>
      <c r="BZ422" s="1">
        <v>401</v>
      </c>
      <c r="CB422" s="1" t="str">
        <f>"2711"</f>
        <v>2711</v>
      </c>
      <c r="CC422" s="1" t="str">
        <f>"0"</f>
        <v>0</v>
      </c>
      <c r="CD422" s="1">
        <v>7300</v>
      </c>
      <c r="CE422" s="1">
        <v>0</v>
      </c>
      <c r="CG422" s="1" t="s">
        <v>1358</v>
      </c>
      <c r="CH422" s="1" t="s">
        <v>784</v>
      </c>
      <c r="CI422" s="1" t="s">
        <v>438</v>
      </c>
      <c r="CK422" s="1" t="s">
        <v>539</v>
      </c>
      <c r="CL422" s="1" t="s">
        <v>784</v>
      </c>
      <c r="CM422" s="1" t="s">
        <v>438</v>
      </c>
      <c r="CP422" s="1" t="s">
        <v>224</v>
      </c>
      <c r="CS422" s="1" t="s">
        <v>379</v>
      </c>
      <c r="CT422" s="1" t="s">
        <v>784</v>
      </c>
      <c r="CU422" s="1" t="s">
        <v>438</v>
      </c>
      <c r="CX422" s="1" t="s">
        <v>224</v>
      </c>
      <c r="DB422" s="1" t="s">
        <v>224</v>
      </c>
      <c r="DE422" s="1" t="s">
        <v>465</v>
      </c>
      <c r="DF422" s="1" t="s">
        <v>784</v>
      </c>
      <c r="DG422" s="1" t="s">
        <v>226</v>
      </c>
      <c r="DJ422" s="1" t="s">
        <v>224</v>
      </c>
      <c r="DS422" s="1" t="s">
        <v>230</v>
      </c>
      <c r="DW422" s="1" t="s">
        <v>230</v>
      </c>
      <c r="EA422" s="1" t="s">
        <v>230</v>
      </c>
      <c r="EE422" s="1" t="s">
        <v>230</v>
      </c>
      <c r="EI422" s="1" t="s">
        <v>230</v>
      </c>
      <c r="EL422" s="1" t="s">
        <v>649</v>
      </c>
      <c r="EM422" s="1" t="s">
        <v>232</v>
      </c>
      <c r="EN422" s="1" t="s">
        <v>210</v>
      </c>
      <c r="EO422" s="1" t="s">
        <v>234</v>
      </c>
      <c r="EP422" s="1" t="s">
        <v>1614</v>
      </c>
      <c r="EQ422" s="1" t="s">
        <v>5688</v>
      </c>
      <c r="ER422" s="1" t="s">
        <v>210</v>
      </c>
      <c r="EV422" s="1" t="s">
        <v>240</v>
      </c>
      <c r="EW422" s="1" t="s">
        <v>4815</v>
      </c>
      <c r="EY422" s="1" t="s">
        <v>242</v>
      </c>
      <c r="EZ422" s="1" t="s">
        <v>287</v>
      </c>
      <c r="FD422" s="1" t="s">
        <v>290</v>
      </c>
      <c r="FE422" s="1" t="s">
        <v>247</v>
      </c>
      <c r="FF422" s="1" t="s">
        <v>248</v>
      </c>
      <c r="FH422" s="1" t="s">
        <v>249</v>
      </c>
      <c r="FL422" s="1" t="s">
        <v>414</v>
      </c>
      <c r="FM422" s="1" t="s">
        <v>252</v>
      </c>
      <c r="FN422" s="1" t="s">
        <v>213</v>
      </c>
      <c r="FO422" s="1" t="s">
        <v>213</v>
      </c>
      <c r="FQ422" s="1" t="s">
        <v>5689</v>
      </c>
      <c r="FR422" s="1" t="s">
        <v>210</v>
      </c>
      <c r="FS422" s="1" t="s">
        <v>5690</v>
      </c>
      <c r="FT422" s="1" t="s">
        <v>1182</v>
      </c>
      <c r="FU422" s="1" t="s">
        <v>204</v>
      </c>
      <c r="FW422" s="1" t="s">
        <v>1637</v>
      </c>
      <c r="FX422" s="1">
        <v>8059</v>
      </c>
      <c r="FY422" s="1" t="s">
        <v>2034</v>
      </c>
      <c r="FZ422" s="1" t="s">
        <v>5691</v>
      </c>
      <c r="GA422" s="1">
        <v>28896</v>
      </c>
      <c r="GB422" s="1" t="s">
        <v>5692</v>
      </c>
      <c r="GE422" s="1" t="s">
        <v>210</v>
      </c>
      <c r="GH422" s="1" t="s">
        <v>230</v>
      </c>
      <c r="GI422" s="1" t="s">
        <v>213</v>
      </c>
      <c r="GJ422" s="1" t="s">
        <v>260</v>
      </c>
      <c r="GK422" s="1" t="s">
        <v>4920</v>
      </c>
      <c r="GL422" s="2">
        <v>42020</v>
      </c>
    </row>
    <row r="423" spans="1:195">
      <c r="A423" s="1">
        <v>175000</v>
      </c>
      <c r="B423" s="1" t="s">
        <v>195</v>
      </c>
      <c r="C423" s="1" t="str">
        <f>"08786462"</f>
        <v>08786462</v>
      </c>
      <c r="D423" s="1" t="s">
        <v>196</v>
      </c>
      <c r="F423" s="1" t="str">
        <f>"187"</f>
        <v>187</v>
      </c>
      <c r="G423" s="2">
        <v>41957</v>
      </c>
      <c r="H423" s="1">
        <v>182500</v>
      </c>
      <c r="I423" s="1">
        <v>182500</v>
      </c>
      <c r="J423" s="1">
        <v>175000</v>
      </c>
      <c r="K423" s="2">
        <v>41957</v>
      </c>
      <c r="L423" s="1">
        <v>64</v>
      </c>
      <c r="M423" s="2">
        <v>42020</v>
      </c>
      <c r="N423" s="1">
        <v>64</v>
      </c>
      <c r="O423" s="2">
        <v>42020</v>
      </c>
      <c r="P423" s="1">
        <v>84729</v>
      </c>
      <c r="Q423" s="1" t="s">
        <v>302</v>
      </c>
      <c r="R423" s="2">
        <v>42053</v>
      </c>
      <c r="S423" s="1">
        <v>112685</v>
      </c>
      <c r="U423" s="1">
        <v>1724</v>
      </c>
      <c r="V423" s="1" t="s">
        <v>5693</v>
      </c>
      <c r="W423" s="1" t="s">
        <v>449</v>
      </c>
      <c r="X423" s="1" t="s">
        <v>527</v>
      </c>
      <c r="Y423" s="1">
        <v>4</v>
      </c>
      <c r="Z423" s="1" t="s">
        <v>249</v>
      </c>
      <c r="AA423" s="1" t="s">
        <v>964</v>
      </c>
      <c r="AB423" s="1">
        <v>60189</v>
      </c>
      <c r="AD423" s="1" t="s">
        <v>1354</v>
      </c>
      <c r="AE423" s="1" t="s">
        <v>5694</v>
      </c>
      <c r="AF423" s="1">
        <v>1985</v>
      </c>
      <c r="AG423" s="1" t="s">
        <v>204</v>
      </c>
      <c r="AH423" s="1" t="s">
        <v>967</v>
      </c>
      <c r="AI423" s="1" t="s">
        <v>206</v>
      </c>
      <c r="AJ423" s="1" t="s">
        <v>207</v>
      </c>
      <c r="AL423" s="1">
        <v>5</v>
      </c>
      <c r="AM423" s="1">
        <v>2</v>
      </c>
      <c r="AN423" s="1">
        <v>2</v>
      </c>
      <c r="AO423" s="1">
        <v>0</v>
      </c>
      <c r="AP423" s="1" t="s">
        <v>209</v>
      </c>
      <c r="AR423" s="1" t="s">
        <v>210</v>
      </c>
      <c r="AS423" s="1" t="s">
        <v>204</v>
      </c>
      <c r="AT423" s="1" t="s">
        <v>211</v>
      </c>
      <c r="AU423" s="1">
        <v>1</v>
      </c>
      <c r="AW423" s="1" t="s">
        <v>204</v>
      </c>
      <c r="AX423" s="1" t="s">
        <v>212</v>
      </c>
      <c r="AZ423" s="1">
        <v>3006.56</v>
      </c>
      <c r="BA423" s="1">
        <v>2013</v>
      </c>
      <c r="BB423" s="1" t="s">
        <v>599</v>
      </c>
      <c r="BE423" s="1">
        <v>1201</v>
      </c>
      <c r="BF423" s="1">
        <v>1</v>
      </c>
      <c r="BG423" s="1">
        <v>0</v>
      </c>
      <c r="BL423" s="1">
        <v>302</v>
      </c>
      <c r="BM423" s="1" t="s">
        <v>204</v>
      </c>
      <c r="BN423" s="1" t="s">
        <v>213</v>
      </c>
      <c r="BO423" s="1">
        <v>0</v>
      </c>
      <c r="BP423" s="1" t="s">
        <v>204</v>
      </c>
      <c r="BR423" s="1" t="str">
        <f>"0519211161"</f>
        <v>0519211161</v>
      </c>
      <c r="BT423" s="1" t="s">
        <v>5695</v>
      </c>
      <c r="BU423" s="1" t="s">
        <v>1327</v>
      </c>
      <c r="BV423" s="1" t="s">
        <v>970</v>
      </c>
      <c r="BW423" s="1" t="s">
        <v>971</v>
      </c>
      <c r="BX423" s="1">
        <v>200</v>
      </c>
      <c r="BY423" s="1">
        <v>200</v>
      </c>
      <c r="BZ423" s="1">
        <v>200</v>
      </c>
      <c r="CB423" s="1" t="str">
        <f t="shared" ref="CB423:CC423" si="332">"0"</f>
        <v>0</v>
      </c>
      <c r="CC423" s="1" t="str">
        <f t="shared" si="332"/>
        <v>0</v>
      </c>
      <c r="CD423" s="1">
        <v>26</v>
      </c>
      <c r="CE423" s="1">
        <v>1</v>
      </c>
      <c r="CG423" s="1" t="s">
        <v>2121</v>
      </c>
      <c r="CH423" s="1" t="s">
        <v>219</v>
      </c>
      <c r="CI423" s="1" t="s">
        <v>220</v>
      </c>
      <c r="CJ423" s="1" t="s">
        <v>463</v>
      </c>
      <c r="CK423" s="1" t="s">
        <v>1045</v>
      </c>
      <c r="CL423" s="1" t="s">
        <v>219</v>
      </c>
      <c r="CM423" s="1" t="s">
        <v>220</v>
      </c>
      <c r="CN423" s="1" t="s">
        <v>343</v>
      </c>
      <c r="CO423" s="1" t="s">
        <v>345</v>
      </c>
      <c r="CP423" s="1" t="s">
        <v>219</v>
      </c>
      <c r="CQ423" s="1" t="s">
        <v>220</v>
      </c>
      <c r="CR423" s="1" t="s">
        <v>210</v>
      </c>
      <c r="CS423" s="1" t="s">
        <v>539</v>
      </c>
      <c r="CT423" s="1" t="s">
        <v>219</v>
      </c>
      <c r="CU423" s="1" t="s">
        <v>229</v>
      </c>
      <c r="CV423" s="1" t="s">
        <v>343</v>
      </c>
      <c r="CX423" s="1" t="s">
        <v>224</v>
      </c>
      <c r="DB423" s="1" t="s">
        <v>224</v>
      </c>
      <c r="DE423" s="1" t="s">
        <v>5696</v>
      </c>
      <c r="DF423" s="1" t="s">
        <v>219</v>
      </c>
      <c r="DG423" s="1" t="s">
        <v>229</v>
      </c>
      <c r="DH423" s="1" t="s">
        <v>343</v>
      </c>
      <c r="DJ423" s="1" t="s">
        <v>224</v>
      </c>
      <c r="DS423" s="1" t="s">
        <v>230</v>
      </c>
      <c r="DW423" s="1" t="s">
        <v>230</v>
      </c>
      <c r="EA423" s="1" t="s">
        <v>230</v>
      </c>
      <c r="EE423" s="1" t="s">
        <v>230</v>
      </c>
      <c r="EI423" s="1" t="s">
        <v>230</v>
      </c>
      <c r="EL423" s="1" t="s">
        <v>542</v>
      </c>
      <c r="EM423" s="1" t="s">
        <v>232</v>
      </c>
      <c r="EN423" s="1" t="s">
        <v>282</v>
      </c>
      <c r="EO423" s="1" t="s">
        <v>234</v>
      </c>
      <c r="EP423" s="1" t="s">
        <v>650</v>
      </c>
      <c r="EQ423" s="1" t="s">
        <v>492</v>
      </c>
      <c r="ER423" s="1" t="s">
        <v>210</v>
      </c>
      <c r="ES423" s="1" t="s">
        <v>824</v>
      </c>
      <c r="EV423" s="1" t="s">
        <v>352</v>
      </c>
      <c r="EW423" s="1" t="s">
        <v>353</v>
      </c>
      <c r="EY423" s="1" t="s">
        <v>790</v>
      </c>
      <c r="EZ423" s="1" t="s">
        <v>287</v>
      </c>
      <c r="FA423" s="1" t="s">
        <v>5697</v>
      </c>
      <c r="FB423" s="1" t="s">
        <v>289</v>
      </c>
      <c r="FC423" s="1" t="s">
        <v>1362</v>
      </c>
      <c r="FD423" s="1" t="s">
        <v>495</v>
      </c>
      <c r="FE423" s="1" t="s">
        <v>1883</v>
      </c>
      <c r="FF423" s="1" t="s">
        <v>248</v>
      </c>
      <c r="FH423" s="1" t="s">
        <v>388</v>
      </c>
      <c r="FI423" s="1" t="s">
        <v>473</v>
      </c>
      <c r="FL423" s="1" t="s">
        <v>358</v>
      </c>
      <c r="FM423" s="1" t="s">
        <v>252</v>
      </c>
      <c r="FN423" s="1" t="s">
        <v>213</v>
      </c>
      <c r="FO423" s="1" t="s">
        <v>213</v>
      </c>
      <c r="FQ423" s="1" t="s">
        <v>793</v>
      </c>
      <c r="FR423" s="1" t="s">
        <v>210</v>
      </c>
      <c r="FS423" s="1" t="s">
        <v>5698</v>
      </c>
      <c r="FT423" s="1" t="s">
        <v>362</v>
      </c>
      <c r="FU423" s="1" t="s">
        <v>204</v>
      </c>
      <c r="FW423" s="1" t="s">
        <v>2179</v>
      </c>
      <c r="FX423" s="1">
        <v>22039</v>
      </c>
      <c r="FY423" s="1" t="s">
        <v>2180</v>
      </c>
      <c r="FZ423" s="1" t="s">
        <v>5699</v>
      </c>
      <c r="GA423" s="1">
        <v>259277</v>
      </c>
      <c r="GB423" s="1" t="s">
        <v>5700</v>
      </c>
      <c r="GD423" s="1" t="s">
        <v>5701</v>
      </c>
      <c r="GE423" s="1" t="s">
        <v>1256</v>
      </c>
      <c r="GI423" s="1" t="s">
        <v>213</v>
      </c>
      <c r="GJ423" s="1" t="s">
        <v>260</v>
      </c>
      <c r="GK423" s="1" t="s">
        <v>261</v>
      </c>
      <c r="GL423" s="2">
        <v>42053</v>
      </c>
      <c r="GM423" s="1" t="s">
        <v>5702</v>
      </c>
    </row>
    <row r="424" spans="1:195">
      <c r="A424" s="1">
        <v>90000</v>
      </c>
      <c r="B424" s="1" t="s">
        <v>195</v>
      </c>
      <c r="C424" s="1" t="str">
        <f>"08790112"</f>
        <v>08790112</v>
      </c>
      <c r="D424" s="1" t="s">
        <v>196</v>
      </c>
      <c r="F424" s="1" t="str">
        <f>"148"</f>
        <v>148</v>
      </c>
      <c r="G424" s="2">
        <v>41963</v>
      </c>
      <c r="H424" s="1">
        <v>89000</v>
      </c>
      <c r="I424" s="1">
        <v>89000</v>
      </c>
      <c r="J424" s="1">
        <v>90000</v>
      </c>
      <c r="K424" s="2">
        <v>41963</v>
      </c>
      <c r="L424" s="1">
        <v>70</v>
      </c>
      <c r="M424" s="2">
        <v>42032</v>
      </c>
      <c r="N424" s="1">
        <v>70</v>
      </c>
      <c r="O424" s="2">
        <v>42032</v>
      </c>
      <c r="P424" s="1">
        <v>22039</v>
      </c>
      <c r="Q424" s="1" t="s">
        <v>197</v>
      </c>
      <c r="R424" s="2">
        <v>42074</v>
      </c>
      <c r="S424" s="1">
        <v>240348</v>
      </c>
      <c r="U424" s="1">
        <v>20</v>
      </c>
      <c r="V424" s="1" t="s">
        <v>5703</v>
      </c>
      <c r="W424" s="1" t="s">
        <v>504</v>
      </c>
      <c r="X424" s="1" t="s">
        <v>305</v>
      </c>
      <c r="Y424" s="1">
        <v>6</v>
      </c>
      <c r="Z424" s="1" t="s">
        <v>249</v>
      </c>
      <c r="AA424" s="1" t="s">
        <v>1927</v>
      </c>
      <c r="AB424" s="1">
        <v>60148</v>
      </c>
      <c r="AD424" s="1" t="s">
        <v>5704</v>
      </c>
      <c r="AE424" s="1" t="s">
        <v>5705</v>
      </c>
      <c r="AF424" s="1">
        <v>1980</v>
      </c>
      <c r="AG424" s="1" t="s">
        <v>204</v>
      </c>
      <c r="AH424" s="1" t="s">
        <v>1930</v>
      </c>
      <c r="AI424" s="1" t="s">
        <v>206</v>
      </c>
      <c r="AJ424" s="1" t="s">
        <v>1608</v>
      </c>
      <c r="AL424" s="1">
        <v>5</v>
      </c>
      <c r="AM424" s="1">
        <v>2</v>
      </c>
      <c r="AN424" s="1">
        <v>1</v>
      </c>
      <c r="AO424" s="1">
        <v>1</v>
      </c>
      <c r="AP424" s="1" t="s">
        <v>209</v>
      </c>
      <c r="AR424" s="1" t="s">
        <v>210</v>
      </c>
      <c r="AT424" s="1" t="s">
        <v>271</v>
      </c>
      <c r="AV424" s="1">
        <v>1</v>
      </c>
      <c r="AW424" s="1" t="s">
        <v>204</v>
      </c>
      <c r="AX424" s="1" t="s">
        <v>212</v>
      </c>
      <c r="AZ424" s="1">
        <v>1977</v>
      </c>
      <c r="BA424" s="1">
        <v>2013</v>
      </c>
      <c r="BB424" s="1" t="s">
        <v>2694</v>
      </c>
      <c r="BE424" s="1">
        <v>1000</v>
      </c>
      <c r="BF424" s="1">
        <v>3</v>
      </c>
      <c r="BG424" s="1">
        <v>0</v>
      </c>
      <c r="BL424" s="1">
        <v>297</v>
      </c>
      <c r="BM424" s="1" t="s">
        <v>204</v>
      </c>
      <c r="BN424" s="1" t="s">
        <v>213</v>
      </c>
      <c r="BP424" s="1" t="s">
        <v>204</v>
      </c>
      <c r="BR424" s="1" t="str">
        <f>"0629106072"</f>
        <v>0629106072</v>
      </c>
      <c r="BT424" s="1" t="s">
        <v>5706</v>
      </c>
      <c r="BU424" s="1" t="s">
        <v>1933</v>
      </c>
      <c r="BV424" s="1" t="s">
        <v>1934</v>
      </c>
      <c r="BW424" s="1" t="s">
        <v>1935</v>
      </c>
      <c r="BX424" s="1">
        <v>44</v>
      </c>
      <c r="BY424" s="1">
        <v>44</v>
      </c>
      <c r="BZ424" s="1">
        <v>87</v>
      </c>
      <c r="CB424" s="1" t="str">
        <f t="shared" ref="CB424:CC424" si="333">""</f>
        <v/>
      </c>
      <c r="CC424" s="1" t="str">
        <f t="shared" si="333"/>
        <v/>
      </c>
      <c r="CG424" s="1" t="s">
        <v>1267</v>
      </c>
      <c r="CH424" s="1" t="s">
        <v>219</v>
      </c>
      <c r="CJ424" s="1" t="s">
        <v>343</v>
      </c>
      <c r="CK424" s="1" t="s">
        <v>539</v>
      </c>
      <c r="CL424" s="1" t="s">
        <v>219</v>
      </c>
      <c r="CM424" s="1" t="s">
        <v>220</v>
      </c>
      <c r="CN424" s="1" t="s">
        <v>343</v>
      </c>
      <c r="CO424" s="1" t="s">
        <v>630</v>
      </c>
      <c r="CP424" s="1" t="s">
        <v>219</v>
      </c>
      <c r="CR424" s="1" t="s">
        <v>343</v>
      </c>
      <c r="CS424" s="1" t="s">
        <v>1046</v>
      </c>
      <c r="CT424" s="1" t="s">
        <v>219</v>
      </c>
      <c r="CU424" s="1" t="s">
        <v>220</v>
      </c>
      <c r="CV424" s="1" t="s">
        <v>343</v>
      </c>
      <c r="CX424" s="1" t="s">
        <v>224</v>
      </c>
      <c r="DB424" s="1" t="s">
        <v>224</v>
      </c>
      <c r="DE424" s="1" t="s">
        <v>318</v>
      </c>
      <c r="DF424" s="1" t="s">
        <v>219</v>
      </c>
      <c r="DJ424" s="1" t="s">
        <v>224</v>
      </c>
      <c r="DS424" s="1" t="s">
        <v>230</v>
      </c>
      <c r="DW424" s="1" t="s">
        <v>230</v>
      </c>
      <c r="EA424" s="1" t="s">
        <v>230</v>
      </c>
      <c r="EE424" s="1" t="s">
        <v>230</v>
      </c>
      <c r="EI424" s="1" t="s">
        <v>230</v>
      </c>
      <c r="EL424" s="1" t="s">
        <v>231</v>
      </c>
      <c r="EM424" s="1" t="s">
        <v>232</v>
      </c>
      <c r="EN424" s="1" t="s">
        <v>282</v>
      </c>
      <c r="EO424" s="1" t="s">
        <v>234</v>
      </c>
      <c r="EQ424" s="1" t="s">
        <v>492</v>
      </c>
      <c r="ER424" s="1" t="s">
        <v>210</v>
      </c>
      <c r="ES424" s="1" t="s">
        <v>5707</v>
      </c>
      <c r="EU424" s="1" t="s">
        <v>285</v>
      </c>
      <c r="EW424" s="1" t="s">
        <v>1134</v>
      </c>
      <c r="EZ424" s="1" t="s">
        <v>287</v>
      </c>
      <c r="FD424" s="1" t="s">
        <v>736</v>
      </c>
      <c r="FE424" s="1" t="s">
        <v>247</v>
      </c>
      <c r="FF424" s="1" t="s">
        <v>248</v>
      </c>
      <c r="FH424" s="1" t="s">
        <v>249</v>
      </c>
      <c r="FJ424" s="1" t="s">
        <v>1251</v>
      </c>
      <c r="FK424" s="1" t="s">
        <v>291</v>
      </c>
      <c r="FL424" s="1" t="s">
        <v>1073</v>
      </c>
      <c r="FM424" s="1" t="s">
        <v>252</v>
      </c>
      <c r="FN424" s="1" t="s">
        <v>213</v>
      </c>
      <c r="FO424" s="1" t="s">
        <v>213</v>
      </c>
      <c r="FQ424" s="1" t="s">
        <v>793</v>
      </c>
      <c r="FR424" s="1" t="s">
        <v>210</v>
      </c>
      <c r="FS424" s="1" t="s">
        <v>5708</v>
      </c>
      <c r="FT424" s="1" t="s">
        <v>362</v>
      </c>
      <c r="FU424" s="1" t="s">
        <v>204</v>
      </c>
      <c r="FW424" s="1" t="s">
        <v>915</v>
      </c>
      <c r="FX424" s="1">
        <v>24071</v>
      </c>
      <c r="FY424" s="1" t="s">
        <v>2208</v>
      </c>
      <c r="FZ424" s="1" t="s">
        <v>5709</v>
      </c>
      <c r="GA424" s="1">
        <v>240664</v>
      </c>
      <c r="GB424" s="1" t="s">
        <v>5710</v>
      </c>
      <c r="GE424" s="1" t="s">
        <v>335</v>
      </c>
      <c r="GH424" s="1" t="s">
        <v>800</v>
      </c>
      <c r="GI424" s="1" t="s">
        <v>213</v>
      </c>
      <c r="GJ424" s="1" t="s">
        <v>260</v>
      </c>
      <c r="GK424" s="1" t="s">
        <v>210</v>
      </c>
      <c r="GL424" s="2">
        <v>42075</v>
      </c>
      <c r="GM424" s="1" t="s">
        <v>5711</v>
      </c>
    </row>
    <row r="425" spans="1:195">
      <c r="A425" s="1">
        <v>102000</v>
      </c>
      <c r="B425" s="1" t="s">
        <v>195</v>
      </c>
      <c r="C425" s="1" t="str">
        <f>"08787336"</f>
        <v>08787336</v>
      </c>
      <c r="D425" s="1" t="s">
        <v>196</v>
      </c>
      <c r="F425" s="1" t="str">
        <f>"2"</f>
        <v>2</v>
      </c>
      <c r="G425" s="2">
        <v>41959</v>
      </c>
      <c r="H425" s="1">
        <v>109900</v>
      </c>
      <c r="I425" s="1">
        <v>109900</v>
      </c>
      <c r="J425" s="1">
        <v>102000</v>
      </c>
      <c r="K425" s="2">
        <v>41958</v>
      </c>
      <c r="L425" s="1">
        <v>107</v>
      </c>
      <c r="M425" s="2">
        <v>42064</v>
      </c>
      <c r="N425" s="1">
        <v>107</v>
      </c>
      <c r="O425" s="2">
        <v>42064</v>
      </c>
      <c r="P425" s="1">
        <v>2750</v>
      </c>
      <c r="Q425" s="1" t="s">
        <v>197</v>
      </c>
      <c r="R425" s="2">
        <v>42107</v>
      </c>
      <c r="S425" s="1">
        <v>238937</v>
      </c>
      <c r="U425" s="1">
        <v>39841</v>
      </c>
      <c r="V425" s="1" t="s">
        <v>5712</v>
      </c>
      <c r="W425" s="1" t="s">
        <v>504</v>
      </c>
      <c r="Y425" s="1">
        <v>8</v>
      </c>
      <c r="Z425" s="1" t="s">
        <v>249</v>
      </c>
      <c r="AA425" s="1" t="s">
        <v>5713</v>
      </c>
      <c r="AB425" s="1">
        <v>60002</v>
      </c>
      <c r="AD425" s="1" t="s">
        <v>5714</v>
      </c>
      <c r="AE425" s="1" t="s">
        <v>5715</v>
      </c>
      <c r="AF425" s="1">
        <v>1980</v>
      </c>
      <c r="AG425" s="1" t="s">
        <v>204</v>
      </c>
      <c r="AH425" s="1" t="s">
        <v>596</v>
      </c>
      <c r="AI425" s="1" t="s">
        <v>509</v>
      </c>
      <c r="AJ425" s="1" t="s">
        <v>1437</v>
      </c>
      <c r="AL425" s="1">
        <v>5</v>
      </c>
      <c r="AM425" s="1">
        <v>2</v>
      </c>
      <c r="AN425" s="1">
        <v>1</v>
      </c>
      <c r="AO425" s="1">
        <v>1</v>
      </c>
      <c r="AP425" s="1" t="s">
        <v>455</v>
      </c>
      <c r="AQ425" s="1">
        <v>1</v>
      </c>
      <c r="AR425" s="1" t="s">
        <v>209</v>
      </c>
      <c r="AS425" s="1" t="s">
        <v>204</v>
      </c>
      <c r="AT425" s="1" t="s">
        <v>375</v>
      </c>
      <c r="AU425" s="1">
        <v>2</v>
      </c>
      <c r="AV425" s="1">
        <v>3</v>
      </c>
      <c r="AW425" s="1" t="s">
        <v>204</v>
      </c>
      <c r="AX425" s="1" t="s">
        <v>270</v>
      </c>
      <c r="AZ425" s="1">
        <v>2681.78</v>
      </c>
      <c r="BA425" s="1">
        <v>2013</v>
      </c>
      <c r="BB425" s="1" t="s">
        <v>405</v>
      </c>
      <c r="BE425" s="1">
        <v>1279</v>
      </c>
      <c r="BF425" s="1">
        <v>1</v>
      </c>
      <c r="BG425" s="1">
        <v>0</v>
      </c>
      <c r="BL425" s="1">
        <v>252</v>
      </c>
      <c r="BM425" s="1" t="s">
        <v>204</v>
      </c>
      <c r="BN425" s="1" t="s">
        <v>213</v>
      </c>
      <c r="BO425" s="1" t="s">
        <v>2932</v>
      </c>
      <c r="BP425" s="1" t="s">
        <v>204</v>
      </c>
      <c r="BR425" s="1" t="str">
        <f>"02301000550000"</f>
        <v>02301000550000</v>
      </c>
      <c r="BT425" s="1" t="s">
        <v>5716</v>
      </c>
      <c r="BX425" s="1">
        <v>33</v>
      </c>
      <c r="BY425" s="1">
        <v>33</v>
      </c>
      <c r="BZ425" s="1">
        <v>117</v>
      </c>
      <c r="CB425" s="1" t="str">
        <f t="shared" ref="CB425:CC425" si="334">""</f>
        <v/>
      </c>
      <c r="CC425" s="1" t="str">
        <f t="shared" si="334"/>
        <v/>
      </c>
      <c r="CG425" s="1" t="s">
        <v>276</v>
      </c>
      <c r="CH425" s="1" t="s">
        <v>219</v>
      </c>
      <c r="CK425" s="1" t="s">
        <v>461</v>
      </c>
      <c r="CL425" s="1" t="s">
        <v>219</v>
      </c>
      <c r="CO425" s="1" t="s">
        <v>629</v>
      </c>
      <c r="CP425" s="1" t="s">
        <v>219</v>
      </c>
      <c r="CS425" s="1" t="s">
        <v>1046</v>
      </c>
      <c r="CT425" s="1" t="s">
        <v>219</v>
      </c>
      <c r="CX425" s="1" t="s">
        <v>224</v>
      </c>
      <c r="DB425" s="1" t="s">
        <v>224</v>
      </c>
      <c r="DE425" s="1" t="s">
        <v>3072</v>
      </c>
      <c r="DF425" s="1" t="s">
        <v>219</v>
      </c>
      <c r="DJ425" s="1" t="s">
        <v>224</v>
      </c>
      <c r="DM425" s="1" t="s">
        <v>709</v>
      </c>
      <c r="DN425" s="1" t="s">
        <v>1771</v>
      </c>
      <c r="DR425" s="1" t="s">
        <v>5717</v>
      </c>
      <c r="DS425" s="1" t="s">
        <v>219</v>
      </c>
      <c r="DV425" s="1" t="s">
        <v>5717</v>
      </c>
      <c r="DW425" s="1" t="s">
        <v>219</v>
      </c>
      <c r="EA425" s="1" t="s">
        <v>230</v>
      </c>
      <c r="EE425" s="1" t="s">
        <v>230</v>
      </c>
      <c r="EI425" s="1" t="s">
        <v>230</v>
      </c>
      <c r="EL425" s="1" t="s">
        <v>231</v>
      </c>
      <c r="EM425" s="1" t="s">
        <v>319</v>
      </c>
      <c r="EN425" s="1" t="s">
        <v>282</v>
      </c>
      <c r="EO425" s="1" t="s">
        <v>1020</v>
      </c>
      <c r="EQ425" s="1" t="s">
        <v>284</v>
      </c>
      <c r="ER425" s="1" t="s">
        <v>1249</v>
      </c>
      <c r="EU425" s="1" t="s">
        <v>5718</v>
      </c>
      <c r="EW425" s="1" t="s">
        <v>911</v>
      </c>
      <c r="EZ425" s="1" t="s">
        <v>2948</v>
      </c>
      <c r="FD425" s="1" t="s">
        <v>246</v>
      </c>
      <c r="FE425" s="1" t="s">
        <v>889</v>
      </c>
      <c r="FF425" s="1" t="s">
        <v>248</v>
      </c>
      <c r="FG425" s="1" t="s">
        <v>939</v>
      </c>
      <c r="FH425" s="1" t="s">
        <v>825</v>
      </c>
      <c r="FL425" s="1" t="s">
        <v>292</v>
      </c>
      <c r="FM425" s="1" t="s">
        <v>252</v>
      </c>
      <c r="FN425" s="1" t="s">
        <v>213</v>
      </c>
      <c r="FO425" s="1" t="s">
        <v>213</v>
      </c>
      <c r="FQ425" s="1" t="s">
        <v>956</v>
      </c>
      <c r="FR425" s="1" t="s">
        <v>210</v>
      </c>
      <c r="FS425" s="1" t="s">
        <v>5719</v>
      </c>
      <c r="FT425" s="1" t="s">
        <v>295</v>
      </c>
      <c r="FU425" s="1" t="s">
        <v>204</v>
      </c>
      <c r="FW425" s="1" t="s">
        <v>5720</v>
      </c>
      <c r="FX425" s="1">
        <v>2750</v>
      </c>
      <c r="FY425" s="1" t="s">
        <v>5721</v>
      </c>
      <c r="FZ425" s="1" t="s">
        <v>5722</v>
      </c>
      <c r="GA425" s="1">
        <v>238937</v>
      </c>
      <c r="GB425" s="1" t="s">
        <v>5723</v>
      </c>
      <c r="GE425" s="1" t="s">
        <v>210</v>
      </c>
      <c r="GH425" s="1" t="s">
        <v>230</v>
      </c>
      <c r="GI425" s="1" t="s">
        <v>213</v>
      </c>
      <c r="GJ425" s="1" t="s">
        <v>260</v>
      </c>
      <c r="GK425" s="1" t="s">
        <v>210</v>
      </c>
      <c r="GL425" s="2">
        <v>42107</v>
      </c>
      <c r="GM425" s="1" t="s">
        <v>5724</v>
      </c>
    </row>
    <row r="426" spans="1:195">
      <c r="A426" s="1">
        <v>31649</v>
      </c>
      <c r="B426" s="1" t="s">
        <v>195</v>
      </c>
      <c r="C426" s="1" t="str">
        <f>"08793539"</f>
        <v>08793539</v>
      </c>
      <c r="D426" s="1" t="s">
        <v>196</v>
      </c>
      <c r="F426" s="1" t="str">
        <f>"8063"</f>
        <v>8063</v>
      </c>
      <c r="G426" s="2">
        <v>41971</v>
      </c>
      <c r="H426" s="1">
        <v>34000</v>
      </c>
      <c r="I426" s="1">
        <v>34000</v>
      </c>
      <c r="J426" s="1">
        <v>31649</v>
      </c>
      <c r="K426" s="2">
        <v>41971</v>
      </c>
      <c r="L426" s="1">
        <v>41</v>
      </c>
      <c r="M426" s="2">
        <v>42011</v>
      </c>
      <c r="N426" s="1">
        <v>41</v>
      </c>
      <c r="O426" s="2">
        <v>42011</v>
      </c>
      <c r="P426" s="1" t="s">
        <v>1039</v>
      </c>
      <c r="Q426" s="1" t="s">
        <v>302</v>
      </c>
      <c r="R426" s="2">
        <v>42011</v>
      </c>
      <c r="S426" s="1">
        <v>99999</v>
      </c>
      <c r="U426" s="1">
        <v>3400</v>
      </c>
      <c r="V426" s="1" t="s">
        <v>5725</v>
      </c>
      <c r="W426" s="1" t="s">
        <v>725</v>
      </c>
      <c r="X426" s="1">
        <v>2</v>
      </c>
      <c r="Y426" s="1">
        <v>8</v>
      </c>
      <c r="Z426" s="1" t="s">
        <v>249</v>
      </c>
      <c r="AA426" s="1" t="s">
        <v>400</v>
      </c>
      <c r="AB426" s="1">
        <v>60632</v>
      </c>
      <c r="AE426" s="1" t="s">
        <v>5726</v>
      </c>
      <c r="AF426" s="1">
        <v>1910</v>
      </c>
      <c r="AG426" s="1" t="s">
        <v>213</v>
      </c>
      <c r="AH426" s="1" t="s">
        <v>403</v>
      </c>
      <c r="AI426" s="1" t="s">
        <v>310</v>
      </c>
      <c r="AJ426" s="1" t="s">
        <v>683</v>
      </c>
      <c r="AL426" s="1">
        <v>6</v>
      </c>
      <c r="AM426" s="1">
        <v>2</v>
      </c>
      <c r="AN426" s="1">
        <v>1</v>
      </c>
      <c r="AO426" s="1">
        <v>0</v>
      </c>
      <c r="AP426" s="1" t="s">
        <v>210</v>
      </c>
      <c r="AR426" s="1" t="s">
        <v>210</v>
      </c>
      <c r="AS426" s="1" t="s">
        <v>204</v>
      </c>
      <c r="AT426" s="1" t="s">
        <v>210</v>
      </c>
      <c r="AW426" s="1" t="s">
        <v>204</v>
      </c>
      <c r="AX426" s="1" t="s">
        <v>212</v>
      </c>
      <c r="AZ426" s="1">
        <v>771.37</v>
      </c>
      <c r="BA426" s="1">
        <v>2012</v>
      </c>
      <c r="BE426" s="1">
        <v>750</v>
      </c>
      <c r="BF426" s="1">
        <v>1</v>
      </c>
      <c r="BG426" s="1">
        <v>0</v>
      </c>
      <c r="BL426" s="1">
        <v>150</v>
      </c>
      <c r="BM426" s="1" t="s">
        <v>413</v>
      </c>
      <c r="BN426" s="1" t="s">
        <v>204</v>
      </c>
      <c r="BP426" s="1" t="s">
        <v>204</v>
      </c>
      <c r="BR426" s="1" t="str">
        <f>"19114200621006"</f>
        <v>19114200621006</v>
      </c>
      <c r="BT426" s="1" t="s">
        <v>3770</v>
      </c>
      <c r="BX426" s="1">
        <v>299</v>
      </c>
      <c r="BY426" s="1">
        <v>299</v>
      </c>
      <c r="BZ426" s="1">
        <v>299</v>
      </c>
      <c r="CB426" s="1" t="str">
        <f t="shared" ref="CB426:CC426" si="335">"0"</f>
        <v>0</v>
      </c>
      <c r="CC426" s="1" t="str">
        <f t="shared" si="335"/>
        <v>0</v>
      </c>
      <c r="CD426" s="1">
        <v>3601</v>
      </c>
      <c r="CE426" s="1">
        <v>5500</v>
      </c>
      <c r="CG426" s="1" t="s">
        <v>3656</v>
      </c>
      <c r="CH426" s="1" t="s">
        <v>219</v>
      </c>
      <c r="CK426" s="1" t="s">
        <v>757</v>
      </c>
      <c r="CL426" s="1" t="s">
        <v>219</v>
      </c>
      <c r="CO426" s="1" t="s">
        <v>378</v>
      </c>
      <c r="CP426" s="1" t="s">
        <v>219</v>
      </c>
      <c r="CS426" s="1" t="s">
        <v>379</v>
      </c>
      <c r="CT426" s="1" t="s">
        <v>219</v>
      </c>
      <c r="CX426" s="1" t="s">
        <v>224</v>
      </c>
      <c r="DB426" s="1" t="s">
        <v>224</v>
      </c>
      <c r="DE426" s="1" t="s">
        <v>318</v>
      </c>
      <c r="DF426" s="1" t="s">
        <v>219</v>
      </c>
      <c r="DI426" s="1" t="s">
        <v>3656</v>
      </c>
      <c r="DJ426" s="1" t="s">
        <v>219</v>
      </c>
      <c r="DS426" s="1" t="s">
        <v>230</v>
      </c>
      <c r="DW426" s="1" t="s">
        <v>230</v>
      </c>
      <c r="EA426" s="1" t="s">
        <v>230</v>
      </c>
      <c r="EE426" s="1" t="s">
        <v>230</v>
      </c>
      <c r="EI426" s="1" t="s">
        <v>230</v>
      </c>
      <c r="EL426" s="1" t="s">
        <v>787</v>
      </c>
      <c r="EM426" s="1" t="s">
        <v>319</v>
      </c>
      <c r="EN426" s="1" t="s">
        <v>282</v>
      </c>
      <c r="EO426" s="1" t="s">
        <v>234</v>
      </c>
      <c r="ER426" s="1" t="s">
        <v>210</v>
      </c>
      <c r="EW426" s="1" t="s">
        <v>347</v>
      </c>
      <c r="EZ426" s="1" t="s">
        <v>287</v>
      </c>
      <c r="FD426" s="1" t="s">
        <v>1112</v>
      </c>
      <c r="FE426" s="1" t="s">
        <v>247</v>
      </c>
      <c r="FF426" s="1" t="s">
        <v>248</v>
      </c>
      <c r="FH426" s="1" t="s">
        <v>249</v>
      </c>
      <c r="FJ426" s="1" t="s">
        <v>1472</v>
      </c>
      <c r="FL426" s="1" t="s">
        <v>358</v>
      </c>
      <c r="FM426" s="1" t="s">
        <v>252</v>
      </c>
      <c r="FN426" s="1" t="s">
        <v>213</v>
      </c>
      <c r="FO426" s="1" t="s">
        <v>213</v>
      </c>
      <c r="FQ426" s="1" t="s">
        <v>5727</v>
      </c>
      <c r="FR426" s="1" t="s">
        <v>210</v>
      </c>
      <c r="FS426" s="1" t="s">
        <v>3772</v>
      </c>
      <c r="FT426" s="1" t="s">
        <v>3773</v>
      </c>
      <c r="FU426" s="1" t="s">
        <v>204</v>
      </c>
      <c r="FW426" s="1" t="s">
        <v>3774</v>
      </c>
      <c r="FX426" s="1">
        <v>1984</v>
      </c>
      <c r="FY426" s="1" t="s">
        <v>3775</v>
      </c>
      <c r="FZ426" s="1" t="s">
        <v>5728</v>
      </c>
      <c r="GA426" s="1">
        <v>923546</v>
      </c>
      <c r="GB426" s="1" t="s">
        <v>5729</v>
      </c>
      <c r="GE426" s="1" t="s">
        <v>210</v>
      </c>
      <c r="GH426" s="1" t="s">
        <v>589</v>
      </c>
      <c r="GI426" s="1" t="s">
        <v>204</v>
      </c>
      <c r="GJ426" s="1" t="s">
        <v>260</v>
      </c>
      <c r="GK426" s="1" t="s">
        <v>210</v>
      </c>
      <c r="GL426" s="2">
        <v>42012</v>
      </c>
      <c r="GM426" s="1" t="s">
        <v>3777</v>
      </c>
    </row>
    <row r="427" spans="1:195">
      <c r="A427" s="1">
        <v>74000</v>
      </c>
      <c r="B427" s="1" t="s">
        <v>195</v>
      </c>
      <c r="C427" s="1" t="str">
        <f>"08791000"</f>
        <v>08791000</v>
      </c>
      <c r="D427" s="1" t="s">
        <v>196</v>
      </c>
      <c r="F427" s="1" t="str">
        <f>"517"</f>
        <v>517</v>
      </c>
      <c r="G427" s="2">
        <v>41964</v>
      </c>
      <c r="H427" s="1">
        <v>74900</v>
      </c>
      <c r="I427" s="1">
        <v>74900</v>
      </c>
      <c r="J427" s="1">
        <v>74000</v>
      </c>
      <c r="K427" s="2">
        <v>41964</v>
      </c>
      <c r="L427" s="1">
        <v>4</v>
      </c>
      <c r="M427" s="2">
        <v>41967</v>
      </c>
      <c r="N427" s="1">
        <v>4</v>
      </c>
      <c r="O427" s="2">
        <v>41967</v>
      </c>
      <c r="P427" s="1">
        <v>20179</v>
      </c>
      <c r="Q427" s="1" t="s">
        <v>302</v>
      </c>
      <c r="R427" s="2">
        <v>41988</v>
      </c>
      <c r="S427" s="1">
        <v>239974</v>
      </c>
      <c r="U427" s="1">
        <v>2212</v>
      </c>
      <c r="V427" s="1" t="s">
        <v>5730</v>
      </c>
      <c r="W427" s="1" t="s">
        <v>264</v>
      </c>
      <c r="X427" s="1">
        <v>2103</v>
      </c>
      <c r="Y427" s="1">
        <v>8</v>
      </c>
      <c r="Z427" s="1" t="s">
        <v>249</v>
      </c>
      <c r="AA427" s="1" t="s">
        <v>2850</v>
      </c>
      <c r="AB427" s="1">
        <v>60517</v>
      </c>
      <c r="AD427" s="1" t="s">
        <v>5731</v>
      </c>
      <c r="AE427" s="1" t="s">
        <v>5732</v>
      </c>
      <c r="AF427" s="1">
        <v>1980</v>
      </c>
      <c r="AG427" s="1" t="s">
        <v>204</v>
      </c>
      <c r="AH427" s="1" t="s">
        <v>2853</v>
      </c>
      <c r="AI427" s="1" t="s">
        <v>206</v>
      </c>
      <c r="AJ427" s="1" t="s">
        <v>925</v>
      </c>
      <c r="AL427" s="1">
        <v>5</v>
      </c>
      <c r="AM427" s="1">
        <v>2</v>
      </c>
      <c r="AN427" s="1">
        <v>2</v>
      </c>
      <c r="AO427" s="1">
        <v>0</v>
      </c>
      <c r="AP427" s="1" t="s">
        <v>209</v>
      </c>
      <c r="AQ427" s="1">
        <v>1</v>
      </c>
      <c r="AR427" s="1" t="s">
        <v>210</v>
      </c>
      <c r="AS427" s="1" t="s">
        <v>204</v>
      </c>
      <c r="AT427" s="1" t="s">
        <v>375</v>
      </c>
      <c r="AU427" s="1">
        <v>1</v>
      </c>
      <c r="AV427" s="1">
        <v>1</v>
      </c>
      <c r="AW427" s="1" t="s">
        <v>204</v>
      </c>
      <c r="AX427" s="1" t="s">
        <v>212</v>
      </c>
      <c r="AZ427" s="1">
        <v>2154</v>
      </c>
      <c r="BA427" s="1">
        <v>2013</v>
      </c>
      <c r="BE427" s="1">
        <v>1010</v>
      </c>
      <c r="BF427" s="1">
        <v>1</v>
      </c>
      <c r="BG427" s="1">
        <v>30</v>
      </c>
      <c r="BL427" s="1">
        <v>201</v>
      </c>
      <c r="BM427" s="1" t="s">
        <v>204</v>
      </c>
      <c r="BN427" s="1" t="s">
        <v>213</v>
      </c>
      <c r="BO427" s="1">
        <v>999</v>
      </c>
      <c r="BP427" s="1" t="s">
        <v>204</v>
      </c>
      <c r="BR427" s="1" t="str">
        <f>"0836210123"</f>
        <v>0836210123</v>
      </c>
      <c r="BT427" s="1" t="s">
        <v>5733</v>
      </c>
      <c r="BU427" s="1" t="s">
        <v>5734</v>
      </c>
      <c r="BV427" s="1" t="s">
        <v>2856</v>
      </c>
      <c r="BW427" s="1" t="s">
        <v>3099</v>
      </c>
      <c r="BX427" s="1">
        <v>68</v>
      </c>
      <c r="BY427" s="1">
        <v>68</v>
      </c>
      <c r="BZ427" s="1">
        <v>99</v>
      </c>
      <c r="CB427" s="1" t="str">
        <f t="shared" ref="CB427:CC427" si="336">"0"</f>
        <v>0</v>
      </c>
      <c r="CC427" s="1" t="str">
        <f t="shared" si="336"/>
        <v>0</v>
      </c>
      <c r="CD427" s="1">
        <v>21</v>
      </c>
      <c r="CE427" s="1">
        <v>9</v>
      </c>
      <c r="CG427" s="1" t="s">
        <v>1045</v>
      </c>
      <c r="CH427" s="1" t="s">
        <v>219</v>
      </c>
      <c r="CI427" s="1" t="s">
        <v>220</v>
      </c>
      <c r="CK427" s="1" t="s">
        <v>461</v>
      </c>
      <c r="CL427" s="1" t="s">
        <v>219</v>
      </c>
      <c r="CM427" s="1" t="s">
        <v>220</v>
      </c>
      <c r="CN427" s="1" t="s">
        <v>463</v>
      </c>
      <c r="CO427" s="1" t="s">
        <v>346</v>
      </c>
      <c r="CP427" s="1" t="s">
        <v>219</v>
      </c>
      <c r="CQ427" s="1" t="s">
        <v>220</v>
      </c>
      <c r="CR427" s="1" t="s">
        <v>210</v>
      </c>
      <c r="CS427" s="1" t="s">
        <v>1358</v>
      </c>
      <c r="CT427" s="1" t="s">
        <v>219</v>
      </c>
      <c r="CU427" s="1" t="s">
        <v>220</v>
      </c>
      <c r="CV427" s="1" t="s">
        <v>463</v>
      </c>
      <c r="CX427" s="1" t="s">
        <v>224</v>
      </c>
      <c r="DB427" s="1" t="s">
        <v>224</v>
      </c>
      <c r="DE427" s="1" t="s">
        <v>2138</v>
      </c>
      <c r="DF427" s="1" t="s">
        <v>219</v>
      </c>
      <c r="DG427" s="1" t="s">
        <v>342</v>
      </c>
      <c r="DH427" s="1" t="s">
        <v>463</v>
      </c>
      <c r="DJ427" s="1" t="s">
        <v>224</v>
      </c>
      <c r="DM427" s="1" t="s">
        <v>709</v>
      </c>
      <c r="DR427" s="1" t="s">
        <v>2968</v>
      </c>
      <c r="DS427" s="1" t="s">
        <v>219</v>
      </c>
      <c r="DU427" s="1" t="s">
        <v>210</v>
      </c>
      <c r="DW427" s="1" t="s">
        <v>230</v>
      </c>
      <c r="EA427" s="1" t="s">
        <v>230</v>
      </c>
      <c r="EE427" s="1" t="s">
        <v>230</v>
      </c>
      <c r="EI427" s="1" t="s">
        <v>230</v>
      </c>
      <c r="EL427" s="1" t="s">
        <v>231</v>
      </c>
      <c r="EM427" s="1" t="s">
        <v>232</v>
      </c>
      <c r="EN427" s="1" t="s">
        <v>282</v>
      </c>
      <c r="EO427" s="1" t="s">
        <v>234</v>
      </c>
      <c r="EP427" s="1" t="s">
        <v>5735</v>
      </c>
      <c r="EQ427" s="1" t="s">
        <v>1109</v>
      </c>
      <c r="ER427" s="1" t="s">
        <v>383</v>
      </c>
      <c r="ES427" s="1" t="s">
        <v>824</v>
      </c>
      <c r="ET427" s="1" t="s">
        <v>323</v>
      </c>
      <c r="EU427" s="1" t="s">
        <v>843</v>
      </c>
      <c r="EV427" s="1" t="s">
        <v>240</v>
      </c>
      <c r="EW427" s="1" t="s">
        <v>2205</v>
      </c>
      <c r="EY427" s="1" t="s">
        <v>242</v>
      </c>
      <c r="EZ427" s="1" t="s">
        <v>709</v>
      </c>
      <c r="FB427" s="1" t="s">
        <v>289</v>
      </c>
      <c r="FD427" s="1" t="s">
        <v>495</v>
      </c>
      <c r="FE427" s="1" t="s">
        <v>247</v>
      </c>
      <c r="FF427" s="1" t="s">
        <v>248</v>
      </c>
      <c r="FG427" s="1" t="s">
        <v>2739</v>
      </c>
      <c r="FH427" s="1" t="s">
        <v>249</v>
      </c>
      <c r="FI427" s="1" t="s">
        <v>2827</v>
      </c>
      <c r="FK427" s="1" t="s">
        <v>891</v>
      </c>
      <c r="FL427" s="1" t="s">
        <v>358</v>
      </c>
      <c r="FM427" s="1" t="s">
        <v>252</v>
      </c>
      <c r="FN427" s="1" t="s">
        <v>213</v>
      </c>
      <c r="FO427" s="1" t="s">
        <v>213</v>
      </c>
      <c r="FQ427" s="1" t="s">
        <v>5736</v>
      </c>
      <c r="FR427" s="1" t="s">
        <v>210</v>
      </c>
      <c r="FS427" s="1" t="s">
        <v>5737</v>
      </c>
      <c r="FT427" s="1" t="s">
        <v>295</v>
      </c>
      <c r="FU427" s="1" t="s">
        <v>204</v>
      </c>
      <c r="FW427" s="1" t="s">
        <v>5738</v>
      </c>
      <c r="FX427" s="1">
        <v>60342</v>
      </c>
      <c r="FY427" s="1" t="s">
        <v>5739</v>
      </c>
      <c r="FZ427" s="1" t="s">
        <v>5740</v>
      </c>
      <c r="GA427" s="1">
        <v>231255</v>
      </c>
      <c r="GB427" s="1" t="s">
        <v>5741</v>
      </c>
      <c r="GE427" s="1" t="s">
        <v>335</v>
      </c>
      <c r="GI427" s="1" t="s">
        <v>213</v>
      </c>
      <c r="GJ427" s="1" t="s">
        <v>260</v>
      </c>
      <c r="GK427" s="1" t="s">
        <v>210</v>
      </c>
      <c r="GL427" s="2">
        <v>41988</v>
      </c>
      <c r="GM427" s="1" t="s">
        <v>5742</v>
      </c>
    </row>
    <row r="428" spans="1:195">
      <c r="A428" s="1">
        <v>114500</v>
      </c>
      <c r="B428" s="1" t="s">
        <v>195</v>
      </c>
      <c r="C428" s="1" t="str">
        <f>"08790985"</f>
        <v>08790985</v>
      </c>
      <c r="D428" s="1" t="s">
        <v>196</v>
      </c>
      <c r="F428" s="1" t="str">
        <f>"123"</f>
        <v>123</v>
      </c>
      <c r="G428" s="2">
        <v>41964</v>
      </c>
      <c r="H428" s="1">
        <v>123500</v>
      </c>
      <c r="I428" s="1">
        <v>123500</v>
      </c>
      <c r="J428" s="1">
        <v>114500</v>
      </c>
      <c r="K428" s="2">
        <v>41964</v>
      </c>
      <c r="L428" s="1">
        <v>54</v>
      </c>
      <c r="M428" s="2">
        <v>42017</v>
      </c>
      <c r="N428" s="1">
        <v>54</v>
      </c>
      <c r="O428" s="2">
        <v>42017</v>
      </c>
      <c r="P428" s="1">
        <v>8970</v>
      </c>
      <c r="Q428" s="1" t="s">
        <v>197</v>
      </c>
      <c r="R428" s="2">
        <v>42053</v>
      </c>
      <c r="S428" s="1">
        <v>243669</v>
      </c>
      <c r="U428" s="1">
        <v>1332</v>
      </c>
      <c r="V428" s="1" t="s">
        <v>5743</v>
      </c>
      <c r="W428" s="1" t="s">
        <v>304</v>
      </c>
      <c r="X428" s="1">
        <v>1332</v>
      </c>
      <c r="Y428" s="1">
        <v>8</v>
      </c>
      <c r="Z428" s="1" t="s">
        <v>249</v>
      </c>
      <c r="AA428" s="1" t="s">
        <v>1173</v>
      </c>
      <c r="AB428" s="1">
        <v>60120</v>
      </c>
      <c r="AD428" s="1" t="s">
        <v>5744</v>
      </c>
      <c r="AE428" s="1" t="s">
        <v>5745</v>
      </c>
      <c r="AF428" s="1">
        <v>1995</v>
      </c>
      <c r="AG428" s="1" t="s">
        <v>204</v>
      </c>
      <c r="AH428" s="1" t="s">
        <v>1175</v>
      </c>
      <c r="AI428" s="1" t="s">
        <v>310</v>
      </c>
      <c r="AJ428" s="1" t="s">
        <v>1175</v>
      </c>
      <c r="AL428" s="1">
        <v>5</v>
      </c>
      <c r="AM428" s="1">
        <v>2</v>
      </c>
      <c r="AN428" s="1">
        <v>1</v>
      </c>
      <c r="AO428" s="1">
        <v>0</v>
      </c>
      <c r="AP428" s="1" t="s">
        <v>455</v>
      </c>
      <c r="AQ428" s="1">
        <v>1</v>
      </c>
      <c r="AR428" s="1" t="s">
        <v>210</v>
      </c>
      <c r="AS428" s="1" t="s">
        <v>204</v>
      </c>
      <c r="AT428" s="1" t="s">
        <v>211</v>
      </c>
      <c r="AU428" s="1">
        <v>1</v>
      </c>
      <c r="AW428" s="1" t="s">
        <v>204</v>
      </c>
      <c r="AX428" s="1" t="s">
        <v>212</v>
      </c>
      <c r="AZ428" s="1">
        <v>1533.88</v>
      </c>
      <c r="BA428" s="1">
        <v>2013</v>
      </c>
      <c r="BB428" s="1" t="s">
        <v>405</v>
      </c>
      <c r="BE428" s="1">
        <v>1132</v>
      </c>
      <c r="BF428" s="1">
        <v>1</v>
      </c>
      <c r="BG428" s="1">
        <v>0</v>
      </c>
      <c r="BL428" s="1">
        <v>138</v>
      </c>
      <c r="BM428" s="1" t="s">
        <v>204</v>
      </c>
      <c r="BN428" s="1" t="s">
        <v>213</v>
      </c>
      <c r="BO428" s="1">
        <v>99</v>
      </c>
      <c r="BP428" s="1" t="s">
        <v>204</v>
      </c>
      <c r="BR428" s="1" t="str">
        <f>"06062080081030"</f>
        <v>06062080081030</v>
      </c>
      <c r="BT428" s="1" t="s">
        <v>5746</v>
      </c>
      <c r="BU428" s="1" t="s">
        <v>969</v>
      </c>
      <c r="BV428" s="1" t="s">
        <v>3604</v>
      </c>
      <c r="BW428" s="1" t="s">
        <v>2058</v>
      </c>
      <c r="BX428" s="1">
        <v>46</v>
      </c>
      <c r="BY428" s="1">
        <v>46</v>
      </c>
      <c r="BZ428" s="1">
        <v>46</v>
      </c>
      <c r="CB428" s="1" t="str">
        <f>"12"</f>
        <v>12</v>
      </c>
      <c r="CC428" s="1" t="str">
        <f>"0"</f>
        <v>0</v>
      </c>
      <c r="CD428" s="1">
        <v>32</v>
      </c>
      <c r="CE428" s="1">
        <v>0</v>
      </c>
      <c r="CG428" s="1" t="s">
        <v>315</v>
      </c>
      <c r="CH428" s="1" t="s">
        <v>219</v>
      </c>
      <c r="CI428" s="1" t="s">
        <v>229</v>
      </c>
      <c r="CJ428" s="1" t="s">
        <v>343</v>
      </c>
      <c r="CK428" s="1" t="s">
        <v>437</v>
      </c>
      <c r="CL428" s="1" t="s">
        <v>219</v>
      </c>
      <c r="CM428" s="1" t="s">
        <v>220</v>
      </c>
      <c r="CN428" s="1" t="s">
        <v>343</v>
      </c>
      <c r="CO428" s="1" t="s">
        <v>346</v>
      </c>
      <c r="CP428" s="1" t="s">
        <v>219</v>
      </c>
      <c r="CQ428" s="1" t="s">
        <v>229</v>
      </c>
      <c r="CR428" s="1" t="s">
        <v>343</v>
      </c>
      <c r="CS428" s="1" t="s">
        <v>379</v>
      </c>
      <c r="CT428" s="1" t="s">
        <v>219</v>
      </c>
      <c r="CU428" s="1" t="s">
        <v>220</v>
      </c>
      <c r="CV428" s="1" t="s">
        <v>343</v>
      </c>
      <c r="CX428" s="1" t="s">
        <v>224</v>
      </c>
      <c r="DB428" s="1" t="s">
        <v>224</v>
      </c>
      <c r="DE428" s="1" t="s">
        <v>1297</v>
      </c>
      <c r="DF428" s="1" t="s">
        <v>219</v>
      </c>
      <c r="DG428" s="1" t="s">
        <v>229</v>
      </c>
      <c r="DH428" s="1" t="s">
        <v>343</v>
      </c>
      <c r="DJ428" s="1" t="s">
        <v>224</v>
      </c>
      <c r="DS428" s="1" t="s">
        <v>230</v>
      </c>
      <c r="DW428" s="1" t="s">
        <v>230</v>
      </c>
      <c r="EA428" s="1" t="s">
        <v>230</v>
      </c>
      <c r="EE428" s="1" t="s">
        <v>230</v>
      </c>
      <c r="EI428" s="1" t="s">
        <v>230</v>
      </c>
      <c r="EL428" s="1" t="s">
        <v>670</v>
      </c>
      <c r="EM428" s="1" t="s">
        <v>319</v>
      </c>
      <c r="EN428" s="1" t="s">
        <v>282</v>
      </c>
      <c r="EO428" s="1" t="s">
        <v>234</v>
      </c>
      <c r="EP428" s="1" t="s">
        <v>283</v>
      </c>
      <c r="EQ428" s="1" t="s">
        <v>1094</v>
      </c>
      <c r="ER428" s="1" t="s">
        <v>383</v>
      </c>
      <c r="ET428" s="1" t="s">
        <v>842</v>
      </c>
      <c r="EU428" s="1" t="s">
        <v>1894</v>
      </c>
      <c r="EV428" s="1" t="s">
        <v>240</v>
      </c>
      <c r="EW428" s="1" t="s">
        <v>353</v>
      </c>
      <c r="EY428" s="1" t="s">
        <v>242</v>
      </c>
      <c r="EZ428" s="1" t="s">
        <v>287</v>
      </c>
      <c r="FA428" s="1" t="s">
        <v>5044</v>
      </c>
      <c r="FB428" s="1" t="s">
        <v>289</v>
      </c>
      <c r="FD428" s="1" t="s">
        <v>246</v>
      </c>
      <c r="FE428" s="1" t="s">
        <v>1006</v>
      </c>
      <c r="FF428" s="1" t="s">
        <v>248</v>
      </c>
      <c r="FG428" s="1" t="s">
        <v>871</v>
      </c>
      <c r="FH428" s="1" t="s">
        <v>249</v>
      </c>
      <c r="FI428" s="1" t="s">
        <v>473</v>
      </c>
      <c r="FJ428" s="1" t="s">
        <v>197</v>
      </c>
      <c r="FL428" s="1" t="s">
        <v>358</v>
      </c>
      <c r="FM428" s="1" t="s">
        <v>252</v>
      </c>
      <c r="FN428" s="1" t="s">
        <v>213</v>
      </c>
      <c r="FO428" s="1" t="s">
        <v>213</v>
      </c>
      <c r="FQ428" s="1" t="s">
        <v>1441</v>
      </c>
      <c r="FR428" s="1" t="s">
        <v>210</v>
      </c>
      <c r="FS428" s="1" t="s">
        <v>5747</v>
      </c>
      <c r="FT428" s="1" t="s">
        <v>520</v>
      </c>
      <c r="FU428" s="1" t="s">
        <v>204</v>
      </c>
      <c r="FW428" s="1" t="s">
        <v>554</v>
      </c>
      <c r="FX428" s="1">
        <v>5040</v>
      </c>
      <c r="FY428" s="1" t="s">
        <v>2611</v>
      </c>
      <c r="FZ428" s="1" t="s">
        <v>5748</v>
      </c>
      <c r="GA428" s="1">
        <v>50962</v>
      </c>
      <c r="GB428" s="1" t="s">
        <v>5749</v>
      </c>
      <c r="GE428" s="1" t="s">
        <v>480</v>
      </c>
      <c r="GI428" s="1" t="s">
        <v>213</v>
      </c>
      <c r="GJ428" s="1" t="s">
        <v>260</v>
      </c>
      <c r="GK428" s="1" t="s">
        <v>210</v>
      </c>
      <c r="GL428" s="2">
        <v>42053</v>
      </c>
      <c r="GM428" s="1" t="s">
        <v>5750</v>
      </c>
    </row>
    <row r="429" spans="1:195">
      <c r="A429" s="1">
        <v>100000</v>
      </c>
      <c r="B429" s="1" t="s">
        <v>195</v>
      </c>
      <c r="C429" s="1" t="str">
        <f>"08791958"</f>
        <v>08791958</v>
      </c>
      <c r="D429" s="1" t="s">
        <v>196</v>
      </c>
      <c r="F429" s="1" t="str">
        <f>"515"</f>
        <v>515</v>
      </c>
      <c r="G429" s="2">
        <v>41967</v>
      </c>
      <c r="H429" s="1">
        <v>111000</v>
      </c>
      <c r="I429" s="1">
        <v>111000</v>
      </c>
      <c r="J429" s="1">
        <v>100000</v>
      </c>
      <c r="K429" s="2">
        <v>41967</v>
      </c>
      <c r="L429" s="1">
        <v>19</v>
      </c>
      <c r="M429" s="2">
        <v>41985</v>
      </c>
      <c r="N429" s="1">
        <v>19</v>
      </c>
      <c r="O429" s="2">
        <v>41985</v>
      </c>
      <c r="P429" s="1">
        <v>20150</v>
      </c>
      <c r="Q429" s="1" t="s">
        <v>197</v>
      </c>
      <c r="R429" s="2">
        <v>42018</v>
      </c>
      <c r="S429" s="1">
        <v>212471</v>
      </c>
      <c r="U429" s="1">
        <v>4221</v>
      </c>
      <c r="V429" s="1" t="s">
        <v>5751</v>
      </c>
      <c r="W429" s="1" t="s">
        <v>425</v>
      </c>
      <c r="X429" s="1" t="s">
        <v>5752</v>
      </c>
      <c r="Y429" s="1">
        <v>48</v>
      </c>
      <c r="Z429" s="1" t="s">
        <v>2811</v>
      </c>
      <c r="AA429" s="1" t="s">
        <v>1294</v>
      </c>
      <c r="AB429" s="1">
        <v>60515</v>
      </c>
      <c r="AD429" s="1" t="s">
        <v>5753</v>
      </c>
      <c r="AE429" s="1" t="s">
        <v>5754</v>
      </c>
      <c r="AF429" s="1">
        <v>1971</v>
      </c>
      <c r="AG429" s="1" t="s">
        <v>213</v>
      </c>
      <c r="AH429" s="1" t="s">
        <v>903</v>
      </c>
      <c r="AI429" s="1" t="s">
        <v>206</v>
      </c>
      <c r="AJ429" s="1" t="s">
        <v>903</v>
      </c>
      <c r="AL429" s="1">
        <v>5</v>
      </c>
      <c r="AM429" s="1">
        <v>2</v>
      </c>
      <c r="AN429" s="1">
        <v>2</v>
      </c>
      <c r="AO429" s="1">
        <v>0</v>
      </c>
      <c r="AP429" s="1" t="s">
        <v>209</v>
      </c>
      <c r="AQ429" s="1">
        <v>1</v>
      </c>
      <c r="AR429" s="1" t="s">
        <v>210</v>
      </c>
      <c r="AS429" s="1" t="s">
        <v>204</v>
      </c>
      <c r="AT429" s="1" t="s">
        <v>211</v>
      </c>
      <c r="AU429" s="1">
        <v>1</v>
      </c>
      <c r="AW429" s="1" t="s">
        <v>204</v>
      </c>
      <c r="AX429" s="1" t="s">
        <v>5755</v>
      </c>
      <c r="AZ429" s="1">
        <v>959</v>
      </c>
      <c r="BA429" s="1">
        <v>2013</v>
      </c>
      <c r="BB429" s="1" t="s">
        <v>2694</v>
      </c>
      <c r="BE429" s="1">
        <v>1118</v>
      </c>
      <c r="BF429" s="1">
        <v>1</v>
      </c>
      <c r="BG429" s="1">
        <v>0</v>
      </c>
      <c r="BL429" s="1">
        <v>463</v>
      </c>
      <c r="BM429" s="1" t="s">
        <v>204</v>
      </c>
      <c r="BN429" s="1" t="s">
        <v>213</v>
      </c>
      <c r="BO429" s="1">
        <v>30</v>
      </c>
      <c r="BP429" s="1" t="s">
        <v>204</v>
      </c>
      <c r="BR429" s="1" t="str">
        <f>"0905122013"</f>
        <v>0905122013</v>
      </c>
      <c r="BT429" s="1" t="s">
        <v>5756</v>
      </c>
      <c r="BU429" s="1" t="s">
        <v>5757</v>
      </c>
      <c r="BV429" s="1" t="s">
        <v>2761</v>
      </c>
      <c r="BW429" s="1" t="s">
        <v>2762</v>
      </c>
      <c r="BX429" s="1">
        <v>58</v>
      </c>
      <c r="BY429" s="1">
        <v>58</v>
      </c>
      <c r="BZ429" s="1">
        <v>99</v>
      </c>
      <c r="CB429" s="1" t="str">
        <f t="shared" ref="CB429:CC429" si="337">"0"</f>
        <v>0</v>
      </c>
      <c r="CC429" s="1" t="str">
        <f t="shared" si="337"/>
        <v>0</v>
      </c>
      <c r="CD429" s="1">
        <v>19</v>
      </c>
      <c r="CE429" s="1">
        <v>4</v>
      </c>
      <c r="CG429" s="1" t="s">
        <v>2992</v>
      </c>
      <c r="CH429" s="1" t="s">
        <v>219</v>
      </c>
      <c r="CI429" s="1" t="s">
        <v>220</v>
      </c>
      <c r="CK429" s="1" t="s">
        <v>564</v>
      </c>
      <c r="CL429" s="1" t="s">
        <v>219</v>
      </c>
      <c r="CM429" s="1" t="s">
        <v>220</v>
      </c>
      <c r="CO429" s="1" t="s">
        <v>1297</v>
      </c>
      <c r="CP429" s="1" t="s">
        <v>219</v>
      </c>
      <c r="CQ429" s="1" t="s">
        <v>220</v>
      </c>
      <c r="CS429" s="1" t="s">
        <v>278</v>
      </c>
      <c r="CT429" s="1" t="s">
        <v>219</v>
      </c>
      <c r="CU429" s="1" t="s">
        <v>220</v>
      </c>
      <c r="CX429" s="1" t="s">
        <v>224</v>
      </c>
      <c r="DB429" s="1" t="s">
        <v>224</v>
      </c>
      <c r="DE429" s="1" t="s">
        <v>465</v>
      </c>
      <c r="DF429" s="1" t="s">
        <v>219</v>
      </c>
      <c r="DG429" s="1" t="s">
        <v>229</v>
      </c>
      <c r="DJ429" s="1" t="s">
        <v>224</v>
      </c>
      <c r="DM429" s="1" t="s">
        <v>1359</v>
      </c>
      <c r="DN429" s="1" t="s">
        <v>709</v>
      </c>
      <c r="DR429" s="1" t="s">
        <v>5758</v>
      </c>
      <c r="DS429" s="1" t="s">
        <v>219</v>
      </c>
      <c r="DV429" s="1" t="s">
        <v>910</v>
      </c>
      <c r="DW429" s="1" t="s">
        <v>219</v>
      </c>
      <c r="DX429" s="1" t="s">
        <v>220</v>
      </c>
      <c r="EA429" s="1" t="s">
        <v>230</v>
      </c>
      <c r="EE429" s="1" t="s">
        <v>230</v>
      </c>
      <c r="EI429" s="1" t="s">
        <v>230</v>
      </c>
      <c r="EL429" s="1" t="s">
        <v>605</v>
      </c>
      <c r="EM429" s="1" t="s">
        <v>730</v>
      </c>
      <c r="EN429" s="1" t="s">
        <v>1158</v>
      </c>
      <c r="EO429" s="1" t="s">
        <v>234</v>
      </c>
      <c r="ER429" s="1" t="s">
        <v>210</v>
      </c>
      <c r="ES429" s="1" t="s">
        <v>322</v>
      </c>
      <c r="EV429" s="1" t="s">
        <v>240</v>
      </c>
      <c r="EW429" s="1" t="s">
        <v>5759</v>
      </c>
      <c r="EY429" s="1" t="s">
        <v>242</v>
      </c>
      <c r="EZ429" s="1" t="s">
        <v>1361</v>
      </c>
      <c r="FA429" s="1" t="s">
        <v>1048</v>
      </c>
      <c r="FB429" s="1" t="s">
        <v>289</v>
      </c>
      <c r="FD429" s="1" t="s">
        <v>290</v>
      </c>
      <c r="FE429" s="1" t="s">
        <v>247</v>
      </c>
      <c r="FF429" s="1" t="s">
        <v>248</v>
      </c>
      <c r="FG429" s="1" t="s">
        <v>939</v>
      </c>
      <c r="FH429" s="1" t="s">
        <v>249</v>
      </c>
      <c r="FI429" s="1" t="s">
        <v>5760</v>
      </c>
      <c r="FJ429" s="1" t="s">
        <v>197</v>
      </c>
      <c r="FL429" s="1" t="s">
        <v>2233</v>
      </c>
      <c r="FM429" s="1" t="s">
        <v>252</v>
      </c>
      <c r="FN429" s="1" t="s">
        <v>213</v>
      </c>
      <c r="FO429" s="1" t="s">
        <v>213</v>
      </c>
      <c r="FQ429" s="1" t="s">
        <v>793</v>
      </c>
      <c r="FR429" s="1" t="s">
        <v>210</v>
      </c>
      <c r="FS429" s="1" t="s">
        <v>5761</v>
      </c>
      <c r="FT429" s="1" t="s">
        <v>295</v>
      </c>
      <c r="FU429" s="1" t="s">
        <v>204</v>
      </c>
      <c r="FW429" s="1" t="s">
        <v>915</v>
      </c>
      <c r="FX429" s="1">
        <v>22049</v>
      </c>
      <c r="FY429" s="1" t="s">
        <v>4731</v>
      </c>
      <c r="FZ429" s="1" t="s">
        <v>5762</v>
      </c>
      <c r="GA429" s="1">
        <v>242234</v>
      </c>
      <c r="GE429" s="1" t="s">
        <v>210</v>
      </c>
      <c r="GI429" s="1" t="s">
        <v>213</v>
      </c>
      <c r="GJ429" s="1" t="s">
        <v>260</v>
      </c>
      <c r="GK429" s="1" t="s">
        <v>210</v>
      </c>
      <c r="GL429" s="2">
        <v>42020</v>
      </c>
    </row>
    <row r="430" spans="1:195">
      <c r="A430" s="1">
        <v>120000</v>
      </c>
      <c r="B430" s="1" t="s">
        <v>195</v>
      </c>
      <c r="C430" s="1" t="str">
        <f>"08790308"</f>
        <v>08790308</v>
      </c>
      <c r="D430" s="1" t="s">
        <v>196</v>
      </c>
      <c r="F430" s="1" t="str">
        <f>"73"</f>
        <v>73</v>
      </c>
      <c r="G430" s="2">
        <v>41963</v>
      </c>
      <c r="H430" s="1">
        <v>129900</v>
      </c>
      <c r="I430" s="1">
        <v>129900</v>
      </c>
      <c r="J430" s="1">
        <v>120000</v>
      </c>
      <c r="K430" s="2">
        <v>41963</v>
      </c>
      <c r="L430" s="1">
        <v>31</v>
      </c>
      <c r="M430" s="2">
        <v>41990</v>
      </c>
      <c r="N430" s="1">
        <v>28</v>
      </c>
      <c r="O430" s="2">
        <v>41990</v>
      </c>
      <c r="P430" s="1">
        <v>6485</v>
      </c>
      <c r="Q430" s="1" t="s">
        <v>197</v>
      </c>
      <c r="R430" s="2">
        <v>42034</v>
      </c>
      <c r="S430" s="1">
        <v>63223</v>
      </c>
      <c r="U430" s="1">
        <v>2287</v>
      </c>
      <c r="V430" s="1" t="s">
        <v>5763</v>
      </c>
      <c r="W430" s="1" t="s">
        <v>504</v>
      </c>
      <c r="Y430" s="1">
        <v>4</v>
      </c>
      <c r="Z430" s="1" t="s">
        <v>200</v>
      </c>
      <c r="AA430" s="1" t="s">
        <v>1259</v>
      </c>
      <c r="AB430" s="1">
        <v>60073</v>
      </c>
      <c r="AE430" s="1" t="s">
        <v>5764</v>
      </c>
      <c r="AF430" s="1">
        <v>2002</v>
      </c>
      <c r="AG430" s="1" t="s">
        <v>204</v>
      </c>
      <c r="AH430" s="1" t="s">
        <v>1262</v>
      </c>
      <c r="AI430" s="1" t="s">
        <v>509</v>
      </c>
      <c r="AJ430" s="1" t="s">
        <v>1016</v>
      </c>
      <c r="AL430" s="1">
        <v>5</v>
      </c>
      <c r="AM430" s="1">
        <v>2</v>
      </c>
      <c r="AN430" s="1">
        <v>2</v>
      </c>
      <c r="AO430" s="1">
        <v>1</v>
      </c>
      <c r="AP430" s="1" t="s">
        <v>209</v>
      </c>
      <c r="AQ430" s="1">
        <v>1</v>
      </c>
      <c r="AR430" s="1" t="s">
        <v>210</v>
      </c>
      <c r="AS430" s="1" t="s">
        <v>204</v>
      </c>
      <c r="AT430" s="1" t="s">
        <v>211</v>
      </c>
      <c r="AU430" s="1">
        <v>2</v>
      </c>
      <c r="AW430" s="1" t="s">
        <v>204</v>
      </c>
      <c r="AX430" s="1" t="s">
        <v>212</v>
      </c>
      <c r="AZ430" s="1">
        <v>3878</v>
      </c>
      <c r="BA430" s="1">
        <v>2013</v>
      </c>
      <c r="BB430" s="1" t="s">
        <v>210</v>
      </c>
      <c r="BC430" s="1">
        <v>0</v>
      </c>
      <c r="BE430" s="1">
        <v>1570</v>
      </c>
      <c r="BF430" s="1">
        <v>1</v>
      </c>
      <c r="BG430" s="1">
        <v>0</v>
      </c>
      <c r="BL430" s="1">
        <v>199</v>
      </c>
      <c r="BM430" s="1" t="s">
        <v>204</v>
      </c>
      <c r="BN430" s="1" t="s">
        <v>213</v>
      </c>
      <c r="BO430" s="1">
        <v>10</v>
      </c>
      <c r="BP430" s="1" t="s">
        <v>204</v>
      </c>
      <c r="BR430" s="1" t="str">
        <f>"05251170120000"</f>
        <v>05251170120000</v>
      </c>
      <c r="BT430" s="1" t="s">
        <v>5765</v>
      </c>
      <c r="BX430" s="1">
        <v>38</v>
      </c>
      <c r="BY430" s="1">
        <v>38</v>
      </c>
      <c r="BZ430" s="1">
        <v>124</v>
      </c>
      <c r="CB430" s="1" t="str">
        <f>"35"</f>
        <v>35</v>
      </c>
      <c r="CC430" s="1" t="str">
        <f>"0"</f>
        <v>0</v>
      </c>
      <c r="CD430" s="1">
        <v>24</v>
      </c>
      <c r="CE430" s="1">
        <v>0</v>
      </c>
      <c r="CG430" s="1" t="s">
        <v>862</v>
      </c>
      <c r="CH430" s="1" t="s">
        <v>219</v>
      </c>
      <c r="CI430" s="1" t="s">
        <v>220</v>
      </c>
      <c r="CK430" s="1" t="s">
        <v>1045</v>
      </c>
      <c r="CL430" s="1" t="s">
        <v>277</v>
      </c>
      <c r="CM430" s="1" t="s">
        <v>220</v>
      </c>
      <c r="CO430" s="1" t="s">
        <v>281</v>
      </c>
      <c r="CP430" s="1" t="s">
        <v>219</v>
      </c>
      <c r="CQ430" s="1" t="s">
        <v>438</v>
      </c>
      <c r="CS430" s="1" t="s">
        <v>461</v>
      </c>
      <c r="CT430" s="1" t="s">
        <v>277</v>
      </c>
      <c r="CU430" s="1" t="s">
        <v>220</v>
      </c>
      <c r="CX430" s="1" t="s">
        <v>224</v>
      </c>
      <c r="DB430" s="1" t="s">
        <v>224</v>
      </c>
      <c r="DE430" s="1" t="s">
        <v>380</v>
      </c>
      <c r="DF430" s="1" t="s">
        <v>219</v>
      </c>
      <c r="DG430" s="1" t="s">
        <v>438</v>
      </c>
      <c r="DJ430" s="1" t="s">
        <v>224</v>
      </c>
      <c r="DS430" s="1" t="s">
        <v>230</v>
      </c>
      <c r="DW430" s="1" t="s">
        <v>230</v>
      </c>
      <c r="EA430" s="1" t="s">
        <v>230</v>
      </c>
      <c r="EE430" s="1" t="s">
        <v>230</v>
      </c>
      <c r="EI430" s="1" t="s">
        <v>230</v>
      </c>
      <c r="EL430" s="1" t="s">
        <v>466</v>
      </c>
      <c r="EM430" s="1" t="s">
        <v>232</v>
      </c>
      <c r="EN430" s="1" t="s">
        <v>282</v>
      </c>
      <c r="EO430" s="1" t="s">
        <v>234</v>
      </c>
      <c r="ER430" s="1" t="s">
        <v>210</v>
      </c>
      <c r="ES430" s="1" t="s">
        <v>493</v>
      </c>
      <c r="EW430" s="1" t="s">
        <v>353</v>
      </c>
      <c r="EZ430" s="1" t="s">
        <v>287</v>
      </c>
      <c r="FD430" s="1" t="s">
        <v>495</v>
      </c>
      <c r="FE430" s="1" t="s">
        <v>472</v>
      </c>
      <c r="FF430" s="1" t="s">
        <v>248</v>
      </c>
      <c r="FH430" s="1" t="s">
        <v>550</v>
      </c>
      <c r="FJ430" s="1" t="s">
        <v>1472</v>
      </c>
      <c r="FL430" s="1" t="s">
        <v>414</v>
      </c>
      <c r="FM430" s="1" t="s">
        <v>252</v>
      </c>
      <c r="FN430" s="1" t="s">
        <v>213</v>
      </c>
      <c r="FO430" s="1" t="s">
        <v>213</v>
      </c>
      <c r="FQ430" s="1" t="s">
        <v>582</v>
      </c>
      <c r="FR430" s="1" t="s">
        <v>210</v>
      </c>
      <c r="FS430" s="1" t="s">
        <v>583</v>
      </c>
      <c r="FT430" s="1" t="s">
        <v>1828</v>
      </c>
      <c r="FU430" s="1" t="s">
        <v>204</v>
      </c>
      <c r="FW430" s="1" t="s">
        <v>585</v>
      </c>
      <c r="FX430" s="1">
        <v>2050</v>
      </c>
      <c r="FY430" s="1" t="s">
        <v>4207</v>
      </c>
      <c r="FZ430" s="1" t="s">
        <v>5766</v>
      </c>
      <c r="GA430" s="1">
        <v>18950</v>
      </c>
      <c r="GB430" s="1" t="s">
        <v>5767</v>
      </c>
      <c r="GC430" s="1">
        <v>35055</v>
      </c>
      <c r="GD430" s="1" t="s">
        <v>5768</v>
      </c>
      <c r="GE430" s="1" t="s">
        <v>210</v>
      </c>
      <c r="GH430" s="1" t="s">
        <v>589</v>
      </c>
      <c r="GI430" s="1" t="s">
        <v>213</v>
      </c>
      <c r="GJ430" s="1" t="s">
        <v>260</v>
      </c>
      <c r="GK430" s="1" t="s">
        <v>210</v>
      </c>
      <c r="GL430" s="2">
        <v>42034</v>
      </c>
      <c r="GM430" s="1" t="s">
        <v>5769</v>
      </c>
    </row>
    <row r="431" spans="1:195">
      <c r="A431" s="1">
        <v>168000</v>
      </c>
      <c r="B431" s="1" t="s">
        <v>195</v>
      </c>
      <c r="C431" s="1" t="str">
        <f>"08797611"</f>
        <v>08797611</v>
      </c>
      <c r="D431" s="1" t="s">
        <v>196</v>
      </c>
      <c r="F431" s="1" t="str">
        <f>"164"</f>
        <v>164</v>
      </c>
      <c r="G431" s="2">
        <v>41978</v>
      </c>
      <c r="H431" s="1">
        <v>164900</v>
      </c>
      <c r="I431" s="1">
        <v>164900</v>
      </c>
      <c r="J431" s="1">
        <v>168000</v>
      </c>
      <c r="K431" s="2">
        <v>41978</v>
      </c>
      <c r="L431" s="1">
        <v>146</v>
      </c>
      <c r="M431" s="2">
        <v>42017</v>
      </c>
      <c r="N431" s="1">
        <v>40</v>
      </c>
      <c r="O431" s="2">
        <v>42017</v>
      </c>
      <c r="P431" s="1">
        <v>85391</v>
      </c>
      <c r="Q431" s="1" t="s">
        <v>423</v>
      </c>
      <c r="R431" s="2">
        <v>42116</v>
      </c>
      <c r="S431" s="1">
        <v>103362</v>
      </c>
      <c r="T431" s="1">
        <v>3</v>
      </c>
      <c r="U431" s="1">
        <v>77</v>
      </c>
      <c r="V431" s="1" t="s">
        <v>5770</v>
      </c>
      <c r="W431" s="1" t="s">
        <v>1056</v>
      </c>
      <c r="X431" s="1">
        <v>512</v>
      </c>
      <c r="Y431" s="1">
        <v>60</v>
      </c>
      <c r="Z431" s="1" t="s">
        <v>370</v>
      </c>
      <c r="AA431" s="1" t="s">
        <v>5771</v>
      </c>
      <c r="AB431" s="1">
        <v>60164</v>
      </c>
      <c r="AE431" s="1" t="s">
        <v>5772</v>
      </c>
      <c r="AF431" s="1">
        <v>2008</v>
      </c>
      <c r="AG431" s="1" t="s">
        <v>204</v>
      </c>
      <c r="AH431" s="1" t="s">
        <v>5773</v>
      </c>
      <c r="AI431" s="1" t="s">
        <v>310</v>
      </c>
      <c r="AJ431" s="1" t="s">
        <v>311</v>
      </c>
      <c r="AL431" s="1">
        <v>4</v>
      </c>
      <c r="AM431" s="1">
        <v>2</v>
      </c>
      <c r="AN431" s="1">
        <v>2</v>
      </c>
      <c r="AO431" s="1">
        <v>0</v>
      </c>
      <c r="AP431" s="1" t="s">
        <v>209</v>
      </c>
      <c r="AR431" s="1" t="s">
        <v>210</v>
      </c>
      <c r="AS431" s="1" t="s">
        <v>204</v>
      </c>
      <c r="AT431" s="1" t="s">
        <v>211</v>
      </c>
      <c r="AU431" s="1">
        <v>1</v>
      </c>
      <c r="AW431" s="1" t="s">
        <v>204</v>
      </c>
      <c r="AX431" s="1" t="s">
        <v>4740</v>
      </c>
      <c r="AZ431" s="1" t="s">
        <v>751</v>
      </c>
      <c r="BA431" s="1">
        <v>2013</v>
      </c>
      <c r="BB431" s="1" t="s">
        <v>210</v>
      </c>
      <c r="BE431" s="1">
        <v>1240</v>
      </c>
      <c r="BF431" s="1">
        <v>5</v>
      </c>
      <c r="BG431" s="1">
        <v>0</v>
      </c>
      <c r="BJ431" s="1">
        <v>83</v>
      </c>
      <c r="BL431" s="1">
        <v>250</v>
      </c>
      <c r="BM431" s="1" t="s">
        <v>204</v>
      </c>
      <c r="BN431" s="1" t="s">
        <v>213</v>
      </c>
      <c r="BO431" s="1">
        <v>50</v>
      </c>
      <c r="BP431" s="1" t="s">
        <v>204</v>
      </c>
      <c r="BR431" s="1" t="str">
        <f>"12323210201048"</f>
        <v>12323210201048</v>
      </c>
      <c r="BT431" s="1" t="s">
        <v>5774</v>
      </c>
      <c r="BU431" s="1" t="s">
        <v>2760</v>
      </c>
      <c r="BV431" s="1" t="s">
        <v>5775</v>
      </c>
      <c r="BW431" s="1" t="s">
        <v>5776</v>
      </c>
      <c r="BX431" s="1">
        <v>87</v>
      </c>
      <c r="BY431" s="1">
        <v>87</v>
      </c>
      <c r="BZ431" s="1">
        <v>212</v>
      </c>
      <c r="CB431" s="1" t="str">
        <f t="shared" ref="CB431:CC431" si="338">""</f>
        <v/>
      </c>
      <c r="CC431" s="1" t="str">
        <f t="shared" si="338"/>
        <v/>
      </c>
      <c r="CG431" s="1" t="s">
        <v>3035</v>
      </c>
      <c r="CH431" s="1" t="s">
        <v>219</v>
      </c>
      <c r="CI431" s="1" t="s">
        <v>220</v>
      </c>
      <c r="CK431" s="1" t="s">
        <v>539</v>
      </c>
      <c r="CL431" s="1" t="s">
        <v>219</v>
      </c>
      <c r="CM431" s="1" t="s">
        <v>220</v>
      </c>
      <c r="CP431" s="1" t="s">
        <v>224</v>
      </c>
      <c r="CS431" s="1" t="s">
        <v>465</v>
      </c>
      <c r="CT431" s="1" t="s">
        <v>219</v>
      </c>
      <c r="CU431" s="1" t="s">
        <v>220</v>
      </c>
      <c r="CX431" s="1" t="s">
        <v>224</v>
      </c>
      <c r="DB431" s="1" t="s">
        <v>224</v>
      </c>
      <c r="DE431" s="1" t="s">
        <v>2070</v>
      </c>
      <c r="DF431" s="1" t="s">
        <v>219</v>
      </c>
      <c r="DG431" s="1" t="s">
        <v>342</v>
      </c>
      <c r="DJ431" s="1" t="s">
        <v>224</v>
      </c>
      <c r="DS431" s="1" t="s">
        <v>230</v>
      </c>
      <c r="DW431" s="1" t="s">
        <v>230</v>
      </c>
      <c r="EA431" s="1" t="s">
        <v>230</v>
      </c>
      <c r="EE431" s="1" t="s">
        <v>230</v>
      </c>
      <c r="EI431" s="1" t="s">
        <v>230</v>
      </c>
      <c r="EL431" s="1" t="s">
        <v>491</v>
      </c>
      <c r="EM431" s="1" t="s">
        <v>319</v>
      </c>
      <c r="EN431" s="1" t="s">
        <v>282</v>
      </c>
      <c r="EO431" s="1" t="s">
        <v>234</v>
      </c>
      <c r="EP431" s="1" t="s">
        <v>2497</v>
      </c>
      <c r="ER431" s="1" t="s">
        <v>210</v>
      </c>
      <c r="EW431" s="1" t="s">
        <v>2765</v>
      </c>
      <c r="EY431" s="1" t="s">
        <v>242</v>
      </c>
      <c r="EZ431" s="1" t="s">
        <v>287</v>
      </c>
      <c r="FB431" s="1" t="s">
        <v>289</v>
      </c>
      <c r="FC431" s="1" t="s">
        <v>633</v>
      </c>
      <c r="FD431" s="1" t="s">
        <v>246</v>
      </c>
      <c r="FE431" s="1" t="s">
        <v>5777</v>
      </c>
      <c r="FF431" s="1" t="s">
        <v>248</v>
      </c>
      <c r="FH431" s="1" t="s">
        <v>5778</v>
      </c>
      <c r="FI431" s="1" t="s">
        <v>634</v>
      </c>
      <c r="FL431" s="1" t="s">
        <v>414</v>
      </c>
      <c r="FM431" s="1" t="s">
        <v>252</v>
      </c>
      <c r="FN431" s="1" t="s">
        <v>213</v>
      </c>
      <c r="FO431" s="1" t="s">
        <v>213</v>
      </c>
      <c r="FQ431" s="1" t="s">
        <v>2004</v>
      </c>
      <c r="FR431" s="1" t="s">
        <v>210</v>
      </c>
      <c r="FS431" s="1" t="s">
        <v>5779</v>
      </c>
      <c r="FT431" s="1" t="s">
        <v>295</v>
      </c>
      <c r="FU431" s="1" t="s">
        <v>204</v>
      </c>
      <c r="FW431" s="1" t="s">
        <v>5780</v>
      </c>
      <c r="FX431" s="1">
        <v>85391</v>
      </c>
      <c r="FY431" s="1" t="s">
        <v>5781</v>
      </c>
      <c r="FZ431" s="1" t="s">
        <v>5782</v>
      </c>
      <c r="GA431" s="1">
        <v>103362</v>
      </c>
      <c r="GB431" s="1" t="s">
        <v>5783</v>
      </c>
      <c r="GE431" s="1" t="s">
        <v>776</v>
      </c>
      <c r="GH431" s="1" t="s">
        <v>230</v>
      </c>
      <c r="GI431" s="1" t="s">
        <v>213</v>
      </c>
      <c r="GJ431" s="1" t="s">
        <v>260</v>
      </c>
      <c r="GK431" s="1" t="s">
        <v>210</v>
      </c>
      <c r="GL431" s="2">
        <v>42117</v>
      </c>
      <c r="GM431" s="1" t="s">
        <v>5784</v>
      </c>
    </row>
    <row r="432" spans="1:195">
      <c r="A432" s="1">
        <v>74500</v>
      </c>
      <c r="B432" s="1" t="s">
        <v>195</v>
      </c>
      <c r="C432" s="1" t="str">
        <f>"08787314"</f>
        <v>08787314</v>
      </c>
      <c r="D432" s="1" t="s">
        <v>196</v>
      </c>
      <c r="F432" s="1" t="str">
        <f>"532"</f>
        <v>532</v>
      </c>
      <c r="G432" s="2">
        <v>41959</v>
      </c>
      <c r="H432" s="1">
        <v>71900</v>
      </c>
      <c r="I432" s="1">
        <v>71900</v>
      </c>
      <c r="J432" s="1">
        <v>74500</v>
      </c>
      <c r="K432" s="2">
        <v>41957</v>
      </c>
      <c r="L432" s="1">
        <v>23</v>
      </c>
      <c r="M432" s="2">
        <v>41979</v>
      </c>
      <c r="N432" s="1">
        <v>23</v>
      </c>
      <c r="O432" s="2">
        <v>41979</v>
      </c>
      <c r="P432" s="1">
        <v>23076</v>
      </c>
      <c r="Q432" s="1" t="s">
        <v>302</v>
      </c>
      <c r="R432" s="2">
        <v>42059</v>
      </c>
      <c r="S432" s="1">
        <v>236101</v>
      </c>
      <c r="U432" s="1">
        <v>4500</v>
      </c>
      <c r="V432" s="1" t="s">
        <v>5785</v>
      </c>
      <c r="W432" s="1" t="s">
        <v>264</v>
      </c>
      <c r="X432" s="1">
        <v>101</v>
      </c>
      <c r="Y432" s="1">
        <v>32</v>
      </c>
      <c r="Z432" s="1" t="s">
        <v>249</v>
      </c>
      <c r="AA432" s="1" t="s">
        <v>1566</v>
      </c>
      <c r="AB432" s="1">
        <v>60532</v>
      </c>
      <c r="AD432" s="1" t="s">
        <v>5786</v>
      </c>
      <c r="AE432" s="1" t="s">
        <v>5787</v>
      </c>
      <c r="AF432" s="1">
        <v>1970</v>
      </c>
      <c r="AG432" s="1" t="s">
        <v>213</v>
      </c>
      <c r="AH432" s="1" t="s">
        <v>925</v>
      </c>
      <c r="AI432" s="1" t="s">
        <v>206</v>
      </c>
      <c r="AJ432" s="1" t="s">
        <v>925</v>
      </c>
      <c r="AL432" s="1">
        <v>5</v>
      </c>
      <c r="AM432" s="1">
        <v>2</v>
      </c>
      <c r="AN432" s="1">
        <v>2</v>
      </c>
      <c r="AO432" s="1">
        <v>0</v>
      </c>
      <c r="AP432" s="1" t="s">
        <v>209</v>
      </c>
      <c r="AR432" s="1" t="s">
        <v>210</v>
      </c>
      <c r="AS432" s="1" t="s">
        <v>204</v>
      </c>
      <c r="AT432" s="1" t="s">
        <v>271</v>
      </c>
      <c r="AV432" s="1">
        <v>2</v>
      </c>
      <c r="AW432" s="1" t="s">
        <v>204</v>
      </c>
      <c r="AX432" s="1" t="s">
        <v>212</v>
      </c>
      <c r="AZ432" s="1">
        <v>746</v>
      </c>
      <c r="BA432" s="1">
        <v>2013</v>
      </c>
      <c r="BB432" s="1" t="s">
        <v>210</v>
      </c>
      <c r="BE432" s="1">
        <v>1079</v>
      </c>
      <c r="BF432" s="1">
        <v>1</v>
      </c>
      <c r="BG432" s="1">
        <v>30</v>
      </c>
      <c r="BL432" s="1">
        <v>360</v>
      </c>
      <c r="BM432" s="1" t="s">
        <v>413</v>
      </c>
      <c r="BN432" s="1" t="s">
        <v>204</v>
      </c>
      <c r="BP432" s="1" t="s">
        <v>204</v>
      </c>
      <c r="BR432" s="1" t="str">
        <f>"0804412116"</f>
        <v>0804412116</v>
      </c>
      <c r="BT432" s="1" t="s">
        <v>5788</v>
      </c>
      <c r="BU432" s="1" t="s">
        <v>5789</v>
      </c>
      <c r="BV432" s="1" t="s">
        <v>5790</v>
      </c>
      <c r="BW432" s="1" t="s">
        <v>5791</v>
      </c>
      <c r="BX432" s="1">
        <v>202</v>
      </c>
      <c r="BY432" s="1">
        <v>202</v>
      </c>
      <c r="BZ432" s="1">
        <v>202</v>
      </c>
      <c r="CB432" s="1" t="str">
        <f t="shared" ref="CB432:CC432" si="339">""</f>
        <v/>
      </c>
      <c r="CC432" s="1" t="str">
        <f t="shared" si="339"/>
        <v/>
      </c>
      <c r="CG432" s="1" t="s">
        <v>2511</v>
      </c>
      <c r="CH432" s="1" t="s">
        <v>219</v>
      </c>
      <c r="CK432" s="1" t="s">
        <v>278</v>
      </c>
      <c r="CL432" s="1" t="s">
        <v>219</v>
      </c>
      <c r="CO432" s="1" t="s">
        <v>837</v>
      </c>
      <c r="CP432" s="1" t="s">
        <v>219</v>
      </c>
      <c r="CS432" s="1" t="s">
        <v>379</v>
      </c>
      <c r="CT432" s="1" t="s">
        <v>219</v>
      </c>
      <c r="CX432" s="1" t="s">
        <v>224</v>
      </c>
      <c r="DB432" s="1" t="s">
        <v>224</v>
      </c>
      <c r="DE432" s="1" t="s">
        <v>318</v>
      </c>
      <c r="DF432" s="1" t="s">
        <v>219</v>
      </c>
      <c r="DJ432" s="1" t="s">
        <v>224</v>
      </c>
      <c r="DS432" s="1" t="s">
        <v>230</v>
      </c>
      <c r="DW432" s="1" t="s">
        <v>230</v>
      </c>
      <c r="EA432" s="1" t="s">
        <v>230</v>
      </c>
      <c r="EE432" s="1" t="s">
        <v>230</v>
      </c>
      <c r="EI432" s="1" t="s">
        <v>230</v>
      </c>
      <c r="EL432" s="1" t="s">
        <v>605</v>
      </c>
      <c r="EM432" s="1" t="s">
        <v>232</v>
      </c>
      <c r="EN432" s="1" t="s">
        <v>282</v>
      </c>
      <c r="EO432" s="1" t="s">
        <v>234</v>
      </c>
      <c r="ER432" s="1" t="s">
        <v>210</v>
      </c>
      <c r="EU432" s="1" t="s">
        <v>239</v>
      </c>
      <c r="EW432" s="1" t="s">
        <v>5792</v>
      </c>
      <c r="EZ432" s="1" t="s">
        <v>287</v>
      </c>
      <c r="FB432" s="1" t="s">
        <v>289</v>
      </c>
      <c r="FD432" s="1" t="s">
        <v>1112</v>
      </c>
      <c r="FE432" s="1" t="s">
        <v>247</v>
      </c>
      <c r="FF432" s="1" t="s">
        <v>248</v>
      </c>
      <c r="FH432" s="1" t="s">
        <v>249</v>
      </c>
      <c r="FL432" s="1" t="s">
        <v>358</v>
      </c>
      <c r="FM432" s="1" t="s">
        <v>252</v>
      </c>
      <c r="FN432" s="1" t="s">
        <v>213</v>
      </c>
      <c r="FO432" s="1" t="s">
        <v>213</v>
      </c>
      <c r="FQ432" s="1" t="s">
        <v>689</v>
      </c>
      <c r="FR432" s="1" t="s">
        <v>210</v>
      </c>
      <c r="FS432" s="1" t="s">
        <v>5793</v>
      </c>
      <c r="FT432" s="1" t="s">
        <v>5794</v>
      </c>
      <c r="FU432" s="1" t="s">
        <v>204</v>
      </c>
      <c r="FV432" s="1" t="s">
        <v>1960</v>
      </c>
      <c r="FW432" s="1" t="s">
        <v>1961</v>
      </c>
      <c r="FX432" s="1">
        <v>20150</v>
      </c>
      <c r="FY432" s="1" t="s">
        <v>1962</v>
      </c>
      <c r="FZ432" s="1" t="s">
        <v>1963</v>
      </c>
      <c r="GA432" s="1">
        <v>211012</v>
      </c>
      <c r="GB432" s="1" t="s">
        <v>1964</v>
      </c>
      <c r="GE432" s="1" t="s">
        <v>210</v>
      </c>
      <c r="GI432" s="1" t="s">
        <v>204</v>
      </c>
      <c r="GJ432" s="1" t="s">
        <v>260</v>
      </c>
      <c r="GK432" s="1" t="s">
        <v>261</v>
      </c>
      <c r="GL432" s="2">
        <v>42062</v>
      </c>
      <c r="GM432" s="1" t="s">
        <v>5795</v>
      </c>
    </row>
    <row r="433" spans="1:195">
      <c r="A433" s="1">
        <v>325500</v>
      </c>
      <c r="B433" s="1" t="s">
        <v>195</v>
      </c>
      <c r="C433" s="1" t="str">
        <f>"08797259"</f>
        <v>08797259</v>
      </c>
      <c r="D433" s="1" t="s">
        <v>196</v>
      </c>
      <c r="F433" s="1" t="str">
        <f>"540"</f>
        <v>540</v>
      </c>
      <c r="G433" s="2">
        <v>41978</v>
      </c>
      <c r="H433" s="1">
        <v>333000</v>
      </c>
      <c r="I433" s="1">
        <v>333000</v>
      </c>
      <c r="J433" s="1">
        <v>325500</v>
      </c>
      <c r="K433" s="2">
        <v>41977</v>
      </c>
      <c r="L433" s="1">
        <v>57</v>
      </c>
      <c r="M433" s="2">
        <v>42033</v>
      </c>
      <c r="N433" s="1">
        <v>57</v>
      </c>
      <c r="O433" s="2">
        <v>42033</v>
      </c>
      <c r="P433" s="1">
        <v>23030</v>
      </c>
      <c r="Q433" s="1" t="s">
        <v>302</v>
      </c>
      <c r="R433" s="2">
        <v>42108</v>
      </c>
      <c r="S433" s="1">
        <v>222488</v>
      </c>
      <c r="U433" s="1">
        <v>2855</v>
      </c>
      <c r="V433" s="1" t="s">
        <v>5796</v>
      </c>
      <c r="W433" s="1" t="s">
        <v>449</v>
      </c>
      <c r="Y433" s="1">
        <v>2</v>
      </c>
      <c r="Z433" s="1" t="s">
        <v>249</v>
      </c>
      <c r="AA433" s="1" t="s">
        <v>921</v>
      </c>
      <c r="AB433" s="1">
        <v>60563</v>
      </c>
      <c r="AD433" s="1" t="s">
        <v>5797</v>
      </c>
      <c r="AE433" s="1" t="s">
        <v>5798</v>
      </c>
      <c r="AF433" s="1">
        <v>2006</v>
      </c>
      <c r="AG433" s="1" t="s">
        <v>204</v>
      </c>
      <c r="AH433" s="1" t="s">
        <v>924</v>
      </c>
      <c r="AI433" s="1" t="s">
        <v>206</v>
      </c>
      <c r="AJ433" s="1" t="s">
        <v>924</v>
      </c>
      <c r="AK433" s="1" t="s">
        <v>5799</v>
      </c>
      <c r="AL433" s="1">
        <v>6</v>
      </c>
      <c r="AM433" s="1">
        <v>2</v>
      </c>
      <c r="AN433" s="1">
        <v>2</v>
      </c>
      <c r="AO433" s="1">
        <v>0</v>
      </c>
      <c r="AP433" s="1" t="s">
        <v>209</v>
      </c>
      <c r="AQ433" s="1">
        <v>1</v>
      </c>
      <c r="AR433" s="1" t="s">
        <v>1631</v>
      </c>
      <c r="AS433" s="1" t="s">
        <v>204</v>
      </c>
      <c r="AT433" s="1" t="s">
        <v>211</v>
      </c>
      <c r="AU433" s="1">
        <v>2</v>
      </c>
      <c r="AW433" s="1" t="s">
        <v>213</v>
      </c>
      <c r="AX433" s="1" t="s">
        <v>212</v>
      </c>
      <c r="AZ433" s="1">
        <v>7333.6</v>
      </c>
      <c r="BA433" s="1">
        <v>2013</v>
      </c>
      <c r="BB433" s="1" t="s">
        <v>599</v>
      </c>
      <c r="BE433" s="1">
        <v>1668</v>
      </c>
      <c r="BF433" s="1">
        <v>1</v>
      </c>
      <c r="BG433" s="1">
        <v>0</v>
      </c>
      <c r="BL433" s="1">
        <v>277</v>
      </c>
      <c r="BM433" s="1" t="s">
        <v>204</v>
      </c>
      <c r="BN433" s="1" t="s">
        <v>213</v>
      </c>
      <c r="BO433" s="1">
        <v>50</v>
      </c>
      <c r="BP433" s="1" t="s">
        <v>204</v>
      </c>
      <c r="BR433" s="1" t="str">
        <f>"0715109037"</f>
        <v>0715109037</v>
      </c>
      <c r="BT433" s="1" t="s">
        <v>5800</v>
      </c>
      <c r="BU433" s="1" t="s">
        <v>1247</v>
      </c>
      <c r="BV433" s="1" t="s">
        <v>1248</v>
      </c>
      <c r="BW433" s="1" t="s">
        <v>1131</v>
      </c>
      <c r="BX433" s="1">
        <v>204</v>
      </c>
      <c r="BY433" s="1">
        <v>204</v>
      </c>
      <c r="BZ433" s="1">
        <v>204</v>
      </c>
      <c r="CB433" s="1" t="str">
        <f t="shared" ref="CB433:CC433" si="340">""</f>
        <v/>
      </c>
      <c r="CC433" s="1" t="str">
        <f t="shared" si="340"/>
        <v/>
      </c>
      <c r="CG433" s="1" t="s">
        <v>5801</v>
      </c>
      <c r="CH433" s="1" t="s">
        <v>219</v>
      </c>
      <c r="CI433" s="1" t="s">
        <v>220</v>
      </c>
      <c r="CJ433" s="1" t="s">
        <v>343</v>
      </c>
      <c r="CK433" s="1" t="s">
        <v>228</v>
      </c>
      <c r="CL433" s="1" t="s">
        <v>219</v>
      </c>
      <c r="CM433" s="1" t="s">
        <v>220</v>
      </c>
      <c r="CN433" s="1" t="s">
        <v>343</v>
      </c>
      <c r="CO433" s="1" t="s">
        <v>629</v>
      </c>
      <c r="CP433" s="1" t="s">
        <v>219</v>
      </c>
      <c r="CS433" s="1" t="s">
        <v>379</v>
      </c>
      <c r="CT433" s="1" t="s">
        <v>219</v>
      </c>
      <c r="CU433" s="1" t="s">
        <v>220</v>
      </c>
      <c r="CV433" s="1" t="s">
        <v>343</v>
      </c>
      <c r="CX433" s="1" t="s">
        <v>224</v>
      </c>
      <c r="DB433" s="1" t="s">
        <v>224</v>
      </c>
      <c r="DE433" s="1" t="s">
        <v>5802</v>
      </c>
      <c r="DF433" s="1" t="s">
        <v>219</v>
      </c>
      <c r="DG433" s="1" t="s">
        <v>226</v>
      </c>
      <c r="DH433" s="1" t="s">
        <v>343</v>
      </c>
      <c r="DJ433" s="1" t="s">
        <v>224</v>
      </c>
      <c r="DM433" s="1" t="s">
        <v>1005</v>
      </c>
      <c r="DR433" s="1" t="s">
        <v>1358</v>
      </c>
      <c r="DS433" s="1" t="s">
        <v>219</v>
      </c>
      <c r="DT433" s="1" t="s">
        <v>220</v>
      </c>
      <c r="DU433" s="1" t="s">
        <v>343</v>
      </c>
      <c r="DW433" s="1" t="s">
        <v>230</v>
      </c>
      <c r="EA433" s="1" t="s">
        <v>230</v>
      </c>
      <c r="EE433" s="1" t="s">
        <v>230</v>
      </c>
      <c r="EI433" s="1" t="s">
        <v>230</v>
      </c>
      <c r="EL433" s="1" t="s">
        <v>491</v>
      </c>
      <c r="EM433" s="1" t="s">
        <v>232</v>
      </c>
      <c r="EN433" s="1" t="s">
        <v>282</v>
      </c>
      <c r="EO433" s="1" t="s">
        <v>840</v>
      </c>
      <c r="EP433" s="1" t="s">
        <v>5803</v>
      </c>
      <c r="EQ433" s="1" t="s">
        <v>236</v>
      </c>
      <c r="ER433" s="1" t="s">
        <v>5804</v>
      </c>
      <c r="ES433" s="1" t="s">
        <v>322</v>
      </c>
      <c r="ET433" s="1" t="s">
        <v>1201</v>
      </c>
      <c r="EU433" s="1" t="s">
        <v>5805</v>
      </c>
      <c r="EV433" s="1" t="s">
        <v>240</v>
      </c>
      <c r="EW433" s="1" t="s">
        <v>5806</v>
      </c>
      <c r="EZ433" s="1" t="s">
        <v>1005</v>
      </c>
      <c r="FB433" s="1" t="s">
        <v>289</v>
      </c>
      <c r="FD433" s="1" t="s">
        <v>246</v>
      </c>
      <c r="FE433" s="1" t="s">
        <v>549</v>
      </c>
      <c r="FF433" s="1" t="s">
        <v>248</v>
      </c>
      <c r="FG433" s="1" t="s">
        <v>871</v>
      </c>
      <c r="FH433" s="1" t="s">
        <v>825</v>
      </c>
      <c r="FL433" s="1" t="s">
        <v>358</v>
      </c>
      <c r="FM433" s="1" t="s">
        <v>252</v>
      </c>
      <c r="FN433" s="1" t="s">
        <v>213</v>
      </c>
      <c r="FO433" s="1" t="s">
        <v>213</v>
      </c>
      <c r="FQ433" s="1" t="s">
        <v>1032</v>
      </c>
      <c r="FR433" s="1" t="s">
        <v>210</v>
      </c>
      <c r="FS433" s="1" t="s">
        <v>4950</v>
      </c>
      <c r="FT433" s="1" t="s">
        <v>295</v>
      </c>
      <c r="FU433" s="1" t="s">
        <v>204</v>
      </c>
      <c r="FW433" s="1" t="s">
        <v>585</v>
      </c>
      <c r="FX433" s="1">
        <v>23156</v>
      </c>
      <c r="FY433" s="1" t="s">
        <v>1253</v>
      </c>
      <c r="FZ433" s="1" t="s">
        <v>5807</v>
      </c>
      <c r="GA433" s="1">
        <v>240525</v>
      </c>
      <c r="GB433" s="1" t="s">
        <v>5808</v>
      </c>
      <c r="GD433" s="1" t="s">
        <v>5809</v>
      </c>
      <c r="GE433" s="1" t="s">
        <v>1796</v>
      </c>
      <c r="GI433" s="1" t="s">
        <v>213</v>
      </c>
      <c r="GJ433" s="1" t="s">
        <v>260</v>
      </c>
      <c r="GK433" s="1" t="s">
        <v>210</v>
      </c>
      <c r="GL433" s="2">
        <v>42108</v>
      </c>
      <c r="GM433" s="1" t="s">
        <v>5810</v>
      </c>
    </row>
    <row r="434" spans="1:195">
      <c r="A434" s="1">
        <v>289000</v>
      </c>
      <c r="B434" s="1" t="s">
        <v>195</v>
      </c>
      <c r="C434" s="1" t="str">
        <f>"08791749"</f>
        <v>08791749</v>
      </c>
      <c r="D434" s="1" t="s">
        <v>196</v>
      </c>
      <c r="F434" s="1" t="str">
        <f t="shared" ref="F434:F435" si="341">"507"</f>
        <v>507</v>
      </c>
      <c r="G434" s="2">
        <v>41967</v>
      </c>
      <c r="H434" s="1">
        <v>294900</v>
      </c>
      <c r="I434" s="1">
        <v>294900</v>
      </c>
      <c r="J434" s="1">
        <v>289000</v>
      </c>
      <c r="K434" s="2">
        <v>41967</v>
      </c>
      <c r="L434" s="1">
        <v>190</v>
      </c>
      <c r="M434" s="2">
        <v>41968</v>
      </c>
      <c r="N434" s="1">
        <v>2</v>
      </c>
      <c r="O434" s="2">
        <v>41968</v>
      </c>
      <c r="P434" s="1">
        <v>24695</v>
      </c>
      <c r="Q434" s="1" t="s">
        <v>197</v>
      </c>
      <c r="R434" s="2">
        <v>41995</v>
      </c>
      <c r="S434" s="1">
        <v>234503</v>
      </c>
      <c r="U434" s="1">
        <v>2381</v>
      </c>
      <c r="V434" s="1" t="s">
        <v>5811</v>
      </c>
      <c r="W434" s="1" t="s">
        <v>264</v>
      </c>
      <c r="Y434" s="1">
        <v>2</v>
      </c>
      <c r="Z434" s="1" t="s">
        <v>370</v>
      </c>
      <c r="AA434" s="1" t="s">
        <v>1123</v>
      </c>
      <c r="AB434" s="1">
        <v>60502</v>
      </c>
      <c r="AD434" s="1" t="s">
        <v>1040</v>
      </c>
      <c r="AE434" s="1" t="s">
        <v>5812</v>
      </c>
      <c r="AF434" s="1">
        <v>2000</v>
      </c>
      <c r="AG434" s="1" t="s">
        <v>204</v>
      </c>
      <c r="AH434" s="1" t="s">
        <v>1126</v>
      </c>
      <c r="AI434" s="1" t="s">
        <v>206</v>
      </c>
      <c r="AJ434" s="1" t="s">
        <v>924</v>
      </c>
      <c r="AL434" s="1">
        <v>8</v>
      </c>
      <c r="AM434" s="1">
        <v>2</v>
      </c>
      <c r="AN434" s="1">
        <v>3</v>
      </c>
      <c r="AO434" s="1">
        <v>1</v>
      </c>
      <c r="AP434" s="1" t="s">
        <v>209</v>
      </c>
      <c r="AQ434" s="1">
        <v>1</v>
      </c>
      <c r="AR434" s="1" t="s">
        <v>1483</v>
      </c>
      <c r="AS434" s="1" t="s">
        <v>213</v>
      </c>
      <c r="AT434" s="1" t="s">
        <v>211</v>
      </c>
      <c r="AU434" s="1">
        <v>2</v>
      </c>
      <c r="AW434" s="1" t="s">
        <v>204</v>
      </c>
      <c r="AX434" s="1" t="s">
        <v>5813</v>
      </c>
      <c r="AZ434" s="1">
        <v>7834</v>
      </c>
      <c r="BA434" s="1">
        <v>2013</v>
      </c>
      <c r="BE434" s="1">
        <v>2435</v>
      </c>
      <c r="BF434" s="1" t="s">
        <v>4806</v>
      </c>
      <c r="BG434" s="1">
        <v>30</v>
      </c>
      <c r="BL434" s="1">
        <v>340</v>
      </c>
      <c r="BM434" s="1" t="s">
        <v>413</v>
      </c>
      <c r="BN434" s="1" t="s">
        <v>213</v>
      </c>
      <c r="BO434" s="1" t="s">
        <v>5814</v>
      </c>
      <c r="BP434" s="1" t="s">
        <v>204</v>
      </c>
      <c r="BR434" s="1" t="str">
        <f>"0707313011"</f>
        <v>0707313011</v>
      </c>
      <c r="BT434" s="1" t="s">
        <v>5815</v>
      </c>
      <c r="BU434" s="1" t="s">
        <v>5816</v>
      </c>
      <c r="BV434" s="1" t="s">
        <v>1130</v>
      </c>
      <c r="BW434" s="1" t="s">
        <v>1131</v>
      </c>
      <c r="BX434" s="1">
        <v>204</v>
      </c>
      <c r="BY434" s="1">
        <v>204</v>
      </c>
      <c r="BZ434" s="1">
        <v>204</v>
      </c>
      <c r="CB434" s="1" t="str">
        <f t="shared" ref="CB434:CC434" si="342">""</f>
        <v/>
      </c>
      <c r="CC434" s="1" t="str">
        <f t="shared" si="342"/>
        <v/>
      </c>
      <c r="CG434" s="1" t="s">
        <v>2747</v>
      </c>
      <c r="CH434" s="1" t="s">
        <v>219</v>
      </c>
      <c r="CI434" s="1" t="s">
        <v>438</v>
      </c>
      <c r="CJ434" s="1" t="s">
        <v>252</v>
      </c>
      <c r="CK434" s="1" t="s">
        <v>729</v>
      </c>
      <c r="CL434" s="1" t="s">
        <v>277</v>
      </c>
      <c r="CM434" s="1" t="s">
        <v>220</v>
      </c>
      <c r="CN434" s="1" t="s">
        <v>252</v>
      </c>
      <c r="CO434" s="1" t="s">
        <v>437</v>
      </c>
      <c r="CP434" s="1" t="s">
        <v>219</v>
      </c>
      <c r="CQ434" s="1" t="s">
        <v>438</v>
      </c>
      <c r="CR434" s="1" t="s">
        <v>252</v>
      </c>
      <c r="CS434" s="1" t="s">
        <v>461</v>
      </c>
      <c r="CT434" s="1" t="s">
        <v>277</v>
      </c>
      <c r="CU434" s="1" t="s">
        <v>220</v>
      </c>
      <c r="CV434" s="1" t="s">
        <v>252</v>
      </c>
      <c r="CW434" s="1" t="s">
        <v>669</v>
      </c>
      <c r="CX434" s="1" t="s">
        <v>43</v>
      </c>
      <c r="CY434" s="1" t="s">
        <v>220</v>
      </c>
      <c r="DB434" s="1" t="s">
        <v>224</v>
      </c>
      <c r="DE434" s="1" t="s">
        <v>344</v>
      </c>
      <c r="DF434" s="1" t="s">
        <v>219</v>
      </c>
      <c r="DG434" s="1" t="s">
        <v>438</v>
      </c>
      <c r="DI434" s="1" t="s">
        <v>5817</v>
      </c>
      <c r="DJ434" s="1" t="s">
        <v>43</v>
      </c>
      <c r="DK434" s="1" t="s">
        <v>220</v>
      </c>
      <c r="DM434" s="1" t="s">
        <v>464</v>
      </c>
      <c r="DR434" s="1" t="s">
        <v>461</v>
      </c>
      <c r="DS434" s="1" t="s">
        <v>277</v>
      </c>
      <c r="DT434" s="1" t="s">
        <v>220</v>
      </c>
      <c r="DU434" s="1" t="s">
        <v>252</v>
      </c>
      <c r="DW434" s="1" t="s">
        <v>230</v>
      </c>
      <c r="EA434" s="1" t="s">
        <v>230</v>
      </c>
      <c r="EE434" s="1" t="s">
        <v>230</v>
      </c>
      <c r="EI434" s="1" t="s">
        <v>230</v>
      </c>
      <c r="EL434" s="1" t="s">
        <v>466</v>
      </c>
      <c r="EM434" s="1" t="s">
        <v>319</v>
      </c>
      <c r="EN434" s="1" t="s">
        <v>282</v>
      </c>
      <c r="EO434" s="1" t="s">
        <v>234</v>
      </c>
      <c r="EQ434" s="1" t="s">
        <v>2416</v>
      </c>
      <c r="ER434" s="1" t="s">
        <v>544</v>
      </c>
      <c r="ES434" s="1" t="s">
        <v>824</v>
      </c>
      <c r="ET434" s="1" t="s">
        <v>238</v>
      </c>
      <c r="EV434" s="1" t="s">
        <v>324</v>
      </c>
      <c r="EW434" s="1" t="s">
        <v>353</v>
      </c>
      <c r="EZ434" s="1" t="s">
        <v>464</v>
      </c>
      <c r="FC434" s="1" t="s">
        <v>1386</v>
      </c>
      <c r="FD434" s="1" t="s">
        <v>246</v>
      </c>
      <c r="FE434" s="1" t="s">
        <v>4525</v>
      </c>
      <c r="FF434" s="1" t="s">
        <v>248</v>
      </c>
      <c r="FG434" s="1" t="s">
        <v>912</v>
      </c>
      <c r="FH434" s="1" t="s">
        <v>550</v>
      </c>
      <c r="FI434" s="1" t="s">
        <v>473</v>
      </c>
      <c r="FL434" s="1" t="s">
        <v>358</v>
      </c>
      <c r="FM434" s="1" t="s">
        <v>252</v>
      </c>
      <c r="FN434" s="1" t="s">
        <v>213</v>
      </c>
      <c r="FO434" s="1" t="s">
        <v>213</v>
      </c>
      <c r="FQ434" s="1" t="s">
        <v>5818</v>
      </c>
      <c r="FR434" s="1" t="s">
        <v>210</v>
      </c>
      <c r="FS434" s="1" t="s">
        <v>5819</v>
      </c>
      <c r="FT434" s="1" t="s">
        <v>5820</v>
      </c>
      <c r="FU434" s="1" t="s">
        <v>204</v>
      </c>
      <c r="FW434" s="1" t="s">
        <v>585</v>
      </c>
      <c r="FX434" s="1">
        <v>23156</v>
      </c>
      <c r="FY434" s="1" t="s">
        <v>1253</v>
      </c>
      <c r="FZ434" s="1" t="s">
        <v>5821</v>
      </c>
      <c r="GA434" s="1">
        <v>220294</v>
      </c>
      <c r="GB434" s="1" t="s">
        <v>5822</v>
      </c>
      <c r="GD434" s="1" t="s">
        <v>5823</v>
      </c>
      <c r="GE434" s="1" t="s">
        <v>1226</v>
      </c>
      <c r="GI434" s="1" t="s">
        <v>213</v>
      </c>
      <c r="GJ434" s="1" t="s">
        <v>260</v>
      </c>
      <c r="GK434" s="1" t="s">
        <v>210</v>
      </c>
      <c r="GL434" s="2">
        <v>41997</v>
      </c>
    </row>
    <row r="435" spans="1:195">
      <c r="A435" s="1">
        <v>132000</v>
      </c>
      <c r="B435" s="1" t="s">
        <v>195</v>
      </c>
      <c r="C435" s="1" t="str">
        <f>"08788912"</f>
        <v>08788912</v>
      </c>
      <c r="D435" s="1" t="s">
        <v>196</v>
      </c>
      <c r="F435" s="1" t="str">
        <f t="shared" si="341"/>
        <v>507</v>
      </c>
      <c r="G435" s="2">
        <v>41961</v>
      </c>
      <c r="H435" s="1">
        <v>139900</v>
      </c>
      <c r="I435" s="1">
        <v>134900</v>
      </c>
      <c r="J435" s="1">
        <v>132000</v>
      </c>
      <c r="K435" s="2">
        <v>41961</v>
      </c>
      <c r="L435" s="1">
        <v>162</v>
      </c>
      <c r="M435" s="2">
        <v>42122</v>
      </c>
      <c r="N435" s="1">
        <v>162</v>
      </c>
      <c r="O435" s="2">
        <v>42122</v>
      </c>
      <c r="P435" s="1">
        <v>20131</v>
      </c>
      <c r="Q435" s="1" t="s">
        <v>302</v>
      </c>
      <c r="R435" s="2">
        <v>42138</v>
      </c>
      <c r="S435" s="1">
        <v>233067</v>
      </c>
      <c r="U435" s="1">
        <v>2173</v>
      </c>
      <c r="V435" s="1" t="s">
        <v>5824</v>
      </c>
      <c r="W435" s="1" t="s">
        <v>449</v>
      </c>
      <c r="X435" s="1">
        <v>2173</v>
      </c>
      <c r="Y435" s="1">
        <v>4</v>
      </c>
      <c r="Z435" s="1" t="s">
        <v>370</v>
      </c>
      <c r="AA435" s="1" t="s">
        <v>1123</v>
      </c>
      <c r="AB435" s="1">
        <v>60504</v>
      </c>
      <c r="AD435" s="1" t="s">
        <v>5825</v>
      </c>
      <c r="AE435" s="1" t="s">
        <v>5826</v>
      </c>
      <c r="AF435" s="1">
        <v>2006</v>
      </c>
      <c r="AG435" s="1" t="s">
        <v>204</v>
      </c>
      <c r="AH435" s="1" t="s">
        <v>1126</v>
      </c>
      <c r="AI435" s="1" t="s">
        <v>1800</v>
      </c>
      <c r="AJ435" s="1" t="s">
        <v>1801</v>
      </c>
      <c r="AL435" s="1">
        <v>6</v>
      </c>
      <c r="AM435" s="1">
        <v>2</v>
      </c>
      <c r="AN435" s="1">
        <v>2</v>
      </c>
      <c r="AO435" s="1">
        <v>1</v>
      </c>
      <c r="AP435" s="1" t="s">
        <v>209</v>
      </c>
      <c r="AQ435" s="1">
        <v>1</v>
      </c>
      <c r="AR435" s="1" t="s">
        <v>210</v>
      </c>
      <c r="AT435" s="1" t="s">
        <v>211</v>
      </c>
      <c r="AU435" s="1">
        <v>2</v>
      </c>
      <c r="AW435" s="1" t="s">
        <v>204</v>
      </c>
      <c r="AX435" s="1" t="s">
        <v>212</v>
      </c>
      <c r="AZ435" s="1">
        <v>5825</v>
      </c>
      <c r="BA435" s="1">
        <v>2013</v>
      </c>
      <c r="BB435" s="1" t="s">
        <v>210</v>
      </c>
      <c r="BE435" s="1">
        <v>1509</v>
      </c>
      <c r="BF435" s="1">
        <v>1</v>
      </c>
      <c r="BG435" s="1">
        <v>0</v>
      </c>
      <c r="BL435" s="1">
        <v>140</v>
      </c>
      <c r="BM435" s="1" t="s">
        <v>413</v>
      </c>
      <c r="BN435" s="1" t="s">
        <v>213</v>
      </c>
      <c r="BO435" s="1">
        <v>999</v>
      </c>
      <c r="BP435" s="1" t="s">
        <v>204</v>
      </c>
      <c r="BR435" s="1" t="str">
        <f>"01063041051001"</f>
        <v>01063041051001</v>
      </c>
      <c r="BT435" s="1" t="s">
        <v>5827</v>
      </c>
      <c r="BX435" s="1">
        <v>308</v>
      </c>
      <c r="BY435" s="1">
        <v>308</v>
      </c>
      <c r="BZ435" s="1">
        <v>308</v>
      </c>
      <c r="CB435" s="1" t="str">
        <f t="shared" ref="CB435:CC435" si="343">""</f>
        <v/>
      </c>
      <c r="CC435" s="1" t="str">
        <f t="shared" si="343"/>
        <v/>
      </c>
      <c r="CG435" s="1" t="s">
        <v>280</v>
      </c>
      <c r="CH435" s="1" t="s">
        <v>219</v>
      </c>
      <c r="CI435" s="1" t="s">
        <v>229</v>
      </c>
      <c r="CJ435" s="1" t="s">
        <v>210</v>
      </c>
      <c r="CK435" s="1" t="s">
        <v>280</v>
      </c>
      <c r="CL435" s="1" t="s">
        <v>277</v>
      </c>
      <c r="CM435" s="1" t="s">
        <v>229</v>
      </c>
      <c r="CN435" s="1" t="s">
        <v>210</v>
      </c>
      <c r="CO435" s="1" t="s">
        <v>318</v>
      </c>
      <c r="CP435" s="1" t="s">
        <v>219</v>
      </c>
      <c r="CQ435" s="1" t="s">
        <v>229</v>
      </c>
      <c r="CR435" s="1" t="s">
        <v>210</v>
      </c>
      <c r="CS435" s="1" t="s">
        <v>379</v>
      </c>
      <c r="CT435" s="1" t="s">
        <v>277</v>
      </c>
      <c r="CU435" s="1" t="s">
        <v>229</v>
      </c>
      <c r="CV435" s="1" t="s">
        <v>210</v>
      </c>
      <c r="CX435" s="1" t="s">
        <v>224</v>
      </c>
      <c r="DB435" s="1" t="s">
        <v>224</v>
      </c>
      <c r="DE435" s="1" t="s">
        <v>318</v>
      </c>
      <c r="DF435" s="1" t="s">
        <v>219</v>
      </c>
      <c r="DG435" s="1" t="s">
        <v>229</v>
      </c>
      <c r="DH435" s="1" t="s">
        <v>210</v>
      </c>
      <c r="DJ435" s="1" t="s">
        <v>224</v>
      </c>
      <c r="DM435" s="1" t="s">
        <v>464</v>
      </c>
      <c r="DR435" s="1" t="s">
        <v>316</v>
      </c>
      <c r="DS435" s="1" t="s">
        <v>277</v>
      </c>
      <c r="DT435" s="1" t="s">
        <v>229</v>
      </c>
      <c r="DU435" s="1" t="s">
        <v>210</v>
      </c>
      <c r="DW435" s="1" t="s">
        <v>230</v>
      </c>
      <c r="EA435" s="1" t="s">
        <v>230</v>
      </c>
      <c r="EE435" s="1" t="s">
        <v>230</v>
      </c>
      <c r="EI435" s="1" t="s">
        <v>230</v>
      </c>
      <c r="EL435" s="1" t="s">
        <v>491</v>
      </c>
      <c r="EM435" s="1" t="s">
        <v>319</v>
      </c>
      <c r="EN435" s="1" t="s">
        <v>282</v>
      </c>
      <c r="EO435" s="1" t="s">
        <v>234</v>
      </c>
      <c r="EP435" s="1" t="s">
        <v>650</v>
      </c>
      <c r="EQ435" s="1" t="s">
        <v>2416</v>
      </c>
      <c r="ER435" s="1" t="s">
        <v>383</v>
      </c>
      <c r="ET435" s="1" t="s">
        <v>4177</v>
      </c>
      <c r="EV435" s="1" t="s">
        <v>324</v>
      </c>
      <c r="EW435" s="1" t="s">
        <v>353</v>
      </c>
      <c r="EY435" s="1" t="s">
        <v>242</v>
      </c>
      <c r="EZ435" s="1" t="s">
        <v>464</v>
      </c>
      <c r="FA435" s="1" t="s">
        <v>714</v>
      </c>
      <c r="FB435" s="1" t="s">
        <v>289</v>
      </c>
      <c r="FC435" s="1" t="s">
        <v>2470</v>
      </c>
      <c r="FD435" s="1" t="s">
        <v>246</v>
      </c>
      <c r="FE435" s="1" t="s">
        <v>975</v>
      </c>
      <c r="FF435" s="1" t="s">
        <v>248</v>
      </c>
      <c r="FG435" s="1" t="s">
        <v>912</v>
      </c>
      <c r="FH435" s="1" t="s">
        <v>550</v>
      </c>
      <c r="FI435" s="1" t="s">
        <v>4358</v>
      </c>
      <c r="FL435" s="1" t="s">
        <v>358</v>
      </c>
      <c r="FM435" s="1" t="s">
        <v>252</v>
      </c>
      <c r="FN435" s="1" t="s">
        <v>213</v>
      </c>
      <c r="FO435" s="1" t="s">
        <v>213</v>
      </c>
      <c r="FQ435" s="1" t="s">
        <v>582</v>
      </c>
      <c r="FR435" s="1" t="s">
        <v>210</v>
      </c>
      <c r="FS435" s="1" t="s">
        <v>5828</v>
      </c>
      <c r="FT435" s="1" t="s">
        <v>295</v>
      </c>
      <c r="FU435" s="1" t="s">
        <v>204</v>
      </c>
      <c r="FW435" s="1" t="s">
        <v>5829</v>
      </c>
      <c r="FX435" s="1">
        <v>24826</v>
      </c>
      <c r="FY435" s="1" t="s">
        <v>5830</v>
      </c>
      <c r="FZ435" s="1" t="s">
        <v>5831</v>
      </c>
      <c r="GA435" s="1">
        <v>237083</v>
      </c>
      <c r="GE435" s="1" t="s">
        <v>480</v>
      </c>
      <c r="GI435" s="1" t="s">
        <v>213</v>
      </c>
      <c r="GJ435" s="1" t="s">
        <v>260</v>
      </c>
      <c r="GK435" s="1" t="s">
        <v>210</v>
      </c>
      <c r="GL435" s="2">
        <v>42138</v>
      </c>
      <c r="GM435" s="1" t="s">
        <v>5832</v>
      </c>
    </row>
    <row r="436" spans="1:195">
      <c r="A436" s="1">
        <v>130000</v>
      </c>
      <c r="B436" s="1" t="s">
        <v>195</v>
      </c>
      <c r="C436" s="1" t="str">
        <f>"08796386"</f>
        <v>08796386</v>
      </c>
      <c r="D436" s="1" t="s">
        <v>196</v>
      </c>
      <c r="F436" s="1" t="str">
        <f>"60"</f>
        <v>60</v>
      </c>
      <c r="G436" s="2">
        <v>41976</v>
      </c>
      <c r="H436" s="1">
        <v>129900</v>
      </c>
      <c r="I436" s="1">
        <v>129900</v>
      </c>
      <c r="J436" s="1">
        <v>130000</v>
      </c>
      <c r="K436" s="2">
        <v>41976</v>
      </c>
      <c r="L436" s="1">
        <v>4</v>
      </c>
      <c r="M436" s="2">
        <v>41979</v>
      </c>
      <c r="N436" s="1">
        <v>4</v>
      </c>
      <c r="O436" s="2">
        <v>41979</v>
      </c>
      <c r="P436" s="1">
        <v>3754</v>
      </c>
      <c r="Q436" s="1" t="s">
        <v>197</v>
      </c>
      <c r="R436" s="2">
        <v>42019</v>
      </c>
      <c r="S436" s="1">
        <v>39737</v>
      </c>
      <c r="U436" s="1">
        <v>621</v>
      </c>
      <c r="V436" s="1" t="s">
        <v>5833</v>
      </c>
      <c r="W436" s="1" t="s">
        <v>264</v>
      </c>
      <c r="Y436" s="1">
        <v>6</v>
      </c>
      <c r="Z436" s="1" t="s">
        <v>200</v>
      </c>
      <c r="AA436" s="1" t="s">
        <v>1689</v>
      </c>
      <c r="AB436" s="1">
        <v>60060</v>
      </c>
      <c r="AD436" s="1" t="s">
        <v>5834</v>
      </c>
      <c r="AE436" s="1" t="s">
        <v>5835</v>
      </c>
      <c r="AF436" s="1">
        <v>1992</v>
      </c>
      <c r="AG436" s="1" t="s">
        <v>204</v>
      </c>
      <c r="AH436" s="1" t="s">
        <v>1692</v>
      </c>
      <c r="AI436" s="1" t="s">
        <v>509</v>
      </c>
      <c r="AJ436" s="1" t="s">
        <v>5836</v>
      </c>
      <c r="AL436" s="1">
        <v>5</v>
      </c>
      <c r="AM436" s="1">
        <v>2</v>
      </c>
      <c r="AN436" s="1">
        <v>2</v>
      </c>
      <c r="AO436" s="1">
        <v>1</v>
      </c>
      <c r="AP436" s="1" t="s">
        <v>209</v>
      </c>
      <c r="AQ436" s="1">
        <v>1</v>
      </c>
      <c r="AR436" s="1" t="s">
        <v>210</v>
      </c>
      <c r="AS436" s="1" t="s">
        <v>204</v>
      </c>
      <c r="AT436" s="1" t="s">
        <v>211</v>
      </c>
      <c r="AU436" s="1">
        <v>1</v>
      </c>
      <c r="AW436" s="1" t="s">
        <v>213</v>
      </c>
      <c r="AX436" s="1" t="s">
        <v>579</v>
      </c>
      <c r="AZ436" s="1">
        <v>4769</v>
      </c>
      <c r="BA436" s="1">
        <v>2013</v>
      </c>
      <c r="BB436" s="1" t="s">
        <v>405</v>
      </c>
      <c r="BE436" s="1">
        <v>1232</v>
      </c>
      <c r="BF436" s="1">
        <v>1</v>
      </c>
      <c r="BG436" s="1">
        <v>0</v>
      </c>
      <c r="BL436" s="1">
        <v>179</v>
      </c>
      <c r="BM436" s="1" t="s">
        <v>204</v>
      </c>
      <c r="BN436" s="1" t="s">
        <v>213</v>
      </c>
      <c r="BO436" s="1" t="s">
        <v>432</v>
      </c>
      <c r="BP436" s="1" t="s">
        <v>204</v>
      </c>
      <c r="BR436" s="1" t="str">
        <f>"10234131120000"</f>
        <v>10234131120000</v>
      </c>
      <c r="BT436" s="1" t="s">
        <v>5837</v>
      </c>
      <c r="BU436" s="1" t="s">
        <v>5838</v>
      </c>
      <c r="BV436" s="1" t="s">
        <v>5839</v>
      </c>
      <c r="BW436" s="1" t="s">
        <v>5840</v>
      </c>
      <c r="BX436" s="1">
        <v>75</v>
      </c>
      <c r="BY436" s="1">
        <v>75</v>
      </c>
      <c r="BZ436" s="1">
        <v>120</v>
      </c>
      <c r="CB436" s="1" t="str">
        <f t="shared" ref="CB436:CC436" si="344">""</f>
        <v/>
      </c>
      <c r="CC436" s="1" t="str">
        <f t="shared" si="344"/>
        <v/>
      </c>
      <c r="CG436" s="1" t="s">
        <v>2992</v>
      </c>
      <c r="CH436" s="1" t="s">
        <v>219</v>
      </c>
      <c r="CI436" s="1" t="s">
        <v>229</v>
      </c>
      <c r="CK436" s="1" t="s">
        <v>757</v>
      </c>
      <c r="CL436" s="1" t="s">
        <v>277</v>
      </c>
      <c r="CM436" s="1" t="s">
        <v>220</v>
      </c>
      <c r="CO436" s="1" t="s">
        <v>629</v>
      </c>
      <c r="CP436" s="1" t="s">
        <v>219</v>
      </c>
      <c r="CS436" s="1" t="s">
        <v>465</v>
      </c>
      <c r="CT436" s="1" t="s">
        <v>277</v>
      </c>
      <c r="CU436" s="1" t="s">
        <v>220</v>
      </c>
      <c r="CX436" s="1" t="s">
        <v>224</v>
      </c>
      <c r="DB436" s="1" t="s">
        <v>224</v>
      </c>
      <c r="DE436" s="1" t="s">
        <v>837</v>
      </c>
      <c r="DF436" s="1" t="s">
        <v>219</v>
      </c>
      <c r="DG436" s="1" t="s">
        <v>229</v>
      </c>
      <c r="DJ436" s="1" t="s">
        <v>224</v>
      </c>
      <c r="DS436" s="1" t="s">
        <v>230</v>
      </c>
      <c r="DW436" s="1" t="s">
        <v>230</v>
      </c>
      <c r="EA436" s="1" t="s">
        <v>230</v>
      </c>
      <c r="EE436" s="1" t="s">
        <v>230</v>
      </c>
      <c r="EI436" s="1" t="s">
        <v>230</v>
      </c>
      <c r="EL436" s="1" t="s">
        <v>382</v>
      </c>
      <c r="EM436" s="1" t="s">
        <v>232</v>
      </c>
      <c r="EN436" s="1" t="s">
        <v>282</v>
      </c>
      <c r="EO436" s="1" t="s">
        <v>234</v>
      </c>
      <c r="EP436" s="1" t="s">
        <v>3012</v>
      </c>
      <c r="EQ436" s="1" t="s">
        <v>1094</v>
      </c>
      <c r="ER436" s="1" t="s">
        <v>210</v>
      </c>
      <c r="ES436" s="1" t="s">
        <v>824</v>
      </c>
      <c r="EU436" s="1" t="s">
        <v>5841</v>
      </c>
      <c r="EV436" s="1" t="s">
        <v>240</v>
      </c>
      <c r="EW436" s="1" t="s">
        <v>353</v>
      </c>
      <c r="EY436" s="1" t="s">
        <v>242</v>
      </c>
      <c r="EZ436" s="1" t="s">
        <v>287</v>
      </c>
      <c r="FB436" s="1" t="s">
        <v>289</v>
      </c>
      <c r="FD436" s="1" t="s">
        <v>246</v>
      </c>
      <c r="FE436" s="1" t="s">
        <v>975</v>
      </c>
      <c r="FF436" s="1" t="s">
        <v>387</v>
      </c>
      <c r="FG436" s="1" t="s">
        <v>2406</v>
      </c>
      <c r="FH436" s="1" t="s">
        <v>550</v>
      </c>
      <c r="FI436" s="1" t="s">
        <v>473</v>
      </c>
      <c r="FJ436" s="1" t="s">
        <v>1251</v>
      </c>
      <c r="FL436" s="1" t="s">
        <v>358</v>
      </c>
      <c r="FM436" s="1" t="s">
        <v>252</v>
      </c>
      <c r="FN436" s="1" t="s">
        <v>213</v>
      </c>
      <c r="FO436" s="1" t="s">
        <v>213</v>
      </c>
      <c r="FQ436" s="1" t="s">
        <v>293</v>
      </c>
      <c r="FR436" s="1" t="s">
        <v>210</v>
      </c>
      <c r="FS436" s="1" t="s">
        <v>5243</v>
      </c>
      <c r="FT436" s="1" t="s">
        <v>295</v>
      </c>
      <c r="FU436" s="1" t="s">
        <v>204</v>
      </c>
      <c r="FW436" s="1" t="s">
        <v>2006</v>
      </c>
      <c r="FX436" s="1">
        <v>4667</v>
      </c>
      <c r="FY436" s="1" t="s">
        <v>5842</v>
      </c>
      <c r="FZ436" s="1" t="s">
        <v>5843</v>
      </c>
      <c r="GA436" s="1">
        <v>42458</v>
      </c>
      <c r="GB436" s="1" t="s">
        <v>5844</v>
      </c>
      <c r="GD436" s="1" t="s">
        <v>5845</v>
      </c>
      <c r="GE436" s="1" t="s">
        <v>1333</v>
      </c>
      <c r="GI436" s="1" t="s">
        <v>213</v>
      </c>
      <c r="GJ436" s="1" t="s">
        <v>260</v>
      </c>
      <c r="GK436" s="1" t="s">
        <v>210</v>
      </c>
      <c r="GL436" s="2">
        <v>42019</v>
      </c>
    </row>
    <row r="437" spans="1:195">
      <c r="A437" s="1">
        <v>50000</v>
      </c>
      <c r="B437" s="1" t="s">
        <v>195</v>
      </c>
      <c r="C437" s="1" t="str">
        <f>"08793997"</f>
        <v>08793997</v>
      </c>
      <c r="D437" s="1" t="s">
        <v>196</v>
      </c>
      <c r="F437" s="1" t="str">
        <f>"99"</f>
        <v>99</v>
      </c>
      <c r="G437" s="2">
        <v>41973</v>
      </c>
      <c r="H437" s="1">
        <v>50000</v>
      </c>
      <c r="I437" s="1">
        <v>50000</v>
      </c>
      <c r="J437" s="1">
        <v>50000</v>
      </c>
      <c r="K437" s="2">
        <v>41973</v>
      </c>
      <c r="L437" s="1">
        <v>16</v>
      </c>
      <c r="M437" s="2">
        <v>41988</v>
      </c>
      <c r="N437" s="1">
        <v>16</v>
      </c>
      <c r="O437" s="2">
        <v>41988</v>
      </c>
      <c r="P437" s="1">
        <v>2644</v>
      </c>
      <c r="Q437" s="1" t="s">
        <v>302</v>
      </c>
      <c r="R437" s="2">
        <v>41994</v>
      </c>
      <c r="S437" s="1">
        <v>18736</v>
      </c>
      <c r="U437" s="1">
        <v>1904</v>
      </c>
      <c r="V437" s="1" t="s">
        <v>5846</v>
      </c>
      <c r="W437" s="1" t="s">
        <v>304</v>
      </c>
      <c r="X437" s="1">
        <v>1904</v>
      </c>
      <c r="Y437" s="1">
        <v>6</v>
      </c>
      <c r="Z437" s="1" t="s">
        <v>249</v>
      </c>
      <c r="AA437" s="1" t="s">
        <v>5847</v>
      </c>
      <c r="AB437" s="1">
        <v>60099</v>
      </c>
      <c r="AD437" s="1" t="s">
        <v>5848</v>
      </c>
      <c r="AE437" s="1" t="s">
        <v>5849</v>
      </c>
      <c r="AF437" s="1">
        <v>2007</v>
      </c>
      <c r="AG437" s="1" t="s">
        <v>204</v>
      </c>
      <c r="AH437" s="1" t="s">
        <v>5850</v>
      </c>
      <c r="AI437" s="1" t="s">
        <v>509</v>
      </c>
      <c r="AJ437" s="1" t="s">
        <v>4389</v>
      </c>
      <c r="AK437" s="1" t="s">
        <v>2247</v>
      </c>
      <c r="AL437" s="1">
        <v>6</v>
      </c>
      <c r="AM437" s="1">
        <v>2</v>
      </c>
      <c r="AN437" s="1">
        <v>2</v>
      </c>
      <c r="AO437" s="1">
        <v>1</v>
      </c>
      <c r="AP437" s="1" t="s">
        <v>667</v>
      </c>
      <c r="AQ437" s="1">
        <v>0</v>
      </c>
      <c r="AR437" s="1" t="s">
        <v>1483</v>
      </c>
      <c r="AS437" s="1" t="s">
        <v>204</v>
      </c>
      <c r="AT437" s="1" t="s">
        <v>211</v>
      </c>
      <c r="AU437" s="1">
        <v>2</v>
      </c>
      <c r="AW437" s="1" t="s">
        <v>204</v>
      </c>
      <c r="AX437" s="1" t="s">
        <v>212</v>
      </c>
      <c r="AZ437" s="1">
        <v>5170</v>
      </c>
      <c r="BA437" s="1">
        <v>2012</v>
      </c>
      <c r="BB437" s="1" t="s">
        <v>405</v>
      </c>
      <c r="BE437" s="1">
        <v>1672</v>
      </c>
      <c r="BF437" s="1">
        <v>2</v>
      </c>
      <c r="BG437" s="1">
        <v>0</v>
      </c>
      <c r="BJ437" s="1">
        <v>100</v>
      </c>
      <c r="BL437" s="1">
        <v>169</v>
      </c>
      <c r="BM437" s="1" t="s">
        <v>204</v>
      </c>
      <c r="BN437" s="1" t="s">
        <v>213</v>
      </c>
      <c r="BO437" s="1">
        <v>50</v>
      </c>
      <c r="BP437" s="1" t="s">
        <v>204</v>
      </c>
      <c r="BR437" s="1" t="str">
        <f>"04184020530000"</f>
        <v>04184020530000</v>
      </c>
      <c r="BT437" s="1" t="s">
        <v>5851</v>
      </c>
      <c r="BX437" s="1">
        <v>3</v>
      </c>
      <c r="BY437" s="1">
        <v>3</v>
      </c>
      <c r="BZ437" s="1">
        <v>126</v>
      </c>
      <c r="CB437" s="1" t="str">
        <f>"41"</f>
        <v>41</v>
      </c>
      <c r="CC437" s="1" t="str">
        <f>"0"</f>
        <v>0</v>
      </c>
      <c r="CD437" s="1">
        <v>12</v>
      </c>
      <c r="CE437" s="1">
        <v>0</v>
      </c>
      <c r="CG437" s="1" t="s">
        <v>3684</v>
      </c>
      <c r="CH437" s="1" t="s">
        <v>219</v>
      </c>
      <c r="CI437" s="1" t="s">
        <v>220</v>
      </c>
      <c r="CJ437" s="1" t="s">
        <v>210</v>
      </c>
      <c r="CK437" s="1" t="s">
        <v>1737</v>
      </c>
      <c r="CL437" s="1" t="s">
        <v>277</v>
      </c>
      <c r="CM437" s="1" t="s">
        <v>220</v>
      </c>
      <c r="CO437" s="1" t="s">
        <v>602</v>
      </c>
      <c r="CP437" s="1" t="s">
        <v>219</v>
      </c>
      <c r="CQ437" s="1" t="s">
        <v>342</v>
      </c>
      <c r="CR437" s="1" t="s">
        <v>210</v>
      </c>
      <c r="CS437" s="1" t="s">
        <v>757</v>
      </c>
      <c r="CT437" s="1" t="s">
        <v>277</v>
      </c>
      <c r="CU437" s="1" t="s">
        <v>220</v>
      </c>
      <c r="CV437" s="1" t="s">
        <v>210</v>
      </c>
      <c r="CX437" s="1" t="s">
        <v>224</v>
      </c>
      <c r="DB437" s="1" t="s">
        <v>224</v>
      </c>
      <c r="DE437" s="1" t="s">
        <v>378</v>
      </c>
      <c r="DF437" s="1" t="s">
        <v>219</v>
      </c>
      <c r="DG437" s="1" t="s">
        <v>342</v>
      </c>
      <c r="DH437" s="1" t="s">
        <v>210</v>
      </c>
      <c r="DI437" s="1" t="s">
        <v>378</v>
      </c>
      <c r="DJ437" s="1" t="s">
        <v>822</v>
      </c>
      <c r="DK437" s="1" t="s">
        <v>220</v>
      </c>
      <c r="DL437" s="1" t="s">
        <v>210</v>
      </c>
      <c r="DS437" s="1" t="s">
        <v>230</v>
      </c>
      <c r="DW437" s="1" t="s">
        <v>230</v>
      </c>
      <c r="EA437" s="1" t="s">
        <v>230</v>
      </c>
      <c r="EE437" s="1" t="s">
        <v>230</v>
      </c>
      <c r="EI437" s="1" t="s">
        <v>230</v>
      </c>
      <c r="EL437" s="1" t="s">
        <v>491</v>
      </c>
      <c r="EM437" s="1" t="s">
        <v>319</v>
      </c>
      <c r="EN437" s="1" t="s">
        <v>210</v>
      </c>
      <c r="EO437" s="1" t="s">
        <v>234</v>
      </c>
      <c r="EP437" s="1" t="s">
        <v>210</v>
      </c>
      <c r="EQ437" s="1" t="s">
        <v>321</v>
      </c>
      <c r="ER437" s="1" t="s">
        <v>5852</v>
      </c>
      <c r="ES437" s="1" t="s">
        <v>1552</v>
      </c>
      <c r="ET437" s="1" t="s">
        <v>1161</v>
      </c>
      <c r="EU437" s="1" t="s">
        <v>239</v>
      </c>
      <c r="EV437" s="1" t="s">
        <v>324</v>
      </c>
      <c r="EW437" s="1" t="s">
        <v>353</v>
      </c>
      <c r="EY437" s="1" t="s">
        <v>790</v>
      </c>
      <c r="EZ437" s="1" t="s">
        <v>287</v>
      </c>
      <c r="FA437" s="1" t="s">
        <v>1554</v>
      </c>
      <c r="FB437" s="1" t="s">
        <v>846</v>
      </c>
      <c r="FC437" s="1" t="s">
        <v>633</v>
      </c>
      <c r="FD437" s="1" t="s">
        <v>495</v>
      </c>
      <c r="FE437" s="1" t="s">
        <v>347</v>
      </c>
      <c r="FF437" s="1" t="s">
        <v>248</v>
      </c>
      <c r="FH437" s="1" t="s">
        <v>249</v>
      </c>
      <c r="FI437" s="1" t="s">
        <v>2827</v>
      </c>
      <c r="FJ437" s="1" t="s">
        <v>518</v>
      </c>
      <c r="FL437" s="1" t="s">
        <v>358</v>
      </c>
      <c r="FM437" s="1" t="s">
        <v>252</v>
      </c>
      <c r="FN437" s="1" t="s">
        <v>213</v>
      </c>
      <c r="FO437" s="1" t="s">
        <v>213</v>
      </c>
      <c r="FQ437" s="1" t="s">
        <v>582</v>
      </c>
      <c r="FR437" s="1" t="s">
        <v>210</v>
      </c>
      <c r="FS437" s="1" t="s">
        <v>4124</v>
      </c>
      <c r="FT437" s="1" t="s">
        <v>5853</v>
      </c>
      <c r="FU437" s="1" t="s">
        <v>204</v>
      </c>
      <c r="FW437" s="1" t="s">
        <v>5854</v>
      </c>
      <c r="FX437" s="1">
        <v>12968</v>
      </c>
      <c r="FY437" s="1" t="s">
        <v>5855</v>
      </c>
      <c r="FZ437" s="1" t="s">
        <v>5856</v>
      </c>
      <c r="GA437" s="1">
        <v>125232</v>
      </c>
      <c r="GB437" s="1" t="s">
        <v>5855</v>
      </c>
      <c r="GE437" s="1" t="s">
        <v>480</v>
      </c>
      <c r="GI437" s="1" t="s">
        <v>213</v>
      </c>
      <c r="GJ437" s="1" t="s">
        <v>260</v>
      </c>
      <c r="GK437" s="1" t="s">
        <v>210</v>
      </c>
      <c r="GL437" s="2">
        <v>42022</v>
      </c>
      <c r="GM437" s="1" t="s">
        <v>5857</v>
      </c>
    </row>
    <row r="438" spans="1:195">
      <c r="A438" s="1">
        <v>76000</v>
      </c>
      <c r="B438" s="1" t="s">
        <v>195</v>
      </c>
      <c r="C438" s="1" t="str">
        <f>"08792264"</f>
        <v>08792264</v>
      </c>
      <c r="D438" s="1" t="s">
        <v>196</v>
      </c>
      <c r="F438" s="1" t="str">
        <f>"562"</f>
        <v>562</v>
      </c>
      <c r="G438" s="2">
        <v>41967</v>
      </c>
      <c r="H438" s="1">
        <v>85000</v>
      </c>
      <c r="I438" s="1">
        <v>85000</v>
      </c>
      <c r="J438" s="1">
        <v>76000</v>
      </c>
      <c r="K438" s="2">
        <v>41967</v>
      </c>
      <c r="L438" s="1">
        <v>7</v>
      </c>
      <c r="M438" s="2">
        <v>41973</v>
      </c>
      <c r="N438" s="1">
        <v>7</v>
      </c>
      <c r="O438" s="2">
        <v>41973</v>
      </c>
      <c r="P438" s="1">
        <v>24821</v>
      </c>
      <c r="Q438" s="1" t="s">
        <v>197</v>
      </c>
      <c r="R438" s="2">
        <v>42076</v>
      </c>
      <c r="S438" s="1">
        <v>229801</v>
      </c>
      <c r="U438" s="1">
        <v>7413</v>
      </c>
      <c r="V438" s="1" t="s">
        <v>5858</v>
      </c>
      <c r="W438" s="1" t="s">
        <v>264</v>
      </c>
      <c r="X438" s="1">
        <v>215</v>
      </c>
      <c r="Y438" s="1">
        <v>16</v>
      </c>
      <c r="Z438" s="1" t="s">
        <v>200</v>
      </c>
      <c r="AA438" s="1" t="s">
        <v>899</v>
      </c>
      <c r="AB438" s="1">
        <v>60561</v>
      </c>
      <c r="AD438" s="1" t="s">
        <v>5859</v>
      </c>
      <c r="AE438" s="1" t="s">
        <v>5860</v>
      </c>
      <c r="AF438" s="1">
        <v>1967</v>
      </c>
      <c r="AG438" s="1" t="s">
        <v>213</v>
      </c>
      <c r="AH438" s="1" t="s">
        <v>903</v>
      </c>
      <c r="AI438" s="1" t="s">
        <v>206</v>
      </c>
      <c r="AJ438" s="1" t="s">
        <v>903</v>
      </c>
      <c r="AL438" s="1">
        <v>4</v>
      </c>
      <c r="AM438" s="1">
        <v>2</v>
      </c>
      <c r="AN438" s="1">
        <v>1</v>
      </c>
      <c r="AO438" s="1">
        <v>0</v>
      </c>
      <c r="AP438" s="1" t="s">
        <v>210</v>
      </c>
      <c r="AR438" s="1" t="s">
        <v>210</v>
      </c>
      <c r="AT438" s="1" t="s">
        <v>271</v>
      </c>
      <c r="AV438" s="1">
        <v>2</v>
      </c>
      <c r="AW438" s="1" t="s">
        <v>204</v>
      </c>
      <c r="AX438" s="1" t="s">
        <v>212</v>
      </c>
      <c r="AZ438" s="1">
        <v>1407</v>
      </c>
      <c r="BA438" s="1">
        <v>2013</v>
      </c>
      <c r="BB438" s="1" t="s">
        <v>210</v>
      </c>
      <c r="BE438" s="1">
        <v>972</v>
      </c>
      <c r="BF438" s="1">
        <v>2</v>
      </c>
      <c r="BG438" s="1">
        <v>0</v>
      </c>
      <c r="BL438" s="1">
        <v>333</v>
      </c>
      <c r="BM438" s="1" t="s">
        <v>413</v>
      </c>
      <c r="BN438" s="1" t="s">
        <v>213</v>
      </c>
      <c r="BO438" s="1">
        <v>0</v>
      </c>
      <c r="BP438" s="1" t="s">
        <v>204</v>
      </c>
      <c r="BR438" s="1" t="str">
        <f>"0927208088"</f>
        <v>0927208088</v>
      </c>
      <c r="BT438" s="1" t="s">
        <v>5861</v>
      </c>
      <c r="BX438" s="1">
        <v>61</v>
      </c>
      <c r="BY438" s="1">
        <v>61</v>
      </c>
      <c r="BZ438" s="1">
        <v>86</v>
      </c>
      <c r="CB438" s="1" t="str">
        <f t="shared" ref="CB438:CC438" si="345">""</f>
        <v/>
      </c>
      <c r="CC438" s="1" t="str">
        <f t="shared" si="345"/>
        <v/>
      </c>
      <c r="CG438" s="1" t="s">
        <v>3100</v>
      </c>
      <c r="CH438" s="1" t="s">
        <v>277</v>
      </c>
      <c r="CI438" s="1" t="s">
        <v>220</v>
      </c>
      <c r="CJ438" s="1" t="s">
        <v>343</v>
      </c>
      <c r="CK438" s="1" t="s">
        <v>437</v>
      </c>
      <c r="CL438" s="1" t="s">
        <v>277</v>
      </c>
      <c r="CM438" s="1" t="s">
        <v>220</v>
      </c>
      <c r="CN438" s="1" t="s">
        <v>343</v>
      </c>
      <c r="CP438" s="1" t="s">
        <v>224</v>
      </c>
      <c r="CS438" s="1" t="s">
        <v>1046</v>
      </c>
      <c r="CT438" s="1" t="s">
        <v>277</v>
      </c>
      <c r="CX438" s="1" t="s">
        <v>224</v>
      </c>
      <c r="DB438" s="1" t="s">
        <v>224</v>
      </c>
      <c r="DE438" s="1" t="s">
        <v>1133</v>
      </c>
      <c r="DF438" s="1" t="s">
        <v>277</v>
      </c>
      <c r="DG438" s="1" t="s">
        <v>347</v>
      </c>
      <c r="DJ438" s="1" t="s">
        <v>224</v>
      </c>
      <c r="DM438" s="1" t="s">
        <v>1614</v>
      </c>
      <c r="DN438" s="1" t="s">
        <v>1771</v>
      </c>
      <c r="DR438" s="1" t="s">
        <v>5862</v>
      </c>
      <c r="DS438" s="1" t="s">
        <v>277</v>
      </c>
      <c r="DT438" s="1" t="s">
        <v>220</v>
      </c>
      <c r="DV438" s="1" t="s">
        <v>3127</v>
      </c>
      <c r="DW438" s="1" t="s">
        <v>277</v>
      </c>
      <c r="DX438" s="1" t="s">
        <v>220</v>
      </c>
      <c r="EA438" s="1" t="s">
        <v>230</v>
      </c>
      <c r="EE438" s="1" t="s">
        <v>230</v>
      </c>
      <c r="EI438" s="1" t="s">
        <v>230</v>
      </c>
      <c r="EL438" s="1" t="s">
        <v>605</v>
      </c>
      <c r="EM438" s="1" t="s">
        <v>232</v>
      </c>
      <c r="EN438" s="1" t="s">
        <v>731</v>
      </c>
      <c r="EO438" s="1" t="s">
        <v>347</v>
      </c>
      <c r="EP438" s="1" t="s">
        <v>5863</v>
      </c>
      <c r="EQ438" s="1" t="s">
        <v>1109</v>
      </c>
      <c r="ER438" s="1" t="s">
        <v>210</v>
      </c>
      <c r="ES438" s="1" t="s">
        <v>824</v>
      </c>
      <c r="EW438" s="1" t="s">
        <v>5625</v>
      </c>
      <c r="EY438" s="1" t="s">
        <v>242</v>
      </c>
      <c r="EZ438" s="1" t="s">
        <v>5864</v>
      </c>
      <c r="FB438" s="1" t="s">
        <v>289</v>
      </c>
      <c r="FD438" s="1" t="s">
        <v>246</v>
      </c>
      <c r="FE438" s="1" t="s">
        <v>247</v>
      </c>
      <c r="FF438" s="1" t="s">
        <v>248</v>
      </c>
      <c r="FH438" s="1" t="s">
        <v>249</v>
      </c>
      <c r="FK438" s="1" t="s">
        <v>891</v>
      </c>
      <c r="FL438" s="1" t="s">
        <v>328</v>
      </c>
      <c r="FM438" s="1" t="s">
        <v>252</v>
      </c>
      <c r="FN438" s="1" t="s">
        <v>213</v>
      </c>
      <c r="FO438" s="1" t="s">
        <v>213</v>
      </c>
      <c r="FQ438" s="1" t="s">
        <v>615</v>
      </c>
      <c r="FR438" s="1" t="s">
        <v>210</v>
      </c>
      <c r="FS438" s="1" t="s">
        <v>5865</v>
      </c>
      <c r="FT438" s="1" t="s">
        <v>295</v>
      </c>
      <c r="FU438" s="1" t="s">
        <v>204</v>
      </c>
      <c r="FW438" s="1" t="s">
        <v>915</v>
      </c>
      <c r="FX438" s="1">
        <v>20179</v>
      </c>
      <c r="FY438" s="1" t="s">
        <v>1944</v>
      </c>
      <c r="FZ438" s="1" t="s">
        <v>5866</v>
      </c>
      <c r="GA438" s="1">
        <v>241227</v>
      </c>
      <c r="GB438" s="1" t="s">
        <v>5867</v>
      </c>
      <c r="GD438" s="1" t="s">
        <v>5868</v>
      </c>
      <c r="GE438" s="1" t="s">
        <v>480</v>
      </c>
      <c r="GI438" s="1" t="s">
        <v>213</v>
      </c>
      <c r="GJ438" s="1" t="s">
        <v>260</v>
      </c>
      <c r="GK438" s="1" t="s">
        <v>210</v>
      </c>
      <c r="GL438" s="2">
        <v>42077</v>
      </c>
      <c r="GM438" s="1" t="s">
        <v>5869</v>
      </c>
    </row>
    <row r="439" spans="1:195">
      <c r="A439" s="1">
        <v>167500</v>
      </c>
      <c r="B439" s="1" t="s">
        <v>195</v>
      </c>
      <c r="C439" s="1" t="str">
        <f>"08794880"</f>
        <v>08794880</v>
      </c>
      <c r="D439" s="1" t="s">
        <v>196</v>
      </c>
      <c r="F439" s="1" t="str">
        <f>"84"</f>
        <v>84</v>
      </c>
      <c r="G439" s="2">
        <v>41974</v>
      </c>
      <c r="H439" s="1">
        <v>178900</v>
      </c>
      <c r="I439" s="1">
        <v>178900</v>
      </c>
      <c r="J439" s="1">
        <v>167500</v>
      </c>
      <c r="K439" s="2">
        <v>41974</v>
      </c>
      <c r="L439" s="1">
        <v>127</v>
      </c>
      <c r="M439" s="2">
        <v>42029</v>
      </c>
      <c r="N439" s="1">
        <v>56</v>
      </c>
      <c r="O439" s="2">
        <v>42029</v>
      </c>
      <c r="P439" s="1">
        <v>2752</v>
      </c>
      <c r="Q439" s="1" t="s">
        <v>302</v>
      </c>
      <c r="R439" s="2">
        <v>42065</v>
      </c>
      <c r="S439" s="1">
        <v>20363</v>
      </c>
      <c r="U439" s="1">
        <v>115</v>
      </c>
      <c r="V439" s="1" t="s">
        <v>5870</v>
      </c>
      <c r="W439" s="1" t="s">
        <v>264</v>
      </c>
      <c r="Y439" s="1">
        <v>4</v>
      </c>
      <c r="Z439" s="1" t="s">
        <v>249</v>
      </c>
      <c r="AA439" s="1" t="s">
        <v>5871</v>
      </c>
      <c r="AB439" s="1">
        <v>60084</v>
      </c>
      <c r="AD439" s="1" t="s">
        <v>5872</v>
      </c>
      <c r="AE439" s="1" t="s">
        <v>5873</v>
      </c>
      <c r="AF439" s="1">
        <v>1994</v>
      </c>
      <c r="AG439" s="1" t="s">
        <v>204</v>
      </c>
      <c r="AH439" s="1" t="s">
        <v>2599</v>
      </c>
      <c r="AI439" s="1" t="s">
        <v>509</v>
      </c>
      <c r="AJ439" s="1" t="s">
        <v>2599</v>
      </c>
      <c r="AL439" s="1">
        <v>6</v>
      </c>
      <c r="AM439" s="1">
        <v>2</v>
      </c>
      <c r="AN439" s="1">
        <v>2</v>
      </c>
      <c r="AO439" s="1">
        <v>1</v>
      </c>
      <c r="AP439" s="1" t="s">
        <v>209</v>
      </c>
      <c r="AQ439" s="1">
        <v>1</v>
      </c>
      <c r="AR439" s="1" t="s">
        <v>210</v>
      </c>
      <c r="AS439" s="1" t="s">
        <v>204</v>
      </c>
      <c r="AT439" s="1" t="s">
        <v>211</v>
      </c>
      <c r="AU439" s="1">
        <v>2</v>
      </c>
      <c r="AW439" s="1" t="s">
        <v>204</v>
      </c>
      <c r="AX439" s="1" t="s">
        <v>1265</v>
      </c>
      <c r="AZ439" s="6">
        <v>3108</v>
      </c>
      <c r="BA439" s="1">
        <v>2013</v>
      </c>
      <c r="BB439" s="1" t="s">
        <v>405</v>
      </c>
      <c r="BE439" s="1">
        <v>1368</v>
      </c>
      <c r="BF439" s="1">
        <v>1</v>
      </c>
      <c r="BG439" s="1">
        <v>15</v>
      </c>
      <c r="BL439" s="1">
        <v>189</v>
      </c>
      <c r="BM439" s="1" t="s">
        <v>204</v>
      </c>
      <c r="BN439" s="1" t="s">
        <v>213</v>
      </c>
      <c r="BO439" s="1">
        <v>999</v>
      </c>
      <c r="BP439" s="1" t="s">
        <v>204</v>
      </c>
      <c r="BR439" s="1" t="str">
        <f>"09234010570000"</f>
        <v>09234010570000</v>
      </c>
      <c r="BT439" s="1" t="s">
        <v>5874</v>
      </c>
      <c r="BU439" s="1" t="s">
        <v>2603</v>
      </c>
      <c r="BV439" s="1" t="s">
        <v>2604</v>
      </c>
      <c r="BW439" s="1" t="s">
        <v>2605</v>
      </c>
      <c r="BX439" s="1">
        <v>118</v>
      </c>
      <c r="BY439" s="1">
        <v>118</v>
      </c>
      <c r="BZ439" s="1">
        <v>118</v>
      </c>
      <c r="CB439" s="1" t="str">
        <f t="shared" ref="CB439:CC439" si="346">""</f>
        <v/>
      </c>
      <c r="CC439" s="1" t="str">
        <f t="shared" si="346"/>
        <v/>
      </c>
      <c r="CG439" s="1" t="s">
        <v>2042</v>
      </c>
      <c r="CH439" s="1" t="s">
        <v>219</v>
      </c>
      <c r="CI439" s="1" t="s">
        <v>229</v>
      </c>
      <c r="CJ439" s="1" t="s">
        <v>343</v>
      </c>
      <c r="CK439" s="1" t="s">
        <v>315</v>
      </c>
      <c r="CL439" s="1" t="s">
        <v>277</v>
      </c>
      <c r="CM439" s="1" t="s">
        <v>220</v>
      </c>
      <c r="CN439" s="1" t="s">
        <v>463</v>
      </c>
      <c r="CO439" s="1" t="s">
        <v>1297</v>
      </c>
      <c r="CP439" s="1" t="s">
        <v>219</v>
      </c>
      <c r="CQ439" s="1" t="s">
        <v>229</v>
      </c>
      <c r="CR439" s="1" t="s">
        <v>463</v>
      </c>
      <c r="CS439" s="1" t="s">
        <v>465</v>
      </c>
      <c r="CT439" s="1" t="s">
        <v>277</v>
      </c>
      <c r="CU439" s="1" t="s">
        <v>220</v>
      </c>
      <c r="CV439" s="1" t="s">
        <v>343</v>
      </c>
      <c r="CX439" s="1" t="s">
        <v>224</v>
      </c>
      <c r="DB439" s="1" t="s">
        <v>224</v>
      </c>
      <c r="DE439" s="1" t="s">
        <v>1297</v>
      </c>
      <c r="DF439" s="1" t="s">
        <v>219</v>
      </c>
      <c r="DG439" s="1" t="s">
        <v>229</v>
      </c>
      <c r="DJ439" s="1" t="s">
        <v>224</v>
      </c>
      <c r="DM439" s="1" t="s">
        <v>464</v>
      </c>
      <c r="DN439" s="1" t="s">
        <v>1771</v>
      </c>
      <c r="DO439" s="1" t="s">
        <v>709</v>
      </c>
      <c r="DR439" s="1" t="s">
        <v>379</v>
      </c>
      <c r="DS439" s="1" t="s">
        <v>277</v>
      </c>
      <c r="DT439" s="1" t="s">
        <v>220</v>
      </c>
      <c r="DU439" s="1" t="s">
        <v>343</v>
      </c>
      <c r="DV439" s="1" t="s">
        <v>5875</v>
      </c>
      <c r="DW439" s="1" t="s">
        <v>277</v>
      </c>
      <c r="DX439" s="1" t="s">
        <v>220</v>
      </c>
      <c r="DZ439" s="1" t="s">
        <v>4299</v>
      </c>
      <c r="EA439" s="1" t="s">
        <v>219</v>
      </c>
      <c r="EB439" s="1" t="s">
        <v>229</v>
      </c>
      <c r="EE439" s="1" t="s">
        <v>230</v>
      </c>
      <c r="EI439" s="1" t="s">
        <v>230</v>
      </c>
      <c r="EL439" s="1" t="s">
        <v>382</v>
      </c>
      <c r="EM439" s="1" t="s">
        <v>319</v>
      </c>
      <c r="EN439" s="1" t="s">
        <v>282</v>
      </c>
      <c r="EO439" s="1" t="s">
        <v>234</v>
      </c>
      <c r="EP439" s="1" t="s">
        <v>5615</v>
      </c>
      <c r="EQ439" s="1" t="s">
        <v>5876</v>
      </c>
      <c r="ER439" s="1" t="s">
        <v>210</v>
      </c>
      <c r="ES439" s="1" t="s">
        <v>493</v>
      </c>
      <c r="EV439" s="1" t="s">
        <v>324</v>
      </c>
      <c r="EW439" s="1" t="s">
        <v>887</v>
      </c>
      <c r="EY439" s="1" t="s">
        <v>242</v>
      </c>
      <c r="EZ439" s="1" t="s">
        <v>3671</v>
      </c>
      <c r="FA439" s="1" t="s">
        <v>714</v>
      </c>
      <c r="FB439" s="1" t="s">
        <v>289</v>
      </c>
      <c r="FC439" s="1" t="s">
        <v>1405</v>
      </c>
      <c r="FD439" s="1" t="s">
        <v>246</v>
      </c>
      <c r="FE439" s="1" t="s">
        <v>472</v>
      </c>
      <c r="FF439" s="1" t="s">
        <v>248</v>
      </c>
      <c r="FG439" s="1" t="s">
        <v>715</v>
      </c>
      <c r="FH439" s="1" t="s">
        <v>550</v>
      </c>
      <c r="FI439" s="1" t="s">
        <v>473</v>
      </c>
      <c r="FL439" s="1" t="s">
        <v>414</v>
      </c>
      <c r="FM439" s="1" t="s">
        <v>252</v>
      </c>
      <c r="FN439" s="1" t="s">
        <v>213</v>
      </c>
      <c r="FO439" s="1" t="s">
        <v>213</v>
      </c>
      <c r="FQ439" s="1" t="s">
        <v>1074</v>
      </c>
      <c r="FR439" s="1" t="s">
        <v>210</v>
      </c>
      <c r="FS439" s="1" t="s">
        <v>5877</v>
      </c>
      <c r="FT439" s="1" t="s">
        <v>295</v>
      </c>
      <c r="FU439" s="1" t="s">
        <v>213</v>
      </c>
      <c r="FW439" s="1" t="s">
        <v>1077</v>
      </c>
      <c r="FX439" s="1">
        <v>2752</v>
      </c>
      <c r="FY439" s="1" t="s">
        <v>1078</v>
      </c>
      <c r="FZ439" s="1" t="s">
        <v>5878</v>
      </c>
      <c r="GA439" s="1">
        <v>21193</v>
      </c>
      <c r="GB439" s="1" t="s">
        <v>5879</v>
      </c>
      <c r="GD439" s="1" t="s">
        <v>5880</v>
      </c>
      <c r="GE439" s="1" t="s">
        <v>210</v>
      </c>
      <c r="GI439" s="1" t="s">
        <v>213</v>
      </c>
      <c r="GJ439" s="1" t="s">
        <v>260</v>
      </c>
      <c r="GK439" s="1" t="s">
        <v>210</v>
      </c>
      <c r="GL439" s="2">
        <v>42066</v>
      </c>
      <c r="GM439" s="1" t="s">
        <v>5881</v>
      </c>
    </row>
    <row r="440" spans="1:195">
      <c r="A440" s="1">
        <v>92000</v>
      </c>
      <c r="B440" s="1" t="s">
        <v>195</v>
      </c>
      <c r="C440" s="1" t="str">
        <f>"08795937"</f>
        <v>08795937</v>
      </c>
      <c r="D440" s="1" t="s">
        <v>196</v>
      </c>
      <c r="F440" s="1" t="str">
        <f>"107"</f>
        <v>107</v>
      </c>
      <c r="G440" s="2">
        <v>41976</v>
      </c>
      <c r="H440" s="1">
        <v>104900</v>
      </c>
      <c r="I440" s="1">
        <v>104900</v>
      </c>
      <c r="J440" s="1">
        <v>92000</v>
      </c>
      <c r="K440" s="2">
        <v>41976</v>
      </c>
      <c r="L440" s="1">
        <v>8</v>
      </c>
      <c r="M440" s="2">
        <v>41983</v>
      </c>
      <c r="N440" s="1">
        <v>8</v>
      </c>
      <c r="O440" s="2">
        <v>41983</v>
      </c>
      <c r="P440" s="1">
        <v>8969</v>
      </c>
      <c r="Q440" s="1" t="s">
        <v>302</v>
      </c>
      <c r="R440" s="2">
        <v>42003</v>
      </c>
      <c r="S440" s="1">
        <v>29046</v>
      </c>
      <c r="U440" s="1">
        <v>527</v>
      </c>
      <c r="V440" s="1" t="s">
        <v>5882</v>
      </c>
      <c r="W440" s="1" t="s">
        <v>504</v>
      </c>
      <c r="X440" s="1" t="s">
        <v>800</v>
      </c>
      <c r="Y440" s="1">
        <v>8</v>
      </c>
      <c r="Z440" s="1" t="s">
        <v>249</v>
      </c>
      <c r="AA440" s="1" t="s">
        <v>1211</v>
      </c>
      <c r="AB440" s="1">
        <v>60107</v>
      </c>
      <c r="AD440" s="1" t="s">
        <v>5883</v>
      </c>
      <c r="AE440" s="1" t="s">
        <v>5884</v>
      </c>
      <c r="AF440" s="1">
        <v>1987</v>
      </c>
      <c r="AG440" s="1" t="s">
        <v>204</v>
      </c>
      <c r="AH440" s="1" t="s">
        <v>1214</v>
      </c>
      <c r="AI440" s="1" t="s">
        <v>310</v>
      </c>
      <c r="AJ440" s="1" t="s">
        <v>1717</v>
      </c>
      <c r="AK440" s="1" t="s">
        <v>270</v>
      </c>
      <c r="AL440" s="1">
        <v>4</v>
      </c>
      <c r="AM440" s="1">
        <v>2</v>
      </c>
      <c r="AN440" s="1">
        <v>2</v>
      </c>
      <c r="AO440" s="1">
        <v>0</v>
      </c>
      <c r="AP440" s="1" t="s">
        <v>209</v>
      </c>
      <c r="AQ440" s="1">
        <v>0</v>
      </c>
      <c r="AR440" s="1" t="s">
        <v>210</v>
      </c>
      <c r="AS440" s="1" t="s">
        <v>204</v>
      </c>
      <c r="AT440" s="1" t="s">
        <v>211</v>
      </c>
      <c r="AU440" s="1">
        <v>1</v>
      </c>
      <c r="AW440" s="1" t="s">
        <v>204</v>
      </c>
      <c r="AX440" s="1" t="s">
        <v>212</v>
      </c>
      <c r="AZ440" s="1">
        <v>1908.54</v>
      </c>
      <c r="BA440" s="1">
        <v>2013</v>
      </c>
      <c r="BB440" s="1" t="s">
        <v>210</v>
      </c>
      <c r="BE440" s="1">
        <v>1240</v>
      </c>
      <c r="BF440" s="1">
        <v>2</v>
      </c>
      <c r="BG440" s="1">
        <v>0</v>
      </c>
      <c r="BL440" s="1">
        <v>281</v>
      </c>
      <c r="BM440" s="1" t="s">
        <v>204</v>
      </c>
      <c r="BN440" s="1" t="s">
        <v>213</v>
      </c>
      <c r="BO440" s="1">
        <v>50</v>
      </c>
      <c r="BP440" s="1" t="s">
        <v>204</v>
      </c>
      <c r="BR440" s="1" t="str">
        <f>"06144280151188"</f>
        <v>06144280151188</v>
      </c>
      <c r="BT440" s="1" t="s">
        <v>5885</v>
      </c>
      <c r="BU440" s="1" t="s">
        <v>5886</v>
      </c>
      <c r="BV440" s="1" t="s">
        <v>3557</v>
      </c>
      <c r="BW440" s="1" t="s">
        <v>1217</v>
      </c>
      <c r="BX440" s="1">
        <v>46</v>
      </c>
      <c r="BY440" s="1">
        <v>46</v>
      </c>
      <c r="BZ440" s="1">
        <v>46</v>
      </c>
      <c r="CB440" s="1" t="str">
        <f>"11"</f>
        <v>11</v>
      </c>
      <c r="CC440" s="1" t="str">
        <f>"0"</f>
        <v>0</v>
      </c>
      <c r="CD440" s="1">
        <v>28</v>
      </c>
      <c r="CE440" s="1">
        <v>0</v>
      </c>
      <c r="CG440" s="1" t="s">
        <v>228</v>
      </c>
      <c r="CH440" s="1" t="s">
        <v>277</v>
      </c>
      <c r="CI440" s="1" t="s">
        <v>220</v>
      </c>
      <c r="CK440" s="1" t="s">
        <v>1403</v>
      </c>
      <c r="CL440" s="1" t="s">
        <v>277</v>
      </c>
      <c r="CM440" s="1" t="s">
        <v>220</v>
      </c>
      <c r="CN440" s="1" t="s">
        <v>343</v>
      </c>
      <c r="CP440" s="1" t="s">
        <v>224</v>
      </c>
      <c r="CS440" s="1" t="s">
        <v>1403</v>
      </c>
      <c r="CT440" s="1" t="s">
        <v>277</v>
      </c>
      <c r="CU440" s="1" t="s">
        <v>220</v>
      </c>
      <c r="CV440" s="1" t="s">
        <v>343</v>
      </c>
      <c r="CX440" s="1" t="s">
        <v>224</v>
      </c>
      <c r="DB440" s="1" t="s">
        <v>224</v>
      </c>
      <c r="DE440" s="1" t="s">
        <v>345</v>
      </c>
      <c r="DF440" s="1" t="s">
        <v>277</v>
      </c>
      <c r="DG440" s="1" t="s">
        <v>342</v>
      </c>
      <c r="DH440" s="1" t="s">
        <v>343</v>
      </c>
      <c r="DJ440" s="1" t="s">
        <v>224</v>
      </c>
      <c r="DS440" s="1" t="s">
        <v>230</v>
      </c>
      <c r="DW440" s="1" t="s">
        <v>230</v>
      </c>
      <c r="EA440" s="1" t="s">
        <v>230</v>
      </c>
      <c r="EE440" s="1" t="s">
        <v>230</v>
      </c>
      <c r="EI440" s="1" t="s">
        <v>230</v>
      </c>
      <c r="EL440" s="1" t="s">
        <v>542</v>
      </c>
      <c r="EM440" s="1" t="s">
        <v>730</v>
      </c>
      <c r="EN440" s="1" t="s">
        <v>282</v>
      </c>
      <c r="EO440" s="1" t="s">
        <v>234</v>
      </c>
      <c r="EP440" s="1" t="s">
        <v>5887</v>
      </c>
      <c r="EQ440" s="1" t="s">
        <v>468</v>
      </c>
      <c r="ER440" s="1" t="s">
        <v>383</v>
      </c>
      <c r="ES440" s="1" t="s">
        <v>322</v>
      </c>
      <c r="EU440" s="1" t="s">
        <v>610</v>
      </c>
      <c r="EV440" s="1" t="s">
        <v>240</v>
      </c>
      <c r="EW440" s="1" t="s">
        <v>5888</v>
      </c>
      <c r="EY440" s="1" t="s">
        <v>4650</v>
      </c>
      <c r="EZ440" s="1" t="s">
        <v>287</v>
      </c>
      <c r="FB440" s="1" t="s">
        <v>289</v>
      </c>
      <c r="FC440" s="1" t="s">
        <v>245</v>
      </c>
      <c r="FD440" s="1" t="s">
        <v>246</v>
      </c>
      <c r="FE440" s="1" t="s">
        <v>472</v>
      </c>
      <c r="FF440" s="1" t="s">
        <v>248</v>
      </c>
      <c r="FH440" s="1" t="s">
        <v>249</v>
      </c>
      <c r="FL440" s="1" t="s">
        <v>358</v>
      </c>
      <c r="FM440" s="1" t="s">
        <v>252</v>
      </c>
      <c r="FN440" s="1" t="s">
        <v>213</v>
      </c>
      <c r="FO440" s="1" t="s">
        <v>213</v>
      </c>
      <c r="FQ440" s="1" t="s">
        <v>5689</v>
      </c>
      <c r="FR440" s="1" t="s">
        <v>210</v>
      </c>
      <c r="FS440" s="1" t="s">
        <v>5889</v>
      </c>
      <c r="FT440" s="1" t="s">
        <v>295</v>
      </c>
      <c r="FU440" s="1" t="s">
        <v>204</v>
      </c>
      <c r="FW440" s="1" t="s">
        <v>1637</v>
      </c>
      <c r="FX440" s="1">
        <v>8059</v>
      </c>
      <c r="FY440" s="1" t="s">
        <v>2034</v>
      </c>
      <c r="FZ440" s="1" t="s">
        <v>5890</v>
      </c>
      <c r="GA440" s="1">
        <v>241296</v>
      </c>
      <c r="GD440" s="1">
        <v>8478526569</v>
      </c>
      <c r="GE440" s="1" t="s">
        <v>210</v>
      </c>
      <c r="GH440" s="1" t="s">
        <v>800</v>
      </c>
      <c r="GI440" s="1" t="s">
        <v>213</v>
      </c>
      <c r="GJ440" s="1" t="s">
        <v>260</v>
      </c>
      <c r="GK440" s="1" t="s">
        <v>210</v>
      </c>
      <c r="GL440" s="2">
        <v>42003</v>
      </c>
      <c r="GM440" s="1" t="s">
        <v>5891</v>
      </c>
    </row>
    <row r="441" spans="1:195">
      <c r="A441" s="1">
        <v>267000</v>
      </c>
      <c r="B441" s="1" t="s">
        <v>195</v>
      </c>
      <c r="C441" s="1" t="str">
        <f>"08797537"</f>
        <v>08797537</v>
      </c>
      <c r="D441" s="1" t="s">
        <v>196</v>
      </c>
      <c r="F441" s="1" t="str">
        <f>"174"</f>
        <v>174</v>
      </c>
      <c r="G441" s="2">
        <v>41978</v>
      </c>
      <c r="H441" s="1">
        <v>310000</v>
      </c>
      <c r="I441" s="1">
        <v>279000</v>
      </c>
      <c r="J441" s="1">
        <v>267000</v>
      </c>
      <c r="K441" s="2">
        <v>41978</v>
      </c>
      <c r="L441" s="1">
        <v>116</v>
      </c>
      <c r="M441" s="2">
        <v>42093</v>
      </c>
      <c r="N441" s="1">
        <v>116</v>
      </c>
      <c r="O441" s="2">
        <v>42093</v>
      </c>
      <c r="P441" s="1">
        <v>22097</v>
      </c>
      <c r="Q441" s="1" t="s">
        <v>197</v>
      </c>
      <c r="R441" s="2">
        <v>42136</v>
      </c>
      <c r="S441" s="1">
        <v>230611</v>
      </c>
      <c r="U441" s="1">
        <v>1809</v>
      </c>
      <c r="V441" s="1" t="s">
        <v>5892</v>
      </c>
      <c r="W441" s="1" t="s">
        <v>449</v>
      </c>
      <c r="Y441" s="1">
        <v>2</v>
      </c>
      <c r="Z441" s="1" t="s">
        <v>370</v>
      </c>
      <c r="AA441" s="1" t="s">
        <v>879</v>
      </c>
      <c r="AB441" s="1">
        <v>60174</v>
      </c>
      <c r="AD441" s="1" t="s">
        <v>5893</v>
      </c>
      <c r="AE441" s="1" t="s">
        <v>5894</v>
      </c>
      <c r="AF441" s="1">
        <v>1995</v>
      </c>
      <c r="AG441" s="1" t="s">
        <v>204</v>
      </c>
      <c r="AH441" s="1" t="s">
        <v>883</v>
      </c>
      <c r="AI441" s="1" t="s">
        <v>665</v>
      </c>
      <c r="AJ441" s="1" t="s">
        <v>883</v>
      </c>
      <c r="AL441" s="1">
        <v>9</v>
      </c>
      <c r="AM441" s="1">
        <v>2</v>
      </c>
      <c r="AN441" s="1">
        <v>3</v>
      </c>
      <c r="AO441" s="1">
        <v>0</v>
      </c>
      <c r="AP441" s="1" t="s">
        <v>209</v>
      </c>
      <c r="AQ441" s="1">
        <v>1</v>
      </c>
      <c r="AR441" s="1" t="s">
        <v>209</v>
      </c>
      <c r="AS441" s="1" t="s">
        <v>213</v>
      </c>
      <c r="AT441" s="1" t="s">
        <v>211</v>
      </c>
      <c r="AU441" s="1">
        <v>2</v>
      </c>
      <c r="AW441" s="1" t="s">
        <v>204</v>
      </c>
      <c r="AX441" s="1" t="s">
        <v>5895</v>
      </c>
      <c r="AZ441" s="1">
        <v>6669.3</v>
      </c>
      <c r="BA441" s="1">
        <v>2013</v>
      </c>
      <c r="BB441" s="1" t="s">
        <v>599</v>
      </c>
      <c r="BE441" s="1">
        <v>1831</v>
      </c>
      <c r="BF441" s="1">
        <v>1</v>
      </c>
      <c r="BG441" s="1">
        <v>0</v>
      </c>
      <c r="BL441" s="1">
        <v>123</v>
      </c>
      <c r="BM441" s="1" t="s">
        <v>204</v>
      </c>
      <c r="BN441" s="1" t="s">
        <v>213</v>
      </c>
      <c r="BO441" s="1">
        <v>999</v>
      </c>
      <c r="BP441" s="1" t="s">
        <v>204</v>
      </c>
      <c r="BR441" s="1" t="str">
        <f>"0926207014"</f>
        <v>0926207014</v>
      </c>
      <c r="BT441" s="1" t="s">
        <v>5896</v>
      </c>
      <c r="BV441" s="1" t="s">
        <v>2118</v>
      </c>
      <c r="BW441" s="1" t="s">
        <v>2119</v>
      </c>
      <c r="BX441" s="1">
        <v>303</v>
      </c>
      <c r="BY441" s="1">
        <v>303</v>
      </c>
      <c r="BZ441" s="1">
        <v>303</v>
      </c>
      <c r="CB441" s="1" t="str">
        <f t="shared" ref="CB441:CC441" si="347">""</f>
        <v/>
      </c>
      <c r="CC441" s="1" t="str">
        <f t="shared" si="347"/>
        <v/>
      </c>
      <c r="CG441" s="1" t="s">
        <v>729</v>
      </c>
      <c r="CH441" s="1" t="s">
        <v>219</v>
      </c>
      <c r="CI441" s="1" t="s">
        <v>220</v>
      </c>
      <c r="CJ441" s="1" t="s">
        <v>909</v>
      </c>
      <c r="CK441" s="1" t="s">
        <v>278</v>
      </c>
      <c r="CL441" s="1" t="s">
        <v>219</v>
      </c>
      <c r="CM441" s="1" t="s">
        <v>220</v>
      </c>
      <c r="CN441" s="1" t="s">
        <v>909</v>
      </c>
      <c r="CO441" s="1" t="s">
        <v>278</v>
      </c>
      <c r="CP441" s="1" t="s">
        <v>219</v>
      </c>
      <c r="CQ441" s="1" t="s">
        <v>220</v>
      </c>
      <c r="CR441" s="1" t="s">
        <v>909</v>
      </c>
      <c r="CS441" s="1" t="s">
        <v>564</v>
      </c>
      <c r="CT441" s="1" t="s">
        <v>219</v>
      </c>
      <c r="CU441" s="1" t="s">
        <v>220</v>
      </c>
      <c r="CV441" s="1" t="s">
        <v>909</v>
      </c>
      <c r="CW441" s="1" t="s">
        <v>5897</v>
      </c>
      <c r="CX441" s="1" t="s">
        <v>43</v>
      </c>
      <c r="CY441" s="1" t="s">
        <v>220</v>
      </c>
      <c r="DB441" s="1" t="s">
        <v>224</v>
      </c>
      <c r="DE441" s="1" t="s">
        <v>5898</v>
      </c>
      <c r="DF441" s="1" t="s">
        <v>219</v>
      </c>
      <c r="DG441" s="1" t="s">
        <v>438</v>
      </c>
      <c r="DH441" s="1" t="s">
        <v>343</v>
      </c>
      <c r="DJ441" s="1" t="s">
        <v>224</v>
      </c>
      <c r="DM441" s="1" t="s">
        <v>1005</v>
      </c>
      <c r="DN441" s="1" t="s">
        <v>934</v>
      </c>
      <c r="DO441" s="1" t="s">
        <v>4083</v>
      </c>
      <c r="DR441" s="1" t="s">
        <v>221</v>
      </c>
      <c r="DS441" s="1" t="s">
        <v>219</v>
      </c>
      <c r="DT441" s="1" t="s">
        <v>220</v>
      </c>
      <c r="DU441" s="1" t="s">
        <v>909</v>
      </c>
      <c r="DV441" s="1" t="s">
        <v>5899</v>
      </c>
      <c r="DW441" s="1" t="s">
        <v>43</v>
      </c>
      <c r="DZ441" s="1" t="s">
        <v>885</v>
      </c>
      <c r="EA441" s="1" t="s">
        <v>43</v>
      </c>
      <c r="EE441" s="1" t="s">
        <v>230</v>
      </c>
      <c r="EI441" s="1" t="s">
        <v>230</v>
      </c>
      <c r="EL441" s="1" t="s">
        <v>670</v>
      </c>
      <c r="EM441" s="1" t="s">
        <v>319</v>
      </c>
      <c r="EN441" s="1" t="s">
        <v>282</v>
      </c>
      <c r="EO441" s="1" t="s">
        <v>234</v>
      </c>
      <c r="EQ441" s="1" t="s">
        <v>236</v>
      </c>
      <c r="ER441" s="1" t="s">
        <v>544</v>
      </c>
      <c r="ES441" s="1" t="s">
        <v>954</v>
      </c>
      <c r="ET441" s="1" t="s">
        <v>1201</v>
      </c>
      <c r="EV441" s="1" t="s">
        <v>240</v>
      </c>
      <c r="EW441" s="1" t="s">
        <v>547</v>
      </c>
      <c r="EY441" s="1" t="s">
        <v>242</v>
      </c>
      <c r="EZ441" s="1" t="s">
        <v>5900</v>
      </c>
      <c r="FA441" s="1" t="s">
        <v>5901</v>
      </c>
      <c r="FD441" s="1" t="s">
        <v>246</v>
      </c>
      <c r="FE441" s="1" t="s">
        <v>355</v>
      </c>
      <c r="FF441" s="1" t="s">
        <v>387</v>
      </c>
      <c r="FH441" s="1" t="s">
        <v>825</v>
      </c>
      <c r="FI441" s="1" t="s">
        <v>473</v>
      </c>
      <c r="FL441" s="1" t="s">
        <v>358</v>
      </c>
      <c r="FM441" s="1" t="s">
        <v>252</v>
      </c>
      <c r="FN441" s="1" t="s">
        <v>213</v>
      </c>
      <c r="FO441" s="1" t="s">
        <v>213</v>
      </c>
      <c r="FQ441" s="1" t="s">
        <v>5902</v>
      </c>
      <c r="FR441" s="1" t="s">
        <v>210</v>
      </c>
      <c r="FS441" s="1" t="s">
        <v>5903</v>
      </c>
      <c r="FT441" s="1" t="s">
        <v>362</v>
      </c>
      <c r="FU441" s="1" t="s">
        <v>204</v>
      </c>
      <c r="FW441" s="1" t="s">
        <v>585</v>
      </c>
      <c r="FX441" s="1">
        <v>49</v>
      </c>
      <c r="FY441" s="1" t="s">
        <v>2408</v>
      </c>
      <c r="FZ441" s="1" t="s">
        <v>5904</v>
      </c>
      <c r="GA441" s="1">
        <v>1602</v>
      </c>
      <c r="GB441" s="1" t="s">
        <v>5905</v>
      </c>
      <c r="GE441" s="1" t="s">
        <v>480</v>
      </c>
      <c r="GI441" s="1" t="s">
        <v>213</v>
      </c>
      <c r="GJ441" s="1" t="s">
        <v>260</v>
      </c>
      <c r="GK441" s="1" t="s">
        <v>210</v>
      </c>
      <c r="GL441" s="2">
        <v>42136</v>
      </c>
      <c r="GM441" s="1" t="s">
        <v>5906</v>
      </c>
    </row>
    <row r="442" spans="1:195">
      <c r="A442" s="1">
        <v>254990</v>
      </c>
      <c r="B442" s="1" t="s">
        <v>195</v>
      </c>
      <c r="C442" s="1" t="str">
        <f>"08791289"</f>
        <v>08791289</v>
      </c>
      <c r="D442" s="1" t="s">
        <v>196</v>
      </c>
      <c r="F442" s="1" t="str">
        <f>"540"</f>
        <v>540</v>
      </c>
      <c r="G442" s="2">
        <v>41965</v>
      </c>
      <c r="H442" s="1">
        <v>264990</v>
      </c>
      <c r="I442" s="1">
        <v>254990</v>
      </c>
      <c r="J442" s="1">
        <v>254990</v>
      </c>
      <c r="K442" s="2">
        <v>41965</v>
      </c>
      <c r="L442" s="1">
        <v>127</v>
      </c>
      <c r="M442" s="2">
        <v>42091</v>
      </c>
      <c r="N442" s="1">
        <v>127</v>
      </c>
      <c r="O442" s="2">
        <v>42091</v>
      </c>
      <c r="P442" s="1">
        <v>25617</v>
      </c>
      <c r="Q442" s="1" t="s">
        <v>197</v>
      </c>
      <c r="R442" s="2">
        <v>42123</v>
      </c>
      <c r="S442" s="1">
        <v>214142</v>
      </c>
      <c r="U442" s="1">
        <v>2659</v>
      </c>
      <c r="V442" s="1" t="s">
        <v>3248</v>
      </c>
      <c r="W442" s="1" t="s">
        <v>449</v>
      </c>
      <c r="X442" s="1">
        <v>4454</v>
      </c>
      <c r="Y442" s="1">
        <v>6</v>
      </c>
      <c r="Z442" s="1" t="s">
        <v>370</v>
      </c>
      <c r="AA442" s="1" t="s">
        <v>921</v>
      </c>
      <c r="AB442" s="1">
        <v>60564</v>
      </c>
      <c r="AD442" s="1" t="s">
        <v>3249</v>
      </c>
      <c r="AE442" s="1" t="s">
        <v>5907</v>
      </c>
      <c r="AF442" s="1">
        <v>2014</v>
      </c>
      <c r="AG442" s="1" t="s">
        <v>204</v>
      </c>
      <c r="AH442" s="1" t="s">
        <v>924</v>
      </c>
      <c r="AI442" s="1" t="s">
        <v>1800</v>
      </c>
      <c r="AJ442" s="1" t="s">
        <v>1801</v>
      </c>
      <c r="AK442" s="1" t="s">
        <v>5908</v>
      </c>
      <c r="AL442" s="1">
        <v>4</v>
      </c>
      <c r="AM442" s="1">
        <v>2</v>
      </c>
      <c r="AN442" s="1">
        <v>2</v>
      </c>
      <c r="AO442" s="1">
        <v>0</v>
      </c>
      <c r="AP442" s="1" t="s">
        <v>209</v>
      </c>
      <c r="AR442" s="1" t="s">
        <v>210</v>
      </c>
      <c r="AS442" s="1" t="s">
        <v>204</v>
      </c>
      <c r="AT442" s="1" t="s">
        <v>211</v>
      </c>
      <c r="AU442" s="1">
        <v>2</v>
      </c>
      <c r="AW442" s="1" t="s">
        <v>204</v>
      </c>
      <c r="AX442" s="1" t="s">
        <v>5909</v>
      </c>
      <c r="AZ442" s="1" t="s">
        <v>751</v>
      </c>
      <c r="BA442" s="1">
        <v>2012</v>
      </c>
      <c r="BE442" s="1">
        <v>1440</v>
      </c>
      <c r="BF442" s="1">
        <v>1</v>
      </c>
      <c r="BG442" s="1">
        <v>0</v>
      </c>
      <c r="BL442" s="1">
        <v>244</v>
      </c>
      <c r="BM442" s="1" t="s">
        <v>204</v>
      </c>
      <c r="BN442" s="1" t="s">
        <v>213</v>
      </c>
      <c r="BO442" s="1">
        <v>999</v>
      </c>
      <c r="BP442" s="1" t="s">
        <v>213</v>
      </c>
      <c r="BQ442" s="2">
        <v>42095</v>
      </c>
      <c r="BR442" s="1" t="str">
        <f>"01054100030000"</f>
        <v>01054100030000</v>
      </c>
      <c r="BT442" s="1" t="s">
        <v>5910</v>
      </c>
      <c r="BX442" s="1">
        <v>204</v>
      </c>
      <c r="BY442" s="1">
        <v>204</v>
      </c>
      <c r="BZ442" s="1">
        <v>204</v>
      </c>
      <c r="CB442" s="1" t="str">
        <f t="shared" ref="CB442:CC442" si="348">""</f>
        <v/>
      </c>
      <c r="CC442" s="1" t="str">
        <f t="shared" si="348"/>
        <v/>
      </c>
      <c r="CH442" s="1" t="s">
        <v>224</v>
      </c>
      <c r="CK442" s="1" t="s">
        <v>2935</v>
      </c>
      <c r="CL442" s="1" t="s">
        <v>219</v>
      </c>
      <c r="CP442" s="1" t="s">
        <v>224</v>
      </c>
      <c r="CS442" s="1" t="s">
        <v>1469</v>
      </c>
      <c r="CT442" s="1" t="s">
        <v>219</v>
      </c>
      <c r="CX442" s="1" t="s">
        <v>224</v>
      </c>
      <c r="DB442" s="1" t="s">
        <v>224</v>
      </c>
      <c r="DE442" s="1" t="s">
        <v>3057</v>
      </c>
      <c r="DF442" s="1" t="s">
        <v>219</v>
      </c>
      <c r="DJ442" s="1" t="s">
        <v>224</v>
      </c>
      <c r="DM442" s="1" t="s">
        <v>1676</v>
      </c>
      <c r="DR442" s="1" t="s">
        <v>5911</v>
      </c>
      <c r="DS442" s="1" t="s">
        <v>219</v>
      </c>
      <c r="DW442" s="1" t="s">
        <v>230</v>
      </c>
      <c r="EA442" s="1" t="s">
        <v>230</v>
      </c>
      <c r="EE442" s="1" t="s">
        <v>230</v>
      </c>
      <c r="EI442" s="1" t="s">
        <v>230</v>
      </c>
      <c r="EL442" s="1" t="s">
        <v>760</v>
      </c>
      <c r="EM442" s="1" t="s">
        <v>730</v>
      </c>
      <c r="EN442" s="1" t="s">
        <v>282</v>
      </c>
      <c r="EO442" s="1" t="s">
        <v>840</v>
      </c>
      <c r="EP442" s="1" t="s">
        <v>5912</v>
      </c>
      <c r="ER442" s="1" t="s">
        <v>210</v>
      </c>
      <c r="EW442" s="1" t="s">
        <v>5913</v>
      </c>
      <c r="EZ442" s="1" t="s">
        <v>1676</v>
      </c>
      <c r="FD442" s="1" t="s">
        <v>246</v>
      </c>
      <c r="FE442" s="1" t="s">
        <v>975</v>
      </c>
      <c r="FF442" s="1" t="s">
        <v>248</v>
      </c>
      <c r="FH442" s="1" t="s">
        <v>825</v>
      </c>
      <c r="FL442" s="1" t="s">
        <v>358</v>
      </c>
      <c r="FM442" s="1" t="s">
        <v>252</v>
      </c>
      <c r="FN442" s="1" t="s">
        <v>213</v>
      </c>
      <c r="FO442" s="1" t="s">
        <v>204</v>
      </c>
      <c r="FQ442" s="1" t="s">
        <v>582</v>
      </c>
      <c r="FR442" s="1" t="s">
        <v>210</v>
      </c>
      <c r="FS442" s="1" t="s">
        <v>5914</v>
      </c>
      <c r="FT442" s="1" t="s">
        <v>771</v>
      </c>
      <c r="FU442" s="1" t="s">
        <v>204</v>
      </c>
      <c r="FW442" s="1" t="s">
        <v>772</v>
      </c>
      <c r="FX442" s="1">
        <v>92038</v>
      </c>
      <c r="FY442" s="1" t="s">
        <v>773</v>
      </c>
      <c r="FZ442" s="1" t="s">
        <v>774</v>
      </c>
      <c r="GA442" s="1">
        <v>21137</v>
      </c>
      <c r="GB442" s="1" t="s">
        <v>775</v>
      </c>
      <c r="GE442" s="1" t="s">
        <v>623</v>
      </c>
      <c r="GI442" s="1" t="s">
        <v>204</v>
      </c>
      <c r="GJ442" s="1" t="s">
        <v>260</v>
      </c>
      <c r="GK442" s="1" t="s">
        <v>210</v>
      </c>
      <c r="GL442" s="2">
        <v>42126</v>
      </c>
      <c r="GM442" s="1" t="s">
        <v>5915</v>
      </c>
    </row>
    <row r="443" spans="1:195">
      <c r="A443" s="1">
        <v>19000</v>
      </c>
      <c r="B443" s="1" t="s">
        <v>195</v>
      </c>
      <c r="C443" s="1" t="str">
        <f>"08797983"</f>
        <v>08797983</v>
      </c>
      <c r="D443" s="1" t="s">
        <v>196</v>
      </c>
      <c r="F443" s="1" t="str">
        <f>"8042"</f>
        <v>8042</v>
      </c>
      <c r="G443" s="2">
        <v>41979</v>
      </c>
      <c r="H443" s="1">
        <v>30000</v>
      </c>
      <c r="I443" s="1">
        <v>19900</v>
      </c>
      <c r="J443" s="1">
        <v>19000</v>
      </c>
      <c r="K443" s="2">
        <v>41979</v>
      </c>
      <c r="L443" s="1">
        <v>96</v>
      </c>
      <c r="M443" s="2">
        <v>42074</v>
      </c>
      <c r="N443" s="1">
        <v>96</v>
      </c>
      <c r="O443" s="2">
        <v>42074</v>
      </c>
      <c r="P443" s="1">
        <v>86072</v>
      </c>
      <c r="Q443" s="1" t="s">
        <v>302</v>
      </c>
      <c r="R443" s="2">
        <v>42121</v>
      </c>
      <c r="S443" s="1">
        <v>141533</v>
      </c>
      <c r="U443" s="1">
        <v>1446</v>
      </c>
      <c r="V443" s="1" t="s">
        <v>5916</v>
      </c>
      <c r="W443" s="1" t="s">
        <v>1056</v>
      </c>
      <c r="X443" s="1" t="s">
        <v>5917</v>
      </c>
      <c r="Y443" s="1">
        <v>6</v>
      </c>
      <c r="Z443" s="1" t="s">
        <v>249</v>
      </c>
      <c r="AA443" s="1" t="s">
        <v>400</v>
      </c>
      <c r="AB443" s="1">
        <v>60637</v>
      </c>
      <c r="AD443" s="1" t="s">
        <v>5918</v>
      </c>
      <c r="AE443" s="1" t="s">
        <v>5919</v>
      </c>
      <c r="AF443" s="1" t="s">
        <v>402</v>
      </c>
      <c r="AG443" s="1" t="s">
        <v>213</v>
      </c>
      <c r="AH443" s="1" t="s">
        <v>403</v>
      </c>
      <c r="AI443" s="1" t="s">
        <v>310</v>
      </c>
      <c r="AJ443" s="1" t="s">
        <v>562</v>
      </c>
      <c r="AL443" s="1">
        <v>5</v>
      </c>
      <c r="AM443" s="1">
        <v>2</v>
      </c>
      <c r="AN443" s="1">
        <v>2</v>
      </c>
      <c r="AO443" s="1">
        <v>0</v>
      </c>
      <c r="AP443" s="1" t="s">
        <v>667</v>
      </c>
      <c r="AQ443" s="1">
        <v>0</v>
      </c>
      <c r="AR443" s="1" t="s">
        <v>210</v>
      </c>
      <c r="AT443" s="1" t="s">
        <v>210</v>
      </c>
      <c r="AW443" s="1" t="s">
        <v>204</v>
      </c>
      <c r="AX443" s="1" t="s">
        <v>212</v>
      </c>
      <c r="AZ443" s="1">
        <v>1548.2</v>
      </c>
      <c r="BA443" s="1">
        <v>2013</v>
      </c>
      <c r="BB443" s="1" t="s">
        <v>210</v>
      </c>
      <c r="BC443" s="1">
        <v>0</v>
      </c>
      <c r="BD443" s="1">
        <v>2013</v>
      </c>
      <c r="BE443" s="1">
        <v>0</v>
      </c>
      <c r="BF443" s="1">
        <v>1</v>
      </c>
      <c r="BG443" s="1">
        <v>0</v>
      </c>
      <c r="BL443" s="1">
        <v>185</v>
      </c>
      <c r="BM443" s="1" t="s">
        <v>204</v>
      </c>
      <c r="BN443" s="1" t="s">
        <v>204</v>
      </c>
      <c r="BP443" s="1" t="s">
        <v>204</v>
      </c>
      <c r="BR443" s="1" t="str">
        <f>"20232200341001"</f>
        <v>20232200341001</v>
      </c>
      <c r="BT443" s="1" t="s">
        <v>5920</v>
      </c>
      <c r="BX443" s="1">
        <v>299</v>
      </c>
      <c r="BY443" s="1">
        <v>299</v>
      </c>
      <c r="BZ443" s="1">
        <v>299</v>
      </c>
      <c r="CB443" s="1" t="str">
        <f>"0"</f>
        <v>0</v>
      </c>
      <c r="CC443" s="1" t="str">
        <f>"1446"</f>
        <v>1446</v>
      </c>
      <c r="CD443" s="1">
        <v>0</v>
      </c>
      <c r="CE443" s="1">
        <v>6600</v>
      </c>
      <c r="CG443" s="1" t="s">
        <v>3716</v>
      </c>
      <c r="CH443" s="1" t="s">
        <v>219</v>
      </c>
      <c r="CK443" s="1" t="s">
        <v>1107</v>
      </c>
      <c r="CL443" s="1" t="s">
        <v>219</v>
      </c>
      <c r="CO443" s="1" t="s">
        <v>408</v>
      </c>
      <c r="CP443" s="1" t="s">
        <v>219</v>
      </c>
      <c r="CS443" s="1" t="s">
        <v>1107</v>
      </c>
      <c r="CT443" s="1" t="s">
        <v>219</v>
      </c>
      <c r="CX443" s="1" t="s">
        <v>224</v>
      </c>
      <c r="DB443" s="1" t="s">
        <v>224</v>
      </c>
      <c r="DE443" s="1" t="s">
        <v>786</v>
      </c>
      <c r="DF443" s="1" t="s">
        <v>219</v>
      </c>
      <c r="DJ443" s="1" t="s">
        <v>224</v>
      </c>
      <c r="DS443" s="1" t="s">
        <v>230</v>
      </c>
      <c r="DW443" s="1" t="s">
        <v>230</v>
      </c>
      <c r="EA443" s="1" t="s">
        <v>230</v>
      </c>
      <c r="EE443" s="1" t="s">
        <v>230</v>
      </c>
      <c r="EI443" s="1" t="s">
        <v>230</v>
      </c>
      <c r="EL443" s="1" t="s">
        <v>413</v>
      </c>
      <c r="EM443" s="1" t="s">
        <v>232</v>
      </c>
      <c r="EN443" s="1" t="s">
        <v>282</v>
      </c>
      <c r="EO443" s="1" t="s">
        <v>5573</v>
      </c>
      <c r="ER443" s="1" t="s">
        <v>210</v>
      </c>
      <c r="EV443" s="1" t="s">
        <v>324</v>
      </c>
      <c r="EW443" s="1" t="s">
        <v>142</v>
      </c>
      <c r="EZ443" s="1" t="s">
        <v>287</v>
      </c>
      <c r="FD443" s="1" t="s">
        <v>1112</v>
      </c>
      <c r="FE443" s="1" t="s">
        <v>3205</v>
      </c>
      <c r="FF443" s="1" t="s">
        <v>248</v>
      </c>
      <c r="FH443" s="1" t="s">
        <v>249</v>
      </c>
      <c r="FL443" s="1" t="s">
        <v>358</v>
      </c>
      <c r="FM443" s="1" t="s">
        <v>769</v>
      </c>
      <c r="FN443" s="1" t="s">
        <v>213</v>
      </c>
      <c r="FO443" s="1" t="s">
        <v>213</v>
      </c>
      <c r="FQ443" s="1" t="s">
        <v>5921</v>
      </c>
      <c r="FR443" s="1" t="s">
        <v>210</v>
      </c>
      <c r="FS443" s="1" t="s">
        <v>5922</v>
      </c>
      <c r="FT443" s="1" t="s">
        <v>295</v>
      </c>
      <c r="FU443" s="1" t="s">
        <v>204</v>
      </c>
      <c r="FW443" s="1" t="s">
        <v>1702</v>
      </c>
      <c r="FX443" s="1">
        <v>17299</v>
      </c>
      <c r="FY443" s="1" t="s">
        <v>1703</v>
      </c>
      <c r="FZ443" s="1" t="s">
        <v>5923</v>
      </c>
      <c r="GA443" s="1">
        <v>169763</v>
      </c>
      <c r="GB443" s="1" t="s">
        <v>5924</v>
      </c>
      <c r="GE443" s="1" t="s">
        <v>210</v>
      </c>
      <c r="GH443" s="1" t="s">
        <v>800</v>
      </c>
      <c r="GI443" s="1" t="s">
        <v>213</v>
      </c>
      <c r="GJ443" s="1" t="s">
        <v>260</v>
      </c>
      <c r="GK443" s="1" t="s">
        <v>210</v>
      </c>
      <c r="GL443" s="2">
        <v>42122</v>
      </c>
      <c r="GM443" s="1" t="s">
        <v>5925</v>
      </c>
    </row>
    <row r="444" spans="1:195">
      <c r="A444" s="1">
        <v>142000</v>
      </c>
      <c r="B444" s="1" t="s">
        <v>195</v>
      </c>
      <c r="C444" s="1" t="str">
        <f>"08793736"</f>
        <v>08793736</v>
      </c>
      <c r="D444" s="1" t="s">
        <v>196</v>
      </c>
      <c r="F444" s="1" t="str">
        <f>"543"</f>
        <v>543</v>
      </c>
      <c r="G444" s="2">
        <v>41971</v>
      </c>
      <c r="H444" s="1">
        <v>149900</v>
      </c>
      <c r="I444" s="1">
        <v>149900</v>
      </c>
      <c r="J444" s="1">
        <v>142000</v>
      </c>
      <c r="K444" s="2">
        <v>41971</v>
      </c>
      <c r="L444" s="1">
        <v>116</v>
      </c>
      <c r="M444" s="2">
        <v>42086</v>
      </c>
      <c r="N444" s="1">
        <v>116</v>
      </c>
      <c r="O444" s="2">
        <v>42086</v>
      </c>
      <c r="P444" s="1">
        <v>25103</v>
      </c>
      <c r="Q444" s="1" t="s">
        <v>1393</v>
      </c>
      <c r="R444" s="2">
        <v>42124</v>
      </c>
      <c r="S444" s="1">
        <v>607520</v>
      </c>
      <c r="T444" s="1">
        <v>2000</v>
      </c>
      <c r="U444" s="1">
        <v>312</v>
      </c>
      <c r="V444" s="1" t="s">
        <v>5926</v>
      </c>
      <c r="W444" s="1" t="s">
        <v>504</v>
      </c>
      <c r="X444" s="1">
        <v>312</v>
      </c>
      <c r="Y444" s="1">
        <v>4</v>
      </c>
      <c r="Z444" s="1" t="s">
        <v>370</v>
      </c>
      <c r="AA444" s="1" t="s">
        <v>2639</v>
      </c>
      <c r="AB444" s="1">
        <v>60543</v>
      </c>
      <c r="AD444" s="1" t="s">
        <v>5927</v>
      </c>
      <c r="AE444" s="1" t="s">
        <v>5928</v>
      </c>
      <c r="AF444" s="1">
        <v>1997</v>
      </c>
      <c r="AG444" s="1" t="s">
        <v>204</v>
      </c>
      <c r="AH444" s="1" t="s">
        <v>1397</v>
      </c>
      <c r="AI444" s="1" t="s">
        <v>453</v>
      </c>
      <c r="AJ444" s="1" t="s">
        <v>1397</v>
      </c>
      <c r="AK444" s="1" t="s">
        <v>5929</v>
      </c>
      <c r="AL444" s="1">
        <v>5</v>
      </c>
      <c r="AM444" s="1">
        <v>2</v>
      </c>
      <c r="AN444" s="1">
        <v>2</v>
      </c>
      <c r="AO444" s="1">
        <v>0</v>
      </c>
      <c r="AP444" s="1" t="s">
        <v>209</v>
      </c>
      <c r="AR444" s="1" t="s">
        <v>210</v>
      </c>
      <c r="AS444" s="1" t="s">
        <v>204</v>
      </c>
      <c r="AT444" s="1" t="s">
        <v>211</v>
      </c>
      <c r="AU444" s="1">
        <v>2</v>
      </c>
      <c r="AW444" s="1" t="s">
        <v>204</v>
      </c>
      <c r="AX444" s="1" t="s">
        <v>212</v>
      </c>
      <c r="AZ444" s="1">
        <v>3617</v>
      </c>
      <c r="BA444" s="1">
        <v>2012</v>
      </c>
      <c r="BB444" s="1" t="s">
        <v>599</v>
      </c>
      <c r="BE444" s="1">
        <v>1549</v>
      </c>
      <c r="BF444" s="1">
        <v>1</v>
      </c>
      <c r="BG444" s="1">
        <v>0</v>
      </c>
      <c r="BJ444" s="1">
        <v>100</v>
      </c>
      <c r="BL444" s="1">
        <v>190</v>
      </c>
      <c r="BM444" s="1" t="s">
        <v>413</v>
      </c>
      <c r="BN444" s="1" t="s">
        <v>213</v>
      </c>
      <c r="BO444" s="1" t="s">
        <v>230</v>
      </c>
      <c r="BP444" s="1" t="s">
        <v>204</v>
      </c>
      <c r="BR444" s="1" t="str">
        <f>"0309434020"</f>
        <v>0309434020</v>
      </c>
      <c r="BT444" s="1" t="s">
        <v>5930</v>
      </c>
      <c r="BX444" s="1">
        <v>308</v>
      </c>
      <c r="BY444" s="1">
        <v>308</v>
      </c>
      <c r="BZ444" s="1">
        <v>308</v>
      </c>
      <c r="CB444" s="1" t="str">
        <f t="shared" ref="CB444:CC444" si="349">""</f>
        <v/>
      </c>
      <c r="CC444" s="1" t="str">
        <f t="shared" si="349"/>
        <v/>
      </c>
      <c r="CG444" s="1" t="s">
        <v>5931</v>
      </c>
      <c r="CH444" s="1" t="s">
        <v>219</v>
      </c>
      <c r="CI444" s="1" t="s">
        <v>229</v>
      </c>
      <c r="CJ444" s="1" t="s">
        <v>252</v>
      </c>
      <c r="CK444" s="1" t="s">
        <v>280</v>
      </c>
      <c r="CL444" s="1" t="s">
        <v>219</v>
      </c>
      <c r="CM444" s="1" t="s">
        <v>229</v>
      </c>
      <c r="CN444" s="1" t="s">
        <v>252</v>
      </c>
      <c r="CO444" s="1" t="s">
        <v>1854</v>
      </c>
      <c r="CP444" s="1" t="s">
        <v>219</v>
      </c>
      <c r="CQ444" s="1" t="s">
        <v>229</v>
      </c>
      <c r="CR444" s="1" t="s">
        <v>252</v>
      </c>
      <c r="CS444" s="1" t="s">
        <v>2170</v>
      </c>
      <c r="CT444" s="1" t="s">
        <v>219</v>
      </c>
      <c r="CU444" s="1" t="s">
        <v>229</v>
      </c>
      <c r="CV444" s="1" t="s">
        <v>343</v>
      </c>
      <c r="CX444" s="1" t="s">
        <v>224</v>
      </c>
      <c r="DB444" s="1" t="s">
        <v>224</v>
      </c>
      <c r="DE444" s="1" t="s">
        <v>490</v>
      </c>
      <c r="DF444" s="1" t="s">
        <v>219</v>
      </c>
      <c r="DG444" s="1" t="s">
        <v>226</v>
      </c>
      <c r="DH444" s="1" t="s">
        <v>210</v>
      </c>
      <c r="DJ444" s="1" t="s">
        <v>224</v>
      </c>
      <c r="DM444" s="1" t="s">
        <v>709</v>
      </c>
      <c r="DN444" s="1" t="s">
        <v>1771</v>
      </c>
      <c r="DR444" s="1" t="s">
        <v>5643</v>
      </c>
      <c r="DS444" s="1" t="s">
        <v>219</v>
      </c>
      <c r="DT444" s="1" t="s">
        <v>226</v>
      </c>
      <c r="DV444" s="1" t="s">
        <v>516</v>
      </c>
      <c r="DW444" s="1" t="s">
        <v>219</v>
      </c>
      <c r="DX444" s="1" t="s">
        <v>229</v>
      </c>
      <c r="EA444" s="1" t="s">
        <v>230</v>
      </c>
      <c r="EE444" s="1" t="s">
        <v>230</v>
      </c>
      <c r="EI444" s="1" t="s">
        <v>230</v>
      </c>
      <c r="EL444" s="1" t="s">
        <v>670</v>
      </c>
      <c r="EM444" s="1" t="s">
        <v>319</v>
      </c>
      <c r="EN444" s="1" t="s">
        <v>282</v>
      </c>
      <c r="EO444" s="1" t="s">
        <v>234</v>
      </c>
      <c r="EP444" s="1" t="s">
        <v>650</v>
      </c>
      <c r="EQ444" s="1" t="s">
        <v>492</v>
      </c>
      <c r="ER444" s="1" t="s">
        <v>383</v>
      </c>
      <c r="ES444" s="1" t="s">
        <v>824</v>
      </c>
      <c r="ET444" s="1" t="s">
        <v>1201</v>
      </c>
      <c r="EU444" s="1" t="s">
        <v>610</v>
      </c>
      <c r="EV444" s="1" t="s">
        <v>324</v>
      </c>
      <c r="EW444" s="1" t="s">
        <v>353</v>
      </c>
      <c r="EY444" s="1" t="s">
        <v>790</v>
      </c>
      <c r="EZ444" s="1" t="s">
        <v>2948</v>
      </c>
      <c r="FA444" s="1" t="s">
        <v>471</v>
      </c>
      <c r="FB444" s="1" t="s">
        <v>289</v>
      </c>
      <c r="FC444" s="1" t="s">
        <v>326</v>
      </c>
      <c r="FD444" s="1" t="s">
        <v>246</v>
      </c>
      <c r="FE444" s="1" t="s">
        <v>472</v>
      </c>
      <c r="FF444" s="1" t="s">
        <v>387</v>
      </c>
      <c r="FH444" s="1" t="s">
        <v>825</v>
      </c>
      <c r="FI444" s="1" t="s">
        <v>473</v>
      </c>
      <c r="FL444" s="1" t="s">
        <v>358</v>
      </c>
      <c r="FM444" s="1" t="s">
        <v>252</v>
      </c>
      <c r="FN444" s="1" t="s">
        <v>213</v>
      </c>
      <c r="FO444" s="1" t="s">
        <v>213</v>
      </c>
      <c r="FQ444" s="1" t="s">
        <v>5932</v>
      </c>
      <c r="FR444" s="1" t="s">
        <v>210</v>
      </c>
      <c r="FS444" s="1" t="s">
        <v>5933</v>
      </c>
      <c r="FT444" s="1" t="s">
        <v>255</v>
      </c>
      <c r="FU444" s="1" t="s">
        <v>204</v>
      </c>
      <c r="FW444" s="1" t="s">
        <v>813</v>
      </c>
      <c r="FX444" s="1">
        <v>74601</v>
      </c>
      <c r="FY444" s="1" t="s">
        <v>5934</v>
      </c>
      <c r="FZ444" s="1" t="s">
        <v>5935</v>
      </c>
      <c r="GA444" s="1">
        <v>700167</v>
      </c>
      <c r="GB444" s="1" t="s">
        <v>5936</v>
      </c>
      <c r="GE444" s="1" t="s">
        <v>480</v>
      </c>
      <c r="GI444" s="1" t="s">
        <v>213</v>
      </c>
      <c r="GJ444" s="1" t="s">
        <v>260</v>
      </c>
      <c r="GK444" s="1" t="s">
        <v>210</v>
      </c>
      <c r="GL444" s="2">
        <v>42125</v>
      </c>
      <c r="GM444" s="1" t="s">
        <v>5937</v>
      </c>
    </row>
    <row r="445" spans="1:195">
      <c r="A445" s="1">
        <v>142500</v>
      </c>
      <c r="B445" s="1" t="s">
        <v>195</v>
      </c>
      <c r="C445" s="1" t="str">
        <f>"08794903"</f>
        <v>08794903</v>
      </c>
      <c r="D445" s="1" t="s">
        <v>196</v>
      </c>
      <c r="F445" s="1" t="str">
        <f>"190"</f>
        <v>190</v>
      </c>
      <c r="G445" s="2">
        <v>41974</v>
      </c>
      <c r="H445" s="1">
        <v>149900</v>
      </c>
      <c r="I445" s="1">
        <v>149900</v>
      </c>
      <c r="J445" s="1">
        <v>142500</v>
      </c>
      <c r="K445" s="2">
        <v>41974</v>
      </c>
      <c r="L445" s="1">
        <v>33</v>
      </c>
      <c r="M445" s="2">
        <v>42006</v>
      </c>
      <c r="N445" s="1">
        <v>33</v>
      </c>
      <c r="O445" s="2">
        <v>42006</v>
      </c>
      <c r="P445" s="1">
        <v>25645</v>
      </c>
      <c r="Q445" s="1" t="s">
        <v>197</v>
      </c>
      <c r="R445" s="2">
        <v>42055</v>
      </c>
      <c r="S445" s="1">
        <v>83637</v>
      </c>
      <c r="U445" s="1" t="s">
        <v>5938</v>
      </c>
      <c r="V445" s="1" t="s">
        <v>5939</v>
      </c>
      <c r="W445" s="1" t="s">
        <v>304</v>
      </c>
      <c r="X445" s="1">
        <v>502</v>
      </c>
      <c r="Y445" s="1">
        <v>4</v>
      </c>
      <c r="Z445" s="1" t="s">
        <v>249</v>
      </c>
      <c r="AA445" s="1" t="s">
        <v>1915</v>
      </c>
      <c r="AB445" s="1">
        <v>60190</v>
      </c>
      <c r="AD445" s="1" t="s">
        <v>1916</v>
      </c>
      <c r="AE445" s="1" t="s">
        <v>5940</v>
      </c>
      <c r="AF445" s="1">
        <v>1979</v>
      </c>
      <c r="AG445" s="1" t="s">
        <v>204</v>
      </c>
      <c r="AH445" s="1" t="s">
        <v>987</v>
      </c>
      <c r="AI445" s="1" t="s">
        <v>206</v>
      </c>
      <c r="AJ445" s="1" t="s">
        <v>987</v>
      </c>
      <c r="AL445" s="1">
        <v>5</v>
      </c>
      <c r="AM445" s="1">
        <v>2</v>
      </c>
      <c r="AN445" s="1">
        <v>2</v>
      </c>
      <c r="AO445" s="1">
        <v>0</v>
      </c>
      <c r="AP445" s="1" t="s">
        <v>209</v>
      </c>
      <c r="AQ445" s="1">
        <v>1</v>
      </c>
      <c r="AR445" s="1" t="s">
        <v>210</v>
      </c>
      <c r="AS445" s="1" t="s">
        <v>204</v>
      </c>
      <c r="AT445" s="1" t="s">
        <v>211</v>
      </c>
      <c r="AU445" s="1">
        <v>1</v>
      </c>
      <c r="AW445" s="1" t="s">
        <v>213</v>
      </c>
      <c r="AX445" s="1" t="s">
        <v>212</v>
      </c>
      <c r="AZ445" s="1">
        <v>3194</v>
      </c>
      <c r="BA445" s="1">
        <v>2013</v>
      </c>
      <c r="BB445" s="1" t="s">
        <v>405</v>
      </c>
      <c r="BE445" s="1">
        <v>1152</v>
      </c>
      <c r="BF445" s="1">
        <v>1</v>
      </c>
      <c r="BG445" s="1">
        <v>0</v>
      </c>
      <c r="BL445" s="1">
        <v>214</v>
      </c>
      <c r="BM445" s="1" t="s">
        <v>204</v>
      </c>
      <c r="BN445" s="1" t="s">
        <v>213</v>
      </c>
      <c r="BO445" s="1">
        <v>30</v>
      </c>
      <c r="BP445" s="1" t="s">
        <v>204</v>
      </c>
      <c r="BR445" s="1" t="str">
        <f>"0412307034"</f>
        <v>0412307034</v>
      </c>
      <c r="BT445" s="1" t="s">
        <v>5941</v>
      </c>
      <c r="BU445" s="1" t="s">
        <v>3162</v>
      </c>
      <c r="BV445" s="1" t="s">
        <v>3163</v>
      </c>
      <c r="BW445" s="1" t="s">
        <v>1675</v>
      </c>
      <c r="BX445" s="1">
        <v>34</v>
      </c>
      <c r="BY445" s="1">
        <v>34</v>
      </c>
      <c r="BZ445" s="1">
        <v>94</v>
      </c>
      <c r="CB445" s="1" t="str">
        <f t="shared" ref="CB445:CC445" si="350">"0"</f>
        <v>0</v>
      </c>
      <c r="CC445" s="1" t="str">
        <f t="shared" si="350"/>
        <v>0</v>
      </c>
      <c r="CD445" s="1">
        <v>27</v>
      </c>
      <c r="CE445" s="1">
        <v>0</v>
      </c>
      <c r="CG445" s="1" t="s">
        <v>931</v>
      </c>
      <c r="CH445" s="1" t="s">
        <v>219</v>
      </c>
      <c r="CI445" s="1" t="s">
        <v>229</v>
      </c>
      <c r="CK445" s="1" t="s">
        <v>280</v>
      </c>
      <c r="CL445" s="1" t="s">
        <v>219</v>
      </c>
      <c r="CM445" s="1" t="s">
        <v>220</v>
      </c>
      <c r="CO445" s="1" t="s">
        <v>1470</v>
      </c>
      <c r="CP445" s="1" t="s">
        <v>219</v>
      </c>
      <c r="CQ445" s="1" t="s">
        <v>229</v>
      </c>
      <c r="CS445" s="1" t="s">
        <v>1469</v>
      </c>
      <c r="CT445" s="1" t="s">
        <v>219</v>
      </c>
      <c r="CU445" s="1" t="s">
        <v>220</v>
      </c>
      <c r="CX445" s="1" t="s">
        <v>224</v>
      </c>
      <c r="DB445" s="1" t="s">
        <v>224</v>
      </c>
      <c r="DE445" s="1" t="s">
        <v>346</v>
      </c>
      <c r="DF445" s="1" t="s">
        <v>219</v>
      </c>
      <c r="DG445" s="1" t="s">
        <v>347</v>
      </c>
      <c r="DJ445" s="1" t="s">
        <v>224</v>
      </c>
      <c r="DM445" s="1" t="s">
        <v>709</v>
      </c>
      <c r="DR445" s="1" t="s">
        <v>412</v>
      </c>
      <c r="DS445" s="1" t="s">
        <v>219</v>
      </c>
      <c r="DT445" s="1" t="s">
        <v>229</v>
      </c>
      <c r="DW445" s="1" t="s">
        <v>230</v>
      </c>
      <c r="EA445" s="1" t="s">
        <v>230</v>
      </c>
      <c r="EE445" s="1" t="s">
        <v>230</v>
      </c>
      <c r="EI445" s="1" t="s">
        <v>230</v>
      </c>
      <c r="EL445" s="1" t="s">
        <v>231</v>
      </c>
      <c r="EM445" s="1" t="s">
        <v>232</v>
      </c>
      <c r="EN445" s="1" t="s">
        <v>282</v>
      </c>
      <c r="EO445" s="1" t="s">
        <v>234</v>
      </c>
      <c r="EP445" s="1" t="s">
        <v>5942</v>
      </c>
      <c r="EQ445" s="1" t="s">
        <v>236</v>
      </c>
      <c r="ER445" s="1" t="s">
        <v>210</v>
      </c>
      <c r="ES445" s="1" t="s">
        <v>3218</v>
      </c>
      <c r="EU445" s="1" t="s">
        <v>5943</v>
      </c>
      <c r="EV445" s="1" t="s">
        <v>324</v>
      </c>
      <c r="EW445" s="1" t="s">
        <v>4410</v>
      </c>
      <c r="EZ445" s="1" t="s">
        <v>709</v>
      </c>
      <c r="FA445" s="1" t="s">
        <v>3573</v>
      </c>
      <c r="FB445" s="1" t="s">
        <v>289</v>
      </c>
      <c r="FC445" s="1" t="s">
        <v>548</v>
      </c>
      <c r="FD445" s="1" t="s">
        <v>246</v>
      </c>
      <c r="FE445" s="1" t="s">
        <v>975</v>
      </c>
      <c r="FF445" s="1" t="s">
        <v>248</v>
      </c>
      <c r="FH445" s="1" t="s">
        <v>1387</v>
      </c>
      <c r="FI445" s="1" t="s">
        <v>3300</v>
      </c>
      <c r="FJ445" s="1" t="s">
        <v>1472</v>
      </c>
      <c r="FL445" s="1" t="s">
        <v>358</v>
      </c>
      <c r="FM445" s="1" t="s">
        <v>252</v>
      </c>
      <c r="FN445" s="1" t="s">
        <v>213</v>
      </c>
      <c r="FO445" s="1" t="s">
        <v>213</v>
      </c>
      <c r="FQ445" s="1" t="s">
        <v>793</v>
      </c>
      <c r="FR445" s="1" t="s">
        <v>652</v>
      </c>
      <c r="FS445" s="1" t="s">
        <v>5944</v>
      </c>
      <c r="FT445" s="1" t="s">
        <v>362</v>
      </c>
      <c r="FU445" s="1" t="s">
        <v>204</v>
      </c>
      <c r="FW445" s="1" t="s">
        <v>915</v>
      </c>
      <c r="FX445" s="1">
        <v>25088</v>
      </c>
      <c r="FY445" s="1" t="s">
        <v>1761</v>
      </c>
      <c r="FZ445" s="1" t="s">
        <v>5945</v>
      </c>
      <c r="GA445" s="1">
        <v>255038</v>
      </c>
      <c r="GB445" s="1" t="s">
        <v>5946</v>
      </c>
      <c r="GE445" s="1" t="s">
        <v>5947</v>
      </c>
      <c r="GI445" s="1" t="s">
        <v>213</v>
      </c>
      <c r="GJ445" s="1" t="s">
        <v>260</v>
      </c>
      <c r="GK445" s="1" t="s">
        <v>210</v>
      </c>
      <c r="GL445" s="2">
        <v>42055</v>
      </c>
      <c r="GM445" s="1" t="s">
        <v>5948</v>
      </c>
    </row>
    <row r="446" spans="1:195">
      <c r="A446" s="1">
        <v>184900</v>
      </c>
      <c r="B446" s="1" t="s">
        <v>195</v>
      </c>
      <c r="C446" s="1" t="str">
        <f>"08792329"</f>
        <v>08792329</v>
      </c>
      <c r="D446" s="1" t="s">
        <v>196</v>
      </c>
      <c r="F446" s="1" t="str">
        <f>"540"</f>
        <v>540</v>
      </c>
      <c r="G446" s="2">
        <v>41968</v>
      </c>
      <c r="H446" s="1">
        <v>184900</v>
      </c>
      <c r="I446" s="1">
        <v>184900</v>
      </c>
      <c r="J446" s="1">
        <v>184900</v>
      </c>
      <c r="K446" s="2">
        <v>41968</v>
      </c>
      <c r="L446" s="1">
        <v>13</v>
      </c>
      <c r="M446" s="2">
        <v>41980</v>
      </c>
      <c r="N446" s="1">
        <v>13</v>
      </c>
      <c r="O446" s="2">
        <v>41980</v>
      </c>
      <c r="P446" s="1">
        <v>85696</v>
      </c>
      <c r="Q446" s="1" t="s">
        <v>197</v>
      </c>
      <c r="R446" s="2">
        <v>42033</v>
      </c>
      <c r="S446" s="1">
        <v>875733</v>
      </c>
      <c r="U446" s="1">
        <v>916</v>
      </c>
      <c r="V446" s="1" t="s">
        <v>5949</v>
      </c>
      <c r="W446" s="1" t="s">
        <v>264</v>
      </c>
      <c r="Y446" s="1">
        <v>6</v>
      </c>
      <c r="Z446" s="1" t="s">
        <v>370</v>
      </c>
      <c r="AA446" s="1" t="s">
        <v>921</v>
      </c>
      <c r="AB446" s="1">
        <v>60563</v>
      </c>
      <c r="AD446" s="1" t="s">
        <v>5950</v>
      </c>
      <c r="AE446" s="1" t="s">
        <v>5951</v>
      </c>
      <c r="AF446" s="1">
        <v>2001</v>
      </c>
      <c r="AG446" s="1" t="s">
        <v>204</v>
      </c>
      <c r="AH446" s="1" t="s">
        <v>924</v>
      </c>
      <c r="AI446" s="1" t="s">
        <v>206</v>
      </c>
      <c r="AJ446" s="1" t="s">
        <v>924</v>
      </c>
      <c r="AK446" s="1" t="s">
        <v>5952</v>
      </c>
      <c r="AL446" s="1">
        <v>7</v>
      </c>
      <c r="AM446" s="1">
        <v>2</v>
      </c>
      <c r="AN446" s="1">
        <v>2</v>
      </c>
      <c r="AO446" s="1">
        <v>1</v>
      </c>
      <c r="AP446" s="1" t="s">
        <v>209</v>
      </c>
      <c r="AR446" s="1" t="s">
        <v>1483</v>
      </c>
      <c r="AS446" s="1" t="s">
        <v>204</v>
      </c>
      <c r="AT446" s="1" t="s">
        <v>211</v>
      </c>
      <c r="AU446" s="1">
        <v>1</v>
      </c>
      <c r="AW446" s="1" t="s">
        <v>204</v>
      </c>
      <c r="AX446" s="1" t="s">
        <v>212</v>
      </c>
      <c r="AZ446" s="1">
        <v>3781</v>
      </c>
      <c r="BA446" s="1">
        <v>2013</v>
      </c>
      <c r="BB446" s="1" t="s">
        <v>405</v>
      </c>
      <c r="BE446" s="1">
        <v>1412</v>
      </c>
      <c r="BF446" s="1">
        <v>1</v>
      </c>
      <c r="BG446" s="1">
        <v>30</v>
      </c>
      <c r="BL446" s="1">
        <v>208</v>
      </c>
      <c r="BM446" s="1" t="s">
        <v>204</v>
      </c>
      <c r="BN446" s="1" t="s">
        <v>213</v>
      </c>
      <c r="BO446" s="1">
        <v>25</v>
      </c>
      <c r="BP446" s="1" t="s">
        <v>204</v>
      </c>
      <c r="BR446" s="1" t="str">
        <f>"0709310202"</f>
        <v>0709310202</v>
      </c>
      <c r="BT446" s="1" t="s">
        <v>5953</v>
      </c>
      <c r="BU446" s="1" t="s">
        <v>5426</v>
      </c>
      <c r="BV446" s="1" t="s">
        <v>1130</v>
      </c>
      <c r="BW446" s="1" t="s">
        <v>1131</v>
      </c>
      <c r="BX446" s="1">
        <v>204</v>
      </c>
      <c r="BY446" s="1">
        <v>204</v>
      </c>
      <c r="BZ446" s="1">
        <v>204</v>
      </c>
      <c r="CB446" s="1" t="str">
        <f t="shared" ref="CB446:CC446" si="351">"0"</f>
        <v>0</v>
      </c>
      <c r="CC446" s="1" t="str">
        <f t="shared" si="351"/>
        <v>0</v>
      </c>
      <c r="CD446" s="1">
        <v>30</v>
      </c>
      <c r="CE446" s="1">
        <v>5</v>
      </c>
      <c r="CG446" s="1" t="s">
        <v>729</v>
      </c>
      <c r="CH446" s="1" t="s">
        <v>219</v>
      </c>
      <c r="CI446" s="1" t="s">
        <v>220</v>
      </c>
      <c r="CJ446" s="1" t="s">
        <v>343</v>
      </c>
      <c r="CK446" s="1" t="s">
        <v>932</v>
      </c>
      <c r="CL446" s="1" t="s">
        <v>277</v>
      </c>
      <c r="CM446" s="1" t="s">
        <v>220</v>
      </c>
      <c r="CN446" s="1" t="s">
        <v>210</v>
      </c>
      <c r="CO446" s="1" t="s">
        <v>379</v>
      </c>
      <c r="CP446" s="1" t="s">
        <v>219</v>
      </c>
      <c r="CQ446" s="1" t="s">
        <v>220</v>
      </c>
      <c r="CR446" s="1" t="s">
        <v>210</v>
      </c>
      <c r="CS446" s="1" t="s">
        <v>465</v>
      </c>
      <c r="CT446" s="1" t="s">
        <v>277</v>
      </c>
      <c r="CU446" s="1" t="s">
        <v>220</v>
      </c>
      <c r="CV446" s="1" t="s">
        <v>210</v>
      </c>
      <c r="CX446" s="1" t="s">
        <v>224</v>
      </c>
      <c r="DB446" s="1" t="s">
        <v>224</v>
      </c>
      <c r="DE446" s="1" t="s">
        <v>837</v>
      </c>
      <c r="DF446" s="1" t="s">
        <v>219</v>
      </c>
      <c r="DG446" s="1" t="s">
        <v>438</v>
      </c>
      <c r="DH446" s="1" t="s">
        <v>210</v>
      </c>
      <c r="DJ446" s="1" t="s">
        <v>224</v>
      </c>
      <c r="DM446" s="1" t="s">
        <v>464</v>
      </c>
      <c r="DN446" s="1" t="s">
        <v>934</v>
      </c>
      <c r="DO446" s="1" t="s">
        <v>1614</v>
      </c>
      <c r="DR446" s="1" t="s">
        <v>5954</v>
      </c>
      <c r="DS446" s="1" t="s">
        <v>277</v>
      </c>
      <c r="DT446" s="1" t="s">
        <v>220</v>
      </c>
      <c r="DU446" s="1" t="s">
        <v>343</v>
      </c>
      <c r="DV446" s="1" t="s">
        <v>5955</v>
      </c>
      <c r="DW446" s="1" t="s">
        <v>43</v>
      </c>
      <c r="DX446" s="1" t="s">
        <v>220</v>
      </c>
      <c r="DY446" s="1" t="s">
        <v>343</v>
      </c>
      <c r="DZ446" s="1" t="s">
        <v>4604</v>
      </c>
      <c r="EA446" s="1" t="s">
        <v>43</v>
      </c>
      <c r="EE446" s="1" t="s">
        <v>230</v>
      </c>
      <c r="EI446" s="1" t="s">
        <v>230</v>
      </c>
      <c r="EL446" s="1" t="s">
        <v>466</v>
      </c>
      <c r="EM446" s="1" t="s">
        <v>232</v>
      </c>
      <c r="EN446" s="1" t="s">
        <v>282</v>
      </c>
      <c r="EO446" s="1" t="s">
        <v>234</v>
      </c>
      <c r="EP446" s="1" t="s">
        <v>1268</v>
      </c>
      <c r="EQ446" s="1" t="s">
        <v>2188</v>
      </c>
      <c r="ER446" s="1" t="s">
        <v>544</v>
      </c>
      <c r="ES446" s="1" t="s">
        <v>1552</v>
      </c>
      <c r="EU446" s="1" t="s">
        <v>3377</v>
      </c>
      <c r="EV446" s="1" t="s">
        <v>324</v>
      </c>
      <c r="EW446" s="1" t="s">
        <v>937</v>
      </c>
      <c r="EZ446" s="1" t="s">
        <v>1618</v>
      </c>
      <c r="FB446" s="1" t="s">
        <v>289</v>
      </c>
      <c r="FD446" s="1" t="s">
        <v>246</v>
      </c>
      <c r="FE446" s="1" t="s">
        <v>472</v>
      </c>
      <c r="FF446" s="1" t="s">
        <v>248</v>
      </c>
      <c r="FH446" s="1" t="s">
        <v>550</v>
      </c>
      <c r="FI446" s="1" t="s">
        <v>357</v>
      </c>
      <c r="FJ446" s="1" t="s">
        <v>518</v>
      </c>
      <c r="FL446" s="1" t="s">
        <v>414</v>
      </c>
      <c r="FM446" s="1" t="s">
        <v>252</v>
      </c>
      <c r="FN446" s="1" t="s">
        <v>213</v>
      </c>
      <c r="FO446" s="1" t="s">
        <v>213</v>
      </c>
      <c r="FQ446" s="1" t="s">
        <v>5956</v>
      </c>
      <c r="FR446" s="1" t="s">
        <v>210</v>
      </c>
      <c r="FS446" s="1" t="s">
        <v>5957</v>
      </c>
      <c r="FT446" s="1" t="s">
        <v>362</v>
      </c>
      <c r="FU446" s="1" t="s">
        <v>204</v>
      </c>
      <c r="FW446" s="1" t="s">
        <v>873</v>
      </c>
      <c r="FX446" s="1">
        <v>25309</v>
      </c>
      <c r="FY446" s="1" t="s">
        <v>874</v>
      </c>
      <c r="FZ446" s="1" t="s">
        <v>5958</v>
      </c>
      <c r="GA446" s="1">
        <v>259003</v>
      </c>
      <c r="GB446" s="1" t="s">
        <v>5959</v>
      </c>
      <c r="GD446" s="1" t="s">
        <v>5960</v>
      </c>
      <c r="GE446" s="1" t="s">
        <v>1226</v>
      </c>
      <c r="GI446" s="1" t="s">
        <v>213</v>
      </c>
      <c r="GJ446" s="1" t="s">
        <v>260</v>
      </c>
      <c r="GK446" s="1" t="s">
        <v>261</v>
      </c>
      <c r="GL446" s="2">
        <v>42033</v>
      </c>
      <c r="GM446" s="1" t="s">
        <v>5961</v>
      </c>
    </row>
    <row r="447" spans="1:195">
      <c r="A447" s="1">
        <v>98000</v>
      </c>
      <c r="B447" s="1" t="s">
        <v>195</v>
      </c>
      <c r="C447" s="1" t="str">
        <f>"08792242"</f>
        <v>08792242</v>
      </c>
      <c r="D447" s="1" t="s">
        <v>196</v>
      </c>
      <c r="F447" s="1" t="str">
        <f>"527"</f>
        <v>527</v>
      </c>
      <c r="G447" s="2">
        <v>41967</v>
      </c>
      <c r="H447" s="1">
        <v>110000</v>
      </c>
      <c r="I447" s="1">
        <v>110000</v>
      </c>
      <c r="J447" s="1">
        <v>98000</v>
      </c>
      <c r="K447" s="2">
        <v>41967</v>
      </c>
      <c r="L447" s="1">
        <v>322</v>
      </c>
      <c r="M447" s="2">
        <v>42058</v>
      </c>
      <c r="N447" s="1">
        <v>92</v>
      </c>
      <c r="O447" s="2">
        <v>42058</v>
      </c>
      <c r="P447" s="1">
        <v>22049</v>
      </c>
      <c r="Q447" s="1" t="s">
        <v>423</v>
      </c>
      <c r="R447" s="2">
        <v>42135</v>
      </c>
      <c r="S447" s="1">
        <v>235238</v>
      </c>
      <c r="U447" s="1">
        <v>5629</v>
      </c>
      <c r="V447" s="1" t="s">
        <v>1147</v>
      </c>
      <c r="W447" s="1" t="s">
        <v>425</v>
      </c>
      <c r="X447" s="1" t="s">
        <v>577</v>
      </c>
      <c r="Y447" s="1">
        <v>12</v>
      </c>
      <c r="Z447" s="1" t="s">
        <v>249</v>
      </c>
      <c r="AA447" s="1" t="s">
        <v>5962</v>
      </c>
      <c r="AB447" s="1">
        <v>60525</v>
      </c>
      <c r="AE447" s="1" t="s">
        <v>5963</v>
      </c>
      <c r="AF447" s="1">
        <v>1976</v>
      </c>
      <c r="AG447" s="1" t="s">
        <v>213</v>
      </c>
      <c r="AH447" s="1" t="s">
        <v>5964</v>
      </c>
      <c r="AI447" s="1" t="s">
        <v>310</v>
      </c>
      <c r="AJ447" s="1" t="s">
        <v>702</v>
      </c>
      <c r="AL447" s="1">
        <v>5</v>
      </c>
      <c r="AM447" s="1">
        <v>2</v>
      </c>
      <c r="AN447" s="1">
        <v>1</v>
      </c>
      <c r="AO447" s="1">
        <v>0</v>
      </c>
      <c r="AP447" s="1" t="s">
        <v>210</v>
      </c>
      <c r="AR447" s="1" t="s">
        <v>210</v>
      </c>
      <c r="AS447" s="1" t="s">
        <v>204</v>
      </c>
      <c r="AT447" s="1" t="s">
        <v>271</v>
      </c>
      <c r="AV447" s="1">
        <v>2</v>
      </c>
      <c r="AW447" s="1" t="s">
        <v>204</v>
      </c>
      <c r="AX447" s="1" t="s">
        <v>212</v>
      </c>
      <c r="AZ447" s="1">
        <v>1808.93</v>
      </c>
      <c r="BA447" s="1">
        <v>2013</v>
      </c>
      <c r="BE447" s="1">
        <v>0</v>
      </c>
      <c r="BF447" s="1">
        <v>2</v>
      </c>
      <c r="BG447" s="1">
        <v>0</v>
      </c>
      <c r="BL447" s="1">
        <v>195</v>
      </c>
      <c r="BM447" s="1" t="s">
        <v>204</v>
      </c>
      <c r="BN447" s="1" t="s">
        <v>213</v>
      </c>
      <c r="BO447" s="1">
        <v>0</v>
      </c>
      <c r="BP447" s="1" t="s">
        <v>204</v>
      </c>
      <c r="BR447" s="1" t="str">
        <f>"18162040351002"</f>
        <v>18162040351002</v>
      </c>
      <c r="BT447" s="1" t="s">
        <v>5965</v>
      </c>
      <c r="BX447" s="1">
        <v>105</v>
      </c>
      <c r="BY447" s="1">
        <v>105</v>
      </c>
      <c r="BZ447" s="1">
        <v>204</v>
      </c>
      <c r="CB447" s="1" t="str">
        <f t="shared" ref="CB447:CC447" si="352">""</f>
        <v/>
      </c>
      <c r="CC447" s="1" t="str">
        <f t="shared" si="352"/>
        <v/>
      </c>
      <c r="CG447" s="1" t="s">
        <v>581</v>
      </c>
      <c r="CH447" s="1" t="s">
        <v>277</v>
      </c>
      <c r="CK447" s="1" t="s">
        <v>344</v>
      </c>
      <c r="CL447" s="1" t="s">
        <v>277</v>
      </c>
      <c r="CO447" s="1" t="s">
        <v>380</v>
      </c>
      <c r="CP447" s="1" t="s">
        <v>277</v>
      </c>
      <c r="CS447" s="1" t="s">
        <v>465</v>
      </c>
      <c r="CT447" s="1" t="s">
        <v>277</v>
      </c>
      <c r="CX447" s="1" t="s">
        <v>224</v>
      </c>
      <c r="DB447" s="1" t="s">
        <v>224</v>
      </c>
      <c r="DE447" s="1" t="s">
        <v>380</v>
      </c>
      <c r="DF447" s="1" t="s">
        <v>277</v>
      </c>
      <c r="DJ447" s="1" t="s">
        <v>224</v>
      </c>
      <c r="DS447" s="1" t="s">
        <v>230</v>
      </c>
      <c r="DW447" s="1" t="s">
        <v>230</v>
      </c>
      <c r="EA447" s="1" t="s">
        <v>230</v>
      </c>
      <c r="EE447" s="1" t="s">
        <v>230</v>
      </c>
      <c r="EI447" s="1" t="s">
        <v>230</v>
      </c>
      <c r="EL447" s="1" t="s">
        <v>231</v>
      </c>
      <c r="EM447" s="1" t="s">
        <v>232</v>
      </c>
      <c r="EN447" s="1" t="s">
        <v>731</v>
      </c>
      <c r="EO447" s="1" t="s">
        <v>234</v>
      </c>
      <c r="EQ447" s="1" t="s">
        <v>3572</v>
      </c>
      <c r="ER447" s="1" t="s">
        <v>210</v>
      </c>
      <c r="EW447" s="1" t="s">
        <v>4815</v>
      </c>
      <c r="EZ447" s="1" t="s">
        <v>287</v>
      </c>
      <c r="FD447" s="1" t="s">
        <v>246</v>
      </c>
      <c r="FE447" s="1" t="s">
        <v>247</v>
      </c>
      <c r="FF447" s="1" t="s">
        <v>248</v>
      </c>
      <c r="FH447" s="1" t="s">
        <v>249</v>
      </c>
      <c r="FK447" s="1" t="s">
        <v>291</v>
      </c>
      <c r="FL447" s="1" t="s">
        <v>810</v>
      </c>
      <c r="FM447" s="1" t="s">
        <v>252</v>
      </c>
      <c r="FN447" s="1" t="s">
        <v>213</v>
      </c>
      <c r="FO447" s="1" t="s">
        <v>213</v>
      </c>
      <c r="FQ447" s="1" t="s">
        <v>3616</v>
      </c>
      <c r="FR447" s="1" t="s">
        <v>210</v>
      </c>
      <c r="FS447" s="1" t="s">
        <v>2541</v>
      </c>
      <c r="FT447" s="1" t="s">
        <v>295</v>
      </c>
      <c r="FU447" s="1" t="s">
        <v>204</v>
      </c>
      <c r="FW447" s="1" t="s">
        <v>915</v>
      </c>
      <c r="FX447" s="1">
        <v>22049</v>
      </c>
      <c r="FY447" s="1" t="s">
        <v>4731</v>
      </c>
      <c r="FZ447" s="1" t="s">
        <v>5966</v>
      </c>
      <c r="GA447" s="1">
        <v>235238</v>
      </c>
      <c r="GB447" s="1" t="s">
        <v>5967</v>
      </c>
      <c r="GE447" s="1" t="s">
        <v>210</v>
      </c>
      <c r="GI447" s="1" t="s">
        <v>213</v>
      </c>
      <c r="GJ447" s="1" t="s">
        <v>260</v>
      </c>
      <c r="GK447" s="1" t="s">
        <v>210</v>
      </c>
      <c r="GL447" s="2">
        <v>42135</v>
      </c>
      <c r="GM447" s="1" t="s">
        <v>5968</v>
      </c>
    </row>
    <row r="448" spans="1:195">
      <c r="A448" s="1">
        <v>100000</v>
      </c>
      <c r="B448" s="1" t="s">
        <v>195</v>
      </c>
      <c r="C448" s="1" t="str">
        <f>"08793521"</f>
        <v>08793521</v>
      </c>
      <c r="D448" s="1" t="s">
        <v>196</v>
      </c>
      <c r="F448" s="1" t="str">
        <f>"104"</f>
        <v>104</v>
      </c>
      <c r="G448" s="2">
        <v>41971</v>
      </c>
      <c r="H448" s="1">
        <v>104000</v>
      </c>
      <c r="I448" s="1">
        <v>104000</v>
      </c>
      <c r="J448" s="1">
        <v>100000</v>
      </c>
      <c r="K448" s="2">
        <v>41969</v>
      </c>
      <c r="L448" s="1">
        <v>4</v>
      </c>
      <c r="M448" s="2">
        <v>41972</v>
      </c>
      <c r="N448" s="1">
        <v>4</v>
      </c>
      <c r="O448" s="2">
        <v>41972</v>
      </c>
      <c r="P448" s="1">
        <v>8073</v>
      </c>
      <c r="Q448" s="1" t="s">
        <v>302</v>
      </c>
      <c r="R448" s="2">
        <v>41985</v>
      </c>
      <c r="S448" s="1">
        <v>83331</v>
      </c>
      <c r="U448" s="1">
        <v>369</v>
      </c>
      <c r="V448" s="1" t="s">
        <v>5969</v>
      </c>
      <c r="W448" s="1" t="s">
        <v>264</v>
      </c>
      <c r="X448" s="1" t="s">
        <v>5970</v>
      </c>
      <c r="Y448" s="1">
        <v>4</v>
      </c>
      <c r="Z448" s="1" t="s">
        <v>249</v>
      </c>
      <c r="AA448" s="1" t="s">
        <v>371</v>
      </c>
      <c r="AB448" s="1">
        <v>60103</v>
      </c>
      <c r="AD448" s="1" t="s">
        <v>5971</v>
      </c>
      <c r="AE448" s="1" t="s">
        <v>5972</v>
      </c>
      <c r="AF448" s="1">
        <v>1991</v>
      </c>
      <c r="AG448" s="1" t="s">
        <v>204</v>
      </c>
      <c r="AH448" s="1" t="s">
        <v>373</v>
      </c>
      <c r="AI448" s="1" t="s">
        <v>310</v>
      </c>
      <c r="AJ448" s="1" t="s">
        <v>374</v>
      </c>
      <c r="AL448" s="1">
        <v>5</v>
      </c>
      <c r="AM448" s="1">
        <v>2</v>
      </c>
      <c r="AN448" s="1">
        <v>2</v>
      </c>
      <c r="AO448" s="1">
        <v>0</v>
      </c>
      <c r="AP448" s="1" t="s">
        <v>209</v>
      </c>
      <c r="AR448" s="1" t="s">
        <v>210</v>
      </c>
      <c r="AS448" s="1" t="s">
        <v>204</v>
      </c>
      <c r="AT448" s="1" t="s">
        <v>211</v>
      </c>
      <c r="AU448" s="1">
        <v>1</v>
      </c>
      <c r="AW448" s="1" t="s">
        <v>204</v>
      </c>
      <c r="AX448" s="1" t="s">
        <v>4740</v>
      </c>
      <c r="AZ448" s="1">
        <v>2043</v>
      </c>
      <c r="BA448" s="1">
        <v>2012</v>
      </c>
      <c r="BB448" s="1" t="s">
        <v>405</v>
      </c>
      <c r="BE448" s="1">
        <v>0</v>
      </c>
      <c r="BF448" s="1">
        <v>2</v>
      </c>
      <c r="BG448" s="1">
        <v>0</v>
      </c>
      <c r="BL448" s="1">
        <v>262</v>
      </c>
      <c r="BM448" s="1" t="s">
        <v>204</v>
      </c>
      <c r="BN448" s="1" t="s">
        <v>213</v>
      </c>
      <c r="BO448" s="1" t="s">
        <v>432</v>
      </c>
      <c r="BP448" s="1" t="s">
        <v>204</v>
      </c>
      <c r="BR448" s="1" t="str">
        <f>"06354001171397"</f>
        <v>06354001171397</v>
      </c>
      <c r="BT448" s="1" t="s">
        <v>5973</v>
      </c>
      <c r="BU448" s="1" t="s">
        <v>1815</v>
      </c>
      <c r="BV448" s="1" t="s">
        <v>1816</v>
      </c>
      <c r="BW448" s="1" t="s">
        <v>1468</v>
      </c>
      <c r="BX448" s="1">
        <v>46</v>
      </c>
      <c r="BY448" s="1">
        <v>46</v>
      </c>
      <c r="BZ448" s="1">
        <v>46</v>
      </c>
      <c r="CB448" s="1" t="str">
        <f>"8"</f>
        <v>8</v>
      </c>
      <c r="CC448" s="1" t="str">
        <f>""</f>
        <v/>
      </c>
      <c r="CD448" s="1">
        <v>28</v>
      </c>
      <c r="CG448" s="1" t="s">
        <v>1995</v>
      </c>
      <c r="CH448" s="1" t="s">
        <v>277</v>
      </c>
      <c r="CI448" s="1" t="s">
        <v>220</v>
      </c>
      <c r="CJ448" s="1" t="s">
        <v>343</v>
      </c>
      <c r="CK448" s="1" t="s">
        <v>759</v>
      </c>
      <c r="CL448" s="1" t="s">
        <v>277</v>
      </c>
      <c r="CM448" s="1" t="s">
        <v>220</v>
      </c>
      <c r="CO448" s="1" t="s">
        <v>837</v>
      </c>
      <c r="CP448" s="1" t="s">
        <v>277</v>
      </c>
      <c r="CQ448" s="1" t="s">
        <v>229</v>
      </c>
      <c r="CS448" s="1" t="s">
        <v>408</v>
      </c>
      <c r="CT448" s="1" t="s">
        <v>277</v>
      </c>
      <c r="CX448" s="1" t="s">
        <v>224</v>
      </c>
      <c r="DB448" s="1" t="s">
        <v>224</v>
      </c>
      <c r="DE448" s="1" t="s">
        <v>318</v>
      </c>
      <c r="DF448" s="1" t="s">
        <v>277</v>
      </c>
      <c r="DJ448" s="1" t="s">
        <v>224</v>
      </c>
      <c r="DM448" s="1" t="s">
        <v>709</v>
      </c>
      <c r="DN448" s="1" t="s">
        <v>1770</v>
      </c>
      <c r="DR448" s="1" t="s">
        <v>1724</v>
      </c>
      <c r="DS448" s="1" t="s">
        <v>277</v>
      </c>
      <c r="DV448" s="1" t="s">
        <v>5974</v>
      </c>
      <c r="DW448" s="1" t="s">
        <v>277</v>
      </c>
      <c r="EA448" s="1" t="s">
        <v>230</v>
      </c>
      <c r="EE448" s="1" t="s">
        <v>230</v>
      </c>
      <c r="EI448" s="1" t="s">
        <v>230</v>
      </c>
      <c r="EL448" s="1" t="s">
        <v>382</v>
      </c>
      <c r="EM448" s="1" t="s">
        <v>730</v>
      </c>
      <c r="EN448" s="1" t="s">
        <v>282</v>
      </c>
      <c r="EO448" s="1" t="s">
        <v>234</v>
      </c>
      <c r="EQ448" s="1" t="s">
        <v>492</v>
      </c>
      <c r="ER448" s="1" t="s">
        <v>210</v>
      </c>
      <c r="EW448" s="1" t="s">
        <v>5975</v>
      </c>
      <c r="EZ448" s="1" t="s">
        <v>5976</v>
      </c>
      <c r="FD448" s="1" t="s">
        <v>246</v>
      </c>
      <c r="FE448" s="1" t="s">
        <v>651</v>
      </c>
      <c r="FF448" s="1" t="s">
        <v>3103</v>
      </c>
      <c r="FH448" s="1" t="s">
        <v>1387</v>
      </c>
      <c r="FL448" s="1" t="s">
        <v>358</v>
      </c>
      <c r="FM448" s="1" t="s">
        <v>252</v>
      </c>
      <c r="FN448" s="1" t="s">
        <v>213</v>
      </c>
      <c r="FO448" s="1" t="s">
        <v>213</v>
      </c>
      <c r="FQ448" s="1" t="s">
        <v>1473</v>
      </c>
      <c r="FR448" s="1" t="s">
        <v>210</v>
      </c>
      <c r="FS448" s="1" t="s">
        <v>5977</v>
      </c>
      <c r="FT448" s="1" t="s">
        <v>5978</v>
      </c>
      <c r="FU448" s="1" t="s">
        <v>204</v>
      </c>
      <c r="FW448" s="1" t="s">
        <v>5979</v>
      </c>
      <c r="FX448" s="1">
        <v>401</v>
      </c>
      <c r="FY448" s="1" t="s">
        <v>5980</v>
      </c>
      <c r="FZ448" s="1" t="s">
        <v>5981</v>
      </c>
      <c r="GA448" s="1">
        <v>7929</v>
      </c>
      <c r="GD448" s="1" t="s">
        <v>5982</v>
      </c>
      <c r="GE448" s="1" t="s">
        <v>1256</v>
      </c>
      <c r="GI448" s="1" t="s">
        <v>213</v>
      </c>
      <c r="GJ448" s="1" t="s">
        <v>260</v>
      </c>
      <c r="GK448" s="1" t="s">
        <v>210</v>
      </c>
      <c r="GL448" s="2">
        <v>41987</v>
      </c>
      <c r="GM448" s="1" t="s">
        <v>5983</v>
      </c>
    </row>
    <row r="449" spans="1:195">
      <c r="A449" s="1">
        <v>67000</v>
      </c>
      <c r="B449" s="1" t="s">
        <v>195</v>
      </c>
      <c r="C449" s="1" t="str">
        <f>"08792762"</f>
        <v>08792762</v>
      </c>
      <c r="D449" s="1" t="s">
        <v>196</v>
      </c>
      <c r="F449" s="1" t="str">
        <f>"517"</f>
        <v>517</v>
      </c>
      <c r="G449" s="2">
        <v>41968</v>
      </c>
      <c r="H449" s="1">
        <v>74900</v>
      </c>
      <c r="I449" s="1">
        <v>64900</v>
      </c>
      <c r="J449" s="1">
        <v>67000</v>
      </c>
      <c r="K449" s="2">
        <v>41967</v>
      </c>
      <c r="L449" s="1">
        <v>99</v>
      </c>
      <c r="M449" s="2">
        <v>42065</v>
      </c>
      <c r="N449" s="1">
        <v>99</v>
      </c>
      <c r="O449" s="2">
        <v>42065</v>
      </c>
      <c r="P449" s="1">
        <v>21324</v>
      </c>
      <c r="Q449" s="1" t="s">
        <v>197</v>
      </c>
      <c r="R449" s="2">
        <v>42097</v>
      </c>
      <c r="S449" s="1">
        <v>237059</v>
      </c>
      <c r="T449" s="1">
        <v>2010</v>
      </c>
      <c r="U449" s="1">
        <v>3415</v>
      </c>
      <c r="V449" s="1" t="s">
        <v>5984</v>
      </c>
      <c r="W449" s="1" t="s">
        <v>725</v>
      </c>
      <c r="X449" s="1" t="s">
        <v>5985</v>
      </c>
      <c r="Y449" s="1">
        <v>20</v>
      </c>
      <c r="Z449" s="1" t="s">
        <v>249</v>
      </c>
      <c r="AA449" s="1" t="s">
        <v>2850</v>
      </c>
      <c r="AB449" s="1">
        <v>60517</v>
      </c>
      <c r="AD449" s="1" t="s">
        <v>5986</v>
      </c>
      <c r="AE449" s="1" t="s">
        <v>5987</v>
      </c>
      <c r="AF449" s="1">
        <v>1979</v>
      </c>
      <c r="AG449" s="1" t="s">
        <v>204</v>
      </c>
      <c r="AH449" s="1" t="s">
        <v>2853</v>
      </c>
      <c r="AI449" s="1" t="s">
        <v>206</v>
      </c>
      <c r="AJ449" s="1" t="s">
        <v>925</v>
      </c>
      <c r="AL449" s="1">
        <v>5</v>
      </c>
      <c r="AM449" s="1">
        <v>2</v>
      </c>
      <c r="AN449" s="1">
        <v>1</v>
      </c>
      <c r="AO449" s="1">
        <v>1</v>
      </c>
      <c r="AP449" s="1" t="s">
        <v>1234</v>
      </c>
      <c r="AR449" s="1" t="s">
        <v>210</v>
      </c>
      <c r="AS449" s="1" t="s">
        <v>204</v>
      </c>
      <c r="AT449" s="1" t="s">
        <v>271</v>
      </c>
      <c r="AV449" s="1">
        <v>2</v>
      </c>
      <c r="AW449" s="1" t="s">
        <v>204</v>
      </c>
      <c r="AX449" s="1" t="s">
        <v>212</v>
      </c>
      <c r="AZ449" s="1">
        <v>1710</v>
      </c>
      <c r="BA449" s="1">
        <v>2013</v>
      </c>
      <c r="BE449" s="1">
        <v>1033</v>
      </c>
      <c r="BF449" s="1">
        <v>2</v>
      </c>
      <c r="BG449" s="1">
        <v>30</v>
      </c>
      <c r="BL449" s="1">
        <v>350</v>
      </c>
      <c r="BM449" s="1" t="s">
        <v>413</v>
      </c>
      <c r="BN449" s="1" t="s">
        <v>213</v>
      </c>
      <c r="BO449" s="1" t="s">
        <v>402</v>
      </c>
      <c r="BP449" s="1" t="s">
        <v>204</v>
      </c>
      <c r="BR449" s="1" t="str">
        <f>"0835304105"</f>
        <v>0835304105</v>
      </c>
      <c r="BT449" s="1" t="s">
        <v>5988</v>
      </c>
      <c r="BX449" s="1">
        <v>68</v>
      </c>
      <c r="BY449" s="1">
        <v>68</v>
      </c>
      <c r="BZ449" s="1">
        <v>99</v>
      </c>
      <c r="CB449" s="1" t="str">
        <f t="shared" ref="CB449:CC449" si="353">""</f>
        <v/>
      </c>
      <c r="CC449" s="1" t="str">
        <f t="shared" si="353"/>
        <v/>
      </c>
      <c r="CG449" s="1" t="s">
        <v>3035</v>
      </c>
      <c r="CH449" s="1" t="s">
        <v>219</v>
      </c>
      <c r="CK449" s="1" t="s">
        <v>278</v>
      </c>
      <c r="CL449" s="1" t="s">
        <v>219</v>
      </c>
      <c r="CO449" s="1" t="s">
        <v>951</v>
      </c>
      <c r="CP449" s="1" t="s">
        <v>219</v>
      </c>
      <c r="CS449" s="1" t="s">
        <v>379</v>
      </c>
      <c r="CT449" s="1" t="s">
        <v>219</v>
      </c>
      <c r="CX449" s="1" t="s">
        <v>224</v>
      </c>
      <c r="DB449" s="1" t="s">
        <v>224</v>
      </c>
      <c r="DE449" s="1" t="s">
        <v>346</v>
      </c>
      <c r="DF449" s="1" t="s">
        <v>219</v>
      </c>
      <c r="DJ449" s="1" t="s">
        <v>224</v>
      </c>
      <c r="DS449" s="1" t="s">
        <v>230</v>
      </c>
      <c r="DW449" s="1" t="s">
        <v>230</v>
      </c>
      <c r="EA449" s="1" t="s">
        <v>230</v>
      </c>
      <c r="EE449" s="1" t="s">
        <v>230</v>
      </c>
      <c r="EI449" s="1" t="s">
        <v>230</v>
      </c>
      <c r="EL449" s="1" t="s">
        <v>231</v>
      </c>
      <c r="EM449" s="1" t="s">
        <v>319</v>
      </c>
      <c r="EN449" s="1" t="s">
        <v>731</v>
      </c>
      <c r="EO449" s="1" t="s">
        <v>234</v>
      </c>
      <c r="ER449" s="1" t="s">
        <v>210</v>
      </c>
      <c r="EW449" s="1" t="s">
        <v>1804</v>
      </c>
      <c r="EZ449" s="1" t="s">
        <v>287</v>
      </c>
      <c r="FD449" s="1" t="s">
        <v>1649</v>
      </c>
      <c r="FE449" s="1" t="s">
        <v>247</v>
      </c>
      <c r="FF449" s="1" t="s">
        <v>387</v>
      </c>
      <c r="FH449" s="1" t="s">
        <v>249</v>
      </c>
      <c r="FL449" s="1" t="s">
        <v>358</v>
      </c>
      <c r="FM449" s="1" t="s">
        <v>252</v>
      </c>
      <c r="FN449" s="1" t="s">
        <v>213</v>
      </c>
      <c r="FO449" s="1" t="s">
        <v>213</v>
      </c>
      <c r="FQ449" s="1" t="s">
        <v>2417</v>
      </c>
      <c r="FR449" s="1" t="s">
        <v>210</v>
      </c>
      <c r="FS449" s="1" t="s">
        <v>5989</v>
      </c>
      <c r="FT449" s="1" t="s">
        <v>295</v>
      </c>
      <c r="FU449" s="1" t="s">
        <v>204</v>
      </c>
      <c r="FW449" s="1" t="s">
        <v>5990</v>
      </c>
      <c r="FX449" s="1">
        <v>79777</v>
      </c>
      <c r="FY449" s="1" t="s">
        <v>5991</v>
      </c>
      <c r="FZ449" s="1" t="s">
        <v>5992</v>
      </c>
      <c r="GA449" s="1">
        <v>700417</v>
      </c>
      <c r="GB449" s="1" t="s">
        <v>5991</v>
      </c>
      <c r="GE449" s="1" t="s">
        <v>210</v>
      </c>
      <c r="GI449" s="1" t="s">
        <v>204</v>
      </c>
      <c r="GJ449" s="1" t="s">
        <v>260</v>
      </c>
      <c r="GK449" s="1" t="s">
        <v>210</v>
      </c>
      <c r="GL449" s="2">
        <v>42098</v>
      </c>
      <c r="GM449" s="1" t="s">
        <v>5993</v>
      </c>
    </row>
    <row r="450" spans="1:195">
      <c r="A450" s="1">
        <v>93500</v>
      </c>
      <c r="B450" s="1" t="s">
        <v>195</v>
      </c>
      <c r="C450" s="1" t="str">
        <f>"08794435"</f>
        <v>08794435</v>
      </c>
      <c r="D450" s="1" t="s">
        <v>196</v>
      </c>
      <c r="F450" s="1" t="str">
        <f>"61"</f>
        <v>61</v>
      </c>
      <c r="G450" s="2">
        <v>41974</v>
      </c>
      <c r="H450" s="1">
        <v>105900</v>
      </c>
      <c r="I450" s="1">
        <v>99900</v>
      </c>
      <c r="J450" s="1">
        <v>93500</v>
      </c>
      <c r="K450" s="2">
        <v>41974</v>
      </c>
      <c r="L450" s="1">
        <v>85</v>
      </c>
      <c r="M450" s="2">
        <v>42058</v>
      </c>
      <c r="N450" s="1">
        <v>85</v>
      </c>
      <c r="O450" s="2">
        <v>42058</v>
      </c>
      <c r="P450" s="1">
        <v>24894</v>
      </c>
      <c r="Q450" s="1" t="s">
        <v>197</v>
      </c>
      <c r="R450" s="2">
        <v>42111</v>
      </c>
      <c r="S450" s="1">
        <v>242208</v>
      </c>
      <c r="T450" s="1">
        <v>3000</v>
      </c>
      <c r="U450" s="1">
        <v>204</v>
      </c>
      <c r="V450" s="1" t="s">
        <v>5994</v>
      </c>
      <c r="W450" s="1" t="s">
        <v>304</v>
      </c>
      <c r="Y450" s="1">
        <v>4</v>
      </c>
      <c r="Z450" s="1" t="s">
        <v>200</v>
      </c>
      <c r="AA450" s="1" t="s">
        <v>505</v>
      </c>
      <c r="AB450" s="1">
        <v>60061</v>
      </c>
      <c r="AE450" s="1" t="s">
        <v>5995</v>
      </c>
      <c r="AF450" s="1">
        <v>1978</v>
      </c>
      <c r="AG450" s="1" t="s">
        <v>204</v>
      </c>
      <c r="AH450" s="1" t="s">
        <v>508</v>
      </c>
      <c r="AI450" s="1" t="s">
        <v>509</v>
      </c>
      <c r="AJ450" s="1" t="s">
        <v>510</v>
      </c>
      <c r="AL450" s="1">
        <v>5</v>
      </c>
      <c r="AM450" s="1">
        <v>2</v>
      </c>
      <c r="AN450" s="1">
        <v>1</v>
      </c>
      <c r="AO450" s="1">
        <v>1</v>
      </c>
      <c r="AP450" s="1" t="s">
        <v>210</v>
      </c>
      <c r="AR450" s="1" t="s">
        <v>210</v>
      </c>
      <c r="AS450" s="1" t="s">
        <v>204</v>
      </c>
      <c r="AT450" s="1" t="s">
        <v>211</v>
      </c>
      <c r="AU450" s="1">
        <v>1</v>
      </c>
      <c r="AW450" s="1" t="s">
        <v>204</v>
      </c>
      <c r="AX450" s="1" t="s">
        <v>212</v>
      </c>
      <c r="AZ450" s="1">
        <v>2455.94</v>
      </c>
      <c r="BA450" s="1">
        <v>2013</v>
      </c>
      <c r="BE450" s="1">
        <v>1012</v>
      </c>
      <c r="BF450" s="1">
        <v>1</v>
      </c>
      <c r="BG450" s="1">
        <v>0</v>
      </c>
      <c r="BL450" s="1">
        <v>180</v>
      </c>
      <c r="BM450" s="1" t="s">
        <v>204</v>
      </c>
      <c r="BN450" s="1" t="s">
        <v>213</v>
      </c>
      <c r="BO450" s="1">
        <v>100</v>
      </c>
      <c r="BP450" s="1" t="s">
        <v>204</v>
      </c>
      <c r="BR450" s="1" t="str">
        <f>"15053040190000"</f>
        <v>15053040190000</v>
      </c>
      <c r="BT450" s="1" t="s">
        <v>5996</v>
      </c>
      <c r="BX450" s="1">
        <v>73</v>
      </c>
      <c r="BY450" s="1">
        <v>73</v>
      </c>
      <c r="BZ450" s="1">
        <v>128</v>
      </c>
      <c r="CB450" s="1" t="str">
        <f t="shared" ref="CB450:CC450" si="354">""</f>
        <v/>
      </c>
      <c r="CC450" s="1" t="str">
        <f t="shared" si="354"/>
        <v/>
      </c>
      <c r="CG450" s="1" t="s">
        <v>5997</v>
      </c>
      <c r="CH450" s="1" t="s">
        <v>219</v>
      </c>
      <c r="CK450" s="1" t="s">
        <v>3716</v>
      </c>
      <c r="CL450" s="1" t="s">
        <v>277</v>
      </c>
      <c r="CO450" s="1" t="s">
        <v>345</v>
      </c>
      <c r="CP450" s="1" t="s">
        <v>219</v>
      </c>
      <c r="CS450" s="1" t="s">
        <v>408</v>
      </c>
      <c r="CT450" s="1" t="s">
        <v>277</v>
      </c>
      <c r="CX450" s="1" t="s">
        <v>224</v>
      </c>
      <c r="DB450" s="1" t="s">
        <v>224</v>
      </c>
      <c r="DE450" s="1" t="s">
        <v>2031</v>
      </c>
      <c r="DF450" s="1" t="s">
        <v>219</v>
      </c>
      <c r="DJ450" s="1" t="s">
        <v>224</v>
      </c>
      <c r="DS450" s="1" t="s">
        <v>230</v>
      </c>
      <c r="DW450" s="1" t="s">
        <v>230</v>
      </c>
      <c r="EA450" s="1" t="s">
        <v>230</v>
      </c>
      <c r="EE450" s="1" t="s">
        <v>230</v>
      </c>
      <c r="EI450" s="1" t="s">
        <v>230</v>
      </c>
      <c r="EL450" s="1" t="s">
        <v>231</v>
      </c>
      <c r="EM450" s="1" t="s">
        <v>319</v>
      </c>
      <c r="EN450" s="1" t="s">
        <v>282</v>
      </c>
      <c r="EO450" s="1" t="s">
        <v>234</v>
      </c>
      <c r="ER450" s="1" t="s">
        <v>210</v>
      </c>
      <c r="EW450" s="1" t="s">
        <v>210</v>
      </c>
      <c r="EZ450" s="1" t="s">
        <v>287</v>
      </c>
      <c r="FB450" s="1" t="s">
        <v>289</v>
      </c>
      <c r="FD450" s="1" t="s">
        <v>246</v>
      </c>
      <c r="FE450" s="1" t="s">
        <v>870</v>
      </c>
      <c r="FF450" s="1" t="s">
        <v>248</v>
      </c>
      <c r="FH450" s="1" t="s">
        <v>550</v>
      </c>
      <c r="FL450" s="1" t="s">
        <v>358</v>
      </c>
      <c r="FM450" s="1" t="s">
        <v>252</v>
      </c>
      <c r="FN450" s="1" t="s">
        <v>213</v>
      </c>
      <c r="FO450" s="1" t="s">
        <v>213</v>
      </c>
      <c r="FQ450" s="1" t="s">
        <v>582</v>
      </c>
      <c r="FR450" s="1" t="s">
        <v>210</v>
      </c>
      <c r="FS450" s="1" t="s">
        <v>1805</v>
      </c>
      <c r="FT450" s="1" t="s">
        <v>584</v>
      </c>
      <c r="FU450" s="1" t="s">
        <v>204</v>
      </c>
      <c r="FW450" s="1" t="s">
        <v>1806</v>
      </c>
      <c r="FX450" s="1">
        <v>25196</v>
      </c>
      <c r="FY450" s="1" t="s">
        <v>1807</v>
      </c>
      <c r="FZ450" s="1" t="s">
        <v>1808</v>
      </c>
      <c r="GA450" s="1">
        <v>214545</v>
      </c>
      <c r="GB450" s="1" t="s">
        <v>1807</v>
      </c>
      <c r="GC450" s="1">
        <v>232216</v>
      </c>
      <c r="GE450" s="1" t="s">
        <v>210</v>
      </c>
      <c r="GI450" s="1" t="s">
        <v>213</v>
      </c>
      <c r="GJ450" s="1" t="s">
        <v>260</v>
      </c>
      <c r="GK450" s="1" t="s">
        <v>210</v>
      </c>
      <c r="GL450" s="2">
        <v>42111</v>
      </c>
      <c r="GM450" s="1" t="s">
        <v>4864</v>
      </c>
    </row>
    <row r="451" spans="1:195">
      <c r="A451" s="1">
        <v>127500</v>
      </c>
      <c r="B451" s="1" t="s">
        <v>195</v>
      </c>
      <c r="C451" s="1" t="str">
        <f>"08796297"</f>
        <v>08796297</v>
      </c>
      <c r="D451" s="1" t="s">
        <v>196</v>
      </c>
      <c r="F451" s="1" t="str">
        <f>"123"</f>
        <v>123</v>
      </c>
      <c r="G451" s="2">
        <v>41976</v>
      </c>
      <c r="H451" s="1">
        <v>129900</v>
      </c>
      <c r="I451" s="1">
        <v>129900</v>
      </c>
      <c r="J451" s="1">
        <v>127500</v>
      </c>
      <c r="K451" s="2">
        <v>41976</v>
      </c>
      <c r="L451" s="1">
        <v>9</v>
      </c>
      <c r="M451" s="2">
        <v>41984</v>
      </c>
      <c r="N451" s="1">
        <v>9</v>
      </c>
      <c r="O451" s="2">
        <v>41984</v>
      </c>
      <c r="P451" s="1">
        <v>23290</v>
      </c>
      <c r="Q451" s="1" t="s">
        <v>197</v>
      </c>
      <c r="R451" s="2">
        <v>42027</v>
      </c>
      <c r="S451" s="1">
        <v>233019</v>
      </c>
      <c r="U451" s="1">
        <v>2070</v>
      </c>
      <c r="V451" s="1" t="s">
        <v>5998</v>
      </c>
      <c r="W451" s="1" t="s">
        <v>304</v>
      </c>
      <c r="Y451" s="1">
        <v>4</v>
      </c>
      <c r="Z451" s="1" t="s">
        <v>370</v>
      </c>
      <c r="AA451" s="1" t="s">
        <v>1173</v>
      </c>
      <c r="AB451" s="1">
        <v>60123</v>
      </c>
      <c r="AD451" s="1" t="s">
        <v>5999</v>
      </c>
      <c r="AE451" s="1" t="s">
        <v>6000</v>
      </c>
      <c r="AF451" s="1">
        <v>1995</v>
      </c>
      <c r="AG451" s="1" t="s">
        <v>204</v>
      </c>
      <c r="AH451" s="1" t="s">
        <v>1175</v>
      </c>
      <c r="AI451" s="1" t="s">
        <v>665</v>
      </c>
      <c r="AJ451" s="1" t="s">
        <v>1175</v>
      </c>
      <c r="AK451" s="1" t="s">
        <v>6001</v>
      </c>
      <c r="AL451" s="1">
        <v>7</v>
      </c>
      <c r="AM451" s="1">
        <v>2</v>
      </c>
      <c r="AN451" s="1">
        <v>2</v>
      </c>
      <c r="AO451" s="1">
        <v>1</v>
      </c>
      <c r="AP451" s="1" t="s">
        <v>209</v>
      </c>
      <c r="AQ451" s="1">
        <v>0</v>
      </c>
      <c r="AR451" s="1" t="s">
        <v>210</v>
      </c>
      <c r="AS451" s="1" t="s">
        <v>204</v>
      </c>
      <c r="AT451" s="1" t="s">
        <v>211</v>
      </c>
      <c r="AU451" s="1">
        <v>2</v>
      </c>
      <c r="AW451" s="1" t="s">
        <v>204</v>
      </c>
      <c r="AX451" s="1" t="s">
        <v>212</v>
      </c>
      <c r="AZ451" s="1">
        <v>3098</v>
      </c>
      <c r="BA451" s="1">
        <v>2013</v>
      </c>
      <c r="BB451" s="1" t="s">
        <v>599</v>
      </c>
      <c r="BE451" s="1">
        <v>1655</v>
      </c>
      <c r="BF451" s="1">
        <v>1</v>
      </c>
      <c r="BG451" s="1">
        <v>0</v>
      </c>
      <c r="BL451" s="1">
        <v>175</v>
      </c>
      <c r="BM451" s="1" t="s">
        <v>204</v>
      </c>
      <c r="BN451" s="1" t="s">
        <v>213</v>
      </c>
      <c r="BO451" s="1" t="s">
        <v>432</v>
      </c>
      <c r="BP451" s="1" t="s">
        <v>204</v>
      </c>
      <c r="BR451" s="1" t="str">
        <f>"0628126015"</f>
        <v>0628126015</v>
      </c>
      <c r="BT451" s="1" t="s">
        <v>6002</v>
      </c>
      <c r="BU451" s="1" t="s">
        <v>6003</v>
      </c>
      <c r="BV451" s="1" t="s">
        <v>3283</v>
      </c>
      <c r="BW451" s="1" t="s">
        <v>1488</v>
      </c>
      <c r="BX451" s="1">
        <v>46</v>
      </c>
      <c r="BY451" s="1">
        <v>46</v>
      </c>
      <c r="BZ451" s="1">
        <v>46</v>
      </c>
      <c r="CB451" s="1" t="str">
        <f>"10"</f>
        <v>10</v>
      </c>
      <c r="CC451" s="1" t="str">
        <f>"0"</f>
        <v>0</v>
      </c>
      <c r="CD451" s="1">
        <v>36</v>
      </c>
      <c r="CE451" s="1">
        <v>0</v>
      </c>
      <c r="CG451" s="1" t="s">
        <v>465</v>
      </c>
      <c r="CH451" s="1" t="s">
        <v>219</v>
      </c>
      <c r="CI451" s="1" t="s">
        <v>220</v>
      </c>
      <c r="CJ451" s="1" t="s">
        <v>252</v>
      </c>
      <c r="CK451" s="1" t="s">
        <v>228</v>
      </c>
      <c r="CL451" s="1" t="s">
        <v>277</v>
      </c>
      <c r="CM451" s="1" t="s">
        <v>220</v>
      </c>
      <c r="CN451" s="1" t="s">
        <v>252</v>
      </c>
      <c r="CO451" s="1" t="s">
        <v>1358</v>
      </c>
      <c r="CP451" s="1" t="s">
        <v>219</v>
      </c>
      <c r="CQ451" s="1" t="s">
        <v>220</v>
      </c>
      <c r="CR451" s="1" t="s">
        <v>252</v>
      </c>
      <c r="CS451" s="1" t="s">
        <v>379</v>
      </c>
      <c r="CT451" s="1" t="s">
        <v>277</v>
      </c>
      <c r="CU451" s="1" t="s">
        <v>220</v>
      </c>
      <c r="CV451" s="1" t="s">
        <v>252</v>
      </c>
      <c r="CX451" s="1" t="s">
        <v>224</v>
      </c>
      <c r="DB451" s="1" t="s">
        <v>224</v>
      </c>
      <c r="DE451" s="1" t="s">
        <v>379</v>
      </c>
      <c r="DF451" s="1" t="s">
        <v>219</v>
      </c>
      <c r="DG451" s="1" t="s">
        <v>229</v>
      </c>
      <c r="DH451" s="1" t="s">
        <v>210</v>
      </c>
      <c r="DI451" s="1" t="s">
        <v>1533</v>
      </c>
      <c r="DJ451" s="1" t="s">
        <v>219</v>
      </c>
      <c r="DK451" s="1" t="s">
        <v>229</v>
      </c>
      <c r="DL451" s="1" t="s">
        <v>252</v>
      </c>
      <c r="DM451" s="1" t="s">
        <v>464</v>
      </c>
      <c r="DR451" s="1" t="s">
        <v>317</v>
      </c>
      <c r="DS451" s="1" t="s">
        <v>277</v>
      </c>
      <c r="DT451" s="1" t="s">
        <v>220</v>
      </c>
      <c r="DU451" s="1" t="s">
        <v>252</v>
      </c>
      <c r="DW451" s="1" t="s">
        <v>230</v>
      </c>
      <c r="EA451" s="1" t="s">
        <v>230</v>
      </c>
      <c r="EE451" s="1" t="s">
        <v>230</v>
      </c>
      <c r="EI451" s="1" t="s">
        <v>230</v>
      </c>
      <c r="EL451" s="1" t="s">
        <v>670</v>
      </c>
      <c r="EM451" s="1" t="s">
        <v>319</v>
      </c>
      <c r="EN451" s="1" t="s">
        <v>282</v>
      </c>
      <c r="EO451" s="1" t="s">
        <v>234</v>
      </c>
      <c r="EQ451" s="1" t="s">
        <v>236</v>
      </c>
      <c r="ER451" s="1" t="s">
        <v>383</v>
      </c>
      <c r="ES451" s="1" t="s">
        <v>608</v>
      </c>
      <c r="EU451" s="1" t="s">
        <v>239</v>
      </c>
      <c r="EV451" s="1" t="s">
        <v>240</v>
      </c>
      <c r="EW451" s="1" t="s">
        <v>353</v>
      </c>
      <c r="EY451" s="1" t="s">
        <v>242</v>
      </c>
      <c r="EZ451" s="1" t="s">
        <v>464</v>
      </c>
      <c r="FA451" s="1" t="s">
        <v>1726</v>
      </c>
      <c r="FB451" s="1" t="s">
        <v>289</v>
      </c>
      <c r="FD451" s="1" t="s">
        <v>246</v>
      </c>
      <c r="FE451" s="1" t="s">
        <v>386</v>
      </c>
      <c r="FF451" s="1" t="s">
        <v>248</v>
      </c>
      <c r="FH451" s="1" t="s">
        <v>550</v>
      </c>
      <c r="FI451" s="1" t="s">
        <v>473</v>
      </c>
      <c r="FJ451" s="1" t="s">
        <v>197</v>
      </c>
      <c r="FL451" s="1" t="s">
        <v>358</v>
      </c>
      <c r="FM451" s="1" t="s">
        <v>252</v>
      </c>
      <c r="FN451" s="1" t="s">
        <v>213</v>
      </c>
      <c r="FO451" s="1" t="s">
        <v>213</v>
      </c>
      <c r="FQ451" s="1" t="s">
        <v>293</v>
      </c>
      <c r="FR451" s="1" t="s">
        <v>652</v>
      </c>
      <c r="FS451" s="1" t="s">
        <v>5061</v>
      </c>
      <c r="FT451" s="1" t="s">
        <v>295</v>
      </c>
      <c r="FU451" s="1" t="s">
        <v>204</v>
      </c>
      <c r="FW451" s="1" t="s">
        <v>256</v>
      </c>
      <c r="FX451" s="1">
        <v>8079</v>
      </c>
      <c r="FY451" s="1" t="s">
        <v>3625</v>
      </c>
      <c r="FZ451" s="1" t="s">
        <v>5062</v>
      </c>
      <c r="GA451" s="1">
        <v>920884</v>
      </c>
      <c r="GB451" s="1" t="s">
        <v>5063</v>
      </c>
      <c r="GE451" s="1" t="s">
        <v>480</v>
      </c>
      <c r="GI451" s="1" t="s">
        <v>213</v>
      </c>
      <c r="GJ451" s="1" t="s">
        <v>260</v>
      </c>
      <c r="GK451" s="1" t="s">
        <v>261</v>
      </c>
      <c r="GL451" s="2">
        <v>42027</v>
      </c>
    </row>
    <row r="452" spans="1:195">
      <c r="A452" s="1">
        <v>160000</v>
      </c>
      <c r="B452" s="1" t="s">
        <v>195</v>
      </c>
      <c r="C452" s="1" t="str">
        <f>"08799401"</f>
        <v>08799401</v>
      </c>
      <c r="D452" s="1" t="s">
        <v>196</v>
      </c>
      <c r="F452" s="1" t="str">
        <f>"104"</f>
        <v>104</v>
      </c>
      <c r="G452" s="2">
        <v>41982</v>
      </c>
      <c r="H452" s="1">
        <v>163000</v>
      </c>
      <c r="I452" s="1">
        <v>163000</v>
      </c>
      <c r="J452" s="1">
        <v>160000</v>
      </c>
      <c r="K452" s="2">
        <v>41981</v>
      </c>
      <c r="L452" s="1">
        <v>26</v>
      </c>
      <c r="M452" s="2">
        <v>42006</v>
      </c>
      <c r="N452" s="1">
        <v>26</v>
      </c>
      <c r="O452" s="2">
        <v>42006</v>
      </c>
      <c r="P452" s="1">
        <v>25309</v>
      </c>
      <c r="Q452" s="1" t="s">
        <v>197</v>
      </c>
      <c r="R452" s="2">
        <v>42045</v>
      </c>
      <c r="S452" s="1">
        <v>253571</v>
      </c>
      <c r="U452" s="1">
        <v>362</v>
      </c>
      <c r="V452" s="1" t="s">
        <v>6004</v>
      </c>
      <c r="W452" s="1" t="s">
        <v>449</v>
      </c>
      <c r="X452" s="1">
        <v>1</v>
      </c>
      <c r="Y452" s="1">
        <v>4</v>
      </c>
      <c r="Z452" s="1" t="s">
        <v>249</v>
      </c>
      <c r="AA452" s="1" t="s">
        <v>371</v>
      </c>
      <c r="AB452" s="1">
        <v>60103</v>
      </c>
      <c r="AD452" s="1" t="s">
        <v>4115</v>
      </c>
      <c r="AE452" s="1" t="s">
        <v>6005</v>
      </c>
      <c r="AF452" s="1">
        <v>1991</v>
      </c>
      <c r="AG452" s="1" t="s">
        <v>204</v>
      </c>
      <c r="AH452" s="1" t="s">
        <v>373</v>
      </c>
      <c r="AI452" s="1" t="s">
        <v>206</v>
      </c>
      <c r="AJ452" s="1" t="s">
        <v>2654</v>
      </c>
      <c r="AK452" s="1" t="s">
        <v>6006</v>
      </c>
      <c r="AL452" s="1">
        <v>7</v>
      </c>
      <c r="AM452" s="1">
        <v>2</v>
      </c>
      <c r="AN452" s="1">
        <v>2</v>
      </c>
      <c r="AO452" s="1">
        <v>0</v>
      </c>
      <c r="AP452" s="1" t="s">
        <v>209</v>
      </c>
      <c r="AQ452" s="1">
        <v>1</v>
      </c>
      <c r="AR452" s="1" t="s">
        <v>210</v>
      </c>
      <c r="AS452" s="1" t="s">
        <v>204</v>
      </c>
      <c r="AT452" s="1" t="s">
        <v>211</v>
      </c>
      <c r="AU452" s="1">
        <v>2</v>
      </c>
      <c r="AW452" s="1" t="s">
        <v>204</v>
      </c>
      <c r="AX452" s="1" t="s">
        <v>579</v>
      </c>
      <c r="AZ452" s="1">
        <v>5003</v>
      </c>
      <c r="BA452" s="1">
        <v>2013</v>
      </c>
      <c r="BB452" s="1" t="s">
        <v>2694</v>
      </c>
      <c r="BE452" s="1">
        <v>1418</v>
      </c>
      <c r="BF452" s="1">
        <v>1</v>
      </c>
      <c r="BG452" s="1">
        <v>0</v>
      </c>
      <c r="BL452" s="1">
        <v>250</v>
      </c>
      <c r="BM452" s="1" t="s">
        <v>204</v>
      </c>
      <c r="BN452" s="1" t="s">
        <v>213</v>
      </c>
      <c r="BO452" s="1">
        <v>20</v>
      </c>
      <c r="BP452" s="1" t="s">
        <v>204</v>
      </c>
      <c r="BR452" s="1" t="str">
        <f>"0114430037"</f>
        <v>0114430037</v>
      </c>
      <c r="BT452" s="1" t="s">
        <v>6007</v>
      </c>
      <c r="BX452" s="1">
        <v>46</v>
      </c>
      <c r="BY452" s="1">
        <v>46</v>
      </c>
      <c r="BZ452" s="1">
        <v>46</v>
      </c>
      <c r="CB452" s="1" t="str">
        <f t="shared" ref="CB452:CC452" si="355">""</f>
        <v/>
      </c>
      <c r="CC452" s="1" t="str">
        <f t="shared" si="355"/>
        <v/>
      </c>
      <c r="CG452" s="1" t="s">
        <v>228</v>
      </c>
      <c r="CH452" s="1" t="s">
        <v>219</v>
      </c>
      <c r="CI452" s="1" t="s">
        <v>220</v>
      </c>
      <c r="CJ452" s="1" t="s">
        <v>343</v>
      </c>
      <c r="CK452" s="1" t="s">
        <v>539</v>
      </c>
      <c r="CL452" s="1" t="s">
        <v>219</v>
      </c>
      <c r="CM452" s="1" t="s">
        <v>220</v>
      </c>
      <c r="CN452" s="1" t="s">
        <v>343</v>
      </c>
      <c r="CO452" s="1" t="s">
        <v>278</v>
      </c>
      <c r="CP452" s="1" t="s">
        <v>219</v>
      </c>
      <c r="CQ452" s="1" t="s">
        <v>220</v>
      </c>
      <c r="CR452" s="1" t="s">
        <v>343</v>
      </c>
      <c r="CS452" s="1" t="s">
        <v>318</v>
      </c>
      <c r="CT452" s="1" t="s">
        <v>219</v>
      </c>
      <c r="CU452" s="1" t="s">
        <v>220</v>
      </c>
      <c r="CV452" s="1" t="s">
        <v>343</v>
      </c>
      <c r="CX452" s="1" t="s">
        <v>224</v>
      </c>
      <c r="DB452" s="1" t="s">
        <v>224</v>
      </c>
      <c r="DE452" s="1" t="s">
        <v>1297</v>
      </c>
      <c r="DF452" s="1" t="s">
        <v>219</v>
      </c>
      <c r="DG452" s="1" t="s">
        <v>226</v>
      </c>
      <c r="DJ452" s="1" t="s">
        <v>224</v>
      </c>
      <c r="DM452" s="1" t="s">
        <v>381</v>
      </c>
      <c r="DN452" s="1" t="s">
        <v>1005</v>
      </c>
      <c r="DR452" s="1" t="s">
        <v>1571</v>
      </c>
      <c r="DS452" s="1" t="s">
        <v>219</v>
      </c>
      <c r="DT452" s="1" t="s">
        <v>226</v>
      </c>
      <c r="DV452" s="1" t="s">
        <v>281</v>
      </c>
      <c r="DW452" s="1" t="s">
        <v>219</v>
      </c>
      <c r="DX452" s="1" t="s">
        <v>220</v>
      </c>
      <c r="EA452" s="1" t="s">
        <v>230</v>
      </c>
      <c r="EE452" s="1" t="s">
        <v>230</v>
      </c>
      <c r="EI452" s="1" t="s">
        <v>230</v>
      </c>
      <c r="EL452" s="1" t="s">
        <v>382</v>
      </c>
      <c r="EM452" s="1" t="s">
        <v>232</v>
      </c>
      <c r="EN452" s="1" t="s">
        <v>282</v>
      </c>
      <c r="EO452" s="1" t="s">
        <v>234</v>
      </c>
      <c r="EQ452" s="1" t="s">
        <v>953</v>
      </c>
      <c r="ER452" s="1" t="s">
        <v>210</v>
      </c>
      <c r="ES452" s="1" t="s">
        <v>322</v>
      </c>
      <c r="ET452" s="1" t="s">
        <v>842</v>
      </c>
      <c r="EV452" s="1" t="s">
        <v>240</v>
      </c>
      <c r="EW452" s="1" t="s">
        <v>353</v>
      </c>
      <c r="EY452" s="1" t="s">
        <v>242</v>
      </c>
      <c r="EZ452" s="1" t="s">
        <v>6008</v>
      </c>
      <c r="FD452" s="1" t="s">
        <v>246</v>
      </c>
      <c r="FE452" s="1" t="s">
        <v>386</v>
      </c>
      <c r="FF452" s="1" t="s">
        <v>248</v>
      </c>
      <c r="FG452" s="1" t="s">
        <v>1204</v>
      </c>
      <c r="FH452" s="1" t="s">
        <v>249</v>
      </c>
      <c r="FL452" s="1" t="s">
        <v>414</v>
      </c>
      <c r="FM452" s="1" t="s">
        <v>252</v>
      </c>
      <c r="FN452" s="1" t="s">
        <v>213</v>
      </c>
      <c r="FO452" s="1" t="s">
        <v>213</v>
      </c>
      <c r="FQ452" s="1" t="s">
        <v>793</v>
      </c>
      <c r="FR452" s="1" t="s">
        <v>210</v>
      </c>
      <c r="FS452" s="1" t="s">
        <v>6009</v>
      </c>
      <c r="FT452" s="1" t="s">
        <v>295</v>
      </c>
      <c r="FU452" s="1" t="s">
        <v>204</v>
      </c>
      <c r="FV452" s="1" t="s">
        <v>6010</v>
      </c>
      <c r="FW452" s="1" t="s">
        <v>915</v>
      </c>
      <c r="FX452" s="1">
        <v>25200</v>
      </c>
      <c r="FY452" s="1" t="s">
        <v>6011</v>
      </c>
      <c r="FZ452" s="1" t="s">
        <v>6012</v>
      </c>
      <c r="GA452" s="1">
        <v>238008</v>
      </c>
      <c r="GE452" s="1" t="s">
        <v>210</v>
      </c>
      <c r="GI452" s="1" t="s">
        <v>213</v>
      </c>
      <c r="GJ452" s="1" t="s">
        <v>260</v>
      </c>
      <c r="GK452" s="1" t="s">
        <v>210</v>
      </c>
      <c r="GL452" s="2">
        <v>42045</v>
      </c>
      <c r="GM452" s="1" t="s">
        <v>6013</v>
      </c>
    </row>
    <row r="453" spans="1:195">
      <c r="A453" s="1">
        <v>123500</v>
      </c>
      <c r="B453" s="1" t="s">
        <v>195</v>
      </c>
      <c r="C453" s="1" t="str">
        <f>"08797225"</f>
        <v>08797225</v>
      </c>
      <c r="D453" s="1" t="s">
        <v>196</v>
      </c>
      <c r="F453" s="1" t="str">
        <f>"85"</f>
        <v>85</v>
      </c>
      <c r="G453" s="2">
        <v>41977</v>
      </c>
      <c r="H453" s="1">
        <v>124900</v>
      </c>
      <c r="I453" s="1">
        <v>124900</v>
      </c>
      <c r="J453" s="1">
        <v>123500</v>
      </c>
      <c r="K453" s="2">
        <v>41977</v>
      </c>
      <c r="L453" s="1">
        <v>13</v>
      </c>
      <c r="M453" s="2">
        <v>41989</v>
      </c>
      <c r="N453" s="1">
        <v>13</v>
      </c>
      <c r="O453" s="2">
        <v>41989</v>
      </c>
      <c r="P453" s="1">
        <v>2472</v>
      </c>
      <c r="Q453" s="1" t="s">
        <v>197</v>
      </c>
      <c r="R453" s="2">
        <v>42025</v>
      </c>
      <c r="S453" s="1">
        <v>26885</v>
      </c>
      <c r="T453" s="1">
        <v>3500</v>
      </c>
      <c r="U453" s="1">
        <v>4521</v>
      </c>
      <c r="V453" s="1" t="s">
        <v>2506</v>
      </c>
      <c r="W453" s="1" t="s">
        <v>504</v>
      </c>
      <c r="Y453" s="1">
        <v>4</v>
      </c>
      <c r="Z453" s="1" t="s">
        <v>200</v>
      </c>
      <c r="AA453" s="1" t="s">
        <v>2507</v>
      </c>
      <c r="AB453" s="1">
        <v>60085</v>
      </c>
      <c r="AD453" s="1" t="s">
        <v>6014</v>
      </c>
      <c r="AE453" s="1" t="s">
        <v>6015</v>
      </c>
      <c r="AF453" s="1">
        <v>1995</v>
      </c>
      <c r="AG453" s="1" t="s">
        <v>204</v>
      </c>
      <c r="AH453" s="1" t="s">
        <v>2509</v>
      </c>
      <c r="AI453" s="1" t="s">
        <v>509</v>
      </c>
      <c r="AJ453" s="1" t="s">
        <v>2509</v>
      </c>
      <c r="AL453" s="1">
        <v>5</v>
      </c>
      <c r="AM453" s="1">
        <v>2</v>
      </c>
      <c r="AN453" s="1">
        <v>2</v>
      </c>
      <c r="AO453" s="1">
        <v>1</v>
      </c>
      <c r="AP453" s="1" t="s">
        <v>209</v>
      </c>
      <c r="AQ453" s="1">
        <v>1</v>
      </c>
      <c r="AR453" s="1" t="s">
        <v>210</v>
      </c>
      <c r="AS453" s="1" t="s">
        <v>204</v>
      </c>
      <c r="AT453" s="1" t="s">
        <v>211</v>
      </c>
      <c r="AU453" s="1">
        <v>1</v>
      </c>
      <c r="AW453" s="1" t="s">
        <v>204</v>
      </c>
      <c r="AX453" s="1" t="s">
        <v>212</v>
      </c>
      <c r="AZ453" s="1">
        <v>4832</v>
      </c>
      <c r="BA453" s="1">
        <v>2013</v>
      </c>
      <c r="BB453" s="1" t="s">
        <v>210</v>
      </c>
      <c r="BE453" s="1">
        <v>1205</v>
      </c>
      <c r="BF453" s="1">
        <v>1</v>
      </c>
      <c r="BG453" s="1">
        <v>0</v>
      </c>
      <c r="BL453" s="1">
        <v>167</v>
      </c>
      <c r="BM453" s="1" t="s">
        <v>204</v>
      </c>
      <c r="BN453" s="1" t="s">
        <v>213</v>
      </c>
      <c r="BO453" s="1">
        <v>999</v>
      </c>
      <c r="BP453" s="1" t="s">
        <v>204</v>
      </c>
      <c r="BR453" s="1" t="str">
        <f>"07352100190000"</f>
        <v>07352100190000</v>
      </c>
      <c r="BT453" s="1" t="s">
        <v>6016</v>
      </c>
      <c r="BU453" s="1" t="s">
        <v>1064</v>
      </c>
      <c r="BV453" s="1" t="s">
        <v>1065</v>
      </c>
      <c r="BW453" s="1" t="s">
        <v>1066</v>
      </c>
      <c r="BX453" s="1">
        <v>50</v>
      </c>
      <c r="BY453" s="1">
        <v>50</v>
      </c>
      <c r="BZ453" s="1">
        <v>121</v>
      </c>
      <c r="CB453" s="1" t="str">
        <f>"32"</f>
        <v>32</v>
      </c>
      <c r="CC453" s="1" t="str">
        <f>"0"</f>
        <v>0</v>
      </c>
      <c r="CD453" s="1">
        <v>14</v>
      </c>
      <c r="CE453" s="1">
        <v>0</v>
      </c>
      <c r="CG453" s="1" t="s">
        <v>2511</v>
      </c>
      <c r="CH453" s="1" t="s">
        <v>219</v>
      </c>
      <c r="CI453" s="1" t="s">
        <v>229</v>
      </c>
      <c r="CK453" s="1" t="s">
        <v>1155</v>
      </c>
      <c r="CL453" s="1" t="s">
        <v>277</v>
      </c>
      <c r="CM453" s="1" t="s">
        <v>220</v>
      </c>
      <c r="CO453" s="1" t="s">
        <v>629</v>
      </c>
      <c r="CP453" s="1" t="s">
        <v>219</v>
      </c>
      <c r="CQ453" s="1" t="s">
        <v>229</v>
      </c>
      <c r="CS453" s="1" t="s">
        <v>465</v>
      </c>
      <c r="CT453" s="1" t="s">
        <v>277</v>
      </c>
      <c r="CU453" s="1" t="s">
        <v>220</v>
      </c>
      <c r="CX453" s="1" t="s">
        <v>224</v>
      </c>
      <c r="DB453" s="1" t="s">
        <v>224</v>
      </c>
      <c r="DE453" s="1" t="s">
        <v>785</v>
      </c>
      <c r="DF453" s="1" t="s">
        <v>219</v>
      </c>
      <c r="DG453" s="1" t="s">
        <v>229</v>
      </c>
      <c r="DH453" s="1" t="s">
        <v>210</v>
      </c>
      <c r="DJ453" s="1" t="s">
        <v>224</v>
      </c>
      <c r="DS453" s="1" t="s">
        <v>230</v>
      </c>
      <c r="DW453" s="1" t="s">
        <v>230</v>
      </c>
      <c r="EA453" s="1" t="s">
        <v>230</v>
      </c>
      <c r="EE453" s="1" t="s">
        <v>230</v>
      </c>
      <c r="EI453" s="1" t="s">
        <v>230</v>
      </c>
      <c r="EL453" s="1" t="s">
        <v>670</v>
      </c>
      <c r="EM453" s="1" t="s">
        <v>319</v>
      </c>
      <c r="EN453" s="1" t="s">
        <v>282</v>
      </c>
      <c r="EO453" s="1" t="s">
        <v>234</v>
      </c>
      <c r="EQ453" s="1" t="s">
        <v>1551</v>
      </c>
      <c r="ER453" s="1" t="s">
        <v>210</v>
      </c>
      <c r="ES453" s="1" t="s">
        <v>493</v>
      </c>
      <c r="EU453" s="1" t="s">
        <v>610</v>
      </c>
      <c r="EV453" s="1" t="s">
        <v>240</v>
      </c>
      <c r="EW453" s="1" t="s">
        <v>887</v>
      </c>
      <c r="EY453" s="1" t="s">
        <v>1315</v>
      </c>
      <c r="EZ453" s="1" t="s">
        <v>287</v>
      </c>
      <c r="FA453" s="1" t="s">
        <v>1427</v>
      </c>
      <c r="FC453" s="1" t="s">
        <v>1362</v>
      </c>
      <c r="FD453" s="1" t="s">
        <v>246</v>
      </c>
      <c r="FE453" s="1" t="s">
        <v>472</v>
      </c>
      <c r="FF453" s="1" t="s">
        <v>387</v>
      </c>
      <c r="FH453" s="1" t="s">
        <v>550</v>
      </c>
      <c r="FI453" s="1" t="s">
        <v>357</v>
      </c>
      <c r="FL453" s="1" t="s">
        <v>358</v>
      </c>
      <c r="FM453" s="1" t="s">
        <v>252</v>
      </c>
      <c r="FN453" s="1" t="s">
        <v>213</v>
      </c>
      <c r="FO453" s="1" t="s">
        <v>213</v>
      </c>
      <c r="FQ453" s="1" t="s">
        <v>6017</v>
      </c>
      <c r="FR453" s="1" t="s">
        <v>210</v>
      </c>
      <c r="FS453" s="1" t="s">
        <v>6018</v>
      </c>
      <c r="FT453" s="1" t="s">
        <v>295</v>
      </c>
      <c r="FU453" s="1" t="s">
        <v>204</v>
      </c>
      <c r="FW453" s="1" t="s">
        <v>1637</v>
      </c>
      <c r="FX453" s="1">
        <v>2626</v>
      </c>
      <c r="FY453" s="1" t="s">
        <v>1638</v>
      </c>
      <c r="FZ453" s="1" t="s">
        <v>6019</v>
      </c>
      <c r="GA453" s="1">
        <v>239530</v>
      </c>
      <c r="GD453" s="1" t="s">
        <v>6020</v>
      </c>
      <c r="GE453" s="1" t="s">
        <v>480</v>
      </c>
      <c r="GH453" s="1" t="s">
        <v>589</v>
      </c>
      <c r="GI453" s="1" t="s">
        <v>213</v>
      </c>
      <c r="GJ453" s="1" t="s">
        <v>260</v>
      </c>
      <c r="GK453" s="1" t="s">
        <v>210</v>
      </c>
      <c r="GL453" s="2">
        <v>42026</v>
      </c>
      <c r="GM453" s="1" t="s">
        <v>6021</v>
      </c>
    </row>
    <row r="454" spans="1:195">
      <c r="A454" s="1">
        <v>75600</v>
      </c>
      <c r="B454" s="1" t="s">
        <v>195</v>
      </c>
      <c r="C454" s="1" t="str">
        <f>"08794855"</f>
        <v>08794855</v>
      </c>
      <c r="D454" s="1" t="s">
        <v>196</v>
      </c>
      <c r="F454" s="1" t="str">
        <f>"188"</f>
        <v>188</v>
      </c>
      <c r="G454" s="2">
        <v>41974</v>
      </c>
      <c r="H454" s="1">
        <v>75600</v>
      </c>
      <c r="I454" s="1">
        <v>75600</v>
      </c>
      <c r="J454" s="1">
        <v>75600</v>
      </c>
      <c r="K454" s="2">
        <v>41974</v>
      </c>
      <c r="L454" s="1">
        <v>4</v>
      </c>
      <c r="M454" s="2">
        <v>41977</v>
      </c>
      <c r="N454" s="1">
        <v>4</v>
      </c>
      <c r="O454" s="2">
        <v>41977</v>
      </c>
      <c r="P454" s="1">
        <v>23685</v>
      </c>
      <c r="Q454" s="1" t="s">
        <v>302</v>
      </c>
      <c r="R454" s="2">
        <v>41992</v>
      </c>
      <c r="S454" s="1">
        <v>231173</v>
      </c>
      <c r="U454" s="1">
        <v>344</v>
      </c>
      <c r="V454" s="1" t="s">
        <v>1498</v>
      </c>
      <c r="W454" s="1" t="s">
        <v>304</v>
      </c>
      <c r="X454" s="1" t="s">
        <v>800</v>
      </c>
      <c r="Y454" s="1">
        <v>6</v>
      </c>
      <c r="Z454" s="1" t="s">
        <v>249</v>
      </c>
      <c r="AA454" s="1" t="s">
        <v>1084</v>
      </c>
      <c r="AB454" s="1">
        <v>60188</v>
      </c>
      <c r="AD454" s="1" t="s">
        <v>6022</v>
      </c>
      <c r="AE454" s="1" t="s">
        <v>6023</v>
      </c>
      <c r="AF454" s="1">
        <v>1986</v>
      </c>
      <c r="AG454" s="1" t="s">
        <v>204</v>
      </c>
      <c r="AH454" s="1" t="s">
        <v>1087</v>
      </c>
      <c r="AI454" s="1" t="s">
        <v>206</v>
      </c>
      <c r="AJ454" s="1" t="s">
        <v>269</v>
      </c>
      <c r="AL454" s="1">
        <v>5</v>
      </c>
      <c r="AM454" s="1">
        <v>2</v>
      </c>
      <c r="AN454" s="1">
        <v>1</v>
      </c>
      <c r="AO454" s="1">
        <v>1</v>
      </c>
      <c r="AP454" s="1" t="s">
        <v>1234</v>
      </c>
      <c r="AR454" s="1" t="s">
        <v>210</v>
      </c>
      <c r="AT454" s="1" t="s">
        <v>271</v>
      </c>
      <c r="AV454" s="1">
        <v>2</v>
      </c>
      <c r="AW454" s="1" t="s">
        <v>204</v>
      </c>
      <c r="AX454" s="1" t="s">
        <v>212</v>
      </c>
      <c r="AZ454" s="1">
        <v>1801</v>
      </c>
      <c r="BA454" s="1">
        <v>2013</v>
      </c>
      <c r="BE454" s="1">
        <v>845</v>
      </c>
      <c r="BF454" s="1">
        <v>3</v>
      </c>
      <c r="BG454" s="1">
        <v>0</v>
      </c>
      <c r="BL454" s="1">
        <v>277</v>
      </c>
      <c r="BM454" s="1" t="s">
        <v>213</v>
      </c>
      <c r="BN454" s="1" t="s">
        <v>213</v>
      </c>
      <c r="BO454" s="1">
        <v>0</v>
      </c>
      <c r="BP454" s="1" t="s">
        <v>204</v>
      </c>
      <c r="BR454" s="1" t="str">
        <f>"0229117215"</f>
        <v>0229117215</v>
      </c>
      <c r="BT454" s="1" t="s">
        <v>6024</v>
      </c>
      <c r="BX454" s="1">
        <v>93</v>
      </c>
      <c r="BY454" s="1">
        <v>93</v>
      </c>
      <c r="BZ454" s="1">
        <v>87</v>
      </c>
      <c r="CB454" s="1" t="str">
        <f t="shared" ref="CB454:CC454" si="356">""</f>
        <v/>
      </c>
      <c r="CC454" s="1" t="str">
        <f t="shared" si="356"/>
        <v/>
      </c>
      <c r="CG454" s="1" t="s">
        <v>729</v>
      </c>
      <c r="CH454" s="1" t="s">
        <v>784</v>
      </c>
      <c r="CI454" s="1" t="s">
        <v>229</v>
      </c>
      <c r="CJ454" s="1" t="s">
        <v>210</v>
      </c>
      <c r="CK454" s="1" t="s">
        <v>757</v>
      </c>
      <c r="CL454" s="1" t="s">
        <v>784</v>
      </c>
      <c r="CM454" s="1" t="s">
        <v>220</v>
      </c>
      <c r="CN454" s="1" t="s">
        <v>210</v>
      </c>
      <c r="CO454" s="1" t="s">
        <v>630</v>
      </c>
      <c r="CP454" s="1" t="s">
        <v>784</v>
      </c>
      <c r="CQ454" s="1" t="s">
        <v>229</v>
      </c>
      <c r="CR454" s="1" t="s">
        <v>210</v>
      </c>
      <c r="CS454" s="1" t="s">
        <v>408</v>
      </c>
      <c r="CT454" s="1" t="s">
        <v>784</v>
      </c>
      <c r="CU454" s="1" t="s">
        <v>220</v>
      </c>
      <c r="CV454" s="1" t="s">
        <v>343</v>
      </c>
      <c r="CX454" s="1" t="s">
        <v>224</v>
      </c>
      <c r="DB454" s="1" t="s">
        <v>224</v>
      </c>
      <c r="DE454" s="1" t="s">
        <v>408</v>
      </c>
      <c r="DF454" s="1" t="s">
        <v>784</v>
      </c>
      <c r="DG454" s="1" t="s">
        <v>226</v>
      </c>
      <c r="DH454" s="1" t="s">
        <v>210</v>
      </c>
      <c r="DJ454" s="1" t="s">
        <v>224</v>
      </c>
      <c r="DS454" s="1" t="s">
        <v>230</v>
      </c>
      <c r="DW454" s="1" t="s">
        <v>230</v>
      </c>
      <c r="EA454" s="1" t="s">
        <v>230</v>
      </c>
      <c r="EE454" s="1" t="s">
        <v>230</v>
      </c>
      <c r="EI454" s="1" t="s">
        <v>230</v>
      </c>
      <c r="EL454" s="1" t="s">
        <v>542</v>
      </c>
      <c r="EM454" s="1" t="s">
        <v>319</v>
      </c>
      <c r="EN454" s="1" t="s">
        <v>1158</v>
      </c>
      <c r="EO454" s="1" t="s">
        <v>234</v>
      </c>
      <c r="EP454" s="1" t="s">
        <v>6025</v>
      </c>
      <c r="ER454" s="1" t="s">
        <v>383</v>
      </c>
      <c r="EW454" s="1" t="s">
        <v>286</v>
      </c>
      <c r="EY454" s="1" t="s">
        <v>242</v>
      </c>
      <c r="EZ454" s="1" t="s">
        <v>287</v>
      </c>
      <c r="FB454" s="1" t="s">
        <v>289</v>
      </c>
      <c r="FC454" s="1" t="s">
        <v>1555</v>
      </c>
      <c r="FD454" s="1" t="s">
        <v>246</v>
      </c>
      <c r="FE454" s="1" t="s">
        <v>247</v>
      </c>
      <c r="FF454" s="1" t="s">
        <v>248</v>
      </c>
      <c r="FH454" s="1" t="s">
        <v>249</v>
      </c>
      <c r="FJ454" s="1" t="s">
        <v>1472</v>
      </c>
      <c r="FL454" s="1" t="s">
        <v>292</v>
      </c>
      <c r="FM454" s="1" t="s">
        <v>252</v>
      </c>
      <c r="FN454" s="1" t="s">
        <v>213</v>
      </c>
      <c r="FO454" s="1" t="s">
        <v>213</v>
      </c>
      <c r="FQ454" s="1" t="s">
        <v>6026</v>
      </c>
      <c r="FR454" s="1" t="s">
        <v>210</v>
      </c>
      <c r="FS454" s="1" t="s">
        <v>6027</v>
      </c>
      <c r="FT454" s="1" t="s">
        <v>362</v>
      </c>
      <c r="FU454" s="1" t="s">
        <v>213</v>
      </c>
      <c r="FW454" s="1" t="s">
        <v>6028</v>
      </c>
      <c r="FX454" s="1">
        <v>1800</v>
      </c>
      <c r="FY454" s="1" t="s">
        <v>6029</v>
      </c>
      <c r="FZ454" s="1" t="s">
        <v>6030</v>
      </c>
      <c r="GA454" s="1">
        <v>21282</v>
      </c>
      <c r="GB454" s="1" t="s">
        <v>6031</v>
      </c>
      <c r="GE454" s="1" t="s">
        <v>480</v>
      </c>
      <c r="GI454" s="1" t="s">
        <v>213</v>
      </c>
      <c r="GJ454" s="1" t="s">
        <v>260</v>
      </c>
      <c r="GK454" s="1" t="s">
        <v>210</v>
      </c>
      <c r="GL454" s="2">
        <v>41993</v>
      </c>
      <c r="GM454" s="1" t="s">
        <v>6032</v>
      </c>
    </row>
    <row r="455" spans="1:195">
      <c r="A455" s="1">
        <v>130399</v>
      </c>
      <c r="B455" s="1" t="s">
        <v>195</v>
      </c>
      <c r="C455" s="1" t="str">
        <f>"08798391"</f>
        <v>08798391</v>
      </c>
      <c r="D455" s="1" t="s">
        <v>196</v>
      </c>
      <c r="F455" s="1" t="str">
        <f>"540"</f>
        <v>540</v>
      </c>
      <c r="G455" s="2">
        <v>41981</v>
      </c>
      <c r="H455" s="1">
        <v>154000</v>
      </c>
      <c r="I455" s="1">
        <v>138900</v>
      </c>
      <c r="J455" s="1">
        <v>130399</v>
      </c>
      <c r="K455" s="2">
        <v>41981</v>
      </c>
      <c r="L455" s="1">
        <v>75</v>
      </c>
      <c r="M455" s="2">
        <v>42055</v>
      </c>
      <c r="N455" s="1">
        <v>75</v>
      </c>
      <c r="O455" s="2">
        <v>42055</v>
      </c>
      <c r="P455" s="1">
        <v>2280</v>
      </c>
      <c r="Q455" s="1" t="s">
        <v>302</v>
      </c>
      <c r="R455" s="2">
        <v>42108</v>
      </c>
      <c r="S455" s="1">
        <v>233876</v>
      </c>
      <c r="U455" s="1">
        <v>2965</v>
      </c>
      <c r="V455" s="1" t="s">
        <v>6033</v>
      </c>
      <c r="W455" s="1" t="s">
        <v>449</v>
      </c>
      <c r="Y455" s="1">
        <v>6</v>
      </c>
      <c r="Z455" s="1" t="s">
        <v>249</v>
      </c>
      <c r="AA455" s="1" t="s">
        <v>921</v>
      </c>
      <c r="AB455" s="1">
        <v>60564</v>
      </c>
      <c r="AE455" s="1" t="s">
        <v>6034</v>
      </c>
      <c r="AF455" s="1">
        <v>1998</v>
      </c>
      <c r="AG455" s="1" t="s">
        <v>204</v>
      </c>
      <c r="AH455" s="1" t="s">
        <v>924</v>
      </c>
      <c r="AI455" s="1" t="s">
        <v>206</v>
      </c>
      <c r="AJ455" s="1" t="s">
        <v>924</v>
      </c>
      <c r="AK455" s="1" t="s">
        <v>6035</v>
      </c>
      <c r="AL455" s="1">
        <v>5</v>
      </c>
      <c r="AM455" s="1">
        <v>2</v>
      </c>
      <c r="AN455" s="1">
        <v>1</v>
      </c>
      <c r="AO455" s="1">
        <v>1</v>
      </c>
      <c r="AP455" s="1" t="s">
        <v>210</v>
      </c>
      <c r="AR455" s="1" t="s">
        <v>210</v>
      </c>
      <c r="AS455" s="1" t="s">
        <v>204</v>
      </c>
      <c r="AT455" s="1" t="s">
        <v>211</v>
      </c>
      <c r="AU455" s="1">
        <v>1</v>
      </c>
      <c r="AW455" s="1" t="s">
        <v>204</v>
      </c>
      <c r="AX455" s="1" t="s">
        <v>212</v>
      </c>
      <c r="AZ455" s="1">
        <v>3525</v>
      </c>
      <c r="BA455" s="1">
        <v>2013</v>
      </c>
      <c r="BE455" s="1">
        <v>0</v>
      </c>
      <c r="BF455" s="1">
        <v>2</v>
      </c>
      <c r="BG455" s="1">
        <v>0</v>
      </c>
      <c r="BL455" s="1">
        <v>135</v>
      </c>
      <c r="BM455" s="1" t="s">
        <v>413</v>
      </c>
      <c r="BN455" s="1" t="s">
        <v>204</v>
      </c>
      <c r="BP455" s="1" t="s">
        <v>204</v>
      </c>
      <c r="BR455" s="1" t="str">
        <f>"0734314205"</f>
        <v>0734314205</v>
      </c>
      <c r="BT455" s="1" t="s">
        <v>3770</v>
      </c>
      <c r="BX455" s="1">
        <v>204</v>
      </c>
      <c r="BY455" s="1">
        <v>204</v>
      </c>
      <c r="BZ455" s="1">
        <v>204</v>
      </c>
      <c r="CB455" s="1" t="str">
        <f t="shared" ref="CB455:CC455" si="357">"0"</f>
        <v>0</v>
      </c>
      <c r="CC455" s="1" t="str">
        <f t="shared" si="357"/>
        <v>0</v>
      </c>
      <c r="CD455" s="1">
        <v>29</v>
      </c>
      <c r="CE455" s="1">
        <v>9</v>
      </c>
      <c r="CG455" s="1" t="s">
        <v>3656</v>
      </c>
      <c r="CH455" s="1" t="s">
        <v>219</v>
      </c>
      <c r="CK455" s="1" t="s">
        <v>862</v>
      </c>
      <c r="CL455" s="1" t="s">
        <v>277</v>
      </c>
      <c r="CO455" s="1" t="s">
        <v>318</v>
      </c>
      <c r="CP455" s="1" t="s">
        <v>219</v>
      </c>
      <c r="CS455" s="1" t="s">
        <v>317</v>
      </c>
      <c r="CT455" s="1" t="s">
        <v>277</v>
      </c>
      <c r="CX455" s="1" t="s">
        <v>224</v>
      </c>
      <c r="DB455" s="1" t="s">
        <v>224</v>
      </c>
      <c r="DE455" s="1" t="s">
        <v>318</v>
      </c>
      <c r="DF455" s="1" t="s">
        <v>219</v>
      </c>
      <c r="DJ455" s="1" t="s">
        <v>224</v>
      </c>
      <c r="DS455" s="1" t="s">
        <v>230</v>
      </c>
      <c r="DW455" s="1" t="s">
        <v>230</v>
      </c>
      <c r="EA455" s="1" t="s">
        <v>230</v>
      </c>
      <c r="EE455" s="1" t="s">
        <v>230</v>
      </c>
      <c r="EI455" s="1" t="s">
        <v>230</v>
      </c>
      <c r="EL455" s="1" t="s">
        <v>670</v>
      </c>
      <c r="EM455" s="1" t="s">
        <v>347</v>
      </c>
      <c r="EN455" s="1" t="s">
        <v>282</v>
      </c>
      <c r="EO455" s="1" t="s">
        <v>234</v>
      </c>
      <c r="ER455" s="1" t="s">
        <v>210</v>
      </c>
      <c r="EW455" s="1" t="s">
        <v>6036</v>
      </c>
      <c r="EZ455" s="1" t="s">
        <v>287</v>
      </c>
      <c r="FD455" s="1" t="s">
        <v>1112</v>
      </c>
      <c r="FE455" s="1" t="s">
        <v>472</v>
      </c>
      <c r="FF455" s="1" t="s">
        <v>248</v>
      </c>
      <c r="FH455" s="1" t="s">
        <v>1756</v>
      </c>
      <c r="FL455" s="1" t="s">
        <v>3483</v>
      </c>
      <c r="FM455" s="1" t="s">
        <v>252</v>
      </c>
      <c r="FN455" s="1" t="s">
        <v>213</v>
      </c>
      <c r="FO455" s="1" t="s">
        <v>213</v>
      </c>
      <c r="FQ455" s="1" t="s">
        <v>582</v>
      </c>
      <c r="FR455" s="1" t="s">
        <v>210</v>
      </c>
      <c r="FS455" s="1" t="s">
        <v>3772</v>
      </c>
      <c r="FT455" s="1" t="s">
        <v>6037</v>
      </c>
      <c r="FU455" s="1" t="s">
        <v>204</v>
      </c>
      <c r="FW455" s="1" t="s">
        <v>3774</v>
      </c>
      <c r="FX455" s="1">
        <v>1984</v>
      </c>
      <c r="FY455" s="1" t="s">
        <v>3775</v>
      </c>
      <c r="FZ455" s="1" t="s">
        <v>3776</v>
      </c>
      <c r="GA455" s="1">
        <v>922950</v>
      </c>
      <c r="GE455" s="1" t="s">
        <v>210</v>
      </c>
      <c r="GI455" s="1" t="s">
        <v>204</v>
      </c>
      <c r="GJ455" s="1" t="s">
        <v>260</v>
      </c>
      <c r="GK455" s="1" t="s">
        <v>210</v>
      </c>
      <c r="GL455" s="2">
        <v>42112</v>
      </c>
      <c r="GM455" s="1" t="s">
        <v>6038</v>
      </c>
    </row>
    <row r="456" spans="1:195">
      <c r="A456" s="1">
        <v>119000</v>
      </c>
      <c r="B456" s="1" t="s">
        <v>195</v>
      </c>
      <c r="C456" s="1" t="str">
        <f>"08802046"</f>
        <v>08802046</v>
      </c>
      <c r="D456" s="1" t="s">
        <v>196</v>
      </c>
      <c r="F456" s="1" t="str">
        <f>"515"</f>
        <v>515</v>
      </c>
      <c r="G456" s="2">
        <v>41988</v>
      </c>
      <c r="H456" s="1">
        <v>125900</v>
      </c>
      <c r="I456" s="1">
        <v>125900</v>
      </c>
      <c r="J456" s="1">
        <v>119000</v>
      </c>
      <c r="K456" s="2">
        <v>41988</v>
      </c>
      <c r="L456" s="1">
        <v>87</v>
      </c>
      <c r="M456" s="2">
        <v>42074</v>
      </c>
      <c r="N456" s="1">
        <v>87</v>
      </c>
      <c r="O456" s="2">
        <v>42074</v>
      </c>
      <c r="P456" s="1">
        <v>23156</v>
      </c>
      <c r="Q456" s="1" t="s">
        <v>197</v>
      </c>
      <c r="R456" s="2">
        <v>42118</v>
      </c>
      <c r="S456" s="1">
        <v>237584</v>
      </c>
      <c r="U456" s="1">
        <v>502</v>
      </c>
      <c r="V456" s="1" t="s">
        <v>6039</v>
      </c>
      <c r="W456" s="1" t="s">
        <v>264</v>
      </c>
      <c r="X456" s="1">
        <v>410</v>
      </c>
      <c r="Y456" s="1">
        <v>60</v>
      </c>
      <c r="Z456" s="1" t="s">
        <v>249</v>
      </c>
      <c r="AA456" s="1" t="s">
        <v>1294</v>
      </c>
      <c r="AB456" s="1">
        <v>60516</v>
      </c>
      <c r="AD456" s="1" t="s">
        <v>6040</v>
      </c>
      <c r="AE456" s="1" t="s">
        <v>6041</v>
      </c>
      <c r="AF456" s="1">
        <v>1969</v>
      </c>
      <c r="AG456" s="1" t="s">
        <v>213</v>
      </c>
      <c r="AH456" s="1" t="s">
        <v>882</v>
      </c>
      <c r="AI456" s="1" t="s">
        <v>206</v>
      </c>
      <c r="AJ456" s="1" t="s">
        <v>903</v>
      </c>
      <c r="AL456" s="1">
        <v>5</v>
      </c>
      <c r="AM456" s="1">
        <v>2</v>
      </c>
      <c r="AN456" s="1">
        <v>1</v>
      </c>
      <c r="AO456" s="1">
        <v>1</v>
      </c>
      <c r="AP456" s="1" t="s">
        <v>1234</v>
      </c>
      <c r="AR456" s="1" t="s">
        <v>210</v>
      </c>
      <c r="AS456" s="1" t="s">
        <v>204</v>
      </c>
      <c r="AT456" s="1" t="s">
        <v>211</v>
      </c>
      <c r="AU456" s="1">
        <v>1</v>
      </c>
      <c r="AW456" s="1" t="s">
        <v>204</v>
      </c>
      <c r="AX456" s="1" t="s">
        <v>212</v>
      </c>
      <c r="AZ456" s="1">
        <v>970</v>
      </c>
      <c r="BA456" s="1">
        <v>2013</v>
      </c>
      <c r="BB456" s="1" t="s">
        <v>599</v>
      </c>
      <c r="BE456" s="1">
        <v>1011</v>
      </c>
      <c r="BF456" s="1">
        <v>4</v>
      </c>
      <c r="BG456" s="1">
        <v>30</v>
      </c>
      <c r="BL456" s="1">
        <v>265</v>
      </c>
      <c r="BM456" s="1" t="s">
        <v>204</v>
      </c>
      <c r="BN456" s="1" t="s">
        <v>213</v>
      </c>
      <c r="BP456" s="1" t="s">
        <v>204</v>
      </c>
      <c r="BR456" s="1" t="str">
        <f>"0932218047"</f>
        <v>0932218047</v>
      </c>
      <c r="BT456" s="1" t="s">
        <v>6042</v>
      </c>
      <c r="BU456" s="1" t="s">
        <v>3998</v>
      </c>
      <c r="BV456" s="1" t="s">
        <v>3999</v>
      </c>
      <c r="BW456" s="1" t="s">
        <v>3099</v>
      </c>
      <c r="BX456" s="1">
        <v>66</v>
      </c>
      <c r="BY456" s="1">
        <v>66</v>
      </c>
      <c r="BZ456" s="1">
        <v>99</v>
      </c>
      <c r="CB456" s="1" t="str">
        <f t="shared" ref="CB456:CC456" si="358">""</f>
        <v/>
      </c>
      <c r="CC456" s="1" t="str">
        <f t="shared" si="358"/>
        <v/>
      </c>
      <c r="CG456" s="1" t="s">
        <v>218</v>
      </c>
      <c r="CH456" s="1" t="s">
        <v>219</v>
      </c>
      <c r="CI456" s="1" t="s">
        <v>220</v>
      </c>
      <c r="CK456" s="1" t="s">
        <v>729</v>
      </c>
      <c r="CL456" s="1" t="s">
        <v>219</v>
      </c>
      <c r="CM456" s="1" t="s">
        <v>220</v>
      </c>
      <c r="CO456" s="1" t="s">
        <v>348</v>
      </c>
      <c r="CP456" s="1" t="s">
        <v>219</v>
      </c>
      <c r="CQ456" s="1" t="s">
        <v>220</v>
      </c>
      <c r="CS456" s="1" t="s">
        <v>379</v>
      </c>
      <c r="CT456" s="1" t="s">
        <v>219</v>
      </c>
      <c r="CU456" s="1" t="s">
        <v>220</v>
      </c>
      <c r="CX456" s="1" t="s">
        <v>224</v>
      </c>
      <c r="DB456" s="1" t="s">
        <v>224</v>
      </c>
      <c r="DE456" s="1" t="s">
        <v>785</v>
      </c>
      <c r="DF456" s="1" t="s">
        <v>219</v>
      </c>
      <c r="DG456" s="1" t="s">
        <v>229</v>
      </c>
      <c r="DJ456" s="1" t="s">
        <v>224</v>
      </c>
      <c r="DS456" s="1" t="s">
        <v>230</v>
      </c>
      <c r="DW456" s="1" t="s">
        <v>230</v>
      </c>
      <c r="EA456" s="1" t="s">
        <v>230</v>
      </c>
      <c r="EE456" s="1" t="s">
        <v>230</v>
      </c>
      <c r="EI456" s="1" t="s">
        <v>230</v>
      </c>
      <c r="EL456" s="1" t="s">
        <v>605</v>
      </c>
      <c r="EM456" s="1" t="s">
        <v>232</v>
      </c>
      <c r="EN456" s="1" t="s">
        <v>282</v>
      </c>
      <c r="EO456" s="1" t="s">
        <v>234</v>
      </c>
      <c r="EP456" s="1" t="s">
        <v>6043</v>
      </c>
      <c r="EQ456" s="1" t="s">
        <v>468</v>
      </c>
      <c r="ER456" s="1" t="s">
        <v>210</v>
      </c>
      <c r="ES456" s="1" t="s">
        <v>545</v>
      </c>
      <c r="EV456" s="1" t="s">
        <v>240</v>
      </c>
      <c r="EW456" s="1" t="s">
        <v>2765</v>
      </c>
      <c r="EY456" s="1" t="s">
        <v>242</v>
      </c>
      <c r="EZ456" s="1" t="s">
        <v>287</v>
      </c>
      <c r="FB456" s="1" t="s">
        <v>1505</v>
      </c>
      <c r="FC456" s="1" t="s">
        <v>548</v>
      </c>
      <c r="FD456" s="1" t="s">
        <v>736</v>
      </c>
      <c r="FE456" s="1" t="s">
        <v>247</v>
      </c>
      <c r="FF456" s="1" t="s">
        <v>248</v>
      </c>
      <c r="FH456" s="1" t="s">
        <v>249</v>
      </c>
      <c r="FI456" s="1" t="s">
        <v>4004</v>
      </c>
      <c r="FL456" s="1" t="s">
        <v>414</v>
      </c>
      <c r="FM456" s="1" t="s">
        <v>252</v>
      </c>
      <c r="FN456" s="1" t="s">
        <v>213</v>
      </c>
      <c r="FO456" s="1" t="s">
        <v>213</v>
      </c>
      <c r="FQ456" s="1" t="s">
        <v>2142</v>
      </c>
      <c r="FR456" s="1" t="s">
        <v>210</v>
      </c>
      <c r="FS456" s="1" t="s">
        <v>6044</v>
      </c>
      <c r="FT456" s="1" t="s">
        <v>362</v>
      </c>
      <c r="FU456" s="1" t="s">
        <v>204</v>
      </c>
      <c r="FW456" s="1" t="s">
        <v>585</v>
      </c>
      <c r="FX456" s="1">
        <v>20001</v>
      </c>
      <c r="FY456" s="1" t="s">
        <v>5002</v>
      </c>
      <c r="FZ456" s="1" t="s">
        <v>6045</v>
      </c>
      <c r="GA456" s="1">
        <v>217053</v>
      </c>
      <c r="GB456" s="1" t="s">
        <v>5002</v>
      </c>
      <c r="GD456" s="1" t="s">
        <v>6046</v>
      </c>
      <c r="GE456" s="1" t="s">
        <v>210</v>
      </c>
      <c r="GI456" s="1" t="s">
        <v>213</v>
      </c>
      <c r="GJ456" s="1" t="s">
        <v>260</v>
      </c>
      <c r="GK456" s="1" t="s">
        <v>210</v>
      </c>
      <c r="GL456" s="2">
        <v>42119</v>
      </c>
      <c r="GM456" s="1" t="s">
        <v>6047</v>
      </c>
    </row>
    <row r="457" spans="1:195">
      <c r="A457" s="1">
        <v>355000</v>
      </c>
      <c r="B457" s="1" t="s">
        <v>195</v>
      </c>
      <c r="C457" s="1" t="str">
        <f>"08797057"</f>
        <v>08797057</v>
      </c>
      <c r="D457" s="1" t="s">
        <v>196</v>
      </c>
      <c r="F457" s="1" t="str">
        <f>"522"</f>
        <v>522</v>
      </c>
      <c r="G457" s="2">
        <v>41977</v>
      </c>
      <c r="H457" s="1">
        <v>389000</v>
      </c>
      <c r="I457" s="1">
        <v>389000</v>
      </c>
      <c r="J457" s="1">
        <v>355000</v>
      </c>
      <c r="K457" s="2">
        <v>41977</v>
      </c>
      <c r="L457" s="1">
        <v>25</v>
      </c>
      <c r="M457" s="2">
        <v>42001</v>
      </c>
      <c r="N457" s="1">
        <v>25</v>
      </c>
      <c r="O457" s="2">
        <v>42001</v>
      </c>
      <c r="P457" s="1">
        <v>22205</v>
      </c>
      <c r="Q457" s="1" t="s">
        <v>197</v>
      </c>
      <c r="R457" s="2">
        <v>42090</v>
      </c>
      <c r="S457" s="1">
        <v>221379</v>
      </c>
      <c r="U457" s="1">
        <v>450</v>
      </c>
      <c r="V457" s="1" t="s">
        <v>4045</v>
      </c>
      <c r="W457" s="1" t="s">
        <v>264</v>
      </c>
      <c r="X457" s="1">
        <v>305</v>
      </c>
      <c r="Y457" s="1">
        <v>50</v>
      </c>
      <c r="Z457" s="1" t="s">
        <v>249</v>
      </c>
      <c r="AA457" s="1" t="s">
        <v>698</v>
      </c>
      <c r="AB457" s="1">
        <v>60527</v>
      </c>
      <c r="AE457" s="1" t="s">
        <v>6048</v>
      </c>
      <c r="AF457" s="1">
        <v>2008</v>
      </c>
      <c r="AG457" s="1" t="s">
        <v>204</v>
      </c>
      <c r="AH457" s="1" t="s">
        <v>701</v>
      </c>
      <c r="AI457" s="1" t="s">
        <v>310</v>
      </c>
      <c r="AJ457" s="1" t="s">
        <v>702</v>
      </c>
      <c r="AL457" s="1">
        <v>5</v>
      </c>
      <c r="AM457" s="1">
        <v>2</v>
      </c>
      <c r="AN457" s="1">
        <v>2</v>
      </c>
      <c r="AO457" s="1">
        <v>0</v>
      </c>
      <c r="AP457" s="1" t="s">
        <v>209</v>
      </c>
      <c r="AR457" s="1" t="s">
        <v>210</v>
      </c>
      <c r="AT457" s="1" t="s">
        <v>211</v>
      </c>
      <c r="AU457" s="1">
        <v>1</v>
      </c>
      <c r="AW457" s="1" t="s">
        <v>204</v>
      </c>
      <c r="AX457" s="1" t="s">
        <v>212</v>
      </c>
      <c r="AZ457" s="1">
        <v>6374.93</v>
      </c>
      <c r="BA457" s="1">
        <v>2012</v>
      </c>
      <c r="BE457" s="1">
        <v>0</v>
      </c>
      <c r="BF457" s="1">
        <v>3</v>
      </c>
      <c r="BG457" s="1">
        <v>30</v>
      </c>
      <c r="BL457" s="1">
        <v>484</v>
      </c>
      <c r="BM457" s="1" t="s">
        <v>204</v>
      </c>
      <c r="BN457" s="1" t="s">
        <v>213</v>
      </c>
      <c r="BO457" s="1">
        <v>50</v>
      </c>
      <c r="BP457" s="1" t="s">
        <v>204</v>
      </c>
      <c r="BR457" s="1" t="str">
        <f>"18303000561022"</f>
        <v>18303000561022</v>
      </c>
      <c r="BT457" s="1" t="s">
        <v>6049</v>
      </c>
      <c r="BU457" s="1" t="s">
        <v>704</v>
      </c>
      <c r="BV457" s="1" t="s">
        <v>705</v>
      </c>
      <c r="BW457" s="1" t="s">
        <v>706</v>
      </c>
      <c r="BX457" s="1">
        <v>107</v>
      </c>
      <c r="BY457" s="1">
        <v>107</v>
      </c>
      <c r="BZ457" s="1">
        <v>204</v>
      </c>
      <c r="CB457" s="1" t="str">
        <f t="shared" ref="CB457:CC457" si="359">"0"</f>
        <v>0</v>
      </c>
      <c r="CC457" s="1" t="str">
        <f t="shared" si="359"/>
        <v>0</v>
      </c>
      <c r="CD457" s="1">
        <v>14</v>
      </c>
      <c r="CE457" s="1">
        <v>8</v>
      </c>
      <c r="CG457" s="1" t="s">
        <v>3900</v>
      </c>
      <c r="CH457" s="1" t="s">
        <v>219</v>
      </c>
      <c r="CI457" s="1" t="s">
        <v>438</v>
      </c>
      <c r="CJ457" s="1" t="s">
        <v>343</v>
      </c>
      <c r="CK457" s="1" t="s">
        <v>221</v>
      </c>
      <c r="CL457" s="1" t="s">
        <v>219</v>
      </c>
      <c r="CM457" s="1" t="s">
        <v>220</v>
      </c>
      <c r="CO457" s="1" t="s">
        <v>1200</v>
      </c>
      <c r="CP457" s="1" t="s">
        <v>219</v>
      </c>
      <c r="CQ457" s="1" t="s">
        <v>220</v>
      </c>
      <c r="CS457" s="1" t="s">
        <v>539</v>
      </c>
      <c r="CT457" s="1" t="s">
        <v>219</v>
      </c>
      <c r="CU457" s="1" t="s">
        <v>220</v>
      </c>
      <c r="CX457" s="1" t="s">
        <v>224</v>
      </c>
      <c r="DB457" s="1" t="s">
        <v>224</v>
      </c>
      <c r="DE457" s="1" t="s">
        <v>218</v>
      </c>
      <c r="DF457" s="1" t="s">
        <v>219</v>
      </c>
      <c r="DG457" s="1" t="s">
        <v>438</v>
      </c>
      <c r="DH457" s="1" t="s">
        <v>343</v>
      </c>
      <c r="DJ457" s="1" t="s">
        <v>224</v>
      </c>
      <c r="DS457" s="1" t="s">
        <v>230</v>
      </c>
      <c r="DW457" s="1" t="s">
        <v>230</v>
      </c>
      <c r="EA457" s="1" t="s">
        <v>230</v>
      </c>
      <c r="EE457" s="1" t="s">
        <v>230</v>
      </c>
      <c r="EI457" s="1" t="s">
        <v>230</v>
      </c>
      <c r="EL457" s="1" t="s">
        <v>491</v>
      </c>
      <c r="EM457" s="1" t="s">
        <v>232</v>
      </c>
      <c r="EN457" s="1" t="s">
        <v>282</v>
      </c>
      <c r="EO457" s="1" t="s">
        <v>234</v>
      </c>
      <c r="EP457" s="1" t="s">
        <v>6050</v>
      </c>
      <c r="EQ457" s="1" t="s">
        <v>236</v>
      </c>
      <c r="ER457" s="1" t="s">
        <v>210</v>
      </c>
      <c r="ES457" s="1" t="s">
        <v>865</v>
      </c>
      <c r="ET457" s="1" t="s">
        <v>866</v>
      </c>
      <c r="EV457" s="1" t="s">
        <v>324</v>
      </c>
      <c r="EW457" s="1" t="s">
        <v>286</v>
      </c>
      <c r="EY457" s="1" t="s">
        <v>242</v>
      </c>
      <c r="EZ457" s="1" t="s">
        <v>287</v>
      </c>
      <c r="FB457" s="1" t="s">
        <v>289</v>
      </c>
      <c r="FC457" s="1" t="s">
        <v>735</v>
      </c>
      <c r="FD457" s="1" t="s">
        <v>495</v>
      </c>
      <c r="FE457" s="1" t="s">
        <v>6051</v>
      </c>
      <c r="FF457" s="1" t="s">
        <v>248</v>
      </c>
      <c r="FH457" s="1" t="s">
        <v>249</v>
      </c>
      <c r="FI457" s="1" t="s">
        <v>250</v>
      </c>
      <c r="FL457" s="1" t="s">
        <v>414</v>
      </c>
      <c r="FM457" s="1" t="s">
        <v>252</v>
      </c>
      <c r="FN457" s="1" t="s">
        <v>213</v>
      </c>
      <c r="FO457" s="1" t="s">
        <v>213</v>
      </c>
      <c r="FQ457" s="1" t="s">
        <v>6052</v>
      </c>
      <c r="FR457" s="1" t="s">
        <v>6053</v>
      </c>
      <c r="FS457" s="1" t="s">
        <v>1429</v>
      </c>
      <c r="FT457" s="1" t="s">
        <v>255</v>
      </c>
      <c r="FU457" s="1" t="s">
        <v>204</v>
      </c>
      <c r="FW457" s="1" t="s">
        <v>915</v>
      </c>
      <c r="FX457" s="1">
        <v>22205</v>
      </c>
      <c r="FY457" s="1" t="s">
        <v>2484</v>
      </c>
      <c r="FZ457" s="1" t="s">
        <v>6054</v>
      </c>
      <c r="GA457" s="1">
        <v>224664</v>
      </c>
      <c r="GB457" s="1" t="s">
        <v>6055</v>
      </c>
      <c r="GC457" s="1">
        <v>224797</v>
      </c>
      <c r="GE457" s="1" t="s">
        <v>1576</v>
      </c>
      <c r="GI457" s="1" t="s">
        <v>213</v>
      </c>
      <c r="GJ457" s="1" t="s">
        <v>260</v>
      </c>
      <c r="GK457" s="1" t="s">
        <v>210</v>
      </c>
      <c r="GL457" s="2">
        <v>42090</v>
      </c>
      <c r="GM457" s="1" t="s">
        <v>6056</v>
      </c>
    </row>
    <row r="458" spans="1:195">
      <c r="A458" s="1">
        <v>115000</v>
      </c>
      <c r="B458" s="1" t="s">
        <v>195</v>
      </c>
      <c r="C458" s="1" t="str">
        <f>"08794672"</f>
        <v>08794672</v>
      </c>
      <c r="D458" s="1" t="s">
        <v>196</v>
      </c>
      <c r="F458" s="1" t="str">
        <f>"126"</f>
        <v>126</v>
      </c>
      <c r="G458" s="2">
        <v>41974</v>
      </c>
      <c r="H458" s="1">
        <v>130000</v>
      </c>
      <c r="I458" s="1">
        <v>124900</v>
      </c>
      <c r="J458" s="1">
        <v>115000</v>
      </c>
      <c r="K458" s="2">
        <v>41974</v>
      </c>
      <c r="L458" s="1">
        <v>122</v>
      </c>
      <c r="M458" s="2">
        <v>42095</v>
      </c>
      <c r="N458" s="1">
        <v>122</v>
      </c>
      <c r="O458" s="2">
        <v>42095</v>
      </c>
      <c r="P458" s="1">
        <v>24185</v>
      </c>
      <c r="Q458" s="1" t="s">
        <v>302</v>
      </c>
      <c r="R458" s="2">
        <v>42115</v>
      </c>
      <c r="S458" s="1">
        <v>225877</v>
      </c>
      <c r="U458" s="1">
        <v>130</v>
      </c>
      <c r="V458" s="1" t="s">
        <v>3296</v>
      </c>
      <c r="W458" s="1" t="s">
        <v>425</v>
      </c>
      <c r="X458" s="1">
        <v>202</v>
      </c>
      <c r="Y458" s="1">
        <v>27</v>
      </c>
      <c r="Z458" s="1" t="s">
        <v>249</v>
      </c>
      <c r="AA458" s="1" t="s">
        <v>3169</v>
      </c>
      <c r="AB458" s="1">
        <v>60126</v>
      </c>
      <c r="AD458" s="1" t="s">
        <v>6057</v>
      </c>
      <c r="AE458" s="1" t="s">
        <v>6058</v>
      </c>
      <c r="AF458" s="1">
        <v>1976</v>
      </c>
      <c r="AG458" s="1" t="s">
        <v>213</v>
      </c>
      <c r="AH458" s="1" t="s">
        <v>3172</v>
      </c>
      <c r="AI458" s="1" t="s">
        <v>206</v>
      </c>
      <c r="AJ458" s="1" t="s">
        <v>1233</v>
      </c>
      <c r="AL458" s="1">
        <v>5</v>
      </c>
      <c r="AM458" s="1">
        <v>2</v>
      </c>
      <c r="AN458" s="1">
        <v>1</v>
      </c>
      <c r="AO458" s="1">
        <v>0</v>
      </c>
      <c r="AP458" s="1" t="s">
        <v>667</v>
      </c>
      <c r="AQ458" s="1">
        <v>0</v>
      </c>
      <c r="AR458" s="1" t="s">
        <v>210</v>
      </c>
      <c r="AS458" s="1" t="s">
        <v>204</v>
      </c>
      <c r="AT458" s="1" t="s">
        <v>375</v>
      </c>
      <c r="AU458" s="1">
        <v>1</v>
      </c>
      <c r="AV458" s="1">
        <v>1</v>
      </c>
      <c r="AW458" s="1" t="s">
        <v>204</v>
      </c>
      <c r="AX458" s="1" t="s">
        <v>212</v>
      </c>
      <c r="AZ458" s="1">
        <v>1757.38</v>
      </c>
      <c r="BA458" s="1">
        <v>2013</v>
      </c>
      <c r="BB458" s="1" t="s">
        <v>599</v>
      </c>
      <c r="BE458" s="1">
        <v>1000</v>
      </c>
      <c r="BF458" s="1">
        <v>2</v>
      </c>
      <c r="BG458" s="1">
        <v>0</v>
      </c>
      <c r="BJ458" s="1">
        <v>100</v>
      </c>
      <c r="BL458" s="1">
        <v>310</v>
      </c>
      <c r="BM458" s="1" t="s">
        <v>204</v>
      </c>
      <c r="BN458" s="1" t="s">
        <v>204</v>
      </c>
      <c r="BP458" s="1" t="s">
        <v>204</v>
      </c>
      <c r="BR458" s="1" t="str">
        <f>"0325188011"</f>
        <v>0325188011</v>
      </c>
      <c r="BT458" s="1" t="s">
        <v>6059</v>
      </c>
      <c r="BU458" s="1" t="s">
        <v>5583</v>
      </c>
      <c r="BV458" s="1" t="s">
        <v>5584</v>
      </c>
      <c r="BW458" s="1" t="s">
        <v>3176</v>
      </c>
      <c r="BX458" s="1">
        <v>205</v>
      </c>
      <c r="BY458" s="1">
        <v>205</v>
      </c>
      <c r="BZ458" s="1">
        <v>205</v>
      </c>
      <c r="CB458" s="1" t="str">
        <f>"3"</f>
        <v>3</v>
      </c>
      <c r="CC458" s="1" t="str">
        <f>""</f>
        <v/>
      </c>
      <c r="CD458" s="1">
        <v>15</v>
      </c>
      <c r="CG458" s="1" t="s">
        <v>1178</v>
      </c>
      <c r="CH458" s="1" t="s">
        <v>219</v>
      </c>
      <c r="CI458" s="1" t="s">
        <v>220</v>
      </c>
      <c r="CJ458" s="1" t="s">
        <v>343</v>
      </c>
      <c r="CK458" s="1" t="s">
        <v>1178</v>
      </c>
      <c r="CL458" s="1" t="s">
        <v>219</v>
      </c>
      <c r="CM458" s="1" t="s">
        <v>220</v>
      </c>
      <c r="CN458" s="1" t="s">
        <v>343</v>
      </c>
      <c r="CO458" s="1" t="s">
        <v>346</v>
      </c>
      <c r="CP458" s="1" t="s">
        <v>219</v>
      </c>
      <c r="CQ458" s="1" t="s">
        <v>229</v>
      </c>
      <c r="CR458" s="1" t="s">
        <v>343</v>
      </c>
      <c r="CS458" s="1" t="s">
        <v>379</v>
      </c>
      <c r="CT458" s="1" t="s">
        <v>219</v>
      </c>
      <c r="CU458" s="1" t="s">
        <v>220</v>
      </c>
      <c r="CV458" s="1" t="s">
        <v>343</v>
      </c>
      <c r="CX458" s="1" t="s">
        <v>224</v>
      </c>
      <c r="DB458" s="1" t="s">
        <v>224</v>
      </c>
      <c r="DE458" s="1" t="s">
        <v>2231</v>
      </c>
      <c r="DF458" s="1" t="s">
        <v>219</v>
      </c>
      <c r="DG458" s="1" t="s">
        <v>229</v>
      </c>
      <c r="DH458" s="1" t="s">
        <v>210</v>
      </c>
      <c r="DJ458" s="1" t="s">
        <v>224</v>
      </c>
      <c r="DS458" s="1" t="s">
        <v>230</v>
      </c>
      <c r="DW458" s="1" t="s">
        <v>230</v>
      </c>
      <c r="EA458" s="1" t="s">
        <v>230</v>
      </c>
      <c r="EE458" s="1" t="s">
        <v>230</v>
      </c>
      <c r="EI458" s="1" t="s">
        <v>230</v>
      </c>
      <c r="EL458" s="1" t="s">
        <v>231</v>
      </c>
      <c r="EM458" s="1" t="s">
        <v>232</v>
      </c>
      <c r="EN458" s="1" t="s">
        <v>282</v>
      </c>
      <c r="EO458" s="1" t="s">
        <v>234</v>
      </c>
      <c r="EP458" s="1" t="s">
        <v>6060</v>
      </c>
      <c r="EQ458" s="1" t="s">
        <v>1109</v>
      </c>
      <c r="ER458" s="1" t="s">
        <v>210</v>
      </c>
      <c r="ES458" s="1" t="s">
        <v>322</v>
      </c>
      <c r="ET458" s="1" t="s">
        <v>842</v>
      </c>
      <c r="EU458" s="1" t="s">
        <v>239</v>
      </c>
      <c r="EV458" s="1" t="s">
        <v>352</v>
      </c>
      <c r="EW458" s="1" t="s">
        <v>4815</v>
      </c>
      <c r="EZ458" s="1" t="s">
        <v>287</v>
      </c>
      <c r="FA458" s="1" t="s">
        <v>1427</v>
      </c>
      <c r="FB458" s="1" t="s">
        <v>289</v>
      </c>
      <c r="FD458" s="1" t="s">
        <v>1112</v>
      </c>
      <c r="FE458" s="1" t="s">
        <v>247</v>
      </c>
      <c r="FF458" s="1" t="s">
        <v>387</v>
      </c>
      <c r="FH458" s="1" t="s">
        <v>249</v>
      </c>
      <c r="FI458" s="1" t="s">
        <v>848</v>
      </c>
      <c r="FK458" s="1" t="s">
        <v>6061</v>
      </c>
      <c r="FL458" s="1" t="s">
        <v>358</v>
      </c>
      <c r="FM458" s="1" t="s">
        <v>252</v>
      </c>
      <c r="FN458" s="1" t="s">
        <v>213</v>
      </c>
      <c r="FO458" s="1" t="s">
        <v>213</v>
      </c>
      <c r="FQ458" s="1" t="s">
        <v>569</v>
      </c>
      <c r="FR458" s="1" t="s">
        <v>210</v>
      </c>
      <c r="FS458" s="1" t="s">
        <v>4109</v>
      </c>
      <c r="FT458" s="1" t="s">
        <v>362</v>
      </c>
      <c r="FU458" s="1" t="s">
        <v>204</v>
      </c>
      <c r="FW458" s="1" t="s">
        <v>1559</v>
      </c>
      <c r="FX458" s="1">
        <v>25083</v>
      </c>
      <c r="FY458" s="1" t="s">
        <v>4110</v>
      </c>
      <c r="FZ458" s="1" t="s">
        <v>4503</v>
      </c>
      <c r="GA458" s="1">
        <v>250887</v>
      </c>
      <c r="GC458" s="1">
        <v>257024</v>
      </c>
      <c r="GD458" s="1" t="s">
        <v>6062</v>
      </c>
      <c r="GE458" s="1" t="s">
        <v>1379</v>
      </c>
      <c r="GH458" s="1" t="s">
        <v>800</v>
      </c>
      <c r="GI458" s="1" t="s">
        <v>213</v>
      </c>
      <c r="GJ458" s="1" t="s">
        <v>260</v>
      </c>
      <c r="GK458" s="1" t="s">
        <v>210</v>
      </c>
      <c r="GL458" s="2">
        <v>42116</v>
      </c>
    </row>
    <row r="459" spans="1:195">
      <c r="A459" s="1">
        <v>254900</v>
      </c>
      <c r="B459" s="1" t="s">
        <v>195</v>
      </c>
      <c r="C459" s="1" t="str">
        <f>"08800871"</f>
        <v>08800871</v>
      </c>
      <c r="D459" s="1" t="s">
        <v>196</v>
      </c>
      <c r="F459" s="1" t="str">
        <f>"532"</f>
        <v>532</v>
      </c>
      <c r="G459" s="2">
        <v>41984</v>
      </c>
      <c r="H459" s="1">
        <v>259900</v>
      </c>
      <c r="I459" s="1">
        <v>259900</v>
      </c>
      <c r="J459" s="1">
        <v>254900</v>
      </c>
      <c r="K459" s="2">
        <v>41984</v>
      </c>
      <c r="L459" s="1">
        <v>220</v>
      </c>
      <c r="M459" s="2">
        <v>42012</v>
      </c>
      <c r="N459" s="1">
        <v>29</v>
      </c>
      <c r="O459" s="2">
        <v>42012</v>
      </c>
      <c r="P459" s="1">
        <v>22721</v>
      </c>
      <c r="Q459" s="1" t="s">
        <v>197</v>
      </c>
      <c r="R459" s="2">
        <v>42048</v>
      </c>
      <c r="S459" s="1">
        <v>280892</v>
      </c>
      <c r="U459" s="1">
        <v>1105</v>
      </c>
      <c r="V459" s="1" t="s">
        <v>3454</v>
      </c>
      <c r="W459" s="1" t="s">
        <v>264</v>
      </c>
      <c r="X459" s="1">
        <v>1105</v>
      </c>
      <c r="Y459" s="1">
        <v>5</v>
      </c>
      <c r="Z459" s="1" t="s">
        <v>200</v>
      </c>
      <c r="AA459" s="1" t="s">
        <v>1566</v>
      </c>
      <c r="AB459" s="1">
        <v>60532</v>
      </c>
      <c r="AC459" s="1">
        <v>4512</v>
      </c>
      <c r="AD459" s="1" t="s">
        <v>3186</v>
      </c>
      <c r="AE459" s="1" t="s">
        <v>6063</v>
      </c>
      <c r="AF459" s="1">
        <v>2003</v>
      </c>
      <c r="AG459" s="1" t="s">
        <v>204</v>
      </c>
      <c r="AH459" s="1" t="s">
        <v>925</v>
      </c>
      <c r="AI459" s="1" t="s">
        <v>206</v>
      </c>
      <c r="AJ459" s="1" t="s">
        <v>925</v>
      </c>
      <c r="AK459" s="1" t="s">
        <v>3188</v>
      </c>
      <c r="AL459" s="1">
        <v>7</v>
      </c>
      <c r="AM459" s="1">
        <v>2</v>
      </c>
      <c r="AN459" s="1">
        <v>3</v>
      </c>
      <c r="AO459" s="1">
        <v>1</v>
      </c>
      <c r="AP459" s="1" t="s">
        <v>209</v>
      </c>
      <c r="AQ459" s="1">
        <v>1</v>
      </c>
      <c r="AR459" s="1" t="s">
        <v>209</v>
      </c>
      <c r="AS459" s="1" t="s">
        <v>213</v>
      </c>
      <c r="AT459" s="1" t="s">
        <v>211</v>
      </c>
      <c r="AU459" s="1">
        <v>2</v>
      </c>
      <c r="AW459" s="1" t="s">
        <v>204</v>
      </c>
      <c r="AX459" s="1" t="s">
        <v>212</v>
      </c>
      <c r="AZ459" s="1">
        <v>6830</v>
      </c>
      <c r="BA459" s="1">
        <v>2013</v>
      </c>
      <c r="BB459" s="1" t="s">
        <v>405</v>
      </c>
      <c r="BE459" s="1">
        <v>1546</v>
      </c>
      <c r="BF459" s="1">
        <v>1</v>
      </c>
      <c r="BG459" s="1">
        <v>30</v>
      </c>
      <c r="BL459" s="1">
        <v>212</v>
      </c>
      <c r="BM459" s="1" t="s">
        <v>204</v>
      </c>
      <c r="BN459" s="1" t="s">
        <v>213</v>
      </c>
      <c r="BO459" s="1">
        <v>999</v>
      </c>
      <c r="BP459" s="1" t="s">
        <v>204</v>
      </c>
      <c r="BR459" s="1" t="str">
        <f>"0815404071"</f>
        <v>0815404071</v>
      </c>
      <c r="BT459" s="1" t="s">
        <v>6064</v>
      </c>
      <c r="BU459" s="1" t="s">
        <v>3190</v>
      </c>
      <c r="BV459" s="1" t="s">
        <v>2856</v>
      </c>
      <c r="BW459" s="1" t="s">
        <v>2762</v>
      </c>
      <c r="BX459" s="1">
        <v>68</v>
      </c>
      <c r="BY459" s="1">
        <v>68</v>
      </c>
      <c r="BZ459" s="1">
        <v>99</v>
      </c>
      <c r="CB459" s="1" t="str">
        <f t="shared" ref="CB459:CC459" si="360">"0"</f>
        <v>0</v>
      </c>
      <c r="CC459" s="1" t="str">
        <f t="shared" si="360"/>
        <v>0</v>
      </c>
      <c r="CD459" s="1">
        <v>23</v>
      </c>
      <c r="CE459" s="1">
        <v>6</v>
      </c>
      <c r="CG459" s="1" t="s">
        <v>379</v>
      </c>
      <c r="CH459" s="1" t="s">
        <v>219</v>
      </c>
      <c r="CI459" s="1" t="s">
        <v>220</v>
      </c>
      <c r="CJ459" s="1" t="s">
        <v>343</v>
      </c>
      <c r="CK459" s="1" t="s">
        <v>437</v>
      </c>
      <c r="CL459" s="1" t="s">
        <v>784</v>
      </c>
      <c r="CM459" s="1" t="s">
        <v>220</v>
      </c>
      <c r="CN459" s="1" t="s">
        <v>343</v>
      </c>
      <c r="CO459" s="1" t="s">
        <v>409</v>
      </c>
      <c r="CP459" s="1" t="s">
        <v>277</v>
      </c>
      <c r="CQ459" s="1" t="s">
        <v>438</v>
      </c>
      <c r="CR459" s="1" t="s">
        <v>343</v>
      </c>
      <c r="CS459" s="1" t="s">
        <v>461</v>
      </c>
      <c r="CT459" s="1" t="s">
        <v>784</v>
      </c>
      <c r="CU459" s="1" t="s">
        <v>220</v>
      </c>
      <c r="CV459" s="1" t="s">
        <v>343</v>
      </c>
      <c r="CW459" s="1" t="s">
        <v>377</v>
      </c>
      <c r="CX459" s="1" t="s">
        <v>43</v>
      </c>
      <c r="CY459" s="1" t="s">
        <v>226</v>
      </c>
      <c r="DB459" s="1" t="s">
        <v>224</v>
      </c>
      <c r="DE459" s="1" t="s">
        <v>408</v>
      </c>
      <c r="DF459" s="1" t="s">
        <v>277</v>
      </c>
      <c r="DG459" s="1" t="s">
        <v>438</v>
      </c>
      <c r="DH459" s="1" t="s">
        <v>343</v>
      </c>
      <c r="DI459" s="1" t="s">
        <v>862</v>
      </c>
      <c r="DJ459" s="1" t="s">
        <v>277</v>
      </c>
      <c r="DK459" s="1" t="s">
        <v>438</v>
      </c>
      <c r="DL459" s="1" t="s">
        <v>210</v>
      </c>
      <c r="DS459" s="1" t="s">
        <v>230</v>
      </c>
      <c r="DW459" s="1" t="s">
        <v>230</v>
      </c>
      <c r="EA459" s="1" t="s">
        <v>230</v>
      </c>
      <c r="EE459" s="1" t="s">
        <v>230</v>
      </c>
      <c r="EI459" s="1" t="s">
        <v>230</v>
      </c>
      <c r="EL459" s="1" t="s">
        <v>466</v>
      </c>
      <c r="EM459" s="1" t="s">
        <v>232</v>
      </c>
      <c r="EN459" s="1" t="s">
        <v>282</v>
      </c>
      <c r="EO459" s="1" t="s">
        <v>234</v>
      </c>
      <c r="EP459" s="1" t="s">
        <v>650</v>
      </c>
      <c r="EQ459" s="1" t="s">
        <v>236</v>
      </c>
      <c r="ER459" s="1" t="s">
        <v>544</v>
      </c>
      <c r="ES459" s="1" t="s">
        <v>493</v>
      </c>
      <c r="ET459" s="1" t="s">
        <v>1404</v>
      </c>
      <c r="EV459" s="1" t="s">
        <v>324</v>
      </c>
      <c r="EW459" s="1" t="s">
        <v>353</v>
      </c>
      <c r="EY459" s="1" t="s">
        <v>242</v>
      </c>
      <c r="EZ459" s="1" t="s">
        <v>287</v>
      </c>
      <c r="FA459" s="1" t="s">
        <v>714</v>
      </c>
      <c r="FB459" s="1" t="s">
        <v>289</v>
      </c>
      <c r="FC459" s="1" t="s">
        <v>1405</v>
      </c>
      <c r="FD459" s="1" t="s">
        <v>495</v>
      </c>
      <c r="FE459" s="1" t="s">
        <v>247</v>
      </c>
      <c r="FF459" s="1" t="s">
        <v>248</v>
      </c>
      <c r="FG459" s="1" t="s">
        <v>2406</v>
      </c>
      <c r="FH459" s="1" t="s">
        <v>1428</v>
      </c>
      <c r="FI459" s="1" t="s">
        <v>473</v>
      </c>
      <c r="FL459" s="1" t="s">
        <v>414</v>
      </c>
      <c r="FM459" s="1" t="s">
        <v>252</v>
      </c>
      <c r="FN459" s="1" t="s">
        <v>213</v>
      </c>
      <c r="FO459" s="1" t="s">
        <v>213</v>
      </c>
      <c r="FQ459" s="1" t="s">
        <v>1599</v>
      </c>
      <c r="FR459" s="1" t="s">
        <v>210</v>
      </c>
      <c r="FS459" s="1" t="s">
        <v>6065</v>
      </c>
      <c r="FT459" s="1" t="s">
        <v>295</v>
      </c>
      <c r="FU459" s="1" t="s">
        <v>204</v>
      </c>
      <c r="FW459" s="1" t="s">
        <v>2144</v>
      </c>
      <c r="FX459" s="1">
        <v>25732</v>
      </c>
      <c r="FY459" s="1" t="s">
        <v>6066</v>
      </c>
      <c r="FZ459" s="1" t="s">
        <v>6067</v>
      </c>
      <c r="GA459" s="1">
        <v>222914</v>
      </c>
      <c r="GB459" s="1" t="s">
        <v>6068</v>
      </c>
      <c r="GE459" s="1" t="s">
        <v>658</v>
      </c>
      <c r="GI459" s="1" t="s">
        <v>213</v>
      </c>
      <c r="GJ459" s="1" t="s">
        <v>260</v>
      </c>
      <c r="GK459" s="1" t="s">
        <v>1413</v>
      </c>
      <c r="GL459" s="2">
        <v>42048</v>
      </c>
      <c r="GM459" s="1" t="s">
        <v>6069</v>
      </c>
    </row>
    <row r="460" spans="1:195">
      <c r="A460" s="1">
        <v>114000</v>
      </c>
      <c r="B460" s="1" t="s">
        <v>195</v>
      </c>
      <c r="C460" s="1" t="str">
        <f>"08800129"</f>
        <v>08800129</v>
      </c>
      <c r="D460" s="1" t="s">
        <v>196</v>
      </c>
      <c r="F460" s="1" t="str">
        <f>"542"</f>
        <v>542</v>
      </c>
      <c r="G460" s="2">
        <v>41983</v>
      </c>
      <c r="H460" s="1">
        <v>119900</v>
      </c>
      <c r="I460" s="1">
        <v>119900</v>
      </c>
      <c r="J460" s="1">
        <v>114000</v>
      </c>
      <c r="K460" s="2">
        <v>41983</v>
      </c>
      <c r="L460" s="1">
        <v>23</v>
      </c>
      <c r="M460" s="2">
        <v>42005</v>
      </c>
      <c r="N460" s="1">
        <v>23</v>
      </c>
      <c r="O460" s="2">
        <v>42005</v>
      </c>
      <c r="P460" s="1">
        <v>23099</v>
      </c>
      <c r="Q460" s="1" t="s">
        <v>197</v>
      </c>
      <c r="R460" s="2">
        <v>42034</v>
      </c>
      <c r="S460" s="1">
        <v>231079</v>
      </c>
      <c r="U460" s="1">
        <v>707</v>
      </c>
      <c r="V460" s="1" t="s">
        <v>6070</v>
      </c>
      <c r="W460" s="1" t="s">
        <v>449</v>
      </c>
      <c r="X460" s="1">
        <v>707</v>
      </c>
      <c r="Y460" s="1">
        <v>6</v>
      </c>
      <c r="Z460" s="1" t="s">
        <v>370</v>
      </c>
      <c r="AA460" s="1" t="s">
        <v>6071</v>
      </c>
      <c r="AB460" s="1">
        <v>60542</v>
      </c>
      <c r="AD460" s="1" t="s">
        <v>6072</v>
      </c>
      <c r="AE460" s="1" t="s">
        <v>6073</v>
      </c>
      <c r="AF460" s="1">
        <v>1997</v>
      </c>
      <c r="AG460" s="1" t="s">
        <v>204</v>
      </c>
      <c r="AH460" s="1" t="s">
        <v>6074</v>
      </c>
      <c r="AI460" s="1" t="s">
        <v>665</v>
      </c>
      <c r="AJ460" s="1" t="s">
        <v>1126</v>
      </c>
      <c r="AL460" s="1">
        <v>4</v>
      </c>
      <c r="AM460" s="1">
        <v>2</v>
      </c>
      <c r="AN460" s="1">
        <v>1</v>
      </c>
      <c r="AO460" s="1">
        <v>1</v>
      </c>
      <c r="AP460" s="1" t="s">
        <v>210</v>
      </c>
      <c r="AR460" s="1" t="s">
        <v>210</v>
      </c>
      <c r="AS460" s="1" t="s">
        <v>204</v>
      </c>
      <c r="AT460" s="1" t="s">
        <v>211</v>
      </c>
      <c r="AU460" s="1">
        <v>2</v>
      </c>
      <c r="AW460" s="1" t="s">
        <v>204</v>
      </c>
      <c r="AX460" s="1" t="s">
        <v>212</v>
      </c>
      <c r="AZ460" s="1">
        <v>3289.14</v>
      </c>
      <c r="BA460" s="1">
        <v>2013</v>
      </c>
      <c r="BE460" s="1">
        <v>936</v>
      </c>
      <c r="BF460" s="1">
        <v>1</v>
      </c>
      <c r="BG460" s="1">
        <v>30</v>
      </c>
      <c r="BL460" s="1">
        <v>136</v>
      </c>
      <c r="BM460" s="1" t="s">
        <v>204</v>
      </c>
      <c r="BN460" s="1" t="s">
        <v>213</v>
      </c>
      <c r="BO460" s="1">
        <v>0</v>
      </c>
      <c r="BP460" s="1" t="s">
        <v>204</v>
      </c>
      <c r="BR460" s="1" t="str">
        <f>"1505177062"</f>
        <v>1505177062</v>
      </c>
      <c r="BT460" s="1" t="s">
        <v>6075</v>
      </c>
      <c r="BX460" s="1">
        <v>129</v>
      </c>
      <c r="BY460" s="1">
        <v>129</v>
      </c>
      <c r="BZ460" s="1">
        <v>129</v>
      </c>
      <c r="CB460" s="1" t="str">
        <f t="shared" ref="CB460:CC460" si="361">"0"</f>
        <v>0</v>
      </c>
      <c r="CC460" s="1" t="str">
        <f t="shared" si="361"/>
        <v>0</v>
      </c>
      <c r="CD460" s="1">
        <v>37</v>
      </c>
      <c r="CE460" s="1">
        <v>4</v>
      </c>
      <c r="CG460" s="1" t="s">
        <v>1358</v>
      </c>
      <c r="CH460" s="1" t="s">
        <v>219</v>
      </c>
      <c r="CI460" s="1" t="s">
        <v>438</v>
      </c>
      <c r="CK460" s="1" t="s">
        <v>461</v>
      </c>
      <c r="CL460" s="1" t="s">
        <v>277</v>
      </c>
      <c r="CM460" s="1" t="s">
        <v>220</v>
      </c>
      <c r="CP460" s="1" t="s">
        <v>224</v>
      </c>
      <c r="CS460" s="1" t="s">
        <v>408</v>
      </c>
      <c r="CT460" s="1" t="s">
        <v>277</v>
      </c>
      <c r="CU460" s="1" t="s">
        <v>220</v>
      </c>
      <c r="CX460" s="1" t="s">
        <v>224</v>
      </c>
      <c r="DB460" s="1" t="s">
        <v>224</v>
      </c>
      <c r="DE460" s="1" t="s">
        <v>344</v>
      </c>
      <c r="DF460" s="1" t="s">
        <v>219</v>
      </c>
      <c r="DG460" s="1" t="s">
        <v>226</v>
      </c>
      <c r="DJ460" s="1" t="s">
        <v>224</v>
      </c>
      <c r="DS460" s="1" t="s">
        <v>230</v>
      </c>
      <c r="DW460" s="1" t="s">
        <v>230</v>
      </c>
      <c r="EA460" s="1" t="s">
        <v>230</v>
      </c>
      <c r="EE460" s="1" t="s">
        <v>230</v>
      </c>
      <c r="EI460" s="1" t="s">
        <v>230</v>
      </c>
      <c r="EL460" s="1" t="s">
        <v>670</v>
      </c>
      <c r="EM460" s="1" t="s">
        <v>319</v>
      </c>
      <c r="EN460" s="1" t="s">
        <v>282</v>
      </c>
      <c r="EO460" s="1" t="s">
        <v>234</v>
      </c>
      <c r="EP460" s="1" t="s">
        <v>6076</v>
      </c>
      <c r="EQ460" s="1" t="s">
        <v>671</v>
      </c>
      <c r="ER460" s="1" t="s">
        <v>210</v>
      </c>
      <c r="ES460" s="1" t="s">
        <v>824</v>
      </c>
      <c r="EU460" s="1" t="s">
        <v>712</v>
      </c>
      <c r="EW460" s="1" t="s">
        <v>353</v>
      </c>
      <c r="EY460" s="1" t="s">
        <v>242</v>
      </c>
      <c r="EZ460" s="1" t="s">
        <v>287</v>
      </c>
      <c r="FA460" s="1" t="s">
        <v>1072</v>
      </c>
      <c r="FB460" s="1" t="s">
        <v>289</v>
      </c>
      <c r="FD460" s="1" t="s">
        <v>246</v>
      </c>
      <c r="FE460" s="1" t="s">
        <v>472</v>
      </c>
      <c r="FF460" s="1" t="s">
        <v>248</v>
      </c>
      <c r="FH460" s="1" t="s">
        <v>550</v>
      </c>
      <c r="FI460" s="1" t="s">
        <v>473</v>
      </c>
      <c r="FL460" s="1" t="s">
        <v>6077</v>
      </c>
      <c r="FM460" s="1" t="s">
        <v>252</v>
      </c>
      <c r="FN460" s="1" t="s">
        <v>213</v>
      </c>
      <c r="FO460" s="1" t="s">
        <v>213</v>
      </c>
      <c r="FQ460" s="1" t="s">
        <v>849</v>
      </c>
      <c r="FR460" s="1" t="s">
        <v>652</v>
      </c>
      <c r="FS460" s="1" t="s">
        <v>6078</v>
      </c>
      <c r="FT460" s="1" t="s">
        <v>295</v>
      </c>
      <c r="FU460" s="1" t="s">
        <v>204</v>
      </c>
      <c r="FW460" s="1" t="s">
        <v>2420</v>
      </c>
      <c r="FX460" s="1">
        <v>41</v>
      </c>
      <c r="FY460" s="1" t="s">
        <v>2421</v>
      </c>
      <c r="FZ460" s="1" t="s">
        <v>6079</v>
      </c>
      <c r="GA460" s="1">
        <v>7842</v>
      </c>
      <c r="GB460" s="1" t="s">
        <v>6080</v>
      </c>
      <c r="GE460" s="1" t="s">
        <v>210</v>
      </c>
      <c r="GH460" s="1" t="s">
        <v>800</v>
      </c>
      <c r="GI460" s="1" t="s">
        <v>213</v>
      </c>
      <c r="GJ460" s="1" t="s">
        <v>260</v>
      </c>
      <c r="GK460" s="1" t="s">
        <v>210</v>
      </c>
      <c r="GL460" s="2">
        <v>42067</v>
      </c>
      <c r="GM460" s="1" t="s">
        <v>6081</v>
      </c>
    </row>
    <row r="461" spans="1:195">
      <c r="A461" s="1">
        <v>119000</v>
      </c>
      <c r="B461" s="1" t="s">
        <v>195</v>
      </c>
      <c r="C461" s="1" t="str">
        <f>"08800498"</f>
        <v>08800498</v>
      </c>
      <c r="D461" s="1" t="s">
        <v>196</v>
      </c>
      <c r="F461" s="1" t="str">
        <f>"177"</f>
        <v>177</v>
      </c>
      <c r="G461" s="2">
        <v>41984</v>
      </c>
      <c r="H461" s="1">
        <v>137000</v>
      </c>
      <c r="I461" s="1">
        <v>119900</v>
      </c>
      <c r="J461" s="1">
        <v>119000</v>
      </c>
      <c r="K461" s="2">
        <v>41983</v>
      </c>
      <c r="L461" s="1">
        <v>80</v>
      </c>
      <c r="M461" s="2">
        <v>42062</v>
      </c>
      <c r="N461" s="1">
        <v>80</v>
      </c>
      <c r="O461" s="2">
        <v>42062</v>
      </c>
      <c r="P461" s="1">
        <v>5559</v>
      </c>
      <c r="Q461" s="1" t="s">
        <v>197</v>
      </c>
      <c r="R461" s="2">
        <v>42102</v>
      </c>
      <c r="S461" s="1">
        <v>53812</v>
      </c>
      <c r="U461" s="1">
        <v>273</v>
      </c>
      <c r="V461" s="1" t="s">
        <v>5552</v>
      </c>
      <c r="W461" s="1" t="s">
        <v>304</v>
      </c>
      <c r="X461" s="1" t="s">
        <v>1000</v>
      </c>
      <c r="Y461" s="1">
        <v>4</v>
      </c>
      <c r="Z461" s="1" t="s">
        <v>249</v>
      </c>
      <c r="AA461" s="1" t="s">
        <v>1461</v>
      </c>
      <c r="AB461" s="1">
        <v>60177</v>
      </c>
      <c r="AE461" s="1" t="s">
        <v>6082</v>
      </c>
      <c r="AF461" s="1">
        <v>1998</v>
      </c>
      <c r="AG461" s="1" t="s">
        <v>204</v>
      </c>
      <c r="AH461" s="1" t="s">
        <v>1464</v>
      </c>
      <c r="AI461" s="1" t="s">
        <v>665</v>
      </c>
      <c r="AJ461" s="1" t="s">
        <v>1175</v>
      </c>
      <c r="AL461" s="1">
        <v>6</v>
      </c>
      <c r="AM461" s="1">
        <v>2</v>
      </c>
      <c r="AN461" s="1">
        <v>1</v>
      </c>
      <c r="AO461" s="1">
        <v>1</v>
      </c>
      <c r="AP461" s="1" t="s">
        <v>667</v>
      </c>
      <c r="AR461" s="1" t="s">
        <v>209</v>
      </c>
      <c r="AS461" s="1" t="s">
        <v>204</v>
      </c>
      <c r="AT461" s="1" t="s">
        <v>211</v>
      </c>
      <c r="AU461" s="1">
        <v>1</v>
      </c>
      <c r="AW461" s="1" t="s">
        <v>204</v>
      </c>
      <c r="AX461" s="1" t="s">
        <v>212</v>
      </c>
      <c r="AZ461" s="1">
        <v>2771.6</v>
      </c>
      <c r="BA461" s="1">
        <v>2013</v>
      </c>
      <c r="BE461" s="1">
        <v>1220</v>
      </c>
      <c r="BF461" s="1">
        <v>1</v>
      </c>
      <c r="BG461" s="1">
        <v>30</v>
      </c>
      <c r="BL461" s="1">
        <v>170</v>
      </c>
      <c r="BM461" s="1" t="s">
        <v>413</v>
      </c>
      <c r="BN461" s="1" t="s">
        <v>213</v>
      </c>
      <c r="BO461" s="1" t="s">
        <v>6083</v>
      </c>
      <c r="BP461" s="1" t="s">
        <v>204</v>
      </c>
      <c r="BR461" s="1" t="str">
        <f>"0635352112"</f>
        <v>0635352112</v>
      </c>
      <c r="BT461" s="1" t="s">
        <v>6084</v>
      </c>
      <c r="BX461" s="1">
        <v>46</v>
      </c>
      <c r="BY461" s="1">
        <v>46</v>
      </c>
      <c r="BZ461" s="1">
        <v>46</v>
      </c>
      <c r="CB461" s="1" t="str">
        <f t="shared" ref="CB461:CC461" si="362">""</f>
        <v/>
      </c>
      <c r="CC461" s="1" t="str">
        <f t="shared" si="362"/>
        <v/>
      </c>
      <c r="CG461" s="1" t="s">
        <v>6085</v>
      </c>
      <c r="CH461" s="1" t="s">
        <v>43</v>
      </c>
      <c r="CI461" s="1" t="s">
        <v>220</v>
      </c>
      <c r="CK461" s="1" t="s">
        <v>538</v>
      </c>
      <c r="CL461" s="1" t="s">
        <v>277</v>
      </c>
      <c r="CM461" s="1" t="s">
        <v>220</v>
      </c>
      <c r="CO461" s="1" t="s">
        <v>409</v>
      </c>
      <c r="CP461" s="1" t="s">
        <v>219</v>
      </c>
      <c r="CQ461" s="1" t="s">
        <v>438</v>
      </c>
      <c r="CS461" s="1" t="s">
        <v>465</v>
      </c>
      <c r="CT461" s="1" t="s">
        <v>277</v>
      </c>
      <c r="CU461" s="1" t="s">
        <v>220</v>
      </c>
      <c r="CX461" s="1" t="s">
        <v>224</v>
      </c>
      <c r="DB461" s="1" t="s">
        <v>224</v>
      </c>
      <c r="DE461" s="1" t="s">
        <v>346</v>
      </c>
      <c r="DF461" s="1" t="s">
        <v>219</v>
      </c>
      <c r="DG461" s="1" t="s">
        <v>342</v>
      </c>
      <c r="DI461" s="1" t="s">
        <v>729</v>
      </c>
      <c r="DJ461" s="1" t="s">
        <v>219</v>
      </c>
      <c r="DK461" s="1" t="s">
        <v>438</v>
      </c>
      <c r="DM461" s="1" t="s">
        <v>347</v>
      </c>
      <c r="DR461" s="1" t="s">
        <v>1046</v>
      </c>
      <c r="DS461" s="1" t="s">
        <v>43</v>
      </c>
      <c r="DT461" s="1" t="s">
        <v>220</v>
      </c>
      <c r="DW461" s="1" t="s">
        <v>230</v>
      </c>
      <c r="EA461" s="1" t="s">
        <v>230</v>
      </c>
      <c r="EE461" s="1" t="s">
        <v>230</v>
      </c>
      <c r="EI461" s="1" t="s">
        <v>230</v>
      </c>
      <c r="EL461" s="1" t="s">
        <v>670</v>
      </c>
      <c r="EM461" s="1" t="s">
        <v>319</v>
      </c>
      <c r="EN461" s="1" t="s">
        <v>282</v>
      </c>
      <c r="EO461" s="1" t="s">
        <v>234</v>
      </c>
      <c r="EP461" s="1" t="s">
        <v>4619</v>
      </c>
      <c r="ER461" s="1" t="s">
        <v>351</v>
      </c>
      <c r="ES461" s="1" t="s">
        <v>1552</v>
      </c>
      <c r="EV461" s="1" t="s">
        <v>1553</v>
      </c>
      <c r="EW461" s="1" t="s">
        <v>3471</v>
      </c>
      <c r="EZ461" s="1" t="s">
        <v>347</v>
      </c>
      <c r="FD461" s="1" t="s">
        <v>246</v>
      </c>
      <c r="FE461" s="1" t="s">
        <v>6086</v>
      </c>
      <c r="FF461" s="1" t="s">
        <v>248</v>
      </c>
      <c r="FH461" s="1" t="s">
        <v>249</v>
      </c>
      <c r="FL461" s="1" t="s">
        <v>358</v>
      </c>
      <c r="FM461" s="1" t="s">
        <v>252</v>
      </c>
      <c r="FN461" s="1" t="s">
        <v>213</v>
      </c>
      <c r="FO461" s="1" t="s">
        <v>213</v>
      </c>
      <c r="FQ461" s="1" t="s">
        <v>689</v>
      </c>
      <c r="FR461" s="1" t="s">
        <v>210</v>
      </c>
      <c r="FS461" s="1" t="s">
        <v>3448</v>
      </c>
      <c r="FT461" s="1" t="s">
        <v>584</v>
      </c>
      <c r="FU461" s="1" t="s">
        <v>204</v>
      </c>
      <c r="FW461" s="1" t="s">
        <v>3449</v>
      </c>
      <c r="FX461" s="1">
        <v>605</v>
      </c>
      <c r="FY461" s="1" t="s">
        <v>3450</v>
      </c>
      <c r="FZ461" s="1" t="s">
        <v>3451</v>
      </c>
      <c r="GA461" s="1">
        <v>170</v>
      </c>
      <c r="GB461" s="1" t="s">
        <v>3450</v>
      </c>
      <c r="GD461" s="1" t="s">
        <v>3452</v>
      </c>
      <c r="GE461" s="1" t="s">
        <v>210</v>
      </c>
      <c r="GI461" s="1" t="s">
        <v>213</v>
      </c>
      <c r="GJ461" s="1" t="s">
        <v>260</v>
      </c>
      <c r="GK461" s="1" t="s">
        <v>210</v>
      </c>
      <c r="GL461" s="2">
        <v>42102</v>
      </c>
      <c r="GM461" s="1" t="s">
        <v>6087</v>
      </c>
    </row>
    <row r="462" spans="1:195">
      <c r="A462" s="1">
        <v>79900</v>
      </c>
      <c r="B462" s="1" t="s">
        <v>195</v>
      </c>
      <c r="C462" s="1" t="str">
        <f>"08790187"</f>
        <v>08790187</v>
      </c>
      <c r="D462" s="1" t="s">
        <v>196</v>
      </c>
      <c r="F462" s="1" t="str">
        <f>"30"</f>
        <v>30</v>
      </c>
      <c r="G462" s="2">
        <v>41963</v>
      </c>
      <c r="H462" s="1">
        <v>87900</v>
      </c>
      <c r="I462" s="1">
        <v>79900</v>
      </c>
      <c r="J462" s="1">
        <v>79900</v>
      </c>
      <c r="K462" s="2">
        <v>41963</v>
      </c>
      <c r="L462" s="1">
        <v>152</v>
      </c>
      <c r="M462" s="2">
        <v>42034</v>
      </c>
      <c r="N462" s="1">
        <v>72</v>
      </c>
      <c r="O462" s="2">
        <v>42034</v>
      </c>
      <c r="P462" s="1">
        <v>20244</v>
      </c>
      <c r="Q462" s="1" t="s">
        <v>302</v>
      </c>
      <c r="R462" s="2">
        <v>42095</v>
      </c>
      <c r="S462" s="1">
        <v>221657</v>
      </c>
      <c r="U462" s="1">
        <v>137</v>
      </c>
      <c r="V462" s="1" t="s">
        <v>6088</v>
      </c>
      <c r="W462" s="1" t="s">
        <v>264</v>
      </c>
      <c r="Y462" s="1">
        <v>6</v>
      </c>
      <c r="Z462" s="1" t="s">
        <v>249</v>
      </c>
      <c r="AA462" s="1" t="s">
        <v>1628</v>
      </c>
      <c r="AB462" s="1">
        <v>60073</v>
      </c>
      <c r="AD462" s="1" t="s">
        <v>6089</v>
      </c>
      <c r="AE462" s="1" t="s">
        <v>6090</v>
      </c>
      <c r="AF462" s="1">
        <v>2001</v>
      </c>
      <c r="AG462" s="1" t="s">
        <v>204</v>
      </c>
      <c r="AH462" s="1" t="s">
        <v>1630</v>
      </c>
      <c r="AI462" s="1" t="s">
        <v>509</v>
      </c>
      <c r="AJ462" s="1" t="s">
        <v>1263</v>
      </c>
      <c r="AL462" s="1">
        <v>6</v>
      </c>
      <c r="AM462" s="1">
        <v>2</v>
      </c>
      <c r="AN462" s="1">
        <v>1</v>
      </c>
      <c r="AO462" s="1">
        <v>1</v>
      </c>
      <c r="AP462" s="1" t="s">
        <v>667</v>
      </c>
      <c r="AR462" s="1" t="s">
        <v>2165</v>
      </c>
      <c r="AS462" s="1" t="s">
        <v>204</v>
      </c>
      <c r="AT462" s="1" t="s">
        <v>211</v>
      </c>
      <c r="AU462" s="1">
        <v>2</v>
      </c>
      <c r="AW462" s="1" t="s">
        <v>204</v>
      </c>
      <c r="AX462" s="1" t="s">
        <v>4740</v>
      </c>
      <c r="AZ462" s="1">
        <v>4078</v>
      </c>
      <c r="BA462" s="1">
        <v>2013</v>
      </c>
      <c r="BB462" s="1" t="s">
        <v>210</v>
      </c>
      <c r="BE462" s="1">
        <v>1280</v>
      </c>
      <c r="BF462" s="1">
        <v>1</v>
      </c>
      <c r="BG462" s="1">
        <v>0</v>
      </c>
      <c r="BL462" s="1">
        <v>250</v>
      </c>
      <c r="BM462" s="1" t="s">
        <v>204</v>
      </c>
      <c r="BN462" s="1" t="s">
        <v>213</v>
      </c>
      <c r="BO462" s="1">
        <v>50</v>
      </c>
      <c r="BP462" s="1" t="s">
        <v>204</v>
      </c>
      <c r="BR462" s="1" t="str">
        <f>"06282061940000"</f>
        <v>06282061940000</v>
      </c>
      <c r="BT462" s="1" t="s">
        <v>6091</v>
      </c>
      <c r="BX462" s="1">
        <v>116</v>
      </c>
      <c r="BY462" s="1">
        <v>116</v>
      </c>
      <c r="BZ462" s="1">
        <v>116</v>
      </c>
      <c r="CB462" s="1" t="str">
        <f>"33"</f>
        <v>33</v>
      </c>
      <c r="CC462" s="1" t="str">
        <f>""</f>
        <v/>
      </c>
      <c r="CD462" s="1">
        <v>22</v>
      </c>
      <c r="CG462" s="1" t="s">
        <v>465</v>
      </c>
      <c r="CH462" s="1" t="s">
        <v>219</v>
      </c>
      <c r="CI462" s="1" t="s">
        <v>220</v>
      </c>
      <c r="CJ462" s="1" t="s">
        <v>252</v>
      </c>
      <c r="CK462" s="1" t="s">
        <v>1402</v>
      </c>
      <c r="CL462" s="1" t="s">
        <v>277</v>
      </c>
      <c r="CM462" s="1" t="s">
        <v>220</v>
      </c>
      <c r="CN462" s="1" t="s">
        <v>252</v>
      </c>
      <c r="CO462" s="1" t="s">
        <v>972</v>
      </c>
      <c r="CP462" s="1" t="s">
        <v>219</v>
      </c>
      <c r="CQ462" s="1" t="s">
        <v>220</v>
      </c>
      <c r="CR462" s="1" t="s">
        <v>252</v>
      </c>
      <c r="CS462" s="1" t="s">
        <v>278</v>
      </c>
      <c r="CT462" s="1" t="s">
        <v>277</v>
      </c>
      <c r="CU462" s="1" t="s">
        <v>220</v>
      </c>
      <c r="CV462" s="1" t="s">
        <v>252</v>
      </c>
      <c r="CX462" s="1" t="s">
        <v>224</v>
      </c>
      <c r="DB462" s="1" t="s">
        <v>224</v>
      </c>
      <c r="DE462" s="1" t="s">
        <v>972</v>
      </c>
      <c r="DF462" s="1" t="s">
        <v>219</v>
      </c>
      <c r="DG462" s="1" t="s">
        <v>342</v>
      </c>
      <c r="DH462" s="1" t="s">
        <v>252</v>
      </c>
      <c r="DI462" s="1" t="s">
        <v>346</v>
      </c>
      <c r="DJ462" s="1" t="s">
        <v>822</v>
      </c>
      <c r="DK462" s="1" t="s">
        <v>220</v>
      </c>
      <c r="DL462" s="1" t="s">
        <v>252</v>
      </c>
      <c r="DS462" s="1" t="s">
        <v>230</v>
      </c>
      <c r="DW462" s="1" t="s">
        <v>230</v>
      </c>
      <c r="EA462" s="1" t="s">
        <v>230</v>
      </c>
      <c r="EE462" s="1" t="s">
        <v>230</v>
      </c>
      <c r="EI462" s="1" t="s">
        <v>230</v>
      </c>
      <c r="EL462" s="1" t="s">
        <v>466</v>
      </c>
      <c r="EM462" s="1" t="s">
        <v>319</v>
      </c>
      <c r="EN462" s="1" t="s">
        <v>282</v>
      </c>
      <c r="EO462" s="1" t="s">
        <v>234</v>
      </c>
      <c r="EQ462" s="1" t="s">
        <v>1094</v>
      </c>
      <c r="ER462" s="1" t="s">
        <v>544</v>
      </c>
      <c r="ES462" s="1" t="s">
        <v>3218</v>
      </c>
      <c r="EU462" s="1" t="s">
        <v>6092</v>
      </c>
      <c r="EV462" s="1" t="s">
        <v>240</v>
      </c>
      <c r="EW462" s="1" t="s">
        <v>1219</v>
      </c>
      <c r="EZ462" s="1" t="s">
        <v>287</v>
      </c>
      <c r="FA462" s="1" t="s">
        <v>1586</v>
      </c>
      <c r="FB462" s="1" t="s">
        <v>1505</v>
      </c>
      <c r="FD462" s="1" t="s">
        <v>246</v>
      </c>
      <c r="FE462" s="1" t="s">
        <v>975</v>
      </c>
      <c r="FF462" s="1" t="s">
        <v>248</v>
      </c>
      <c r="FH462" s="1" t="s">
        <v>550</v>
      </c>
      <c r="FI462" s="1" t="s">
        <v>473</v>
      </c>
      <c r="FL462" s="1" t="s">
        <v>358</v>
      </c>
      <c r="FM462" s="1" t="s">
        <v>252</v>
      </c>
      <c r="FN462" s="1" t="s">
        <v>213</v>
      </c>
      <c r="FO462" s="1" t="s">
        <v>213</v>
      </c>
      <c r="FQ462" s="1" t="s">
        <v>253</v>
      </c>
      <c r="FR462" s="1" t="s">
        <v>360</v>
      </c>
      <c r="FS462" s="1" t="s">
        <v>6093</v>
      </c>
      <c r="FT462" s="1" t="s">
        <v>295</v>
      </c>
      <c r="FU462" s="1" t="s">
        <v>204</v>
      </c>
      <c r="FW462" s="1" t="s">
        <v>256</v>
      </c>
      <c r="FX462" s="1">
        <v>2648</v>
      </c>
      <c r="FY462" s="1" t="s">
        <v>1022</v>
      </c>
      <c r="FZ462" s="1" t="s">
        <v>6094</v>
      </c>
      <c r="GA462" s="1">
        <v>29256</v>
      </c>
      <c r="GB462" s="1" t="s">
        <v>6095</v>
      </c>
      <c r="GC462" s="1">
        <v>86735</v>
      </c>
      <c r="GE462" s="1" t="s">
        <v>480</v>
      </c>
      <c r="GH462" s="1" t="s">
        <v>589</v>
      </c>
      <c r="GI462" s="1" t="s">
        <v>213</v>
      </c>
      <c r="GJ462" s="1" t="s">
        <v>260</v>
      </c>
      <c r="GK462" s="1" t="s">
        <v>261</v>
      </c>
      <c r="GL462" s="2">
        <v>42096</v>
      </c>
      <c r="GM462" s="1" t="s">
        <v>6096</v>
      </c>
    </row>
    <row r="463" spans="1:195">
      <c r="A463" s="1">
        <v>130000</v>
      </c>
      <c r="B463" s="1" t="s">
        <v>195</v>
      </c>
      <c r="C463" s="1" t="str">
        <f>"08790367"</f>
        <v>08790367</v>
      </c>
      <c r="D463" s="1" t="s">
        <v>196</v>
      </c>
      <c r="F463" s="1" t="str">
        <f>"8041"</f>
        <v>8041</v>
      </c>
      <c r="G463" s="2">
        <v>41963</v>
      </c>
      <c r="H463" s="1">
        <v>180000</v>
      </c>
      <c r="I463" s="1">
        <v>180000</v>
      </c>
      <c r="J463" s="1">
        <v>130000</v>
      </c>
      <c r="K463" s="2">
        <v>41962</v>
      </c>
      <c r="L463" s="1">
        <v>274</v>
      </c>
      <c r="M463" s="2">
        <v>42034</v>
      </c>
      <c r="N463" s="1">
        <v>73</v>
      </c>
      <c r="O463" s="2">
        <v>42034</v>
      </c>
      <c r="P463" s="1">
        <v>85700</v>
      </c>
      <c r="Q463" s="1" t="s">
        <v>302</v>
      </c>
      <c r="R463" s="2">
        <v>42059</v>
      </c>
      <c r="S463" s="1">
        <v>853384</v>
      </c>
      <c r="U463" s="1">
        <v>5471</v>
      </c>
      <c r="V463" s="1" t="s">
        <v>562</v>
      </c>
      <c r="W463" s="1" t="s">
        <v>199</v>
      </c>
      <c r="X463" s="1" t="s">
        <v>6097</v>
      </c>
      <c r="Y463" s="1">
        <v>34</v>
      </c>
      <c r="Z463" s="1" t="s">
        <v>249</v>
      </c>
      <c r="AA463" s="1" t="s">
        <v>400</v>
      </c>
      <c r="AB463" s="1">
        <v>60615</v>
      </c>
      <c r="AD463" s="1" t="s">
        <v>6098</v>
      </c>
      <c r="AE463" s="1" t="s">
        <v>6099</v>
      </c>
      <c r="AF463" s="1">
        <v>1969</v>
      </c>
      <c r="AG463" s="1" t="s">
        <v>213</v>
      </c>
      <c r="AH463" s="1" t="s">
        <v>403</v>
      </c>
      <c r="AI463" s="1" t="s">
        <v>310</v>
      </c>
      <c r="AJ463" s="1" t="s">
        <v>562</v>
      </c>
      <c r="AL463" s="1">
        <v>5</v>
      </c>
      <c r="AM463" s="1">
        <v>2</v>
      </c>
      <c r="AN463" s="1">
        <v>2</v>
      </c>
      <c r="AO463" s="1">
        <v>0</v>
      </c>
      <c r="AP463" s="1" t="s">
        <v>209</v>
      </c>
      <c r="AR463" s="1" t="s">
        <v>210</v>
      </c>
      <c r="AT463" s="1" t="s">
        <v>211</v>
      </c>
      <c r="AU463" s="1">
        <v>1</v>
      </c>
      <c r="AW463" s="1" t="s">
        <v>204</v>
      </c>
      <c r="AX463" s="1" t="s">
        <v>212</v>
      </c>
      <c r="AZ463" s="1">
        <v>2161</v>
      </c>
      <c r="BA463" s="1">
        <v>2012</v>
      </c>
      <c r="BB463" s="1" t="s">
        <v>210</v>
      </c>
      <c r="BE463" s="1">
        <v>1200</v>
      </c>
      <c r="BF463" s="1">
        <v>4</v>
      </c>
      <c r="BG463" s="1">
        <v>30</v>
      </c>
      <c r="BJ463" s="1">
        <v>100</v>
      </c>
      <c r="BL463" s="1">
        <v>814</v>
      </c>
      <c r="BM463" s="1" t="s">
        <v>413</v>
      </c>
      <c r="BN463" s="1" t="s">
        <v>213</v>
      </c>
      <c r="BO463" s="1">
        <v>25</v>
      </c>
      <c r="BP463" s="1" t="s">
        <v>204</v>
      </c>
      <c r="BR463" s="1" t="str">
        <f>"20121140461003"</f>
        <v>20121140461003</v>
      </c>
      <c r="BT463" s="1" t="s">
        <v>6100</v>
      </c>
      <c r="BX463" s="1">
        <v>299</v>
      </c>
      <c r="BY463" s="1">
        <v>299</v>
      </c>
      <c r="BZ463" s="1">
        <v>299</v>
      </c>
      <c r="CB463" s="1" t="str">
        <f t="shared" ref="CB463:CB464" si="363">"0"</f>
        <v>0</v>
      </c>
      <c r="CC463" s="1" t="str">
        <f>"1700"</f>
        <v>1700</v>
      </c>
      <c r="CD463" s="1">
        <v>0</v>
      </c>
      <c r="CE463" s="1">
        <v>5471</v>
      </c>
      <c r="CG463" s="1" t="s">
        <v>908</v>
      </c>
      <c r="CH463" s="1" t="s">
        <v>219</v>
      </c>
      <c r="CI463" s="1" t="s">
        <v>1236</v>
      </c>
      <c r="CJ463" s="1" t="s">
        <v>2449</v>
      </c>
      <c r="CK463" s="1" t="s">
        <v>861</v>
      </c>
      <c r="CL463" s="1" t="s">
        <v>219</v>
      </c>
      <c r="CM463" s="1" t="s">
        <v>220</v>
      </c>
      <c r="CN463" s="1" t="s">
        <v>909</v>
      </c>
      <c r="CO463" s="1" t="s">
        <v>2466</v>
      </c>
      <c r="CP463" s="1" t="s">
        <v>219</v>
      </c>
      <c r="CQ463" s="1" t="s">
        <v>1236</v>
      </c>
      <c r="CR463" s="1" t="s">
        <v>439</v>
      </c>
      <c r="CS463" s="1" t="s">
        <v>278</v>
      </c>
      <c r="CT463" s="1" t="s">
        <v>219</v>
      </c>
      <c r="CU463" s="1" t="s">
        <v>220</v>
      </c>
      <c r="CV463" s="1" t="s">
        <v>343</v>
      </c>
      <c r="CX463" s="1" t="s">
        <v>224</v>
      </c>
      <c r="DB463" s="1" t="s">
        <v>224</v>
      </c>
      <c r="DE463" s="1" t="s">
        <v>6101</v>
      </c>
      <c r="DF463" s="1" t="s">
        <v>219</v>
      </c>
      <c r="DG463" s="1" t="s">
        <v>347</v>
      </c>
      <c r="DH463" s="1" t="s">
        <v>210</v>
      </c>
      <c r="DJ463" s="1" t="s">
        <v>224</v>
      </c>
      <c r="DS463" s="1" t="s">
        <v>230</v>
      </c>
      <c r="DW463" s="1" t="s">
        <v>230</v>
      </c>
      <c r="EA463" s="1" t="s">
        <v>230</v>
      </c>
      <c r="EE463" s="1" t="s">
        <v>230</v>
      </c>
      <c r="EI463" s="1" t="s">
        <v>230</v>
      </c>
      <c r="EL463" s="1" t="s">
        <v>605</v>
      </c>
      <c r="EM463" s="1" t="s">
        <v>730</v>
      </c>
      <c r="EN463" s="1" t="s">
        <v>233</v>
      </c>
      <c r="EO463" s="1" t="s">
        <v>234</v>
      </c>
      <c r="EP463" s="1" t="s">
        <v>6102</v>
      </c>
      <c r="EQ463" s="1" t="s">
        <v>350</v>
      </c>
      <c r="ER463" s="1" t="s">
        <v>210</v>
      </c>
      <c r="ES463" s="1" t="s">
        <v>322</v>
      </c>
      <c r="ET463" s="1" t="s">
        <v>323</v>
      </c>
      <c r="EV463" s="1" t="s">
        <v>240</v>
      </c>
      <c r="EW463" s="1" t="s">
        <v>6103</v>
      </c>
      <c r="EZ463" s="1" t="s">
        <v>287</v>
      </c>
      <c r="FA463" s="1" t="s">
        <v>1754</v>
      </c>
      <c r="FB463" s="1" t="s">
        <v>1505</v>
      </c>
      <c r="FC463" s="1" t="s">
        <v>1405</v>
      </c>
      <c r="FD463" s="1" t="s">
        <v>246</v>
      </c>
      <c r="FE463" s="1" t="s">
        <v>6104</v>
      </c>
      <c r="FF463" s="1" t="s">
        <v>248</v>
      </c>
      <c r="FH463" s="1" t="s">
        <v>249</v>
      </c>
      <c r="FI463" s="1" t="s">
        <v>473</v>
      </c>
      <c r="FL463" s="1" t="s">
        <v>251</v>
      </c>
      <c r="FM463" s="1" t="s">
        <v>252</v>
      </c>
      <c r="FN463" s="1" t="s">
        <v>213</v>
      </c>
      <c r="FO463" s="1" t="s">
        <v>213</v>
      </c>
      <c r="FQ463" s="1" t="s">
        <v>6105</v>
      </c>
      <c r="FR463" s="1" t="s">
        <v>210</v>
      </c>
      <c r="FS463" s="1" t="s">
        <v>6106</v>
      </c>
      <c r="FT463" s="1" t="s">
        <v>1182</v>
      </c>
      <c r="FU463" s="1" t="s">
        <v>204</v>
      </c>
      <c r="FW463" s="1" t="s">
        <v>1652</v>
      </c>
      <c r="FX463" s="1">
        <v>85646</v>
      </c>
      <c r="FY463" s="1" t="s">
        <v>6107</v>
      </c>
      <c r="FZ463" s="1" t="s">
        <v>6108</v>
      </c>
      <c r="GA463" s="1">
        <v>116143</v>
      </c>
      <c r="GB463" s="1" t="s">
        <v>6109</v>
      </c>
      <c r="GD463" s="1" t="s">
        <v>6110</v>
      </c>
      <c r="GE463" s="1" t="s">
        <v>2504</v>
      </c>
      <c r="GH463" s="1" t="s">
        <v>421</v>
      </c>
      <c r="GI463" s="1" t="s">
        <v>213</v>
      </c>
      <c r="GJ463" s="1" t="s">
        <v>260</v>
      </c>
      <c r="GK463" s="1" t="s">
        <v>210</v>
      </c>
      <c r="GL463" s="2">
        <v>42060</v>
      </c>
      <c r="GM463" s="1" t="s">
        <v>6111</v>
      </c>
    </row>
    <row r="464" spans="1:195">
      <c r="A464" s="1">
        <v>82000</v>
      </c>
      <c r="B464" s="1" t="s">
        <v>195</v>
      </c>
      <c r="C464" s="1" t="str">
        <f>"08793580"</f>
        <v>08793580</v>
      </c>
      <c r="D464" s="1" t="s">
        <v>196</v>
      </c>
      <c r="F464" s="1" t="str">
        <f>"507"</f>
        <v>507</v>
      </c>
      <c r="G464" s="2">
        <v>41971</v>
      </c>
      <c r="H464" s="1">
        <v>89000</v>
      </c>
      <c r="I464" s="1">
        <v>79900</v>
      </c>
      <c r="J464" s="1">
        <v>82000</v>
      </c>
      <c r="K464" s="2">
        <v>41968</v>
      </c>
      <c r="L464" s="1">
        <v>63</v>
      </c>
      <c r="M464" s="2">
        <v>42030</v>
      </c>
      <c r="N464" s="1">
        <v>63</v>
      </c>
      <c r="O464" s="2">
        <v>42030</v>
      </c>
      <c r="P464" s="1">
        <v>23076</v>
      </c>
      <c r="Q464" s="1" t="s">
        <v>302</v>
      </c>
      <c r="R464" s="2">
        <v>42041</v>
      </c>
      <c r="S464" s="1">
        <v>215489</v>
      </c>
      <c r="U464" s="1">
        <v>3272</v>
      </c>
      <c r="V464" s="1" t="s">
        <v>6112</v>
      </c>
      <c r="W464" s="1" t="s">
        <v>304</v>
      </c>
      <c r="X464" s="1">
        <v>3272</v>
      </c>
      <c r="Y464" s="1">
        <v>2</v>
      </c>
      <c r="Z464" s="1" t="s">
        <v>200</v>
      </c>
      <c r="AA464" s="1" t="s">
        <v>1123</v>
      </c>
      <c r="AB464" s="1">
        <v>60504</v>
      </c>
      <c r="AD464" s="1" t="s">
        <v>4351</v>
      </c>
      <c r="AE464" s="1" t="s">
        <v>6113</v>
      </c>
      <c r="AF464" s="1">
        <v>1979</v>
      </c>
      <c r="AG464" s="1" t="s">
        <v>204</v>
      </c>
      <c r="AH464" s="1" t="s">
        <v>1126</v>
      </c>
      <c r="AI464" s="1" t="s">
        <v>206</v>
      </c>
      <c r="AJ464" s="1" t="s">
        <v>924</v>
      </c>
      <c r="AK464" s="1" t="s">
        <v>3149</v>
      </c>
      <c r="AL464" s="1">
        <v>5</v>
      </c>
      <c r="AM464" s="1">
        <v>2</v>
      </c>
      <c r="AN464" s="1">
        <v>1</v>
      </c>
      <c r="AO464" s="1">
        <v>0</v>
      </c>
      <c r="AP464" s="1" t="s">
        <v>210</v>
      </c>
      <c r="AR464" s="1" t="s">
        <v>210</v>
      </c>
      <c r="AS464" s="1" t="s">
        <v>204</v>
      </c>
      <c r="AT464" s="1" t="s">
        <v>211</v>
      </c>
      <c r="AU464" s="1">
        <v>1</v>
      </c>
      <c r="AW464" s="1" t="s">
        <v>204</v>
      </c>
      <c r="AX464" s="1" t="s">
        <v>6114</v>
      </c>
      <c r="AZ464" s="1">
        <v>1631</v>
      </c>
      <c r="BA464" s="1">
        <v>2013</v>
      </c>
      <c r="BB464" s="1" t="s">
        <v>405</v>
      </c>
      <c r="BE464" s="1">
        <v>0</v>
      </c>
      <c r="BF464" s="1">
        <v>2</v>
      </c>
      <c r="BG464" s="1">
        <v>0</v>
      </c>
      <c r="BL464" s="1">
        <v>0</v>
      </c>
      <c r="BM464" s="1" t="s">
        <v>204</v>
      </c>
      <c r="BN464" s="1" t="s">
        <v>213</v>
      </c>
      <c r="BO464" s="1">
        <v>0</v>
      </c>
      <c r="BP464" s="1" t="s">
        <v>204</v>
      </c>
      <c r="BR464" s="1" t="str">
        <f>"0729312026"</f>
        <v>0729312026</v>
      </c>
      <c r="BT464" s="1" t="s">
        <v>6115</v>
      </c>
      <c r="BX464" s="1">
        <v>204</v>
      </c>
      <c r="BY464" s="1">
        <v>204</v>
      </c>
      <c r="BZ464" s="1">
        <v>204</v>
      </c>
      <c r="CB464" s="1" t="str">
        <f t="shared" si="363"/>
        <v>0</v>
      </c>
      <c r="CC464" s="1" t="str">
        <f>"0"</f>
        <v>0</v>
      </c>
      <c r="CD464" s="1">
        <v>8</v>
      </c>
      <c r="CE464" s="1">
        <v>31</v>
      </c>
      <c r="CG464" s="1" t="s">
        <v>278</v>
      </c>
      <c r="CH464" s="1" t="s">
        <v>219</v>
      </c>
      <c r="CI464" s="1" t="s">
        <v>220</v>
      </c>
      <c r="CK464" s="1" t="s">
        <v>1358</v>
      </c>
      <c r="CL464" s="1" t="s">
        <v>277</v>
      </c>
      <c r="CM464" s="1" t="s">
        <v>220</v>
      </c>
      <c r="CO464" s="1" t="s">
        <v>516</v>
      </c>
      <c r="CP464" s="1" t="s">
        <v>219</v>
      </c>
      <c r="CQ464" s="1" t="s">
        <v>220</v>
      </c>
      <c r="CS464" s="1" t="s">
        <v>516</v>
      </c>
      <c r="CT464" s="1" t="s">
        <v>277</v>
      </c>
      <c r="CU464" s="1" t="s">
        <v>220</v>
      </c>
      <c r="CX464" s="1" t="s">
        <v>224</v>
      </c>
      <c r="DB464" s="1" t="s">
        <v>224</v>
      </c>
      <c r="DE464" s="1" t="s">
        <v>516</v>
      </c>
      <c r="DF464" s="1" t="s">
        <v>219</v>
      </c>
      <c r="DG464" s="1" t="s">
        <v>342</v>
      </c>
      <c r="DH464" s="1" t="s">
        <v>210</v>
      </c>
      <c r="DJ464" s="1" t="s">
        <v>224</v>
      </c>
      <c r="DS464" s="1" t="s">
        <v>230</v>
      </c>
      <c r="DW464" s="1" t="s">
        <v>230</v>
      </c>
      <c r="EA464" s="1" t="s">
        <v>230</v>
      </c>
      <c r="EE464" s="1" t="s">
        <v>230</v>
      </c>
      <c r="EI464" s="1" t="s">
        <v>230</v>
      </c>
      <c r="EL464" s="1" t="s">
        <v>231</v>
      </c>
      <c r="EM464" s="1" t="s">
        <v>319</v>
      </c>
      <c r="EN464" s="1" t="s">
        <v>282</v>
      </c>
      <c r="EO464" s="1" t="s">
        <v>234</v>
      </c>
      <c r="EP464" s="1" t="s">
        <v>650</v>
      </c>
      <c r="ER464" s="1" t="s">
        <v>210</v>
      </c>
      <c r="ES464" s="1" t="s">
        <v>545</v>
      </c>
      <c r="EU464" s="1" t="s">
        <v>3025</v>
      </c>
      <c r="EV464" s="1" t="s">
        <v>240</v>
      </c>
      <c r="EW464" s="1" t="s">
        <v>210</v>
      </c>
      <c r="EZ464" s="1" t="s">
        <v>287</v>
      </c>
      <c r="FA464" s="1" t="s">
        <v>672</v>
      </c>
      <c r="FD464" s="1" t="s">
        <v>246</v>
      </c>
      <c r="FE464" s="1" t="s">
        <v>472</v>
      </c>
      <c r="FF464" s="1" t="s">
        <v>248</v>
      </c>
      <c r="FH464" s="1" t="s">
        <v>442</v>
      </c>
      <c r="FL464" s="1" t="s">
        <v>358</v>
      </c>
      <c r="FM464" s="1" t="s">
        <v>252</v>
      </c>
      <c r="FN464" s="1" t="s">
        <v>213</v>
      </c>
      <c r="FO464" s="1" t="s">
        <v>213</v>
      </c>
      <c r="FQ464" s="1" t="s">
        <v>582</v>
      </c>
      <c r="FR464" s="1" t="s">
        <v>210</v>
      </c>
      <c r="FS464" s="1" t="s">
        <v>4164</v>
      </c>
      <c r="FT464" s="1" t="s">
        <v>4832</v>
      </c>
      <c r="FU464" s="1" t="s">
        <v>204</v>
      </c>
      <c r="FW464" s="1" t="s">
        <v>4166</v>
      </c>
      <c r="FX464" s="1">
        <v>31420</v>
      </c>
      <c r="FY464" s="1" t="s">
        <v>4167</v>
      </c>
      <c r="FZ464" s="1" t="s">
        <v>4168</v>
      </c>
      <c r="GA464" s="1">
        <v>314232</v>
      </c>
      <c r="GB464" s="1" t="s">
        <v>4169</v>
      </c>
      <c r="GE464" s="1" t="s">
        <v>210</v>
      </c>
      <c r="GI464" s="1" t="s">
        <v>213</v>
      </c>
      <c r="GJ464" s="1" t="s">
        <v>260</v>
      </c>
      <c r="GK464" s="1" t="s">
        <v>210</v>
      </c>
      <c r="GL464" s="2">
        <v>42044</v>
      </c>
      <c r="GM464" s="1" t="s">
        <v>6116</v>
      </c>
    </row>
    <row r="465" spans="1:195">
      <c r="A465" s="1">
        <v>126000</v>
      </c>
      <c r="B465" s="1" t="s">
        <v>195</v>
      </c>
      <c r="C465" s="1" t="str">
        <f>"08791968"</f>
        <v>08791968</v>
      </c>
      <c r="D465" s="1" t="s">
        <v>196</v>
      </c>
      <c r="F465" s="1" t="str">
        <f>"188"</f>
        <v>188</v>
      </c>
      <c r="G465" s="2">
        <v>41967</v>
      </c>
      <c r="H465" s="1">
        <v>129900</v>
      </c>
      <c r="I465" s="1">
        <v>129900</v>
      </c>
      <c r="J465" s="1">
        <v>126000</v>
      </c>
      <c r="K465" s="2">
        <v>41967</v>
      </c>
      <c r="L465" s="1">
        <v>136</v>
      </c>
      <c r="M465" s="2">
        <v>42008</v>
      </c>
      <c r="N465" s="1">
        <v>42</v>
      </c>
      <c r="O465" s="2">
        <v>42008</v>
      </c>
      <c r="P465" s="1">
        <v>92078</v>
      </c>
      <c r="Q465" s="1" t="s">
        <v>197</v>
      </c>
      <c r="R465" s="2">
        <v>42052</v>
      </c>
      <c r="S465" s="1">
        <v>923461</v>
      </c>
      <c r="U465" s="1">
        <v>379</v>
      </c>
      <c r="V465" s="1" t="s">
        <v>6117</v>
      </c>
      <c r="W465" s="1" t="s">
        <v>304</v>
      </c>
      <c r="Y465" s="1">
        <v>4</v>
      </c>
      <c r="Z465" s="1" t="s">
        <v>370</v>
      </c>
      <c r="AA465" s="1" t="s">
        <v>1084</v>
      </c>
      <c r="AB465" s="1">
        <v>60188</v>
      </c>
      <c r="AD465" s="1" t="s">
        <v>1085</v>
      </c>
      <c r="AE465" s="1" t="s">
        <v>6118</v>
      </c>
      <c r="AF465" s="1">
        <v>1988</v>
      </c>
      <c r="AG465" s="1" t="s">
        <v>204</v>
      </c>
      <c r="AH465" s="1" t="s">
        <v>1087</v>
      </c>
      <c r="AI465" s="1" t="s">
        <v>206</v>
      </c>
      <c r="AJ465" s="1" t="s">
        <v>269</v>
      </c>
      <c r="AL465" s="1">
        <v>5</v>
      </c>
      <c r="AM465" s="1">
        <v>2</v>
      </c>
      <c r="AN465" s="1">
        <v>1</v>
      </c>
      <c r="AO465" s="1">
        <v>1</v>
      </c>
      <c r="AP465" s="1" t="s">
        <v>209</v>
      </c>
      <c r="AQ465" s="1">
        <v>0</v>
      </c>
      <c r="AR465" s="1" t="s">
        <v>210</v>
      </c>
      <c r="AS465" s="1" t="s">
        <v>204</v>
      </c>
      <c r="AT465" s="1" t="s">
        <v>211</v>
      </c>
      <c r="AU465" s="1">
        <v>1</v>
      </c>
      <c r="AW465" s="1" t="s">
        <v>204</v>
      </c>
      <c r="AX465" s="1" t="s">
        <v>212</v>
      </c>
      <c r="AZ465" s="1">
        <v>2475.1799999999998</v>
      </c>
      <c r="BA465" s="1">
        <v>2013</v>
      </c>
      <c r="BB465" s="1" t="s">
        <v>210</v>
      </c>
      <c r="BE465" s="1">
        <v>1232</v>
      </c>
      <c r="BF465" s="1">
        <v>2</v>
      </c>
      <c r="BG465" s="1">
        <v>0</v>
      </c>
      <c r="BL465" s="1">
        <v>236</v>
      </c>
      <c r="BM465" s="1" t="s">
        <v>204</v>
      </c>
      <c r="BN465" s="1" t="s">
        <v>213</v>
      </c>
      <c r="BO465" s="1">
        <v>0</v>
      </c>
      <c r="BP465" s="1" t="s">
        <v>204</v>
      </c>
      <c r="BR465" s="1" t="str">
        <f>"0219400042"</f>
        <v>0219400042</v>
      </c>
      <c r="BT465" s="1" t="s">
        <v>6119</v>
      </c>
      <c r="BU465" s="1" t="s">
        <v>1090</v>
      </c>
      <c r="BV465" s="1" t="s">
        <v>1091</v>
      </c>
      <c r="BW465" s="1" t="s">
        <v>1092</v>
      </c>
      <c r="BX465" s="1">
        <v>93</v>
      </c>
      <c r="BY465" s="1">
        <v>93</v>
      </c>
      <c r="BZ465" s="1">
        <v>87</v>
      </c>
      <c r="CB465" s="1" t="str">
        <f t="shared" ref="CB465:CC465" si="364">""</f>
        <v/>
      </c>
      <c r="CC465" s="1" t="str">
        <f t="shared" si="364"/>
        <v/>
      </c>
      <c r="CG465" s="1" t="s">
        <v>221</v>
      </c>
      <c r="CH465" s="1" t="s">
        <v>219</v>
      </c>
      <c r="CI465" s="1" t="s">
        <v>229</v>
      </c>
      <c r="CK465" s="1" t="s">
        <v>1267</v>
      </c>
      <c r="CL465" s="1" t="s">
        <v>219</v>
      </c>
      <c r="CM465" s="1" t="s">
        <v>220</v>
      </c>
      <c r="CO465" s="1" t="s">
        <v>221</v>
      </c>
      <c r="CP465" s="1" t="s">
        <v>219</v>
      </c>
      <c r="CQ465" s="1" t="s">
        <v>229</v>
      </c>
      <c r="CS465" s="1" t="s">
        <v>378</v>
      </c>
      <c r="CT465" s="1" t="s">
        <v>219</v>
      </c>
      <c r="CU465" s="1" t="s">
        <v>229</v>
      </c>
      <c r="CX465" s="1" t="s">
        <v>224</v>
      </c>
      <c r="DB465" s="1" t="s">
        <v>224</v>
      </c>
      <c r="DE465" s="1" t="s">
        <v>379</v>
      </c>
      <c r="DF465" s="1" t="s">
        <v>219</v>
      </c>
      <c r="DG465" s="1" t="s">
        <v>226</v>
      </c>
      <c r="DJ465" s="1" t="s">
        <v>224</v>
      </c>
      <c r="DM465" s="1" t="s">
        <v>709</v>
      </c>
      <c r="DR465" s="1" t="s">
        <v>910</v>
      </c>
      <c r="DS465" s="1" t="s">
        <v>822</v>
      </c>
      <c r="DT465" s="1" t="s">
        <v>6120</v>
      </c>
      <c r="DW465" s="1" t="s">
        <v>230</v>
      </c>
      <c r="EA465" s="1" t="s">
        <v>230</v>
      </c>
      <c r="EE465" s="1" t="s">
        <v>230</v>
      </c>
      <c r="EI465" s="1" t="s">
        <v>230</v>
      </c>
      <c r="EL465" s="1" t="s">
        <v>542</v>
      </c>
      <c r="EM465" s="1" t="s">
        <v>319</v>
      </c>
      <c r="EN465" s="1" t="s">
        <v>282</v>
      </c>
      <c r="EO465" s="1" t="s">
        <v>234</v>
      </c>
      <c r="EP465" s="1" t="s">
        <v>1268</v>
      </c>
      <c r="EQ465" s="1" t="s">
        <v>2901</v>
      </c>
      <c r="ER465" s="1" t="s">
        <v>210</v>
      </c>
      <c r="ES465" s="1" t="s">
        <v>322</v>
      </c>
      <c r="EU465" s="1" t="s">
        <v>1110</v>
      </c>
      <c r="EV465" s="1" t="s">
        <v>240</v>
      </c>
      <c r="EW465" s="1" t="s">
        <v>353</v>
      </c>
      <c r="EY465" s="1" t="s">
        <v>441</v>
      </c>
      <c r="EZ465" s="1" t="s">
        <v>709</v>
      </c>
      <c r="FB465" s="1" t="s">
        <v>289</v>
      </c>
      <c r="FC465" s="1" t="s">
        <v>548</v>
      </c>
      <c r="FD465" s="1" t="s">
        <v>246</v>
      </c>
      <c r="FE465" s="1" t="s">
        <v>6121</v>
      </c>
      <c r="FF465" s="1" t="s">
        <v>6122</v>
      </c>
      <c r="FH465" s="1" t="s">
        <v>550</v>
      </c>
      <c r="FI465" s="1" t="s">
        <v>357</v>
      </c>
      <c r="FJ465" s="1" t="s">
        <v>6123</v>
      </c>
      <c r="FL465" s="1" t="s">
        <v>414</v>
      </c>
      <c r="FM465" s="1" t="s">
        <v>252</v>
      </c>
      <c r="FN465" s="1" t="s">
        <v>213</v>
      </c>
      <c r="FO465" s="1" t="s">
        <v>213</v>
      </c>
      <c r="FQ465" s="1" t="s">
        <v>6124</v>
      </c>
      <c r="FR465" s="1" t="s">
        <v>210</v>
      </c>
      <c r="FS465" s="1" t="s">
        <v>6125</v>
      </c>
      <c r="FT465" s="1" t="s">
        <v>295</v>
      </c>
      <c r="FU465" s="1" t="s">
        <v>204</v>
      </c>
      <c r="FW465" s="1" t="s">
        <v>6126</v>
      </c>
      <c r="FX465" s="1">
        <v>84540</v>
      </c>
      <c r="FY465" s="1" t="s">
        <v>6127</v>
      </c>
      <c r="FZ465" s="1" t="s">
        <v>6128</v>
      </c>
      <c r="GA465" s="1">
        <v>124821</v>
      </c>
      <c r="GB465" s="1" t="s">
        <v>6129</v>
      </c>
      <c r="GD465" s="1" t="s">
        <v>6130</v>
      </c>
      <c r="GE465" s="1" t="s">
        <v>210</v>
      </c>
      <c r="GI465" s="1" t="s">
        <v>213</v>
      </c>
      <c r="GJ465" s="1" t="s">
        <v>260</v>
      </c>
      <c r="GK465" s="1" t="s">
        <v>210</v>
      </c>
      <c r="GL465" s="2">
        <v>42060</v>
      </c>
    </row>
    <row r="466" spans="1:195">
      <c r="A466" s="1">
        <v>88000</v>
      </c>
      <c r="B466" s="1" t="s">
        <v>195</v>
      </c>
      <c r="C466" s="1" t="str">
        <f>"08791354"</f>
        <v>08791354</v>
      </c>
      <c r="D466" s="1" t="s">
        <v>196</v>
      </c>
      <c r="F466" s="1" t="str">
        <f>"172"</f>
        <v>172</v>
      </c>
      <c r="G466" s="2">
        <v>41965</v>
      </c>
      <c r="H466" s="1">
        <v>94406</v>
      </c>
      <c r="I466" s="1">
        <v>94406</v>
      </c>
      <c r="J466" s="1">
        <v>88000</v>
      </c>
      <c r="K466" s="2">
        <v>41965</v>
      </c>
      <c r="L466" s="1">
        <v>19</v>
      </c>
      <c r="M466" s="2">
        <v>41983</v>
      </c>
      <c r="N466" s="1">
        <v>19</v>
      </c>
      <c r="O466" s="2">
        <v>41983</v>
      </c>
      <c r="P466" s="1">
        <v>24007</v>
      </c>
      <c r="Q466" s="1" t="s">
        <v>302</v>
      </c>
      <c r="R466" s="2">
        <v>42002</v>
      </c>
      <c r="S466" s="1">
        <v>215475</v>
      </c>
      <c r="U466" s="1">
        <v>683</v>
      </c>
      <c r="V466" s="1" t="s">
        <v>6131</v>
      </c>
      <c r="W466" s="1" t="s">
        <v>504</v>
      </c>
      <c r="X466" s="1">
        <v>201</v>
      </c>
      <c r="Y466" s="1">
        <v>6</v>
      </c>
      <c r="Z466" s="1" t="s">
        <v>249</v>
      </c>
      <c r="AA466" s="1" t="s">
        <v>266</v>
      </c>
      <c r="AB466" s="1">
        <v>60172</v>
      </c>
      <c r="AD466" s="1" t="s">
        <v>6132</v>
      </c>
      <c r="AE466" s="1" t="s">
        <v>6133</v>
      </c>
      <c r="AF466" s="1">
        <v>1979</v>
      </c>
      <c r="AG466" s="1" t="s">
        <v>204</v>
      </c>
      <c r="AH466" s="1" t="s">
        <v>3952</v>
      </c>
      <c r="AI466" s="1" t="s">
        <v>206</v>
      </c>
      <c r="AJ466" s="1" t="s">
        <v>269</v>
      </c>
      <c r="AL466" s="1">
        <v>5</v>
      </c>
      <c r="AM466" s="1">
        <v>2</v>
      </c>
      <c r="AN466" s="1">
        <v>2</v>
      </c>
      <c r="AO466" s="1">
        <v>0</v>
      </c>
      <c r="AP466" s="1" t="s">
        <v>209</v>
      </c>
      <c r="AR466" s="1" t="s">
        <v>210</v>
      </c>
      <c r="AS466" s="1" t="s">
        <v>204</v>
      </c>
      <c r="AT466" s="1" t="s">
        <v>271</v>
      </c>
      <c r="AV466" s="1">
        <v>2</v>
      </c>
      <c r="AW466" s="1" t="s">
        <v>204</v>
      </c>
      <c r="AX466" s="1" t="s">
        <v>212</v>
      </c>
      <c r="AZ466" s="1">
        <v>1695</v>
      </c>
      <c r="BA466" s="1">
        <v>2013</v>
      </c>
      <c r="BE466" s="1">
        <v>906</v>
      </c>
      <c r="BF466" s="1">
        <v>2</v>
      </c>
      <c r="BG466" s="1">
        <v>0</v>
      </c>
      <c r="BL466" s="1">
        <v>165</v>
      </c>
      <c r="BM466" s="1" t="s">
        <v>204</v>
      </c>
      <c r="BN466" s="1" t="s">
        <v>213</v>
      </c>
      <c r="BO466" s="1">
        <v>40</v>
      </c>
      <c r="BP466" s="1" t="s">
        <v>204</v>
      </c>
      <c r="BR466" s="1" t="str">
        <f>"0209126003"</f>
        <v>0209126003</v>
      </c>
      <c r="BT466" s="1" t="s">
        <v>6134</v>
      </c>
      <c r="BU466" s="1" t="s">
        <v>1611</v>
      </c>
      <c r="BV466" s="1" t="s">
        <v>834</v>
      </c>
      <c r="BW466" s="1" t="s">
        <v>275</v>
      </c>
      <c r="BX466" s="1">
        <v>13</v>
      </c>
      <c r="BY466" s="1">
        <v>13</v>
      </c>
      <c r="BZ466" s="1">
        <v>108</v>
      </c>
      <c r="CB466" s="1" t="str">
        <f t="shared" ref="CB466:CC466" si="365">""</f>
        <v/>
      </c>
      <c r="CC466" s="1" t="str">
        <f t="shared" si="365"/>
        <v/>
      </c>
      <c r="CG466" s="1" t="s">
        <v>1533</v>
      </c>
      <c r="CH466" s="1" t="s">
        <v>219</v>
      </c>
      <c r="CI466" s="1" t="s">
        <v>220</v>
      </c>
      <c r="CJ466" s="1" t="s">
        <v>343</v>
      </c>
      <c r="CK466" s="1" t="s">
        <v>757</v>
      </c>
      <c r="CL466" s="1" t="s">
        <v>219</v>
      </c>
      <c r="CM466" s="1" t="s">
        <v>220</v>
      </c>
      <c r="CN466" s="1" t="s">
        <v>343</v>
      </c>
      <c r="CO466" s="1" t="s">
        <v>281</v>
      </c>
      <c r="CP466" s="1" t="s">
        <v>219</v>
      </c>
      <c r="CQ466" s="1" t="s">
        <v>220</v>
      </c>
      <c r="CS466" s="1" t="s">
        <v>378</v>
      </c>
      <c r="CT466" s="1" t="s">
        <v>219</v>
      </c>
      <c r="CU466" s="1" t="s">
        <v>220</v>
      </c>
      <c r="CV466" s="1" t="s">
        <v>343</v>
      </c>
      <c r="CX466" s="1" t="s">
        <v>224</v>
      </c>
      <c r="DB466" s="1" t="s">
        <v>224</v>
      </c>
      <c r="DE466" s="1" t="s">
        <v>317</v>
      </c>
      <c r="DF466" s="1" t="s">
        <v>219</v>
      </c>
      <c r="DG466" s="1" t="s">
        <v>226</v>
      </c>
      <c r="DH466" s="1" t="s">
        <v>343</v>
      </c>
      <c r="DJ466" s="1" t="s">
        <v>224</v>
      </c>
      <c r="DS466" s="1" t="s">
        <v>230</v>
      </c>
      <c r="DW466" s="1" t="s">
        <v>230</v>
      </c>
      <c r="EA466" s="1" t="s">
        <v>230</v>
      </c>
      <c r="EE466" s="1" t="s">
        <v>230</v>
      </c>
      <c r="EI466" s="1" t="s">
        <v>230</v>
      </c>
      <c r="EL466" s="1" t="s">
        <v>231</v>
      </c>
      <c r="EM466" s="1" t="s">
        <v>232</v>
      </c>
      <c r="EN466" s="1" t="s">
        <v>233</v>
      </c>
      <c r="EO466" s="1" t="s">
        <v>234</v>
      </c>
      <c r="EQ466" s="1" t="s">
        <v>468</v>
      </c>
      <c r="ER466" s="1" t="s">
        <v>210</v>
      </c>
      <c r="ES466" s="1" t="s">
        <v>322</v>
      </c>
      <c r="EV466" s="1" t="s">
        <v>324</v>
      </c>
      <c r="EW466" s="1" t="s">
        <v>867</v>
      </c>
      <c r="EZ466" s="1" t="s">
        <v>287</v>
      </c>
      <c r="FB466" s="1" t="s">
        <v>289</v>
      </c>
      <c r="FD466" s="1" t="s">
        <v>246</v>
      </c>
      <c r="FE466" s="1" t="s">
        <v>247</v>
      </c>
      <c r="FF466" s="1" t="s">
        <v>387</v>
      </c>
      <c r="FH466" s="1" t="s">
        <v>249</v>
      </c>
      <c r="FL466" s="1" t="s">
        <v>614</v>
      </c>
      <c r="FM466" s="1" t="s">
        <v>252</v>
      </c>
      <c r="FN466" s="1" t="s">
        <v>213</v>
      </c>
      <c r="FO466" s="1" t="s">
        <v>213</v>
      </c>
      <c r="FQ466" s="1" t="s">
        <v>6135</v>
      </c>
      <c r="FR466" s="1" t="s">
        <v>210</v>
      </c>
      <c r="FS466" s="1" t="s">
        <v>6136</v>
      </c>
      <c r="FT466" s="1" t="s">
        <v>675</v>
      </c>
      <c r="FU466" s="1" t="s">
        <v>204</v>
      </c>
      <c r="FW466" s="1" t="s">
        <v>5648</v>
      </c>
      <c r="FX466" s="1">
        <v>23099</v>
      </c>
      <c r="FY466" s="1" t="s">
        <v>5649</v>
      </c>
      <c r="FZ466" s="1" t="s">
        <v>6137</v>
      </c>
      <c r="GA466" s="1">
        <v>218883</v>
      </c>
      <c r="GB466" s="1" t="s">
        <v>6138</v>
      </c>
      <c r="GE466" s="1" t="s">
        <v>210</v>
      </c>
      <c r="GI466" s="1" t="s">
        <v>213</v>
      </c>
      <c r="GJ466" s="1" t="s">
        <v>260</v>
      </c>
      <c r="GK466" s="1" t="s">
        <v>210</v>
      </c>
      <c r="GL466" s="2">
        <v>42003</v>
      </c>
      <c r="GM466" s="1" t="s">
        <v>6139</v>
      </c>
    </row>
    <row r="467" spans="1:195">
      <c r="A467" s="1">
        <v>177000</v>
      </c>
      <c r="B467" s="1" t="s">
        <v>195</v>
      </c>
      <c r="C467" s="1" t="str">
        <f>"08794212"</f>
        <v>08794212</v>
      </c>
      <c r="D467" s="1" t="s">
        <v>196</v>
      </c>
      <c r="F467" s="1" t="str">
        <f>"174"</f>
        <v>174</v>
      </c>
      <c r="G467" s="2">
        <v>41974</v>
      </c>
      <c r="H467" s="1">
        <v>184900</v>
      </c>
      <c r="I467" s="1">
        <v>184900</v>
      </c>
      <c r="J467" s="1">
        <v>177000</v>
      </c>
      <c r="K467" s="2">
        <v>41974</v>
      </c>
      <c r="L467" s="1">
        <v>309</v>
      </c>
      <c r="M467" s="2">
        <v>41994</v>
      </c>
      <c r="N467" s="1">
        <v>21</v>
      </c>
      <c r="O467" s="2">
        <v>41994</v>
      </c>
      <c r="P467" s="1">
        <v>23591</v>
      </c>
      <c r="Q467" s="1" t="s">
        <v>302</v>
      </c>
      <c r="R467" s="2">
        <v>42013</v>
      </c>
      <c r="S467" s="1">
        <v>245649</v>
      </c>
      <c r="U467" s="1" t="s">
        <v>6140</v>
      </c>
      <c r="V467" s="1" t="s">
        <v>6141</v>
      </c>
      <c r="W467" s="1" t="s">
        <v>449</v>
      </c>
      <c r="X467" s="1" t="s">
        <v>1688</v>
      </c>
      <c r="Y467" s="1">
        <v>4</v>
      </c>
      <c r="Z467" s="1" t="s">
        <v>370</v>
      </c>
      <c r="AA467" s="1" t="s">
        <v>879</v>
      </c>
      <c r="AB467" s="1">
        <v>60174</v>
      </c>
      <c r="AD467" s="1" t="s">
        <v>6142</v>
      </c>
      <c r="AE467" s="1" t="s">
        <v>6143</v>
      </c>
      <c r="AF467" s="1">
        <v>2011</v>
      </c>
      <c r="AG467" s="1" t="s">
        <v>204</v>
      </c>
      <c r="AH467" s="1" t="s">
        <v>883</v>
      </c>
      <c r="AI467" s="1" t="s">
        <v>665</v>
      </c>
      <c r="AJ467" s="1" t="s">
        <v>883</v>
      </c>
      <c r="AL467" s="1">
        <v>6</v>
      </c>
      <c r="AM467" s="1">
        <v>2</v>
      </c>
      <c r="AN467" s="1">
        <v>1</v>
      </c>
      <c r="AO467" s="1">
        <v>1</v>
      </c>
      <c r="AP467" s="1" t="s">
        <v>667</v>
      </c>
      <c r="AQ467" s="1">
        <v>0</v>
      </c>
      <c r="AR467" s="1" t="s">
        <v>210</v>
      </c>
      <c r="AT467" s="1" t="s">
        <v>211</v>
      </c>
      <c r="AU467" s="1">
        <v>2</v>
      </c>
      <c r="AW467" s="1" t="s">
        <v>204</v>
      </c>
      <c r="AX467" s="1" t="s">
        <v>212</v>
      </c>
      <c r="AZ467" s="1">
        <v>4374.6400000000003</v>
      </c>
      <c r="BA467" s="1">
        <v>2013</v>
      </c>
      <c r="BB467" s="1" t="s">
        <v>405</v>
      </c>
      <c r="BE467" s="1">
        <v>1576</v>
      </c>
      <c r="BF467" s="1">
        <v>1</v>
      </c>
      <c r="BG467" s="1">
        <v>0</v>
      </c>
      <c r="BL467" s="1">
        <v>130</v>
      </c>
      <c r="BM467" s="1" t="s">
        <v>204</v>
      </c>
      <c r="BN467" s="1" t="s">
        <v>213</v>
      </c>
      <c r="BO467" s="1">
        <v>40</v>
      </c>
      <c r="BP467" s="1" t="s">
        <v>204</v>
      </c>
      <c r="BR467" s="1" t="str">
        <f>"0911336036"</f>
        <v>0911336036</v>
      </c>
      <c r="BT467" s="1" t="s">
        <v>6144</v>
      </c>
      <c r="BU467" s="1" t="s">
        <v>6145</v>
      </c>
      <c r="BV467" s="1" t="s">
        <v>2118</v>
      </c>
      <c r="BW467" s="1" t="s">
        <v>2119</v>
      </c>
      <c r="BX467" s="1">
        <v>303</v>
      </c>
      <c r="BY467" s="1">
        <v>303</v>
      </c>
      <c r="BZ467" s="1">
        <v>303</v>
      </c>
      <c r="CB467" s="1" t="str">
        <f t="shared" ref="CB467:CC467" si="366">""</f>
        <v/>
      </c>
      <c r="CC467" s="1" t="str">
        <f t="shared" si="366"/>
        <v/>
      </c>
      <c r="CG467" s="1" t="s">
        <v>4690</v>
      </c>
      <c r="CH467" s="1" t="s">
        <v>219</v>
      </c>
      <c r="CI467" s="1" t="s">
        <v>438</v>
      </c>
      <c r="CK467" s="1" t="s">
        <v>1045</v>
      </c>
      <c r="CL467" s="1" t="s">
        <v>277</v>
      </c>
      <c r="CM467" s="1" t="s">
        <v>220</v>
      </c>
      <c r="CO467" s="1" t="s">
        <v>379</v>
      </c>
      <c r="CP467" s="1" t="s">
        <v>219</v>
      </c>
      <c r="CS467" s="1" t="s">
        <v>379</v>
      </c>
      <c r="CT467" s="1" t="s">
        <v>277</v>
      </c>
      <c r="CU467" s="1" t="s">
        <v>220</v>
      </c>
      <c r="CX467" s="1" t="s">
        <v>224</v>
      </c>
      <c r="DB467" s="1" t="s">
        <v>224</v>
      </c>
      <c r="DE467" s="1" t="s">
        <v>281</v>
      </c>
      <c r="DF467" s="1" t="s">
        <v>219</v>
      </c>
      <c r="DG467" s="1" t="s">
        <v>438</v>
      </c>
      <c r="DJ467" s="1" t="s">
        <v>224</v>
      </c>
      <c r="DM467" s="1" t="s">
        <v>464</v>
      </c>
      <c r="DR467" s="1" t="s">
        <v>3318</v>
      </c>
      <c r="DS467" s="1" t="s">
        <v>277</v>
      </c>
      <c r="DW467" s="1" t="s">
        <v>230</v>
      </c>
      <c r="EA467" s="1" t="s">
        <v>230</v>
      </c>
      <c r="EE467" s="1" t="s">
        <v>230</v>
      </c>
      <c r="EI467" s="1" t="s">
        <v>230</v>
      </c>
      <c r="EL467" s="1" t="s">
        <v>1549</v>
      </c>
      <c r="EM467" s="1" t="s">
        <v>319</v>
      </c>
      <c r="EN467" s="1" t="s">
        <v>282</v>
      </c>
      <c r="EO467" s="1" t="s">
        <v>234</v>
      </c>
      <c r="EP467" s="1" t="s">
        <v>1268</v>
      </c>
      <c r="EQ467" s="1" t="s">
        <v>2188</v>
      </c>
      <c r="ER467" s="1" t="s">
        <v>383</v>
      </c>
      <c r="ES467" s="1" t="s">
        <v>608</v>
      </c>
      <c r="ET467" s="1" t="s">
        <v>842</v>
      </c>
      <c r="EU467" s="1" t="s">
        <v>239</v>
      </c>
      <c r="EV467" s="1" t="s">
        <v>240</v>
      </c>
      <c r="EW467" s="1" t="s">
        <v>353</v>
      </c>
      <c r="EZ467" s="1" t="s">
        <v>464</v>
      </c>
      <c r="FB467" s="1" t="s">
        <v>289</v>
      </c>
      <c r="FD467" s="1" t="s">
        <v>2252</v>
      </c>
      <c r="FE467" s="1" t="s">
        <v>975</v>
      </c>
      <c r="FF467" s="1" t="s">
        <v>248</v>
      </c>
      <c r="FH467" s="1" t="s">
        <v>550</v>
      </c>
      <c r="FI467" s="1" t="s">
        <v>473</v>
      </c>
      <c r="FJ467" s="1" t="s">
        <v>518</v>
      </c>
      <c r="FL467" s="1" t="s">
        <v>358</v>
      </c>
      <c r="FM467" s="1" t="s">
        <v>769</v>
      </c>
      <c r="FN467" s="1" t="s">
        <v>213</v>
      </c>
      <c r="FO467" s="1" t="s">
        <v>213</v>
      </c>
      <c r="FQ467" s="1" t="s">
        <v>5060</v>
      </c>
      <c r="FR467" s="1" t="s">
        <v>210</v>
      </c>
      <c r="FS467" s="1" t="s">
        <v>6146</v>
      </c>
      <c r="FT467" s="1" t="s">
        <v>295</v>
      </c>
      <c r="FU467" s="1" t="s">
        <v>204</v>
      </c>
      <c r="FW467" s="1" t="s">
        <v>1443</v>
      </c>
      <c r="FX467" s="1">
        <v>85115</v>
      </c>
      <c r="FY467" s="1" t="s">
        <v>1444</v>
      </c>
      <c r="FZ467" s="1" t="s">
        <v>6147</v>
      </c>
      <c r="GA467" s="1">
        <v>168502</v>
      </c>
      <c r="GB467" s="1" t="s">
        <v>6148</v>
      </c>
      <c r="GE467" s="1" t="s">
        <v>210</v>
      </c>
      <c r="GI467" s="1" t="s">
        <v>213</v>
      </c>
      <c r="GJ467" s="1" t="s">
        <v>260</v>
      </c>
      <c r="GK467" s="1" t="s">
        <v>210</v>
      </c>
      <c r="GL467" s="2">
        <v>42016</v>
      </c>
    </row>
    <row r="468" spans="1:195">
      <c r="A468" s="1">
        <v>98000</v>
      </c>
      <c r="B468" s="1" t="s">
        <v>195</v>
      </c>
      <c r="C468" s="1" t="str">
        <f>"08792691"</f>
        <v>08792691</v>
      </c>
      <c r="D468" s="1" t="s">
        <v>196</v>
      </c>
      <c r="F468" s="1" t="str">
        <f>"20"</f>
        <v>20</v>
      </c>
      <c r="G468" s="2">
        <v>41968</v>
      </c>
      <c r="H468" s="1">
        <v>99800</v>
      </c>
      <c r="I468" s="1">
        <v>99800</v>
      </c>
      <c r="J468" s="1">
        <v>98000</v>
      </c>
      <c r="K468" s="2">
        <v>41968</v>
      </c>
      <c r="L468" s="1">
        <v>5</v>
      </c>
      <c r="M468" s="2">
        <v>41972</v>
      </c>
      <c r="N468" s="1">
        <v>5</v>
      </c>
      <c r="O468" s="2">
        <v>41972</v>
      </c>
      <c r="P468" s="1">
        <v>5338</v>
      </c>
      <c r="Q468" s="1" t="s">
        <v>197</v>
      </c>
      <c r="R468" s="2">
        <v>42027</v>
      </c>
      <c r="S468" s="1">
        <v>53275</v>
      </c>
      <c r="U468" s="1">
        <v>528</v>
      </c>
      <c r="V468" s="1" t="s">
        <v>6149</v>
      </c>
      <c r="W468" s="1" t="s">
        <v>264</v>
      </c>
      <c r="X468" s="1">
        <v>528</v>
      </c>
      <c r="Y468" s="1">
        <v>4</v>
      </c>
      <c r="Z468" s="1" t="s">
        <v>249</v>
      </c>
      <c r="AA468" s="1" t="s">
        <v>592</v>
      </c>
      <c r="AB468" s="1">
        <v>60020</v>
      </c>
      <c r="AD468" s="1" t="s">
        <v>6149</v>
      </c>
      <c r="AE468" s="1" t="s">
        <v>6150</v>
      </c>
      <c r="AF468" s="1">
        <v>2002</v>
      </c>
      <c r="AG468" s="1" t="s">
        <v>204</v>
      </c>
      <c r="AH468" s="1" t="s">
        <v>595</v>
      </c>
      <c r="AI468" s="1" t="s">
        <v>509</v>
      </c>
      <c r="AJ468" s="1" t="s">
        <v>1016</v>
      </c>
      <c r="AK468" s="1" t="s">
        <v>6151</v>
      </c>
      <c r="AL468" s="1">
        <v>6</v>
      </c>
      <c r="AM468" s="1">
        <v>2</v>
      </c>
      <c r="AN468" s="1">
        <v>2</v>
      </c>
      <c r="AO468" s="1">
        <v>1</v>
      </c>
      <c r="AP468" s="1" t="s">
        <v>455</v>
      </c>
      <c r="AR468" s="1" t="s">
        <v>2275</v>
      </c>
      <c r="AS468" s="1" t="s">
        <v>213</v>
      </c>
      <c r="AT468" s="1" t="s">
        <v>211</v>
      </c>
      <c r="AU468" s="1">
        <v>1</v>
      </c>
      <c r="AW468" s="1" t="s">
        <v>204</v>
      </c>
      <c r="AX468" s="1" t="s">
        <v>579</v>
      </c>
      <c r="AZ468" s="1">
        <v>2496</v>
      </c>
      <c r="BA468" s="1">
        <v>2013</v>
      </c>
      <c r="BB468" s="1" t="s">
        <v>405</v>
      </c>
      <c r="BE468" s="1">
        <v>1500</v>
      </c>
      <c r="BF468" s="1">
        <v>1</v>
      </c>
      <c r="BG468" s="1">
        <v>0</v>
      </c>
      <c r="BL468" s="1">
        <v>159</v>
      </c>
      <c r="BM468" s="1" t="s">
        <v>204</v>
      </c>
      <c r="BN468" s="1" t="s">
        <v>213</v>
      </c>
      <c r="BO468" s="1" t="s">
        <v>2932</v>
      </c>
      <c r="BP468" s="1" t="s">
        <v>204</v>
      </c>
      <c r="BR468" s="1" t="str">
        <f>"05151020760000"</f>
        <v>05151020760000</v>
      </c>
      <c r="BT468" s="1" t="s">
        <v>6152</v>
      </c>
      <c r="BU468" s="1" t="s">
        <v>6153</v>
      </c>
      <c r="BV468" s="1" t="s">
        <v>6154</v>
      </c>
      <c r="BW468" s="1" t="s">
        <v>2264</v>
      </c>
      <c r="BX468" s="1">
        <v>38</v>
      </c>
      <c r="BY468" s="1">
        <v>38</v>
      </c>
      <c r="BZ468" s="1">
        <v>124</v>
      </c>
      <c r="CB468" s="1" t="str">
        <f>"36"</f>
        <v>36</v>
      </c>
      <c r="CC468" s="1" t="str">
        <f>"0"</f>
        <v>0</v>
      </c>
      <c r="CD468" s="1">
        <v>27</v>
      </c>
      <c r="CE468" s="1">
        <v>0</v>
      </c>
      <c r="CG468" s="1" t="s">
        <v>315</v>
      </c>
      <c r="CH468" s="1" t="s">
        <v>219</v>
      </c>
      <c r="CI468" s="1" t="s">
        <v>220</v>
      </c>
      <c r="CK468" s="1" t="s">
        <v>931</v>
      </c>
      <c r="CL468" s="1" t="s">
        <v>277</v>
      </c>
      <c r="CM468" s="1" t="s">
        <v>220</v>
      </c>
      <c r="CO468" s="1" t="s">
        <v>318</v>
      </c>
      <c r="CP468" s="1" t="s">
        <v>219</v>
      </c>
      <c r="CQ468" s="1" t="s">
        <v>220</v>
      </c>
      <c r="CS468" s="1" t="s">
        <v>378</v>
      </c>
      <c r="CT468" s="1" t="s">
        <v>277</v>
      </c>
      <c r="CU468" s="1" t="s">
        <v>220</v>
      </c>
      <c r="CX468" s="1" t="s">
        <v>224</v>
      </c>
      <c r="DB468" s="1" t="s">
        <v>224</v>
      </c>
      <c r="DE468" s="1" t="s">
        <v>346</v>
      </c>
      <c r="DF468" s="1" t="s">
        <v>219</v>
      </c>
      <c r="DG468" s="1" t="s">
        <v>342</v>
      </c>
      <c r="DI468" s="1" t="s">
        <v>4062</v>
      </c>
      <c r="DJ468" s="1" t="s">
        <v>43</v>
      </c>
      <c r="DK468" s="1" t="s">
        <v>220</v>
      </c>
      <c r="DS468" s="1" t="s">
        <v>230</v>
      </c>
      <c r="DW468" s="1" t="s">
        <v>230</v>
      </c>
      <c r="EA468" s="1" t="s">
        <v>230</v>
      </c>
      <c r="EE468" s="1" t="s">
        <v>230</v>
      </c>
      <c r="EI468" s="1" t="s">
        <v>230</v>
      </c>
      <c r="EL468" s="1" t="s">
        <v>466</v>
      </c>
      <c r="EM468" s="1" t="s">
        <v>319</v>
      </c>
      <c r="EN468" s="1" t="s">
        <v>282</v>
      </c>
      <c r="EO468" s="1" t="s">
        <v>234</v>
      </c>
      <c r="EP468" s="1" t="s">
        <v>3012</v>
      </c>
      <c r="EQ468" s="1" t="s">
        <v>5020</v>
      </c>
      <c r="ER468" s="1" t="s">
        <v>544</v>
      </c>
      <c r="ES468" s="1" t="s">
        <v>608</v>
      </c>
      <c r="EU468" s="1" t="s">
        <v>6155</v>
      </c>
      <c r="EV468" s="1" t="s">
        <v>240</v>
      </c>
      <c r="EW468" s="1" t="s">
        <v>353</v>
      </c>
      <c r="EY468" s="1" t="s">
        <v>242</v>
      </c>
      <c r="EZ468" s="1" t="s">
        <v>287</v>
      </c>
      <c r="FA468" s="1" t="s">
        <v>6156</v>
      </c>
      <c r="FB468" s="1" t="s">
        <v>289</v>
      </c>
      <c r="FC468" s="1" t="s">
        <v>735</v>
      </c>
      <c r="FD468" s="1" t="s">
        <v>246</v>
      </c>
      <c r="FE468" s="1" t="s">
        <v>355</v>
      </c>
      <c r="FF468" s="1" t="s">
        <v>248</v>
      </c>
      <c r="FH468" s="1" t="s">
        <v>550</v>
      </c>
      <c r="FI468" s="1" t="s">
        <v>473</v>
      </c>
      <c r="FJ468" s="1" t="s">
        <v>518</v>
      </c>
      <c r="FL468" s="1" t="s">
        <v>358</v>
      </c>
      <c r="FM468" s="1" t="s">
        <v>252</v>
      </c>
      <c r="FN468" s="1" t="s">
        <v>213</v>
      </c>
      <c r="FO468" s="1" t="s">
        <v>213</v>
      </c>
      <c r="FQ468" s="1" t="s">
        <v>329</v>
      </c>
      <c r="FR468" s="1" t="s">
        <v>210</v>
      </c>
      <c r="FS468" s="1" t="s">
        <v>6157</v>
      </c>
      <c r="FT468" s="1" t="s">
        <v>2589</v>
      </c>
      <c r="FU468" s="1" t="s">
        <v>204</v>
      </c>
      <c r="FW468" s="1" t="s">
        <v>256</v>
      </c>
      <c r="FX468" s="1">
        <v>2648</v>
      </c>
      <c r="FY468" s="1" t="s">
        <v>1022</v>
      </c>
      <c r="FZ468" s="1" t="s">
        <v>6158</v>
      </c>
      <c r="GA468" s="1">
        <v>13813</v>
      </c>
      <c r="GB468" s="1" t="s">
        <v>6159</v>
      </c>
      <c r="GE468" s="1" t="s">
        <v>6160</v>
      </c>
      <c r="GI468" s="1" t="s">
        <v>213</v>
      </c>
      <c r="GJ468" s="1" t="s">
        <v>260</v>
      </c>
      <c r="GK468" s="1" t="s">
        <v>4920</v>
      </c>
      <c r="GL468" s="2">
        <v>42027</v>
      </c>
      <c r="GM468" s="1" t="s">
        <v>6161</v>
      </c>
    </row>
    <row r="469" spans="1:195">
      <c r="A469" s="1">
        <v>269900</v>
      </c>
      <c r="B469" s="1" t="s">
        <v>195</v>
      </c>
      <c r="C469" s="1" t="str">
        <f>"08791161"</f>
        <v>08791161</v>
      </c>
      <c r="D469" s="1" t="s">
        <v>196</v>
      </c>
      <c r="F469" s="1" t="str">
        <f>"540"</f>
        <v>540</v>
      </c>
      <c r="G469" s="2">
        <v>41965</v>
      </c>
      <c r="H469" s="1">
        <v>269900</v>
      </c>
      <c r="I469" s="1">
        <v>269900</v>
      </c>
      <c r="J469" s="1">
        <v>269900</v>
      </c>
      <c r="K469" s="2">
        <v>41964</v>
      </c>
      <c r="L469" s="1">
        <v>56</v>
      </c>
      <c r="M469" s="2">
        <v>42019</v>
      </c>
      <c r="N469" s="1">
        <v>56</v>
      </c>
      <c r="O469" s="2">
        <v>42019</v>
      </c>
      <c r="P469" s="1">
        <v>21324</v>
      </c>
      <c r="Q469" s="1" t="s">
        <v>302</v>
      </c>
      <c r="R469" s="2">
        <v>42055</v>
      </c>
      <c r="S469" s="1">
        <v>234654</v>
      </c>
      <c r="U469" s="1">
        <v>511</v>
      </c>
      <c r="V469" s="1" t="s">
        <v>1126</v>
      </c>
      <c r="W469" s="1" t="s">
        <v>425</v>
      </c>
      <c r="X469" s="1">
        <v>520</v>
      </c>
      <c r="Y469" s="1">
        <v>120</v>
      </c>
      <c r="Z469" s="1" t="s">
        <v>249</v>
      </c>
      <c r="AA469" s="1" t="s">
        <v>921</v>
      </c>
      <c r="AB469" s="1">
        <v>60540</v>
      </c>
      <c r="AD469" s="1" t="s">
        <v>4486</v>
      </c>
      <c r="AE469" s="1" t="s">
        <v>4487</v>
      </c>
      <c r="AF469" s="1">
        <v>1986</v>
      </c>
      <c r="AG469" s="1" t="s">
        <v>204</v>
      </c>
      <c r="AH469" s="1" t="s">
        <v>924</v>
      </c>
      <c r="AI469" s="1" t="s">
        <v>206</v>
      </c>
      <c r="AJ469" s="1" t="s">
        <v>924</v>
      </c>
      <c r="AK469" s="1" t="s">
        <v>6162</v>
      </c>
      <c r="AL469" s="1">
        <v>5</v>
      </c>
      <c r="AM469" s="1">
        <v>2</v>
      </c>
      <c r="AN469" s="1">
        <v>2</v>
      </c>
      <c r="AO469" s="1">
        <v>0</v>
      </c>
      <c r="AP469" s="1" t="s">
        <v>209</v>
      </c>
      <c r="AQ469" s="1">
        <v>1</v>
      </c>
      <c r="AR469" s="1" t="s">
        <v>210</v>
      </c>
      <c r="AT469" s="1" t="s">
        <v>211</v>
      </c>
      <c r="AU469" s="1">
        <v>1</v>
      </c>
      <c r="AW469" s="1" t="s">
        <v>204</v>
      </c>
      <c r="AX469" s="1" t="s">
        <v>212</v>
      </c>
      <c r="AZ469" s="1">
        <v>5225</v>
      </c>
      <c r="BA469" s="1">
        <v>2013</v>
      </c>
      <c r="BB469" s="1" t="s">
        <v>405</v>
      </c>
      <c r="BE469" s="1">
        <v>1244</v>
      </c>
      <c r="BF469" s="1">
        <v>5</v>
      </c>
      <c r="BG469" s="1">
        <v>0</v>
      </c>
      <c r="BL469" s="1">
        <v>588</v>
      </c>
      <c r="BM469" s="1" t="s">
        <v>204</v>
      </c>
      <c r="BN469" s="1" t="s">
        <v>213</v>
      </c>
      <c r="BP469" s="1" t="s">
        <v>204</v>
      </c>
      <c r="BR469" s="1" t="str">
        <f>"0724124100"</f>
        <v>0724124100</v>
      </c>
      <c r="BT469" s="1" t="s">
        <v>6163</v>
      </c>
      <c r="BU469" s="1" t="s">
        <v>928</v>
      </c>
      <c r="BV469" s="1" t="s">
        <v>929</v>
      </c>
      <c r="BW469" s="1" t="s">
        <v>930</v>
      </c>
      <c r="BX469" s="1">
        <v>203</v>
      </c>
      <c r="BY469" s="1">
        <v>203</v>
      </c>
      <c r="BZ469" s="1">
        <v>203</v>
      </c>
      <c r="CB469" s="1" t="str">
        <f t="shared" ref="CB469:CC469" si="367">"0"</f>
        <v>0</v>
      </c>
      <c r="CC469" s="1" t="str">
        <f t="shared" si="367"/>
        <v>0</v>
      </c>
      <c r="CD469" s="1">
        <v>27</v>
      </c>
      <c r="CE469" s="1">
        <v>7</v>
      </c>
      <c r="CG469" s="1" t="s">
        <v>221</v>
      </c>
      <c r="CH469" s="1" t="s">
        <v>219</v>
      </c>
      <c r="CI469" s="1" t="s">
        <v>220</v>
      </c>
      <c r="CJ469" s="1" t="s">
        <v>343</v>
      </c>
      <c r="CK469" s="1" t="s">
        <v>539</v>
      </c>
      <c r="CL469" s="1" t="s">
        <v>219</v>
      </c>
      <c r="CM469" s="1" t="s">
        <v>220</v>
      </c>
      <c r="CN469" s="1" t="s">
        <v>343</v>
      </c>
      <c r="CO469" s="1" t="s">
        <v>821</v>
      </c>
      <c r="CP469" s="1" t="s">
        <v>219</v>
      </c>
      <c r="CQ469" s="1" t="s">
        <v>220</v>
      </c>
      <c r="CR469" s="1" t="s">
        <v>210</v>
      </c>
      <c r="CS469" s="1" t="s">
        <v>539</v>
      </c>
      <c r="CT469" s="1" t="s">
        <v>219</v>
      </c>
      <c r="CU469" s="1" t="s">
        <v>220</v>
      </c>
      <c r="CV469" s="1" t="s">
        <v>343</v>
      </c>
      <c r="CX469" s="1" t="s">
        <v>224</v>
      </c>
      <c r="DB469" s="1" t="s">
        <v>224</v>
      </c>
      <c r="DE469" s="1" t="s">
        <v>380</v>
      </c>
      <c r="DF469" s="1" t="s">
        <v>219</v>
      </c>
      <c r="DG469" s="1" t="s">
        <v>342</v>
      </c>
      <c r="DH469" s="1" t="s">
        <v>210</v>
      </c>
      <c r="DJ469" s="1" t="s">
        <v>224</v>
      </c>
      <c r="DS469" s="1" t="s">
        <v>230</v>
      </c>
      <c r="DW469" s="1" t="s">
        <v>230</v>
      </c>
      <c r="EA469" s="1" t="s">
        <v>230</v>
      </c>
      <c r="EE469" s="1" t="s">
        <v>230</v>
      </c>
      <c r="EI469" s="1" t="s">
        <v>230</v>
      </c>
      <c r="EL469" s="1" t="s">
        <v>542</v>
      </c>
      <c r="EM469" s="1" t="s">
        <v>232</v>
      </c>
      <c r="EN469" s="1" t="s">
        <v>282</v>
      </c>
      <c r="EO469" s="1" t="s">
        <v>234</v>
      </c>
      <c r="EP469" s="1" t="s">
        <v>4490</v>
      </c>
      <c r="EQ469" s="1" t="s">
        <v>236</v>
      </c>
      <c r="ER469" s="1" t="s">
        <v>210</v>
      </c>
      <c r="EU469" s="1" t="s">
        <v>4491</v>
      </c>
      <c r="EV469" s="1" t="s">
        <v>240</v>
      </c>
      <c r="EW469" s="1" t="s">
        <v>4492</v>
      </c>
      <c r="EY469" s="1" t="s">
        <v>242</v>
      </c>
      <c r="EZ469" s="1" t="s">
        <v>287</v>
      </c>
      <c r="FA469" s="1" t="s">
        <v>4493</v>
      </c>
      <c r="FB469" s="1" t="s">
        <v>4494</v>
      </c>
      <c r="FD469" s="1" t="s">
        <v>4003</v>
      </c>
      <c r="FE469" s="1" t="s">
        <v>247</v>
      </c>
      <c r="FF469" s="1" t="s">
        <v>248</v>
      </c>
      <c r="FG469" s="1" t="s">
        <v>939</v>
      </c>
      <c r="FH469" s="1" t="s">
        <v>1942</v>
      </c>
      <c r="FI469" s="1" t="s">
        <v>473</v>
      </c>
      <c r="FJ469" s="1" t="s">
        <v>1251</v>
      </c>
      <c r="FL469" s="1" t="s">
        <v>1907</v>
      </c>
      <c r="FM469" s="1" t="s">
        <v>252</v>
      </c>
      <c r="FN469" s="1" t="s">
        <v>213</v>
      </c>
      <c r="FO469" s="1" t="s">
        <v>213</v>
      </c>
      <c r="FQ469" s="1" t="s">
        <v>1758</v>
      </c>
      <c r="FR469" s="1" t="s">
        <v>210</v>
      </c>
      <c r="FS469" s="1" t="s">
        <v>6164</v>
      </c>
      <c r="FT469" s="1" t="s">
        <v>295</v>
      </c>
      <c r="FU469" s="1" t="s">
        <v>204</v>
      </c>
      <c r="FV469" s="1" t="s">
        <v>4496</v>
      </c>
      <c r="FW469" s="1" t="s">
        <v>1806</v>
      </c>
      <c r="FX469" s="1">
        <v>21324</v>
      </c>
      <c r="FY469" s="1" t="s">
        <v>2395</v>
      </c>
      <c r="FZ469" s="1" t="s">
        <v>4497</v>
      </c>
      <c r="GA469" s="1">
        <v>234654</v>
      </c>
      <c r="GB469" s="1" t="s">
        <v>4498</v>
      </c>
      <c r="GD469" s="1" t="s">
        <v>6165</v>
      </c>
      <c r="GE469" s="1" t="s">
        <v>335</v>
      </c>
      <c r="GI469" s="1" t="s">
        <v>213</v>
      </c>
      <c r="GJ469" s="1" t="s">
        <v>260</v>
      </c>
      <c r="GK469" s="1" t="s">
        <v>210</v>
      </c>
      <c r="GL469" s="2">
        <v>42055</v>
      </c>
      <c r="GM469" s="1" t="s">
        <v>6166</v>
      </c>
    </row>
    <row r="470" spans="1:195">
      <c r="A470" s="1">
        <v>222000</v>
      </c>
      <c r="B470" s="1" t="s">
        <v>195</v>
      </c>
      <c r="C470" s="1" t="str">
        <f>"08791277"</f>
        <v>08791277</v>
      </c>
      <c r="D470" s="1" t="s">
        <v>196</v>
      </c>
      <c r="F470" s="1" t="str">
        <f>"154"</f>
        <v>154</v>
      </c>
      <c r="G470" s="2">
        <v>41965</v>
      </c>
      <c r="H470" s="1">
        <v>239000</v>
      </c>
      <c r="I470" s="1">
        <v>239000</v>
      </c>
      <c r="J470" s="1">
        <v>222000</v>
      </c>
      <c r="K470" s="2">
        <v>41965</v>
      </c>
      <c r="L470" s="1">
        <v>84</v>
      </c>
      <c r="M470" s="2">
        <v>42048</v>
      </c>
      <c r="N470" s="1">
        <v>84</v>
      </c>
      <c r="O470" s="2">
        <v>42048</v>
      </c>
      <c r="P470" s="1">
        <v>16734</v>
      </c>
      <c r="Q470" s="1" t="s">
        <v>197</v>
      </c>
      <c r="R470" s="2">
        <v>42096</v>
      </c>
      <c r="S470" s="1">
        <v>863814</v>
      </c>
      <c r="U470" s="1">
        <v>2812</v>
      </c>
      <c r="V470" s="1" t="s">
        <v>6167</v>
      </c>
      <c r="W470" s="1" t="s">
        <v>304</v>
      </c>
      <c r="Y470" s="1">
        <v>6</v>
      </c>
      <c r="Z470" s="1" t="s">
        <v>370</v>
      </c>
      <c r="AA470" s="1" t="s">
        <v>1190</v>
      </c>
      <c r="AB470" s="1">
        <v>60154</v>
      </c>
      <c r="AD470" s="1" t="s">
        <v>6168</v>
      </c>
      <c r="AE470" s="1" t="s">
        <v>6169</v>
      </c>
      <c r="AF470" s="1">
        <v>1985</v>
      </c>
      <c r="AG470" s="1" t="s">
        <v>204</v>
      </c>
      <c r="AH470" s="1" t="s">
        <v>1193</v>
      </c>
      <c r="AI470" s="1" t="s">
        <v>310</v>
      </c>
      <c r="AJ470" s="1" t="s">
        <v>429</v>
      </c>
      <c r="AK470" s="1" t="s">
        <v>6170</v>
      </c>
      <c r="AL470" s="1">
        <v>6</v>
      </c>
      <c r="AM470" s="1">
        <v>2</v>
      </c>
      <c r="AN470" s="1">
        <v>2</v>
      </c>
      <c r="AO470" s="1">
        <v>0</v>
      </c>
      <c r="AP470" s="1" t="s">
        <v>209</v>
      </c>
      <c r="AR470" s="1" t="s">
        <v>210</v>
      </c>
      <c r="AS470" s="1" t="s">
        <v>204</v>
      </c>
      <c r="AT470" s="1" t="s">
        <v>211</v>
      </c>
      <c r="AU470" s="1">
        <v>1</v>
      </c>
      <c r="AW470" s="1" t="s">
        <v>204</v>
      </c>
      <c r="AX470" s="1" t="s">
        <v>6171</v>
      </c>
      <c r="AZ470" s="1">
        <v>4248</v>
      </c>
      <c r="BA470" s="1">
        <v>2013</v>
      </c>
      <c r="BB470" s="1" t="s">
        <v>405</v>
      </c>
      <c r="BE470" s="1">
        <v>1473</v>
      </c>
      <c r="BF470" s="1">
        <v>1</v>
      </c>
      <c r="BG470" s="1">
        <v>30</v>
      </c>
      <c r="BL470" s="1">
        <v>150</v>
      </c>
      <c r="BM470" s="1" t="s">
        <v>204</v>
      </c>
      <c r="BN470" s="1" t="s">
        <v>213</v>
      </c>
      <c r="BO470" s="1" t="s">
        <v>5814</v>
      </c>
      <c r="BP470" s="1" t="s">
        <v>204</v>
      </c>
      <c r="BR470" s="1" t="str">
        <f>"15293200120000"</f>
        <v>15293200120000</v>
      </c>
      <c r="BT470" s="1" t="s">
        <v>6172</v>
      </c>
      <c r="BU470" s="1" t="s">
        <v>1198</v>
      </c>
      <c r="BV470" s="1" t="s">
        <v>1196</v>
      </c>
      <c r="BW470" s="1" t="s">
        <v>6173</v>
      </c>
      <c r="BX470" s="1">
        <v>92.5</v>
      </c>
      <c r="BY470" s="1">
        <v>92.5</v>
      </c>
      <c r="BZ470" s="1">
        <v>209</v>
      </c>
      <c r="CB470" s="1" t="str">
        <f t="shared" ref="CB470:CC470" si="368">""</f>
        <v/>
      </c>
      <c r="CC470" s="1" t="str">
        <f t="shared" si="368"/>
        <v/>
      </c>
      <c r="CD470" s="1">
        <v>14</v>
      </c>
      <c r="CE470" s="1">
        <v>2</v>
      </c>
      <c r="CG470" s="1" t="s">
        <v>228</v>
      </c>
      <c r="CH470" s="1" t="s">
        <v>219</v>
      </c>
      <c r="CI470" s="1" t="s">
        <v>438</v>
      </c>
      <c r="CJ470" s="1" t="s">
        <v>909</v>
      </c>
      <c r="CK470" s="1" t="s">
        <v>932</v>
      </c>
      <c r="CL470" s="1" t="s">
        <v>277</v>
      </c>
      <c r="CM470" s="1" t="s">
        <v>220</v>
      </c>
      <c r="CN470" s="1" t="s">
        <v>343</v>
      </c>
      <c r="CO470" s="1" t="s">
        <v>1358</v>
      </c>
      <c r="CP470" s="1" t="s">
        <v>219</v>
      </c>
      <c r="CQ470" s="1" t="s">
        <v>438</v>
      </c>
      <c r="CR470" s="1" t="s">
        <v>210</v>
      </c>
      <c r="CS470" s="1" t="s">
        <v>378</v>
      </c>
      <c r="CT470" s="1" t="s">
        <v>219</v>
      </c>
      <c r="CU470" s="1" t="s">
        <v>438</v>
      </c>
      <c r="CV470" s="1" t="s">
        <v>343</v>
      </c>
      <c r="CX470" s="1" t="s">
        <v>224</v>
      </c>
      <c r="DB470" s="1" t="s">
        <v>224</v>
      </c>
      <c r="DE470" s="1" t="s">
        <v>465</v>
      </c>
      <c r="DF470" s="1" t="s">
        <v>219</v>
      </c>
      <c r="DG470" s="1" t="s">
        <v>438</v>
      </c>
      <c r="DH470" s="1" t="s">
        <v>343</v>
      </c>
      <c r="DJ470" s="1" t="s">
        <v>224</v>
      </c>
      <c r="DM470" s="1" t="s">
        <v>464</v>
      </c>
      <c r="DN470" s="1" t="s">
        <v>1771</v>
      </c>
      <c r="DR470" s="1" t="s">
        <v>3363</v>
      </c>
      <c r="DS470" s="1" t="s">
        <v>277</v>
      </c>
      <c r="DT470" s="1" t="s">
        <v>220</v>
      </c>
      <c r="DU470" s="1" t="s">
        <v>343</v>
      </c>
      <c r="DV470" s="1" t="s">
        <v>6174</v>
      </c>
      <c r="DW470" s="1" t="s">
        <v>277</v>
      </c>
      <c r="DX470" s="1" t="s">
        <v>220</v>
      </c>
      <c r="EA470" s="1" t="s">
        <v>230</v>
      </c>
      <c r="EE470" s="1" t="s">
        <v>230</v>
      </c>
      <c r="EI470" s="1" t="s">
        <v>230</v>
      </c>
      <c r="EL470" s="1" t="s">
        <v>542</v>
      </c>
      <c r="EM470" s="1" t="s">
        <v>232</v>
      </c>
      <c r="EN470" s="1" t="s">
        <v>282</v>
      </c>
      <c r="EO470" s="1" t="s">
        <v>234</v>
      </c>
      <c r="EP470" s="1" t="s">
        <v>1489</v>
      </c>
      <c r="EQ470" s="1" t="s">
        <v>236</v>
      </c>
      <c r="ER470" s="1" t="s">
        <v>210</v>
      </c>
      <c r="ES470" s="1" t="s">
        <v>322</v>
      </c>
      <c r="EV470" s="1" t="s">
        <v>240</v>
      </c>
      <c r="EW470" s="1" t="s">
        <v>353</v>
      </c>
      <c r="EY470" s="1" t="s">
        <v>790</v>
      </c>
      <c r="EZ470" s="1" t="s">
        <v>4451</v>
      </c>
      <c r="FA470" s="1" t="s">
        <v>6175</v>
      </c>
      <c r="FB470" s="1" t="s">
        <v>289</v>
      </c>
      <c r="FC470" s="1" t="s">
        <v>1362</v>
      </c>
      <c r="FD470" s="1" t="s">
        <v>495</v>
      </c>
      <c r="FE470" s="1" t="s">
        <v>2016</v>
      </c>
      <c r="FF470" s="1" t="s">
        <v>387</v>
      </c>
      <c r="FH470" s="1" t="s">
        <v>550</v>
      </c>
      <c r="FI470" s="1" t="s">
        <v>357</v>
      </c>
      <c r="FL470" s="1" t="s">
        <v>358</v>
      </c>
      <c r="FM470" s="1" t="s">
        <v>252</v>
      </c>
      <c r="FN470" s="1" t="s">
        <v>213</v>
      </c>
      <c r="FO470" s="1" t="s">
        <v>204</v>
      </c>
      <c r="FQ470" s="1" t="s">
        <v>6176</v>
      </c>
      <c r="FR470" s="1" t="s">
        <v>652</v>
      </c>
      <c r="FS470" s="1" t="s">
        <v>6177</v>
      </c>
      <c r="FT470" s="1" t="s">
        <v>255</v>
      </c>
      <c r="FU470" s="1" t="s">
        <v>204</v>
      </c>
      <c r="FV470" s="1" t="s">
        <v>6178</v>
      </c>
      <c r="FW470" s="1" t="s">
        <v>1559</v>
      </c>
      <c r="FX470" s="1">
        <v>24587</v>
      </c>
      <c r="FY470" s="1" t="s">
        <v>6179</v>
      </c>
      <c r="FZ470" s="1" t="s">
        <v>6180</v>
      </c>
      <c r="GA470" s="1">
        <v>223659</v>
      </c>
      <c r="GB470" s="1" t="s">
        <v>6181</v>
      </c>
      <c r="GE470" s="1" t="s">
        <v>480</v>
      </c>
      <c r="GI470" s="1" t="s">
        <v>213</v>
      </c>
      <c r="GJ470" s="1" t="s">
        <v>260</v>
      </c>
      <c r="GK470" s="1" t="s">
        <v>210</v>
      </c>
      <c r="GL470" s="2">
        <v>42100</v>
      </c>
      <c r="GM470" s="1" t="s">
        <v>6182</v>
      </c>
    </row>
    <row r="471" spans="1:195">
      <c r="A471" s="1">
        <v>61000</v>
      </c>
      <c r="B471" s="1" t="s">
        <v>195</v>
      </c>
      <c r="C471" s="1" t="str">
        <f>"08794006"</f>
        <v>08794006</v>
      </c>
      <c r="D471" s="1" t="s">
        <v>196</v>
      </c>
      <c r="F471" s="1" t="str">
        <f>"8042"</f>
        <v>8042</v>
      </c>
      <c r="G471" s="2">
        <v>41973</v>
      </c>
      <c r="H471" s="1">
        <v>65000</v>
      </c>
      <c r="I471" s="1">
        <v>65000</v>
      </c>
      <c r="J471" s="1">
        <v>61000</v>
      </c>
      <c r="K471" s="2">
        <v>41973</v>
      </c>
      <c r="L471" s="1">
        <v>83</v>
      </c>
      <c r="M471" s="2">
        <v>41982</v>
      </c>
      <c r="N471" s="1">
        <v>10</v>
      </c>
      <c r="O471" s="2">
        <v>41982</v>
      </c>
      <c r="P471" s="1">
        <v>85481</v>
      </c>
      <c r="Q471" s="1" t="s">
        <v>302</v>
      </c>
      <c r="R471" s="2">
        <v>41990</v>
      </c>
      <c r="S471" s="1">
        <v>144398</v>
      </c>
      <c r="U471" s="1">
        <v>6608</v>
      </c>
      <c r="V471" s="1" t="s">
        <v>6183</v>
      </c>
      <c r="W471" s="1" t="s">
        <v>425</v>
      </c>
      <c r="X471" s="1" t="s">
        <v>4376</v>
      </c>
      <c r="Y471" s="1">
        <v>6</v>
      </c>
      <c r="Z471" s="1" t="s">
        <v>249</v>
      </c>
      <c r="AA471" s="1" t="s">
        <v>400</v>
      </c>
      <c r="AB471" s="1">
        <v>60637</v>
      </c>
      <c r="AC471" s="1">
        <v>4285</v>
      </c>
      <c r="AE471" s="1" t="s">
        <v>6184</v>
      </c>
      <c r="AF471" s="1">
        <v>2007</v>
      </c>
      <c r="AG471" s="1" t="s">
        <v>204</v>
      </c>
      <c r="AH471" s="1" t="s">
        <v>403</v>
      </c>
      <c r="AI471" s="1" t="s">
        <v>310</v>
      </c>
      <c r="AJ471" s="1" t="s">
        <v>404</v>
      </c>
      <c r="AL471" s="1">
        <v>5</v>
      </c>
      <c r="AM471" s="1">
        <v>2</v>
      </c>
      <c r="AN471" s="1">
        <v>2</v>
      </c>
      <c r="AO471" s="1">
        <v>0</v>
      </c>
      <c r="AP471" s="1" t="s">
        <v>209</v>
      </c>
      <c r="AQ471" s="1">
        <v>1</v>
      </c>
      <c r="AR471" s="1" t="s">
        <v>210</v>
      </c>
      <c r="AS471" s="1" t="s">
        <v>204</v>
      </c>
      <c r="AT471" s="1" t="s">
        <v>271</v>
      </c>
      <c r="AV471" s="1">
        <v>1</v>
      </c>
      <c r="AW471" s="1" t="s">
        <v>204</v>
      </c>
      <c r="AX471" s="1" t="s">
        <v>6185</v>
      </c>
      <c r="AZ471" s="1">
        <v>2825.08</v>
      </c>
      <c r="BA471" s="1">
        <v>2013</v>
      </c>
      <c r="BC471" s="1">
        <v>0</v>
      </c>
      <c r="BE471" s="1">
        <v>1200</v>
      </c>
      <c r="BF471" s="1">
        <v>3</v>
      </c>
      <c r="BG471" s="1">
        <v>0</v>
      </c>
      <c r="BL471" s="1">
        <v>150</v>
      </c>
      <c r="BM471" s="1" t="s">
        <v>204</v>
      </c>
      <c r="BN471" s="1" t="s">
        <v>213</v>
      </c>
      <c r="BO471" s="1">
        <v>50</v>
      </c>
      <c r="BP471" s="1" t="s">
        <v>204</v>
      </c>
      <c r="BR471" s="1" t="str">
        <f>"20231200441006"</f>
        <v>20231200441006</v>
      </c>
      <c r="BT471" s="1" t="s">
        <v>6186</v>
      </c>
      <c r="BX471" s="1">
        <v>299</v>
      </c>
      <c r="BY471" s="1">
        <v>299</v>
      </c>
      <c r="BZ471" s="1">
        <v>299</v>
      </c>
      <c r="CB471" s="1" t="str">
        <f>"0"</f>
        <v>0</v>
      </c>
      <c r="CC471" s="1" t="str">
        <f>"850"</f>
        <v>850</v>
      </c>
      <c r="CD471" s="1">
        <v>0</v>
      </c>
      <c r="CE471" s="1">
        <v>6608</v>
      </c>
      <c r="CG471" s="1" t="s">
        <v>3913</v>
      </c>
      <c r="CH471" s="1" t="s">
        <v>219</v>
      </c>
      <c r="CK471" s="1" t="s">
        <v>3591</v>
      </c>
      <c r="CL471" s="1" t="s">
        <v>219</v>
      </c>
      <c r="CO471" s="1" t="s">
        <v>629</v>
      </c>
      <c r="CP471" s="1" t="s">
        <v>219</v>
      </c>
      <c r="CS471" s="1" t="s">
        <v>1107</v>
      </c>
      <c r="CT471" s="1" t="s">
        <v>219</v>
      </c>
      <c r="CX471" s="1" t="s">
        <v>224</v>
      </c>
      <c r="DB471" s="1" t="s">
        <v>224</v>
      </c>
      <c r="DE471" s="1" t="s">
        <v>1358</v>
      </c>
      <c r="DF471" s="1" t="s">
        <v>219</v>
      </c>
      <c r="DJ471" s="1" t="s">
        <v>224</v>
      </c>
      <c r="DS471" s="1" t="s">
        <v>230</v>
      </c>
      <c r="DW471" s="1" t="s">
        <v>230</v>
      </c>
      <c r="EA471" s="1" t="s">
        <v>230</v>
      </c>
      <c r="EE471" s="1" t="s">
        <v>230</v>
      </c>
      <c r="EI471" s="1" t="s">
        <v>230</v>
      </c>
      <c r="EL471" s="1" t="s">
        <v>491</v>
      </c>
      <c r="EM471" s="1" t="s">
        <v>319</v>
      </c>
      <c r="EN471" s="1" t="s">
        <v>282</v>
      </c>
      <c r="EO471" s="1" t="s">
        <v>234</v>
      </c>
      <c r="EP471" s="1" t="s">
        <v>1614</v>
      </c>
      <c r="ER471" s="1" t="s">
        <v>210</v>
      </c>
      <c r="EV471" s="1" t="s">
        <v>240</v>
      </c>
      <c r="EW471" s="1" t="s">
        <v>937</v>
      </c>
      <c r="EZ471" s="1" t="s">
        <v>287</v>
      </c>
      <c r="FB471" s="1" t="s">
        <v>734</v>
      </c>
      <c r="FD471" s="1" t="s">
        <v>246</v>
      </c>
      <c r="FE471" s="1" t="s">
        <v>247</v>
      </c>
      <c r="FF471" s="1" t="s">
        <v>387</v>
      </c>
      <c r="FH471" s="1" t="s">
        <v>249</v>
      </c>
      <c r="FK471" s="1" t="s">
        <v>291</v>
      </c>
      <c r="FL471" s="1" t="s">
        <v>414</v>
      </c>
      <c r="FM471" s="1" t="s">
        <v>252</v>
      </c>
      <c r="FN471" s="1" t="s">
        <v>213</v>
      </c>
      <c r="FO471" s="1" t="s">
        <v>213</v>
      </c>
      <c r="FQ471" s="1" t="s">
        <v>6187</v>
      </c>
      <c r="FR471" s="1" t="s">
        <v>210</v>
      </c>
      <c r="FS471" s="1" t="s">
        <v>6188</v>
      </c>
      <c r="FT471" s="1" t="s">
        <v>255</v>
      </c>
      <c r="FU471" s="1" t="s">
        <v>204</v>
      </c>
      <c r="FW471" s="1" t="s">
        <v>6189</v>
      </c>
      <c r="FX471" s="1">
        <v>85481</v>
      </c>
      <c r="FY471" s="1" t="s">
        <v>6190</v>
      </c>
      <c r="FZ471" s="1" t="s">
        <v>6191</v>
      </c>
      <c r="GA471" s="1">
        <v>144398</v>
      </c>
      <c r="GE471" s="1" t="s">
        <v>210</v>
      </c>
      <c r="GH471" s="1" t="s">
        <v>421</v>
      </c>
      <c r="GI471" s="1" t="s">
        <v>213</v>
      </c>
      <c r="GJ471" s="1" t="s">
        <v>300</v>
      </c>
      <c r="GK471" s="1" t="s">
        <v>210</v>
      </c>
      <c r="GL471" s="2">
        <v>41995</v>
      </c>
      <c r="GM471" s="1" t="s">
        <v>6192</v>
      </c>
    </row>
    <row r="472" spans="1:195">
      <c r="A472" s="1">
        <v>70000</v>
      </c>
      <c r="B472" s="1" t="s">
        <v>195</v>
      </c>
      <c r="C472" s="1" t="str">
        <f>"08798060"</f>
        <v>08798060</v>
      </c>
      <c r="D472" s="1" t="s">
        <v>196</v>
      </c>
      <c r="F472" s="1" t="str">
        <f>"20"</f>
        <v>20</v>
      </c>
      <c r="G472" s="2">
        <v>41979</v>
      </c>
      <c r="H472" s="1">
        <v>79000</v>
      </c>
      <c r="I472" s="1">
        <v>79000</v>
      </c>
      <c r="J472" s="1">
        <v>70000</v>
      </c>
      <c r="K472" s="2">
        <v>41978</v>
      </c>
      <c r="L472" s="1">
        <v>84</v>
      </c>
      <c r="M472" s="2">
        <v>42045</v>
      </c>
      <c r="N472" s="1">
        <v>68</v>
      </c>
      <c r="O472" s="2">
        <v>42045</v>
      </c>
      <c r="P472" s="1">
        <v>1886</v>
      </c>
      <c r="Q472" s="1" t="s">
        <v>197</v>
      </c>
      <c r="R472" s="2">
        <v>42062</v>
      </c>
      <c r="S472" s="1">
        <v>20737</v>
      </c>
      <c r="U472" s="1">
        <v>87</v>
      </c>
      <c r="V472" s="1" t="s">
        <v>6193</v>
      </c>
      <c r="W472" s="1" t="s">
        <v>504</v>
      </c>
      <c r="X472" s="1">
        <v>87</v>
      </c>
      <c r="Y472" s="1">
        <v>4</v>
      </c>
      <c r="Z472" s="1" t="s">
        <v>370</v>
      </c>
      <c r="AA472" s="1" t="s">
        <v>592</v>
      </c>
      <c r="AB472" s="1">
        <v>60020</v>
      </c>
      <c r="AC472" s="1">
        <v>1528</v>
      </c>
      <c r="AD472" s="1" t="s">
        <v>6194</v>
      </c>
      <c r="AE472" s="1" t="s">
        <v>6195</v>
      </c>
      <c r="AF472" s="1">
        <v>1974</v>
      </c>
      <c r="AG472" s="1" t="s">
        <v>213</v>
      </c>
      <c r="AH472" s="1" t="s">
        <v>595</v>
      </c>
      <c r="AI472" s="1" t="s">
        <v>509</v>
      </c>
      <c r="AJ472" s="1" t="s">
        <v>1016</v>
      </c>
      <c r="AL472" s="1">
        <v>6</v>
      </c>
      <c r="AM472" s="1">
        <v>2</v>
      </c>
      <c r="AN472" s="1">
        <v>1</v>
      </c>
      <c r="AO472" s="1">
        <v>1</v>
      </c>
      <c r="AP472" s="1" t="s">
        <v>210</v>
      </c>
      <c r="AQ472" s="1">
        <v>1</v>
      </c>
      <c r="AR472" s="1" t="s">
        <v>1631</v>
      </c>
      <c r="AS472" s="1" t="s">
        <v>204</v>
      </c>
      <c r="AT472" s="1" t="s">
        <v>271</v>
      </c>
      <c r="AV472" s="1">
        <v>2</v>
      </c>
      <c r="AW472" s="1" t="s">
        <v>213</v>
      </c>
      <c r="AX472" s="1" t="s">
        <v>1528</v>
      </c>
      <c r="AZ472" s="1">
        <v>2170.5320000000002</v>
      </c>
      <c r="BA472" s="1">
        <v>2013</v>
      </c>
      <c r="BB472" s="1" t="s">
        <v>210</v>
      </c>
      <c r="BE472" s="1">
        <v>1040</v>
      </c>
      <c r="BF472" s="1">
        <v>87</v>
      </c>
      <c r="BG472" s="1">
        <v>1</v>
      </c>
      <c r="BL472" s="1">
        <v>262</v>
      </c>
      <c r="BM472" s="1" t="s">
        <v>204</v>
      </c>
      <c r="BN472" s="1" t="s">
        <v>213</v>
      </c>
      <c r="BO472" s="1">
        <v>999</v>
      </c>
      <c r="BP472" s="1" t="s">
        <v>204</v>
      </c>
      <c r="BR472" s="1" t="str">
        <f>"05101000050000"</f>
        <v>05101000050000</v>
      </c>
      <c r="BT472" s="1" t="s">
        <v>6196</v>
      </c>
      <c r="BX472" s="1">
        <v>114</v>
      </c>
      <c r="BY472" s="1">
        <v>114</v>
      </c>
      <c r="BZ472" s="1">
        <v>124</v>
      </c>
      <c r="CB472" s="1" t="str">
        <f>"27"</f>
        <v>27</v>
      </c>
      <c r="CC472" s="1" t="str">
        <f t="shared" ref="CC472:CC474" si="369">"0"</f>
        <v>0</v>
      </c>
      <c r="CD472" s="1">
        <v>37</v>
      </c>
      <c r="CE472" s="1">
        <v>0</v>
      </c>
      <c r="CG472" s="1" t="s">
        <v>1737</v>
      </c>
      <c r="CH472" s="1" t="s">
        <v>219</v>
      </c>
      <c r="CI472" s="1" t="s">
        <v>220</v>
      </c>
      <c r="CK472" s="1" t="s">
        <v>932</v>
      </c>
      <c r="CL472" s="1" t="s">
        <v>219</v>
      </c>
      <c r="CM472" s="1" t="s">
        <v>220</v>
      </c>
      <c r="CO472" s="1" t="s">
        <v>630</v>
      </c>
      <c r="CP472" s="1" t="s">
        <v>219</v>
      </c>
      <c r="CQ472" s="1" t="s">
        <v>220</v>
      </c>
      <c r="CS472" s="1" t="s">
        <v>602</v>
      </c>
      <c r="CT472" s="1" t="s">
        <v>219</v>
      </c>
      <c r="CU472" s="1" t="s">
        <v>220</v>
      </c>
      <c r="CX472" s="1" t="s">
        <v>224</v>
      </c>
      <c r="DB472" s="1" t="s">
        <v>224</v>
      </c>
      <c r="DE472" s="1" t="s">
        <v>489</v>
      </c>
      <c r="DF472" s="1" t="s">
        <v>219</v>
      </c>
      <c r="DG472" s="1" t="s">
        <v>226</v>
      </c>
      <c r="DI472" s="1" t="s">
        <v>6197</v>
      </c>
      <c r="DJ472" s="1" t="s">
        <v>43</v>
      </c>
      <c r="DK472" s="1" t="s">
        <v>342</v>
      </c>
      <c r="DN472" s="1" t="s">
        <v>709</v>
      </c>
      <c r="DS472" s="1" t="s">
        <v>230</v>
      </c>
      <c r="DV472" s="1" t="s">
        <v>6174</v>
      </c>
      <c r="DW472" s="1" t="s">
        <v>219</v>
      </c>
      <c r="DX472" s="1" t="s">
        <v>1236</v>
      </c>
      <c r="EA472" s="1" t="s">
        <v>230</v>
      </c>
      <c r="EE472" s="1" t="s">
        <v>230</v>
      </c>
      <c r="EI472" s="1" t="s">
        <v>230</v>
      </c>
      <c r="EL472" s="1" t="s">
        <v>605</v>
      </c>
      <c r="EM472" s="1" t="s">
        <v>319</v>
      </c>
      <c r="EN472" s="1" t="s">
        <v>282</v>
      </c>
      <c r="EO472" s="1" t="s">
        <v>1020</v>
      </c>
      <c r="EP472" s="1" t="s">
        <v>6198</v>
      </c>
      <c r="EQ472" s="1" t="s">
        <v>492</v>
      </c>
      <c r="ER472" s="1" t="s">
        <v>544</v>
      </c>
      <c r="ET472" s="1" t="s">
        <v>1752</v>
      </c>
      <c r="EU472" s="1" t="s">
        <v>6199</v>
      </c>
      <c r="EV472" s="1" t="s">
        <v>324</v>
      </c>
      <c r="EW472" s="1" t="s">
        <v>6200</v>
      </c>
      <c r="EY472" s="1" t="s">
        <v>441</v>
      </c>
      <c r="EZ472" s="1" t="s">
        <v>709</v>
      </c>
      <c r="FA472" s="1" t="s">
        <v>6201</v>
      </c>
      <c r="FD472" s="1" t="s">
        <v>246</v>
      </c>
      <c r="FE472" s="1" t="s">
        <v>889</v>
      </c>
      <c r="FF472" s="1" t="s">
        <v>248</v>
      </c>
      <c r="FG472" s="1" t="s">
        <v>939</v>
      </c>
      <c r="FH472" s="1" t="s">
        <v>825</v>
      </c>
      <c r="FK472" s="1" t="s">
        <v>291</v>
      </c>
      <c r="FL472" s="1" t="s">
        <v>358</v>
      </c>
      <c r="FM472" s="1" t="s">
        <v>252</v>
      </c>
      <c r="FN472" s="1" t="s">
        <v>213</v>
      </c>
      <c r="FO472" s="1" t="s">
        <v>213</v>
      </c>
      <c r="FQ472" s="1" t="s">
        <v>6202</v>
      </c>
      <c r="FR472" s="1" t="s">
        <v>210</v>
      </c>
      <c r="FS472" s="1" t="s">
        <v>6203</v>
      </c>
      <c r="FT472" s="1" t="s">
        <v>362</v>
      </c>
      <c r="FU472" s="1" t="s">
        <v>204</v>
      </c>
      <c r="FW472" s="1" t="s">
        <v>5024</v>
      </c>
      <c r="FX472" s="1">
        <v>1886</v>
      </c>
      <c r="FY472" s="1" t="s">
        <v>5025</v>
      </c>
      <c r="FZ472" s="1" t="s">
        <v>6204</v>
      </c>
      <c r="GA472" s="1">
        <v>20737</v>
      </c>
      <c r="GB472" s="1" t="s">
        <v>6205</v>
      </c>
      <c r="GE472" s="1" t="s">
        <v>1333</v>
      </c>
      <c r="GI472" s="1" t="s">
        <v>204</v>
      </c>
      <c r="GJ472" s="1" t="s">
        <v>260</v>
      </c>
      <c r="GK472" s="1" t="s">
        <v>210</v>
      </c>
      <c r="GL472" s="2">
        <v>42062</v>
      </c>
      <c r="GM472" s="1" t="s">
        <v>6206</v>
      </c>
    </row>
    <row r="473" spans="1:195">
      <c r="A473" s="1">
        <v>100000</v>
      </c>
      <c r="B473" s="1" t="s">
        <v>195</v>
      </c>
      <c r="C473" s="1" t="str">
        <f>"08794848"</f>
        <v>08794848</v>
      </c>
      <c r="D473" s="1" t="s">
        <v>196</v>
      </c>
      <c r="F473" s="1" t="str">
        <f>"30"</f>
        <v>30</v>
      </c>
      <c r="G473" s="2">
        <v>41974</v>
      </c>
      <c r="H473" s="1">
        <v>110000</v>
      </c>
      <c r="I473" s="1">
        <v>110000</v>
      </c>
      <c r="J473" s="1">
        <v>100000</v>
      </c>
      <c r="K473" s="2">
        <v>41974</v>
      </c>
      <c r="L473" s="1">
        <v>5</v>
      </c>
      <c r="M473" s="2">
        <v>41978</v>
      </c>
      <c r="N473" s="1">
        <v>5</v>
      </c>
      <c r="O473" s="2">
        <v>41978</v>
      </c>
      <c r="P473" s="1">
        <v>25211</v>
      </c>
      <c r="Q473" s="1" t="s">
        <v>302</v>
      </c>
      <c r="R473" s="2">
        <v>41996</v>
      </c>
      <c r="S473" s="1">
        <v>242691</v>
      </c>
      <c r="U473" s="1">
        <v>9</v>
      </c>
      <c r="V473" s="1" t="s">
        <v>6088</v>
      </c>
      <c r="W473" s="1" t="s">
        <v>264</v>
      </c>
      <c r="X473" s="1">
        <v>9</v>
      </c>
      <c r="Y473" s="1">
        <v>4</v>
      </c>
      <c r="Z473" s="1" t="s">
        <v>249</v>
      </c>
      <c r="AA473" s="1" t="s">
        <v>1628</v>
      </c>
      <c r="AB473" s="1">
        <v>60073</v>
      </c>
      <c r="AD473" s="1" t="s">
        <v>5610</v>
      </c>
      <c r="AE473" s="1" t="s">
        <v>6207</v>
      </c>
      <c r="AF473" s="1">
        <v>2003</v>
      </c>
      <c r="AG473" s="1" t="s">
        <v>204</v>
      </c>
      <c r="AH473" s="1" t="s">
        <v>1630</v>
      </c>
      <c r="AI473" s="1" t="s">
        <v>509</v>
      </c>
      <c r="AJ473" s="1" t="s">
        <v>1263</v>
      </c>
      <c r="AL473" s="1">
        <v>7</v>
      </c>
      <c r="AM473" s="1">
        <v>2</v>
      </c>
      <c r="AN473" s="1">
        <v>2</v>
      </c>
      <c r="AO473" s="1">
        <v>1</v>
      </c>
      <c r="AP473" s="1" t="s">
        <v>209</v>
      </c>
      <c r="AQ473" s="1">
        <v>1</v>
      </c>
      <c r="AR473" s="1" t="s">
        <v>2165</v>
      </c>
      <c r="AS473" s="1" t="s">
        <v>204</v>
      </c>
      <c r="AT473" s="1" t="s">
        <v>211</v>
      </c>
      <c r="AU473" s="1">
        <v>2</v>
      </c>
      <c r="AW473" s="1" t="s">
        <v>204</v>
      </c>
      <c r="AX473" s="1" t="s">
        <v>212</v>
      </c>
      <c r="AZ473" s="1">
        <v>3056</v>
      </c>
      <c r="BA473" s="1">
        <v>2013</v>
      </c>
      <c r="BB473" s="1" t="s">
        <v>405</v>
      </c>
      <c r="BE473" s="1">
        <v>1472</v>
      </c>
      <c r="BF473" s="1">
        <v>1</v>
      </c>
      <c r="BG473" s="1">
        <v>0</v>
      </c>
      <c r="BL473" s="1">
        <v>208</v>
      </c>
      <c r="BM473" s="1" t="s">
        <v>204</v>
      </c>
      <c r="BN473" s="1" t="s">
        <v>213</v>
      </c>
      <c r="BO473" s="1">
        <v>999</v>
      </c>
      <c r="BP473" s="1" t="s">
        <v>204</v>
      </c>
      <c r="BR473" s="1" t="str">
        <f>"06282061300000"</f>
        <v>06282061300000</v>
      </c>
      <c r="BT473" s="1" t="s">
        <v>6208</v>
      </c>
      <c r="BX473" s="1">
        <v>116</v>
      </c>
      <c r="BY473" s="1">
        <v>116</v>
      </c>
      <c r="BZ473" s="1">
        <v>116</v>
      </c>
      <c r="CB473" s="1" t="str">
        <f>"32"</f>
        <v>32</v>
      </c>
      <c r="CC473" s="1" t="str">
        <f t="shared" si="369"/>
        <v>0</v>
      </c>
      <c r="CD473" s="1">
        <v>22</v>
      </c>
      <c r="CE473" s="1">
        <v>0</v>
      </c>
      <c r="CG473" s="1" t="s">
        <v>2122</v>
      </c>
      <c r="CH473" s="1" t="s">
        <v>219</v>
      </c>
      <c r="CI473" s="1" t="s">
        <v>438</v>
      </c>
      <c r="CK473" s="1" t="s">
        <v>3716</v>
      </c>
      <c r="CL473" s="1" t="s">
        <v>277</v>
      </c>
      <c r="CM473" s="1" t="s">
        <v>220</v>
      </c>
      <c r="CO473" s="1" t="s">
        <v>2122</v>
      </c>
      <c r="CP473" s="1" t="s">
        <v>219</v>
      </c>
      <c r="CQ473" s="1" t="s">
        <v>438</v>
      </c>
      <c r="CS473" s="1" t="s">
        <v>1107</v>
      </c>
      <c r="CT473" s="1" t="s">
        <v>277</v>
      </c>
      <c r="CU473" s="1" t="s">
        <v>220</v>
      </c>
      <c r="CX473" s="1" t="s">
        <v>224</v>
      </c>
      <c r="DB473" s="1" t="s">
        <v>224</v>
      </c>
      <c r="DE473" s="1" t="s">
        <v>6209</v>
      </c>
      <c r="DF473" s="1" t="s">
        <v>219</v>
      </c>
      <c r="DG473" s="1" t="s">
        <v>438</v>
      </c>
      <c r="DI473" s="1" t="s">
        <v>539</v>
      </c>
      <c r="DJ473" s="1" t="s">
        <v>43</v>
      </c>
      <c r="DK473" s="1" t="s">
        <v>220</v>
      </c>
      <c r="DM473" s="1" t="s">
        <v>464</v>
      </c>
      <c r="DR473" s="1" t="s">
        <v>836</v>
      </c>
      <c r="DS473" s="1" t="s">
        <v>277</v>
      </c>
      <c r="DT473" s="1" t="s">
        <v>220</v>
      </c>
      <c r="DW473" s="1" t="s">
        <v>230</v>
      </c>
      <c r="EA473" s="1" t="s">
        <v>230</v>
      </c>
      <c r="EE473" s="1" t="s">
        <v>230</v>
      </c>
      <c r="EI473" s="1" t="s">
        <v>230</v>
      </c>
      <c r="EL473" s="1" t="s">
        <v>466</v>
      </c>
      <c r="EM473" s="1" t="s">
        <v>319</v>
      </c>
      <c r="EN473" s="1" t="s">
        <v>282</v>
      </c>
      <c r="EO473" s="1" t="s">
        <v>234</v>
      </c>
      <c r="EQ473" s="1" t="s">
        <v>6210</v>
      </c>
      <c r="ER473" s="1" t="s">
        <v>544</v>
      </c>
      <c r="ES473" s="1" t="s">
        <v>4840</v>
      </c>
      <c r="EU473" s="1" t="s">
        <v>712</v>
      </c>
      <c r="EV473" s="1" t="s">
        <v>324</v>
      </c>
      <c r="EW473" s="1" t="s">
        <v>547</v>
      </c>
      <c r="EZ473" s="1" t="s">
        <v>464</v>
      </c>
      <c r="FA473" s="1" t="s">
        <v>1270</v>
      </c>
      <c r="FD473" s="1" t="s">
        <v>246</v>
      </c>
      <c r="FE473" s="1" t="s">
        <v>472</v>
      </c>
      <c r="FF473" s="1" t="s">
        <v>387</v>
      </c>
      <c r="FG473" s="1" t="s">
        <v>6211</v>
      </c>
      <c r="FH473" s="1" t="s">
        <v>550</v>
      </c>
      <c r="FI473" s="1" t="s">
        <v>473</v>
      </c>
      <c r="FL473" s="1" t="s">
        <v>358</v>
      </c>
      <c r="FM473" s="1" t="s">
        <v>252</v>
      </c>
      <c r="FN473" s="1" t="s">
        <v>213</v>
      </c>
      <c r="FO473" s="1" t="s">
        <v>213</v>
      </c>
      <c r="FQ473" s="1" t="s">
        <v>1286</v>
      </c>
      <c r="FR473" s="1" t="s">
        <v>210</v>
      </c>
      <c r="FS473" s="1" t="s">
        <v>6212</v>
      </c>
      <c r="FT473" s="1" t="s">
        <v>1408</v>
      </c>
      <c r="FU473" s="1" t="s">
        <v>204</v>
      </c>
      <c r="FW473" s="1" t="s">
        <v>3546</v>
      </c>
      <c r="FX473" s="1">
        <v>24695</v>
      </c>
      <c r="FY473" s="1" t="s">
        <v>3547</v>
      </c>
      <c r="FZ473" s="1" t="s">
        <v>6213</v>
      </c>
      <c r="GA473" s="1">
        <v>20691</v>
      </c>
      <c r="GB473" s="1" t="s">
        <v>6214</v>
      </c>
      <c r="GD473" s="1" t="s">
        <v>6215</v>
      </c>
      <c r="GE473" s="1" t="s">
        <v>480</v>
      </c>
      <c r="GH473" s="1" t="s">
        <v>589</v>
      </c>
      <c r="GI473" s="1" t="s">
        <v>213</v>
      </c>
      <c r="GJ473" s="1" t="s">
        <v>260</v>
      </c>
      <c r="GK473" s="1" t="s">
        <v>210</v>
      </c>
      <c r="GL473" s="2">
        <v>41996</v>
      </c>
      <c r="GM473" s="1" t="s">
        <v>6216</v>
      </c>
    </row>
    <row r="474" spans="1:195">
      <c r="A474" s="1">
        <v>83000</v>
      </c>
      <c r="B474" s="1" t="s">
        <v>195</v>
      </c>
      <c r="C474" s="1" t="str">
        <f>"08793902"</f>
        <v>08793902</v>
      </c>
      <c r="D474" s="1" t="s">
        <v>196</v>
      </c>
      <c r="F474" s="1" t="str">
        <f>"31"</f>
        <v>31</v>
      </c>
      <c r="G474" s="2">
        <v>41972</v>
      </c>
      <c r="H474" s="1">
        <v>87900</v>
      </c>
      <c r="I474" s="1">
        <v>87900</v>
      </c>
      <c r="J474" s="1">
        <v>83000</v>
      </c>
      <c r="K474" s="2">
        <v>41972</v>
      </c>
      <c r="L474" s="1">
        <v>11</v>
      </c>
      <c r="M474" s="2">
        <v>41982</v>
      </c>
      <c r="N474" s="1">
        <v>11</v>
      </c>
      <c r="O474" s="2">
        <v>41982</v>
      </c>
      <c r="P474" s="1">
        <v>2280</v>
      </c>
      <c r="Q474" s="1" t="s">
        <v>197</v>
      </c>
      <c r="R474" s="2">
        <v>42018</v>
      </c>
      <c r="S474" s="1">
        <v>85534</v>
      </c>
      <c r="U474" s="1">
        <v>920</v>
      </c>
      <c r="V474" s="1" t="s">
        <v>2582</v>
      </c>
      <c r="W474" s="1" t="s">
        <v>264</v>
      </c>
      <c r="X474" s="1">
        <v>403</v>
      </c>
      <c r="Y474" s="1">
        <v>72</v>
      </c>
      <c r="Z474" s="1" t="s">
        <v>249</v>
      </c>
      <c r="AA474" s="1" t="s">
        <v>1057</v>
      </c>
      <c r="AB474" s="1">
        <v>60031</v>
      </c>
      <c r="AD474" s="1" t="s">
        <v>4200</v>
      </c>
      <c r="AE474" s="1" t="s">
        <v>6217</v>
      </c>
      <c r="AF474" s="1">
        <v>1978</v>
      </c>
      <c r="AG474" s="1" t="s">
        <v>204</v>
      </c>
      <c r="AH474" s="1" t="s">
        <v>1060</v>
      </c>
      <c r="AI474" s="1" t="s">
        <v>509</v>
      </c>
      <c r="AJ474" s="1" t="s">
        <v>1061</v>
      </c>
      <c r="AK474" s="1" t="s">
        <v>6218</v>
      </c>
      <c r="AL474" s="1">
        <v>5</v>
      </c>
      <c r="AM474" s="1">
        <v>2</v>
      </c>
      <c r="AN474" s="1">
        <v>2</v>
      </c>
      <c r="AO474" s="1">
        <v>0</v>
      </c>
      <c r="AP474" s="1" t="s">
        <v>209</v>
      </c>
      <c r="AQ474" s="1">
        <v>0</v>
      </c>
      <c r="AR474" s="1" t="s">
        <v>210</v>
      </c>
      <c r="AS474" s="1" t="s">
        <v>204</v>
      </c>
      <c r="AT474" s="1" t="s">
        <v>211</v>
      </c>
      <c r="AU474" s="1">
        <v>1</v>
      </c>
      <c r="AW474" s="1" t="s">
        <v>204</v>
      </c>
      <c r="AX474" s="1" t="s">
        <v>1265</v>
      </c>
      <c r="AZ474" s="1">
        <v>2491.29</v>
      </c>
      <c r="BA474" s="1">
        <v>2013</v>
      </c>
      <c r="BB474" s="1" t="s">
        <v>210</v>
      </c>
      <c r="BE474" s="1">
        <v>1200</v>
      </c>
      <c r="BF474" s="1">
        <v>1</v>
      </c>
      <c r="BG474" s="1">
        <v>0</v>
      </c>
      <c r="BL474" s="1">
        <v>371</v>
      </c>
      <c r="BM474" s="1" t="s">
        <v>204</v>
      </c>
      <c r="BN474" s="1" t="s">
        <v>213</v>
      </c>
      <c r="BO474" s="1">
        <v>999</v>
      </c>
      <c r="BP474" s="1" t="s">
        <v>204</v>
      </c>
      <c r="BR474" s="1" t="str">
        <f>"07284090400000"</f>
        <v>07284090400000</v>
      </c>
      <c r="BT474" s="1" t="s">
        <v>6219</v>
      </c>
      <c r="BU474" s="1" t="s">
        <v>1064</v>
      </c>
      <c r="BV474" s="1" t="s">
        <v>1065</v>
      </c>
      <c r="BW474" s="1" t="s">
        <v>1066</v>
      </c>
      <c r="BX474" s="1">
        <v>50</v>
      </c>
      <c r="BY474" s="1">
        <v>50</v>
      </c>
      <c r="BZ474" s="1">
        <v>121</v>
      </c>
      <c r="CB474" s="1" t="str">
        <f>"33"</f>
        <v>33</v>
      </c>
      <c r="CC474" s="1" t="str">
        <f t="shared" si="369"/>
        <v>0</v>
      </c>
      <c r="CD474" s="1">
        <v>16</v>
      </c>
      <c r="CE474" s="1">
        <v>0</v>
      </c>
      <c r="CG474" s="1" t="s">
        <v>2402</v>
      </c>
      <c r="CH474" s="1" t="s">
        <v>219</v>
      </c>
      <c r="CI474" s="1" t="s">
        <v>220</v>
      </c>
      <c r="CK474" s="1" t="s">
        <v>1004</v>
      </c>
      <c r="CL474" s="1" t="s">
        <v>219</v>
      </c>
      <c r="CM474" s="1" t="s">
        <v>220</v>
      </c>
      <c r="CO474" s="1" t="s">
        <v>629</v>
      </c>
      <c r="CP474" s="1" t="s">
        <v>219</v>
      </c>
      <c r="CQ474" s="1" t="s">
        <v>220</v>
      </c>
      <c r="CS474" s="1" t="s">
        <v>539</v>
      </c>
      <c r="CT474" s="1" t="s">
        <v>219</v>
      </c>
      <c r="CU474" s="1" t="s">
        <v>220</v>
      </c>
      <c r="CX474" s="1" t="s">
        <v>224</v>
      </c>
      <c r="DB474" s="1" t="s">
        <v>224</v>
      </c>
      <c r="DE474" s="1" t="s">
        <v>409</v>
      </c>
      <c r="DF474" s="1" t="s">
        <v>219</v>
      </c>
      <c r="DG474" s="1" t="s">
        <v>342</v>
      </c>
      <c r="DJ474" s="1" t="s">
        <v>224</v>
      </c>
      <c r="DS474" s="1" t="s">
        <v>230</v>
      </c>
      <c r="DW474" s="1" t="s">
        <v>230</v>
      </c>
      <c r="EA474" s="1" t="s">
        <v>230</v>
      </c>
      <c r="EE474" s="1" t="s">
        <v>230</v>
      </c>
      <c r="EI474" s="1" t="s">
        <v>230</v>
      </c>
      <c r="EL474" s="1" t="s">
        <v>231</v>
      </c>
      <c r="EM474" s="1" t="s">
        <v>319</v>
      </c>
      <c r="EN474" s="1" t="s">
        <v>282</v>
      </c>
      <c r="EO474" s="1" t="s">
        <v>234</v>
      </c>
      <c r="EQ474" s="1" t="s">
        <v>1109</v>
      </c>
      <c r="ER474" s="1" t="s">
        <v>210</v>
      </c>
      <c r="EU474" s="1" t="s">
        <v>239</v>
      </c>
      <c r="EV474" s="1" t="s">
        <v>240</v>
      </c>
      <c r="EW474" s="1" t="s">
        <v>2587</v>
      </c>
      <c r="EY474" s="1" t="s">
        <v>242</v>
      </c>
      <c r="EZ474" s="1" t="s">
        <v>287</v>
      </c>
      <c r="FD474" s="1" t="s">
        <v>246</v>
      </c>
      <c r="FE474" s="1" t="s">
        <v>247</v>
      </c>
      <c r="FF474" s="1" t="s">
        <v>248</v>
      </c>
      <c r="FH474" s="1" t="s">
        <v>249</v>
      </c>
      <c r="FI474" s="1" t="s">
        <v>473</v>
      </c>
      <c r="FJ474" s="1" t="s">
        <v>518</v>
      </c>
      <c r="FL474" s="1" t="s">
        <v>1073</v>
      </c>
      <c r="FM474" s="1" t="s">
        <v>252</v>
      </c>
      <c r="FN474" s="1" t="s">
        <v>213</v>
      </c>
      <c r="FO474" s="1" t="s">
        <v>213</v>
      </c>
      <c r="FQ474" s="1" t="s">
        <v>329</v>
      </c>
      <c r="FR474" s="1" t="s">
        <v>210</v>
      </c>
      <c r="FS474" s="1" t="s">
        <v>2588</v>
      </c>
      <c r="FT474" s="1" t="s">
        <v>2589</v>
      </c>
      <c r="FU474" s="1" t="s">
        <v>204</v>
      </c>
      <c r="FW474" s="1" t="s">
        <v>2590</v>
      </c>
      <c r="FX474" s="1">
        <v>2644</v>
      </c>
      <c r="FY474" s="1" t="s">
        <v>2591</v>
      </c>
      <c r="FZ474" s="1" t="s">
        <v>2592</v>
      </c>
      <c r="GA474" s="1">
        <v>16586</v>
      </c>
      <c r="GB474" s="1" t="s">
        <v>2593</v>
      </c>
      <c r="GD474" s="1" t="s">
        <v>2594</v>
      </c>
      <c r="GE474" s="1" t="s">
        <v>210</v>
      </c>
      <c r="GI474" s="1" t="s">
        <v>213</v>
      </c>
      <c r="GJ474" s="1" t="s">
        <v>260</v>
      </c>
      <c r="GK474" s="1" t="s">
        <v>210</v>
      </c>
      <c r="GL474" s="2">
        <v>42018</v>
      </c>
      <c r="GM474" s="1" t="s">
        <v>6220</v>
      </c>
    </row>
    <row r="475" spans="1:195">
      <c r="A475" s="1">
        <v>215000</v>
      </c>
      <c r="B475" s="1" t="s">
        <v>195</v>
      </c>
      <c r="C475" s="1" t="str">
        <f>"08792195"</f>
        <v>08792195</v>
      </c>
      <c r="D475" s="1" t="s">
        <v>196</v>
      </c>
      <c r="F475" s="1" t="str">
        <f>"656"</f>
        <v>656</v>
      </c>
      <c r="G475" s="2">
        <v>41967</v>
      </c>
      <c r="H475" s="1">
        <v>229900</v>
      </c>
      <c r="I475" s="1">
        <v>229900</v>
      </c>
      <c r="J475" s="1">
        <v>215000</v>
      </c>
      <c r="K475" s="2">
        <v>41967</v>
      </c>
      <c r="L475" s="1">
        <v>10</v>
      </c>
      <c r="M475" s="2">
        <v>41976</v>
      </c>
      <c r="N475" s="1">
        <v>10</v>
      </c>
      <c r="O475" s="2">
        <v>41976</v>
      </c>
      <c r="P475" s="1">
        <v>25819</v>
      </c>
      <c r="Q475" s="1" t="s">
        <v>302</v>
      </c>
      <c r="R475" s="2">
        <v>41996</v>
      </c>
      <c r="S475" s="1">
        <v>26806</v>
      </c>
      <c r="U475" s="1">
        <v>4811</v>
      </c>
      <c r="V475" s="1" t="s">
        <v>6221</v>
      </c>
      <c r="W475" s="1" t="s">
        <v>425</v>
      </c>
      <c r="X475" s="1">
        <v>510</v>
      </c>
      <c r="Y475" s="1">
        <v>90</v>
      </c>
      <c r="Z475" s="1" t="s">
        <v>249</v>
      </c>
      <c r="AA475" s="1" t="s">
        <v>6222</v>
      </c>
      <c r="AB475" s="1">
        <v>60706</v>
      </c>
      <c r="AE475" s="1" t="s">
        <v>6223</v>
      </c>
      <c r="AF475" s="1">
        <v>2008</v>
      </c>
      <c r="AG475" s="1" t="s">
        <v>204</v>
      </c>
      <c r="AH475" s="1" t="s">
        <v>6224</v>
      </c>
      <c r="AI475" s="1" t="s">
        <v>310</v>
      </c>
      <c r="AJ475" s="1" t="s">
        <v>3200</v>
      </c>
      <c r="AL475" s="1">
        <v>5</v>
      </c>
      <c r="AM475" s="1">
        <v>2</v>
      </c>
      <c r="AN475" s="1">
        <v>2</v>
      </c>
      <c r="AO475" s="1">
        <v>0</v>
      </c>
      <c r="AP475" s="1" t="s">
        <v>209</v>
      </c>
      <c r="AR475" s="1" t="s">
        <v>210</v>
      </c>
      <c r="AS475" s="1" t="s">
        <v>204</v>
      </c>
      <c r="AT475" s="1" t="s">
        <v>211</v>
      </c>
      <c r="AU475" s="1">
        <v>1</v>
      </c>
      <c r="AW475" s="1" t="s">
        <v>204</v>
      </c>
      <c r="AX475" s="1" t="s">
        <v>212</v>
      </c>
      <c r="AZ475" s="1">
        <v>3803.83</v>
      </c>
      <c r="BA475" s="1">
        <v>2012</v>
      </c>
      <c r="BB475" s="1" t="s">
        <v>405</v>
      </c>
      <c r="BE475" s="1">
        <v>1206</v>
      </c>
      <c r="BF475" s="1">
        <v>5</v>
      </c>
      <c r="BG475" s="1">
        <v>0</v>
      </c>
      <c r="BL475" s="1">
        <v>242</v>
      </c>
      <c r="BM475" s="1" t="s">
        <v>204</v>
      </c>
      <c r="BN475" s="1" t="s">
        <v>213</v>
      </c>
      <c r="BO475" s="1">
        <v>50</v>
      </c>
      <c r="BP475" s="1" t="s">
        <v>204</v>
      </c>
      <c r="BR475" s="1" t="str">
        <f>"12124250091064"</f>
        <v>12124250091064</v>
      </c>
      <c r="BT475" s="1" t="s">
        <v>6225</v>
      </c>
      <c r="BX475" s="1">
        <v>79</v>
      </c>
      <c r="BY475" s="1">
        <v>79</v>
      </c>
      <c r="BZ475" s="1">
        <v>207</v>
      </c>
      <c r="CB475" s="1" t="str">
        <f t="shared" ref="CB475:CC475" si="370">""</f>
        <v/>
      </c>
      <c r="CC475" s="1" t="str">
        <f t="shared" si="370"/>
        <v/>
      </c>
      <c r="CG475" s="1" t="s">
        <v>539</v>
      </c>
      <c r="CH475" s="1" t="s">
        <v>219</v>
      </c>
      <c r="CI475" s="1" t="s">
        <v>438</v>
      </c>
      <c r="CJ475" s="1" t="s">
        <v>252</v>
      </c>
      <c r="CK475" s="1" t="s">
        <v>686</v>
      </c>
      <c r="CL475" s="1" t="s">
        <v>219</v>
      </c>
      <c r="CM475" s="1" t="s">
        <v>438</v>
      </c>
      <c r="CN475" s="1" t="s">
        <v>252</v>
      </c>
      <c r="CO475" s="1" t="s">
        <v>1046</v>
      </c>
      <c r="CP475" s="1" t="s">
        <v>219</v>
      </c>
      <c r="CQ475" s="1" t="s">
        <v>438</v>
      </c>
      <c r="CS475" s="1" t="s">
        <v>786</v>
      </c>
      <c r="CT475" s="1" t="s">
        <v>219</v>
      </c>
      <c r="CU475" s="1" t="s">
        <v>438</v>
      </c>
      <c r="CV475" s="1" t="s">
        <v>252</v>
      </c>
      <c r="CX475" s="1" t="s">
        <v>224</v>
      </c>
      <c r="DB475" s="1" t="s">
        <v>224</v>
      </c>
      <c r="DE475" s="1" t="s">
        <v>1046</v>
      </c>
      <c r="DF475" s="1" t="s">
        <v>219</v>
      </c>
      <c r="DG475" s="1" t="s">
        <v>438</v>
      </c>
      <c r="DJ475" s="1" t="s">
        <v>224</v>
      </c>
      <c r="DM475" s="1" t="s">
        <v>838</v>
      </c>
      <c r="DR475" s="1" t="s">
        <v>6226</v>
      </c>
      <c r="DS475" s="1" t="s">
        <v>219</v>
      </c>
      <c r="DT475" s="1" t="s">
        <v>347</v>
      </c>
      <c r="DW475" s="1" t="s">
        <v>230</v>
      </c>
      <c r="EA475" s="1" t="s">
        <v>230</v>
      </c>
      <c r="EE475" s="1" t="s">
        <v>230</v>
      </c>
      <c r="EI475" s="1" t="s">
        <v>230</v>
      </c>
      <c r="EL475" s="1" t="s">
        <v>491</v>
      </c>
      <c r="EM475" s="1" t="s">
        <v>730</v>
      </c>
      <c r="EN475" s="1" t="s">
        <v>282</v>
      </c>
      <c r="EO475" s="1" t="s">
        <v>234</v>
      </c>
      <c r="EQ475" s="1" t="s">
        <v>2188</v>
      </c>
      <c r="ER475" s="1" t="s">
        <v>210</v>
      </c>
      <c r="ES475" s="1" t="s">
        <v>1868</v>
      </c>
      <c r="ET475" s="1" t="s">
        <v>1404</v>
      </c>
      <c r="EU475" s="1" t="s">
        <v>6227</v>
      </c>
      <c r="EV475" s="1" t="s">
        <v>240</v>
      </c>
      <c r="EW475" s="1" t="s">
        <v>6228</v>
      </c>
      <c r="EY475" s="1" t="s">
        <v>790</v>
      </c>
      <c r="EZ475" s="1" t="s">
        <v>838</v>
      </c>
      <c r="FA475" s="1" t="s">
        <v>6229</v>
      </c>
      <c r="FB475" s="1" t="s">
        <v>289</v>
      </c>
      <c r="FD475" s="1" t="s">
        <v>5377</v>
      </c>
      <c r="FE475" s="1" t="s">
        <v>247</v>
      </c>
      <c r="FF475" s="1" t="s">
        <v>248</v>
      </c>
      <c r="FH475" s="1" t="s">
        <v>249</v>
      </c>
      <c r="FI475" s="1" t="s">
        <v>357</v>
      </c>
      <c r="FL475" s="1" t="s">
        <v>1826</v>
      </c>
      <c r="FM475" s="1" t="s">
        <v>252</v>
      </c>
      <c r="FN475" s="1" t="s">
        <v>213</v>
      </c>
      <c r="FO475" s="1" t="s">
        <v>213</v>
      </c>
      <c r="FQ475" s="1" t="s">
        <v>6230</v>
      </c>
      <c r="FR475" s="1" t="s">
        <v>210</v>
      </c>
      <c r="FS475" s="1" t="s">
        <v>6231</v>
      </c>
      <c r="FT475" s="1" t="s">
        <v>362</v>
      </c>
      <c r="FU475" s="1" t="s">
        <v>204</v>
      </c>
      <c r="FW475" s="1" t="s">
        <v>3707</v>
      </c>
      <c r="FX475" s="1">
        <v>25819</v>
      </c>
      <c r="FY475" s="1" t="s">
        <v>3708</v>
      </c>
      <c r="FZ475" s="1" t="s">
        <v>3709</v>
      </c>
      <c r="GA475" s="1">
        <v>26806</v>
      </c>
      <c r="GB475" s="1" t="s">
        <v>3710</v>
      </c>
      <c r="GE475" s="1" t="s">
        <v>335</v>
      </c>
      <c r="GH475" s="1" t="s">
        <v>230</v>
      </c>
      <c r="GI475" s="1" t="s">
        <v>213</v>
      </c>
      <c r="GJ475" s="1" t="s">
        <v>260</v>
      </c>
      <c r="GK475" s="1" t="s">
        <v>210</v>
      </c>
      <c r="GL475" s="2">
        <v>41996</v>
      </c>
    </row>
    <row r="476" spans="1:195">
      <c r="A476" s="1">
        <v>93000</v>
      </c>
      <c r="B476" s="1" t="s">
        <v>195</v>
      </c>
      <c r="C476" s="1" t="str">
        <f>"08794864"</f>
        <v>08794864</v>
      </c>
      <c r="D476" s="1" t="s">
        <v>196</v>
      </c>
      <c r="F476" s="1" t="str">
        <f>"515"</f>
        <v>515</v>
      </c>
      <c r="G476" s="2">
        <v>41974</v>
      </c>
      <c r="H476" s="1">
        <v>119900</v>
      </c>
      <c r="I476" s="1">
        <v>99900</v>
      </c>
      <c r="J476" s="1">
        <v>93000</v>
      </c>
      <c r="K476" s="2">
        <v>41974</v>
      </c>
      <c r="L476" s="1">
        <v>62</v>
      </c>
      <c r="M476" s="2">
        <v>42035</v>
      </c>
      <c r="N476" s="1">
        <v>62</v>
      </c>
      <c r="O476" s="2">
        <v>42035</v>
      </c>
      <c r="P476" s="1">
        <v>24321</v>
      </c>
      <c r="Q476" s="1" t="s">
        <v>197</v>
      </c>
      <c r="R476" s="2">
        <v>42088</v>
      </c>
      <c r="S476" s="1">
        <v>241936</v>
      </c>
      <c r="U476" s="1">
        <v>5540</v>
      </c>
      <c r="V476" s="1" t="s">
        <v>6232</v>
      </c>
      <c r="W476" s="1" t="s">
        <v>425</v>
      </c>
      <c r="X476" s="1" t="s">
        <v>6233</v>
      </c>
      <c r="Y476" s="1">
        <v>120</v>
      </c>
      <c r="Z476" s="1" t="s">
        <v>249</v>
      </c>
      <c r="AA476" s="1" t="s">
        <v>1294</v>
      </c>
      <c r="AB476" s="1">
        <v>60515</v>
      </c>
      <c r="AD476" s="1" t="s">
        <v>4332</v>
      </c>
      <c r="AE476" s="1" t="s">
        <v>6234</v>
      </c>
      <c r="AF476" s="1">
        <v>1968</v>
      </c>
      <c r="AG476" s="1" t="s">
        <v>213</v>
      </c>
      <c r="AH476" s="1" t="s">
        <v>903</v>
      </c>
      <c r="AI476" s="1" t="s">
        <v>206</v>
      </c>
      <c r="AJ476" s="1" t="s">
        <v>925</v>
      </c>
      <c r="AK476" s="1" t="s">
        <v>6235</v>
      </c>
      <c r="AL476" s="1">
        <v>5</v>
      </c>
      <c r="AM476" s="1">
        <v>2</v>
      </c>
      <c r="AN476" s="1">
        <v>1</v>
      </c>
      <c r="AO476" s="1">
        <v>1</v>
      </c>
      <c r="AP476" s="1" t="s">
        <v>210</v>
      </c>
      <c r="AR476" s="1" t="s">
        <v>210</v>
      </c>
      <c r="AS476" s="1" t="s">
        <v>204</v>
      </c>
      <c r="AT476" s="1" t="s">
        <v>271</v>
      </c>
      <c r="AV476" s="1">
        <v>1</v>
      </c>
      <c r="AW476" s="1" t="s">
        <v>204</v>
      </c>
      <c r="AX476" s="1" t="s">
        <v>212</v>
      </c>
      <c r="AZ476" s="1">
        <v>1264</v>
      </c>
      <c r="BA476" s="1">
        <v>2013</v>
      </c>
      <c r="BB476" s="1" t="s">
        <v>599</v>
      </c>
      <c r="BE476" s="1">
        <v>1060</v>
      </c>
      <c r="BF476" s="1">
        <v>4</v>
      </c>
      <c r="BG476" s="1">
        <v>30</v>
      </c>
      <c r="BJ476" s="1">
        <v>100</v>
      </c>
      <c r="BL476" s="1">
        <v>162</v>
      </c>
      <c r="BM476" s="1" t="s">
        <v>204</v>
      </c>
      <c r="BN476" s="1" t="s">
        <v>204</v>
      </c>
      <c r="BP476" s="1" t="s">
        <v>204</v>
      </c>
      <c r="BR476" s="1" t="str">
        <f>"08114120950000"</f>
        <v>08114120950000</v>
      </c>
      <c r="BT476" s="1" t="s">
        <v>6236</v>
      </c>
      <c r="BX476" s="1">
        <v>202</v>
      </c>
      <c r="BY476" s="1">
        <v>202</v>
      </c>
      <c r="BZ476" s="1">
        <v>202</v>
      </c>
      <c r="CB476" s="1" t="str">
        <f t="shared" ref="CB476:CC476" si="371">"0"</f>
        <v>0</v>
      </c>
      <c r="CC476" s="1" t="str">
        <f t="shared" si="371"/>
        <v>0</v>
      </c>
      <c r="CD476" s="1">
        <v>21</v>
      </c>
      <c r="CE476" s="1">
        <v>6</v>
      </c>
      <c r="CG476" s="1" t="s">
        <v>2511</v>
      </c>
      <c r="CH476" s="1" t="s">
        <v>277</v>
      </c>
      <c r="CI476" s="1" t="s">
        <v>220</v>
      </c>
      <c r="CK476" s="1" t="s">
        <v>344</v>
      </c>
      <c r="CL476" s="1" t="s">
        <v>277</v>
      </c>
      <c r="CM476" s="1" t="s">
        <v>220</v>
      </c>
      <c r="CO476" s="1" t="s">
        <v>489</v>
      </c>
      <c r="CP476" s="1" t="s">
        <v>277</v>
      </c>
      <c r="CQ476" s="1" t="s">
        <v>220</v>
      </c>
      <c r="CS476" s="1" t="s">
        <v>317</v>
      </c>
      <c r="CT476" s="1" t="s">
        <v>277</v>
      </c>
      <c r="CU476" s="1" t="s">
        <v>220</v>
      </c>
      <c r="CX476" s="1" t="s">
        <v>224</v>
      </c>
      <c r="DB476" s="1" t="s">
        <v>224</v>
      </c>
      <c r="DE476" s="1" t="s">
        <v>2104</v>
      </c>
      <c r="DF476" s="1" t="s">
        <v>277</v>
      </c>
      <c r="DG476" s="1" t="s">
        <v>347</v>
      </c>
      <c r="DJ476" s="1" t="s">
        <v>224</v>
      </c>
      <c r="DS476" s="1" t="s">
        <v>230</v>
      </c>
      <c r="DW476" s="1" t="s">
        <v>230</v>
      </c>
      <c r="EA476" s="1" t="s">
        <v>230</v>
      </c>
      <c r="EE476" s="1" t="s">
        <v>230</v>
      </c>
      <c r="EI476" s="1" t="s">
        <v>230</v>
      </c>
      <c r="EL476" s="1" t="s">
        <v>605</v>
      </c>
      <c r="EM476" s="1" t="s">
        <v>232</v>
      </c>
      <c r="EN476" s="1" t="s">
        <v>282</v>
      </c>
      <c r="EO476" s="1" t="s">
        <v>840</v>
      </c>
      <c r="EP476" s="1" t="s">
        <v>6237</v>
      </c>
      <c r="EQ476" s="1" t="s">
        <v>321</v>
      </c>
      <c r="ER476" s="1" t="s">
        <v>210</v>
      </c>
      <c r="ES476" s="1" t="s">
        <v>545</v>
      </c>
      <c r="EU476" s="1" t="s">
        <v>239</v>
      </c>
      <c r="EV476" s="1" t="s">
        <v>324</v>
      </c>
      <c r="EW476" s="1" t="s">
        <v>6238</v>
      </c>
      <c r="EY476" s="1" t="s">
        <v>242</v>
      </c>
      <c r="EZ476" s="1" t="s">
        <v>287</v>
      </c>
      <c r="FA476" s="1" t="s">
        <v>6239</v>
      </c>
      <c r="FB476" s="1" t="s">
        <v>734</v>
      </c>
      <c r="FD476" s="1" t="s">
        <v>1112</v>
      </c>
      <c r="FE476" s="1" t="s">
        <v>247</v>
      </c>
      <c r="FF476" s="1" t="s">
        <v>248</v>
      </c>
      <c r="FH476" s="1" t="s">
        <v>249</v>
      </c>
      <c r="FK476" s="1" t="s">
        <v>6240</v>
      </c>
      <c r="FL476" s="1" t="s">
        <v>1073</v>
      </c>
      <c r="FM476" s="1" t="s">
        <v>252</v>
      </c>
      <c r="FN476" s="1" t="s">
        <v>213</v>
      </c>
      <c r="FO476" s="1" t="s">
        <v>213</v>
      </c>
      <c r="FQ476" s="1" t="s">
        <v>4123</v>
      </c>
      <c r="FR476" s="1" t="s">
        <v>210</v>
      </c>
      <c r="FS476" s="1" t="s">
        <v>6241</v>
      </c>
      <c r="FT476" s="1" t="s">
        <v>255</v>
      </c>
      <c r="FU476" s="1" t="s">
        <v>204</v>
      </c>
      <c r="FW476" s="1" t="s">
        <v>1898</v>
      </c>
      <c r="FX476" s="1">
        <v>23030</v>
      </c>
      <c r="FY476" s="1" t="s">
        <v>1899</v>
      </c>
      <c r="FZ476" s="1" t="s">
        <v>6242</v>
      </c>
      <c r="GA476" s="1">
        <v>231107</v>
      </c>
      <c r="GB476" s="1" t="s">
        <v>1899</v>
      </c>
      <c r="GE476" s="1" t="s">
        <v>2504</v>
      </c>
      <c r="GI476" s="1" t="s">
        <v>213</v>
      </c>
      <c r="GJ476" s="1" t="s">
        <v>260</v>
      </c>
      <c r="GK476" s="1" t="s">
        <v>261</v>
      </c>
      <c r="GL476" s="2">
        <v>42088</v>
      </c>
      <c r="GM476" s="1" t="s">
        <v>6243</v>
      </c>
    </row>
    <row r="477" spans="1:195">
      <c r="A477" s="1">
        <v>169900</v>
      </c>
      <c r="B477" s="1" t="s">
        <v>195</v>
      </c>
      <c r="C477" s="1" t="str">
        <f>"08793798"</f>
        <v>08793798</v>
      </c>
      <c r="D477" s="1" t="s">
        <v>196</v>
      </c>
      <c r="F477" s="1" t="str">
        <f>"186"</f>
        <v>186</v>
      </c>
      <c r="G477" s="2">
        <v>41972</v>
      </c>
      <c r="H477" s="1">
        <v>169900</v>
      </c>
      <c r="I477" s="1">
        <v>169900</v>
      </c>
      <c r="J477" s="1">
        <v>169900</v>
      </c>
      <c r="K477" s="2">
        <v>41972</v>
      </c>
      <c r="L477" s="1">
        <v>2</v>
      </c>
      <c r="M477" s="2">
        <v>41973</v>
      </c>
      <c r="N477" s="1">
        <v>2</v>
      </c>
      <c r="O477" s="2">
        <v>41973</v>
      </c>
      <c r="P477" s="1">
        <v>24321</v>
      </c>
      <c r="Q477" s="1" t="s">
        <v>197</v>
      </c>
      <c r="R477" s="2">
        <v>42032</v>
      </c>
      <c r="S477" s="1">
        <v>240781</v>
      </c>
      <c r="U477" s="1">
        <v>1500</v>
      </c>
      <c r="V477" s="1" t="s">
        <v>4188</v>
      </c>
      <c r="W477" s="1" t="s">
        <v>425</v>
      </c>
      <c r="X477" s="1">
        <v>401</v>
      </c>
      <c r="Y477" s="1">
        <v>68</v>
      </c>
      <c r="Z477" s="1" t="s">
        <v>249</v>
      </c>
      <c r="AA477" s="1" t="s">
        <v>2099</v>
      </c>
      <c r="AB477" s="1">
        <v>60181</v>
      </c>
      <c r="AD477" s="1" t="s">
        <v>6244</v>
      </c>
      <c r="AE477" s="1" t="s">
        <v>6245</v>
      </c>
      <c r="AF477" s="1">
        <v>1998</v>
      </c>
      <c r="AG477" s="1" t="s">
        <v>204</v>
      </c>
      <c r="AH477" s="1" t="s">
        <v>2101</v>
      </c>
      <c r="AI477" s="1" t="s">
        <v>206</v>
      </c>
      <c r="AJ477" s="1" t="s">
        <v>1608</v>
      </c>
      <c r="AK477" s="1" t="s">
        <v>6246</v>
      </c>
      <c r="AL477" s="1">
        <v>5</v>
      </c>
      <c r="AM477" s="1">
        <v>2</v>
      </c>
      <c r="AN477" s="1">
        <v>2</v>
      </c>
      <c r="AO477" s="1">
        <v>0</v>
      </c>
      <c r="AP477" s="1" t="s">
        <v>209</v>
      </c>
      <c r="AQ477" s="1">
        <v>0</v>
      </c>
      <c r="AR477" s="1" t="s">
        <v>210</v>
      </c>
      <c r="AS477" s="1" t="s">
        <v>204</v>
      </c>
      <c r="AT477" s="1" t="s">
        <v>375</v>
      </c>
      <c r="AU477" s="1">
        <v>1</v>
      </c>
      <c r="AV477" s="1">
        <v>4</v>
      </c>
      <c r="AW477" s="1" t="s">
        <v>204</v>
      </c>
      <c r="AX477" s="1" t="s">
        <v>212</v>
      </c>
      <c r="AZ477" s="1">
        <v>3873</v>
      </c>
      <c r="BA477" s="1">
        <v>2013</v>
      </c>
      <c r="BB477" s="1" t="s">
        <v>405</v>
      </c>
      <c r="BE477" s="1">
        <v>1603</v>
      </c>
      <c r="BF477" s="1">
        <v>4</v>
      </c>
      <c r="BG477" s="1">
        <v>1</v>
      </c>
      <c r="BJ477" s="1">
        <v>100</v>
      </c>
      <c r="BL477" s="1">
        <v>385</v>
      </c>
      <c r="BM477" s="1" t="s">
        <v>413</v>
      </c>
      <c r="BN477" s="1" t="s">
        <v>213</v>
      </c>
      <c r="BO477" s="1">
        <v>25</v>
      </c>
      <c r="BP477" s="1" t="s">
        <v>204</v>
      </c>
      <c r="BR477" s="1" t="str">
        <f>"0616402028"</f>
        <v>0616402028</v>
      </c>
      <c r="BT477" s="1" t="s">
        <v>6247</v>
      </c>
      <c r="BU477" s="1" t="s">
        <v>4603</v>
      </c>
      <c r="BV477" s="1" t="s">
        <v>2200</v>
      </c>
      <c r="BW477" s="1" t="s">
        <v>2201</v>
      </c>
      <c r="BX477" s="1">
        <v>45</v>
      </c>
      <c r="BY477" s="1">
        <v>45</v>
      </c>
      <c r="BZ477" s="1">
        <v>88</v>
      </c>
      <c r="CB477" s="1" t="str">
        <f t="shared" ref="CB477:CC477" si="372">"0"</f>
        <v>0</v>
      </c>
      <c r="CC477" s="1" t="str">
        <f t="shared" si="372"/>
        <v>0</v>
      </c>
      <c r="CD477" s="1">
        <v>18</v>
      </c>
      <c r="CE477" s="1">
        <v>0</v>
      </c>
      <c r="CG477" s="1" t="s">
        <v>6248</v>
      </c>
      <c r="CH477" s="1" t="s">
        <v>219</v>
      </c>
      <c r="CI477" s="1" t="s">
        <v>220</v>
      </c>
      <c r="CK477" s="1" t="s">
        <v>1570</v>
      </c>
      <c r="CL477" s="1" t="s">
        <v>219</v>
      </c>
      <c r="CM477" s="1" t="s">
        <v>220</v>
      </c>
      <c r="CO477" s="1" t="s">
        <v>223</v>
      </c>
      <c r="CP477" s="1" t="s">
        <v>219</v>
      </c>
      <c r="CQ477" s="1" t="s">
        <v>220</v>
      </c>
      <c r="CS477" s="1" t="s">
        <v>344</v>
      </c>
      <c r="CT477" s="1" t="s">
        <v>219</v>
      </c>
      <c r="CU477" s="1" t="s">
        <v>220</v>
      </c>
      <c r="CX477" s="1" t="s">
        <v>224</v>
      </c>
      <c r="DB477" s="1" t="s">
        <v>224</v>
      </c>
      <c r="DE477" s="1" t="s">
        <v>315</v>
      </c>
      <c r="DF477" s="1" t="s">
        <v>219</v>
      </c>
      <c r="DG477" s="1" t="s">
        <v>229</v>
      </c>
      <c r="DH477" s="1" t="s">
        <v>210</v>
      </c>
      <c r="DJ477" s="1" t="s">
        <v>224</v>
      </c>
      <c r="DN477" s="1" t="s">
        <v>709</v>
      </c>
      <c r="DO477" s="1" t="s">
        <v>838</v>
      </c>
      <c r="DS477" s="1" t="s">
        <v>230</v>
      </c>
      <c r="DV477" s="1" t="s">
        <v>1919</v>
      </c>
      <c r="DW477" s="1" t="s">
        <v>219</v>
      </c>
      <c r="DX477" s="1" t="s">
        <v>342</v>
      </c>
      <c r="DZ477" s="1" t="s">
        <v>6249</v>
      </c>
      <c r="EA477" s="1" t="s">
        <v>219</v>
      </c>
      <c r="EB477" s="1" t="s">
        <v>347</v>
      </c>
      <c r="EE477" s="1" t="s">
        <v>230</v>
      </c>
      <c r="EI477" s="1" t="s">
        <v>230</v>
      </c>
      <c r="EL477" s="1" t="s">
        <v>670</v>
      </c>
      <c r="EM477" s="1" t="s">
        <v>319</v>
      </c>
      <c r="EN477" s="1" t="s">
        <v>282</v>
      </c>
      <c r="EO477" s="1" t="s">
        <v>234</v>
      </c>
      <c r="EP477" s="1" t="s">
        <v>6250</v>
      </c>
      <c r="ER477" s="1" t="s">
        <v>210</v>
      </c>
      <c r="EU477" s="1" t="s">
        <v>712</v>
      </c>
      <c r="EW477" s="1" t="s">
        <v>6251</v>
      </c>
      <c r="EY477" s="1" t="s">
        <v>242</v>
      </c>
      <c r="EZ477" s="1" t="s">
        <v>3826</v>
      </c>
      <c r="FB477" s="1" t="s">
        <v>2888</v>
      </c>
      <c r="FC477" s="1" t="s">
        <v>548</v>
      </c>
      <c r="FD477" s="1" t="s">
        <v>888</v>
      </c>
      <c r="FE477" s="1" t="s">
        <v>247</v>
      </c>
      <c r="FF477" s="1" t="s">
        <v>248</v>
      </c>
      <c r="FH477" s="1" t="s">
        <v>249</v>
      </c>
      <c r="FI477" s="1" t="s">
        <v>4004</v>
      </c>
      <c r="FL477" s="1" t="s">
        <v>414</v>
      </c>
      <c r="FM477" s="1" t="s">
        <v>252</v>
      </c>
      <c r="FN477" s="1" t="s">
        <v>213</v>
      </c>
      <c r="FO477" s="1" t="s">
        <v>213</v>
      </c>
      <c r="FQ477" s="1" t="s">
        <v>2004</v>
      </c>
      <c r="FR477" s="1" t="s">
        <v>210</v>
      </c>
      <c r="FS477" s="1" t="s">
        <v>6252</v>
      </c>
      <c r="FT477" s="1" t="s">
        <v>362</v>
      </c>
      <c r="FU477" s="1" t="s">
        <v>204</v>
      </c>
      <c r="FW477" s="1" t="s">
        <v>2006</v>
      </c>
      <c r="FX477" s="1">
        <v>25792</v>
      </c>
      <c r="FY477" s="1" t="s">
        <v>3181</v>
      </c>
      <c r="FZ477" s="1" t="s">
        <v>4609</v>
      </c>
      <c r="GA477" s="1">
        <v>214645</v>
      </c>
      <c r="GB477" s="1" t="s">
        <v>4610</v>
      </c>
      <c r="GC477" s="1">
        <v>214646</v>
      </c>
      <c r="GE477" s="1" t="s">
        <v>210</v>
      </c>
      <c r="GH477" s="1" t="s">
        <v>421</v>
      </c>
      <c r="GI477" s="1" t="s">
        <v>213</v>
      </c>
      <c r="GJ477" s="1" t="s">
        <v>300</v>
      </c>
      <c r="GK477" s="1" t="s">
        <v>210</v>
      </c>
      <c r="GL477" s="2">
        <v>42033</v>
      </c>
      <c r="GM477" s="1" t="s">
        <v>6253</v>
      </c>
    </row>
    <row r="478" spans="1:195">
      <c r="A478" s="1">
        <v>178000</v>
      </c>
      <c r="B478" s="1" t="s">
        <v>195</v>
      </c>
      <c r="C478" s="1" t="str">
        <f>"08797009"</f>
        <v>08797009</v>
      </c>
      <c r="D478" s="1" t="s">
        <v>196</v>
      </c>
      <c r="F478" s="1" t="str">
        <f>"507"</f>
        <v>507</v>
      </c>
      <c r="G478" s="2">
        <v>41977</v>
      </c>
      <c r="H478" s="1">
        <v>200000</v>
      </c>
      <c r="I478" s="1">
        <v>184900</v>
      </c>
      <c r="J478" s="1">
        <v>178000</v>
      </c>
      <c r="K478" s="2">
        <v>41977</v>
      </c>
      <c r="L478" s="1">
        <v>91</v>
      </c>
      <c r="M478" s="2">
        <v>42067</v>
      </c>
      <c r="N478" s="1">
        <v>91</v>
      </c>
      <c r="O478" s="2">
        <v>42067</v>
      </c>
      <c r="P478" s="1">
        <v>23265</v>
      </c>
      <c r="Q478" s="1" t="s">
        <v>197</v>
      </c>
      <c r="R478" s="2">
        <v>42121</v>
      </c>
      <c r="S478" s="1">
        <v>212343</v>
      </c>
      <c r="U478" s="1">
        <v>2327</v>
      </c>
      <c r="V478" s="1" t="s">
        <v>6254</v>
      </c>
      <c r="W478" s="1" t="s">
        <v>449</v>
      </c>
      <c r="X478" s="1">
        <v>2327</v>
      </c>
      <c r="Y478" s="1">
        <v>4</v>
      </c>
      <c r="Z478" s="1" t="s">
        <v>249</v>
      </c>
      <c r="AA478" s="1" t="s">
        <v>1123</v>
      </c>
      <c r="AB478" s="1">
        <v>60502</v>
      </c>
      <c r="AD478" s="1" t="s">
        <v>6255</v>
      </c>
      <c r="AE478" s="1" t="s">
        <v>6256</v>
      </c>
      <c r="AF478" s="1">
        <v>2002</v>
      </c>
      <c r="AG478" s="1" t="s">
        <v>204</v>
      </c>
      <c r="AH478" s="1" t="s">
        <v>1126</v>
      </c>
      <c r="AI478" s="1" t="s">
        <v>206</v>
      </c>
      <c r="AJ478" s="1" t="s">
        <v>924</v>
      </c>
      <c r="AK478" s="1" t="s">
        <v>6257</v>
      </c>
      <c r="AL478" s="1">
        <v>6</v>
      </c>
      <c r="AM478" s="1">
        <v>2</v>
      </c>
      <c r="AN478" s="1">
        <v>3</v>
      </c>
      <c r="AO478" s="1">
        <v>1</v>
      </c>
      <c r="AP478" s="1" t="s">
        <v>209</v>
      </c>
      <c r="AR478" s="1" t="s">
        <v>209</v>
      </c>
      <c r="AS478" s="1" t="s">
        <v>213</v>
      </c>
      <c r="AT478" s="1" t="s">
        <v>211</v>
      </c>
      <c r="AU478" s="1">
        <v>2</v>
      </c>
      <c r="AW478" s="1" t="s">
        <v>204</v>
      </c>
      <c r="AX478" s="1" t="s">
        <v>212</v>
      </c>
      <c r="AZ478" s="1">
        <v>3392</v>
      </c>
      <c r="BA478" s="1">
        <v>2013</v>
      </c>
      <c r="BB478" s="1" t="s">
        <v>2694</v>
      </c>
      <c r="BE478" s="1">
        <v>1500</v>
      </c>
      <c r="BF478" s="1">
        <v>1</v>
      </c>
      <c r="BG478" s="1">
        <v>0</v>
      </c>
      <c r="BL478" s="1">
        <v>138</v>
      </c>
      <c r="BM478" s="1" t="s">
        <v>204</v>
      </c>
      <c r="BN478" s="1" t="s">
        <v>213</v>
      </c>
      <c r="BO478" s="1" t="s">
        <v>3215</v>
      </c>
      <c r="BP478" s="1" t="s">
        <v>204</v>
      </c>
      <c r="BR478" s="1" t="str">
        <f>"0719316026"</f>
        <v>0719316026</v>
      </c>
      <c r="BT478" s="1" t="s">
        <v>6258</v>
      </c>
      <c r="BU478" s="1" t="s">
        <v>6259</v>
      </c>
      <c r="BV478" s="1" t="s">
        <v>1130</v>
      </c>
      <c r="BW478" s="1" t="s">
        <v>1312</v>
      </c>
      <c r="BX478" s="1">
        <v>204</v>
      </c>
      <c r="BY478" s="1">
        <v>204</v>
      </c>
      <c r="BZ478" s="1">
        <v>204</v>
      </c>
      <c r="CB478" s="1" t="str">
        <f t="shared" ref="CB478:CC478" si="373">"0"</f>
        <v>0</v>
      </c>
      <c r="CC478" s="1" t="str">
        <f t="shared" si="373"/>
        <v>0</v>
      </c>
      <c r="CD478" s="1">
        <v>32</v>
      </c>
      <c r="CE478" s="1">
        <v>7</v>
      </c>
      <c r="CG478" s="1" t="s">
        <v>602</v>
      </c>
      <c r="CH478" s="1" t="s">
        <v>219</v>
      </c>
      <c r="CI478" s="1" t="s">
        <v>220</v>
      </c>
      <c r="CJ478" s="1" t="s">
        <v>909</v>
      </c>
      <c r="CK478" s="1" t="s">
        <v>1004</v>
      </c>
      <c r="CL478" s="1" t="s">
        <v>277</v>
      </c>
      <c r="CM478" s="1" t="s">
        <v>220</v>
      </c>
      <c r="CN478" s="1" t="s">
        <v>909</v>
      </c>
      <c r="CO478" s="1" t="s">
        <v>318</v>
      </c>
      <c r="CP478" s="1" t="s">
        <v>219</v>
      </c>
      <c r="CQ478" s="1" t="s">
        <v>220</v>
      </c>
      <c r="CR478" s="1" t="s">
        <v>343</v>
      </c>
      <c r="CS478" s="1" t="s">
        <v>379</v>
      </c>
      <c r="CT478" s="1" t="s">
        <v>277</v>
      </c>
      <c r="CU478" s="1" t="s">
        <v>220</v>
      </c>
      <c r="CV478" s="1" t="s">
        <v>343</v>
      </c>
      <c r="CX478" s="1" t="s">
        <v>224</v>
      </c>
      <c r="DB478" s="1" t="s">
        <v>224</v>
      </c>
      <c r="DE478" s="1" t="s">
        <v>346</v>
      </c>
      <c r="DF478" s="1" t="s">
        <v>219</v>
      </c>
      <c r="DH478" s="1" t="s">
        <v>210</v>
      </c>
      <c r="DJ478" s="1" t="s">
        <v>224</v>
      </c>
      <c r="DM478" s="1" t="s">
        <v>934</v>
      </c>
      <c r="DR478" s="1" t="s">
        <v>908</v>
      </c>
      <c r="DS478" s="1" t="s">
        <v>43</v>
      </c>
      <c r="DT478" s="1" t="s">
        <v>347</v>
      </c>
      <c r="DW478" s="1" t="s">
        <v>230</v>
      </c>
      <c r="EA478" s="1" t="s">
        <v>230</v>
      </c>
      <c r="EE478" s="1" t="s">
        <v>230</v>
      </c>
      <c r="EI478" s="1" t="s">
        <v>230</v>
      </c>
      <c r="EL478" s="1" t="s">
        <v>466</v>
      </c>
      <c r="EM478" s="1" t="s">
        <v>730</v>
      </c>
      <c r="EN478" s="1" t="s">
        <v>282</v>
      </c>
      <c r="EO478" s="1" t="s">
        <v>234</v>
      </c>
      <c r="EP478" s="1" t="s">
        <v>543</v>
      </c>
      <c r="EQ478" s="1" t="s">
        <v>236</v>
      </c>
      <c r="ER478" s="1" t="s">
        <v>6260</v>
      </c>
      <c r="ES478" s="1" t="s">
        <v>6261</v>
      </c>
      <c r="EU478" s="1" t="s">
        <v>239</v>
      </c>
      <c r="EV478" s="1" t="s">
        <v>1999</v>
      </c>
      <c r="EW478" s="1" t="s">
        <v>887</v>
      </c>
      <c r="EZ478" s="1" t="s">
        <v>934</v>
      </c>
      <c r="FA478" s="1" t="s">
        <v>1072</v>
      </c>
      <c r="FC478" s="1" t="s">
        <v>1362</v>
      </c>
      <c r="FD478" s="1" t="s">
        <v>246</v>
      </c>
      <c r="FE478" s="1" t="s">
        <v>975</v>
      </c>
      <c r="FF478" s="1" t="s">
        <v>248</v>
      </c>
      <c r="FH478" s="1" t="s">
        <v>6262</v>
      </c>
      <c r="FI478" s="1" t="s">
        <v>473</v>
      </c>
      <c r="FJ478" s="1" t="s">
        <v>518</v>
      </c>
      <c r="FL478" s="1" t="s">
        <v>358</v>
      </c>
      <c r="FM478" s="1" t="s">
        <v>252</v>
      </c>
      <c r="FN478" s="1" t="s">
        <v>213</v>
      </c>
      <c r="FO478" s="1" t="s">
        <v>213</v>
      </c>
      <c r="FQ478" s="1" t="s">
        <v>1032</v>
      </c>
      <c r="FR478" s="1" t="s">
        <v>210</v>
      </c>
      <c r="FS478" s="1" t="s">
        <v>2624</v>
      </c>
      <c r="FT478" s="1" t="s">
        <v>295</v>
      </c>
      <c r="FU478" s="1" t="s">
        <v>204</v>
      </c>
      <c r="FW478" s="1" t="s">
        <v>813</v>
      </c>
      <c r="FX478" s="1">
        <v>23177</v>
      </c>
      <c r="FY478" s="1" t="s">
        <v>5258</v>
      </c>
      <c r="FZ478" s="1" t="s">
        <v>6263</v>
      </c>
      <c r="GA478" s="1">
        <v>226319</v>
      </c>
      <c r="GB478" s="1" t="s">
        <v>5258</v>
      </c>
      <c r="GD478" s="1" t="s">
        <v>6264</v>
      </c>
      <c r="GE478" s="1" t="s">
        <v>1764</v>
      </c>
      <c r="GI478" s="1" t="s">
        <v>213</v>
      </c>
      <c r="GJ478" s="1" t="s">
        <v>260</v>
      </c>
      <c r="GK478" s="1" t="s">
        <v>210</v>
      </c>
      <c r="GL478" s="2">
        <v>42121</v>
      </c>
      <c r="GM478" s="1" t="s">
        <v>6265</v>
      </c>
    </row>
    <row r="479" spans="1:195">
      <c r="A479" s="1">
        <v>204000</v>
      </c>
      <c r="B479" s="1" t="s">
        <v>195</v>
      </c>
      <c r="C479" s="1" t="str">
        <f>"08792546"</f>
        <v>08792546</v>
      </c>
      <c r="D479" s="1" t="s">
        <v>196</v>
      </c>
      <c r="F479" s="1" t="str">
        <f>"516"</f>
        <v>516</v>
      </c>
      <c r="G479" s="2">
        <v>41968</v>
      </c>
      <c r="H479" s="1">
        <v>209900</v>
      </c>
      <c r="I479" s="1">
        <v>209900</v>
      </c>
      <c r="J479" s="1">
        <v>204000</v>
      </c>
      <c r="K479" s="2">
        <v>41968</v>
      </c>
      <c r="L479" s="1">
        <v>70</v>
      </c>
      <c r="M479" s="2">
        <v>42015</v>
      </c>
      <c r="N479" s="1">
        <v>48</v>
      </c>
      <c r="O479" s="2">
        <v>42015</v>
      </c>
      <c r="P479" s="1">
        <v>22029</v>
      </c>
      <c r="Q479" s="1" t="s">
        <v>197</v>
      </c>
      <c r="R479" s="2">
        <v>42055</v>
      </c>
      <c r="S479" s="1">
        <v>228502</v>
      </c>
      <c r="U479" s="1" t="s">
        <v>6266</v>
      </c>
      <c r="V479" s="1" t="s">
        <v>1416</v>
      </c>
      <c r="W479" s="1" t="s">
        <v>304</v>
      </c>
      <c r="Y479" s="1">
        <v>6</v>
      </c>
      <c r="Z479" s="1" t="s">
        <v>200</v>
      </c>
      <c r="AA479" s="1" t="s">
        <v>1417</v>
      </c>
      <c r="AB479" s="1">
        <v>60527</v>
      </c>
      <c r="AD479" s="1" t="s">
        <v>6267</v>
      </c>
      <c r="AE479" s="1" t="s">
        <v>6268</v>
      </c>
      <c r="AF479" s="1">
        <v>2001</v>
      </c>
      <c r="AG479" s="1" t="s">
        <v>204</v>
      </c>
      <c r="AH479" s="1" t="s">
        <v>882</v>
      </c>
      <c r="AI479" s="1" t="s">
        <v>206</v>
      </c>
      <c r="AJ479" s="1" t="s">
        <v>903</v>
      </c>
      <c r="AK479" s="1" t="s">
        <v>6269</v>
      </c>
      <c r="AL479" s="1">
        <v>6</v>
      </c>
      <c r="AM479" s="1">
        <v>2</v>
      </c>
      <c r="AN479" s="1">
        <v>2</v>
      </c>
      <c r="AO479" s="1">
        <v>2</v>
      </c>
      <c r="AP479" s="1" t="s">
        <v>209</v>
      </c>
      <c r="AR479" s="1" t="s">
        <v>1421</v>
      </c>
      <c r="AS479" s="1" t="s">
        <v>213</v>
      </c>
      <c r="AT479" s="1" t="s">
        <v>211</v>
      </c>
      <c r="AU479" s="1">
        <v>2</v>
      </c>
      <c r="AW479" s="1" t="s">
        <v>204</v>
      </c>
      <c r="AX479" s="1">
        <v>1583</v>
      </c>
      <c r="AZ479" s="1">
        <v>4173</v>
      </c>
      <c r="BA479" s="1">
        <v>2013</v>
      </c>
      <c r="BB479" s="1" t="s">
        <v>405</v>
      </c>
      <c r="BE479" s="1">
        <v>1944</v>
      </c>
      <c r="BF479" s="1">
        <v>1</v>
      </c>
      <c r="BG479" s="1">
        <v>30</v>
      </c>
      <c r="BL479" s="1">
        <v>200</v>
      </c>
      <c r="BM479" s="1" t="s">
        <v>204</v>
      </c>
      <c r="BN479" s="1" t="s">
        <v>213</v>
      </c>
      <c r="BO479" s="1">
        <v>999</v>
      </c>
      <c r="BP479" s="1" t="s">
        <v>204</v>
      </c>
      <c r="BR479" s="1" t="str">
        <f>"1011303080"</f>
        <v>1011303080</v>
      </c>
      <c r="BT479" s="1" t="s">
        <v>6270</v>
      </c>
      <c r="BU479" s="1" t="s">
        <v>1423</v>
      </c>
      <c r="BV479" s="1" t="s">
        <v>1424</v>
      </c>
      <c r="BW479" s="1" t="s">
        <v>907</v>
      </c>
      <c r="BX479" s="1">
        <v>180</v>
      </c>
      <c r="BY479" s="1">
        <v>180</v>
      </c>
      <c r="BZ479" s="1">
        <v>86</v>
      </c>
      <c r="CB479" s="1" t="str">
        <f t="shared" ref="CB479:CC479" si="374">""</f>
        <v/>
      </c>
      <c r="CC479" s="1" t="str">
        <f t="shared" si="374"/>
        <v/>
      </c>
      <c r="CG479" s="1" t="s">
        <v>885</v>
      </c>
      <c r="CH479" s="1" t="s">
        <v>219</v>
      </c>
      <c r="CI479" s="1" t="s">
        <v>438</v>
      </c>
      <c r="CK479" s="1" t="s">
        <v>6271</v>
      </c>
      <c r="CL479" s="1" t="s">
        <v>277</v>
      </c>
      <c r="CM479" s="1" t="s">
        <v>438</v>
      </c>
      <c r="CP479" s="1" t="s">
        <v>224</v>
      </c>
      <c r="CS479" s="1" t="s">
        <v>461</v>
      </c>
      <c r="CT479" s="1" t="s">
        <v>277</v>
      </c>
      <c r="CU479" s="1" t="s">
        <v>438</v>
      </c>
      <c r="CX479" s="1" t="s">
        <v>224</v>
      </c>
      <c r="DB479" s="1" t="s">
        <v>224</v>
      </c>
      <c r="DE479" s="1" t="s">
        <v>346</v>
      </c>
      <c r="DF479" s="1" t="s">
        <v>219</v>
      </c>
      <c r="DG479" s="1" t="s">
        <v>438</v>
      </c>
      <c r="DI479" s="1" t="s">
        <v>6197</v>
      </c>
      <c r="DJ479" s="1" t="s">
        <v>822</v>
      </c>
      <c r="DM479" s="1" t="s">
        <v>464</v>
      </c>
      <c r="DR479" s="1" t="s">
        <v>516</v>
      </c>
      <c r="DS479" s="1" t="s">
        <v>277</v>
      </c>
      <c r="DT479" s="1" t="s">
        <v>438</v>
      </c>
      <c r="DW479" s="1" t="s">
        <v>230</v>
      </c>
      <c r="EA479" s="1" t="s">
        <v>230</v>
      </c>
      <c r="EE479" s="1" t="s">
        <v>230</v>
      </c>
      <c r="EI479" s="1" t="s">
        <v>230</v>
      </c>
      <c r="EL479" s="1" t="s">
        <v>466</v>
      </c>
      <c r="EM479" s="1" t="s">
        <v>232</v>
      </c>
      <c r="EN479" s="1" t="s">
        <v>282</v>
      </c>
      <c r="EO479" s="1" t="s">
        <v>234</v>
      </c>
      <c r="EQ479" s="1" t="s">
        <v>1094</v>
      </c>
      <c r="ER479" s="1" t="s">
        <v>544</v>
      </c>
      <c r="ES479" s="1" t="s">
        <v>322</v>
      </c>
      <c r="ET479" s="1" t="s">
        <v>1201</v>
      </c>
      <c r="EU479" s="1" t="s">
        <v>5503</v>
      </c>
      <c r="EW479" s="1" t="s">
        <v>353</v>
      </c>
      <c r="EY479" s="1" t="s">
        <v>242</v>
      </c>
      <c r="EZ479" s="1" t="s">
        <v>464</v>
      </c>
      <c r="FC479" s="1" t="s">
        <v>1362</v>
      </c>
      <c r="FD479" s="1" t="s">
        <v>246</v>
      </c>
      <c r="FE479" s="1" t="s">
        <v>355</v>
      </c>
      <c r="FF479" s="1" t="s">
        <v>248</v>
      </c>
      <c r="FH479" s="1" t="s">
        <v>6272</v>
      </c>
      <c r="FI479" s="1" t="s">
        <v>3300</v>
      </c>
      <c r="FL479" s="1" t="s">
        <v>358</v>
      </c>
      <c r="FM479" s="1" t="s">
        <v>252</v>
      </c>
      <c r="FN479" s="1" t="s">
        <v>213</v>
      </c>
      <c r="FO479" s="1" t="s">
        <v>213</v>
      </c>
      <c r="FQ479" s="1" t="s">
        <v>329</v>
      </c>
      <c r="FR479" s="1" t="s">
        <v>210</v>
      </c>
      <c r="FS479" s="1" t="s">
        <v>6044</v>
      </c>
      <c r="FT479" s="1" t="s">
        <v>295</v>
      </c>
      <c r="FU479" s="1" t="s">
        <v>204</v>
      </c>
      <c r="FW479" s="1" t="s">
        <v>585</v>
      </c>
      <c r="FX479" s="1">
        <v>20001</v>
      </c>
      <c r="FY479" s="1" t="s">
        <v>5002</v>
      </c>
      <c r="FZ479" s="1" t="s">
        <v>6273</v>
      </c>
      <c r="GA479" s="1">
        <v>213279</v>
      </c>
      <c r="GB479" s="1" t="s">
        <v>6274</v>
      </c>
      <c r="GE479" s="1" t="s">
        <v>480</v>
      </c>
      <c r="GI479" s="1" t="s">
        <v>213</v>
      </c>
      <c r="GJ479" s="1" t="s">
        <v>260</v>
      </c>
      <c r="GK479" s="1" t="s">
        <v>210</v>
      </c>
      <c r="GL479" s="2">
        <v>42055</v>
      </c>
      <c r="GM479" s="1" t="s">
        <v>6275</v>
      </c>
    </row>
    <row r="480" spans="1:195">
      <c r="A480" s="1">
        <v>65000</v>
      </c>
      <c r="B480" s="1" t="s">
        <v>195</v>
      </c>
      <c r="C480" s="1" t="str">
        <f>"08795135"</f>
        <v>08795135</v>
      </c>
      <c r="D480" s="1" t="s">
        <v>196</v>
      </c>
      <c r="F480" s="1" t="str">
        <f>"560"</f>
        <v>560</v>
      </c>
      <c r="G480" s="2">
        <v>41975</v>
      </c>
      <c r="H480" s="1">
        <v>67900</v>
      </c>
      <c r="I480" s="1">
        <v>67900</v>
      </c>
      <c r="J480" s="1">
        <v>65000</v>
      </c>
      <c r="K480" s="2">
        <v>41974</v>
      </c>
      <c r="L480" s="1">
        <v>38</v>
      </c>
      <c r="M480" s="2">
        <v>42011</v>
      </c>
      <c r="N480" s="1">
        <v>38</v>
      </c>
      <c r="O480" s="2">
        <v>42011</v>
      </c>
      <c r="P480" s="1">
        <v>31420</v>
      </c>
      <c r="Q480" s="1" t="s">
        <v>197</v>
      </c>
      <c r="R480" s="2">
        <v>42062</v>
      </c>
      <c r="S480" s="1">
        <v>314214</v>
      </c>
      <c r="T480" s="1">
        <v>1262</v>
      </c>
      <c r="U480" s="1">
        <v>236</v>
      </c>
      <c r="V480" s="1" t="s">
        <v>482</v>
      </c>
      <c r="W480" s="1" t="s">
        <v>264</v>
      </c>
      <c r="X480" s="1" t="s">
        <v>6276</v>
      </c>
      <c r="Y480" s="1">
        <v>16</v>
      </c>
      <c r="Z480" s="1" t="s">
        <v>249</v>
      </c>
      <c r="AA480" s="1" t="s">
        <v>484</v>
      </c>
      <c r="AB480" s="1">
        <v>60560</v>
      </c>
      <c r="AE480" s="1" t="s">
        <v>6277</v>
      </c>
      <c r="AF480" s="1">
        <v>2006</v>
      </c>
      <c r="AG480" s="1" t="s">
        <v>204</v>
      </c>
      <c r="AH480" s="1" t="s">
        <v>487</v>
      </c>
      <c r="AI480" s="1" t="s">
        <v>453</v>
      </c>
      <c r="AJ480" s="1" t="s">
        <v>454</v>
      </c>
      <c r="AL480" s="1">
        <v>5</v>
      </c>
      <c r="AM480" s="1">
        <v>2</v>
      </c>
      <c r="AN480" s="1">
        <v>2</v>
      </c>
      <c r="AO480" s="1">
        <v>0</v>
      </c>
      <c r="AP480" s="1" t="s">
        <v>209</v>
      </c>
      <c r="AR480" s="1" t="s">
        <v>210</v>
      </c>
      <c r="AS480" s="1" t="s">
        <v>204</v>
      </c>
      <c r="AT480" s="1" t="s">
        <v>211</v>
      </c>
      <c r="AU480" s="1">
        <v>1</v>
      </c>
      <c r="AW480" s="1" t="s">
        <v>204</v>
      </c>
      <c r="AX480" s="1" t="s">
        <v>212</v>
      </c>
      <c r="AZ480" s="1">
        <v>3735.6</v>
      </c>
      <c r="BA480" s="1">
        <v>2013</v>
      </c>
      <c r="BE480" s="1">
        <v>1150</v>
      </c>
      <c r="BF480" s="1">
        <v>1</v>
      </c>
      <c r="BG480" s="1">
        <v>0</v>
      </c>
      <c r="BL480" s="1">
        <v>211</v>
      </c>
      <c r="BM480" s="1" t="s">
        <v>204</v>
      </c>
      <c r="BN480" s="1" t="s">
        <v>213</v>
      </c>
      <c r="BO480" s="1">
        <v>99</v>
      </c>
      <c r="BP480" s="1" t="s">
        <v>204</v>
      </c>
      <c r="BR480" s="1" t="str">
        <f>"0204451035"</f>
        <v>0204451035</v>
      </c>
      <c r="BT480" s="1" t="s">
        <v>6278</v>
      </c>
      <c r="BX480" s="1">
        <v>115</v>
      </c>
      <c r="BY480" s="1">
        <v>115</v>
      </c>
      <c r="BZ480" s="1">
        <v>115</v>
      </c>
      <c r="CB480" s="1" t="str">
        <f t="shared" ref="CB480:CC480" si="375">""</f>
        <v/>
      </c>
      <c r="CC480" s="1" t="str">
        <f t="shared" si="375"/>
        <v/>
      </c>
      <c r="CG480" s="1" t="s">
        <v>344</v>
      </c>
      <c r="CH480" s="1" t="s">
        <v>277</v>
      </c>
      <c r="CI480" s="1" t="s">
        <v>220</v>
      </c>
      <c r="CK480" s="1" t="s">
        <v>344</v>
      </c>
      <c r="CL480" s="1" t="s">
        <v>277</v>
      </c>
      <c r="CM480" s="1" t="s">
        <v>220</v>
      </c>
      <c r="CO480" s="1" t="s">
        <v>630</v>
      </c>
      <c r="CP480" s="1" t="s">
        <v>277</v>
      </c>
      <c r="CQ480" s="1" t="s">
        <v>220</v>
      </c>
      <c r="CS480" s="1" t="s">
        <v>602</v>
      </c>
      <c r="CT480" s="1" t="s">
        <v>277</v>
      </c>
      <c r="CU480" s="1" t="s">
        <v>220</v>
      </c>
      <c r="CX480" s="1" t="s">
        <v>224</v>
      </c>
      <c r="DB480" s="1" t="s">
        <v>224</v>
      </c>
      <c r="DE480" s="1" t="s">
        <v>379</v>
      </c>
      <c r="DF480" s="1" t="s">
        <v>277</v>
      </c>
      <c r="DG480" s="1" t="s">
        <v>342</v>
      </c>
      <c r="DJ480" s="1" t="s">
        <v>224</v>
      </c>
      <c r="DS480" s="1" t="s">
        <v>230</v>
      </c>
      <c r="DW480" s="1" t="s">
        <v>230</v>
      </c>
      <c r="EA480" s="1" t="s">
        <v>230</v>
      </c>
      <c r="EE480" s="1" t="s">
        <v>230</v>
      </c>
      <c r="EI480" s="1" t="s">
        <v>230</v>
      </c>
      <c r="EL480" s="1" t="s">
        <v>491</v>
      </c>
      <c r="EM480" s="1" t="s">
        <v>319</v>
      </c>
      <c r="EN480" s="1" t="s">
        <v>1158</v>
      </c>
      <c r="EO480" s="1" t="s">
        <v>234</v>
      </c>
      <c r="EP480" s="1" t="s">
        <v>6279</v>
      </c>
      <c r="ER480" s="1" t="s">
        <v>383</v>
      </c>
      <c r="EU480" s="1" t="s">
        <v>239</v>
      </c>
      <c r="EW480" s="1" t="s">
        <v>6280</v>
      </c>
      <c r="EY480" s="1" t="s">
        <v>242</v>
      </c>
      <c r="EZ480" s="1" t="s">
        <v>287</v>
      </c>
      <c r="FD480" s="1" t="s">
        <v>246</v>
      </c>
      <c r="FE480" s="1" t="s">
        <v>975</v>
      </c>
      <c r="FF480" s="1" t="s">
        <v>248</v>
      </c>
      <c r="FH480" s="1" t="s">
        <v>249</v>
      </c>
      <c r="FJ480" s="1" t="s">
        <v>1472</v>
      </c>
      <c r="FL480" s="1" t="s">
        <v>292</v>
      </c>
      <c r="FM480" s="1" t="s">
        <v>252</v>
      </c>
      <c r="FN480" s="1" t="s">
        <v>213</v>
      </c>
      <c r="FO480" s="1" t="s">
        <v>213</v>
      </c>
      <c r="FQ480" s="1" t="s">
        <v>689</v>
      </c>
      <c r="FR480" s="1" t="s">
        <v>210</v>
      </c>
      <c r="FS480" s="1" t="s">
        <v>6281</v>
      </c>
      <c r="FT480" s="1" t="s">
        <v>584</v>
      </c>
      <c r="FU480" s="1" t="s">
        <v>204</v>
      </c>
      <c r="FW480" s="1" t="s">
        <v>813</v>
      </c>
      <c r="FX480" s="1">
        <v>22588</v>
      </c>
      <c r="FY480" s="1" t="s">
        <v>2685</v>
      </c>
      <c r="FZ480" s="1" t="s">
        <v>6282</v>
      </c>
      <c r="GA480" s="1">
        <v>222152</v>
      </c>
      <c r="GB480" s="1" t="s">
        <v>6283</v>
      </c>
      <c r="GC480" s="1">
        <v>226878</v>
      </c>
      <c r="GD480" s="1" t="s">
        <v>6284</v>
      </c>
      <c r="GE480" s="1" t="s">
        <v>210</v>
      </c>
      <c r="GI480" s="1" t="s">
        <v>213</v>
      </c>
      <c r="GJ480" s="1" t="s">
        <v>260</v>
      </c>
      <c r="GK480" s="1" t="s">
        <v>210</v>
      </c>
      <c r="GL480" s="2">
        <v>42062</v>
      </c>
      <c r="GM480" s="1" t="s">
        <v>6285</v>
      </c>
    </row>
    <row r="481" spans="1:195">
      <c r="A481" s="1">
        <v>145000</v>
      </c>
      <c r="B481" s="1" t="s">
        <v>195</v>
      </c>
      <c r="C481" s="1" t="str">
        <f>"08793382"</f>
        <v>08793382</v>
      </c>
      <c r="D481" s="1" t="s">
        <v>196</v>
      </c>
      <c r="F481" s="1" t="str">
        <f>"10"</f>
        <v>10</v>
      </c>
      <c r="G481" s="2">
        <v>41969</v>
      </c>
      <c r="H481" s="1">
        <v>149900</v>
      </c>
      <c r="I481" s="1">
        <v>149900</v>
      </c>
      <c r="J481" s="1">
        <v>145000</v>
      </c>
      <c r="K481" s="2">
        <v>41969</v>
      </c>
      <c r="L481" s="1">
        <v>145</v>
      </c>
      <c r="M481" s="2">
        <v>42022</v>
      </c>
      <c r="N481" s="1">
        <v>54</v>
      </c>
      <c r="O481" s="2">
        <v>42022</v>
      </c>
      <c r="P481" s="1">
        <v>6026</v>
      </c>
      <c r="Q481" s="1" t="s">
        <v>302</v>
      </c>
      <c r="R481" s="2">
        <v>42038</v>
      </c>
      <c r="S481" s="1">
        <v>63418</v>
      </c>
      <c r="U481" s="1">
        <v>276</v>
      </c>
      <c r="V481" s="1" t="s">
        <v>6286</v>
      </c>
      <c r="W481" s="1" t="s">
        <v>1056</v>
      </c>
      <c r="X481" s="1" t="s">
        <v>6287</v>
      </c>
      <c r="Y481" s="1">
        <v>4</v>
      </c>
      <c r="Z481" s="1" t="s">
        <v>370</v>
      </c>
      <c r="AA481" s="1" t="s">
        <v>6288</v>
      </c>
      <c r="AB481" s="1">
        <v>60010</v>
      </c>
      <c r="AD481" s="1" t="s">
        <v>1986</v>
      </c>
      <c r="AE481" s="1" t="s">
        <v>6289</v>
      </c>
      <c r="AF481" s="1">
        <v>1977</v>
      </c>
      <c r="AG481" s="1" t="s">
        <v>213</v>
      </c>
      <c r="AH481" s="1" t="s">
        <v>1988</v>
      </c>
      <c r="AI481" s="1" t="s">
        <v>509</v>
      </c>
      <c r="AJ481" s="1" t="s">
        <v>1989</v>
      </c>
      <c r="AK481" s="1" t="s">
        <v>6290</v>
      </c>
      <c r="AL481" s="1">
        <v>5</v>
      </c>
      <c r="AM481" s="1">
        <v>2</v>
      </c>
      <c r="AN481" s="1">
        <v>2</v>
      </c>
      <c r="AO481" s="1">
        <v>0</v>
      </c>
      <c r="AP481" s="1" t="s">
        <v>209</v>
      </c>
      <c r="AQ481" s="1">
        <v>1</v>
      </c>
      <c r="AR481" s="1" t="s">
        <v>210</v>
      </c>
      <c r="AS481" s="1" t="s">
        <v>204</v>
      </c>
      <c r="AT481" s="1" t="s">
        <v>211</v>
      </c>
      <c r="AU481" s="1">
        <v>1</v>
      </c>
      <c r="AW481" s="1" t="s">
        <v>204</v>
      </c>
      <c r="AX481" s="1" t="s">
        <v>212</v>
      </c>
      <c r="AZ481" s="1">
        <v>2987.42</v>
      </c>
      <c r="BA481" s="1">
        <v>2013</v>
      </c>
      <c r="BB481" s="1" t="s">
        <v>405</v>
      </c>
      <c r="BC481" s="1">
        <v>0</v>
      </c>
      <c r="BE481" s="1">
        <v>1314</v>
      </c>
      <c r="BF481" s="1">
        <v>2</v>
      </c>
      <c r="BG481" s="1">
        <v>30</v>
      </c>
      <c r="BK481" s="1">
        <v>0</v>
      </c>
      <c r="BL481" s="1">
        <v>420</v>
      </c>
      <c r="BM481" s="1" t="s">
        <v>204</v>
      </c>
      <c r="BN481" s="1" t="s">
        <v>213</v>
      </c>
      <c r="BO481" s="1">
        <v>25</v>
      </c>
      <c r="BP481" s="1" t="s">
        <v>204</v>
      </c>
      <c r="BR481" s="1" t="str">
        <f>"13114001170000"</f>
        <v>13114001170000</v>
      </c>
      <c r="BT481" s="1" t="s">
        <v>6291</v>
      </c>
      <c r="BU481" s="1" t="s">
        <v>1992</v>
      </c>
      <c r="BV481" s="1" t="s">
        <v>1993</v>
      </c>
      <c r="BW481" s="1" t="s">
        <v>1994</v>
      </c>
      <c r="BX481" s="1">
        <v>220</v>
      </c>
      <c r="BY481" s="1">
        <v>220</v>
      </c>
      <c r="BZ481" s="1">
        <v>220</v>
      </c>
      <c r="CB481" s="1" t="str">
        <f>"24"</f>
        <v>24</v>
      </c>
      <c r="CC481" s="1" t="str">
        <f>"0"</f>
        <v>0</v>
      </c>
      <c r="CD481" s="1">
        <v>26</v>
      </c>
      <c r="CE481" s="1">
        <v>0</v>
      </c>
      <c r="CG481" s="1" t="s">
        <v>862</v>
      </c>
      <c r="CH481" s="1" t="s">
        <v>277</v>
      </c>
      <c r="CI481" s="1" t="s">
        <v>220</v>
      </c>
      <c r="CJ481" s="1" t="s">
        <v>210</v>
      </c>
      <c r="CK481" s="1" t="s">
        <v>932</v>
      </c>
      <c r="CL481" s="1" t="s">
        <v>277</v>
      </c>
      <c r="CM481" s="1" t="s">
        <v>220</v>
      </c>
      <c r="CO481" s="1" t="s">
        <v>1107</v>
      </c>
      <c r="CP481" s="1" t="s">
        <v>277</v>
      </c>
      <c r="CQ481" s="1" t="s">
        <v>220</v>
      </c>
      <c r="CR481" s="1" t="s">
        <v>210</v>
      </c>
      <c r="CS481" s="1" t="s">
        <v>836</v>
      </c>
      <c r="CT481" s="1" t="s">
        <v>277</v>
      </c>
      <c r="CU481" s="1" t="s">
        <v>220</v>
      </c>
      <c r="CX481" s="1" t="s">
        <v>224</v>
      </c>
      <c r="DB481" s="1" t="s">
        <v>224</v>
      </c>
      <c r="DE481" s="1" t="s">
        <v>1297</v>
      </c>
      <c r="DF481" s="1" t="s">
        <v>277</v>
      </c>
      <c r="DG481" s="1" t="s">
        <v>229</v>
      </c>
      <c r="DJ481" s="1" t="s">
        <v>224</v>
      </c>
      <c r="DS481" s="1" t="s">
        <v>230</v>
      </c>
      <c r="DW481" s="1" t="s">
        <v>230</v>
      </c>
      <c r="EA481" s="1" t="s">
        <v>230</v>
      </c>
      <c r="EE481" s="1" t="s">
        <v>230</v>
      </c>
      <c r="EI481" s="1" t="s">
        <v>230</v>
      </c>
      <c r="EL481" s="1" t="s">
        <v>231</v>
      </c>
      <c r="EM481" s="1" t="s">
        <v>761</v>
      </c>
      <c r="EN481" s="1" t="s">
        <v>282</v>
      </c>
      <c r="EO481" s="1" t="s">
        <v>840</v>
      </c>
      <c r="EP481" s="1" t="s">
        <v>6292</v>
      </c>
      <c r="EQ481" s="1" t="s">
        <v>236</v>
      </c>
      <c r="ER481" s="1" t="s">
        <v>210</v>
      </c>
      <c r="ES481" s="1" t="s">
        <v>322</v>
      </c>
      <c r="EU481" s="1" t="s">
        <v>5841</v>
      </c>
      <c r="EV481" s="1" t="s">
        <v>324</v>
      </c>
      <c r="EW481" s="1" t="s">
        <v>6293</v>
      </c>
      <c r="EY481" s="1" t="s">
        <v>790</v>
      </c>
      <c r="EZ481" s="1" t="s">
        <v>287</v>
      </c>
      <c r="FA481" s="1" t="s">
        <v>672</v>
      </c>
      <c r="FB481" s="1" t="s">
        <v>244</v>
      </c>
      <c r="FC481" s="1" t="s">
        <v>2002</v>
      </c>
      <c r="FD481" s="1" t="s">
        <v>246</v>
      </c>
      <c r="FE481" s="1" t="s">
        <v>889</v>
      </c>
      <c r="FF481" s="1" t="s">
        <v>248</v>
      </c>
      <c r="FG481" s="1" t="s">
        <v>939</v>
      </c>
      <c r="FH481" s="1" t="s">
        <v>249</v>
      </c>
      <c r="FI481" s="1" t="s">
        <v>3300</v>
      </c>
      <c r="FL481" s="1" t="s">
        <v>1073</v>
      </c>
      <c r="FM481" s="1" t="s">
        <v>252</v>
      </c>
      <c r="FN481" s="1" t="s">
        <v>213</v>
      </c>
      <c r="FO481" s="1" t="s">
        <v>213</v>
      </c>
      <c r="FQ481" s="1" t="s">
        <v>6294</v>
      </c>
      <c r="FR481" s="1" t="s">
        <v>210</v>
      </c>
      <c r="FS481" s="1" t="s">
        <v>6295</v>
      </c>
      <c r="FT481" s="1" t="s">
        <v>520</v>
      </c>
      <c r="FU481" s="1" t="s">
        <v>204</v>
      </c>
      <c r="FW481" s="1" t="s">
        <v>6296</v>
      </c>
      <c r="FX481" s="1">
        <v>4796</v>
      </c>
      <c r="FY481" s="1" t="s">
        <v>6297</v>
      </c>
      <c r="FZ481" s="1" t="s">
        <v>6298</v>
      </c>
      <c r="GA481" s="1">
        <v>41999</v>
      </c>
      <c r="GB481" s="1" t="s">
        <v>6297</v>
      </c>
      <c r="GE481" s="1" t="s">
        <v>480</v>
      </c>
      <c r="GI481" s="1" t="s">
        <v>204</v>
      </c>
      <c r="GJ481" s="1" t="s">
        <v>260</v>
      </c>
      <c r="GK481" s="1" t="s">
        <v>210</v>
      </c>
      <c r="GL481" s="2">
        <v>42038</v>
      </c>
      <c r="GM481" s="1" t="s">
        <v>6299</v>
      </c>
    </row>
    <row r="482" spans="1:195">
      <c r="A482" s="1">
        <v>115000</v>
      </c>
      <c r="B482" s="1" t="s">
        <v>195</v>
      </c>
      <c r="C482" s="1" t="str">
        <f>"08798287"</f>
        <v>08798287</v>
      </c>
      <c r="D482" s="1" t="s">
        <v>196</v>
      </c>
      <c r="F482" s="1" t="str">
        <f>"516"</f>
        <v>516</v>
      </c>
      <c r="G482" s="2">
        <v>41980</v>
      </c>
      <c r="H482" s="1">
        <v>116000</v>
      </c>
      <c r="I482" s="1">
        <v>116000</v>
      </c>
      <c r="J482" s="1">
        <v>115000</v>
      </c>
      <c r="K482" s="2">
        <v>41980</v>
      </c>
      <c r="L482" s="1">
        <v>10</v>
      </c>
      <c r="M482" s="2">
        <v>41989</v>
      </c>
      <c r="N482" s="1">
        <v>10</v>
      </c>
      <c r="O482" s="2">
        <v>41989</v>
      </c>
      <c r="P482" s="1">
        <v>24587</v>
      </c>
      <c r="Q482" s="1" t="s">
        <v>197</v>
      </c>
      <c r="R482" s="2">
        <v>42031</v>
      </c>
      <c r="S482" s="1">
        <v>241938</v>
      </c>
      <c r="U482" s="1">
        <v>6111</v>
      </c>
      <c r="V482" s="1" t="s">
        <v>5239</v>
      </c>
      <c r="W482" s="1" t="s">
        <v>1056</v>
      </c>
      <c r="X482" s="1">
        <v>301</v>
      </c>
      <c r="Y482" s="1">
        <v>12</v>
      </c>
      <c r="Z482" s="1" t="s">
        <v>370</v>
      </c>
      <c r="AA482" s="1" t="s">
        <v>1417</v>
      </c>
      <c r="AB482" s="1">
        <v>60527</v>
      </c>
      <c r="AD482" s="1" t="s">
        <v>6300</v>
      </c>
      <c r="AE482" s="1" t="s">
        <v>6301</v>
      </c>
      <c r="AF482" s="1">
        <v>1973</v>
      </c>
      <c r="AG482" s="1" t="s">
        <v>213</v>
      </c>
      <c r="AH482" s="1" t="s">
        <v>1419</v>
      </c>
      <c r="AI482" s="1" t="s">
        <v>206</v>
      </c>
      <c r="AJ482" s="1" t="s">
        <v>903</v>
      </c>
      <c r="AL482" s="1">
        <v>5</v>
      </c>
      <c r="AM482" s="1">
        <v>2</v>
      </c>
      <c r="AN482" s="1">
        <v>2</v>
      </c>
      <c r="AO482" s="1">
        <v>0</v>
      </c>
      <c r="AP482" s="1" t="s">
        <v>209</v>
      </c>
      <c r="AQ482" s="1">
        <v>1</v>
      </c>
      <c r="AR482" s="1" t="s">
        <v>210</v>
      </c>
      <c r="AS482" s="1" t="s">
        <v>204</v>
      </c>
      <c r="AT482" s="1" t="s">
        <v>271</v>
      </c>
      <c r="AV482" s="1">
        <v>2</v>
      </c>
      <c r="AW482" s="1" t="s">
        <v>204</v>
      </c>
      <c r="AX482" s="1" t="s">
        <v>212</v>
      </c>
      <c r="AZ482" s="1">
        <v>1371</v>
      </c>
      <c r="BA482" s="1">
        <v>2013</v>
      </c>
      <c r="BB482" s="1" t="s">
        <v>210</v>
      </c>
      <c r="BE482" s="1">
        <v>0</v>
      </c>
      <c r="BF482" s="1">
        <v>3</v>
      </c>
      <c r="BG482" s="1">
        <v>0</v>
      </c>
      <c r="BL482" s="1">
        <v>325</v>
      </c>
      <c r="BM482" s="1" t="s">
        <v>204</v>
      </c>
      <c r="BN482" s="1" t="s">
        <v>213</v>
      </c>
      <c r="BP482" s="1" t="s">
        <v>204</v>
      </c>
      <c r="BR482" s="1" t="str">
        <f>"0914303209"</f>
        <v>0914303209</v>
      </c>
      <c r="BT482" s="1" t="s">
        <v>6302</v>
      </c>
      <c r="BU482" s="1" t="s">
        <v>2980</v>
      </c>
      <c r="BV482" s="1" t="s">
        <v>2981</v>
      </c>
      <c r="BW482" s="1" t="s">
        <v>1546</v>
      </c>
      <c r="BX482" s="1">
        <v>60</v>
      </c>
      <c r="BY482" s="1">
        <v>60</v>
      </c>
      <c r="BZ482" s="1">
        <v>86</v>
      </c>
      <c r="CB482" s="1" t="str">
        <f t="shared" ref="CB482:CC482" si="376">""</f>
        <v/>
      </c>
      <c r="CC482" s="1" t="str">
        <f t="shared" si="376"/>
        <v/>
      </c>
      <c r="CG482" s="1" t="s">
        <v>1737</v>
      </c>
      <c r="CH482" s="1" t="s">
        <v>784</v>
      </c>
      <c r="CI482" s="1" t="s">
        <v>220</v>
      </c>
      <c r="CJ482" s="1" t="s">
        <v>210</v>
      </c>
      <c r="CK482" s="1" t="s">
        <v>539</v>
      </c>
      <c r="CL482" s="1" t="s">
        <v>784</v>
      </c>
      <c r="CM482" s="1" t="s">
        <v>220</v>
      </c>
      <c r="CN482" s="1" t="s">
        <v>210</v>
      </c>
      <c r="CO482" s="1" t="s">
        <v>348</v>
      </c>
      <c r="CP482" s="1" t="s">
        <v>784</v>
      </c>
      <c r="CQ482" s="1" t="s">
        <v>220</v>
      </c>
      <c r="CS482" s="1" t="s">
        <v>346</v>
      </c>
      <c r="CT482" s="1" t="s">
        <v>784</v>
      </c>
      <c r="CU482" s="1" t="s">
        <v>220</v>
      </c>
      <c r="CV482" s="1" t="s">
        <v>210</v>
      </c>
      <c r="CX482" s="1" t="s">
        <v>224</v>
      </c>
      <c r="DB482" s="1" t="s">
        <v>224</v>
      </c>
      <c r="DE482" s="1" t="s">
        <v>2031</v>
      </c>
      <c r="DF482" s="1" t="s">
        <v>784</v>
      </c>
      <c r="DG482" s="1" t="s">
        <v>226</v>
      </c>
      <c r="DJ482" s="1" t="s">
        <v>224</v>
      </c>
      <c r="DS482" s="1" t="s">
        <v>230</v>
      </c>
      <c r="DW482" s="1" t="s">
        <v>230</v>
      </c>
      <c r="EA482" s="1" t="s">
        <v>230</v>
      </c>
      <c r="EE482" s="1" t="s">
        <v>230</v>
      </c>
      <c r="EI482" s="1" t="s">
        <v>230</v>
      </c>
      <c r="EL482" s="1" t="s">
        <v>605</v>
      </c>
      <c r="EM482" s="1" t="s">
        <v>232</v>
      </c>
      <c r="EN482" s="1" t="s">
        <v>282</v>
      </c>
      <c r="EO482" s="1" t="s">
        <v>234</v>
      </c>
      <c r="EP482" s="1" t="s">
        <v>6303</v>
      </c>
      <c r="EQ482" s="1" t="s">
        <v>350</v>
      </c>
      <c r="ER482" s="1" t="s">
        <v>210</v>
      </c>
      <c r="EU482" s="1" t="s">
        <v>239</v>
      </c>
      <c r="EV482" s="1" t="s">
        <v>240</v>
      </c>
      <c r="EW482" s="1" t="s">
        <v>5625</v>
      </c>
      <c r="EZ482" s="1" t="s">
        <v>287</v>
      </c>
      <c r="FB482" s="1" t="s">
        <v>1755</v>
      </c>
      <c r="FD482" s="1" t="s">
        <v>4003</v>
      </c>
      <c r="FE482" s="1" t="s">
        <v>549</v>
      </c>
      <c r="FF482" s="1" t="s">
        <v>248</v>
      </c>
      <c r="FG482" s="1" t="s">
        <v>939</v>
      </c>
      <c r="FH482" s="1" t="s">
        <v>249</v>
      </c>
      <c r="FJ482" s="1" t="s">
        <v>197</v>
      </c>
      <c r="FK482" s="1" t="s">
        <v>291</v>
      </c>
      <c r="FL482" s="1" t="s">
        <v>358</v>
      </c>
      <c r="FM482" s="1" t="s">
        <v>252</v>
      </c>
      <c r="FN482" s="1" t="s">
        <v>213</v>
      </c>
      <c r="FO482" s="1" t="s">
        <v>213</v>
      </c>
      <c r="FQ482" s="1" t="s">
        <v>913</v>
      </c>
      <c r="FR482" s="1" t="s">
        <v>210</v>
      </c>
      <c r="FS482" s="1" t="s">
        <v>6304</v>
      </c>
      <c r="FT482" s="1" t="s">
        <v>295</v>
      </c>
      <c r="FU482" s="1" t="s">
        <v>204</v>
      </c>
      <c r="FW482" s="1" t="s">
        <v>915</v>
      </c>
      <c r="FX482" s="1">
        <v>22205</v>
      </c>
      <c r="FY482" s="1" t="s">
        <v>2484</v>
      </c>
      <c r="FZ482" s="1" t="s">
        <v>6305</v>
      </c>
      <c r="GA482" s="1">
        <v>221379</v>
      </c>
      <c r="GB482" s="1" t="s">
        <v>6306</v>
      </c>
      <c r="GD482" s="1" t="s">
        <v>6307</v>
      </c>
      <c r="GE482" s="1" t="s">
        <v>2504</v>
      </c>
      <c r="GI482" s="1" t="s">
        <v>213</v>
      </c>
      <c r="GJ482" s="1" t="s">
        <v>260</v>
      </c>
      <c r="GK482" s="1" t="s">
        <v>210</v>
      </c>
      <c r="GL482" s="2">
        <v>42032</v>
      </c>
      <c r="GM482" s="1" t="s">
        <v>6308</v>
      </c>
    </row>
    <row r="483" spans="1:195">
      <c r="A483" s="1">
        <v>107900</v>
      </c>
      <c r="B483" s="1" t="s">
        <v>195</v>
      </c>
      <c r="C483" s="1" t="str">
        <f>"08800023"</f>
        <v>08800023</v>
      </c>
      <c r="D483" s="1" t="s">
        <v>196</v>
      </c>
      <c r="F483" s="1" t="str">
        <f>"532"</f>
        <v>532</v>
      </c>
      <c r="G483" s="2">
        <v>41983</v>
      </c>
      <c r="H483" s="1">
        <v>114000</v>
      </c>
      <c r="I483" s="1">
        <v>107900</v>
      </c>
      <c r="J483" s="1">
        <v>107900</v>
      </c>
      <c r="K483" s="2">
        <v>41982</v>
      </c>
      <c r="L483" s="1">
        <v>102</v>
      </c>
      <c r="M483" s="2">
        <v>42083</v>
      </c>
      <c r="N483" s="1">
        <v>102</v>
      </c>
      <c r="O483" s="2">
        <v>42083</v>
      </c>
      <c r="P483" s="1">
        <v>24039</v>
      </c>
      <c r="Q483" s="1" t="s">
        <v>197</v>
      </c>
      <c r="R483" s="2">
        <v>42142</v>
      </c>
      <c r="S483" s="1">
        <v>244726</v>
      </c>
      <c r="U483" s="1">
        <v>5900</v>
      </c>
      <c r="V483" s="1" t="s">
        <v>6309</v>
      </c>
      <c r="W483" s="1" t="s">
        <v>264</v>
      </c>
      <c r="X483" s="1" t="s">
        <v>6097</v>
      </c>
      <c r="Y483" s="1">
        <v>30</v>
      </c>
      <c r="Z483" s="1" t="s">
        <v>249</v>
      </c>
      <c r="AA483" s="1" t="s">
        <v>1566</v>
      </c>
      <c r="AB483" s="1">
        <v>60532</v>
      </c>
      <c r="AE483" s="1" t="s">
        <v>6310</v>
      </c>
      <c r="AF483" s="1">
        <v>2005</v>
      </c>
      <c r="AG483" s="1" t="s">
        <v>204</v>
      </c>
      <c r="AH483" s="1" t="s">
        <v>882</v>
      </c>
      <c r="AI483" s="1" t="s">
        <v>206</v>
      </c>
      <c r="AJ483" s="1" t="s">
        <v>925</v>
      </c>
      <c r="AL483" s="1">
        <v>4</v>
      </c>
      <c r="AM483" s="1">
        <v>2</v>
      </c>
      <c r="AN483" s="1">
        <v>1</v>
      </c>
      <c r="AO483" s="1">
        <v>1</v>
      </c>
      <c r="AP483" s="1" t="s">
        <v>210</v>
      </c>
      <c r="AR483" s="1" t="s">
        <v>210</v>
      </c>
      <c r="AS483" s="1" t="s">
        <v>204</v>
      </c>
      <c r="AT483" s="1" t="s">
        <v>271</v>
      </c>
      <c r="AV483" s="1">
        <v>1</v>
      </c>
      <c r="AW483" s="1" t="s">
        <v>204</v>
      </c>
      <c r="AX483" s="1" t="s">
        <v>270</v>
      </c>
      <c r="AZ483" s="1">
        <v>2480</v>
      </c>
      <c r="BA483" s="1">
        <v>2013</v>
      </c>
      <c r="BE483" s="1">
        <v>0</v>
      </c>
      <c r="BF483" s="1">
        <v>5</v>
      </c>
      <c r="BG483" s="1">
        <v>180</v>
      </c>
      <c r="BL483" s="1">
        <v>275</v>
      </c>
      <c r="BM483" s="1" t="s">
        <v>413</v>
      </c>
      <c r="BN483" s="1" t="s">
        <v>204</v>
      </c>
      <c r="BP483" s="1" t="s">
        <v>204</v>
      </c>
      <c r="BR483" s="1" t="str">
        <f>"0815319313"</f>
        <v>0815319313</v>
      </c>
      <c r="BT483" s="1" t="s">
        <v>6311</v>
      </c>
      <c r="BX483" s="1">
        <v>68</v>
      </c>
      <c r="BY483" s="1">
        <v>68</v>
      </c>
      <c r="BZ483" s="1">
        <v>99</v>
      </c>
      <c r="CB483" s="1" t="str">
        <f t="shared" ref="CB483:CC483" si="377">""</f>
        <v/>
      </c>
      <c r="CC483" s="1" t="str">
        <f t="shared" si="377"/>
        <v/>
      </c>
      <c r="CG483" s="1" t="s">
        <v>1403</v>
      </c>
      <c r="CH483" s="1" t="s">
        <v>219</v>
      </c>
      <c r="CK483" s="1" t="s">
        <v>378</v>
      </c>
      <c r="CL483" s="1" t="s">
        <v>219</v>
      </c>
      <c r="CP483" s="1" t="s">
        <v>224</v>
      </c>
      <c r="CS483" s="1" t="s">
        <v>318</v>
      </c>
      <c r="CT483" s="1" t="s">
        <v>219</v>
      </c>
      <c r="CX483" s="1" t="s">
        <v>224</v>
      </c>
      <c r="DB483" s="1" t="s">
        <v>224</v>
      </c>
      <c r="DE483" s="1" t="s">
        <v>318</v>
      </c>
      <c r="DF483" s="1" t="s">
        <v>219</v>
      </c>
      <c r="DJ483" s="1" t="s">
        <v>224</v>
      </c>
      <c r="DS483" s="1" t="s">
        <v>230</v>
      </c>
      <c r="DW483" s="1" t="s">
        <v>230</v>
      </c>
      <c r="EA483" s="1" t="s">
        <v>230</v>
      </c>
      <c r="EE483" s="1" t="s">
        <v>230</v>
      </c>
      <c r="EI483" s="1" t="s">
        <v>230</v>
      </c>
      <c r="EL483" s="1" t="s">
        <v>491</v>
      </c>
      <c r="EM483" s="1" t="s">
        <v>347</v>
      </c>
      <c r="EN483" s="1" t="s">
        <v>4764</v>
      </c>
      <c r="EO483" s="1" t="s">
        <v>347</v>
      </c>
      <c r="ER483" s="1" t="s">
        <v>210</v>
      </c>
      <c r="EW483" s="1" t="s">
        <v>347</v>
      </c>
      <c r="EZ483" s="1" t="s">
        <v>287</v>
      </c>
      <c r="FD483" s="1" t="s">
        <v>1112</v>
      </c>
      <c r="FE483" s="1" t="s">
        <v>347</v>
      </c>
      <c r="FF483" s="1" t="s">
        <v>248</v>
      </c>
      <c r="FH483" s="1" t="s">
        <v>249</v>
      </c>
      <c r="FL483" s="1" t="s">
        <v>347</v>
      </c>
      <c r="FM483" s="1" t="s">
        <v>252</v>
      </c>
      <c r="FN483" s="1" t="s">
        <v>213</v>
      </c>
      <c r="FO483" s="1" t="s">
        <v>213</v>
      </c>
      <c r="FQ483" s="1" t="s">
        <v>582</v>
      </c>
      <c r="FR483" s="1" t="s">
        <v>210</v>
      </c>
      <c r="FS483" s="1" t="s">
        <v>6312</v>
      </c>
      <c r="FT483" s="1" t="s">
        <v>362</v>
      </c>
      <c r="FU483" s="1" t="s">
        <v>204</v>
      </c>
      <c r="FW483" s="1" t="s">
        <v>5648</v>
      </c>
      <c r="FX483" s="1">
        <v>23099</v>
      </c>
      <c r="FY483" s="1" t="s">
        <v>5649</v>
      </c>
      <c r="FZ483" s="1" t="s">
        <v>6313</v>
      </c>
      <c r="GA483" s="1">
        <v>234775</v>
      </c>
      <c r="GB483" s="1" t="s">
        <v>6314</v>
      </c>
      <c r="GE483" s="1" t="s">
        <v>210</v>
      </c>
      <c r="GI483" s="1" t="s">
        <v>213</v>
      </c>
      <c r="GJ483" s="1" t="s">
        <v>260</v>
      </c>
      <c r="GK483" s="1" t="s">
        <v>4920</v>
      </c>
      <c r="GL483" s="2">
        <v>42143</v>
      </c>
      <c r="GM483" s="1" t="s">
        <v>6315</v>
      </c>
    </row>
    <row r="484" spans="1:195">
      <c r="A484" s="1">
        <v>160000</v>
      </c>
      <c r="B484" s="1" t="s">
        <v>195</v>
      </c>
      <c r="C484" s="1" t="str">
        <f>"08798086"</f>
        <v>08798086</v>
      </c>
      <c r="D484" s="1" t="s">
        <v>196</v>
      </c>
      <c r="F484" s="1" t="str">
        <f>"139"</f>
        <v>139</v>
      </c>
      <c r="G484" s="2">
        <v>41979</v>
      </c>
      <c r="H484" s="1">
        <v>173900</v>
      </c>
      <c r="I484" s="1">
        <v>164900</v>
      </c>
      <c r="J484" s="1">
        <v>160000</v>
      </c>
      <c r="K484" s="2">
        <v>41979</v>
      </c>
      <c r="L484" s="1">
        <v>78</v>
      </c>
      <c r="M484" s="2">
        <v>42056</v>
      </c>
      <c r="N484" s="1">
        <v>78</v>
      </c>
      <c r="O484" s="2">
        <v>42056</v>
      </c>
      <c r="P484" s="1">
        <v>23685</v>
      </c>
      <c r="Q484" s="1" t="s">
        <v>197</v>
      </c>
      <c r="R484" s="2">
        <v>42097</v>
      </c>
      <c r="S484" s="1">
        <v>231173</v>
      </c>
      <c r="U484" s="1">
        <v>1512</v>
      </c>
      <c r="V484" s="1" t="s">
        <v>6316</v>
      </c>
      <c r="W484" s="1" t="s">
        <v>264</v>
      </c>
      <c r="Y484" s="1">
        <v>4</v>
      </c>
      <c r="Z484" s="1" t="s">
        <v>370</v>
      </c>
      <c r="AA484" s="1" t="s">
        <v>1732</v>
      </c>
      <c r="AB484" s="1">
        <v>60139</v>
      </c>
      <c r="AE484" s="1" t="s">
        <v>6317</v>
      </c>
      <c r="AF484" s="1">
        <v>1990</v>
      </c>
      <c r="AG484" s="1" t="s">
        <v>204</v>
      </c>
      <c r="AH484" s="1" t="s">
        <v>1735</v>
      </c>
      <c r="AI484" s="1" t="s">
        <v>206</v>
      </c>
      <c r="AJ484" s="1" t="s">
        <v>269</v>
      </c>
      <c r="AL484" s="1">
        <v>6</v>
      </c>
      <c r="AM484" s="1">
        <v>2</v>
      </c>
      <c r="AN484" s="1">
        <v>2</v>
      </c>
      <c r="AO484" s="1">
        <v>1</v>
      </c>
      <c r="AP484" s="1" t="s">
        <v>209</v>
      </c>
      <c r="AQ484" s="1">
        <v>1</v>
      </c>
      <c r="AR484" s="1" t="s">
        <v>210</v>
      </c>
      <c r="AS484" s="1" t="s">
        <v>204</v>
      </c>
      <c r="AT484" s="1" t="s">
        <v>211</v>
      </c>
      <c r="AU484" s="1">
        <v>2</v>
      </c>
      <c r="AW484" s="1" t="s">
        <v>204</v>
      </c>
      <c r="AX484" s="1" t="s">
        <v>212</v>
      </c>
      <c r="AZ484" s="1">
        <v>5644</v>
      </c>
      <c r="BA484" s="1">
        <v>2013</v>
      </c>
      <c r="BB484" s="1" t="s">
        <v>405</v>
      </c>
      <c r="BE484" s="1">
        <v>0</v>
      </c>
      <c r="BF484" s="1">
        <v>1</v>
      </c>
      <c r="BG484" s="1">
        <v>0</v>
      </c>
      <c r="BL484" s="1">
        <v>191</v>
      </c>
      <c r="BM484" s="1" t="s">
        <v>413</v>
      </c>
      <c r="BN484" s="1" t="s">
        <v>213</v>
      </c>
      <c r="BO484" s="1">
        <v>50</v>
      </c>
      <c r="BP484" s="1" t="s">
        <v>204</v>
      </c>
      <c r="BR484" s="1" t="str">
        <f>"0233212012"</f>
        <v>0233212012</v>
      </c>
      <c r="BT484" s="1" t="s">
        <v>6318</v>
      </c>
      <c r="BU484" s="1" t="s">
        <v>6319</v>
      </c>
      <c r="BV484" s="1" t="s">
        <v>3645</v>
      </c>
      <c r="BX484" s="1">
        <v>16</v>
      </c>
      <c r="BY484" s="1">
        <v>16</v>
      </c>
      <c r="BZ484" s="1">
        <v>87</v>
      </c>
      <c r="CB484" s="1" t="str">
        <f>"2"</f>
        <v>2</v>
      </c>
      <c r="CC484" s="1" t="str">
        <f>"0"</f>
        <v>0</v>
      </c>
      <c r="CD484" s="1">
        <v>24</v>
      </c>
      <c r="CE484" s="1">
        <v>0</v>
      </c>
      <c r="CG484" s="1" t="s">
        <v>861</v>
      </c>
      <c r="CH484" s="1" t="s">
        <v>219</v>
      </c>
      <c r="CI484" s="1" t="s">
        <v>438</v>
      </c>
      <c r="CK484" s="1" t="s">
        <v>1045</v>
      </c>
      <c r="CL484" s="1" t="s">
        <v>277</v>
      </c>
      <c r="CM484" s="1" t="s">
        <v>220</v>
      </c>
      <c r="CO484" s="1" t="s">
        <v>757</v>
      </c>
      <c r="CP484" s="1" t="s">
        <v>219</v>
      </c>
      <c r="CQ484" s="1" t="s">
        <v>438</v>
      </c>
      <c r="CS484" s="1" t="s">
        <v>378</v>
      </c>
      <c r="CT484" s="1" t="s">
        <v>277</v>
      </c>
      <c r="CU484" s="1" t="s">
        <v>220</v>
      </c>
      <c r="CX484" s="1" t="s">
        <v>224</v>
      </c>
      <c r="DB484" s="1" t="s">
        <v>224</v>
      </c>
      <c r="DE484" s="1" t="s">
        <v>465</v>
      </c>
      <c r="DF484" s="1" t="s">
        <v>219</v>
      </c>
      <c r="DG484" s="1" t="s">
        <v>226</v>
      </c>
      <c r="DH484" s="1" t="s">
        <v>210</v>
      </c>
      <c r="DJ484" s="1" t="s">
        <v>224</v>
      </c>
      <c r="DM484" s="1" t="s">
        <v>464</v>
      </c>
      <c r="DO484" s="1" t="s">
        <v>709</v>
      </c>
      <c r="DR484" s="1" t="s">
        <v>318</v>
      </c>
      <c r="DS484" s="1" t="s">
        <v>277</v>
      </c>
      <c r="DT484" s="1" t="s">
        <v>220</v>
      </c>
      <c r="DU484" s="1" t="s">
        <v>210</v>
      </c>
      <c r="DW484" s="1" t="s">
        <v>230</v>
      </c>
      <c r="DZ484" s="1" t="s">
        <v>3126</v>
      </c>
      <c r="EA484" s="1" t="s">
        <v>219</v>
      </c>
      <c r="EB484" s="1" t="s">
        <v>226</v>
      </c>
      <c r="EC484" s="1" t="s">
        <v>210</v>
      </c>
      <c r="EE484" s="1" t="s">
        <v>230</v>
      </c>
      <c r="EI484" s="1" t="s">
        <v>230</v>
      </c>
      <c r="EL484" s="1" t="s">
        <v>382</v>
      </c>
      <c r="EM484" s="1" t="s">
        <v>319</v>
      </c>
      <c r="EN484" s="1" t="s">
        <v>282</v>
      </c>
      <c r="EO484" s="1" t="s">
        <v>234</v>
      </c>
      <c r="EP484" s="1" t="s">
        <v>6320</v>
      </c>
      <c r="EQ484" s="1" t="s">
        <v>953</v>
      </c>
      <c r="ER484" s="1" t="s">
        <v>210</v>
      </c>
      <c r="ES484" s="1" t="s">
        <v>824</v>
      </c>
      <c r="EU484" s="1" t="s">
        <v>239</v>
      </c>
      <c r="EV484" s="1" t="s">
        <v>324</v>
      </c>
      <c r="EW484" s="1" t="s">
        <v>991</v>
      </c>
      <c r="EY484" s="1" t="s">
        <v>790</v>
      </c>
      <c r="EZ484" s="1" t="s">
        <v>2549</v>
      </c>
      <c r="FA484" s="1" t="s">
        <v>471</v>
      </c>
      <c r="FB484" s="1" t="s">
        <v>1505</v>
      </c>
      <c r="FD484" s="1" t="s">
        <v>246</v>
      </c>
      <c r="FE484" s="1" t="s">
        <v>247</v>
      </c>
      <c r="FF484" s="1" t="s">
        <v>248</v>
      </c>
      <c r="FG484" s="1" t="s">
        <v>2406</v>
      </c>
      <c r="FH484" s="1" t="s">
        <v>550</v>
      </c>
      <c r="FL484" s="1" t="s">
        <v>358</v>
      </c>
      <c r="FM484" s="1" t="s">
        <v>252</v>
      </c>
      <c r="FN484" s="1" t="s">
        <v>213</v>
      </c>
      <c r="FO484" s="1" t="s">
        <v>213</v>
      </c>
      <c r="FQ484" s="1" t="s">
        <v>2004</v>
      </c>
      <c r="FR484" s="1" t="s">
        <v>210</v>
      </c>
      <c r="FS484" s="1" t="s">
        <v>6321</v>
      </c>
      <c r="FT484" s="1" t="s">
        <v>255</v>
      </c>
      <c r="FU484" s="1" t="s">
        <v>204</v>
      </c>
      <c r="FW484" s="1" t="s">
        <v>585</v>
      </c>
      <c r="FX484" s="1">
        <v>26032</v>
      </c>
      <c r="FY484" s="1" t="s">
        <v>6322</v>
      </c>
      <c r="FZ484" s="1" t="s">
        <v>6323</v>
      </c>
      <c r="GA484" s="1">
        <v>227647</v>
      </c>
      <c r="GB484" s="1" t="s">
        <v>6324</v>
      </c>
      <c r="GC484" s="1">
        <v>236842</v>
      </c>
      <c r="GE484" s="1" t="s">
        <v>210</v>
      </c>
      <c r="GI484" s="1" t="s">
        <v>213</v>
      </c>
      <c r="GJ484" s="1" t="s">
        <v>260</v>
      </c>
      <c r="GK484" s="1" t="s">
        <v>210</v>
      </c>
      <c r="GL484" s="2">
        <v>42097</v>
      </c>
      <c r="GM484" s="1" t="s">
        <v>6325</v>
      </c>
    </row>
    <row r="485" spans="1:195">
      <c r="A485" s="1">
        <v>324000</v>
      </c>
      <c r="B485" s="1" t="s">
        <v>195</v>
      </c>
      <c r="C485" s="1" t="str">
        <f>"08801605"</f>
        <v>08801605</v>
      </c>
      <c r="D485" s="1" t="s">
        <v>196</v>
      </c>
      <c r="F485" s="1" t="str">
        <f>"540"</f>
        <v>540</v>
      </c>
      <c r="G485" s="2">
        <v>41985</v>
      </c>
      <c r="H485" s="1">
        <v>360000</v>
      </c>
      <c r="I485" s="1">
        <v>360000</v>
      </c>
      <c r="J485" s="1">
        <v>324000</v>
      </c>
      <c r="K485" s="2">
        <v>41985</v>
      </c>
      <c r="L485" s="1">
        <v>49</v>
      </c>
      <c r="M485" s="2">
        <v>42033</v>
      </c>
      <c r="N485" s="1">
        <v>49</v>
      </c>
      <c r="O485" s="2">
        <v>42033</v>
      </c>
      <c r="P485" s="1">
        <v>23120</v>
      </c>
      <c r="Q485" s="1" t="s">
        <v>302</v>
      </c>
      <c r="R485" s="2">
        <v>42067</v>
      </c>
      <c r="S485" s="1">
        <v>233520</v>
      </c>
      <c r="U485" s="1">
        <v>753</v>
      </c>
      <c r="V485" s="1" t="s">
        <v>263</v>
      </c>
      <c r="W485" s="1" t="s">
        <v>304</v>
      </c>
      <c r="X485" s="1">
        <v>753</v>
      </c>
      <c r="Y485" s="1">
        <v>6</v>
      </c>
      <c r="Z485" s="1" t="s">
        <v>249</v>
      </c>
      <c r="AA485" s="1" t="s">
        <v>921</v>
      </c>
      <c r="AB485" s="1">
        <v>60563</v>
      </c>
      <c r="AD485" s="1" t="s">
        <v>6326</v>
      </c>
      <c r="AE485" s="1" t="s">
        <v>6327</v>
      </c>
      <c r="AF485" s="1">
        <v>1998</v>
      </c>
      <c r="AG485" s="1" t="s">
        <v>204</v>
      </c>
      <c r="AH485" s="1" t="s">
        <v>924</v>
      </c>
      <c r="AI485" s="1" t="s">
        <v>206</v>
      </c>
      <c r="AJ485" s="1" t="s">
        <v>924</v>
      </c>
      <c r="AL485" s="1">
        <v>7</v>
      </c>
      <c r="AM485" s="1">
        <v>2</v>
      </c>
      <c r="AN485" s="1">
        <v>2</v>
      </c>
      <c r="AO485" s="1">
        <v>1</v>
      </c>
      <c r="AP485" s="1" t="s">
        <v>209</v>
      </c>
      <c r="AQ485" s="1">
        <v>1</v>
      </c>
      <c r="AR485" s="1" t="s">
        <v>4448</v>
      </c>
      <c r="AS485" s="1" t="s">
        <v>204</v>
      </c>
      <c r="AT485" s="1" t="s">
        <v>211</v>
      </c>
      <c r="AU485" s="1">
        <v>2</v>
      </c>
      <c r="AW485" s="1" t="s">
        <v>204</v>
      </c>
      <c r="AX485" s="1" t="s">
        <v>212</v>
      </c>
      <c r="AZ485" s="1">
        <v>5902</v>
      </c>
      <c r="BA485" s="1">
        <v>2013</v>
      </c>
      <c r="BB485" s="1" t="s">
        <v>405</v>
      </c>
      <c r="BE485" s="1">
        <v>2070</v>
      </c>
      <c r="BF485" s="1">
        <v>1</v>
      </c>
      <c r="BG485" s="1">
        <v>10</v>
      </c>
      <c r="BL485" s="1">
        <v>289</v>
      </c>
      <c r="BM485" s="1" t="s">
        <v>204</v>
      </c>
      <c r="BN485" s="1" t="s">
        <v>213</v>
      </c>
      <c r="BO485" s="1">
        <v>999</v>
      </c>
      <c r="BP485" s="1" t="s">
        <v>204</v>
      </c>
      <c r="BR485" s="1" t="str">
        <f>"0714231004"</f>
        <v>0714231004</v>
      </c>
      <c r="BT485" s="1" t="s">
        <v>6328</v>
      </c>
      <c r="BU485" s="1" t="s">
        <v>2823</v>
      </c>
      <c r="BV485" s="1" t="s">
        <v>2824</v>
      </c>
      <c r="BW485" s="1" t="s">
        <v>2825</v>
      </c>
      <c r="BX485" s="1">
        <v>203</v>
      </c>
      <c r="BY485" s="1">
        <v>203</v>
      </c>
      <c r="BZ485" s="1">
        <v>203</v>
      </c>
      <c r="CB485" s="1" t="str">
        <f t="shared" ref="CB485:CC485" si="378">""</f>
        <v/>
      </c>
      <c r="CC485" s="1" t="str">
        <f t="shared" si="378"/>
        <v/>
      </c>
      <c r="CD485" s="1">
        <v>27</v>
      </c>
      <c r="CE485" s="1">
        <v>5</v>
      </c>
      <c r="CG485" s="1" t="s">
        <v>317</v>
      </c>
      <c r="CH485" s="1" t="s">
        <v>219</v>
      </c>
      <c r="CI485" s="1" t="s">
        <v>438</v>
      </c>
      <c r="CJ485" s="1" t="s">
        <v>439</v>
      </c>
      <c r="CK485" s="1" t="s">
        <v>729</v>
      </c>
      <c r="CL485" s="1" t="s">
        <v>277</v>
      </c>
      <c r="CM485" s="1" t="s">
        <v>220</v>
      </c>
      <c r="CN485" s="1" t="s">
        <v>2449</v>
      </c>
      <c r="CO485" s="1" t="s">
        <v>932</v>
      </c>
      <c r="CP485" s="1" t="s">
        <v>219</v>
      </c>
      <c r="CQ485" s="1" t="s">
        <v>438</v>
      </c>
      <c r="CS485" s="1" t="s">
        <v>539</v>
      </c>
      <c r="CT485" s="1" t="s">
        <v>277</v>
      </c>
      <c r="CU485" s="1" t="s">
        <v>220</v>
      </c>
      <c r="CV485" s="1" t="s">
        <v>2449</v>
      </c>
      <c r="CX485" s="1" t="s">
        <v>224</v>
      </c>
      <c r="DB485" s="1" t="s">
        <v>224</v>
      </c>
      <c r="DE485" s="1" t="s">
        <v>2138</v>
      </c>
      <c r="DF485" s="1" t="s">
        <v>219</v>
      </c>
      <c r="DG485" s="1" t="s">
        <v>226</v>
      </c>
      <c r="DH485" s="1" t="s">
        <v>343</v>
      </c>
      <c r="DI485" s="1" t="s">
        <v>931</v>
      </c>
      <c r="DJ485" s="1" t="s">
        <v>822</v>
      </c>
      <c r="DK485" s="1" t="s">
        <v>220</v>
      </c>
      <c r="DL485" s="1" t="s">
        <v>463</v>
      </c>
      <c r="DM485" s="1" t="s">
        <v>1548</v>
      </c>
      <c r="DR485" s="1" t="s">
        <v>2138</v>
      </c>
      <c r="DS485" s="1" t="s">
        <v>219</v>
      </c>
      <c r="DT485" s="1" t="s">
        <v>226</v>
      </c>
      <c r="DU485" s="1" t="s">
        <v>909</v>
      </c>
      <c r="DW485" s="1" t="s">
        <v>230</v>
      </c>
      <c r="EA485" s="1" t="s">
        <v>230</v>
      </c>
      <c r="EE485" s="1" t="s">
        <v>230</v>
      </c>
      <c r="EI485" s="1" t="s">
        <v>230</v>
      </c>
      <c r="EL485" s="1" t="s">
        <v>670</v>
      </c>
      <c r="EM485" s="1" t="s">
        <v>232</v>
      </c>
      <c r="EN485" s="1" t="s">
        <v>282</v>
      </c>
      <c r="EO485" s="1" t="s">
        <v>840</v>
      </c>
      <c r="EQ485" s="1" t="s">
        <v>6329</v>
      </c>
      <c r="ER485" s="1" t="s">
        <v>544</v>
      </c>
      <c r="ES485" s="1" t="s">
        <v>954</v>
      </c>
      <c r="ET485" s="1" t="s">
        <v>1201</v>
      </c>
      <c r="EU485" s="1" t="s">
        <v>6330</v>
      </c>
      <c r="EV485" s="1" t="s">
        <v>240</v>
      </c>
      <c r="EW485" s="1" t="s">
        <v>1134</v>
      </c>
      <c r="EY485" s="1" t="s">
        <v>2455</v>
      </c>
      <c r="EZ485" s="1" t="s">
        <v>1548</v>
      </c>
      <c r="FA485" s="1" t="s">
        <v>6331</v>
      </c>
      <c r="FB485" s="1" t="s">
        <v>289</v>
      </c>
      <c r="FC485" s="1" t="s">
        <v>633</v>
      </c>
      <c r="FD485" s="1" t="s">
        <v>246</v>
      </c>
      <c r="FE485" s="1" t="s">
        <v>386</v>
      </c>
      <c r="FF485" s="1" t="s">
        <v>248</v>
      </c>
      <c r="FG485" s="1" t="s">
        <v>3685</v>
      </c>
      <c r="FH485" s="1" t="s">
        <v>1428</v>
      </c>
      <c r="FI485" s="1" t="s">
        <v>473</v>
      </c>
      <c r="FJ485" s="1" t="s">
        <v>197</v>
      </c>
      <c r="FL485" s="1" t="s">
        <v>358</v>
      </c>
      <c r="FM485" s="1" t="s">
        <v>252</v>
      </c>
      <c r="FN485" s="1" t="s">
        <v>213</v>
      </c>
      <c r="FO485" s="1" t="s">
        <v>213</v>
      </c>
      <c r="FQ485" s="1" t="s">
        <v>6332</v>
      </c>
      <c r="FR485" s="1" t="s">
        <v>210</v>
      </c>
      <c r="FS485" s="1" t="s">
        <v>6333</v>
      </c>
      <c r="FT485" s="1" t="s">
        <v>5439</v>
      </c>
      <c r="FU485" s="1" t="s">
        <v>204</v>
      </c>
      <c r="FW485" s="1" t="s">
        <v>1806</v>
      </c>
      <c r="FX485" s="1">
        <v>21324</v>
      </c>
      <c r="FY485" s="1" t="s">
        <v>2395</v>
      </c>
      <c r="FZ485" s="1" t="s">
        <v>6334</v>
      </c>
      <c r="GA485" s="1">
        <v>234577</v>
      </c>
      <c r="GB485" s="1" t="s">
        <v>6335</v>
      </c>
      <c r="GE485" s="1" t="s">
        <v>658</v>
      </c>
      <c r="GI485" s="1" t="s">
        <v>213</v>
      </c>
      <c r="GJ485" s="1" t="s">
        <v>260</v>
      </c>
      <c r="GK485" s="1" t="s">
        <v>210</v>
      </c>
      <c r="GL485" s="2">
        <v>42067</v>
      </c>
      <c r="GM485" s="1" t="s">
        <v>6336</v>
      </c>
    </row>
    <row r="486" spans="1:195">
      <c r="A486" s="1">
        <v>125900</v>
      </c>
      <c r="B486" s="1" t="s">
        <v>195</v>
      </c>
      <c r="C486" s="1" t="str">
        <f>"08801258"</f>
        <v>08801258</v>
      </c>
      <c r="D486" s="1" t="s">
        <v>196</v>
      </c>
      <c r="F486" s="1" t="str">
        <f>"107"</f>
        <v>107</v>
      </c>
      <c r="G486" s="2">
        <v>41985</v>
      </c>
      <c r="H486" s="1">
        <v>136900</v>
      </c>
      <c r="I486" s="1">
        <v>136900</v>
      </c>
      <c r="J486" s="1">
        <v>125900</v>
      </c>
      <c r="K486" s="2">
        <v>41985</v>
      </c>
      <c r="L486" s="1">
        <v>32</v>
      </c>
      <c r="M486" s="2">
        <v>42016</v>
      </c>
      <c r="N486" s="1">
        <v>32</v>
      </c>
      <c r="O486" s="2">
        <v>42016</v>
      </c>
      <c r="P486" s="1">
        <v>84146</v>
      </c>
      <c r="Q486" s="1" t="s">
        <v>197</v>
      </c>
      <c r="R486" s="2">
        <v>42062</v>
      </c>
      <c r="S486" s="1">
        <v>842024</v>
      </c>
      <c r="U486" s="1">
        <v>23</v>
      </c>
      <c r="V486" s="1" t="s">
        <v>6337</v>
      </c>
      <c r="W486" s="1" t="s">
        <v>504</v>
      </c>
      <c r="Y486" s="1">
        <v>4</v>
      </c>
      <c r="Z486" s="1" t="s">
        <v>370</v>
      </c>
      <c r="AA486" s="1" t="s">
        <v>1211</v>
      </c>
      <c r="AB486" s="1">
        <v>60107</v>
      </c>
      <c r="AD486" s="1" t="s">
        <v>6338</v>
      </c>
      <c r="AE486" s="1" t="s">
        <v>6339</v>
      </c>
      <c r="AF486" s="1">
        <v>1987</v>
      </c>
      <c r="AG486" s="1" t="s">
        <v>204</v>
      </c>
      <c r="AH486" s="1" t="s">
        <v>1214</v>
      </c>
      <c r="AI486" s="1" t="s">
        <v>310</v>
      </c>
      <c r="AJ486" s="1" t="s">
        <v>374</v>
      </c>
      <c r="AL486" s="1">
        <v>6</v>
      </c>
      <c r="AM486" s="1">
        <v>2</v>
      </c>
      <c r="AN486" s="1">
        <v>1</v>
      </c>
      <c r="AO486" s="1">
        <v>1</v>
      </c>
      <c r="AP486" s="1" t="s">
        <v>667</v>
      </c>
      <c r="AR486" s="1" t="s">
        <v>210</v>
      </c>
      <c r="AS486" s="1" t="s">
        <v>204</v>
      </c>
      <c r="AT486" s="1" t="s">
        <v>211</v>
      </c>
      <c r="AU486" s="1">
        <v>1</v>
      </c>
      <c r="AW486" s="1" t="s">
        <v>204</v>
      </c>
      <c r="AX486" s="1" t="s">
        <v>6340</v>
      </c>
      <c r="AZ486" s="1">
        <v>4419</v>
      </c>
      <c r="BA486" s="1">
        <v>2012</v>
      </c>
      <c r="BB486" s="1" t="s">
        <v>210</v>
      </c>
      <c r="BE486" s="1">
        <v>1458</v>
      </c>
      <c r="BF486" s="1">
        <v>1</v>
      </c>
      <c r="BG486" s="1">
        <v>0</v>
      </c>
      <c r="BL486" s="1">
        <v>212</v>
      </c>
      <c r="BM486" s="1" t="s">
        <v>204</v>
      </c>
      <c r="BN486" s="1" t="s">
        <v>213</v>
      </c>
      <c r="BO486" s="1">
        <v>50</v>
      </c>
      <c r="BP486" s="1" t="s">
        <v>204</v>
      </c>
      <c r="BR486" s="1" t="str">
        <f>"06143090100000"</f>
        <v>06143090100000</v>
      </c>
      <c r="BT486" s="1" t="s">
        <v>6341</v>
      </c>
      <c r="BX486" s="1">
        <v>46</v>
      </c>
      <c r="BY486" s="1">
        <v>46</v>
      </c>
      <c r="BZ486" s="1">
        <v>46</v>
      </c>
      <c r="CB486" s="1" t="str">
        <f t="shared" ref="CB486:CC486" si="379">""</f>
        <v/>
      </c>
      <c r="CC486" s="1" t="str">
        <f t="shared" si="379"/>
        <v/>
      </c>
      <c r="CG486" s="1" t="s">
        <v>1723</v>
      </c>
      <c r="CH486" s="1" t="s">
        <v>219</v>
      </c>
      <c r="CI486" s="1" t="s">
        <v>220</v>
      </c>
      <c r="CK486" s="1" t="s">
        <v>729</v>
      </c>
      <c r="CL486" s="1" t="s">
        <v>277</v>
      </c>
      <c r="CM486" s="1" t="s">
        <v>220</v>
      </c>
      <c r="CO486" s="1" t="s">
        <v>1571</v>
      </c>
      <c r="CP486" s="1" t="s">
        <v>219</v>
      </c>
      <c r="CQ486" s="1" t="s">
        <v>220</v>
      </c>
      <c r="CS486" s="1" t="s">
        <v>1297</v>
      </c>
      <c r="CT486" s="1" t="s">
        <v>277</v>
      </c>
      <c r="CU486" s="1" t="s">
        <v>220</v>
      </c>
      <c r="CX486" s="1" t="s">
        <v>224</v>
      </c>
      <c r="DB486" s="1" t="s">
        <v>224</v>
      </c>
      <c r="DE486" s="1" t="s">
        <v>6342</v>
      </c>
      <c r="DF486" s="1" t="s">
        <v>219</v>
      </c>
      <c r="DG486" s="1" t="s">
        <v>226</v>
      </c>
      <c r="DJ486" s="1" t="s">
        <v>224</v>
      </c>
      <c r="DN486" s="1" t="s">
        <v>464</v>
      </c>
      <c r="DS486" s="1" t="s">
        <v>230</v>
      </c>
      <c r="DV486" s="1" t="s">
        <v>6343</v>
      </c>
      <c r="DW486" s="1" t="s">
        <v>277</v>
      </c>
      <c r="DX486" s="1" t="s">
        <v>220</v>
      </c>
      <c r="EA486" s="1" t="s">
        <v>230</v>
      </c>
      <c r="EE486" s="1" t="s">
        <v>230</v>
      </c>
      <c r="EI486" s="1" t="s">
        <v>230</v>
      </c>
      <c r="EL486" s="1" t="s">
        <v>542</v>
      </c>
      <c r="EM486" s="1" t="s">
        <v>319</v>
      </c>
      <c r="EN486" s="1" t="s">
        <v>282</v>
      </c>
      <c r="EO486" s="1" t="s">
        <v>234</v>
      </c>
      <c r="EP486" s="1" t="s">
        <v>4619</v>
      </c>
      <c r="EQ486" s="1" t="s">
        <v>236</v>
      </c>
      <c r="ER486" s="1" t="s">
        <v>210</v>
      </c>
      <c r="ES486" s="1" t="s">
        <v>493</v>
      </c>
      <c r="EU486" s="1" t="s">
        <v>239</v>
      </c>
      <c r="EV486" s="1" t="s">
        <v>352</v>
      </c>
      <c r="EW486" s="1" t="s">
        <v>867</v>
      </c>
      <c r="EY486" s="1" t="s">
        <v>242</v>
      </c>
      <c r="EZ486" s="1" t="s">
        <v>464</v>
      </c>
      <c r="FA486" s="1" t="s">
        <v>471</v>
      </c>
      <c r="FD486" s="1" t="s">
        <v>246</v>
      </c>
      <c r="FE486" s="1" t="s">
        <v>247</v>
      </c>
      <c r="FF486" s="1" t="s">
        <v>248</v>
      </c>
      <c r="FH486" s="1" t="s">
        <v>550</v>
      </c>
      <c r="FI486" s="1" t="s">
        <v>473</v>
      </c>
      <c r="FL486" s="1" t="s">
        <v>358</v>
      </c>
      <c r="FM486" s="1" t="s">
        <v>252</v>
      </c>
      <c r="FN486" s="1" t="s">
        <v>213</v>
      </c>
      <c r="FO486" s="1" t="s">
        <v>213</v>
      </c>
      <c r="FQ486" s="1" t="s">
        <v>1300</v>
      </c>
      <c r="FR486" s="1" t="s">
        <v>210</v>
      </c>
      <c r="FS486" s="1" t="s">
        <v>6344</v>
      </c>
      <c r="FT486" s="1" t="s">
        <v>1828</v>
      </c>
      <c r="FU486" s="1" t="s">
        <v>204</v>
      </c>
      <c r="FW486" s="1" t="s">
        <v>1097</v>
      </c>
      <c r="FX486" s="1">
        <v>8094</v>
      </c>
      <c r="FY486" s="1" t="s">
        <v>1829</v>
      </c>
      <c r="FZ486" s="1" t="s">
        <v>1830</v>
      </c>
      <c r="GA486" s="1">
        <v>28736</v>
      </c>
      <c r="GB486" s="1" t="s">
        <v>1831</v>
      </c>
      <c r="GE486" s="1" t="s">
        <v>480</v>
      </c>
      <c r="GI486" s="1" t="s">
        <v>204</v>
      </c>
      <c r="GJ486" s="1" t="s">
        <v>260</v>
      </c>
      <c r="GK486" s="1" t="s">
        <v>210</v>
      </c>
      <c r="GL486" s="2">
        <v>42062</v>
      </c>
      <c r="GM486" s="1" t="s">
        <v>6345</v>
      </c>
    </row>
    <row r="487" spans="1:195">
      <c r="A487" s="1">
        <v>65000</v>
      </c>
      <c r="B487" s="1" t="s">
        <v>195</v>
      </c>
      <c r="C487" s="1" t="str">
        <f>"08800337"</f>
        <v>08800337</v>
      </c>
      <c r="D487" s="1" t="s">
        <v>196</v>
      </c>
      <c r="F487" s="1" t="str">
        <f t="shared" ref="F487:F488" si="380">"507"</f>
        <v>507</v>
      </c>
      <c r="G487" s="2">
        <v>41983</v>
      </c>
      <c r="H487" s="1">
        <v>75000</v>
      </c>
      <c r="I487" s="1">
        <v>69900</v>
      </c>
      <c r="J487" s="1">
        <v>65000</v>
      </c>
      <c r="K487" s="2">
        <v>41983</v>
      </c>
      <c r="L487" s="1">
        <v>50</v>
      </c>
      <c r="M487" s="2">
        <v>42032</v>
      </c>
      <c r="N487" s="1">
        <v>50</v>
      </c>
      <c r="O487" s="2">
        <v>42032</v>
      </c>
      <c r="P487" s="1">
        <v>31580</v>
      </c>
      <c r="Q487" s="1" t="s">
        <v>197</v>
      </c>
      <c r="R487" s="2">
        <v>42061</v>
      </c>
      <c r="S487" s="1">
        <v>315844</v>
      </c>
      <c r="U487" s="1">
        <v>845</v>
      </c>
      <c r="V487" s="1" t="s">
        <v>6346</v>
      </c>
      <c r="W487" s="1" t="s">
        <v>725</v>
      </c>
      <c r="X487" s="1" t="s">
        <v>800</v>
      </c>
      <c r="Y487" s="1">
        <v>8</v>
      </c>
      <c r="Z487" s="1" t="s">
        <v>370</v>
      </c>
      <c r="AA487" s="1" t="s">
        <v>1123</v>
      </c>
      <c r="AB487" s="1">
        <v>60506</v>
      </c>
      <c r="AE487" s="1" t="s">
        <v>6347</v>
      </c>
      <c r="AF487" s="1">
        <v>1970</v>
      </c>
      <c r="AG487" s="1" t="s">
        <v>213</v>
      </c>
      <c r="AH487" s="1" t="s">
        <v>1126</v>
      </c>
      <c r="AI487" s="1" t="s">
        <v>665</v>
      </c>
      <c r="AJ487" s="1" t="s">
        <v>1126</v>
      </c>
      <c r="AL487" s="1">
        <v>4</v>
      </c>
      <c r="AM487" s="1">
        <v>2</v>
      </c>
      <c r="AN487" s="1">
        <v>1</v>
      </c>
      <c r="AO487" s="1">
        <v>1</v>
      </c>
      <c r="AP487" s="1" t="s">
        <v>210</v>
      </c>
      <c r="AR487" s="1" t="s">
        <v>210</v>
      </c>
      <c r="AT487" s="1" t="s">
        <v>211</v>
      </c>
      <c r="AU487" s="1">
        <v>1</v>
      </c>
      <c r="AW487" s="1" t="s">
        <v>204</v>
      </c>
      <c r="AX487" s="1" t="s">
        <v>212</v>
      </c>
      <c r="AZ487" s="1">
        <v>1359.24</v>
      </c>
      <c r="BA487" s="1">
        <v>2013</v>
      </c>
      <c r="BB487" s="1" t="s">
        <v>210</v>
      </c>
      <c r="BE487" s="1">
        <v>988</v>
      </c>
      <c r="BF487" s="1">
        <v>1</v>
      </c>
      <c r="BG487" s="1">
        <v>30</v>
      </c>
      <c r="BL487" s="1">
        <v>200</v>
      </c>
      <c r="BM487" s="1" t="s">
        <v>204</v>
      </c>
      <c r="BN487" s="1" t="s">
        <v>213</v>
      </c>
      <c r="BO487" s="1">
        <v>50</v>
      </c>
      <c r="BP487" s="1" t="s">
        <v>204</v>
      </c>
      <c r="BR487" s="1" t="str">
        <f>"1516105061"</f>
        <v>1516105061</v>
      </c>
      <c r="BT487" s="1" t="s">
        <v>6348</v>
      </c>
      <c r="BX487" s="1">
        <v>129</v>
      </c>
      <c r="BY487" s="1">
        <v>129</v>
      </c>
      <c r="BZ487" s="1">
        <v>129</v>
      </c>
      <c r="CB487" s="1" t="str">
        <f t="shared" ref="CB487:CC487" si="381">""</f>
        <v/>
      </c>
      <c r="CC487" s="1" t="str">
        <f t="shared" si="381"/>
        <v/>
      </c>
      <c r="CG487" s="1" t="s">
        <v>5319</v>
      </c>
      <c r="CH487" s="1" t="s">
        <v>219</v>
      </c>
      <c r="CI487" s="1" t="s">
        <v>220</v>
      </c>
      <c r="CJ487" s="1" t="s">
        <v>252</v>
      </c>
      <c r="CK487" s="1" t="s">
        <v>602</v>
      </c>
      <c r="CL487" s="1" t="s">
        <v>277</v>
      </c>
      <c r="CM487" s="1" t="s">
        <v>220</v>
      </c>
      <c r="CN487" s="1" t="s">
        <v>252</v>
      </c>
      <c r="CP487" s="1" t="s">
        <v>224</v>
      </c>
      <c r="CS487" s="1" t="s">
        <v>378</v>
      </c>
      <c r="CT487" s="1" t="s">
        <v>277</v>
      </c>
      <c r="CU487" s="1" t="s">
        <v>220</v>
      </c>
      <c r="CV487" s="1" t="s">
        <v>252</v>
      </c>
      <c r="CX487" s="1" t="s">
        <v>224</v>
      </c>
      <c r="DB487" s="1" t="s">
        <v>224</v>
      </c>
      <c r="DE487" s="1" t="s">
        <v>378</v>
      </c>
      <c r="DF487" s="1" t="s">
        <v>219</v>
      </c>
      <c r="DG487" s="1" t="s">
        <v>226</v>
      </c>
      <c r="DH487" s="1" t="s">
        <v>252</v>
      </c>
      <c r="DJ487" s="1" t="s">
        <v>224</v>
      </c>
      <c r="DS487" s="1" t="s">
        <v>230</v>
      </c>
      <c r="DW487" s="1" t="s">
        <v>230</v>
      </c>
      <c r="EA487" s="1" t="s">
        <v>230</v>
      </c>
      <c r="EE487" s="1" t="s">
        <v>230</v>
      </c>
      <c r="EI487" s="1" t="s">
        <v>230</v>
      </c>
      <c r="EL487" s="1" t="s">
        <v>605</v>
      </c>
      <c r="EM487" s="1" t="s">
        <v>319</v>
      </c>
      <c r="EN487" s="1" t="s">
        <v>1158</v>
      </c>
      <c r="EO487" s="1" t="s">
        <v>234</v>
      </c>
      <c r="EP487" s="1" t="s">
        <v>5574</v>
      </c>
      <c r="EQ487" s="1" t="s">
        <v>3718</v>
      </c>
      <c r="ER487" s="1" t="s">
        <v>383</v>
      </c>
      <c r="ES487" s="1" t="s">
        <v>322</v>
      </c>
      <c r="EU487" s="1" t="s">
        <v>239</v>
      </c>
      <c r="EW487" s="1" t="s">
        <v>937</v>
      </c>
      <c r="EY487" s="1" t="s">
        <v>242</v>
      </c>
      <c r="EZ487" s="1" t="s">
        <v>287</v>
      </c>
      <c r="FA487" s="1" t="s">
        <v>1270</v>
      </c>
      <c r="FB487" s="1" t="s">
        <v>289</v>
      </c>
      <c r="FC487" s="1" t="s">
        <v>1405</v>
      </c>
      <c r="FD487" s="1" t="s">
        <v>246</v>
      </c>
      <c r="FE487" s="1" t="s">
        <v>247</v>
      </c>
      <c r="FF487" s="1" t="s">
        <v>248</v>
      </c>
      <c r="FH487" s="1" t="s">
        <v>550</v>
      </c>
      <c r="FI487" s="1" t="s">
        <v>473</v>
      </c>
      <c r="FJ487" s="1" t="s">
        <v>197</v>
      </c>
      <c r="FL487" s="1" t="s">
        <v>292</v>
      </c>
      <c r="FM487" s="1" t="s">
        <v>252</v>
      </c>
      <c r="FN487" s="1" t="s">
        <v>213</v>
      </c>
      <c r="FO487" s="1" t="s">
        <v>213</v>
      </c>
      <c r="FQ487" s="1" t="s">
        <v>329</v>
      </c>
      <c r="FR487" s="1" t="s">
        <v>210</v>
      </c>
      <c r="FS487" s="1" t="s">
        <v>6349</v>
      </c>
      <c r="FT487" s="1" t="s">
        <v>6350</v>
      </c>
      <c r="FU487" s="1" t="s">
        <v>204</v>
      </c>
      <c r="FW487" s="1" t="s">
        <v>6351</v>
      </c>
      <c r="FX487" s="1">
        <v>22416</v>
      </c>
      <c r="FY487" s="1" t="s">
        <v>6352</v>
      </c>
      <c r="FZ487" s="1" t="s">
        <v>6353</v>
      </c>
      <c r="GA487" s="1">
        <v>224686</v>
      </c>
      <c r="GB487" s="1" t="s">
        <v>6352</v>
      </c>
      <c r="GD487" s="1" t="s">
        <v>6354</v>
      </c>
      <c r="GE487" s="1" t="s">
        <v>210</v>
      </c>
      <c r="GI487" s="1" t="s">
        <v>213</v>
      </c>
      <c r="GJ487" s="1" t="s">
        <v>260</v>
      </c>
      <c r="GK487" s="1" t="s">
        <v>210</v>
      </c>
      <c r="GL487" s="2">
        <v>42061</v>
      </c>
      <c r="GM487" s="1" t="s">
        <v>6355</v>
      </c>
    </row>
    <row r="488" spans="1:195">
      <c r="A488" s="1">
        <v>120000</v>
      </c>
      <c r="B488" s="1" t="s">
        <v>195</v>
      </c>
      <c r="C488" s="1" t="str">
        <f>"08796758"</f>
        <v>08796758</v>
      </c>
      <c r="D488" s="1" t="s">
        <v>196</v>
      </c>
      <c r="F488" s="1" t="str">
        <f t="shared" si="380"/>
        <v>507</v>
      </c>
      <c r="G488" s="2">
        <v>41977</v>
      </c>
      <c r="H488" s="1">
        <v>129900</v>
      </c>
      <c r="I488" s="1">
        <v>129900</v>
      </c>
      <c r="J488" s="1">
        <v>120000</v>
      </c>
      <c r="K488" s="2">
        <v>41977</v>
      </c>
      <c r="L488" s="1">
        <v>105</v>
      </c>
      <c r="M488" s="2">
        <v>42014</v>
      </c>
      <c r="N488" s="1">
        <v>38</v>
      </c>
      <c r="O488" s="2">
        <v>42014</v>
      </c>
      <c r="P488" s="1">
        <v>23300</v>
      </c>
      <c r="Q488" s="1" t="s">
        <v>197</v>
      </c>
      <c r="R488" s="2">
        <v>42060</v>
      </c>
      <c r="S488" s="1">
        <v>232304</v>
      </c>
      <c r="U488" s="1">
        <v>3524</v>
      </c>
      <c r="V488" s="1" t="s">
        <v>6356</v>
      </c>
      <c r="W488" s="1" t="s">
        <v>304</v>
      </c>
      <c r="Y488" s="1">
        <v>4</v>
      </c>
      <c r="Z488" s="1" t="s">
        <v>370</v>
      </c>
      <c r="AA488" s="1" t="s">
        <v>1123</v>
      </c>
      <c r="AB488" s="1">
        <v>60504</v>
      </c>
      <c r="AD488" s="1" t="s">
        <v>6357</v>
      </c>
      <c r="AE488" s="1" t="s">
        <v>6358</v>
      </c>
      <c r="AF488" s="1">
        <v>1989</v>
      </c>
      <c r="AG488" s="1" t="s">
        <v>204</v>
      </c>
      <c r="AH488" s="1" t="s">
        <v>1126</v>
      </c>
      <c r="AI488" s="1" t="s">
        <v>206</v>
      </c>
      <c r="AJ488" s="1" t="s">
        <v>924</v>
      </c>
      <c r="AK488" s="1" t="s">
        <v>6359</v>
      </c>
      <c r="AL488" s="1">
        <v>7</v>
      </c>
      <c r="AM488" s="1">
        <v>2</v>
      </c>
      <c r="AN488" s="1">
        <v>1</v>
      </c>
      <c r="AO488" s="1">
        <v>1</v>
      </c>
      <c r="AP488" s="1" t="s">
        <v>455</v>
      </c>
      <c r="AQ488" s="1">
        <v>1</v>
      </c>
      <c r="AR488" s="1" t="s">
        <v>210</v>
      </c>
      <c r="AT488" s="1" t="s">
        <v>375</v>
      </c>
      <c r="AU488" s="1">
        <v>1</v>
      </c>
      <c r="AV488" s="1">
        <v>1</v>
      </c>
      <c r="AW488" s="1" t="s">
        <v>204</v>
      </c>
      <c r="AX488" s="1" t="s">
        <v>212</v>
      </c>
      <c r="AZ488" s="1">
        <v>2721</v>
      </c>
      <c r="BA488" s="1">
        <v>2013</v>
      </c>
      <c r="BE488" s="1">
        <v>1292</v>
      </c>
      <c r="BF488" s="1">
        <v>1</v>
      </c>
      <c r="BG488" s="1">
        <v>0</v>
      </c>
      <c r="BL488" s="1">
        <v>195</v>
      </c>
      <c r="BM488" s="1" t="s">
        <v>204</v>
      </c>
      <c r="BN488" s="1" t="s">
        <v>213</v>
      </c>
      <c r="BO488" s="1" t="s">
        <v>6360</v>
      </c>
      <c r="BP488" s="1" t="s">
        <v>204</v>
      </c>
      <c r="BR488" s="1" t="str">
        <f>"0729204041"</f>
        <v>0729204041</v>
      </c>
      <c r="BT488" s="1" t="s">
        <v>6361</v>
      </c>
      <c r="BU488" s="1" t="s">
        <v>1647</v>
      </c>
      <c r="BV488" s="1" t="s">
        <v>2535</v>
      </c>
      <c r="BX488" s="1">
        <v>204</v>
      </c>
      <c r="BY488" s="1">
        <v>204</v>
      </c>
      <c r="BZ488" s="1">
        <v>204</v>
      </c>
      <c r="CB488" s="1" t="str">
        <f t="shared" ref="CB488:CC488" si="382">""</f>
        <v/>
      </c>
      <c r="CC488" s="1" t="str">
        <f t="shared" si="382"/>
        <v/>
      </c>
      <c r="CG488" s="1" t="s">
        <v>5898</v>
      </c>
      <c r="CH488" s="1" t="s">
        <v>219</v>
      </c>
      <c r="CI488" s="1" t="s">
        <v>438</v>
      </c>
      <c r="CJ488" s="1" t="s">
        <v>343</v>
      </c>
      <c r="CK488" s="1" t="s">
        <v>564</v>
      </c>
      <c r="CL488" s="1" t="s">
        <v>277</v>
      </c>
      <c r="CM488" s="1" t="s">
        <v>220</v>
      </c>
      <c r="CN488" s="1" t="s">
        <v>343</v>
      </c>
      <c r="CO488" s="1" t="s">
        <v>6174</v>
      </c>
      <c r="CP488" s="1" t="s">
        <v>219</v>
      </c>
      <c r="CQ488" s="1" t="s">
        <v>438</v>
      </c>
      <c r="CS488" s="1" t="s">
        <v>346</v>
      </c>
      <c r="CT488" s="1" t="s">
        <v>277</v>
      </c>
      <c r="CU488" s="1" t="s">
        <v>220</v>
      </c>
      <c r="CV488" s="1" t="s">
        <v>343</v>
      </c>
      <c r="CX488" s="1" t="s">
        <v>224</v>
      </c>
      <c r="DB488" s="1" t="s">
        <v>224</v>
      </c>
      <c r="DE488" s="1" t="s">
        <v>316</v>
      </c>
      <c r="DF488" s="1" t="s">
        <v>219</v>
      </c>
      <c r="DJ488" s="1" t="s">
        <v>224</v>
      </c>
      <c r="DM488" s="1" t="s">
        <v>1548</v>
      </c>
      <c r="DN488" s="1" t="s">
        <v>464</v>
      </c>
      <c r="DO488" s="1" t="s">
        <v>838</v>
      </c>
      <c r="DP488" s="1" t="s">
        <v>1771</v>
      </c>
      <c r="DR488" s="1" t="s">
        <v>1571</v>
      </c>
      <c r="DS488" s="1" t="s">
        <v>219</v>
      </c>
      <c r="DV488" s="1" t="s">
        <v>1046</v>
      </c>
      <c r="DW488" s="1" t="s">
        <v>277</v>
      </c>
      <c r="DX488" s="1" t="s">
        <v>220</v>
      </c>
      <c r="DZ488" s="1" t="s">
        <v>6362</v>
      </c>
      <c r="EA488" s="1" t="s">
        <v>277</v>
      </c>
      <c r="EB488" s="1" t="s">
        <v>220</v>
      </c>
      <c r="ED488" s="1" t="s">
        <v>5954</v>
      </c>
      <c r="EE488" s="1" t="s">
        <v>277</v>
      </c>
      <c r="EI488" s="1" t="s">
        <v>230</v>
      </c>
      <c r="EL488" s="1" t="s">
        <v>382</v>
      </c>
      <c r="EM488" s="1" t="s">
        <v>232</v>
      </c>
      <c r="EN488" s="1" t="s">
        <v>282</v>
      </c>
      <c r="EO488" s="1" t="s">
        <v>234</v>
      </c>
      <c r="EQ488" s="1" t="s">
        <v>4356</v>
      </c>
      <c r="ER488" s="1" t="s">
        <v>210</v>
      </c>
      <c r="ES488" s="1" t="s">
        <v>4840</v>
      </c>
      <c r="EU488" s="1" t="s">
        <v>1894</v>
      </c>
      <c r="EV488" s="1" t="s">
        <v>1999</v>
      </c>
      <c r="EW488" s="1" t="s">
        <v>6363</v>
      </c>
      <c r="EY488" s="1" t="s">
        <v>242</v>
      </c>
      <c r="EZ488" s="1" t="s">
        <v>6364</v>
      </c>
      <c r="FA488" s="1" t="s">
        <v>471</v>
      </c>
      <c r="FB488" s="1" t="s">
        <v>244</v>
      </c>
      <c r="FC488" s="1" t="s">
        <v>1405</v>
      </c>
      <c r="FD488" s="1" t="s">
        <v>246</v>
      </c>
      <c r="FE488" s="1" t="s">
        <v>975</v>
      </c>
      <c r="FF488" s="1" t="s">
        <v>248</v>
      </c>
      <c r="FG488" s="1" t="s">
        <v>939</v>
      </c>
      <c r="FH488" s="1" t="s">
        <v>550</v>
      </c>
      <c r="FI488" s="1" t="s">
        <v>473</v>
      </c>
      <c r="FJ488" s="1" t="s">
        <v>518</v>
      </c>
      <c r="FK488" s="1" t="s">
        <v>6365</v>
      </c>
      <c r="FL488" s="1" t="s">
        <v>358</v>
      </c>
      <c r="FM488" s="1" t="s">
        <v>252</v>
      </c>
      <c r="FN488" s="1" t="s">
        <v>213</v>
      </c>
      <c r="FO488" s="1" t="s">
        <v>213</v>
      </c>
      <c r="FQ488" s="1" t="s">
        <v>6366</v>
      </c>
      <c r="FR488" s="1" t="s">
        <v>210</v>
      </c>
      <c r="FS488" s="1" t="s">
        <v>6367</v>
      </c>
      <c r="FT488" s="1" t="s">
        <v>1139</v>
      </c>
      <c r="FU488" s="1" t="s">
        <v>204</v>
      </c>
      <c r="FW488" s="1" t="s">
        <v>3546</v>
      </c>
      <c r="FX488" s="1">
        <v>24695</v>
      </c>
      <c r="FY488" s="1" t="s">
        <v>3547</v>
      </c>
      <c r="FZ488" s="1" t="s">
        <v>6368</v>
      </c>
      <c r="GA488" s="1">
        <v>213589</v>
      </c>
      <c r="GB488" s="1" t="s">
        <v>6369</v>
      </c>
      <c r="GE488" s="1" t="s">
        <v>1576</v>
      </c>
      <c r="GI488" s="1" t="s">
        <v>213</v>
      </c>
      <c r="GJ488" s="1" t="s">
        <v>260</v>
      </c>
      <c r="GK488" s="1" t="s">
        <v>210</v>
      </c>
      <c r="GL488" s="2">
        <v>42060</v>
      </c>
      <c r="GM488" s="1" t="s">
        <v>6370</v>
      </c>
    </row>
    <row r="489" spans="1:195">
      <c r="A489" s="1">
        <v>154990</v>
      </c>
      <c r="B489" s="1" t="s">
        <v>195</v>
      </c>
      <c r="C489" s="1" t="str">
        <f>"08795580"</f>
        <v>08795580</v>
      </c>
      <c r="D489" s="1" t="s">
        <v>196</v>
      </c>
      <c r="F489" s="1" t="str">
        <f>"140"</f>
        <v>140</v>
      </c>
      <c r="G489" s="2">
        <v>41975</v>
      </c>
      <c r="H489" s="1">
        <v>159990</v>
      </c>
      <c r="I489" s="1">
        <v>154990</v>
      </c>
      <c r="J489" s="1">
        <v>154990</v>
      </c>
      <c r="K489" s="2">
        <v>41975</v>
      </c>
      <c r="L489" s="1">
        <v>62</v>
      </c>
      <c r="M489" s="2">
        <v>42036</v>
      </c>
      <c r="N489" s="1">
        <v>62</v>
      </c>
      <c r="O489" s="2">
        <v>42036</v>
      </c>
      <c r="P489" s="1">
        <v>23076</v>
      </c>
      <c r="Q489" s="1" t="s">
        <v>197</v>
      </c>
      <c r="R489" s="2">
        <v>42089</v>
      </c>
      <c r="S489" s="1">
        <v>234493</v>
      </c>
      <c r="U489" s="1">
        <v>1724</v>
      </c>
      <c r="V489" s="1" t="s">
        <v>6371</v>
      </c>
      <c r="W489" s="1" t="s">
        <v>504</v>
      </c>
      <c r="X489" s="1">
        <v>1052</v>
      </c>
      <c r="Y489" s="1">
        <v>4</v>
      </c>
      <c r="Z489" s="1" t="s">
        <v>370</v>
      </c>
      <c r="AA489" s="1" t="s">
        <v>744</v>
      </c>
      <c r="AB489" s="1">
        <v>60140</v>
      </c>
      <c r="AD489" s="1" t="s">
        <v>6372</v>
      </c>
      <c r="AE489" s="1" t="s">
        <v>6373</v>
      </c>
      <c r="AF489" s="1">
        <v>2014</v>
      </c>
      <c r="AG489" s="1" t="s">
        <v>204</v>
      </c>
      <c r="AH489" s="1" t="s">
        <v>747</v>
      </c>
      <c r="AI489" s="1" t="s">
        <v>665</v>
      </c>
      <c r="AJ489" s="1" t="s">
        <v>748</v>
      </c>
      <c r="AK489" s="1" t="s">
        <v>4058</v>
      </c>
      <c r="AL489" s="1">
        <v>5</v>
      </c>
      <c r="AM489" s="1">
        <v>2</v>
      </c>
      <c r="AN489" s="1">
        <v>2</v>
      </c>
      <c r="AO489" s="1">
        <v>0</v>
      </c>
      <c r="AP489" s="1" t="s">
        <v>209</v>
      </c>
      <c r="AR489" s="1" t="s">
        <v>210</v>
      </c>
      <c r="AS489" s="1" t="s">
        <v>204</v>
      </c>
      <c r="AT489" s="1" t="s">
        <v>211</v>
      </c>
      <c r="AU489" s="1">
        <v>2</v>
      </c>
      <c r="AW489" s="1" t="s">
        <v>204</v>
      </c>
      <c r="AX489" s="1" t="s">
        <v>6374</v>
      </c>
      <c r="AZ489" s="1" t="s">
        <v>751</v>
      </c>
      <c r="BA489" s="1">
        <v>2013</v>
      </c>
      <c r="BE489" s="1">
        <v>1290</v>
      </c>
      <c r="BF489" s="1">
        <v>1</v>
      </c>
      <c r="BG489" s="1">
        <v>0</v>
      </c>
      <c r="BL489" s="1">
        <v>186</v>
      </c>
      <c r="BM489" s="1" t="s">
        <v>204</v>
      </c>
      <c r="BN489" s="1" t="s">
        <v>213</v>
      </c>
      <c r="BO489" s="1">
        <v>999</v>
      </c>
      <c r="BP489" s="1" t="s">
        <v>213</v>
      </c>
      <c r="BQ489" s="2">
        <v>41975</v>
      </c>
      <c r="BR489" s="1" t="str">
        <f>"0228175016"</f>
        <v>0228175016</v>
      </c>
      <c r="BT489" s="1" t="s">
        <v>6375</v>
      </c>
      <c r="BX489" s="1">
        <v>300</v>
      </c>
      <c r="BY489" s="1">
        <v>300</v>
      </c>
      <c r="BZ489" s="1">
        <v>300</v>
      </c>
      <c r="CB489" s="1" t="str">
        <f t="shared" ref="CB489:CC489" si="383">""</f>
        <v/>
      </c>
      <c r="CC489" s="1" t="str">
        <f t="shared" si="383"/>
        <v/>
      </c>
      <c r="CG489" s="1" t="s">
        <v>278</v>
      </c>
      <c r="CH489" s="1" t="s">
        <v>219</v>
      </c>
      <c r="CI489" s="1" t="s">
        <v>438</v>
      </c>
      <c r="CK489" s="1" t="s">
        <v>861</v>
      </c>
      <c r="CL489" s="1" t="s">
        <v>219</v>
      </c>
      <c r="CM489" s="1" t="s">
        <v>220</v>
      </c>
      <c r="CO489" s="1" t="s">
        <v>2899</v>
      </c>
      <c r="CP489" s="1" t="s">
        <v>219</v>
      </c>
      <c r="CQ489" s="1" t="s">
        <v>438</v>
      </c>
      <c r="CS489" s="1" t="s">
        <v>465</v>
      </c>
      <c r="CT489" s="1" t="s">
        <v>219</v>
      </c>
      <c r="CU489" s="1" t="s">
        <v>220</v>
      </c>
      <c r="CX489" s="1" t="s">
        <v>224</v>
      </c>
      <c r="DB489" s="1" t="s">
        <v>224</v>
      </c>
      <c r="DE489" s="1" t="s">
        <v>281</v>
      </c>
      <c r="DF489" s="1" t="s">
        <v>219</v>
      </c>
      <c r="DG489" s="1" t="s">
        <v>438</v>
      </c>
      <c r="DJ489" s="1" t="s">
        <v>224</v>
      </c>
      <c r="DS489" s="1" t="s">
        <v>230</v>
      </c>
      <c r="DW489" s="1" t="s">
        <v>230</v>
      </c>
      <c r="EA489" s="1" t="s">
        <v>230</v>
      </c>
      <c r="EE489" s="1" t="s">
        <v>230</v>
      </c>
      <c r="EI489" s="1" t="s">
        <v>230</v>
      </c>
      <c r="EL489" s="1" t="s">
        <v>1455</v>
      </c>
      <c r="EM489" s="1" t="s">
        <v>319</v>
      </c>
      <c r="EN489" s="1" t="s">
        <v>282</v>
      </c>
      <c r="EO489" s="1" t="s">
        <v>234</v>
      </c>
      <c r="EP489" s="1" t="s">
        <v>6376</v>
      </c>
      <c r="EQ489" s="1" t="s">
        <v>953</v>
      </c>
      <c r="ER489" s="1" t="s">
        <v>383</v>
      </c>
      <c r="ES489" s="1" t="s">
        <v>608</v>
      </c>
      <c r="ET489" s="1" t="s">
        <v>842</v>
      </c>
      <c r="EW489" s="1" t="s">
        <v>6377</v>
      </c>
      <c r="EY489" s="1" t="s">
        <v>790</v>
      </c>
      <c r="EZ489" s="1" t="s">
        <v>287</v>
      </c>
      <c r="FD489" s="1" t="s">
        <v>246</v>
      </c>
      <c r="FE489" s="1" t="s">
        <v>472</v>
      </c>
      <c r="FF489" s="1" t="s">
        <v>248</v>
      </c>
      <c r="FH489" s="1" t="s">
        <v>6378</v>
      </c>
      <c r="FI489" s="1" t="s">
        <v>473</v>
      </c>
      <c r="FL489" s="1" t="s">
        <v>358</v>
      </c>
      <c r="FM489" s="1" t="s">
        <v>252</v>
      </c>
      <c r="FN489" s="1" t="s">
        <v>213</v>
      </c>
      <c r="FO489" s="1" t="s">
        <v>213</v>
      </c>
      <c r="FQ489" s="1" t="s">
        <v>582</v>
      </c>
      <c r="FR489" s="1" t="s">
        <v>210</v>
      </c>
      <c r="FS489" s="1" t="s">
        <v>6379</v>
      </c>
      <c r="FT489" s="1" t="s">
        <v>771</v>
      </c>
      <c r="FU489" s="1" t="s">
        <v>204</v>
      </c>
      <c r="FW489" s="1" t="s">
        <v>772</v>
      </c>
      <c r="FX489" s="1">
        <v>92038</v>
      </c>
      <c r="FY489" s="1" t="s">
        <v>773</v>
      </c>
      <c r="FZ489" s="1" t="s">
        <v>774</v>
      </c>
      <c r="GA489" s="1">
        <v>21137</v>
      </c>
      <c r="GB489" s="1" t="s">
        <v>775</v>
      </c>
      <c r="GE489" s="1" t="s">
        <v>623</v>
      </c>
      <c r="GI489" s="1" t="s">
        <v>204</v>
      </c>
      <c r="GJ489" s="1" t="s">
        <v>260</v>
      </c>
      <c r="GK489" s="1" t="s">
        <v>210</v>
      </c>
      <c r="GL489" s="2">
        <v>42091</v>
      </c>
      <c r="GM489" s="1" t="s">
        <v>6380</v>
      </c>
    </row>
    <row r="490" spans="1:195">
      <c r="A490" s="1">
        <v>75000</v>
      </c>
      <c r="B490" s="1" t="s">
        <v>195</v>
      </c>
      <c r="C490" s="1" t="str">
        <f>"08796377"</f>
        <v>08796377</v>
      </c>
      <c r="D490" s="1" t="s">
        <v>196</v>
      </c>
      <c r="F490" s="1" t="str">
        <f>"107"</f>
        <v>107</v>
      </c>
      <c r="G490" s="2">
        <v>41976</v>
      </c>
      <c r="H490" s="1">
        <v>60000</v>
      </c>
      <c r="I490" s="1">
        <v>60000</v>
      </c>
      <c r="J490" s="1">
        <v>75000</v>
      </c>
      <c r="K490" s="2">
        <v>41976</v>
      </c>
      <c r="L490" s="1">
        <v>13</v>
      </c>
      <c r="M490" s="2">
        <v>41988</v>
      </c>
      <c r="N490" s="1">
        <v>13</v>
      </c>
      <c r="O490" s="2">
        <v>41988</v>
      </c>
      <c r="P490" s="1">
        <v>25611</v>
      </c>
      <c r="Q490" s="1" t="s">
        <v>302</v>
      </c>
      <c r="R490" s="2">
        <v>42011</v>
      </c>
      <c r="S490" s="1">
        <v>85991</v>
      </c>
      <c r="U490" s="1">
        <v>63</v>
      </c>
      <c r="V490" s="1" t="s">
        <v>6070</v>
      </c>
      <c r="W490" s="1" t="s">
        <v>504</v>
      </c>
      <c r="X490" s="1" t="s">
        <v>483</v>
      </c>
      <c r="Y490" s="1">
        <v>4</v>
      </c>
      <c r="Z490" s="1" t="s">
        <v>249</v>
      </c>
      <c r="AA490" s="1" t="s">
        <v>1211</v>
      </c>
      <c r="AB490" s="1">
        <v>60107</v>
      </c>
      <c r="AD490" s="1" t="s">
        <v>6381</v>
      </c>
      <c r="AE490" s="1" t="s">
        <v>6382</v>
      </c>
      <c r="AF490" s="1">
        <v>1990</v>
      </c>
      <c r="AG490" s="1" t="s">
        <v>204</v>
      </c>
      <c r="AH490" s="1" t="s">
        <v>1214</v>
      </c>
      <c r="AI490" s="1" t="s">
        <v>310</v>
      </c>
      <c r="AJ490" s="1" t="s">
        <v>374</v>
      </c>
      <c r="AK490" s="1" t="s">
        <v>483</v>
      </c>
      <c r="AL490" s="1">
        <v>5</v>
      </c>
      <c r="AM490" s="1">
        <v>2</v>
      </c>
      <c r="AN490" s="1">
        <v>1</v>
      </c>
      <c r="AO490" s="1">
        <v>0</v>
      </c>
      <c r="AP490" s="1" t="s">
        <v>210</v>
      </c>
      <c r="AR490" s="1" t="s">
        <v>210</v>
      </c>
      <c r="AS490" s="1" t="s">
        <v>204</v>
      </c>
      <c r="AT490" s="1" t="s">
        <v>211</v>
      </c>
      <c r="AU490" s="1">
        <v>1</v>
      </c>
      <c r="AW490" s="1" t="s">
        <v>204</v>
      </c>
      <c r="AX490" s="1" t="s">
        <v>212</v>
      </c>
      <c r="AZ490" s="1">
        <v>1857.91</v>
      </c>
      <c r="BA490" s="1">
        <v>2012</v>
      </c>
      <c r="BE490" s="1">
        <v>880</v>
      </c>
      <c r="BF490" s="1">
        <v>2</v>
      </c>
      <c r="BG490" s="1">
        <v>30</v>
      </c>
      <c r="BL490" s="1">
        <v>227</v>
      </c>
      <c r="BM490" s="1" t="s">
        <v>204</v>
      </c>
      <c r="BN490" s="1" t="s">
        <v>213</v>
      </c>
      <c r="BO490" s="1">
        <v>30</v>
      </c>
      <c r="BP490" s="1" t="s">
        <v>204</v>
      </c>
      <c r="BR490" s="1" t="str">
        <f>"06144280151295"</f>
        <v>06144280151295</v>
      </c>
      <c r="BT490" s="1" t="s">
        <v>6383</v>
      </c>
      <c r="BW490" s="1" t="s">
        <v>6384</v>
      </c>
      <c r="BX490" s="1">
        <v>46</v>
      </c>
      <c r="BY490" s="1">
        <v>46</v>
      </c>
      <c r="BZ490" s="1">
        <v>46</v>
      </c>
      <c r="CB490" s="1" t="str">
        <f>"11"</f>
        <v>11</v>
      </c>
      <c r="CC490" s="1" t="str">
        <f>"0"</f>
        <v>0</v>
      </c>
      <c r="CD490" s="1">
        <v>28</v>
      </c>
      <c r="CE490" s="1">
        <v>0</v>
      </c>
      <c r="CG490" s="1" t="s">
        <v>377</v>
      </c>
      <c r="CH490" s="1" t="s">
        <v>219</v>
      </c>
      <c r="CK490" s="1" t="s">
        <v>2070</v>
      </c>
      <c r="CL490" s="1" t="s">
        <v>219</v>
      </c>
      <c r="CO490" s="1" t="s">
        <v>629</v>
      </c>
      <c r="CP490" s="1" t="s">
        <v>219</v>
      </c>
      <c r="CS490" s="1" t="s">
        <v>1854</v>
      </c>
      <c r="CT490" s="1" t="s">
        <v>219</v>
      </c>
      <c r="CX490" s="1" t="s">
        <v>224</v>
      </c>
      <c r="DB490" s="1" t="s">
        <v>224</v>
      </c>
      <c r="DE490" s="1" t="s">
        <v>345</v>
      </c>
      <c r="DF490" s="1" t="s">
        <v>219</v>
      </c>
      <c r="DJ490" s="1" t="s">
        <v>224</v>
      </c>
      <c r="DM490" s="1" t="s">
        <v>838</v>
      </c>
      <c r="DR490" s="1" t="s">
        <v>864</v>
      </c>
      <c r="DS490" s="1" t="s">
        <v>219</v>
      </c>
      <c r="DW490" s="1" t="s">
        <v>230</v>
      </c>
      <c r="EA490" s="1" t="s">
        <v>230</v>
      </c>
      <c r="EE490" s="1" t="s">
        <v>230</v>
      </c>
      <c r="EI490" s="1" t="s">
        <v>230</v>
      </c>
      <c r="EL490" s="1" t="s">
        <v>382</v>
      </c>
      <c r="EM490" s="1" t="s">
        <v>232</v>
      </c>
      <c r="EN490" s="1" t="s">
        <v>282</v>
      </c>
      <c r="EO490" s="1" t="s">
        <v>234</v>
      </c>
      <c r="EP490" s="1" t="s">
        <v>210</v>
      </c>
      <c r="ER490" s="1" t="s">
        <v>210</v>
      </c>
      <c r="EW490" s="1" t="s">
        <v>6385</v>
      </c>
      <c r="EZ490" s="1" t="s">
        <v>838</v>
      </c>
      <c r="FD490" s="1" t="s">
        <v>290</v>
      </c>
      <c r="FE490" s="1" t="s">
        <v>355</v>
      </c>
      <c r="FF490" s="1" t="s">
        <v>248</v>
      </c>
      <c r="FH490" s="1" t="s">
        <v>388</v>
      </c>
      <c r="FL490" s="1" t="s">
        <v>358</v>
      </c>
      <c r="FM490" s="1" t="s">
        <v>252</v>
      </c>
      <c r="FN490" s="1" t="s">
        <v>213</v>
      </c>
      <c r="FO490" s="1" t="s">
        <v>213</v>
      </c>
      <c r="FQ490" s="1" t="s">
        <v>849</v>
      </c>
      <c r="FR490" s="1" t="s">
        <v>210</v>
      </c>
      <c r="FS490" s="1" t="s">
        <v>2984</v>
      </c>
      <c r="FT490" s="1" t="s">
        <v>295</v>
      </c>
      <c r="FU490" s="1" t="s">
        <v>204</v>
      </c>
      <c r="FW490" s="1" t="s">
        <v>2985</v>
      </c>
      <c r="FX490" s="1">
        <v>23959</v>
      </c>
      <c r="FY490" s="1" t="s">
        <v>2986</v>
      </c>
      <c r="FZ490" s="1" t="s">
        <v>6386</v>
      </c>
      <c r="GA490" s="1">
        <v>238419</v>
      </c>
      <c r="GC490" s="1">
        <v>220868</v>
      </c>
      <c r="GE490" s="1" t="s">
        <v>210</v>
      </c>
      <c r="GH490" s="1" t="s">
        <v>230</v>
      </c>
      <c r="GI490" s="1" t="s">
        <v>213</v>
      </c>
      <c r="GJ490" s="1" t="s">
        <v>260</v>
      </c>
      <c r="GK490" s="1" t="s">
        <v>210</v>
      </c>
      <c r="GL490" s="2">
        <v>42012</v>
      </c>
      <c r="GM490" s="1" t="s">
        <v>6387</v>
      </c>
    </row>
    <row r="491" spans="1:195">
      <c r="A491" s="1">
        <v>140000</v>
      </c>
      <c r="B491" s="1" t="s">
        <v>195</v>
      </c>
      <c r="C491" s="1" t="str">
        <f>"08801101"</f>
        <v>08801101</v>
      </c>
      <c r="D491" s="1" t="s">
        <v>196</v>
      </c>
      <c r="F491" s="1" t="str">
        <f>"188"</f>
        <v>188</v>
      </c>
      <c r="G491" s="2">
        <v>41985</v>
      </c>
      <c r="H491" s="1">
        <v>159000</v>
      </c>
      <c r="I491" s="1">
        <v>145000</v>
      </c>
      <c r="J491" s="1">
        <v>140000</v>
      </c>
      <c r="K491" s="2">
        <v>41985</v>
      </c>
      <c r="L491" s="1">
        <v>139</v>
      </c>
      <c r="M491" s="2">
        <v>42123</v>
      </c>
      <c r="N491" s="1">
        <v>139</v>
      </c>
      <c r="O491" s="2">
        <v>42123</v>
      </c>
      <c r="P491" s="1">
        <v>25163</v>
      </c>
      <c r="Q491" s="1" t="s">
        <v>197</v>
      </c>
      <c r="R491" s="2">
        <v>42145</v>
      </c>
      <c r="S491" s="1">
        <v>254153</v>
      </c>
      <c r="U491" s="1">
        <v>1337</v>
      </c>
      <c r="V491" s="1" t="s">
        <v>6388</v>
      </c>
      <c r="W491" s="1" t="s">
        <v>264</v>
      </c>
      <c r="Y491" s="1">
        <v>6</v>
      </c>
      <c r="Z491" s="1" t="s">
        <v>370</v>
      </c>
      <c r="AA491" s="1" t="s">
        <v>1084</v>
      </c>
      <c r="AB491" s="1">
        <v>60188</v>
      </c>
      <c r="AD491" s="1" t="s">
        <v>6389</v>
      </c>
      <c r="AE491" s="1" t="s">
        <v>6390</v>
      </c>
      <c r="AF491" s="1">
        <v>1987</v>
      </c>
      <c r="AG491" s="1" t="s">
        <v>204</v>
      </c>
      <c r="AH491" s="1" t="s">
        <v>1087</v>
      </c>
      <c r="AI491" s="1" t="s">
        <v>206</v>
      </c>
      <c r="AJ491" s="1" t="s">
        <v>2654</v>
      </c>
      <c r="AL491" s="1">
        <v>5</v>
      </c>
      <c r="AM491" s="1">
        <v>2</v>
      </c>
      <c r="AN491" s="1">
        <v>1</v>
      </c>
      <c r="AO491" s="1">
        <v>1</v>
      </c>
      <c r="AP491" s="1" t="s">
        <v>210</v>
      </c>
      <c r="AR491" s="1" t="s">
        <v>210</v>
      </c>
      <c r="AT491" s="1" t="s">
        <v>375</v>
      </c>
      <c r="AU491" s="1">
        <v>1</v>
      </c>
      <c r="AV491" s="1">
        <v>2</v>
      </c>
      <c r="AW491" s="1" t="s">
        <v>204</v>
      </c>
      <c r="AX491" s="1" t="s">
        <v>6391</v>
      </c>
      <c r="AZ491" s="1">
        <v>3783</v>
      </c>
      <c r="BA491" s="1">
        <v>2013</v>
      </c>
      <c r="BB491" s="1" t="s">
        <v>210</v>
      </c>
      <c r="BE491" s="1">
        <v>1104</v>
      </c>
      <c r="BF491" s="1">
        <v>1</v>
      </c>
      <c r="BG491" s="1">
        <v>30</v>
      </c>
      <c r="BJ491" s="1">
        <v>100</v>
      </c>
      <c r="BL491" s="1">
        <v>280</v>
      </c>
      <c r="BM491" s="1" t="s">
        <v>204</v>
      </c>
      <c r="BN491" s="1" t="s">
        <v>213</v>
      </c>
      <c r="BO491" s="1">
        <v>999</v>
      </c>
      <c r="BP491" s="1" t="s">
        <v>204</v>
      </c>
      <c r="BR491" s="1" t="str">
        <f>"0124115015"</f>
        <v>0124115015</v>
      </c>
      <c r="BT491" s="1" t="s">
        <v>6392</v>
      </c>
      <c r="BU491" s="1" t="s">
        <v>4591</v>
      </c>
      <c r="BV491" s="1" t="s">
        <v>4120</v>
      </c>
      <c r="BW491" s="1" t="s">
        <v>4121</v>
      </c>
      <c r="BX491" s="1">
        <v>46</v>
      </c>
      <c r="BY491" s="1">
        <v>46</v>
      </c>
      <c r="BZ491" s="1">
        <v>46</v>
      </c>
      <c r="CB491" s="1" t="str">
        <f t="shared" ref="CB491:CC491" si="384">""</f>
        <v/>
      </c>
      <c r="CC491" s="1" t="str">
        <f t="shared" si="384"/>
        <v/>
      </c>
      <c r="CG491" s="1" t="s">
        <v>862</v>
      </c>
      <c r="CH491" s="1" t="s">
        <v>219</v>
      </c>
      <c r="CI491" s="1" t="s">
        <v>4958</v>
      </c>
      <c r="CJ491" s="1" t="s">
        <v>343</v>
      </c>
      <c r="CK491" s="1" t="s">
        <v>1454</v>
      </c>
      <c r="CL491" s="1" t="s">
        <v>219</v>
      </c>
      <c r="CM491" s="1" t="s">
        <v>4958</v>
      </c>
      <c r="CN491" s="1" t="s">
        <v>1199</v>
      </c>
      <c r="CO491" s="1" t="s">
        <v>516</v>
      </c>
      <c r="CP491" s="1" t="s">
        <v>219</v>
      </c>
      <c r="CQ491" s="1" t="s">
        <v>4958</v>
      </c>
      <c r="CS491" s="1" t="s">
        <v>1533</v>
      </c>
      <c r="CT491" s="1" t="s">
        <v>277</v>
      </c>
      <c r="CU491" s="1" t="s">
        <v>220</v>
      </c>
      <c r="CX491" s="1" t="s">
        <v>224</v>
      </c>
      <c r="DB491" s="1" t="s">
        <v>224</v>
      </c>
      <c r="DE491" s="1" t="s">
        <v>409</v>
      </c>
      <c r="DF491" s="1" t="s">
        <v>219</v>
      </c>
      <c r="DG491" s="1" t="s">
        <v>4958</v>
      </c>
      <c r="DH491" s="1" t="s">
        <v>439</v>
      </c>
      <c r="DJ491" s="1" t="s">
        <v>224</v>
      </c>
      <c r="DS491" s="1" t="s">
        <v>230</v>
      </c>
      <c r="DW491" s="1" t="s">
        <v>230</v>
      </c>
      <c r="EA491" s="1" t="s">
        <v>230</v>
      </c>
      <c r="EE491" s="1" t="s">
        <v>230</v>
      </c>
      <c r="EI491" s="1" t="s">
        <v>230</v>
      </c>
      <c r="EL491" s="1" t="s">
        <v>542</v>
      </c>
      <c r="EM491" s="1" t="s">
        <v>232</v>
      </c>
      <c r="EN491" s="1" t="s">
        <v>282</v>
      </c>
      <c r="EO491" s="1" t="s">
        <v>234</v>
      </c>
      <c r="EP491" s="1" t="s">
        <v>650</v>
      </c>
      <c r="EQ491" s="1" t="s">
        <v>5455</v>
      </c>
      <c r="ER491" s="1" t="s">
        <v>210</v>
      </c>
      <c r="ES491" s="1" t="s">
        <v>1552</v>
      </c>
      <c r="EV491" s="1" t="s">
        <v>240</v>
      </c>
      <c r="EW491" s="1" t="s">
        <v>353</v>
      </c>
      <c r="EY491" s="1" t="s">
        <v>242</v>
      </c>
      <c r="EZ491" s="1" t="s">
        <v>287</v>
      </c>
      <c r="FA491" s="1" t="s">
        <v>471</v>
      </c>
      <c r="FB491" s="1" t="s">
        <v>289</v>
      </c>
      <c r="FC491" s="1" t="s">
        <v>633</v>
      </c>
      <c r="FD491" s="1" t="s">
        <v>246</v>
      </c>
      <c r="FE491" s="1" t="s">
        <v>765</v>
      </c>
      <c r="FF491" s="1" t="s">
        <v>248</v>
      </c>
      <c r="FH491" s="1" t="s">
        <v>6393</v>
      </c>
      <c r="FI491" s="1" t="s">
        <v>473</v>
      </c>
      <c r="FJ491" s="1" t="s">
        <v>6394</v>
      </c>
      <c r="FK491" s="1" t="s">
        <v>1136</v>
      </c>
      <c r="FL491" s="1" t="s">
        <v>358</v>
      </c>
      <c r="FM491" s="1" t="s">
        <v>252</v>
      </c>
      <c r="FN491" s="1" t="s">
        <v>213</v>
      </c>
      <c r="FO491" s="1" t="s">
        <v>213</v>
      </c>
      <c r="FQ491" s="1" t="s">
        <v>793</v>
      </c>
      <c r="FR491" s="1" t="s">
        <v>210</v>
      </c>
      <c r="FS491" s="1" t="s">
        <v>6395</v>
      </c>
      <c r="FT491" s="1" t="s">
        <v>255</v>
      </c>
      <c r="FU491" s="1" t="s">
        <v>204</v>
      </c>
      <c r="FW491" s="1" t="s">
        <v>915</v>
      </c>
      <c r="FX491" s="1">
        <v>20179</v>
      </c>
      <c r="FY491" s="1" t="s">
        <v>1944</v>
      </c>
      <c r="FZ491" s="1" t="s">
        <v>6396</v>
      </c>
      <c r="GA491" s="1">
        <v>215589</v>
      </c>
      <c r="GE491" s="1" t="s">
        <v>776</v>
      </c>
      <c r="GI491" s="1" t="s">
        <v>213</v>
      </c>
      <c r="GJ491" s="1" t="s">
        <v>260</v>
      </c>
      <c r="GK491" s="1" t="s">
        <v>210</v>
      </c>
      <c r="GL491" s="2">
        <v>42146</v>
      </c>
      <c r="GM491" s="1" t="s">
        <v>6397</v>
      </c>
    </row>
    <row r="492" spans="1:195">
      <c r="A492" s="1">
        <v>208700</v>
      </c>
      <c r="B492" s="1" t="s">
        <v>195</v>
      </c>
      <c r="C492" s="1" t="str">
        <f>"08799431"</f>
        <v>08799431</v>
      </c>
      <c r="D492" s="1" t="s">
        <v>196</v>
      </c>
      <c r="F492" s="1" t="str">
        <f>"507"</f>
        <v>507</v>
      </c>
      <c r="G492" s="2">
        <v>41982</v>
      </c>
      <c r="H492" s="1">
        <v>203560</v>
      </c>
      <c r="I492" s="1">
        <v>203560</v>
      </c>
      <c r="J492" s="1">
        <v>208700</v>
      </c>
      <c r="K492" s="2">
        <v>41982</v>
      </c>
      <c r="L492" s="1">
        <v>83</v>
      </c>
      <c r="M492" s="2">
        <v>42041</v>
      </c>
      <c r="N492" s="1">
        <v>60</v>
      </c>
      <c r="O492" s="2">
        <v>42041</v>
      </c>
      <c r="P492" s="1">
        <v>12399</v>
      </c>
      <c r="Q492" s="1" t="s">
        <v>423</v>
      </c>
      <c r="R492" s="2">
        <v>42132</v>
      </c>
      <c r="S492" s="1">
        <v>107368</v>
      </c>
      <c r="U492" s="1">
        <v>2928</v>
      </c>
      <c r="V492" s="1" t="s">
        <v>6398</v>
      </c>
      <c r="W492" s="1" t="s">
        <v>1056</v>
      </c>
      <c r="Y492" s="1">
        <v>6</v>
      </c>
      <c r="Z492" s="1" t="s">
        <v>370</v>
      </c>
      <c r="AA492" s="1" t="s">
        <v>1123</v>
      </c>
      <c r="AB492" s="1">
        <v>60502</v>
      </c>
      <c r="AD492" s="1" t="s">
        <v>6399</v>
      </c>
      <c r="AE492" s="1" t="s">
        <v>6400</v>
      </c>
      <c r="AF492" s="1">
        <v>2014</v>
      </c>
      <c r="AG492" s="1" t="s">
        <v>204</v>
      </c>
      <c r="AH492" s="1" t="s">
        <v>1126</v>
      </c>
      <c r="AI492" s="1" t="s">
        <v>665</v>
      </c>
      <c r="AJ492" s="1" t="s">
        <v>949</v>
      </c>
      <c r="AK492" s="1" t="s">
        <v>6401</v>
      </c>
      <c r="AL492" s="1">
        <v>5</v>
      </c>
      <c r="AM492" s="1">
        <v>2</v>
      </c>
      <c r="AN492" s="1">
        <v>2</v>
      </c>
      <c r="AO492" s="1">
        <v>1</v>
      </c>
      <c r="AP492" s="1" t="s">
        <v>209</v>
      </c>
      <c r="AQ492" s="1">
        <v>0</v>
      </c>
      <c r="AR492" s="1" t="s">
        <v>210</v>
      </c>
      <c r="AS492" s="1" t="s">
        <v>204</v>
      </c>
      <c r="AT492" s="1" t="s">
        <v>211</v>
      </c>
      <c r="AU492" s="1">
        <v>2</v>
      </c>
      <c r="AW492" s="1" t="s">
        <v>204</v>
      </c>
      <c r="AX492" s="1" t="s">
        <v>212</v>
      </c>
      <c r="AZ492" s="1" t="s">
        <v>751</v>
      </c>
      <c r="BA492" s="1">
        <v>2013</v>
      </c>
      <c r="BE492" s="1">
        <v>1480</v>
      </c>
      <c r="BF492" s="1">
        <v>2</v>
      </c>
      <c r="BG492" s="1">
        <v>0</v>
      </c>
      <c r="BL492" s="1">
        <v>170</v>
      </c>
      <c r="BM492" s="1" t="s">
        <v>204</v>
      </c>
      <c r="BN492" s="1" t="s">
        <v>213</v>
      </c>
      <c r="BO492" s="1">
        <v>0</v>
      </c>
      <c r="BP492" s="1" t="s">
        <v>213</v>
      </c>
      <c r="BQ492" s="2">
        <v>42112</v>
      </c>
      <c r="BR492" s="1" t="str">
        <f>"1235445002"</f>
        <v>1235445002</v>
      </c>
      <c r="BT492" s="1" t="s">
        <v>6402</v>
      </c>
      <c r="BU492" s="1" t="s">
        <v>6403</v>
      </c>
      <c r="BV492" s="1" t="s">
        <v>6404</v>
      </c>
      <c r="BW492" s="1" t="s">
        <v>6405</v>
      </c>
      <c r="BX492" s="1">
        <v>101</v>
      </c>
      <c r="BY492" s="1">
        <v>101</v>
      </c>
      <c r="BZ492" s="1">
        <v>101</v>
      </c>
      <c r="CB492" s="1" t="str">
        <f>"3"</f>
        <v>3</v>
      </c>
      <c r="CC492" s="1" t="str">
        <f>"0"</f>
        <v>0</v>
      </c>
      <c r="CD492" s="1">
        <v>34</v>
      </c>
      <c r="CE492" s="1">
        <v>0</v>
      </c>
      <c r="CH492" s="1" t="s">
        <v>224</v>
      </c>
      <c r="CK492" s="1" t="s">
        <v>315</v>
      </c>
      <c r="CL492" s="1" t="s">
        <v>277</v>
      </c>
      <c r="CM492" s="1" t="s">
        <v>220</v>
      </c>
      <c r="CP492" s="1" t="s">
        <v>224</v>
      </c>
      <c r="CS492" s="1" t="s">
        <v>346</v>
      </c>
      <c r="CT492" s="1" t="s">
        <v>277</v>
      </c>
      <c r="CU492" s="1" t="s">
        <v>220</v>
      </c>
      <c r="CX492" s="1" t="s">
        <v>224</v>
      </c>
      <c r="DB492" s="1" t="s">
        <v>224</v>
      </c>
      <c r="DE492" s="1" t="s">
        <v>630</v>
      </c>
      <c r="DF492" s="1" t="s">
        <v>219</v>
      </c>
      <c r="DJ492" s="1" t="s">
        <v>224</v>
      </c>
      <c r="DM492" s="1" t="s">
        <v>1676</v>
      </c>
      <c r="DN492" s="1" t="s">
        <v>1770</v>
      </c>
      <c r="DO492" s="1" t="s">
        <v>1548</v>
      </c>
      <c r="DP492" s="1" t="s">
        <v>347</v>
      </c>
      <c r="DR492" s="1" t="s">
        <v>6406</v>
      </c>
      <c r="DS492" s="1" t="s">
        <v>219</v>
      </c>
      <c r="DT492" s="1" t="s">
        <v>220</v>
      </c>
      <c r="DV492" s="1" t="s">
        <v>6407</v>
      </c>
      <c r="DW492" s="1" t="s">
        <v>277</v>
      </c>
      <c r="DZ492" s="1" t="s">
        <v>318</v>
      </c>
      <c r="EA492" s="1" t="s">
        <v>219</v>
      </c>
      <c r="ED492" s="1" t="s">
        <v>348</v>
      </c>
      <c r="EE492" s="1" t="s">
        <v>277</v>
      </c>
      <c r="EF492" s="1" t="s">
        <v>220</v>
      </c>
      <c r="EI492" s="1" t="s">
        <v>230</v>
      </c>
      <c r="EL492" s="1" t="s">
        <v>760</v>
      </c>
      <c r="EM492" s="1" t="s">
        <v>319</v>
      </c>
      <c r="EN492" s="1" t="s">
        <v>282</v>
      </c>
      <c r="EO492" s="1" t="s">
        <v>234</v>
      </c>
      <c r="EQ492" s="1" t="s">
        <v>2416</v>
      </c>
      <c r="ER492" s="1" t="s">
        <v>210</v>
      </c>
      <c r="ES492" s="1" t="s">
        <v>322</v>
      </c>
      <c r="ET492" s="1" t="s">
        <v>842</v>
      </c>
      <c r="EW492" s="1" t="s">
        <v>867</v>
      </c>
      <c r="EY492" s="1" t="s">
        <v>242</v>
      </c>
      <c r="EZ492" s="1" t="s">
        <v>6408</v>
      </c>
      <c r="FD492" s="1" t="s">
        <v>246</v>
      </c>
      <c r="FE492" s="1" t="s">
        <v>472</v>
      </c>
      <c r="FF492" s="1" t="s">
        <v>248</v>
      </c>
      <c r="FH492" s="1" t="s">
        <v>550</v>
      </c>
      <c r="FJ492" s="1" t="s">
        <v>518</v>
      </c>
      <c r="FL492" s="1" t="s">
        <v>358</v>
      </c>
      <c r="FM492" s="1" t="s">
        <v>252</v>
      </c>
      <c r="FN492" s="1" t="s">
        <v>213</v>
      </c>
      <c r="FO492" s="1" t="s">
        <v>213</v>
      </c>
      <c r="FQ492" s="1" t="s">
        <v>6409</v>
      </c>
      <c r="FR492" s="1" t="s">
        <v>210</v>
      </c>
      <c r="FS492" s="1" t="s">
        <v>6410</v>
      </c>
      <c r="FT492" s="1" t="s">
        <v>4778</v>
      </c>
      <c r="FU492" s="1" t="s">
        <v>204</v>
      </c>
      <c r="FV492" s="1" t="s">
        <v>6411</v>
      </c>
      <c r="FW492" s="1" t="s">
        <v>3857</v>
      </c>
      <c r="FX492" s="1">
        <v>23223</v>
      </c>
      <c r="FY492" s="1" t="s">
        <v>3858</v>
      </c>
      <c r="FZ492" s="1" t="s">
        <v>3859</v>
      </c>
      <c r="GA492" s="1">
        <v>236300</v>
      </c>
      <c r="GC492" s="1">
        <v>210778</v>
      </c>
      <c r="GE492" s="1" t="s">
        <v>480</v>
      </c>
      <c r="GI492" s="1" t="s">
        <v>204</v>
      </c>
      <c r="GJ492" s="1" t="s">
        <v>300</v>
      </c>
      <c r="GK492" s="1" t="s">
        <v>210</v>
      </c>
      <c r="GL492" s="2">
        <v>42132</v>
      </c>
      <c r="GM492" s="1" t="s">
        <v>6412</v>
      </c>
    </row>
    <row r="493" spans="1:195">
      <c r="A493" s="1">
        <v>10000</v>
      </c>
      <c r="B493" s="1" t="s">
        <v>195</v>
      </c>
      <c r="C493" s="1" t="str">
        <f>"08796877"</f>
        <v>08796877</v>
      </c>
      <c r="D493" s="1" t="s">
        <v>196</v>
      </c>
      <c r="F493" s="1" t="str">
        <f>"8051"</f>
        <v>8051</v>
      </c>
      <c r="G493" s="2">
        <v>41977</v>
      </c>
      <c r="H493" s="1">
        <v>13250</v>
      </c>
      <c r="I493" s="1">
        <v>10500</v>
      </c>
      <c r="J493" s="1">
        <v>10000</v>
      </c>
      <c r="K493" s="2">
        <v>41977</v>
      </c>
      <c r="L493" s="1">
        <v>85</v>
      </c>
      <c r="M493" s="2">
        <v>42061</v>
      </c>
      <c r="N493" s="1">
        <v>85</v>
      </c>
      <c r="O493" s="2">
        <v>42061</v>
      </c>
      <c r="P493" s="1">
        <v>22367</v>
      </c>
      <c r="Q493" s="1" t="s">
        <v>302</v>
      </c>
      <c r="R493" s="2">
        <v>42069</v>
      </c>
      <c r="S493" s="1">
        <v>224354</v>
      </c>
      <c r="U493" s="1">
        <v>9770</v>
      </c>
      <c r="V493" s="1" t="s">
        <v>6413</v>
      </c>
      <c r="W493" s="1" t="s">
        <v>425</v>
      </c>
      <c r="Y493" s="1">
        <v>1</v>
      </c>
      <c r="Z493" s="1" t="s">
        <v>200</v>
      </c>
      <c r="AA493" s="1" t="s">
        <v>400</v>
      </c>
      <c r="AB493" s="1">
        <v>60617</v>
      </c>
      <c r="AE493" s="1" t="s">
        <v>6414</v>
      </c>
      <c r="AF493" s="1">
        <v>1945</v>
      </c>
      <c r="AG493" s="1" t="s">
        <v>213</v>
      </c>
      <c r="AH493" s="1" t="s">
        <v>403</v>
      </c>
      <c r="AI493" s="1" t="s">
        <v>310</v>
      </c>
      <c r="AJ493" s="1" t="s">
        <v>562</v>
      </c>
      <c r="AL493" s="1">
        <v>4</v>
      </c>
      <c r="AM493" s="1">
        <v>2</v>
      </c>
      <c r="AN493" s="1">
        <v>1</v>
      </c>
      <c r="AO493" s="1">
        <v>0</v>
      </c>
      <c r="AP493" s="1" t="s">
        <v>210</v>
      </c>
      <c r="AR493" s="1" t="s">
        <v>210</v>
      </c>
      <c r="AT493" s="1" t="s">
        <v>210</v>
      </c>
      <c r="AW493" s="1" t="s">
        <v>204</v>
      </c>
      <c r="AX493" s="1" t="s">
        <v>6415</v>
      </c>
      <c r="AZ493" s="1">
        <v>814.52</v>
      </c>
      <c r="BA493" s="1">
        <v>2012</v>
      </c>
      <c r="BE493" s="1">
        <v>750</v>
      </c>
      <c r="BF493" s="1">
        <v>1</v>
      </c>
      <c r="BG493" s="1">
        <v>0</v>
      </c>
      <c r="BL493" s="1">
        <v>0</v>
      </c>
      <c r="BM493" s="1" t="s">
        <v>204</v>
      </c>
      <c r="BN493" s="1" t="s">
        <v>213</v>
      </c>
      <c r="BO493" s="1">
        <v>999</v>
      </c>
      <c r="BP493" s="1" t="s">
        <v>204</v>
      </c>
      <c r="BR493" s="1" t="str">
        <f>"25122190250000"</f>
        <v>25122190250000</v>
      </c>
      <c r="BT493" s="1" t="s">
        <v>6416</v>
      </c>
      <c r="BX493" s="1">
        <v>299</v>
      </c>
      <c r="BY493" s="1">
        <v>299</v>
      </c>
      <c r="BZ493" s="1">
        <v>299</v>
      </c>
      <c r="CB493" s="1" t="str">
        <f>"0"</f>
        <v>0</v>
      </c>
      <c r="CC493" s="1" t="str">
        <f>"2600"</f>
        <v>2600</v>
      </c>
      <c r="CD493" s="1">
        <v>0</v>
      </c>
      <c r="CE493" s="1">
        <v>9700</v>
      </c>
      <c r="CG493" s="1" t="s">
        <v>280</v>
      </c>
      <c r="CH493" s="1" t="s">
        <v>219</v>
      </c>
      <c r="CK493" s="1" t="s">
        <v>377</v>
      </c>
      <c r="CL493" s="1" t="s">
        <v>219</v>
      </c>
      <c r="CP493" s="1" t="s">
        <v>224</v>
      </c>
      <c r="CS493" s="1" t="s">
        <v>379</v>
      </c>
      <c r="CT493" s="1" t="s">
        <v>219</v>
      </c>
      <c r="CX493" s="1" t="s">
        <v>224</v>
      </c>
      <c r="DB493" s="1" t="s">
        <v>224</v>
      </c>
      <c r="DE493" s="1" t="s">
        <v>1470</v>
      </c>
      <c r="DF493" s="1" t="s">
        <v>219</v>
      </c>
      <c r="DJ493" s="1" t="s">
        <v>224</v>
      </c>
      <c r="DS493" s="1" t="s">
        <v>230</v>
      </c>
      <c r="DW493" s="1" t="s">
        <v>230</v>
      </c>
      <c r="EA493" s="1" t="s">
        <v>230</v>
      </c>
      <c r="EE493" s="1" t="s">
        <v>230</v>
      </c>
      <c r="EI493" s="1" t="s">
        <v>230</v>
      </c>
      <c r="EL493" s="1" t="s">
        <v>3717</v>
      </c>
      <c r="EM493" s="1" t="s">
        <v>232</v>
      </c>
      <c r="EN493" s="1" t="s">
        <v>210</v>
      </c>
      <c r="EO493" s="1" t="s">
        <v>234</v>
      </c>
      <c r="ER493" s="1" t="s">
        <v>210</v>
      </c>
      <c r="EW493" s="1" t="s">
        <v>210</v>
      </c>
      <c r="EZ493" s="1" t="s">
        <v>287</v>
      </c>
      <c r="FD493" s="1" t="s">
        <v>246</v>
      </c>
      <c r="FE493" s="1" t="s">
        <v>247</v>
      </c>
      <c r="FF493" s="1" t="s">
        <v>248</v>
      </c>
      <c r="FH493" s="1" t="s">
        <v>825</v>
      </c>
      <c r="FJ493" s="1" t="s">
        <v>347</v>
      </c>
      <c r="FL493" s="1" t="s">
        <v>414</v>
      </c>
      <c r="FM493" s="1" t="s">
        <v>252</v>
      </c>
      <c r="FN493" s="1" t="s">
        <v>213</v>
      </c>
      <c r="FO493" s="1" t="s">
        <v>213</v>
      </c>
      <c r="FQ493" s="1" t="s">
        <v>1300</v>
      </c>
      <c r="FR493" s="1" t="s">
        <v>210</v>
      </c>
      <c r="FS493" s="1" t="s">
        <v>1429</v>
      </c>
      <c r="FT493" s="1" t="s">
        <v>675</v>
      </c>
      <c r="FU493" s="1" t="s">
        <v>213</v>
      </c>
      <c r="FW493" s="1" t="s">
        <v>6417</v>
      </c>
      <c r="FX493" s="1">
        <v>84495</v>
      </c>
      <c r="FY493" s="1" t="s">
        <v>6418</v>
      </c>
      <c r="FZ493" s="1" t="s">
        <v>6419</v>
      </c>
      <c r="GA493" s="1">
        <v>139484</v>
      </c>
      <c r="GB493" s="1" t="s">
        <v>6418</v>
      </c>
      <c r="GE493" s="1" t="s">
        <v>210</v>
      </c>
      <c r="GH493" s="1" t="s">
        <v>421</v>
      </c>
      <c r="GI493" s="1" t="s">
        <v>213</v>
      </c>
      <c r="GJ493" s="1" t="s">
        <v>260</v>
      </c>
      <c r="GK493" s="1" t="s">
        <v>210</v>
      </c>
      <c r="GL493" s="2">
        <v>42069</v>
      </c>
      <c r="GM493" s="1" t="s">
        <v>6420</v>
      </c>
    </row>
    <row r="494" spans="1:195">
      <c r="A494" s="1">
        <v>225000</v>
      </c>
      <c r="B494" s="1" t="s">
        <v>195</v>
      </c>
      <c r="C494" s="1" t="str">
        <f>"08797031"</f>
        <v>08797031</v>
      </c>
      <c r="D494" s="1" t="s">
        <v>196</v>
      </c>
      <c r="F494" s="1" t="str">
        <f>"10"</f>
        <v>10</v>
      </c>
      <c r="G494" s="2">
        <v>41977</v>
      </c>
      <c r="H494" s="1">
        <v>239900</v>
      </c>
      <c r="I494" s="1">
        <v>239900</v>
      </c>
      <c r="J494" s="1">
        <v>225000</v>
      </c>
      <c r="K494" s="2">
        <v>41975</v>
      </c>
      <c r="L494" s="1">
        <v>43</v>
      </c>
      <c r="M494" s="2">
        <v>42017</v>
      </c>
      <c r="N494" s="1">
        <v>43</v>
      </c>
      <c r="O494" s="2">
        <v>42017</v>
      </c>
      <c r="P494" s="1">
        <v>6018</v>
      </c>
      <c r="Q494" s="1" t="s">
        <v>197</v>
      </c>
      <c r="R494" s="2">
        <v>42062</v>
      </c>
      <c r="S494" s="1">
        <v>61677</v>
      </c>
      <c r="U494" s="1">
        <v>1220</v>
      </c>
      <c r="V494" s="1" t="s">
        <v>6421</v>
      </c>
      <c r="W494" s="1" t="s">
        <v>1056</v>
      </c>
      <c r="X494" s="1" t="s">
        <v>483</v>
      </c>
      <c r="Y494" s="1">
        <v>4</v>
      </c>
      <c r="Z494" s="1" t="s">
        <v>249</v>
      </c>
      <c r="AA494" s="1" t="s">
        <v>1985</v>
      </c>
      <c r="AB494" s="1">
        <v>60010</v>
      </c>
      <c r="AD494" s="1" t="s">
        <v>1986</v>
      </c>
      <c r="AE494" s="1" t="s">
        <v>6422</v>
      </c>
      <c r="AF494" s="1">
        <v>1986</v>
      </c>
      <c r="AG494" s="1" t="s">
        <v>204</v>
      </c>
      <c r="AH494" s="1" t="s">
        <v>1988</v>
      </c>
      <c r="AI494" s="1" t="s">
        <v>509</v>
      </c>
      <c r="AJ494" s="1" t="s">
        <v>1989</v>
      </c>
      <c r="AL494" s="1">
        <v>8</v>
      </c>
      <c r="AM494" s="1">
        <v>2</v>
      </c>
      <c r="AN494" s="1">
        <v>2</v>
      </c>
      <c r="AO494" s="1">
        <v>0</v>
      </c>
      <c r="AP494" s="1" t="s">
        <v>209</v>
      </c>
      <c r="AQ494" s="1">
        <v>2</v>
      </c>
      <c r="AR494" s="1" t="s">
        <v>209</v>
      </c>
      <c r="AS494" s="1" t="s">
        <v>204</v>
      </c>
      <c r="AT494" s="1" t="s">
        <v>211</v>
      </c>
      <c r="AU494" s="1">
        <v>1</v>
      </c>
      <c r="AW494" s="1" t="s">
        <v>204</v>
      </c>
      <c r="AX494" s="1" t="s">
        <v>212</v>
      </c>
      <c r="AZ494" s="1">
        <v>5533.71</v>
      </c>
      <c r="BA494" s="1">
        <v>2013</v>
      </c>
      <c r="BB494" s="1" t="s">
        <v>599</v>
      </c>
      <c r="BE494" s="1">
        <v>1596</v>
      </c>
      <c r="BF494" s="1">
        <v>1</v>
      </c>
      <c r="BG494" s="1">
        <v>10</v>
      </c>
      <c r="BL494" s="1">
        <v>544</v>
      </c>
      <c r="BM494" s="1" t="s">
        <v>204</v>
      </c>
      <c r="BN494" s="1" t="s">
        <v>204</v>
      </c>
      <c r="BP494" s="1" t="s">
        <v>204</v>
      </c>
      <c r="BR494" s="1" t="str">
        <f>"13113004900000"</f>
        <v>13113004900000</v>
      </c>
      <c r="BT494" s="1" t="s">
        <v>6423</v>
      </c>
      <c r="BX494" s="1">
        <v>220</v>
      </c>
      <c r="BY494" s="1">
        <v>220</v>
      </c>
      <c r="BZ494" s="1">
        <v>220</v>
      </c>
      <c r="CB494" s="1" t="str">
        <f>"24"</f>
        <v>24</v>
      </c>
      <c r="CC494" s="1" t="str">
        <f>"0"</f>
        <v>0</v>
      </c>
      <c r="CD494" s="1">
        <v>26</v>
      </c>
      <c r="CE494" s="1">
        <v>0</v>
      </c>
      <c r="CG494" s="1" t="s">
        <v>1132</v>
      </c>
      <c r="CH494" s="1" t="s">
        <v>219</v>
      </c>
      <c r="CI494" s="1" t="s">
        <v>220</v>
      </c>
      <c r="CJ494" s="1" t="s">
        <v>252</v>
      </c>
      <c r="CK494" s="1" t="s">
        <v>1737</v>
      </c>
      <c r="CL494" s="1" t="s">
        <v>219</v>
      </c>
      <c r="CM494" s="1" t="s">
        <v>220</v>
      </c>
      <c r="CN494" s="1" t="s">
        <v>252</v>
      </c>
      <c r="CO494" s="1" t="s">
        <v>379</v>
      </c>
      <c r="CP494" s="1" t="s">
        <v>219</v>
      </c>
      <c r="CQ494" s="1" t="s">
        <v>220</v>
      </c>
      <c r="CS494" s="1" t="s">
        <v>461</v>
      </c>
      <c r="CT494" s="1" t="s">
        <v>219</v>
      </c>
      <c r="CU494" s="1" t="s">
        <v>220</v>
      </c>
      <c r="CV494" s="1" t="s">
        <v>252</v>
      </c>
      <c r="CX494" s="1" t="s">
        <v>224</v>
      </c>
      <c r="DB494" s="1" t="s">
        <v>224</v>
      </c>
      <c r="DE494" s="1" t="s">
        <v>380</v>
      </c>
      <c r="DF494" s="1" t="s">
        <v>219</v>
      </c>
      <c r="DG494" s="1" t="s">
        <v>342</v>
      </c>
      <c r="DH494" s="1" t="s">
        <v>252</v>
      </c>
      <c r="DI494" s="1" t="s">
        <v>378</v>
      </c>
      <c r="DJ494" s="1" t="s">
        <v>219</v>
      </c>
      <c r="DK494" s="1" t="s">
        <v>220</v>
      </c>
      <c r="DL494" s="1" t="s">
        <v>252</v>
      </c>
      <c r="DM494" s="1" t="s">
        <v>934</v>
      </c>
      <c r="DN494" s="1" t="s">
        <v>1005</v>
      </c>
      <c r="DR494" s="1" t="s">
        <v>1132</v>
      </c>
      <c r="DS494" s="1" t="s">
        <v>822</v>
      </c>
      <c r="DT494" s="1" t="s">
        <v>220</v>
      </c>
      <c r="DU494" s="1" t="s">
        <v>252</v>
      </c>
      <c r="DV494" s="1" t="s">
        <v>757</v>
      </c>
      <c r="DW494" s="1" t="s">
        <v>822</v>
      </c>
      <c r="DX494" s="1" t="s">
        <v>220</v>
      </c>
      <c r="DY494" s="1" t="s">
        <v>252</v>
      </c>
      <c r="EA494" s="1" t="s">
        <v>230</v>
      </c>
      <c r="EE494" s="1" t="s">
        <v>230</v>
      </c>
      <c r="EI494" s="1" t="s">
        <v>230</v>
      </c>
      <c r="EL494" s="1" t="s">
        <v>542</v>
      </c>
      <c r="EM494" s="1" t="s">
        <v>319</v>
      </c>
      <c r="EN494" s="1" t="s">
        <v>282</v>
      </c>
      <c r="EO494" s="1" t="s">
        <v>234</v>
      </c>
      <c r="EP494" s="1" t="s">
        <v>6424</v>
      </c>
      <c r="EQ494" s="1" t="s">
        <v>492</v>
      </c>
      <c r="ER494" s="1" t="s">
        <v>544</v>
      </c>
      <c r="ES494" s="1" t="s">
        <v>4437</v>
      </c>
      <c r="EU494" s="1" t="s">
        <v>3377</v>
      </c>
      <c r="EV494" s="1" t="s">
        <v>6425</v>
      </c>
      <c r="EW494" s="1" t="s">
        <v>6426</v>
      </c>
      <c r="EY494" s="1" t="s">
        <v>242</v>
      </c>
      <c r="EZ494" s="1" t="s">
        <v>2539</v>
      </c>
      <c r="FB494" s="1" t="s">
        <v>244</v>
      </c>
      <c r="FC494" s="1" t="s">
        <v>1386</v>
      </c>
      <c r="FD494" s="1" t="s">
        <v>1112</v>
      </c>
      <c r="FE494" s="1" t="s">
        <v>889</v>
      </c>
      <c r="FF494" s="1" t="s">
        <v>248</v>
      </c>
      <c r="FG494" s="1" t="s">
        <v>1682</v>
      </c>
      <c r="FH494" s="1" t="s">
        <v>249</v>
      </c>
      <c r="FI494" s="1" t="s">
        <v>357</v>
      </c>
      <c r="FJ494" s="1" t="s">
        <v>197</v>
      </c>
      <c r="FL494" s="1" t="s">
        <v>358</v>
      </c>
      <c r="FM494" s="1" t="s">
        <v>252</v>
      </c>
      <c r="FN494" s="1" t="s">
        <v>213</v>
      </c>
      <c r="FO494" s="1" t="s">
        <v>213</v>
      </c>
      <c r="FQ494" s="1" t="s">
        <v>1896</v>
      </c>
      <c r="FR494" s="1" t="s">
        <v>210</v>
      </c>
      <c r="FS494" s="1" t="s">
        <v>3605</v>
      </c>
      <c r="FT494" s="1" t="s">
        <v>1408</v>
      </c>
      <c r="FU494" s="1" t="s">
        <v>204</v>
      </c>
      <c r="FW494" s="1" t="s">
        <v>813</v>
      </c>
      <c r="FX494" s="1">
        <v>5152</v>
      </c>
      <c r="FY494" s="1" t="s">
        <v>6427</v>
      </c>
      <c r="FZ494" s="1" t="s">
        <v>6428</v>
      </c>
      <c r="GA494" s="1">
        <v>55298</v>
      </c>
      <c r="GB494" s="1" t="s">
        <v>6429</v>
      </c>
      <c r="GC494" s="1">
        <v>55332</v>
      </c>
      <c r="GD494" s="1" t="s">
        <v>6430</v>
      </c>
      <c r="GE494" s="1" t="s">
        <v>480</v>
      </c>
      <c r="GI494" s="1" t="s">
        <v>213</v>
      </c>
      <c r="GJ494" s="1" t="s">
        <v>260</v>
      </c>
      <c r="GK494" s="1" t="s">
        <v>210</v>
      </c>
      <c r="GL494" s="2">
        <v>42062</v>
      </c>
    </row>
    <row r="495" spans="1:195">
      <c r="A495" s="1">
        <v>141000</v>
      </c>
      <c r="B495" s="1" t="s">
        <v>195</v>
      </c>
      <c r="C495" s="1" t="str">
        <f>"08801126"</f>
        <v>08801126</v>
      </c>
      <c r="D495" s="1" t="s">
        <v>196</v>
      </c>
      <c r="F495" s="1" t="str">
        <f>"191"</f>
        <v>191</v>
      </c>
      <c r="G495" s="2">
        <v>41985</v>
      </c>
      <c r="H495" s="1">
        <v>144900</v>
      </c>
      <c r="I495" s="1">
        <v>144900</v>
      </c>
      <c r="J495" s="1">
        <v>141000</v>
      </c>
      <c r="K495" s="2">
        <v>41985</v>
      </c>
      <c r="L495" s="1">
        <v>15</v>
      </c>
      <c r="M495" s="2">
        <v>41999</v>
      </c>
      <c r="N495" s="1">
        <v>15</v>
      </c>
      <c r="O495" s="2">
        <v>41999</v>
      </c>
      <c r="P495" s="1">
        <v>10115</v>
      </c>
      <c r="Q495" s="1" t="s">
        <v>423</v>
      </c>
      <c r="R495" s="2">
        <v>42062</v>
      </c>
      <c r="S495" s="1">
        <v>149646</v>
      </c>
      <c r="U495" s="1">
        <v>472</v>
      </c>
      <c r="V495" s="1" t="s">
        <v>6431</v>
      </c>
      <c r="W495" s="1" t="s">
        <v>264</v>
      </c>
      <c r="X495" s="1" t="s">
        <v>6432</v>
      </c>
      <c r="Y495" s="1">
        <v>8</v>
      </c>
      <c r="Z495" s="1" t="s">
        <v>249</v>
      </c>
      <c r="AA495" s="1" t="s">
        <v>1966</v>
      </c>
      <c r="AB495" s="1">
        <v>60191</v>
      </c>
      <c r="AD495" s="1" t="s">
        <v>2716</v>
      </c>
      <c r="AE495" s="1" t="s">
        <v>6433</v>
      </c>
      <c r="AF495" s="1">
        <v>1986</v>
      </c>
      <c r="AG495" s="1" t="s">
        <v>204</v>
      </c>
      <c r="AH495" s="1" t="s">
        <v>1969</v>
      </c>
      <c r="AI495" s="1" t="s">
        <v>206</v>
      </c>
      <c r="AJ495" s="1" t="s">
        <v>1233</v>
      </c>
      <c r="AK495" s="1" t="s">
        <v>6434</v>
      </c>
      <c r="AL495" s="1">
        <v>5</v>
      </c>
      <c r="AM495" s="1">
        <v>2</v>
      </c>
      <c r="AN495" s="1">
        <v>2</v>
      </c>
      <c r="AO495" s="1">
        <v>0</v>
      </c>
      <c r="AP495" s="1" t="s">
        <v>209</v>
      </c>
      <c r="AR495" s="1" t="s">
        <v>210</v>
      </c>
      <c r="AS495" s="1" t="s">
        <v>204</v>
      </c>
      <c r="AT495" s="1" t="s">
        <v>375</v>
      </c>
      <c r="AU495" s="1">
        <v>1</v>
      </c>
      <c r="AV495" s="1">
        <v>1</v>
      </c>
      <c r="AW495" s="1" t="s">
        <v>204</v>
      </c>
      <c r="AX495" s="1" t="s">
        <v>212</v>
      </c>
      <c r="AZ495" s="1">
        <v>2238</v>
      </c>
      <c r="BA495" s="1">
        <v>2013</v>
      </c>
      <c r="BB495" s="1" t="s">
        <v>3996</v>
      </c>
      <c r="BE495" s="1">
        <v>1200</v>
      </c>
      <c r="BF495" s="1" t="s">
        <v>6276</v>
      </c>
      <c r="BG495" s="1">
        <v>0</v>
      </c>
      <c r="BL495" s="1">
        <v>256</v>
      </c>
      <c r="BM495" s="1" t="s">
        <v>204</v>
      </c>
      <c r="BN495" s="1" t="s">
        <v>213</v>
      </c>
      <c r="BO495" s="1">
        <v>999</v>
      </c>
      <c r="BP495" s="1" t="s">
        <v>204</v>
      </c>
      <c r="BR495" s="1" t="str">
        <f>"0316310101"</f>
        <v>0316310101</v>
      </c>
      <c r="BT495" s="1" t="s">
        <v>6435</v>
      </c>
      <c r="BU495" s="1" t="s">
        <v>2719</v>
      </c>
      <c r="BV495" s="1" t="s">
        <v>2720</v>
      </c>
      <c r="BW495" s="1" t="s">
        <v>2721</v>
      </c>
      <c r="BX495" s="1">
        <v>4</v>
      </c>
      <c r="BY495" s="1">
        <v>4</v>
      </c>
      <c r="BZ495" s="1">
        <v>88</v>
      </c>
      <c r="CB495" s="1" t="str">
        <f t="shared" ref="CB495:CC495" si="385">""</f>
        <v/>
      </c>
      <c r="CC495" s="1" t="str">
        <f t="shared" si="385"/>
        <v/>
      </c>
      <c r="CG495" s="1" t="s">
        <v>344</v>
      </c>
      <c r="CH495" s="1" t="s">
        <v>219</v>
      </c>
      <c r="CI495" s="1" t="s">
        <v>220</v>
      </c>
      <c r="CK495" s="1" t="s">
        <v>344</v>
      </c>
      <c r="CL495" s="1" t="s">
        <v>219</v>
      </c>
      <c r="CM495" s="1" t="s">
        <v>220</v>
      </c>
      <c r="CO495" s="1" t="s">
        <v>348</v>
      </c>
      <c r="CP495" s="1" t="s">
        <v>219</v>
      </c>
      <c r="CQ495" s="1" t="s">
        <v>220</v>
      </c>
      <c r="CS495" s="1" t="s">
        <v>378</v>
      </c>
      <c r="CT495" s="1" t="s">
        <v>219</v>
      </c>
      <c r="CU495" s="1" t="s">
        <v>220</v>
      </c>
      <c r="CX495" s="1" t="s">
        <v>224</v>
      </c>
      <c r="DB495" s="1" t="s">
        <v>224</v>
      </c>
      <c r="DE495" s="1" t="s">
        <v>281</v>
      </c>
      <c r="DF495" s="1" t="s">
        <v>219</v>
      </c>
      <c r="DG495" s="1" t="s">
        <v>342</v>
      </c>
      <c r="DJ495" s="1" t="s">
        <v>224</v>
      </c>
      <c r="DS495" s="1" t="s">
        <v>230</v>
      </c>
      <c r="DW495" s="1" t="s">
        <v>230</v>
      </c>
      <c r="EA495" s="1" t="s">
        <v>230</v>
      </c>
      <c r="EE495" s="1" t="s">
        <v>230</v>
      </c>
      <c r="EI495" s="1" t="s">
        <v>230</v>
      </c>
      <c r="EL495" s="1" t="s">
        <v>542</v>
      </c>
      <c r="EM495" s="1" t="s">
        <v>319</v>
      </c>
      <c r="EN495" s="1" t="s">
        <v>282</v>
      </c>
      <c r="EO495" s="1" t="s">
        <v>234</v>
      </c>
      <c r="ER495" s="1" t="s">
        <v>210</v>
      </c>
      <c r="EU495" s="1" t="s">
        <v>6436</v>
      </c>
      <c r="EW495" s="1" t="s">
        <v>887</v>
      </c>
      <c r="EZ495" s="1" t="s">
        <v>287</v>
      </c>
      <c r="FA495" s="1" t="s">
        <v>5044</v>
      </c>
      <c r="FD495" s="1" t="s">
        <v>246</v>
      </c>
      <c r="FE495" s="1" t="s">
        <v>2970</v>
      </c>
      <c r="FF495" s="1" t="s">
        <v>248</v>
      </c>
      <c r="FH495" s="1" t="s">
        <v>6437</v>
      </c>
      <c r="FI495" s="1" t="s">
        <v>357</v>
      </c>
      <c r="FL495" s="1" t="s">
        <v>358</v>
      </c>
      <c r="FM495" s="1" t="s">
        <v>252</v>
      </c>
      <c r="FN495" s="1" t="s">
        <v>213</v>
      </c>
      <c r="FO495" s="1" t="s">
        <v>213</v>
      </c>
      <c r="FQ495" s="1" t="s">
        <v>3545</v>
      </c>
      <c r="FR495" s="1" t="s">
        <v>210</v>
      </c>
      <c r="FS495" s="1" t="s">
        <v>6438</v>
      </c>
      <c r="FT495" s="1" t="s">
        <v>295</v>
      </c>
      <c r="FU495" s="1" t="s">
        <v>204</v>
      </c>
      <c r="FW495" s="1" t="s">
        <v>676</v>
      </c>
      <c r="FX495" s="1">
        <v>30</v>
      </c>
      <c r="FY495" s="1" t="s">
        <v>677</v>
      </c>
      <c r="FZ495" s="1" t="s">
        <v>6439</v>
      </c>
      <c r="GA495" s="1">
        <v>523</v>
      </c>
      <c r="GB495" s="1" t="s">
        <v>6440</v>
      </c>
      <c r="GC495" s="1">
        <v>473</v>
      </c>
      <c r="GD495" s="1" t="s">
        <v>6441</v>
      </c>
      <c r="GE495" s="1" t="s">
        <v>480</v>
      </c>
      <c r="GI495" s="1" t="s">
        <v>213</v>
      </c>
      <c r="GJ495" s="1" t="s">
        <v>260</v>
      </c>
      <c r="GK495" s="1" t="s">
        <v>210</v>
      </c>
      <c r="GL495" s="2">
        <v>42062</v>
      </c>
    </row>
    <row r="496" spans="1:195">
      <c r="A496" s="1">
        <v>119500</v>
      </c>
      <c r="B496" s="1" t="s">
        <v>195</v>
      </c>
      <c r="C496" s="1" t="str">
        <f>"08796545"</f>
        <v>08796545</v>
      </c>
      <c r="D496" s="1" t="s">
        <v>196</v>
      </c>
      <c r="F496" s="1" t="str">
        <f t="shared" ref="F496:F497" si="386">"187"</f>
        <v>187</v>
      </c>
      <c r="G496" s="2">
        <v>41977</v>
      </c>
      <c r="H496" s="1">
        <v>125000</v>
      </c>
      <c r="I496" s="1">
        <v>125000</v>
      </c>
      <c r="J496" s="1">
        <v>119500</v>
      </c>
      <c r="K496" s="2">
        <v>41977</v>
      </c>
      <c r="L496" s="1">
        <v>179</v>
      </c>
      <c r="M496" s="2">
        <v>41987</v>
      </c>
      <c r="N496" s="1">
        <v>11</v>
      </c>
      <c r="O496" s="2">
        <v>41987</v>
      </c>
      <c r="P496" s="1">
        <v>22145</v>
      </c>
      <c r="Q496" s="1" t="s">
        <v>197</v>
      </c>
      <c r="R496" s="2">
        <v>42020</v>
      </c>
      <c r="S496" s="1">
        <v>239517</v>
      </c>
      <c r="U496" s="1">
        <v>1418</v>
      </c>
      <c r="V496" s="1" t="s">
        <v>6442</v>
      </c>
      <c r="W496" s="1" t="s">
        <v>304</v>
      </c>
      <c r="X496" s="1" t="s">
        <v>483</v>
      </c>
      <c r="Y496" s="1">
        <v>4</v>
      </c>
      <c r="Z496" s="1" t="s">
        <v>249</v>
      </c>
      <c r="AA496" s="1" t="s">
        <v>964</v>
      </c>
      <c r="AB496" s="1">
        <v>60189</v>
      </c>
      <c r="AD496" s="1" t="s">
        <v>6443</v>
      </c>
      <c r="AE496" s="1" t="s">
        <v>6444</v>
      </c>
      <c r="AF496" s="1">
        <v>1980</v>
      </c>
      <c r="AG496" s="1" t="s">
        <v>204</v>
      </c>
      <c r="AH496" s="1" t="s">
        <v>967</v>
      </c>
      <c r="AI496" s="1" t="s">
        <v>206</v>
      </c>
      <c r="AJ496" s="1" t="s">
        <v>207</v>
      </c>
      <c r="AL496" s="1">
        <v>5</v>
      </c>
      <c r="AM496" s="1">
        <v>2</v>
      </c>
      <c r="AN496" s="1">
        <v>1</v>
      </c>
      <c r="AO496" s="1">
        <v>0</v>
      </c>
      <c r="AP496" s="1" t="s">
        <v>455</v>
      </c>
      <c r="AQ496" s="1">
        <v>0</v>
      </c>
      <c r="AR496" s="1" t="s">
        <v>210</v>
      </c>
      <c r="AS496" s="1" t="s">
        <v>204</v>
      </c>
      <c r="AT496" s="1" t="s">
        <v>211</v>
      </c>
      <c r="AU496" s="1">
        <v>1</v>
      </c>
      <c r="AW496" s="1" t="s">
        <v>204</v>
      </c>
      <c r="AX496" s="1" t="s">
        <v>212</v>
      </c>
      <c r="AZ496" s="1">
        <v>3268</v>
      </c>
      <c r="BA496" s="1">
        <v>2013</v>
      </c>
      <c r="BB496" s="1" t="s">
        <v>210</v>
      </c>
      <c r="BE496" s="1">
        <v>1056</v>
      </c>
      <c r="BF496" s="1">
        <v>1</v>
      </c>
      <c r="BG496" s="1">
        <v>30</v>
      </c>
      <c r="BL496" s="1">
        <v>297</v>
      </c>
      <c r="BM496" s="1" t="s">
        <v>204</v>
      </c>
      <c r="BN496" s="1" t="s">
        <v>213</v>
      </c>
      <c r="BO496" s="1">
        <v>999</v>
      </c>
      <c r="BP496" s="1" t="s">
        <v>204</v>
      </c>
      <c r="BR496" s="1" t="str">
        <f>"0521412100"</f>
        <v>0521412100</v>
      </c>
      <c r="BT496" s="1" t="s">
        <v>6445</v>
      </c>
      <c r="BU496" s="1" t="s">
        <v>969</v>
      </c>
      <c r="BV496" s="1" t="s">
        <v>970</v>
      </c>
      <c r="BW496" s="1" t="s">
        <v>971</v>
      </c>
      <c r="BX496" s="1">
        <v>200</v>
      </c>
      <c r="BY496" s="1">
        <v>200</v>
      </c>
      <c r="BZ496" s="1">
        <v>200</v>
      </c>
      <c r="CB496" s="1" t="str">
        <f t="shared" ref="CB496:CC496" si="387">"0"</f>
        <v>0</v>
      </c>
      <c r="CC496" s="1" t="str">
        <f t="shared" si="387"/>
        <v>0</v>
      </c>
      <c r="CD496" s="1">
        <v>0</v>
      </c>
      <c r="CE496" s="1">
        <v>0</v>
      </c>
      <c r="CG496" s="1" t="s">
        <v>515</v>
      </c>
      <c r="CH496" s="1" t="s">
        <v>219</v>
      </c>
      <c r="CI496" s="1" t="s">
        <v>220</v>
      </c>
      <c r="CJ496" s="1" t="s">
        <v>343</v>
      </c>
      <c r="CK496" s="1" t="s">
        <v>602</v>
      </c>
      <c r="CL496" s="1" t="s">
        <v>219</v>
      </c>
      <c r="CM496" s="1" t="s">
        <v>220</v>
      </c>
      <c r="CN496" s="1" t="s">
        <v>343</v>
      </c>
      <c r="CO496" s="1" t="s">
        <v>837</v>
      </c>
      <c r="CP496" s="1" t="s">
        <v>219</v>
      </c>
      <c r="CQ496" s="1" t="s">
        <v>220</v>
      </c>
      <c r="CR496" s="1" t="s">
        <v>343</v>
      </c>
      <c r="CS496" s="1" t="s">
        <v>1297</v>
      </c>
      <c r="CT496" s="1" t="s">
        <v>219</v>
      </c>
      <c r="CU496" s="1" t="s">
        <v>220</v>
      </c>
      <c r="CV496" s="1" t="s">
        <v>343</v>
      </c>
      <c r="CX496" s="1" t="s">
        <v>224</v>
      </c>
      <c r="DB496" s="1" t="s">
        <v>224</v>
      </c>
      <c r="DE496" s="1" t="s">
        <v>409</v>
      </c>
      <c r="DF496" s="1" t="s">
        <v>219</v>
      </c>
      <c r="DG496" s="1" t="s">
        <v>342</v>
      </c>
      <c r="DH496" s="1" t="s">
        <v>343</v>
      </c>
      <c r="DJ496" s="1" t="s">
        <v>224</v>
      </c>
      <c r="DS496" s="1" t="s">
        <v>230</v>
      </c>
      <c r="DW496" s="1" t="s">
        <v>230</v>
      </c>
      <c r="EA496" s="1" t="s">
        <v>230</v>
      </c>
      <c r="EE496" s="1" t="s">
        <v>230</v>
      </c>
      <c r="EI496" s="1" t="s">
        <v>230</v>
      </c>
      <c r="EL496" s="1" t="s">
        <v>231</v>
      </c>
      <c r="EM496" s="1" t="s">
        <v>730</v>
      </c>
      <c r="EN496" s="1" t="s">
        <v>282</v>
      </c>
      <c r="EO496" s="1" t="s">
        <v>234</v>
      </c>
      <c r="EP496" s="1" t="s">
        <v>6446</v>
      </c>
      <c r="EQ496" s="1" t="s">
        <v>1094</v>
      </c>
      <c r="ER496" s="1" t="s">
        <v>210</v>
      </c>
      <c r="ES496" s="1" t="s">
        <v>493</v>
      </c>
      <c r="EU496" s="1" t="s">
        <v>239</v>
      </c>
      <c r="EV496" s="1" t="s">
        <v>324</v>
      </c>
      <c r="EW496" s="1" t="s">
        <v>353</v>
      </c>
      <c r="EY496" s="1" t="s">
        <v>441</v>
      </c>
      <c r="EZ496" s="1" t="s">
        <v>287</v>
      </c>
      <c r="FA496" s="1" t="s">
        <v>1427</v>
      </c>
      <c r="FB496" s="1" t="s">
        <v>289</v>
      </c>
      <c r="FC496" s="1" t="s">
        <v>1405</v>
      </c>
      <c r="FD496" s="1" t="s">
        <v>246</v>
      </c>
      <c r="FE496" s="1" t="s">
        <v>247</v>
      </c>
      <c r="FF496" s="1" t="s">
        <v>248</v>
      </c>
      <c r="FH496" s="1" t="s">
        <v>249</v>
      </c>
      <c r="FI496" s="1" t="s">
        <v>357</v>
      </c>
      <c r="FJ496" s="1" t="s">
        <v>1179</v>
      </c>
      <c r="FL496" s="1" t="s">
        <v>358</v>
      </c>
      <c r="FM496" s="1" t="s">
        <v>252</v>
      </c>
      <c r="FN496" s="1" t="s">
        <v>213</v>
      </c>
      <c r="FO496" s="1" t="s">
        <v>204</v>
      </c>
      <c r="FQ496" s="1" t="s">
        <v>293</v>
      </c>
      <c r="FR496" s="1" t="s">
        <v>210</v>
      </c>
      <c r="FS496" s="1" t="s">
        <v>6447</v>
      </c>
      <c r="FT496" s="1" t="s">
        <v>295</v>
      </c>
      <c r="FU496" s="1" t="s">
        <v>204</v>
      </c>
      <c r="FW496" s="1" t="s">
        <v>585</v>
      </c>
      <c r="FX496" s="1">
        <v>25003</v>
      </c>
      <c r="FY496" s="1" t="s">
        <v>1330</v>
      </c>
      <c r="FZ496" s="1" t="s">
        <v>6448</v>
      </c>
      <c r="GA496" s="1">
        <v>241063</v>
      </c>
      <c r="GB496" s="1" t="s">
        <v>6449</v>
      </c>
      <c r="GE496" s="1" t="s">
        <v>658</v>
      </c>
      <c r="GI496" s="1" t="s">
        <v>213</v>
      </c>
      <c r="GJ496" s="1" t="s">
        <v>260</v>
      </c>
      <c r="GK496" s="1" t="s">
        <v>210</v>
      </c>
      <c r="GL496" s="2">
        <v>42020</v>
      </c>
      <c r="GM496" s="1" t="s">
        <v>6450</v>
      </c>
    </row>
    <row r="497" spans="1:195">
      <c r="A497" s="1">
        <v>285000</v>
      </c>
      <c r="B497" s="1" t="s">
        <v>195</v>
      </c>
      <c r="C497" s="1" t="str">
        <f>"08806121"</f>
        <v>08806121</v>
      </c>
      <c r="D497" s="1" t="s">
        <v>196</v>
      </c>
      <c r="F497" s="1" t="str">
        <f t="shared" si="386"/>
        <v>187</v>
      </c>
      <c r="G497" s="2">
        <v>41999</v>
      </c>
      <c r="H497" s="1">
        <v>319900</v>
      </c>
      <c r="I497" s="1">
        <v>309900</v>
      </c>
      <c r="J497" s="1">
        <v>285000</v>
      </c>
      <c r="K497" s="2">
        <v>41999</v>
      </c>
      <c r="L497" s="1">
        <v>60</v>
      </c>
      <c r="M497" s="2">
        <v>42058</v>
      </c>
      <c r="N497" s="1">
        <v>60</v>
      </c>
      <c r="O497" s="2">
        <v>42058</v>
      </c>
      <c r="P497" s="1">
        <v>25244</v>
      </c>
      <c r="Q497" s="1" t="s">
        <v>197</v>
      </c>
      <c r="R497" s="2">
        <v>42094</v>
      </c>
      <c r="S497" s="1">
        <v>253548</v>
      </c>
      <c r="T497" s="1">
        <v>1250</v>
      </c>
      <c r="U497" s="1">
        <v>367</v>
      </c>
      <c r="V497" s="1" t="s">
        <v>6451</v>
      </c>
      <c r="W497" s="1" t="s">
        <v>725</v>
      </c>
      <c r="X497" s="1">
        <v>102</v>
      </c>
      <c r="Y497" s="1">
        <v>8</v>
      </c>
      <c r="Z497" s="1" t="s">
        <v>249</v>
      </c>
      <c r="AA497" s="1" t="s">
        <v>964</v>
      </c>
      <c r="AB497" s="1">
        <v>60187</v>
      </c>
      <c r="AE497" s="1" t="s">
        <v>6452</v>
      </c>
      <c r="AF497" s="1">
        <v>2002</v>
      </c>
      <c r="AG497" s="1" t="s">
        <v>204</v>
      </c>
      <c r="AH497" s="1" t="s">
        <v>967</v>
      </c>
      <c r="AI497" s="1" t="s">
        <v>206</v>
      </c>
      <c r="AJ497" s="1" t="s">
        <v>207</v>
      </c>
      <c r="AL497" s="1">
        <v>6</v>
      </c>
      <c r="AM497" s="1">
        <v>2</v>
      </c>
      <c r="AN497" s="1">
        <v>2</v>
      </c>
      <c r="AO497" s="1">
        <v>1</v>
      </c>
      <c r="AP497" s="1" t="s">
        <v>209</v>
      </c>
      <c r="AQ497" s="1">
        <v>1</v>
      </c>
      <c r="AR497" s="1" t="s">
        <v>210</v>
      </c>
      <c r="AT497" s="1" t="s">
        <v>375</v>
      </c>
      <c r="AU497" s="1">
        <v>1</v>
      </c>
      <c r="AV497" s="1">
        <v>1</v>
      </c>
      <c r="AW497" s="1" t="s">
        <v>204</v>
      </c>
      <c r="AX497" s="1" t="s">
        <v>212</v>
      </c>
      <c r="AZ497" s="1">
        <v>7376</v>
      </c>
      <c r="BA497" s="1">
        <v>2013</v>
      </c>
      <c r="BB497" s="1" t="s">
        <v>405</v>
      </c>
      <c r="BE497" s="1">
        <v>1854</v>
      </c>
      <c r="BF497" s="1">
        <v>1</v>
      </c>
      <c r="BG497" s="1">
        <v>15</v>
      </c>
      <c r="BL497" s="1">
        <v>307</v>
      </c>
      <c r="BM497" s="1" t="s">
        <v>204</v>
      </c>
      <c r="BN497" s="1" t="s">
        <v>213</v>
      </c>
      <c r="BO497" s="1">
        <v>100</v>
      </c>
      <c r="BP497" s="1" t="s">
        <v>204</v>
      </c>
      <c r="BR497" s="1" t="str">
        <f>"0516137002"</f>
        <v>0516137002</v>
      </c>
      <c r="BT497" s="1" t="s">
        <v>6453</v>
      </c>
      <c r="BU497" s="1" t="s">
        <v>6454</v>
      </c>
      <c r="BV497" s="1" t="s">
        <v>6455</v>
      </c>
      <c r="BW497" s="1" t="s">
        <v>6456</v>
      </c>
      <c r="BX497" s="1">
        <v>200</v>
      </c>
      <c r="BY497" s="1">
        <v>200</v>
      </c>
      <c r="BZ497" s="1">
        <v>200</v>
      </c>
      <c r="CB497" s="1" t="str">
        <f t="shared" ref="CB497:CC497" si="388">""</f>
        <v/>
      </c>
      <c r="CC497" s="1" t="str">
        <f t="shared" si="388"/>
        <v/>
      </c>
      <c r="CG497" s="1" t="s">
        <v>669</v>
      </c>
      <c r="CH497" s="1" t="s">
        <v>277</v>
      </c>
      <c r="CI497" s="1" t="s">
        <v>438</v>
      </c>
      <c r="CJ497" s="1" t="s">
        <v>1199</v>
      </c>
      <c r="CK497" s="1" t="s">
        <v>437</v>
      </c>
      <c r="CL497" s="1" t="s">
        <v>784</v>
      </c>
      <c r="CM497" s="1" t="s">
        <v>438</v>
      </c>
      <c r="CN497" s="1" t="s">
        <v>1199</v>
      </c>
      <c r="CO497" s="1" t="s">
        <v>461</v>
      </c>
      <c r="CP497" s="1" t="s">
        <v>277</v>
      </c>
      <c r="CQ497" s="1" t="s">
        <v>438</v>
      </c>
      <c r="CS497" s="1" t="s">
        <v>465</v>
      </c>
      <c r="CT497" s="1" t="s">
        <v>784</v>
      </c>
      <c r="CU497" s="1" t="s">
        <v>438</v>
      </c>
      <c r="CV497" s="1" t="s">
        <v>1199</v>
      </c>
      <c r="CX497" s="1" t="s">
        <v>224</v>
      </c>
      <c r="DB497" s="1" t="s">
        <v>224</v>
      </c>
      <c r="DE497" s="1" t="s">
        <v>602</v>
      </c>
      <c r="DF497" s="1" t="s">
        <v>277</v>
      </c>
      <c r="DG497" s="1" t="s">
        <v>226</v>
      </c>
      <c r="DH497" s="1" t="s">
        <v>343</v>
      </c>
      <c r="DI497" s="1" t="s">
        <v>228</v>
      </c>
      <c r="DJ497" s="1" t="s">
        <v>219</v>
      </c>
      <c r="DK497" s="1" t="s">
        <v>226</v>
      </c>
      <c r="DL497" s="1" t="s">
        <v>1199</v>
      </c>
      <c r="DS497" s="1" t="s">
        <v>230</v>
      </c>
      <c r="DW497" s="1" t="s">
        <v>230</v>
      </c>
      <c r="EA497" s="1" t="s">
        <v>230</v>
      </c>
      <c r="EE497" s="1" t="s">
        <v>230</v>
      </c>
      <c r="EI497" s="1" t="s">
        <v>230</v>
      </c>
      <c r="EL497" s="1" t="s">
        <v>466</v>
      </c>
      <c r="EM497" s="1" t="s">
        <v>232</v>
      </c>
      <c r="EN497" s="1" t="s">
        <v>282</v>
      </c>
      <c r="EO497" s="1" t="s">
        <v>234</v>
      </c>
      <c r="EQ497" s="1" t="s">
        <v>2188</v>
      </c>
      <c r="ER497" s="1" t="s">
        <v>210</v>
      </c>
      <c r="ES497" s="1" t="s">
        <v>3914</v>
      </c>
      <c r="ET497" s="1" t="s">
        <v>1201</v>
      </c>
      <c r="EV497" s="1" t="s">
        <v>240</v>
      </c>
      <c r="EW497" s="1" t="s">
        <v>384</v>
      </c>
      <c r="EZ497" s="1" t="s">
        <v>287</v>
      </c>
      <c r="FA497" s="1" t="s">
        <v>1072</v>
      </c>
      <c r="FD497" s="1" t="s">
        <v>495</v>
      </c>
      <c r="FE497" s="1" t="s">
        <v>247</v>
      </c>
      <c r="FF497" s="1" t="s">
        <v>248</v>
      </c>
      <c r="FG497" s="1" t="s">
        <v>912</v>
      </c>
      <c r="FH497" s="1" t="s">
        <v>1428</v>
      </c>
      <c r="FI497" s="1" t="s">
        <v>473</v>
      </c>
      <c r="FL497" s="1" t="s">
        <v>358</v>
      </c>
      <c r="FM497" s="1" t="s">
        <v>252</v>
      </c>
      <c r="FN497" s="1" t="s">
        <v>213</v>
      </c>
      <c r="FO497" s="1" t="s">
        <v>213</v>
      </c>
      <c r="FQ497" s="1" t="s">
        <v>293</v>
      </c>
      <c r="FR497" s="1" t="s">
        <v>210</v>
      </c>
      <c r="FS497" s="1" t="s">
        <v>6457</v>
      </c>
      <c r="FT497" s="1" t="s">
        <v>295</v>
      </c>
      <c r="FU497" s="1" t="s">
        <v>204</v>
      </c>
      <c r="FW497" s="1" t="s">
        <v>585</v>
      </c>
      <c r="FX497" s="1">
        <v>25003</v>
      </c>
      <c r="FY497" s="1" t="s">
        <v>1330</v>
      </c>
      <c r="FZ497" s="1" t="s">
        <v>6458</v>
      </c>
      <c r="GA497" s="1">
        <v>255703</v>
      </c>
      <c r="GB497" s="1" t="s">
        <v>6459</v>
      </c>
      <c r="GE497" s="1" t="s">
        <v>1333</v>
      </c>
      <c r="GH497" s="1" t="s">
        <v>589</v>
      </c>
      <c r="GI497" s="1" t="s">
        <v>213</v>
      </c>
      <c r="GJ497" s="1" t="s">
        <v>260</v>
      </c>
      <c r="GK497" s="1" t="s">
        <v>210</v>
      </c>
      <c r="GL497" s="2">
        <v>42094</v>
      </c>
    </row>
    <row r="498" spans="1:195">
      <c r="A498" s="1">
        <v>112000</v>
      </c>
      <c r="B498" s="1" t="s">
        <v>195</v>
      </c>
      <c r="C498" s="1" t="str">
        <f>"08794782"</f>
        <v>08794782</v>
      </c>
      <c r="D498" s="1" t="s">
        <v>196</v>
      </c>
      <c r="F498" s="1" t="str">
        <f>"139"</f>
        <v>139</v>
      </c>
      <c r="G498" s="2">
        <v>41974</v>
      </c>
      <c r="H498" s="1">
        <v>127500</v>
      </c>
      <c r="I498" s="1">
        <v>119900</v>
      </c>
      <c r="J498" s="1">
        <v>112000</v>
      </c>
      <c r="K498" s="2">
        <v>41974</v>
      </c>
      <c r="L498" s="1">
        <v>46</v>
      </c>
      <c r="M498" s="2">
        <v>42019</v>
      </c>
      <c r="N498" s="1">
        <v>46</v>
      </c>
      <c r="O498" s="2">
        <v>42019</v>
      </c>
      <c r="P498" s="1">
        <v>25046</v>
      </c>
      <c r="Q498" s="1" t="s">
        <v>197</v>
      </c>
      <c r="R498" s="2">
        <v>42083</v>
      </c>
      <c r="S498" s="1">
        <v>83571</v>
      </c>
      <c r="U498" s="1">
        <v>180</v>
      </c>
      <c r="V498" s="1" t="s">
        <v>6460</v>
      </c>
      <c r="W498" s="1" t="s">
        <v>264</v>
      </c>
      <c r="X498" s="1">
        <v>180</v>
      </c>
      <c r="Y498" s="1">
        <v>4</v>
      </c>
      <c r="Z498" s="1" t="s">
        <v>370</v>
      </c>
      <c r="AA498" s="1" t="s">
        <v>1732</v>
      </c>
      <c r="AB498" s="1">
        <v>60139</v>
      </c>
      <c r="AD498" s="1" t="s">
        <v>6461</v>
      </c>
      <c r="AE498" s="1" t="s">
        <v>6462</v>
      </c>
      <c r="AF498" s="1">
        <v>1987</v>
      </c>
      <c r="AG498" s="1" t="s">
        <v>204</v>
      </c>
      <c r="AH498" s="1" t="s">
        <v>1735</v>
      </c>
      <c r="AI498" s="1" t="s">
        <v>206</v>
      </c>
      <c r="AJ498" s="1" t="s">
        <v>269</v>
      </c>
      <c r="AL498" s="1">
        <v>4</v>
      </c>
      <c r="AM498" s="1">
        <v>2</v>
      </c>
      <c r="AN498" s="1">
        <v>2</v>
      </c>
      <c r="AO498" s="1">
        <v>1</v>
      </c>
      <c r="AP498" s="1" t="s">
        <v>209</v>
      </c>
      <c r="AR498" s="1" t="s">
        <v>210</v>
      </c>
      <c r="AS498" s="1" t="s">
        <v>204</v>
      </c>
      <c r="AT498" s="1" t="s">
        <v>211</v>
      </c>
      <c r="AU498" s="1">
        <v>1</v>
      </c>
      <c r="AW498" s="1" t="s">
        <v>204</v>
      </c>
      <c r="AX498" s="1">
        <v>2280</v>
      </c>
      <c r="AZ498" s="1">
        <v>4339</v>
      </c>
      <c r="BA498" s="1">
        <v>2013</v>
      </c>
      <c r="BB498" s="1" t="s">
        <v>210</v>
      </c>
      <c r="BE498" s="1">
        <v>1248</v>
      </c>
      <c r="BF498" s="1">
        <v>1</v>
      </c>
      <c r="BG498" s="1">
        <v>1</v>
      </c>
      <c r="BL498" s="1">
        <v>185</v>
      </c>
      <c r="BM498" s="1" t="s">
        <v>204</v>
      </c>
      <c r="BN498" s="1" t="s">
        <v>213</v>
      </c>
      <c r="BO498" s="1">
        <v>0</v>
      </c>
      <c r="BP498" s="1" t="s">
        <v>204</v>
      </c>
      <c r="BR498" s="1" t="str">
        <f>"0233204193"</f>
        <v>0233204193</v>
      </c>
      <c r="BT498" s="1" t="s">
        <v>6463</v>
      </c>
      <c r="BX498" s="1">
        <v>16</v>
      </c>
      <c r="BY498" s="1">
        <v>16</v>
      </c>
      <c r="BZ498" s="1">
        <v>16</v>
      </c>
      <c r="CB498" s="1" t="str">
        <f t="shared" ref="CB498:CC498" si="389">""</f>
        <v/>
      </c>
      <c r="CC498" s="1" t="str">
        <f t="shared" si="389"/>
        <v/>
      </c>
      <c r="CG498" s="1" t="s">
        <v>2042</v>
      </c>
      <c r="CH498" s="1" t="s">
        <v>219</v>
      </c>
      <c r="CK498" s="1" t="s">
        <v>757</v>
      </c>
      <c r="CL498" s="1" t="s">
        <v>277</v>
      </c>
      <c r="CP498" s="1" t="s">
        <v>224</v>
      </c>
      <c r="CS498" s="1" t="s">
        <v>465</v>
      </c>
      <c r="CT498" s="1" t="s">
        <v>219</v>
      </c>
      <c r="CX498" s="1" t="s">
        <v>224</v>
      </c>
      <c r="DB498" s="1" t="s">
        <v>224</v>
      </c>
      <c r="DE498" s="1" t="s">
        <v>281</v>
      </c>
      <c r="DF498" s="1" t="s">
        <v>219</v>
      </c>
      <c r="DJ498" s="1" t="s">
        <v>224</v>
      </c>
      <c r="DS498" s="1" t="s">
        <v>230</v>
      </c>
      <c r="DW498" s="1" t="s">
        <v>230</v>
      </c>
      <c r="EA498" s="1" t="s">
        <v>230</v>
      </c>
      <c r="EE498" s="1" t="s">
        <v>230</v>
      </c>
      <c r="EI498" s="1" t="s">
        <v>230</v>
      </c>
      <c r="EL498" s="1" t="s">
        <v>542</v>
      </c>
      <c r="EM498" s="1" t="s">
        <v>730</v>
      </c>
      <c r="EN498" s="1" t="s">
        <v>282</v>
      </c>
      <c r="EO498" s="1" t="s">
        <v>234</v>
      </c>
      <c r="ER498" s="1" t="s">
        <v>383</v>
      </c>
      <c r="EW498" s="1" t="s">
        <v>6464</v>
      </c>
      <c r="EZ498" s="1" t="s">
        <v>287</v>
      </c>
      <c r="FD498" s="1" t="s">
        <v>246</v>
      </c>
      <c r="FE498" s="1" t="s">
        <v>386</v>
      </c>
      <c r="FF498" s="1" t="s">
        <v>248</v>
      </c>
      <c r="FH498" s="1" t="s">
        <v>550</v>
      </c>
      <c r="FJ498" s="1" t="s">
        <v>197</v>
      </c>
      <c r="FL498" s="1" t="s">
        <v>358</v>
      </c>
      <c r="FM498" s="1" t="s">
        <v>252</v>
      </c>
      <c r="FN498" s="1" t="s">
        <v>213</v>
      </c>
      <c r="FO498" s="1" t="s">
        <v>213</v>
      </c>
      <c r="FQ498" s="1" t="s">
        <v>849</v>
      </c>
      <c r="FR498" s="1" t="s">
        <v>210</v>
      </c>
      <c r="FS498" s="1" t="s">
        <v>6465</v>
      </c>
      <c r="FT498" s="1" t="s">
        <v>295</v>
      </c>
      <c r="FU498" s="1" t="s">
        <v>204</v>
      </c>
      <c r="FW498" s="1" t="s">
        <v>2563</v>
      </c>
      <c r="FX498" s="1">
        <v>24093</v>
      </c>
      <c r="FY498" s="1" t="s">
        <v>2564</v>
      </c>
      <c r="FZ498" s="1" t="s">
        <v>6466</v>
      </c>
      <c r="GA498" s="1">
        <v>256428</v>
      </c>
      <c r="GB498" s="1" t="s">
        <v>6467</v>
      </c>
      <c r="GD498" s="1" t="s">
        <v>6468</v>
      </c>
      <c r="GE498" s="1" t="s">
        <v>480</v>
      </c>
      <c r="GI498" s="1" t="s">
        <v>204</v>
      </c>
      <c r="GJ498" s="1" t="s">
        <v>300</v>
      </c>
      <c r="GK498" s="1" t="s">
        <v>210</v>
      </c>
      <c r="GL498" s="2">
        <v>42083</v>
      </c>
      <c r="GM498" s="1" t="s">
        <v>6469</v>
      </c>
    </row>
    <row r="499" spans="1:195">
      <c r="A499" s="1">
        <v>126500</v>
      </c>
      <c r="B499" s="1" t="s">
        <v>195</v>
      </c>
      <c r="C499" s="1" t="str">
        <f>"08801737"</f>
        <v>08801737</v>
      </c>
      <c r="D499" s="1" t="s">
        <v>196</v>
      </c>
      <c r="F499" s="1" t="str">
        <f>"542"</f>
        <v>542</v>
      </c>
      <c r="G499" s="2">
        <v>41986</v>
      </c>
      <c r="H499" s="1">
        <v>129900</v>
      </c>
      <c r="I499" s="1">
        <v>129900</v>
      </c>
      <c r="J499" s="1">
        <v>126500</v>
      </c>
      <c r="K499" s="2">
        <v>41985</v>
      </c>
      <c r="L499" s="1">
        <v>26</v>
      </c>
      <c r="M499" s="2">
        <v>42010</v>
      </c>
      <c r="N499" s="1">
        <v>26</v>
      </c>
      <c r="O499" s="2">
        <v>42010</v>
      </c>
      <c r="P499" s="1">
        <v>4475</v>
      </c>
      <c r="Q499" s="1" t="s">
        <v>197</v>
      </c>
      <c r="R499" s="2">
        <v>42053</v>
      </c>
      <c r="S499" s="1">
        <v>38351</v>
      </c>
      <c r="U499" s="1">
        <v>81</v>
      </c>
      <c r="V499" s="1" t="s">
        <v>6470</v>
      </c>
      <c r="W499" s="1" t="s">
        <v>304</v>
      </c>
      <c r="Y499" s="1">
        <v>4</v>
      </c>
      <c r="Z499" s="1" t="s">
        <v>370</v>
      </c>
      <c r="AA499" s="1" t="s">
        <v>6071</v>
      </c>
      <c r="AB499" s="1">
        <v>60542</v>
      </c>
      <c r="AD499" s="1" t="s">
        <v>6471</v>
      </c>
      <c r="AE499" s="1" t="s">
        <v>6472</v>
      </c>
      <c r="AF499" s="1">
        <v>2001</v>
      </c>
      <c r="AG499" s="1" t="s">
        <v>204</v>
      </c>
      <c r="AH499" s="1" t="s">
        <v>6074</v>
      </c>
      <c r="AI499" s="1" t="s">
        <v>665</v>
      </c>
      <c r="AJ499" s="1" t="s">
        <v>1126</v>
      </c>
      <c r="AL499" s="1">
        <v>5</v>
      </c>
      <c r="AM499" s="1">
        <v>2</v>
      </c>
      <c r="AN499" s="1">
        <v>2</v>
      </c>
      <c r="AO499" s="1">
        <v>0</v>
      </c>
      <c r="AP499" s="1" t="s">
        <v>209</v>
      </c>
      <c r="AR499" s="1" t="s">
        <v>210</v>
      </c>
      <c r="AS499" s="1" t="s">
        <v>204</v>
      </c>
      <c r="AT499" s="1" t="s">
        <v>211</v>
      </c>
      <c r="AU499" s="1">
        <v>2</v>
      </c>
      <c r="AW499" s="1" t="s">
        <v>204</v>
      </c>
      <c r="AX499" s="1" t="s">
        <v>1813</v>
      </c>
      <c r="AZ499" s="1">
        <v>3953</v>
      </c>
      <c r="BA499" s="1">
        <v>2013</v>
      </c>
      <c r="BB499" s="1" t="s">
        <v>405</v>
      </c>
      <c r="BE499" s="1">
        <v>1490</v>
      </c>
      <c r="BF499" s="1">
        <v>2</v>
      </c>
      <c r="BG499" s="1">
        <v>10</v>
      </c>
      <c r="BL499" s="1">
        <v>165</v>
      </c>
      <c r="BM499" s="1" t="s">
        <v>204</v>
      </c>
      <c r="BN499" s="1" t="s">
        <v>213</v>
      </c>
      <c r="BO499" s="1">
        <v>0</v>
      </c>
      <c r="BP499" s="1" t="s">
        <v>204</v>
      </c>
      <c r="BR499" s="1" t="str">
        <f>"1503277053"</f>
        <v>1503277053</v>
      </c>
      <c r="BT499" s="1" t="s">
        <v>6473</v>
      </c>
      <c r="BX499" s="1">
        <v>129</v>
      </c>
      <c r="BY499" s="1">
        <v>129</v>
      </c>
      <c r="BZ499" s="1">
        <v>129</v>
      </c>
      <c r="CB499" s="1" t="str">
        <f t="shared" ref="CB499:CC499" si="390">"0"</f>
        <v>0</v>
      </c>
      <c r="CC499" s="1" t="str">
        <f t="shared" si="390"/>
        <v>0</v>
      </c>
      <c r="CD499" s="1">
        <v>35</v>
      </c>
      <c r="CE499" s="1">
        <v>4</v>
      </c>
      <c r="CG499" s="1" t="s">
        <v>4322</v>
      </c>
      <c r="CH499" s="1" t="s">
        <v>277</v>
      </c>
      <c r="CI499" s="1" t="s">
        <v>229</v>
      </c>
      <c r="CJ499" s="1" t="s">
        <v>252</v>
      </c>
      <c r="CK499" s="1" t="s">
        <v>1737</v>
      </c>
      <c r="CL499" s="1" t="s">
        <v>277</v>
      </c>
      <c r="CM499" s="1" t="s">
        <v>220</v>
      </c>
      <c r="CN499" s="1" t="s">
        <v>252</v>
      </c>
      <c r="CO499" s="1" t="s">
        <v>4213</v>
      </c>
      <c r="CP499" s="1" t="s">
        <v>277</v>
      </c>
      <c r="CQ499" s="1" t="s">
        <v>229</v>
      </c>
      <c r="CR499" s="1" t="s">
        <v>252</v>
      </c>
      <c r="CS499" s="1" t="s">
        <v>1046</v>
      </c>
      <c r="CT499" s="1" t="s">
        <v>277</v>
      </c>
      <c r="CU499" s="1" t="s">
        <v>220</v>
      </c>
      <c r="CV499" s="1" t="s">
        <v>210</v>
      </c>
      <c r="CX499" s="1" t="s">
        <v>224</v>
      </c>
      <c r="DB499" s="1" t="s">
        <v>224</v>
      </c>
      <c r="DE499" s="1" t="s">
        <v>972</v>
      </c>
      <c r="DF499" s="1" t="s">
        <v>277</v>
      </c>
      <c r="DG499" s="1" t="s">
        <v>229</v>
      </c>
      <c r="DH499" s="1" t="s">
        <v>210</v>
      </c>
      <c r="DJ499" s="1" t="s">
        <v>224</v>
      </c>
      <c r="DS499" s="1" t="s">
        <v>230</v>
      </c>
      <c r="DW499" s="1" t="s">
        <v>230</v>
      </c>
      <c r="EA499" s="1" t="s">
        <v>230</v>
      </c>
      <c r="EE499" s="1" t="s">
        <v>230</v>
      </c>
      <c r="EI499" s="1" t="s">
        <v>230</v>
      </c>
      <c r="EL499" s="1" t="s">
        <v>466</v>
      </c>
      <c r="EM499" s="1" t="s">
        <v>319</v>
      </c>
      <c r="EN499" s="1" t="s">
        <v>282</v>
      </c>
      <c r="EO499" s="1" t="s">
        <v>234</v>
      </c>
      <c r="EQ499" s="1" t="s">
        <v>236</v>
      </c>
      <c r="ER499" s="1" t="s">
        <v>210</v>
      </c>
      <c r="ES499" s="1" t="s">
        <v>1791</v>
      </c>
      <c r="EU499" s="1" t="s">
        <v>1110</v>
      </c>
      <c r="EV499" s="1" t="s">
        <v>240</v>
      </c>
      <c r="EW499" s="1" t="s">
        <v>867</v>
      </c>
      <c r="EZ499" s="1" t="s">
        <v>287</v>
      </c>
      <c r="FD499" s="1" t="s">
        <v>246</v>
      </c>
      <c r="FE499" s="1" t="s">
        <v>1220</v>
      </c>
      <c r="FF499" s="1" t="s">
        <v>248</v>
      </c>
      <c r="FH499" s="1" t="s">
        <v>6474</v>
      </c>
      <c r="FI499" s="1" t="s">
        <v>473</v>
      </c>
      <c r="FJ499" s="1" t="s">
        <v>197</v>
      </c>
      <c r="FL499" s="1" t="s">
        <v>358</v>
      </c>
      <c r="FM499" s="1" t="s">
        <v>252</v>
      </c>
      <c r="FN499" s="1" t="s">
        <v>213</v>
      </c>
      <c r="FO499" s="1" t="s">
        <v>213</v>
      </c>
      <c r="FQ499" s="1" t="s">
        <v>2091</v>
      </c>
      <c r="FR499" s="1" t="s">
        <v>210</v>
      </c>
      <c r="FS499" s="1" t="s">
        <v>6475</v>
      </c>
      <c r="FT499" s="1" t="s">
        <v>2589</v>
      </c>
      <c r="FU499" s="1" t="s">
        <v>204</v>
      </c>
      <c r="FW499" s="1" t="s">
        <v>3546</v>
      </c>
      <c r="FX499" s="1">
        <v>24695</v>
      </c>
      <c r="FY499" s="1" t="s">
        <v>3547</v>
      </c>
      <c r="FZ499" s="1" t="s">
        <v>6476</v>
      </c>
      <c r="GA499" s="1">
        <v>234459</v>
      </c>
      <c r="GB499" s="1" t="s">
        <v>6477</v>
      </c>
      <c r="GE499" s="1" t="s">
        <v>480</v>
      </c>
      <c r="GI499" s="1" t="s">
        <v>213</v>
      </c>
      <c r="GJ499" s="1" t="s">
        <v>260</v>
      </c>
      <c r="GK499" s="1" t="s">
        <v>210</v>
      </c>
      <c r="GL499" s="2">
        <v>42058</v>
      </c>
      <c r="GM499" s="1" t="s">
        <v>6478</v>
      </c>
    </row>
    <row r="500" spans="1:195">
      <c r="A500" s="1">
        <v>90000</v>
      </c>
      <c r="B500" s="1" t="s">
        <v>195</v>
      </c>
      <c r="C500" s="1" t="str">
        <f>"08801432"</f>
        <v>08801432</v>
      </c>
      <c r="D500" s="1" t="s">
        <v>196</v>
      </c>
      <c r="F500" s="1" t="str">
        <f>"562"</f>
        <v>562</v>
      </c>
      <c r="G500" s="2">
        <v>41985</v>
      </c>
      <c r="H500" s="1">
        <v>105000</v>
      </c>
      <c r="I500" s="1">
        <v>94900</v>
      </c>
      <c r="J500" s="1">
        <v>90000</v>
      </c>
      <c r="K500" s="2">
        <v>41983</v>
      </c>
      <c r="L500" s="1">
        <v>93</v>
      </c>
      <c r="M500" s="2">
        <v>42075</v>
      </c>
      <c r="N500" s="1">
        <v>93</v>
      </c>
      <c r="O500" s="2">
        <v>42075</v>
      </c>
      <c r="P500" s="1">
        <v>22891</v>
      </c>
      <c r="Q500" s="1" t="s">
        <v>197</v>
      </c>
      <c r="R500" s="2">
        <v>42142</v>
      </c>
      <c r="S500" s="1">
        <v>214260</v>
      </c>
      <c r="U500" s="1">
        <v>8314</v>
      </c>
      <c r="V500" s="1" t="s">
        <v>6479</v>
      </c>
      <c r="W500" s="1" t="s">
        <v>264</v>
      </c>
      <c r="X500" s="1" t="s">
        <v>1688</v>
      </c>
      <c r="Y500" s="1">
        <v>4</v>
      </c>
      <c r="Z500" s="1" t="s">
        <v>249</v>
      </c>
      <c r="AA500" s="1" t="s">
        <v>899</v>
      </c>
      <c r="AB500" s="1">
        <v>60561</v>
      </c>
      <c r="AD500" s="1" t="s">
        <v>6479</v>
      </c>
      <c r="AE500" s="1" t="s">
        <v>6480</v>
      </c>
      <c r="AF500" s="1">
        <v>1973</v>
      </c>
      <c r="AG500" s="1" t="s">
        <v>213</v>
      </c>
      <c r="AH500" s="1" t="s">
        <v>902</v>
      </c>
      <c r="AI500" s="1" t="s">
        <v>206</v>
      </c>
      <c r="AJ500" s="1" t="s">
        <v>903</v>
      </c>
      <c r="AK500" s="1" t="s">
        <v>1688</v>
      </c>
      <c r="AL500" s="1">
        <v>5</v>
      </c>
      <c r="AM500" s="1">
        <v>2</v>
      </c>
      <c r="AN500" s="1">
        <v>1</v>
      </c>
      <c r="AO500" s="1">
        <v>0</v>
      </c>
      <c r="AP500" s="1" t="s">
        <v>210</v>
      </c>
      <c r="AR500" s="1" t="s">
        <v>210</v>
      </c>
      <c r="AS500" s="1" t="s">
        <v>204</v>
      </c>
      <c r="AT500" s="1" t="s">
        <v>211</v>
      </c>
      <c r="AU500" s="1">
        <v>1</v>
      </c>
      <c r="AW500" s="1" t="s">
        <v>204</v>
      </c>
      <c r="AX500" s="1" t="s">
        <v>212</v>
      </c>
      <c r="AZ500" s="1">
        <v>1870.48</v>
      </c>
      <c r="BA500" s="1">
        <v>2013</v>
      </c>
      <c r="BB500" s="1" t="s">
        <v>405</v>
      </c>
      <c r="BE500" s="1">
        <v>956</v>
      </c>
      <c r="BF500" s="1">
        <v>1</v>
      </c>
      <c r="BG500" s="1">
        <v>0</v>
      </c>
      <c r="BJ500" s="1">
        <v>100</v>
      </c>
      <c r="BL500" s="1">
        <v>228</v>
      </c>
      <c r="BM500" s="1" t="s">
        <v>204</v>
      </c>
      <c r="BN500" s="1" t="s">
        <v>213</v>
      </c>
      <c r="BO500" s="1">
        <v>999</v>
      </c>
      <c r="BP500" s="1" t="s">
        <v>204</v>
      </c>
      <c r="BR500" s="1" t="str">
        <f>"0934211030"</f>
        <v>0934211030</v>
      </c>
      <c r="BT500" s="1" t="s">
        <v>6481</v>
      </c>
      <c r="BU500" s="1" t="s">
        <v>2882</v>
      </c>
      <c r="BV500" s="1" t="s">
        <v>2883</v>
      </c>
      <c r="BW500" s="1" t="s">
        <v>907</v>
      </c>
      <c r="BX500" s="1">
        <v>63</v>
      </c>
      <c r="BY500" s="1">
        <v>63</v>
      </c>
      <c r="BZ500" s="1">
        <v>86</v>
      </c>
      <c r="CB500" s="1" t="str">
        <f t="shared" ref="CB500:CC500" si="391">""</f>
        <v/>
      </c>
      <c r="CC500" s="1" t="str">
        <f t="shared" si="391"/>
        <v/>
      </c>
      <c r="CG500" s="1" t="s">
        <v>581</v>
      </c>
      <c r="CH500" s="1" t="s">
        <v>219</v>
      </c>
      <c r="CI500" s="1" t="s">
        <v>220</v>
      </c>
      <c r="CK500" s="1" t="s">
        <v>437</v>
      </c>
      <c r="CL500" s="1" t="s">
        <v>277</v>
      </c>
      <c r="CM500" s="1" t="s">
        <v>220</v>
      </c>
      <c r="CO500" s="1" t="s">
        <v>348</v>
      </c>
      <c r="CP500" s="1" t="s">
        <v>219</v>
      </c>
      <c r="CQ500" s="1" t="s">
        <v>220</v>
      </c>
      <c r="CS500" s="1" t="s">
        <v>346</v>
      </c>
      <c r="CT500" s="1" t="s">
        <v>277</v>
      </c>
      <c r="CU500" s="1" t="s">
        <v>220</v>
      </c>
      <c r="CX500" s="1" t="s">
        <v>224</v>
      </c>
      <c r="DB500" s="1" t="s">
        <v>224</v>
      </c>
      <c r="DE500" s="1" t="s">
        <v>1133</v>
      </c>
      <c r="DF500" s="1" t="s">
        <v>219</v>
      </c>
      <c r="DG500" s="1" t="s">
        <v>342</v>
      </c>
      <c r="DJ500" s="1" t="s">
        <v>224</v>
      </c>
      <c r="DS500" s="1" t="s">
        <v>230</v>
      </c>
      <c r="DW500" s="1" t="s">
        <v>230</v>
      </c>
      <c r="EA500" s="1" t="s">
        <v>230</v>
      </c>
      <c r="EE500" s="1" t="s">
        <v>230</v>
      </c>
      <c r="EI500" s="1" t="s">
        <v>230</v>
      </c>
      <c r="EL500" s="1" t="s">
        <v>605</v>
      </c>
      <c r="EM500" s="1" t="s">
        <v>232</v>
      </c>
      <c r="EN500" s="1" t="s">
        <v>282</v>
      </c>
      <c r="EO500" s="1" t="s">
        <v>234</v>
      </c>
      <c r="EP500" s="1" t="s">
        <v>650</v>
      </c>
      <c r="ER500" s="1" t="s">
        <v>210</v>
      </c>
      <c r="EU500" s="1" t="s">
        <v>239</v>
      </c>
      <c r="EW500" s="1" t="s">
        <v>1250</v>
      </c>
      <c r="EZ500" s="1" t="s">
        <v>287</v>
      </c>
      <c r="FB500" s="1" t="s">
        <v>289</v>
      </c>
      <c r="FD500" s="1" t="s">
        <v>495</v>
      </c>
      <c r="FE500" s="1" t="s">
        <v>651</v>
      </c>
      <c r="FF500" s="1" t="s">
        <v>248</v>
      </c>
      <c r="FH500" s="1" t="s">
        <v>249</v>
      </c>
      <c r="FL500" s="1" t="s">
        <v>358</v>
      </c>
      <c r="FM500" s="1" t="s">
        <v>252</v>
      </c>
      <c r="FN500" s="1" t="s">
        <v>213</v>
      </c>
      <c r="FO500" s="1" t="s">
        <v>213</v>
      </c>
      <c r="FQ500" s="1" t="s">
        <v>689</v>
      </c>
      <c r="FR500" s="1" t="s">
        <v>210</v>
      </c>
      <c r="FS500" s="1" t="s">
        <v>1958</v>
      </c>
      <c r="FT500" s="1" t="s">
        <v>6482</v>
      </c>
      <c r="FU500" s="1" t="s">
        <v>204</v>
      </c>
      <c r="FV500" s="1" t="s">
        <v>1960</v>
      </c>
      <c r="FW500" s="1" t="s">
        <v>1961</v>
      </c>
      <c r="FX500" s="1">
        <v>20150</v>
      </c>
      <c r="FY500" s="1" t="s">
        <v>1962</v>
      </c>
      <c r="FZ500" s="1" t="s">
        <v>1963</v>
      </c>
      <c r="GA500" s="1">
        <v>211012</v>
      </c>
      <c r="GB500" s="1" t="s">
        <v>1964</v>
      </c>
      <c r="GE500" s="1" t="s">
        <v>1145</v>
      </c>
      <c r="GI500" s="1" t="s">
        <v>204</v>
      </c>
      <c r="GJ500" s="1" t="s">
        <v>260</v>
      </c>
      <c r="GK500" s="1" t="s">
        <v>261</v>
      </c>
      <c r="GL500" s="2">
        <v>42144</v>
      </c>
      <c r="GM500" s="1" t="s">
        <v>6483</v>
      </c>
    </row>
    <row r="501" spans="1:195">
      <c r="A501" s="1">
        <v>190000</v>
      </c>
      <c r="B501" s="1" t="s">
        <v>195</v>
      </c>
      <c r="C501" s="1" t="str">
        <f>"08799255"</f>
        <v>08799255</v>
      </c>
      <c r="D501" s="1" t="s">
        <v>196</v>
      </c>
      <c r="F501" s="1" t="str">
        <f>"73"</f>
        <v>73</v>
      </c>
      <c r="G501" s="2">
        <v>41982</v>
      </c>
      <c r="H501" s="1">
        <v>197949</v>
      </c>
      <c r="I501" s="1">
        <v>197949</v>
      </c>
      <c r="J501" s="1">
        <v>190000</v>
      </c>
      <c r="K501" s="2">
        <v>41982</v>
      </c>
      <c r="L501" s="1">
        <v>308</v>
      </c>
      <c r="M501" s="2">
        <v>42069</v>
      </c>
      <c r="N501" s="1">
        <v>88</v>
      </c>
      <c r="O501" s="2">
        <v>42069</v>
      </c>
      <c r="P501" s="1">
        <v>2050</v>
      </c>
      <c r="Q501" s="1" t="s">
        <v>197</v>
      </c>
      <c r="R501" s="2">
        <v>42101</v>
      </c>
      <c r="S501" s="1">
        <v>239298</v>
      </c>
      <c r="U501" s="1">
        <v>741</v>
      </c>
      <c r="V501" s="1" t="s">
        <v>6484</v>
      </c>
      <c r="W501" s="1" t="s">
        <v>504</v>
      </c>
      <c r="Y501" s="1">
        <v>6</v>
      </c>
      <c r="Z501" s="1" t="s">
        <v>249</v>
      </c>
      <c r="AA501" s="1" t="s">
        <v>1259</v>
      </c>
      <c r="AB501" s="1">
        <v>60073</v>
      </c>
      <c r="AD501" s="1" t="s">
        <v>6485</v>
      </c>
      <c r="AE501" s="1" t="s">
        <v>6486</v>
      </c>
      <c r="AF501" s="1">
        <v>2006</v>
      </c>
      <c r="AG501" s="1" t="s">
        <v>204</v>
      </c>
      <c r="AH501" s="1" t="s">
        <v>1262</v>
      </c>
      <c r="AI501" s="1" t="s">
        <v>509</v>
      </c>
      <c r="AJ501" s="1" t="s">
        <v>1016</v>
      </c>
      <c r="AK501" s="1" t="s">
        <v>5452</v>
      </c>
      <c r="AL501" s="1">
        <v>7</v>
      </c>
      <c r="AM501" s="1">
        <v>2</v>
      </c>
      <c r="AN501" s="1">
        <v>2</v>
      </c>
      <c r="AO501" s="1">
        <v>1</v>
      </c>
      <c r="AP501" s="1" t="s">
        <v>209</v>
      </c>
      <c r="AQ501" s="1">
        <v>1</v>
      </c>
      <c r="AR501" s="1" t="s">
        <v>210</v>
      </c>
      <c r="AS501" s="1" t="s">
        <v>204</v>
      </c>
      <c r="AT501" s="1" t="s">
        <v>211</v>
      </c>
      <c r="AU501" s="1">
        <v>2</v>
      </c>
      <c r="AW501" s="1" t="s">
        <v>204</v>
      </c>
      <c r="AX501" s="1" t="s">
        <v>1265</v>
      </c>
      <c r="AZ501" s="1" t="s">
        <v>751</v>
      </c>
      <c r="BA501" s="1">
        <v>2012</v>
      </c>
      <c r="BE501" s="1">
        <v>1673</v>
      </c>
      <c r="BF501" s="1">
        <v>1</v>
      </c>
      <c r="BG501" s="1">
        <v>0</v>
      </c>
      <c r="BL501" s="1">
        <v>248</v>
      </c>
      <c r="BM501" s="1" t="s">
        <v>204</v>
      </c>
      <c r="BN501" s="1" t="s">
        <v>213</v>
      </c>
      <c r="BO501" s="1">
        <v>999</v>
      </c>
      <c r="BP501" s="1" t="s">
        <v>204</v>
      </c>
      <c r="BR501" s="1" t="str">
        <f>"01005400050000"</f>
        <v>01005400050000</v>
      </c>
      <c r="BT501" s="1" t="s">
        <v>6487</v>
      </c>
      <c r="BU501" s="1" t="s">
        <v>6153</v>
      </c>
      <c r="BV501" s="1" t="s">
        <v>6488</v>
      </c>
      <c r="BW501" s="1" t="s">
        <v>2264</v>
      </c>
      <c r="BX501" s="1">
        <v>38</v>
      </c>
      <c r="BY501" s="1">
        <v>38</v>
      </c>
      <c r="BZ501" s="1">
        <v>124</v>
      </c>
      <c r="CB501" s="1" t="str">
        <f t="shared" ref="CB501:CC501" si="392">""</f>
        <v/>
      </c>
      <c r="CC501" s="1" t="str">
        <f t="shared" si="392"/>
        <v/>
      </c>
      <c r="CG501" s="1" t="s">
        <v>461</v>
      </c>
      <c r="CH501" s="1" t="s">
        <v>219</v>
      </c>
      <c r="CI501" s="1" t="s">
        <v>226</v>
      </c>
      <c r="CK501" s="1" t="s">
        <v>315</v>
      </c>
      <c r="CL501" s="1" t="s">
        <v>277</v>
      </c>
      <c r="CM501" s="1" t="s">
        <v>220</v>
      </c>
      <c r="CO501" s="1" t="s">
        <v>1297</v>
      </c>
      <c r="CP501" s="1" t="s">
        <v>219</v>
      </c>
      <c r="CQ501" s="1" t="s">
        <v>226</v>
      </c>
      <c r="CS501" s="1" t="s">
        <v>346</v>
      </c>
      <c r="CT501" s="1" t="s">
        <v>277</v>
      </c>
      <c r="CU501" s="1" t="s">
        <v>220</v>
      </c>
      <c r="CX501" s="1" t="s">
        <v>224</v>
      </c>
      <c r="DB501" s="1" t="s">
        <v>224</v>
      </c>
      <c r="DE501" s="1" t="s">
        <v>465</v>
      </c>
      <c r="DF501" s="1" t="s">
        <v>219</v>
      </c>
      <c r="DG501" s="1" t="s">
        <v>226</v>
      </c>
      <c r="DI501" s="1" t="s">
        <v>757</v>
      </c>
      <c r="DJ501" s="1" t="s">
        <v>219</v>
      </c>
      <c r="DK501" s="1" t="s">
        <v>226</v>
      </c>
      <c r="DM501" s="1" t="s">
        <v>464</v>
      </c>
      <c r="DR501" s="1" t="s">
        <v>1297</v>
      </c>
      <c r="DS501" s="1" t="s">
        <v>277</v>
      </c>
      <c r="DT501" s="1" t="s">
        <v>220</v>
      </c>
      <c r="DW501" s="1" t="s">
        <v>230</v>
      </c>
      <c r="EA501" s="1" t="s">
        <v>230</v>
      </c>
      <c r="EE501" s="1" t="s">
        <v>230</v>
      </c>
      <c r="EI501" s="1" t="s">
        <v>230</v>
      </c>
      <c r="EL501" s="1" t="s">
        <v>491</v>
      </c>
      <c r="EM501" s="1" t="s">
        <v>319</v>
      </c>
      <c r="EN501" s="1" t="s">
        <v>282</v>
      </c>
      <c r="EO501" s="1" t="s">
        <v>234</v>
      </c>
      <c r="EP501" s="1" t="s">
        <v>936</v>
      </c>
      <c r="EQ501" s="1" t="s">
        <v>1109</v>
      </c>
      <c r="ER501" s="1" t="s">
        <v>383</v>
      </c>
      <c r="ES501" s="1" t="s">
        <v>824</v>
      </c>
      <c r="ET501" s="1" t="s">
        <v>842</v>
      </c>
      <c r="EU501" s="1" t="s">
        <v>712</v>
      </c>
      <c r="EV501" s="1" t="s">
        <v>324</v>
      </c>
      <c r="EW501" s="1" t="s">
        <v>937</v>
      </c>
      <c r="EZ501" s="1" t="s">
        <v>464</v>
      </c>
      <c r="FD501" s="1" t="s">
        <v>246</v>
      </c>
      <c r="FE501" s="1" t="s">
        <v>765</v>
      </c>
      <c r="FF501" s="1" t="s">
        <v>248</v>
      </c>
      <c r="FH501" s="1" t="s">
        <v>550</v>
      </c>
      <c r="FI501" s="1" t="s">
        <v>473</v>
      </c>
      <c r="FL501" s="1" t="s">
        <v>358</v>
      </c>
      <c r="FM501" s="1" t="s">
        <v>252</v>
      </c>
      <c r="FN501" s="1" t="s">
        <v>213</v>
      </c>
      <c r="FO501" s="1" t="s">
        <v>213</v>
      </c>
      <c r="FQ501" s="1" t="s">
        <v>6489</v>
      </c>
      <c r="FR501" s="1" t="s">
        <v>210</v>
      </c>
      <c r="FS501" s="1" t="s">
        <v>6490</v>
      </c>
      <c r="FT501" s="1" t="s">
        <v>6491</v>
      </c>
      <c r="FU501" s="1" t="s">
        <v>204</v>
      </c>
      <c r="FW501" s="1" t="s">
        <v>2590</v>
      </c>
      <c r="FX501" s="1">
        <v>2644</v>
      </c>
      <c r="FY501" s="1" t="s">
        <v>2591</v>
      </c>
      <c r="FZ501" s="1" t="s">
        <v>6492</v>
      </c>
      <c r="GA501" s="1">
        <v>18736</v>
      </c>
      <c r="GB501" s="1" t="s">
        <v>6493</v>
      </c>
      <c r="GE501" s="1" t="s">
        <v>1256</v>
      </c>
      <c r="GH501" s="1" t="s">
        <v>421</v>
      </c>
      <c r="GI501" s="1" t="s">
        <v>213</v>
      </c>
      <c r="GJ501" s="1" t="s">
        <v>260</v>
      </c>
      <c r="GK501" s="1" t="s">
        <v>261</v>
      </c>
      <c r="GL501" s="2">
        <v>42104</v>
      </c>
      <c r="GM501" s="1" t="s">
        <v>6494</v>
      </c>
    </row>
    <row r="502" spans="1:195">
      <c r="A502" s="1">
        <v>103000</v>
      </c>
      <c r="B502" s="1" t="s">
        <v>195</v>
      </c>
      <c r="C502" s="1" t="str">
        <f>"08801057"</f>
        <v>08801057</v>
      </c>
      <c r="D502" s="1" t="s">
        <v>196</v>
      </c>
      <c r="F502" s="1" t="str">
        <f>"188"</f>
        <v>188</v>
      </c>
      <c r="G502" s="2">
        <v>41985</v>
      </c>
      <c r="H502" s="1">
        <v>99000</v>
      </c>
      <c r="I502" s="1">
        <v>99000</v>
      </c>
      <c r="J502" s="1">
        <v>103000</v>
      </c>
      <c r="K502" s="2">
        <v>41985</v>
      </c>
      <c r="L502" s="1">
        <v>3</v>
      </c>
      <c r="M502" s="2">
        <v>41987</v>
      </c>
      <c r="N502" s="1">
        <v>3</v>
      </c>
      <c r="O502" s="2">
        <v>41987</v>
      </c>
      <c r="P502" s="1">
        <v>25088</v>
      </c>
      <c r="Q502" s="1" t="s">
        <v>197</v>
      </c>
      <c r="R502" s="2">
        <v>42034</v>
      </c>
      <c r="S502" s="1">
        <v>256862</v>
      </c>
      <c r="T502" s="1">
        <v>3000</v>
      </c>
      <c r="U502" s="1">
        <v>736</v>
      </c>
      <c r="V502" s="1" t="s">
        <v>6495</v>
      </c>
      <c r="W502" s="1" t="s">
        <v>425</v>
      </c>
      <c r="X502" s="1">
        <v>108</v>
      </c>
      <c r="Y502" s="1">
        <v>10</v>
      </c>
      <c r="Z502" s="1" t="s">
        <v>249</v>
      </c>
      <c r="AA502" s="1" t="s">
        <v>1084</v>
      </c>
      <c r="AB502" s="1">
        <v>60188</v>
      </c>
      <c r="AD502" s="1" t="s">
        <v>6496</v>
      </c>
      <c r="AE502" s="1" t="s">
        <v>6497</v>
      </c>
      <c r="AF502" s="1">
        <v>1994</v>
      </c>
      <c r="AG502" s="1" t="s">
        <v>204</v>
      </c>
      <c r="AH502" s="1" t="s">
        <v>1087</v>
      </c>
      <c r="AI502" s="1" t="s">
        <v>206</v>
      </c>
      <c r="AJ502" s="1" t="s">
        <v>269</v>
      </c>
      <c r="AL502" s="1">
        <v>4</v>
      </c>
      <c r="AM502" s="1">
        <v>2</v>
      </c>
      <c r="AN502" s="1">
        <v>2</v>
      </c>
      <c r="AO502" s="1">
        <v>0</v>
      </c>
      <c r="AP502" s="1" t="s">
        <v>209</v>
      </c>
      <c r="AQ502" s="1">
        <v>0</v>
      </c>
      <c r="AR502" s="1" t="s">
        <v>210</v>
      </c>
      <c r="AS502" s="1" t="s">
        <v>204</v>
      </c>
      <c r="AT502" s="1" t="s">
        <v>271</v>
      </c>
      <c r="AV502" s="1">
        <v>2</v>
      </c>
      <c r="AW502" s="1" t="s">
        <v>204</v>
      </c>
      <c r="AX502" s="1" t="s">
        <v>212</v>
      </c>
      <c r="AZ502" s="1">
        <v>1888</v>
      </c>
      <c r="BA502" s="1">
        <v>2013</v>
      </c>
      <c r="BB502" s="1" t="s">
        <v>405</v>
      </c>
      <c r="BC502" s="1">
        <v>0</v>
      </c>
      <c r="BD502" s="1">
        <v>2014</v>
      </c>
      <c r="BE502" s="1">
        <v>974</v>
      </c>
      <c r="BF502" s="1">
        <v>1</v>
      </c>
      <c r="BG502" s="1">
        <v>15</v>
      </c>
      <c r="BL502" s="1">
        <v>281</v>
      </c>
      <c r="BM502" s="1" t="s">
        <v>204</v>
      </c>
      <c r="BN502" s="1" t="s">
        <v>213</v>
      </c>
      <c r="BO502" s="1">
        <v>0</v>
      </c>
      <c r="BP502" s="1" t="s">
        <v>204</v>
      </c>
      <c r="BR502" s="1" t="str">
        <f>"0229316036"</f>
        <v>0229316036</v>
      </c>
      <c r="BT502" s="1" t="s">
        <v>6498</v>
      </c>
      <c r="BU502" s="1" t="s">
        <v>1501</v>
      </c>
      <c r="BV502" s="1" t="s">
        <v>1502</v>
      </c>
      <c r="BW502" s="1" t="s">
        <v>1092</v>
      </c>
      <c r="BX502" s="1">
        <v>93</v>
      </c>
      <c r="BY502" s="1">
        <v>93</v>
      </c>
      <c r="BZ502" s="1">
        <v>87</v>
      </c>
      <c r="CB502" s="1" t="str">
        <f>"3"</f>
        <v>3</v>
      </c>
      <c r="CC502" s="1" t="str">
        <f>"0"</f>
        <v>0</v>
      </c>
      <c r="CD502" s="1">
        <v>25</v>
      </c>
      <c r="CE502" s="1">
        <v>0</v>
      </c>
      <c r="CG502" s="1" t="s">
        <v>6499</v>
      </c>
      <c r="CH502" s="1" t="s">
        <v>219</v>
      </c>
      <c r="CI502" s="1" t="s">
        <v>438</v>
      </c>
      <c r="CJ502" s="1" t="s">
        <v>343</v>
      </c>
      <c r="CK502" s="1" t="s">
        <v>461</v>
      </c>
      <c r="CL502" s="1" t="s">
        <v>219</v>
      </c>
      <c r="CM502" s="1" t="s">
        <v>220</v>
      </c>
      <c r="CN502" s="1" t="s">
        <v>909</v>
      </c>
      <c r="CP502" s="1" t="s">
        <v>224</v>
      </c>
      <c r="CS502" s="1" t="s">
        <v>461</v>
      </c>
      <c r="CT502" s="1" t="s">
        <v>219</v>
      </c>
      <c r="CU502" s="1" t="s">
        <v>220</v>
      </c>
      <c r="CV502" s="1" t="s">
        <v>909</v>
      </c>
      <c r="CX502" s="1" t="s">
        <v>224</v>
      </c>
      <c r="DB502" s="1" t="s">
        <v>224</v>
      </c>
      <c r="DE502" s="1" t="s">
        <v>278</v>
      </c>
      <c r="DF502" s="1" t="s">
        <v>219</v>
      </c>
      <c r="DG502" s="1" t="s">
        <v>226</v>
      </c>
      <c r="DJ502" s="1" t="s">
        <v>224</v>
      </c>
      <c r="DS502" s="1" t="s">
        <v>230</v>
      </c>
      <c r="DW502" s="1" t="s">
        <v>230</v>
      </c>
      <c r="EA502" s="1" t="s">
        <v>230</v>
      </c>
      <c r="EE502" s="1" t="s">
        <v>230</v>
      </c>
      <c r="EI502" s="1" t="s">
        <v>230</v>
      </c>
      <c r="EL502" s="1" t="s">
        <v>670</v>
      </c>
      <c r="EM502" s="1" t="s">
        <v>232</v>
      </c>
      <c r="EN502" s="1" t="s">
        <v>282</v>
      </c>
      <c r="EO502" s="1" t="s">
        <v>234</v>
      </c>
      <c r="EP502" s="1" t="s">
        <v>6500</v>
      </c>
      <c r="EQ502" s="1" t="s">
        <v>468</v>
      </c>
      <c r="ER502" s="1" t="s">
        <v>383</v>
      </c>
      <c r="EV502" s="1" t="s">
        <v>240</v>
      </c>
      <c r="EW502" s="1" t="s">
        <v>6280</v>
      </c>
      <c r="EY502" s="1" t="s">
        <v>441</v>
      </c>
      <c r="EZ502" s="1" t="s">
        <v>287</v>
      </c>
      <c r="FA502" s="1" t="s">
        <v>6501</v>
      </c>
      <c r="FB502" s="1" t="s">
        <v>289</v>
      </c>
      <c r="FC502" s="1" t="s">
        <v>548</v>
      </c>
      <c r="FD502" s="1" t="s">
        <v>246</v>
      </c>
      <c r="FE502" s="1" t="s">
        <v>870</v>
      </c>
      <c r="FF502" s="1" t="s">
        <v>248</v>
      </c>
      <c r="FH502" s="1" t="s">
        <v>249</v>
      </c>
      <c r="FK502" s="1" t="s">
        <v>6502</v>
      </c>
      <c r="FL502" s="1" t="s">
        <v>358</v>
      </c>
      <c r="FM502" s="1" t="s">
        <v>252</v>
      </c>
      <c r="FN502" s="1" t="s">
        <v>213</v>
      </c>
      <c r="FO502" s="1" t="s">
        <v>213</v>
      </c>
      <c r="FQ502" s="1" t="s">
        <v>6332</v>
      </c>
      <c r="FR502" s="1" t="s">
        <v>210</v>
      </c>
      <c r="FS502" s="1" t="s">
        <v>6503</v>
      </c>
      <c r="FT502" s="1" t="s">
        <v>295</v>
      </c>
      <c r="FU502" s="1" t="s">
        <v>204</v>
      </c>
      <c r="FW502" s="1" t="s">
        <v>1050</v>
      </c>
      <c r="FX502" s="1">
        <v>23025</v>
      </c>
      <c r="FY502" s="1" t="s">
        <v>1051</v>
      </c>
      <c r="FZ502" s="1" t="s">
        <v>6504</v>
      </c>
      <c r="GA502" s="1">
        <v>259173</v>
      </c>
      <c r="GB502" s="1" t="s">
        <v>6505</v>
      </c>
      <c r="GE502" s="1" t="s">
        <v>480</v>
      </c>
      <c r="GH502" s="1" t="s">
        <v>230</v>
      </c>
      <c r="GI502" s="1" t="s">
        <v>213</v>
      </c>
      <c r="GJ502" s="1" t="s">
        <v>260</v>
      </c>
      <c r="GK502" s="1" t="s">
        <v>261</v>
      </c>
      <c r="GL502" s="2">
        <v>42035</v>
      </c>
      <c r="GM502" s="1" t="s">
        <v>6506</v>
      </c>
    </row>
    <row r="503" spans="1:195">
      <c r="A503" s="1">
        <v>97000</v>
      </c>
      <c r="B503" s="1" t="s">
        <v>195</v>
      </c>
      <c r="C503" s="1" t="str">
        <f>"08798383"</f>
        <v>08798383</v>
      </c>
      <c r="D503" s="1" t="s">
        <v>196</v>
      </c>
      <c r="F503" s="1" t="str">
        <f>"8064"</f>
        <v>8064</v>
      </c>
      <c r="G503" s="2">
        <v>41981</v>
      </c>
      <c r="H503" s="1">
        <v>125000</v>
      </c>
      <c r="I503" s="1">
        <v>125000</v>
      </c>
      <c r="J503" s="1">
        <v>97000</v>
      </c>
      <c r="K503" s="2">
        <v>41978</v>
      </c>
      <c r="L503" s="1">
        <v>18</v>
      </c>
      <c r="M503" s="2">
        <v>41995</v>
      </c>
      <c r="N503" s="1">
        <v>18</v>
      </c>
      <c r="O503" s="2">
        <v>41995</v>
      </c>
      <c r="P503" s="1">
        <v>16636</v>
      </c>
      <c r="Q503" s="1" t="s">
        <v>197</v>
      </c>
      <c r="R503" s="2">
        <v>42035</v>
      </c>
      <c r="S503" s="1">
        <v>168467</v>
      </c>
      <c r="U503" s="1">
        <v>6519</v>
      </c>
      <c r="V503" s="1" t="s">
        <v>4294</v>
      </c>
      <c r="W503" s="1" t="s">
        <v>725</v>
      </c>
      <c r="X503" s="1" t="s">
        <v>6507</v>
      </c>
      <c r="Y503" s="1">
        <v>12</v>
      </c>
      <c r="Z503" s="1" t="s">
        <v>249</v>
      </c>
      <c r="AA503" s="1" t="s">
        <v>400</v>
      </c>
      <c r="AB503" s="1">
        <v>60638</v>
      </c>
      <c r="AE503" s="1" t="s">
        <v>6508</v>
      </c>
      <c r="AF503" s="1" t="s">
        <v>402</v>
      </c>
      <c r="AG503" s="1" t="s">
        <v>204</v>
      </c>
      <c r="AH503" s="1" t="s">
        <v>403</v>
      </c>
      <c r="AI503" s="1" t="s">
        <v>310</v>
      </c>
      <c r="AJ503" s="1" t="s">
        <v>683</v>
      </c>
      <c r="AL503" s="1">
        <v>5</v>
      </c>
      <c r="AM503" s="1">
        <v>2</v>
      </c>
      <c r="AN503" s="1">
        <v>1</v>
      </c>
      <c r="AO503" s="1">
        <v>0</v>
      </c>
      <c r="AP503" s="1" t="s">
        <v>210</v>
      </c>
      <c r="AQ503" s="1">
        <v>1</v>
      </c>
      <c r="AR503" s="1" t="s">
        <v>210</v>
      </c>
      <c r="AT503" s="1" t="s">
        <v>211</v>
      </c>
      <c r="AU503" s="1">
        <v>1</v>
      </c>
      <c r="AW503" s="1" t="s">
        <v>204</v>
      </c>
      <c r="AX503" s="1" t="s">
        <v>6509</v>
      </c>
      <c r="AZ503" s="1">
        <v>1776.49</v>
      </c>
      <c r="BA503" s="1">
        <v>2012</v>
      </c>
      <c r="BE503" s="1">
        <v>1028</v>
      </c>
      <c r="BF503" s="1">
        <v>1</v>
      </c>
      <c r="BG503" s="1">
        <v>30</v>
      </c>
      <c r="BL503" s="1">
        <v>125</v>
      </c>
      <c r="BM503" s="1" t="s">
        <v>204</v>
      </c>
      <c r="BN503" s="1" t="s">
        <v>204</v>
      </c>
      <c r="BP503" s="1" t="s">
        <v>204</v>
      </c>
      <c r="BR503" s="1" t="str">
        <f>"19192020771002"</f>
        <v>19192020771002</v>
      </c>
      <c r="BT503" s="1" t="s">
        <v>6510</v>
      </c>
      <c r="BX503" s="1">
        <v>299</v>
      </c>
      <c r="BY503" s="1">
        <v>299</v>
      </c>
      <c r="BZ503" s="1">
        <v>299</v>
      </c>
      <c r="CB503" s="1" t="str">
        <f t="shared" ref="CB503:CC503" si="393">"0"</f>
        <v>0</v>
      </c>
      <c r="CC503" s="1" t="str">
        <f t="shared" si="393"/>
        <v>0</v>
      </c>
      <c r="CD503" s="1">
        <v>6500</v>
      </c>
      <c r="CE503" s="1">
        <v>6300</v>
      </c>
      <c r="CG503" s="1" t="s">
        <v>2121</v>
      </c>
      <c r="CH503" s="1" t="s">
        <v>219</v>
      </c>
      <c r="CI503" s="1" t="s">
        <v>438</v>
      </c>
      <c r="CK503" s="1" t="s">
        <v>757</v>
      </c>
      <c r="CL503" s="1" t="s">
        <v>219</v>
      </c>
      <c r="CO503" s="1" t="s">
        <v>408</v>
      </c>
      <c r="CP503" s="1" t="s">
        <v>219</v>
      </c>
      <c r="CQ503" s="1" t="s">
        <v>438</v>
      </c>
      <c r="CS503" s="1" t="s">
        <v>379</v>
      </c>
      <c r="CT503" s="1" t="s">
        <v>219</v>
      </c>
      <c r="CX503" s="1" t="s">
        <v>224</v>
      </c>
      <c r="DB503" s="1" t="s">
        <v>224</v>
      </c>
      <c r="DE503" s="1" t="s">
        <v>408</v>
      </c>
      <c r="DF503" s="1" t="s">
        <v>219</v>
      </c>
      <c r="DJ503" s="1" t="s">
        <v>224</v>
      </c>
      <c r="DS503" s="1" t="s">
        <v>230</v>
      </c>
      <c r="DW503" s="1" t="s">
        <v>230</v>
      </c>
      <c r="EA503" s="1" t="s">
        <v>230</v>
      </c>
      <c r="EE503" s="1" t="s">
        <v>230</v>
      </c>
      <c r="EI503" s="1" t="s">
        <v>230</v>
      </c>
      <c r="EL503" s="1" t="s">
        <v>670</v>
      </c>
      <c r="EM503" s="1" t="s">
        <v>232</v>
      </c>
      <c r="EN503" s="1" t="s">
        <v>282</v>
      </c>
      <c r="EO503" s="1" t="s">
        <v>234</v>
      </c>
      <c r="EQ503" s="1" t="s">
        <v>492</v>
      </c>
      <c r="ER503" s="1" t="s">
        <v>210</v>
      </c>
      <c r="EV503" s="1" t="s">
        <v>324</v>
      </c>
      <c r="EW503" s="1" t="s">
        <v>6511</v>
      </c>
      <c r="EZ503" s="1" t="s">
        <v>287</v>
      </c>
      <c r="FD503" s="1" t="s">
        <v>1112</v>
      </c>
      <c r="FE503" s="1" t="s">
        <v>247</v>
      </c>
      <c r="FF503" s="1" t="s">
        <v>248</v>
      </c>
      <c r="FG503" s="1" t="s">
        <v>912</v>
      </c>
      <c r="FH503" s="1" t="s">
        <v>249</v>
      </c>
      <c r="FL503" s="1" t="s">
        <v>358</v>
      </c>
      <c r="FM503" s="1" t="s">
        <v>252</v>
      </c>
      <c r="FN503" s="1" t="s">
        <v>213</v>
      </c>
      <c r="FO503" s="1" t="s">
        <v>213</v>
      </c>
      <c r="FQ503" s="1" t="s">
        <v>849</v>
      </c>
      <c r="FR503" s="1" t="s">
        <v>652</v>
      </c>
      <c r="FS503" s="1" t="s">
        <v>6512</v>
      </c>
      <c r="FT503" s="1" t="s">
        <v>295</v>
      </c>
      <c r="FU503" s="1" t="s">
        <v>204</v>
      </c>
      <c r="FW503" s="1" t="s">
        <v>6513</v>
      </c>
      <c r="FX503" s="1">
        <v>61026</v>
      </c>
      <c r="FY503" s="1" t="s">
        <v>6514</v>
      </c>
      <c r="FZ503" s="1" t="s">
        <v>6515</v>
      </c>
      <c r="GA503" s="1">
        <v>604369</v>
      </c>
      <c r="GB503" s="1" t="s">
        <v>6516</v>
      </c>
      <c r="GE503" s="1" t="s">
        <v>210</v>
      </c>
      <c r="GH503" s="1" t="s">
        <v>589</v>
      </c>
      <c r="GI503" s="1" t="s">
        <v>213</v>
      </c>
      <c r="GJ503" s="1" t="s">
        <v>260</v>
      </c>
      <c r="GK503" s="1" t="s">
        <v>210</v>
      </c>
      <c r="GL503" s="2">
        <v>42037</v>
      </c>
    </row>
    <row r="504" spans="1:195">
      <c r="A504" s="1">
        <v>16000</v>
      </c>
      <c r="B504" s="1" t="s">
        <v>195</v>
      </c>
      <c r="C504" s="1" t="str">
        <f>"08795243"</f>
        <v>08795243</v>
      </c>
      <c r="D504" s="1" t="s">
        <v>196</v>
      </c>
      <c r="F504" s="1" t="str">
        <f>"8040"</f>
        <v>8040</v>
      </c>
      <c r="G504" s="2">
        <v>41975</v>
      </c>
      <c r="H504" s="1">
        <v>25900</v>
      </c>
      <c r="I504" s="1">
        <v>23900</v>
      </c>
      <c r="J504" s="1">
        <v>16000</v>
      </c>
      <c r="K504" s="2">
        <v>41975</v>
      </c>
      <c r="L504" s="1">
        <v>376</v>
      </c>
      <c r="M504" s="2">
        <v>42050</v>
      </c>
      <c r="N504" s="1">
        <v>76</v>
      </c>
      <c r="O504" s="2">
        <v>42050</v>
      </c>
      <c r="P504" s="1">
        <v>16492</v>
      </c>
      <c r="Q504" s="1" t="s">
        <v>302</v>
      </c>
      <c r="R504" s="2">
        <v>42060</v>
      </c>
      <c r="S504" s="1">
        <v>143711</v>
      </c>
      <c r="U504" s="1">
        <v>5758</v>
      </c>
      <c r="V504" s="1" t="s">
        <v>398</v>
      </c>
      <c r="W504" s="1" t="s">
        <v>264</v>
      </c>
      <c r="X504" s="1" t="s">
        <v>4806</v>
      </c>
      <c r="Y504" s="1">
        <v>25</v>
      </c>
      <c r="Z504" s="1" t="s">
        <v>200</v>
      </c>
      <c r="AA504" s="1" t="s">
        <v>400</v>
      </c>
      <c r="AB504" s="1">
        <v>60637</v>
      </c>
      <c r="AE504" s="1" t="s">
        <v>6517</v>
      </c>
      <c r="AF504" s="1" t="s">
        <v>402</v>
      </c>
      <c r="AG504" s="1" t="s">
        <v>213</v>
      </c>
      <c r="AH504" s="1" t="s">
        <v>403</v>
      </c>
      <c r="AI504" s="1" t="s">
        <v>310</v>
      </c>
      <c r="AJ504" s="1" t="s">
        <v>562</v>
      </c>
      <c r="AL504" s="1">
        <v>4</v>
      </c>
      <c r="AM504" s="1">
        <v>2</v>
      </c>
      <c r="AN504" s="1">
        <v>1</v>
      </c>
      <c r="AO504" s="1">
        <v>0</v>
      </c>
      <c r="AP504" s="1" t="s">
        <v>210</v>
      </c>
      <c r="AR504" s="1" t="s">
        <v>210</v>
      </c>
      <c r="AS504" s="1" t="s">
        <v>204</v>
      </c>
      <c r="AT504" s="1" t="s">
        <v>271</v>
      </c>
      <c r="AV504" s="1">
        <v>1</v>
      </c>
      <c r="AW504" s="1" t="s">
        <v>204</v>
      </c>
      <c r="AX504" s="1" t="s">
        <v>212</v>
      </c>
      <c r="AZ504" s="1">
        <v>1282.53</v>
      </c>
      <c r="BA504" s="1">
        <v>2012</v>
      </c>
      <c r="BE504" s="1">
        <v>950</v>
      </c>
      <c r="BF504" s="1" t="s">
        <v>4806</v>
      </c>
      <c r="BG504" s="1">
        <v>30</v>
      </c>
      <c r="BL504" s="1">
        <v>187</v>
      </c>
      <c r="BM504" s="1" t="s">
        <v>413</v>
      </c>
      <c r="BN504" s="1" t="s">
        <v>204</v>
      </c>
      <c r="BP504" s="1" t="s">
        <v>204</v>
      </c>
      <c r="BR504" s="1" t="str">
        <f>"20151180281013"</f>
        <v>20151180281013</v>
      </c>
      <c r="BT504" s="1" t="s">
        <v>6518</v>
      </c>
      <c r="BX504" s="1">
        <v>299</v>
      </c>
      <c r="BY504" s="1">
        <v>299</v>
      </c>
      <c r="BZ504" s="1">
        <v>299</v>
      </c>
      <c r="CB504" s="1" t="str">
        <f>"0"</f>
        <v>0</v>
      </c>
      <c r="CC504" s="1" t="str">
        <f>"344"</f>
        <v>344</v>
      </c>
      <c r="CD504" s="1">
        <v>0</v>
      </c>
      <c r="CE504" s="1">
        <v>5758</v>
      </c>
      <c r="CG504" s="1" t="s">
        <v>862</v>
      </c>
      <c r="CH504" s="1" t="s">
        <v>219</v>
      </c>
      <c r="CI504" s="1" t="s">
        <v>438</v>
      </c>
      <c r="CK504" s="1" t="s">
        <v>1358</v>
      </c>
      <c r="CL504" s="1" t="s">
        <v>219</v>
      </c>
      <c r="CM504" s="1" t="s">
        <v>220</v>
      </c>
      <c r="CP504" s="1" t="s">
        <v>224</v>
      </c>
      <c r="CS504" s="1" t="s">
        <v>379</v>
      </c>
      <c r="CT504" s="1" t="s">
        <v>219</v>
      </c>
      <c r="CU504" s="1" t="s">
        <v>220</v>
      </c>
      <c r="CX504" s="1" t="s">
        <v>224</v>
      </c>
      <c r="DB504" s="1" t="s">
        <v>224</v>
      </c>
      <c r="DE504" s="1" t="s">
        <v>5105</v>
      </c>
      <c r="DF504" s="1" t="s">
        <v>219</v>
      </c>
      <c r="DG504" s="1" t="s">
        <v>438</v>
      </c>
      <c r="DJ504" s="1" t="s">
        <v>224</v>
      </c>
      <c r="DS504" s="1" t="s">
        <v>230</v>
      </c>
      <c r="DW504" s="1" t="s">
        <v>230</v>
      </c>
      <c r="EA504" s="1" t="s">
        <v>230</v>
      </c>
      <c r="EE504" s="1" t="s">
        <v>230</v>
      </c>
      <c r="EI504" s="1" t="s">
        <v>230</v>
      </c>
      <c r="EL504" s="1" t="s">
        <v>2521</v>
      </c>
      <c r="EM504" s="1" t="s">
        <v>319</v>
      </c>
      <c r="EN504" s="1" t="s">
        <v>282</v>
      </c>
      <c r="EO504" s="1" t="s">
        <v>234</v>
      </c>
      <c r="ER504" s="1" t="s">
        <v>210</v>
      </c>
      <c r="EW504" s="1" t="s">
        <v>6519</v>
      </c>
      <c r="EZ504" s="1" t="s">
        <v>287</v>
      </c>
      <c r="FB504" s="1" t="s">
        <v>289</v>
      </c>
      <c r="FD504" s="1" t="s">
        <v>1112</v>
      </c>
      <c r="FE504" s="1" t="s">
        <v>247</v>
      </c>
      <c r="FF504" s="1" t="s">
        <v>248</v>
      </c>
      <c r="FH504" s="1" t="s">
        <v>249</v>
      </c>
      <c r="FL504" s="1" t="s">
        <v>358</v>
      </c>
      <c r="FM504" s="1" t="s">
        <v>252</v>
      </c>
      <c r="FN504" s="1" t="s">
        <v>213</v>
      </c>
      <c r="FO504" s="1" t="s">
        <v>213</v>
      </c>
      <c r="FQ504" s="1" t="s">
        <v>5363</v>
      </c>
      <c r="FR504" s="1" t="s">
        <v>210</v>
      </c>
      <c r="FS504" s="1" t="s">
        <v>6520</v>
      </c>
      <c r="FT504" s="1" t="s">
        <v>6521</v>
      </c>
      <c r="FU504" s="1" t="s">
        <v>204</v>
      </c>
      <c r="FW504" s="1" t="s">
        <v>6522</v>
      </c>
      <c r="FX504" s="1">
        <v>16492</v>
      </c>
      <c r="FY504" s="1" t="s">
        <v>6523</v>
      </c>
      <c r="FZ504" s="1" t="s">
        <v>6524</v>
      </c>
      <c r="GA504" s="1">
        <v>143711</v>
      </c>
      <c r="GB504" s="1" t="s">
        <v>6525</v>
      </c>
      <c r="GE504" s="1" t="s">
        <v>210</v>
      </c>
      <c r="GH504" s="1" t="s">
        <v>421</v>
      </c>
      <c r="GI504" s="1" t="s">
        <v>213</v>
      </c>
      <c r="GJ504" s="1" t="s">
        <v>260</v>
      </c>
      <c r="GK504" s="1" t="s">
        <v>210</v>
      </c>
      <c r="GL504" s="2">
        <v>42062</v>
      </c>
      <c r="GM504" s="1" t="s">
        <v>6526</v>
      </c>
    </row>
    <row r="505" spans="1:195">
      <c r="A505" s="1">
        <v>325000</v>
      </c>
      <c r="B505" s="1" t="s">
        <v>195</v>
      </c>
      <c r="C505" s="1" t="str">
        <f>"08797966"</f>
        <v>08797966</v>
      </c>
      <c r="D505" s="1" t="s">
        <v>196</v>
      </c>
      <c r="F505" s="1" t="str">
        <f>"181"</f>
        <v>181</v>
      </c>
      <c r="G505" s="2">
        <v>41979</v>
      </c>
      <c r="H505" s="1">
        <v>389900</v>
      </c>
      <c r="I505" s="1">
        <v>389900</v>
      </c>
      <c r="J505" s="1">
        <v>325000</v>
      </c>
      <c r="K505" s="2">
        <v>41979</v>
      </c>
      <c r="L505" s="1">
        <v>72</v>
      </c>
      <c r="M505" s="2">
        <v>42050</v>
      </c>
      <c r="N505" s="1">
        <v>72</v>
      </c>
      <c r="O505" s="2">
        <v>42050</v>
      </c>
      <c r="P505" s="1">
        <v>2648</v>
      </c>
      <c r="Q505" s="1" t="s">
        <v>197</v>
      </c>
      <c r="R505" s="2">
        <v>42107</v>
      </c>
      <c r="S505" s="1">
        <v>18093</v>
      </c>
      <c r="U505" s="1" t="s">
        <v>3307</v>
      </c>
      <c r="V505" s="1" t="s">
        <v>6527</v>
      </c>
      <c r="W505" s="1" t="s">
        <v>1056</v>
      </c>
      <c r="X505" s="1" t="s">
        <v>1949</v>
      </c>
      <c r="Y505" s="1">
        <v>22</v>
      </c>
      <c r="Z505" s="1" t="s">
        <v>249</v>
      </c>
      <c r="AA505" s="1" t="s">
        <v>3310</v>
      </c>
      <c r="AB505" s="1">
        <v>60181</v>
      </c>
      <c r="AE505" s="1" t="s">
        <v>6528</v>
      </c>
      <c r="AF505" s="1">
        <v>1987</v>
      </c>
      <c r="AG505" s="1" t="s">
        <v>204</v>
      </c>
      <c r="AH505" s="1" t="s">
        <v>6529</v>
      </c>
      <c r="AI505" s="1" t="s">
        <v>206</v>
      </c>
      <c r="AJ505" s="1" t="s">
        <v>1608</v>
      </c>
      <c r="AL505" s="1">
        <v>7</v>
      </c>
      <c r="AM505" s="1">
        <v>2</v>
      </c>
      <c r="AN505" s="1">
        <v>2</v>
      </c>
      <c r="AO505" s="1">
        <v>1</v>
      </c>
      <c r="AP505" s="1" t="s">
        <v>209</v>
      </c>
      <c r="AQ505" s="1">
        <v>1</v>
      </c>
      <c r="AR505" s="1" t="s">
        <v>210</v>
      </c>
      <c r="AS505" s="1" t="s">
        <v>204</v>
      </c>
      <c r="AT505" s="1" t="s">
        <v>211</v>
      </c>
      <c r="AU505" s="1">
        <v>2</v>
      </c>
      <c r="AW505" s="1" t="s">
        <v>204</v>
      </c>
      <c r="AX505" s="1" t="s">
        <v>212</v>
      </c>
      <c r="AZ505" s="1">
        <v>4731</v>
      </c>
      <c r="BA505" s="1">
        <v>2013</v>
      </c>
      <c r="BB505" s="1" t="s">
        <v>2694</v>
      </c>
      <c r="BE505" s="1">
        <v>2558</v>
      </c>
      <c r="BF505" s="1">
        <v>3</v>
      </c>
      <c r="BG505" s="1">
        <v>0</v>
      </c>
      <c r="BL505" s="1">
        <v>656</v>
      </c>
      <c r="BM505" s="1" t="s">
        <v>204</v>
      </c>
      <c r="BN505" s="1" t="s">
        <v>204</v>
      </c>
      <c r="BP505" s="1" t="s">
        <v>204</v>
      </c>
      <c r="BR505" s="1" t="str">
        <f>"0623114019"</f>
        <v>0623114019</v>
      </c>
      <c r="BT505" s="1" t="s">
        <v>6530</v>
      </c>
      <c r="BU505" s="1" t="s">
        <v>3314</v>
      </c>
      <c r="BV505" s="1" t="s">
        <v>3315</v>
      </c>
      <c r="BX505" s="1">
        <v>48</v>
      </c>
      <c r="BY505" s="1">
        <v>48</v>
      </c>
      <c r="BZ505" s="1">
        <v>88</v>
      </c>
      <c r="CB505" s="1" t="str">
        <f>"1"</f>
        <v>1</v>
      </c>
      <c r="CC505" s="1" t="str">
        <f>"0"</f>
        <v>0</v>
      </c>
      <c r="CD505" s="1">
        <v>16</v>
      </c>
      <c r="CE505" s="1">
        <v>0</v>
      </c>
      <c r="CG505" s="1" t="s">
        <v>581</v>
      </c>
      <c r="CH505" s="1" t="s">
        <v>219</v>
      </c>
      <c r="CI505" s="1" t="s">
        <v>229</v>
      </c>
      <c r="CK505" s="1" t="s">
        <v>6531</v>
      </c>
      <c r="CL505" s="1" t="s">
        <v>219</v>
      </c>
      <c r="CM505" s="1" t="s">
        <v>229</v>
      </c>
      <c r="CO505" s="1" t="s">
        <v>437</v>
      </c>
      <c r="CP505" s="1" t="s">
        <v>219</v>
      </c>
      <c r="CQ505" s="1" t="s">
        <v>229</v>
      </c>
      <c r="CS505" s="1" t="s">
        <v>437</v>
      </c>
      <c r="CT505" s="1" t="s">
        <v>219</v>
      </c>
      <c r="CU505" s="1" t="s">
        <v>229</v>
      </c>
      <c r="CX505" s="1" t="s">
        <v>224</v>
      </c>
      <c r="DB505" s="1" t="s">
        <v>224</v>
      </c>
      <c r="DE505" s="1" t="s">
        <v>932</v>
      </c>
      <c r="DF505" s="1" t="s">
        <v>219</v>
      </c>
      <c r="DG505" s="1" t="s">
        <v>226</v>
      </c>
      <c r="DI505" s="1" t="s">
        <v>314</v>
      </c>
      <c r="DJ505" s="1" t="s">
        <v>219</v>
      </c>
      <c r="DK505" s="1" t="s">
        <v>229</v>
      </c>
      <c r="DM505" s="1" t="s">
        <v>1005</v>
      </c>
      <c r="DR505" s="1" t="s">
        <v>315</v>
      </c>
      <c r="DS505" s="1" t="s">
        <v>219</v>
      </c>
      <c r="DT505" s="1" t="s">
        <v>229</v>
      </c>
      <c r="DW505" s="1" t="s">
        <v>230</v>
      </c>
      <c r="EA505" s="1" t="s">
        <v>230</v>
      </c>
      <c r="EE505" s="1" t="s">
        <v>230</v>
      </c>
      <c r="EI505" s="1" t="s">
        <v>230</v>
      </c>
      <c r="EL505" s="1" t="s">
        <v>542</v>
      </c>
      <c r="EM505" s="1" t="s">
        <v>232</v>
      </c>
      <c r="EN505" s="1" t="s">
        <v>282</v>
      </c>
      <c r="EO505" s="1" t="s">
        <v>234</v>
      </c>
      <c r="EP505" s="1" t="s">
        <v>6532</v>
      </c>
      <c r="EQ505" s="1" t="s">
        <v>2188</v>
      </c>
      <c r="ER505" s="1" t="s">
        <v>210</v>
      </c>
      <c r="ES505" s="1" t="s">
        <v>469</v>
      </c>
      <c r="ET505" s="1" t="s">
        <v>6533</v>
      </c>
      <c r="EV505" s="1" t="s">
        <v>1553</v>
      </c>
      <c r="EW505" s="1" t="s">
        <v>6534</v>
      </c>
      <c r="EY505" s="1" t="s">
        <v>1315</v>
      </c>
      <c r="EZ505" s="1" t="s">
        <v>1005</v>
      </c>
      <c r="FA505" s="1" t="s">
        <v>6535</v>
      </c>
      <c r="FC505" s="1" t="s">
        <v>548</v>
      </c>
      <c r="FD505" s="1" t="s">
        <v>1112</v>
      </c>
      <c r="FE505" s="1" t="s">
        <v>247</v>
      </c>
      <c r="FF505" s="1" t="s">
        <v>248</v>
      </c>
      <c r="FG505" s="1" t="s">
        <v>2540</v>
      </c>
      <c r="FH505" s="1" t="s">
        <v>249</v>
      </c>
      <c r="FI505" s="1" t="s">
        <v>4004</v>
      </c>
      <c r="FJ505" s="1" t="s">
        <v>518</v>
      </c>
      <c r="FL505" s="1" t="s">
        <v>358</v>
      </c>
      <c r="FM505" s="1" t="s">
        <v>252</v>
      </c>
      <c r="FN505" s="1" t="s">
        <v>213</v>
      </c>
      <c r="FO505" s="1" t="s">
        <v>213</v>
      </c>
      <c r="FQ505" s="1" t="s">
        <v>6536</v>
      </c>
      <c r="FR505" s="1" t="s">
        <v>652</v>
      </c>
      <c r="FS505" s="1" t="s">
        <v>6537</v>
      </c>
      <c r="FT505" s="1" t="s">
        <v>255</v>
      </c>
      <c r="FU505" s="1" t="s">
        <v>204</v>
      </c>
      <c r="FW505" s="1" t="s">
        <v>2019</v>
      </c>
      <c r="FX505" s="1">
        <v>24007</v>
      </c>
      <c r="FY505" s="1" t="s">
        <v>2020</v>
      </c>
      <c r="FZ505" s="1" t="s">
        <v>6538</v>
      </c>
      <c r="GA505" s="1">
        <v>245248</v>
      </c>
      <c r="GB505" s="1" t="s">
        <v>6539</v>
      </c>
      <c r="GD505" s="1" t="s">
        <v>6540</v>
      </c>
      <c r="GE505" s="1" t="s">
        <v>480</v>
      </c>
      <c r="GI505" s="1" t="s">
        <v>213</v>
      </c>
      <c r="GJ505" s="1" t="s">
        <v>260</v>
      </c>
      <c r="GK505" s="1" t="s">
        <v>210</v>
      </c>
      <c r="GL505" s="2">
        <v>42107</v>
      </c>
      <c r="GM505" s="1" t="s">
        <v>6541</v>
      </c>
    </row>
    <row r="506" spans="1:195">
      <c r="A506" s="1">
        <v>185900</v>
      </c>
      <c r="B506" s="1" t="s">
        <v>195</v>
      </c>
      <c r="C506" s="1" t="str">
        <f>"08799106"</f>
        <v>08799106</v>
      </c>
      <c r="D506" s="1" t="s">
        <v>196</v>
      </c>
      <c r="F506" s="1" t="str">
        <f>"540"</f>
        <v>540</v>
      </c>
      <c r="G506" s="2">
        <v>41982</v>
      </c>
      <c r="H506" s="1">
        <v>189900</v>
      </c>
      <c r="I506" s="1">
        <v>185900</v>
      </c>
      <c r="J506" s="1">
        <v>185900</v>
      </c>
      <c r="K506" s="2">
        <v>41982</v>
      </c>
      <c r="L506" s="1">
        <v>80</v>
      </c>
      <c r="M506" s="2">
        <v>42061</v>
      </c>
      <c r="N506" s="1">
        <v>80</v>
      </c>
      <c r="O506" s="2">
        <v>42061</v>
      </c>
      <c r="P506" s="1">
        <v>25244</v>
      </c>
      <c r="Q506" s="1" t="s">
        <v>197</v>
      </c>
      <c r="R506" s="2">
        <v>42096</v>
      </c>
      <c r="S506" s="1">
        <v>259036</v>
      </c>
      <c r="U506" s="1">
        <v>884</v>
      </c>
      <c r="V506" s="1" t="s">
        <v>5949</v>
      </c>
      <c r="W506" s="1" t="s">
        <v>264</v>
      </c>
      <c r="Y506" s="1">
        <v>8</v>
      </c>
      <c r="Z506" s="1" t="s">
        <v>249</v>
      </c>
      <c r="AA506" s="1" t="s">
        <v>921</v>
      </c>
      <c r="AB506" s="1">
        <v>60563</v>
      </c>
      <c r="AD506" s="1" t="s">
        <v>5950</v>
      </c>
      <c r="AE506" s="1" t="s">
        <v>6542</v>
      </c>
      <c r="AF506" s="1">
        <v>2000</v>
      </c>
      <c r="AG506" s="1" t="s">
        <v>204</v>
      </c>
      <c r="AH506" s="1" t="s">
        <v>924</v>
      </c>
      <c r="AI506" s="1" t="s">
        <v>206</v>
      </c>
      <c r="AJ506" s="1" t="s">
        <v>924</v>
      </c>
      <c r="AK506" s="1" t="s">
        <v>6543</v>
      </c>
      <c r="AL506" s="1">
        <v>7</v>
      </c>
      <c r="AM506" s="1">
        <v>2</v>
      </c>
      <c r="AN506" s="1">
        <v>2</v>
      </c>
      <c r="AO506" s="1">
        <v>0</v>
      </c>
      <c r="AP506" s="1" t="s">
        <v>209</v>
      </c>
      <c r="AQ506" s="1">
        <v>1</v>
      </c>
      <c r="AR506" s="1" t="s">
        <v>1483</v>
      </c>
      <c r="AS506" s="1" t="s">
        <v>213</v>
      </c>
      <c r="AT506" s="1" t="s">
        <v>211</v>
      </c>
      <c r="AU506" s="1">
        <v>1</v>
      </c>
      <c r="AW506" s="1" t="s">
        <v>204</v>
      </c>
      <c r="AX506" s="1" t="s">
        <v>212</v>
      </c>
      <c r="AZ506" s="1">
        <v>3638</v>
      </c>
      <c r="BA506" s="1">
        <v>2013</v>
      </c>
      <c r="BE506" s="1">
        <v>1196</v>
      </c>
      <c r="BF506" s="1">
        <v>1</v>
      </c>
      <c r="BG506" s="1">
        <v>0</v>
      </c>
      <c r="BL506" s="1">
        <v>194</v>
      </c>
      <c r="BM506" s="1" t="s">
        <v>204</v>
      </c>
      <c r="BN506" s="1" t="s">
        <v>213</v>
      </c>
      <c r="BO506" s="1">
        <v>999</v>
      </c>
      <c r="BP506" s="1" t="s">
        <v>204</v>
      </c>
      <c r="BR506" s="1" t="str">
        <f>"0709310189"</f>
        <v>0709310189</v>
      </c>
      <c r="BT506" s="1" t="s">
        <v>6544</v>
      </c>
      <c r="BU506" s="1" t="s">
        <v>5426</v>
      </c>
      <c r="BV506" s="1" t="s">
        <v>1130</v>
      </c>
      <c r="BW506" s="1" t="s">
        <v>1131</v>
      </c>
      <c r="BX506" s="1">
        <v>204</v>
      </c>
      <c r="BY506" s="1">
        <v>204</v>
      </c>
      <c r="BZ506" s="1">
        <v>204</v>
      </c>
      <c r="CB506" s="1" t="str">
        <f t="shared" ref="CB506:CC506" si="394">"0"</f>
        <v>0</v>
      </c>
      <c r="CC506" s="1" t="str">
        <f t="shared" si="394"/>
        <v>0</v>
      </c>
      <c r="CD506" s="1">
        <v>30</v>
      </c>
      <c r="CE506" s="1">
        <v>6</v>
      </c>
      <c r="CG506" s="1" t="s">
        <v>1403</v>
      </c>
      <c r="CH506" s="1" t="s">
        <v>219</v>
      </c>
      <c r="CI506" s="1" t="s">
        <v>229</v>
      </c>
      <c r="CJ506" s="1" t="s">
        <v>252</v>
      </c>
      <c r="CK506" s="1" t="s">
        <v>3151</v>
      </c>
      <c r="CL506" s="1" t="s">
        <v>219</v>
      </c>
      <c r="CM506" s="1" t="s">
        <v>220</v>
      </c>
      <c r="CN506" s="1" t="s">
        <v>252</v>
      </c>
      <c r="CO506" s="1" t="s">
        <v>2170</v>
      </c>
      <c r="CP506" s="1" t="s">
        <v>219</v>
      </c>
      <c r="CQ506" s="1" t="s">
        <v>229</v>
      </c>
      <c r="CR506" s="1" t="s">
        <v>252</v>
      </c>
      <c r="CS506" s="1" t="s">
        <v>408</v>
      </c>
      <c r="CT506" s="1" t="s">
        <v>219</v>
      </c>
      <c r="CU506" s="1" t="s">
        <v>229</v>
      </c>
      <c r="CV506" s="1" t="s">
        <v>252</v>
      </c>
      <c r="CX506" s="1" t="s">
        <v>224</v>
      </c>
      <c r="DB506" s="1" t="s">
        <v>224</v>
      </c>
      <c r="DE506" s="1" t="s">
        <v>5643</v>
      </c>
      <c r="DF506" s="1" t="s">
        <v>219</v>
      </c>
      <c r="DG506" s="1" t="s">
        <v>438</v>
      </c>
      <c r="DJ506" s="1" t="s">
        <v>224</v>
      </c>
      <c r="DM506" s="1" t="s">
        <v>934</v>
      </c>
      <c r="DN506" s="1" t="s">
        <v>227</v>
      </c>
      <c r="DR506" s="1" t="s">
        <v>6545</v>
      </c>
      <c r="DS506" s="1" t="s">
        <v>43</v>
      </c>
      <c r="DT506" s="1" t="s">
        <v>220</v>
      </c>
      <c r="DU506" s="1" t="s">
        <v>252</v>
      </c>
      <c r="DV506" s="1" t="s">
        <v>409</v>
      </c>
      <c r="DW506" s="1" t="s">
        <v>43</v>
      </c>
      <c r="EA506" s="1" t="s">
        <v>230</v>
      </c>
      <c r="EE506" s="1" t="s">
        <v>230</v>
      </c>
      <c r="EI506" s="1" t="s">
        <v>230</v>
      </c>
      <c r="EL506" s="1" t="s">
        <v>466</v>
      </c>
      <c r="EM506" s="1" t="s">
        <v>319</v>
      </c>
      <c r="EN506" s="1" t="s">
        <v>282</v>
      </c>
      <c r="EO506" s="1" t="s">
        <v>234</v>
      </c>
      <c r="EP506" s="1" t="s">
        <v>1268</v>
      </c>
      <c r="EQ506" s="1" t="s">
        <v>236</v>
      </c>
      <c r="ER506" s="1" t="s">
        <v>544</v>
      </c>
      <c r="ES506" s="1" t="s">
        <v>545</v>
      </c>
      <c r="EU506" s="1" t="s">
        <v>6546</v>
      </c>
      <c r="EV506" s="1" t="s">
        <v>240</v>
      </c>
      <c r="EW506" s="1" t="s">
        <v>1804</v>
      </c>
      <c r="EZ506" s="1" t="s">
        <v>6547</v>
      </c>
      <c r="FA506" s="1" t="s">
        <v>6548</v>
      </c>
      <c r="FB506" s="1" t="s">
        <v>289</v>
      </c>
      <c r="FD506" s="1" t="s">
        <v>246</v>
      </c>
      <c r="FE506" s="1" t="s">
        <v>472</v>
      </c>
      <c r="FF506" s="1" t="s">
        <v>248</v>
      </c>
      <c r="FG506" s="1" t="s">
        <v>6549</v>
      </c>
      <c r="FH506" s="1" t="s">
        <v>825</v>
      </c>
      <c r="FI506" s="1" t="s">
        <v>473</v>
      </c>
      <c r="FJ506" s="1" t="s">
        <v>518</v>
      </c>
      <c r="FL506" s="1" t="s">
        <v>358</v>
      </c>
      <c r="FM506" s="1" t="s">
        <v>252</v>
      </c>
      <c r="FN506" s="1" t="s">
        <v>213</v>
      </c>
      <c r="FO506" s="1" t="s">
        <v>213</v>
      </c>
      <c r="FQ506" s="1" t="s">
        <v>673</v>
      </c>
      <c r="FR506" s="1" t="s">
        <v>210</v>
      </c>
      <c r="FS506" s="1" t="s">
        <v>6550</v>
      </c>
      <c r="FT506" s="1" t="s">
        <v>1182</v>
      </c>
      <c r="FU506" s="1" t="s">
        <v>204</v>
      </c>
      <c r="FW506" s="1" t="s">
        <v>5648</v>
      </c>
      <c r="FX506" s="1">
        <v>23099</v>
      </c>
      <c r="FY506" s="1" t="s">
        <v>5649</v>
      </c>
      <c r="FZ506" s="1" t="s">
        <v>6551</v>
      </c>
      <c r="GA506" s="1">
        <v>217574</v>
      </c>
      <c r="GB506" s="1" t="s">
        <v>6552</v>
      </c>
      <c r="GE506" s="1" t="s">
        <v>658</v>
      </c>
      <c r="GI506" s="1" t="s">
        <v>213</v>
      </c>
      <c r="GJ506" s="1" t="s">
        <v>260</v>
      </c>
      <c r="GK506" s="1" t="s">
        <v>210</v>
      </c>
      <c r="GL506" s="2">
        <v>42097</v>
      </c>
    </row>
    <row r="507" spans="1:195">
      <c r="A507" s="1">
        <v>230000</v>
      </c>
      <c r="B507" s="1" t="s">
        <v>195</v>
      </c>
      <c r="C507" s="1" t="str">
        <f>"08803822"</f>
        <v>08803822</v>
      </c>
      <c r="D507" s="1" t="s">
        <v>196</v>
      </c>
      <c r="F507" s="1" t="str">
        <f>"562"</f>
        <v>562</v>
      </c>
      <c r="G507" s="2">
        <v>41991</v>
      </c>
      <c r="H507" s="1">
        <v>237000</v>
      </c>
      <c r="I507" s="1">
        <v>237000</v>
      </c>
      <c r="J507" s="1">
        <v>230000</v>
      </c>
      <c r="K507" s="2">
        <v>41991</v>
      </c>
      <c r="L507" s="1">
        <v>34</v>
      </c>
      <c r="M507" s="2">
        <v>42024</v>
      </c>
      <c r="N507" s="1">
        <v>34</v>
      </c>
      <c r="O507" s="2">
        <v>42024</v>
      </c>
      <c r="P507" s="1">
        <v>16204</v>
      </c>
      <c r="Q507" s="1" t="s">
        <v>197</v>
      </c>
      <c r="R507" s="2">
        <v>42115</v>
      </c>
      <c r="S507" s="1">
        <v>132393</v>
      </c>
      <c r="U507" s="1">
        <v>2761</v>
      </c>
      <c r="V507" s="1" t="s">
        <v>6553</v>
      </c>
      <c r="W507" s="1" t="s">
        <v>264</v>
      </c>
      <c r="Y507" s="1">
        <v>4</v>
      </c>
      <c r="Z507" s="1" t="s">
        <v>249</v>
      </c>
      <c r="AA507" s="1" t="s">
        <v>899</v>
      </c>
      <c r="AB507" s="1">
        <v>60561</v>
      </c>
      <c r="AD507" s="1" t="s">
        <v>6554</v>
      </c>
      <c r="AE507" s="1" t="s">
        <v>6555</v>
      </c>
      <c r="AF507" s="1">
        <v>1997</v>
      </c>
      <c r="AG507" s="1" t="s">
        <v>204</v>
      </c>
      <c r="AH507" s="1" t="s">
        <v>902</v>
      </c>
      <c r="AI507" s="1" t="s">
        <v>206</v>
      </c>
      <c r="AJ507" s="1" t="s">
        <v>903</v>
      </c>
      <c r="AK507" s="1" t="s">
        <v>6556</v>
      </c>
      <c r="AL507" s="1">
        <v>6</v>
      </c>
      <c r="AM507" s="1">
        <v>2</v>
      </c>
      <c r="AN507" s="1">
        <v>2</v>
      </c>
      <c r="AO507" s="1">
        <v>0</v>
      </c>
      <c r="AP507" s="1" t="s">
        <v>455</v>
      </c>
      <c r="AQ507" s="1">
        <v>1</v>
      </c>
      <c r="AR507" s="1" t="s">
        <v>1421</v>
      </c>
      <c r="AS507" s="1" t="s">
        <v>213</v>
      </c>
      <c r="AT507" s="1" t="s">
        <v>211</v>
      </c>
      <c r="AU507" s="1">
        <v>2</v>
      </c>
      <c r="AW507" s="1" t="s">
        <v>204</v>
      </c>
      <c r="AX507" s="1" t="s">
        <v>212</v>
      </c>
      <c r="AZ507" s="1">
        <v>4231</v>
      </c>
      <c r="BA507" s="1">
        <v>2013</v>
      </c>
      <c r="BB507" s="1" t="s">
        <v>405</v>
      </c>
      <c r="BE507" s="1">
        <v>1644</v>
      </c>
      <c r="BF507" s="1">
        <v>1</v>
      </c>
      <c r="BG507" s="1">
        <v>0</v>
      </c>
      <c r="BL507" s="1">
        <v>233</v>
      </c>
      <c r="BM507" s="1" t="s">
        <v>204</v>
      </c>
      <c r="BN507" s="1" t="s">
        <v>213</v>
      </c>
      <c r="BO507" s="1">
        <v>0</v>
      </c>
      <c r="BP507" s="1" t="s">
        <v>204</v>
      </c>
      <c r="BR507" s="1" t="str">
        <f>"0932114042"</f>
        <v>0932114042</v>
      </c>
      <c r="BT507" s="1" t="s">
        <v>6557</v>
      </c>
      <c r="BU507" s="1" t="s">
        <v>3998</v>
      </c>
      <c r="BV507" s="1" t="s">
        <v>3999</v>
      </c>
      <c r="BW507" s="1" t="s">
        <v>3099</v>
      </c>
      <c r="BX507" s="1">
        <v>66</v>
      </c>
      <c r="BY507" s="1">
        <v>66</v>
      </c>
      <c r="BZ507" s="1">
        <v>99</v>
      </c>
      <c r="CB507" s="1" t="str">
        <f t="shared" ref="CB507:CC507" si="395">""</f>
        <v/>
      </c>
      <c r="CC507" s="1" t="str">
        <f t="shared" si="395"/>
        <v/>
      </c>
      <c r="CG507" s="1" t="s">
        <v>885</v>
      </c>
      <c r="CH507" s="1" t="s">
        <v>219</v>
      </c>
      <c r="CI507" s="1" t="s">
        <v>220</v>
      </c>
      <c r="CJ507" s="1" t="s">
        <v>252</v>
      </c>
      <c r="CK507" s="1" t="s">
        <v>1045</v>
      </c>
      <c r="CL507" s="1" t="s">
        <v>219</v>
      </c>
      <c r="CM507" s="1" t="s">
        <v>220</v>
      </c>
      <c r="CN507" s="1" t="s">
        <v>252</v>
      </c>
      <c r="CO507" s="1" t="s">
        <v>837</v>
      </c>
      <c r="CP507" s="1" t="s">
        <v>219</v>
      </c>
      <c r="CQ507" s="1" t="s">
        <v>220</v>
      </c>
      <c r="CR507" s="1" t="s">
        <v>252</v>
      </c>
      <c r="CS507" s="1" t="s">
        <v>346</v>
      </c>
      <c r="CT507" s="1" t="s">
        <v>219</v>
      </c>
      <c r="CU507" s="1" t="s">
        <v>220</v>
      </c>
      <c r="CV507" s="1" t="s">
        <v>252</v>
      </c>
      <c r="CX507" s="1" t="s">
        <v>224</v>
      </c>
      <c r="DB507" s="1" t="s">
        <v>224</v>
      </c>
      <c r="DE507" s="1" t="s">
        <v>1297</v>
      </c>
      <c r="DF507" s="1" t="s">
        <v>219</v>
      </c>
      <c r="DG507" s="1" t="s">
        <v>566</v>
      </c>
      <c r="DI507" s="1" t="s">
        <v>6558</v>
      </c>
      <c r="DJ507" s="1" t="s">
        <v>822</v>
      </c>
      <c r="DK507" s="1" t="s">
        <v>220</v>
      </c>
      <c r="DL507" s="1" t="s">
        <v>252</v>
      </c>
      <c r="DM507" s="1" t="s">
        <v>709</v>
      </c>
      <c r="DR507" s="1" t="s">
        <v>2451</v>
      </c>
      <c r="DS507" s="1" t="s">
        <v>219</v>
      </c>
      <c r="DW507" s="1" t="s">
        <v>230</v>
      </c>
      <c r="EA507" s="1" t="s">
        <v>230</v>
      </c>
      <c r="EE507" s="1" t="s">
        <v>230</v>
      </c>
      <c r="EI507" s="1" t="s">
        <v>230</v>
      </c>
      <c r="EL507" s="1" t="s">
        <v>670</v>
      </c>
      <c r="EM507" s="1" t="s">
        <v>232</v>
      </c>
      <c r="EN507" s="1" t="s">
        <v>282</v>
      </c>
      <c r="EO507" s="1" t="s">
        <v>234</v>
      </c>
      <c r="EQ507" s="1" t="s">
        <v>236</v>
      </c>
      <c r="ER507" s="1" t="s">
        <v>544</v>
      </c>
      <c r="ES507" s="1" t="s">
        <v>608</v>
      </c>
      <c r="ET507" s="1" t="s">
        <v>866</v>
      </c>
      <c r="EV507" s="1" t="s">
        <v>352</v>
      </c>
      <c r="EW507" s="1" t="s">
        <v>353</v>
      </c>
      <c r="EZ507" s="1" t="s">
        <v>709</v>
      </c>
      <c r="FA507" s="1" t="s">
        <v>6559</v>
      </c>
      <c r="FD507" s="1" t="s">
        <v>246</v>
      </c>
      <c r="FE507" s="1" t="s">
        <v>549</v>
      </c>
      <c r="FF507" s="1" t="s">
        <v>387</v>
      </c>
      <c r="FG507" s="1" t="s">
        <v>2406</v>
      </c>
      <c r="FH507" s="1" t="s">
        <v>550</v>
      </c>
      <c r="FI507" s="1" t="s">
        <v>357</v>
      </c>
      <c r="FL507" s="1" t="s">
        <v>358</v>
      </c>
      <c r="FM507" s="1" t="s">
        <v>252</v>
      </c>
      <c r="FN507" s="1" t="s">
        <v>213</v>
      </c>
      <c r="FO507" s="1" t="s">
        <v>213</v>
      </c>
      <c r="FQ507" s="1" t="s">
        <v>3545</v>
      </c>
      <c r="FR507" s="1" t="s">
        <v>652</v>
      </c>
      <c r="FS507" s="1" t="s">
        <v>6560</v>
      </c>
      <c r="FT507" s="1" t="s">
        <v>362</v>
      </c>
      <c r="FU507" s="1" t="s">
        <v>204</v>
      </c>
      <c r="FV507" s="1" t="s">
        <v>6561</v>
      </c>
      <c r="FW507" s="1" t="s">
        <v>915</v>
      </c>
      <c r="FX507" s="1">
        <v>22205</v>
      </c>
      <c r="FY507" s="1" t="s">
        <v>2484</v>
      </c>
      <c r="FZ507" s="1" t="s">
        <v>6562</v>
      </c>
      <c r="GA507" s="1">
        <v>216705</v>
      </c>
      <c r="GB507" s="1" t="s">
        <v>6563</v>
      </c>
      <c r="GE507" s="1" t="s">
        <v>480</v>
      </c>
      <c r="GI507" s="1" t="s">
        <v>213</v>
      </c>
      <c r="GJ507" s="1" t="s">
        <v>260</v>
      </c>
      <c r="GK507" s="1" t="s">
        <v>210</v>
      </c>
      <c r="GL507" s="2">
        <v>42117</v>
      </c>
      <c r="GM507" s="1" t="s">
        <v>6564</v>
      </c>
    </row>
    <row r="508" spans="1:195">
      <c r="A508" s="1">
        <v>85000</v>
      </c>
      <c r="B508" s="1" t="s">
        <v>195</v>
      </c>
      <c r="C508" s="1" t="str">
        <f>"08802547"</f>
        <v>08802547</v>
      </c>
      <c r="D508" s="1" t="s">
        <v>196</v>
      </c>
      <c r="F508" s="1" t="str">
        <f>"507"</f>
        <v>507</v>
      </c>
      <c r="G508" s="2">
        <v>41988</v>
      </c>
      <c r="H508" s="1">
        <v>94900</v>
      </c>
      <c r="I508" s="1">
        <v>94900</v>
      </c>
      <c r="J508" s="1">
        <v>85000</v>
      </c>
      <c r="K508" s="2">
        <v>41988</v>
      </c>
      <c r="L508" s="1">
        <v>25</v>
      </c>
      <c r="M508" s="2">
        <v>42012</v>
      </c>
      <c r="N508" s="1">
        <v>25</v>
      </c>
      <c r="O508" s="2">
        <v>42012</v>
      </c>
      <c r="P508" s="1">
        <v>23099</v>
      </c>
      <c r="Q508" s="1" t="s">
        <v>197</v>
      </c>
      <c r="R508" s="2">
        <v>42055</v>
      </c>
      <c r="S508" s="1">
        <v>217574</v>
      </c>
      <c r="T508" s="1">
        <v>2000</v>
      </c>
      <c r="U508" s="1">
        <v>1059</v>
      </c>
      <c r="V508" s="1" t="s">
        <v>6565</v>
      </c>
      <c r="W508" s="1" t="s">
        <v>504</v>
      </c>
      <c r="Y508" s="1">
        <v>2</v>
      </c>
      <c r="Z508" s="1" t="s">
        <v>200</v>
      </c>
      <c r="AA508" s="1" t="s">
        <v>1123</v>
      </c>
      <c r="AB508" s="1">
        <v>60504</v>
      </c>
      <c r="AD508" s="1" t="s">
        <v>4351</v>
      </c>
      <c r="AE508" s="1" t="s">
        <v>6566</v>
      </c>
      <c r="AF508" s="1">
        <v>1979</v>
      </c>
      <c r="AG508" s="1" t="s">
        <v>204</v>
      </c>
      <c r="AH508" s="1" t="s">
        <v>1126</v>
      </c>
      <c r="AI508" s="1" t="s">
        <v>206</v>
      </c>
      <c r="AJ508" s="1" t="s">
        <v>924</v>
      </c>
      <c r="AL508" s="1">
        <v>5</v>
      </c>
      <c r="AM508" s="1">
        <v>2</v>
      </c>
      <c r="AN508" s="1">
        <v>1</v>
      </c>
      <c r="AO508" s="1">
        <v>0</v>
      </c>
      <c r="AP508" s="1" t="s">
        <v>210</v>
      </c>
      <c r="AQ508" s="1">
        <v>1</v>
      </c>
      <c r="AR508" s="1" t="s">
        <v>210</v>
      </c>
      <c r="AS508" s="1" t="s">
        <v>204</v>
      </c>
      <c r="AT508" s="1" t="s">
        <v>211</v>
      </c>
      <c r="AU508" s="1">
        <v>1</v>
      </c>
      <c r="AW508" s="1" t="s">
        <v>204</v>
      </c>
      <c r="AX508" s="1" t="s">
        <v>6567</v>
      </c>
      <c r="AZ508" s="1">
        <v>2218</v>
      </c>
      <c r="BA508" s="1">
        <v>2013</v>
      </c>
      <c r="BE508" s="1">
        <v>864</v>
      </c>
      <c r="BF508" s="1">
        <v>1</v>
      </c>
      <c r="BG508" s="1">
        <v>0</v>
      </c>
      <c r="BL508" s="1">
        <v>0</v>
      </c>
      <c r="BM508" s="1" t="s">
        <v>204</v>
      </c>
      <c r="BN508" s="1" t="s">
        <v>213</v>
      </c>
      <c r="BO508" s="1">
        <v>999</v>
      </c>
      <c r="BP508" s="1" t="s">
        <v>204</v>
      </c>
      <c r="BR508" s="1" t="str">
        <f>"0732114086"</f>
        <v>0732114086</v>
      </c>
      <c r="BT508" s="1" t="s">
        <v>6568</v>
      </c>
      <c r="BX508" s="1">
        <v>204</v>
      </c>
      <c r="BY508" s="1">
        <v>204</v>
      </c>
      <c r="BZ508" s="1">
        <v>204</v>
      </c>
      <c r="CB508" s="1" t="str">
        <f t="shared" ref="CB508:CC508" si="396">"0"</f>
        <v>0</v>
      </c>
      <c r="CC508" s="1" t="str">
        <f t="shared" si="396"/>
        <v>0</v>
      </c>
      <c r="CD508" s="1">
        <v>32</v>
      </c>
      <c r="CE508" s="1">
        <v>9</v>
      </c>
      <c r="CG508" s="1" t="s">
        <v>278</v>
      </c>
      <c r="CH508" s="1" t="s">
        <v>219</v>
      </c>
      <c r="CI508" s="1" t="s">
        <v>220</v>
      </c>
      <c r="CK508" s="1" t="s">
        <v>1358</v>
      </c>
      <c r="CL508" s="1" t="s">
        <v>277</v>
      </c>
      <c r="CM508" s="1" t="s">
        <v>220</v>
      </c>
      <c r="CO508" s="1" t="s">
        <v>630</v>
      </c>
      <c r="CP508" s="1" t="s">
        <v>219</v>
      </c>
      <c r="CQ508" s="1" t="s">
        <v>342</v>
      </c>
      <c r="CS508" s="1" t="s">
        <v>2231</v>
      </c>
      <c r="CT508" s="1" t="s">
        <v>277</v>
      </c>
      <c r="CU508" s="1" t="s">
        <v>220</v>
      </c>
      <c r="CX508" s="1" t="s">
        <v>224</v>
      </c>
      <c r="DB508" s="1" t="s">
        <v>224</v>
      </c>
      <c r="DE508" s="1" t="s">
        <v>3284</v>
      </c>
      <c r="DF508" s="1" t="s">
        <v>219</v>
      </c>
      <c r="DG508" s="1" t="s">
        <v>342</v>
      </c>
      <c r="DJ508" s="1" t="s">
        <v>224</v>
      </c>
      <c r="DM508" s="1" t="s">
        <v>3011</v>
      </c>
      <c r="DR508" s="1" t="s">
        <v>5717</v>
      </c>
      <c r="DS508" s="1" t="s">
        <v>219</v>
      </c>
      <c r="DT508" s="1" t="s">
        <v>342</v>
      </c>
      <c r="DW508" s="1" t="s">
        <v>230</v>
      </c>
      <c r="EA508" s="1" t="s">
        <v>230</v>
      </c>
      <c r="EE508" s="1" t="s">
        <v>230</v>
      </c>
      <c r="EI508" s="1" t="s">
        <v>230</v>
      </c>
      <c r="EL508" s="1" t="s">
        <v>231</v>
      </c>
      <c r="EM508" s="1" t="s">
        <v>319</v>
      </c>
      <c r="EN508" s="1" t="s">
        <v>282</v>
      </c>
      <c r="EO508" s="1" t="s">
        <v>234</v>
      </c>
      <c r="EP508" s="1" t="s">
        <v>936</v>
      </c>
      <c r="ER508" s="1" t="s">
        <v>383</v>
      </c>
      <c r="ES508" s="1" t="s">
        <v>545</v>
      </c>
      <c r="EV508" s="1" t="s">
        <v>240</v>
      </c>
      <c r="EW508" s="1" t="s">
        <v>210</v>
      </c>
      <c r="EY508" s="1" t="s">
        <v>790</v>
      </c>
      <c r="EZ508" s="1" t="s">
        <v>3011</v>
      </c>
      <c r="FD508" s="1" t="s">
        <v>3472</v>
      </c>
      <c r="FE508" s="1" t="s">
        <v>975</v>
      </c>
      <c r="FF508" s="1" t="s">
        <v>248</v>
      </c>
      <c r="FG508" s="1" t="s">
        <v>939</v>
      </c>
      <c r="FH508" s="1" t="s">
        <v>442</v>
      </c>
      <c r="FL508" s="1" t="s">
        <v>358</v>
      </c>
      <c r="FM508" s="1" t="s">
        <v>252</v>
      </c>
      <c r="FN508" s="1" t="s">
        <v>213</v>
      </c>
      <c r="FO508" s="1" t="s">
        <v>213</v>
      </c>
      <c r="FQ508" s="1" t="s">
        <v>582</v>
      </c>
      <c r="FR508" s="1" t="s">
        <v>210</v>
      </c>
      <c r="FS508" s="1" t="s">
        <v>6569</v>
      </c>
      <c r="FT508" s="1" t="s">
        <v>295</v>
      </c>
      <c r="FU508" s="1" t="s">
        <v>204</v>
      </c>
      <c r="FW508" s="1" t="s">
        <v>6570</v>
      </c>
      <c r="FX508" s="1">
        <v>23290</v>
      </c>
      <c r="FY508" s="1" t="s">
        <v>6571</v>
      </c>
      <c r="FZ508" s="1" t="s">
        <v>6572</v>
      </c>
      <c r="GA508" s="1">
        <v>233019</v>
      </c>
      <c r="GB508" s="1" t="s">
        <v>6573</v>
      </c>
      <c r="GC508" s="1">
        <v>219344</v>
      </c>
      <c r="GE508" s="1" t="s">
        <v>1764</v>
      </c>
      <c r="GI508" s="1" t="s">
        <v>213</v>
      </c>
      <c r="GJ508" s="1" t="s">
        <v>260</v>
      </c>
      <c r="GK508" s="1" t="s">
        <v>210</v>
      </c>
      <c r="GL508" s="2">
        <v>42055</v>
      </c>
      <c r="GM508" s="1" t="s">
        <v>6574</v>
      </c>
    </row>
    <row r="509" spans="1:195">
      <c r="A509" s="1">
        <v>8500</v>
      </c>
      <c r="B509" s="1" t="s">
        <v>195</v>
      </c>
      <c r="C509" s="1" t="str">
        <f>"08800649"</f>
        <v>08800649</v>
      </c>
      <c r="D509" s="1" t="s">
        <v>196</v>
      </c>
      <c r="F509" s="1" t="str">
        <f t="shared" ref="F509:F510" si="397">"8043"</f>
        <v>8043</v>
      </c>
      <c r="G509" s="2">
        <v>41984</v>
      </c>
      <c r="H509" s="1">
        <v>8900</v>
      </c>
      <c r="I509" s="1">
        <v>8900</v>
      </c>
      <c r="J509" s="1">
        <v>8500</v>
      </c>
      <c r="K509" s="2">
        <v>41981</v>
      </c>
      <c r="L509" s="1">
        <v>29</v>
      </c>
      <c r="M509" s="2">
        <v>42009</v>
      </c>
      <c r="N509" s="1">
        <v>29</v>
      </c>
      <c r="O509" s="2">
        <v>42009</v>
      </c>
      <c r="P509" s="1">
        <v>85957</v>
      </c>
      <c r="Q509" s="1" t="s">
        <v>302</v>
      </c>
      <c r="R509" s="2">
        <v>42032</v>
      </c>
      <c r="S509" s="1">
        <v>156825</v>
      </c>
      <c r="U509" s="1">
        <v>2860</v>
      </c>
      <c r="V509" s="1" t="s">
        <v>6575</v>
      </c>
      <c r="W509" s="1" t="s">
        <v>725</v>
      </c>
      <c r="X509" s="1" t="s">
        <v>1747</v>
      </c>
      <c r="Y509" s="1">
        <v>24</v>
      </c>
      <c r="Z509" s="1" t="s">
        <v>249</v>
      </c>
      <c r="AA509" s="1" t="s">
        <v>400</v>
      </c>
      <c r="AB509" s="1">
        <v>60649</v>
      </c>
      <c r="AE509" s="1" t="s">
        <v>6576</v>
      </c>
      <c r="AF509" s="1">
        <v>1933</v>
      </c>
      <c r="AG509" s="1" t="s">
        <v>213</v>
      </c>
      <c r="AH509" s="1" t="s">
        <v>403</v>
      </c>
      <c r="AI509" s="1" t="s">
        <v>310</v>
      </c>
      <c r="AJ509" s="1" t="s">
        <v>562</v>
      </c>
      <c r="AL509" s="1">
        <v>4</v>
      </c>
      <c r="AM509" s="1">
        <v>2</v>
      </c>
      <c r="AN509" s="1">
        <v>1</v>
      </c>
      <c r="AO509" s="1">
        <v>0</v>
      </c>
      <c r="AP509" s="1" t="s">
        <v>210</v>
      </c>
      <c r="AQ509" s="1">
        <v>0</v>
      </c>
      <c r="AR509" s="1" t="s">
        <v>210</v>
      </c>
      <c r="AS509" s="1" t="s">
        <v>204</v>
      </c>
      <c r="AT509" s="1" t="s">
        <v>210</v>
      </c>
      <c r="AW509" s="1" t="s">
        <v>204</v>
      </c>
      <c r="AX509" s="1" t="s">
        <v>212</v>
      </c>
      <c r="AZ509" s="1">
        <v>1247.32</v>
      </c>
      <c r="BA509" s="1">
        <v>2013</v>
      </c>
      <c r="BB509" s="1" t="s">
        <v>210</v>
      </c>
      <c r="BC509" s="1">
        <v>0</v>
      </c>
      <c r="BE509" s="1">
        <v>800</v>
      </c>
      <c r="BF509" s="1">
        <v>6</v>
      </c>
      <c r="BG509" s="1">
        <v>0</v>
      </c>
      <c r="BL509" s="1">
        <v>286</v>
      </c>
      <c r="BM509" s="1" t="s">
        <v>413</v>
      </c>
      <c r="BN509" s="1" t="s">
        <v>204</v>
      </c>
      <c r="BP509" s="1" t="s">
        <v>204</v>
      </c>
      <c r="BR509" s="1" t="str">
        <f>"21302020151005"</f>
        <v>21302020151005</v>
      </c>
      <c r="BT509" s="1" t="s">
        <v>6577</v>
      </c>
      <c r="BX509" s="1">
        <v>299</v>
      </c>
      <c r="BY509" s="1">
        <v>299</v>
      </c>
      <c r="BZ509" s="1">
        <v>299</v>
      </c>
      <c r="CB509" s="1" t="str">
        <f t="shared" ref="CB509:CB510" si="398">"0"</f>
        <v>0</v>
      </c>
      <c r="CC509" s="1" t="str">
        <f>"2800"</f>
        <v>2800</v>
      </c>
      <c r="CD509" s="1">
        <v>0</v>
      </c>
      <c r="CE509" s="1">
        <v>7600</v>
      </c>
      <c r="CG509" s="1" t="s">
        <v>5353</v>
      </c>
      <c r="CH509" s="1" t="s">
        <v>219</v>
      </c>
      <c r="CK509" s="1" t="s">
        <v>315</v>
      </c>
      <c r="CL509" s="1" t="s">
        <v>219</v>
      </c>
      <c r="CP509" s="1" t="s">
        <v>224</v>
      </c>
      <c r="CS509" s="1" t="s">
        <v>379</v>
      </c>
      <c r="CT509" s="1" t="s">
        <v>219</v>
      </c>
      <c r="CX509" s="1" t="s">
        <v>224</v>
      </c>
      <c r="DB509" s="1" t="s">
        <v>224</v>
      </c>
      <c r="DE509" s="1" t="s">
        <v>6342</v>
      </c>
      <c r="DF509" s="1" t="s">
        <v>219</v>
      </c>
      <c r="DJ509" s="1" t="s">
        <v>224</v>
      </c>
      <c r="DS509" s="1" t="s">
        <v>230</v>
      </c>
      <c r="DW509" s="1" t="s">
        <v>230</v>
      </c>
      <c r="EA509" s="1" t="s">
        <v>230</v>
      </c>
      <c r="EE509" s="1" t="s">
        <v>230</v>
      </c>
      <c r="EI509" s="1" t="s">
        <v>230</v>
      </c>
      <c r="EL509" s="1" t="s">
        <v>2154</v>
      </c>
      <c r="EM509" s="1" t="s">
        <v>232</v>
      </c>
      <c r="EN509" s="1" t="s">
        <v>210</v>
      </c>
      <c r="EO509" s="1" t="s">
        <v>234</v>
      </c>
      <c r="ER509" s="1" t="s">
        <v>210</v>
      </c>
      <c r="EW509" s="1" t="s">
        <v>347</v>
      </c>
      <c r="EZ509" s="1" t="s">
        <v>287</v>
      </c>
      <c r="FC509" s="1" t="s">
        <v>3976</v>
      </c>
      <c r="FD509" s="1" t="s">
        <v>1112</v>
      </c>
      <c r="FE509" s="1" t="s">
        <v>247</v>
      </c>
      <c r="FF509" s="1" t="s">
        <v>248</v>
      </c>
      <c r="FH509" s="1" t="s">
        <v>249</v>
      </c>
      <c r="FL509" s="1" t="s">
        <v>347</v>
      </c>
      <c r="FM509" s="1" t="s">
        <v>252</v>
      </c>
      <c r="FN509" s="1" t="s">
        <v>213</v>
      </c>
      <c r="FO509" s="1" t="s">
        <v>213</v>
      </c>
      <c r="FQ509" s="1" t="s">
        <v>6578</v>
      </c>
      <c r="FR509" s="1" t="s">
        <v>210</v>
      </c>
      <c r="FS509" s="1" t="s">
        <v>1429</v>
      </c>
      <c r="FT509" s="1" t="s">
        <v>255</v>
      </c>
      <c r="FU509" s="1" t="s">
        <v>204</v>
      </c>
      <c r="FW509" s="1" t="s">
        <v>5605</v>
      </c>
      <c r="FX509" s="1">
        <v>12555</v>
      </c>
      <c r="FY509" s="1" t="s">
        <v>5606</v>
      </c>
      <c r="FZ509" s="1" t="s">
        <v>6579</v>
      </c>
      <c r="GA509" s="1">
        <v>130892</v>
      </c>
      <c r="GB509" s="1" t="s">
        <v>5606</v>
      </c>
      <c r="GC509" s="1">
        <v>126892</v>
      </c>
      <c r="GE509" s="1" t="s">
        <v>210</v>
      </c>
      <c r="GH509" s="1" t="s">
        <v>800</v>
      </c>
      <c r="GI509" s="1" t="s">
        <v>213</v>
      </c>
      <c r="GJ509" s="1" t="s">
        <v>260</v>
      </c>
      <c r="GK509" s="1" t="s">
        <v>210</v>
      </c>
      <c r="GL509" s="2">
        <v>42033</v>
      </c>
      <c r="GM509" s="1" t="s">
        <v>6580</v>
      </c>
    </row>
    <row r="510" spans="1:195">
      <c r="A510" s="1">
        <v>27000</v>
      </c>
      <c r="B510" s="1" t="s">
        <v>195</v>
      </c>
      <c r="C510" s="1" t="str">
        <f>"08801644"</f>
        <v>08801644</v>
      </c>
      <c r="D510" s="1" t="s">
        <v>196</v>
      </c>
      <c r="F510" s="1" t="str">
        <f t="shared" si="397"/>
        <v>8043</v>
      </c>
      <c r="G510" s="2">
        <v>41986</v>
      </c>
      <c r="H510" s="1">
        <v>39900</v>
      </c>
      <c r="I510" s="1">
        <v>29900</v>
      </c>
      <c r="J510" s="1">
        <v>27000</v>
      </c>
      <c r="K510" s="2">
        <v>41984</v>
      </c>
      <c r="L510" s="1">
        <v>90</v>
      </c>
      <c r="M510" s="2">
        <v>42073</v>
      </c>
      <c r="N510" s="1">
        <v>90</v>
      </c>
      <c r="O510" s="2">
        <v>42073</v>
      </c>
      <c r="P510" s="1">
        <v>25624</v>
      </c>
      <c r="Q510" s="1" t="s">
        <v>302</v>
      </c>
      <c r="R510" s="2">
        <v>42088</v>
      </c>
      <c r="S510" s="1">
        <v>225339</v>
      </c>
      <c r="U510" s="1">
        <v>6733</v>
      </c>
      <c r="V510" s="1" t="s">
        <v>6581</v>
      </c>
      <c r="W510" s="1" t="s">
        <v>425</v>
      </c>
      <c r="X510" s="1" t="s">
        <v>2151</v>
      </c>
      <c r="Y510" s="1">
        <v>6</v>
      </c>
      <c r="Z510" s="1" t="s">
        <v>249</v>
      </c>
      <c r="AA510" s="1" t="s">
        <v>400</v>
      </c>
      <c r="AB510" s="1">
        <v>60649</v>
      </c>
      <c r="AE510" s="1" t="s">
        <v>6582</v>
      </c>
      <c r="AF510" s="1">
        <v>1916</v>
      </c>
      <c r="AG510" s="1" t="s">
        <v>213</v>
      </c>
      <c r="AH510" s="1" t="s">
        <v>403</v>
      </c>
      <c r="AI510" s="1" t="s">
        <v>310</v>
      </c>
      <c r="AJ510" s="1" t="s">
        <v>562</v>
      </c>
      <c r="AL510" s="1">
        <v>5</v>
      </c>
      <c r="AM510" s="1">
        <v>2</v>
      </c>
      <c r="AN510" s="1">
        <v>1</v>
      </c>
      <c r="AO510" s="1">
        <v>1</v>
      </c>
      <c r="AP510" s="1" t="s">
        <v>1234</v>
      </c>
      <c r="AR510" s="1" t="s">
        <v>210</v>
      </c>
      <c r="AS510" s="1" t="s">
        <v>204</v>
      </c>
      <c r="AT510" s="1" t="s">
        <v>210</v>
      </c>
      <c r="AW510" s="1" t="s">
        <v>204</v>
      </c>
      <c r="AX510" s="1">
        <v>0</v>
      </c>
      <c r="AZ510" s="1">
        <v>1375.42</v>
      </c>
      <c r="BA510" s="1">
        <v>2013</v>
      </c>
      <c r="BE510" s="1">
        <v>1200</v>
      </c>
      <c r="BF510" s="1">
        <v>2</v>
      </c>
      <c r="BG510" s="1">
        <v>10</v>
      </c>
      <c r="BL510" s="1">
        <v>150</v>
      </c>
      <c r="BM510" s="1" t="s">
        <v>204</v>
      </c>
      <c r="BN510" s="1" t="s">
        <v>204</v>
      </c>
      <c r="BP510" s="1" t="s">
        <v>204</v>
      </c>
      <c r="BR510" s="1" t="str">
        <f>"20243030251004"</f>
        <v>20243030251004</v>
      </c>
      <c r="BT510" s="1" t="s">
        <v>6583</v>
      </c>
      <c r="BX510" s="1">
        <v>299</v>
      </c>
      <c r="BY510" s="1">
        <v>299</v>
      </c>
      <c r="BZ510" s="1">
        <v>299</v>
      </c>
      <c r="CB510" s="1" t="str">
        <f t="shared" si="398"/>
        <v>0</v>
      </c>
      <c r="CC510" s="1" t="str">
        <f>"1750"</f>
        <v>1750</v>
      </c>
      <c r="CD510" s="1">
        <v>0</v>
      </c>
      <c r="CE510" s="1">
        <v>6733</v>
      </c>
      <c r="CG510" s="1" t="s">
        <v>4571</v>
      </c>
      <c r="CH510" s="1" t="s">
        <v>219</v>
      </c>
      <c r="CK510" s="1" t="s">
        <v>862</v>
      </c>
      <c r="CL510" s="1" t="s">
        <v>219</v>
      </c>
      <c r="CO510" s="1" t="s">
        <v>318</v>
      </c>
      <c r="CP510" s="1" t="s">
        <v>219</v>
      </c>
      <c r="CS510" s="1" t="s">
        <v>317</v>
      </c>
      <c r="CT510" s="1" t="s">
        <v>219</v>
      </c>
      <c r="CX510" s="1" t="s">
        <v>224</v>
      </c>
      <c r="DB510" s="1" t="s">
        <v>224</v>
      </c>
      <c r="DE510" s="1" t="s">
        <v>835</v>
      </c>
      <c r="DF510" s="1" t="s">
        <v>219</v>
      </c>
      <c r="DJ510" s="1" t="s">
        <v>224</v>
      </c>
      <c r="DS510" s="1" t="s">
        <v>230</v>
      </c>
      <c r="DW510" s="1" t="s">
        <v>230</v>
      </c>
      <c r="EA510" s="1" t="s">
        <v>230</v>
      </c>
      <c r="EE510" s="1" t="s">
        <v>230</v>
      </c>
      <c r="EI510" s="1" t="s">
        <v>230</v>
      </c>
      <c r="EL510" s="1" t="s">
        <v>2521</v>
      </c>
      <c r="EM510" s="1" t="s">
        <v>319</v>
      </c>
      <c r="EN510" s="1" t="s">
        <v>282</v>
      </c>
      <c r="EO510" s="1" t="s">
        <v>234</v>
      </c>
      <c r="ER510" s="1" t="s">
        <v>210</v>
      </c>
      <c r="EW510" s="1" t="s">
        <v>937</v>
      </c>
      <c r="EZ510" s="1" t="s">
        <v>287</v>
      </c>
      <c r="FD510" s="1" t="s">
        <v>1112</v>
      </c>
      <c r="FE510" s="1" t="s">
        <v>247</v>
      </c>
      <c r="FF510" s="1" t="s">
        <v>248</v>
      </c>
      <c r="FH510" s="1" t="s">
        <v>249</v>
      </c>
      <c r="FL510" s="1" t="s">
        <v>358</v>
      </c>
      <c r="FM510" s="1" t="s">
        <v>252</v>
      </c>
      <c r="FN510" s="1" t="s">
        <v>213</v>
      </c>
      <c r="FO510" s="1" t="s">
        <v>213</v>
      </c>
      <c r="FQ510" s="1" t="s">
        <v>582</v>
      </c>
      <c r="FR510" s="1" t="s">
        <v>210</v>
      </c>
      <c r="FS510" s="1" t="s">
        <v>6584</v>
      </c>
      <c r="FT510" s="1" t="s">
        <v>691</v>
      </c>
      <c r="FU510" s="1" t="s">
        <v>204</v>
      </c>
      <c r="FW510" s="1" t="s">
        <v>1652</v>
      </c>
      <c r="FX510" s="1">
        <v>25624</v>
      </c>
      <c r="FY510" s="1" t="s">
        <v>6585</v>
      </c>
      <c r="FZ510" s="1" t="s">
        <v>6586</v>
      </c>
      <c r="GA510" s="1">
        <v>226406</v>
      </c>
      <c r="GB510" s="1" t="s">
        <v>6587</v>
      </c>
      <c r="GD510" s="1" t="s">
        <v>6588</v>
      </c>
      <c r="GE510" s="1" t="s">
        <v>210</v>
      </c>
      <c r="GH510" s="1" t="s">
        <v>421</v>
      </c>
      <c r="GI510" s="1" t="s">
        <v>213</v>
      </c>
      <c r="GJ510" s="1" t="s">
        <v>260</v>
      </c>
      <c r="GK510" s="1" t="s">
        <v>210</v>
      </c>
      <c r="GL510" s="2">
        <v>42096</v>
      </c>
      <c r="GM510" s="1" t="s">
        <v>6589</v>
      </c>
    </row>
    <row r="511" spans="1:195">
      <c r="A511" s="1">
        <v>83000</v>
      </c>
      <c r="B511" s="1" t="s">
        <v>195</v>
      </c>
      <c r="C511" s="1" t="str">
        <f>"08799657"</f>
        <v>08799657</v>
      </c>
      <c r="D511" s="1" t="s">
        <v>196</v>
      </c>
      <c r="F511" s="1" t="str">
        <f>"172"</f>
        <v>172</v>
      </c>
      <c r="G511" s="2">
        <v>41982</v>
      </c>
      <c r="H511" s="1">
        <v>89000</v>
      </c>
      <c r="I511" s="1">
        <v>89000</v>
      </c>
      <c r="J511" s="1">
        <v>83000</v>
      </c>
      <c r="K511" s="2">
        <v>41982</v>
      </c>
      <c r="L511" s="1">
        <v>63</v>
      </c>
      <c r="M511" s="2">
        <v>42044</v>
      </c>
      <c r="N511" s="1">
        <v>63</v>
      </c>
      <c r="O511" s="2">
        <v>42044</v>
      </c>
      <c r="P511" s="1">
        <v>1714</v>
      </c>
      <c r="Q511" s="1" t="s">
        <v>197</v>
      </c>
      <c r="R511" s="2">
        <v>42072</v>
      </c>
      <c r="S511" s="1">
        <v>85427</v>
      </c>
      <c r="U511" s="1">
        <v>1081</v>
      </c>
      <c r="V511" s="1" t="s">
        <v>1513</v>
      </c>
      <c r="W511" s="1" t="s">
        <v>1056</v>
      </c>
      <c r="X511" s="1">
        <v>107</v>
      </c>
      <c r="Y511" s="1">
        <v>36</v>
      </c>
      <c r="Z511" s="1" t="s">
        <v>249</v>
      </c>
      <c r="AA511" s="1" t="s">
        <v>266</v>
      </c>
      <c r="AB511" s="1">
        <v>60172</v>
      </c>
      <c r="AD511" s="1" t="s">
        <v>267</v>
      </c>
      <c r="AE511" s="1" t="s">
        <v>6590</v>
      </c>
      <c r="AF511" s="1" t="s">
        <v>402</v>
      </c>
      <c r="AG511" s="1" t="s">
        <v>204</v>
      </c>
      <c r="AH511" s="1" t="s">
        <v>3952</v>
      </c>
      <c r="AI511" s="1" t="s">
        <v>206</v>
      </c>
      <c r="AJ511" s="1" t="s">
        <v>269</v>
      </c>
      <c r="AL511" s="1">
        <v>5</v>
      </c>
      <c r="AM511" s="1">
        <v>2</v>
      </c>
      <c r="AN511" s="1">
        <v>1</v>
      </c>
      <c r="AO511" s="1">
        <v>0</v>
      </c>
      <c r="AP511" s="1" t="s">
        <v>210</v>
      </c>
      <c r="AR511" s="1" t="s">
        <v>210</v>
      </c>
      <c r="AS511" s="1" t="s">
        <v>204</v>
      </c>
      <c r="AT511" s="1" t="s">
        <v>271</v>
      </c>
      <c r="AV511" s="1">
        <v>2</v>
      </c>
      <c r="AW511" s="1" t="s">
        <v>213</v>
      </c>
      <c r="AX511" s="1" t="s">
        <v>212</v>
      </c>
      <c r="AZ511" s="1">
        <v>1217</v>
      </c>
      <c r="BA511" s="1">
        <v>2013</v>
      </c>
      <c r="BB511" s="1" t="s">
        <v>405</v>
      </c>
      <c r="BE511" s="1">
        <v>1003</v>
      </c>
      <c r="BF511" s="1">
        <v>1</v>
      </c>
      <c r="BG511" s="1">
        <v>0</v>
      </c>
      <c r="BJ511" s="1">
        <v>75</v>
      </c>
      <c r="BK511" s="1">
        <v>2.5</v>
      </c>
      <c r="BL511" s="1">
        <v>285</v>
      </c>
      <c r="BM511" s="1" t="s">
        <v>204</v>
      </c>
      <c r="BN511" s="1" t="s">
        <v>213</v>
      </c>
      <c r="BO511" s="1">
        <v>100</v>
      </c>
      <c r="BP511" s="1" t="s">
        <v>204</v>
      </c>
      <c r="BR511" s="1" t="str">
        <f>"02091330040000"</f>
        <v>02091330040000</v>
      </c>
      <c r="BT511" s="1" t="s">
        <v>6591</v>
      </c>
      <c r="BU511" s="1" t="s">
        <v>273</v>
      </c>
      <c r="BV511" s="1" t="s">
        <v>274</v>
      </c>
      <c r="BW511" s="1" t="s">
        <v>275</v>
      </c>
      <c r="BX511" s="1">
        <v>20</v>
      </c>
      <c r="BY511" s="1">
        <v>20</v>
      </c>
      <c r="BZ511" s="1">
        <v>108</v>
      </c>
      <c r="CB511" s="1" t="str">
        <f>"6"</f>
        <v>6</v>
      </c>
      <c r="CC511" s="1" t="str">
        <f>"0"</f>
        <v>0</v>
      </c>
      <c r="CD511" s="1">
        <v>24</v>
      </c>
      <c r="CE511" s="1">
        <v>0</v>
      </c>
      <c r="CG511" s="1" t="s">
        <v>2935</v>
      </c>
      <c r="CH511" s="1" t="s">
        <v>219</v>
      </c>
      <c r="CI511" s="1" t="s">
        <v>438</v>
      </c>
      <c r="CK511" s="1" t="s">
        <v>1403</v>
      </c>
      <c r="CL511" s="1" t="s">
        <v>219</v>
      </c>
      <c r="CM511" s="1" t="s">
        <v>220</v>
      </c>
      <c r="CO511" s="1" t="s">
        <v>951</v>
      </c>
      <c r="CP511" s="1" t="s">
        <v>219</v>
      </c>
      <c r="CQ511" s="1" t="s">
        <v>438</v>
      </c>
      <c r="CS511" s="1" t="s">
        <v>408</v>
      </c>
      <c r="CT511" s="1" t="s">
        <v>219</v>
      </c>
      <c r="CU511" s="1" t="s">
        <v>220</v>
      </c>
      <c r="CX511" s="1" t="s">
        <v>224</v>
      </c>
      <c r="DB511" s="1" t="s">
        <v>224</v>
      </c>
      <c r="DE511" s="1" t="s">
        <v>346</v>
      </c>
      <c r="DF511" s="1" t="s">
        <v>219</v>
      </c>
      <c r="DG511" s="1" t="s">
        <v>226</v>
      </c>
      <c r="DJ511" s="1" t="s">
        <v>224</v>
      </c>
      <c r="DS511" s="1" t="s">
        <v>230</v>
      </c>
      <c r="DW511" s="1" t="s">
        <v>230</v>
      </c>
      <c r="EA511" s="1" t="s">
        <v>230</v>
      </c>
      <c r="EE511" s="1" t="s">
        <v>230</v>
      </c>
      <c r="EI511" s="1" t="s">
        <v>230</v>
      </c>
      <c r="EL511" s="1" t="s">
        <v>231</v>
      </c>
      <c r="EM511" s="1" t="s">
        <v>232</v>
      </c>
      <c r="EN511" s="1" t="s">
        <v>282</v>
      </c>
      <c r="EO511" s="1" t="s">
        <v>234</v>
      </c>
      <c r="EP511" s="1" t="s">
        <v>6592</v>
      </c>
      <c r="ER511" s="1" t="s">
        <v>210</v>
      </c>
      <c r="EU511" s="1" t="s">
        <v>4906</v>
      </c>
      <c r="EW511" s="1" t="s">
        <v>6593</v>
      </c>
      <c r="EY511" s="1" t="s">
        <v>790</v>
      </c>
      <c r="EZ511" s="1" t="s">
        <v>287</v>
      </c>
      <c r="FB511" s="1" t="s">
        <v>244</v>
      </c>
      <c r="FC511" s="1" t="s">
        <v>3976</v>
      </c>
      <c r="FD511" s="1" t="s">
        <v>4676</v>
      </c>
      <c r="FE511" s="1" t="s">
        <v>549</v>
      </c>
      <c r="FF511" s="1" t="s">
        <v>248</v>
      </c>
      <c r="FH511" s="1" t="s">
        <v>249</v>
      </c>
      <c r="FK511" s="1" t="s">
        <v>389</v>
      </c>
      <c r="FL511" s="1" t="s">
        <v>292</v>
      </c>
      <c r="FM511" s="1" t="s">
        <v>252</v>
      </c>
      <c r="FN511" s="1" t="s">
        <v>213</v>
      </c>
      <c r="FO511" s="1" t="s">
        <v>213</v>
      </c>
      <c r="FQ511" s="1" t="s">
        <v>6124</v>
      </c>
      <c r="FR511" s="1" t="s">
        <v>210</v>
      </c>
      <c r="FS511" s="1" t="s">
        <v>4325</v>
      </c>
      <c r="FT511" s="1" t="s">
        <v>295</v>
      </c>
      <c r="FU511" s="1" t="s">
        <v>204</v>
      </c>
      <c r="FW511" s="1" t="s">
        <v>4666</v>
      </c>
      <c r="FX511" s="1">
        <v>18426</v>
      </c>
      <c r="FY511" s="1" t="s">
        <v>6594</v>
      </c>
      <c r="FZ511" s="1" t="s">
        <v>6595</v>
      </c>
      <c r="GA511" s="1">
        <v>173073</v>
      </c>
      <c r="GB511" s="1" t="s">
        <v>6596</v>
      </c>
      <c r="GE511" s="1" t="s">
        <v>1576</v>
      </c>
      <c r="GI511" s="1" t="s">
        <v>213</v>
      </c>
      <c r="GJ511" s="1" t="s">
        <v>260</v>
      </c>
      <c r="GK511" s="1" t="s">
        <v>210</v>
      </c>
      <c r="GL511" s="2">
        <v>42072</v>
      </c>
      <c r="GM511" s="1" t="s">
        <v>6597</v>
      </c>
    </row>
    <row r="512" spans="1:195">
      <c r="A512" s="1">
        <v>180000</v>
      </c>
      <c r="B512" s="1" t="s">
        <v>195</v>
      </c>
      <c r="C512" s="1" t="str">
        <f>"08795929"</f>
        <v>08795929</v>
      </c>
      <c r="D512" s="1" t="s">
        <v>196</v>
      </c>
      <c r="F512" s="1" t="str">
        <f>"522"</f>
        <v>522</v>
      </c>
      <c r="G512" s="2">
        <v>41976</v>
      </c>
      <c r="H512" s="1">
        <v>189900</v>
      </c>
      <c r="I512" s="1">
        <v>189900</v>
      </c>
      <c r="J512" s="1">
        <v>180000</v>
      </c>
      <c r="K512" s="2">
        <v>41975</v>
      </c>
      <c r="L512" s="1">
        <v>107</v>
      </c>
      <c r="M512" s="2">
        <v>42072</v>
      </c>
      <c r="N512" s="1">
        <v>98</v>
      </c>
      <c r="O512" s="2">
        <v>42072</v>
      </c>
      <c r="P512" s="1">
        <v>20150</v>
      </c>
      <c r="Q512" s="1" t="s">
        <v>302</v>
      </c>
      <c r="R512" s="2">
        <v>42139</v>
      </c>
      <c r="S512" s="1">
        <v>212118</v>
      </c>
      <c r="U512" s="1">
        <v>8094</v>
      </c>
      <c r="V512" s="1" t="s">
        <v>6598</v>
      </c>
      <c r="W512" s="1" t="s">
        <v>425</v>
      </c>
      <c r="X512" s="7">
        <v>42095</v>
      </c>
      <c r="Y512" s="1">
        <v>4</v>
      </c>
      <c r="Z512" s="1" t="s">
        <v>249</v>
      </c>
      <c r="AA512" s="1" t="s">
        <v>698</v>
      </c>
      <c r="AB512" s="1">
        <v>60527</v>
      </c>
      <c r="AD512" s="1" t="s">
        <v>6599</v>
      </c>
      <c r="AE512" s="1" t="s">
        <v>6600</v>
      </c>
      <c r="AF512" s="1">
        <v>1974</v>
      </c>
      <c r="AG512" s="1" t="s">
        <v>213</v>
      </c>
      <c r="AH512" s="1" t="s">
        <v>701</v>
      </c>
      <c r="AI512" s="1" t="s">
        <v>206</v>
      </c>
      <c r="AJ512" s="1" t="s">
        <v>903</v>
      </c>
      <c r="AL512" s="1">
        <v>5</v>
      </c>
      <c r="AM512" s="1">
        <v>2</v>
      </c>
      <c r="AN512" s="1">
        <v>2</v>
      </c>
      <c r="AO512" s="1">
        <v>0</v>
      </c>
      <c r="AP512" s="1" t="s">
        <v>209</v>
      </c>
      <c r="AQ512" s="1">
        <v>0</v>
      </c>
      <c r="AR512" s="1" t="s">
        <v>210</v>
      </c>
      <c r="AS512" s="1" t="s">
        <v>204</v>
      </c>
      <c r="AT512" s="1" t="s">
        <v>211</v>
      </c>
      <c r="AU512" s="1">
        <v>2</v>
      </c>
      <c r="AW512" s="1" t="s">
        <v>204</v>
      </c>
      <c r="AX512" s="1" t="s">
        <v>212</v>
      </c>
      <c r="AZ512" s="1">
        <v>2197</v>
      </c>
      <c r="BA512" s="1">
        <v>2013</v>
      </c>
      <c r="BB512" s="1" t="s">
        <v>405</v>
      </c>
      <c r="BE512" s="1">
        <v>1172</v>
      </c>
      <c r="BF512" s="1">
        <v>1</v>
      </c>
      <c r="BG512" s="1">
        <v>30</v>
      </c>
      <c r="BJ512" s="1">
        <v>100</v>
      </c>
      <c r="BL512" s="1">
        <v>364</v>
      </c>
      <c r="BM512" s="1" t="s">
        <v>204</v>
      </c>
      <c r="BN512" s="1" t="s">
        <v>213</v>
      </c>
      <c r="BO512" s="1">
        <v>0</v>
      </c>
      <c r="BP512" s="1" t="s">
        <v>204</v>
      </c>
      <c r="BR512" s="1" t="str">
        <f>"0936209013"</f>
        <v>0936209013</v>
      </c>
      <c r="BT512" s="1" t="s">
        <v>6601</v>
      </c>
      <c r="BU512" s="1" t="s">
        <v>6602</v>
      </c>
      <c r="BV512" s="1" t="s">
        <v>6603</v>
      </c>
      <c r="BW512" s="1" t="s">
        <v>907</v>
      </c>
      <c r="BX512" s="1">
        <v>62</v>
      </c>
      <c r="BY512" s="1">
        <v>62</v>
      </c>
      <c r="BZ512" s="1">
        <v>86</v>
      </c>
      <c r="CB512" s="1" t="str">
        <f t="shared" ref="CB512:CC512" si="399">""</f>
        <v/>
      </c>
      <c r="CC512" s="1" t="str">
        <f t="shared" si="399"/>
        <v/>
      </c>
      <c r="CD512" s="1">
        <v>15</v>
      </c>
      <c r="CE512" s="1">
        <v>9</v>
      </c>
      <c r="CG512" s="1" t="s">
        <v>4554</v>
      </c>
      <c r="CH512" s="1" t="s">
        <v>219</v>
      </c>
      <c r="CI512" s="1" t="s">
        <v>347</v>
      </c>
      <c r="CJ512" s="1" t="s">
        <v>463</v>
      </c>
      <c r="CK512" s="1" t="s">
        <v>3656</v>
      </c>
      <c r="CL512" s="1" t="s">
        <v>219</v>
      </c>
      <c r="CM512" s="1" t="s">
        <v>347</v>
      </c>
      <c r="CN512" s="1" t="s">
        <v>463</v>
      </c>
      <c r="CO512" s="1" t="s">
        <v>408</v>
      </c>
      <c r="CP512" s="1" t="s">
        <v>219</v>
      </c>
      <c r="CQ512" s="1" t="s">
        <v>347</v>
      </c>
      <c r="CR512" s="1" t="s">
        <v>210</v>
      </c>
      <c r="CS512" s="1" t="s">
        <v>836</v>
      </c>
      <c r="CT512" s="1" t="s">
        <v>219</v>
      </c>
      <c r="CU512" s="1" t="s">
        <v>347</v>
      </c>
      <c r="CV512" s="1" t="s">
        <v>343</v>
      </c>
      <c r="CX512" s="1" t="s">
        <v>224</v>
      </c>
      <c r="DB512" s="1" t="s">
        <v>224</v>
      </c>
      <c r="DE512" s="1" t="s">
        <v>1046</v>
      </c>
      <c r="DF512" s="1" t="s">
        <v>219</v>
      </c>
      <c r="DG512" s="1" t="s">
        <v>226</v>
      </c>
      <c r="DH512" s="1" t="s">
        <v>210</v>
      </c>
      <c r="DJ512" s="1" t="s">
        <v>224</v>
      </c>
      <c r="DS512" s="1" t="s">
        <v>230</v>
      </c>
      <c r="DW512" s="1" t="s">
        <v>230</v>
      </c>
      <c r="EA512" s="1" t="s">
        <v>230</v>
      </c>
      <c r="EE512" s="1" t="s">
        <v>230</v>
      </c>
      <c r="EI512" s="1" t="s">
        <v>230</v>
      </c>
      <c r="EL512" s="1" t="s">
        <v>605</v>
      </c>
      <c r="EM512" s="1" t="s">
        <v>232</v>
      </c>
      <c r="EN512" s="1" t="s">
        <v>282</v>
      </c>
      <c r="EO512" s="1" t="s">
        <v>234</v>
      </c>
      <c r="EP512" s="1" t="s">
        <v>6604</v>
      </c>
      <c r="EQ512" s="1" t="s">
        <v>1551</v>
      </c>
      <c r="ER512" s="1" t="s">
        <v>210</v>
      </c>
      <c r="ES512" s="1" t="s">
        <v>3932</v>
      </c>
      <c r="ET512" s="1" t="s">
        <v>6605</v>
      </c>
      <c r="EU512" s="1" t="s">
        <v>712</v>
      </c>
      <c r="EV512" s="1" t="s">
        <v>240</v>
      </c>
      <c r="EW512" s="1" t="s">
        <v>6606</v>
      </c>
      <c r="EY512" s="1" t="s">
        <v>242</v>
      </c>
      <c r="EZ512" s="1" t="s">
        <v>287</v>
      </c>
      <c r="FA512" s="1" t="s">
        <v>6607</v>
      </c>
      <c r="FB512" s="1" t="s">
        <v>1505</v>
      </c>
      <c r="FC512" s="1" t="s">
        <v>1362</v>
      </c>
      <c r="FD512" s="1" t="s">
        <v>246</v>
      </c>
      <c r="FE512" s="1" t="s">
        <v>2970</v>
      </c>
      <c r="FF512" s="1" t="s">
        <v>248</v>
      </c>
      <c r="FH512" s="1" t="s">
        <v>249</v>
      </c>
      <c r="FI512" s="1" t="s">
        <v>6608</v>
      </c>
      <c r="FJ512" s="1" t="s">
        <v>2046</v>
      </c>
      <c r="FL512" s="1" t="s">
        <v>292</v>
      </c>
      <c r="FM512" s="1" t="s">
        <v>252</v>
      </c>
      <c r="FN512" s="1" t="s">
        <v>213</v>
      </c>
      <c r="FO512" s="1" t="s">
        <v>213</v>
      </c>
      <c r="FQ512" s="1" t="s">
        <v>615</v>
      </c>
      <c r="FR512" s="1" t="s">
        <v>210</v>
      </c>
      <c r="FS512" s="1" t="s">
        <v>6609</v>
      </c>
      <c r="FT512" s="1" t="s">
        <v>255</v>
      </c>
      <c r="FU512" s="1" t="s">
        <v>204</v>
      </c>
      <c r="FW512" s="1" t="s">
        <v>4305</v>
      </c>
      <c r="FX512" s="1">
        <v>22474</v>
      </c>
      <c r="FY512" s="1" t="s">
        <v>4306</v>
      </c>
      <c r="FZ512" s="1" t="s">
        <v>4307</v>
      </c>
      <c r="GA512" s="1">
        <v>213672</v>
      </c>
      <c r="GB512" s="1" t="s">
        <v>4308</v>
      </c>
      <c r="GE512" s="1" t="s">
        <v>1120</v>
      </c>
      <c r="GH512" s="1" t="s">
        <v>421</v>
      </c>
      <c r="GI512" s="1" t="s">
        <v>213</v>
      </c>
      <c r="GJ512" s="1" t="s">
        <v>260</v>
      </c>
      <c r="GK512" s="1" t="s">
        <v>210</v>
      </c>
      <c r="GL512" s="2">
        <v>42139</v>
      </c>
      <c r="GM512" s="1" t="s">
        <v>6610</v>
      </c>
    </row>
    <row r="513" spans="1:195">
      <c r="A513" s="1">
        <v>125000</v>
      </c>
      <c r="B513" s="1" t="s">
        <v>195</v>
      </c>
      <c r="C513" s="1" t="str">
        <f>"08810204"</f>
        <v>08810204</v>
      </c>
      <c r="D513" s="1" t="s">
        <v>196</v>
      </c>
      <c r="F513" s="1" t="str">
        <f>"139"</f>
        <v>139</v>
      </c>
      <c r="G513" s="2">
        <v>42009</v>
      </c>
      <c r="H513" s="1">
        <v>125000</v>
      </c>
      <c r="I513" s="1">
        <v>125000</v>
      </c>
      <c r="J513" s="1">
        <v>125000</v>
      </c>
      <c r="K513" s="2">
        <v>42009</v>
      </c>
      <c r="L513" s="1">
        <v>234</v>
      </c>
      <c r="M513" s="2">
        <v>42030</v>
      </c>
      <c r="N513" s="1">
        <v>22</v>
      </c>
      <c r="O513" s="2">
        <v>42030</v>
      </c>
      <c r="P513" s="1">
        <v>8012</v>
      </c>
      <c r="Q513" s="1" t="s">
        <v>197</v>
      </c>
      <c r="R513" s="2">
        <v>42076</v>
      </c>
      <c r="S513" s="1">
        <v>81614</v>
      </c>
      <c r="U513" s="1">
        <v>35</v>
      </c>
      <c r="V513" s="1" t="s">
        <v>6611</v>
      </c>
      <c r="W513" s="1" t="s">
        <v>264</v>
      </c>
      <c r="Y513" s="1">
        <v>4</v>
      </c>
      <c r="Z513" s="1" t="s">
        <v>370</v>
      </c>
      <c r="AA513" s="1" t="s">
        <v>1732</v>
      </c>
      <c r="AB513" s="1">
        <v>60139</v>
      </c>
      <c r="AD513" s="1" t="s">
        <v>6461</v>
      </c>
      <c r="AE513" s="1" t="s">
        <v>6612</v>
      </c>
      <c r="AF513" s="1">
        <v>1987</v>
      </c>
      <c r="AG513" s="1" t="s">
        <v>204</v>
      </c>
      <c r="AH513" s="1" t="s">
        <v>1735</v>
      </c>
      <c r="AI513" s="1" t="s">
        <v>206</v>
      </c>
      <c r="AJ513" s="1" t="s">
        <v>269</v>
      </c>
      <c r="AL513" s="1">
        <v>4</v>
      </c>
      <c r="AM513" s="1">
        <v>2</v>
      </c>
      <c r="AN513" s="1">
        <v>2</v>
      </c>
      <c r="AO513" s="1">
        <v>1</v>
      </c>
      <c r="AP513" s="1" t="s">
        <v>209</v>
      </c>
      <c r="AR513" s="1" t="s">
        <v>210</v>
      </c>
      <c r="AT513" s="1" t="s">
        <v>211</v>
      </c>
      <c r="AU513" s="1">
        <v>1</v>
      </c>
      <c r="AW513" s="1" t="s">
        <v>204</v>
      </c>
      <c r="AX513" s="1" t="s">
        <v>212</v>
      </c>
      <c r="AZ513" s="1">
        <v>4040</v>
      </c>
      <c r="BA513" s="1">
        <v>2013</v>
      </c>
      <c r="BB513" s="1" t="s">
        <v>405</v>
      </c>
      <c r="BE513" s="1">
        <v>1010</v>
      </c>
      <c r="BF513" s="1">
        <v>1</v>
      </c>
      <c r="BG513" s="1">
        <v>0</v>
      </c>
      <c r="BL513" s="1">
        <v>195</v>
      </c>
      <c r="BM513" s="1" t="s">
        <v>204</v>
      </c>
      <c r="BN513" s="1" t="s">
        <v>213</v>
      </c>
      <c r="BO513" s="1">
        <v>30</v>
      </c>
      <c r="BP513" s="1" t="s">
        <v>204</v>
      </c>
      <c r="BR513" s="1" t="str">
        <f>"0233206044"</f>
        <v>0233206044</v>
      </c>
      <c r="BT513" s="1" t="s">
        <v>6613</v>
      </c>
      <c r="BU513" s="1" t="s">
        <v>6319</v>
      </c>
      <c r="BV513" s="1" t="s">
        <v>3645</v>
      </c>
      <c r="BW513" s="1" t="s">
        <v>2169</v>
      </c>
      <c r="BX513" s="1">
        <v>16</v>
      </c>
      <c r="BY513" s="1">
        <v>16</v>
      </c>
      <c r="BZ513" s="1">
        <v>87</v>
      </c>
      <c r="CB513" s="1" t="str">
        <f>"2"</f>
        <v>2</v>
      </c>
      <c r="CC513" s="1" t="str">
        <f>""</f>
        <v/>
      </c>
      <c r="CD513" s="1">
        <v>24</v>
      </c>
      <c r="CG513" s="1" t="s">
        <v>1200</v>
      </c>
      <c r="CH513" s="1" t="s">
        <v>219</v>
      </c>
      <c r="CI513" s="1" t="s">
        <v>229</v>
      </c>
      <c r="CJ513" s="1" t="s">
        <v>343</v>
      </c>
      <c r="CK513" s="1" t="s">
        <v>757</v>
      </c>
      <c r="CL513" s="1" t="s">
        <v>277</v>
      </c>
      <c r="CM513" s="1" t="s">
        <v>220</v>
      </c>
      <c r="CN513" s="1" t="s">
        <v>252</v>
      </c>
      <c r="CP513" s="1" t="s">
        <v>224</v>
      </c>
      <c r="CS513" s="1" t="s">
        <v>1297</v>
      </c>
      <c r="CT513" s="1" t="s">
        <v>277</v>
      </c>
      <c r="CU513" s="1" t="s">
        <v>220</v>
      </c>
      <c r="CV513" s="1" t="s">
        <v>252</v>
      </c>
      <c r="CX513" s="1" t="s">
        <v>224</v>
      </c>
      <c r="DB513" s="1" t="s">
        <v>224</v>
      </c>
      <c r="DE513" s="1" t="s">
        <v>2031</v>
      </c>
      <c r="DF513" s="1" t="s">
        <v>219</v>
      </c>
      <c r="DG513" s="1" t="s">
        <v>229</v>
      </c>
      <c r="DJ513" s="1" t="s">
        <v>224</v>
      </c>
      <c r="DS513" s="1" t="s">
        <v>230</v>
      </c>
      <c r="DW513" s="1" t="s">
        <v>230</v>
      </c>
      <c r="EA513" s="1" t="s">
        <v>230</v>
      </c>
      <c r="EE513" s="1" t="s">
        <v>230</v>
      </c>
      <c r="EI513" s="1" t="s">
        <v>230</v>
      </c>
      <c r="EL513" s="1" t="s">
        <v>542</v>
      </c>
      <c r="EM513" s="1" t="s">
        <v>319</v>
      </c>
      <c r="EN513" s="1" t="s">
        <v>282</v>
      </c>
      <c r="EO513" s="1" t="s">
        <v>234</v>
      </c>
      <c r="EQ513" s="1" t="s">
        <v>236</v>
      </c>
      <c r="ER513" s="1" t="s">
        <v>210</v>
      </c>
      <c r="EU513" s="1" t="s">
        <v>6614</v>
      </c>
      <c r="EW513" s="1" t="s">
        <v>2205</v>
      </c>
      <c r="EZ513" s="1" t="s">
        <v>287</v>
      </c>
      <c r="FA513" s="1" t="s">
        <v>471</v>
      </c>
      <c r="FD513" s="1" t="s">
        <v>495</v>
      </c>
      <c r="FE513" s="1" t="s">
        <v>1006</v>
      </c>
      <c r="FF513" s="1" t="s">
        <v>248</v>
      </c>
      <c r="FH513" s="1" t="s">
        <v>550</v>
      </c>
      <c r="FI513" s="1" t="s">
        <v>473</v>
      </c>
      <c r="FJ513" s="1" t="s">
        <v>518</v>
      </c>
      <c r="FL513" s="1" t="s">
        <v>414</v>
      </c>
      <c r="FM513" s="1" t="s">
        <v>252</v>
      </c>
      <c r="FN513" s="1" t="s">
        <v>213</v>
      </c>
      <c r="FO513" s="1" t="s">
        <v>213</v>
      </c>
      <c r="FQ513" s="1" t="s">
        <v>913</v>
      </c>
      <c r="FR513" s="1" t="s">
        <v>210</v>
      </c>
      <c r="FS513" s="1" t="s">
        <v>976</v>
      </c>
      <c r="FT513" s="1" t="s">
        <v>295</v>
      </c>
      <c r="FU513" s="1" t="s">
        <v>204</v>
      </c>
      <c r="FW513" s="1" t="s">
        <v>977</v>
      </c>
      <c r="FX513" s="1">
        <v>25266</v>
      </c>
      <c r="FY513" s="1" t="s">
        <v>978</v>
      </c>
      <c r="FZ513" s="1" t="s">
        <v>979</v>
      </c>
      <c r="GA513" s="1">
        <v>231049</v>
      </c>
      <c r="GB513" s="1" t="s">
        <v>980</v>
      </c>
      <c r="GE513" s="1" t="s">
        <v>335</v>
      </c>
      <c r="GI513" s="1" t="s">
        <v>213</v>
      </c>
      <c r="GJ513" s="1" t="s">
        <v>260</v>
      </c>
      <c r="GK513" s="1" t="s">
        <v>210</v>
      </c>
      <c r="GL513" s="2">
        <v>42079</v>
      </c>
    </row>
    <row r="514" spans="1:195">
      <c r="A514" s="1">
        <v>115000</v>
      </c>
      <c r="B514" s="1" t="s">
        <v>195</v>
      </c>
      <c r="C514" s="1" t="str">
        <f>"08806728"</f>
        <v>08806728</v>
      </c>
      <c r="D514" s="1" t="s">
        <v>196</v>
      </c>
      <c r="F514" s="1" t="str">
        <f>"123"</f>
        <v>123</v>
      </c>
      <c r="G514" s="2">
        <v>42002</v>
      </c>
      <c r="H514" s="1">
        <v>119900</v>
      </c>
      <c r="I514" s="1">
        <v>119900</v>
      </c>
      <c r="J514" s="1">
        <v>115000</v>
      </c>
      <c r="K514" s="2">
        <v>42002</v>
      </c>
      <c r="L514" s="1">
        <v>32</v>
      </c>
      <c r="M514" s="2">
        <v>42033</v>
      </c>
      <c r="N514" s="1">
        <v>32</v>
      </c>
      <c r="O514" s="2">
        <v>42033</v>
      </c>
      <c r="P514" s="1">
        <v>8073</v>
      </c>
      <c r="Q514" s="1" t="s">
        <v>197</v>
      </c>
      <c r="R514" s="2">
        <v>42094</v>
      </c>
      <c r="S514" s="1">
        <v>83240</v>
      </c>
      <c r="U514" s="1">
        <v>641</v>
      </c>
      <c r="V514" s="1" t="s">
        <v>3064</v>
      </c>
      <c r="W514" s="1" t="s">
        <v>449</v>
      </c>
      <c r="Y514" s="1">
        <v>4</v>
      </c>
      <c r="Z514" s="1" t="s">
        <v>370</v>
      </c>
      <c r="AA514" s="1" t="s">
        <v>1173</v>
      </c>
      <c r="AB514" s="1">
        <v>60123</v>
      </c>
      <c r="AD514" s="1" t="s">
        <v>6615</v>
      </c>
      <c r="AE514" s="1" t="s">
        <v>6616</v>
      </c>
      <c r="AF514" s="1">
        <v>1994</v>
      </c>
      <c r="AG514" s="1" t="s">
        <v>204</v>
      </c>
      <c r="AH514" s="1" t="s">
        <v>1175</v>
      </c>
      <c r="AI514" s="1" t="s">
        <v>665</v>
      </c>
      <c r="AJ514" s="1" t="s">
        <v>1175</v>
      </c>
      <c r="AK514" s="1" t="s">
        <v>4519</v>
      </c>
      <c r="AL514" s="1">
        <v>5</v>
      </c>
      <c r="AM514" s="1">
        <v>2</v>
      </c>
      <c r="AN514" s="1">
        <v>1</v>
      </c>
      <c r="AO514" s="1">
        <v>0</v>
      </c>
      <c r="AP514" s="1" t="s">
        <v>667</v>
      </c>
      <c r="AQ514" s="1">
        <v>1</v>
      </c>
      <c r="AR514" s="1" t="s">
        <v>210</v>
      </c>
      <c r="AS514" s="1" t="s">
        <v>204</v>
      </c>
      <c r="AT514" s="1" t="s">
        <v>211</v>
      </c>
      <c r="AU514" s="1">
        <v>2</v>
      </c>
      <c r="AW514" s="1" t="s">
        <v>204</v>
      </c>
      <c r="AX514" s="1" t="s">
        <v>212</v>
      </c>
      <c r="AZ514" s="1">
        <v>1940.64</v>
      </c>
      <c r="BA514" s="1">
        <v>2013</v>
      </c>
      <c r="BB514" s="1" t="s">
        <v>599</v>
      </c>
      <c r="BE514" s="1">
        <v>1251</v>
      </c>
      <c r="BF514" s="1">
        <v>1</v>
      </c>
      <c r="BG514" s="1">
        <v>0</v>
      </c>
      <c r="BL514" s="1">
        <v>175</v>
      </c>
      <c r="BM514" s="1" t="s">
        <v>204</v>
      </c>
      <c r="BN514" s="1" t="s">
        <v>204</v>
      </c>
      <c r="BP514" s="1" t="s">
        <v>204</v>
      </c>
      <c r="BR514" s="1" t="str">
        <f>"0621376027"</f>
        <v>0621376027</v>
      </c>
      <c r="BT514" s="1" t="s">
        <v>6617</v>
      </c>
      <c r="BU514" s="1" t="s">
        <v>3282</v>
      </c>
      <c r="BV514" s="1" t="s">
        <v>3283</v>
      </c>
      <c r="BW514" s="1" t="s">
        <v>1468</v>
      </c>
      <c r="BX514" s="1">
        <v>46</v>
      </c>
      <c r="BY514" s="1">
        <v>46</v>
      </c>
      <c r="BZ514" s="1">
        <v>46</v>
      </c>
      <c r="CB514" s="1" t="str">
        <f t="shared" ref="CB514:CC514" si="400">""</f>
        <v/>
      </c>
      <c r="CC514" s="1" t="str">
        <f t="shared" si="400"/>
        <v/>
      </c>
      <c r="CG514" s="1" t="s">
        <v>3634</v>
      </c>
      <c r="CH514" s="1" t="s">
        <v>219</v>
      </c>
      <c r="CI514" s="1" t="s">
        <v>220</v>
      </c>
      <c r="CJ514" s="1" t="s">
        <v>343</v>
      </c>
      <c r="CK514" s="1" t="s">
        <v>1267</v>
      </c>
      <c r="CL514" s="1" t="s">
        <v>219</v>
      </c>
      <c r="CM514" s="1" t="s">
        <v>220</v>
      </c>
      <c r="CN514" s="1" t="s">
        <v>343</v>
      </c>
      <c r="CO514" s="1" t="s">
        <v>316</v>
      </c>
      <c r="CP514" s="1" t="s">
        <v>219</v>
      </c>
      <c r="CQ514" s="1" t="s">
        <v>342</v>
      </c>
      <c r="CR514" s="1" t="s">
        <v>343</v>
      </c>
      <c r="CS514" s="1" t="s">
        <v>408</v>
      </c>
      <c r="CT514" s="1" t="s">
        <v>219</v>
      </c>
      <c r="CU514" s="1" t="s">
        <v>220</v>
      </c>
      <c r="CV514" s="1" t="s">
        <v>343</v>
      </c>
      <c r="CX514" s="1" t="s">
        <v>224</v>
      </c>
      <c r="DB514" s="1" t="s">
        <v>224</v>
      </c>
      <c r="DE514" s="1" t="s">
        <v>318</v>
      </c>
      <c r="DF514" s="1" t="s">
        <v>219</v>
      </c>
      <c r="DG514" s="1" t="s">
        <v>342</v>
      </c>
      <c r="DH514" s="1" t="s">
        <v>210</v>
      </c>
      <c r="DJ514" s="1" t="s">
        <v>224</v>
      </c>
      <c r="DS514" s="1" t="s">
        <v>230</v>
      </c>
      <c r="DW514" s="1" t="s">
        <v>230</v>
      </c>
      <c r="EA514" s="1" t="s">
        <v>230</v>
      </c>
      <c r="EE514" s="1" t="s">
        <v>230</v>
      </c>
      <c r="EI514" s="1" t="s">
        <v>230</v>
      </c>
      <c r="EL514" s="1" t="s">
        <v>670</v>
      </c>
      <c r="EM514" s="1" t="s">
        <v>319</v>
      </c>
      <c r="EN514" s="1" t="s">
        <v>282</v>
      </c>
      <c r="EO514" s="1" t="s">
        <v>234</v>
      </c>
      <c r="EQ514" s="1" t="s">
        <v>236</v>
      </c>
      <c r="ER514" s="1" t="s">
        <v>210</v>
      </c>
      <c r="ES514" s="1" t="s">
        <v>1552</v>
      </c>
      <c r="EV514" s="1" t="s">
        <v>324</v>
      </c>
      <c r="EW514" s="1" t="s">
        <v>867</v>
      </c>
      <c r="EY514" s="1" t="s">
        <v>441</v>
      </c>
      <c r="EZ514" s="1" t="s">
        <v>287</v>
      </c>
      <c r="FD514" s="1" t="s">
        <v>1112</v>
      </c>
      <c r="FE514" s="1" t="s">
        <v>355</v>
      </c>
      <c r="FF514" s="1" t="s">
        <v>6618</v>
      </c>
      <c r="FG514" s="1" t="s">
        <v>912</v>
      </c>
      <c r="FH514" s="1" t="s">
        <v>249</v>
      </c>
      <c r="FI514" s="1" t="s">
        <v>473</v>
      </c>
      <c r="FL514" s="1" t="s">
        <v>358</v>
      </c>
      <c r="FM514" s="1" t="s">
        <v>252</v>
      </c>
      <c r="FN514" s="1" t="s">
        <v>213</v>
      </c>
      <c r="FO514" s="1" t="s">
        <v>213</v>
      </c>
      <c r="FQ514" s="1" t="s">
        <v>2253</v>
      </c>
      <c r="FR514" s="1" t="s">
        <v>210</v>
      </c>
      <c r="FS514" s="1" t="s">
        <v>6619</v>
      </c>
      <c r="FT514" s="1" t="s">
        <v>6620</v>
      </c>
      <c r="FU514" s="1" t="s">
        <v>204</v>
      </c>
      <c r="FW514" s="1" t="s">
        <v>6621</v>
      </c>
      <c r="FX514" s="1">
        <v>7545</v>
      </c>
      <c r="FY514" s="1" t="s">
        <v>6622</v>
      </c>
      <c r="FZ514" s="1" t="s">
        <v>6623</v>
      </c>
      <c r="GA514" s="1">
        <v>8930</v>
      </c>
      <c r="GE514" s="1" t="s">
        <v>210</v>
      </c>
      <c r="GI514" s="1" t="s">
        <v>213</v>
      </c>
      <c r="GJ514" s="1" t="s">
        <v>260</v>
      </c>
      <c r="GK514" s="1" t="s">
        <v>210</v>
      </c>
      <c r="GL514" s="2">
        <v>42095</v>
      </c>
      <c r="GM514" s="1" t="s">
        <v>6624</v>
      </c>
    </row>
    <row r="515" spans="1:195">
      <c r="A515" s="1">
        <v>100530</v>
      </c>
      <c r="B515" s="1" t="s">
        <v>195</v>
      </c>
      <c r="C515" s="1" t="str">
        <f>"08796117"</f>
        <v>08796117</v>
      </c>
      <c r="D515" s="1" t="s">
        <v>196</v>
      </c>
      <c r="F515" s="1" t="str">
        <f>"515"</f>
        <v>515</v>
      </c>
      <c r="G515" s="2">
        <v>41976</v>
      </c>
      <c r="H515" s="1">
        <v>124900</v>
      </c>
      <c r="I515" s="1">
        <v>105000</v>
      </c>
      <c r="J515" s="1">
        <v>100530</v>
      </c>
      <c r="K515" s="2">
        <v>41976</v>
      </c>
      <c r="L515" s="1">
        <v>84</v>
      </c>
      <c r="M515" s="2">
        <v>42059</v>
      </c>
      <c r="N515" s="1">
        <v>84</v>
      </c>
      <c r="O515" s="2">
        <v>42059</v>
      </c>
      <c r="P515" s="1">
        <v>24930</v>
      </c>
      <c r="Q515" s="1" t="s">
        <v>197</v>
      </c>
      <c r="R515" s="2">
        <v>42094</v>
      </c>
      <c r="S515" s="1">
        <v>240814</v>
      </c>
      <c r="U515" s="1">
        <v>500</v>
      </c>
      <c r="V515" s="1" t="s">
        <v>6625</v>
      </c>
      <c r="W515" s="1" t="s">
        <v>264</v>
      </c>
      <c r="X515" s="1">
        <v>404</v>
      </c>
      <c r="Y515" s="1">
        <v>60</v>
      </c>
      <c r="Z515" s="1" t="s">
        <v>249</v>
      </c>
      <c r="AA515" s="1" t="s">
        <v>1294</v>
      </c>
      <c r="AB515" s="1">
        <v>60516</v>
      </c>
      <c r="AD515" s="1" t="s">
        <v>6040</v>
      </c>
      <c r="AE515" s="1" t="s">
        <v>6626</v>
      </c>
      <c r="AF515" s="1">
        <v>1972</v>
      </c>
      <c r="AG515" s="1" t="s">
        <v>213</v>
      </c>
      <c r="AH515" s="1" t="s">
        <v>903</v>
      </c>
      <c r="AI515" s="1" t="s">
        <v>206</v>
      </c>
      <c r="AJ515" s="1" t="s">
        <v>903</v>
      </c>
      <c r="AK515" s="1" t="s">
        <v>1151</v>
      </c>
      <c r="AL515" s="1">
        <v>5</v>
      </c>
      <c r="AM515" s="1">
        <v>2</v>
      </c>
      <c r="AN515" s="1">
        <v>1</v>
      </c>
      <c r="AO515" s="1">
        <v>1</v>
      </c>
      <c r="AP515" s="1" t="s">
        <v>1234</v>
      </c>
      <c r="AR515" s="1" t="s">
        <v>210</v>
      </c>
      <c r="AS515" s="1" t="s">
        <v>204</v>
      </c>
      <c r="AT515" s="1" t="s">
        <v>211</v>
      </c>
      <c r="AU515" s="1">
        <v>1</v>
      </c>
      <c r="AW515" s="1" t="s">
        <v>213</v>
      </c>
      <c r="AX515" s="1" t="s">
        <v>212</v>
      </c>
      <c r="AZ515" s="1">
        <v>1741</v>
      </c>
      <c r="BA515" s="1">
        <v>2013</v>
      </c>
      <c r="BE515" s="1">
        <v>0</v>
      </c>
      <c r="BF515" s="1">
        <v>4</v>
      </c>
      <c r="BG515" s="1">
        <v>1</v>
      </c>
      <c r="BJ515" s="1">
        <v>100</v>
      </c>
      <c r="BL515" s="1">
        <v>269</v>
      </c>
      <c r="BM515" s="1" t="s">
        <v>204</v>
      </c>
      <c r="BN515" s="1" t="s">
        <v>213</v>
      </c>
      <c r="BO515" s="1">
        <v>0</v>
      </c>
      <c r="BP515" s="1" t="s">
        <v>204</v>
      </c>
      <c r="BR515" s="1" t="str">
        <f>"0932219044"</f>
        <v>0932219044</v>
      </c>
      <c r="BT515" s="1" t="s">
        <v>6627</v>
      </c>
      <c r="BX515" s="1">
        <v>66</v>
      </c>
      <c r="BY515" s="1">
        <v>66</v>
      </c>
      <c r="BZ515" s="1">
        <v>99</v>
      </c>
      <c r="CB515" s="1" t="str">
        <f t="shared" ref="CB515:CC515" si="401">"0"</f>
        <v>0</v>
      </c>
      <c r="CC515" s="1" t="str">
        <f t="shared" si="401"/>
        <v>0</v>
      </c>
      <c r="CD515" s="1">
        <v>19</v>
      </c>
      <c r="CE515" s="1">
        <v>8</v>
      </c>
      <c r="CG515" s="1" t="s">
        <v>6628</v>
      </c>
      <c r="CH515" s="1" t="s">
        <v>685</v>
      </c>
      <c r="CK515" s="1" t="s">
        <v>437</v>
      </c>
      <c r="CL515" s="1" t="s">
        <v>685</v>
      </c>
      <c r="CO515" s="1" t="s">
        <v>516</v>
      </c>
      <c r="CP515" s="1" t="s">
        <v>685</v>
      </c>
      <c r="CS515" s="1" t="s">
        <v>836</v>
      </c>
      <c r="CT515" s="1" t="s">
        <v>685</v>
      </c>
      <c r="CX515" s="1" t="s">
        <v>224</v>
      </c>
      <c r="DB515" s="1" t="s">
        <v>224</v>
      </c>
      <c r="DE515" s="1" t="s">
        <v>5974</v>
      </c>
      <c r="DF515" s="1" t="s">
        <v>685</v>
      </c>
      <c r="DJ515" s="1" t="s">
        <v>224</v>
      </c>
      <c r="DM515" s="1" t="s">
        <v>709</v>
      </c>
      <c r="DR515" s="1" t="s">
        <v>3320</v>
      </c>
      <c r="DS515" s="1" t="s">
        <v>685</v>
      </c>
      <c r="DW515" s="1" t="s">
        <v>230</v>
      </c>
      <c r="EA515" s="1" t="s">
        <v>230</v>
      </c>
      <c r="EE515" s="1" t="s">
        <v>230</v>
      </c>
      <c r="EI515" s="1" t="s">
        <v>230</v>
      </c>
      <c r="EL515" s="1" t="s">
        <v>605</v>
      </c>
      <c r="EM515" s="1" t="s">
        <v>232</v>
      </c>
      <c r="EN515" s="1" t="s">
        <v>282</v>
      </c>
      <c r="EO515" s="1" t="s">
        <v>234</v>
      </c>
      <c r="ER515" s="1" t="s">
        <v>210</v>
      </c>
      <c r="EW515" s="1" t="s">
        <v>2344</v>
      </c>
      <c r="EZ515" s="1" t="s">
        <v>709</v>
      </c>
      <c r="FD515" s="1" t="s">
        <v>290</v>
      </c>
      <c r="FE515" s="1" t="s">
        <v>247</v>
      </c>
      <c r="FF515" s="1" t="s">
        <v>248</v>
      </c>
      <c r="FH515" s="1" t="s">
        <v>249</v>
      </c>
      <c r="FL515" s="1" t="s">
        <v>358</v>
      </c>
      <c r="FM515" s="1" t="s">
        <v>252</v>
      </c>
      <c r="FN515" s="1" t="s">
        <v>213</v>
      </c>
      <c r="FO515" s="1" t="s">
        <v>213</v>
      </c>
      <c r="FQ515" s="1" t="s">
        <v>1300</v>
      </c>
      <c r="FR515" s="1" t="s">
        <v>1301</v>
      </c>
      <c r="FS515" s="1" t="s">
        <v>6629</v>
      </c>
      <c r="FT515" s="1" t="s">
        <v>295</v>
      </c>
      <c r="FU515" s="1" t="s">
        <v>204</v>
      </c>
      <c r="FW515" s="1" t="s">
        <v>1303</v>
      </c>
      <c r="FX515" s="1">
        <v>24072</v>
      </c>
      <c r="FY515" s="1" t="s">
        <v>1304</v>
      </c>
      <c r="FZ515" s="1" t="s">
        <v>1305</v>
      </c>
      <c r="GA515" s="1">
        <v>222267</v>
      </c>
      <c r="GB515" s="1" t="s">
        <v>1304</v>
      </c>
      <c r="GC515" s="1">
        <v>871164</v>
      </c>
      <c r="GE515" s="1" t="s">
        <v>480</v>
      </c>
      <c r="GI515" s="1" t="s">
        <v>213</v>
      </c>
      <c r="GJ515" s="1" t="s">
        <v>260</v>
      </c>
      <c r="GK515" s="1" t="s">
        <v>210</v>
      </c>
      <c r="GL515" s="2">
        <v>42095</v>
      </c>
      <c r="GM515" s="1" t="s">
        <v>6630</v>
      </c>
    </row>
    <row r="516" spans="1:195">
      <c r="A516" s="1">
        <v>66500</v>
      </c>
      <c r="B516" s="1" t="s">
        <v>195</v>
      </c>
      <c r="C516" s="1" t="str">
        <f>"08796325"</f>
        <v>08796325</v>
      </c>
      <c r="D516" s="1" t="s">
        <v>196</v>
      </c>
      <c r="F516" s="1" t="str">
        <f>"545"</f>
        <v>545</v>
      </c>
      <c r="G516" s="2">
        <v>41976</v>
      </c>
      <c r="H516" s="1">
        <v>82000</v>
      </c>
      <c r="I516" s="1">
        <v>73800</v>
      </c>
      <c r="J516" s="1">
        <v>66500</v>
      </c>
      <c r="K516" s="2">
        <v>41976</v>
      </c>
      <c r="L516" s="1">
        <v>69</v>
      </c>
      <c r="M516" s="2">
        <v>42044</v>
      </c>
      <c r="N516" s="1">
        <v>69</v>
      </c>
      <c r="O516" s="2">
        <v>42044</v>
      </c>
      <c r="P516" s="1">
        <v>23030</v>
      </c>
      <c r="Q516" s="1" t="s">
        <v>302</v>
      </c>
      <c r="R516" s="2">
        <v>42093</v>
      </c>
      <c r="S516" s="1">
        <v>232249</v>
      </c>
      <c r="T516" s="1">
        <v>1000</v>
      </c>
      <c r="U516" s="1">
        <v>3202</v>
      </c>
      <c r="V516" s="1" t="s">
        <v>6631</v>
      </c>
      <c r="W516" s="1" t="s">
        <v>725</v>
      </c>
      <c r="Y516" s="1">
        <v>2</v>
      </c>
      <c r="Z516" s="1" t="s">
        <v>370</v>
      </c>
      <c r="AA516" s="1" t="s">
        <v>1335</v>
      </c>
      <c r="AB516" s="1">
        <v>60545</v>
      </c>
      <c r="AE516" s="1" t="s">
        <v>6632</v>
      </c>
      <c r="AF516" s="1">
        <v>2004</v>
      </c>
      <c r="AG516" s="1" t="s">
        <v>204</v>
      </c>
      <c r="AH516" s="1" t="s">
        <v>1338</v>
      </c>
      <c r="AI516" s="1" t="s">
        <v>453</v>
      </c>
      <c r="AJ516" s="1" t="s">
        <v>1339</v>
      </c>
      <c r="AL516" s="1">
        <v>5</v>
      </c>
      <c r="AM516" s="1">
        <v>2</v>
      </c>
      <c r="AN516" s="1">
        <v>1</v>
      </c>
      <c r="AO516" s="1">
        <v>1</v>
      </c>
      <c r="AP516" s="1" t="s">
        <v>209</v>
      </c>
      <c r="AR516" s="1" t="s">
        <v>210</v>
      </c>
      <c r="AT516" s="1" t="s">
        <v>211</v>
      </c>
      <c r="AU516" s="1">
        <v>1</v>
      </c>
      <c r="AW516" s="1" t="s">
        <v>204</v>
      </c>
      <c r="AX516" s="1" t="s">
        <v>212</v>
      </c>
      <c r="AZ516" s="3">
        <v>3329</v>
      </c>
      <c r="BA516" s="1">
        <v>2012</v>
      </c>
      <c r="BE516" s="1">
        <v>892</v>
      </c>
      <c r="BF516" s="1">
        <v>1</v>
      </c>
      <c r="BG516" s="1">
        <v>0</v>
      </c>
      <c r="BL516" s="1">
        <v>35</v>
      </c>
      <c r="BM516" s="1" t="s">
        <v>413</v>
      </c>
      <c r="BN516" s="1" t="s">
        <v>213</v>
      </c>
      <c r="BO516" s="1">
        <v>99</v>
      </c>
      <c r="BP516" s="1" t="s">
        <v>204</v>
      </c>
      <c r="BR516" s="1" t="str">
        <f>"0125103025"</f>
        <v>0125103025</v>
      </c>
      <c r="BT516" s="1" t="s">
        <v>6633</v>
      </c>
      <c r="BX516" s="1">
        <v>88</v>
      </c>
      <c r="BY516" s="1">
        <v>88</v>
      </c>
      <c r="BZ516" s="1">
        <v>88</v>
      </c>
      <c r="CB516" s="1" t="str">
        <f t="shared" ref="CB516:CC516" si="402">""</f>
        <v/>
      </c>
      <c r="CC516" s="1" t="str">
        <f t="shared" si="402"/>
        <v/>
      </c>
      <c r="CG516" s="1" t="s">
        <v>228</v>
      </c>
      <c r="CH516" s="1" t="s">
        <v>219</v>
      </c>
      <c r="CI516" s="1" t="s">
        <v>229</v>
      </c>
      <c r="CK516" s="1" t="s">
        <v>757</v>
      </c>
      <c r="CL516" s="1" t="s">
        <v>219</v>
      </c>
      <c r="CM516" s="1" t="s">
        <v>220</v>
      </c>
      <c r="CO516" s="1" t="s">
        <v>378</v>
      </c>
      <c r="CP516" s="1" t="s">
        <v>219</v>
      </c>
      <c r="CQ516" s="1" t="s">
        <v>229</v>
      </c>
      <c r="CS516" s="1" t="s">
        <v>378</v>
      </c>
      <c r="CT516" s="1" t="s">
        <v>219</v>
      </c>
      <c r="CU516" s="1" t="s">
        <v>220</v>
      </c>
      <c r="CX516" s="1" t="s">
        <v>224</v>
      </c>
      <c r="DB516" s="1" t="s">
        <v>224</v>
      </c>
      <c r="DE516" s="1" t="s">
        <v>379</v>
      </c>
      <c r="DF516" s="1" t="s">
        <v>219</v>
      </c>
      <c r="DG516" s="1" t="s">
        <v>342</v>
      </c>
      <c r="DJ516" s="1" t="s">
        <v>224</v>
      </c>
      <c r="DS516" s="1" t="s">
        <v>230</v>
      </c>
      <c r="DW516" s="1" t="s">
        <v>230</v>
      </c>
      <c r="EA516" s="1" t="s">
        <v>230</v>
      </c>
      <c r="EE516" s="1" t="s">
        <v>230</v>
      </c>
      <c r="EI516" s="1" t="s">
        <v>230</v>
      </c>
      <c r="EL516" s="1" t="s">
        <v>491</v>
      </c>
      <c r="EM516" s="1" t="s">
        <v>319</v>
      </c>
      <c r="EN516" s="1" t="s">
        <v>282</v>
      </c>
      <c r="EO516" s="1" t="s">
        <v>234</v>
      </c>
      <c r="ER516" s="1" t="s">
        <v>210</v>
      </c>
      <c r="ES516" s="1" t="s">
        <v>1552</v>
      </c>
      <c r="EU516" s="1" t="s">
        <v>546</v>
      </c>
      <c r="EV516" s="1" t="s">
        <v>240</v>
      </c>
      <c r="EW516" s="1" t="s">
        <v>347</v>
      </c>
      <c r="EZ516" s="1" t="s">
        <v>287</v>
      </c>
      <c r="FD516" s="1" t="s">
        <v>246</v>
      </c>
      <c r="FE516" s="1" t="s">
        <v>496</v>
      </c>
      <c r="FF516" s="1" t="s">
        <v>248</v>
      </c>
      <c r="FH516" s="1" t="s">
        <v>442</v>
      </c>
      <c r="FL516" s="1" t="s">
        <v>358</v>
      </c>
      <c r="FM516" s="1" t="s">
        <v>252</v>
      </c>
      <c r="FN516" s="1" t="s">
        <v>213</v>
      </c>
      <c r="FO516" s="1" t="s">
        <v>213</v>
      </c>
      <c r="FQ516" s="1" t="s">
        <v>689</v>
      </c>
      <c r="FR516" s="1" t="s">
        <v>652</v>
      </c>
      <c r="FS516" s="1" t="s">
        <v>6634</v>
      </c>
      <c r="FT516" s="1" t="s">
        <v>295</v>
      </c>
      <c r="FU516" s="1" t="s">
        <v>204</v>
      </c>
      <c r="FW516" s="1" t="s">
        <v>1857</v>
      </c>
      <c r="FX516" s="1">
        <v>22993</v>
      </c>
      <c r="FY516" s="1" t="s">
        <v>1858</v>
      </c>
      <c r="FZ516" s="1" t="s">
        <v>1859</v>
      </c>
      <c r="GA516" s="1">
        <v>233401</v>
      </c>
      <c r="GB516" s="1" t="s">
        <v>1858</v>
      </c>
      <c r="GD516" s="1" t="s">
        <v>1860</v>
      </c>
      <c r="GE516" s="1" t="s">
        <v>210</v>
      </c>
      <c r="GI516" s="1" t="s">
        <v>213</v>
      </c>
      <c r="GJ516" s="1" t="s">
        <v>260</v>
      </c>
      <c r="GK516" s="1" t="s">
        <v>210</v>
      </c>
      <c r="GL516" s="2">
        <v>42093</v>
      </c>
      <c r="GM516" s="1" t="s">
        <v>6635</v>
      </c>
    </row>
    <row r="517" spans="1:195">
      <c r="A517" s="1">
        <v>45500</v>
      </c>
      <c r="B517" s="1" t="s">
        <v>195</v>
      </c>
      <c r="C517" s="1" t="str">
        <f>"08799265"</f>
        <v>08799265</v>
      </c>
      <c r="D517" s="1" t="s">
        <v>196</v>
      </c>
      <c r="F517" s="1" t="str">
        <f t="shared" ref="F517:F518" si="403">"103"</f>
        <v>103</v>
      </c>
      <c r="G517" s="2">
        <v>41982</v>
      </c>
      <c r="H517" s="1">
        <v>49900</v>
      </c>
      <c r="I517" s="1">
        <v>49900</v>
      </c>
      <c r="J517" s="1">
        <v>45500</v>
      </c>
      <c r="K517" s="2">
        <v>41982</v>
      </c>
      <c r="L517" s="1">
        <v>44</v>
      </c>
      <c r="M517" s="2">
        <v>42025</v>
      </c>
      <c r="N517" s="1">
        <v>44</v>
      </c>
      <c r="O517" s="2">
        <v>42025</v>
      </c>
      <c r="P517" s="1">
        <v>1118</v>
      </c>
      <c r="Q517" s="1" t="s">
        <v>302</v>
      </c>
      <c r="R517" s="2">
        <v>42054</v>
      </c>
      <c r="S517" s="1">
        <v>88102</v>
      </c>
      <c r="U517" s="1">
        <v>5577</v>
      </c>
      <c r="V517" s="1" t="s">
        <v>6636</v>
      </c>
      <c r="Y517" s="1">
        <v>1</v>
      </c>
      <c r="Z517" s="1" t="s">
        <v>370</v>
      </c>
      <c r="AA517" s="1" t="s">
        <v>337</v>
      </c>
      <c r="AB517" s="1">
        <v>60133</v>
      </c>
      <c r="AE517" s="1" t="s">
        <v>6637</v>
      </c>
      <c r="AF517" s="1">
        <v>1972</v>
      </c>
      <c r="AG517" s="1" t="s">
        <v>213</v>
      </c>
      <c r="AH517" s="1" t="s">
        <v>339</v>
      </c>
      <c r="AI517" s="1" t="s">
        <v>206</v>
      </c>
      <c r="AJ517" s="1" t="s">
        <v>269</v>
      </c>
      <c r="AL517" s="1">
        <v>4</v>
      </c>
      <c r="AM517" s="1">
        <v>2</v>
      </c>
      <c r="AN517" s="1">
        <v>1</v>
      </c>
      <c r="AO517" s="1">
        <v>0</v>
      </c>
      <c r="AP517" s="1" t="s">
        <v>667</v>
      </c>
      <c r="AR517" s="1" t="s">
        <v>210</v>
      </c>
      <c r="AS517" s="1" t="s">
        <v>204</v>
      </c>
      <c r="AT517" s="1" t="s">
        <v>271</v>
      </c>
      <c r="AV517" s="1">
        <v>2</v>
      </c>
      <c r="AW517" s="1" t="s">
        <v>204</v>
      </c>
      <c r="AX517" s="1" t="s">
        <v>212</v>
      </c>
      <c r="AZ517" s="1">
        <v>2499</v>
      </c>
      <c r="BA517" s="1">
        <v>2013</v>
      </c>
      <c r="BE517" s="1">
        <v>833</v>
      </c>
      <c r="BF517" s="1">
        <v>1</v>
      </c>
      <c r="BG517" s="1">
        <v>0</v>
      </c>
      <c r="BL517" s="1">
        <v>199</v>
      </c>
      <c r="BM517" s="1" t="s">
        <v>204</v>
      </c>
      <c r="BN517" s="1" t="s">
        <v>213</v>
      </c>
      <c r="BO517" s="1">
        <v>40</v>
      </c>
      <c r="BP517" s="1" t="s">
        <v>204</v>
      </c>
      <c r="BR517" s="1" t="str">
        <f>"0207204044"</f>
        <v>0207204044</v>
      </c>
      <c r="BT517" s="1" t="s">
        <v>6638</v>
      </c>
      <c r="BX517" s="1">
        <v>20</v>
      </c>
      <c r="BY517" s="1">
        <v>20</v>
      </c>
      <c r="BZ517" s="1">
        <v>108</v>
      </c>
      <c r="CB517" s="1" t="str">
        <f t="shared" ref="CB517:CC517" si="404">""</f>
        <v/>
      </c>
      <c r="CC517" s="1" t="str">
        <f t="shared" si="404"/>
        <v/>
      </c>
      <c r="CG517" s="1" t="s">
        <v>6639</v>
      </c>
      <c r="CH517" s="1" t="s">
        <v>219</v>
      </c>
      <c r="CI517" s="1" t="s">
        <v>220</v>
      </c>
      <c r="CK517" s="1" t="s">
        <v>437</v>
      </c>
      <c r="CL517" s="1" t="s">
        <v>219</v>
      </c>
      <c r="CM517" s="1" t="s">
        <v>220</v>
      </c>
      <c r="CP517" s="1" t="s">
        <v>224</v>
      </c>
      <c r="CS517" s="1" t="s">
        <v>465</v>
      </c>
      <c r="CT517" s="1" t="s">
        <v>219</v>
      </c>
      <c r="CU517" s="1" t="s">
        <v>220</v>
      </c>
      <c r="CX517" s="1" t="s">
        <v>224</v>
      </c>
      <c r="DB517" s="1" t="s">
        <v>224</v>
      </c>
      <c r="DE517" s="1" t="s">
        <v>348</v>
      </c>
      <c r="DF517" s="1" t="s">
        <v>219</v>
      </c>
      <c r="DG517" s="1" t="s">
        <v>342</v>
      </c>
      <c r="DJ517" s="1" t="s">
        <v>224</v>
      </c>
      <c r="DS517" s="1" t="s">
        <v>230</v>
      </c>
      <c r="DW517" s="1" t="s">
        <v>230</v>
      </c>
      <c r="EA517" s="1" t="s">
        <v>230</v>
      </c>
      <c r="EE517" s="1" t="s">
        <v>230</v>
      </c>
      <c r="EI517" s="1" t="s">
        <v>230</v>
      </c>
      <c r="EL517" s="1" t="s">
        <v>605</v>
      </c>
      <c r="EM517" s="1" t="s">
        <v>319</v>
      </c>
      <c r="EN517" s="1" t="s">
        <v>282</v>
      </c>
      <c r="EO517" s="1" t="s">
        <v>234</v>
      </c>
      <c r="ER517" s="1" t="s">
        <v>210</v>
      </c>
      <c r="EW517" s="1" t="s">
        <v>1440</v>
      </c>
      <c r="EZ517" s="1" t="s">
        <v>287</v>
      </c>
      <c r="FD517" s="1" t="s">
        <v>495</v>
      </c>
      <c r="FE517" s="1" t="s">
        <v>5388</v>
      </c>
      <c r="FF517" s="1" t="s">
        <v>248</v>
      </c>
      <c r="FH517" s="1" t="s">
        <v>825</v>
      </c>
      <c r="FL517" s="1" t="s">
        <v>358</v>
      </c>
      <c r="FM517" s="1" t="s">
        <v>252</v>
      </c>
      <c r="FN517" s="1" t="s">
        <v>213</v>
      </c>
      <c r="FO517" s="1" t="s">
        <v>213</v>
      </c>
      <c r="FQ517" s="1" t="s">
        <v>1300</v>
      </c>
      <c r="FR517" s="1" t="s">
        <v>210</v>
      </c>
      <c r="FS517" s="1" t="s">
        <v>6640</v>
      </c>
      <c r="FT517" s="1" t="s">
        <v>1828</v>
      </c>
      <c r="FU517" s="1" t="s">
        <v>204</v>
      </c>
      <c r="FW517" s="1" t="s">
        <v>1097</v>
      </c>
      <c r="FX517" s="1">
        <v>8094</v>
      </c>
      <c r="FY517" s="1" t="s">
        <v>1829</v>
      </c>
      <c r="FZ517" s="1" t="s">
        <v>1830</v>
      </c>
      <c r="GA517" s="1">
        <v>28736</v>
      </c>
      <c r="GB517" s="1" t="s">
        <v>1831</v>
      </c>
      <c r="GE517" s="1" t="s">
        <v>210</v>
      </c>
      <c r="GI517" s="1" t="s">
        <v>204</v>
      </c>
      <c r="GJ517" s="1" t="s">
        <v>260</v>
      </c>
      <c r="GK517" s="1" t="s">
        <v>210</v>
      </c>
      <c r="GL517" s="2">
        <v>42054</v>
      </c>
      <c r="GM517" s="1" t="s">
        <v>6641</v>
      </c>
    </row>
    <row r="518" spans="1:195">
      <c r="A518" s="1">
        <v>96400</v>
      </c>
      <c r="B518" s="1" t="s">
        <v>195</v>
      </c>
      <c r="C518" s="1" t="str">
        <f>"08799310"</f>
        <v>08799310</v>
      </c>
      <c r="D518" s="1" t="s">
        <v>196</v>
      </c>
      <c r="F518" s="1" t="str">
        <f t="shared" si="403"/>
        <v>103</v>
      </c>
      <c r="G518" s="2">
        <v>41982</v>
      </c>
      <c r="H518" s="1">
        <v>111500</v>
      </c>
      <c r="I518" s="1">
        <v>94900</v>
      </c>
      <c r="J518" s="1">
        <v>96400</v>
      </c>
      <c r="K518" s="2">
        <v>41982</v>
      </c>
      <c r="L518" s="1">
        <v>72</v>
      </c>
      <c r="M518" s="2">
        <v>42053</v>
      </c>
      <c r="N518" s="1">
        <v>72</v>
      </c>
      <c r="O518" s="2">
        <v>42053</v>
      </c>
      <c r="P518" s="1">
        <v>8094</v>
      </c>
      <c r="Q518" s="1" t="s">
        <v>423</v>
      </c>
      <c r="R518" s="2">
        <v>42130</v>
      </c>
      <c r="S518" s="1">
        <v>243309</v>
      </c>
      <c r="U518" s="1">
        <v>659</v>
      </c>
      <c r="V518" s="1" t="s">
        <v>6642</v>
      </c>
      <c r="W518" s="1" t="s">
        <v>264</v>
      </c>
      <c r="Y518" s="1">
        <v>1</v>
      </c>
      <c r="Z518" s="1" t="s">
        <v>370</v>
      </c>
      <c r="AA518" s="1" t="s">
        <v>337</v>
      </c>
      <c r="AB518" s="1">
        <v>60133</v>
      </c>
      <c r="AE518" s="1" t="s">
        <v>6643</v>
      </c>
      <c r="AF518" s="1">
        <v>1986</v>
      </c>
      <c r="AG518" s="1" t="s">
        <v>204</v>
      </c>
      <c r="AH518" s="1" t="s">
        <v>339</v>
      </c>
      <c r="AI518" s="1" t="s">
        <v>310</v>
      </c>
      <c r="AJ518" s="1" t="s">
        <v>1717</v>
      </c>
      <c r="AL518" s="1">
        <v>6</v>
      </c>
      <c r="AM518" s="1">
        <v>2</v>
      </c>
      <c r="AN518" s="1">
        <v>1</v>
      </c>
      <c r="AO518" s="1">
        <v>1</v>
      </c>
      <c r="AP518" s="1" t="s">
        <v>209</v>
      </c>
      <c r="AR518" s="1" t="s">
        <v>1631</v>
      </c>
      <c r="AS518" s="1" t="s">
        <v>204</v>
      </c>
      <c r="AT518" s="1" t="s">
        <v>211</v>
      </c>
      <c r="AU518" s="1">
        <v>1</v>
      </c>
      <c r="AW518" s="1" t="s">
        <v>204</v>
      </c>
      <c r="AX518" s="1" t="s">
        <v>212</v>
      </c>
      <c r="AZ518" s="1">
        <v>3422.81</v>
      </c>
      <c r="BA518" s="1">
        <v>2012</v>
      </c>
      <c r="BE518" s="1">
        <v>1251</v>
      </c>
      <c r="BF518" s="1">
        <v>1</v>
      </c>
      <c r="BG518" s="1">
        <v>0</v>
      </c>
      <c r="BL518" s="1">
        <v>202</v>
      </c>
      <c r="BM518" s="1" t="s">
        <v>204</v>
      </c>
      <c r="BN518" s="1" t="s">
        <v>213</v>
      </c>
      <c r="BO518" s="1">
        <v>50</v>
      </c>
      <c r="BP518" s="1" t="s">
        <v>204</v>
      </c>
      <c r="BR518" s="1" t="str">
        <f>"07293140250000"</f>
        <v>07293140250000</v>
      </c>
      <c r="BT518" s="1" t="s">
        <v>6644</v>
      </c>
      <c r="BX518" s="1">
        <v>54</v>
      </c>
      <c r="BY518" s="1">
        <v>54</v>
      </c>
      <c r="BZ518" s="1">
        <v>211</v>
      </c>
      <c r="CB518" s="1" t="str">
        <f t="shared" ref="CB518:CC518" si="405">""</f>
        <v/>
      </c>
      <c r="CC518" s="1" t="str">
        <f t="shared" si="405"/>
        <v/>
      </c>
      <c r="CG518" s="1" t="s">
        <v>628</v>
      </c>
      <c r="CH518" s="1" t="s">
        <v>219</v>
      </c>
      <c r="CK518" s="1" t="s">
        <v>1425</v>
      </c>
      <c r="CL518" s="1" t="s">
        <v>277</v>
      </c>
      <c r="CO518" s="1" t="s">
        <v>6342</v>
      </c>
      <c r="CP518" s="1" t="s">
        <v>219</v>
      </c>
      <c r="CS518" s="1" t="s">
        <v>951</v>
      </c>
      <c r="CT518" s="1" t="s">
        <v>277</v>
      </c>
      <c r="CX518" s="1" t="s">
        <v>224</v>
      </c>
      <c r="DB518" s="1" t="s">
        <v>224</v>
      </c>
      <c r="DE518" s="1" t="s">
        <v>1855</v>
      </c>
      <c r="DF518" s="1" t="s">
        <v>219</v>
      </c>
      <c r="DI518" s="1" t="s">
        <v>3059</v>
      </c>
      <c r="DJ518" s="1" t="s">
        <v>822</v>
      </c>
      <c r="DS518" s="1" t="s">
        <v>230</v>
      </c>
      <c r="DW518" s="1" t="s">
        <v>230</v>
      </c>
      <c r="EA518" s="1" t="s">
        <v>230</v>
      </c>
      <c r="EE518" s="1" t="s">
        <v>230</v>
      </c>
      <c r="EI518" s="1" t="s">
        <v>230</v>
      </c>
      <c r="EL518" s="1" t="s">
        <v>542</v>
      </c>
      <c r="EM518" s="1" t="s">
        <v>319</v>
      </c>
      <c r="EN518" s="1" t="s">
        <v>282</v>
      </c>
      <c r="EO518" s="1" t="s">
        <v>234</v>
      </c>
      <c r="ER518" s="1" t="s">
        <v>544</v>
      </c>
      <c r="EW518" s="1" t="s">
        <v>6645</v>
      </c>
      <c r="EZ518" s="1" t="s">
        <v>287</v>
      </c>
      <c r="FD518" s="1" t="s">
        <v>495</v>
      </c>
      <c r="FE518" s="1" t="s">
        <v>870</v>
      </c>
      <c r="FF518" s="1" t="s">
        <v>248</v>
      </c>
      <c r="FH518" s="1" t="s">
        <v>550</v>
      </c>
      <c r="FL518" s="1" t="s">
        <v>358</v>
      </c>
      <c r="FM518" s="1" t="s">
        <v>252</v>
      </c>
      <c r="FN518" s="1" t="s">
        <v>213</v>
      </c>
      <c r="FO518" s="1" t="s">
        <v>213</v>
      </c>
      <c r="FQ518" s="1" t="s">
        <v>1300</v>
      </c>
      <c r="FR518" s="1" t="s">
        <v>210</v>
      </c>
      <c r="FS518" s="1" t="s">
        <v>6640</v>
      </c>
      <c r="FT518" s="1" t="s">
        <v>295</v>
      </c>
      <c r="FU518" s="1" t="s">
        <v>204</v>
      </c>
      <c r="FW518" s="1" t="s">
        <v>1097</v>
      </c>
      <c r="FX518" s="1">
        <v>8094</v>
      </c>
      <c r="FY518" s="1" t="s">
        <v>1829</v>
      </c>
      <c r="FZ518" s="1" t="s">
        <v>1830</v>
      </c>
      <c r="GA518" s="1">
        <v>28736</v>
      </c>
      <c r="GB518" s="1" t="s">
        <v>1831</v>
      </c>
      <c r="GE518" s="1" t="s">
        <v>210</v>
      </c>
      <c r="GI518" s="1" t="s">
        <v>204</v>
      </c>
      <c r="GJ518" s="1" t="s">
        <v>260</v>
      </c>
      <c r="GK518" s="1" t="s">
        <v>210</v>
      </c>
      <c r="GL518" s="2">
        <v>42130</v>
      </c>
      <c r="GM518" s="1" t="s">
        <v>6646</v>
      </c>
    </row>
    <row r="519" spans="1:195">
      <c r="A519" s="1">
        <v>137500</v>
      </c>
      <c r="B519" s="1" t="s">
        <v>195</v>
      </c>
      <c r="C519" s="1" t="str">
        <f>"08796946"</f>
        <v>08796946</v>
      </c>
      <c r="D519" s="1" t="s">
        <v>196</v>
      </c>
      <c r="F519" s="1" t="str">
        <f>"61"</f>
        <v>61</v>
      </c>
      <c r="G519" s="2">
        <v>41977</v>
      </c>
      <c r="H519" s="1">
        <v>148900</v>
      </c>
      <c r="I519" s="1">
        <v>144900</v>
      </c>
      <c r="J519" s="1">
        <v>137500</v>
      </c>
      <c r="K519" s="2">
        <v>41977</v>
      </c>
      <c r="L519" s="1">
        <v>90</v>
      </c>
      <c r="M519" s="2">
        <v>42066</v>
      </c>
      <c r="N519" s="1">
        <v>90</v>
      </c>
      <c r="O519" s="2">
        <v>42066</v>
      </c>
      <c r="P519" s="1">
        <v>8055</v>
      </c>
      <c r="Q519" s="1" t="s">
        <v>197</v>
      </c>
      <c r="R519" s="2">
        <v>42114</v>
      </c>
      <c r="S519" s="1">
        <v>28937</v>
      </c>
      <c r="U519" s="1">
        <v>425</v>
      </c>
      <c r="V519" s="1" t="s">
        <v>5399</v>
      </c>
      <c r="W519" s="1" t="s">
        <v>304</v>
      </c>
      <c r="Y519" s="1">
        <v>4</v>
      </c>
      <c r="Z519" s="1" t="s">
        <v>249</v>
      </c>
      <c r="AA519" s="1" t="s">
        <v>505</v>
      </c>
      <c r="AB519" s="1">
        <v>60061</v>
      </c>
      <c r="AD519" s="1" t="s">
        <v>4034</v>
      </c>
      <c r="AE519" s="1" t="s">
        <v>6647</v>
      </c>
      <c r="AF519" s="1">
        <v>1978</v>
      </c>
      <c r="AG519" s="1" t="s">
        <v>204</v>
      </c>
      <c r="AH519" s="1" t="s">
        <v>508</v>
      </c>
      <c r="AI519" s="1" t="s">
        <v>509</v>
      </c>
      <c r="AJ519" s="1" t="s">
        <v>1693</v>
      </c>
      <c r="AK519" s="1" t="s">
        <v>2247</v>
      </c>
      <c r="AL519" s="1">
        <v>5</v>
      </c>
      <c r="AM519" s="1">
        <v>2</v>
      </c>
      <c r="AN519" s="1">
        <v>1</v>
      </c>
      <c r="AO519" s="1">
        <v>1</v>
      </c>
      <c r="AP519" s="1" t="s">
        <v>210</v>
      </c>
      <c r="AR519" s="1" t="s">
        <v>210</v>
      </c>
      <c r="AT519" s="1" t="s">
        <v>211</v>
      </c>
      <c r="AU519" s="1">
        <v>1</v>
      </c>
      <c r="AW519" s="1" t="s">
        <v>204</v>
      </c>
      <c r="AX519" s="1" t="s">
        <v>212</v>
      </c>
      <c r="AZ519" s="1">
        <v>3153</v>
      </c>
      <c r="BA519" s="1">
        <v>2013</v>
      </c>
      <c r="BB519" s="1" t="s">
        <v>405</v>
      </c>
      <c r="BE519" s="1">
        <v>1025</v>
      </c>
      <c r="BF519" s="1">
        <v>1</v>
      </c>
      <c r="BG519" s="1">
        <v>30</v>
      </c>
      <c r="BL519" s="1">
        <v>173</v>
      </c>
      <c r="BM519" s="1" t="s">
        <v>413</v>
      </c>
      <c r="BN519" s="1" t="s">
        <v>213</v>
      </c>
      <c r="BO519" s="1">
        <v>0</v>
      </c>
      <c r="BP519" s="1" t="s">
        <v>204</v>
      </c>
      <c r="BR519" s="1" t="str">
        <f>"11323080040000"</f>
        <v>11323080040000</v>
      </c>
      <c r="BT519" s="1" t="s">
        <v>6648</v>
      </c>
      <c r="BX519" s="1">
        <v>73</v>
      </c>
      <c r="BY519" s="1">
        <v>73</v>
      </c>
      <c r="BZ519" s="1">
        <v>128</v>
      </c>
      <c r="CB519" s="1" t="str">
        <f t="shared" ref="CB519:CC519" si="406">""</f>
        <v/>
      </c>
      <c r="CC519" s="1" t="str">
        <f t="shared" si="406"/>
        <v/>
      </c>
      <c r="CG519" s="1" t="s">
        <v>931</v>
      </c>
      <c r="CH519" s="1" t="s">
        <v>219</v>
      </c>
      <c r="CI519" s="1" t="s">
        <v>229</v>
      </c>
      <c r="CK519" s="1" t="s">
        <v>278</v>
      </c>
      <c r="CL519" s="1" t="s">
        <v>277</v>
      </c>
      <c r="CM519" s="1" t="s">
        <v>220</v>
      </c>
      <c r="CP519" s="1" t="s">
        <v>224</v>
      </c>
      <c r="CS519" s="1" t="s">
        <v>346</v>
      </c>
      <c r="CT519" s="1" t="s">
        <v>277</v>
      </c>
      <c r="CU519" s="1" t="s">
        <v>220</v>
      </c>
      <c r="CX519" s="1" t="s">
        <v>224</v>
      </c>
      <c r="DB519" s="1" t="s">
        <v>224</v>
      </c>
      <c r="DE519" s="1" t="s">
        <v>1133</v>
      </c>
      <c r="DF519" s="1" t="s">
        <v>219</v>
      </c>
      <c r="DG519" s="1" t="s">
        <v>347</v>
      </c>
      <c r="DJ519" s="1" t="s">
        <v>224</v>
      </c>
      <c r="DM519" s="1" t="s">
        <v>381</v>
      </c>
      <c r="DR519" s="1" t="s">
        <v>785</v>
      </c>
      <c r="DS519" s="1" t="s">
        <v>219</v>
      </c>
      <c r="DW519" s="1" t="s">
        <v>230</v>
      </c>
      <c r="EA519" s="1" t="s">
        <v>230</v>
      </c>
      <c r="EE519" s="1" t="s">
        <v>230</v>
      </c>
      <c r="EI519" s="1" t="s">
        <v>230</v>
      </c>
      <c r="EL519" s="1" t="s">
        <v>231</v>
      </c>
      <c r="EM519" s="1" t="s">
        <v>319</v>
      </c>
      <c r="EN519" s="1" t="s">
        <v>282</v>
      </c>
      <c r="EO519" s="1" t="s">
        <v>234</v>
      </c>
      <c r="EP519" s="1" t="s">
        <v>6649</v>
      </c>
      <c r="EQ519" s="1" t="s">
        <v>2188</v>
      </c>
      <c r="ER519" s="1" t="s">
        <v>210</v>
      </c>
      <c r="ES519" s="1" t="s">
        <v>545</v>
      </c>
      <c r="EW519" s="1" t="s">
        <v>991</v>
      </c>
      <c r="EZ519" s="1" t="s">
        <v>381</v>
      </c>
      <c r="FA519" s="1" t="s">
        <v>6559</v>
      </c>
      <c r="FB519" s="1" t="s">
        <v>289</v>
      </c>
      <c r="FD519" s="1" t="s">
        <v>246</v>
      </c>
      <c r="FE519" s="1" t="s">
        <v>1031</v>
      </c>
      <c r="FF519" s="1" t="s">
        <v>248</v>
      </c>
      <c r="FH519" s="1" t="s">
        <v>940</v>
      </c>
      <c r="FJ519" s="1" t="s">
        <v>518</v>
      </c>
      <c r="FL519" s="1" t="s">
        <v>358</v>
      </c>
      <c r="FM519" s="1" t="s">
        <v>252</v>
      </c>
      <c r="FN519" s="1" t="s">
        <v>213</v>
      </c>
      <c r="FO519" s="1" t="s">
        <v>213</v>
      </c>
      <c r="FQ519" s="1" t="s">
        <v>5060</v>
      </c>
      <c r="FR519" s="1" t="s">
        <v>210</v>
      </c>
      <c r="FS519" s="1" t="s">
        <v>6650</v>
      </c>
      <c r="FT519" s="1" t="s">
        <v>6651</v>
      </c>
      <c r="FU519" s="1" t="s">
        <v>204</v>
      </c>
      <c r="FW519" s="1" t="s">
        <v>1275</v>
      </c>
      <c r="FX519" s="1">
        <v>2700</v>
      </c>
      <c r="FY519" s="1" t="s">
        <v>1276</v>
      </c>
      <c r="FZ519" s="1" t="s">
        <v>6652</v>
      </c>
      <c r="GA519" s="1">
        <v>12114</v>
      </c>
      <c r="GB519" s="1" t="s">
        <v>6653</v>
      </c>
      <c r="GE519" s="1" t="s">
        <v>1256</v>
      </c>
      <c r="GI519" s="1" t="s">
        <v>213</v>
      </c>
      <c r="GJ519" s="1" t="s">
        <v>260</v>
      </c>
      <c r="GK519" s="1" t="s">
        <v>210</v>
      </c>
      <c r="GL519" s="2">
        <v>42115</v>
      </c>
      <c r="GM519" s="1" t="s">
        <v>6654</v>
      </c>
    </row>
    <row r="520" spans="1:195">
      <c r="A520" s="1">
        <v>66000</v>
      </c>
      <c r="B520" s="1" t="s">
        <v>195</v>
      </c>
      <c r="C520" s="1" t="str">
        <f>"08797248"</f>
        <v>08797248</v>
      </c>
      <c r="D520" s="1" t="s">
        <v>196</v>
      </c>
      <c r="F520" s="1" t="str">
        <f>"517"</f>
        <v>517</v>
      </c>
      <c r="G520" s="2">
        <v>41977</v>
      </c>
      <c r="H520" s="1">
        <v>64900</v>
      </c>
      <c r="I520" s="1">
        <v>64900</v>
      </c>
      <c r="J520" s="1">
        <v>66000</v>
      </c>
      <c r="K520" s="2">
        <v>41977</v>
      </c>
      <c r="L520" s="1">
        <v>613</v>
      </c>
      <c r="M520" s="2">
        <v>41982</v>
      </c>
      <c r="N520" s="1">
        <v>6</v>
      </c>
      <c r="O520" s="2">
        <v>41982</v>
      </c>
      <c r="P520" s="1">
        <v>22194</v>
      </c>
      <c r="Q520" s="1" t="s">
        <v>302</v>
      </c>
      <c r="R520" s="2">
        <v>42013</v>
      </c>
      <c r="S520" s="1">
        <v>214552</v>
      </c>
      <c r="U520" s="1">
        <v>2509</v>
      </c>
      <c r="V520" s="1" t="s">
        <v>3308</v>
      </c>
      <c r="W520" s="1" t="s">
        <v>725</v>
      </c>
      <c r="X520" s="1">
        <v>3204</v>
      </c>
      <c r="Y520" s="1">
        <v>6</v>
      </c>
      <c r="Z520" s="1" t="s">
        <v>249</v>
      </c>
      <c r="AA520" s="1" t="s">
        <v>2850</v>
      </c>
      <c r="AB520" s="1">
        <v>60517</v>
      </c>
      <c r="AE520" s="1" t="s">
        <v>6655</v>
      </c>
      <c r="AF520" s="1">
        <v>1979</v>
      </c>
      <c r="AG520" s="1" t="s">
        <v>204</v>
      </c>
      <c r="AH520" s="1" t="s">
        <v>2853</v>
      </c>
      <c r="AI520" s="1" t="s">
        <v>206</v>
      </c>
      <c r="AJ520" s="1" t="s">
        <v>903</v>
      </c>
      <c r="AL520" s="1">
        <v>5</v>
      </c>
      <c r="AM520" s="1">
        <v>2</v>
      </c>
      <c r="AN520" s="1">
        <v>1</v>
      </c>
      <c r="AO520" s="1">
        <v>0</v>
      </c>
      <c r="AP520" s="1" t="s">
        <v>210</v>
      </c>
      <c r="AQ520" s="1">
        <v>0</v>
      </c>
      <c r="AR520" s="1" t="s">
        <v>210</v>
      </c>
      <c r="AS520" s="1" t="s">
        <v>204</v>
      </c>
      <c r="AT520" s="1" t="s">
        <v>271</v>
      </c>
      <c r="AV520" s="1">
        <v>2</v>
      </c>
      <c r="AW520" s="1" t="s">
        <v>213</v>
      </c>
      <c r="AX520" s="1" t="s">
        <v>212</v>
      </c>
      <c r="AZ520" s="1">
        <v>1211.68</v>
      </c>
      <c r="BA520" s="1">
        <v>2013</v>
      </c>
      <c r="BB520" s="1" t="s">
        <v>405</v>
      </c>
      <c r="BE520" s="1">
        <v>900</v>
      </c>
      <c r="BF520" s="1">
        <v>2</v>
      </c>
      <c r="BG520" s="1">
        <v>30</v>
      </c>
      <c r="BL520" s="1">
        <v>323</v>
      </c>
      <c r="BM520" s="1" t="s">
        <v>204</v>
      </c>
      <c r="BN520" s="1" t="s">
        <v>213</v>
      </c>
      <c r="BP520" s="1" t="s">
        <v>204</v>
      </c>
      <c r="BR520" s="1" t="str">
        <f>"0836109052"</f>
        <v>0836109052</v>
      </c>
      <c r="BT520" s="1" t="s">
        <v>6656</v>
      </c>
      <c r="BX520" s="1">
        <v>68</v>
      </c>
      <c r="BY520" s="1">
        <v>68</v>
      </c>
      <c r="BZ520" s="1">
        <v>99</v>
      </c>
      <c r="CB520" s="1" t="str">
        <f t="shared" ref="CB520:CC520" si="407">"0"</f>
        <v>0</v>
      </c>
      <c r="CC520" s="1" t="str">
        <f t="shared" si="407"/>
        <v>0</v>
      </c>
      <c r="CD520" s="1">
        <v>22</v>
      </c>
      <c r="CE520" s="1">
        <v>9</v>
      </c>
      <c r="CG520" s="1" t="s">
        <v>437</v>
      </c>
      <c r="CH520" s="1" t="s">
        <v>277</v>
      </c>
      <c r="CI520" s="1" t="s">
        <v>220</v>
      </c>
      <c r="CK520" s="1" t="s">
        <v>437</v>
      </c>
      <c r="CL520" s="1" t="s">
        <v>277</v>
      </c>
      <c r="CM520" s="1" t="s">
        <v>220</v>
      </c>
      <c r="CN520" s="1" t="s">
        <v>210</v>
      </c>
      <c r="CO520" s="1" t="s">
        <v>1534</v>
      </c>
      <c r="CP520" s="1" t="s">
        <v>277</v>
      </c>
      <c r="CQ520" s="1" t="s">
        <v>220</v>
      </c>
      <c r="CR520" s="1" t="s">
        <v>210</v>
      </c>
      <c r="CS520" s="1" t="s">
        <v>346</v>
      </c>
      <c r="CT520" s="1" t="s">
        <v>277</v>
      </c>
      <c r="CU520" s="1" t="s">
        <v>220</v>
      </c>
      <c r="CV520" s="1" t="s">
        <v>210</v>
      </c>
      <c r="CX520" s="1" t="s">
        <v>224</v>
      </c>
      <c r="DB520" s="1" t="s">
        <v>224</v>
      </c>
      <c r="DE520" s="1" t="s">
        <v>378</v>
      </c>
      <c r="DF520" s="1" t="s">
        <v>277</v>
      </c>
      <c r="DG520" s="1" t="s">
        <v>226</v>
      </c>
      <c r="DJ520" s="1" t="s">
        <v>224</v>
      </c>
      <c r="DS520" s="1" t="s">
        <v>230</v>
      </c>
      <c r="DW520" s="1" t="s">
        <v>230</v>
      </c>
      <c r="EA520" s="1" t="s">
        <v>230</v>
      </c>
      <c r="EE520" s="1" t="s">
        <v>230</v>
      </c>
      <c r="EI520" s="1" t="s">
        <v>230</v>
      </c>
      <c r="EL520" s="1" t="s">
        <v>231</v>
      </c>
      <c r="EM520" s="1" t="s">
        <v>232</v>
      </c>
      <c r="EN520" s="1" t="s">
        <v>1158</v>
      </c>
      <c r="EO520" s="1" t="s">
        <v>234</v>
      </c>
      <c r="EP520" s="1" t="s">
        <v>6657</v>
      </c>
      <c r="EQ520" s="1" t="s">
        <v>350</v>
      </c>
      <c r="ER520" s="1" t="s">
        <v>210</v>
      </c>
      <c r="ES520" s="1" t="s">
        <v>322</v>
      </c>
      <c r="EU520" s="1" t="s">
        <v>1314</v>
      </c>
      <c r="EW520" s="1" t="s">
        <v>6658</v>
      </c>
      <c r="EY520" s="1" t="s">
        <v>242</v>
      </c>
      <c r="EZ520" s="1" t="s">
        <v>287</v>
      </c>
      <c r="FB520" s="1" t="s">
        <v>244</v>
      </c>
      <c r="FC520" s="1" t="s">
        <v>633</v>
      </c>
      <c r="FD520" s="1" t="s">
        <v>736</v>
      </c>
      <c r="FE520" s="1" t="s">
        <v>247</v>
      </c>
      <c r="FF520" s="1" t="s">
        <v>248</v>
      </c>
      <c r="FH520" s="1" t="s">
        <v>716</v>
      </c>
      <c r="FL520" s="1" t="s">
        <v>6659</v>
      </c>
      <c r="FM520" s="1" t="s">
        <v>252</v>
      </c>
      <c r="FN520" s="1" t="s">
        <v>213</v>
      </c>
      <c r="FO520" s="1" t="s">
        <v>213</v>
      </c>
      <c r="FQ520" s="1" t="s">
        <v>6660</v>
      </c>
      <c r="FR520" s="1" t="s">
        <v>210</v>
      </c>
      <c r="FS520" s="1" t="s">
        <v>6661</v>
      </c>
      <c r="FT520" s="1" t="s">
        <v>295</v>
      </c>
      <c r="FU520" s="1" t="s">
        <v>213</v>
      </c>
      <c r="FW520" s="1" t="s">
        <v>738</v>
      </c>
      <c r="FX520" s="1">
        <v>8758</v>
      </c>
      <c r="FY520" s="1" t="s">
        <v>739</v>
      </c>
      <c r="FZ520" s="1" t="s">
        <v>740</v>
      </c>
      <c r="GA520" s="1">
        <v>29594</v>
      </c>
      <c r="GB520" s="1" t="s">
        <v>741</v>
      </c>
      <c r="GE520" s="1" t="s">
        <v>210</v>
      </c>
      <c r="GI520" s="1" t="s">
        <v>213</v>
      </c>
      <c r="GJ520" s="1" t="s">
        <v>260</v>
      </c>
      <c r="GK520" s="1" t="s">
        <v>210</v>
      </c>
      <c r="GL520" s="2">
        <v>42034</v>
      </c>
      <c r="GM520" s="1" t="s">
        <v>6662</v>
      </c>
    </row>
    <row r="521" spans="1:195">
      <c r="A521" s="1">
        <v>170000</v>
      </c>
      <c r="B521" s="1" t="s">
        <v>195</v>
      </c>
      <c r="C521" s="1" t="str">
        <f>"08797959"</f>
        <v>08797959</v>
      </c>
      <c r="D521" s="1" t="s">
        <v>196</v>
      </c>
      <c r="F521" s="1" t="str">
        <f>"10"</f>
        <v>10</v>
      </c>
      <c r="G521" s="2">
        <v>41979</v>
      </c>
      <c r="H521" s="1">
        <v>174900</v>
      </c>
      <c r="I521" s="1">
        <v>174900</v>
      </c>
      <c r="J521" s="1">
        <v>170000</v>
      </c>
      <c r="K521" s="2">
        <v>41979</v>
      </c>
      <c r="L521" s="1">
        <v>131</v>
      </c>
      <c r="M521" s="2">
        <v>42030</v>
      </c>
      <c r="N521" s="1">
        <v>52</v>
      </c>
      <c r="O521" s="2">
        <v>42030</v>
      </c>
      <c r="P521" s="1">
        <v>8081</v>
      </c>
      <c r="Q521" s="1" t="s">
        <v>302</v>
      </c>
      <c r="R521" s="2">
        <v>42062</v>
      </c>
      <c r="S521" s="1">
        <v>242671</v>
      </c>
      <c r="U521" s="1">
        <v>944</v>
      </c>
      <c r="V521" s="1" t="s">
        <v>6421</v>
      </c>
      <c r="W521" s="1" t="s">
        <v>1056</v>
      </c>
      <c r="X521" s="1" t="s">
        <v>1688</v>
      </c>
      <c r="Y521" s="1">
        <v>4</v>
      </c>
      <c r="Z521" s="1" t="s">
        <v>370</v>
      </c>
      <c r="AA521" s="1" t="s">
        <v>1985</v>
      </c>
      <c r="AB521" s="1">
        <v>60010</v>
      </c>
      <c r="AD521" s="1" t="s">
        <v>1986</v>
      </c>
      <c r="AE521" s="1" t="s">
        <v>6663</v>
      </c>
      <c r="AF521" s="1">
        <v>1984</v>
      </c>
      <c r="AG521" s="1" t="s">
        <v>204</v>
      </c>
      <c r="AH521" s="1" t="s">
        <v>1988</v>
      </c>
      <c r="AI521" s="1" t="s">
        <v>509</v>
      </c>
      <c r="AJ521" s="1" t="s">
        <v>1989</v>
      </c>
      <c r="AL521" s="1">
        <v>6</v>
      </c>
      <c r="AM521" s="1">
        <v>2</v>
      </c>
      <c r="AN521" s="1">
        <v>2</v>
      </c>
      <c r="AO521" s="1">
        <v>0</v>
      </c>
      <c r="AP521" s="1" t="s">
        <v>209</v>
      </c>
      <c r="AQ521" s="1">
        <v>1</v>
      </c>
      <c r="AR521" s="1" t="s">
        <v>210</v>
      </c>
      <c r="AS521" s="1" t="s">
        <v>204</v>
      </c>
      <c r="AT521" s="1" t="s">
        <v>211</v>
      </c>
      <c r="AU521" s="1">
        <v>1</v>
      </c>
      <c r="AW521" s="1" t="s">
        <v>204</v>
      </c>
      <c r="AX521" s="1" t="s">
        <v>6664</v>
      </c>
      <c r="AZ521" s="1">
        <v>2977.14</v>
      </c>
      <c r="BA521" s="1">
        <v>2012</v>
      </c>
      <c r="BB521" s="1" t="s">
        <v>210</v>
      </c>
      <c r="BE521" s="1">
        <v>0</v>
      </c>
      <c r="BF521" s="1">
        <v>2</v>
      </c>
      <c r="BG521" s="1">
        <v>0</v>
      </c>
      <c r="BL521" s="1">
        <v>402</v>
      </c>
      <c r="BM521" s="1" t="s">
        <v>204</v>
      </c>
      <c r="BN521" s="1" t="s">
        <v>213</v>
      </c>
      <c r="BO521" s="1">
        <v>25</v>
      </c>
      <c r="BP521" s="1" t="s">
        <v>204</v>
      </c>
      <c r="BR521" s="1" t="str">
        <f>"13113003980000"</f>
        <v>13113003980000</v>
      </c>
      <c r="BT521" s="1" t="s">
        <v>6665</v>
      </c>
      <c r="BU521" s="1" t="s">
        <v>1992</v>
      </c>
      <c r="BV521" s="1" t="s">
        <v>1993</v>
      </c>
      <c r="BW521" s="1" t="s">
        <v>1994</v>
      </c>
      <c r="BX521" s="1">
        <v>220</v>
      </c>
      <c r="BY521" s="1">
        <v>220</v>
      </c>
      <c r="BZ521" s="1">
        <v>220</v>
      </c>
      <c r="CB521" s="1" t="str">
        <f>"24"</f>
        <v>24</v>
      </c>
      <c r="CC521" s="1" t="str">
        <f t="shared" ref="CC521:CC522" si="408">"0"</f>
        <v>0</v>
      </c>
      <c r="CD521" s="1">
        <v>26</v>
      </c>
      <c r="CE521" s="1">
        <v>0</v>
      </c>
      <c r="CG521" s="1" t="s">
        <v>218</v>
      </c>
      <c r="CH521" s="1" t="s">
        <v>277</v>
      </c>
      <c r="CI521" s="1" t="s">
        <v>220</v>
      </c>
      <c r="CK521" s="1" t="s">
        <v>344</v>
      </c>
      <c r="CL521" s="1" t="s">
        <v>277</v>
      </c>
      <c r="CM521" s="1" t="s">
        <v>220</v>
      </c>
      <c r="CO521" s="1" t="s">
        <v>951</v>
      </c>
      <c r="CP521" s="1" t="s">
        <v>277</v>
      </c>
      <c r="CQ521" s="1" t="s">
        <v>220</v>
      </c>
      <c r="CS521" s="1" t="s">
        <v>346</v>
      </c>
      <c r="CT521" s="1" t="s">
        <v>277</v>
      </c>
      <c r="CX521" s="1" t="s">
        <v>224</v>
      </c>
      <c r="DB521" s="1" t="s">
        <v>224</v>
      </c>
      <c r="DE521" s="1" t="s">
        <v>318</v>
      </c>
      <c r="DF521" s="1" t="s">
        <v>277</v>
      </c>
      <c r="DG521" s="1" t="s">
        <v>226</v>
      </c>
      <c r="DJ521" s="1" t="s">
        <v>224</v>
      </c>
      <c r="DM521" s="1" t="s">
        <v>1005</v>
      </c>
      <c r="DR521" s="1" t="s">
        <v>281</v>
      </c>
      <c r="DS521" s="1" t="s">
        <v>277</v>
      </c>
      <c r="DT521" s="1" t="s">
        <v>1236</v>
      </c>
      <c r="DW521" s="1" t="s">
        <v>230</v>
      </c>
      <c r="EA521" s="1" t="s">
        <v>230</v>
      </c>
      <c r="EE521" s="1" t="s">
        <v>230</v>
      </c>
      <c r="EI521" s="1" t="s">
        <v>230</v>
      </c>
      <c r="EL521" s="1" t="s">
        <v>231</v>
      </c>
      <c r="EM521" s="1" t="s">
        <v>232</v>
      </c>
      <c r="EN521" s="1" t="s">
        <v>282</v>
      </c>
      <c r="EO521" s="1" t="s">
        <v>234</v>
      </c>
      <c r="EP521" s="1" t="s">
        <v>6666</v>
      </c>
      <c r="EQ521" s="1" t="s">
        <v>1109</v>
      </c>
      <c r="ER521" s="1" t="s">
        <v>210</v>
      </c>
      <c r="ES521" s="1" t="s">
        <v>954</v>
      </c>
      <c r="ET521" s="1" t="s">
        <v>5270</v>
      </c>
      <c r="EV521" s="1" t="s">
        <v>240</v>
      </c>
      <c r="EW521" s="1" t="s">
        <v>6667</v>
      </c>
      <c r="EZ521" s="1" t="s">
        <v>1005</v>
      </c>
      <c r="FB521" s="1" t="s">
        <v>244</v>
      </c>
      <c r="FC521" s="1" t="s">
        <v>1386</v>
      </c>
      <c r="FD521" s="1" t="s">
        <v>246</v>
      </c>
      <c r="FE521" s="1" t="s">
        <v>889</v>
      </c>
      <c r="FF521" s="1" t="s">
        <v>387</v>
      </c>
      <c r="FG521" s="1" t="s">
        <v>2406</v>
      </c>
      <c r="FH521" s="1" t="s">
        <v>249</v>
      </c>
      <c r="FL521" s="1" t="s">
        <v>3483</v>
      </c>
      <c r="FM521" s="1" t="s">
        <v>252</v>
      </c>
      <c r="FN521" s="1" t="s">
        <v>213</v>
      </c>
      <c r="FO521" s="1" t="s">
        <v>213</v>
      </c>
      <c r="FQ521" s="1" t="s">
        <v>6668</v>
      </c>
      <c r="FR521" s="1" t="s">
        <v>210</v>
      </c>
      <c r="FS521" s="1" t="s">
        <v>6669</v>
      </c>
      <c r="FT521" s="1" t="s">
        <v>295</v>
      </c>
      <c r="FU521" s="1" t="s">
        <v>204</v>
      </c>
      <c r="FW521" s="1" t="s">
        <v>5979</v>
      </c>
      <c r="FX521" s="1">
        <v>8340</v>
      </c>
      <c r="FY521" s="1" t="s">
        <v>5980</v>
      </c>
      <c r="FZ521" s="1" t="s">
        <v>6670</v>
      </c>
      <c r="GA521" s="1">
        <v>80589</v>
      </c>
      <c r="GB521" s="1" t="s">
        <v>6671</v>
      </c>
      <c r="GE521" s="1" t="s">
        <v>210</v>
      </c>
      <c r="GH521" s="1" t="s">
        <v>589</v>
      </c>
      <c r="GI521" s="1" t="s">
        <v>213</v>
      </c>
      <c r="GJ521" s="1" t="s">
        <v>260</v>
      </c>
      <c r="GK521" s="1" t="s">
        <v>210</v>
      </c>
      <c r="GL521" s="2">
        <v>42063</v>
      </c>
      <c r="GM521" s="1" t="s">
        <v>6672</v>
      </c>
    </row>
    <row r="522" spans="1:195">
      <c r="A522" s="1">
        <v>215000</v>
      </c>
      <c r="B522" s="1" t="s">
        <v>195</v>
      </c>
      <c r="C522" s="1" t="str">
        <f>"08797606"</f>
        <v>08797606</v>
      </c>
      <c r="D522" s="1" t="s">
        <v>196</v>
      </c>
      <c r="F522" s="1" t="str">
        <f>"48"</f>
        <v>48</v>
      </c>
      <c r="G522" s="2">
        <v>41978</v>
      </c>
      <c r="H522" s="1">
        <v>215000</v>
      </c>
      <c r="I522" s="1">
        <v>215000</v>
      </c>
      <c r="J522" s="1">
        <v>215000</v>
      </c>
      <c r="K522" s="2">
        <v>41978</v>
      </c>
      <c r="L522" s="1">
        <v>3</v>
      </c>
      <c r="M522" s="2">
        <v>41980</v>
      </c>
      <c r="N522" s="1">
        <v>3</v>
      </c>
      <c r="O522" s="2">
        <v>41980</v>
      </c>
      <c r="P522" s="1">
        <v>2415</v>
      </c>
      <c r="Q522" s="1" t="s">
        <v>197</v>
      </c>
      <c r="R522" s="2">
        <v>42019</v>
      </c>
      <c r="S522" s="1">
        <v>242651</v>
      </c>
      <c r="U522" s="1">
        <v>1479</v>
      </c>
      <c r="V522" s="1" t="s">
        <v>6673</v>
      </c>
      <c r="W522" s="1" t="s">
        <v>425</v>
      </c>
      <c r="X522" s="1">
        <v>105</v>
      </c>
      <c r="Y522" s="1">
        <v>51</v>
      </c>
      <c r="Z522" s="1" t="s">
        <v>249</v>
      </c>
      <c r="AA522" s="1" t="s">
        <v>6674</v>
      </c>
      <c r="AB522" s="1">
        <v>60048</v>
      </c>
      <c r="AD522" s="1" t="s">
        <v>6675</v>
      </c>
      <c r="AE522" s="1" t="s">
        <v>6676</v>
      </c>
      <c r="AF522" s="1">
        <v>2005</v>
      </c>
      <c r="AG522" s="1" t="s">
        <v>204</v>
      </c>
      <c r="AH522" s="1" t="s">
        <v>1693</v>
      </c>
      <c r="AI522" s="1" t="s">
        <v>509</v>
      </c>
      <c r="AJ522" s="1" t="s">
        <v>1693</v>
      </c>
      <c r="AK522" s="1" t="s">
        <v>6677</v>
      </c>
      <c r="AL522" s="1">
        <v>5</v>
      </c>
      <c r="AM522" s="1">
        <v>2</v>
      </c>
      <c r="AN522" s="1">
        <v>2</v>
      </c>
      <c r="AO522" s="1">
        <v>0</v>
      </c>
      <c r="AP522" s="1" t="s">
        <v>209</v>
      </c>
      <c r="AR522" s="1" t="s">
        <v>210</v>
      </c>
      <c r="AS522" s="1" t="s">
        <v>204</v>
      </c>
      <c r="AT522" s="1" t="s">
        <v>211</v>
      </c>
      <c r="AU522" s="1">
        <v>1</v>
      </c>
      <c r="AW522" s="1" t="s">
        <v>204</v>
      </c>
      <c r="AX522" s="1" t="s">
        <v>1528</v>
      </c>
      <c r="AZ522" s="1">
        <v>4903.03</v>
      </c>
      <c r="BA522" s="1">
        <v>2012</v>
      </c>
      <c r="BE522" s="1">
        <v>1356</v>
      </c>
      <c r="BF522" s="1">
        <v>1</v>
      </c>
      <c r="BG522" s="1">
        <v>0</v>
      </c>
      <c r="BL522" s="1">
        <v>310</v>
      </c>
      <c r="BM522" s="1" t="s">
        <v>204</v>
      </c>
      <c r="BN522" s="1" t="s">
        <v>213</v>
      </c>
      <c r="BO522" s="1">
        <v>25</v>
      </c>
      <c r="BP522" s="1" t="s">
        <v>204</v>
      </c>
      <c r="BR522" s="1" t="str">
        <f>"11093001750000"</f>
        <v>11093001750000</v>
      </c>
      <c r="BT522" s="1" t="s">
        <v>6678</v>
      </c>
      <c r="BU522" s="1" t="s">
        <v>6679</v>
      </c>
      <c r="BV522" s="1" t="s">
        <v>6680</v>
      </c>
      <c r="BW522" s="1" t="s">
        <v>1696</v>
      </c>
      <c r="BX522" s="1">
        <v>70</v>
      </c>
      <c r="BY522" s="1">
        <v>70</v>
      </c>
      <c r="BZ522" s="1">
        <v>128</v>
      </c>
      <c r="CB522" s="1" t="str">
        <f>"30"</f>
        <v>30</v>
      </c>
      <c r="CC522" s="1" t="str">
        <f t="shared" si="408"/>
        <v>0</v>
      </c>
      <c r="CD522" s="1">
        <v>16</v>
      </c>
      <c r="CE522" s="1">
        <v>0</v>
      </c>
      <c r="CG522" s="1" t="s">
        <v>1737</v>
      </c>
      <c r="CH522" s="1" t="s">
        <v>219</v>
      </c>
      <c r="CI522" s="1" t="s">
        <v>220</v>
      </c>
      <c r="CJ522" s="1" t="s">
        <v>210</v>
      </c>
      <c r="CK522" s="1" t="s">
        <v>315</v>
      </c>
      <c r="CL522" s="1" t="s">
        <v>219</v>
      </c>
      <c r="CM522" s="1" t="s">
        <v>220</v>
      </c>
      <c r="CO522" s="1" t="s">
        <v>465</v>
      </c>
      <c r="CP522" s="1" t="s">
        <v>219</v>
      </c>
      <c r="CQ522" s="1" t="s">
        <v>220</v>
      </c>
      <c r="CR522" s="1" t="s">
        <v>210</v>
      </c>
      <c r="CS522" s="1" t="s">
        <v>1046</v>
      </c>
      <c r="CT522" s="1" t="s">
        <v>219</v>
      </c>
      <c r="CU522" s="1" t="s">
        <v>220</v>
      </c>
      <c r="CX522" s="1" t="s">
        <v>224</v>
      </c>
      <c r="DB522" s="1" t="s">
        <v>224</v>
      </c>
      <c r="DE522" s="1" t="s">
        <v>223</v>
      </c>
      <c r="DF522" s="1" t="s">
        <v>219</v>
      </c>
      <c r="DG522" s="1" t="s">
        <v>226</v>
      </c>
      <c r="DH522" s="1" t="s">
        <v>210</v>
      </c>
      <c r="DJ522" s="1" t="s">
        <v>224</v>
      </c>
      <c r="DS522" s="1" t="s">
        <v>230</v>
      </c>
      <c r="DW522" s="1" t="s">
        <v>230</v>
      </c>
      <c r="EA522" s="1" t="s">
        <v>230</v>
      </c>
      <c r="EE522" s="1" t="s">
        <v>230</v>
      </c>
      <c r="EI522" s="1" t="s">
        <v>230</v>
      </c>
      <c r="EL522" s="1" t="s">
        <v>491</v>
      </c>
      <c r="EM522" s="1" t="s">
        <v>232</v>
      </c>
      <c r="EN522" s="1" t="s">
        <v>282</v>
      </c>
      <c r="EO522" s="1" t="s">
        <v>234</v>
      </c>
      <c r="EP522" s="1" t="s">
        <v>6681</v>
      </c>
      <c r="EQ522" s="1" t="s">
        <v>953</v>
      </c>
      <c r="ER522" s="1" t="s">
        <v>210</v>
      </c>
      <c r="ES522" s="1" t="s">
        <v>322</v>
      </c>
      <c r="EU522" s="1" t="s">
        <v>239</v>
      </c>
      <c r="EV522" s="1" t="s">
        <v>240</v>
      </c>
      <c r="EW522" s="1" t="s">
        <v>733</v>
      </c>
      <c r="EY522" s="1" t="s">
        <v>242</v>
      </c>
      <c r="EZ522" s="1" t="s">
        <v>287</v>
      </c>
      <c r="FA522" s="1" t="s">
        <v>6682</v>
      </c>
      <c r="FB522" s="1" t="s">
        <v>734</v>
      </c>
      <c r="FD522" s="1" t="s">
        <v>290</v>
      </c>
      <c r="FE522" s="1" t="s">
        <v>247</v>
      </c>
      <c r="FF522" s="1" t="s">
        <v>248</v>
      </c>
      <c r="FH522" s="1" t="s">
        <v>249</v>
      </c>
      <c r="FI522" s="1" t="s">
        <v>4004</v>
      </c>
      <c r="FJ522" s="1" t="s">
        <v>518</v>
      </c>
      <c r="FL522" s="1" t="s">
        <v>1907</v>
      </c>
      <c r="FM522" s="1" t="s">
        <v>252</v>
      </c>
      <c r="FN522" s="1" t="s">
        <v>213</v>
      </c>
      <c r="FO522" s="1" t="s">
        <v>213</v>
      </c>
      <c r="FQ522" s="1" t="s">
        <v>793</v>
      </c>
      <c r="FR522" s="1" t="s">
        <v>210</v>
      </c>
      <c r="FS522" s="1" t="s">
        <v>6683</v>
      </c>
      <c r="FT522" s="1" t="s">
        <v>1182</v>
      </c>
      <c r="FU522" s="1" t="s">
        <v>204</v>
      </c>
      <c r="FW522" s="1" t="s">
        <v>585</v>
      </c>
      <c r="FX522" s="1">
        <v>6026</v>
      </c>
      <c r="FY522" s="1" t="s">
        <v>1223</v>
      </c>
      <c r="FZ522" s="1" t="s">
        <v>6684</v>
      </c>
      <c r="GA522" s="1">
        <v>63316</v>
      </c>
      <c r="GB522" s="1" t="s">
        <v>6685</v>
      </c>
      <c r="GD522" s="1" t="s">
        <v>6686</v>
      </c>
      <c r="GE522" s="1" t="s">
        <v>1256</v>
      </c>
      <c r="GH522" s="1" t="s">
        <v>230</v>
      </c>
      <c r="GI522" s="1" t="s">
        <v>213</v>
      </c>
      <c r="GJ522" s="1" t="s">
        <v>260</v>
      </c>
      <c r="GK522" s="1" t="s">
        <v>210</v>
      </c>
      <c r="GL522" s="2">
        <v>42020</v>
      </c>
    </row>
    <row r="523" spans="1:195">
      <c r="A523" s="1">
        <v>105000</v>
      </c>
      <c r="B523" s="1" t="s">
        <v>195</v>
      </c>
      <c r="C523" s="1" t="str">
        <f>"08800288"</f>
        <v>08800288</v>
      </c>
      <c r="D523" s="1" t="s">
        <v>196</v>
      </c>
      <c r="F523" s="1" t="str">
        <f>"560"</f>
        <v>560</v>
      </c>
      <c r="G523" s="2">
        <v>41983</v>
      </c>
      <c r="H523" s="1">
        <v>118200</v>
      </c>
      <c r="I523" s="1">
        <v>106700</v>
      </c>
      <c r="J523" s="1">
        <v>105000</v>
      </c>
      <c r="K523" s="2">
        <v>41983</v>
      </c>
      <c r="L523" s="1">
        <v>98</v>
      </c>
      <c r="M523" s="2">
        <v>42080</v>
      </c>
      <c r="N523" s="1">
        <v>98</v>
      </c>
      <c r="O523" s="2">
        <v>42080</v>
      </c>
      <c r="P523" s="1">
        <v>306</v>
      </c>
      <c r="Q523" s="1" t="s">
        <v>423</v>
      </c>
      <c r="R523" s="2">
        <v>42137</v>
      </c>
      <c r="S523" s="1">
        <v>310444</v>
      </c>
      <c r="T523" s="1">
        <v>3150</v>
      </c>
      <c r="U523" s="1">
        <v>1507</v>
      </c>
      <c r="V523" s="1" t="s">
        <v>6687</v>
      </c>
      <c r="W523" s="1" t="s">
        <v>449</v>
      </c>
      <c r="Y523" s="1">
        <v>2</v>
      </c>
      <c r="Z523" s="1" t="s">
        <v>370</v>
      </c>
      <c r="AA523" s="1" t="s">
        <v>484</v>
      </c>
      <c r="AB523" s="1">
        <v>60560</v>
      </c>
      <c r="AE523" s="1" t="s">
        <v>6688</v>
      </c>
      <c r="AF523" s="1">
        <v>1995</v>
      </c>
      <c r="AG523" s="1" t="s">
        <v>204</v>
      </c>
      <c r="AH523" s="1" t="s">
        <v>487</v>
      </c>
      <c r="AI523" s="1" t="s">
        <v>453</v>
      </c>
      <c r="AJ523" s="1" t="s">
        <v>454</v>
      </c>
      <c r="AL523" s="1">
        <v>5</v>
      </c>
      <c r="AM523" s="1">
        <v>2</v>
      </c>
      <c r="AN523" s="1">
        <v>2</v>
      </c>
      <c r="AO523" s="1">
        <v>1</v>
      </c>
      <c r="AP523" s="1" t="s">
        <v>209</v>
      </c>
      <c r="AR523" s="1" t="s">
        <v>210</v>
      </c>
      <c r="AS523" s="1" t="s">
        <v>204</v>
      </c>
      <c r="AT523" s="1" t="s">
        <v>211</v>
      </c>
      <c r="AU523" s="1">
        <v>2</v>
      </c>
      <c r="AW523" s="1" t="s">
        <v>204</v>
      </c>
      <c r="AX523" s="1" t="s">
        <v>212</v>
      </c>
      <c r="AZ523" s="1">
        <v>2805.46</v>
      </c>
      <c r="BA523" s="1">
        <v>2013</v>
      </c>
      <c r="BB523" s="1" t="s">
        <v>405</v>
      </c>
      <c r="BE523" s="1">
        <v>1656</v>
      </c>
      <c r="BF523" s="1">
        <v>1</v>
      </c>
      <c r="BG523" s="1">
        <v>30</v>
      </c>
      <c r="BL523" s="1">
        <v>110</v>
      </c>
      <c r="BM523" s="1" t="s">
        <v>204</v>
      </c>
      <c r="BN523" s="1" t="s">
        <v>213</v>
      </c>
      <c r="BP523" s="1" t="s">
        <v>204</v>
      </c>
      <c r="BR523" s="1" t="str">
        <f>"0230201001"</f>
        <v>0230201001</v>
      </c>
      <c r="BX523" s="1">
        <v>115</v>
      </c>
      <c r="BY523" s="1">
        <v>115</v>
      </c>
      <c r="BZ523" s="1">
        <v>115</v>
      </c>
      <c r="CB523" s="1" t="str">
        <f t="shared" ref="CB523:CC523" si="409">""</f>
        <v/>
      </c>
      <c r="CC523" s="1" t="str">
        <f t="shared" si="409"/>
        <v/>
      </c>
      <c r="CG523" s="1" t="s">
        <v>729</v>
      </c>
      <c r="CH523" s="1" t="s">
        <v>219</v>
      </c>
      <c r="CK523" s="1" t="s">
        <v>539</v>
      </c>
      <c r="CL523" s="1" t="s">
        <v>219</v>
      </c>
      <c r="CO523" s="1" t="s">
        <v>346</v>
      </c>
      <c r="CP523" s="1" t="s">
        <v>219</v>
      </c>
      <c r="CS523" s="1" t="s">
        <v>379</v>
      </c>
      <c r="CT523" s="1" t="s">
        <v>219</v>
      </c>
      <c r="CX523" s="1" t="s">
        <v>224</v>
      </c>
      <c r="DB523" s="1" t="s">
        <v>224</v>
      </c>
      <c r="DE523" s="1" t="s">
        <v>972</v>
      </c>
      <c r="DF523" s="1" t="s">
        <v>219</v>
      </c>
      <c r="DJ523" s="1" t="s">
        <v>224</v>
      </c>
      <c r="DS523" s="1" t="s">
        <v>230</v>
      </c>
      <c r="DW523" s="1" t="s">
        <v>230</v>
      </c>
      <c r="EA523" s="1" t="s">
        <v>230</v>
      </c>
      <c r="EE523" s="1" t="s">
        <v>230</v>
      </c>
      <c r="EI523" s="1" t="s">
        <v>230</v>
      </c>
      <c r="EL523" s="1" t="s">
        <v>670</v>
      </c>
      <c r="EM523" s="1" t="s">
        <v>319</v>
      </c>
      <c r="EN523" s="1" t="s">
        <v>282</v>
      </c>
      <c r="EO523" s="1" t="s">
        <v>234</v>
      </c>
      <c r="ER523" s="1" t="s">
        <v>383</v>
      </c>
      <c r="EW523" s="1" t="s">
        <v>867</v>
      </c>
      <c r="EZ523" s="1" t="s">
        <v>287</v>
      </c>
      <c r="FD523" s="1" t="s">
        <v>3287</v>
      </c>
      <c r="FE523" s="1" t="s">
        <v>472</v>
      </c>
      <c r="FF523" s="1" t="s">
        <v>248</v>
      </c>
      <c r="FH523" s="1" t="s">
        <v>550</v>
      </c>
      <c r="FL523" s="1" t="s">
        <v>414</v>
      </c>
      <c r="FM523" s="1" t="s">
        <v>252</v>
      </c>
      <c r="FN523" s="1" t="s">
        <v>213</v>
      </c>
      <c r="FO523" s="1" t="s">
        <v>213</v>
      </c>
      <c r="FQ523" s="1" t="s">
        <v>6689</v>
      </c>
      <c r="FR523" s="1" t="s">
        <v>210</v>
      </c>
      <c r="FS523" s="1" t="s">
        <v>6690</v>
      </c>
      <c r="FT523" s="1" t="s">
        <v>6691</v>
      </c>
      <c r="FU523" s="1" t="s">
        <v>204</v>
      </c>
      <c r="FW523" s="1" t="s">
        <v>6692</v>
      </c>
      <c r="FX523" s="1">
        <v>5148</v>
      </c>
      <c r="FY523" s="1" t="s">
        <v>6693</v>
      </c>
      <c r="FZ523" s="1" t="s">
        <v>6694</v>
      </c>
      <c r="GA523" s="1">
        <v>55955</v>
      </c>
      <c r="GE523" s="1" t="s">
        <v>480</v>
      </c>
      <c r="GI523" s="1" t="s">
        <v>204</v>
      </c>
      <c r="GJ523" s="1" t="s">
        <v>260</v>
      </c>
      <c r="GK523" s="1" t="s">
        <v>210</v>
      </c>
      <c r="GL523" s="2">
        <v>42150</v>
      </c>
      <c r="GM523" s="1" t="s">
        <v>6695</v>
      </c>
    </row>
    <row r="524" spans="1:195">
      <c r="A524" s="1">
        <v>96750</v>
      </c>
      <c r="B524" s="1" t="s">
        <v>195</v>
      </c>
      <c r="C524" s="1" t="str">
        <f>"08799501"</f>
        <v>08799501</v>
      </c>
      <c r="D524" s="1" t="s">
        <v>196</v>
      </c>
      <c r="F524" s="1" t="str">
        <f>"106"</f>
        <v>106</v>
      </c>
      <c r="G524" s="2">
        <v>41982</v>
      </c>
      <c r="H524" s="1">
        <v>99900</v>
      </c>
      <c r="I524" s="1">
        <v>99900</v>
      </c>
      <c r="J524" s="1">
        <v>96750</v>
      </c>
      <c r="K524" s="2">
        <v>41982</v>
      </c>
      <c r="L524" s="1">
        <v>7</v>
      </c>
      <c r="M524" s="2">
        <v>41988</v>
      </c>
      <c r="N524" s="1">
        <v>7</v>
      </c>
      <c r="O524" s="2">
        <v>41988</v>
      </c>
      <c r="P524" s="1">
        <v>24071</v>
      </c>
      <c r="Q524" s="1" t="s">
        <v>197</v>
      </c>
      <c r="R524" s="2">
        <v>42034</v>
      </c>
      <c r="S524" s="1">
        <v>239154</v>
      </c>
      <c r="U524" s="1">
        <v>399</v>
      </c>
      <c r="V524" s="1" t="s">
        <v>5444</v>
      </c>
      <c r="W524" s="1" t="s">
        <v>264</v>
      </c>
      <c r="X524" s="1">
        <v>1</v>
      </c>
      <c r="Y524" s="1">
        <v>4</v>
      </c>
      <c r="Z524" s="1" t="s">
        <v>249</v>
      </c>
      <c r="AA524" s="1" t="s">
        <v>1229</v>
      </c>
      <c r="AB524" s="1">
        <v>60106</v>
      </c>
      <c r="AE524" s="1" t="s">
        <v>6696</v>
      </c>
      <c r="AF524" s="1">
        <v>1977</v>
      </c>
      <c r="AG524" s="1" t="s">
        <v>213</v>
      </c>
      <c r="AH524" s="1" t="s">
        <v>1232</v>
      </c>
      <c r="AI524" s="1" t="s">
        <v>206</v>
      </c>
      <c r="AJ524" s="1" t="s">
        <v>1233</v>
      </c>
      <c r="AL524" s="1">
        <v>6</v>
      </c>
      <c r="AM524" s="1">
        <v>2</v>
      </c>
      <c r="AN524" s="1">
        <v>1</v>
      </c>
      <c r="AO524" s="1">
        <v>2</v>
      </c>
      <c r="AP524" s="1" t="s">
        <v>210</v>
      </c>
      <c r="AQ524" s="1">
        <v>0</v>
      </c>
      <c r="AR524" s="1" t="s">
        <v>209</v>
      </c>
      <c r="AS524" s="1" t="s">
        <v>213</v>
      </c>
      <c r="AT524" s="1" t="s">
        <v>271</v>
      </c>
      <c r="AV524" s="1">
        <v>2</v>
      </c>
      <c r="AW524" s="1" t="s">
        <v>204</v>
      </c>
      <c r="AX524" s="1" t="s">
        <v>212</v>
      </c>
      <c r="AZ524" s="1">
        <v>2348</v>
      </c>
      <c r="BA524" s="1">
        <v>2013</v>
      </c>
      <c r="BB524" s="1" t="s">
        <v>210</v>
      </c>
      <c r="BE524" s="1">
        <v>1100</v>
      </c>
      <c r="BF524" s="1">
        <v>1</v>
      </c>
      <c r="BG524" s="1">
        <v>0</v>
      </c>
      <c r="BL524" s="1">
        <v>210</v>
      </c>
      <c r="BM524" s="1" t="s">
        <v>413</v>
      </c>
      <c r="BN524" s="1" t="s">
        <v>213</v>
      </c>
      <c r="BO524" s="1">
        <v>0</v>
      </c>
      <c r="BP524" s="1" t="s">
        <v>204</v>
      </c>
      <c r="BR524" s="1" t="str">
        <f>"0311405001"</f>
        <v>0311405001</v>
      </c>
      <c r="BT524" s="1" t="s">
        <v>6697</v>
      </c>
      <c r="BW524" s="1" t="s">
        <v>1973</v>
      </c>
      <c r="BX524" s="1">
        <v>2</v>
      </c>
      <c r="BY524" s="1">
        <v>2</v>
      </c>
      <c r="BZ524" s="1">
        <v>100</v>
      </c>
      <c r="CB524" s="1" t="str">
        <f t="shared" ref="CB524:CC524" si="410">""</f>
        <v/>
      </c>
      <c r="CC524" s="1" t="str">
        <f t="shared" si="410"/>
        <v/>
      </c>
      <c r="CG524" s="1" t="s">
        <v>1045</v>
      </c>
      <c r="CH524" s="1" t="s">
        <v>219</v>
      </c>
      <c r="CK524" s="1" t="s">
        <v>972</v>
      </c>
      <c r="CL524" s="1" t="s">
        <v>277</v>
      </c>
      <c r="CM524" s="1" t="s">
        <v>220</v>
      </c>
      <c r="CP524" s="1" t="s">
        <v>224</v>
      </c>
      <c r="CS524" s="1" t="s">
        <v>409</v>
      </c>
      <c r="CT524" s="1" t="s">
        <v>277</v>
      </c>
      <c r="CU524" s="1" t="s">
        <v>220</v>
      </c>
      <c r="CX524" s="1" t="s">
        <v>224</v>
      </c>
      <c r="DB524" s="1" t="s">
        <v>224</v>
      </c>
      <c r="DE524" s="1" t="s">
        <v>758</v>
      </c>
      <c r="DF524" s="1" t="s">
        <v>219</v>
      </c>
      <c r="DG524" s="1" t="s">
        <v>226</v>
      </c>
      <c r="DI524" s="1" t="s">
        <v>228</v>
      </c>
      <c r="DJ524" s="1" t="s">
        <v>43</v>
      </c>
      <c r="DM524" s="1" t="s">
        <v>381</v>
      </c>
      <c r="DR524" s="1" t="s">
        <v>3657</v>
      </c>
      <c r="DS524" s="1" t="s">
        <v>219</v>
      </c>
      <c r="DT524" s="1" t="s">
        <v>226</v>
      </c>
      <c r="DW524" s="1" t="s">
        <v>230</v>
      </c>
      <c r="EA524" s="1" t="s">
        <v>230</v>
      </c>
      <c r="EE524" s="1" t="s">
        <v>230</v>
      </c>
      <c r="EI524" s="1" t="s">
        <v>230</v>
      </c>
      <c r="EL524" s="1" t="s">
        <v>231</v>
      </c>
      <c r="EM524" s="1" t="s">
        <v>232</v>
      </c>
      <c r="EN524" s="1" t="s">
        <v>282</v>
      </c>
      <c r="EO524" s="1" t="s">
        <v>234</v>
      </c>
      <c r="EQ524" s="1" t="s">
        <v>1109</v>
      </c>
      <c r="ER524" s="1" t="s">
        <v>544</v>
      </c>
      <c r="ES524" s="1" t="s">
        <v>322</v>
      </c>
      <c r="EW524" s="1" t="s">
        <v>6698</v>
      </c>
      <c r="EY524" s="1" t="s">
        <v>790</v>
      </c>
      <c r="EZ524" s="1" t="s">
        <v>381</v>
      </c>
      <c r="FA524" s="1" t="s">
        <v>6548</v>
      </c>
      <c r="FB524" s="1" t="s">
        <v>734</v>
      </c>
      <c r="FD524" s="1" t="s">
        <v>1649</v>
      </c>
      <c r="FE524" s="1" t="s">
        <v>496</v>
      </c>
      <c r="FF524" s="1" t="s">
        <v>248</v>
      </c>
      <c r="FH524" s="1" t="s">
        <v>2458</v>
      </c>
      <c r="FK524" s="1" t="s">
        <v>291</v>
      </c>
      <c r="FL524" s="1" t="s">
        <v>6699</v>
      </c>
      <c r="FM524" s="1" t="s">
        <v>252</v>
      </c>
      <c r="FN524" s="1" t="s">
        <v>213</v>
      </c>
      <c r="FO524" s="1" t="s">
        <v>213</v>
      </c>
      <c r="FQ524" s="1" t="s">
        <v>4005</v>
      </c>
      <c r="FR524" s="1" t="s">
        <v>210</v>
      </c>
      <c r="FS524" s="1" t="s">
        <v>6700</v>
      </c>
      <c r="FT524" s="1" t="s">
        <v>362</v>
      </c>
      <c r="FU524" s="1" t="s">
        <v>213</v>
      </c>
      <c r="FW524" s="1" t="s">
        <v>6701</v>
      </c>
      <c r="FX524" s="1">
        <v>84098</v>
      </c>
      <c r="FY524" s="1" t="s">
        <v>6702</v>
      </c>
      <c r="FZ524" s="1" t="s">
        <v>6703</v>
      </c>
      <c r="GA524" s="1">
        <v>119234</v>
      </c>
      <c r="GB524" s="1" t="s">
        <v>6704</v>
      </c>
      <c r="GD524" s="1" t="s">
        <v>6705</v>
      </c>
      <c r="GE524" s="1" t="s">
        <v>210</v>
      </c>
      <c r="GH524" s="1" t="s">
        <v>589</v>
      </c>
      <c r="GI524" s="1" t="s">
        <v>213</v>
      </c>
      <c r="GJ524" s="1" t="s">
        <v>260</v>
      </c>
      <c r="GK524" s="1" t="s">
        <v>210</v>
      </c>
      <c r="GL524" s="2">
        <v>42038</v>
      </c>
      <c r="GM524" s="1" t="s">
        <v>6706</v>
      </c>
    </row>
    <row r="525" spans="1:195">
      <c r="A525" s="1">
        <v>195000</v>
      </c>
      <c r="B525" s="1" t="s">
        <v>195</v>
      </c>
      <c r="C525" s="1" t="str">
        <f>"08796986"</f>
        <v>08796986</v>
      </c>
      <c r="D525" s="1" t="s">
        <v>196</v>
      </c>
      <c r="F525" s="1" t="str">
        <f>"104"</f>
        <v>104</v>
      </c>
      <c r="G525" s="2">
        <v>41977</v>
      </c>
      <c r="H525" s="1">
        <v>204900</v>
      </c>
      <c r="I525" s="1">
        <v>204900</v>
      </c>
      <c r="J525" s="1">
        <v>195000</v>
      </c>
      <c r="K525" s="2">
        <v>41977</v>
      </c>
      <c r="L525" s="1">
        <v>118</v>
      </c>
      <c r="M525" s="2">
        <v>42094</v>
      </c>
      <c r="N525" s="1">
        <v>118</v>
      </c>
      <c r="O525" s="2">
        <v>42094</v>
      </c>
      <c r="P525" s="1">
        <v>24655</v>
      </c>
      <c r="Q525" s="1" t="s">
        <v>197</v>
      </c>
      <c r="R525" s="2">
        <v>42131</v>
      </c>
      <c r="S525" s="1">
        <v>237153</v>
      </c>
      <c r="U525" s="1">
        <v>744</v>
      </c>
      <c r="V525" s="1" t="s">
        <v>6707</v>
      </c>
      <c r="W525" s="1" t="s">
        <v>504</v>
      </c>
      <c r="Y525" s="1">
        <v>6</v>
      </c>
      <c r="Z525" s="1" t="s">
        <v>370</v>
      </c>
      <c r="AA525" s="1" t="s">
        <v>371</v>
      </c>
      <c r="AB525" s="1">
        <v>60103</v>
      </c>
      <c r="AD525" s="1" t="s">
        <v>6708</v>
      </c>
      <c r="AE525" s="1" t="s">
        <v>6709</v>
      </c>
      <c r="AF525" s="1">
        <v>2005</v>
      </c>
      <c r="AG525" s="1" t="s">
        <v>204</v>
      </c>
      <c r="AH525" s="1" t="s">
        <v>373</v>
      </c>
      <c r="AI525" s="1" t="s">
        <v>310</v>
      </c>
      <c r="AJ525" s="1" t="s">
        <v>374</v>
      </c>
      <c r="AK525" s="1" t="s">
        <v>1865</v>
      </c>
      <c r="AL525" s="1">
        <v>8</v>
      </c>
      <c r="AM525" s="1">
        <v>2</v>
      </c>
      <c r="AN525" s="1">
        <v>2</v>
      </c>
      <c r="AO525" s="1">
        <v>1</v>
      </c>
      <c r="AP525" s="1" t="s">
        <v>209</v>
      </c>
      <c r="AR525" s="1" t="s">
        <v>1631</v>
      </c>
      <c r="AS525" s="1" t="s">
        <v>204</v>
      </c>
      <c r="AT525" s="1" t="s">
        <v>211</v>
      </c>
      <c r="AU525" s="1">
        <v>2</v>
      </c>
      <c r="AW525" s="1" t="s">
        <v>204</v>
      </c>
      <c r="AX525" s="1" t="s">
        <v>212</v>
      </c>
      <c r="AZ525" s="1">
        <v>4953</v>
      </c>
      <c r="BA525" s="1">
        <v>2013</v>
      </c>
      <c r="BB525" s="1" t="s">
        <v>210</v>
      </c>
      <c r="BE525" s="1">
        <v>0</v>
      </c>
      <c r="BF525" s="1">
        <v>1</v>
      </c>
      <c r="BG525" s="1">
        <v>0</v>
      </c>
      <c r="BL525" s="1">
        <v>180</v>
      </c>
      <c r="BM525" s="1" t="s">
        <v>204</v>
      </c>
      <c r="BN525" s="1" t="s">
        <v>213</v>
      </c>
      <c r="BO525" s="1">
        <v>999</v>
      </c>
      <c r="BP525" s="1" t="s">
        <v>204</v>
      </c>
      <c r="BR525" s="1" t="str">
        <f>"06292050281013"</f>
        <v>06292050281013</v>
      </c>
      <c r="BT525" s="1" t="s">
        <v>6710</v>
      </c>
      <c r="BU525" s="1" t="s">
        <v>6711</v>
      </c>
      <c r="BV525" s="1" t="s">
        <v>1467</v>
      </c>
      <c r="BW525" s="1" t="s">
        <v>1468</v>
      </c>
      <c r="BX525" s="1">
        <v>46</v>
      </c>
      <c r="BY525" s="1">
        <v>46</v>
      </c>
      <c r="BZ525" s="1">
        <v>46</v>
      </c>
      <c r="CB525" s="1" t="str">
        <f>"9"</f>
        <v>9</v>
      </c>
      <c r="CC525" s="1" t="str">
        <f>"0"</f>
        <v>0</v>
      </c>
      <c r="CD525" s="1">
        <v>31</v>
      </c>
      <c r="CE525" s="1">
        <v>0</v>
      </c>
      <c r="CG525" s="1" t="s">
        <v>461</v>
      </c>
      <c r="CH525" s="1" t="s">
        <v>219</v>
      </c>
      <c r="CI525" s="1" t="s">
        <v>220</v>
      </c>
      <c r="CJ525" s="1" t="s">
        <v>343</v>
      </c>
      <c r="CK525" s="1" t="s">
        <v>315</v>
      </c>
      <c r="CL525" s="1" t="s">
        <v>277</v>
      </c>
      <c r="CM525" s="1" t="s">
        <v>220</v>
      </c>
      <c r="CN525" s="1" t="s">
        <v>343</v>
      </c>
      <c r="CO525" s="1" t="s">
        <v>345</v>
      </c>
      <c r="CP525" s="1" t="s">
        <v>219</v>
      </c>
      <c r="CQ525" s="1" t="s">
        <v>229</v>
      </c>
      <c r="CR525" s="1" t="s">
        <v>343</v>
      </c>
      <c r="CS525" s="1" t="s">
        <v>346</v>
      </c>
      <c r="CT525" s="1" t="s">
        <v>277</v>
      </c>
      <c r="CU525" s="1" t="s">
        <v>220</v>
      </c>
      <c r="CV525" s="1" t="s">
        <v>343</v>
      </c>
      <c r="CX525" s="1" t="s">
        <v>224</v>
      </c>
      <c r="DB525" s="1" t="s">
        <v>224</v>
      </c>
      <c r="DE525" s="1" t="s">
        <v>465</v>
      </c>
      <c r="DF525" s="1" t="s">
        <v>219</v>
      </c>
      <c r="DG525" s="1" t="s">
        <v>229</v>
      </c>
      <c r="DH525" s="1" t="s">
        <v>343</v>
      </c>
      <c r="DI525" s="1" t="s">
        <v>409</v>
      </c>
      <c r="DJ525" s="1" t="s">
        <v>219</v>
      </c>
      <c r="DK525" s="1" t="s">
        <v>220</v>
      </c>
      <c r="DL525" s="1" t="s">
        <v>343</v>
      </c>
      <c r="DM525" s="1" t="s">
        <v>1005</v>
      </c>
      <c r="DN525" s="1" t="s">
        <v>464</v>
      </c>
      <c r="DR525" s="1" t="s">
        <v>1133</v>
      </c>
      <c r="DS525" s="1" t="s">
        <v>822</v>
      </c>
      <c r="DV525" s="1" t="s">
        <v>318</v>
      </c>
      <c r="DW525" s="1" t="s">
        <v>277</v>
      </c>
      <c r="DX525" s="1" t="s">
        <v>220</v>
      </c>
      <c r="DY525" s="1" t="s">
        <v>343</v>
      </c>
      <c r="EA525" s="1" t="s">
        <v>230</v>
      </c>
      <c r="EE525" s="1" t="s">
        <v>230</v>
      </c>
      <c r="EI525" s="1" t="s">
        <v>230</v>
      </c>
      <c r="EL525" s="1" t="s">
        <v>491</v>
      </c>
      <c r="EM525" s="1" t="s">
        <v>319</v>
      </c>
      <c r="EN525" s="1" t="s">
        <v>282</v>
      </c>
      <c r="EO525" s="1" t="s">
        <v>234</v>
      </c>
      <c r="EP525" s="1" t="s">
        <v>2172</v>
      </c>
      <c r="EQ525" s="1" t="s">
        <v>2188</v>
      </c>
      <c r="ER525" s="1" t="s">
        <v>544</v>
      </c>
      <c r="ES525" s="1" t="s">
        <v>1868</v>
      </c>
      <c r="ET525" s="1" t="s">
        <v>1201</v>
      </c>
      <c r="EW525" s="1" t="s">
        <v>353</v>
      </c>
      <c r="EY525" s="1" t="s">
        <v>242</v>
      </c>
      <c r="EZ525" s="1" t="s">
        <v>6712</v>
      </c>
      <c r="FD525" s="1" t="s">
        <v>246</v>
      </c>
      <c r="FE525" s="1" t="s">
        <v>472</v>
      </c>
      <c r="FF525" s="1" t="s">
        <v>3103</v>
      </c>
      <c r="FH525" s="1" t="s">
        <v>1428</v>
      </c>
      <c r="FI525" s="1" t="s">
        <v>473</v>
      </c>
      <c r="FL525" s="1" t="s">
        <v>358</v>
      </c>
      <c r="FM525" s="1" t="s">
        <v>252</v>
      </c>
      <c r="FN525" s="1" t="s">
        <v>213</v>
      </c>
      <c r="FO525" s="1" t="s">
        <v>213</v>
      </c>
      <c r="FQ525" s="1" t="s">
        <v>793</v>
      </c>
      <c r="FR525" s="1" t="s">
        <v>210</v>
      </c>
      <c r="FS525" s="1" t="s">
        <v>6713</v>
      </c>
      <c r="FT525" s="1" t="s">
        <v>295</v>
      </c>
      <c r="FU525" s="1" t="s">
        <v>204</v>
      </c>
      <c r="FW525" s="1" t="s">
        <v>4125</v>
      </c>
      <c r="FX525" s="1">
        <v>8073</v>
      </c>
      <c r="FY525" s="1" t="s">
        <v>4126</v>
      </c>
      <c r="FZ525" s="1" t="s">
        <v>6714</v>
      </c>
      <c r="GA525" s="1">
        <v>81720</v>
      </c>
      <c r="GB525" s="1" t="s">
        <v>6715</v>
      </c>
      <c r="GE525" s="1" t="s">
        <v>210</v>
      </c>
      <c r="GI525" s="1" t="s">
        <v>213</v>
      </c>
      <c r="GJ525" s="1" t="s">
        <v>260</v>
      </c>
      <c r="GK525" s="1" t="s">
        <v>210</v>
      </c>
      <c r="GL525" s="2">
        <v>42132</v>
      </c>
      <c r="GM525" s="1" t="s">
        <v>6716</v>
      </c>
    </row>
    <row r="526" spans="1:195">
      <c r="A526" s="1">
        <v>98000</v>
      </c>
      <c r="B526" s="1" t="s">
        <v>195</v>
      </c>
      <c r="C526" s="1" t="str">
        <f>"08799063"</f>
        <v>08799063</v>
      </c>
      <c r="D526" s="1" t="s">
        <v>196</v>
      </c>
      <c r="F526" s="1" t="str">
        <f>"555"</f>
        <v>555</v>
      </c>
      <c r="G526" s="2">
        <v>41981</v>
      </c>
      <c r="H526" s="1">
        <v>98900</v>
      </c>
      <c r="I526" s="1">
        <v>98900</v>
      </c>
      <c r="J526" s="1">
        <v>98000</v>
      </c>
      <c r="K526" s="2">
        <v>41980</v>
      </c>
      <c r="L526" s="1">
        <v>235</v>
      </c>
      <c r="M526" s="2">
        <v>42036</v>
      </c>
      <c r="N526" s="1">
        <v>57</v>
      </c>
      <c r="O526" s="2">
        <v>42036</v>
      </c>
      <c r="P526" s="1">
        <v>25309</v>
      </c>
      <c r="Q526" s="1" t="s">
        <v>197</v>
      </c>
      <c r="R526" s="2">
        <v>42079</v>
      </c>
      <c r="S526" s="1">
        <v>225558</v>
      </c>
      <c r="U526" s="1" t="s">
        <v>6717</v>
      </c>
      <c r="V526" s="1" t="s">
        <v>2134</v>
      </c>
      <c r="W526" s="1" t="s">
        <v>449</v>
      </c>
      <c r="X526" s="1">
        <v>4</v>
      </c>
      <c r="Y526" s="1">
        <v>4</v>
      </c>
      <c r="Z526" s="1" t="s">
        <v>249</v>
      </c>
      <c r="AA526" s="1" t="s">
        <v>984</v>
      </c>
      <c r="AB526" s="1">
        <v>60555</v>
      </c>
      <c r="AD526" s="1" t="s">
        <v>2134</v>
      </c>
      <c r="AE526" s="1" t="s">
        <v>6718</v>
      </c>
      <c r="AF526" s="1">
        <v>1978</v>
      </c>
      <c r="AG526" s="1" t="s">
        <v>204</v>
      </c>
      <c r="AH526" s="1" t="s">
        <v>986</v>
      </c>
      <c r="AI526" s="1" t="s">
        <v>206</v>
      </c>
      <c r="AJ526" s="1" t="s">
        <v>987</v>
      </c>
      <c r="AL526" s="1">
        <v>5</v>
      </c>
      <c r="AM526" s="1">
        <v>2</v>
      </c>
      <c r="AN526" s="1">
        <v>1</v>
      </c>
      <c r="AO526" s="1">
        <v>0</v>
      </c>
      <c r="AP526" s="1" t="s">
        <v>210</v>
      </c>
      <c r="AR526" s="1" t="s">
        <v>210</v>
      </c>
      <c r="AS526" s="1" t="s">
        <v>204</v>
      </c>
      <c r="AT526" s="1" t="s">
        <v>211</v>
      </c>
      <c r="AU526" s="1">
        <v>1</v>
      </c>
      <c r="AW526" s="1" t="s">
        <v>204</v>
      </c>
      <c r="AX526" s="1" t="s">
        <v>212</v>
      </c>
      <c r="AZ526" s="1">
        <v>1348</v>
      </c>
      <c r="BA526" s="1">
        <v>2013</v>
      </c>
      <c r="BB526" s="1" t="s">
        <v>405</v>
      </c>
      <c r="BE526" s="1">
        <v>903</v>
      </c>
      <c r="BF526" s="1">
        <v>1</v>
      </c>
      <c r="BG526" s="1">
        <v>0</v>
      </c>
      <c r="BL526" s="1">
        <v>183</v>
      </c>
      <c r="BM526" s="1" t="s">
        <v>204</v>
      </c>
      <c r="BN526" s="1" t="s">
        <v>213</v>
      </c>
      <c r="BO526" s="1">
        <v>999</v>
      </c>
      <c r="BP526" s="1" t="s">
        <v>204</v>
      </c>
      <c r="BR526" s="1" t="str">
        <f>"0427307252"</f>
        <v>0427307252</v>
      </c>
      <c r="BT526" s="1" t="s">
        <v>6719</v>
      </c>
      <c r="BU526" s="1" t="s">
        <v>989</v>
      </c>
      <c r="BV526" s="1" t="s">
        <v>990</v>
      </c>
      <c r="BW526" s="1" t="s">
        <v>971</v>
      </c>
      <c r="BX526" s="1">
        <v>200</v>
      </c>
      <c r="BY526" s="1">
        <v>200</v>
      </c>
      <c r="BZ526" s="1">
        <v>200</v>
      </c>
      <c r="CB526" s="1" t="str">
        <f t="shared" ref="CB526:CC526" si="411">"0"</f>
        <v>0</v>
      </c>
      <c r="CC526" s="1" t="str">
        <f t="shared" si="411"/>
        <v>0</v>
      </c>
      <c r="CD526" s="1">
        <v>29</v>
      </c>
      <c r="CE526" s="1">
        <v>2</v>
      </c>
      <c r="CG526" s="1" t="s">
        <v>1788</v>
      </c>
      <c r="CH526" s="1" t="s">
        <v>277</v>
      </c>
      <c r="CI526" s="1" t="s">
        <v>229</v>
      </c>
      <c r="CK526" s="1" t="s">
        <v>3716</v>
      </c>
      <c r="CL526" s="1" t="s">
        <v>277</v>
      </c>
      <c r="CM526" s="1" t="s">
        <v>220</v>
      </c>
      <c r="CO526" s="1" t="s">
        <v>345</v>
      </c>
      <c r="CP526" s="1" t="s">
        <v>277</v>
      </c>
      <c r="CQ526" s="1" t="s">
        <v>229</v>
      </c>
      <c r="CS526" s="1" t="s">
        <v>318</v>
      </c>
      <c r="CT526" s="1" t="s">
        <v>277</v>
      </c>
      <c r="CU526" s="1" t="s">
        <v>220</v>
      </c>
      <c r="CX526" s="1" t="s">
        <v>224</v>
      </c>
      <c r="DB526" s="1" t="s">
        <v>224</v>
      </c>
      <c r="DE526" s="1" t="s">
        <v>3657</v>
      </c>
      <c r="DF526" s="1" t="s">
        <v>277</v>
      </c>
      <c r="DG526" s="1" t="s">
        <v>226</v>
      </c>
      <c r="DJ526" s="1" t="s">
        <v>224</v>
      </c>
      <c r="DS526" s="1" t="s">
        <v>230</v>
      </c>
      <c r="DW526" s="1" t="s">
        <v>230</v>
      </c>
      <c r="EA526" s="1" t="s">
        <v>230</v>
      </c>
      <c r="EE526" s="1" t="s">
        <v>230</v>
      </c>
      <c r="EI526" s="1" t="s">
        <v>230</v>
      </c>
      <c r="EL526" s="1" t="s">
        <v>231</v>
      </c>
      <c r="EM526" s="1" t="s">
        <v>319</v>
      </c>
      <c r="EN526" s="1" t="s">
        <v>282</v>
      </c>
      <c r="EO526" s="1" t="s">
        <v>1020</v>
      </c>
      <c r="EP526" s="1" t="s">
        <v>2139</v>
      </c>
      <c r="EQ526" s="1" t="s">
        <v>236</v>
      </c>
      <c r="ER526" s="1" t="s">
        <v>210</v>
      </c>
      <c r="ES526" s="1" t="s">
        <v>545</v>
      </c>
      <c r="EU526" s="1" t="s">
        <v>239</v>
      </c>
      <c r="EV526" s="1" t="s">
        <v>240</v>
      </c>
      <c r="EW526" s="1" t="s">
        <v>991</v>
      </c>
      <c r="EY526" s="1" t="s">
        <v>242</v>
      </c>
      <c r="EZ526" s="1" t="s">
        <v>287</v>
      </c>
      <c r="FA526" s="1" t="s">
        <v>672</v>
      </c>
      <c r="FB526" s="1" t="s">
        <v>289</v>
      </c>
      <c r="FC526" s="1" t="s">
        <v>548</v>
      </c>
      <c r="FD526" s="1" t="s">
        <v>246</v>
      </c>
      <c r="FE526" s="1" t="s">
        <v>472</v>
      </c>
      <c r="FF526" s="1" t="s">
        <v>248</v>
      </c>
      <c r="FH526" s="1" t="s">
        <v>249</v>
      </c>
      <c r="FI526" s="1" t="s">
        <v>357</v>
      </c>
      <c r="FL526" s="1" t="s">
        <v>414</v>
      </c>
      <c r="FM526" s="1" t="s">
        <v>252</v>
      </c>
      <c r="FN526" s="1" t="s">
        <v>213</v>
      </c>
      <c r="FO526" s="1" t="s">
        <v>204</v>
      </c>
      <c r="FQ526" s="1" t="s">
        <v>6720</v>
      </c>
      <c r="FR526" s="1" t="s">
        <v>210</v>
      </c>
      <c r="FS526" s="1" t="s">
        <v>5209</v>
      </c>
      <c r="FT526" s="1" t="s">
        <v>1139</v>
      </c>
      <c r="FU526" s="1" t="s">
        <v>204</v>
      </c>
      <c r="FW526" s="1" t="s">
        <v>6721</v>
      </c>
      <c r="FX526" s="1">
        <v>4634</v>
      </c>
      <c r="FY526" s="1" t="s">
        <v>6722</v>
      </c>
      <c r="FZ526" s="1" t="s">
        <v>6723</v>
      </c>
      <c r="GA526" s="1">
        <v>41668</v>
      </c>
      <c r="GB526" s="1" t="s">
        <v>6724</v>
      </c>
      <c r="GE526" s="1" t="s">
        <v>658</v>
      </c>
      <c r="GI526" s="1" t="s">
        <v>213</v>
      </c>
      <c r="GJ526" s="1" t="s">
        <v>260</v>
      </c>
      <c r="GK526" s="1" t="s">
        <v>1413</v>
      </c>
      <c r="GL526" s="2">
        <v>42080</v>
      </c>
      <c r="GM526" s="1" t="s">
        <v>6725</v>
      </c>
    </row>
    <row r="527" spans="1:195">
      <c r="A527" s="1">
        <v>155000</v>
      </c>
      <c r="B527" s="1" t="s">
        <v>195</v>
      </c>
      <c r="C527" s="1" t="str">
        <f>"08795550"</f>
        <v>08795550</v>
      </c>
      <c r="D527" s="1" t="s">
        <v>196</v>
      </c>
      <c r="F527" s="1" t="str">
        <f>"10"</f>
        <v>10</v>
      </c>
      <c r="G527" s="2">
        <v>41975</v>
      </c>
      <c r="H527" s="1">
        <v>160000</v>
      </c>
      <c r="I527" s="1">
        <v>160000</v>
      </c>
      <c r="J527" s="1">
        <v>155000</v>
      </c>
      <c r="K527" s="2">
        <v>41975</v>
      </c>
      <c r="L527" s="1">
        <v>15</v>
      </c>
      <c r="M527" s="2">
        <v>41989</v>
      </c>
      <c r="N527" s="1">
        <v>15</v>
      </c>
      <c r="O527" s="2">
        <v>41989</v>
      </c>
      <c r="P527" s="1" t="s">
        <v>1039</v>
      </c>
      <c r="Q527" s="1" t="s">
        <v>302</v>
      </c>
      <c r="R527" s="2">
        <v>42109</v>
      </c>
      <c r="S527" s="1">
        <v>99999</v>
      </c>
      <c r="U527" s="1">
        <v>600</v>
      </c>
      <c r="V527" s="1" t="s">
        <v>6726</v>
      </c>
      <c r="W527" s="1" t="s">
        <v>725</v>
      </c>
      <c r="X527" s="1">
        <v>207</v>
      </c>
      <c r="Y527" s="1">
        <v>39</v>
      </c>
      <c r="Z527" s="1" t="s">
        <v>249</v>
      </c>
      <c r="AA527" s="1" t="s">
        <v>6288</v>
      </c>
      <c r="AB527" s="1">
        <v>60010</v>
      </c>
      <c r="AD527" s="1" t="s">
        <v>6727</v>
      </c>
      <c r="AE527" s="1" t="s">
        <v>6728</v>
      </c>
      <c r="AF527" s="1">
        <v>1965</v>
      </c>
      <c r="AG527" s="1" t="s">
        <v>213</v>
      </c>
      <c r="AH527" s="1" t="s">
        <v>6729</v>
      </c>
      <c r="AI527" s="1" t="s">
        <v>310</v>
      </c>
      <c r="AJ527" s="1" t="s">
        <v>6729</v>
      </c>
      <c r="AL527" s="1">
        <v>5</v>
      </c>
      <c r="AM527" s="1">
        <v>2</v>
      </c>
      <c r="AN527" s="1">
        <v>1</v>
      </c>
      <c r="AO527" s="1">
        <v>1</v>
      </c>
      <c r="AP527" s="1" t="s">
        <v>209</v>
      </c>
      <c r="AR527" s="1" t="s">
        <v>210</v>
      </c>
      <c r="AS527" s="1" t="s">
        <v>204</v>
      </c>
      <c r="AT527" s="1" t="s">
        <v>211</v>
      </c>
      <c r="AU527" s="1">
        <v>1</v>
      </c>
      <c r="AW527" s="1" t="s">
        <v>204</v>
      </c>
      <c r="AX527" s="1" t="s">
        <v>212</v>
      </c>
      <c r="AZ527" s="1">
        <v>1649.47</v>
      </c>
      <c r="BA527" s="1">
        <v>2013</v>
      </c>
      <c r="BB527" s="1" t="s">
        <v>210</v>
      </c>
      <c r="BE527" s="1">
        <v>1014</v>
      </c>
      <c r="BF527" s="1">
        <v>2</v>
      </c>
      <c r="BG527" s="1">
        <v>0</v>
      </c>
      <c r="BL527" s="1">
        <v>220</v>
      </c>
      <c r="BM527" s="1" t="s">
        <v>204</v>
      </c>
      <c r="BN527" s="1" t="s">
        <v>213</v>
      </c>
      <c r="BO527" s="1">
        <v>85</v>
      </c>
      <c r="BP527" s="1" t="s">
        <v>204</v>
      </c>
      <c r="BR527" s="1" t="str">
        <f>"01022020501087"</f>
        <v>01022020501087</v>
      </c>
      <c r="BT527" s="1" t="s">
        <v>6730</v>
      </c>
      <c r="BU527" s="1" t="s">
        <v>6731</v>
      </c>
      <c r="BV527" s="1" t="s">
        <v>6732</v>
      </c>
      <c r="BW527" s="1" t="s">
        <v>1994</v>
      </c>
      <c r="BX527" s="1">
        <v>220</v>
      </c>
      <c r="BY527" s="1">
        <v>220</v>
      </c>
      <c r="BZ527" s="1">
        <v>220</v>
      </c>
      <c r="CB527" s="1" t="str">
        <f>"18"</f>
        <v>18</v>
      </c>
      <c r="CC527" s="1" t="str">
        <f t="shared" ref="CC527:CC528" si="412">"0"</f>
        <v>0</v>
      </c>
      <c r="CD527" s="1">
        <v>26</v>
      </c>
      <c r="CE527" s="1">
        <v>0</v>
      </c>
      <c r="CG527" s="1" t="s">
        <v>278</v>
      </c>
      <c r="CH527" s="1" t="s">
        <v>219</v>
      </c>
      <c r="CI527" s="1" t="s">
        <v>438</v>
      </c>
      <c r="CK527" s="1" t="s">
        <v>317</v>
      </c>
      <c r="CL527" s="1" t="s">
        <v>219</v>
      </c>
      <c r="CM527" s="1" t="s">
        <v>438</v>
      </c>
      <c r="CO527" s="1" t="s">
        <v>821</v>
      </c>
      <c r="CP527" s="1" t="s">
        <v>219</v>
      </c>
      <c r="CQ527" s="1" t="s">
        <v>438</v>
      </c>
      <c r="CS527" s="1" t="s">
        <v>539</v>
      </c>
      <c r="CT527" s="1" t="s">
        <v>219</v>
      </c>
      <c r="CU527" s="1" t="s">
        <v>438</v>
      </c>
      <c r="CX527" s="1" t="s">
        <v>224</v>
      </c>
      <c r="DB527" s="1" t="s">
        <v>224</v>
      </c>
      <c r="DE527" s="1" t="s">
        <v>821</v>
      </c>
      <c r="DF527" s="1" t="s">
        <v>219</v>
      </c>
      <c r="DG527" s="1" t="s">
        <v>438</v>
      </c>
      <c r="DJ527" s="1" t="s">
        <v>224</v>
      </c>
      <c r="DS527" s="1" t="s">
        <v>230</v>
      </c>
      <c r="DW527" s="1" t="s">
        <v>230</v>
      </c>
      <c r="EA527" s="1" t="s">
        <v>230</v>
      </c>
      <c r="EE527" s="1" t="s">
        <v>230</v>
      </c>
      <c r="EI527" s="1" t="s">
        <v>230</v>
      </c>
      <c r="EL527" s="1" t="s">
        <v>605</v>
      </c>
      <c r="EM527" s="1" t="s">
        <v>319</v>
      </c>
      <c r="EN527" s="1" t="s">
        <v>282</v>
      </c>
      <c r="EO527" s="1" t="s">
        <v>234</v>
      </c>
      <c r="EP527" s="1" t="s">
        <v>6733</v>
      </c>
      <c r="EQ527" s="1" t="s">
        <v>2188</v>
      </c>
      <c r="ER527" s="1" t="s">
        <v>210</v>
      </c>
      <c r="ES527" s="1" t="s">
        <v>545</v>
      </c>
      <c r="EU527" s="1" t="s">
        <v>6734</v>
      </c>
      <c r="EV527" s="1" t="s">
        <v>240</v>
      </c>
      <c r="EW527" s="1" t="s">
        <v>5806</v>
      </c>
      <c r="EZ527" s="1" t="s">
        <v>287</v>
      </c>
      <c r="FA527" s="1" t="s">
        <v>1048</v>
      </c>
      <c r="FB527" s="1" t="s">
        <v>244</v>
      </c>
      <c r="FD527" s="1" t="s">
        <v>290</v>
      </c>
      <c r="FE527" s="1" t="s">
        <v>247</v>
      </c>
      <c r="FF527" s="1" t="s">
        <v>248</v>
      </c>
      <c r="FH527" s="1" t="s">
        <v>716</v>
      </c>
      <c r="FI527" s="1" t="s">
        <v>1114</v>
      </c>
      <c r="FL527" s="1" t="s">
        <v>292</v>
      </c>
      <c r="FM527" s="1" t="s">
        <v>252</v>
      </c>
      <c r="FN527" s="1" t="s">
        <v>213</v>
      </c>
      <c r="FO527" s="1" t="s">
        <v>213</v>
      </c>
      <c r="FQ527" s="1" t="s">
        <v>6735</v>
      </c>
      <c r="FR527" s="1" t="s">
        <v>210</v>
      </c>
      <c r="FS527" s="1" t="s">
        <v>6736</v>
      </c>
      <c r="FT527" s="1" t="s">
        <v>520</v>
      </c>
      <c r="FU527" s="1" t="s">
        <v>204</v>
      </c>
      <c r="FW527" s="1" t="s">
        <v>6737</v>
      </c>
      <c r="FX527" s="1">
        <v>10646</v>
      </c>
      <c r="FY527" s="1" t="s">
        <v>6738</v>
      </c>
      <c r="FZ527" s="1" t="s">
        <v>6739</v>
      </c>
      <c r="GA527" s="1">
        <v>120575</v>
      </c>
      <c r="GB527" s="1" t="s">
        <v>6740</v>
      </c>
      <c r="GE527" s="1" t="s">
        <v>210</v>
      </c>
      <c r="GH527" s="1" t="s">
        <v>589</v>
      </c>
      <c r="GI527" s="1" t="s">
        <v>213</v>
      </c>
      <c r="GJ527" s="1" t="s">
        <v>260</v>
      </c>
      <c r="GK527" s="1" t="s">
        <v>210</v>
      </c>
      <c r="GL527" s="2">
        <v>42110</v>
      </c>
      <c r="GM527" s="1" t="s">
        <v>6741</v>
      </c>
    </row>
    <row r="528" spans="1:195">
      <c r="A528" s="1">
        <v>129000</v>
      </c>
      <c r="B528" s="1" t="s">
        <v>195</v>
      </c>
      <c r="C528" s="1" t="str">
        <f>"08798092"</f>
        <v>08798092</v>
      </c>
      <c r="D528" s="1" t="s">
        <v>196</v>
      </c>
      <c r="F528" s="1" t="str">
        <f>"139"</f>
        <v>139</v>
      </c>
      <c r="G528" s="2">
        <v>41979</v>
      </c>
      <c r="H528" s="1">
        <v>137900</v>
      </c>
      <c r="I528" s="1">
        <v>137900</v>
      </c>
      <c r="J528" s="1">
        <v>129000</v>
      </c>
      <c r="K528" s="2">
        <v>41979</v>
      </c>
      <c r="L528" s="1">
        <v>21</v>
      </c>
      <c r="M528" s="2">
        <v>41999</v>
      </c>
      <c r="N528" s="1">
        <v>21</v>
      </c>
      <c r="O528" s="2">
        <v>41999</v>
      </c>
      <c r="P528" s="1">
        <v>25822</v>
      </c>
      <c r="Q528" s="1" t="s">
        <v>197</v>
      </c>
      <c r="R528" s="2">
        <v>42040</v>
      </c>
      <c r="S528" s="1">
        <v>230446</v>
      </c>
      <c r="U528" s="1">
        <v>1507</v>
      </c>
      <c r="V528" s="1" t="s">
        <v>6316</v>
      </c>
      <c r="W528" s="1" t="s">
        <v>264</v>
      </c>
      <c r="Y528" s="1">
        <v>6</v>
      </c>
      <c r="Z528" s="1" t="s">
        <v>249</v>
      </c>
      <c r="AA528" s="1" t="s">
        <v>1732</v>
      </c>
      <c r="AB528" s="1">
        <v>60139</v>
      </c>
      <c r="AD528" s="1" t="s">
        <v>6742</v>
      </c>
      <c r="AE528" s="1" t="s">
        <v>6743</v>
      </c>
      <c r="AF528" s="1">
        <v>1990</v>
      </c>
      <c r="AG528" s="1" t="s">
        <v>204</v>
      </c>
      <c r="AH528" s="1" t="s">
        <v>1735</v>
      </c>
      <c r="AI528" s="1" t="s">
        <v>206</v>
      </c>
      <c r="AJ528" s="1" t="s">
        <v>269</v>
      </c>
      <c r="AL528" s="1">
        <v>6</v>
      </c>
      <c r="AM528" s="1">
        <v>2</v>
      </c>
      <c r="AN528" s="1">
        <v>2</v>
      </c>
      <c r="AO528" s="1">
        <v>0</v>
      </c>
      <c r="AP528" s="1" t="s">
        <v>209</v>
      </c>
      <c r="AQ528" s="1">
        <v>1</v>
      </c>
      <c r="AR528" s="1" t="s">
        <v>210</v>
      </c>
      <c r="AS528" s="1" t="s">
        <v>204</v>
      </c>
      <c r="AT528" s="1" t="s">
        <v>211</v>
      </c>
      <c r="AU528" s="1">
        <v>2</v>
      </c>
      <c r="AW528" s="1" t="s">
        <v>213</v>
      </c>
      <c r="AX528" s="1" t="s">
        <v>212</v>
      </c>
      <c r="AZ528" s="1">
        <v>5125</v>
      </c>
      <c r="BA528" s="1">
        <v>2013</v>
      </c>
      <c r="BB528" s="1" t="s">
        <v>405</v>
      </c>
      <c r="BE528" s="1">
        <v>0</v>
      </c>
      <c r="BF528" s="1">
        <v>1</v>
      </c>
      <c r="BG528" s="1">
        <v>0</v>
      </c>
      <c r="BL528" s="1">
        <v>180</v>
      </c>
      <c r="BM528" s="1" t="s">
        <v>204</v>
      </c>
      <c r="BN528" s="1" t="s">
        <v>213</v>
      </c>
      <c r="BO528" s="1">
        <v>50</v>
      </c>
      <c r="BP528" s="1" t="s">
        <v>204</v>
      </c>
      <c r="BR528" s="1" t="str">
        <f>"0233211039"</f>
        <v>0233211039</v>
      </c>
      <c r="BT528" s="1" t="s">
        <v>6744</v>
      </c>
      <c r="BU528" s="1" t="s">
        <v>6319</v>
      </c>
      <c r="BV528" s="1" t="s">
        <v>3645</v>
      </c>
      <c r="BW528" s="1" t="s">
        <v>2169</v>
      </c>
      <c r="BX528" s="1">
        <v>16</v>
      </c>
      <c r="BY528" s="1">
        <v>16</v>
      </c>
      <c r="BZ528" s="1">
        <v>87</v>
      </c>
      <c r="CB528" s="1" t="str">
        <f>"2"</f>
        <v>2</v>
      </c>
      <c r="CC528" s="1" t="str">
        <f t="shared" si="412"/>
        <v>0</v>
      </c>
      <c r="CD528" s="1">
        <v>24</v>
      </c>
      <c r="CE528" s="1">
        <v>0</v>
      </c>
      <c r="CG528" s="1" t="s">
        <v>228</v>
      </c>
      <c r="CH528" s="1" t="s">
        <v>219</v>
      </c>
      <c r="CI528" s="1" t="s">
        <v>220</v>
      </c>
      <c r="CJ528" s="1" t="s">
        <v>343</v>
      </c>
      <c r="CK528" s="1" t="s">
        <v>757</v>
      </c>
      <c r="CL528" s="1" t="s">
        <v>219</v>
      </c>
      <c r="CM528" s="1" t="s">
        <v>229</v>
      </c>
      <c r="CN528" s="1" t="s">
        <v>343</v>
      </c>
      <c r="CO528" s="1" t="s">
        <v>786</v>
      </c>
      <c r="CP528" s="1" t="s">
        <v>219</v>
      </c>
      <c r="CQ528" s="1" t="s">
        <v>226</v>
      </c>
      <c r="CR528" s="1" t="s">
        <v>343</v>
      </c>
      <c r="CS528" s="1" t="s">
        <v>346</v>
      </c>
      <c r="CT528" s="1" t="s">
        <v>219</v>
      </c>
      <c r="CU528" s="1" t="s">
        <v>220</v>
      </c>
      <c r="CV528" s="1" t="s">
        <v>343</v>
      </c>
      <c r="CX528" s="1" t="s">
        <v>224</v>
      </c>
      <c r="DB528" s="1" t="s">
        <v>224</v>
      </c>
      <c r="DE528" s="1" t="s">
        <v>379</v>
      </c>
      <c r="DF528" s="1" t="s">
        <v>219</v>
      </c>
      <c r="DG528" s="1" t="s">
        <v>226</v>
      </c>
      <c r="DH528" s="1" t="s">
        <v>210</v>
      </c>
      <c r="DJ528" s="1" t="s">
        <v>224</v>
      </c>
      <c r="DM528" s="1" t="s">
        <v>381</v>
      </c>
      <c r="DR528" s="1" t="s">
        <v>2031</v>
      </c>
      <c r="DS528" s="1" t="s">
        <v>219</v>
      </c>
      <c r="DT528" s="1" t="s">
        <v>226</v>
      </c>
      <c r="DU528" s="1" t="s">
        <v>210</v>
      </c>
      <c r="DW528" s="1" t="s">
        <v>230</v>
      </c>
      <c r="EA528" s="1" t="s">
        <v>230</v>
      </c>
      <c r="EE528" s="1" t="s">
        <v>230</v>
      </c>
      <c r="EI528" s="1" t="s">
        <v>230</v>
      </c>
      <c r="EL528" s="1" t="s">
        <v>382</v>
      </c>
      <c r="EM528" s="1" t="s">
        <v>232</v>
      </c>
      <c r="EN528" s="1" t="s">
        <v>282</v>
      </c>
      <c r="EO528" s="1" t="s">
        <v>840</v>
      </c>
      <c r="EP528" s="1" t="s">
        <v>6745</v>
      </c>
      <c r="EQ528" s="1" t="s">
        <v>468</v>
      </c>
      <c r="ER528" s="1" t="s">
        <v>210</v>
      </c>
      <c r="ES528" s="1" t="s">
        <v>824</v>
      </c>
      <c r="EU528" s="1" t="s">
        <v>6746</v>
      </c>
      <c r="EV528" s="1" t="s">
        <v>240</v>
      </c>
      <c r="EW528" s="1" t="s">
        <v>991</v>
      </c>
      <c r="EY528" s="1" t="s">
        <v>242</v>
      </c>
      <c r="EZ528" s="1" t="s">
        <v>381</v>
      </c>
      <c r="FA528" s="1" t="s">
        <v>3624</v>
      </c>
      <c r="FB528" s="1" t="s">
        <v>289</v>
      </c>
      <c r="FC528" s="1" t="s">
        <v>2002</v>
      </c>
      <c r="FD528" s="1" t="s">
        <v>246</v>
      </c>
      <c r="FE528" s="1" t="s">
        <v>386</v>
      </c>
      <c r="FF528" s="1" t="s">
        <v>248</v>
      </c>
      <c r="FH528" s="1" t="s">
        <v>3838</v>
      </c>
      <c r="FI528" s="1" t="s">
        <v>473</v>
      </c>
      <c r="FL528" s="1" t="s">
        <v>358</v>
      </c>
      <c r="FM528" s="1" t="s">
        <v>252</v>
      </c>
      <c r="FN528" s="1" t="s">
        <v>213</v>
      </c>
      <c r="FO528" s="1" t="s">
        <v>213</v>
      </c>
      <c r="FQ528" s="1" t="s">
        <v>2004</v>
      </c>
      <c r="FR528" s="1" t="s">
        <v>210</v>
      </c>
      <c r="FS528" s="1" t="s">
        <v>6747</v>
      </c>
      <c r="FT528" s="1" t="s">
        <v>255</v>
      </c>
      <c r="FU528" s="1" t="s">
        <v>204</v>
      </c>
      <c r="FW528" s="1" t="s">
        <v>585</v>
      </c>
      <c r="FX528" s="1">
        <v>26032</v>
      </c>
      <c r="FY528" s="1" t="s">
        <v>6322</v>
      </c>
      <c r="FZ528" s="1" t="s">
        <v>6323</v>
      </c>
      <c r="GA528" s="1">
        <v>227647</v>
      </c>
      <c r="GB528" s="1" t="s">
        <v>6324</v>
      </c>
      <c r="GE528" s="1" t="s">
        <v>1764</v>
      </c>
      <c r="GI528" s="1" t="s">
        <v>213</v>
      </c>
      <c r="GJ528" s="1" t="s">
        <v>260</v>
      </c>
      <c r="GK528" s="1" t="s">
        <v>210</v>
      </c>
      <c r="GL528" s="2">
        <v>42042</v>
      </c>
      <c r="GM528" s="1" t="s">
        <v>6748</v>
      </c>
    </row>
    <row r="529" spans="1:195">
      <c r="A529" s="1">
        <v>167000</v>
      </c>
      <c r="B529" s="1" t="s">
        <v>195</v>
      </c>
      <c r="C529" s="1" t="str">
        <f>"08839012"</f>
        <v>08839012</v>
      </c>
      <c r="D529" s="1" t="s">
        <v>196</v>
      </c>
      <c r="F529" s="1" t="str">
        <f t="shared" ref="F529:F530" si="413">"540"</f>
        <v>540</v>
      </c>
      <c r="G529" s="2">
        <v>42050</v>
      </c>
      <c r="H529" s="1">
        <v>169900</v>
      </c>
      <c r="I529" s="1">
        <v>169900</v>
      </c>
      <c r="J529" s="1">
        <v>167000</v>
      </c>
      <c r="K529" s="2">
        <v>42050</v>
      </c>
      <c r="L529" s="1">
        <v>239</v>
      </c>
      <c r="M529" s="2">
        <v>42067</v>
      </c>
      <c r="N529" s="1">
        <v>18</v>
      </c>
      <c r="O529" s="2">
        <v>42067</v>
      </c>
      <c r="P529" s="1">
        <v>23279</v>
      </c>
      <c r="Q529" s="1" t="s">
        <v>197</v>
      </c>
      <c r="R529" s="2">
        <v>42125</v>
      </c>
      <c r="S529" s="1">
        <v>242111</v>
      </c>
      <c r="U529" s="1">
        <v>2929</v>
      </c>
      <c r="V529" s="1" t="s">
        <v>6749</v>
      </c>
      <c r="W529" s="1" t="s">
        <v>264</v>
      </c>
      <c r="Y529" s="1">
        <v>6</v>
      </c>
      <c r="Z529" s="1" t="s">
        <v>249</v>
      </c>
      <c r="AA529" s="1" t="s">
        <v>921</v>
      </c>
      <c r="AB529" s="1">
        <v>60564</v>
      </c>
      <c r="AD529" s="1" t="s">
        <v>6750</v>
      </c>
      <c r="AE529" s="1" t="s">
        <v>6751</v>
      </c>
      <c r="AF529" s="1">
        <v>1999</v>
      </c>
      <c r="AG529" s="1" t="s">
        <v>204</v>
      </c>
      <c r="AH529" s="1" t="s">
        <v>924</v>
      </c>
      <c r="AI529" s="1" t="s">
        <v>1800</v>
      </c>
      <c r="AJ529" s="1" t="s">
        <v>1801</v>
      </c>
      <c r="AK529" s="1" t="s">
        <v>6752</v>
      </c>
      <c r="AL529" s="1">
        <v>6</v>
      </c>
      <c r="AM529" s="1">
        <v>2</v>
      </c>
      <c r="AN529" s="1">
        <v>2</v>
      </c>
      <c r="AO529" s="1">
        <v>1</v>
      </c>
      <c r="AP529" s="1" t="s">
        <v>209</v>
      </c>
      <c r="AQ529" s="1">
        <v>1</v>
      </c>
      <c r="AR529" s="1" t="s">
        <v>210</v>
      </c>
      <c r="AS529" s="1" t="s">
        <v>204</v>
      </c>
      <c r="AT529" s="1" t="s">
        <v>211</v>
      </c>
      <c r="AU529" s="1">
        <v>1</v>
      </c>
      <c r="AW529" s="1" t="s">
        <v>204</v>
      </c>
      <c r="AX529" s="1" t="s">
        <v>212</v>
      </c>
      <c r="AZ529" s="1">
        <v>4119</v>
      </c>
      <c r="BA529" s="1">
        <v>2012</v>
      </c>
      <c r="BB529" s="1" t="s">
        <v>405</v>
      </c>
      <c r="BE529" s="1">
        <v>1336</v>
      </c>
      <c r="BF529" s="1">
        <v>1</v>
      </c>
      <c r="BG529" s="1">
        <v>0</v>
      </c>
      <c r="BL529" s="1">
        <v>183</v>
      </c>
      <c r="BM529" s="1" t="s">
        <v>204</v>
      </c>
      <c r="BN529" s="1" t="s">
        <v>213</v>
      </c>
      <c r="BO529" s="1">
        <v>0</v>
      </c>
      <c r="BP529" s="1" t="s">
        <v>204</v>
      </c>
      <c r="BR529" s="1" t="str">
        <f>"01033041231004"</f>
        <v>01033041231004</v>
      </c>
      <c r="BT529" s="1" t="s">
        <v>6753</v>
      </c>
      <c r="BU529" s="1" t="s">
        <v>2216</v>
      </c>
      <c r="BV529" s="1" t="s">
        <v>6754</v>
      </c>
      <c r="BW529" s="1" t="s">
        <v>2218</v>
      </c>
      <c r="BX529" s="1">
        <v>204</v>
      </c>
      <c r="BY529" s="1">
        <v>204</v>
      </c>
      <c r="BZ529" s="1">
        <v>204</v>
      </c>
      <c r="CB529" s="1" t="str">
        <f t="shared" ref="CB529:CC529" si="414">""</f>
        <v/>
      </c>
      <c r="CC529" s="1" t="str">
        <f t="shared" si="414"/>
        <v/>
      </c>
      <c r="CD529" s="1">
        <v>29</v>
      </c>
      <c r="CE529" s="1">
        <v>10</v>
      </c>
      <c r="CG529" s="1" t="s">
        <v>1045</v>
      </c>
      <c r="CH529" s="1" t="s">
        <v>219</v>
      </c>
      <c r="CI529" s="1" t="s">
        <v>220</v>
      </c>
      <c r="CJ529" s="1" t="s">
        <v>343</v>
      </c>
      <c r="CK529" s="1" t="s">
        <v>1045</v>
      </c>
      <c r="CL529" s="1" t="s">
        <v>277</v>
      </c>
      <c r="CM529" s="1" t="s">
        <v>220</v>
      </c>
      <c r="CN529" s="1" t="s">
        <v>343</v>
      </c>
      <c r="CO529" s="1" t="s">
        <v>346</v>
      </c>
      <c r="CP529" s="1" t="s">
        <v>219</v>
      </c>
      <c r="CQ529" s="1" t="s">
        <v>220</v>
      </c>
      <c r="CR529" s="1" t="s">
        <v>210</v>
      </c>
      <c r="CS529" s="1" t="s">
        <v>378</v>
      </c>
      <c r="CT529" s="1" t="s">
        <v>277</v>
      </c>
      <c r="CU529" s="1" t="s">
        <v>220</v>
      </c>
      <c r="CV529" s="1" t="s">
        <v>343</v>
      </c>
      <c r="CX529" s="1" t="s">
        <v>224</v>
      </c>
      <c r="DB529" s="1" t="s">
        <v>224</v>
      </c>
      <c r="DE529" s="1" t="s">
        <v>318</v>
      </c>
      <c r="DF529" s="1" t="s">
        <v>219</v>
      </c>
      <c r="DG529" s="1" t="s">
        <v>226</v>
      </c>
      <c r="DH529" s="1" t="s">
        <v>210</v>
      </c>
      <c r="DJ529" s="1" t="s">
        <v>224</v>
      </c>
      <c r="DM529" s="1" t="s">
        <v>464</v>
      </c>
      <c r="DR529" s="1" t="s">
        <v>409</v>
      </c>
      <c r="DS529" s="1" t="s">
        <v>277</v>
      </c>
      <c r="DT529" s="1" t="s">
        <v>220</v>
      </c>
      <c r="DU529" s="1" t="s">
        <v>210</v>
      </c>
      <c r="DW529" s="1" t="s">
        <v>230</v>
      </c>
      <c r="EA529" s="1" t="s">
        <v>230</v>
      </c>
      <c r="EE529" s="1" t="s">
        <v>230</v>
      </c>
      <c r="EI529" s="1" t="s">
        <v>230</v>
      </c>
      <c r="EL529" s="1" t="s">
        <v>670</v>
      </c>
      <c r="EM529" s="1" t="s">
        <v>232</v>
      </c>
      <c r="EN529" s="1" t="s">
        <v>282</v>
      </c>
      <c r="EO529" s="1" t="s">
        <v>234</v>
      </c>
      <c r="EP529" s="1" t="s">
        <v>1268</v>
      </c>
      <c r="EQ529" s="1" t="s">
        <v>236</v>
      </c>
      <c r="ER529" s="1" t="s">
        <v>383</v>
      </c>
      <c r="ES529" s="1" t="s">
        <v>608</v>
      </c>
      <c r="EU529" s="1" t="s">
        <v>239</v>
      </c>
      <c r="EV529" s="1" t="s">
        <v>240</v>
      </c>
      <c r="EW529" s="1" t="s">
        <v>887</v>
      </c>
      <c r="EY529" s="1" t="s">
        <v>242</v>
      </c>
      <c r="EZ529" s="1" t="s">
        <v>464</v>
      </c>
      <c r="FA529" s="1" t="s">
        <v>1072</v>
      </c>
      <c r="FB529" s="1" t="s">
        <v>289</v>
      </c>
      <c r="FC529" s="1" t="s">
        <v>1386</v>
      </c>
      <c r="FD529" s="1" t="s">
        <v>246</v>
      </c>
      <c r="FE529" s="1" t="s">
        <v>6755</v>
      </c>
      <c r="FF529" s="1" t="s">
        <v>248</v>
      </c>
      <c r="FG529" s="1" t="s">
        <v>871</v>
      </c>
      <c r="FH529" s="1" t="s">
        <v>550</v>
      </c>
      <c r="FI529" s="1" t="s">
        <v>473</v>
      </c>
      <c r="FL529" s="1" t="s">
        <v>358</v>
      </c>
      <c r="FM529" s="1" t="s">
        <v>252</v>
      </c>
      <c r="FN529" s="1" t="s">
        <v>213</v>
      </c>
      <c r="FO529" s="1" t="s">
        <v>213</v>
      </c>
      <c r="FQ529" s="1" t="s">
        <v>717</v>
      </c>
      <c r="FR529" s="1" t="s">
        <v>210</v>
      </c>
      <c r="FS529" s="1" t="s">
        <v>6756</v>
      </c>
      <c r="FT529" s="1" t="s">
        <v>6757</v>
      </c>
      <c r="FU529" s="1" t="s">
        <v>204</v>
      </c>
      <c r="FW529" s="1" t="s">
        <v>585</v>
      </c>
      <c r="FX529" s="1">
        <v>23156</v>
      </c>
      <c r="FY529" s="1" t="s">
        <v>1253</v>
      </c>
      <c r="FZ529" s="1" t="s">
        <v>5821</v>
      </c>
      <c r="GA529" s="1">
        <v>220294</v>
      </c>
      <c r="GB529" s="1" t="s">
        <v>5822</v>
      </c>
      <c r="GD529" s="1" t="s">
        <v>5823</v>
      </c>
      <c r="GE529" s="1" t="s">
        <v>1764</v>
      </c>
      <c r="GI529" s="1" t="s">
        <v>213</v>
      </c>
      <c r="GJ529" s="1" t="s">
        <v>260</v>
      </c>
      <c r="GK529" s="1" t="s">
        <v>210</v>
      </c>
      <c r="GL529" s="2">
        <v>42125</v>
      </c>
    </row>
    <row r="530" spans="1:195">
      <c r="A530" s="1">
        <v>144900</v>
      </c>
      <c r="B530" s="1" t="s">
        <v>195</v>
      </c>
      <c r="C530" s="1" t="str">
        <f>"08797894"</f>
        <v>08797894</v>
      </c>
      <c r="D530" s="1" t="s">
        <v>196</v>
      </c>
      <c r="F530" s="1" t="str">
        <f t="shared" si="413"/>
        <v>540</v>
      </c>
      <c r="G530" s="2">
        <v>41978</v>
      </c>
      <c r="H530" s="1">
        <v>152900</v>
      </c>
      <c r="I530" s="1">
        <v>149900</v>
      </c>
      <c r="J530" s="1">
        <v>144900</v>
      </c>
      <c r="K530" s="2">
        <v>41978</v>
      </c>
      <c r="L530" s="1">
        <v>46</v>
      </c>
      <c r="M530" s="2">
        <v>42023</v>
      </c>
      <c r="N530" s="1">
        <v>46</v>
      </c>
      <c r="O530" s="2">
        <v>42023</v>
      </c>
      <c r="P530" s="1">
        <v>23265</v>
      </c>
      <c r="Q530" s="1" t="s">
        <v>197</v>
      </c>
      <c r="R530" s="2">
        <v>42055</v>
      </c>
      <c r="S530" s="1">
        <v>221395</v>
      </c>
      <c r="T530" s="1">
        <v>500</v>
      </c>
      <c r="U530" s="1">
        <v>2611</v>
      </c>
      <c r="V530" s="1" t="s">
        <v>6758</v>
      </c>
      <c r="W530" s="1" t="s">
        <v>264</v>
      </c>
      <c r="X530" s="1">
        <v>202</v>
      </c>
      <c r="Y530" s="1">
        <v>3</v>
      </c>
      <c r="Z530" s="1" t="s">
        <v>249</v>
      </c>
      <c r="AA530" s="1" t="s">
        <v>921</v>
      </c>
      <c r="AB530" s="1">
        <v>60564</v>
      </c>
      <c r="AE530" s="1" t="s">
        <v>6759</v>
      </c>
      <c r="AF530" s="1">
        <v>1999</v>
      </c>
      <c r="AG530" s="1" t="s">
        <v>204</v>
      </c>
      <c r="AH530" s="1" t="s">
        <v>924</v>
      </c>
      <c r="AI530" s="1" t="s">
        <v>1800</v>
      </c>
      <c r="AJ530" s="1" t="s">
        <v>1801</v>
      </c>
      <c r="AL530" s="1">
        <v>5</v>
      </c>
      <c r="AM530" s="1">
        <v>2</v>
      </c>
      <c r="AN530" s="1">
        <v>2</v>
      </c>
      <c r="AO530" s="1">
        <v>0</v>
      </c>
      <c r="AP530" s="1" t="s">
        <v>209</v>
      </c>
      <c r="AQ530" s="1">
        <v>1</v>
      </c>
      <c r="AR530" s="1" t="s">
        <v>210</v>
      </c>
      <c r="AS530" s="1" t="s">
        <v>204</v>
      </c>
      <c r="AT530" s="1" t="s">
        <v>211</v>
      </c>
      <c r="AU530" s="1">
        <v>1</v>
      </c>
      <c r="AW530" s="1" t="s">
        <v>204</v>
      </c>
      <c r="AX530" s="1" t="s">
        <v>212</v>
      </c>
      <c r="AZ530" s="1">
        <v>4030.74</v>
      </c>
      <c r="BA530" s="1">
        <v>2012</v>
      </c>
      <c r="BE530" s="1">
        <v>1304</v>
      </c>
      <c r="BF530" s="1">
        <v>2</v>
      </c>
      <c r="BG530" s="1">
        <v>0</v>
      </c>
      <c r="BL530" s="1">
        <v>248</v>
      </c>
      <c r="BM530" s="1" t="s">
        <v>204</v>
      </c>
      <c r="BN530" s="1" t="s">
        <v>213</v>
      </c>
      <c r="BO530" s="1">
        <v>999</v>
      </c>
      <c r="BP530" s="1" t="s">
        <v>204</v>
      </c>
      <c r="BR530" s="1" t="str">
        <f>"01031050110000"</f>
        <v>01031050110000</v>
      </c>
      <c r="BT530" s="1" t="s">
        <v>6760</v>
      </c>
      <c r="BX530" s="1">
        <v>204</v>
      </c>
      <c r="BY530" s="1">
        <v>204</v>
      </c>
      <c r="BZ530" s="1">
        <v>204</v>
      </c>
      <c r="CB530" s="1" t="str">
        <f t="shared" ref="CB530:CC530" si="415">"0"</f>
        <v>0</v>
      </c>
      <c r="CC530" s="1" t="str">
        <f t="shared" si="415"/>
        <v>0</v>
      </c>
      <c r="CD530" s="1">
        <v>29</v>
      </c>
      <c r="CE530" s="1">
        <v>10</v>
      </c>
      <c r="CH530" s="1" t="s">
        <v>224</v>
      </c>
      <c r="CK530" s="1" t="s">
        <v>539</v>
      </c>
      <c r="CL530" s="1" t="s">
        <v>277</v>
      </c>
      <c r="CM530" s="1" t="s">
        <v>220</v>
      </c>
      <c r="CN530" s="1" t="s">
        <v>210</v>
      </c>
      <c r="CO530" s="1" t="s">
        <v>379</v>
      </c>
      <c r="CP530" s="1" t="s">
        <v>277</v>
      </c>
      <c r="CQ530" s="1" t="s">
        <v>220</v>
      </c>
      <c r="CR530" s="1" t="s">
        <v>210</v>
      </c>
      <c r="CS530" s="1" t="s">
        <v>972</v>
      </c>
      <c r="CT530" s="1" t="s">
        <v>277</v>
      </c>
      <c r="CU530" s="1" t="s">
        <v>220</v>
      </c>
      <c r="CX530" s="1" t="s">
        <v>224</v>
      </c>
      <c r="DB530" s="1" t="s">
        <v>224</v>
      </c>
      <c r="DE530" s="1" t="s">
        <v>1612</v>
      </c>
      <c r="DF530" s="1" t="s">
        <v>277</v>
      </c>
      <c r="DG530" s="1" t="s">
        <v>347</v>
      </c>
      <c r="DH530" s="1" t="s">
        <v>210</v>
      </c>
      <c r="DI530" s="1" t="s">
        <v>669</v>
      </c>
      <c r="DJ530" s="1" t="s">
        <v>277</v>
      </c>
      <c r="DK530" s="1" t="s">
        <v>220</v>
      </c>
      <c r="DL530" s="1" t="s">
        <v>210</v>
      </c>
      <c r="DS530" s="1" t="s">
        <v>230</v>
      </c>
      <c r="DW530" s="1" t="s">
        <v>230</v>
      </c>
      <c r="EA530" s="1" t="s">
        <v>230</v>
      </c>
      <c r="EE530" s="1" t="s">
        <v>230</v>
      </c>
      <c r="EI530" s="1" t="s">
        <v>230</v>
      </c>
      <c r="EL530" s="1" t="s">
        <v>670</v>
      </c>
      <c r="EM530" s="1" t="s">
        <v>232</v>
      </c>
      <c r="EN530" s="1" t="s">
        <v>282</v>
      </c>
      <c r="EO530" s="1" t="s">
        <v>234</v>
      </c>
      <c r="EP530" s="1" t="s">
        <v>3782</v>
      </c>
      <c r="ER530" s="1" t="s">
        <v>383</v>
      </c>
      <c r="EW530" s="1" t="s">
        <v>2778</v>
      </c>
      <c r="EY530" s="1" t="s">
        <v>790</v>
      </c>
      <c r="EZ530" s="1" t="s">
        <v>287</v>
      </c>
      <c r="FB530" s="1" t="s">
        <v>289</v>
      </c>
      <c r="FD530" s="1" t="s">
        <v>246</v>
      </c>
      <c r="FE530" s="1" t="s">
        <v>5388</v>
      </c>
      <c r="FF530" s="1" t="s">
        <v>248</v>
      </c>
      <c r="FG530" s="1" t="s">
        <v>912</v>
      </c>
      <c r="FH530" s="1" t="s">
        <v>550</v>
      </c>
      <c r="FL530" s="1" t="s">
        <v>358</v>
      </c>
      <c r="FM530" s="1" t="s">
        <v>252</v>
      </c>
      <c r="FN530" s="1" t="s">
        <v>213</v>
      </c>
      <c r="FO530" s="1" t="s">
        <v>213</v>
      </c>
      <c r="FQ530" s="1" t="s">
        <v>582</v>
      </c>
      <c r="FR530" s="1" t="s">
        <v>210</v>
      </c>
      <c r="FS530" s="1" t="s">
        <v>6761</v>
      </c>
      <c r="FT530" s="1" t="s">
        <v>584</v>
      </c>
      <c r="FU530" s="1" t="s">
        <v>204</v>
      </c>
      <c r="FW530" s="1" t="s">
        <v>3015</v>
      </c>
      <c r="FX530" s="1">
        <v>24199</v>
      </c>
      <c r="FY530" s="1" t="s">
        <v>3016</v>
      </c>
      <c r="FZ530" s="1" t="s">
        <v>3017</v>
      </c>
      <c r="GA530" s="1">
        <v>235607</v>
      </c>
      <c r="GB530" s="1" t="s">
        <v>3018</v>
      </c>
      <c r="GC530" s="1">
        <v>237175</v>
      </c>
      <c r="GE530" s="1" t="s">
        <v>480</v>
      </c>
      <c r="GI530" s="1" t="s">
        <v>204</v>
      </c>
      <c r="GJ530" s="1" t="s">
        <v>260</v>
      </c>
      <c r="GK530" s="1" t="s">
        <v>210</v>
      </c>
      <c r="GL530" s="2">
        <v>42058</v>
      </c>
      <c r="GM530" s="1" t="s">
        <v>6762</v>
      </c>
    </row>
    <row r="531" spans="1:195">
      <c r="A531" s="1">
        <v>154500</v>
      </c>
      <c r="B531" s="1" t="s">
        <v>195</v>
      </c>
      <c r="C531" s="1" t="str">
        <f>"08801072"</f>
        <v>08801072</v>
      </c>
      <c r="D531" s="1" t="s">
        <v>196</v>
      </c>
      <c r="F531" s="1" t="str">
        <f>"160"</f>
        <v>160</v>
      </c>
      <c r="G531" s="2">
        <v>41985</v>
      </c>
      <c r="H531" s="1">
        <v>165000</v>
      </c>
      <c r="I531" s="1">
        <v>165000</v>
      </c>
      <c r="J531" s="1">
        <v>154500</v>
      </c>
      <c r="K531" s="2">
        <v>41985</v>
      </c>
      <c r="L531" s="1">
        <v>12</v>
      </c>
      <c r="M531" s="2">
        <v>41996</v>
      </c>
      <c r="N531" s="1">
        <v>12</v>
      </c>
      <c r="O531" s="2">
        <v>41996</v>
      </c>
      <c r="P531" s="1">
        <v>14703</v>
      </c>
      <c r="Q531" s="1" t="s">
        <v>347</v>
      </c>
      <c r="R531" s="2">
        <v>42060</v>
      </c>
      <c r="S531" s="1">
        <v>189795</v>
      </c>
      <c r="T531" s="1">
        <v>500</v>
      </c>
      <c r="U531" s="1">
        <v>1302</v>
      </c>
      <c r="V531" s="1" t="s">
        <v>6763</v>
      </c>
      <c r="W531" s="1" t="s">
        <v>425</v>
      </c>
      <c r="X531" s="1" t="s">
        <v>4849</v>
      </c>
      <c r="Y531" s="1">
        <v>6</v>
      </c>
      <c r="Z531" s="1" t="s">
        <v>200</v>
      </c>
      <c r="AA531" s="1" t="s">
        <v>426</v>
      </c>
      <c r="AB531" s="1">
        <v>60160</v>
      </c>
      <c r="AE531" s="1" t="s">
        <v>6764</v>
      </c>
      <c r="AF531" s="1">
        <v>2007</v>
      </c>
      <c r="AG531" s="1" t="s">
        <v>204</v>
      </c>
      <c r="AH531" s="1" t="s">
        <v>428</v>
      </c>
      <c r="AI531" s="1" t="s">
        <v>310</v>
      </c>
      <c r="AJ531" s="1" t="s">
        <v>429</v>
      </c>
      <c r="AL531" s="1">
        <v>4</v>
      </c>
      <c r="AM531" s="1">
        <v>2</v>
      </c>
      <c r="AN531" s="1">
        <v>2</v>
      </c>
      <c r="AO531" s="1">
        <v>0</v>
      </c>
      <c r="AP531" s="1" t="s">
        <v>209</v>
      </c>
      <c r="AR531" s="1" t="s">
        <v>210</v>
      </c>
      <c r="AS531" s="1" t="s">
        <v>204</v>
      </c>
      <c r="AT531" s="1" t="s">
        <v>211</v>
      </c>
      <c r="AU531" s="1">
        <v>1</v>
      </c>
      <c r="AW531" s="1" t="s">
        <v>204</v>
      </c>
      <c r="AX531" s="1" t="s">
        <v>212</v>
      </c>
      <c r="AZ531" s="1">
        <v>4998.59</v>
      </c>
      <c r="BA531" s="1">
        <v>2013</v>
      </c>
      <c r="BB531" s="1" t="s">
        <v>210</v>
      </c>
      <c r="BE531" s="1">
        <v>1400</v>
      </c>
      <c r="BF531" s="1">
        <v>2</v>
      </c>
      <c r="BG531" s="1">
        <v>0</v>
      </c>
      <c r="BJ531" s="1">
        <v>100</v>
      </c>
      <c r="BK531" s="1">
        <v>17</v>
      </c>
      <c r="BL531" s="1">
        <v>178</v>
      </c>
      <c r="BM531" s="1" t="s">
        <v>204</v>
      </c>
      <c r="BN531" s="1" t="s">
        <v>204</v>
      </c>
      <c r="BP531" s="1" t="s">
        <v>204</v>
      </c>
      <c r="BR531" s="1" t="str">
        <f>"15034090201004"</f>
        <v>15034090201004</v>
      </c>
      <c r="BT531" s="1" t="s">
        <v>6765</v>
      </c>
      <c r="BX531" s="1">
        <v>89</v>
      </c>
      <c r="BY531" s="1">
        <v>89</v>
      </c>
      <c r="BZ531" s="1">
        <v>209</v>
      </c>
      <c r="CB531" s="1" t="str">
        <f t="shared" ref="CB531:CC531" si="416">""</f>
        <v/>
      </c>
      <c r="CC531" s="1" t="str">
        <f t="shared" si="416"/>
        <v/>
      </c>
      <c r="CG531" s="1" t="s">
        <v>2934</v>
      </c>
      <c r="CH531" s="1" t="s">
        <v>219</v>
      </c>
      <c r="CK531" s="1" t="s">
        <v>1177</v>
      </c>
      <c r="CL531" s="1" t="s">
        <v>219</v>
      </c>
      <c r="CM531" s="1" t="s">
        <v>438</v>
      </c>
      <c r="CP531" s="1" t="s">
        <v>224</v>
      </c>
      <c r="CS531" s="1" t="s">
        <v>2122</v>
      </c>
      <c r="CT531" s="1" t="s">
        <v>219</v>
      </c>
      <c r="CU531" s="1" t="s">
        <v>438</v>
      </c>
      <c r="CX531" s="1" t="s">
        <v>224</v>
      </c>
      <c r="DB531" s="1" t="s">
        <v>224</v>
      </c>
      <c r="DE531" s="1" t="s">
        <v>1788</v>
      </c>
      <c r="DF531" s="1" t="s">
        <v>219</v>
      </c>
      <c r="DJ531" s="1" t="s">
        <v>224</v>
      </c>
      <c r="DM531" s="1" t="s">
        <v>6766</v>
      </c>
      <c r="DN531" s="1" t="s">
        <v>838</v>
      </c>
      <c r="DO531" s="1" t="s">
        <v>6767</v>
      </c>
      <c r="DR531" s="1" t="s">
        <v>6768</v>
      </c>
      <c r="DS531" s="1" t="s">
        <v>219</v>
      </c>
      <c r="DV531" s="1" t="s">
        <v>6769</v>
      </c>
      <c r="DW531" s="1" t="s">
        <v>219</v>
      </c>
      <c r="DZ531" s="1" t="s">
        <v>4062</v>
      </c>
      <c r="EA531" s="1" t="s">
        <v>219</v>
      </c>
      <c r="EE531" s="1" t="s">
        <v>230</v>
      </c>
      <c r="EI531" s="1" t="s">
        <v>230</v>
      </c>
      <c r="EL531" s="1" t="s">
        <v>491</v>
      </c>
      <c r="EM531" s="1" t="s">
        <v>232</v>
      </c>
      <c r="EN531" s="1" t="s">
        <v>282</v>
      </c>
      <c r="EO531" s="1" t="s">
        <v>234</v>
      </c>
      <c r="ER531" s="1" t="s">
        <v>210</v>
      </c>
      <c r="ET531" s="1" t="s">
        <v>866</v>
      </c>
      <c r="EW531" s="1" t="s">
        <v>1804</v>
      </c>
      <c r="EZ531" s="1" t="s">
        <v>6770</v>
      </c>
      <c r="FB531" s="1" t="s">
        <v>244</v>
      </c>
      <c r="FD531" s="1" t="s">
        <v>1112</v>
      </c>
      <c r="FE531" s="1" t="s">
        <v>247</v>
      </c>
      <c r="FF531" s="1" t="s">
        <v>248</v>
      </c>
      <c r="FH531" s="1" t="s">
        <v>249</v>
      </c>
      <c r="FI531" s="1" t="s">
        <v>1114</v>
      </c>
      <c r="FL531" s="1" t="s">
        <v>414</v>
      </c>
      <c r="FM531" s="1" t="s">
        <v>252</v>
      </c>
      <c r="FN531" s="1" t="s">
        <v>213</v>
      </c>
      <c r="FO531" s="1" t="s">
        <v>213</v>
      </c>
      <c r="FQ531" s="1" t="s">
        <v>6771</v>
      </c>
      <c r="FR531" s="1" t="s">
        <v>210</v>
      </c>
      <c r="FS531" s="1" t="s">
        <v>6772</v>
      </c>
      <c r="FT531" s="1" t="s">
        <v>362</v>
      </c>
      <c r="FU531" s="1" t="s">
        <v>213</v>
      </c>
      <c r="FW531" s="1" t="s">
        <v>6773</v>
      </c>
      <c r="FX531" s="1">
        <v>90811</v>
      </c>
      <c r="FY531" s="1" t="s">
        <v>6774</v>
      </c>
      <c r="FZ531" s="1" t="s">
        <v>6775</v>
      </c>
      <c r="GA531" s="1">
        <v>901705</v>
      </c>
      <c r="GB531" s="1" t="s">
        <v>6776</v>
      </c>
      <c r="GE531" s="1" t="s">
        <v>210</v>
      </c>
      <c r="GH531" s="1" t="s">
        <v>230</v>
      </c>
      <c r="GI531" s="1" t="s">
        <v>213</v>
      </c>
      <c r="GJ531" s="1" t="s">
        <v>260</v>
      </c>
      <c r="GK531" s="1" t="s">
        <v>210</v>
      </c>
      <c r="GL531" s="2">
        <v>42061</v>
      </c>
      <c r="GM531" s="1" t="s">
        <v>6777</v>
      </c>
    </row>
    <row r="532" spans="1:195">
      <c r="A532" s="1">
        <v>80000</v>
      </c>
      <c r="B532" s="1" t="s">
        <v>195</v>
      </c>
      <c r="C532" s="1" t="str">
        <f>"08798655"</f>
        <v>08798655</v>
      </c>
      <c r="D532" s="1" t="s">
        <v>196</v>
      </c>
      <c r="F532" s="1" t="str">
        <f>"507"</f>
        <v>507</v>
      </c>
      <c r="G532" s="2">
        <v>41981</v>
      </c>
      <c r="H532" s="1">
        <v>85900</v>
      </c>
      <c r="I532" s="1">
        <v>85900</v>
      </c>
      <c r="J532" s="1">
        <v>80000</v>
      </c>
      <c r="K532" s="2">
        <v>41981</v>
      </c>
      <c r="L532" s="1">
        <v>9</v>
      </c>
      <c r="M532" s="2">
        <v>41989</v>
      </c>
      <c r="N532" s="1">
        <v>9</v>
      </c>
      <c r="O532" s="2">
        <v>41989</v>
      </c>
      <c r="P532" s="1">
        <v>456</v>
      </c>
      <c r="Q532" s="1" t="s">
        <v>302</v>
      </c>
      <c r="R532" s="2">
        <v>41999</v>
      </c>
      <c r="S532" s="1">
        <v>1492</v>
      </c>
      <c r="U532" s="1">
        <v>1081</v>
      </c>
      <c r="V532" s="1" t="s">
        <v>6778</v>
      </c>
      <c r="W532" s="1" t="s">
        <v>264</v>
      </c>
      <c r="Y532" s="1">
        <v>4</v>
      </c>
      <c r="Z532" s="1" t="s">
        <v>370</v>
      </c>
      <c r="AA532" s="1" t="s">
        <v>1123</v>
      </c>
      <c r="AB532" s="1">
        <v>60506</v>
      </c>
      <c r="AD532" s="1" t="s">
        <v>6779</v>
      </c>
      <c r="AE532" s="1" t="s">
        <v>6780</v>
      </c>
      <c r="AF532" s="1">
        <v>1973</v>
      </c>
      <c r="AG532" s="1" t="s">
        <v>213</v>
      </c>
      <c r="AH532" s="1" t="s">
        <v>1126</v>
      </c>
      <c r="AI532" s="1" t="s">
        <v>665</v>
      </c>
      <c r="AJ532" s="1" t="s">
        <v>1126</v>
      </c>
      <c r="AL532" s="1">
        <v>6</v>
      </c>
      <c r="AM532" s="1">
        <v>2</v>
      </c>
      <c r="AN532" s="1">
        <v>2</v>
      </c>
      <c r="AO532" s="1">
        <v>0</v>
      </c>
      <c r="AP532" s="1" t="s">
        <v>210</v>
      </c>
      <c r="AQ532" s="1">
        <v>0</v>
      </c>
      <c r="AR532" s="1" t="s">
        <v>209</v>
      </c>
      <c r="AS532" s="1" t="s">
        <v>213</v>
      </c>
      <c r="AT532" s="1" t="s">
        <v>211</v>
      </c>
      <c r="AU532" s="1">
        <v>1</v>
      </c>
      <c r="AW532" s="1" t="s">
        <v>204</v>
      </c>
      <c r="AX532" s="1" t="s">
        <v>6781</v>
      </c>
      <c r="AZ532" s="1">
        <v>688.72</v>
      </c>
      <c r="BA532" s="1">
        <v>2013</v>
      </c>
      <c r="BB532" s="1" t="s">
        <v>599</v>
      </c>
      <c r="BE532" s="1">
        <v>836</v>
      </c>
      <c r="BF532" s="1">
        <v>1</v>
      </c>
      <c r="BG532" s="1">
        <v>0</v>
      </c>
      <c r="BL532" s="1">
        <v>200</v>
      </c>
      <c r="BM532" s="1" t="s">
        <v>204</v>
      </c>
      <c r="BN532" s="1" t="s">
        <v>213</v>
      </c>
      <c r="BO532" s="1">
        <v>0</v>
      </c>
      <c r="BP532" s="1" t="s">
        <v>204</v>
      </c>
      <c r="BR532" s="1" t="str">
        <f>"1517110008"</f>
        <v>1517110008</v>
      </c>
      <c r="BT532" s="1" t="s">
        <v>6782</v>
      </c>
      <c r="BX532" s="1">
        <v>129</v>
      </c>
      <c r="BY532" s="1">
        <v>129</v>
      </c>
      <c r="BZ532" s="1">
        <v>129</v>
      </c>
      <c r="CB532" s="1" t="str">
        <f t="shared" ref="CB532:CC532" si="417">""</f>
        <v/>
      </c>
      <c r="CC532" s="1" t="str">
        <f t="shared" si="417"/>
        <v/>
      </c>
      <c r="CG532" s="1" t="s">
        <v>344</v>
      </c>
      <c r="CH532" s="1" t="s">
        <v>219</v>
      </c>
      <c r="CI532" s="1" t="s">
        <v>220</v>
      </c>
      <c r="CJ532" s="1" t="s">
        <v>252</v>
      </c>
      <c r="CK532" s="1" t="s">
        <v>344</v>
      </c>
      <c r="CL532" s="1" t="s">
        <v>219</v>
      </c>
      <c r="CM532" s="1" t="s">
        <v>220</v>
      </c>
      <c r="CN532" s="1" t="s">
        <v>252</v>
      </c>
      <c r="CO532" s="1" t="s">
        <v>951</v>
      </c>
      <c r="CP532" s="1" t="s">
        <v>219</v>
      </c>
      <c r="CQ532" s="1" t="s">
        <v>220</v>
      </c>
      <c r="CR532" s="1" t="s">
        <v>252</v>
      </c>
      <c r="CS532" s="1" t="s">
        <v>539</v>
      </c>
      <c r="CT532" s="1" t="s">
        <v>219</v>
      </c>
      <c r="CU532" s="1" t="s">
        <v>220</v>
      </c>
      <c r="CV532" s="1" t="s">
        <v>252</v>
      </c>
      <c r="CX532" s="1" t="s">
        <v>224</v>
      </c>
      <c r="DB532" s="1" t="s">
        <v>224</v>
      </c>
      <c r="DE532" s="1" t="s">
        <v>951</v>
      </c>
      <c r="DF532" s="1" t="s">
        <v>219</v>
      </c>
      <c r="DG532" s="1" t="s">
        <v>342</v>
      </c>
      <c r="DI532" s="1" t="s">
        <v>6783</v>
      </c>
      <c r="DJ532" s="1" t="s">
        <v>43</v>
      </c>
      <c r="DK532" s="1" t="s">
        <v>220</v>
      </c>
      <c r="DS532" s="1" t="s">
        <v>230</v>
      </c>
      <c r="DW532" s="1" t="s">
        <v>230</v>
      </c>
      <c r="EA532" s="1" t="s">
        <v>230</v>
      </c>
      <c r="EE532" s="1" t="s">
        <v>230</v>
      </c>
      <c r="EI532" s="1" t="s">
        <v>230</v>
      </c>
      <c r="EL532" s="1" t="s">
        <v>605</v>
      </c>
      <c r="EM532" s="1" t="s">
        <v>319</v>
      </c>
      <c r="EN532" s="1" t="s">
        <v>282</v>
      </c>
      <c r="EO532" s="1" t="s">
        <v>234</v>
      </c>
      <c r="EQ532" s="1" t="s">
        <v>468</v>
      </c>
      <c r="ER532" s="1" t="s">
        <v>544</v>
      </c>
      <c r="ES532" s="1" t="s">
        <v>545</v>
      </c>
      <c r="EV532" s="1" t="s">
        <v>324</v>
      </c>
      <c r="EW532" s="1" t="s">
        <v>353</v>
      </c>
      <c r="EY532" s="1" t="s">
        <v>790</v>
      </c>
      <c r="EZ532" s="1" t="s">
        <v>287</v>
      </c>
      <c r="FB532" s="1" t="s">
        <v>289</v>
      </c>
      <c r="FD532" s="1" t="s">
        <v>246</v>
      </c>
      <c r="FE532" s="1" t="s">
        <v>975</v>
      </c>
      <c r="FF532" s="1" t="s">
        <v>248</v>
      </c>
      <c r="FH532" s="1" t="s">
        <v>825</v>
      </c>
      <c r="FI532" s="1" t="s">
        <v>473</v>
      </c>
      <c r="FJ532" s="1" t="s">
        <v>518</v>
      </c>
      <c r="FL532" s="1" t="s">
        <v>358</v>
      </c>
      <c r="FM532" s="1" t="s">
        <v>252</v>
      </c>
      <c r="FN532" s="1" t="s">
        <v>213</v>
      </c>
      <c r="FO532" s="1" t="s">
        <v>213</v>
      </c>
      <c r="FQ532" s="1" t="s">
        <v>849</v>
      </c>
      <c r="FR532" s="1" t="s">
        <v>210</v>
      </c>
      <c r="FS532" s="1" t="s">
        <v>1709</v>
      </c>
      <c r="FT532" s="1" t="s">
        <v>1139</v>
      </c>
      <c r="FU532" s="1" t="s">
        <v>204</v>
      </c>
      <c r="FW532" s="1" t="s">
        <v>6784</v>
      </c>
      <c r="FX532" s="1">
        <v>23180</v>
      </c>
      <c r="FY532" s="1" t="s">
        <v>6785</v>
      </c>
      <c r="FZ532" s="1" t="s">
        <v>6786</v>
      </c>
      <c r="GA532" s="1">
        <v>231369</v>
      </c>
      <c r="GB532" s="1" t="s">
        <v>6787</v>
      </c>
      <c r="GE532" s="1" t="s">
        <v>776</v>
      </c>
      <c r="GI532" s="1" t="s">
        <v>213</v>
      </c>
      <c r="GJ532" s="1" t="s">
        <v>260</v>
      </c>
      <c r="GK532" s="1" t="s">
        <v>210</v>
      </c>
      <c r="GL532" s="2">
        <v>41999</v>
      </c>
      <c r="GM532" s="1" t="s">
        <v>6788</v>
      </c>
    </row>
    <row r="533" spans="1:195">
      <c r="A533" s="1">
        <v>140000</v>
      </c>
      <c r="B533" s="1" t="s">
        <v>195</v>
      </c>
      <c r="C533" s="1" t="str">
        <f>"08798939"</f>
        <v>08798939</v>
      </c>
      <c r="D533" s="1" t="s">
        <v>196</v>
      </c>
      <c r="F533" s="1" t="str">
        <f>"516"</f>
        <v>516</v>
      </c>
      <c r="G533" s="2">
        <v>41981</v>
      </c>
      <c r="H533" s="1">
        <v>148500</v>
      </c>
      <c r="I533" s="1">
        <v>148500</v>
      </c>
      <c r="J533" s="1">
        <v>140000</v>
      </c>
      <c r="K533" s="2">
        <v>41981</v>
      </c>
      <c r="L533" s="1">
        <v>33</v>
      </c>
      <c r="M533" s="2">
        <v>42013</v>
      </c>
      <c r="N533" s="1">
        <v>33</v>
      </c>
      <c r="O533" s="2">
        <v>42013</v>
      </c>
      <c r="P533" s="1">
        <v>22010</v>
      </c>
      <c r="Q533" s="1" t="s">
        <v>197</v>
      </c>
      <c r="R533" s="2">
        <v>42054</v>
      </c>
      <c r="S533" s="1">
        <v>233172</v>
      </c>
      <c r="U533" s="1">
        <v>7215</v>
      </c>
      <c r="V533" s="1" t="s">
        <v>6789</v>
      </c>
      <c r="W533" s="1" t="s">
        <v>304</v>
      </c>
      <c r="X533" s="1" t="s">
        <v>2010</v>
      </c>
      <c r="Y533" s="1">
        <v>4</v>
      </c>
      <c r="Z533" s="1" t="s">
        <v>200</v>
      </c>
      <c r="AA533" s="1" t="s">
        <v>1417</v>
      </c>
      <c r="AB533" s="1">
        <v>60527</v>
      </c>
      <c r="AC533" s="1">
        <v>7512</v>
      </c>
      <c r="AD533" s="1" t="s">
        <v>6790</v>
      </c>
      <c r="AE533" s="1" t="s">
        <v>6791</v>
      </c>
      <c r="AF533" s="1">
        <v>1982</v>
      </c>
      <c r="AG533" s="1" t="s">
        <v>204</v>
      </c>
      <c r="AH533" s="1" t="s">
        <v>1419</v>
      </c>
      <c r="AI533" s="1" t="s">
        <v>206</v>
      </c>
      <c r="AJ533" s="1" t="s">
        <v>903</v>
      </c>
      <c r="AK533" s="1" t="s">
        <v>6792</v>
      </c>
      <c r="AL533" s="1">
        <v>5</v>
      </c>
      <c r="AM533" s="1">
        <v>2</v>
      </c>
      <c r="AN533" s="1">
        <v>2</v>
      </c>
      <c r="AO533" s="1">
        <v>0</v>
      </c>
      <c r="AP533" s="1" t="s">
        <v>209</v>
      </c>
      <c r="AQ533" s="1">
        <v>1</v>
      </c>
      <c r="AR533" s="1" t="s">
        <v>210</v>
      </c>
      <c r="AT533" s="1" t="s">
        <v>211</v>
      </c>
      <c r="AU533" s="1">
        <v>1</v>
      </c>
      <c r="AW533" s="1" t="s">
        <v>204</v>
      </c>
      <c r="AX533" s="1" t="s">
        <v>212</v>
      </c>
      <c r="AZ533" s="1">
        <v>1957</v>
      </c>
      <c r="BA533" s="1">
        <v>2013</v>
      </c>
      <c r="BB533" s="1" t="s">
        <v>405</v>
      </c>
      <c r="BE533" s="1">
        <v>1322</v>
      </c>
      <c r="BF533" s="1">
        <v>1</v>
      </c>
      <c r="BG533" s="1">
        <v>0</v>
      </c>
      <c r="BJ533" s="1">
        <v>100</v>
      </c>
      <c r="BL533" s="1">
        <v>251</v>
      </c>
      <c r="BM533" s="1" t="s">
        <v>204</v>
      </c>
      <c r="BN533" s="1" t="s">
        <v>213</v>
      </c>
      <c r="BO533" s="1">
        <v>25</v>
      </c>
      <c r="BP533" s="1" t="s">
        <v>204</v>
      </c>
      <c r="BR533" s="1" t="str">
        <f>"0926206073"</f>
        <v>0926206073</v>
      </c>
      <c r="BT533" s="1" t="s">
        <v>6793</v>
      </c>
      <c r="BU533" s="1" t="s">
        <v>6602</v>
      </c>
      <c r="BV533" s="1" t="s">
        <v>6603</v>
      </c>
      <c r="BW533" s="1" t="s">
        <v>907</v>
      </c>
      <c r="BX533" s="1">
        <v>62</v>
      </c>
      <c r="BY533" s="1">
        <v>62</v>
      </c>
      <c r="BZ533" s="1">
        <v>86</v>
      </c>
      <c r="CB533" s="1" t="str">
        <f t="shared" ref="CB533:CC533" si="418">""</f>
        <v/>
      </c>
      <c r="CC533" s="1" t="str">
        <f t="shared" si="418"/>
        <v/>
      </c>
      <c r="CG533" s="1" t="s">
        <v>628</v>
      </c>
      <c r="CH533" s="1" t="s">
        <v>219</v>
      </c>
      <c r="CI533" s="1" t="s">
        <v>220</v>
      </c>
      <c r="CJ533" s="1" t="s">
        <v>252</v>
      </c>
      <c r="CK533" s="1" t="s">
        <v>729</v>
      </c>
      <c r="CL533" s="1" t="s">
        <v>219</v>
      </c>
      <c r="CM533" s="1" t="s">
        <v>220</v>
      </c>
      <c r="CN533" s="1" t="s">
        <v>252</v>
      </c>
      <c r="CO533" s="1" t="s">
        <v>281</v>
      </c>
      <c r="CP533" s="1" t="s">
        <v>219</v>
      </c>
      <c r="CQ533" s="1" t="s">
        <v>220</v>
      </c>
      <c r="CS533" s="1" t="s">
        <v>465</v>
      </c>
      <c r="CT533" s="1" t="s">
        <v>219</v>
      </c>
      <c r="CU533" s="1" t="s">
        <v>220</v>
      </c>
      <c r="CV533" s="1" t="s">
        <v>252</v>
      </c>
      <c r="CX533" s="1" t="s">
        <v>224</v>
      </c>
      <c r="DB533" s="1" t="s">
        <v>224</v>
      </c>
      <c r="DE533" s="1" t="s">
        <v>1598</v>
      </c>
      <c r="DF533" s="1" t="s">
        <v>219</v>
      </c>
      <c r="DG533" s="1" t="s">
        <v>342</v>
      </c>
      <c r="DH533" s="1" t="s">
        <v>252</v>
      </c>
      <c r="DJ533" s="1" t="s">
        <v>224</v>
      </c>
      <c r="DS533" s="1" t="s">
        <v>230</v>
      </c>
      <c r="DW533" s="1" t="s">
        <v>230</v>
      </c>
      <c r="EA533" s="1" t="s">
        <v>230</v>
      </c>
      <c r="EE533" s="1" t="s">
        <v>230</v>
      </c>
      <c r="EI533" s="1" t="s">
        <v>230</v>
      </c>
      <c r="EL533" s="1" t="s">
        <v>231</v>
      </c>
      <c r="EM533" s="1" t="s">
        <v>232</v>
      </c>
      <c r="EN533" s="1" t="s">
        <v>282</v>
      </c>
      <c r="EO533" s="1" t="s">
        <v>234</v>
      </c>
      <c r="EP533" s="1" t="s">
        <v>650</v>
      </c>
      <c r="EQ533" s="1" t="s">
        <v>236</v>
      </c>
      <c r="ER533" s="1" t="s">
        <v>210</v>
      </c>
      <c r="ES533" s="1" t="s">
        <v>322</v>
      </c>
      <c r="EU533" s="1" t="s">
        <v>610</v>
      </c>
      <c r="EV533" s="1" t="s">
        <v>240</v>
      </c>
      <c r="EW533" s="1" t="s">
        <v>1426</v>
      </c>
      <c r="EY533" s="1" t="s">
        <v>441</v>
      </c>
      <c r="EZ533" s="1" t="s">
        <v>287</v>
      </c>
      <c r="FB533" s="1" t="s">
        <v>289</v>
      </c>
      <c r="FC533" s="1" t="s">
        <v>633</v>
      </c>
      <c r="FD533" s="1" t="s">
        <v>888</v>
      </c>
      <c r="FE533" s="1" t="s">
        <v>651</v>
      </c>
      <c r="FF533" s="1" t="s">
        <v>248</v>
      </c>
      <c r="FG533" s="1" t="s">
        <v>912</v>
      </c>
      <c r="FH533" s="1" t="s">
        <v>716</v>
      </c>
      <c r="FI533" s="1" t="s">
        <v>473</v>
      </c>
      <c r="FL533" s="1" t="s">
        <v>414</v>
      </c>
      <c r="FM533" s="1" t="s">
        <v>252</v>
      </c>
      <c r="FN533" s="1" t="s">
        <v>213</v>
      </c>
      <c r="FO533" s="1" t="s">
        <v>213</v>
      </c>
      <c r="FQ533" s="1" t="s">
        <v>1032</v>
      </c>
      <c r="FR533" s="1" t="s">
        <v>210</v>
      </c>
      <c r="FS533" s="1" t="s">
        <v>552</v>
      </c>
      <c r="FT533" s="1" t="s">
        <v>4361</v>
      </c>
      <c r="FU533" s="1" t="s">
        <v>204</v>
      </c>
      <c r="FW533" s="1" t="s">
        <v>6794</v>
      </c>
      <c r="FX533" s="1">
        <v>22924</v>
      </c>
      <c r="FY533" s="1" t="s">
        <v>6795</v>
      </c>
      <c r="FZ533" s="1" t="s">
        <v>6796</v>
      </c>
      <c r="GA533" s="1">
        <v>231526</v>
      </c>
      <c r="GB533" s="1" t="s">
        <v>6797</v>
      </c>
      <c r="GD533" s="1" t="s">
        <v>6798</v>
      </c>
      <c r="GE533" s="1" t="s">
        <v>776</v>
      </c>
      <c r="GI533" s="1" t="s">
        <v>213</v>
      </c>
      <c r="GJ533" s="1" t="s">
        <v>260</v>
      </c>
      <c r="GK533" s="1" t="s">
        <v>210</v>
      </c>
      <c r="GL533" s="2">
        <v>42059</v>
      </c>
      <c r="GM533" s="1" t="s">
        <v>6799</v>
      </c>
    </row>
    <row r="534" spans="1:195">
      <c r="A534" s="1">
        <v>123000</v>
      </c>
      <c r="B534" s="1" t="s">
        <v>195</v>
      </c>
      <c r="C534" s="1" t="str">
        <f>"08797756"</f>
        <v>08797756</v>
      </c>
      <c r="D534" s="1" t="s">
        <v>196</v>
      </c>
      <c r="F534" s="1" t="str">
        <f>"47"</f>
        <v>47</v>
      </c>
      <c r="G534" s="2">
        <v>41978</v>
      </c>
      <c r="H534" s="1">
        <v>159700</v>
      </c>
      <c r="I534" s="1">
        <v>159700</v>
      </c>
      <c r="J534" s="1">
        <v>123000</v>
      </c>
      <c r="K534" s="2">
        <v>41978</v>
      </c>
      <c r="L534" s="1">
        <v>78</v>
      </c>
      <c r="M534" s="2">
        <v>42055</v>
      </c>
      <c r="N534" s="1">
        <v>78</v>
      </c>
      <c r="O534" s="2">
        <v>42055</v>
      </c>
      <c r="P534" s="1">
        <v>8093</v>
      </c>
      <c r="Q534" s="1" t="s">
        <v>197</v>
      </c>
      <c r="R534" s="2">
        <v>42110</v>
      </c>
      <c r="S534" s="1">
        <v>28744</v>
      </c>
      <c r="U534" s="1">
        <v>35</v>
      </c>
      <c r="V534" s="1" t="s">
        <v>6767</v>
      </c>
      <c r="W534" s="1" t="s">
        <v>504</v>
      </c>
      <c r="X534" s="1" t="s">
        <v>483</v>
      </c>
      <c r="Y534" s="1">
        <v>4</v>
      </c>
      <c r="Z534" s="1" t="s">
        <v>249</v>
      </c>
      <c r="AA534" s="1" t="s">
        <v>528</v>
      </c>
      <c r="AB534" s="1">
        <v>60047</v>
      </c>
      <c r="AE534" s="1" t="s">
        <v>6800</v>
      </c>
      <c r="AF534" s="1">
        <v>1990</v>
      </c>
      <c r="AG534" s="1" t="s">
        <v>204</v>
      </c>
      <c r="AH534" s="1" t="s">
        <v>531</v>
      </c>
      <c r="AI534" s="1" t="s">
        <v>509</v>
      </c>
      <c r="AJ534" s="1" t="s">
        <v>532</v>
      </c>
      <c r="AL534" s="1">
        <v>4</v>
      </c>
      <c r="AM534" s="1">
        <v>2</v>
      </c>
      <c r="AN534" s="1">
        <v>2</v>
      </c>
      <c r="AO534" s="1">
        <v>1</v>
      </c>
      <c r="AP534" s="1" t="s">
        <v>209</v>
      </c>
      <c r="AQ534" s="1">
        <v>1</v>
      </c>
      <c r="AR534" s="1" t="s">
        <v>209</v>
      </c>
      <c r="AS534" s="1" t="s">
        <v>204</v>
      </c>
      <c r="AT534" s="1" t="s">
        <v>211</v>
      </c>
      <c r="AU534" s="1">
        <v>1</v>
      </c>
      <c r="AW534" s="1" t="s">
        <v>204</v>
      </c>
      <c r="AX534" s="1" t="s">
        <v>212</v>
      </c>
      <c r="AZ534" s="1">
        <v>4904.45</v>
      </c>
      <c r="BA534" s="1">
        <v>2013</v>
      </c>
      <c r="BE534" s="1">
        <v>1128</v>
      </c>
      <c r="BF534" s="1">
        <v>1</v>
      </c>
      <c r="BG534" s="1">
        <v>0</v>
      </c>
      <c r="BL534" s="1">
        <v>250</v>
      </c>
      <c r="BM534" s="1" t="s">
        <v>413</v>
      </c>
      <c r="BN534" s="1" t="s">
        <v>213</v>
      </c>
      <c r="BO534" s="1">
        <v>0</v>
      </c>
      <c r="BP534" s="1" t="s">
        <v>204</v>
      </c>
      <c r="BR534" s="1" t="str">
        <f>"14203040290000"</f>
        <v>14203040290000</v>
      </c>
      <c r="BT534" s="1" t="s">
        <v>6801</v>
      </c>
      <c r="BX534" s="1">
        <v>95</v>
      </c>
      <c r="BY534" s="1">
        <v>95</v>
      </c>
      <c r="BZ534" s="1">
        <v>95</v>
      </c>
      <c r="CB534" s="1" t="str">
        <f>"22"</f>
        <v>22</v>
      </c>
      <c r="CC534" s="1" t="str">
        <f>"0"</f>
        <v>0</v>
      </c>
      <c r="CD534" s="1">
        <v>23</v>
      </c>
      <c r="CE534" s="1">
        <v>0</v>
      </c>
      <c r="CG534" s="1" t="s">
        <v>5897</v>
      </c>
      <c r="CH534" s="1" t="s">
        <v>219</v>
      </c>
      <c r="CK534" s="1" t="s">
        <v>315</v>
      </c>
      <c r="CL534" s="1" t="s">
        <v>277</v>
      </c>
      <c r="CP534" s="1" t="s">
        <v>224</v>
      </c>
      <c r="CS534" s="1" t="s">
        <v>315</v>
      </c>
      <c r="CT534" s="1" t="s">
        <v>277</v>
      </c>
      <c r="CX534" s="1" t="s">
        <v>224</v>
      </c>
      <c r="DB534" s="1" t="s">
        <v>224</v>
      </c>
      <c r="DE534" s="1" t="s">
        <v>885</v>
      </c>
      <c r="DF534" s="1" t="s">
        <v>219</v>
      </c>
      <c r="DJ534" s="1" t="s">
        <v>224</v>
      </c>
      <c r="DS534" s="1" t="s">
        <v>230</v>
      </c>
      <c r="DW534" s="1" t="s">
        <v>230</v>
      </c>
      <c r="EA534" s="1" t="s">
        <v>230</v>
      </c>
      <c r="EE534" s="1" t="s">
        <v>230</v>
      </c>
      <c r="EI534" s="1" t="s">
        <v>230</v>
      </c>
      <c r="EL534" s="1" t="s">
        <v>382</v>
      </c>
      <c r="EM534" s="1" t="s">
        <v>319</v>
      </c>
      <c r="EN534" s="1" t="s">
        <v>282</v>
      </c>
      <c r="EO534" s="1" t="s">
        <v>234</v>
      </c>
      <c r="ER534" s="1" t="s">
        <v>351</v>
      </c>
      <c r="EW534" s="1" t="s">
        <v>347</v>
      </c>
      <c r="EZ534" s="1" t="s">
        <v>287</v>
      </c>
      <c r="FD534" s="1" t="s">
        <v>1649</v>
      </c>
      <c r="FE534" s="1" t="s">
        <v>496</v>
      </c>
      <c r="FF534" s="1" t="s">
        <v>248</v>
      </c>
      <c r="FH534" s="1" t="s">
        <v>249</v>
      </c>
      <c r="FL534" s="1" t="s">
        <v>358</v>
      </c>
      <c r="FM534" s="1" t="s">
        <v>252</v>
      </c>
      <c r="FN534" s="1" t="s">
        <v>213</v>
      </c>
      <c r="FO534" s="1" t="s">
        <v>213</v>
      </c>
      <c r="FQ534" s="1" t="s">
        <v>689</v>
      </c>
      <c r="FR534" s="1" t="s">
        <v>210</v>
      </c>
      <c r="FS534" s="1" t="s">
        <v>4314</v>
      </c>
      <c r="FT534" s="1" t="s">
        <v>654</v>
      </c>
      <c r="FU534" s="1" t="s">
        <v>204</v>
      </c>
      <c r="FW534" s="1" t="s">
        <v>4399</v>
      </c>
      <c r="FX534" s="1">
        <v>8698</v>
      </c>
      <c r="FY534" s="1" t="s">
        <v>4400</v>
      </c>
      <c r="FZ534" s="1" t="s">
        <v>4401</v>
      </c>
      <c r="GA534" s="1">
        <v>85273</v>
      </c>
      <c r="GB534" s="1" t="s">
        <v>4400</v>
      </c>
      <c r="GE534" s="1" t="s">
        <v>210</v>
      </c>
      <c r="GI534" s="1" t="s">
        <v>204</v>
      </c>
      <c r="GJ534" s="1" t="s">
        <v>260</v>
      </c>
      <c r="GK534" s="1" t="s">
        <v>210</v>
      </c>
      <c r="GL534" s="2">
        <v>42111</v>
      </c>
      <c r="GM534" s="1" t="s">
        <v>6802</v>
      </c>
    </row>
    <row r="535" spans="1:195">
      <c r="A535" s="1">
        <v>86000</v>
      </c>
      <c r="B535" s="1" t="s">
        <v>195</v>
      </c>
      <c r="C535" s="1" t="str">
        <f>"08802832"</f>
        <v>08802832</v>
      </c>
      <c r="D535" s="1" t="s">
        <v>196</v>
      </c>
      <c r="F535" s="1" t="str">
        <f>"137"</f>
        <v>137</v>
      </c>
      <c r="G535" s="2">
        <v>41989</v>
      </c>
      <c r="H535" s="1">
        <v>108900</v>
      </c>
      <c r="I535" s="1">
        <v>94900</v>
      </c>
      <c r="J535" s="1">
        <v>86000</v>
      </c>
      <c r="K535" s="2">
        <v>41989</v>
      </c>
      <c r="L535" s="1">
        <v>87</v>
      </c>
      <c r="M535" s="2">
        <v>42075</v>
      </c>
      <c r="N535" s="1">
        <v>87</v>
      </c>
      <c r="O535" s="2">
        <v>42075</v>
      </c>
      <c r="P535" s="1">
        <v>4503</v>
      </c>
      <c r="Q535" s="1" t="s">
        <v>197</v>
      </c>
      <c r="R535" s="2">
        <v>42138</v>
      </c>
      <c r="S535" s="1">
        <v>42384</v>
      </c>
      <c r="U535" s="1">
        <v>310</v>
      </c>
      <c r="V535" s="1" t="s">
        <v>6803</v>
      </c>
      <c r="W535" s="1" t="s">
        <v>1056</v>
      </c>
      <c r="X535" s="1" t="s">
        <v>265</v>
      </c>
      <c r="Y535" s="1">
        <v>8</v>
      </c>
      <c r="Z535" s="1" t="s">
        <v>249</v>
      </c>
      <c r="AA535" s="1" t="s">
        <v>201</v>
      </c>
      <c r="AB535" s="1">
        <v>60137</v>
      </c>
      <c r="AE535" s="1" t="s">
        <v>6804</v>
      </c>
      <c r="AF535" s="1">
        <v>1969</v>
      </c>
      <c r="AG535" s="1" t="s">
        <v>213</v>
      </c>
      <c r="AH535" s="1" t="s">
        <v>205</v>
      </c>
      <c r="AI535" s="1" t="s">
        <v>206</v>
      </c>
      <c r="AJ535" s="1" t="s">
        <v>207</v>
      </c>
      <c r="AL535" s="1">
        <v>5</v>
      </c>
      <c r="AM535" s="1">
        <v>2</v>
      </c>
      <c r="AN535" s="1">
        <v>2</v>
      </c>
      <c r="AO535" s="1">
        <v>0</v>
      </c>
      <c r="AP535" s="1" t="s">
        <v>209</v>
      </c>
      <c r="AR535" s="1" t="s">
        <v>210</v>
      </c>
      <c r="AS535" s="1" t="s">
        <v>204</v>
      </c>
      <c r="AT535" s="1" t="s">
        <v>271</v>
      </c>
      <c r="AV535" s="1">
        <v>3</v>
      </c>
      <c r="AW535" s="1" t="s">
        <v>204</v>
      </c>
      <c r="AX535" s="1" t="s">
        <v>212</v>
      </c>
      <c r="AZ535" s="1">
        <v>2480</v>
      </c>
      <c r="BA535" s="1">
        <v>2013</v>
      </c>
      <c r="BB535" s="1" t="s">
        <v>405</v>
      </c>
      <c r="BE535" s="1">
        <v>1198</v>
      </c>
      <c r="BF535" s="1">
        <v>2</v>
      </c>
      <c r="BG535" s="1">
        <v>0</v>
      </c>
      <c r="BJ535" s="1">
        <v>90</v>
      </c>
      <c r="BL535" s="1">
        <v>313</v>
      </c>
      <c r="BM535" s="1" t="s">
        <v>204</v>
      </c>
      <c r="BN535" s="1" t="s">
        <v>204</v>
      </c>
      <c r="BP535" s="1" t="s">
        <v>204</v>
      </c>
      <c r="BR535" s="1" t="str">
        <f>"0523321008"</f>
        <v>0523321008</v>
      </c>
      <c r="BT535" s="1" t="s">
        <v>6805</v>
      </c>
      <c r="BU535" s="1" t="s">
        <v>215</v>
      </c>
      <c r="BV535" s="1" t="s">
        <v>216</v>
      </c>
      <c r="BW535" s="1" t="s">
        <v>217</v>
      </c>
      <c r="BX535" s="1">
        <v>89</v>
      </c>
      <c r="BY535" s="1">
        <v>89</v>
      </c>
      <c r="BZ535" s="1">
        <v>87</v>
      </c>
      <c r="CB535" s="1" t="str">
        <f t="shared" ref="CB535:CC535" si="419">""</f>
        <v/>
      </c>
      <c r="CC535" s="1" t="str">
        <f t="shared" si="419"/>
        <v/>
      </c>
      <c r="CG535" s="1" t="s">
        <v>6197</v>
      </c>
      <c r="CH535" s="1" t="s">
        <v>219</v>
      </c>
      <c r="CI535" s="1" t="s">
        <v>220</v>
      </c>
      <c r="CJ535" s="1" t="s">
        <v>343</v>
      </c>
      <c r="CK535" s="1" t="s">
        <v>278</v>
      </c>
      <c r="CL535" s="1" t="s">
        <v>219</v>
      </c>
      <c r="CM535" s="1" t="s">
        <v>220</v>
      </c>
      <c r="CN535" s="1" t="s">
        <v>343</v>
      </c>
      <c r="CO535" s="1" t="s">
        <v>821</v>
      </c>
      <c r="CP535" s="1" t="s">
        <v>219</v>
      </c>
      <c r="CQ535" s="1" t="s">
        <v>220</v>
      </c>
      <c r="CS535" s="1" t="s">
        <v>1297</v>
      </c>
      <c r="CT535" s="1" t="s">
        <v>219</v>
      </c>
      <c r="CU535" s="1" t="s">
        <v>220</v>
      </c>
      <c r="CV535" s="1" t="s">
        <v>343</v>
      </c>
      <c r="CX535" s="1" t="s">
        <v>224</v>
      </c>
      <c r="DB535" s="1" t="s">
        <v>224</v>
      </c>
      <c r="DE535" s="1" t="s">
        <v>630</v>
      </c>
      <c r="DF535" s="1" t="s">
        <v>219</v>
      </c>
      <c r="DG535" s="1" t="s">
        <v>342</v>
      </c>
      <c r="DH535" s="1" t="s">
        <v>343</v>
      </c>
      <c r="DJ535" s="1" t="s">
        <v>224</v>
      </c>
      <c r="DS535" s="1" t="s">
        <v>230</v>
      </c>
      <c r="DW535" s="1" t="s">
        <v>230</v>
      </c>
      <c r="EA535" s="1" t="s">
        <v>230</v>
      </c>
      <c r="EE535" s="1" t="s">
        <v>230</v>
      </c>
      <c r="EI535" s="1" t="s">
        <v>230</v>
      </c>
      <c r="EL535" s="1" t="s">
        <v>605</v>
      </c>
      <c r="EM535" s="1" t="s">
        <v>232</v>
      </c>
      <c r="EN535" s="1" t="s">
        <v>282</v>
      </c>
      <c r="EO535" s="1" t="s">
        <v>840</v>
      </c>
      <c r="EP535" s="1" t="s">
        <v>6806</v>
      </c>
      <c r="EQ535" s="1" t="s">
        <v>1109</v>
      </c>
      <c r="ER535" s="1" t="s">
        <v>210</v>
      </c>
      <c r="ES535" s="1" t="s">
        <v>545</v>
      </c>
      <c r="EU535" s="1" t="s">
        <v>6807</v>
      </c>
      <c r="EV535" s="1" t="s">
        <v>352</v>
      </c>
      <c r="EW535" s="1" t="s">
        <v>6808</v>
      </c>
      <c r="EZ535" s="1" t="s">
        <v>287</v>
      </c>
      <c r="FB535" s="1" t="s">
        <v>244</v>
      </c>
      <c r="FC535" s="1" t="s">
        <v>1386</v>
      </c>
      <c r="FD535" s="1" t="s">
        <v>1112</v>
      </c>
      <c r="FE535" s="1" t="s">
        <v>247</v>
      </c>
      <c r="FF535" s="1" t="s">
        <v>248</v>
      </c>
      <c r="FH535" s="1" t="s">
        <v>249</v>
      </c>
      <c r="FJ535" s="1" t="s">
        <v>197</v>
      </c>
      <c r="FK535" s="1" t="s">
        <v>4663</v>
      </c>
      <c r="FL535" s="1" t="s">
        <v>292</v>
      </c>
      <c r="FM535" s="1" t="s">
        <v>252</v>
      </c>
      <c r="FN535" s="1" t="s">
        <v>213</v>
      </c>
      <c r="FO535" s="1" t="s">
        <v>213</v>
      </c>
      <c r="FQ535" s="1" t="s">
        <v>1758</v>
      </c>
      <c r="FR535" s="1" t="s">
        <v>210</v>
      </c>
      <c r="FS535" s="1" t="s">
        <v>6809</v>
      </c>
      <c r="FT535" s="1" t="s">
        <v>362</v>
      </c>
      <c r="FU535" s="1" t="s">
        <v>204</v>
      </c>
      <c r="FW535" s="1" t="s">
        <v>915</v>
      </c>
      <c r="FX535" s="1">
        <v>25088</v>
      </c>
      <c r="FY535" s="1" t="s">
        <v>1761</v>
      </c>
      <c r="FZ535" s="1" t="s">
        <v>6810</v>
      </c>
      <c r="GA535" s="1">
        <v>241856</v>
      </c>
      <c r="GB535" s="1" t="s">
        <v>6811</v>
      </c>
      <c r="GE535" s="1" t="s">
        <v>1120</v>
      </c>
      <c r="GI535" s="1" t="s">
        <v>213</v>
      </c>
      <c r="GJ535" s="1" t="s">
        <v>260</v>
      </c>
      <c r="GK535" s="1" t="s">
        <v>210</v>
      </c>
      <c r="GL535" s="2">
        <v>42138</v>
      </c>
      <c r="GM535" s="1" t="s">
        <v>6812</v>
      </c>
    </row>
    <row r="536" spans="1:195">
      <c r="A536" s="1">
        <v>16500</v>
      </c>
      <c r="B536" s="1" t="s">
        <v>195</v>
      </c>
      <c r="C536" s="1" t="str">
        <f>"08799064"</f>
        <v>08799064</v>
      </c>
      <c r="D536" s="1" t="s">
        <v>196</v>
      </c>
      <c r="F536" s="1" t="str">
        <f>"8045"</f>
        <v>8045</v>
      </c>
      <c r="G536" s="2">
        <v>41981</v>
      </c>
      <c r="H536" s="1">
        <v>28100</v>
      </c>
      <c r="I536" s="1">
        <v>28100</v>
      </c>
      <c r="J536" s="1">
        <v>16500</v>
      </c>
      <c r="K536" s="2">
        <v>41981</v>
      </c>
      <c r="L536" s="1">
        <v>59</v>
      </c>
      <c r="M536" s="2">
        <v>42039</v>
      </c>
      <c r="N536" s="1">
        <v>59</v>
      </c>
      <c r="O536" s="2">
        <v>42039</v>
      </c>
      <c r="P536" s="1">
        <v>25558</v>
      </c>
      <c r="Q536" s="1" t="s">
        <v>302</v>
      </c>
      <c r="R536" s="2">
        <v>42062</v>
      </c>
      <c r="S536" s="1">
        <v>227872</v>
      </c>
      <c r="U536" s="1">
        <v>1125</v>
      </c>
      <c r="V536" s="1" t="s">
        <v>6813</v>
      </c>
      <c r="W536" s="1" t="s">
        <v>779</v>
      </c>
      <c r="Y536" s="1">
        <v>1</v>
      </c>
      <c r="Z536" s="1" t="s">
        <v>200</v>
      </c>
      <c r="AA536" s="1" t="s">
        <v>400</v>
      </c>
      <c r="AB536" s="1">
        <v>60619</v>
      </c>
      <c r="AE536" s="1" t="s">
        <v>6814</v>
      </c>
      <c r="AF536" s="1">
        <v>1936</v>
      </c>
      <c r="AG536" s="1" t="s">
        <v>213</v>
      </c>
      <c r="AH536" s="1" t="s">
        <v>403</v>
      </c>
      <c r="AI536" s="1" t="s">
        <v>310</v>
      </c>
      <c r="AJ536" s="1" t="s">
        <v>562</v>
      </c>
      <c r="AL536" s="1">
        <v>4</v>
      </c>
      <c r="AM536" s="1">
        <v>2</v>
      </c>
      <c r="AN536" s="1">
        <v>1</v>
      </c>
      <c r="AO536" s="1">
        <v>0</v>
      </c>
      <c r="AP536" s="1" t="s">
        <v>210</v>
      </c>
      <c r="AR536" s="1" t="s">
        <v>209</v>
      </c>
      <c r="AS536" s="1" t="s">
        <v>204</v>
      </c>
      <c r="AT536" s="1" t="s">
        <v>210</v>
      </c>
      <c r="AW536" s="1" t="s">
        <v>204</v>
      </c>
      <c r="AX536" s="1">
        <v>1906</v>
      </c>
      <c r="AZ536" s="1">
        <v>800.84</v>
      </c>
      <c r="BA536" s="1">
        <v>2012</v>
      </c>
      <c r="BE536" s="1">
        <v>700</v>
      </c>
      <c r="BF536" s="1">
        <v>1</v>
      </c>
      <c r="BG536" s="1">
        <v>0</v>
      </c>
      <c r="BL536" s="1">
        <v>0</v>
      </c>
      <c r="BM536" s="1" t="s">
        <v>204</v>
      </c>
      <c r="BN536" s="1" t="s">
        <v>204</v>
      </c>
      <c r="BP536" s="1" t="s">
        <v>204</v>
      </c>
      <c r="BR536" s="1" t="str">
        <f>"20351241210000"</f>
        <v>20351241210000</v>
      </c>
      <c r="BT536" s="1" t="s">
        <v>6815</v>
      </c>
      <c r="BX536" s="1">
        <v>299</v>
      </c>
      <c r="BY536" s="1">
        <v>299</v>
      </c>
      <c r="BZ536" s="1">
        <v>299</v>
      </c>
      <c r="CB536" s="1" t="str">
        <f t="shared" ref="CB536:CB537" si="420">"0"</f>
        <v>0</v>
      </c>
      <c r="CC536" s="1" t="str">
        <f>"82"</f>
        <v>82</v>
      </c>
      <c r="CD536" s="1">
        <v>0</v>
      </c>
      <c r="CE536" s="1">
        <v>1125</v>
      </c>
      <c r="CG536" s="1" t="s">
        <v>281</v>
      </c>
      <c r="CH536" s="1" t="s">
        <v>219</v>
      </c>
      <c r="CK536" s="1" t="s">
        <v>378</v>
      </c>
      <c r="CL536" s="1" t="s">
        <v>277</v>
      </c>
      <c r="CP536" s="1" t="s">
        <v>224</v>
      </c>
      <c r="CS536" s="1" t="s">
        <v>379</v>
      </c>
      <c r="CT536" s="1" t="s">
        <v>277</v>
      </c>
      <c r="CX536" s="1" t="s">
        <v>224</v>
      </c>
      <c r="DB536" s="1" t="s">
        <v>224</v>
      </c>
      <c r="DE536" s="1" t="s">
        <v>379</v>
      </c>
      <c r="DF536" s="1" t="s">
        <v>219</v>
      </c>
      <c r="DJ536" s="1" t="s">
        <v>224</v>
      </c>
      <c r="DS536" s="1" t="s">
        <v>230</v>
      </c>
      <c r="DW536" s="1" t="s">
        <v>230</v>
      </c>
      <c r="EA536" s="1" t="s">
        <v>230</v>
      </c>
      <c r="EE536" s="1" t="s">
        <v>230</v>
      </c>
      <c r="EI536" s="1" t="s">
        <v>230</v>
      </c>
      <c r="EL536" s="1" t="s">
        <v>440</v>
      </c>
      <c r="EM536" s="1" t="s">
        <v>232</v>
      </c>
      <c r="EN536" s="1" t="s">
        <v>210</v>
      </c>
      <c r="EO536" s="1" t="s">
        <v>234</v>
      </c>
      <c r="ER536" s="1" t="s">
        <v>1249</v>
      </c>
      <c r="EW536" s="1" t="s">
        <v>210</v>
      </c>
      <c r="EZ536" s="1" t="s">
        <v>287</v>
      </c>
      <c r="FD536" s="1" t="s">
        <v>1112</v>
      </c>
      <c r="FE536" s="1" t="s">
        <v>247</v>
      </c>
      <c r="FF536" s="1" t="s">
        <v>248</v>
      </c>
      <c r="FH536" s="1" t="s">
        <v>550</v>
      </c>
      <c r="FL536" s="1" t="s">
        <v>358</v>
      </c>
      <c r="FM536" s="1" t="s">
        <v>252</v>
      </c>
      <c r="FN536" s="1" t="s">
        <v>204</v>
      </c>
      <c r="FO536" s="1" t="s">
        <v>213</v>
      </c>
      <c r="FQ536" s="1" t="s">
        <v>6816</v>
      </c>
      <c r="FR536" s="1" t="s">
        <v>210</v>
      </c>
      <c r="FS536" s="1" t="s">
        <v>6817</v>
      </c>
      <c r="FT536" s="1" t="s">
        <v>1182</v>
      </c>
      <c r="FU536" s="1" t="s">
        <v>204</v>
      </c>
      <c r="FW536" s="1" t="s">
        <v>2563</v>
      </c>
      <c r="FX536" s="1">
        <v>25558</v>
      </c>
      <c r="FY536" s="1" t="s">
        <v>4051</v>
      </c>
      <c r="FZ536" s="1" t="s">
        <v>6818</v>
      </c>
      <c r="GA536" s="1">
        <v>227872</v>
      </c>
      <c r="GB536" s="1" t="s">
        <v>4051</v>
      </c>
      <c r="GE536" s="1" t="s">
        <v>210</v>
      </c>
      <c r="GH536" s="1" t="s">
        <v>800</v>
      </c>
      <c r="GI536" s="1" t="s">
        <v>213</v>
      </c>
      <c r="GJ536" s="1" t="s">
        <v>260</v>
      </c>
      <c r="GK536" s="1" t="s">
        <v>210</v>
      </c>
      <c r="GL536" s="2">
        <v>42064</v>
      </c>
      <c r="GM536" s="1" t="s">
        <v>6819</v>
      </c>
    </row>
    <row r="537" spans="1:195">
      <c r="A537" s="1">
        <v>74530</v>
      </c>
      <c r="B537" s="1" t="s">
        <v>195</v>
      </c>
      <c r="C537" s="1" t="str">
        <f>"08800280"</f>
        <v>08800280</v>
      </c>
      <c r="D537" s="1" t="s">
        <v>196</v>
      </c>
      <c r="F537" s="1" t="str">
        <f>"559"</f>
        <v>559</v>
      </c>
      <c r="G537" s="2">
        <v>41983</v>
      </c>
      <c r="H537" s="1">
        <v>83000</v>
      </c>
      <c r="I537" s="1">
        <v>79000</v>
      </c>
      <c r="J537" s="1">
        <v>74530</v>
      </c>
      <c r="K537" s="2">
        <v>41982</v>
      </c>
      <c r="L537" s="1">
        <v>208</v>
      </c>
      <c r="M537" s="2">
        <v>42034</v>
      </c>
      <c r="N537" s="1">
        <v>53</v>
      </c>
      <c r="O537" s="2">
        <v>42034</v>
      </c>
      <c r="P537" s="1">
        <v>21823</v>
      </c>
      <c r="Q537" s="1" t="s">
        <v>302</v>
      </c>
      <c r="R537" s="2">
        <v>42055</v>
      </c>
      <c r="S537" s="1">
        <v>217696</v>
      </c>
      <c r="U537" s="1">
        <v>60</v>
      </c>
      <c r="V537" s="1" t="s">
        <v>6820</v>
      </c>
      <c r="W537" s="1" t="s">
        <v>264</v>
      </c>
      <c r="X537" s="1">
        <v>102</v>
      </c>
      <c r="Y537" s="1">
        <v>8</v>
      </c>
      <c r="Z537" s="1" t="s">
        <v>249</v>
      </c>
      <c r="AA537" s="1" t="s">
        <v>1950</v>
      </c>
      <c r="AB537" s="1">
        <v>60559</v>
      </c>
      <c r="AD537" s="1" t="s">
        <v>2977</v>
      </c>
      <c r="AE537" s="1" t="s">
        <v>6821</v>
      </c>
      <c r="AF537" s="1">
        <v>1976</v>
      </c>
      <c r="AG537" s="1" t="s">
        <v>213</v>
      </c>
      <c r="AH537" s="1" t="s">
        <v>1952</v>
      </c>
      <c r="AI537" s="1" t="s">
        <v>206</v>
      </c>
      <c r="AJ537" s="1" t="s">
        <v>903</v>
      </c>
      <c r="AL537" s="1">
        <v>5</v>
      </c>
      <c r="AM537" s="1">
        <v>2</v>
      </c>
      <c r="AN537" s="1">
        <v>2</v>
      </c>
      <c r="AO537" s="1">
        <v>0</v>
      </c>
      <c r="AP537" s="1" t="s">
        <v>209</v>
      </c>
      <c r="AQ537" s="1">
        <v>1</v>
      </c>
      <c r="AR537" s="1" t="s">
        <v>210</v>
      </c>
      <c r="AS537" s="1" t="s">
        <v>204</v>
      </c>
      <c r="AT537" s="1" t="s">
        <v>211</v>
      </c>
      <c r="AU537" s="1">
        <v>1</v>
      </c>
      <c r="AW537" s="1" t="s">
        <v>204</v>
      </c>
      <c r="AX537" s="1" t="s">
        <v>212</v>
      </c>
      <c r="AZ537" s="1">
        <v>1805</v>
      </c>
      <c r="BA537" s="1">
        <v>2013</v>
      </c>
      <c r="BB537" s="1" t="s">
        <v>405</v>
      </c>
      <c r="BE537" s="1">
        <v>750</v>
      </c>
      <c r="BF537" s="1">
        <v>1</v>
      </c>
      <c r="BG537" s="1">
        <v>30</v>
      </c>
      <c r="BJ537" s="1">
        <v>100</v>
      </c>
      <c r="BL537" s="1">
        <v>256</v>
      </c>
      <c r="BM537" s="1" t="s">
        <v>204</v>
      </c>
      <c r="BN537" s="1" t="s">
        <v>213</v>
      </c>
      <c r="BO537" s="1">
        <v>999</v>
      </c>
      <c r="BP537" s="1" t="s">
        <v>204</v>
      </c>
      <c r="BR537" s="1" t="str">
        <f>"0921213138"</f>
        <v>0921213138</v>
      </c>
      <c r="BT537" s="1" t="s">
        <v>6822</v>
      </c>
      <c r="BU537" s="1" t="s">
        <v>2980</v>
      </c>
      <c r="BV537" s="1" t="s">
        <v>2981</v>
      </c>
      <c r="BW537" s="1" t="s">
        <v>2762</v>
      </c>
      <c r="BX537" s="1">
        <v>60</v>
      </c>
      <c r="BY537" s="1">
        <v>60</v>
      </c>
      <c r="BZ537" s="1">
        <v>99</v>
      </c>
      <c r="CB537" s="1" t="str">
        <f t="shared" si="420"/>
        <v>0</v>
      </c>
      <c r="CC537" s="1" t="str">
        <f t="shared" ref="CC537:CC539" si="421">"0"</f>
        <v>0</v>
      </c>
      <c r="CD537" s="1">
        <v>18</v>
      </c>
      <c r="CE537" s="1">
        <v>7</v>
      </c>
      <c r="CG537" s="1" t="s">
        <v>581</v>
      </c>
      <c r="CH537" s="1" t="s">
        <v>219</v>
      </c>
      <c r="CI537" s="1" t="s">
        <v>220</v>
      </c>
      <c r="CK537" s="1" t="s">
        <v>539</v>
      </c>
      <c r="CL537" s="1" t="s">
        <v>219</v>
      </c>
      <c r="CM537" s="1" t="s">
        <v>220</v>
      </c>
      <c r="CO537" s="1" t="s">
        <v>348</v>
      </c>
      <c r="CP537" s="1" t="s">
        <v>219</v>
      </c>
      <c r="CQ537" s="1" t="s">
        <v>220</v>
      </c>
      <c r="CS537" s="1" t="s">
        <v>346</v>
      </c>
      <c r="CT537" s="1" t="s">
        <v>219</v>
      </c>
      <c r="CU537" s="1" t="s">
        <v>220</v>
      </c>
      <c r="CX537" s="1" t="s">
        <v>224</v>
      </c>
      <c r="DB537" s="1" t="s">
        <v>224</v>
      </c>
      <c r="DE537" s="1" t="s">
        <v>516</v>
      </c>
      <c r="DF537" s="1" t="s">
        <v>219</v>
      </c>
      <c r="DG537" s="1" t="s">
        <v>342</v>
      </c>
      <c r="DJ537" s="1" t="s">
        <v>224</v>
      </c>
      <c r="DS537" s="1" t="s">
        <v>230</v>
      </c>
      <c r="DW537" s="1" t="s">
        <v>230</v>
      </c>
      <c r="EA537" s="1" t="s">
        <v>230</v>
      </c>
      <c r="EE537" s="1" t="s">
        <v>230</v>
      </c>
      <c r="EI537" s="1" t="s">
        <v>230</v>
      </c>
      <c r="EL537" s="1" t="s">
        <v>231</v>
      </c>
      <c r="EM537" s="1" t="s">
        <v>232</v>
      </c>
      <c r="EN537" s="1" t="s">
        <v>282</v>
      </c>
      <c r="EO537" s="1" t="s">
        <v>234</v>
      </c>
      <c r="EP537" s="1" t="s">
        <v>6823</v>
      </c>
      <c r="ER537" s="1" t="s">
        <v>210</v>
      </c>
      <c r="EU537" s="1" t="s">
        <v>239</v>
      </c>
      <c r="EV537" s="1" t="s">
        <v>352</v>
      </c>
      <c r="EW537" s="1" t="s">
        <v>2205</v>
      </c>
      <c r="EZ537" s="1" t="s">
        <v>287</v>
      </c>
      <c r="FC537" s="1" t="s">
        <v>1386</v>
      </c>
      <c r="FD537" s="1" t="s">
        <v>246</v>
      </c>
      <c r="FE537" s="1" t="s">
        <v>549</v>
      </c>
      <c r="FF537" s="1" t="s">
        <v>248</v>
      </c>
      <c r="FG537" s="1" t="s">
        <v>912</v>
      </c>
      <c r="FH537" s="1" t="s">
        <v>249</v>
      </c>
      <c r="FI537" s="1" t="s">
        <v>357</v>
      </c>
      <c r="FL537" s="1" t="s">
        <v>358</v>
      </c>
      <c r="FM537" s="1" t="s">
        <v>252</v>
      </c>
      <c r="FN537" s="1" t="s">
        <v>213</v>
      </c>
      <c r="FO537" s="1" t="s">
        <v>213</v>
      </c>
      <c r="FQ537" s="1" t="s">
        <v>582</v>
      </c>
      <c r="FR537" s="1" t="s">
        <v>210</v>
      </c>
      <c r="FS537" s="1" t="s">
        <v>5209</v>
      </c>
      <c r="FT537" s="1" t="s">
        <v>584</v>
      </c>
      <c r="FU537" s="1" t="s">
        <v>204</v>
      </c>
      <c r="FW537" s="1" t="s">
        <v>3015</v>
      </c>
      <c r="FX537" s="1">
        <v>24199</v>
      </c>
      <c r="FY537" s="1" t="s">
        <v>3016</v>
      </c>
      <c r="FZ537" s="1" t="s">
        <v>3017</v>
      </c>
      <c r="GA537" s="1">
        <v>235607</v>
      </c>
      <c r="GB537" s="1" t="s">
        <v>3018</v>
      </c>
      <c r="GC537" s="1">
        <v>237175</v>
      </c>
      <c r="GE537" s="1" t="s">
        <v>480</v>
      </c>
      <c r="GI537" s="1" t="s">
        <v>204</v>
      </c>
      <c r="GJ537" s="1" t="s">
        <v>260</v>
      </c>
      <c r="GK537" s="1" t="s">
        <v>210</v>
      </c>
      <c r="GL537" s="2">
        <v>42058</v>
      </c>
      <c r="GM537" s="1" t="s">
        <v>6824</v>
      </c>
    </row>
    <row r="538" spans="1:195">
      <c r="A538" s="1">
        <v>154000</v>
      </c>
      <c r="B538" s="1" t="s">
        <v>195</v>
      </c>
      <c r="C538" s="1" t="str">
        <f>"08798670"</f>
        <v>08798670</v>
      </c>
      <c r="D538" s="1" t="s">
        <v>196</v>
      </c>
      <c r="F538" s="1" t="str">
        <f>"10"</f>
        <v>10</v>
      </c>
      <c r="G538" s="2">
        <v>41981</v>
      </c>
      <c r="H538" s="1">
        <v>160000</v>
      </c>
      <c r="I538" s="1">
        <v>160000</v>
      </c>
      <c r="J538" s="1">
        <v>154000</v>
      </c>
      <c r="K538" s="2">
        <v>41981</v>
      </c>
      <c r="L538" s="1">
        <v>46</v>
      </c>
      <c r="M538" s="2">
        <v>42026</v>
      </c>
      <c r="N538" s="1">
        <v>46</v>
      </c>
      <c r="O538" s="2">
        <v>42026</v>
      </c>
      <c r="P538" s="1">
        <v>24988</v>
      </c>
      <c r="Q538" s="1" t="s">
        <v>197</v>
      </c>
      <c r="R538" s="2">
        <v>42083</v>
      </c>
      <c r="S538" s="1">
        <v>242033</v>
      </c>
      <c r="U538" s="1">
        <v>600</v>
      </c>
      <c r="V538" s="1" t="s">
        <v>6726</v>
      </c>
      <c r="W538" s="1" t="s">
        <v>725</v>
      </c>
      <c r="X538" s="1">
        <v>204</v>
      </c>
      <c r="Y538" s="1">
        <v>39</v>
      </c>
      <c r="Z538" s="1" t="s">
        <v>249</v>
      </c>
      <c r="AA538" s="1" t="s">
        <v>6288</v>
      </c>
      <c r="AB538" s="1">
        <v>60010</v>
      </c>
      <c r="AD538" s="1" t="s">
        <v>6727</v>
      </c>
      <c r="AE538" s="1" t="s">
        <v>6728</v>
      </c>
      <c r="AF538" s="1">
        <v>1965</v>
      </c>
      <c r="AG538" s="1" t="s">
        <v>213</v>
      </c>
      <c r="AH538" s="1" t="s">
        <v>6729</v>
      </c>
      <c r="AI538" s="1" t="s">
        <v>310</v>
      </c>
      <c r="AJ538" s="1" t="s">
        <v>6729</v>
      </c>
      <c r="AL538" s="1">
        <v>5</v>
      </c>
      <c r="AM538" s="1">
        <v>2</v>
      </c>
      <c r="AN538" s="1">
        <v>1</v>
      </c>
      <c r="AO538" s="1">
        <v>1</v>
      </c>
      <c r="AP538" s="1" t="s">
        <v>209</v>
      </c>
      <c r="AR538" s="1" t="s">
        <v>210</v>
      </c>
      <c r="AS538" s="1" t="s">
        <v>204</v>
      </c>
      <c r="AT538" s="1" t="s">
        <v>211</v>
      </c>
      <c r="AU538" s="1">
        <v>1</v>
      </c>
      <c r="AW538" s="1" t="s">
        <v>204</v>
      </c>
      <c r="AX538" s="1" t="s">
        <v>212</v>
      </c>
      <c r="AZ538" s="1">
        <v>1649.47</v>
      </c>
      <c r="BA538" s="1">
        <v>2013</v>
      </c>
      <c r="BB538" s="1" t="s">
        <v>210</v>
      </c>
      <c r="BE538" s="1">
        <v>1014</v>
      </c>
      <c r="BF538" s="1">
        <v>2</v>
      </c>
      <c r="BG538" s="1">
        <v>0</v>
      </c>
      <c r="BL538" s="1">
        <v>220</v>
      </c>
      <c r="BM538" s="1" t="s">
        <v>204</v>
      </c>
      <c r="BN538" s="1" t="s">
        <v>213</v>
      </c>
      <c r="BO538" s="1">
        <v>85</v>
      </c>
      <c r="BP538" s="1" t="s">
        <v>204</v>
      </c>
      <c r="BR538" s="1" t="str">
        <f>"01022020501084"</f>
        <v>01022020501084</v>
      </c>
      <c r="BT538" s="1" t="s">
        <v>6825</v>
      </c>
      <c r="BU538" s="1" t="s">
        <v>6731</v>
      </c>
      <c r="BV538" s="1" t="s">
        <v>6732</v>
      </c>
      <c r="BW538" s="1" t="s">
        <v>1994</v>
      </c>
      <c r="BX538" s="1">
        <v>220</v>
      </c>
      <c r="BY538" s="1">
        <v>220</v>
      </c>
      <c r="BZ538" s="1">
        <v>220</v>
      </c>
      <c r="CB538" s="1" t="str">
        <f>"18"</f>
        <v>18</v>
      </c>
      <c r="CC538" s="1" t="str">
        <f t="shared" si="421"/>
        <v>0</v>
      </c>
      <c r="CD538" s="1">
        <v>26</v>
      </c>
      <c r="CE538" s="1">
        <v>0</v>
      </c>
      <c r="CG538" s="1" t="s">
        <v>278</v>
      </c>
      <c r="CH538" s="1" t="s">
        <v>219</v>
      </c>
      <c r="CI538" s="1" t="s">
        <v>438</v>
      </c>
      <c r="CK538" s="1" t="s">
        <v>317</v>
      </c>
      <c r="CL538" s="1" t="s">
        <v>219</v>
      </c>
      <c r="CM538" s="1" t="s">
        <v>438</v>
      </c>
      <c r="CO538" s="1" t="s">
        <v>821</v>
      </c>
      <c r="CP538" s="1" t="s">
        <v>219</v>
      </c>
      <c r="CQ538" s="1" t="s">
        <v>438</v>
      </c>
      <c r="CS538" s="1" t="s">
        <v>539</v>
      </c>
      <c r="CT538" s="1" t="s">
        <v>219</v>
      </c>
      <c r="CU538" s="1" t="s">
        <v>438</v>
      </c>
      <c r="CX538" s="1" t="s">
        <v>224</v>
      </c>
      <c r="DB538" s="1" t="s">
        <v>224</v>
      </c>
      <c r="DE538" s="1" t="s">
        <v>821</v>
      </c>
      <c r="DF538" s="1" t="s">
        <v>219</v>
      </c>
      <c r="DG538" s="1" t="s">
        <v>438</v>
      </c>
      <c r="DJ538" s="1" t="s">
        <v>224</v>
      </c>
      <c r="DS538" s="1" t="s">
        <v>230</v>
      </c>
      <c r="DW538" s="1" t="s">
        <v>230</v>
      </c>
      <c r="EA538" s="1" t="s">
        <v>230</v>
      </c>
      <c r="EE538" s="1" t="s">
        <v>230</v>
      </c>
      <c r="EI538" s="1" t="s">
        <v>230</v>
      </c>
      <c r="EL538" s="1" t="s">
        <v>605</v>
      </c>
      <c r="EM538" s="1" t="s">
        <v>319</v>
      </c>
      <c r="EN538" s="1" t="s">
        <v>282</v>
      </c>
      <c r="EO538" s="1" t="s">
        <v>234</v>
      </c>
      <c r="EP538" s="1" t="s">
        <v>6733</v>
      </c>
      <c r="EQ538" s="1" t="s">
        <v>2188</v>
      </c>
      <c r="ER538" s="1" t="s">
        <v>210</v>
      </c>
      <c r="ES538" s="1" t="s">
        <v>545</v>
      </c>
      <c r="EU538" s="1" t="s">
        <v>6734</v>
      </c>
      <c r="EV538" s="1" t="s">
        <v>240</v>
      </c>
      <c r="EW538" s="1" t="s">
        <v>5806</v>
      </c>
      <c r="EZ538" s="1" t="s">
        <v>287</v>
      </c>
      <c r="FA538" s="1" t="s">
        <v>1048</v>
      </c>
      <c r="FB538" s="1" t="s">
        <v>244</v>
      </c>
      <c r="FD538" s="1" t="s">
        <v>290</v>
      </c>
      <c r="FE538" s="1" t="s">
        <v>247</v>
      </c>
      <c r="FF538" s="1" t="s">
        <v>248</v>
      </c>
      <c r="FH538" s="1" t="s">
        <v>716</v>
      </c>
      <c r="FI538" s="1" t="s">
        <v>357</v>
      </c>
      <c r="FL538" s="1" t="s">
        <v>292</v>
      </c>
      <c r="FM538" s="1" t="s">
        <v>252</v>
      </c>
      <c r="FN538" s="1" t="s">
        <v>213</v>
      </c>
      <c r="FO538" s="1" t="s">
        <v>213</v>
      </c>
      <c r="FQ538" s="1" t="s">
        <v>6735</v>
      </c>
      <c r="FR538" s="1" t="s">
        <v>210</v>
      </c>
      <c r="FS538" s="1" t="s">
        <v>6736</v>
      </c>
      <c r="FT538" s="1" t="s">
        <v>520</v>
      </c>
      <c r="FU538" s="1" t="s">
        <v>204</v>
      </c>
      <c r="FW538" s="1" t="s">
        <v>6737</v>
      </c>
      <c r="FX538" s="1">
        <v>10646</v>
      </c>
      <c r="FY538" s="1" t="s">
        <v>6738</v>
      </c>
      <c r="FZ538" s="1" t="s">
        <v>6739</v>
      </c>
      <c r="GA538" s="1">
        <v>120575</v>
      </c>
      <c r="GB538" s="1" t="s">
        <v>6740</v>
      </c>
      <c r="GE538" s="1" t="s">
        <v>210</v>
      </c>
      <c r="GH538" s="1" t="s">
        <v>589</v>
      </c>
      <c r="GI538" s="1" t="s">
        <v>213</v>
      </c>
      <c r="GJ538" s="1" t="s">
        <v>260</v>
      </c>
      <c r="GK538" s="1" t="s">
        <v>210</v>
      </c>
      <c r="GL538" s="2">
        <v>42086</v>
      </c>
      <c r="GM538" s="1" t="s">
        <v>6826</v>
      </c>
    </row>
    <row r="539" spans="1:195">
      <c r="A539" s="1">
        <v>56501</v>
      </c>
      <c r="B539" s="1" t="s">
        <v>195</v>
      </c>
      <c r="C539" s="1" t="str">
        <f>"08799655"</f>
        <v>08799655</v>
      </c>
      <c r="D539" s="1" t="s">
        <v>196</v>
      </c>
      <c r="F539" s="1" t="str">
        <f>"139"</f>
        <v>139</v>
      </c>
      <c r="G539" s="2">
        <v>41982</v>
      </c>
      <c r="H539" s="1">
        <v>55900</v>
      </c>
      <c r="I539" s="1">
        <v>55900</v>
      </c>
      <c r="J539" s="1">
        <v>56501</v>
      </c>
      <c r="K539" s="2">
        <v>41982</v>
      </c>
      <c r="L539" s="1">
        <v>15</v>
      </c>
      <c r="M539" s="2">
        <v>41996</v>
      </c>
      <c r="N539" s="1">
        <v>15</v>
      </c>
      <c r="O539" s="2">
        <v>41996</v>
      </c>
      <c r="P539" s="1">
        <v>23655</v>
      </c>
      <c r="Q539" s="1" t="s">
        <v>302</v>
      </c>
      <c r="R539" s="2">
        <v>42030</v>
      </c>
      <c r="S539" s="1">
        <v>222796</v>
      </c>
      <c r="U539" s="1">
        <v>1866</v>
      </c>
      <c r="V539" s="1" t="s">
        <v>503</v>
      </c>
      <c r="W539" s="1" t="s">
        <v>425</v>
      </c>
      <c r="X539" s="1" t="s">
        <v>2010</v>
      </c>
      <c r="Y539" s="1">
        <v>6</v>
      </c>
      <c r="Z539" s="1" t="s">
        <v>370</v>
      </c>
      <c r="AA539" s="1" t="s">
        <v>1732</v>
      </c>
      <c r="AB539" s="1">
        <v>60139</v>
      </c>
      <c r="AE539" s="1" t="s">
        <v>6827</v>
      </c>
      <c r="AF539" s="1">
        <v>1974</v>
      </c>
      <c r="AG539" s="1" t="s">
        <v>213</v>
      </c>
      <c r="AH539" s="1" t="s">
        <v>1735</v>
      </c>
      <c r="AI539" s="1" t="s">
        <v>206</v>
      </c>
      <c r="AJ539" s="1" t="s">
        <v>269</v>
      </c>
      <c r="AL539" s="1">
        <v>5</v>
      </c>
      <c r="AM539" s="1">
        <v>2</v>
      </c>
      <c r="AN539" s="1">
        <v>1</v>
      </c>
      <c r="AO539" s="1">
        <v>0</v>
      </c>
      <c r="AP539" s="1" t="s">
        <v>210</v>
      </c>
      <c r="AR539" s="1" t="s">
        <v>210</v>
      </c>
      <c r="AS539" s="1" t="s">
        <v>204</v>
      </c>
      <c r="AT539" s="1" t="s">
        <v>271</v>
      </c>
      <c r="AV539" s="1">
        <v>2</v>
      </c>
      <c r="AW539" s="1" t="s">
        <v>204</v>
      </c>
      <c r="AX539" s="1" t="s">
        <v>212</v>
      </c>
      <c r="AZ539" s="1">
        <v>1489</v>
      </c>
      <c r="BA539" s="1">
        <v>2013</v>
      </c>
      <c r="BE539" s="1">
        <v>639</v>
      </c>
      <c r="BF539" s="1">
        <v>1</v>
      </c>
      <c r="BG539" s="1">
        <v>0</v>
      </c>
      <c r="BL539" s="1">
        <v>220</v>
      </c>
      <c r="BM539" s="1" t="s">
        <v>204</v>
      </c>
      <c r="BN539" s="1" t="s">
        <v>213</v>
      </c>
      <c r="BO539" s="1">
        <v>50</v>
      </c>
      <c r="BP539" s="1" t="s">
        <v>204</v>
      </c>
      <c r="BR539" s="1" t="str">
        <f>"0226108177"</f>
        <v>0226108177</v>
      </c>
      <c r="BT539" s="1" t="s">
        <v>6828</v>
      </c>
      <c r="BX539" s="1">
        <v>15</v>
      </c>
      <c r="BY539" s="1">
        <v>15</v>
      </c>
      <c r="BZ539" s="1">
        <v>87</v>
      </c>
      <c r="CB539" s="1" t="str">
        <f>"3"</f>
        <v>3</v>
      </c>
      <c r="CC539" s="1" t="str">
        <f t="shared" si="421"/>
        <v>0</v>
      </c>
      <c r="CD539" s="1">
        <v>22</v>
      </c>
      <c r="CE539" s="1">
        <v>0</v>
      </c>
      <c r="CG539" s="1" t="s">
        <v>932</v>
      </c>
      <c r="CH539" s="1" t="s">
        <v>219</v>
      </c>
      <c r="CI539" s="1" t="s">
        <v>220</v>
      </c>
      <c r="CK539" s="1" t="s">
        <v>932</v>
      </c>
      <c r="CL539" s="1" t="s">
        <v>277</v>
      </c>
      <c r="CM539" s="1" t="s">
        <v>220</v>
      </c>
      <c r="CO539" s="1" t="s">
        <v>629</v>
      </c>
      <c r="CP539" s="1" t="s">
        <v>219</v>
      </c>
      <c r="CQ539" s="1" t="s">
        <v>220</v>
      </c>
      <c r="CS539" s="1" t="s">
        <v>408</v>
      </c>
      <c r="CT539" s="1" t="s">
        <v>219</v>
      </c>
      <c r="CU539" s="1" t="s">
        <v>220</v>
      </c>
      <c r="CX539" s="1" t="s">
        <v>224</v>
      </c>
      <c r="DB539" s="1" t="s">
        <v>224</v>
      </c>
      <c r="DE539" s="1" t="s">
        <v>2031</v>
      </c>
      <c r="DF539" s="1" t="s">
        <v>277</v>
      </c>
      <c r="DG539" s="1" t="s">
        <v>342</v>
      </c>
      <c r="DH539" s="1" t="s">
        <v>210</v>
      </c>
      <c r="DJ539" s="1" t="s">
        <v>224</v>
      </c>
      <c r="DS539" s="1" t="s">
        <v>230</v>
      </c>
      <c r="DW539" s="1" t="s">
        <v>230</v>
      </c>
      <c r="EA539" s="1" t="s">
        <v>230</v>
      </c>
      <c r="EE539" s="1" t="s">
        <v>230</v>
      </c>
      <c r="EI539" s="1" t="s">
        <v>230</v>
      </c>
      <c r="EL539" s="1" t="s">
        <v>231</v>
      </c>
      <c r="EM539" s="1" t="s">
        <v>232</v>
      </c>
      <c r="EN539" s="1" t="s">
        <v>731</v>
      </c>
      <c r="EO539" s="1" t="s">
        <v>234</v>
      </c>
      <c r="EP539" s="1" t="s">
        <v>6829</v>
      </c>
      <c r="EQ539" s="1" t="s">
        <v>468</v>
      </c>
      <c r="ER539" s="1" t="s">
        <v>210</v>
      </c>
      <c r="ES539" s="1" t="s">
        <v>545</v>
      </c>
      <c r="EV539" s="1" t="s">
        <v>240</v>
      </c>
      <c r="EW539" s="1" t="s">
        <v>867</v>
      </c>
      <c r="EY539" s="1" t="s">
        <v>790</v>
      </c>
      <c r="EZ539" s="1" t="s">
        <v>287</v>
      </c>
      <c r="FA539" s="1" t="s">
        <v>5402</v>
      </c>
      <c r="FD539" s="1" t="s">
        <v>3472</v>
      </c>
      <c r="FE539" s="1" t="s">
        <v>247</v>
      </c>
      <c r="FF539" s="1" t="s">
        <v>248</v>
      </c>
      <c r="FH539" s="1" t="s">
        <v>249</v>
      </c>
      <c r="FK539" s="1" t="s">
        <v>6240</v>
      </c>
      <c r="FL539" s="1" t="s">
        <v>6830</v>
      </c>
      <c r="FM539" s="1" t="s">
        <v>252</v>
      </c>
      <c r="FN539" s="1" t="s">
        <v>213</v>
      </c>
      <c r="FO539" s="1" t="s">
        <v>213</v>
      </c>
      <c r="FQ539" s="1" t="s">
        <v>1300</v>
      </c>
      <c r="FR539" s="1" t="s">
        <v>210</v>
      </c>
      <c r="FS539" s="1" t="s">
        <v>6640</v>
      </c>
      <c r="FT539" s="1" t="s">
        <v>1828</v>
      </c>
      <c r="FU539" s="1" t="s">
        <v>204</v>
      </c>
      <c r="FW539" s="1" t="s">
        <v>1097</v>
      </c>
      <c r="FX539" s="1">
        <v>8094</v>
      </c>
      <c r="FY539" s="1" t="s">
        <v>1829</v>
      </c>
      <c r="FZ539" s="1" t="s">
        <v>1830</v>
      </c>
      <c r="GA539" s="1">
        <v>28736</v>
      </c>
      <c r="GB539" s="1" t="s">
        <v>1831</v>
      </c>
      <c r="GE539" s="1" t="s">
        <v>210</v>
      </c>
      <c r="GI539" s="1" t="s">
        <v>204</v>
      </c>
      <c r="GJ539" s="1" t="s">
        <v>260</v>
      </c>
      <c r="GK539" s="1" t="s">
        <v>210</v>
      </c>
      <c r="GL539" s="2">
        <v>42030</v>
      </c>
      <c r="GM539" s="1" t="s">
        <v>1832</v>
      </c>
    </row>
    <row r="540" spans="1:195">
      <c r="A540" s="1">
        <v>74500</v>
      </c>
      <c r="B540" s="1" t="s">
        <v>195</v>
      </c>
      <c r="C540" s="1" t="str">
        <f>"08805907"</f>
        <v>08805907</v>
      </c>
      <c r="D540" s="1" t="s">
        <v>196</v>
      </c>
      <c r="F540" s="1" t="str">
        <f>"2"</f>
        <v>2</v>
      </c>
      <c r="G540" s="2">
        <v>41997</v>
      </c>
      <c r="H540" s="1">
        <v>114900</v>
      </c>
      <c r="I540" s="1">
        <v>92500</v>
      </c>
      <c r="J540" s="1">
        <v>74500</v>
      </c>
      <c r="K540" s="2">
        <v>41996</v>
      </c>
      <c r="L540" s="1">
        <v>98</v>
      </c>
      <c r="M540" s="2">
        <v>42093</v>
      </c>
      <c r="N540" s="1">
        <v>98</v>
      </c>
      <c r="O540" s="2">
        <v>42093</v>
      </c>
      <c r="P540" s="1">
        <v>2472</v>
      </c>
      <c r="Q540" s="1" t="s">
        <v>423</v>
      </c>
      <c r="R540" s="2">
        <v>42124</v>
      </c>
      <c r="S540" s="1">
        <v>20371</v>
      </c>
      <c r="U540" s="1">
        <v>478</v>
      </c>
      <c r="V540" s="1" t="s">
        <v>6831</v>
      </c>
      <c r="W540" s="1" t="s">
        <v>526</v>
      </c>
      <c r="Y540" s="1">
        <v>2</v>
      </c>
      <c r="Z540" s="1" t="s">
        <v>200</v>
      </c>
      <c r="AA540" s="1" t="s">
        <v>5713</v>
      </c>
      <c r="AB540" s="1">
        <v>60002</v>
      </c>
      <c r="AE540" s="1" t="s">
        <v>6832</v>
      </c>
      <c r="AF540" s="1">
        <v>1993</v>
      </c>
      <c r="AG540" s="1" t="s">
        <v>204</v>
      </c>
      <c r="AH540" s="1" t="s">
        <v>596</v>
      </c>
      <c r="AI540" s="1" t="s">
        <v>509</v>
      </c>
      <c r="AJ540" s="1" t="s">
        <v>596</v>
      </c>
      <c r="AL540" s="1">
        <v>5</v>
      </c>
      <c r="AM540" s="1">
        <v>2</v>
      </c>
      <c r="AN540" s="1">
        <v>1</v>
      </c>
      <c r="AO540" s="1">
        <v>1</v>
      </c>
      <c r="AP540" s="1" t="s">
        <v>210</v>
      </c>
      <c r="AR540" s="1" t="s">
        <v>210</v>
      </c>
      <c r="AS540" s="1" t="s">
        <v>204</v>
      </c>
      <c r="AT540" s="1" t="s">
        <v>211</v>
      </c>
      <c r="AU540" s="1">
        <v>1</v>
      </c>
      <c r="AW540" s="1" t="s">
        <v>204</v>
      </c>
      <c r="AX540" s="1" t="s">
        <v>212</v>
      </c>
      <c r="AZ540" s="1">
        <v>2638</v>
      </c>
      <c r="BA540" s="1">
        <v>2013</v>
      </c>
      <c r="BE540" s="1">
        <v>0</v>
      </c>
      <c r="BF540" s="1">
        <v>1</v>
      </c>
      <c r="BG540" s="1">
        <v>0</v>
      </c>
      <c r="BL540" s="1">
        <v>0</v>
      </c>
      <c r="BM540" s="1" t="s">
        <v>413</v>
      </c>
      <c r="BN540" s="1" t="s">
        <v>213</v>
      </c>
      <c r="BP540" s="1" t="s">
        <v>204</v>
      </c>
      <c r="BR540" s="1" t="str">
        <f>"02053100560000"</f>
        <v>02053100560000</v>
      </c>
      <c r="BT540" s="1" t="s">
        <v>6833</v>
      </c>
      <c r="BX540" s="1">
        <v>34</v>
      </c>
      <c r="BY540" s="1">
        <v>34</v>
      </c>
      <c r="BZ540" s="1">
        <v>117</v>
      </c>
      <c r="CB540" s="1" t="str">
        <f t="shared" ref="CB540:CC540" si="422">""</f>
        <v/>
      </c>
      <c r="CC540" s="1" t="str">
        <f t="shared" si="422"/>
        <v/>
      </c>
      <c r="CG540" s="1" t="s">
        <v>1297</v>
      </c>
      <c r="CH540" s="1" t="s">
        <v>219</v>
      </c>
      <c r="CK540" s="1" t="s">
        <v>437</v>
      </c>
      <c r="CL540" s="1" t="s">
        <v>277</v>
      </c>
      <c r="CO540" s="1" t="s">
        <v>1297</v>
      </c>
      <c r="CP540" s="1" t="s">
        <v>219</v>
      </c>
      <c r="CS540" s="1" t="s">
        <v>379</v>
      </c>
      <c r="CT540" s="1" t="s">
        <v>277</v>
      </c>
      <c r="CX540" s="1" t="s">
        <v>224</v>
      </c>
      <c r="DB540" s="1" t="s">
        <v>224</v>
      </c>
      <c r="DE540" s="1" t="s">
        <v>3034</v>
      </c>
      <c r="DF540" s="1" t="s">
        <v>219</v>
      </c>
      <c r="DJ540" s="1" t="s">
        <v>224</v>
      </c>
      <c r="DS540" s="1" t="s">
        <v>230</v>
      </c>
      <c r="DW540" s="1" t="s">
        <v>230</v>
      </c>
      <c r="EA540" s="1" t="s">
        <v>230</v>
      </c>
      <c r="EE540" s="1" t="s">
        <v>230</v>
      </c>
      <c r="EI540" s="1" t="s">
        <v>230</v>
      </c>
      <c r="EL540" s="1" t="s">
        <v>382</v>
      </c>
      <c r="EM540" s="1" t="s">
        <v>319</v>
      </c>
      <c r="EN540" s="1" t="s">
        <v>210</v>
      </c>
      <c r="EO540" s="1" t="s">
        <v>234</v>
      </c>
      <c r="ER540" s="1" t="s">
        <v>210</v>
      </c>
      <c r="EW540" s="1" t="s">
        <v>210</v>
      </c>
      <c r="EZ540" s="1" t="s">
        <v>287</v>
      </c>
      <c r="FD540" s="1" t="s">
        <v>246</v>
      </c>
      <c r="FE540" s="1" t="s">
        <v>1031</v>
      </c>
      <c r="FF540" s="1" t="s">
        <v>248</v>
      </c>
      <c r="FH540" s="1" t="s">
        <v>442</v>
      </c>
      <c r="FL540" s="1" t="s">
        <v>358</v>
      </c>
      <c r="FM540" s="1" t="s">
        <v>252</v>
      </c>
      <c r="FN540" s="1" t="s">
        <v>213</v>
      </c>
      <c r="FO540" s="1" t="s">
        <v>213</v>
      </c>
      <c r="FQ540" s="1" t="s">
        <v>689</v>
      </c>
      <c r="FR540" s="1" t="s">
        <v>210</v>
      </c>
      <c r="FS540" s="1" t="s">
        <v>690</v>
      </c>
      <c r="FT540" s="1" t="s">
        <v>362</v>
      </c>
      <c r="FU540" s="1" t="s">
        <v>204</v>
      </c>
      <c r="FW540" s="1" t="s">
        <v>692</v>
      </c>
      <c r="FX540" s="1">
        <v>3510</v>
      </c>
      <c r="FY540" s="1" t="s">
        <v>693</v>
      </c>
      <c r="FZ540" s="1" t="s">
        <v>6834</v>
      </c>
      <c r="GA540" s="1">
        <v>41641</v>
      </c>
      <c r="GE540" s="1" t="s">
        <v>210</v>
      </c>
      <c r="GI540" s="1" t="s">
        <v>213</v>
      </c>
      <c r="GJ540" s="1" t="s">
        <v>260</v>
      </c>
      <c r="GK540" s="1" t="s">
        <v>210</v>
      </c>
      <c r="GL540" s="2">
        <v>42124</v>
      </c>
      <c r="GM540" s="1" t="s">
        <v>695</v>
      </c>
    </row>
    <row r="541" spans="1:195">
      <c r="A541" s="1">
        <v>170000</v>
      </c>
      <c r="B541" s="1" t="s">
        <v>195</v>
      </c>
      <c r="C541" s="1" t="str">
        <f>"08801972"</f>
        <v>08801972</v>
      </c>
      <c r="D541" s="1" t="s">
        <v>196</v>
      </c>
      <c r="F541" s="1" t="str">
        <f>"191"</f>
        <v>191</v>
      </c>
      <c r="G541" s="2">
        <v>41987</v>
      </c>
      <c r="H541" s="1">
        <v>174900</v>
      </c>
      <c r="I541" s="1">
        <v>174900</v>
      </c>
      <c r="J541" s="1">
        <v>170000</v>
      </c>
      <c r="K541" s="2">
        <v>41984</v>
      </c>
      <c r="L541" s="1">
        <v>364</v>
      </c>
      <c r="M541" s="2">
        <v>41985</v>
      </c>
      <c r="N541" s="1">
        <v>2</v>
      </c>
      <c r="O541" s="2">
        <v>41985</v>
      </c>
      <c r="P541" s="1">
        <v>92063</v>
      </c>
      <c r="Q541" s="1" t="s">
        <v>302</v>
      </c>
      <c r="R541" s="2">
        <v>42041</v>
      </c>
      <c r="S541" s="1">
        <v>26265</v>
      </c>
      <c r="U541" s="1">
        <v>114</v>
      </c>
      <c r="V541" s="1" t="s">
        <v>6835</v>
      </c>
      <c r="W541" s="1" t="s">
        <v>264</v>
      </c>
      <c r="Y541" s="1">
        <v>4</v>
      </c>
      <c r="Z541" s="1" t="s">
        <v>249</v>
      </c>
      <c r="AA541" s="1" t="s">
        <v>1966</v>
      </c>
      <c r="AB541" s="1">
        <v>60191</v>
      </c>
      <c r="AD541" s="1" t="s">
        <v>6835</v>
      </c>
      <c r="AE541" s="1" t="s">
        <v>6836</v>
      </c>
      <c r="AF541" s="1">
        <v>2007</v>
      </c>
      <c r="AG541" s="1" t="s">
        <v>204</v>
      </c>
      <c r="AH541" s="1" t="s">
        <v>1969</v>
      </c>
      <c r="AI541" s="1" t="s">
        <v>206</v>
      </c>
      <c r="AJ541" s="1" t="s">
        <v>1233</v>
      </c>
      <c r="AK541" s="1" t="s">
        <v>6837</v>
      </c>
      <c r="AL541" s="1">
        <v>6</v>
      </c>
      <c r="AM541" s="1">
        <v>2</v>
      </c>
      <c r="AN541" s="1">
        <v>2</v>
      </c>
      <c r="AO541" s="1">
        <v>1</v>
      </c>
      <c r="AP541" s="1" t="s">
        <v>209</v>
      </c>
      <c r="AQ541" s="1">
        <v>0</v>
      </c>
      <c r="AR541" s="1" t="s">
        <v>1631</v>
      </c>
      <c r="AS541" s="1" t="s">
        <v>204</v>
      </c>
      <c r="AT541" s="1" t="s">
        <v>211</v>
      </c>
      <c r="AU541" s="1">
        <v>2</v>
      </c>
      <c r="AW541" s="1" t="s">
        <v>204</v>
      </c>
      <c r="AX541" s="1" t="s">
        <v>212</v>
      </c>
      <c r="AZ541" s="1">
        <v>5007</v>
      </c>
      <c r="BA541" s="1">
        <v>2013</v>
      </c>
      <c r="BB541" s="1" t="s">
        <v>210</v>
      </c>
      <c r="BE541" s="1">
        <v>1721</v>
      </c>
      <c r="BF541" s="1">
        <v>1</v>
      </c>
      <c r="BG541" s="1">
        <v>0</v>
      </c>
      <c r="BL541" s="1">
        <v>273</v>
      </c>
      <c r="BM541" s="1" t="s">
        <v>204</v>
      </c>
      <c r="BN541" s="1" t="s">
        <v>213</v>
      </c>
      <c r="BO541" s="1">
        <v>25</v>
      </c>
      <c r="BP541" s="1" t="s">
        <v>204</v>
      </c>
      <c r="BR541" s="1" t="str">
        <f>"0315237009"</f>
        <v>0315237009</v>
      </c>
      <c r="BT541" s="1" t="s">
        <v>6838</v>
      </c>
      <c r="BU541" s="1" t="s">
        <v>6839</v>
      </c>
      <c r="BV541" s="1" t="s">
        <v>6840</v>
      </c>
      <c r="BW541" s="1" t="s">
        <v>1973</v>
      </c>
      <c r="BX541" s="1">
        <v>2</v>
      </c>
      <c r="BY541" s="1">
        <v>2</v>
      </c>
      <c r="BZ541" s="1">
        <v>100</v>
      </c>
      <c r="CB541" s="1" t="str">
        <f>"17"</f>
        <v>17</v>
      </c>
      <c r="CC541" s="1" t="str">
        <f>"0"</f>
        <v>0</v>
      </c>
      <c r="CD541" s="1">
        <v>5</v>
      </c>
      <c r="CE541" s="1">
        <v>0</v>
      </c>
      <c r="CG541" s="1" t="s">
        <v>602</v>
      </c>
      <c r="CH541" s="1" t="s">
        <v>219</v>
      </c>
      <c r="CI541" s="1" t="s">
        <v>220</v>
      </c>
      <c r="CK541" s="1" t="s">
        <v>669</v>
      </c>
      <c r="CL541" s="1" t="s">
        <v>277</v>
      </c>
      <c r="CM541" s="1" t="s">
        <v>220</v>
      </c>
      <c r="CO541" s="1" t="s">
        <v>346</v>
      </c>
      <c r="CP541" s="1" t="s">
        <v>219</v>
      </c>
      <c r="CQ541" s="1" t="s">
        <v>220</v>
      </c>
      <c r="CS541" s="1" t="s">
        <v>378</v>
      </c>
      <c r="CT541" s="1" t="s">
        <v>277</v>
      </c>
      <c r="CU541" s="1" t="s">
        <v>220</v>
      </c>
      <c r="CX541" s="1" t="s">
        <v>224</v>
      </c>
      <c r="DB541" s="1" t="s">
        <v>224</v>
      </c>
      <c r="DE541" s="1" t="s">
        <v>437</v>
      </c>
      <c r="DF541" s="1" t="s">
        <v>219</v>
      </c>
      <c r="DG541" s="1" t="s">
        <v>438</v>
      </c>
      <c r="DJ541" s="1" t="s">
        <v>224</v>
      </c>
      <c r="DM541" s="1" t="s">
        <v>934</v>
      </c>
      <c r="DR541" s="1" t="s">
        <v>221</v>
      </c>
      <c r="DS541" s="1" t="s">
        <v>822</v>
      </c>
      <c r="DT541" s="1" t="s">
        <v>220</v>
      </c>
      <c r="DW541" s="1" t="s">
        <v>230</v>
      </c>
      <c r="EA541" s="1" t="s">
        <v>230</v>
      </c>
      <c r="EE541" s="1" t="s">
        <v>230</v>
      </c>
      <c r="EI541" s="1" t="s">
        <v>230</v>
      </c>
      <c r="EL541" s="1" t="s">
        <v>491</v>
      </c>
      <c r="EM541" s="1" t="s">
        <v>232</v>
      </c>
      <c r="EN541" s="1" t="s">
        <v>282</v>
      </c>
      <c r="EO541" s="1" t="s">
        <v>234</v>
      </c>
      <c r="EP541" s="1" t="s">
        <v>3782</v>
      </c>
      <c r="EQ541" s="1" t="s">
        <v>492</v>
      </c>
      <c r="ER541" s="1" t="s">
        <v>544</v>
      </c>
      <c r="ES541" s="1" t="s">
        <v>322</v>
      </c>
      <c r="ET541" s="1" t="s">
        <v>323</v>
      </c>
      <c r="EV541" s="1" t="s">
        <v>240</v>
      </c>
      <c r="EW541" s="1" t="s">
        <v>937</v>
      </c>
      <c r="EY541" s="1" t="s">
        <v>242</v>
      </c>
      <c r="EZ541" s="1" t="s">
        <v>934</v>
      </c>
      <c r="FB541" s="1" t="s">
        <v>289</v>
      </c>
      <c r="FC541" s="1" t="s">
        <v>1362</v>
      </c>
      <c r="FD541" s="1" t="s">
        <v>246</v>
      </c>
      <c r="FE541" s="1" t="s">
        <v>247</v>
      </c>
      <c r="FF541" s="1" t="s">
        <v>248</v>
      </c>
      <c r="FH541" s="1" t="s">
        <v>550</v>
      </c>
      <c r="FL541" s="1" t="s">
        <v>358</v>
      </c>
      <c r="FM541" s="1" t="s">
        <v>252</v>
      </c>
      <c r="FN541" s="1" t="s">
        <v>213</v>
      </c>
      <c r="FO541" s="1" t="s">
        <v>213</v>
      </c>
      <c r="FQ541" s="1" t="s">
        <v>582</v>
      </c>
      <c r="FR541" s="1" t="s">
        <v>210</v>
      </c>
      <c r="FS541" s="1" t="s">
        <v>6841</v>
      </c>
      <c r="FT541" s="1" t="s">
        <v>1828</v>
      </c>
      <c r="FU541" s="1" t="s">
        <v>204</v>
      </c>
      <c r="FW541" s="1" t="s">
        <v>4898</v>
      </c>
      <c r="FX541" s="1">
        <v>40233</v>
      </c>
      <c r="FY541" s="1" t="s">
        <v>4899</v>
      </c>
      <c r="FZ541" s="1" t="s">
        <v>6842</v>
      </c>
      <c r="GA541" s="1">
        <v>401751</v>
      </c>
      <c r="GB541" s="1" t="s">
        <v>4899</v>
      </c>
      <c r="GE541" s="1" t="s">
        <v>210</v>
      </c>
      <c r="GI541" s="1" t="s">
        <v>213</v>
      </c>
      <c r="GJ541" s="1" t="s">
        <v>260</v>
      </c>
      <c r="GK541" s="1" t="s">
        <v>210</v>
      </c>
      <c r="GL541" s="2">
        <v>42041</v>
      </c>
      <c r="GM541" s="1" t="s">
        <v>6843</v>
      </c>
    </row>
    <row r="542" spans="1:195">
      <c r="A542" s="1">
        <v>43000</v>
      </c>
      <c r="B542" s="1" t="s">
        <v>195</v>
      </c>
      <c r="C542" s="1" t="str">
        <f>"08800036"</f>
        <v>08800036</v>
      </c>
      <c r="D542" s="1" t="s">
        <v>196</v>
      </c>
      <c r="F542" s="1" t="str">
        <f>"2104"</f>
        <v>2104</v>
      </c>
      <c r="G542" s="2">
        <v>41983</v>
      </c>
      <c r="H542" s="1">
        <v>49900</v>
      </c>
      <c r="I542" s="1">
        <v>44900</v>
      </c>
      <c r="J542" s="1">
        <v>43000</v>
      </c>
      <c r="K542" s="2">
        <v>41983</v>
      </c>
      <c r="L542" s="1">
        <v>125</v>
      </c>
      <c r="M542" s="2">
        <v>42107</v>
      </c>
      <c r="N542" s="1">
        <v>125</v>
      </c>
      <c r="O542" s="2">
        <v>42107</v>
      </c>
      <c r="P542" s="1">
        <v>22324</v>
      </c>
      <c r="Q542" s="1" t="s">
        <v>302</v>
      </c>
      <c r="R542" s="2">
        <v>42125</v>
      </c>
      <c r="S542" s="1">
        <v>223928</v>
      </c>
      <c r="U542" s="1">
        <v>1105</v>
      </c>
      <c r="V542" s="1" t="s">
        <v>3029</v>
      </c>
      <c r="W542" s="1" t="s">
        <v>425</v>
      </c>
      <c r="X542" s="1" t="s">
        <v>3349</v>
      </c>
      <c r="Y542" s="1">
        <v>2</v>
      </c>
      <c r="Z542" s="1" t="s">
        <v>200</v>
      </c>
      <c r="AA542" s="1" t="s">
        <v>3029</v>
      </c>
      <c r="AB542" s="1">
        <v>60104</v>
      </c>
      <c r="AE542" s="1" t="s">
        <v>6844</v>
      </c>
      <c r="AF542" s="1">
        <v>1961</v>
      </c>
      <c r="AG542" s="1" t="s">
        <v>213</v>
      </c>
      <c r="AH542" s="1" t="s">
        <v>3031</v>
      </c>
      <c r="AI542" s="1" t="s">
        <v>310</v>
      </c>
      <c r="AJ542" s="1" t="s">
        <v>429</v>
      </c>
      <c r="AL542" s="1">
        <v>6</v>
      </c>
      <c r="AM542" s="1">
        <v>2</v>
      </c>
      <c r="AN542" s="1">
        <v>1</v>
      </c>
      <c r="AO542" s="1">
        <v>0</v>
      </c>
      <c r="AP542" s="1" t="s">
        <v>210</v>
      </c>
      <c r="AR542" s="1" t="s">
        <v>209</v>
      </c>
      <c r="AS542" s="1" t="s">
        <v>204</v>
      </c>
      <c r="AT542" s="1" t="s">
        <v>271</v>
      </c>
      <c r="AV542" s="1">
        <v>1</v>
      </c>
      <c r="AW542" s="1" t="s">
        <v>204</v>
      </c>
      <c r="AX542" s="1" t="s">
        <v>6845</v>
      </c>
      <c r="AZ542" s="1">
        <v>1895.79</v>
      </c>
      <c r="BA542" s="1">
        <v>2013</v>
      </c>
      <c r="BB542" s="1" t="s">
        <v>210</v>
      </c>
      <c r="BE542" s="1">
        <v>1042</v>
      </c>
      <c r="BF542" s="1">
        <v>1</v>
      </c>
      <c r="BG542" s="1">
        <v>0</v>
      </c>
      <c r="BL542" s="1">
        <v>0</v>
      </c>
      <c r="BM542" s="1" t="s">
        <v>204</v>
      </c>
      <c r="BN542" s="1" t="s">
        <v>213</v>
      </c>
      <c r="BO542" s="1">
        <v>20</v>
      </c>
      <c r="BP542" s="1" t="s">
        <v>204</v>
      </c>
      <c r="BR542" s="1" t="str">
        <f>"15161240620000"</f>
        <v>15161240620000</v>
      </c>
      <c r="BT542" s="1" t="s">
        <v>6846</v>
      </c>
      <c r="BW542" s="1" t="s">
        <v>1197</v>
      </c>
      <c r="BX542" s="1">
        <v>88</v>
      </c>
      <c r="BY542" s="1">
        <v>88</v>
      </c>
      <c r="BZ542" s="1">
        <v>209</v>
      </c>
      <c r="CB542" s="1" t="str">
        <f t="shared" ref="CB542:CC542" si="423">""</f>
        <v/>
      </c>
      <c r="CC542" s="1" t="str">
        <f t="shared" si="423"/>
        <v/>
      </c>
      <c r="CG542" s="1" t="s">
        <v>344</v>
      </c>
      <c r="CH542" s="1" t="s">
        <v>219</v>
      </c>
      <c r="CI542" s="1" t="s">
        <v>220</v>
      </c>
      <c r="CK542" s="1" t="s">
        <v>465</v>
      </c>
      <c r="CL542" s="1" t="s">
        <v>277</v>
      </c>
      <c r="CM542" s="1" t="s">
        <v>220</v>
      </c>
      <c r="CO542" s="1" t="s">
        <v>4648</v>
      </c>
      <c r="CP542" s="1" t="s">
        <v>219</v>
      </c>
      <c r="CQ542" s="1" t="s">
        <v>220</v>
      </c>
      <c r="CS542" s="1" t="s">
        <v>346</v>
      </c>
      <c r="CT542" s="1" t="s">
        <v>277</v>
      </c>
      <c r="CU542" s="1" t="s">
        <v>220</v>
      </c>
      <c r="CX542" s="1" t="s">
        <v>224</v>
      </c>
      <c r="DB542" s="1" t="s">
        <v>224</v>
      </c>
      <c r="DE542" s="1" t="s">
        <v>3034</v>
      </c>
      <c r="DF542" s="1" t="s">
        <v>219</v>
      </c>
      <c r="DG542" s="1" t="s">
        <v>226</v>
      </c>
      <c r="DI542" s="1" t="s">
        <v>378</v>
      </c>
      <c r="DJ542" s="1" t="s">
        <v>43</v>
      </c>
      <c r="DK542" s="1" t="s">
        <v>220</v>
      </c>
      <c r="DS542" s="1" t="s">
        <v>230</v>
      </c>
      <c r="DW542" s="1" t="s">
        <v>230</v>
      </c>
      <c r="EA542" s="1" t="s">
        <v>230</v>
      </c>
      <c r="EE542" s="1" t="s">
        <v>230</v>
      </c>
      <c r="EI542" s="1" t="s">
        <v>230</v>
      </c>
      <c r="EL542" s="1" t="s">
        <v>649</v>
      </c>
      <c r="EM542" s="1" t="s">
        <v>232</v>
      </c>
      <c r="EN542" s="1" t="s">
        <v>282</v>
      </c>
      <c r="EO542" s="1" t="s">
        <v>234</v>
      </c>
      <c r="ER542" s="1" t="s">
        <v>544</v>
      </c>
      <c r="EW542" s="1" t="s">
        <v>210</v>
      </c>
      <c r="EY542" s="1" t="s">
        <v>242</v>
      </c>
      <c r="EZ542" s="1" t="s">
        <v>287</v>
      </c>
      <c r="FD542" s="1" t="s">
        <v>2252</v>
      </c>
      <c r="FE542" s="1" t="s">
        <v>247</v>
      </c>
      <c r="FF542" s="1" t="s">
        <v>248</v>
      </c>
      <c r="FH542" s="1" t="s">
        <v>550</v>
      </c>
      <c r="FL542" s="1" t="s">
        <v>414</v>
      </c>
      <c r="FM542" s="1" t="s">
        <v>252</v>
      </c>
      <c r="FN542" s="1" t="s">
        <v>213</v>
      </c>
      <c r="FO542" s="1" t="s">
        <v>213</v>
      </c>
      <c r="FQ542" s="1" t="s">
        <v>6847</v>
      </c>
      <c r="FR542" s="1" t="s">
        <v>210</v>
      </c>
      <c r="FS542" s="1" t="s">
        <v>2984</v>
      </c>
      <c r="FT542" s="1" t="s">
        <v>295</v>
      </c>
      <c r="FU542" s="1" t="s">
        <v>204</v>
      </c>
      <c r="FW542" s="1" t="s">
        <v>2985</v>
      </c>
      <c r="FX542" s="1">
        <v>23959</v>
      </c>
      <c r="FY542" s="1" t="s">
        <v>2986</v>
      </c>
      <c r="FZ542" s="1" t="s">
        <v>6386</v>
      </c>
      <c r="GA542" s="1">
        <v>238419</v>
      </c>
      <c r="GC542" s="1">
        <v>220868</v>
      </c>
      <c r="GE542" s="1" t="s">
        <v>210</v>
      </c>
      <c r="GI542" s="1" t="s">
        <v>213</v>
      </c>
      <c r="GJ542" s="1" t="s">
        <v>260</v>
      </c>
      <c r="GK542" s="1" t="s">
        <v>210</v>
      </c>
      <c r="GL542" s="2">
        <v>42128</v>
      </c>
      <c r="GM542" s="1" t="s">
        <v>6848</v>
      </c>
    </row>
    <row r="543" spans="1:195">
      <c r="A543" s="1">
        <v>123000</v>
      </c>
      <c r="B543" s="1" t="s">
        <v>195</v>
      </c>
      <c r="C543" s="1" t="str">
        <f>"08800127"</f>
        <v>08800127</v>
      </c>
      <c r="D543" s="1" t="s">
        <v>196</v>
      </c>
      <c r="F543" s="1" t="str">
        <f>"507"</f>
        <v>507</v>
      </c>
      <c r="G543" s="2">
        <v>41983</v>
      </c>
      <c r="H543" s="1">
        <v>119900</v>
      </c>
      <c r="I543" s="1">
        <v>119900</v>
      </c>
      <c r="J543" s="1">
        <v>123000</v>
      </c>
      <c r="K543" s="2">
        <v>41982</v>
      </c>
      <c r="L543" s="1">
        <v>80</v>
      </c>
      <c r="M543" s="2">
        <v>42061</v>
      </c>
      <c r="N543" s="1">
        <v>80</v>
      </c>
      <c r="O543" s="2">
        <v>42061</v>
      </c>
      <c r="P543" s="1">
        <v>20277</v>
      </c>
      <c r="Q543" s="1" t="s">
        <v>197</v>
      </c>
      <c r="R543" s="2">
        <v>42123</v>
      </c>
      <c r="S543" s="1">
        <v>224845</v>
      </c>
      <c r="U543" s="1">
        <v>2797</v>
      </c>
      <c r="V543" s="1" t="s">
        <v>6849</v>
      </c>
      <c r="W543" s="1" t="s">
        <v>504</v>
      </c>
      <c r="Y543" s="1">
        <v>4</v>
      </c>
      <c r="Z543" s="1" t="s">
        <v>200</v>
      </c>
      <c r="AA543" s="1" t="s">
        <v>1123</v>
      </c>
      <c r="AB543" s="1">
        <v>60504</v>
      </c>
      <c r="AE543" s="1" t="s">
        <v>6850</v>
      </c>
      <c r="AF543" s="1">
        <v>1996</v>
      </c>
      <c r="AG543" s="1" t="s">
        <v>204</v>
      </c>
      <c r="AH543" s="1" t="s">
        <v>1126</v>
      </c>
      <c r="AI543" s="1" t="s">
        <v>206</v>
      </c>
      <c r="AJ543" s="1" t="s">
        <v>924</v>
      </c>
      <c r="AL543" s="1">
        <v>7</v>
      </c>
      <c r="AM543" s="1">
        <v>2</v>
      </c>
      <c r="AN543" s="1">
        <v>2</v>
      </c>
      <c r="AO543" s="1">
        <v>0</v>
      </c>
      <c r="AP543" s="1" t="s">
        <v>209</v>
      </c>
      <c r="AR543" s="1" t="s">
        <v>209</v>
      </c>
      <c r="AS543" s="1" t="s">
        <v>213</v>
      </c>
      <c r="AT543" s="1" t="s">
        <v>211</v>
      </c>
      <c r="AU543" s="1">
        <v>2</v>
      </c>
      <c r="AW543" s="1" t="s">
        <v>204</v>
      </c>
      <c r="AX543" s="1" t="s">
        <v>212</v>
      </c>
      <c r="AZ543" s="1">
        <v>2820</v>
      </c>
      <c r="BA543" s="1">
        <v>2013</v>
      </c>
      <c r="BE543" s="1">
        <v>1163</v>
      </c>
      <c r="BF543" s="1">
        <v>1</v>
      </c>
      <c r="BG543" s="1">
        <v>1</v>
      </c>
      <c r="BL543" s="1">
        <v>224</v>
      </c>
      <c r="BM543" s="1" t="s">
        <v>204</v>
      </c>
      <c r="BN543" s="1" t="s">
        <v>213</v>
      </c>
      <c r="BO543" s="1">
        <v>75</v>
      </c>
      <c r="BP543" s="1" t="s">
        <v>204</v>
      </c>
      <c r="BR543" s="1" t="str">
        <f>"0730413016"</f>
        <v>0730413016</v>
      </c>
      <c r="BT543" s="1" t="s">
        <v>6851</v>
      </c>
      <c r="BX543" s="1">
        <v>204</v>
      </c>
      <c r="BY543" s="1">
        <v>204</v>
      </c>
      <c r="BZ543" s="1">
        <v>204</v>
      </c>
      <c r="CB543" s="1" t="str">
        <f t="shared" ref="CB543:CC543" si="424">""</f>
        <v/>
      </c>
      <c r="CC543" s="1" t="str">
        <f t="shared" si="424"/>
        <v/>
      </c>
      <c r="CG543" s="1" t="s">
        <v>437</v>
      </c>
      <c r="CH543" s="1" t="s">
        <v>219</v>
      </c>
      <c r="CI543" s="1" t="s">
        <v>438</v>
      </c>
      <c r="CK543" s="1" t="s">
        <v>315</v>
      </c>
      <c r="CL543" s="1" t="s">
        <v>219</v>
      </c>
      <c r="CM543" s="1" t="s">
        <v>438</v>
      </c>
      <c r="CO543" s="1" t="s">
        <v>318</v>
      </c>
      <c r="CP543" s="1" t="s">
        <v>219</v>
      </c>
      <c r="CQ543" s="1" t="s">
        <v>438</v>
      </c>
      <c r="CS543" s="1" t="s">
        <v>318</v>
      </c>
      <c r="CT543" s="1" t="s">
        <v>219</v>
      </c>
      <c r="CU543" s="1" t="s">
        <v>438</v>
      </c>
      <c r="CW543" s="1" t="s">
        <v>318</v>
      </c>
      <c r="CX543" s="1" t="s">
        <v>43</v>
      </c>
      <c r="CY543" s="1" t="s">
        <v>220</v>
      </c>
      <c r="DB543" s="1" t="s">
        <v>224</v>
      </c>
      <c r="DE543" s="1" t="s">
        <v>379</v>
      </c>
      <c r="DF543" s="1" t="s">
        <v>219</v>
      </c>
      <c r="DG543" s="1" t="s">
        <v>226</v>
      </c>
      <c r="DI543" s="1" t="s">
        <v>315</v>
      </c>
      <c r="DJ543" s="1" t="s">
        <v>43</v>
      </c>
      <c r="DK543" s="1" t="s">
        <v>220</v>
      </c>
      <c r="DS543" s="1" t="s">
        <v>230</v>
      </c>
      <c r="DW543" s="1" t="s">
        <v>230</v>
      </c>
      <c r="EA543" s="1" t="s">
        <v>230</v>
      </c>
      <c r="EE543" s="1" t="s">
        <v>230</v>
      </c>
      <c r="EI543" s="1" t="s">
        <v>230</v>
      </c>
      <c r="EL543" s="1" t="s">
        <v>670</v>
      </c>
      <c r="EM543" s="1" t="s">
        <v>319</v>
      </c>
      <c r="EN543" s="1" t="s">
        <v>282</v>
      </c>
      <c r="EO543" s="1" t="s">
        <v>234</v>
      </c>
      <c r="ER543" s="1" t="s">
        <v>544</v>
      </c>
      <c r="EW543" s="1" t="s">
        <v>887</v>
      </c>
      <c r="EY543" s="1" t="s">
        <v>242</v>
      </c>
      <c r="EZ543" s="1" t="s">
        <v>287</v>
      </c>
      <c r="FD543" s="1" t="s">
        <v>246</v>
      </c>
      <c r="FE543" s="1" t="s">
        <v>472</v>
      </c>
      <c r="FF543" s="1" t="s">
        <v>248</v>
      </c>
      <c r="FH543" s="1" t="s">
        <v>825</v>
      </c>
      <c r="FL543" s="1" t="s">
        <v>810</v>
      </c>
      <c r="FM543" s="1" t="s">
        <v>252</v>
      </c>
      <c r="FN543" s="1" t="s">
        <v>213</v>
      </c>
      <c r="FO543" s="1" t="s">
        <v>213</v>
      </c>
      <c r="FQ543" s="1" t="s">
        <v>849</v>
      </c>
      <c r="FR543" s="1" t="s">
        <v>210</v>
      </c>
      <c r="FS543" s="1" t="s">
        <v>6852</v>
      </c>
      <c r="FT543" s="1" t="s">
        <v>255</v>
      </c>
      <c r="FU543" s="1" t="s">
        <v>204</v>
      </c>
      <c r="FW543" s="1" t="s">
        <v>6853</v>
      </c>
      <c r="FX543" s="1">
        <v>25189</v>
      </c>
      <c r="FY543" s="1" t="s">
        <v>6854</v>
      </c>
      <c r="FZ543" s="1" t="s">
        <v>6855</v>
      </c>
      <c r="GA543" s="1">
        <v>217663</v>
      </c>
      <c r="GB543" s="1" t="s">
        <v>6854</v>
      </c>
      <c r="GD543" s="1" t="s">
        <v>6856</v>
      </c>
      <c r="GE543" s="1" t="s">
        <v>210</v>
      </c>
      <c r="GI543" s="1" t="s">
        <v>213</v>
      </c>
      <c r="GJ543" s="1" t="s">
        <v>260</v>
      </c>
      <c r="GK543" s="1" t="s">
        <v>210</v>
      </c>
      <c r="GL543" s="2">
        <v>42135</v>
      </c>
      <c r="GM543" s="1" t="s">
        <v>6857</v>
      </c>
    </row>
    <row r="544" spans="1:195">
      <c r="A544" s="1">
        <v>250000</v>
      </c>
      <c r="B544" s="1" t="s">
        <v>195</v>
      </c>
      <c r="C544" s="1" t="str">
        <f>"08803948"</f>
        <v>08803948</v>
      </c>
      <c r="D544" s="1" t="s">
        <v>196</v>
      </c>
      <c r="F544" s="1" t="str">
        <f>"188"</f>
        <v>188</v>
      </c>
      <c r="G544" s="2">
        <v>41991</v>
      </c>
      <c r="H544" s="1">
        <v>268000</v>
      </c>
      <c r="I544" s="1">
        <v>259900</v>
      </c>
      <c r="J544" s="1">
        <v>250000</v>
      </c>
      <c r="K544" s="2">
        <v>41991</v>
      </c>
      <c r="L544" s="1">
        <v>49</v>
      </c>
      <c r="M544" s="2">
        <v>42039</v>
      </c>
      <c r="N544" s="1">
        <v>49</v>
      </c>
      <c r="O544" s="2">
        <v>42039</v>
      </c>
      <c r="P544" s="1">
        <v>25088</v>
      </c>
      <c r="Q544" s="1" t="s">
        <v>197</v>
      </c>
      <c r="R544" s="2">
        <v>42102</v>
      </c>
      <c r="S544" s="1">
        <v>253450</v>
      </c>
      <c r="U544" s="1">
        <v>550</v>
      </c>
      <c r="V544" s="1" t="s">
        <v>6858</v>
      </c>
      <c r="W544" s="1" t="s">
        <v>264</v>
      </c>
      <c r="Y544" s="1">
        <v>2</v>
      </c>
      <c r="Z544" s="1" t="s">
        <v>370</v>
      </c>
      <c r="AA544" s="1" t="s">
        <v>1084</v>
      </c>
      <c r="AB544" s="1">
        <v>60188</v>
      </c>
      <c r="AD544" s="1" t="s">
        <v>6859</v>
      </c>
      <c r="AE544" s="1" t="s">
        <v>6860</v>
      </c>
      <c r="AF544" s="1">
        <v>2003</v>
      </c>
      <c r="AG544" s="1" t="s">
        <v>204</v>
      </c>
      <c r="AH544" s="1" t="s">
        <v>1087</v>
      </c>
      <c r="AI544" s="1" t="s">
        <v>206</v>
      </c>
      <c r="AJ544" s="1" t="s">
        <v>269</v>
      </c>
      <c r="AK544" s="1" t="s">
        <v>269</v>
      </c>
      <c r="AL544" s="1">
        <v>5</v>
      </c>
      <c r="AM544" s="1">
        <v>2</v>
      </c>
      <c r="AN544" s="1">
        <v>2</v>
      </c>
      <c r="AO544" s="1">
        <v>0</v>
      </c>
      <c r="AP544" s="1" t="s">
        <v>209</v>
      </c>
      <c r="AR544" s="1" t="s">
        <v>209</v>
      </c>
      <c r="AS544" s="1" t="s">
        <v>204</v>
      </c>
      <c r="AT544" s="1" t="s">
        <v>211</v>
      </c>
      <c r="AU544" s="1">
        <v>2</v>
      </c>
      <c r="AW544" s="1" t="s">
        <v>204</v>
      </c>
      <c r="AX544" s="1" t="s">
        <v>212</v>
      </c>
      <c r="AZ544" s="1">
        <v>4303</v>
      </c>
      <c r="BA544" s="1">
        <v>2013</v>
      </c>
      <c r="BB544" s="1" t="s">
        <v>2694</v>
      </c>
      <c r="BE544" s="1">
        <v>1650</v>
      </c>
      <c r="BF544" s="1">
        <v>1</v>
      </c>
      <c r="BG544" s="1">
        <v>0</v>
      </c>
      <c r="BL544" s="1">
        <v>240</v>
      </c>
      <c r="BM544" s="1" t="s">
        <v>204</v>
      </c>
      <c r="BN544" s="1" t="s">
        <v>213</v>
      </c>
      <c r="BO544" s="1">
        <v>0</v>
      </c>
      <c r="BP544" s="1" t="s">
        <v>204</v>
      </c>
      <c r="BR544" s="1" t="str">
        <f>"0219421078"</f>
        <v>0219421078</v>
      </c>
      <c r="BT544" s="1" t="s">
        <v>6861</v>
      </c>
      <c r="BU544" s="1" t="s">
        <v>1090</v>
      </c>
      <c r="BV544" s="1" t="s">
        <v>1091</v>
      </c>
      <c r="BW544" s="1" t="s">
        <v>1092</v>
      </c>
      <c r="BX544" s="1">
        <v>93</v>
      </c>
      <c r="BY544" s="1">
        <v>93</v>
      </c>
      <c r="BZ544" s="1">
        <v>87</v>
      </c>
      <c r="CB544" s="1" t="str">
        <f t="shared" ref="CB544:CC544" si="425">""</f>
        <v/>
      </c>
      <c r="CC544" s="1" t="str">
        <f t="shared" si="425"/>
        <v/>
      </c>
      <c r="CH544" s="1" t="s">
        <v>224</v>
      </c>
      <c r="CK544" s="1" t="s">
        <v>228</v>
      </c>
      <c r="CL544" s="1" t="s">
        <v>219</v>
      </c>
      <c r="CM544" s="1" t="s">
        <v>220</v>
      </c>
      <c r="CN544" s="1" t="s">
        <v>343</v>
      </c>
      <c r="CP544" s="1" t="s">
        <v>224</v>
      </c>
      <c r="CS544" s="1" t="s">
        <v>379</v>
      </c>
      <c r="CT544" s="1" t="s">
        <v>219</v>
      </c>
      <c r="CU544" s="1" t="s">
        <v>220</v>
      </c>
      <c r="CV544" s="1" t="s">
        <v>343</v>
      </c>
      <c r="CX544" s="1" t="s">
        <v>224</v>
      </c>
      <c r="DB544" s="1" t="s">
        <v>224</v>
      </c>
      <c r="DE544" s="1" t="s">
        <v>1045</v>
      </c>
      <c r="DF544" s="1" t="s">
        <v>219</v>
      </c>
      <c r="DG544" s="1" t="s">
        <v>226</v>
      </c>
      <c r="DH544" s="1" t="s">
        <v>343</v>
      </c>
      <c r="DJ544" s="1" t="s">
        <v>224</v>
      </c>
      <c r="DM544" s="1" t="s">
        <v>1005</v>
      </c>
      <c r="DN544" s="1" t="s">
        <v>1676</v>
      </c>
      <c r="DR544" s="1" t="s">
        <v>1358</v>
      </c>
      <c r="DS544" s="1" t="s">
        <v>219</v>
      </c>
      <c r="DT544" s="1" t="s">
        <v>220</v>
      </c>
      <c r="DU544" s="1" t="s">
        <v>343</v>
      </c>
      <c r="DV544" s="1" t="s">
        <v>6862</v>
      </c>
      <c r="DW544" s="1" t="s">
        <v>219</v>
      </c>
      <c r="DX544" s="1" t="s">
        <v>438</v>
      </c>
      <c r="DY544" s="1" t="s">
        <v>343</v>
      </c>
      <c r="EA544" s="1" t="s">
        <v>230</v>
      </c>
      <c r="EE544" s="1" t="s">
        <v>230</v>
      </c>
      <c r="EI544" s="1" t="s">
        <v>230</v>
      </c>
      <c r="EL544" s="1" t="s">
        <v>466</v>
      </c>
      <c r="EM544" s="1" t="s">
        <v>730</v>
      </c>
      <c r="EN544" s="1" t="s">
        <v>282</v>
      </c>
      <c r="EO544" s="1" t="s">
        <v>234</v>
      </c>
      <c r="EQ544" s="1" t="s">
        <v>236</v>
      </c>
      <c r="ER544" s="1" t="s">
        <v>1249</v>
      </c>
      <c r="ES544" s="1" t="s">
        <v>322</v>
      </c>
      <c r="ET544" s="1" t="s">
        <v>842</v>
      </c>
      <c r="EU544" s="1" t="s">
        <v>6863</v>
      </c>
      <c r="EV544" s="1" t="s">
        <v>1553</v>
      </c>
      <c r="EW544" s="1" t="s">
        <v>6864</v>
      </c>
      <c r="EY544" s="1" t="s">
        <v>242</v>
      </c>
      <c r="EZ544" s="1" t="s">
        <v>6865</v>
      </c>
      <c r="FA544" s="1" t="s">
        <v>6866</v>
      </c>
      <c r="FB544" s="1" t="s">
        <v>289</v>
      </c>
      <c r="FD544" s="1" t="s">
        <v>246</v>
      </c>
      <c r="FE544" s="1" t="s">
        <v>472</v>
      </c>
      <c r="FF544" s="1" t="s">
        <v>248</v>
      </c>
      <c r="FH544" s="1" t="s">
        <v>6867</v>
      </c>
      <c r="FI544" s="1" t="s">
        <v>473</v>
      </c>
      <c r="FJ544" s="1" t="s">
        <v>1179</v>
      </c>
      <c r="FL544" s="1" t="s">
        <v>358</v>
      </c>
      <c r="FM544" s="1" t="s">
        <v>252</v>
      </c>
      <c r="FN544" s="1" t="s">
        <v>213</v>
      </c>
      <c r="FO544" s="1" t="s">
        <v>213</v>
      </c>
      <c r="FQ544" s="1" t="s">
        <v>329</v>
      </c>
      <c r="FR544" s="1" t="s">
        <v>210</v>
      </c>
      <c r="FS544" s="1" t="s">
        <v>6868</v>
      </c>
      <c r="FT544" s="1" t="s">
        <v>255</v>
      </c>
      <c r="FU544" s="1" t="s">
        <v>204</v>
      </c>
      <c r="FW544" s="1" t="s">
        <v>1097</v>
      </c>
      <c r="FX544" s="1">
        <v>25005</v>
      </c>
      <c r="FY544" s="1" t="s">
        <v>1098</v>
      </c>
      <c r="FZ544" s="1" t="s">
        <v>6869</v>
      </c>
      <c r="GA544" s="1">
        <v>257039</v>
      </c>
      <c r="GB544" s="1" t="s">
        <v>6870</v>
      </c>
      <c r="GE544" s="1" t="s">
        <v>623</v>
      </c>
      <c r="GI544" s="1" t="s">
        <v>213</v>
      </c>
      <c r="GJ544" s="1" t="s">
        <v>260</v>
      </c>
      <c r="GK544" s="1" t="s">
        <v>210</v>
      </c>
      <c r="GL544" s="2">
        <v>42102</v>
      </c>
    </row>
    <row r="545" spans="1:195">
      <c r="A545" s="1">
        <v>115000</v>
      </c>
      <c r="B545" s="1" t="s">
        <v>195</v>
      </c>
      <c r="C545" s="1" t="str">
        <f>"08800739"</f>
        <v>08800739</v>
      </c>
      <c r="D545" s="1" t="s">
        <v>196</v>
      </c>
      <c r="F545" s="1" t="str">
        <f>"515"</f>
        <v>515</v>
      </c>
      <c r="G545" s="2">
        <v>41984</v>
      </c>
      <c r="H545" s="1">
        <v>125000</v>
      </c>
      <c r="I545" s="1">
        <v>120000</v>
      </c>
      <c r="J545" s="1">
        <v>115000</v>
      </c>
      <c r="K545" s="2">
        <v>41984</v>
      </c>
      <c r="L545" s="1">
        <v>356</v>
      </c>
      <c r="M545" s="2">
        <v>42058</v>
      </c>
      <c r="N545" s="1">
        <v>75</v>
      </c>
      <c r="O545" s="2">
        <v>42058</v>
      </c>
      <c r="P545" s="1">
        <v>20150</v>
      </c>
      <c r="Q545" s="1" t="s">
        <v>302</v>
      </c>
      <c r="R545" s="2">
        <v>42081</v>
      </c>
      <c r="S545" s="1">
        <v>213695</v>
      </c>
      <c r="U545" s="1">
        <v>7303</v>
      </c>
      <c r="V545" s="1" t="s">
        <v>6871</v>
      </c>
      <c r="W545" s="1" t="s">
        <v>425</v>
      </c>
      <c r="X545" s="1">
        <v>202</v>
      </c>
      <c r="Y545" s="1">
        <v>16</v>
      </c>
      <c r="Z545" s="1" t="s">
        <v>249</v>
      </c>
      <c r="AA545" s="1" t="s">
        <v>1294</v>
      </c>
      <c r="AB545" s="1">
        <v>60516</v>
      </c>
      <c r="AD545" s="1" t="s">
        <v>6872</v>
      </c>
      <c r="AE545" s="1" t="s">
        <v>6873</v>
      </c>
      <c r="AF545" s="1">
        <v>1971</v>
      </c>
      <c r="AG545" s="1" t="s">
        <v>213</v>
      </c>
      <c r="AH545" s="1" t="s">
        <v>903</v>
      </c>
      <c r="AI545" s="1" t="s">
        <v>206</v>
      </c>
      <c r="AJ545" s="1" t="s">
        <v>903</v>
      </c>
      <c r="AL545" s="1">
        <v>5</v>
      </c>
      <c r="AM545" s="1">
        <v>2</v>
      </c>
      <c r="AN545" s="1">
        <v>2</v>
      </c>
      <c r="AO545" s="1">
        <v>0</v>
      </c>
      <c r="AP545" s="1" t="s">
        <v>209</v>
      </c>
      <c r="AR545" s="1" t="s">
        <v>210</v>
      </c>
      <c r="AT545" s="1" t="s">
        <v>271</v>
      </c>
      <c r="AV545" s="1">
        <v>1</v>
      </c>
      <c r="AW545" s="1" t="s">
        <v>213</v>
      </c>
      <c r="AX545" s="1" t="s">
        <v>212</v>
      </c>
      <c r="AZ545" s="1">
        <v>1226.76</v>
      </c>
      <c r="BA545" s="1">
        <v>2013</v>
      </c>
      <c r="BB545" s="1" t="s">
        <v>6874</v>
      </c>
      <c r="BE545" s="1">
        <v>968</v>
      </c>
      <c r="BF545" s="1">
        <v>2</v>
      </c>
      <c r="BG545" s="1">
        <v>30</v>
      </c>
      <c r="BL545" s="1">
        <v>317</v>
      </c>
      <c r="BM545" s="1" t="s">
        <v>204</v>
      </c>
      <c r="BN545" s="1" t="s">
        <v>213</v>
      </c>
      <c r="BO545" s="1">
        <v>20</v>
      </c>
      <c r="BP545" s="1" t="s">
        <v>204</v>
      </c>
      <c r="BR545" s="1" t="str">
        <f>"0929220092"</f>
        <v>0929220092</v>
      </c>
      <c r="BT545" s="1" t="s">
        <v>6875</v>
      </c>
      <c r="BX545" s="1">
        <v>61</v>
      </c>
      <c r="BY545" s="1">
        <v>61</v>
      </c>
      <c r="BZ545" s="1">
        <v>99</v>
      </c>
      <c r="CB545" s="1" t="str">
        <f t="shared" ref="CB545:CC545" si="426">"0"</f>
        <v>0</v>
      </c>
      <c r="CC545" s="1" t="str">
        <f t="shared" si="426"/>
        <v>0</v>
      </c>
      <c r="CD545" s="1">
        <v>19</v>
      </c>
      <c r="CE545" s="1">
        <v>8</v>
      </c>
      <c r="CG545" s="1" t="s">
        <v>5319</v>
      </c>
      <c r="CH545" s="1" t="s">
        <v>277</v>
      </c>
      <c r="CI545" s="1" t="s">
        <v>229</v>
      </c>
      <c r="CK545" s="1" t="s">
        <v>437</v>
      </c>
      <c r="CL545" s="1" t="s">
        <v>277</v>
      </c>
      <c r="CM545" s="1" t="s">
        <v>220</v>
      </c>
      <c r="CO545" s="1" t="s">
        <v>516</v>
      </c>
      <c r="CP545" s="1" t="s">
        <v>277</v>
      </c>
      <c r="CQ545" s="1" t="s">
        <v>229</v>
      </c>
      <c r="CS545" s="1" t="s">
        <v>539</v>
      </c>
      <c r="CT545" s="1" t="s">
        <v>277</v>
      </c>
      <c r="CU545" s="1" t="s">
        <v>220</v>
      </c>
      <c r="CX545" s="1" t="s">
        <v>224</v>
      </c>
      <c r="DB545" s="1" t="s">
        <v>224</v>
      </c>
      <c r="DE545" s="1" t="s">
        <v>951</v>
      </c>
      <c r="DF545" s="1" t="s">
        <v>277</v>
      </c>
      <c r="DG545" s="1" t="s">
        <v>229</v>
      </c>
      <c r="DJ545" s="1" t="s">
        <v>224</v>
      </c>
      <c r="DS545" s="1" t="s">
        <v>230</v>
      </c>
      <c r="DW545" s="1" t="s">
        <v>230</v>
      </c>
      <c r="EA545" s="1" t="s">
        <v>230</v>
      </c>
      <c r="EE545" s="1" t="s">
        <v>230</v>
      </c>
      <c r="EI545" s="1" t="s">
        <v>230</v>
      </c>
      <c r="EL545" s="1" t="s">
        <v>605</v>
      </c>
      <c r="EM545" s="1" t="s">
        <v>730</v>
      </c>
      <c r="EN545" s="1" t="s">
        <v>282</v>
      </c>
      <c r="EO545" s="1" t="s">
        <v>234</v>
      </c>
      <c r="EP545" s="1" t="s">
        <v>6876</v>
      </c>
      <c r="EQ545" s="1" t="s">
        <v>284</v>
      </c>
      <c r="ER545" s="1" t="s">
        <v>210</v>
      </c>
      <c r="EV545" s="1" t="s">
        <v>352</v>
      </c>
      <c r="EW545" s="1" t="s">
        <v>6877</v>
      </c>
      <c r="EZ545" s="1" t="s">
        <v>287</v>
      </c>
      <c r="FA545" s="1" t="s">
        <v>5547</v>
      </c>
      <c r="FD545" s="1" t="s">
        <v>246</v>
      </c>
      <c r="FE545" s="1" t="s">
        <v>247</v>
      </c>
      <c r="FF545" s="1" t="s">
        <v>248</v>
      </c>
      <c r="FH545" s="1" t="s">
        <v>249</v>
      </c>
      <c r="FK545" s="1" t="s">
        <v>389</v>
      </c>
      <c r="FL545" s="1" t="s">
        <v>358</v>
      </c>
      <c r="FM545" s="1" t="s">
        <v>252</v>
      </c>
      <c r="FN545" s="1" t="s">
        <v>213</v>
      </c>
      <c r="FO545" s="1" t="s">
        <v>213</v>
      </c>
      <c r="FQ545" s="1" t="s">
        <v>569</v>
      </c>
      <c r="FR545" s="1" t="s">
        <v>210</v>
      </c>
      <c r="FS545" s="1" t="s">
        <v>6878</v>
      </c>
      <c r="FT545" s="1" t="s">
        <v>1408</v>
      </c>
      <c r="FU545" s="1" t="s">
        <v>204</v>
      </c>
      <c r="FW545" s="1" t="s">
        <v>1559</v>
      </c>
      <c r="FX545" s="1">
        <v>24587</v>
      </c>
      <c r="FY545" s="1" t="s">
        <v>6179</v>
      </c>
      <c r="FZ545" s="1" t="s">
        <v>6879</v>
      </c>
      <c r="GA545" s="1">
        <v>241718</v>
      </c>
      <c r="GC545" s="1">
        <v>221145</v>
      </c>
      <c r="GE545" s="1" t="s">
        <v>210</v>
      </c>
      <c r="GI545" s="1" t="s">
        <v>213</v>
      </c>
      <c r="GJ545" s="1" t="s">
        <v>260</v>
      </c>
      <c r="GK545" s="1" t="s">
        <v>210</v>
      </c>
      <c r="GL545" s="2">
        <v>42082</v>
      </c>
    </row>
    <row r="546" spans="1:195">
      <c r="A546" s="1">
        <v>27500</v>
      </c>
      <c r="B546" s="1" t="s">
        <v>195</v>
      </c>
      <c r="C546" s="1" t="str">
        <f>"08803047"</f>
        <v>08803047</v>
      </c>
      <c r="D546" s="1" t="s">
        <v>196</v>
      </c>
      <c r="F546" s="1" t="str">
        <f>"8045"</f>
        <v>8045</v>
      </c>
      <c r="G546" s="2">
        <v>41989</v>
      </c>
      <c r="H546" s="1">
        <v>27500</v>
      </c>
      <c r="I546" s="1">
        <v>27500</v>
      </c>
      <c r="J546" s="1">
        <v>27500</v>
      </c>
      <c r="K546" s="2">
        <v>41989</v>
      </c>
      <c r="L546" s="1">
        <v>93</v>
      </c>
      <c r="M546" s="2">
        <v>42081</v>
      </c>
      <c r="N546" s="1">
        <v>93</v>
      </c>
      <c r="O546" s="2">
        <v>42081</v>
      </c>
      <c r="P546" s="1">
        <v>12151</v>
      </c>
      <c r="Q546" s="1" t="s">
        <v>302</v>
      </c>
      <c r="R546" s="2">
        <v>42090</v>
      </c>
      <c r="S546" s="1">
        <v>116238</v>
      </c>
      <c r="U546" s="1">
        <v>8412</v>
      </c>
      <c r="V546" s="1" t="s">
        <v>6880</v>
      </c>
      <c r="W546" s="1" t="s">
        <v>425</v>
      </c>
      <c r="Y546" s="1">
        <v>4</v>
      </c>
      <c r="Z546" s="1" t="s">
        <v>200</v>
      </c>
      <c r="AA546" s="1" t="s">
        <v>400</v>
      </c>
      <c r="AB546" s="1">
        <v>60617</v>
      </c>
      <c r="AE546" s="1" t="s">
        <v>6881</v>
      </c>
      <c r="AF546" s="1">
        <v>1939</v>
      </c>
      <c r="AG546" s="1" t="s">
        <v>213</v>
      </c>
      <c r="AH546" s="1" t="s">
        <v>403</v>
      </c>
      <c r="AI546" s="1" t="s">
        <v>310</v>
      </c>
      <c r="AJ546" s="1" t="s">
        <v>562</v>
      </c>
      <c r="AL546" s="1">
        <v>5</v>
      </c>
      <c r="AM546" s="1">
        <v>2</v>
      </c>
      <c r="AN546" s="1">
        <v>1</v>
      </c>
      <c r="AO546" s="1">
        <v>0</v>
      </c>
      <c r="AP546" s="1" t="s">
        <v>210</v>
      </c>
      <c r="AR546" s="1" t="s">
        <v>209</v>
      </c>
      <c r="AS546" s="1" t="s">
        <v>204</v>
      </c>
      <c r="AT546" s="1" t="s">
        <v>210</v>
      </c>
      <c r="AW546" s="1" t="s">
        <v>204</v>
      </c>
      <c r="AX546" s="1" t="s">
        <v>6882</v>
      </c>
      <c r="AZ546" s="1">
        <v>1040</v>
      </c>
      <c r="BA546" s="1">
        <v>2013</v>
      </c>
      <c r="BE546" s="1">
        <v>924</v>
      </c>
      <c r="BF546" s="1">
        <v>1</v>
      </c>
      <c r="BG546" s="1">
        <v>0</v>
      </c>
      <c r="BL546" s="1">
        <v>0</v>
      </c>
      <c r="BM546" s="1" t="s">
        <v>413</v>
      </c>
      <c r="BN546" s="1" t="s">
        <v>213</v>
      </c>
      <c r="BO546" s="1">
        <v>0</v>
      </c>
      <c r="BP546" s="1" t="s">
        <v>204</v>
      </c>
      <c r="BR546" s="1" t="str">
        <f>"20363130530000"</f>
        <v>20363130530000</v>
      </c>
      <c r="BT546" s="1" t="s">
        <v>6883</v>
      </c>
      <c r="BX546" s="1">
        <v>299</v>
      </c>
      <c r="BY546" s="1">
        <v>299</v>
      </c>
      <c r="BZ546" s="1">
        <v>299</v>
      </c>
      <c r="CB546" s="1" t="str">
        <f>"0"</f>
        <v>0</v>
      </c>
      <c r="CC546" s="1" t="str">
        <f>"1900"</f>
        <v>1900</v>
      </c>
      <c r="CD546" s="1">
        <v>0</v>
      </c>
      <c r="CE546" s="1">
        <v>8412</v>
      </c>
      <c r="CG546" s="1" t="s">
        <v>1046</v>
      </c>
      <c r="CH546" s="1" t="s">
        <v>219</v>
      </c>
      <c r="CK546" s="1" t="s">
        <v>461</v>
      </c>
      <c r="CL546" s="1" t="s">
        <v>277</v>
      </c>
      <c r="CO546" s="1" t="s">
        <v>346</v>
      </c>
      <c r="CP546" s="1" t="s">
        <v>219</v>
      </c>
      <c r="CS546" s="1" t="s">
        <v>379</v>
      </c>
      <c r="CT546" s="1" t="s">
        <v>277</v>
      </c>
      <c r="CX546" s="1" t="s">
        <v>224</v>
      </c>
      <c r="DB546" s="1" t="s">
        <v>224</v>
      </c>
      <c r="DE546" s="1" t="s">
        <v>409</v>
      </c>
      <c r="DF546" s="1" t="s">
        <v>219</v>
      </c>
      <c r="DJ546" s="1" t="s">
        <v>224</v>
      </c>
      <c r="DS546" s="1" t="s">
        <v>230</v>
      </c>
      <c r="DW546" s="1" t="s">
        <v>230</v>
      </c>
      <c r="EA546" s="1" t="s">
        <v>230</v>
      </c>
      <c r="EE546" s="1" t="s">
        <v>230</v>
      </c>
      <c r="EI546" s="1" t="s">
        <v>230</v>
      </c>
      <c r="EL546" s="1" t="s">
        <v>440</v>
      </c>
      <c r="EM546" s="1" t="s">
        <v>232</v>
      </c>
      <c r="EN546" s="1" t="s">
        <v>282</v>
      </c>
      <c r="EO546" s="1" t="s">
        <v>234</v>
      </c>
      <c r="ER546" s="1" t="s">
        <v>1249</v>
      </c>
      <c r="EW546" s="1" t="s">
        <v>210</v>
      </c>
      <c r="EZ546" s="1" t="s">
        <v>287</v>
      </c>
      <c r="FD546" s="1" t="s">
        <v>246</v>
      </c>
      <c r="FE546" s="1" t="s">
        <v>247</v>
      </c>
      <c r="FF546" s="1" t="s">
        <v>248</v>
      </c>
      <c r="FH546" s="1" t="s">
        <v>550</v>
      </c>
      <c r="FL546" s="1" t="s">
        <v>358</v>
      </c>
      <c r="FM546" s="1" t="s">
        <v>252</v>
      </c>
      <c r="FN546" s="1" t="s">
        <v>204</v>
      </c>
      <c r="FO546" s="1" t="s">
        <v>213</v>
      </c>
      <c r="FQ546" s="1" t="s">
        <v>849</v>
      </c>
      <c r="FR546" s="1" t="s">
        <v>210</v>
      </c>
      <c r="FS546" s="1" t="s">
        <v>4124</v>
      </c>
      <c r="FT546" s="1" t="s">
        <v>295</v>
      </c>
      <c r="FU546" s="1" t="s">
        <v>204</v>
      </c>
      <c r="FW546" s="1" t="s">
        <v>6884</v>
      </c>
      <c r="FX546" s="1">
        <v>12151</v>
      </c>
      <c r="FY546" s="1" t="s">
        <v>6885</v>
      </c>
      <c r="FZ546" s="1" t="s">
        <v>6886</v>
      </c>
      <c r="GA546" s="1">
        <v>116238</v>
      </c>
      <c r="GB546" s="1" t="s">
        <v>6885</v>
      </c>
      <c r="GE546" s="1" t="s">
        <v>210</v>
      </c>
      <c r="GH546" s="1" t="s">
        <v>421</v>
      </c>
      <c r="GI546" s="1" t="s">
        <v>213</v>
      </c>
      <c r="GJ546" s="1" t="s">
        <v>260</v>
      </c>
      <c r="GK546" s="1" t="s">
        <v>210</v>
      </c>
      <c r="GL546" s="2">
        <v>42090</v>
      </c>
    </row>
    <row r="547" spans="1:195">
      <c r="A547" s="1">
        <v>135000</v>
      </c>
      <c r="B547" s="1" t="s">
        <v>195</v>
      </c>
      <c r="C547" s="1" t="str">
        <f>"08806303"</f>
        <v>08806303</v>
      </c>
      <c r="D547" s="1" t="s">
        <v>196</v>
      </c>
      <c r="F547" s="1" t="str">
        <f>"46"</f>
        <v>46</v>
      </c>
      <c r="G547" s="2">
        <v>41999</v>
      </c>
      <c r="H547" s="1">
        <v>139900</v>
      </c>
      <c r="I547" s="1">
        <v>139900</v>
      </c>
      <c r="J547" s="1">
        <v>135000</v>
      </c>
      <c r="K547" s="2">
        <v>41999</v>
      </c>
      <c r="L547" s="1">
        <v>154</v>
      </c>
      <c r="M547" s="2">
        <v>42072</v>
      </c>
      <c r="N547" s="1">
        <v>74</v>
      </c>
      <c r="O547" s="2">
        <v>42072</v>
      </c>
      <c r="P547" s="1">
        <v>1886</v>
      </c>
      <c r="Q547" s="1" t="s">
        <v>1393</v>
      </c>
      <c r="R547" s="2">
        <v>42139</v>
      </c>
      <c r="S547" s="1">
        <v>922110</v>
      </c>
      <c r="U547" s="1">
        <v>606</v>
      </c>
      <c r="V547" s="1" t="s">
        <v>983</v>
      </c>
      <c r="W547" s="1" t="s">
        <v>504</v>
      </c>
      <c r="Y547" s="1">
        <v>4</v>
      </c>
      <c r="Z547" s="1" t="s">
        <v>200</v>
      </c>
      <c r="AA547" s="1" t="s">
        <v>6887</v>
      </c>
      <c r="AB547" s="1">
        <v>60046</v>
      </c>
      <c r="AD547" s="1" t="s">
        <v>6888</v>
      </c>
      <c r="AE547" s="1" t="s">
        <v>6889</v>
      </c>
      <c r="AF547" s="1">
        <v>1998</v>
      </c>
      <c r="AG547" s="1" t="s">
        <v>204</v>
      </c>
      <c r="AH547" s="1" t="s">
        <v>1437</v>
      </c>
      <c r="AI547" s="1" t="s">
        <v>509</v>
      </c>
      <c r="AJ547" s="1" t="s">
        <v>1437</v>
      </c>
      <c r="AK547" s="1" t="s">
        <v>4519</v>
      </c>
      <c r="AL547" s="1">
        <v>5</v>
      </c>
      <c r="AM547" s="1">
        <v>2</v>
      </c>
      <c r="AN547" s="1">
        <v>2</v>
      </c>
      <c r="AO547" s="1">
        <v>1</v>
      </c>
      <c r="AP547" s="1" t="s">
        <v>209</v>
      </c>
      <c r="AQ547" s="1">
        <v>1</v>
      </c>
      <c r="AR547" s="1" t="s">
        <v>210</v>
      </c>
      <c r="AT547" s="1" t="s">
        <v>211</v>
      </c>
      <c r="AU547" s="1">
        <v>2</v>
      </c>
      <c r="AW547" s="1" t="s">
        <v>204</v>
      </c>
      <c r="AX547" s="1" t="s">
        <v>4740</v>
      </c>
      <c r="AZ547" s="1">
        <v>3678</v>
      </c>
      <c r="BA547" s="1">
        <v>2012</v>
      </c>
      <c r="BB547" s="1" t="s">
        <v>405</v>
      </c>
      <c r="BE547" s="1">
        <v>1600</v>
      </c>
      <c r="BF547" s="1">
        <v>1</v>
      </c>
      <c r="BG547" s="1">
        <v>0</v>
      </c>
      <c r="BL547" s="1">
        <v>140</v>
      </c>
      <c r="BM547" s="1" t="s">
        <v>204</v>
      </c>
      <c r="BN547" s="1" t="s">
        <v>213</v>
      </c>
      <c r="BO547" s="1">
        <v>999</v>
      </c>
      <c r="BP547" s="1" t="s">
        <v>204</v>
      </c>
      <c r="BR547" s="1" t="str">
        <f>"02282010640000"</f>
        <v>02282010640000</v>
      </c>
      <c r="BT547" s="1" t="s">
        <v>6890</v>
      </c>
      <c r="BU547" s="1" t="s">
        <v>6891</v>
      </c>
      <c r="BV547" s="1" t="s">
        <v>6892</v>
      </c>
      <c r="BW547" s="1" t="s">
        <v>6893</v>
      </c>
      <c r="BX547" s="1">
        <v>34</v>
      </c>
      <c r="BY547" s="1">
        <v>34</v>
      </c>
      <c r="BZ547" s="1">
        <v>117</v>
      </c>
      <c r="CB547" s="1" t="str">
        <f>"39"</f>
        <v>39</v>
      </c>
      <c r="CC547" s="1" t="str">
        <f>"0"</f>
        <v>0</v>
      </c>
      <c r="CD547" s="1">
        <v>22</v>
      </c>
      <c r="CE547" s="1">
        <v>0</v>
      </c>
      <c r="CG547" s="1" t="s">
        <v>707</v>
      </c>
      <c r="CH547" s="1" t="s">
        <v>219</v>
      </c>
      <c r="CI547" s="1" t="s">
        <v>220</v>
      </c>
      <c r="CK547" s="1" t="s">
        <v>228</v>
      </c>
      <c r="CL547" s="1" t="s">
        <v>277</v>
      </c>
      <c r="CM547" s="1" t="s">
        <v>220</v>
      </c>
      <c r="CP547" s="1" t="s">
        <v>224</v>
      </c>
      <c r="CS547" s="1" t="s">
        <v>346</v>
      </c>
      <c r="CT547" s="1" t="s">
        <v>277</v>
      </c>
      <c r="CU547" s="1" t="s">
        <v>220</v>
      </c>
      <c r="CX547" s="1" t="s">
        <v>224</v>
      </c>
      <c r="DB547" s="1" t="s">
        <v>224</v>
      </c>
      <c r="DE547" s="1" t="s">
        <v>1133</v>
      </c>
      <c r="DF547" s="1" t="s">
        <v>219</v>
      </c>
      <c r="DG547" s="1" t="s">
        <v>342</v>
      </c>
      <c r="DJ547" s="1" t="s">
        <v>224</v>
      </c>
      <c r="DM547" s="1" t="s">
        <v>1676</v>
      </c>
      <c r="DN547" s="1" t="s">
        <v>3011</v>
      </c>
      <c r="DR547" s="1" t="s">
        <v>6894</v>
      </c>
      <c r="DS547" s="1" t="s">
        <v>219</v>
      </c>
      <c r="DT547" s="1" t="s">
        <v>438</v>
      </c>
      <c r="DV547" s="1" t="s">
        <v>1855</v>
      </c>
      <c r="DW547" s="1" t="s">
        <v>219</v>
      </c>
      <c r="DX547" s="1" t="s">
        <v>438</v>
      </c>
      <c r="EA547" s="1" t="s">
        <v>230</v>
      </c>
      <c r="EE547" s="1" t="s">
        <v>230</v>
      </c>
      <c r="EI547" s="1" t="s">
        <v>230</v>
      </c>
      <c r="EL547" s="1" t="s">
        <v>670</v>
      </c>
      <c r="EM547" s="1" t="s">
        <v>319</v>
      </c>
      <c r="EN547" s="1" t="s">
        <v>282</v>
      </c>
      <c r="EO547" s="1" t="s">
        <v>840</v>
      </c>
      <c r="EP547" s="1" t="s">
        <v>650</v>
      </c>
      <c r="EQ547" s="1" t="s">
        <v>1094</v>
      </c>
      <c r="ER547" s="1" t="s">
        <v>210</v>
      </c>
      <c r="ES547" s="1" t="s">
        <v>3914</v>
      </c>
      <c r="ET547" s="1" t="s">
        <v>1752</v>
      </c>
      <c r="EV547" s="1" t="s">
        <v>240</v>
      </c>
      <c r="EW547" s="1" t="s">
        <v>887</v>
      </c>
      <c r="EY547" s="1" t="s">
        <v>790</v>
      </c>
      <c r="EZ547" s="1" t="s">
        <v>6895</v>
      </c>
      <c r="FA547" s="1" t="s">
        <v>6896</v>
      </c>
      <c r="FB547" s="1" t="s">
        <v>289</v>
      </c>
      <c r="FC547" s="1" t="s">
        <v>1405</v>
      </c>
      <c r="FD547" s="1" t="s">
        <v>246</v>
      </c>
      <c r="FE547" s="1" t="s">
        <v>247</v>
      </c>
      <c r="FF547" s="1" t="s">
        <v>248</v>
      </c>
      <c r="FG547" s="1" t="s">
        <v>871</v>
      </c>
      <c r="FH547" s="1" t="s">
        <v>6897</v>
      </c>
      <c r="FI547" s="1" t="s">
        <v>473</v>
      </c>
      <c r="FL547" s="1" t="s">
        <v>358</v>
      </c>
      <c r="FM547" s="1" t="s">
        <v>252</v>
      </c>
      <c r="FN547" s="1" t="s">
        <v>213</v>
      </c>
      <c r="FO547" s="1" t="s">
        <v>213</v>
      </c>
      <c r="FQ547" s="1" t="s">
        <v>4216</v>
      </c>
      <c r="FR547" s="1" t="s">
        <v>210</v>
      </c>
      <c r="FS547" s="1" t="s">
        <v>6898</v>
      </c>
      <c r="FT547" s="1" t="s">
        <v>255</v>
      </c>
      <c r="FU547" s="1" t="s">
        <v>204</v>
      </c>
      <c r="FW547" s="1" t="s">
        <v>5024</v>
      </c>
      <c r="FX547" s="1">
        <v>1886</v>
      </c>
      <c r="FY547" s="1" t="s">
        <v>5025</v>
      </c>
      <c r="FZ547" s="1" t="s">
        <v>6899</v>
      </c>
      <c r="GA547" s="1">
        <v>922110</v>
      </c>
      <c r="GB547" s="1" t="s">
        <v>6900</v>
      </c>
      <c r="GE547" s="1" t="s">
        <v>480</v>
      </c>
      <c r="GI547" s="1" t="s">
        <v>204</v>
      </c>
      <c r="GJ547" s="1" t="s">
        <v>260</v>
      </c>
      <c r="GK547" s="1" t="s">
        <v>4920</v>
      </c>
      <c r="GL547" s="2">
        <v>42142</v>
      </c>
    </row>
    <row r="548" spans="1:195">
      <c r="A548" s="1">
        <v>138000</v>
      </c>
      <c r="B548" s="1" t="s">
        <v>195</v>
      </c>
      <c r="C548" s="1" t="str">
        <f>"08801580"</f>
        <v>08801580</v>
      </c>
      <c r="D548" s="1" t="s">
        <v>196</v>
      </c>
      <c r="F548" s="1" t="str">
        <f>"559"</f>
        <v>559</v>
      </c>
      <c r="G548" s="2">
        <v>41985</v>
      </c>
      <c r="H548" s="1">
        <v>149900</v>
      </c>
      <c r="I548" s="1">
        <v>149900</v>
      </c>
      <c r="J548" s="1">
        <v>138000</v>
      </c>
      <c r="K548" s="2">
        <v>41985</v>
      </c>
      <c r="L548" s="1">
        <v>48</v>
      </c>
      <c r="M548" s="2">
        <v>42032</v>
      </c>
      <c r="N548" s="1">
        <v>48</v>
      </c>
      <c r="O548" s="2">
        <v>42032</v>
      </c>
      <c r="P548" s="1">
        <v>25494</v>
      </c>
      <c r="Q548" s="1" t="s">
        <v>302</v>
      </c>
      <c r="R548" s="2">
        <v>42047</v>
      </c>
      <c r="S548" s="1">
        <v>241301</v>
      </c>
      <c r="U548" s="1">
        <v>1241</v>
      </c>
      <c r="V548" s="1" t="s">
        <v>6901</v>
      </c>
      <c r="W548" s="1" t="s">
        <v>264</v>
      </c>
      <c r="X548" s="1" t="s">
        <v>2010</v>
      </c>
      <c r="Y548" s="1">
        <v>4</v>
      </c>
      <c r="Z548" s="1" t="s">
        <v>370</v>
      </c>
      <c r="AA548" s="1" t="s">
        <v>1950</v>
      </c>
      <c r="AB548" s="1">
        <v>60559</v>
      </c>
      <c r="AD548" s="1" t="s">
        <v>6902</v>
      </c>
      <c r="AE548" s="1" t="s">
        <v>6903</v>
      </c>
      <c r="AF548" s="1">
        <v>1984</v>
      </c>
      <c r="AG548" s="1" t="s">
        <v>204</v>
      </c>
      <c r="AH548" s="1" t="s">
        <v>1952</v>
      </c>
      <c r="AI548" s="1" t="s">
        <v>206</v>
      </c>
      <c r="AJ548" s="1" t="s">
        <v>903</v>
      </c>
      <c r="AL548" s="1">
        <v>5</v>
      </c>
      <c r="AM548" s="1">
        <v>2</v>
      </c>
      <c r="AN548" s="1">
        <v>2</v>
      </c>
      <c r="AO548" s="1">
        <v>0</v>
      </c>
      <c r="AP548" s="1" t="s">
        <v>209</v>
      </c>
      <c r="AR548" s="1" t="s">
        <v>210</v>
      </c>
      <c r="AS548" s="1" t="s">
        <v>204</v>
      </c>
      <c r="AT548" s="1" t="s">
        <v>211</v>
      </c>
      <c r="AU548" s="1">
        <v>1</v>
      </c>
      <c r="AW548" s="1" t="s">
        <v>213</v>
      </c>
      <c r="AX548" s="1" t="s">
        <v>212</v>
      </c>
      <c r="AZ548" s="1">
        <v>3704</v>
      </c>
      <c r="BA548" s="1">
        <v>2013</v>
      </c>
      <c r="BB548" s="1" t="s">
        <v>210</v>
      </c>
      <c r="BE548" s="1">
        <v>1139</v>
      </c>
      <c r="BF548" s="1">
        <v>1</v>
      </c>
      <c r="BG548" s="1">
        <v>0</v>
      </c>
      <c r="BL548" s="1">
        <v>257</v>
      </c>
      <c r="BM548" s="1" t="s">
        <v>204</v>
      </c>
      <c r="BN548" s="1" t="s">
        <v>213</v>
      </c>
      <c r="BO548" s="1">
        <v>20</v>
      </c>
      <c r="BP548" s="1" t="s">
        <v>204</v>
      </c>
      <c r="BR548" s="1" t="str">
        <f>"0921218105"</f>
        <v>0921218105</v>
      </c>
      <c r="BT548" s="1" t="s">
        <v>6904</v>
      </c>
      <c r="BU548" s="1" t="s">
        <v>2980</v>
      </c>
      <c r="BV548" s="1" t="s">
        <v>2981</v>
      </c>
      <c r="BW548" s="1" t="s">
        <v>3099</v>
      </c>
      <c r="BX548" s="1">
        <v>60</v>
      </c>
      <c r="BY548" s="1">
        <v>60</v>
      </c>
      <c r="BZ548" s="1">
        <v>99</v>
      </c>
      <c r="CB548" s="1" t="str">
        <f t="shared" ref="CB548:CC548" si="427">""</f>
        <v/>
      </c>
      <c r="CC548" s="1" t="str">
        <f t="shared" si="427"/>
        <v/>
      </c>
      <c r="CG548" s="1" t="s">
        <v>885</v>
      </c>
      <c r="CH548" s="1" t="s">
        <v>219</v>
      </c>
      <c r="CI548" s="1" t="s">
        <v>220</v>
      </c>
      <c r="CJ548" s="1" t="s">
        <v>343</v>
      </c>
      <c r="CK548" s="1" t="s">
        <v>344</v>
      </c>
      <c r="CL548" s="1" t="s">
        <v>219</v>
      </c>
      <c r="CM548" s="1" t="s">
        <v>220</v>
      </c>
      <c r="CO548" s="1" t="s">
        <v>4999</v>
      </c>
      <c r="CP548" s="1" t="s">
        <v>219</v>
      </c>
      <c r="CQ548" s="1" t="s">
        <v>220</v>
      </c>
      <c r="CR548" s="1" t="s">
        <v>343</v>
      </c>
      <c r="CS548" s="1" t="s">
        <v>346</v>
      </c>
      <c r="CT548" s="1" t="s">
        <v>219</v>
      </c>
      <c r="CU548" s="1" t="s">
        <v>220</v>
      </c>
      <c r="CX548" s="1" t="s">
        <v>224</v>
      </c>
      <c r="DB548" s="1" t="s">
        <v>224</v>
      </c>
      <c r="DE548" s="1" t="s">
        <v>1612</v>
      </c>
      <c r="DF548" s="1" t="s">
        <v>219</v>
      </c>
      <c r="DG548" s="1" t="s">
        <v>229</v>
      </c>
      <c r="DJ548" s="1" t="s">
        <v>224</v>
      </c>
      <c r="DS548" s="1" t="s">
        <v>230</v>
      </c>
      <c r="DW548" s="1" t="s">
        <v>230</v>
      </c>
      <c r="EA548" s="1" t="s">
        <v>230</v>
      </c>
      <c r="EE548" s="1" t="s">
        <v>230</v>
      </c>
      <c r="EI548" s="1" t="s">
        <v>230</v>
      </c>
      <c r="EL548" s="1" t="s">
        <v>231</v>
      </c>
      <c r="EM548" s="1" t="s">
        <v>232</v>
      </c>
      <c r="EN548" s="1" t="s">
        <v>282</v>
      </c>
      <c r="EO548" s="1" t="s">
        <v>234</v>
      </c>
      <c r="ER548" s="1" t="s">
        <v>210</v>
      </c>
      <c r="ES548" s="1" t="s">
        <v>824</v>
      </c>
      <c r="EU548" s="1" t="s">
        <v>1314</v>
      </c>
      <c r="EV548" s="1" t="s">
        <v>352</v>
      </c>
      <c r="EW548" s="1" t="s">
        <v>286</v>
      </c>
      <c r="EZ548" s="1" t="s">
        <v>287</v>
      </c>
      <c r="FD548" s="1" t="s">
        <v>290</v>
      </c>
      <c r="FE548" s="1" t="s">
        <v>975</v>
      </c>
      <c r="FF548" s="1" t="s">
        <v>248</v>
      </c>
      <c r="FH548" s="1" t="s">
        <v>388</v>
      </c>
      <c r="FI548" s="1" t="s">
        <v>473</v>
      </c>
      <c r="FL548" s="1" t="s">
        <v>358</v>
      </c>
      <c r="FM548" s="1" t="s">
        <v>252</v>
      </c>
      <c r="FN548" s="1" t="s">
        <v>213</v>
      </c>
      <c r="FO548" s="1" t="s">
        <v>213</v>
      </c>
      <c r="FQ548" s="1" t="s">
        <v>6905</v>
      </c>
      <c r="FR548" s="1" t="s">
        <v>210</v>
      </c>
      <c r="FS548" s="1" t="s">
        <v>6906</v>
      </c>
      <c r="FT548" s="1" t="s">
        <v>362</v>
      </c>
      <c r="FU548" s="1" t="s">
        <v>204</v>
      </c>
      <c r="FW548" s="1" t="s">
        <v>6907</v>
      </c>
      <c r="FX548" s="1">
        <v>22010</v>
      </c>
      <c r="FY548" s="1" t="s">
        <v>6908</v>
      </c>
      <c r="FZ548" s="1" t="s">
        <v>6909</v>
      </c>
      <c r="GA548" s="1">
        <v>220482</v>
      </c>
      <c r="GB548" s="1" t="s">
        <v>6910</v>
      </c>
      <c r="GE548" s="1" t="s">
        <v>480</v>
      </c>
      <c r="GI548" s="1" t="s">
        <v>213</v>
      </c>
      <c r="GJ548" s="1" t="s">
        <v>260</v>
      </c>
      <c r="GK548" s="1" t="s">
        <v>210</v>
      </c>
      <c r="GL548" s="2">
        <v>42047</v>
      </c>
      <c r="GM548" s="1" t="s">
        <v>6911</v>
      </c>
    </row>
    <row r="549" spans="1:195">
      <c r="A549" s="1">
        <v>133000</v>
      </c>
      <c r="B549" s="1" t="s">
        <v>195</v>
      </c>
      <c r="C549" s="1" t="str">
        <f>"08799464"</f>
        <v>08799464</v>
      </c>
      <c r="D549" s="1" t="s">
        <v>196</v>
      </c>
      <c r="F549" s="1" t="str">
        <f>"10"</f>
        <v>10</v>
      </c>
      <c r="G549" s="2">
        <v>41982</v>
      </c>
      <c r="H549" s="1">
        <v>194500</v>
      </c>
      <c r="I549" s="1">
        <v>159900</v>
      </c>
      <c r="J549" s="1">
        <v>133000</v>
      </c>
      <c r="K549" s="2">
        <v>41982</v>
      </c>
      <c r="L549" s="1">
        <v>155</v>
      </c>
      <c r="M549" s="2">
        <v>42136</v>
      </c>
      <c r="N549" s="1">
        <v>155</v>
      </c>
      <c r="O549" s="2">
        <v>42136</v>
      </c>
      <c r="P549" s="1">
        <v>2535</v>
      </c>
      <c r="Q549" s="1" t="s">
        <v>302</v>
      </c>
      <c r="R549" s="2">
        <v>42150</v>
      </c>
      <c r="S549" s="1">
        <v>12987</v>
      </c>
      <c r="U549" s="1">
        <v>398</v>
      </c>
      <c r="V549" s="1" t="s">
        <v>6912</v>
      </c>
      <c r="W549" s="1" t="s">
        <v>1056</v>
      </c>
      <c r="Y549" s="1">
        <v>4</v>
      </c>
      <c r="Z549" s="1" t="s">
        <v>200</v>
      </c>
      <c r="AA549" s="1" t="s">
        <v>1985</v>
      </c>
      <c r="AB549" s="1">
        <v>60010</v>
      </c>
      <c r="AD549" s="1" t="s">
        <v>1986</v>
      </c>
      <c r="AE549" s="1" t="s">
        <v>6913</v>
      </c>
      <c r="AF549" s="1">
        <v>1979</v>
      </c>
      <c r="AG549" s="1" t="s">
        <v>204</v>
      </c>
      <c r="AH549" s="1" t="s">
        <v>1988</v>
      </c>
      <c r="AI549" s="1" t="s">
        <v>509</v>
      </c>
      <c r="AJ549" s="1" t="s">
        <v>1989</v>
      </c>
      <c r="AK549" s="1" t="s">
        <v>6006</v>
      </c>
      <c r="AL549" s="1">
        <v>6</v>
      </c>
      <c r="AM549" s="1">
        <v>2</v>
      </c>
      <c r="AN549" s="1">
        <v>2</v>
      </c>
      <c r="AO549" s="1">
        <v>2</v>
      </c>
      <c r="AP549" s="1" t="s">
        <v>209</v>
      </c>
      <c r="AQ549" s="1">
        <v>1</v>
      </c>
      <c r="AR549" s="1" t="s">
        <v>2275</v>
      </c>
      <c r="AS549" s="1" t="s">
        <v>213</v>
      </c>
      <c r="AT549" s="1" t="s">
        <v>211</v>
      </c>
      <c r="AU549" s="1">
        <v>1</v>
      </c>
      <c r="AW549" s="1" t="s">
        <v>204</v>
      </c>
      <c r="AX549" s="1" t="s">
        <v>212</v>
      </c>
      <c r="AZ549" s="1">
        <v>5163.91</v>
      </c>
      <c r="BA549" s="1">
        <v>2013</v>
      </c>
      <c r="BE549" s="1">
        <v>0</v>
      </c>
      <c r="BF549" s="1">
        <v>1</v>
      </c>
      <c r="BG549" s="1">
        <v>30</v>
      </c>
      <c r="BL549" s="1">
        <v>511</v>
      </c>
      <c r="BM549" s="1" t="s">
        <v>204</v>
      </c>
      <c r="BN549" s="1" t="s">
        <v>213</v>
      </c>
      <c r="BO549" s="1">
        <v>999</v>
      </c>
      <c r="BP549" s="1" t="s">
        <v>204</v>
      </c>
      <c r="BR549" s="1" t="str">
        <f>"13113002470000"</f>
        <v>13113002470000</v>
      </c>
      <c r="BT549" s="1" t="s">
        <v>6914</v>
      </c>
      <c r="BU549" s="1" t="s">
        <v>1992</v>
      </c>
      <c r="BV549" s="1" t="s">
        <v>1993</v>
      </c>
      <c r="BW549" s="1" t="s">
        <v>1994</v>
      </c>
      <c r="BX549" s="1">
        <v>220</v>
      </c>
      <c r="BY549" s="1">
        <v>220</v>
      </c>
      <c r="BZ549" s="1">
        <v>220</v>
      </c>
      <c r="CB549" s="1" t="str">
        <f>"24"</f>
        <v>24</v>
      </c>
      <c r="CC549" s="1" t="str">
        <f>"0"</f>
        <v>0</v>
      </c>
      <c r="CD549" s="1">
        <v>26</v>
      </c>
      <c r="CE549" s="1">
        <v>0</v>
      </c>
      <c r="CG549" s="1" t="s">
        <v>861</v>
      </c>
      <c r="CH549" s="1" t="s">
        <v>219</v>
      </c>
      <c r="CK549" s="1" t="s">
        <v>221</v>
      </c>
      <c r="CL549" s="1" t="s">
        <v>277</v>
      </c>
      <c r="CM549" s="1" t="s">
        <v>220</v>
      </c>
      <c r="CN549" s="1" t="s">
        <v>210</v>
      </c>
      <c r="CO549" s="1" t="s">
        <v>1178</v>
      </c>
      <c r="CP549" s="1" t="s">
        <v>219</v>
      </c>
      <c r="CS549" s="1" t="s">
        <v>539</v>
      </c>
      <c r="CT549" s="1" t="s">
        <v>277</v>
      </c>
      <c r="CX549" s="1" t="s">
        <v>224</v>
      </c>
      <c r="DB549" s="1" t="s">
        <v>224</v>
      </c>
      <c r="DE549" s="1" t="s">
        <v>952</v>
      </c>
      <c r="DF549" s="1" t="s">
        <v>219</v>
      </c>
      <c r="DI549" s="1" t="s">
        <v>5801</v>
      </c>
      <c r="DJ549" s="1" t="s">
        <v>822</v>
      </c>
      <c r="DS549" s="1" t="s">
        <v>230</v>
      </c>
      <c r="DW549" s="1" t="s">
        <v>230</v>
      </c>
      <c r="EA549" s="1" t="s">
        <v>230</v>
      </c>
      <c r="EE549" s="1" t="s">
        <v>230</v>
      </c>
      <c r="EI549" s="1" t="s">
        <v>230</v>
      </c>
      <c r="EL549" s="1" t="s">
        <v>231</v>
      </c>
      <c r="EM549" s="1" t="s">
        <v>761</v>
      </c>
      <c r="EN549" s="1" t="s">
        <v>282</v>
      </c>
      <c r="EO549" s="1" t="s">
        <v>234</v>
      </c>
      <c r="ER549" s="1" t="s">
        <v>544</v>
      </c>
      <c r="EV549" s="1" t="s">
        <v>240</v>
      </c>
      <c r="EW549" s="1" t="s">
        <v>6915</v>
      </c>
      <c r="EZ549" s="1" t="s">
        <v>287</v>
      </c>
      <c r="FC549" s="1" t="s">
        <v>1405</v>
      </c>
      <c r="FD549" s="1" t="s">
        <v>246</v>
      </c>
      <c r="FE549" s="1" t="s">
        <v>889</v>
      </c>
      <c r="FF549" s="1" t="s">
        <v>248</v>
      </c>
      <c r="FH549" s="1" t="s">
        <v>550</v>
      </c>
      <c r="FL549" s="1" t="s">
        <v>1073</v>
      </c>
      <c r="FM549" s="1" t="s">
        <v>252</v>
      </c>
      <c r="FN549" s="1" t="s">
        <v>213</v>
      </c>
      <c r="FO549" s="1" t="s">
        <v>213</v>
      </c>
      <c r="FQ549" s="1" t="s">
        <v>1300</v>
      </c>
      <c r="FR549" s="1" t="s">
        <v>210</v>
      </c>
      <c r="FS549" s="1" t="s">
        <v>6916</v>
      </c>
      <c r="FT549" s="1" t="s">
        <v>584</v>
      </c>
      <c r="FU549" s="1" t="s">
        <v>204</v>
      </c>
      <c r="FW549" s="1" t="s">
        <v>6917</v>
      </c>
      <c r="FX549" s="1">
        <v>1560</v>
      </c>
      <c r="FY549" s="1" t="s">
        <v>6918</v>
      </c>
      <c r="FZ549" s="1" t="s">
        <v>6919</v>
      </c>
      <c r="GA549" s="1">
        <v>88911</v>
      </c>
      <c r="GB549" s="1" t="s">
        <v>6918</v>
      </c>
      <c r="GE549" s="1" t="s">
        <v>480</v>
      </c>
      <c r="GI549" s="1" t="s">
        <v>213</v>
      </c>
      <c r="GJ549" s="1" t="s">
        <v>260</v>
      </c>
      <c r="GK549" s="1" t="s">
        <v>210</v>
      </c>
      <c r="GL549" s="2">
        <v>42150</v>
      </c>
      <c r="GM549" s="1" t="s">
        <v>6920</v>
      </c>
    </row>
    <row r="550" spans="1:195">
      <c r="A550" s="1">
        <v>109900</v>
      </c>
      <c r="B550" s="1" t="s">
        <v>195</v>
      </c>
      <c r="C550" s="1" t="str">
        <f>"08803197"</f>
        <v>08803197</v>
      </c>
      <c r="D550" s="1" t="s">
        <v>196</v>
      </c>
      <c r="F550" s="1" t="str">
        <f t="shared" ref="F550:F551" si="428">"31"</f>
        <v>31</v>
      </c>
      <c r="G550" s="2">
        <v>41989</v>
      </c>
      <c r="H550" s="1">
        <v>109900</v>
      </c>
      <c r="I550" s="1">
        <v>109900</v>
      </c>
      <c r="J550" s="1">
        <v>109900</v>
      </c>
      <c r="K550" s="2">
        <v>41989</v>
      </c>
      <c r="L550" s="1">
        <v>122</v>
      </c>
      <c r="M550" s="2">
        <v>41992</v>
      </c>
      <c r="N550" s="1">
        <v>4</v>
      </c>
      <c r="O550" s="2">
        <v>41992</v>
      </c>
      <c r="P550" s="1">
        <v>2411</v>
      </c>
      <c r="Q550" s="1" t="s">
        <v>302</v>
      </c>
      <c r="R550" s="2">
        <v>42019</v>
      </c>
      <c r="S550" s="1">
        <v>13820</v>
      </c>
      <c r="U550" s="1">
        <v>265</v>
      </c>
      <c r="V550" s="1" t="s">
        <v>6921</v>
      </c>
      <c r="W550" s="1" t="s">
        <v>304</v>
      </c>
      <c r="Y550" s="1">
        <v>4</v>
      </c>
      <c r="Z550" s="1" t="s">
        <v>370</v>
      </c>
      <c r="AA550" s="1" t="s">
        <v>1057</v>
      </c>
      <c r="AB550" s="1">
        <v>60031</v>
      </c>
      <c r="AD550" s="1" t="s">
        <v>3065</v>
      </c>
      <c r="AE550" s="1" t="s">
        <v>6922</v>
      </c>
      <c r="AF550" s="1">
        <v>1988</v>
      </c>
      <c r="AG550" s="1" t="s">
        <v>204</v>
      </c>
      <c r="AH550" s="1" t="s">
        <v>1060</v>
      </c>
      <c r="AI550" s="1" t="s">
        <v>509</v>
      </c>
      <c r="AJ550" s="1" t="s">
        <v>1061</v>
      </c>
      <c r="AL550" s="1">
        <v>6</v>
      </c>
      <c r="AM550" s="1">
        <v>2</v>
      </c>
      <c r="AN550" s="1">
        <v>1</v>
      </c>
      <c r="AO550" s="1">
        <v>1</v>
      </c>
      <c r="AP550" s="1" t="s">
        <v>667</v>
      </c>
      <c r="AQ550" s="1">
        <v>1</v>
      </c>
      <c r="AR550" s="1" t="s">
        <v>210</v>
      </c>
      <c r="AS550" s="1" t="s">
        <v>204</v>
      </c>
      <c r="AT550" s="1" t="s">
        <v>211</v>
      </c>
      <c r="AU550" s="1">
        <v>1</v>
      </c>
      <c r="AW550" s="1" t="s">
        <v>204</v>
      </c>
      <c r="AX550" s="1" t="s">
        <v>212</v>
      </c>
      <c r="AZ550" s="1">
        <v>4142.41</v>
      </c>
      <c r="BA550" s="1">
        <v>2013</v>
      </c>
      <c r="BE550" s="1">
        <v>1338</v>
      </c>
      <c r="BF550" s="1">
        <v>1</v>
      </c>
      <c r="BG550" s="1">
        <v>1</v>
      </c>
      <c r="BL550" s="1">
        <v>260</v>
      </c>
      <c r="BM550" s="1" t="s">
        <v>204</v>
      </c>
      <c r="BN550" s="1" t="s">
        <v>213</v>
      </c>
      <c r="BO550" s="1">
        <v>0</v>
      </c>
      <c r="BP550" s="1" t="s">
        <v>204</v>
      </c>
      <c r="BR550" s="1" t="str">
        <f>"07234190240000"</f>
        <v>07234190240000</v>
      </c>
      <c r="BT550" s="1" t="s">
        <v>6923</v>
      </c>
      <c r="BW550" s="1" t="s">
        <v>1066</v>
      </c>
      <c r="BX550" s="1">
        <v>56</v>
      </c>
      <c r="BY550" s="1">
        <v>56</v>
      </c>
      <c r="BZ550" s="1">
        <v>121</v>
      </c>
      <c r="CB550" s="1" t="str">
        <f t="shared" ref="CB550:CB551" si="429">"34"</f>
        <v>34</v>
      </c>
      <c r="CC550" s="1" t="str">
        <f>""</f>
        <v/>
      </c>
      <c r="CD550" s="1">
        <v>14</v>
      </c>
      <c r="CG550" s="1" t="s">
        <v>1178</v>
      </c>
      <c r="CH550" s="1" t="s">
        <v>219</v>
      </c>
      <c r="CI550" s="1" t="s">
        <v>220</v>
      </c>
      <c r="CK550" s="1" t="s">
        <v>344</v>
      </c>
      <c r="CL550" s="1" t="s">
        <v>277</v>
      </c>
      <c r="CM550" s="1" t="s">
        <v>220</v>
      </c>
      <c r="CO550" s="1" t="s">
        <v>1046</v>
      </c>
      <c r="CP550" s="1" t="s">
        <v>219</v>
      </c>
      <c r="CQ550" s="1" t="s">
        <v>220</v>
      </c>
      <c r="CS550" s="1" t="s">
        <v>346</v>
      </c>
      <c r="CT550" s="1" t="s">
        <v>277</v>
      </c>
      <c r="CU550" s="1" t="s">
        <v>220</v>
      </c>
      <c r="CX550" s="1" t="s">
        <v>224</v>
      </c>
      <c r="DB550" s="1" t="s">
        <v>224</v>
      </c>
      <c r="DE550" s="1" t="s">
        <v>836</v>
      </c>
      <c r="DF550" s="1" t="s">
        <v>219</v>
      </c>
      <c r="DG550" s="1" t="s">
        <v>342</v>
      </c>
      <c r="DJ550" s="1" t="s">
        <v>224</v>
      </c>
      <c r="DM550" s="1" t="s">
        <v>464</v>
      </c>
      <c r="DN550" s="1" t="s">
        <v>1770</v>
      </c>
      <c r="DR550" s="1" t="s">
        <v>378</v>
      </c>
      <c r="DS550" s="1" t="s">
        <v>277</v>
      </c>
      <c r="DT550" s="1" t="s">
        <v>220</v>
      </c>
      <c r="DU550" s="1" t="s">
        <v>210</v>
      </c>
      <c r="DV550" s="1" t="s">
        <v>4260</v>
      </c>
      <c r="DW550" s="1" t="s">
        <v>277</v>
      </c>
      <c r="DX550" s="1" t="s">
        <v>347</v>
      </c>
      <c r="DY550" s="1" t="s">
        <v>210</v>
      </c>
      <c r="EA550" s="1" t="s">
        <v>230</v>
      </c>
      <c r="EE550" s="1" t="s">
        <v>230</v>
      </c>
      <c r="EI550" s="1" t="s">
        <v>230</v>
      </c>
      <c r="EL550" s="1" t="s">
        <v>542</v>
      </c>
      <c r="EM550" s="1" t="s">
        <v>232</v>
      </c>
      <c r="EN550" s="1" t="s">
        <v>282</v>
      </c>
      <c r="EO550" s="1" t="s">
        <v>234</v>
      </c>
      <c r="EQ550" s="1" t="s">
        <v>1094</v>
      </c>
      <c r="ER550" s="1" t="s">
        <v>210</v>
      </c>
      <c r="EV550" s="1" t="s">
        <v>324</v>
      </c>
      <c r="EW550" s="1" t="s">
        <v>887</v>
      </c>
      <c r="EZ550" s="1" t="s">
        <v>6924</v>
      </c>
      <c r="FA550" s="1" t="s">
        <v>1270</v>
      </c>
      <c r="FD550" s="1" t="s">
        <v>246</v>
      </c>
      <c r="FE550" s="1" t="s">
        <v>472</v>
      </c>
      <c r="FF550" s="1" t="s">
        <v>248</v>
      </c>
      <c r="FG550" s="1" t="s">
        <v>2406</v>
      </c>
      <c r="FH550" s="1" t="s">
        <v>550</v>
      </c>
      <c r="FI550" s="1" t="s">
        <v>357</v>
      </c>
      <c r="FL550" s="1" t="s">
        <v>358</v>
      </c>
      <c r="FM550" s="1" t="s">
        <v>252</v>
      </c>
      <c r="FN550" s="1" t="s">
        <v>213</v>
      </c>
      <c r="FO550" s="1" t="s">
        <v>213</v>
      </c>
      <c r="FQ550" s="1" t="s">
        <v>6925</v>
      </c>
      <c r="FR550" s="1" t="s">
        <v>210</v>
      </c>
      <c r="FS550" s="1" t="s">
        <v>6926</v>
      </c>
      <c r="FT550" s="1" t="s">
        <v>6927</v>
      </c>
      <c r="FU550" s="1" t="s">
        <v>204</v>
      </c>
      <c r="FW550" s="1" t="s">
        <v>585</v>
      </c>
      <c r="FX550" s="1">
        <v>2050</v>
      </c>
      <c r="FY550" s="1" t="s">
        <v>4207</v>
      </c>
      <c r="FZ550" s="1" t="s">
        <v>6928</v>
      </c>
      <c r="GA550" s="1">
        <v>922814</v>
      </c>
      <c r="GB550" s="1" t="s">
        <v>6929</v>
      </c>
      <c r="GE550" s="1" t="s">
        <v>210</v>
      </c>
      <c r="GI550" s="1" t="s">
        <v>213</v>
      </c>
      <c r="GJ550" s="1" t="s">
        <v>260</v>
      </c>
      <c r="GK550" s="1" t="s">
        <v>210</v>
      </c>
      <c r="GL550" s="2">
        <v>42019</v>
      </c>
      <c r="GM550" s="1" t="s">
        <v>6930</v>
      </c>
    </row>
    <row r="551" spans="1:195">
      <c r="A551" s="1">
        <v>105000</v>
      </c>
      <c r="B551" s="1" t="s">
        <v>195</v>
      </c>
      <c r="C551" s="1" t="str">
        <f>"08799695"</f>
        <v>08799695</v>
      </c>
      <c r="D551" s="1" t="s">
        <v>196</v>
      </c>
      <c r="F551" s="1" t="str">
        <f t="shared" si="428"/>
        <v>31</v>
      </c>
      <c r="G551" s="2">
        <v>41982</v>
      </c>
      <c r="H551" s="1">
        <v>115000</v>
      </c>
      <c r="I551" s="1">
        <v>115000</v>
      </c>
      <c r="J551" s="1">
        <v>105000</v>
      </c>
      <c r="K551" s="2">
        <v>41981</v>
      </c>
      <c r="L551" s="1">
        <v>14</v>
      </c>
      <c r="M551" s="2">
        <v>41994</v>
      </c>
      <c r="N551" s="1">
        <v>14</v>
      </c>
      <c r="O551" s="2">
        <v>41994</v>
      </c>
      <c r="P551" s="1">
        <v>2317</v>
      </c>
      <c r="Q551" s="1" t="s">
        <v>302</v>
      </c>
      <c r="R551" s="2">
        <v>42046</v>
      </c>
      <c r="S551" s="1">
        <v>20548</v>
      </c>
      <c r="T551" s="1">
        <v>500</v>
      </c>
      <c r="U551" s="1">
        <v>34065</v>
      </c>
      <c r="V551" s="1" t="s">
        <v>6931</v>
      </c>
      <c r="W551" s="1" t="s">
        <v>504</v>
      </c>
      <c r="Y551" s="1">
        <v>2</v>
      </c>
      <c r="Z551" s="1" t="s">
        <v>370</v>
      </c>
      <c r="AA551" s="1" t="s">
        <v>1057</v>
      </c>
      <c r="AB551" s="1">
        <v>60031</v>
      </c>
      <c r="AD551" s="1" t="s">
        <v>6932</v>
      </c>
      <c r="AE551" s="1" t="s">
        <v>6933</v>
      </c>
      <c r="AF551" s="1">
        <v>1992</v>
      </c>
      <c r="AG551" s="1" t="s">
        <v>204</v>
      </c>
      <c r="AH551" s="1" t="s">
        <v>882</v>
      </c>
      <c r="AI551" s="1" t="s">
        <v>509</v>
      </c>
      <c r="AJ551" s="1" t="s">
        <v>1061</v>
      </c>
      <c r="AK551" s="1" t="s">
        <v>6934</v>
      </c>
      <c r="AL551" s="1">
        <v>5</v>
      </c>
      <c r="AM551" s="1">
        <v>2</v>
      </c>
      <c r="AN551" s="1">
        <v>1</v>
      </c>
      <c r="AO551" s="1">
        <v>1</v>
      </c>
      <c r="AP551" s="1" t="s">
        <v>667</v>
      </c>
      <c r="AR551" s="1" t="s">
        <v>210</v>
      </c>
      <c r="AS551" s="1" t="s">
        <v>204</v>
      </c>
      <c r="AT551" s="1" t="s">
        <v>211</v>
      </c>
      <c r="AU551" s="1">
        <v>2</v>
      </c>
      <c r="AW551" s="1" t="s">
        <v>204</v>
      </c>
      <c r="AX551" s="1" t="s">
        <v>212</v>
      </c>
      <c r="AZ551" s="1">
        <v>2587.09</v>
      </c>
      <c r="BA551" s="1">
        <v>2013</v>
      </c>
      <c r="BB551" s="1" t="s">
        <v>599</v>
      </c>
      <c r="BE551" s="1">
        <v>1346</v>
      </c>
      <c r="BF551" s="1">
        <v>1</v>
      </c>
      <c r="BG551" s="1">
        <v>0</v>
      </c>
      <c r="BJ551" s="1">
        <v>85</v>
      </c>
      <c r="BL551" s="1">
        <v>219</v>
      </c>
      <c r="BM551" s="1" t="s">
        <v>204</v>
      </c>
      <c r="BN551" s="1" t="s">
        <v>213</v>
      </c>
      <c r="BO551" s="1">
        <v>75</v>
      </c>
      <c r="BP551" s="1" t="s">
        <v>204</v>
      </c>
      <c r="BR551" s="1" t="str">
        <f>"07204002690000"</f>
        <v>07204002690000</v>
      </c>
      <c r="BT551" s="1" t="s">
        <v>6935</v>
      </c>
      <c r="BU551" s="1" t="s">
        <v>1064</v>
      </c>
      <c r="BV551" s="1" t="s">
        <v>1065</v>
      </c>
      <c r="BW551" s="1" t="s">
        <v>1066</v>
      </c>
      <c r="BX551" s="1">
        <v>50</v>
      </c>
      <c r="BY551" s="1">
        <v>50</v>
      </c>
      <c r="BZ551" s="1">
        <v>121</v>
      </c>
      <c r="CB551" s="1" t="str">
        <f t="shared" si="429"/>
        <v>34</v>
      </c>
      <c r="CC551" s="1" t="str">
        <f>"0"</f>
        <v>0</v>
      </c>
      <c r="CD551" s="1">
        <v>17</v>
      </c>
      <c r="CE551" s="1">
        <v>0</v>
      </c>
      <c r="CG551" s="1" t="s">
        <v>669</v>
      </c>
      <c r="CH551" s="1" t="s">
        <v>219</v>
      </c>
      <c r="CI551" s="1" t="s">
        <v>220</v>
      </c>
      <c r="CJ551" s="1" t="s">
        <v>252</v>
      </c>
      <c r="CK551" s="1" t="s">
        <v>1045</v>
      </c>
      <c r="CL551" s="1" t="s">
        <v>277</v>
      </c>
      <c r="CM551" s="1" t="s">
        <v>220</v>
      </c>
      <c r="CN551" s="1" t="s">
        <v>252</v>
      </c>
      <c r="CO551" s="1" t="s">
        <v>223</v>
      </c>
      <c r="CP551" s="1" t="s">
        <v>219</v>
      </c>
      <c r="CQ551" s="1" t="s">
        <v>220</v>
      </c>
      <c r="CR551" s="1" t="s">
        <v>252</v>
      </c>
      <c r="CS551" s="1" t="s">
        <v>461</v>
      </c>
      <c r="CT551" s="1" t="s">
        <v>277</v>
      </c>
      <c r="CU551" s="1" t="s">
        <v>220</v>
      </c>
      <c r="CV551" s="1" t="s">
        <v>252</v>
      </c>
      <c r="CX551" s="1" t="s">
        <v>224</v>
      </c>
      <c r="DB551" s="1" t="s">
        <v>224</v>
      </c>
      <c r="DE551" s="1" t="s">
        <v>409</v>
      </c>
      <c r="DF551" s="1" t="s">
        <v>219</v>
      </c>
      <c r="DG551" s="1" t="s">
        <v>342</v>
      </c>
      <c r="DH551" s="1" t="s">
        <v>252</v>
      </c>
      <c r="DJ551" s="1" t="s">
        <v>224</v>
      </c>
      <c r="DS551" s="1" t="s">
        <v>230</v>
      </c>
      <c r="DW551" s="1" t="s">
        <v>230</v>
      </c>
      <c r="EA551" s="1" t="s">
        <v>230</v>
      </c>
      <c r="EE551" s="1" t="s">
        <v>230</v>
      </c>
      <c r="EI551" s="1" t="s">
        <v>230</v>
      </c>
      <c r="EL551" s="1" t="s">
        <v>382</v>
      </c>
      <c r="EM551" s="1" t="s">
        <v>232</v>
      </c>
      <c r="EN551" s="1" t="s">
        <v>282</v>
      </c>
      <c r="EO551" s="1" t="s">
        <v>234</v>
      </c>
      <c r="EQ551" s="1" t="s">
        <v>236</v>
      </c>
      <c r="ER551" s="1" t="s">
        <v>210</v>
      </c>
      <c r="ES551" s="1" t="s">
        <v>322</v>
      </c>
      <c r="EU551" s="1" t="s">
        <v>239</v>
      </c>
      <c r="EV551" s="1" t="s">
        <v>1553</v>
      </c>
      <c r="EW551" s="1" t="s">
        <v>1426</v>
      </c>
      <c r="EY551" s="1" t="s">
        <v>790</v>
      </c>
      <c r="EZ551" s="1" t="s">
        <v>287</v>
      </c>
      <c r="FB551" s="1" t="s">
        <v>289</v>
      </c>
      <c r="FD551" s="1" t="s">
        <v>246</v>
      </c>
      <c r="FE551" s="1" t="s">
        <v>355</v>
      </c>
      <c r="FF551" s="1" t="s">
        <v>248</v>
      </c>
      <c r="FH551" s="1" t="s">
        <v>442</v>
      </c>
      <c r="FI551" s="1" t="s">
        <v>473</v>
      </c>
      <c r="FJ551" s="1" t="s">
        <v>197</v>
      </c>
      <c r="FL551" s="1" t="s">
        <v>358</v>
      </c>
      <c r="FM551" s="1" t="s">
        <v>252</v>
      </c>
      <c r="FN551" s="1" t="s">
        <v>213</v>
      </c>
      <c r="FO551" s="1" t="s">
        <v>213</v>
      </c>
      <c r="FQ551" s="1" t="s">
        <v>2512</v>
      </c>
      <c r="FR551" s="1" t="s">
        <v>210</v>
      </c>
      <c r="FS551" s="1" t="s">
        <v>4787</v>
      </c>
      <c r="FT551" s="1" t="s">
        <v>6936</v>
      </c>
      <c r="FU551" s="1" t="s">
        <v>204</v>
      </c>
      <c r="FW551" s="1" t="s">
        <v>1275</v>
      </c>
      <c r="FX551" s="1">
        <v>2411</v>
      </c>
      <c r="FY551" s="1" t="s">
        <v>1276</v>
      </c>
      <c r="FZ551" s="1" t="s">
        <v>4788</v>
      </c>
      <c r="GA551" s="1">
        <v>15497</v>
      </c>
      <c r="GB551" s="1" t="s">
        <v>4789</v>
      </c>
      <c r="GE551" s="1" t="s">
        <v>480</v>
      </c>
      <c r="GH551" s="1" t="s">
        <v>230</v>
      </c>
      <c r="GI551" s="1" t="s">
        <v>213</v>
      </c>
      <c r="GJ551" s="1" t="s">
        <v>260</v>
      </c>
      <c r="GK551" s="1" t="s">
        <v>210</v>
      </c>
      <c r="GL551" s="2">
        <v>42046</v>
      </c>
    </row>
    <row r="552" spans="1:195">
      <c r="A552" s="1">
        <v>162000</v>
      </c>
      <c r="B552" s="1" t="s">
        <v>195</v>
      </c>
      <c r="C552" s="1" t="str">
        <f>"08804848"</f>
        <v>08804848</v>
      </c>
      <c r="D552" s="1" t="s">
        <v>196</v>
      </c>
      <c r="F552" s="1" t="str">
        <f>"531"</f>
        <v>531</v>
      </c>
      <c r="G552" s="2">
        <v>41993</v>
      </c>
      <c r="H552" s="1">
        <v>164900</v>
      </c>
      <c r="I552" s="1">
        <v>164900</v>
      </c>
      <c r="J552" s="1">
        <v>162000</v>
      </c>
      <c r="K552" s="2">
        <v>41993</v>
      </c>
      <c r="L552" s="1">
        <v>31</v>
      </c>
      <c r="M552" s="2">
        <v>42023</v>
      </c>
      <c r="N552" s="1">
        <v>31</v>
      </c>
      <c r="O552" s="2">
        <v>42023</v>
      </c>
      <c r="P552" s="1">
        <v>22165</v>
      </c>
      <c r="Q552" s="1" t="s">
        <v>302</v>
      </c>
      <c r="R552" s="2">
        <v>42058</v>
      </c>
      <c r="S552" s="1">
        <v>222291</v>
      </c>
      <c r="U552" s="1">
        <v>125</v>
      </c>
      <c r="V552" s="1" t="s">
        <v>6937</v>
      </c>
      <c r="W552" s="1" t="s">
        <v>449</v>
      </c>
      <c r="X552" s="1">
        <v>601</v>
      </c>
      <c r="Y552" s="1">
        <v>104</v>
      </c>
      <c r="Z552" s="1" t="s">
        <v>249</v>
      </c>
      <c r="AA552" s="1" t="s">
        <v>2326</v>
      </c>
      <c r="AB552" s="1">
        <v>60525</v>
      </c>
      <c r="AD552" s="1" t="s">
        <v>6938</v>
      </c>
      <c r="AE552" s="1" t="s">
        <v>6939</v>
      </c>
      <c r="AF552" s="1">
        <v>1980</v>
      </c>
      <c r="AG552" s="1" t="s">
        <v>204</v>
      </c>
      <c r="AH552" s="1" t="s">
        <v>2329</v>
      </c>
      <c r="AI552" s="1" t="s">
        <v>310</v>
      </c>
      <c r="AJ552" s="1" t="s">
        <v>702</v>
      </c>
      <c r="AL552" s="1">
        <v>5</v>
      </c>
      <c r="AM552" s="1">
        <v>2</v>
      </c>
      <c r="AN552" s="1">
        <v>2</v>
      </c>
      <c r="AO552" s="1">
        <v>0</v>
      </c>
      <c r="AP552" s="1" t="s">
        <v>209</v>
      </c>
      <c r="AR552" s="1" t="s">
        <v>210</v>
      </c>
      <c r="AS552" s="1" t="s">
        <v>204</v>
      </c>
      <c r="AT552" s="1" t="s">
        <v>211</v>
      </c>
      <c r="AU552" s="1">
        <v>1</v>
      </c>
      <c r="AW552" s="1" t="s">
        <v>204</v>
      </c>
      <c r="AX552" s="1" t="s">
        <v>212</v>
      </c>
      <c r="AZ552" s="1">
        <v>3204</v>
      </c>
      <c r="BA552" s="1">
        <v>2012</v>
      </c>
      <c r="BB552" s="1" t="s">
        <v>210</v>
      </c>
      <c r="BE552" s="1">
        <v>0</v>
      </c>
      <c r="BF552" s="1">
        <v>6</v>
      </c>
      <c r="BG552" s="1">
        <v>30</v>
      </c>
      <c r="BL552" s="1">
        <v>331</v>
      </c>
      <c r="BM552" s="1" t="s">
        <v>204</v>
      </c>
      <c r="BN552" s="1" t="s">
        <v>213</v>
      </c>
      <c r="BP552" s="1" t="s">
        <v>204</v>
      </c>
      <c r="BR552" s="1" t="str">
        <f>"18201000741075"</f>
        <v>18201000741075</v>
      </c>
      <c r="BT552" s="1" t="s">
        <v>6940</v>
      </c>
      <c r="BU552" s="1" t="s">
        <v>2495</v>
      </c>
      <c r="BV552" s="1" t="s">
        <v>2496</v>
      </c>
      <c r="BW552" s="1" t="s">
        <v>706</v>
      </c>
      <c r="BX552" s="1">
        <v>106</v>
      </c>
      <c r="BY552" s="1">
        <v>106</v>
      </c>
      <c r="BZ552" s="1">
        <v>204</v>
      </c>
      <c r="CB552" s="1" t="str">
        <f t="shared" ref="CB552:CC552" si="430">""</f>
        <v/>
      </c>
      <c r="CC552" s="1" t="str">
        <f t="shared" si="430"/>
        <v/>
      </c>
      <c r="CG552" s="1" t="s">
        <v>2884</v>
      </c>
      <c r="CH552" s="1" t="s">
        <v>219</v>
      </c>
      <c r="CI552" s="1" t="s">
        <v>220</v>
      </c>
      <c r="CK552" s="1" t="s">
        <v>218</v>
      </c>
      <c r="CL552" s="1" t="s">
        <v>219</v>
      </c>
      <c r="CM552" s="1" t="s">
        <v>220</v>
      </c>
      <c r="CO552" s="1" t="s">
        <v>629</v>
      </c>
      <c r="CP552" s="1" t="s">
        <v>219</v>
      </c>
      <c r="CS552" s="1" t="s">
        <v>539</v>
      </c>
      <c r="CT552" s="1" t="s">
        <v>219</v>
      </c>
      <c r="CU552" s="1" t="s">
        <v>220</v>
      </c>
      <c r="CX552" s="1" t="s">
        <v>224</v>
      </c>
      <c r="DB552" s="1" t="s">
        <v>224</v>
      </c>
      <c r="DE552" s="1" t="s">
        <v>6941</v>
      </c>
      <c r="DF552" s="1" t="s">
        <v>219</v>
      </c>
      <c r="DG552" s="1" t="s">
        <v>226</v>
      </c>
      <c r="DJ552" s="1" t="s">
        <v>224</v>
      </c>
      <c r="DN552" s="1" t="s">
        <v>838</v>
      </c>
      <c r="DS552" s="1" t="s">
        <v>230</v>
      </c>
      <c r="DV552" s="1" t="s">
        <v>6942</v>
      </c>
      <c r="DW552" s="1" t="s">
        <v>219</v>
      </c>
      <c r="DX552" s="1" t="s">
        <v>226</v>
      </c>
      <c r="EA552" s="1" t="s">
        <v>230</v>
      </c>
      <c r="EE552" s="1" t="s">
        <v>230</v>
      </c>
      <c r="EI552" s="1" t="s">
        <v>230</v>
      </c>
      <c r="EL552" s="1" t="s">
        <v>231</v>
      </c>
      <c r="EM552" s="1" t="s">
        <v>232</v>
      </c>
      <c r="EN552" s="1" t="s">
        <v>282</v>
      </c>
      <c r="EO552" s="1" t="s">
        <v>234</v>
      </c>
      <c r="EP552" s="1" t="s">
        <v>6943</v>
      </c>
      <c r="EQ552" s="1" t="s">
        <v>953</v>
      </c>
      <c r="ER552" s="1" t="s">
        <v>210</v>
      </c>
      <c r="ES552" s="1" t="s">
        <v>322</v>
      </c>
      <c r="EV552" s="1" t="s">
        <v>240</v>
      </c>
      <c r="EW552" s="1" t="s">
        <v>6280</v>
      </c>
      <c r="EY552" s="1" t="s">
        <v>790</v>
      </c>
      <c r="EZ552" s="1" t="s">
        <v>838</v>
      </c>
      <c r="FA552" s="1" t="s">
        <v>3690</v>
      </c>
      <c r="FB552" s="1" t="s">
        <v>289</v>
      </c>
      <c r="FD552" s="1" t="s">
        <v>4003</v>
      </c>
      <c r="FE552" s="1" t="s">
        <v>247</v>
      </c>
      <c r="FF552" s="1" t="s">
        <v>248</v>
      </c>
      <c r="FH552" s="1" t="s">
        <v>249</v>
      </c>
      <c r="FI552" s="1" t="s">
        <v>473</v>
      </c>
      <c r="FJ552" s="1" t="s">
        <v>197</v>
      </c>
      <c r="FL552" s="1" t="s">
        <v>1073</v>
      </c>
      <c r="FM552" s="1" t="s">
        <v>252</v>
      </c>
      <c r="FN552" s="1" t="s">
        <v>213</v>
      </c>
      <c r="FO552" s="1" t="s">
        <v>213</v>
      </c>
      <c r="FQ552" s="1" t="s">
        <v>1286</v>
      </c>
      <c r="FR552" s="1" t="s">
        <v>210</v>
      </c>
      <c r="FS552" s="1" t="s">
        <v>552</v>
      </c>
      <c r="FT552" s="1" t="s">
        <v>362</v>
      </c>
      <c r="FU552" s="1" t="s">
        <v>204</v>
      </c>
      <c r="FW552" s="1" t="s">
        <v>1288</v>
      </c>
      <c r="FX552" s="1">
        <v>22097</v>
      </c>
      <c r="FY552" s="1" t="s">
        <v>1289</v>
      </c>
      <c r="FZ552" s="1" t="s">
        <v>1290</v>
      </c>
      <c r="GA552" s="1">
        <v>223617</v>
      </c>
      <c r="GB552" s="1" t="s">
        <v>1291</v>
      </c>
      <c r="GC552" s="1">
        <v>252272</v>
      </c>
      <c r="GE552" s="1" t="s">
        <v>4021</v>
      </c>
      <c r="GI552" s="1" t="s">
        <v>213</v>
      </c>
      <c r="GJ552" s="1" t="s">
        <v>260</v>
      </c>
      <c r="GK552" s="1" t="s">
        <v>210</v>
      </c>
      <c r="GL552" s="2">
        <v>42059</v>
      </c>
      <c r="GM552" s="1" t="s">
        <v>6944</v>
      </c>
    </row>
    <row r="553" spans="1:195">
      <c r="A553" s="1">
        <v>112000</v>
      </c>
      <c r="B553" s="1" t="s">
        <v>195</v>
      </c>
      <c r="C553" s="1" t="str">
        <f>"08810841"</f>
        <v>08810841</v>
      </c>
      <c r="D553" s="1" t="s">
        <v>196</v>
      </c>
      <c r="F553" s="1" t="str">
        <f>"8041"</f>
        <v>8041</v>
      </c>
      <c r="G553" s="2">
        <v>42010</v>
      </c>
      <c r="H553" s="1">
        <v>117000</v>
      </c>
      <c r="I553" s="1">
        <v>117000</v>
      </c>
      <c r="J553" s="1">
        <v>112000</v>
      </c>
      <c r="K553" s="2">
        <v>42010</v>
      </c>
      <c r="L553" s="1">
        <v>309</v>
      </c>
      <c r="M553" s="2">
        <v>42046</v>
      </c>
      <c r="N553" s="1">
        <v>37</v>
      </c>
      <c r="O553" s="2">
        <v>42046</v>
      </c>
      <c r="P553" s="1">
        <v>12293</v>
      </c>
      <c r="Q553" s="1" t="s">
        <v>302</v>
      </c>
      <c r="R553" s="2">
        <v>42075</v>
      </c>
      <c r="S553" s="1">
        <v>102521</v>
      </c>
      <c r="U553" s="1">
        <v>5532</v>
      </c>
      <c r="V553" s="1" t="s">
        <v>6945</v>
      </c>
      <c r="W553" s="1" t="s">
        <v>264</v>
      </c>
      <c r="X553" s="1" t="s">
        <v>6946</v>
      </c>
      <c r="Y553" s="1">
        <v>120</v>
      </c>
      <c r="Z553" s="1" t="s">
        <v>2811</v>
      </c>
      <c r="AA553" s="1" t="s">
        <v>400</v>
      </c>
      <c r="AB553" s="1">
        <v>60637</v>
      </c>
      <c r="AE553" s="1" t="s">
        <v>6947</v>
      </c>
      <c r="AF553" s="1">
        <v>1949</v>
      </c>
      <c r="AG553" s="1" t="s">
        <v>213</v>
      </c>
      <c r="AH553" s="1" t="s">
        <v>403</v>
      </c>
      <c r="AI553" s="1" t="s">
        <v>310</v>
      </c>
      <c r="AJ553" s="1" t="s">
        <v>562</v>
      </c>
      <c r="AL553" s="1">
        <v>5</v>
      </c>
      <c r="AM553" s="1">
        <v>2</v>
      </c>
      <c r="AN553" s="1">
        <v>2</v>
      </c>
      <c r="AO553" s="1">
        <v>0</v>
      </c>
      <c r="AP553" s="1" t="s">
        <v>667</v>
      </c>
      <c r="AR553" s="1" t="s">
        <v>210</v>
      </c>
      <c r="AS553" s="1" t="s">
        <v>204</v>
      </c>
      <c r="AT553" s="1" t="s">
        <v>210</v>
      </c>
      <c r="AW553" s="1" t="s">
        <v>213</v>
      </c>
      <c r="AX553" s="1" t="s">
        <v>212</v>
      </c>
      <c r="AZ553" s="1">
        <v>1198</v>
      </c>
      <c r="BA553" s="1">
        <v>2012</v>
      </c>
      <c r="BB553" s="1" t="s">
        <v>210</v>
      </c>
      <c r="BC553" s="1">
        <v>1198</v>
      </c>
      <c r="BE553" s="1">
        <v>1150</v>
      </c>
      <c r="BF553" s="1">
        <v>14</v>
      </c>
      <c r="BG553" s="1">
        <v>0</v>
      </c>
      <c r="BL553" s="1">
        <v>893</v>
      </c>
      <c r="BM553" s="1" t="s">
        <v>204</v>
      </c>
      <c r="BN553" s="1" t="s">
        <v>213</v>
      </c>
      <c r="BO553" s="1">
        <v>99</v>
      </c>
      <c r="BP553" s="1" t="s">
        <v>204</v>
      </c>
      <c r="BR553" s="1" t="str">
        <f>"20131030090000"</f>
        <v>20131030090000</v>
      </c>
      <c r="BT553" s="1" t="s">
        <v>6948</v>
      </c>
      <c r="BX553" s="1">
        <v>299</v>
      </c>
      <c r="BY553" s="1">
        <v>299</v>
      </c>
      <c r="BZ553" s="1">
        <v>299</v>
      </c>
      <c r="CB553" s="1" t="str">
        <f>"0"</f>
        <v>0</v>
      </c>
      <c r="CC553" s="1" t="str">
        <f>"1800"</f>
        <v>1800</v>
      </c>
      <c r="CD553" s="1">
        <v>0</v>
      </c>
      <c r="CE553" s="1">
        <v>5500</v>
      </c>
      <c r="CG553" s="1" t="s">
        <v>6949</v>
      </c>
      <c r="CH553" s="1" t="s">
        <v>219</v>
      </c>
      <c r="CJ553" s="1" t="s">
        <v>343</v>
      </c>
      <c r="CK553" s="1" t="s">
        <v>2070</v>
      </c>
      <c r="CL553" s="1" t="s">
        <v>219</v>
      </c>
      <c r="CN553" s="1" t="s">
        <v>343</v>
      </c>
      <c r="CO553" s="1" t="s">
        <v>629</v>
      </c>
      <c r="CP553" s="1" t="s">
        <v>219</v>
      </c>
      <c r="CS553" s="1" t="s">
        <v>3083</v>
      </c>
      <c r="CT553" s="1" t="s">
        <v>219</v>
      </c>
      <c r="CV553" s="1" t="s">
        <v>343</v>
      </c>
      <c r="CX553" s="1" t="s">
        <v>224</v>
      </c>
      <c r="DB553" s="1" t="s">
        <v>224</v>
      </c>
      <c r="DE553" s="1" t="s">
        <v>4999</v>
      </c>
      <c r="DF553" s="1" t="s">
        <v>219</v>
      </c>
      <c r="DH553" s="1" t="s">
        <v>343</v>
      </c>
      <c r="DJ553" s="1" t="s">
        <v>224</v>
      </c>
      <c r="DS553" s="1" t="s">
        <v>230</v>
      </c>
      <c r="DW553" s="1" t="s">
        <v>230</v>
      </c>
      <c r="EA553" s="1" t="s">
        <v>230</v>
      </c>
      <c r="EE553" s="1" t="s">
        <v>230</v>
      </c>
      <c r="EI553" s="1" t="s">
        <v>230</v>
      </c>
      <c r="EL553" s="1" t="s">
        <v>3717</v>
      </c>
      <c r="EM553" s="1" t="s">
        <v>232</v>
      </c>
      <c r="EN553" s="1" t="s">
        <v>233</v>
      </c>
      <c r="EO553" s="1" t="s">
        <v>234</v>
      </c>
      <c r="EP553" s="1" t="s">
        <v>6950</v>
      </c>
      <c r="EQ553" s="1" t="s">
        <v>3572</v>
      </c>
      <c r="ER553" s="1" t="s">
        <v>210</v>
      </c>
      <c r="ES553" s="1" t="s">
        <v>545</v>
      </c>
      <c r="EU553" s="1" t="s">
        <v>1998</v>
      </c>
      <c r="EV553" s="1" t="s">
        <v>240</v>
      </c>
      <c r="EW553" s="1" t="s">
        <v>6951</v>
      </c>
      <c r="EZ553" s="1" t="s">
        <v>287</v>
      </c>
      <c r="FC553" s="1" t="s">
        <v>1739</v>
      </c>
      <c r="FD553" s="1" t="s">
        <v>246</v>
      </c>
      <c r="FE553" s="1" t="s">
        <v>6952</v>
      </c>
      <c r="FF553" s="1" t="s">
        <v>248</v>
      </c>
      <c r="FH553" s="1" t="s">
        <v>2432</v>
      </c>
      <c r="FL553" s="1" t="s">
        <v>1907</v>
      </c>
      <c r="FM553" s="1" t="s">
        <v>252</v>
      </c>
      <c r="FN553" s="1" t="s">
        <v>213</v>
      </c>
      <c r="FO553" s="1" t="s">
        <v>213</v>
      </c>
      <c r="FQ553" s="1" t="s">
        <v>2293</v>
      </c>
      <c r="FR553" s="1" t="s">
        <v>210</v>
      </c>
      <c r="FS553" s="1" t="s">
        <v>6953</v>
      </c>
      <c r="FT553" s="1" t="s">
        <v>255</v>
      </c>
      <c r="FU553" s="1" t="s">
        <v>204</v>
      </c>
      <c r="FW553" s="1" t="s">
        <v>1559</v>
      </c>
      <c r="FX553" s="1">
        <v>10988</v>
      </c>
      <c r="FY553" s="1" t="s">
        <v>6954</v>
      </c>
      <c r="FZ553" s="1" t="s">
        <v>6955</v>
      </c>
      <c r="GA553" s="1">
        <v>876238</v>
      </c>
      <c r="GB553" s="1" t="s">
        <v>6956</v>
      </c>
      <c r="GE553" s="1" t="s">
        <v>2504</v>
      </c>
      <c r="GH553" s="1" t="s">
        <v>421</v>
      </c>
      <c r="GI553" s="1" t="s">
        <v>213</v>
      </c>
      <c r="GJ553" s="1" t="s">
        <v>260</v>
      </c>
      <c r="GK553" s="1" t="s">
        <v>210</v>
      </c>
      <c r="GL553" s="2">
        <v>42082</v>
      </c>
      <c r="GM553" s="1" t="s">
        <v>6957</v>
      </c>
    </row>
    <row r="554" spans="1:195">
      <c r="A554" s="1">
        <v>59900</v>
      </c>
      <c r="B554" s="1" t="s">
        <v>195</v>
      </c>
      <c r="C554" s="1" t="str">
        <f>"08800915"</f>
        <v>08800915</v>
      </c>
      <c r="D554" s="1" t="s">
        <v>196</v>
      </c>
      <c r="F554" s="1" t="str">
        <f>"107"</f>
        <v>107</v>
      </c>
      <c r="G554" s="2">
        <v>41984</v>
      </c>
      <c r="H554" s="1">
        <v>59900</v>
      </c>
      <c r="I554" s="1">
        <v>59900</v>
      </c>
      <c r="J554" s="1">
        <v>59900</v>
      </c>
      <c r="K554" s="2">
        <v>41984</v>
      </c>
      <c r="L554" s="1">
        <v>120</v>
      </c>
      <c r="M554" s="2">
        <v>41996</v>
      </c>
      <c r="N554" s="1">
        <v>13</v>
      </c>
      <c r="O554" s="2">
        <v>41996</v>
      </c>
      <c r="P554" s="1">
        <v>18080</v>
      </c>
      <c r="Q554" s="1" t="s">
        <v>302</v>
      </c>
      <c r="R554" s="2">
        <v>42031</v>
      </c>
      <c r="S554" s="1">
        <v>142375</v>
      </c>
      <c r="U554" s="1">
        <v>1533</v>
      </c>
      <c r="V554" s="1" t="s">
        <v>6958</v>
      </c>
      <c r="W554" s="1" t="s">
        <v>425</v>
      </c>
      <c r="X554" s="1">
        <v>1819</v>
      </c>
      <c r="Y554" s="1">
        <v>6</v>
      </c>
      <c r="Z554" s="1" t="s">
        <v>200</v>
      </c>
      <c r="AA554" s="1" t="s">
        <v>1211</v>
      </c>
      <c r="AB554" s="1">
        <v>60107</v>
      </c>
      <c r="AD554" s="1" t="s">
        <v>6959</v>
      </c>
      <c r="AE554" s="1" t="s">
        <v>6960</v>
      </c>
      <c r="AF554" s="1">
        <v>1975</v>
      </c>
      <c r="AG554" s="1" t="s">
        <v>213</v>
      </c>
      <c r="AH554" s="1" t="s">
        <v>339</v>
      </c>
      <c r="AI554" s="1" t="s">
        <v>310</v>
      </c>
      <c r="AJ554" s="1" t="s">
        <v>374</v>
      </c>
      <c r="AK554" s="1" t="s">
        <v>2247</v>
      </c>
      <c r="AL554" s="1">
        <v>4</v>
      </c>
      <c r="AM554" s="1">
        <v>2</v>
      </c>
      <c r="AN554" s="1">
        <v>1</v>
      </c>
      <c r="AO554" s="1">
        <v>1</v>
      </c>
      <c r="AP554" s="1" t="s">
        <v>210</v>
      </c>
      <c r="AR554" s="1" t="s">
        <v>210</v>
      </c>
      <c r="AS554" s="1" t="s">
        <v>204</v>
      </c>
      <c r="AT554" s="1" t="s">
        <v>271</v>
      </c>
      <c r="AV554" s="1">
        <v>2</v>
      </c>
      <c r="AW554" s="1" t="s">
        <v>204</v>
      </c>
      <c r="AX554" s="1">
        <v>1116</v>
      </c>
      <c r="AZ554" s="1">
        <v>2500</v>
      </c>
      <c r="BA554" s="1">
        <v>2013</v>
      </c>
      <c r="BB554" s="1" t="s">
        <v>405</v>
      </c>
      <c r="BE554" s="1">
        <v>1042</v>
      </c>
      <c r="BF554" s="1" t="s">
        <v>6276</v>
      </c>
      <c r="BG554" s="1">
        <v>5</v>
      </c>
      <c r="BL554" s="1">
        <v>170</v>
      </c>
      <c r="BM554" s="1" t="s">
        <v>204</v>
      </c>
      <c r="BN554" s="1" t="s">
        <v>213</v>
      </c>
      <c r="BO554" s="1">
        <v>100</v>
      </c>
      <c r="BP554" s="1" t="s">
        <v>204</v>
      </c>
      <c r="BR554" s="1" t="str">
        <f>"06253120580000"</f>
        <v>06253120580000</v>
      </c>
      <c r="BT554" s="1" t="s">
        <v>6961</v>
      </c>
      <c r="BU554" s="1" t="s">
        <v>6962</v>
      </c>
      <c r="BV554" s="1" t="s">
        <v>3623</v>
      </c>
      <c r="BW554" s="1" t="s">
        <v>1217</v>
      </c>
      <c r="BX554" s="1">
        <v>46</v>
      </c>
      <c r="BY554" s="1">
        <v>46</v>
      </c>
      <c r="BZ554" s="1">
        <v>46</v>
      </c>
      <c r="CB554" s="1" t="str">
        <f>"9"</f>
        <v>9</v>
      </c>
      <c r="CC554" s="1" t="str">
        <f>"0"</f>
        <v>0</v>
      </c>
      <c r="CD554" s="1">
        <v>27</v>
      </c>
      <c r="CE554" s="1">
        <v>0</v>
      </c>
      <c r="CG554" s="1" t="s">
        <v>315</v>
      </c>
      <c r="CH554" s="1" t="s">
        <v>219</v>
      </c>
      <c r="CJ554" s="1" t="s">
        <v>252</v>
      </c>
      <c r="CK554" s="1" t="s">
        <v>757</v>
      </c>
      <c r="CL554" s="1" t="s">
        <v>277</v>
      </c>
      <c r="CN554" s="1" t="s">
        <v>252</v>
      </c>
      <c r="CP554" s="1" t="s">
        <v>224</v>
      </c>
      <c r="CS554" s="1" t="s">
        <v>1297</v>
      </c>
      <c r="CT554" s="1" t="s">
        <v>277</v>
      </c>
      <c r="CX554" s="1" t="s">
        <v>224</v>
      </c>
      <c r="DB554" s="1" t="s">
        <v>224</v>
      </c>
      <c r="DE554" s="1" t="s">
        <v>757</v>
      </c>
      <c r="DF554" s="1" t="s">
        <v>219</v>
      </c>
      <c r="DJ554" s="1" t="s">
        <v>224</v>
      </c>
      <c r="DS554" s="1" t="s">
        <v>230</v>
      </c>
      <c r="DW554" s="1" t="s">
        <v>230</v>
      </c>
      <c r="EA554" s="1" t="s">
        <v>230</v>
      </c>
      <c r="EE554" s="1" t="s">
        <v>230</v>
      </c>
      <c r="EI554" s="1" t="s">
        <v>230</v>
      </c>
      <c r="EL554" s="1" t="s">
        <v>231</v>
      </c>
      <c r="EM554" s="1" t="s">
        <v>730</v>
      </c>
      <c r="EN554" s="1" t="s">
        <v>282</v>
      </c>
      <c r="EO554" s="1" t="s">
        <v>234</v>
      </c>
      <c r="ER554" s="1" t="s">
        <v>210</v>
      </c>
      <c r="ES554" s="1" t="s">
        <v>322</v>
      </c>
      <c r="EV554" s="1" t="s">
        <v>240</v>
      </c>
      <c r="EW554" s="1" t="s">
        <v>384</v>
      </c>
      <c r="EZ554" s="1" t="s">
        <v>287</v>
      </c>
      <c r="FD554" s="1" t="s">
        <v>246</v>
      </c>
      <c r="FE554" s="1" t="s">
        <v>247</v>
      </c>
      <c r="FF554" s="1" t="s">
        <v>248</v>
      </c>
      <c r="FH554" s="1" t="s">
        <v>550</v>
      </c>
      <c r="FK554" s="1" t="s">
        <v>291</v>
      </c>
      <c r="FL554" s="1" t="s">
        <v>358</v>
      </c>
      <c r="FM554" s="1" t="s">
        <v>252</v>
      </c>
      <c r="FN554" s="1" t="s">
        <v>213</v>
      </c>
      <c r="FO554" s="1" t="s">
        <v>204</v>
      </c>
      <c r="FQ554" s="1" t="s">
        <v>582</v>
      </c>
      <c r="FR554" s="1" t="s">
        <v>210</v>
      </c>
      <c r="FS554" s="1" t="s">
        <v>6963</v>
      </c>
      <c r="FT554" s="1" t="s">
        <v>255</v>
      </c>
      <c r="FU554" s="1" t="s">
        <v>204</v>
      </c>
      <c r="FW554" s="1" t="s">
        <v>1559</v>
      </c>
      <c r="FX554" s="1">
        <v>23871</v>
      </c>
      <c r="FY554" s="1" t="s">
        <v>6964</v>
      </c>
      <c r="FZ554" s="1" t="s">
        <v>6965</v>
      </c>
      <c r="GA554" s="1">
        <v>82766</v>
      </c>
      <c r="GB554" s="1" t="s">
        <v>6966</v>
      </c>
      <c r="GE554" s="1" t="s">
        <v>210</v>
      </c>
      <c r="GI554" s="1" t="s">
        <v>213</v>
      </c>
      <c r="GJ554" s="1" t="s">
        <v>260</v>
      </c>
      <c r="GK554" s="1" t="s">
        <v>210</v>
      </c>
      <c r="GL554" s="2">
        <v>42033</v>
      </c>
      <c r="GM554" s="1" t="s">
        <v>6967</v>
      </c>
    </row>
    <row r="555" spans="1:195">
      <c r="A555" s="1">
        <v>76000</v>
      </c>
      <c r="B555" s="1" t="s">
        <v>195</v>
      </c>
      <c r="C555" s="1" t="str">
        <f>"08801266"</f>
        <v>08801266</v>
      </c>
      <c r="D555" s="1" t="s">
        <v>196</v>
      </c>
      <c r="F555" s="1" t="str">
        <f>"560"</f>
        <v>560</v>
      </c>
      <c r="G555" s="2">
        <v>41985</v>
      </c>
      <c r="H555" s="1">
        <v>82000</v>
      </c>
      <c r="I555" s="1">
        <v>82000</v>
      </c>
      <c r="J555" s="1">
        <v>76000</v>
      </c>
      <c r="K555" s="2">
        <v>41983</v>
      </c>
      <c r="L555" s="1">
        <v>20</v>
      </c>
      <c r="M555" s="2">
        <v>42002</v>
      </c>
      <c r="N555" s="1">
        <v>20</v>
      </c>
      <c r="O555" s="2">
        <v>42002</v>
      </c>
      <c r="P555" s="1">
        <v>1109</v>
      </c>
      <c r="Q555" s="1" t="s">
        <v>302</v>
      </c>
      <c r="R555" s="2">
        <v>42086</v>
      </c>
      <c r="S555" s="1">
        <v>84713</v>
      </c>
      <c r="T555" s="1">
        <v>1500</v>
      </c>
      <c r="U555" s="1">
        <v>4562</v>
      </c>
      <c r="V555" s="1" t="s">
        <v>6968</v>
      </c>
      <c r="W555" s="1" t="s">
        <v>725</v>
      </c>
      <c r="X555" s="1" t="s">
        <v>1000</v>
      </c>
      <c r="Y555" s="1">
        <v>4</v>
      </c>
      <c r="Z555" s="1" t="s">
        <v>370</v>
      </c>
      <c r="AA555" s="1" t="s">
        <v>484</v>
      </c>
      <c r="AB555" s="1">
        <v>60560</v>
      </c>
      <c r="AD555" s="1" t="s">
        <v>6969</v>
      </c>
      <c r="AE555" s="1" t="s">
        <v>6970</v>
      </c>
      <c r="AF555" s="1">
        <v>2005</v>
      </c>
      <c r="AG555" s="1" t="s">
        <v>204</v>
      </c>
      <c r="AH555" s="1" t="s">
        <v>882</v>
      </c>
      <c r="AI555" s="1" t="s">
        <v>453</v>
      </c>
      <c r="AJ555" s="1" t="s">
        <v>454</v>
      </c>
      <c r="AL555" s="1">
        <v>6</v>
      </c>
      <c r="AM555" s="1">
        <v>2</v>
      </c>
      <c r="AN555" s="1">
        <v>1</v>
      </c>
      <c r="AO555" s="1">
        <v>1</v>
      </c>
      <c r="AP555" s="1" t="s">
        <v>210</v>
      </c>
      <c r="AQ555" s="1">
        <v>1</v>
      </c>
      <c r="AR555" s="1" t="s">
        <v>210</v>
      </c>
      <c r="AS555" s="1" t="s">
        <v>204</v>
      </c>
      <c r="AT555" s="1" t="s">
        <v>211</v>
      </c>
      <c r="AU555" s="1">
        <v>2</v>
      </c>
      <c r="AW555" s="1" t="s">
        <v>204</v>
      </c>
      <c r="AX555" s="1" t="s">
        <v>212</v>
      </c>
      <c r="AZ555" s="1">
        <v>4886.6000000000004</v>
      </c>
      <c r="BA555" s="1">
        <v>2012</v>
      </c>
      <c r="BE555" s="1">
        <v>1494</v>
      </c>
      <c r="BF555" s="1">
        <v>1</v>
      </c>
      <c r="BG555" s="1">
        <v>30</v>
      </c>
      <c r="BL555" s="1">
        <v>172</v>
      </c>
      <c r="BM555" s="1" t="s">
        <v>213</v>
      </c>
      <c r="BN555" s="1" t="s">
        <v>213</v>
      </c>
      <c r="BO555" s="1">
        <v>999</v>
      </c>
      <c r="BP555" s="1" t="s">
        <v>204</v>
      </c>
      <c r="BR555" s="1" t="str">
        <f>"0204327018"</f>
        <v>0204327018</v>
      </c>
      <c r="BT555" s="1" t="s">
        <v>6971</v>
      </c>
      <c r="BX555" s="1">
        <v>115</v>
      </c>
      <c r="BY555" s="1">
        <v>115</v>
      </c>
      <c r="BZ555" s="1">
        <v>115</v>
      </c>
      <c r="CB555" s="1" t="str">
        <f t="shared" ref="CB555:CC555" si="431">"0"</f>
        <v>0</v>
      </c>
      <c r="CC555" s="1" t="str">
        <f t="shared" si="431"/>
        <v>0</v>
      </c>
      <c r="CD555" s="1">
        <v>42</v>
      </c>
      <c r="CE555" s="1">
        <v>10</v>
      </c>
      <c r="CG555" s="1" t="s">
        <v>1004</v>
      </c>
      <c r="CH555" s="1" t="s">
        <v>219</v>
      </c>
      <c r="CI555" s="1" t="s">
        <v>220</v>
      </c>
      <c r="CK555" s="1" t="s">
        <v>932</v>
      </c>
      <c r="CL555" s="1" t="s">
        <v>277</v>
      </c>
      <c r="CM555" s="1" t="s">
        <v>220</v>
      </c>
      <c r="CO555" s="1" t="s">
        <v>821</v>
      </c>
      <c r="CP555" s="1" t="s">
        <v>219</v>
      </c>
      <c r="CQ555" s="1" t="s">
        <v>220</v>
      </c>
      <c r="CS555" s="1" t="s">
        <v>318</v>
      </c>
      <c r="CT555" s="1" t="s">
        <v>277</v>
      </c>
      <c r="CU555" s="1" t="s">
        <v>220</v>
      </c>
      <c r="CX555" s="1" t="s">
        <v>224</v>
      </c>
      <c r="DB555" s="1" t="s">
        <v>224</v>
      </c>
      <c r="DE555" s="1" t="s">
        <v>821</v>
      </c>
      <c r="DF555" s="1" t="s">
        <v>219</v>
      </c>
      <c r="DG555" s="1" t="s">
        <v>342</v>
      </c>
      <c r="DH555" s="1" t="s">
        <v>210</v>
      </c>
      <c r="DI555" s="1" t="s">
        <v>648</v>
      </c>
      <c r="DJ555" s="1" t="s">
        <v>277</v>
      </c>
      <c r="DK555" s="1" t="s">
        <v>220</v>
      </c>
      <c r="DS555" s="1" t="s">
        <v>230</v>
      </c>
      <c r="DW555" s="1" t="s">
        <v>230</v>
      </c>
      <c r="EA555" s="1" t="s">
        <v>230</v>
      </c>
      <c r="EE555" s="1" t="s">
        <v>230</v>
      </c>
      <c r="EI555" s="1" t="s">
        <v>230</v>
      </c>
      <c r="EL555" s="1" t="s">
        <v>491</v>
      </c>
      <c r="EM555" s="1" t="s">
        <v>319</v>
      </c>
      <c r="EN555" s="1" t="s">
        <v>282</v>
      </c>
      <c r="EO555" s="1" t="s">
        <v>5573</v>
      </c>
      <c r="EP555" s="1" t="s">
        <v>6972</v>
      </c>
      <c r="ER555" s="1" t="s">
        <v>210</v>
      </c>
      <c r="EV555" s="1" t="s">
        <v>240</v>
      </c>
      <c r="EW555" s="1" t="s">
        <v>6464</v>
      </c>
      <c r="EZ555" s="1" t="s">
        <v>287</v>
      </c>
      <c r="FD555" s="1" t="s">
        <v>246</v>
      </c>
      <c r="FE555" s="1" t="s">
        <v>247</v>
      </c>
      <c r="FF555" s="1" t="s">
        <v>248</v>
      </c>
      <c r="FH555" s="1" t="s">
        <v>550</v>
      </c>
      <c r="FL555" s="1" t="s">
        <v>414</v>
      </c>
      <c r="FM555" s="1" t="s">
        <v>252</v>
      </c>
      <c r="FN555" s="1" t="s">
        <v>213</v>
      </c>
      <c r="FO555" s="1" t="s">
        <v>213</v>
      </c>
      <c r="FQ555" s="1" t="s">
        <v>582</v>
      </c>
      <c r="FR555" s="1" t="s">
        <v>210</v>
      </c>
      <c r="FS555" s="1" t="s">
        <v>5209</v>
      </c>
      <c r="FT555" s="1" t="s">
        <v>654</v>
      </c>
      <c r="FU555" s="1" t="s">
        <v>204</v>
      </c>
      <c r="FW555" s="1" t="s">
        <v>3015</v>
      </c>
      <c r="FX555" s="1">
        <v>24199</v>
      </c>
      <c r="FY555" s="1" t="s">
        <v>3016</v>
      </c>
      <c r="FZ555" s="1" t="s">
        <v>3017</v>
      </c>
      <c r="GA555" s="1">
        <v>235607</v>
      </c>
      <c r="GB555" s="1" t="s">
        <v>3018</v>
      </c>
      <c r="GC555" s="1">
        <v>237175</v>
      </c>
      <c r="GE555" s="1" t="s">
        <v>480</v>
      </c>
      <c r="GI555" s="1" t="s">
        <v>204</v>
      </c>
      <c r="GJ555" s="1" t="s">
        <v>260</v>
      </c>
      <c r="GK555" s="1" t="s">
        <v>210</v>
      </c>
      <c r="GL555" s="2">
        <v>42088</v>
      </c>
      <c r="GM555" s="1" t="s">
        <v>6973</v>
      </c>
    </row>
    <row r="556" spans="1:195">
      <c r="A556" s="1">
        <v>68000</v>
      </c>
      <c r="B556" s="1" t="s">
        <v>195</v>
      </c>
      <c r="C556" s="1" t="str">
        <f>"08804027"</f>
        <v>08804027</v>
      </c>
      <c r="D556" s="1" t="s">
        <v>196</v>
      </c>
      <c r="F556" s="1" t="str">
        <f>"139"</f>
        <v>139</v>
      </c>
      <c r="G556" s="2">
        <v>41991</v>
      </c>
      <c r="H556" s="1">
        <v>60000</v>
      </c>
      <c r="I556" s="1">
        <v>60000</v>
      </c>
      <c r="J556" s="1">
        <v>68000</v>
      </c>
      <c r="K556" s="2">
        <v>41990</v>
      </c>
      <c r="L556" s="1">
        <v>166</v>
      </c>
      <c r="M556" s="2">
        <v>42037</v>
      </c>
      <c r="N556" s="1">
        <v>48</v>
      </c>
      <c r="O556" s="2">
        <v>42037</v>
      </c>
      <c r="P556" s="1">
        <v>40233</v>
      </c>
      <c r="Q556" s="1" t="s">
        <v>302</v>
      </c>
      <c r="R556" s="2">
        <v>42058</v>
      </c>
      <c r="S556" s="1">
        <v>408039</v>
      </c>
      <c r="U556" s="1">
        <v>175</v>
      </c>
      <c r="V556" s="1" t="s">
        <v>6974</v>
      </c>
      <c r="W556" s="1" t="s">
        <v>264</v>
      </c>
      <c r="X556" s="1">
        <v>101</v>
      </c>
      <c r="Y556" s="1">
        <v>6</v>
      </c>
      <c r="Z556" s="1" t="s">
        <v>249</v>
      </c>
      <c r="AA556" s="1" t="s">
        <v>1732</v>
      </c>
      <c r="AB556" s="1">
        <v>60139</v>
      </c>
      <c r="AD556" s="1" t="s">
        <v>6975</v>
      </c>
      <c r="AE556" s="1" t="s">
        <v>6976</v>
      </c>
      <c r="AF556" s="1">
        <v>1980</v>
      </c>
      <c r="AG556" s="1" t="s">
        <v>204</v>
      </c>
      <c r="AH556" s="1" t="s">
        <v>1735</v>
      </c>
      <c r="AI556" s="1" t="s">
        <v>206</v>
      </c>
      <c r="AJ556" s="1" t="s">
        <v>269</v>
      </c>
      <c r="AL556" s="1">
        <v>5</v>
      </c>
      <c r="AM556" s="1">
        <v>2</v>
      </c>
      <c r="AN556" s="1">
        <v>2</v>
      </c>
      <c r="AO556" s="1">
        <v>0</v>
      </c>
      <c r="AP556" s="1" t="s">
        <v>209</v>
      </c>
      <c r="AR556" s="1" t="s">
        <v>210</v>
      </c>
      <c r="AS556" s="1" t="s">
        <v>204</v>
      </c>
      <c r="AT556" s="1" t="s">
        <v>375</v>
      </c>
      <c r="AU556" s="1">
        <v>1</v>
      </c>
      <c r="AV556" s="1">
        <v>1</v>
      </c>
      <c r="AW556" s="1" t="s">
        <v>204</v>
      </c>
      <c r="AX556" s="1" t="s">
        <v>212</v>
      </c>
      <c r="AZ556" s="1">
        <v>2039</v>
      </c>
      <c r="BA556" s="1">
        <v>2013</v>
      </c>
      <c r="BB556" s="1" t="s">
        <v>210</v>
      </c>
      <c r="BE556" s="1">
        <v>988</v>
      </c>
      <c r="BF556" s="1">
        <v>1</v>
      </c>
      <c r="BG556" s="1">
        <v>0</v>
      </c>
      <c r="BL556" s="1">
        <v>208</v>
      </c>
      <c r="BM556" s="1" t="s">
        <v>204</v>
      </c>
      <c r="BN556" s="1" t="s">
        <v>213</v>
      </c>
      <c r="BO556" s="1">
        <v>25</v>
      </c>
      <c r="BP556" s="1" t="s">
        <v>204</v>
      </c>
      <c r="BR556" s="1" t="str">
        <f>"0222113121"</f>
        <v>0222113121</v>
      </c>
      <c r="BT556" s="1" t="s">
        <v>6977</v>
      </c>
      <c r="BU556" s="1" t="s">
        <v>3570</v>
      </c>
      <c r="BV556" s="1" t="s">
        <v>2015</v>
      </c>
      <c r="BW556" s="1" t="s">
        <v>1935</v>
      </c>
      <c r="BX556" s="1">
        <v>15</v>
      </c>
      <c r="BY556" s="1">
        <v>15</v>
      </c>
      <c r="BZ556" s="1">
        <v>87</v>
      </c>
      <c r="CB556" s="1" t="str">
        <f>"4"</f>
        <v>4</v>
      </c>
      <c r="CC556" s="1" t="str">
        <f>"0"</f>
        <v>0</v>
      </c>
      <c r="CD556" s="1">
        <v>23</v>
      </c>
      <c r="CE556" s="1">
        <v>0</v>
      </c>
      <c r="CG556" s="1" t="s">
        <v>221</v>
      </c>
      <c r="CH556" s="1" t="s">
        <v>219</v>
      </c>
      <c r="CI556" s="1" t="s">
        <v>220</v>
      </c>
      <c r="CK556" s="1" t="s">
        <v>539</v>
      </c>
      <c r="CL556" s="1" t="s">
        <v>219</v>
      </c>
      <c r="CM556" s="1" t="s">
        <v>220</v>
      </c>
      <c r="CO556" s="1" t="s">
        <v>837</v>
      </c>
      <c r="CP556" s="1" t="s">
        <v>219</v>
      </c>
      <c r="CQ556" s="1" t="s">
        <v>220</v>
      </c>
      <c r="CR556" s="1" t="s">
        <v>210</v>
      </c>
      <c r="CS556" s="1" t="s">
        <v>465</v>
      </c>
      <c r="CT556" s="1" t="s">
        <v>219</v>
      </c>
      <c r="CU556" s="1" t="s">
        <v>220</v>
      </c>
      <c r="CX556" s="1" t="s">
        <v>224</v>
      </c>
      <c r="DB556" s="1" t="s">
        <v>224</v>
      </c>
      <c r="DE556" s="1" t="s">
        <v>346</v>
      </c>
      <c r="DF556" s="1" t="s">
        <v>219</v>
      </c>
      <c r="DG556" s="1" t="s">
        <v>226</v>
      </c>
      <c r="DJ556" s="1" t="s">
        <v>224</v>
      </c>
      <c r="DS556" s="1" t="s">
        <v>230</v>
      </c>
      <c r="DW556" s="1" t="s">
        <v>230</v>
      </c>
      <c r="EA556" s="1" t="s">
        <v>230</v>
      </c>
      <c r="EE556" s="1" t="s">
        <v>230</v>
      </c>
      <c r="EI556" s="1" t="s">
        <v>230</v>
      </c>
      <c r="EL556" s="1" t="s">
        <v>231</v>
      </c>
      <c r="EM556" s="1" t="s">
        <v>319</v>
      </c>
      <c r="EN556" s="1" t="s">
        <v>1158</v>
      </c>
      <c r="EO556" s="1" t="s">
        <v>840</v>
      </c>
      <c r="EP556" s="1" t="s">
        <v>6978</v>
      </c>
      <c r="EQ556" s="1" t="s">
        <v>468</v>
      </c>
      <c r="ER556" s="1" t="s">
        <v>210</v>
      </c>
      <c r="ES556" s="1" t="s">
        <v>1552</v>
      </c>
      <c r="ET556" s="1" t="s">
        <v>323</v>
      </c>
      <c r="EU556" s="1" t="s">
        <v>712</v>
      </c>
      <c r="EV556" s="1" t="s">
        <v>324</v>
      </c>
      <c r="EW556" s="1" t="s">
        <v>1298</v>
      </c>
      <c r="EY556" s="1" t="s">
        <v>242</v>
      </c>
      <c r="EZ556" s="1" t="s">
        <v>287</v>
      </c>
      <c r="FB556" s="1" t="s">
        <v>289</v>
      </c>
      <c r="FC556" s="1" t="s">
        <v>633</v>
      </c>
      <c r="FD556" s="1" t="s">
        <v>246</v>
      </c>
      <c r="FE556" s="1" t="s">
        <v>247</v>
      </c>
      <c r="FF556" s="1" t="s">
        <v>248</v>
      </c>
      <c r="FH556" s="1" t="s">
        <v>249</v>
      </c>
      <c r="FL556" s="1" t="s">
        <v>614</v>
      </c>
      <c r="FM556" s="1" t="s">
        <v>252</v>
      </c>
      <c r="FN556" s="1" t="s">
        <v>213</v>
      </c>
      <c r="FO556" s="1" t="s">
        <v>213</v>
      </c>
      <c r="FQ556" s="1" t="s">
        <v>582</v>
      </c>
      <c r="FR556" s="1" t="s">
        <v>210</v>
      </c>
      <c r="FS556" s="1" t="s">
        <v>6979</v>
      </c>
      <c r="FT556" s="1" t="s">
        <v>1828</v>
      </c>
      <c r="FU556" s="1" t="s">
        <v>204</v>
      </c>
      <c r="FW556" s="1" t="s">
        <v>4898</v>
      </c>
      <c r="FX556" s="1">
        <v>40233</v>
      </c>
      <c r="FY556" s="1" t="s">
        <v>4899</v>
      </c>
      <c r="FZ556" s="1" t="s">
        <v>6842</v>
      </c>
      <c r="GA556" s="1">
        <v>401751</v>
      </c>
      <c r="GB556" s="1" t="s">
        <v>4899</v>
      </c>
      <c r="GE556" s="1" t="s">
        <v>480</v>
      </c>
      <c r="GH556" s="1" t="s">
        <v>230</v>
      </c>
      <c r="GI556" s="1" t="s">
        <v>213</v>
      </c>
      <c r="GJ556" s="1" t="s">
        <v>260</v>
      </c>
      <c r="GK556" s="1" t="s">
        <v>210</v>
      </c>
      <c r="GL556" s="2">
        <v>42058</v>
      </c>
      <c r="GM556" s="1" t="s">
        <v>6980</v>
      </c>
    </row>
    <row r="557" spans="1:195">
      <c r="A557" s="1">
        <v>100000</v>
      </c>
      <c r="B557" s="1" t="s">
        <v>195</v>
      </c>
      <c r="C557" s="1" t="str">
        <f>"08807156"</f>
        <v>08807156</v>
      </c>
      <c r="D557" s="1" t="s">
        <v>196</v>
      </c>
      <c r="F557" s="1" t="str">
        <f>"110"</f>
        <v>110</v>
      </c>
      <c r="G557" s="2">
        <v>42003</v>
      </c>
      <c r="H557" s="1">
        <v>107000</v>
      </c>
      <c r="I557" s="1">
        <v>107000</v>
      </c>
      <c r="J557" s="1">
        <v>100000</v>
      </c>
      <c r="K557" s="2">
        <v>42003</v>
      </c>
      <c r="L557" s="1">
        <v>8</v>
      </c>
      <c r="M557" s="2">
        <v>42010</v>
      </c>
      <c r="N557" s="1">
        <v>8</v>
      </c>
      <c r="O557" s="2">
        <v>42010</v>
      </c>
      <c r="P557" s="1">
        <v>8907</v>
      </c>
      <c r="Q557" s="1" t="s">
        <v>197</v>
      </c>
      <c r="R557" s="2">
        <v>42072</v>
      </c>
      <c r="S557" s="1">
        <v>922949</v>
      </c>
      <c r="U557" s="1">
        <v>2076</v>
      </c>
      <c r="V557" s="1" t="s">
        <v>920</v>
      </c>
      <c r="W557" s="1" t="s">
        <v>504</v>
      </c>
      <c r="Y557" s="1">
        <v>4</v>
      </c>
      <c r="Z557" s="1" t="s">
        <v>249</v>
      </c>
      <c r="AA557" s="1" t="s">
        <v>803</v>
      </c>
      <c r="AB557" s="1">
        <v>60110</v>
      </c>
      <c r="AD557" s="1" t="s">
        <v>6981</v>
      </c>
      <c r="AE557" s="1" t="s">
        <v>6982</v>
      </c>
      <c r="AF557" s="1">
        <v>1996</v>
      </c>
      <c r="AG557" s="1" t="s">
        <v>204</v>
      </c>
      <c r="AH557" s="1" t="s">
        <v>2557</v>
      </c>
      <c r="AI557" s="1" t="s">
        <v>665</v>
      </c>
      <c r="AJ557" s="1" t="s">
        <v>805</v>
      </c>
      <c r="AL557" s="1">
        <v>5</v>
      </c>
      <c r="AM557" s="1">
        <v>2</v>
      </c>
      <c r="AN557" s="1">
        <v>1</v>
      </c>
      <c r="AO557" s="1">
        <v>1</v>
      </c>
      <c r="AP557" s="1" t="s">
        <v>210</v>
      </c>
      <c r="AQ557" s="1">
        <v>1</v>
      </c>
      <c r="AR557" s="1" t="s">
        <v>210</v>
      </c>
      <c r="AS557" s="1" t="s">
        <v>204</v>
      </c>
      <c r="AT557" s="1" t="s">
        <v>211</v>
      </c>
      <c r="AU557" s="1">
        <v>1</v>
      </c>
      <c r="AW557" s="1" t="s">
        <v>204</v>
      </c>
      <c r="AX557" s="1" t="s">
        <v>212</v>
      </c>
      <c r="AZ557" s="1">
        <v>2890.42</v>
      </c>
      <c r="BA557" s="1">
        <v>2013</v>
      </c>
      <c r="BB557" s="1" t="s">
        <v>405</v>
      </c>
      <c r="BE557" s="1">
        <v>1007</v>
      </c>
      <c r="BF557" s="1">
        <v>1</v>
      </c>
      <c r="BG557" s="1">
        <v>0</v>
      </c>
      <c r="BL557" s="1">
        <v>81</v>
      </c>
      <c r="BM557" s="1" t="s">
        <v>204</v>
      </c>
      <c r="BN557" s="1" t="s">
        <v>213</v>
      </c>
      <c r="BO557" s="1">
        <v>999</v>
      </c>
      <c r="BP557" s="1" t="s">
        <v>204</v>
      </c>
      <c r="BR557" s="1" t="str">
        <f>"0318255033"</f>
        <v>0318255033</v>
      </c>
      <c r="BT557" s="1" t="s">
        <v>6983</v>
      </c>
      <c r="BX557" s="1">
        <v>300</v>
      </c>
      <c r="BY557" s="1">
        <v>300</v>
      </c>
      <c r="BZ557" s="1">
        <v>300</v>
      </c>
      <c r="CB557" s="1" t="str">
        <f t="shared" ref="CB557:CC557" si="432">""</f>
        <v/>
      </c>
      <c r="CC557" s="1" t="str">
        <f t="shared" si="432"/>
        <v/>
      </c>
      <c r="CG557" s="1" t="s">
        <v>757</v>
      </c>
      <c r="CH557" s="1" t="s">
        <v>219</v>
      </c>
      <c r="CI557" s="1" t="s">
        <v>438</v>
      </c>
      <c r="CJ557" s="1" t="s">
        <v>343</v>
      </c>
      <c r="CK557" s="1" t="s">
        <v>539</v>
      </c>
      <c r="CL557" s="1" t="s">
        <v>219</v>
      </c>
      <c r="CM557" s="1" t="s">
        <v>220</v>
      </c>
      <c r="CN557" s="1" t="s">
        <v>343</v>
      </c>
      <c r="CO557" s="1" t="s">
        <v>318</v>
      </c>
      <c r="CP557" s="1" t="s">
        <v>219</v>
      </c>
      <c r="CQ557" s="1" t="s">
        <v>438</v>
      </c>
      <c r="CR557" s="1" t="s">
        <v>343</v>
      </c>
      <c r="CS557" s="1" t="s">
        <v>318</v>
      </c>
      <c r="CT557" s="1" t="s">
        <v>219</v>
      </c>
      <c r="CU557" s="1" t="s">
        <v>220</v>
      </c>
      <c r="CV557" s="1" t="s">
        <v>343</v>
      </c>
      <c r="CX557" s="1" t="s">
        <v>224</v>
      </c>
      <c r="DB557" s="1" t="s">
        <v>224</v>
      </c>
      <c r="DE557" s="1" t="s">
        <v>837</v>
      </c>
      <c r="DF557" s="1" t="s">
        <v>219</v>
      </c>
      <c r="DG557" s="1" t="s">
        <v>342</v>
      </c>
      <c r="DH557" s="1" t="s">
        <v>343</v>
      </c>
      <c r="DJ557" s="1" t="s">
        <v>224</v>
      </c>
      <c r="DS557" s="1" t="s">
        <v>230</v>
      </c>
      <c r="DW557" s="1" t="s">
        <v>230</v>
      </c>
      <c r="EA557" s="1" t="s">
        <v>230</v>
      </c>
      <c r="EE557" s="1" t="s">
        <v>230</v>
      </c>
      <c r="EI557" s="1" t="s">
        <v>230</v>
      </c>
      <c r="EL557" s="1" t="s">
        <v>670</v>
      </c>
      <c r="EM557" s="1" t="s">
        <v>319</v>
      </c>
      <c r="EN557" s="1" t="s">
        <v>282</v>
      </c>
      <c r="EO557" s="1" t="s">
        <v>234</v>
      </c>
      <c r="EP557" s="1" t="s">
        <v>1268</v>
      </c>
      <c r="EQ557" s="1" t="s">
        <v>468</v>
      </c>
      <c r="ER557" s="1" t="s">
        <v>383</v>
      </c>
      <c r="ES557" s="1" t="s">
        <v>322</v>
      </c>
      <c r="EV557" s="1" t="s">
        <v>352</v>
      </c>
      <c r="EW557" s="1" t="s">
        <v>887</v>
      </c>
      <c r="EY557" s="1" t="s">
        <v>242</v>
      </c>
      <c r="EZ557" s="1" t="s">
        <v>287</v>
      </c>
      <c r="FA557" s="1" t="s">
        <v>3624</v>
      </c>
      <c r="FB557" s="1" t="s">
        <v>289</v>
      </c>
      <c r="FC557" s="1" t="s">
        <v>633</v>
      </c>
      <c r="FD557" s="1" t="s">
        <v>495</v>
      </c>
      <c r="FE557" s="1" t="s">
        <v>472</v>
      </c>
      <c r="FF557" s="1" t="s">
        <v>248</v>
      </c>
      <c r="FG557" s="1" t="s">
        <v>6984</v>
      </c>
      <c r="FH557" s="1" t="s">
        <v>249</v>
      </c>
      <c r="FI557" s="1" t="s">
        <v>357</v>
      </c>
      <c r="FJ557" s="1" t="s">
        <v>518</v>
      </c>
      <c r="FL557" s="1" t="s">
        <v>414</v>
      </c>
      <c r="FM557" s="1" t="s">
        <v>252</v>
      </c>
      <c r="FN557" s="1" t="s">
        <v>213</v>
      </c>
      <c r="FO557" s="1" t="s">
        <v>213</v>
      </c>
      <c r="FQ557" s="1" t="s">
        <v>615</v>
      </c>
      <c r="FR557" s="1" t="s">
        <v>210</v>
      </c>
      <c r="FS557" s="1" t="s">
        <v>6985</v>
      </c>
      <c r="FT557" s="1" t="s">
        <v>295</v>
      </c>
      <c r="FU557" s="1" t="s">
        <v>204</v>
      </c>
      <c r="FW557" s="1" t="s">
        <v>1097</v>
      </c>
      <c r="FX557" s="1">
        <v>5153</v>
      </c>
      <c r="FY557" s="1" t="s">
        <v>1590</v>
      </c>
      <c r="FZ557" s="1" t="s">
        <v>6986</v>
      </c>
      <c r="GA557" s="1">
        <v>53751</v>
      </c>
      <c r="GB557" s="1" t="s">
        <v>6987</v>
      </c>
      <c r="GE557" s="1" t="s">
        <v>1226</v>
      </c>
      <c r="GI557" s="1" t="s">
        <v>213</v>
      </c>
      <c r="GJ557" s="1" t="s">
        <v>260</v>
      </c>
      <c r="GK557" s="1" t="s">
        <v>210</v>
      </c>
      <c r="GL557" s="2">
        <v>42072</v>
      </c>
      <c r="GM557" s="1" t="s">
        <v>6988</v>
      </c>
    </row>
    <row r="558" spans="1:195">
      <c r="A558" s="1">
        <v>289990</v>
      </c>
      <c r="B558" s="1" t="s">
        <v>195</v>
      </c>
      <c r="C558" s="1" t="str">
        <f>"08806715"</f>
        <v>08806715</v>
      </c>
      <c r="D558" s="1" t="s">
        <v>196</v>
      </c>
      <c r="F558" s="1" t="str">
        <f>"540"</f>
        <v>540</v>
      </c>
      <c r="G558" s="2">
        <v>42002</v>
      </c>
      <c r="H558" s="1">
        <v>304310</v>
      </c>
      <c r="I558" s="1">
        <v>289990</v>
      </c>
      <c r="J558" s="1">
        <v>289990</v>
      </c>
      <c r="K558" s="2">
        <v>42002</v>
      </c>
      <c r="L558" s="1">
        <v>105</v>
      </c>
      <c r="M558" s="2">
        <v>42106</v>
      </c>
      <c r="N558" s="1">
        <v>105</v>
      </c>
      <c r="O558" s="2">
        <v>42106</v>
      </c>
      <c r="P558" s="1" t="s">
        <v>1039</v>
      </c>
      <c r="Q558" s="1" t="s">
        <v>197</v>
      </c>
      <c r="R558" s="2">
        <v>42123</v>
      </c>
      <c r="S558" s="1">
        <v>99999</v>
      </c>
      <c r="U558" s="1">
        <v>2865</v>
      </c>
      <c r="V558" s="1" t="s">
        <v>6989</v>
      </c>
      <c r="W558" s="1" t="s">
        <v>504</v>
      </c>
      <c r="Y558" s="1">
        <v>6</v>
      </c>
      <c r="Z558" s="1" t="s">
        <v>370</v>
      </c>
      <c r="AA558" s="1" t="s">
        <v>921</v>
      </c>
      <c r="AB558" s="1">
        <v>60540</v>
      </c>
      <c r="AD558" s="1" t="s">
        <v>6990</v>
      </c>
      <c r="AE558" s="1" t="s">
        <v>6991</v>
      </c>
      <c r="AF558" s="1">
        <v>2014</v>
      </c>
      <c r="AG558" s="1" t="s">
        <v>204</v>
      </c>
      <c r="AH558" s="1" t="s">
        <v>924</v>
      </c>
      <c r="AI558" s="1" t="s">
        <v>206</v>
      </c>
      <c r="AJ558" s="1" t="s">
        <v>924</v>
      </c>
      <c r="AK558" s="1" t="s">
        <v>6992</v>
      </c>
      <c r="AL558" s="1">
        <v>6</v>
      </c>
      <c r="AM558" s="1">
        <v>2</v>
      </c>
      <c r="AN558" s="1">
        <v>2</v>
      </c>
      <c r="AO558" s="1">
        <v>1</v>
      </c>
      <c r="AP558" s="1" t="s">
        <v>209</v>
      </c>
      <c r="AR558" s="1" t="s">
        <v>210</v>
      </c>
      <c r="AS558" s="1" t="s">
        <v>204</v>
      </c>
      <c r="AT558" s="1" t="s">
        <v>211</v>
      </c>
      <c r="AU558" s="1">
        <v>2</v>
      </c>
      <c r="AW558" s="1" t="s">
        <v>204</v>
      </c>
      <c r="AX558" s="1" t="s">
        <v>212</v>
      </c>
      <c r="AZ558" s="1" t="s">
        <v>751</v>
      </c>
      <c r="BA558" s="1">
        <v>2013</v>
      </c>
      <c r="BB558" s="1" t="s">
        <v>210</v>
      </c>
      <c r="BE558" s="1">
        <v>1783</v>
      </c>
      <c r="BF558" s="1">
        <v>3</v>
      </c>
      <c r="BG558" s="1">
        <v>0</v>
      </c>
      <c r="BL558" s="1">
        <v>210</v>
      </c>
      <c r="BM558" s="1" t="s">
        <v>204</v>
      </c>
      <c r="BN558" s="1" t="s">
        <v>213</v>
      </c>
      <c r="BO558" s="1">
        <v>0</v>
      </c>
      <c r="BP558" s="1" t="s">
        <v>213</v>
      </c>
      <c r="BQ558" s="2">
        <v>42005</v>
      </c>
      <c r="BR558" s="1" t="str">
        <f>"0727104038"</f>
        <v>0727104038</v>
      </c>
      <c r="BT558" s="1" t="s">
        <v>6993</v>
      </c>
      <c r="BU558" s="1" t="s">
        <v>2087</v>
      </c>
      <c r="BV558" s="1" t="s">
        <v>1248</v>
      </c>
      <c r="BW558" s="1" t="s">
        <v>1131</v>
      </c>
      <c r="BX558" s="1">
        <v>204</v>
      </c>
      <c r="BY558" s="1">
        <v>204</v>
      </c>
      <c r="BZ558" s="1">
        <v>204</v>
      </c>
      <c r="CB558" s="1" t="str">
        <f t="shared" ref="CB558:CC558" si="433">"0"</f>
        <v>0</v>
      </c>
      <c r="CC558" s="1" t="str">
        <f t="shared" si="433"/>
        <v>0</v>
      </c>
      <c r="CD558" s="1">
        <v>29</v>
      </c>
      <c r="CE558" s="1">
        <v>8</v>
      </c>
      <c r="CH558" s="1" t="s">
        <v>224</v>
      </c>
      <c r="CK558" s="1" t="s">
        <v>221</v>
      </c>
      <c r="CL558" s="1" t="s">
        <v>277</v>
      </c>
      <c r="CM558" s="1" t="s">
        <v>220</v>
      </c>
      <c r="CP558" s="1" t="s">
        <v>224</v>
      </c>
      <c r="CS558" s="1" t="s">
        <v>757</v>
      </c>
      <c r="CT558" s="1" t="s">
        <v>277</v>
      </c>
      <c r="CU558" s="1" t="s">
        <v>220</v>
      </c>
      <c r="CX558" s="1" t="s">
        <v>224</v>
      </c>
      <c r="DB558" s="1" t="s">
        <v>224</v>
      </c>
      <c r="DE558" s="1" t="s">
        <v>1358</v>
      </c>
      <c r="DF558" s="1" t="s">
        <v>219</v>
      </c>
      <c r="DG558" s="1" t="s">
        <v>438</v>
      </c>
      <c r="DJ558" s="1" t="s">
        <v>224</v>
      </c>
      <c r="DN558" s="1" t="s">
        <v>1676</v>
      </c>
      <c r="DO558" s="1" t="s">
        <v>464</v>
      </c>
      <c r="DP558" s="1" t="s">
        <v>381</v>
      </c>
      <c r="DS558" s="1" t="s">
        <v>230</v>
      </c>
      <c r="DV558" s="1" t="s">
        <v>379</v>
      </c>
      <c r="DW558" s="1" t="s">
        <v>219</v>
      </c>
      <c r="DX558" s="1" t="s">
        <v>438</v>
      </c>
      <c r="DZ558" s="1" t="s">
        <v>318</v>
      </c>
      <c r="EA558" s="1" t="s">
        <v>277</v>
      </c>
      <c r="EB558" s="1" t="s">
        <v>220</v>
      </c>
      <c r="ED558" s="1" t="s">
        <v>2231</v>
      </c>
      <c r="EE558" s="1" t="s">
        <v>219</v>
      </c>
      <c r="EF558" s="1" t="s">
        <v>438</v>
      </c>
      <c r="EI558" s="1" t="s">
        <v>230</v>
      </c>
      <c r="EL558" s="1" t="s">
        <v>1455</v>
      </c>
      <c r="EM558" s="1" t="s">
        <v>730</v>
      </c>
      <c r="EN558" s="1" t="s">
        <v>282</v>
      </c>
      <c r="EO558" s="1" t="s">
        <v>234</v>
      </c>
      <c r="EP558" s="1" t="s">
        <v>543</v>
      </c>
      <c r="EQ558" s="1" t="s">
        <v>3849</v>
      </c>
      <c r="ER558" s="1" t="s">
        <v>210</v>
      </c>
      <c r="ET558" s="1" t="s">
        <v>842</v>
      </c>
      <c r="EW558" s="1" t="s">
        <v>3851</v>
      </c>
      <c r="EY558" s="1" t="s">
        <v>790</v>
      </c>
      <c r="EZ558" s="1" t="s">
        <v>6994</v>
      </c>
      <c r="FA558" s="1" t="s">
        <v>1270</v>
      </c>
      <c r="FD558" s="1" t="s">
        <v>246</v>
      </c>
      <c r="FE558" s="1" t="s">
        <v>975</v>
      </c>
      <c r="FF558" s="1" t="s">
        <v>387</v>
      </c>
      <c r="FH558" s="1" t="s">
        <v>1428</v>
      </c>
      <c r="FJ558" s="1" t="s">
        <v>518</v>
      </c>
      <c r="FL558" s="1" t="s">
        <v>358</v>
      </c>
      <c r="FM558" s="1" t="s">
        <v>252</v>
      </c>
      <c r="FN558" s="1" t="s">
        <v>213</v>
      </c>
      <c r="FO558" s="1" t="s">
        <v>213</v>
      </c>
      <c r="FQ558" s="1" t="s">
        <v>3853</v>
      </c>
      <c r="FR558" s="1" t="s">
        <v>210</v>
      </c>
      <c r="FS558" s="1" t="s">
        <v>6995</v>
      </c>
      <c r="FT558" s="1" t="s">
        <v>3855</v>
      </c>
      <c r="FU558" s="1" t="s">
        <v>204</v>
      </c>
      <c r="FV558" s="1" t="s">
        <v>6996</v>
      </c>
      <c r="FW558" s="1" t="s">
        <v>3857</v>
      </c>
      <c r="FX558" s="1">
        <v>23223</v>
      </c>
      <c r="FY558" s="1" t="s">
        <v>3858</v>
      </c>
      <c r="FZ558" s="1" t="s">
        <v>3859</v>
      </c>
      <c r="GA558" s="1">
        <v>236300</v>
      </c>
      <c r="GC558" s="1">
        <v>210778</v>
      </c>
      <c r="GE558" s="1" t="s">
        <v>335</v>
      </c>
      <c r="GI558" s="1" t="s">
        <v>204</v>
      </c>
      <c r="GJ558" s="1" t="s">
        <v>300</v>
      </c>
      <c r="GK558" s="1" t="s">
        <v>210</v>
      </c>
      <c r="GL558" s="2">
        <v>42123</v>
      </c>
      <c r="GM558" s="1" t="s">
        <v>6997</v>
      </c>
    </row>
    <row r="559" spans="1:195">
      <c r="A559" s="1">
        <v>139500</v>
      </c>
      <c r="B559" s="1" t="s">
        <v>195</v>
      </c>
      <c r="C559" s="1" t="str">
        <f>"08804381"</f>
        <v>08804381</v>
      </c>
      <c r="D559" s="1" t="s">
        <v>196</v>
      </c>
      <c r="F559" s="1" t="str">
        <f>"656"</f>
        <v>656</v>
      </c>
      <c r="G559" s="2">
        <v>41992</v>
      </c>
      <c r="H559" s="1">
        <v>147000</v>
      </c>
      <c r="I559" s="1">
        <v>147000</v>
      </c>
      <c r="J559" s="1">
        <v>139500</v>
      </c>
      <c r="K559" s="2">
        <v>41992</v>
      </c>
      <c r="L559" s="1">
        <v>60</v>
      </c>
      <c r="M559" s="2">
        <v>42020</v>
      </c>
      <c r="N559" s="1">
        <v>29</v>
      </c>
      <c r="O559" s="2">
        <v>42020</v>
      </c>
      <c r="P559" s="1">
        <v>8031</v>
      </c>
      <c r="Q559" s="1" t="s">
        <v>197</v>
      </c>
      <c r="R559" s="2">
        <v>42066</v>
      </c>
      <c r="S559" s="1">
        <v>82182</v>
      </c>
      <c r="U559" s="1">
        <v>7620</v>
      </c>
      <c r="V559" s="1" t="s">
        <v>303</v>
      </c>
      <c r="W559" s="1" t="s">
        <v>425</v>
      </c>
      <c r="X559" s="1" t="s">
        <v>577</v>
      </c>
      <c r="Y559" s="1">
        <v>50</v>
      </c>
      <c r="Z559" s="1" t="s">
        <v>249</v>
      </c>
      <c r="AA559" s="1" t="s">
        <v>6222</v>
      </c>
      <c r="AB559" s="1">
        <v>60706</v>
      </c>
      <c r="AE559" s="1" t="s">
        <v>6998</v>
      </c>
      <c r="AF559" s="1">
        <v>1978</v>
      </c>
      <c r="AG559" s="1" t="s">
        <v>204</v>
      </c>
      <c r="AH559" s="1" t="s">
        <v>6224</v>
      </c>
      <c r="AI559" s="1" t="s">
        <v>310</v>
      </c>
      <c r="AJ559" s="1" t="s">
        <v>6999</v>
      </c>
      <c r="AL559" s="1">
        <v>5</v>
      </c>
      <c r="AM559" s="1">
        <v>2</v>
      </c>
      <c r="AN559" s="1">
        <v>2</v>
      </c>
      <c r="AO559" s="1">
        <v>0</v>
      </c>
      <c r="AP559" s="1" t="s">
        <v>209</v>
      </c>
      <c r="AR559" s="1" t="s">
        <v>1631</v>
      </c>
      <c r="AS559" s="1" t="s">
        <v>204</v>
      </c>
      <c r="AT559" s="1" t="s">
        <v>271</v>
      </c>
      <c r="AV559" s="1">
        <v>1</v>
      </c>
      <c r="AW559" s="1" t="s">
        <v>204</v>
      </c>
      <c r="AX559" s="1" t="s">
        <v>4740</v>
      </c>
      <c r="AZ559" s="1">
        <v>2631</v>
      </c>
      <c r="BA559" s="1">
        <v>2013</v>
      </c>
      <c r="BE559" s="1">
        <v>1100</v>
      </c>
      <c r="BF559" s="1">
        <v>2</v>
      </c>
      <c r="BG559" s="1">
        <v>30</v>
      </c>
      <c r="BL559" s="1">
        <v>301</v>
      </c>
      <c r="BM559" s="1" t="s">
        <v>204</v>
      </c>
      <c r="BN559" s="1" t="s">
        <v>213</v>
      </c>
      <c r="BO559" s="1">
        <v>30</v>
      </c>
      <c r="BP559" s="1" t="s">
        <v>204</v>
      </c>
      <c r="BR559" s="1" t="str">
        <f>"12123290211033"</f>
        <v>12123290211033</v>
      </c>
      <c r="BT559" s="1" t="s">
        <v>7000</v>
      </c>
      <c r="BU559" s="1" t="s">
        <v>7001</v>
      </c>
      <c r="BV559" s="1" t="s">
        <v>7001</v>
      </c>
      <c r="BW559" s="1" t="s">
        <v>7002</v>
      </c>
      <c r="BX559" s="1">
        <v>80</v>
      </c>
      <c r="BY559" s="1">
        <v>80</v>
      </c>
      <c r="BZ559" s="1">
        <v>234</v>
      </c>
      <c r="CB559" s="1" t="str">
        <f>"4800"</f>
        <v>4800</v>
      </c>
      <c r="CC559" s="1" t="str">
        <f>"0"</f>
        <v>0</v>
      </c>
      <c r="CD559" s="1">
        <v>7620</v>
      </c>
      <c r="CE559" s="1">
        <v>0</v>
      </c>
      <c r="CG559" s="1" t="s">
        <v>835</v>
      </c>
      <c r="CH559" s="1" t="s">
        <v>219</v>
      </c>
      <c r="CI559" s="1" t="s">
        <v>220</v>
      </c>
      <c r="CK559" s="1" t="s">
        <v>221</v>
      </c>
      <c r="CL559" s="1" t="s">
        <v>219</v>
      </c>
      <c r="CM559" s="1" t="s">
        <v>1236</v>
      </c>
      <c r="CO559" s="1" t="s">
        <v>1358</v>
      </c>
      <c r="CP559" s="1" t="s">
        <v>219</v>
      </c>
      <c r="CS559" s="1" t="s">
        <v>317</v>
      </c>
      <c r="CT559" s="1" t="s">
        <v>219</v>
      </c>
      <c r="CU559" s="1" t="s">
        <v>1236</v>
      </c>
      <c r="CX559" s="1" t="s">
        <v>224</v>
      </c>
      <c r="DB559" s="1" t="s">
        <v>224</v>
      </c>
      <c r="DE559" s="1" t="s">
        <v>465</v>
      </c>
      <c r="DF559" s="1" t="s">
        <v>219</v>
      </c>
      <c r="DG559" s="1" t="s">
        <v>342</v>
      </c>
      <c r="DJ559" s="1" t="s">
        <v>224</v>
      </c>
      <c r="DS559" s="1" t="s">
        <v>230</v>
      </c>
      <c r="DW559" s="1" t="s">
        <v>230</v>
      </c>
      <c r="EA559" s="1" t="s">
        <v>230</v>
      </c>
      <c r="EE559" s="1" t="s">
        <v>230</v>
      </c>
      <c r="EI559" s="1" t="s">
        <v>230</v>
      </c>
      <c r="EL559" s="1" t="s">
        <v>231</v>
      </c>
      <c r="EM559" s="1" t="s">
        <v>232</v>
      </c>
      <c r="EN559" s="1" t="s">
        <v>282</v>
      </c>
      <c r="EO559" s="1" t="s">
        <v>7003</v>
      </c>
      <c r="EQ559" s="1" t="s">
        <v>1109</v>
      </c>
      <c r="ER559" s="1" t="s">
        <v>5456</v>
      </c>
      <c r="ES559" s="1" t="s">
        <v>322</v>
      </c>
      <c r="EW559" s="1" t="s">
        <v>937</v>
      </c>
      <c r="EZ559" s="1" t="s">
        <v>287</v>
      </c>
      <c r="FB559" s="1" t="s">
        <v>289</v>
      </c>
      <c r="FD559" s="1" t="s">
        <v>888</v>
      </c>
      <c r="FE559" s="1" t="s">
        <v>247</v>
      </c>
      <c r="FF559" s="1" t="s">
        <v>248</v>
      </c>
      <c r="FH559" s="1" t="s">
        <v>249</v>
      </c>
      <c r="FK559" s="1" t="s">
        <v>4534</v>
      </c>
      <c r="FL559" s="1" t="s">
        <v>358</v>
      </c>
      <c r="FM559" s="1" t="s">
        <v>252</v>
      </c>
      <c r="FN559" s="1" t="s">
        <v>213</v>
      </c>
      <c r="FO559" s="1" t="s">
        <v>213</v>
      </c>
      <c r="FQ559" s="1" t="s">
        <v>7004</v>
      </c>
      <c r="FR559" s="1" t="s">
        <v>210</v>
      </c>
      <c r="FS559" s="1" t="s">
        <v>7005</v>
      </c>
      <c r="FT559" s="1" t="s">
        <v>295</v>
      </c>
      <c r="FU559" s="1" t="s">
        <v>204</v>
      </c>
      <c r="FW559" s="1" t="s">
        <v>7006</v>
      </c>
      <c r="FX559" s="1">
        <v>12664</v>
      </c>
      <c r="FY559" s="1" t="s">
        <v>7007</v>
      </c>
      <c r="FZ559" s="1" t="s">
        <v>7008</v>
      </c>
      <c r="GA559" s="1">
        <v>113821</v>
      </c>
      <c r="GB559" s="1" t="s">
        <v>7009</v>
      </c>
      <c r="GE559" s="1" t="s">
        <v>210</v>
      </c>
      <c r="GH559" s="1" t="s">
        <v>589</v>
      </c>
      <c r="GI559" s="1" t="s">
        <v>213</v>
      </c>
      <c r="GJ559" s="1" t="s">
        <v>260</v>
      </c>
      <c r="GK559" s="1" t="s">
        <v>210</v>
      </c>
      <c r="GL559" s="2">
        <v>42067</v>
      </c>
      <c r="GM559" s="1" t="s">
        <v>7010</v>
      </c>
    </row>
    <row r="560" spans="1:195">
      <c r="A560" s="1">
        <v>134000</v>
      </c>
      <c r="B560" s="1" t="s">
        <v>195</v>
      </c>
      <c r="C560" s="1" t="str">
        <f>"08806150"</f>
        <v>08806150</v>
      </c>
      <c r="D560" s="1" t="s">
        <v>196</v>
      </c>
      <c r="F560" s="1" t="str">
        <f>"515"</f>
        <v>515</v>
      </c>
      <c r="G560" s="2">
        <v>41999</v>
      </c>
      <c r="H560" s="1">
        <v>139800</v>
      </c>
      <c r="I560" s="1">
        <v>139800</v>
      </c>
      <c r="J560" s="1">
        <v>134000</v>
      </c>
      <c r="K560" s="2">
        <v>41999</v>
      </c>
      <c r="L560" s="1">
        <v>18</v>
      </c>
      <c r="M560" s="2">
        <v>42016</v>
      </c>
      <c r="N560" s="1">
        <v>18</v>
      </c>
      <c r="O560" s="2">
        <v>42016</v>
      </c>
      <c r="P560" s="1">
        <v>75503</v>
      </c>
      <c r="Q560" s="1" t="s">
        <v>197</v>
      </c>
      <c r="R560" s="2">
        <v>42053</v>
      </c>
      <c r="S560" s="1">
        <v>700294</v>
      </c>
      <c r="U560" s="1">
        <v>8010</v>
      </c>
      <c r="V560" s="1" t="s">
        <v>2341</v>
      </c>
      <c r="W560" s="1" t="s">
        <v>504</v>
      </c>
      <c r="X560" s="1">
        <v>204</v>
      </c>
      <c r="Y560" s="1">
        <v>20</v>
      </c>
      <c r="Z560" s="1" t="s">
        <v>249</v>
      </c>
      <c r="AA560" s="1" t="s">
        <v>1294</v>
      </c>
      <c r="AB560" s="1">
        <v>60516</v>
      </c>
      <c r="AD560" s="1" t="s">
        <v>7011</v>
      </c>
      <c r="AE560" s="1" t="s">
        <v>7012</v>
      </c>
      <c r="AF560" s="1">
        <v>1971</v>
      </c>
      <c r="AG560" s="1" t="s">
        <v>213</v>
      </c>
      <c r="AH560" s="1" t="s">
        <v>882</v>
      </c>
      <c r="AI560" s="1" t="s">
        <v>206</v>
      </c>
      <c r="AJ560" s="1" t="s">
        <v>903</v>
      </c>
      <c r="AL560" s="1">
        <v>5</v>
      </c>
      <c r="AM560" s="1">
        <v>2</v>
      </c>
      <c r="AN560" s="1">
        <v>1</v>
      </c>
      <c r="AO560" s="1">
        <v>1</v>
      </c>
      <c r="AP560" s="1" t="s">
        <v>1234</v>
      </c>
      <c r="AR560" s="1" t="s">
        <v>210</v>
      </c>
      <c r="AT560" s="1" t="s">
        <v>211</v>
      </c>
      <c r="AU560" s="1">
        <v>1</v>
      </c>
      <c r="AW560" s="1" t="s">
        <v>204</v>
      </c>
      <c r="AX560" s="1" t="s">
        <v>212</v>
      </c>
      <c r="AZ560" s="1">
        <v>1506</v>
      </c>
      <c r="BA560" s="1">
        <v>2013</v>
      </c>
      <c r="BB560" s="1" t="s">
        <v>405</v>
      </c>
      <c r="BE560" s="1">
        <v>0</v>
      </c>
      <c r="BF560" s="1">
        <v>2</v>
      </c>
      <c r="BG560" s="1">
        <v>30</v>
      </c>
      <c r="BJ560" s="1">
        <v>100</v>
      </c>
      <c r="BL560" s="1">
        <v>328</v>
      </c>
      <c r="BM560" s="1" t="s">
        <v>204</v>
      </c>
      <c r="BN560" s="1" t="s">
        <v>213</v>
      </c>
      <c r="BO560" s="1">
        <v>99</v>
      </c>
      <c r="BP560" s="1" t="s">
        <v>204</v>
      </c>
      <c r="BR560" s="1" t="str">
        <f>"0932211017"</f>
        <v>0932211017</v>
      </c>
      <c r="BT560" s="1" t="s">
        <v>7013</v>
      </c>
      <c r="BU560" s="1" t="s">
        <v>3998</v>
      </c>
      <c r="BV560" s="1" t="s">
        <v>3999</v>
      </c>
      <c r="BW560" s="1" t="s">
        <v>3099</v>
      </c>
      <c r="BX560" s="1">
        <v>66</v>
      </c>
      <c r="BY560" s="1">
        <v>66</v>
      </c>
      <c r="BZ560" s="1">
        <v>99</v>
      </c>
      <c r="CB560" s="1" t="str">
        <f t="shared" ref="CB560:CC560" si="434">"0"</f>
        <v>0</v>
      </c>
      <c r="CC560" s="1" t="str">
        <f t="shared" si="434"/>
        <v>0</v>
      </c>
      <c r="CD560" s="1">
        <v>18</v>
      </c>
      <c r="CE560" s="1">
        <v>9</v>
      </c>
      <c r="CG560" s="1" t="s">
        <v>628</v>
      </c>
      <c r="CH560" s="1" t="s">
        <v>219</v>
      </c>
      <c r="CI560" s="1" t="s">
        <v>229</v>
      </c>
      <c r="CK560" s="1" t="s">
        <v>437</v>
      </c>
      <c r="CL560" s="1" t="s">
        <v>219</v>
      </c>
      <c r="CM560" s="1" t="s">
        <v>229</v>
      </c>
      <c r="CO560" s="1" t="s">
        <v>516</v>
      </c>
      <c r="CP560" s="1" t="s">
        <v>219</v>
      </c>
      <c r="CQ560" s="1" t="s">
        <v>229</v>
      </c>
      <c r="CR560" s="1" t="s">
        <v>210</v>
      </c>
      <c r="CS560" s="1" t="s">
        <v>346</v>
      </c>
      <c r="CT560" s="1" t="s">
        <v>219</v>
      </c>
      <c r="CU560" s="1" t="s">
        <v>229</v>
      </c>
      <c r="CX560" s="1" t="s">
        <v>224</v>
      </c>
      <c r="DB560" s="1" t="s">
        <v>224</v>
      </c>
      <c r="DE560" s="1" t="s">
        <v>2308</v>
      </c>
      <c r="DF560" s="1" t="s">
        <v>219</v>
      </c>
      <c r="DG560" s="1" t="s">
        <v>226</v>
      </c>
      <c r="DH560" s="1" t="s">
        <v>210</v>
      </c>
      <c r="DJ560" s="1" t="s">
        <v>224</v>
      </c>
      <c r="DS560" s="1" t="s">
        <v>230</v>
      </c>
      <c r="DW560" s="1" t="s">
        <v>230</v>
      </c>
      <c r="EA560" s="1" t="s">
        <v>230</v>
      </c>
      <c r="EE560" s="1" t="s">
        <v>230</v>
      </c>
      <c r="EI560" s="1" t="s">
        <v>230</v>
      </c>
      <c r="EL560" s="1" t="s">
        <v>605</v>
      </c>
      <c r="EM560" s="1" t="s">
        <v>232</v>
      </c>
      <c r="EN560" s="1" t="s">
        <v>282</v>
      </c>
      <c r="EO560" s="1" t="s">
        <v>234</v>
      </c>
      <c r="EP560" s="1" t="s">
        <v>7014</v>
      </c>
      <c r="EQ560" s="1" t="s">
        <v>236</v>
      </c>
      <c r="ER560" s="1" t="s">
        <v>210</v>
      </c>
      <c r="ES560" s="1" t="s">
        <v>3285</v>
      </c>
      <c r="EV560" s="1" t="s">
        <v>352</v>
      </c>
      <c r="EW560" s="1" t="s">
        <v>7015</v>
      </c>
      <c r="EZ560" s="1" t="s">
        <v>287</v>
      </c>
      <c r="FA560" s="1" t="s">
        <v>3915</v>
      </c>
      <c r="FB560" s="1" t="s">
        <v>289</v>
      </c>
      <c r="FC560" s="1" t="s">
        <v>633</v>
      </c>
      <c r="FD560" s="1" t="s">
        <v>246</v>
      </c>
      <c r="FE560" s="1" t="s">
        <v>247</v>
      </c>
      <c r="FF560" s="1" t="s">
        <v>248</v>
      </c>
      <c r="FH560" s="1" t="s">
        <v>716</v>
      </c>
      <c r="FI560" s="1" t="s">
        <v>1114</v>
      </c>
      <c r="FL560" s="1" t="s">
        <v>358</v>
      </c>
      <c r="FM560" s="1" t="s">
        <v>252</v>
      </c>
      <c r="FN560" s="1" t="s">
        <v>204</v>
      </c>
      <c r="FO560" s="1" t="s">
        <v>213</v>
      </c>
      <c r="FQ560" s="1" t="s">
        <v>1758</v>
      </c>
      <c r="FR560" s="1" t="s">
        <v>210</v>
      </c>
      <c r="FS560" s="1" t="s">
        <v>7016</v>
      </c>
      <c r="FT560" s="1" t="s">
        <v>295</v>
      </c>
      <c r="FU560" s="1" t="s">
        <v>204</v>
      </c>
      <c r="FW560" s="1" t="s">
        <v>1961</v>
      </c>
      <c r="FX560" s="1">
        <v>20150</v>
      </c>
      <c r="FY560" s="1" t="s">
        <v>1962</v>
      </c>
      <c r="FZ560" s="1" t="s">
        <v>7017</v>
      </c>
      <c r="GA560" s="1">
        <v>213695</v>
      </c>
      <c r="GB560" s="1" t="s">
        <v>7018</v>
      </c>
      <c r="GE560" s="1" t="s">
        <v>210</v>
      </c>
      <c r="GI560" s="1" t="s">
        <v>213</v>
      </c>
      <c r="GJ560" s="1" t="s">
        <v>260</v>
      </c>
      <c r="GK560" s="1" t="s">
        <v>261</v>
      </c>
      <c r="GL560" s="2">
        <v>42053</v>
      </c>
      <c r="GM560" s="1" t="s">
        <v>7019</v>
      </c>
    </row>
    <row r="561" spans="1:195">
      <c r="A561" s="1">
        <v>70100</v>
      </c>
      <c r="B561" s="1" t="s">
        <v>195</v>
      </c>
      <c r="C561" s="1" t="str">
        <f>"08804040"</f>
        <v>08804040</v>
      </c>
      <c r="D561" s="1" t="s">
        <v>196</v>
      </c>
      <c r="F561" s="1" t="str">
        <f>"31"</f>
        <v>31</v>
      </c>
      <c r="G561" s="2">
        <v>41991</v>
      </c>
      <c r="H561" s="1">
        <v>66500</v>
      </c>
      <c r="I561" s="1">
        <v>66500</v>
      </c>
      <c r="J561" s="1">
        <v>70100</v>
      </c>
      <c r="K561" s="2">
        <v>41991</v>
      </c>
      <c r="L561" s="1">
        <v>7</v>
      </c>
      <c r="M561" s="2">
        <v>41997</v>
      </c>
      <c r="N561" s="1">
        <v>7</v>
      </c>
      <c r="O561" s="2">
        <v>41997</v>
      </c>
      <c r="P561" s="1">
        <v>2050</v>
      </c>
      <c r="Q561" s="1" t="s">
        <v>302</v>
      </c>
      <c r="R561" s="2">
        <v>42065</v>
      </c>
      <c r="S561" s="1">
        <v>240520</v>
      </c>
      <c r="U561" s="1">
        <v>17575</v>
      </c>
      <c r="V561" s="1" t="s">
        <v>4587</v>
      </c>
      <c r="W561" s="1" t="s">
        <v>504</v>
      </c>
      <c r="Y561" s="1">
        <v>4</v>
      </c>
      <c r="Z561" s="1" t="s">
        <v>249</v>
      </c>
      <c r="AA561" s="1" t="s">
        <v>1057</v>
      </c>
      <c r="AB561" s="1">
        <v>60031</v>
      </c>
      <c r="AE561" s="1" t="s">
        <v>7020</v>
      </c>
      <c r="AF561" s="1">
        <v>1985</v>
      </c>
      <c r="AG561" s="1" t="s">
        <v>204</v>
      </c>
      <c r="AH561" s="1" t="s">
        <v>1060</v>
      </c>
      <c r="AI561" s="1" t="s">
        <v>509</v>
      </c>
      <c r="AJ561" s="1" t="s">
        <v>1061</v>
      </c>
      <c r="AL561" s="1">
        <v>6</v>
      </c>
      <c r="AM561" s="1">
        <v>2</v>
      </c>
      <c r="AN561" s="1">
        <v>1</v>
      </c>
      <c r="AO561" s="1">
        <v>1</v>
      </c>
      <c r="AP561" s="1" t="s">
        <v>210</v>
      </c>
      <c r="AQ561" s="1">
        <v>1</v>
      </c>
      <c r="AR561" s="1" t="s">
        <v>210</v>
      </c>
      <c r="AS561" s="1" t="s">
        <v>204</v>
      </c>
      <c r="AT561" s="1" t="s">
        <v>211</v>
      </c>
      <c r="AU561" s="1">
        <v>1</v>
      </c>
      <c r="AW561" s="1" t="s">
        <v>204</v>
      </c>
      <c r="AX561" s="1" t="s">
        <v>212</v>
      </c>
      <c r="AZ561" s="1">
        <v>2599.67</v>
      </c>
      <c r="BA561" s="1">
        <v>2012</v>
      </c>
      <c r="BE561" s="1">
        <v>0</v>
      </c>
      <c r="BF561" s="1">
        <v>1</v>
      </c>
      <c r="BG561" s="1">
        <v>0</v>
      </c>
      <c r="BL561" s="1">
        <v>209</v>
      </c>
      <c r="BM561" s="1" t="s">
        <v>413</v>
      </c>
      <c r="BN561" s="1" t="s">
        <v>213</v>
      </c>
      <c r="BO561" s="1">
        <v>30</v>
      </c>
      <c r="BP561" s="1" t="s">
        <v>204</v>
      </c>
      <c r="BR561" s="1" t="str">
        <f>"07204000490000"</f>
        <v>07204000490000</v>
      </c>
      <c r="BT561" s="1" t="s">
        <v>7021</v>
      </c>
      <c r="BX561" s="1">
        <v>50</v>
      </c>
      <c r="BY561" s="1">
        <v>50</v>
      </c>
      <c r="BZ561" s="1">
        <v>121</v>
      </c>
      <c r="CB561" s="1" t="str">
        <f t="shared" ref="CB561:CC561" si="435">""</f>
        <v/>
      </c>
      <c r="CC561" s="1" t="str">
        <f t="shared" si="435"/>
        <v/>
      </c>
      <c r="CG561" s="1" t="s">
        <v>218</v>
      </c>
      <c r="CH561" s="1" t="s">
        <v>219</v>
      </c>
      <c r="CK561" s="1" t="s">
        <v>602</v>
      </c>
      <c r="CL561" s="1" t="s">
        <v>277</v>
      </c>
      <c r="CO561" s="1" t="s">
        <v>629</v>
      </c>
      <c r="CP561" s="1" t="s">
        <v>219</v>
      </c>
      <c r="CS561" s="1" t="s">
        <v>972</v>
      </c>
      <c r="CT561" s="1" t="s">
        <v>277</v>
      </c>
      <c r="CX561" s="1" t="s">
        <v>224</v>
      </c>
      <c r="DB561" s="1" t="s">
        <v>224</v>
      </c>
      <c r="DE561" s="1" t="s">
        <v>317</v>
      </c>
      <c r="DF561" s="1" t="s">
        <v>219</v>
      </c>
      <c r="DI561" s="1" t="s">
        <v>729</v>
      </c>
      <c r="DJ561" s="1" t="s">
        <v>277</v>
      </c>
      <c r="DS561" s="1" t="s">
        <v>230</v>
      </c>
      <c r="DW561" s="1" t="s">
        <v>230</v>
      </c>
      <c r="EA561" s="1" t="s">
        <v>230</v>
      </c>
      <c r="EE561" s="1" t="s">
        <v>230</v>
      </c>
      <c r="EI561" s="1" t="s">
        <v>230</v>
      </c>
      <c r="EL561" s="1" t="s">
        <v>542</v>
      </c>
      <c r="EM561" s="1" t="s">
        <v>319</v>
      </c>
      <c r="EN561" s="1" t="s">
        <v>210</v>
      </c>
      <c r="EO561" s="1" t="s">
        <v>234</v>
      </c>
      <c r="ER561" s="1" t="s">
        <v>383</v>
      </c>
      <c r="EW561" s="1" t="s">
        <v>867</v>
      </c>
      <c r="EZ561" s="1" t="s">
        <v>287</v>
      </c>
      <c r="FD561" s="1" t="s">
        <v>246</v>
      </c>
      <c r="FE561" s="1" t="s">
        <v>355</v>
      </c>
      <c r="FF561" s="1" t="s">
        <v>248</v>
      </c>
      <c r="FH561" s="1" t="s">
        <v>550</v>
      </c>
      <c r="FL561" s="1" t="s">
        <v>358</v>
      </c>
      <c r="FM561" s="1" t="s">
        <v>252</v>
      </c>
      <c r="FN561" s="1" t="s">
        <v>213</v>
      </c>
      <c r="FO561" s="1" t="s">
        <v>213</v>
      </c>
      <c r="FQ561" s="1" t="s">
        <v>582</v>
      </c>
      <c r="FR561" s="1" t="s">
        <v>210</v>
      </c>
      <c r="FS561" s="1" t="s">
        <v>7022</v>
      </c>
      <c r="FT561" s="1" t="s">
        <v>7023</v>
      </c>
      <c r="FU561" s="1" t="s">
        <v>204</v>
      </c>
      <c r="FW561" s="1" t="s">
        <v>7024</v>
      </c>
      <c r="FX561" s="1">
        <v>25050</v>
      </c>
      <c r="FY561" s="1" t="s">
        <v>7025</v>
      </c>
      <c r="FZ561" s="1" t="s">
        <v>7026</v>
      </c>
      <c r="GA561" s="1">
        <v>229929</v>
      </c>
      <c r="GB561" s="1" t="s">
        <v>7027</v>
      </c>
      <c r="GE561" s="1" t="s">
        <v>210</v>
      </c>
      <c r="GH561" s="1" t="s">
        <v>589</v>
      </c>
      <c r="GI561" s="1" t="s">
        <v>204</v>
      </c>
      <c r="GJ561" s="1" t="s">
        <v>300</v>
      </c>
      <c r="GK561" s="1" t="s">
        <v>210</v>
      </c>
      <c r="GL561" s="2">
        <v>42067</v>
      </c>
      <c r="GM561" s="1" t="s">
        <v>7028</v>
      </c>
    </row>
    <row r="562" spans="1:195">
      <c r="A562" s="1">
        <v>92000</v>
      </c>
      <c r="B562" s="1" t="s">
        <v>195</v>
      </c>
      <c r="C562" s="1" t="str">
        <f>"08806348"</f>
        <v>08806348</v>
      </c>
      <c r="D562" s="1" t="s">
        <v>196</v>
      </c>
      <c r="F562" s="1" t="str">
        <f>"101"</f>
        <v>101</v>
      </c>
      <c r="G562" s="2">
        <v>41999</v>
      </c>
      <c r="H562" s="1">
        <v>94900</v>
      </c>
      <c r="I562" s="1">
        <v>94900</v>
      </c>
      <c r="J562" s="1">
        <v>92000</v>
      </c>
      <c r="K562" s="2">
        <v>41999</v>
      </c>
      <c r="L562" s="1">
        <v>83</v>
      </c>
      <c r="M562" s="2">
        <v>42081</v>
      </c>
      <c r="N562" s="1">
        <v>83</v>
      </c>
      <c r="O562" s="2">
        <v>42081</v>
      </c>
      <c r="P562" s="1">
        <v>21248</v>
      </c>
      <c r="Q562" s="1" t="s">
        <v>197</v>
      </c>
      <c r="R562" s="2">
        <v>42124</v>
      </c>
      <c r="S562" s="1">
        <v>245220</v>
      </c>
      <c r="U562" s="1">
        <v>718</v>
      </c>
      <c r="V562" s="1" t="s">
        <v>7029</v>
      </c>
      <c r="W562" s="1" t="s">
        <v>504</v>
      </c>
      <c r="X562" s="1">
        <v>6</v>
      </c>
      <c r="Y562" s="1">
        <v>6</v>
      </c>
      <c r="Z562" s="1" t="s">
        <v>249</v>
      </c>
      <c r="AA562" s="1" t="s">
        <v>2631</v>
      </c>
      <c r="AB562" s="1">
        <v>60101</v>
      </c>
      <c r="AD562" s="1" t="s">
        <v>7030</v>
      </c>
      <c r="AE562" s="1" t="s">
        <v>7031</v>
      </c>
      <c r="AF562" s="1">
        <v>1980</v>
      </c>
      <c r="AG562" s="1" t="s">
        <v>204</v>
      </c>
      <c r="AH562" s="1" t="s">
        <v>1233</v>
      </c>
      <c r="AI562" s="1" t="s">
        <v>206</v>
      </c>
      <c r="AJ562" s="1" t="s">
        <v>1233</v>
      </c>
      <c r="AK562" s="1" t="s">
        <v>270</v>
      </c>
      <c r="AL562" s="1">
        <v>5</v>
      </c>
      <c r="AM562" s="1">
        <v>2</v>
      </c>
      <c r="AN562" s="1">
        <v>1</v>
      </c>
      <c r="AO562" s="1">
        <v>1</v>
      </c>
      <c r="AP562" s="1" t="s">
        <v>209</v>
      </c>
      <c r="AR562" s="1" t="s">
        <v>210</v>
      </c>
      <c r="AS562" s="1" t="s">
        <v>204</v>
      </c>
      <c r="AT562" s="1" t="s">
        <v>271</v>
      </c>
      <c r="AV562" s="1">
        <v>1</v>
      </c>
      <c r="AW562" s="1" t="s">
        <v>204</v>
      </c>
      <c r="AX562" s="1" t="s">
        <v>4552</v>
      </c>
      <c r="AZ562" s="1">
        <v>1787</v>
      </c>
      <c r="BA562" s="1">
        <v>2013</v>
      </c>
      <c r="BB562" s="1" t="s">
        <v>405</v>
      </c>
      <c r="BE562" s="1">
        <v>900</v>
      </c>
      <c r="BF562" s="1">
        <v>3</v>
      </c>
      <c r="BG562" s="1">
        <v>30</v>
      </c>
      <c r="BL562" s="1">
        <v>225</v>
      </c>
      <c r="BM562" s="1" t="s">
        <v>204</v>
      </c>
      <c r="BN562" s="1" t="s">
        <v>213</v>
      </c>
      <c r="BO562" s="1">
        <v>50</v>
      </c>
      <c r="BP562" s="1" t="s">
        <v>204</v>
      </c>
      <c r="BR562" s="1" t="str">
        <f>"0320421042"</f>
        <v>0320421042</v>
      </c>
      <c r="BT562" s="1" t="s">
        <v>7032</v>
      </c>
      <c r="BU562" s="1" t="s">
        <v>7033</v>
      </c>
      <c r="BX562" s="1">
        <v>4</v>
      </c>
      <c r="BY562" s="1">
        <v>4</v>
      </c>
      <c r="BZ562" s="1">
        <v>88</v>
      </c>
      <c r="CB562" s="1" t="str">
        <f t="shared" ref="CB562:CC562" si="436">""</f>
        <v/>
      </c>
      <c r="CC562" s="1" t="str">
        <f t="shared" si="436"/>
        <v/>
      </c>
      <c r="CG562" s="1" t="s">
        <v>2122</v>
      </c>
      <c r="CH562" s="1" t="s">
        <v>784</v>
      </c>
      <c r="CI562" s="1" t="s">
        <v>229</v>
      </c>
      <c r="CJ562" s="1" t="s">
        <v>343</v>
      </c>
      <c r="CK562" s="1" t="s">
        <v>539</v>
      </c>
      <c r="CL562" s="1" t="s">
        <v>784</v>
      </c>
      <c r="CM562" s="1" t="s">
        <v>229</v>
      </c>
      <c r="CO562" s="1" t="s">
        <v>461</v>
      </c>
      <c r="CP562" s="1" t="s">
        <v>784</v>
      </c>
      <c r="CQ562" s="1" t="s">
        <v>229</v>
      </c>
      <c r="CS562" s="1" t="s">
        <v>409</v>
      </c>
      <c r="CT562" s="1" t="s">
        <v>784</v>
      </c>
      <c r="CU562" s="1" t="s">
        <v>229</v>
      </c>
      <c r="CX562" s="1" t="s">
        <v>224</v>
      </c>
      <c r="DB562" s="1" t="s">
        <v>224</v>
      </c>
      <c r="DE562" s="1" t="s">
        <v>346</v>
      </c>
      <c r="DF562" s="1" t="s">
        <v>784</v>
      </c>
      <c r="DG562" s="1" t="s">
        <v>229</v>
      </c>
      <c r="DJ562" s="1" t="s">
        <v>224</v>
      </c>
      <c r="DS562" s="1" t="s">
        <v>230</v>
      </c>
      <c r="DW562" s="1" t="s">
        <v>230</v>
      </c>
      <c r="EA562" s="1" t="s">
        <v>230</v>
      </c>
      <c r="EE562" s="1" t="s">
        <v>230</v>
      </c>
      <c r="EI562" s="1" t="s">
        <v>230</v>
      </c>
      <c r="EL562" s="1" t="s">
        <v>231</v>
      </c>
      <c r="EM562" s="1" t="s">
        <v>232</v>
      </c>
      <c r="EN562" s="1" t="s">
        <v>731</v>
      </c>
      <c r="EO562" s="1" t="s">
        <v>234</v>
      </c>
      <c r="EQ562" s="1" t="s">
        <v>492</v>
      </c>
      <c r="ER562" s="1" t="s">
        <v>210</v>
      </c>
      <c r="EV562" s="1" t="s">
        <v>240</v>
      </c>
      <c r="EW562" s="1" t="s">
        <v>7034</v>
      </c>
      <c r="EZ562" s="1" t="s">
        <v>287</v>
      </c>
      <c r="FB562" s="1" t="s">
        <v>289</v>
      </c>
      <c r="FD562" s="1" t="s">
        <v>246</v>
      </c>
      <c r="FE562" s="1" t="s">
        <v>247</v>
      </c>
      <c r="FF562" s="1" t="s">
        <v>248</v>
      </c>
      <c r="FH562" s="1" t="s">
        <v>249</v>
      </c>
      <c r="FJ562" s="1" t="s">
        <v>197</v>
      </c>
      <c r="FK562" s="1" t="s">
        <v>291</v>
      </c>
      <c r="FL562" s="1" t="s">
        <v>292</v>
      </c>
      <c r="FM562" s="1" t="s">
        <v>252</v>
      </c>
      <c r="FN562" s="1" t="s">
        <v>213</v>
      </c>
      <c r="FO562" s="1" t="s">
        <v>213</v>
      </c>
      <c r="FQ562" s="1" t="s">
        <v>2091</v>
      </c>
      <c r="FR562" s="1" t="s">
        <v>210</v>
      </c>
      <c r="FS562" s="1" t="s">
        <v>7035</v>
      </c>
      <c r="FT562" s="1" t="s">
        <v>295</v>
      </c>
      <c r="FU562" s="1" t="s">
        <v>204</v>
      </c>
      <c r="FW562" s="1" t="s">
        <v>7036</v>
      </c>
      <c r="FX562" s="1">
        <v>24018</v>
      </c>
      <c r="FY562" s="1" t="s">
        <v>7037</v>
      </c>
      <c r="FZ562" s="1" t="s">
        <v>7038</v>
      </c>
      <c r="GA562" s="1">
        <v>243094</v>
      </c>
      <c r="GB562" s="1" t="s">
        <v>7039</v>
      </c>
      <c r="GE562" s="1" t="s">
        <v>210</v>
      </c>
      <c r="GH562" s="1" t="s">
        <v>230</v>
      </c>
      <c r="GI562" s="1" t="s">
        <v>213</v>
      </c>
      <c r="GJ562" s="1" t="s">
        <v>260</v>
      </c>
      <c r="GK562" s="1" t="s">
        <v>210</v>
      </c>
      <c r="GL562" s="2">
        <v>42125</v>
      </c>
      <c r="GM562" s="1" t="s">
        <v>7040</v>
      </c>
    </row>
    <row r="563" spans="1:195">
      <c r="A563" s="1">
        <v>183000</v>
      </c>
      <c r="B563" s="1" t="s">
        <v>195</v>
      </c>
      <c r="C563" s="1" t="str">
        <f>"08804612"</f>
        <v>08804612</v>
      </c>
      <c r="D563" s="1" t="s">
        <v>196</v>
      </c>
      <c r="F563" s="1" t="str">
        <f>"104"</f>
        <v>104</v>
      </c>
      <c r="G563" s="2">
        <v>41992</v>
      </c>
      <c r="H563" s="1">
        <v>185000</v>
      </c>
      <c r="I563" s="1">
        <v>185000</v>
      </c>
      <c r="J563" s="1">
        <v>183000</v>
      </c>
      <c r="K563" s="2">
        <v>41992</v>
      </c>
      <c r="L563" s="1">
        <v>14</v>
      </c>
      <c r="M563" s="2">
        <v>42005</v>
      </c>
      <c r="N563" s="1">
        <v>14</v>
      </c>
      <c r="O563" s="2">
        <v>42005</v>
      </c>
      <c r="P563" s="1">
        <v>41</v>
      </c>
      <c r="Q563" s="1" t="s">
        <v>423</v>
      </c>
      <c r="R563" s="2">
        <v>42075</v>
      </c>
      <c r="S563" s="1">
        <v>7956</v>
      </c>
      <c r="U563" s="1">
        <v>503</v>
      </c>
      <c r="V563" s="1" t="s">
        <v>7041</v>
      </c>
      <c r="W563" s="1" t="s">
        <v>264</v>
      </c>
      <c r="X563" s="1" t="s">
        <v>527</v>
      </c>
      <c r="Y563" s="1">
        <v>4</v>
      </c>
      <c r="Z563" s="1" t="s">
        <v>249</v>
      </c>
      <c r="AA563" s="1" t="s">
        <v>371</v>
      </c>
      <c r="AB563" s="1">
        <v>60103</v>
      </c>
      <c r="AD563" s="1" t="s">
        <v>7042</v>
      </c>
      <c r="AE563" s="1" t="s">
        <v>7043</v>
      </c>
      <c r="AF563" s="1">
        <v>2001</v>
      </c>
      <c r="AG563" s="1" t="s">
        <v>204</v>
      </c>
      <c r="AH563" s="1" t="s">
        <v>373</v>
      </c>
      <c r="AI563" s="1" t="s">
        <v>310</v>
      </c>
      <c r="AJ563" s="1" t="s">
        <v>374</v>
      </c>
      <c r="AK563" s="1" t="s">
        <v>7044</v>
      </c>
      <c r="AL563" s="1">
        <v>6</v>
      </c>
      <c r="AM563" s="1">
        <v>2</v>
      </c>
      <c r="AN563" s="1">
        <v>1</v>
      </c>
      <c r="AO563" s="1">
        <v>1</v>
      </c>
      <c r="AP563" s="1" t="s">
        <v>667</v>
      </c>
      <c r="AQ563" s="1">
        <v>0</v>
      </c>
      <c r="AR563" s="1" t="s">
        <v>2275</v>
      </c>
      <c r="AS563" s="1" t="s">
        <v>204</v>
      </c>
      <c r="AT563" s="1" t="s">
        <v>211</v>
      </c>
      <c r="AU563" s="1">
        <v>2</v>
      </c>
      <c r="AW563" s="1" t="s">
        <v>204</v>
      </c>
      <c r="AX563" s="1" t="s">
        <v>212</v>
      </c>
      <c r="AZ563" s="1">
        <v>3894.5</v>
      </c>
      <c r="BA563" s="1">
        <v>2013</v>
      </c>
      <c r="BB563" s="1" t="s">
        <v>405</v>
      </c>
      <c r="BE563" s="1">
        <v>1461</v>
      </c>
      <c r="BF563" s="1">
        <v>1</v>
      </c>
      <c r="BG563" s="1">
        <v>0</v>
      </c>
      <c r="BL563" s="1">
        <v>148</v>
      </c>
      <c r="BM563" s="1" t="s">
        <v>204</v>
      </c>
      <c r="BN563" s="1" t="s">
        <v>213</v>
      </c>
      <c r="BO563" s="1">
        <v>75</v>
      </c>
      <c r="BP563" s="1" t="s">
        <v>204</v>
      </c>
      <c r="BR563" s="1" t="str">
        <f>"06284020191129"</f>
        <v>06284020191129</v>
      </c>
      <c r="BT563" s="1" t="s">
        <v>7045</v>
      </c>
      <c r="BX563" s="1">
        <v>46</v>
      </c>
      <c r="BY563" s="1">
        <v>46</v>
      </c>
      <c r="BZ563" s="1">
        <v>46</v>
      </c>
      <c r="CB563" s="1" t="str">
        <f t="shared" ref="CB563:CC563" si="437">""</f>
        <v/>
      </c>
      <c r="CC563" s="1" t="str">
        <f t="shared" si="437"/>
        <v/>
      </c>
      <c r="CG563" s="1" t="s">
        <v>437</v>
      </c>
      <c r="CH563" s="1" t="s">
        <v>219</v>
      </c>
      <c r="CI563" s="1" t="s">
        <v>220</v>
      </c>
      <c r="CK563" s="1" t="s">
        <v>437</v>
      </c>
      <c r="CL563" s="1" t="s">
        <v>277</v>
      </c>
      <c r="CM563" s="1" t="s">
        <v>220</v>
      </c>
      <c r="CO563" s="1" t="s">
        <v>346</v>
      </c>
      <c r="CP563" s="1" t="s">
        <v>219</v>
      </c>
      <c r="CQ563" s="1" t="s">
        <v>220</v>
      </c>
      <c r="CS563" s="1" t="s">
        <v>1046</v>
      </c>
      <c r="CT563" s="1" t="s">
        <v>277</v>
      </c>
      <c r="CU563" s="1" t="s">
        <v>220</v>
      </c>
      <c r="CX563" s="1" t="s">
        <v>224</v>
      </c>
      <c r="DB563" s="1" t="s">
        <v>224</v>
      </c>
      <c r="DE563" s="1" t="s">
        <v>346</v>
      </c>
      <c r="DF563" s="1" t="s">
        <v>219</v>
      </c>
      <c r="DG563" s="1" t="s">
        <v>342</v>
      </c>
      <c r="DJ563" s="1" t="s">
        <v>224</v>
      </c>
      <c r="DM563" s="1" t="s">
        <v>464</v>
      </c>
      <c r="DR563" s="1" t="s">
        <v>409</v>
      </c>
      <c r="DS563" s="1" t="s">
        <v>277</v>
      </c>
      <c r="DT563" s="1" t="s">
        <v>220</v>
      </c>
      <c r="DW563" s="1" t="s">
        <v>230</v>
      </c>
      <c r="EA563" s="1" t="s">
        <v>230</v>
      </c>
      <c r="EE563" s="1" t="s">
        <v>230</v>
      </c>
      <c r="EI563" s="1" t="s">
        <v>230</v>
      </c>
      <c r="EL563" s="1" t="s">
        <v>466</v>
      </c>
      <c r="EM563" s="1" t="s">
        <v>319</v>
      </c>
      <c r="EN563" s="1" t="s">
        <v>282</v>
      </c>
      <c r="EO563" s="1" t="s">
        <v>234</v>
      </c>
      <c r="EP563" s="1" t="s">
        <v>650</v>
      </c>
      <c r="EQ563" s="1" t="s">
        <v>2188</v>
      </c>
      <c r="ER563" s="1" t="s">
        <v>1249</v>
      </c>
      <c r="ES563" s="1" t="s">
        <v>1552</v>
      </c>
      <c r="EU563" s="1" t="s">
        <v>7046</v>
      </c>
      <c r="EV563" s="1" t="s">
        <v>324</v>
      </c>
      <c r="EW563" s="1" t="s">
        <v>887</v>
      </c>
      <c r="EZ563" s="1" t="s">
        <v>464</v>
      </c>
      <c r="FA563" s="1" t="s">
        <v>7047</v>
      </c>
      <c r="FB563" s="1" t="s">
        <v>289</v>
      </c>
      <c r="FD563" s="1" t="s">
        <v>246</v>
      </c>
      <c r="FE563" s="1" t="s">
        <v>472</v>
      </c>
      <c r="FF563" s="1" t="s">
        <v>248</v>
      </c>
      <c r="FH563" s="1" t="s">
        <v>249</v>
      </c>
      <c r="FI563" s="1" t="s">
        <v>357</v>
      </c>
      <c r="FJ563" s="1" t="s">
        <v>197</v>
      </c>
      <c r="FL563" s="1" t="s">
        <v>358</v>
      </c>
      <c r="FM563" s="1" t="s">
        <v>252</v>
      </c>
      <c r="FN563" s="1" t="s">
        <v>213</v>
      </c>
      <c r="FO563" s="1" t="s">
        <v>213</v>
      </c>
      <c r="FQ563" s="1" t="s">
        <v>913</v>
      </c>
      <c r="FR563" s="1" t="s">
        <v>210</v>
      </c>
      <c r="FS563" s="1" t="s">
        <v>583</v>
      </c>
      <c r="FT563" s="1" t="s">
        <v>295</v>
      </c>
      <c r="FU563" s="1" t="s">
        <v>204</v>
      </c>
      <c r="FW563" s="1" t="s">
        <v>7048</v>
      </c>
      <c r="FX563" s="1">
        <v>432</v>
      </c>
      <c r="FY563" s="1" t="s">
        <v>7049</v>
      </c>
      <c r="FZ563" s="1" t="s">
        <v>7050</v>
      </c>
      <c r="GA563" s="1">
        <v>1488</v>
      </c>
      <c r="GB563" s="1" t="s">
        <v>7051</v>
      </c>
      <c r="GE563" s="1" t="s">
        <v>480</v>
      </c>
      <c r="GI563" s="1" t="s">
        <v>213</v>
      </c>
      <c r="GJ563" s="1" t="s">
        <v>260</v>
      </c>
      <c r="GK563" s="1" t="s">
        <v>210</v>
      </c>
      <c r="GL563" s="2">
        <v>42114</v>
      </c>
      <c r="GM563" s="1" t="s">
        <v>7052</v>
      </c>
    </row>
    <row r="564" spans="1:195">
      <c r="A564" s="1">
        <v>142500</v>
      </c>
      <c r="B564" s="1" t="s">
        <v>195</v>
      </c>
      <c r="C564" s="1" t="str">
        <f>"08815187"</f>
        <v>08815187</v>
      </c>
      <c r="D564" s="1" t="s">
        <v>196</v>
      </c>
      <c r="F564" s="1" t="str">
        <f>"540"</f>
        <v>540</v>
      </c>
      <c r="G564" s="2">
        <v>42017</v>
      </c>
      <c r="H564" s="1">
        <v>147900</v>
      </c>
      <c r="I564" s="1">
        <v>147900</v>
      </c>
      <c r="J564" s="1">
        <v>142500</v>
      </c>
      <c r="K564" s="2">
        <v>42017</v>
      </c>
      <c r="L564" s="1">
        <v>7</v>
      </c>
      <c r="M564" s="2">
        <v>42023</v>
      </c>
      <c r="N564" s="1">
        <v>7</v>
      </c>
      <c r="O564" s="2">
        <v>42023</v>
      </c>
      <c r="P564" s="1">
        <v>23265</v>
      </c>
      <c r="Q564" s="1" t="s">
        <v>197</v>
      </c>
      <c r="R564" s="2">
        <v>42062</v>
      </c>
      <c r="S564" s="1">
        <v>232884</v>
      </c>
      <c r="U564" s="1">
        <v>1554</v>
      </c>
      <c r="V564" s="1" t="s">
        <v>7053</v>
      </c>
      <c r="W564" s="1" t="s">
        <v>264</v>
      </c>
      <c r="Y564" s="1">
        <v>2</v>
      </c>
      <c r="Z564" s="1" t="s">
        <v>370</v>
      </c>
      <c r="AA564" s="1" t="s">
        <v>921</v>
      </c>
      <c r="AB564" s="1">
        <v>60565</v>
      </c>
      <c r="AD564" s="1" t="s">
        <v>7054</v>
      </c>
      <c r="AE564" s="1" t="s">
        <v>7055</v>
      </c>
      <c r="AF564" s="1">
        <v>1984</v>
      </c>
      <c r="AG564" s="1" t="s">
        <v>204</v>
      </c>
      <c r="AH564" s="1" t="s">
        <v>924</v>
      </c>
      <c r="AI564" s="1" t="s">
        <v>206</v>
      </c>
      <c r="AJ564" s="1" t="s">
        <v>925</v>
      </c>
      <c r="AK564" s="1" t="s">
        <v>1088</v>
      </c>
      <c r="AL564" s="1">
        <v>5</v>
      </c>
      <c r="AM564" s="1">
        <v>2</v>
      </c>
      <c r="AN564" s="1">
        <v>1</v>
      </c>
      <c r="AO564" s="1">
        <v>0</v>
      </c>
      <c r="AP564" s="1" t="s">
        <v>667</v>
      </c>
      <c r="AQ564" s="1">
        <v>1</v>
      </c>
      <c r="AR564" s="1" t="s">
        <v>210</v>
      </c>
      <c r="AS564" s="1" t="s">
        <v>204</v>
      </c>
      <c r="AT564" s="1" t="s">
        <v>211</v>
      </c>
      <c r="AU564" s="1">
        <v>1</v>
      </c>
      <c r="AW564" s="1" t="s">
        <v>204</v>
      </c>
      <c r="AX564" s="1">
        <v>4099</v>
      </c>
      <c r="AZ564" s="1">
        <v>3040</v>
      </c>
      <c r="BA564" s="1">
        <v>2013</v>
      </c>
      <c r="BB564" s="1" t="s">
        <v>405</v>
      </c>
      <c r="BE564" s="1">
        <v>1054</v>
      </c>
      <c r="BF564" s="1">
        <v>1</v>
      </c>
      <c r="BG564" s="1">
        <v>0</v>
      </c>
      <c r="BJ564" s="1">
        <v>100</v>
      </c>
      <c r="BL564" s="1">
        <v>45</v>
      </c>
      <c r="BM564" s="1" t="s">
        <v>204</v>
      </c>
      <c r="BN564" s="1" t="s">
        <v>213</v>
      </c>
      <c r="BO564" s="1" t="s">
        <v>432</v>
      </c>
      <c r="BP564" s="1" t="s">
        <v>204</v>
      </c>
      <c r="BR564" s="1" t="str">
        <f>"0829307036"</f>
        <v>0829307036</v>
      </c>
      <c r="BT564" s="1" t="s">
        <v>7056</v>
      </c>
      <c r="BU564" s="1" t="s">
        <v>928</v>
      </c>
      <c r="BV564" s="1" t="s">
        <v>929</v>
      </c>
      <c r="BW564" s="1" t="s">
        <v>930</v>
      </c>
      <c r="BX564" s="1">
        <v>203</v>
      </c>
      <c r="BY564" s="1">
        <v>203</v>
      </c>
      <c r="BZ564" s="1">
        <v>203</v>
      </c>
      <c r="CB564" s="1" t="str">
        <f t="shared" ref="CB564:CC564" si="438">"0"</f>
        <v>0</v>
      </c>
      <c r="CC564" s="1" t="str">
        <f t="shared" si="438"/>
        <v>0</v>
      </c>
      <c r="CD564" s="1">
        <v>25</v>
      </c>
      <c r="CE564" s="1">
        <v>8</v>
      </c>
      <c r="CG564" s="1" t="s">
        <v>315</v>
      </c>
      <c r="CH564" s="1" t="s">
        <v>219</v>
      </c>
      <c r="CI564" s="1" t="s">
        <v>220</v>
      </c>
      <c r="CJ564" s="1" t="s">
        <v>463</v>
      </c>
      <c r="CK564" s="1" t="s">
        <v>437</v>
      </c>
      <c r="CL564" s="1" t="s">
        <v>219</v>
      </c>
      <c r="CM564" s="1" t="s">
        <v>220</v>
      </c>
      <c r="CN564" s="1" t="s">
        <v>463</v>
      </c>
      <c r="CO564" s="1" t="s">
        <v>465</v>
      </c>
      <c r="CP564" s="1" t="s">
        <v>219</v>
      </c>
      <c r="CQ564" s="1" t="s">
        <v>438</v>
      </c>
      <c r="CR564" s="1" t="s">
        <v>343</v>
      </c>
      <c r="CS564" s="1" t="s">
        <v>2231</v>
      </c>
      <c r="CT564" s="1" t="s">
        <v>219</v>
      </c>
      <c r="CU564" s="1" t="s">
        <v>220</v>
      </c>
      <c r="CV564" s="1" t="s">
        <v>463</v>
      </c>
      <c r="CX564" s="1" t="s">
        <v>224</v>
      </c>
      <c r="DB564" s="1" t="s">
        <v>224</v>
      </c>
      <c r="DE564" s="1" t="s">
        <v>461</v>
      </c>
      <c r="DF564" s="1" t="s">
        <v>219</v>
      </c>
      <c r="DG564" s="1" t="s">
        <v>226</v>
      </c>
      <c r="DH564" s="1" t="s">
        <v>463</v>
      </c>
      <c r="DJ564" s="1" t="s">
        <v>224</v>
      </c>
      <c r="DS564" s="1" t="s">
        <v>230</v>
      </c>
      <c r="DW564" s="1" t="s">
        <v>230</v>
      </c>
      <c r="EA564" s="1" t="s">
        <v>230</v>
      </c>
      <c r="EE564" s="1" t="s">
        <v>230</v>
      </c>
      <c r="EI564" s="1" t="s">
        <v>230</v>
      </c>
      <c r="EL564" s="1" t="s">
        <v>231</v>
      </c>
      <c r="EM564" s="1" t="s">
        <v>319</v>
      </c>
      <c r="EN564" s="1" t="s">
        <v>282</v>
      </c>
      <c r="EO564" s="1" t="s">
        <v>234</v>
      </c>
      <c r="EQ564" s="1" t="s">
        <v>1551</v>
      </c>
      <c r="ER564" s="1" t="s">
        <v>383</v>
      </c>
      <c r="ES564" s="1" t="s">
        <v>322</v>
      </c>
      <c r="EU564" s="1" t="s">
        <v>1517</v>
      </c>
      <c r="EV564" s="1" t="s">
        <v>324</v>
      </c>
      <c r="EW564" s="1" t="s">
        <v>5100</v>
      </c>
      <c r="EZ564" s="1" t="s">
        <v>287</v>
      </c>
      <c r="FA564" s="1" t="s">
        <v>1427</v>
      </c>
      <c r="FB564" s="1" t="s">
        <v>734</v>
      </c>
      <c r="FD564" s="1" t="s">
        <v>246</v>
      </c>
      <c r="FE564" s="1" t="s">
        <v>975</v>
      </c>
      <c r="FF564" s="1" t="s">
        <v>248</v>
      </c>
      <c r="FG564" s="1" t="s">
        <v>1682</v>
      </c>
      <c r="FH564" s="1" t="s">
        <v>442</v>
      </c>
      <c r="FI564" s="1" t="s">
        <v>357</v>
      </c>
      <c r="FL564" s="1" t="s">
        <v>358</v>
      </c>
      <c r="FM564" s="1" t="s">
        <v>252</v>
      </c>
      <c r="FN564" s="1" t="s">
        <v>213</v>
      </c>
      <c r="FO564" s="1" t="s">
        <v>213</v>
      </c>
      <c r="FQ564" s="1" t="s">
        <v>7057</v>
      </c>
      <c r="FR564" s="1" t="s">
        <v>210</v>
      </c>
      <c r="FS564" s="1" t="s">
        <v>6044</v>
      </c>
      <c r="FT564" s="1" t="s">
        <v>1778</v>
      </c>
      <c r="FU564" s="1" t="s">
        <v>204</v>
      </c>
      <c r="FW564" s="1" t="s">
        <v>585</v>
      </c>
      <c r="FX564" s="1">
        <v>20001</v>
      </c>
      <c r="FY564" s="1" t="s">
        <v>5002</v>
      </c>
      <c r="FZ564" s="1" t="s">
        <v>7058</v>
      </c>
      <c r="GA564" s="1">
        <v>226587</v>
      </c>
      <c r="GB564" s="1" t="s">
        <v>7059</v>
      </c>
      <c r="GE564" s="1" t="s">
        <v>210</v>
      </c>
      <c r="GI564" s="1" t="s">
        <v>213</v>
      </c>
      <c r="GJ564" s="1" t="s">
        <v>260</v>
      </c>
      <c r="GK564" s="1" t="s">
        <v>210</v>
      </c>
      <c r="GL564" s="2">
        <v>42062</v>
      </c>
      <c r="GM564" s="1" t="s">
        <v>7060</v>
      </c>
    </row>
    <row r="565" spans="1:195">
      <c r="A565" s="1">
        <v>190000</v>
      </c>
      <c r="B565" s="1" t="s">
        <v>195</v>
      </c>
      <c r="C565" s="1" t="str">
        <f>"08804606"</f>
        <v>08804606</v>
      </c>
      <c r="D565" s="1" t="s">
        <v>196</v>
      </c>
      <c r="F565" s="1" t="str">
        <f>"507"</f>
        <v>507</v>
      </c>
      <c r="G565" s="2">
        <v>41992</v>
      </c>
      <c r="H565" s="1">
        <v>198000</v>
      </c>
      <c r="I565" s="1">
        <v>198000</v>
      </c>
      <c r="J565" s="1">
        <v>190000</v>
      </c>
      <c r="K565" s="2">
        <v>41992</v>
      </c>
      <c r="L565" s="1">
        <v>144</v>
      </c>
      <c r="M565" s="2">
        <v>42031</v>
      </c>
      <c r="N565" s="1">
        <v>40</v>
      </c>
      <c r="O565" s="2">
        <v>42031</v>
      </c>
      <c r="P565" s="1">
        <v>25695</v>
      </c>
      <c r="Q565" s="1" t="s">
        <v>197</v>
      </c>
      <c r="R565" s="2">
        <v>42072</v>
      </c>
      <c r="S565" s="1">
        <v>240478</v>
      </c>
      <c r="T565" s="1">
        <v>1400</v>
      </c>
      <c r="U565" s="1">
        <v>2391</v>
      </c>
      <c r="V565" s="1" t="s">
        <v>1122</v>
      </c>
      <c r="W565" s="1" t="s">
        <v>264</v>
      </c>
      <c r="Y565" s="1">
        <v>6</v>
      </c>
      <c r="Z565" s="1" t="s">
        <v>370</v>
      </c>
      <c r="AA565" s="1" t="s">
        <v>1123</v>
      </c>
      <c r="AB565" s="1">
        <v>60502</v>
      </c>
      <c r="AE565" s="1" t="s">
        <v>7061</v>
      </c>
      <c r="AF565" s="1">
        <v>2000</v>
      </c>
      <c r="AG565" s="1" t="s">
        <v>204</v>
      </c>
      <c r="AH565" s="1" t="s">
        <v>1126</v>
      </c>
      <c r="AI565" s="1" t="s">
        <v>206</v>
      </c>
      <c r="AJ565" s="1" t="s">
        <v>924</v>
      </c>
      <c r="AL565" s="1">
        <v>7</v>
      </c>
      <c r="AM565" s="1">
        <v>2</v>
      </c>
      <c r="AN565" s="1">
        <v>2</v>
      </c>
      <c r="AO565" s="1">
        <v>1</v>
      </c>
      <c r="AP565" s="1" t="s">
        <v>209</v>
      </c>
      <c r="AQ565" s="1">
        <v>1</v>
      </c>
      <c r="AR565" s="1" t="s">
        <v>209</v>
      </c>
      <c r="AS565" s="1" t="s">
        <v>204</v>
      </c>
      <c r="AT565" s="1" t="s">
        <v>211</v>
      </c>
      <c r="AU565" s="1">
        <v>2</v>
      </c>
      <c r="AW565" s="1" t="s">
        <v>204</v>
      </c>
      <c r="AX565" s="1" t="s">
        <v>212</v>
      </c>
      <c r="AZ565" s="1">
        <v>3098</v>
      </c>
      <c r="BA565" s="1">
        <v>2013</v>
      </c>
      <c r="BE565" s="1">
        <v>1716</v>
      </c>
      <c r="BF565" s="1">
        <v>1</v>
      </c>
      <c r="BG565" s="1">
        <v>0</v>
      </c>
      <c r="BL565" s="1">
        <v>218</v>
      </c>
      <c r="BM565" s="1" t="s">
        <v>204</v>
      </c>
      <c r="BN565" s="1" t="s">
        <v>213</v>
      </c>
      <c r="BO565" s="1">
        <v>999</v>
      </c>
      <c r="BP565" s="1" t="s">
        <v>204</v>
      </c>
      <c r="BR565" s="1" t="str">
        <f>"07191042540000"</f>
        <v>07191042540000</v>
      </c>
      <c r="BT565" s="1" t="s">
        <v>7062</v>
      </c>
      <c r="BU565" s="1" t="s">
        <v>1129</v>
      </c>
      <c r="BV565" s="1" t="s">
        <v>1130</v>
      </c>
      <c r="BW565" s="1" t="s">
        <v>1131</v>
      </c>
      <c r="BX565" s="1">
        <v>204</v>
      </c>
      <c r="BY565" s="1">
        <v>204</v>
      </c>
      <c r="BZ565" s="1">
        <v>204</v>
      </c>
      <c r="CB565" s="1" t="str">
        <f t="shared" ref="CB565:CC565" si="439">""</f>
        <v/>
      </c>
      <c r="CC565" s="1" t="str">
        <f t="shared" si="439"/>
        <v/>
      </c>
      <c r="CG565" s="1" t="s">
        <v>1267</v>
      </c>
      <c r="CH565" s="1" t="s">
        <v>219</v>
      </c>
      <c r="CI565" s="1" t="s">
        <v>438</v>
      </c>
      <c r="CJ565" s="1" t="s">
        <v>343</v>
      </c>
      <c r="CK565" s="1" t="s">
        <v>729</v>
      </c>
      <c r="CL565" s="1" t="s">
        <v>277</v>
      </c>
      <c r="CM565" s="1" t="s">
        <v>220</v>
      </c>
      <c r="CN565" s="1" t="s">
        <v>343</v>
      </c>
      <c r="CO565" s="1" t="s">
        <v>1297</v>
      </c>
      <c r="CP565" s="1" t="s">
        <v>219</v>
      </c>
      <c r="CQ565" s="1" t="s">
        <v>438</v>
      </c>
      <c r="CR565" s="1" t="s">
        <v>463</v>
      </c>
      <c r="CS565" s="1" t="s">
        <v>379</v>
      </c>
      <c r="CT565" s="1" t="s">
        <v>277</v>
      </c>
      <c r="CU565" s="1" t="s">
        <v>220</v>
      </c>
      <c r="CV565" s="1" t="s">
        <v>343</v>
      </c>
      <c r="CX565" s="1" t="s">
        <v>224</v>
      </c>
      <c r="DB565" s="1" t="s">
        <v>224</v>
      </c>
      <c r="DE565" s="1" t="s">
        <v>1358</v>
      </c>
      <c r="DF565" s="1" t="s">
        <v>219</v>
      </c>
      <c r="DG565" s="1" t="s">
        <v>438</v>
      </c>
      <c r="DH565" s="1" t="s">
        <v>210</v>
      </c>
      <c r="DI565" s="1" t="s">
        <v>863</v>
      </c>
      <c r="DJ565" s="1" t="s">
        <v>43</v>
      </c>
      <c r="DK565" s="1" t="s">
        <v>229</v>
      </c>
      <c r="DL565" s="1" t="s">
        <v>210</v>
      </c>
      <c r="DM565" s="1" t="s">
        <v>464</v>
      </c>
      <c r="DR565" s="1" t="s">
        <v>1297</v>
      </c>
      <c r="DS565" s="1" t="s">
        <v>277</v>
      </c>
      <c r="DT565" s="1" t="s">
        <v>220</v>
      </c>
      <c r="DU565" s="1" t="s">
        <v>343</v>
      </c>
      <c r="DW565" s="1" t="s">
        <v>230</v>
      </c>
      <c r="EA565" s="1" t="s">
        <v>230</v>
      </c>
      <c r="EE565" s="1" t="s">
        <v>230</v>
      </c>
      <c r="EI565" s="1" t="s">
        <v>230</v>
      </c>
      <c r="EL565" s="1" t="s">
        <v>466</v>
      </c>
      <c r="EM565" s="1" t="s">
        <v>232</v>
      </c>
      <c r="EN565" s="1" t="s">
        <v>282</v>
      </c>
      <c r="EO565" s="1" t="s">
        <v>234</v>
      </c>
      <c r="EQ565" s="1" t="s">
        <v>7063</v>
      </c>
      <c r="ER565" s="1" t="s">
        <v>544</v>
      </c>
      <c r="ES565" s="1" t="s">
        <v>322</v>
      </c>
      <c r="EW565" s="1" t="s">
        <v>937</v>
      </c>
      <c r="EZ565" s="1" t="s">
        <v>464</v>
      </c>
      <c r="FD565" s="1" t="s">
        <v>246</v>
      </c>
      <c r="FE565" s="1" t="s">
        <v>355</v>
      </c>
      <c r="FF565" s="1" t="s">
        <v>248</v>
      </c>
      <c r="FH565" s="1" t="s">
        <v>550</v>
      </c>
      <c r="FL565" s="1" t="s">
        <v>358</v>
      </c>
      <c r="FM565" s="1" t="s">
        <v>252</v>
      </c>
      <c r="FN565" s="1" t="s">
        <v>213</v>
      </c>
      <c r="FO565" s="1" t="s">
        <v>213</v>
      </c>
      <c r="FQ565" s="1" t="s">
        <v>7064</v>
      </c>
      <c r="FR565" s="1" t="s">
        <v>210</v>
      </c>
      <c r="FS565" s="1" t="s">
        <v>7065</v>
      </c>
      <c r="FT565" s="1" t="s">
        <v>295</v>
      </c>
      <c r="FU565" s="1" t="s">
        <v>204</v>
      </c>
      <c r="FW565" s="1" t="s">
        <v>521</v>
      </c>
      <c r="FX565" s="1">
        <v>25042</v>
      </c>
      <c r="FY565" s="1" t="s">
        <v>522</v>
      </c>
      <c r="FZ565" s="1" t="s">
        <v>7066</v>
      </c>
      <c r="GA565" s="1">
        <v>229615</v>
      </c>
      <c r="GB565" s="1" t="s">
        <v>7067</v>
      </c>
      <c r="GE565" s="1" t="s">
        <v>776</v>
      </c>
      <c r="GI565" s="1" t="s">
        <v>204</v>
      </c>
      <c r="GJ565" s="1" t="s">
        <v>260</v>
      </c>
      <c r="GK565" s="1" t="s">
        <v>4920</v>
      </c>
      <c r="GL565" s="2">
        <v>42072</v>
      </c>
      <c r="GM565" s="1" t="s">
        <v>7068</v>
      </c>
    </row>
    <row r="566" spans="1:195">
      <c r="A566" s="1">
        <v>113000</v>
      </c>
      <c r="B566" s="1" t="s">
        <v>195</v>
      </c>
      <c r="C566" s="1" t="str">
        <f>"08807420"</f>
        <v>08807420</v>
      </c>
      <c r="D566" s="1" t="s">
        <v>196</v>
      </c>
      <c r="F566" s="1" t="str">
        <f>"110"</f>
        <v>110</v>
      </c>
      <c r="G566" s="2">
        <v>42003</v>
      </c>
      <c r="H566" s="1">
        <v>122900</v>
      </c>
      <c r="I566" s="1">
        <v>117900</v>
      </c>
      <c r="J566" s="1">
        <v>113000</v>
      </c>
      <c r="K566" s="2">
        <v>42003</v>
      </c>
      <c r="L566" s="1">
        <v>69</v>
      </c>
      <c r="M566" s="2">
        <v>42071</v>
      </c>
      <c r="N566" s="1">
        <v>69</v>
      </c>
      <c r="O566" s="2">
        <v>42071</v>
      </c>
      <c r="P566" s="1">
        <v>24819</v>
      </c>
      <c r="Q566" s="1" t="s">
        <v>423</v>
      </c>
      <c r="R566" s="2">
        <v>42123</v>
      </c>
      <c r="S566" s="1">
        <v>237825</v>
      </c>
      <c r="T566" s="1">
        <v>1000</v>
      </c>
      <c r="U566" s="1">
        <v>2055</v>
      </c>
      <c r="V566" s="1" t="s">
        <v>802</v>
      </c>
      <c r="W566" s="1" t="s">
        <v>504</v>
      </c>
      <c r="Y566" s="1">
        <v>6</v>
      </c>
      <c r="Z566" s="1" t="s">
        <v>370</v>
      </c>
      <c r="AA566" s="1" t="s">
        <v>803</v>
      </c>
      <c r="AB566" s="1">
        <v>60110</v>
      </c>
      <c r="AE566" s="1" t="s">
        <v>7069</v>
      </c>
      <c r="AF566" s="1">
        <v>2003</v>
      </c>
      <c r="AG566" s="1" t="s">
        <v>204</v>
      </c>
      <c r="AH566" s="1" t="s">
        <v>805</v>
      </c>
      <c r="AI566" s="1" t="s">
        <v>665</v>
      </c>
      <c r="AJ566" s="1" t="s">
        <v>805</v>
      </c>
      <c r="AL566" s="1">
        <v>4</v>
      </c>
      <c r="AM566" s="1">
        <v>2</v>
      </c>
      <c r="AN566" s="1">
        <v>1</v>
      </c>
      <c r="AO566" s="1">
        <v>1</v>
      </c>
      <c r="AP566" s="1" t="s">
        <v>210</v>
      </c>
      <c r="AR566" s="1" t="s">
        <v>210</v>
      </c>
      <c r="AT566" s="1" t="s">
        <v>211</v>
      </c>
      <c r="AU566" s="1">
        <v>1</v>
      </c>
      <c r="AW566" s="1" t="s">
        <v>204</v>
      </c>
      <c r="AX566" s="1" t="s">
        <v>212</v>
      </c>
      <c r="AZ566" s="1">
        <v>2550.8200000000002</v>
      </c>
      <c r="BA566" s="1">
        <v>2013</v>
      </c>
      <c r="BE566" s="1">
        <v>1100</v>
      </c>
      <c r="BF566" s="1">
        <v>1</v>
      </c>
      <c r="BG566" s="1">
        <v>0</v>
      </c>
      <c r="BL566" s="1">
        <v>100</v>
      </c>
      <c r="BM566" s="1" t="s">
        <v>204</v>
      </c>
      <c r="BN566" s="1" t="s">
        <v>213</v>
      </c>
      <c r="BO566" s="1">
        <v>0</v>
      </c>
      <c r="BP566" s="1" t="s">
        <v>204</v>
      </c>
      <c r="BR566" s="1" t="str">
        <f>"0302427054"</f>
        <v>0302427054</v>
      </c>
      <c r="BT566" s="1" t="s">
        <v>7070</v>
      </c>
      <c r="BX566" s="1">
        <v>300</v>
      </c>
      <c r="BY566" s="1">
        <v>300</v>
      </c>
      <c r="BZ566" s="1">
        <v>300</v>
      </c>
      <c r="CB566" s="1" t="str">
        <f t="shared" ref="CB566:CC566" si="440">""</f>
        <v/>
      </c>
      <c r="CC566" s="1" t="str">
        <f t="shared" si="440"/>
        <v/>
      </c>
      <c r="CG566" s="1" t="s">
        <v>1045</v>
      </c>
      <c r="CH566" s="1" t="s">
        <v>219</v>
      </c>
      <c r="CI566" s="1" t="s">
        <v>220</v>
      </c>
      <c r="CK566" s="1" t="s">
        <v>344</v>
      </c>
      <c r="CL566" s="1" t="s">
        <v>277</v>
      </c>
      <c r="CM566" s="1" t="s">
        <v>220</v>
      </c>
      <c r="CP566" s="1" t="s">
        <v>224</v>
      </c>
      <c r="CS566" s="1" t="s">
        <v>318</v>
      </c>
      <c r="CT566" s="1" t="s">
        <v>277</v>
      </c>
      <c r="CU566" s="1" t="s">
        <v>220</v>
      </c>
      <c r="CX566" s="1" t="s">
        <v>224</v>
      </c>
      <c r="DB566" s="1" t="s">
        <v>224</v>
      </c>
      <c r="DE566" s="1" t="s">
        <v>379</v>
      </c>
      <c r="DF566" s="1" t="s">
        <v>219</v>
      </c>
      <c r="DG566" s="1" t="s">
        <v>342</v>
      </c>
      <c r="DJ566" s="1" t="s">
        <v>224</v>
      </c>
      <c r="DS566" s="1" t="s">
        <v>230</v>
      </c>
      <c r="DW566" s="1" t="s">
        <v>230</v>
      </c>
      <c r="EA566" s="1" t="s">
        <v>230</v>
      </c>
      <c r="EE566" s="1" t="s">
        <v>230</v>
      </c>
      <c r="EI566" s="1" t="s">
        <v>230</v>
      </c>
      <c r="EL566" s="1" t="s">
        <v>466</v>
      </c>
      <c r="EM566" s="1" t="s">
        <v>319</v>
      </c>
      <c r="EN566" s="1" t="s">
        <v>282</v>
      </c>
      <c r="EO566" s="1" t="s">
        <v>234</v>
      </c>
      <c r="EQ566" s="1" t="s">
        <v>492</v>
      </c>
      <c r="ER566" s="1" t="s">
        <v>210</v>
      </c>
      <c r="EW566" s="1" t="s">
        <v>353</v>
      </c>
      <c r="EZ566" s="1" t="s">
        <v>287</v>
      </c>
      <c r="FD566" s="1" t="s">
        <v>246</v>
      </c>
      <c r="FE566" s="1" t="s">
        <v>472</v>
      </c>
      <c r="FF566" s="1" t="s">
        <v>248</v>
      </c>
      <c r="FH566" s="1" t="s">
        <v>550</v>
      </c>
      <c r="FL566" s="1" t="s">
        <v>414</v>
      </c>
      <c r="FM566" s="1" t="s">
        <v>252</v>
      </c>
      <c r="FN566" s="1" t="s">
        <v>213</v>
      </c>
      <c r="FO566" s="1" t="s">
        <v>213</v>
      </c>
      <c r="FQ566" s="1" t="s">
        <v>293</v>
      </c>
      <c r="FR566" s="1" t="s">
        <v>210</v>
      </c>
      <c r="FS566" s="1" t="s">
        <v>7071</v>
      </c>
      <c r="FT566" s="1" t="s">
        <v>295</v>
      </c>
      <c r="FU566" s="1" t="s">
        <v>204</v>
      </c>
      <c r="FW566" s="1" t="s">
        <v>1097</v>
      </c>
      <c r="FX566" s="1">
        <v>7661</v>
      </c>
      <c r="FY566" s="1" t="s">
        <v>7072</v>
      </c>
      <c r="FZ566" s="1" t="s">
        <v>7073</v>
      </c>
      <c r="GA566" s="1">
        <v>8325</v>
      </c>
      <c r="GB566" s="1" t="s">
        <v>7074</v>
      </c>
      <c r="GC566" s="1">
        <v>8324</v>
      </c>
      <c r="GE566" s="1" t="s">
        <v>210</v>
      </c>
      <c r="GI566" s="1" t="s">
        <v>213</v>
      </c>
      <c r="GJ566" s="1" t="s">
        <v>260</v>
      </c>
      <c r="GK566" s="1" t="s">
        <v>210</v>
      </c>
      <c r="GL566" s="2">
        <v>42123</v>
      </c>
    </row>
    <row r="567" spans="1:195">
      <c r="A567" s="1">
        <v>114900</v>
      </c>
      <c r="B567" s="1" t="s">
        <v>195</v>
      </c>
      <c r="C567" s="1" t="str">
        <f>"08807162"</f>
        <v>08807162</v>
      </c>
      <c r="D567" s="1" t="s">
        <v>196</v>
      </c>
      <c r="F567" s="1" t="str">
        <f>"540"</f>
        <v>540</v>
      </c>
      <c r="G567" s="2">
        <v>42003</v>
      </c>
      <c r="H567" s="1">
        <v>122900</v>
      </c>
      <c r="I567" s="1">
        <v>118900</v>
      </c>
      <c r="J567" s="1">
        <v>114900</v>
      </c>
      <c r="K567" s="2">
        <v>42002</v>
      </c>
      <c r="L567" s="1">
        <v>43</v>
      </c>
      <c r="M567" s="2">
        <v>42044</v>
      </c>
      <c r="N567" s="1">
        <v>43</v>
      </c>
      <c r="O567" s="2">
        <v>42044</v>
      </c>
      <c r="P567" s="1">
        <v>24945</v>
      </c>
      <c r="Q567" s="1" t="s">
        <v>197</v>
      </c>
      <c r="R567" s="2">
        <v>42104</v>
      </c>
      <c r="S567" s="1">
        <v>601235</v>
      </c>
      <c r="U567" s="1">
        <v>1263</v>
      </c>
      <c r="V567" s="1" t="s">
        <v>2820</v>
      </c>
      <c r="W567" s="1" t="s">
        <v>1056</v>
      </c>
      <c r="X567" s="1">
        <v>311</v>
      </c>
      <c r="Y567" s="1">
        <v>8</v>
      </c>
      <c r="Z567" s="1" t="s">
        <v>249</v>
      </c>
      <c r="AA567" s="1" t="s">
        <v>921</v>
      </c>
      <c r="AB567" s="1">
        <v>60563</v>
      </c>
      <c r="AE567" s="1" t="s">
        <v>7075</v>
      </c>
      <c r="AF567" s="1">
        <v>1993</v>
      </c>
      <c r="AG567" s="1" t="s">
        <v>204</v>
      </c>
      <c r="AH567" s="1" t="s">
        <v>924</v>
      </c>
      <c r="AI567" s="1" t="s">
        <v>206</v>
      </c>
      <c r="AJ567" s="1" t="s">
        <v>924</v>
      </c>
      <c r="AL567" s="1">
        <v>5</v>
      </c>
      <c r="AM567" s="1">
        <v>2</v>
      </c>
      <c r="AN567" s="1">
        <v>2</v>
      </c>
      <c r="AO567" s="1">
        <v>0</v>
      </c>
      <c r="AP567" s="1" t="s">
        <v>209</v>
      </c>
      <c r="AQ567" s="1">
        <v>1</v>
      </c>
      <c r="AR567" s="1" t="s">
        <v>210</v>
      </c>
      <c r="AS567" s="1" t="s">
        <v>204</v>
      </c>
      <c r="AT567" s="1" t="s">
        <v>271</v>
      </c>
      <c r="AV567" s="1">
        <v>1</v>
      </c>
      <c r="AW567" s="1" t="s">
        <v>204</v>
      </c>
      <c r="AX567" s="1" t="s">
        <v>212</v>
      </c>
      <c r="AZ567" s="1">
        <v>2410</v>
      </c>
      <c r="BA567" s="1">
        <v>2013</v>
      </c>
      <c r="BE567" s="1">
        <v>1310</v>
      </c>
      <c r="BF567" s="1">
        <v>3</v>
      </c>
      <c r="BG567" s="1">
        <v>0</v>
      </c>
      <c r="BL567" s="1">
        <v>252</v>
      </c>
      <c r="BM567" s="1" t="s">
        <v>413</v>
      </c>
      <c r="BN567" s="1" t="s">
        <v>213</v>
      </c>
      <c r="BO567" s="1">
        <v>999</v>
      </c>
      <c r="BP567" s="1" t="s">
        <v>204</v>
      </c>
      <c r="BR567" s="1" t="str">
        <f>"0714114008"</f>
        <v>0714114008</v>
      </c>
      <c r="BT567" s="1" t="s">
        <v>7076</v>
      </c>
      <c r="BX567" s="1">
        <v>203</v>
      </c>
      <c r="BY567" s="1">
        <v>203</v>
      </c>
      <c r="BZ567" s="1">
        <v>203</v>
      </c>
      <c r="CB567" s="1" t="str">
        <f t="shared" ref="CB567:CC567" si="441">""</f>
        <v/>
      </c>
      <c r="CC567" s="1" t="str">
        <f t="shared" si="441"/>
        <v/>
      </c>
      <c r="CG567" s="1" t="s">
        <v>1004</v>
      </c>
      <c r="CH567" s="1" t="s">
        <v>219</v>
      </c>
      <c r="CI567" s="1" t="s">
        <v>438</v>
      </c>
      <c r="CK567" s="1" t="s">
        <v>315</v>
      </c>
      <c r="CL567" s="1" t="s">
        <v>219</v>
      </c>
      <c r="CM567" s="1" t="s">
        <v>220</v>
      </c>
      <c r="CO567" s="1" t="s">
        <v>318</v>
      </c>
      <c r="CP567" s="1" t="s">
        <v>219</v>
      </c>
      <c r="CQ567" s="1" t="s">
        <v>438</v>
      </c>
      <c r="CS567" s="1" t="s">
        <v>378</v>
      </c>
      <c r="CT567" s="1" t="s">
        <v>219</v>
      </c>
      <c r="CU567" s="1" t="s">
        <v>220</v>
      </c>
      <c r="CX567" s="1" t="s">
        <v>224</v>
      </c>
      <c r="DB567" s="1" t="s">
        <v>224</v>
      </c>
      <c r="DE567" s="1" t="s">
        <v>379</v>
      </c>
      <c r="DF567" s="1" t="s">
        <v>219</v>
      </c>
      <c r="DG567" s="1" t="s">
        <v>226</v>
      </c>
      <c r="DJ567" s="1" t="s">
        <v>224</v>
      </c>
      <c r="DS567" s="1" t="s">
        <v>230</v>
      </c>
      <c r="DW567" s="1" t="s">
        <v>230</v>
      </c>
      <c r="EA567" s="1" t="s">
        <v>230</v>
      </c>
      <c r="EE567" s="1" t="s">
        <v>230</v>
      </c>
      <c r="EI567" s="1" t="s">
        <v>230</v>
      </c>
      <c r="EL567" s="1" t="s">
        <v>382</v>
      </c>
      <c r="EM567" s="1" t="s">
        <v>319</v>
      </c>
      <c r="EN567" s="1" t="s">
        <v>282</v>
      </c>
      <c r="EO567" s="1" t="s">
        <v>234</v>
      </c>
      <c r="ER567" s="1" t="s">
        <v>210</v>
      </c>
      <c r="EW567" s="1" t="s">
        <v>384</v>
      </c>
      <c r="EZ567" s="1" t="s">
        <v>287</v>
      </c>
      <c r="FD567" s="1" t="s">
        <v>246</v>
      </c>
      <c r="FE567" s="1" t="s">
        <v>247</v>
      </c>
      <c r="FF567" s="1" t="s">
        <v>248</v>
      </c>
      <c r="FH567" s="1" t="s">
        <v>249</v>
      </c>
      <c r="FL567" s="1" t="s">
        <v>358</v>
      </c>
      <c r="FM567" s="1" t="s">
        <v>252</v>
      </c>
      <c r="FN567" s="1" t="s">
        <v>213</v>
      </c>
      <c r="FO567" s="1" t="s">
        <v>213</v>
      </c>
      <c r="FQ567" s="1" t="s">
        <v>582</v>
      </c>
      <c r="FR567" s="1" t="s">
        <v>210</v>
      </c>
      <c r="FS567" s="1" t="s">
        <v>6569</v>
      </c>
      <c r="FT567" s="1" t="s">
        <v>295</v>
      </c>
      <c r="FU567" s="1" t="s">
        <v>204</v>
      </c>
      <c r="FW567" s="1" t="s">
        <v>6570</v>
      </c>
      <c r="FX567" s="1">
        <v>23290</v>
      </c>
      <c r="FY567" s="1" t="s">
        <v>6571</v>
      </c>
      <c r="FZ567" s="1" t="s">
        <v>6572</v>
      </c>
      <c r="GA567" s="1">
        <v>233019</v>
      </c>
      <c r="GB567" s="1" t="s">
        <v>6573</v>
      </c>
      <c r="GC567" s="1">
        <v>234306</v>
      </c>
      <c r="GE567" s="1" t="s">
        <v>1764</v>
      </c>
      <c r="GI567" s="1" t="s">
        <v>213</v>
      </c>
      <c r="GJ567" s="1" t="s">
        <v>260</v>
      </c>
      <c r="GK567" s="1" t="s">
        <v>210</v>
      </c>
      <c r="GL567" s="2">
        <v>42106</v>
      </c>
      <c r="GM567" s="1" t="s">
        <v>6574</v>
      </c>
    </row>
    <row r="568" spans="1:195">
      <c r="A568" s="1">
        <v>53210</v>
      </c>
      <c r="B568" s="1" t="s">
        <v>195</v>
      </c>
      <c r="C568" s="1" t="str">
        <f>"08804765"</f>
        <v>08804765</v>
      </c>
      <c r="D568" s="1" t="s">
        <v>196</v>
      </c>
      <c r="F568" s="1" t="str">
        <f>"103"</f>
        <v>103</v>
      </c>
      <c r="G568" s="2">
        <v>41993</v>
      </c>
      <c r="H568" s="1">
        <v>58000</v>
      </c>
      <c r="I568" s="1">
        <v>58000</v>
      </c>
      <c r="J568" s="1">
        <v>53210</v>
      </c>
      <c r="K568" s="2">
        <v>41991</v>
      </c>
      <c r="L568" s="1">
        <v>27</v>
      </c>
      <c r="M568" s="2">
        <v>42017</v>
      </c>
      <c r="N568" s="1">
        <v>27</v>
      </c>
      <c r="O568" s="2">
        <v>42017</v>
      </c>
      <c r="P568" s="1">
        <v>22833</v>
      </c>
      <c r="Q568" s="1" t="s">
        <v>302</v>
      </c>
      <c r="R568" s="2">
        <v>42048</v>
      </c>
      <c r="S568" s="1">
        <v>259137</v>
      </c>
      <c r="T568" s="1">
        <v>16</v>
      </c>
      <c r="U568" s="1">
        <v>1305</v>
      </c>
      <c r="V568" s="1" t="s">
        <v>7077</v>
      </c>
      <c r="W568" s="1" t="s">
        <v>304</v>
      </c>
      <c r="X568" s="1" t="s">
        <v>527</v>
      </c>
      <c r="Y568" s="1">
        <v>4</v>
      </c>
      <c r="Z568" s="1" t="s">
        <v>249</v>
      </c>
      <c r="AA568" s="1" t="s">
        <v>337</v>
      </c>
      <c r="AB568" s="1">
        <v>60133</v>
      </c>
      <c r="AD568" s="1" t="s">
        <v>7078</v>
      </c>
      <c r="AE568" s="1" t="s">
        <v>7079</v>
      </c>
      <c r="AF568" s="1">
        <v>1978</v>
      </c>
      <c r="AG568" s="1" t="s">
        <v>204</v>
      </c>
      <c r="AH568" s="1" t="s">
        <v>339</v>
      </c>
      <c r="AI568" s="1" t="s">
        <v>206</v>
      </c>
      <c r="AJ568" s="1" t="s">
        <v>269</v>
      </c>
      <c r="AL568" s="1">
        <v>5</v>
      </c>
      <c r="AM568" s="1">
        <v>2</v>
      </c>
      <c r="AN568" s="1">
        <v>1</v>
      </c>
      <c r="AO568" s="1">
        <v>0</v>
      </c>
      <c r="AP568" s="1" t="s">
        <v>667</v>
      </c>
      <c r="AR568" s="1" t="s">
        <v>210</v>
      </c>
      <c r="AS568" s="1" t="s">
        <v>204</v>
      </c>
      <c r="AT568" s="1" t="s">
        <v>211</v>
      </c>
      <c r="AU568" s="1">
        <v>1</v>
      </c>
      <c r="AW568" s="1" t="s">
        <v>204</v>
      </c>
      <c r="AX568" s="1" t="s">
        <v>212</v>
      </c>
      <c r="AZ568" s="1">
        <v>2634</v>
      </c>
      <c r="BA568" s="1">
        <v>2013</v>
      </c>
      <c r="BB568" s="1" t="s">
        <v>405</v>
      </c>
      <c r="BC568" s="1">
        <v>0</v>
      </c>
      <c r="BE568" s="1">
        <v>0</v>
      </c>
      <c r="BF568" s="1">
        <v>1</v>
      </c>
      <c r="BG568" s="1">
        <v>7</v>
      </c>
      <c r="BL568" s="1">
        <v>260</v>
      </c>
      <c r="BM568" s="1" t="s">
        <v>204</v>
      </c>
      <c r="BN568" s="1" t="s">
        <v>213</v>
      </c>
      <c r="BO568" s="1">
        <v>0</v>
      </c>
      <c r="BP568" s="1" t="s">
        <v>204</v>
      </c>
      <c r="BR568" s="1" t="str">
        <f>"0206410145"</f>
        <v>0206410145</v>
      </c>
      <c r="BT568" s="1" t="s">
        <v>7080</v>
      </c>
      <c r="BU568" s="1" t="s">
        <v>341</v>
      </c>
      <c r="BV568" s="1" t="s">
        <v>274</v>
      </c>
      <c r="BW568" s="1" t="s">
        <v>275</v>
      </c>
      <c r="BX568" s="1">
        <v>20</v>
      </c>
      <c r="BY568" s="1">
        <v>20</v>
      </c>
      <c r="BZ568" s="1">
        <v>108</v>
      </c>
      <c r="CB568" s="1" t="str">
        <f>"7"</f>
        <v>7</v>
      </c>
      <c r="CC568" s="1" t="str">
        <f>"0"</f>
        <v>0</v>
      </c>
      <c r="CD568" s="1">
        <v>26</v>
      </c>
      <c r="CE568" s="1">
        <v>0</v>
      </c>
      <c r="CG568" s="1" t="s">
        <v>729</v>
      </c>
      <c r="CH568" s="1" t="s">
        <v>219</v>
      </c>
      <c r="CI568" s="1" t="s">
        <v>220</v>
      </c>
      <c r="CK568" s="1" t="s">
        <v>317</v>
      </c>
      <c r="CL568" s="1" t="s">
        <v>219</v>
      </c>
      <c r="CM568" s="1" t="s">
        <v>220</v>
      </c>
      <c r="CO568" s="1" t="s">
        <v>318</v>
      </c>
      <c r="CP568" s="1" t="s">
        <v>219</v>
      </c>
      <c r="CQ568" s="1" t="s">
        <v>226</v>
      </c>
      <c r="CS568" s="1" t="s">
        <v>346</v>
      </c>
      <c r="CT568" s="1" t="s">
        <v>219</v>
      </c>
      <c r="CU568" s="1" t="s">
        <v>220</v>
      </c>
      <c r="CX568" s="1" t="s">
        <v>224</v>
      </c>
      <c r="DB568" s="1" t="s">
        <v>224</v>
      </c>
      <c r="DE568" s="1" t="s">
        <v>318</v>
      </c>
      <c r="DF568" s="1" t="s">
        <v>219</v>
      </c>
      <c r="DG568" s="1" t="s">
        <v>226</v>
      </c>
      <c r="DJ568" s="1" t="s">
        <v>224</v>
      </c>
      <c r="DS568" s="1" t="s">
        <v>230</v>
      </c>
      <c r="DW568" s="1" t="s">
        <v>230</v>
      </c>
      <c r="EA568" s="1" t="s">
        <v>230</v>
      </c>
      <c r="EE568" s="1" t="s">
        <v>230</v>
      </c>
      <c r="EI568" s="1" t="s">
        <v>230</v>
      </c>
      <c r="EL568" s="1" t="s">
        <v>231</v>
      </c>
      <c r="EM568" s="1" t="s">
        <v>232</v>
      </c>
      <c r="EN568" s="1" t="s">
        <v>210</v>
      </c>
      <c r="EO568" s="1" t="s">
        <v>234</v>
      </c>
      <c r="ER568" s="1" t="s">
        <v>383</v>
      </c>
      <c r="ES568" s="1" t="s">
        <v>322</v>
      </c>
      <c r="EU568" s="1" t="s">
        <v>1110</v>
      </c>
      <c r="EV568" s="1" t="s">
        <v>352</v>
      </c>
      <c r="EW568" s="1" t="s">
        <v>210</v>
      </c>
      <c r="EZ568" s="1" t="s">
        <v>287</v>
      </c>
      <c r="FD568" s="1" t="s">
        <v>246</v>
      </c>
      <c r="FE568" s="1" t="s">
        <v>247</v>
      </c>
      <c r="FF568" s="1" t="s">
        <v>248</v>
      </c>
      <c r="FH568" s="1" t="s">
        <v>388</v>
      </c>
      <c r="FI568" s="1" t="s">
        <v>357</v>
      </c>
      <c r="FL568" s="1" t="s">
        <v>414</v>
      </c>
      <c r="FM568" s="1" t="s">
        <v>252</v>
      </c>
      <c r="FN568" s="1" t="s">
        <v>213</v>
      </c>
      <c r="FO568" s="1" t="s">
        <v>213</v>
      </c>
      <c r="FQ568" s="1" t="s">
        <v>582</v>
      </c>
      <c r="FR568" s="1" t="s">
        <v>210</v>
      </c>
      <c r="FS568" s="1" t="s">
        <v>7081</v>
      </c>
      <c r="FT568" s="1" t="s">
        <v>654</v>
      </c>
      <c r="FU568" s="1" t="s">
        <v>204</v>
      </c>
      <c r="FW568" s="1" t="s">
        <v>1806</v>
      </c>
      <c r="FX568" s="1">
        <v>25196</v>
      </c>
      <c r="FY568" s="1" t="s">
        <v>1807</v>
      </c>
      <c r="FZ568" s="1" t="s">
        <v>1808</v>
      </c>
      <c r="GA568" s="1">
        <v>214545</v>
      </c>
      <c r="GB568" s="1" t="s">
        <v>1807</v>
      </c>
      <c r="GC568" s="1">
        <v>239627</v>
      </c>
      <c r="GE568" s="1" t="s">
        <v>1333</v>
      </c>
      <c r="GI568" s="1" t="s">
        <v>213</v>
      </c>
      <c r="GJ568" s="1" t="s">
        <v>260</v>
      </c>
      <c r="GK568" s="1" t="s">
        <v>210</v>
      </c>
      <c r="GL568" s="2">
        <v>42052</v>
      </c>
      <c r="GM568" s="1" t="s">
        <v>7082</v>
      </c>
    </row>
    <row r="569" spans="1:195">
      <c r="A569" s="1">
        <v>123500</v>
      </c>
      <c r="B569" s="1" t="s">
        <v>195</v>
      </c>
      <c r="C569" s="1" t="str">
        <f>"08805709"</f>
        <v>08805709</v>
      </c>
      <c r="D569" s="1" t="s">
        <v>196</v>
      </c>
      <c r="F569" s="1" t="str">
        <f>"110"</f>
        <v>110</v>
      </c>
      <c r="G569" s="2">
        <v>41996</v>
      </c>
      <c r="H569" s="1">
        <v>139900</v>
      </c>
      <c r="I569" s="1">
        <v>129900</v>
      </c>
      <c r="J569" s="1">
        <v>123500</v>
      </c>
      <c r="K569" s="2">
        <v>41996</v>
      </c>
      <c r="L569" s="1">
        <v>60</v>
      </c>
      <c r="M569" s="2">
        <v>42055</v>
      </c>
      <c r="N569" s="1">
        <v>60</v>
      </c>
      <c r="O569" s="2">
        <v>42055</v>
      </c>
      <c r="P569" s="1">
        <v>6501</v>
      </c>
      <c r="Q569" s="1" t="s">
        <v>423</v>
      </c>
      <c r="R569" s="2">
        <v>42097</v>
      </c>
      <c r="S569" s="1">
        <v>63375</v>
      </c>
      <c r="U569" s="1">
        <v>1545</v>
      </c>
      <c r="V569" s="1" t="s">
        <v>7083</v>
      </c>
      <c r="W569" s="1" t="s">
        <v>526</v>
      </c>
      <c r="X569" s="1">
        <v>1545</v>
      </c>
      <c r="Y569" s="1">
        <v>4</v>
      </c>
      <c r="Z569" s="1" t="s">
        <v>249</v>
      </c>
      <c r="AA569" s="1" t="s">
        <v>803</v>
      </c>
      <c r="AB569" s="1">
        <v>60110</v>
      </c>
      <c r="AE569" s="1" t="s">
        <v>7084</v>
      </c>
      <c r="AF569" s="1">
        <v>2006</v>
      </c>
      <c r="AG569" s="1" t="s">
        <v>204</v>
      </c>
      <c r="AH569" s="1" t="s">
        <v>2557</v>
      </c>
      <c r="AI569" s="1" t="s">
        <v>665</v>
      </c>
      <c r="AJ569" s="1" t="s">
        <v>805</v>
      </c>
      <c r="AL569" s="1">
        <v>5</v>
      </c>
      <c r="AM569" s="1">
        <v>2</v>
      </c>
      <c r="AN569" s="1">
        <v>2</v>
      </c>
      <c r="AO569" s="1">
        <v>1</v>
      </c>
      <c r="AP569" s="1" t="s">
        <v>209</v>
      </c>
      <c r="AR569" s="1" t="s">
        <v>210</v>
      </c>
      <c r="AS569" s="1" t="s">
        <v>204</v>
      </c>
      <c r="AT569" s="1" t="s">
        <v>211</v>
      </c>
      <c r="AU569" s="1">
        <v>2</v>
      </c>
      <c r="AW569" s="1" t="s">
        <v>204</v>
      </c>
      <c r="AX569" s="1" t="s">
        <v>212</v>
      </c>
      <c r="AZ569" s="1">
        <v>3472.36</v>
      </c>
      <c r="BA569" s="1">
        <v>2013</v>
      </c>
      <c r="BE569" s="1">
        <v>1551</v>
      </c>
      <c r="BF569" s="1">
        <v>1</v>
      </c>
      <c r="BG569" s="1">
        <v>0</v>
      </c>
      <c r="BL569" s="1">
        <v>142</v>
      </c>
      <c r="BM569" s="1" t="s">
        <v>413</v>
      </c>
      <c r="BN569" s="1" t="s">
        <v>213</v>
      </c>
      <c r="BO569" s="1">
        <v>999</v>
      </c>
      <c r="BP569" s="1" t="s">
        <v>204</v>
      </c>
      <c r="BR569" s="1" t="str">
        <f>"0302401028"</f>
        <v>0302401028</v>
      </c>
      <c r="BT569" s="1" t="s">
        <v>7085</v>
      </c>
      <c r="BX569" s="1">
        <v>300</v>
      </c>
      <c r="BY569" s="1">
        <v>300</v>
      </c>
      <c r="BZ569" s="1">
        <v>300</v>
      </c>
      <c r="CB569" s="1" t="str">
        <f t="shared" ref="CB569:CC569" si="442">""</f>
        <v/>
      </c>
      <c r="CC569" s="1" t="str">
        <f t="shared" si="442"/>
        <v/>
      </c>
      <c r="CG569" s="1" t="s">
        <v>931</v>
      </c>
      <c r="CH569" s="1" t="s">
        <v>219</v>
      </c>
      <c r="CK569" s="1" t="s">
        <v>3100</v>
      </c>
      <c r="CL569" s="1" t="s">
        <v>277</v>
      </c>
      <c r="CO569" s="1" t="s">
        <v>837</v>
      </c>
      <c r="CP569" s="1" t="s">
        <v>219</v>
      </c>
      <c r="CS569" s="1" t="s">
        <v>538</v>
      </c>
      <c r="CT569" s="1" t="s">
        <v>277</v>
      </c>
      <c r="CX569" s="1" t="s">
        <v>224</v>
      </c>
      <c r="DB569" s="1" t="s">
        <v>224</v>
      </c>
      <c r="DE569" s="1" t="s">
        <v>1046</v>
      </c>
      <c r="DF569" s="1" t="s">
        <v>219</v>
      </c>
      <c r="DJ569" s="1" t="s">
        <v>224</v>
      </c>
      <c r="DS569" s="1" t="s">
        <v>230</v>
      </c>
      <c r="DW569" s="1" t="s">
        <v>230</v>
      </c>
      <c r="EA569" s="1" t="s">
        <v>230</v>
      </c>
      <c r="EE569" s="1" t="s">
        <v>230</v>
      </c>
      <c r="EI569" s="1" t="s">
        <v>230</v>
      </c>
      <c r="EL569" s="1" t="s">
        <v>491</v>
      </c>
      <c r="EM569" s="1" t="s">
        <v>319</v>
      </c>
      <c r="EN569" s="1" t="s">
        <v>282</v>
      </c>
      <c r="EO569" s="1" t="s">
        <v>234</v>
      </c>
      <c r="EQ569" s="1" t="s">
        <v>7086</v>
      </c>
      <c r="ER569" s="1" t="s">
        <v>210</v>
      </c>
      <c r="ES569" s="1" t="s">
        <v>322</v>
      </c>
      <c r="EU569" s="1" t="s">
        <v>239</v>
      </c>
      <c r="EV569" s="1" t="s">
        <v>240</v>
      </c>
      <c r="EW569" s="1" t="s">
        <v>887</v>
      </c>
      <c r="EZ569" s="1" t="s">
        <v>287</v>
      </c>
      <c r="FB569" s="1" t="s">
        <v>289</v>
      </c>
      <c r="FD569" s="1" t="s">
        <v>246</v>
      </c>
      <c r="FE569" s="1" t="s">
        <v>355</v>
      </c>
      <c r="FF569" s="1" t="s">
        <v>248</v>
      </c>
      <c r="FH569" s="1" t="s">
        <v>249</v>
      </c>
      <c r="FL569" s="1" t="s">
        <v>414</v>
      </c>
      <c r="FM569" s="1" t="s">
        <v>252</v>
      </c>
      <c r="FN569" s="1" t="s">
        <v>213</v>
      </c>
      <c r="FO569" s="1" t="s">
        <v>213</v>
      </c>
      <c r="FQ569" s="1" t="s">
        <v>582</v>
      </c>
      <c r="FR569" s="1" t="s">
        <v>210</v>
      </c>
      <c r="FS569" s="1" t="s">
        <v>7087</v>
      </c>
      <c r="FT569" s="1" t="s">
        <v>1828</v>
      </c>
      <c r="FU569" s="1" t="s">
        <v>204</v>
      </c>
      <c r="FW569" s="1" t="s">
        <v>2420</v>
      </c>
      <c r="FX569" s="1">
        <v>41</v>
      </c>
      <c r="FY569" s="1" t="s">
        <v>2421</v>
      </c>
      <c r="FZ569" s="1" t="s">
        <v>2422</v>
      </c>
      <c r="GA569" s="1">
        <v>8483</v>
      </c>
      <c r="GB569" s="1" t="s">
        <v>2423</v>
      </c>
      <c r="GE569" s="1" t="s">
        <v>210</v>
      </c>
      <c r="GI569" s="1" t="s">
        <v>213</v>
      </c>
      <c r="GJ569" s="1" t="s">
        <v>260</v>
      </c>
      <c r="GK569" s="1" t="s">
        <v>210</v>
      </c>
      <c r="GL569" s="2">
        <v>42097</v>
      </c>
      <c r="GM569" s="1" t="s">
        <v>7088</v>
      </c>
    </row>
    <row r="570" spans="1:195">
      <c r="A570" s="1">
        <v>57500</v>
      </c>
      <c r="B570" s="1" t="s">
        <v>195</v>
      </c>
      <c r="C570" s="1" t="str">
        <f>"08805917"</f>
        <v>08805917</v>
      </c>
      <c r="D570" s="1" t="s">
        <v>196</v>
      </c>
      <c r="F570" s="1" t="str">
        <f>"139"</f>
        <v>139</v>
      </c>
      <c r="G570" s="2">
        <v>41997</v>
      </c>
      <c r="H570" s="1">
        <v>67000</v>
      </c>
      <c r="I570" s="1">
        <v>67000</v>
      </c>
      <c r="J570" s="1">
        <v>57500</v>
      </c>
      <c r="K570" s="2">
        <v>41997</v>
      </c>
      <c r="L570" s="1">
        <v>27</v>
      </c>
      <c r="M570" s="2">
        <v>42023</v>
      </c>
      <c r="N570" s="1">
        <v>27</v>
      </c>
      <c r="O570" s="2">
        <v>42023</v>
      </c>
      <c r="P570" s="1">
        <v>1800</v>
      </c>
      <c r="Q570" s="1" t="s">
        <v>302</v>
      </c>
      <c r="R570" s="2">
        <v>42033</v>
      </c>
      <c r="S570" s="1">
        <v>21282</v>
      </c>
      <c r="U570" s="1">
        <v>270</v>
      </c>
      <c r="V570" s="1" t="s">
        <v>7089</v>
      </c>
      <c r="W570" s="1" t="s">
        <v>264</v>
      </c>
      <c r="X570" s="1" t="s">
        <v>7090</v>
      </c>
      <c r="Y570" s="1">
        <v>12</v>
      </c>
      <c r="Z570" s="1" t="s">
        <v>370</v>
      </c>
      <c r="AA570" s="1" t="s">
        <v>1732</v>
      </c>
      <c r="AB570" s="1">
        <v>60139</v>
      </c>
      <c r="AE570" s="1" t="s">
        <v>7091</v>
      </c>
      <c r="AF570" s="1">
        <v>1979</v>
      </c>
      <c r="AG570" s="1" t="s">
        <v>204</v>
      </c>
      <c r="AH570" s="1" t="s">
        <v>1735</v>
      </c>
      <c r="AI570" s="1" t="s">
        <v>206</v>
      </c>
      <c r="AJ570" s="1" t="s">
        <v>207</v>
      </c>
      <c r="AL570" s="1">
        <v>5</v>
      </c>
      <c r="AM570" s="1">
        <v>2</v>
      </c>
      <c r="AN570" s="1">
        <v>2</v>
      </c>
      <c r="AO570" s="1">
        <v>0</v>
      </c>
      <c r="AP570" s="1" t="s">
        <v>209</v>
      </c>
      <c r="AR570" s="1" t="s">
        <v>1631</v>
      </c>
      <c r="AS570" s="1" t="s">
        <v>204</v>
      </c>
      <c r="AT570" s="1" t="s">
        <v>271</v>
      </c>
      <c r="AV570" s="1">
        <v>1</v>
      </c>
      <c r="AW570" s="1" t="s">
        <v>204</v>
      </c>
      <c r="AX570" s="1" t="s">
        <v>212</v>
      </c>
      <c r="AZ570" s="1">
        <v>970.46</v>
      </c>
      <c r="BA570" s="1">
        <v>2013</v>
      </c>
      <c r="BB570" s="1" t="s">
        <v>599</v>
      </c>
      <c r="BE570" s="1">
        <v>917</v>
      </c>
      <c r="BF570" s="1">
        <v>1</v>
      </c>
      <c r="BG570" s="1">
        <v>7</v>
      </c>
      <c r="BL570" s="1">
        <v>301</v>
      </c>
      <c r="BM570" s="1" t="s">
        <v>204</v>
      </c>
      <c r="BN570" s="1" t="s">
        <v>213</v>
      </c>
      <c r="BO570" s="1">
        <v>30</v>
      </c>
      <c r="BP570" s="1" t="s">
        <v>204</v>
      </c>
      <c r="BR570" s="1" t="str">
        <f>"0503207183"</f>
        <v>0503207183</v>
      </c>
      <c r="BX570" s="1">
        <v>41</v>
      </c>
      <c r="BY570" s="1">
        <v>41</v>
      </c>
      <c r="BZ570" s="1">
        <v>87</v>
      </c>
      <c r="CB570" s="1" t="str">
        <f t="shared" ref="CB570:CC570" si="443">""</f>
        <v/>
      </c>
      <c r="CC570" s="1" t="str">
        <f t="shared" si="443"/>
        <v/>
      </c>
      <c r="CG570" s="1" t="s">
        <v>315</v>
      </c>
      <c r="CH570" s="1" t="s">
        <v>219</v>
      </c>
      <c r="CK570" s="1" t="s">
        <v>437</v>
      </c>
      <c r="CL570" s="1" t="s">
        <v>219</v>
      </c>
      <c r="CM570" s="1" t="s">
        <v>220</v>
      </c>
      <c r="CO570" s="1" t="s">
        <v>379</v>
      </c>
      <c r="CP570" s="1" t="s">
        <v>219</v>
      </c>
      <c r="CQ570" s="1" t="s">
        <v>226</v>
      </c>
      <c r="CS570" s="1" t="s">
        <v>379</v>
      </c>
      <c r="CT570" s="1" t="s">
        <v>219</v>
      </c>
      <c r="CU570" s="1" t="s">
        <v>220</v>
      </c>
      <c r="CX570" s="1" t="s">
        <v>224</v>
      </c>
      <c r="DB570" s="1" t="s">
        <v>224</v>
      </c>
      <c r="DE570" s="1" t="s">
        <v>2031</v>
      </c>
      <c r="DF570" s="1" t="s">
        <v>219</v>
      </c>
      <c r="DG570" s="1" t="s">
        <v>226</v>
      </c>
      <c r="DJ570" s="1" t="s">
        <v>224</v>
      </c>
      <c r="DS570" s="1" t="s">
        <v>230</v>
      </c>
      <c r="DW570" s="1" t="s">
        <v>230</v>
      </c>
      <c r="EA570" s="1" t="s">
        <v>230</v>
      </c>
      <c r="EE570" s="1" t="s">
        <v>230</v>
      </c>
      <c r="EI570" s="1" t="s">
        <v>230</v>
      </c>
      <c r="EL570" s="1" t="s">
        <v>231</v>
      </c>
      <c r="EM570" s="1" t="s">
        <v>232</v>
      </c>
      <c r="EN570" s="1" t="s">
        <v>731</v>
      </c>
      <c r="EO570" s="1" t="s">
        <v>840</v>
      </c>
      <c r="ER570" s="1" t="s">
        <v>1249</v>
      </c>
      <c r="EW570" s="1" t="s">
        <v>7092</v>
      </c>
      <c r="EZ570" s="1" t="s">
        <v>287</v>
      </c>
      <c r="FD570" s="1" t="s">
        <v>290</v>
      </c>
      <c r="FE570" s="1" t="s">
        <v>247</v>
      </c>
      <c r="FF570" s="1" t="s">
        <v>248</v>
      </c>
      <c r="FH570" s="1" t="s">
        <v>249</v>
      </c>
      <c r="FL570" s="1" t="s">
        <v>2370</v>
      </c>
      <c r="FM570" s="1" t="s">
        <v>252</v>
      </c>
      <c r="FN570" s="1" t="s">
        <v>213</v>
      </c>
      <c r="FO570" s="1" t="s">
        <v>213</v>
      </c>
      <c r="FQ570" s="1" t="s">
        <v>7093</v>
      </c>
      <c r="FR570" s="1" t="s">
        <v>210</v>
      </c>
      <c r="FS570" s="1" t="s">
        <v>7094</v>
      </c>
      <c r="FT570" s="1" t="s">
        <v>295</v>
      </c>
      <c r="FU570" s="1" t="s">
        <v>204</v>
      </c>
      <c r="FW570" s="1" t="s">
        <v>7095</v>
      </c>
      <c r="FX570" s="1">
        <v>24186</v>
      </c>
      <c r="FY570" s="1" t="s">
        <v>7096</v>
      </c>
      <c r="FZ570" s="1" t="s">
        <v>7097</v>
      </c>
      <c r="GA570" s="1">
        <v>255274</v>
      </c>
      <c r="GB570" s="1" t="s">
        <v>7096</v>
      </c>
      <c r="GE570" s="1" t="s">
        <v>210</v>
      </c>
      <c r="GI570" s="1" t="s">
        <v>204</v>
      </c>
      <c r="GJ570" s="1" t="s">
        <v>260</v>
      </c>
      <c r="GK570" s="1" t="s">
        <v>210</v>
      </c>
      <c r="GL570" s="2">
        <v>42033</v>
      </c>
      <c r="GM570" s="1" t="s">
        <v>7098</v>
      </c>
    </row>
    <row r="571" spans="1:195">
      <c r="A571" s="1">
        <v>152000</v>
      </c>
      <c r="B571" s="1" t="s">
        <v>195</v>
      </c>
      <c r="C571" s="1" t="str">
        <f>"08796601"</f>
        <v>08796601</v>
      </c>
      <c r="D571" s="1" t="s">
        <v>196</v>
      </c>
      <c r="F571" s="1" t="str">
        <f>"10"</f>
        <v>10</v>
      </c>
      <c r="G571" s="2">
        <v>41977</v>
      </c>
      <c r="H571" s="1">
        <v>160000</v>
      </c>
      <c r="I571" s="1">
        <v>160000</v>
      </c>
      <c r="J571" s="1">
        <v>152000</v>
      </c>
      <c r="K571" s="2">
        <v>41976</v>
      </c>
      <c r="L571" s="1">
        <v>1</v>
      </c>
      <c r="M571" s="2">
        <v>41976</v>
      </c>
      <c r="N571" s="1">
        <v>1</v>
      </c>
      <c r="O571" s="2">
        <v>41976</v>
      </c>
      <c r="P571" s="1">
        <v>25645</v>
      </c>
      <c r="Q571" s="1" t="s">
        <v>197</v>
      </c>
      <c r="R571" s="2">
        <v>42100</v>
      </c>
      <c r="S571" s="1">
        <v>83637</v>
      </c>
      <c r="U571" s="1">
        <v>426</v>
      </c>
      <c r="V571" s="1" t="s">
        <v>6726</v>
      </c>
      <c r="W571" s="1" t="s">
        <v>725</v>
      </c>
      <c r="X571" s="1">
        <v>3</v>
      </c>
      <c r="Y571" s="1">
        <v>10</v>
      </c>
      <c r="Z571" s="1" t="s">
        <v>249</v>
      </c>
      <c r="AA571" s="1" t="s">
        <v>6288</v>
      </c>
      <c r="AB571" s="1">
        <v>60010</v>
      </c>
      <c r="AD571" s="1" t="s">
        <v>6727</v>
      </c>
      <c r="AE571" s="1" t="s">
        <v>7099</v>
      </c>
      <c r="AF571" s="1">
        <v>1968</v>
      </c>
      <c r="AG571" s="1" t="s">
        <v>213</v>
      </c>
      <c r="AH571" s="1" t="s">
        <v>6729</v>
      </c>
      <c r="AI571" s="1" t="s">
        <v>310</v>
      </c>
      <c r="AJ571" s="1" t="s">
        <v>6729</v>
      </c>
      <c r="AL571" s="1">
        <v>5</v>
      </c>
      <c r="AM571" s="1">
        <v>2</v>
      </c>
      <c r="AN571" s="1">
        <v>1</v>
      </c>
      <c r="AO571" s="1">
        <v>0</v>
      </c>
      <c r="AP571" s="1" t="s">
        <v>209</v>
      </c>
      <c r="AQ571" s="1">
        <v>1</v>
      </c>
      <c r="AR571" s="1" t="s">
        <v>210</v>
      </c>
      <c r="AS571" s="1" t="s">
        <v>204</v>
      </c>
      <c r="AT571" s="1" t="s">
        <v>211</v>
      </c>
      <c r="AU571" s="1">
        <v>1</v>
      </c>
      <c r="AW571" s="1" t="s">
        <v>204</v>
      </c>
      <c r="AX571" s="1" t="s">
        <v>212</v>
      </c>
      <c r="AZ571" s="1">
        <v>1781.25</v>
      </c>
      <c r="BA571" s="1">
        <v>2013</v>
      </c>
      <c r="BB571" s="1" t="s">
        <v>210</v>
      </c>
      <c r="BE571" s="1">
        <v>1158</v>
      </c>
      <c r="BF571" s="1">
        <v>3</v>
      </c>
      <c r="BG571" s="1">
        <v>0</v>
      </c>
      <c r="BL571" s="1">
        <v>231</v>
      </c>
      <c r="BM571" s="1" t="s">
        <v>204</v>
      </c>
      <c r="BN571" s="1" t="s">
        <v>213</v>
      </c>
      <c r="BO571" s="1">
        <v>85</v>
      </c>
      <c r="BP571" s="1" t="s">
        <v>204</v>
      </c>
      <c r="BR571" s="1" t="str">
        <f>"01022020501032"</f>
        <v>01022020501032</v>
      </c>
      <c r="BT571" s="1" t="s">
        <v>7100</v>
      </c>
      <c r="BU571" s="1" t="s">
        <v>6731</v>
      </c>
      <c r="BV571" s="1" t="s">
        <v>6732</v>
      </c>
      <c r="BW571" s="1" t="s">
        <v>1994</v>
      </c>
      <c r="BX571" s="1">
        <v>220</v>
      </c>
      <c r="BY571" s="1">
        <v>220</v>
      </c>
      <c r="BZ571" s="1">
        <v>220</v>
      </c>
      <c r="CB571" s="1" t="str">
        <f>"18"</f>
        <v>18</v>
      </c>
      <c r="CC571" s="1" t="str">
        <f>"0"</f>
        <v>0</v>
      </c>
      <c r="CD571" s="1">
        <v>26</v>
      </c>
      <c r="CE571" s="1">
        <v>0</v>
      </c>
      <c r="CG571" s="1" t="s">
        <v>2620</v>
      </c>
      <c r="CH571" s="1" t="s">
        <v>219</v>
      </c>
      <c r="CI571" s="1" t="s">
        <v>438</v>
      </c>
      <c r="CK571" s="1" t="s">
        <v>3316</v>
      </c>
      <c r="CL571" s="1" t="s">
        <v>219</v>
      </c>
      <c r="CM571" s="1" t="s">
        <v>438</v>
      </c>
      <c r="CO571" s="1" t="s">
        <v>629</v>
      </c>
      <c r="CP571" s="1" t="s">
        <v>219</v>
      </c>
      <c r="CQ571" s="1" t="s">
        <v>438</v>
      </c>
      <c r="CS571" s="1" t="s">
        <v>379</v>
      </c>
      <c r="CT571" s="1" t="s">
        <v>219</v>
      </c>
      <c r="CU571" s="1" t="s">
        <v>438</v>
      </c>
      <c r="CX571" s="1" t="s">
        <v>224</v>
      </c>
      <c r="DB571" s="1" t="s">
        <v>224</v>
      </c>
      <c r="DE571" s="1" t="s">
        <v>7101</v>
      </c>
      <c r="DF571" s="1" t="s">
        <v>219</v>
      </c>
      <c r="DG571" s="1" t="s">
        <v>438</v>
      </c>
      <c r="DJ571" s="1" t="s">
        <v>224</v>
      </c>
      <c r="DM571" s="1" t="s">
        <v>838</v>
      </c>
      <c r="DR571" s="1" t="s">
        <v>7102</v>
      </c>
      <c r="DS571" s="1" t="s">
        <v>219</v>
      </c>
      <c r="DW571" s="1" t="s">
        <v>230</v>
      </c>
      <c r="EA571" s="1" t="s">
        <v>230</v>
      </c>
      <c r="EE571" s="1" t="s">
        <v>230</v>
      </c>
      <c r="EI571" s="1" t="s">
        <v>230</v>
      </c>
      <c r="EL571" s="1" t="s">
        <v>605</v>
      </c>
      <c r="EM571" s="1" t="s">
        <v>319</v>
      </c>
      <c r="EN571" s="1" t="s">
        <v>282</v>
      </c>
      <c r="EO571" s="1" t="s">
        <v>234</v>
      </c>
      <c r="EP571" s="1" t="s">
        <v>7103</v>
      </c>
      <c r="EQ571" s="1" t="s">
        <v>2188</v>
      </c>
      <c r="ER571" s="1" t="s">
        <v>210</v>
      </c>
      <c r="ES571" s="1" t="s">
        <v>545</v>
      </c>
      <c r="EU571" s="1" t="s">
        <v>6734</v>
      </c>
      <c r="EV571" s="1" t="s">
        <v>240</v>
      </c>
      <c r="EW571" s="1" t="s">
        <v>5806</v>
      </c>
      <c r="EZ571" s="1" t="s">
        <v>838</v>
      </c>
      <c r="FB571" s="1" t="s">
        <v>244</v>
      </c>
      <c r="FD571" s="1" t="s">
        <v>290</v>
      </c>
      <c r="FE571" s="1" t="s">
        <v>247</v>
      </c>
      <c r="FF571" s="1" t="s">
        <v>248</v>
      </c>
      <c r="FG571" s="1" t="s">
        <v>939</v>
      </c>
      <c r="FH571" s="1" t="s">
        <v>249</v>
      </c>
      <c r="FI571" s="1" t="s">
        <v>357</v>
      </c>
      <c r="FL571" s="1" t="s">
        <v>358</v>
      </c>
      <c r="FM571" s="1" t="s">
        <v>252</v>
      </c>
      <c r="FN571" s="1" t="s">
        <v>213</v>
      </c>
      <c r="FO571" s="1" t="s">
        <v>213</v>
      </c>
      <c r="FQ571" s="1" t="s">
        <v>6735</v>
      </c>
      <c r="FR571" s="1" t="s">
        <v>210</v>
      </c>
      <c r="FS571" s="1" t="s">
        <v>7104</v>
      </c>
      <c r="FT571" s="1" t="s">
        <v>520</v>
      </c>
      <c r="FU571" s="1" t="s">
        <v>204</v>
      </c>
      <c r="FW571" s="1" t="s">
        <v>6737</v>
      </c>
      <c r="FX571" s="1">
        <v>10646</v>
      </c>
      <c r="FY571" s="1" t="s">
        <v>6738</v>
      </c>
      <c r="FZ571" s="1" t="s">
        <v>6739</v>
      </c>
      <c r="GA571" s="1">
        <v>120575</v>
      </c>
      <c r="GB571" s="1" t="s">
        <v>6740</v>
      </c>
      <c r="GE571" s="1" t="s">
        <v>210</v>
      </c>
      <c r="GH571" s="1" t="s">
        <v>589</v>
      </c>
      <c r="GI571" s="1" t="s">
        <v>213</v>
      </c>
      <c r="GJ571" s="1" t="s">
        <v>260</v>
      </c>
      <c r="GK571" s="1" t="s">
        <v>210</v>
      </c>
      <c r="GL571" s="2">
        <v>42109</v>
      </c>
    </row>
    <row r="572" spans="1:195">
      <c r="A572" s="1">
        <v>118500</v>
      </c>
      <c r="B572" s="1" t="s">
        <v>195</v>
      </c>
      <c r="C572" s="1" t="str">
        <f>"08798877"</f>
        <v>08798877</v>
      </c>
      <c r="D572" s="1" t="s">
        <v>196</v>
      </c>
      <c r="F572" s="1" t="str">
        <f>"30"</f>
        <v>30</v>
      </c>
      <c r="G572" s="2">
        <v>41981</v>
      </c>
      <c r="H572" s="1">
        <v>120000</v>
      </c>
      <c r="I572" s="1">
        <v>120000</v>
      </c>
      <c r="J572" s="1">
        <v>118500</v>
      </c>
      <c r="K572" s="2">
        <v>41981</v>
      </c>
      <c r="L572" s="1">
        <v>5</v>
      </c>
      <c r="M572" s="2">
        <v>41985</v>
      </c>
      <c r="N572" s="1">
        <v>5</v>
      </c>
      <c r="O572" s="2">
        <v>41985</v>
      </c>
      <c r="P572" s="1">
        <v>4723</v>
      </c>
      <c r="Q572" s="1" t="s">
        <v>423</v>
      </c>
      <c r="R572" s="2">
        <v>42034</v>
      </c>
      <c r="S572" s="1">
        <v>34745</v>
      </c>
      <c r="U572" s="1">
        <v>458</v>
      </c>
      <c r="V572" s="1" t="s">
        <v>1210</v>
      </c>
      <c r="W572" s="1" t="s">
        <v>264</v>
      </c>
      <c r="Y572" s="1">
        <v>1</v>
      </c>
      <c r="Z572" s="1" t="s">
        <v>200</v>
      </c>
      <c r="AA572" s="1" t="s">
        <v>1834</v>
      </c>
      <c r="AB572" s="1">
        <v>60030</v>
      </c>
      <c r="AD572" s="1" t="s">
        <v>7105</v>
      </c>
      <c r="AE572" s="1" t="s">
        <v>7106</v>
      </c>
      <c r="AF572" s="1">
        <v>1992</v>
      </c>
      <c r="AG572" s="1" t="s">
        <v>204</v>
      </c>
      <c r="AH572" s="1" t="s">
        <v>1837</v>
      </c>
      <c r="AI572" s="1" t="s">
        <v>509</v>
      </c>
      <c r="AJ572" s="1" t="s">
        <v>1263</v>
      </c>
      <c r="AL572" s="1">
        <v>6</v>
      </c>
      <c r="AM572" s="1">
        <v>2</v>
      </c>
      <c r="AN572" s="1">
        <v>1</v>
      </c>
      <c r="AO572" s="1">
        <v>1</v>
      </c>
      <c r="AP572" s="1" t="s">
        <v>667</v>
      </c>
      <c r="AR572" s="1" t="s">
        <v>210</v>
      </c>
      <c r="AT572" s="1" t="s">
        <v>211</v>
      </c>
      <c r="AU572" s="1">
        <v>1</v>
      </c>
      <c r="AW572" s="1" t="s">
        <v>204</v>
      </c>
      <c r="AX572" s="1" t="s">
        <v>7107</v>
      </c>
      <c r="AZ572" s="1">
        <v>4610.79</v>
      </c>
      <c r="BA572" s="1">
        <v>2012</v>
      </c>
      <c r="BB572" s="1" t="s">
        <v>599</v>
      </c>
      <c r="BE572" s="1">
        <v>1273</v>
      </c>
      <c r="BF572" s="1">
        <v>1</v>
      </c>
      <c r="BG572" s="1">
        <v>20</v>
      </c>
      <c r="BL572" s="1">
        <v>0</v>
      </c>
      <c r="BM572" s="1" t="s">
        <v>204</v>
      </c>
      <c r="BN572" s="1" t="s">
        <v>213</v>
      </c>
      <c r="BO572" s="1">
        <v>999</v>
      </c>
      <c r="BP572" s="1" t="s">
        <v>204</v>
      </c>
      <c r="BR572" s="1" t="str">
        <f>"06251020090000"</f>
        <v>06251020090000</v>
      </c>
      <c r="BT572" s="1" t="s">
        <v>7108</v>
      </c>
      <c r="BU572" s="1" t="s">
        <v>1064</v>
      </c>
      <c r="BV572" s="1" t="s">
        <v>1065</v>
      </c>
      <c r="BW572" s="1" t="s">
        <v>2737</v>
      </c>
      <c r="BX572" s="1">
        <v>50</v>
      </c>
      <c r="BY572" s="1">
        <v>50</v>
      </c>
      <c r="BZ572" s="1">
        <v>127</v>
      </c>
      <c r="CB572" s="1" t="str">
        <f t="shared" ref="CB572:CC572" si="444">""</f>
        <v/>
      </c>
      <c r="CC572" s="1" t="str">
        <f t="shared" si="444"/>
        <v/>
      </c>
      <c r="CG572" s="1" t="s">
        <v>7109</v>
      </c>
      <c r="CH572" s="1" t="s">
        <v>219</v>
      </c>
      <c r="CI572" s="1" t="s">
        <v>220</v>
      </c>
      <c r="CJ572" s="1" t="s">
        <v>463</v>
      </c>
      <c r="CK572" s="1" t="s">
        <v>932</v>
      </c>
      <c r="CL572" s="1" t="s">
        <v>219</v>
      </c>
      <c r="CM572" s="1" t="s">
        <v>220</v>
      </c>
      <c r="CN572" s="1" t="s">
        <v>463</v>
      </c>
      <c r="CO572" s="1" t="s">
        <v>7109</v>
      </c>
      <c r="CP572" s="1" t="s">
        <v>219</v>
      </c>
      <c r="CQ572" s="1" t="s">
        <v>220</v>
      </c>
      <c r="CR572" s="1" t="s">
        <v>463</v>
      </c>
      <c r="CS572" s="1" t="s">
        <v>378</v>
      </c>
      <c r="CT572" s="1" t="s">
        <v>219</v>
      </c>
      <c r="CU572" s="1" t="s">
        <v>220</v>
      </c>
      <c r="CV572" s="1" t="s">
        <v>463</v>
      </c>
      <c r="CX572" s="1" t="s">
        <v>224</v>
      </c>
      <c r="DB572" s="1" t="s">
        <v>224</v>
      </c>
      <c r="DE572" s="1" t="s">
        <v>318</v>
      </c>
      <c r="DF572" s="1" t="s">
        <v>219</v>
      </c>
      <c r="DG572" s="1" t="s">
        <v>342</v>
      </c>
      <c r="DH572" s="1" t="s">
        <v>210</v>
      </c>
      <c r="DI572" s="1" t="s">
        <v>3316</v>
      </c>
      <c r="DJ572" s="1" t="s">
        <v>219</v>
      </c>
      <c r="DK572" s="1" t="s">
        <v>220</v>
      </c>
      <c r="DL572" s="1" t="s">
        <v>343</v>
      </c>
      <c r="DS572" s="1" t="s">
        <v>230</v>
      </c>
      <c r="DW572" s="1" t="s">
        <v>230</v>
      </c>
      <c r="EA572" s="1" t="s">
        <v>230</v>
      </c>
      <c r="EE572" s="1" t="s">
        <v>230</v>
      </c>
      <c r="EI572" s="1" t="s">
        <v>230</v>
      </c>
      <c r="EL572" s="1" t="s">
        <v>382</v>
      </c>
      <c r="EM572" s="1" t="s">
        <v>232</v>
      </c>
      <c r="EN572" s="1" t="s">
        <v>282</v>
      </c>
      <c r="EO572" s="1" t="s">
        <v>234</v>
      </c>
      <c r="EQ572" s="1" t="s">
        <v>236</v>
      </c>
      <c r="ER572" s="1" t="s">
        <v>210</v>
      </c>
      <c r="ES572" s="1" t="s">
        <v>322</v>
      </c>
      <c r="ET572" s="1" t="s">
        <v>7110</v>
      </c>
      <c r="EV572" s="1" t="s">
        <v>240</v>
      </c>
      <c r="EW572" s="1" t="s">
        <v>210</v>
      </c>
      <c r="EZ572" s="1" t="s">
        <v>287</v>
      </c>
      <c r="FA572" s="1" t="s">
        <v>7111</v>
      </c>
      <c r="FD572" s="1" t="s">
        <v>246</v>
      </c>
      <c r="FE572" s="1" t="s">
        <v>472</v>
      </c>
      <c r="FF572" s="1" t="s">
        <v>248</v>
      </c>
      <c r="FH572" s="1" t="s">
        <v>825</v>
      </c>
      <c r="FI572" s="1" t="s">
        <v>357</v>
      </c>
      <c r="FL572" s="1" t="s">
        <v>414</v>
      </c>
      <c r="FM572" s="1" t="s">
        <v>252</v>
      </c>
      <c r="FN572" s="1" t="s">
        <v>213</v>
      </c>
      <c r="FO572" s="1" t="s">
        <v>213</v>
      </c>
      <c r="FQ572" s="1" t="s">
        <v>7112</v>
      </c>
      <c r="FR572" s="1" t="s">
        <v>210</v>
      </c>
      <c r="FS572" s="1" t="s">
        <v>7113</v>
      </c>
      <c r="FT572" s="1" t="s">
        <v>5439</v>
      </c>
      <c r="FU572" s="1" t="s">
        <v>204</v>
      </c>
      <c r="FW572" s="1" t="s">
        <v>7114</v>
      </c>
      <c r="FX572" s="1">
        <v>2330</v>
      </c>
      <c r="FY572" s="1" t="s">
        <v>7115</v>
      </c>
      <c r="FZ572" s="1" t="s">
        <v>7116</v>
      </c>
      <c r="GA572" s="1">
        <v>21228</v>
      </c>
      <c r="GB572" s="1" t="s">
        <v>7117</v>
      </c>
      <c r="GE572" s="1" t="s">
        <v>210</v>
      </c>
      <c r="GI572" s="1" t="s">
        <v>213</v>
      </c>
      <c r="GJ572" s="1" t="s">
        <v>260</v>
      </c>
      <c r="GK572" s="1" t="s">
        <v>210</v>
      </c>
      <c r="GL572" s="2">
        <v>42044</v>
      </c>
      <c r="GM572" s="1" t="s">
        <v>7118</v>
      </c>
    </row>
    <row r="573" spans="1:195">
      <c r="A573" s="1">
        <v>60000</v>
      </c>
      <c r="B573" s="1" t="s">
        <v>195</v>
      </c>
      <c r="C573" s="1" t="str">
        <f>"08795825"</f>
        <v>08795825</v>
      </c>
      <c r="D573" s="1" t="s">
        <v>196</v>
      </c>
      <c r="F573" s="1" t="str">
        <f>"73"</f>
        <v>73</v>
      </c>
      <c r="G573" s="2">
        <v>41976</v>
      </c>
      <c r="H573" s="1">
        <v>64900</v>
      </c>
      <c r="I573" s="1">
        <v>64900</v>
      </c>
      <c r="J573" s="1">
        <v>60000</v>
      </c>
      <c r="K573" s="2">
        <v>41976</v>
      </c>
      <c r="L573" s="1">
        <v>139</v>
      </c>
      <c r="M573" s="2">
        <v>41992</v>
      </c>
      <c r="N573" s="1">
        <v>17</v>
      </c>
      <c r="O573" s="2">
        <v>41992</v>
      </c>
      <c r="P573" s="1">
        <v>3913</v>
      </c>
      <c r="Q573" s="1" t="s">
        <v>302</v>
      </c>
      <c r="R573" s="2">
        <v>42020</v>
      </c>
      <c r="S573" s="1">
        <v>32108</v>
      </c>
      <c r="U573" s="1">
        <v>1412</v>
      </c>
      <c r="V573" s="1" t="s">
        <v>7119</v>
      </c>
      <c r="W573" s="1" t="s">
        <v>449</v>
      </c>
      <c r="X573" s="1" t="s">
        <v>369</v>
      </c>
      <c r="Y573" s="1">
        <v>12</v>
      </c>
      <c r="Z573" s="1" t="s">
        <v>249</v>
      </c>
      <c r="AA573" s="1" t="s">
        <v>1259</v>
      </c>
      <c r="AB573" s="1">
        <v>60073</v>
      </c>
      <c r="AE573" s="1" t="s">
        <v>7120</v>
      </c>
      <c r="AF573" s="1">
        <v>1999</v>
      </c>
      <c r="AG573" s="1" t="s">
        <v>204</v>
      </c>
      <c r="AH573" s="1" t="s">
        <v>1262</v>
      </c>
      <c r="AI573" s="1" t="s">
        <v>509</v>
      </c>
      <c r="AJ573" s="1" t="s">
        <v>1263</v>
      </c>
      <c r="AL573" s="1">
        <v>5</v>
      </c>
      <c r="AM573" s="1">
        <v>2</v>
      </c>
      <c r="AN573" s="1">
        <v>1</v>
      </c>
      <c r="AO573" s="1">
        <v>0</v>
      </c>
      <c r="AP573" s="1" t="s">
        <v>210</v>
      </c>
      <c r="AR573" s="1" t="s">
        <v>210</v>
      </c>
      <c r="AT573" s="1" t="s">
        <v>211</v>
      </c>
      <c r="AU573" s="1">
        <v>1</v>
      </c>
      <c r="AW573" s="1" t="s">
        <v>204</v>
      </c>
      <c r="AX573" s="1" t="s">
        <v>212</v>
      </c>
      <c r="AZ573" s="1">
        <v>3569.29</v>
      </c>
      <c r="BA573" s="1">
        <v>2013</v>
      </c>
      <c r="BE573" s="1">
        <v>944</v>
      </c>
      <c r="BF573" s="1">
        <v>2</v>
      </c>
      <c r="BG573" s="1">
        <v>0</v>
      </c>
      <c r="BL573" s="1">
        <v>185</v>
      </c>
      <c r="BM573" s="1" t="s">
        <v>413</v>
      </c>
      <c r="BN573" s="1" t="s">
        <v>213</v>
      </c>
      <c r="BO573" s="1">
        <v>999</v>
      </c>
      <c r="BP573" s="1" t="s">
        <v>204</v>
      </c>
      <c r="BR573" s="1" t="str">
        <f>"06191050220000"</f>
        <v>06191050220000</v>
      </c>
      <c r="BT573" s="1" t="s">
        <v>7121</v>
      </c>
      <c r="BX573" s="1">
        <v>116</v>
      </c>
      <c r="BY573" s="1">
        <v>116</v>
      </c>
      <c r="BZ573" s="1">
        <v>116</v>
      </c>
      <c r="CB573" s="1" t="str">
        <f>"34"</f>
        <v>34</v>
      </c>
      <c r="CC573" s="1" t="str">
        <f>"0"</f>
        <v>0</v>
      </c>
      <c r="CD573" s="1">
        <v>24</v>
      </c>
      <c r="CE573" s="1">
        <v>0</v>
      </c>
      <c r="CG573" s="1" t="s">
        <v>602</v>
      </c>
      <c r="CH573" s="1" t="s">
        <v>277</v>
      </c>
      <c r="CK573" s="1" t="s">
        <v>408</v>
      </c>
      <c r="CL573" s="1" t="s">
        <v>277</v>
      </c>
      <c r="CO573" s="1" t="s">
        <v>3657</v>
      </c>
      <c r="CP573" s="1" t="s">
        <v>277</v>
      </c>
      <c r="CS573" s="1" t="s">
        <v>1107</v>
      </c>
      <c r="CT573" s="1" t="s">
        <v>277</v>
      </c>
      <c r="CX573" s="1" t="s">
        <v>224</v>
      </c>
      <c r="DB573" s="1" t="s">
        <v>224</v>
      </c>
      <c r="DE573" s="1" t="s">
        <v>3657</v>
      </c>
      <c r="DF573" s="1" t="s">
        <v>277</v>
      </c>
      <c r="DJ573" s="1" t="s">
        <v>224</v>
      </c>
      <c r="DS573" s="1" t="s">
        <v>230</v>
      </c>
      <c r="DW573" s="1" t="s">
        <v>230</v>
      </c>
      <c r="EA573" s="1" t="s">
        <v>230</v>
      </c>
      <c r="EE573" s="1" t="s">
        <v>230</v>
      </c>
      <c r="EI573" s="1" t="s">
        <v>230</v>
      </c>
      <c r="EL573" s="1" t="s">
        <v>466</v>
      </c>
      <c r="EM573" s="1" t="s">
        <v>319</v>
      </c>
      <c r="EN573" s="1" t="s">
        <v>731</v>
      </c>
      <c r="EO573" s="1" t="s">
        <v>234</v>
      </c>
      <c r="ER573" s="1" t="s">
        <v>383</v>
      </c>
      <c r="EW573" s="1" t="s">
        <v>7122</v>
      </c>
      <c r="EZ573" s="1" t="s">
        <v>287</v>
      </c>
      <c r="FD573" s="1" t="s">
        <v>1649</v>
      </c>
      <c r="FE573" s="1" t="s">
        <v>247</v>
      </c>
      <c r="FF573" s="1" t="s">
        <v>248</v>
      </c>
      <c r="FH573" s="1" t="s">
        <v>249</v>
      </c>
      <c r="FJ573" s="1" t="s">
        <v>197</v>
      </c>
      <c r="FL573" s="1" t="s">
        <v>292</v>
      </c>
      <c r="FM573" s="1" t="s">
        <v>252</v>
      </c>
      <c r="FN573" s="1" t="s">
        <v>213</v>
      </c>
      <c r="FO573" s="1" t="s">
        <v>213</v>
      </c>
      <c r="FQ573" s="1" t="s">
        <v>359</v>
      </c>
      <c r="FR573" s="1" t="s">
        <v>210</v>
      </c>
      <c r="FS573" s="1" t="s">
        <v>6018</v>
      </c>
      <c r="FT573" s="1" t="s">
        <v>7123</v>
      </c>
      <c r="FU573" s="1" t="s">
        <v>204</v>
      </c>
      <c r="FW573" s="1" t="s">
        <v>1637</v>
      </c>
      <c r="FX573" s="1">
        <v>2626</v>
      </c>
      <c r="FY573" s="1" t="s">
        <v>1638</v>
      </c>
      <c r="FZ573" s="1" t="s">
        <v>7124</v>
      </c>
      <c r="GA573" s="1">
        <v>89063</v>
      </c>
      <c r="GB573" s="1" t="s">
        <v>7125</v>
      </c>
      <c r="GE573" s="1" t="s">
        <v>1256</v>
      </c>
      <c r="GH573" s="1" t="s">
        <v>589</v>
      </c>
      <c r="GI573" s="1" t="s">
        <v>213</v>
      </c>
      <c r="GJ573" s="1" t="s">
        <v>260</v>
      </c>
      <c r="GK573" s="1" t="s">
        <v>261</v>
      </c>
      <c r="GL573" s="2">
        <v>42021</v>
      </c>
      <c r="GM573" s="1" t="s">
        <v>7126</v>
      </c>
    </row>
    <row r="574" spans="1:195">
      <c r="A574" s="1">
        <v>123000</v>
      </c>
      <c r="B574" s="1" t="s">
        <v>195</v>
      </c>
      <c r="C574" s="1" t="str">
        <f>"08795748"</f>
        <v>08795748</v>
      </c>
      <c r="D574" s="1" t="s">
        <v>196</v>
      </c>
      <c r="F574" s="1" t="str">
        <f>"560"</f>
        <v>560</v>
      </c>
      <c r="G574" s="2">
        <v>41975</v>
      </c>
      <c r="H574" s="1">
        <v>126900</v>
      </c>
      <c r="I574" s="1">
        <v>126900</v>
      </c>
      <c r="J574" s="1">
        <v>123000</v>
      </c>
      <c r="K574" s="2">
        <v>41975</v>
      </c>
      <c r="L574" s="1">
        <v>8</v>
      </c>
      <c r="M574" s="2">
        <v>41982</v>
      </c>
      <c r="N574" s="1">
        <v>8</v>
      </c>
      <c r="O574" s="2">
        <v>41982</v>
      </c>
      <c r="P574" s="1">
        <v>23196</v>
      </c>
      <c r="Q574" s="1" t="s">
        <v>302</v>
      </c>
      <c r="R574" s="2">
        <v>42016</v>
      </c>
      <c r="S574" s="1">
        <v>233155</v>
      </c>
      <c r="U574" s="1">
        <v>2245</v>
      </c>
      <c r="V574" s="1" t="s">
        <v>7127</v>
      </c>
      <c r="W574" s="1" t="s">
        <v>264</v>
      </c>
      <c r="Y574" s="1">
        <v>5</v>
      </c>
      <c r="Z574" s="1" t="s">
        <v>249</v>
      </c>
      <c r="AA574" s="1" t="s">
        <v>484</v>
      </c>
      <c r="AB574" s="1">
        <v>60560</v>
      </c>
      <c r="AD574" s="1" t="s">
        <v>7128</v>
      </c>
      <c r="AE574" s="1" t="s">
        <v>7129</v>
      </c>
      <c r="AF574" s="1">
        <v>2007</v>
      </c>
      <c r="AG574" s="1" t="s">
        <v>204</v>
      </c>
      <c r="AH574" s="1" t="s">
        <v>487</v>
      </c>
      <c r="AI574" s="1" t="s">
        <v>453</v>
      </c>
      <c r="AJ574" s="1" t="s">
        <v>454</v>
      </c>
      <c r="AK574" s="1" t="s">
        <v>7130</v>
      </c>
      <c r="AL574" s="1">
        <v>7</v>
      </c>
      <c r="AM574" s="1">
        <v>2</v>
      </c>
      <c r="AN574" s="1">
        <v>2</v>
      </c>
      <c r="AO574" s="1">
        <v>1</v>
      </c>
      <c r="AP574" s="1" t="s">
        <v>209</v>
      </c>
      <c r="AQ574" s="1">
        <v>0</v>
      </c>
      <c r="AR574" s="1" t="s">
        <v>1483</v>
      </c>
      <c r="AS574" s="1" t="s">
        <v>204</v>
      </c>
      <c r="AT574" s="1" t="s">
        <v>211</v>
      </c>
      <c r="AU574" s="1">
        <v>2</v>
      </c>
      <c r="AW574" s="1" t="s">
        <v>204</v>
      </c>
      <c r="AX574" s="1" t="s">
        <v>212</v>
      </c>
      <c r="AZ574" s="1">
        <v>4529.4799999999996</v>
      </c>
      <c r="BA574" s="1">
        <v>2013</v>
      </c>
      <c r="BB574" s="1" t="s">
        <v>210</v>
      </c>
      <c r="BC574" s="1">
        <v>0</v>
      </c>
      <c r="BD574" s="1">
        <v>2014</v>
      </c>
      <c r="BE574" s="1">
        <v>1657</v>
      </c>
      <c r="BF574" s="1">
        <v>1</v>
      </c>
      <c r="BG574" s="1">
        <v>1</v>
      </c>
      <c r="BL574" s="1">
        <v>141</v>
      </c>
      <c r="BM574" s="1" t="s">
        <v>204</v>
      </c>
      <c r="BN574" s="1" t="s">
        <v>213</v>
      </c>
      <c r="BO574" s="1">
        <v>999</v>
      </c>
      <c r="BP574" s="1" t="s">
        <v>204</v>
      </c>
      <c r="BR574" s="1" t="str">
        <f>"0211352005"</f>
        <v>0211352005</v>
      </c>
      <c r="BT574" s="1" t="s">
        <v>7131</v>
      </c>
      <c r="BX574" s="1">
        <v>115</v>
      </c>
      <c r="BY574" s="1">
        <v>115</v>
      </c>
      <c r="BZ574" s="1">
        <v>115</v>
      </c>
      <c r="CB574" s="1" t="str">
        <f t="shared" ref="CB574:CC574" si="445">"0"</f>
        <v>0</v>
      </c>
      <c r="CC574" s="1" t="str">
        <f t="shared" si="445"/>
        <v>0</v>
      </c>
      <c r="CD574" s="1">
        <v>40</v>
      </c>
      <c r="CE574" s="1">
        <v>11</v>
      </c>
      <c r="CG574" s="1" t="s">
        <v>437</v>
      </c>
      <c r="CH574" s="1" t="s">
        <v>219</v>
      </c>
      <c r="CK574" s="1" t="s">
        <v>932</v>
      </c>
      <c r="CL574" s="1" t="s">
        <v>277</v>
      </c>
      <c r="CM574" s="1" t="s">
        <v>220</v>
      </c>
      <c r="CO574" s="1" t="s">
        <v>316</v>
      </c>
      <c r="CP574" s="1" t="s">
        <v>219</v>
      </c>
      <c r="CS574" s="1" t="s">
        <v>1358</v>
      </c>
      <c r="CT574" s="1" t="s">
        <v>277</v>
      </c>
      <c r="CU574" s="1" t="s">
        <v>220</v>
      </c>
      <c r="CX574" s="1" t="s">
        <v>224</v>
      </c>
      <c r="DB574" s="1" t="s">
        <v>224</v>
      </c>
      <c r="DE574" s="1" t="s">
        <v>757</v>
      </c>
      <c r="DF574" s="1" t="s">
        <v>219</v>
      </c>
      <c r="DI574" s="1" t="s">
        <v>2122</v>
      </c>
      <c r="DJ574" s="1" t="s">
        <v>822</v>
      </c>
      <c r="DM574" s="1" t="s">
        <v>464</v>
      </c>
      <c r="DR574" s="1" t="s">
        <v>837</v>
      </c>
      <c r="DS574" s="1" t="s">
        <v>277</v>
      </c>
      <c r="DW574" s="1" t="s">
        <v>230</v>
      </c>
      <c r="EA574" s="1" t="s">
        <v>230</v>
      </c>
      <c r="EE574" s="1" t="s">
        <v>230</v>
      </c>
      <c r="EI574" s="1" t="s">
        <v>230</v>
      </c>
      <c r="EL574" s="1" t="s">
        <v>491</v>
      </c>
      <c r="EM574" s="1" t="s">
        <v>319</v>
      </c>
      <c r="EN574" s="1" t="s">
        <v>210</v>
      </c>
      <c r="EO574" s="1" t="s">
        <v>234</v>
      </c>
      <c r="EP574" s="1" t="s">
        <v>1268</v>
      </c>
      <c r="ER574" s="1" t="s">
        <v>544</v>
      </c>
      <c r="EV574" s="1" t="s">
        <v>324</v>
      </c>
      <c r="EW574" s="1" t="s">
        <v>1250</v>
      </c>
      <c r="EZ574" s="1" t="s">
        <v>464</v>
      </c>
      <c r="FA574" s="1" t="s">
        <v>5405</v>
      </c>
      <c r="FD574" s="1" t="s">
        <v>246</v>
      </c>
      <c r="FE574" s="1" t="s">
        <v>247</v>
      </c>
      <c r="FF574" s="1" t="s">
        <v>248</v>
      </c>
      <c r="FH574" s="1" t="s">
        <v>2175</v>
      </c>
      <c r="FL574" s="1" t="s">
        <v>358</v>
      </c>
      <c r="FM574" s="1" t="s">
        <v>252</v>
      </c>
      <c r="FN574" s="1" t="s">
        <v>213</v>
      </c>
      <c r="FO574" s="1" t="s">
        <v>213</v>
      </c>
      <c r="FQ574" s="1" t="s">
        <v>7132</v>
      </c>
      <c r="FR574" s="1" t="s">
        <v>210</v>
      </c>
      <c r="FS574" s="1" t="s">
        <v>7133</v>
      </c>
      <c r="FT574" s="1" t="s">
        <v>1182</v>
      </c>
      <c r="FU574" s="1" t="s">
        <v>204</v>
      </c>
      <c r="FV574" s="1" t="s">
        <v>7134</v>
      </c>
      <c r="FW574" s="1" t="s">
        <v>7135</v>
      </c>
      <c r="FX574" s="1">
        <v>85477</v>
      </c>
      <c r="FY574" s="1" t="s">
        <v>7136</v>
      </c>
      <c r="FZ574" s="1" t="s">
        <v>7137</v>
      </c>
      <c r="GA574" s="1">
        <v>106895</v>
      </c>
      <c r="GB574" s="1" t="s">
        <v>7136</v>
      </c>
      <c r="GE574" s="1" t="s">
        <v>776</v>
      </c>
      <c r="GI574" s="1" t="s">
        <v>204</v>
      </c>
      <c r="GJ574" s="1" t="s">
        <v>260</v>
      </c>
      <c r="GK574" s="1" t="s">
        <v>210</v>
      </c>
      <c r="GL574" s="2">
        <v>42016</v>
      </c>
      <c r="GM574" s="1" t="s">
        <v>7138</v>
      </c>
    </row>
    <row r="575" spans="1:195">
      <c r="A575" s="1">
        <v>74000</v>
      </c>
      <c r="B575" s="1" t="s">
        <v>195</v>
      </c>
      <c r="C575" s="1" t="str">
        <f>"08795645"</f>
        <v>08795645</v>
      </c>
      <c r="D575" s="1" t="s">
        <v>196</v>
      </c>
      <c r="F575" s="1" t="str">
        <f>"527"</f>
        <v>527</v>
      </c>
      <c r="G575" s="2">
        <v>41975</v>
      </c>
      <c r="H575" s="1">
        <v>79000</v>
      </c>
      <c r="I575" s="1">
        <v>79000</v>
      </c>
      <c r="J575" s="1">
        <v>74000</v>
      </c>
      <c r="K575" s="2">
        <v>41975</v>
      </c>
      <c r="L575" s="1">
        <v>7</v>
      </c>
      <c r="M575" s="2">
        <v>41981</v>
      </c>
      <c r="N575" s="1">
        <v>7</v>
      </c>
      <c r="O575" s="2">
        <v>41981</v>
      </c>
      <c r="P575" s="1">
        <v>15611</v>
      </c>
      <c r="Q575" s="1" t="s">
        <v>302</v>
      </c>
      <c r="R575" s="2">
        <v>41992</v>
      </c>
      <c r="S575" s="1">
        <v>134646</v>
      </c>
      <c r="U575" s="1">
        <v>10723</v>
      </c>
      <c r="V575" s="1" t="s">
        <v>7139</v>
      </c>
      <c r="W575" s="1" t="s">
        <v>425</v>
      </c>
      <c r="X575" s="1">
        <v>108</v>
      </c>
      <c r="Y575" s="1">
        <v>44</v>
      </c>
      <c r="Z575" s="1" t="s">
        <v>249</v>
      </c>
      <c r="AA575" s="1" t="s">
        <v>5962</v>
      </c>
      <c r="AB575" s="1">
        <v>60525</v>
      </c>
      <c r="AE575" s="1" t="s">
        <v>7140</v>
      </c>
      <c r="AF575" s="1">
        <v>1973</v>
      </c>
      <c r="AG575" s="1" t="s">
        <v>213</v>
      </c>
      <c r="AH575" s="1" t="s">
        <v>5964</v>
      </c>
      <c r="AI575" s="1" t="s">
        <v>310</v>
      </c>
      <c r="AJ575" s="1" t="s">
        <v>702</v>
      </c>
      <c r="AL575" s="1">
        <v>4</v>
      </c>
      <c r="AM575" s="1">
        <v>2</v>
      </c>
      <c r="AN575" s="1">
        <v>1</v>
      </c>
      <c r="AO575" s="1">
        <v>0</v>
      </c>
      <c r="AP575" s="1" t="s">
        <v>210</v>
      </c>
      <c r="AR575" s="1" t="s">
        <v>210</v>
      </c>
      <c r="AS575" s="1" t="s">
        <v>204</v>
      </c>
      <c r="AT575" s="1" t="s">
        <v>271</v>
      </c>
      <c r="AV575" s="1">
        <v>1</v>
      </c>
      <c r="AW575" s="1" t="s">
        <v>204</v>
      </c>
      <c r="AX575" s="1">
        <v>0</v>
      </c>
      <c r="AZ575" s="1">
        <v>250</v>
      </c>
      <c r="BA575" s="1">
        <v>2013</v>
      </c>
      <c r="BB575" s="1" t="s">
        <v>3996</v>
      </c>
      <c r="BE575" s="1">
        <v>850</v>
      </c>
      <c r="BF575" s="1">
        <v>1</v>
      </c>
      <c r="BG575" s="1">
        <v>10</v>
      </c>
      <c r="BL575" s="1">
        <v>191</v>
      </c>
      <c r="BM575" s="1" t="s">
        <v>204</v>
      </c>
      <c r="BN575" s="1" t="s">
        <v>213</v>
      </c>
      <c r="BP575" s="1" t="s">
        <v>204</v>
      </c>
      <c r="BR575" s="1" t="str">
        <f>"18292020391004"</f>
        <v>18292020391004</v>
      </c>
      <c r="BT575" s="1" t="s">
        <v>7141</v>
      </c>
      <c r="BX575" s="1">
        <v>107</v>
      </c>
      <c r="BY575" s="1">
        <v>107</v>
      </c>
      <c r="BZ575" s="1">
        <v>204</v>
      </c>
      <c r="CB575" s="1" t="str">
        <f t="shared" ref="CB575:CC575" si="446">""</f>
        <v/>
      </c>
      <c r="CC575" s="1" t="str">
        <f t="shared" si="446"/>
        <v/>
      </c>
      <c r="CD575" s="1">
        <v>13</v>
      </c>
      <c r="CE575" s="1">
        <v>8</v>
      </c>
      <c r="CG575" s="1" t="s">
        <v>344</v>
      </c>
      <c r="CH575" s="1" t="s">
        <v>219</v>
      </c>
      <c r="CI575" s="1" t="s">
        <v>220</v>
      </c>
      <c r="CJ575" s="1" t="s">
        <v>343</v>
      </c>
      <c r="CK575" s="1" t="s">
        <v>7142</v>
      </c>
      <c r="CL575" s="1" t="s">
        <v>219</v>
      </c>
      <c r="CM575" s="1" t="s">
        <v>220</v>
      </c>
      <c r="CN575" s="1" t="s">
        <v>343</v>
      </c>
      <c r="CP575" s="1" t="s">
        <v>224</v>
      </c>
      <c r="CS575" s="1" t="s">
        <v>7142</v>
      </c>
      <c r="CT575" s="1" t="s">
        <v>219</v>
      </c>
      <c r="CU575" s="1" t="s">
        <v>220</v>
      </c>
      <c r="CV575" s="1" t="s">
        <v>343</v>
      </c>
      <c r="CX575" s="1" t="s">
        <v>224</v>
      </c>
      <c r="DB575" s="1" t="s">
        <v>224</v>
      </c>
      <c r="DE575" s="1" t="s">
        <v>5898</v>
      </c>
      <c r="DF575" s="1" t="s">
        <v>219</v>
      </c>
      <c r="DG575" s="1" t="s">
        <v>226</v>
      </c>
      <c r="DH575" s="1" t="s">
        <v>210</v>
      </c>
      <c r="DJ575" s="1" t="s">
        <v>224</v>
      </c>
      <c r="DS575" s="1" t="s">
        <v>230</v>
      </c>
      <c r="DW575" s="1" t="s">
        <v>230</v>
      </c>
      <c r="EA575" s="1" t="s">
        <v>230</v>
      </c>
      <c r="EE575" s="1" t="s">
        <v>230</v>
      </c>
      <c r="EI575" s="1" t="s">
        <v>230</v>
      </c>
      <c r="EL575" s="1" t="s">
        <v>605</v>
      </c>
      <c r="EM575" s="1" t="s">
        <v>232</v>
      </c>
      <c r="EN575" s="1" t="s">
        <v>282</v>
      </c>
      <c r="EO575" s="1" t="s">
        <v>234</v>
      </c>
      <c r="ER575" s="1" t="s">
        <v>210</v>
      </c>
      <c r="EW575" s="1" t="s">
        <v>7143</v>
      </c>
      <c r="EY575" s="1" t="s">
        <v>242</v>
      </c>
      <c r="EZ575" s="1" t="s">
        <v>287</v>
      </c>
      <c r="FD575" s="1" t="s">
        <v>736</v>
      </c>
      <c r="FE575" s="1" t="s">
        <v>247</v>
      </c>
      <c r="FF575" s="1" t="s">
        <v>248</v>
      </c>
      <c r="FH575" s="1" t="s">
        <v>249</v>
      </c>
      <c r="FL575" s="1" t="s">
        <v>1073</v>
      </c>
      <c r="FM575" s="1" t="s">
        <v>252</v>
      </c>
      <c r="FN575" s="1" t="s">
        <v>213</v>
      </c>
      <c r="FO575" s="1" t="s">
        <v>213</v>
      </c>
      <c r="FQ575" s="1" t="s">
        <v>7144</v>
      </c>
      <c r="FR575" s="1" t="s">
        <v>210</v>
      </c>
      <c r="FS575" s="1" t="s">
        <v>7145</v>
      </c>
      <c r="FT575" s="1" t="s">
        <v>255</v>
      </c>
      <c r="FU575" s="1" t="s">
        <v>204</v>
      </c>
      <c r="FW575" s="1" t="s">
        <v>7146</v>
      </c>
      <c r="FX575" s="1">
        <v>15611</v>
      </c>
      <c r="FY575" s="1" t="s">
        <v>7147</v>
      </c>
      <c r="FZ575" s="1" t="s">
        <v>7148</v>
      </c>
      <c r="GA575" s="1">
        <v>134646</v>
      </c>
      <c r="GB575" s="1" t="s">
        <v>7147</v>
      </c>
      <c r="GD575" s="1" t="s">
        <v>7149</v>
      </c>
      <c r="GE575" s="1" t="s">
        <v>480</v>
      </c>
      <c r="GI575" s="1" t="s">
        <v>213</v>
      </c>
      <c r="GJ575" s="1" t="s">
        <v>260</v>
      </c>
      <c r="GK575" s="1" t="s">
        <v>4920</v>
      </c>
      <c r="GL575" s="2">
        <v>41993</v>
      </c>
      <c r="GM575" s="1" t="s">
        <v>7150</v>
      </c>
    </row>
    <row r="576" spans="1:195">
      <c r="A576" s="1">
        <v>112000</v>
      </c>
      <c r="B576" s="1" t="s">
        <v>195</v>
      </c>
      <c r="C576" s="1" t="str">
        <f>"08805243"</f>
        <v>08805243</v>
      </c>
      <c r="D576" s="1" t="s">
        <v>196</v>
      </c>
      <c r="F576" s="1" t="str">
        <f>"540"</f>
        <v>540</v>
      </c>
      <c r="G576" s="2">
        <v>41995</v>
      </c>
      <c r="H576" s="1">
        <v>124900</v>
      </c>
      <c r="I576" s="1">
        <v>119900</v>
      </c>
      <c r="J576" s="1">
        <v>112000</v>
      </c>
      <c r="K576" s="2">
        <v>41995</v>
      </c>
      <c r="L576" s="1">
        <v>56</v>
      </c>
      <c r="M576" s="2">
        <v>42050</v>
      </c>
      <c r="N576" s="1">
        <v>56</v>
      </c>
      <c r="O576" s="2">
        <v>42050</v>
      </c>
      <c r="P576" s="1">
        <v>23265</v>
      </c>
      <c r="Q576" s="1" t="s">
        <v>197</v>
      </c>
      <c r="R576" s="2">
        <v>42082</v>
      </c>
      <c r="S576" s="1">
        <v>242573</v>
      </c>
      <c r="U576" s="1">
        <v>1332</v>
      </c>
      <c r="V576" s="1" t="s">
        <v>7151</v>
      </c>
      <c r="W576" s="1" t="s">
        <v>1056</v>
      </c>
      <c r="X576" s="1">
        <v>201</v>
      </c>
      <c r="Y576" s="1">
        <v>8</v>
      </c>
      <c r="Z576" s="1" t="s">
        <v>249</v>
      </c>
      <c r="AA576" s="1" t="s">
        <v>921</v>
      </c>
      <c r="AB576" s="1">
        <v>60563</v>
      </c>
      <c r="AD576" s="1" t="s">
        <v>7152</v>
      </c>
      <c r="AE576" s="1" t="s">
        <v>7153</v>
      </c>
      <c r="AF576" s="1">
        <v>1985</v>
      </c>
      <c r="AG576" s="1" t="s">
        <v>204</v>
      </c>
      <c r="AH576" s="1" t="s">
        <v>924</v>
      </c>
      <c r="AI576" s="1" t="s">
        <v>206</v>
      </c>
      <c r="AJ576" s="1" t="s">
        <v>924</v>
      </c>
      <c r="AK576" s="1" t="s">
        <v>7154</v>
      </c>
      <c r="AL576" s="1">
        <v>5</v>
      </c>
      <c r="AM576" s="1">
        <v>2</v>
      </c>
      <c r="AN576" s="1">
        <v>2</v>
      </c>
      <c r="AO576" s="1">
        <v>0</v>
      </c>
      <c r="AP576" s="1" t="s">
        <v>209</v>
      </c>
      <c r="AR576" s="1" t="s">
        <v>210</v>
      </c>
      <c r="AS576" s="1" t="s">
        <v>204</v>
      </c>
      <c r="AT576" s="1" t="s">
        <v>271</v>
      </c>
      <c r="AV576" s="1">
        <v>1</v>
      </c>
      <c r="AW576" s="1" t="s">
        <v>204</v>
      </c>
      <c r="AX576" s="1" t="s">
        <v>212</v>
      </c>
      <c r="AZ576" s="5">
        <v>1899</v>
      </c>
      <c r="BA576" s="1">
        <v>2013</v>
      </c>
      <c r="BB576" s="1" t="s">
        <v>210</v>
      </c>
      <c r="BE576" s="1">
        <v>963</v>
      </c>
      <c r="BF576" s="1">
        <v>2</v>
      </c>
      <c r="BG576" s="1">
        <v>7</v>
      </c>
      <c r="BL576" s="1">
        <v>289</v>
      </c>
      <c r="BM576" s="1" t="s">
        <v>204</v>
      </c>
      <c r="BN576" s="1" t="s">
        <v>213</v>
      </c>
      <c r="BO576" s="1">
        <v>50</v>
      </c>
      <c r="BP576" s="1" t="s">
        <v>204</v>
      </c>
      <c r="BR576" s="1" t="str">
        <f>"0710213213"</f>
        <v>0710213213</v>
      </c>
      <c r="BT576" s="1" t="s">
        <v>7155</v>
      </c>
      <c r="BU576" s="1" t="s">
        <v>1247</v>
      </c>
      <c r="BV576" s="1" t="s">
        <v>1248</v>
      </c>
      <c r="BW576" s="1" t="s">
        <v>1312</v>
      </c>
      <c r="BX576" s="1">
        <v>204</v>
      </c>
      <c r="BY576" s="1">
        <v>204</v>
      </c>
      <c r="BZ576" s="1">
        <v>204</v>
      </c>
      <c r="CB576" s="1" t="str">
        <f t="shared" ref="CB576:CC576" si="447">""</f>
        <v/>
      </c>
      <c r="CC576" s="1" t="str">
        <f t="shared" si="447"/>
        <v/>
      </c>
      <c r="CG576" s="1" t="s">
        <v>2935</v>
      </c>
      <c r="CH576" s="1" t="s">
        <v>277</v>
      </c>
      <c r="CI576" s="1" t="s">
        <v>220</v>
      </c>
      <c r="CK576" s="1" t="s">
        <v>1854</v>
      </c>
      <c r="CL576" s="1" t="s">
        <v>277</v>
      </c>
      <c r="CM576" s="1" t="s">
        <v>220</v>
      </c>
      <c r="CO576" s="1" t="s">
        <v>407</v>
      </c>
      <c r="CP576" s="1" t="s">
        <v>277</v>
      </c>
      <c r="CQ576" s="1" t="s">
        <v>220</v>
      </c>
      <c r="CS576" s="1" t="s">
        <v>1469</v>
      </c>
      <c r="CT576" s="1" t="s">
        <v>277</v>
      </c>
      <c r="CU576" s="1" t="s">
        <v>220</v>
      </c>
      <c r="CX576" s="1" t="s">
        <v>224</v>
      </c>
      <c r="DB576" s="1" t="s">
        <v>224</v>
      </c>
      <c r="DE576" s="1" t="s">
        <v>7142</v>
      </c>
      <c r="DF576" s="1" t="s">
        <v>277</v>
      </c>
      <c r="DG576" s="1" t="s">
        <v>226</v>
      </c>
      <c r="DJ576" s="1" t="s">
        <v>224</v>
      </c>
      <c r="DS576" s="1" t="s">
        <v>230</v>
      </c>
      <c r="DW576" s="1" t="s">
        <v>230</v>
      </c>
      <c r="EA576" s="1" t="s">
        <v>230</v>
      </c>
      <c r="EE576" s="1" t="s">
        <v>230</v>
      </c>
      <c r="EI576" s="1" t="s">
        <v>230</v>
      </c>
      <c r="EL576" s="1" t="s">
        <v>542</v>
      </c>
      <c r="EM576" s="1" t="s">
        <v>232</v>
      </c>
      <c r="EN576" s="1" t="s">
        <v>282</v>
      </c>
      <c r="EO576" s="1" t="s">
        <v>234</v>
      </c>
      <c r="EP576" s="1" t="s">
        <v>7156</v>
      </c>
      <c r="EQ576" s="1" t="s">
        <v>492</v>
      </c>
      <c r="ER576" s="1" t="s">
        <v>210</v>
      </c>
      <c r="EW576" s="1" t="s">
        <v>7157</v>
      </c>
      <c r="EZ576" s="1" t="s">
        <v>287</v>
      </c>
      <c r="FB576" s="1" t="s">
        <v>289</v>
      </c>
      <c r="FC576" s="1" t="s">
        <v>633</v>
      </c>
      <c r="FD576" s="1" t="s">
        <v>495</v>
      </c>
      <c r="FE576" s="1" t="s">
        <v>549</v>
      </c>
      <c r="FF576" s="1" t="s">
        <v>248</v>
      </c>
      <c r="FH576" s="1" t="s">
        <v>249</v>
      </c>
      <c r="FK576" s="1" t="s">
        <v>291</v>
      </c>
      <c r="FL576" s="1" t="s">
        <v>358</v>
      </c>
      <c r="FM576" s="1" t="s">
        <v>252</v>
      </c>
      <c r="FN576" s="1" t="s">
        <v>213</v>
      </c>
      <c r="FO576" s="1" t="s">
        <v>204</v>
      </c>
      <c r="FQ576" s="1" t="s">
        <v>956</v>
      </c>
      <c r="FR576" s="1" t="s">
        <v>210</v>
      </c>
      <c r="FS576" s="1" t="s">
        <v>1429</v>
      </c>
      <c r="FT576" s="1" t="s">
        <v>295</v>
      </c>
      <c r="FU576" s="1" t="s">
        <v>204</v>
      </c>
      <c r="FW576" s="1" t="s">
        <v>943</v>
      </c>
      <c r="FX576" s="1">
        <v>23120</v>
      </c>
      <c r="FY576" s="1" t="s">
        <v>944</v>
      </c>
      <c r="FZ576" s="1" t="s">
        <v>7158</v>
      </c>
      <c r="GA576" s="1">
        <v>240027</v>
      </c>
      <c r="GE576" s="1" t="s">
        <v>210</v>
      </c>
      <c r="GI576" s="1" t="s">
        <v>213</v>
      </c>
      <c r="GJ576" s="1" t="s">
        <v>260</v>
      </c>
      <c r="GK576" s="1" t="s">
        <v>210</v>
      </c>
      <c r="GL576" s="2">
        <v>42084</v>
      </c>
      <c r="GM576" s="1" t="s">
        <v>7159</v>
      </c>
    </row>
    <row r="577" spans="1:195">
      <c r="A577" s="1">
        <v>165000</v>
      </c>
      <c r="B577" s="1" t="s">
        <v>195</v>
      </c>
      <c r="C577" s="1" t="str">
        <f>"08798164"</f>
        <v>08798164</v>
      </c>
      <c r="D577" s="1" t="s">
        <v>196</v>
      </c>
      <c r="F577" s="1" t="str">
        <f>"515"</f>
        <v>515</v>
      </c>
      <c r="G577" s="2">
        <v>41979</v>
      </c>
      <c r="H577" s="1">
        <v>174400</v>
      </c>
      <c r="I577" s="1">
        <v>174400</v>
      </c>
      <c r="J577" s="1">
        <v>165000</v>
      </c>
      <c r="K577" s="2">
        <v>41979</v>
      </c>
      <c r="L577" s="1">
        <v>8</v>
      </c>
      <c r="M577" s="2">
        <v>41986</v>
      </c>
      <c r="N577" s="1">
        <v>8</v>
      </c>
      <c r="O577" s="2">
        <v>41986</v>
      </c>
      <c r="P577" s="1">
        <v>74</v>
      </c>
      <c r="Q577" s="1" t="s">
        <v>302</v>
      </c>
      <c r="R577" s="2">
        <v>42020</v>
      </c>
      <c r="S577" s="1">
        <v>304034</v>
      </c>
      <c r="U577" s="1">
        <v>754</v>
      </c>
      <c r="V577" s="1" t="s">
        <v>7160</v>
      </c>
      <c r="W577" s="1" t="s">
        <v>1056</v>
      </c>
      <c r="Y577" s="1">
        <v>5</v>
      </c>
      <c r="Z577" s="1" t="s">
        <v>370</v>
      </c>
      <c r="AA577" s="1" t="s">
        <v>1294</v>
      </c>
      <c r="AB577" s="1">
        <v>60516</v>
      </c>
      <c r="AD577" s="1" t="s">
        <v>7161</v>
      </c>
      <c r="AE577" s="1" t="s">
        <v>7162</v>
      </c>
      <c r="AF577" s="1">
        <v>1980</v>
      </c>
      <c r="AG577" s="1" t="s">
        <v>204</v>
      </c>
      <c r="AH577" s="1" t="s">
        <v>903</v>
      </c>
      <c r="AI577" s="1" t="s">
        <v>206</v>
      </c>
      <c r="AJ577" s="1" t="s">
        <v>903</v>
      </c>
      <c r="AK577" s="1" t="s">
        <v>2247</v>
      </c>
      <c r="AL577" s="1">
        <v>6</v>
      </c>
      <c r="AM577" s="1">
        <v>2</v>
      </c>
      <c r="AN577" s="1">
        <v>2</v>
      </c>
      <c r="AO577" s="1">
        <v>0</v>
      </c>
      <c r="AP577" s="1" t="s">
        <v>209</v>
      </c>
      <c r="AQ577" s="1">
        <v>1</v>
      </c>
      <c r="AR577" s="1" t="s">
        <v>210</v>
      </c>
      <c r="AS577" s="1" t="s">
        <v>204</v>
      </c>
      <c r="AT577" s="1" t="s">
        <v>211</v>
      </c>
      <c r="AU577" s="1">
        <v>1</v>
      </c>
      <c r="AW577" s="1" t="s">
        <v>204</v>
      </c>
      <c r="AX577" s="1" t="s">
        <v>579</v>
      </c>
      <c r="AZ577" s="1">
        <v>3744</v>
      </c>
      <c r="BA577" s="1">
        <v>2013</v>
      </c>
      <c r="BB577" s="1" t="s">
        <v>405</v>
      </c>
      <c r="BC577" s="1">
        <v>0</v>
      </c>
      <c r="BE577" s="1">
        <v>1200</v>
      </c>
      <c r="BF577" s="1">
        <v>1</v>
      </c>
      <c r="BG577" s="1">
        <v>10</v>
      </c>
      <c r="BL577" s="1">
        <v>360</v>
      </c>
      <c r="BM577" s="1" t="s">
        <v>204</v>
      </c>
      <c r="BN577" s="1" t="s">
        <v>213</v>
      </c>
      <c r="BO577" s="1">
        <v>999</v>
      </c>
      <c r="BP577" s="1" t="s">
        <v>204</v>
      </c>
      <c r="BR577" s="1" t="str">
        <f>"0929204057"</f>
        <v>0929204057</v>
      </c>
      <c r="BT577" s="1" t="s">
        <v>7163</v>
      </c>
      <c r="BV577" s="1" t="s">
        <v>3098</v>
      </c>
      <c r="BW577" s="1" t="s">
        <v>3099</v>
      </c>
      <c r="BX577" s="1">
        <v>61</v>
      </c>
      <c r="BY577" s="1">
        <v>61</v>
      </c>
      <c r="BZ577" s="1">
        <v>99</v>
      </c>
      <c r="CB577" s="1" t="str">
        <f t="shared" ref="CB577:CC577" si="448">"0"</f>
        <v>0</v>
      </c>
      <c r="CC577" s="1" t="str">
        <f t="shared" si="448"/>
        <v>0</v>
      </c>
      <c r="CD577" s="1">
        <v>19</v>
      </c>
      <c r="CE577" s="1">
        <v>8</v>
      </c>
      <c r="CG577" s="1" t="s">
        <v>315</v>
      </c>
      <c r="CH577" s="1" t="s">
        <v>219</v>
      </c>
      <c r="CI577" s="1" t="s">
        <v>220</v>
      </c>
      <c r="CK577" s="1" t="s">
        <v>461</v>
      </c>
      <c r="CL577" s="1" t="s">
        <v>277</v>
      </c>
      <c r="CM577" s="1" t="s">
        <v>220</v>
      </c>
      <c r="CO577" s="1" t="s">
        <v>465</v>
      </c>
      <c r="CP577" s="1" t="s">
        <v>219</v>
      </c>
      <c r="CQ577" s="1" t="s">
        <v>1236</v>
      </c>
      <c r="CS577" s="1" t="s">
        <v>378</v>
      </c>
      <c r="CT577" s="1" t="s">
        <v>219</v>
      </c>
      <c r="CU577" s="1" t="s">
        <v>220</v>
      </c>
      <c r="CX577" s="1" t="s">
        <v>224</v>
      </c>
      <c r="DB577" s="1" t="s">
        <v>224</v>
      </c>
      <c r="DE577" s="1" t="s">
        <v>378</v>
      </c>
      <c r="DF577" s="1" t="s">
        <v>219</v>
      </c>
      <c r="DG577" s="1" t="s">
        <v>226</v>
      </c>
      <c r="DJ577" s="1" t="s">
        <v>224</v>
      </c>
      <c r="DM577" s="1" t="s">
        <v>464</v>
      </c>
      <c r="DN577" s="1" t="s">
        <v>3011</v>
      </c>
      <c r="DR577" s="1" t="s">
        <v>379</v>
      </c>
      <c r="DS577" s="1" t="s">
        <v>277</v>
      </c>
      <c r="DT577" s="1" t="s">
        <v>220</v>
      </c>
      <c r="DV577" s="1" t="s">
        <v>7164</v>
      </c>
      <c r="DW577" s="1" t="s">
        <v>219</v>
      </c>
      <c r="EA577" s="1" t="s">
        <v>230</v>
      </c>
      <c r="EE577" s="1" t="s">
        <v>230</v>
      </c>
      <c r="EI577" s="1" t="s">
        <v>230</v>
      </c>
      <c r="EL577" s="1" t="s">
        <v>231</v>
      </c>
      <c r="EM577" s="1" t="s">
        <v>232</v>
      </c>
      <c r="EN577" s="1" t="s">
        <v>282</v>
      </c>
      <c r="EO577" s="1" t="s">
        <v>840</v>
      </c>
      <c r="EP577" s="1" t="s">
        <v>650</v>
      </c>
      <c r="EQ577" s="1" t="s">
        <v>236</v>
      </c>
      <c r="ER577" s="1" t="s">
        <v>210</v>
      </c>
      <c r="EU577" s="1" t="s">
        <v>546</v>
      </c>
      <c r="EV577" s="1" t="s">
        <v>324</v>
      </c>
      <c r="EW577" s="1" t="s">
        <v>5100</v>
      </c>
      <c r="EY577" s="1" t="s">
        <v>242</v>
      </c>
      <c r="EZ577" s="1" t="s">
        <v>7165</v>
      </c>
      <c r="FA577" s="1" t="s">
        <v>938</v>
      </c>
      <c r="FB577" s="1" t="s">
        <v>289</v>
      </c>
      <c r="FD577" s="1" t="s">
        <v>246</v>
      </c>
      <c r="FE577" s="1" t="s">
        <v>870</v>
      </c>
      <c r="FF577" s="1" t="s">
        <v>248</v>
      </c>
      <c r="FG577" s="1" t="s">
        <v>939</v>
      </c>
      <c r="FH577" s="1" t="s">
        <v>550</v>
      </c>
      <c r="FL577" s="1" t="s">
        <v>414</v>
      </c>
      <c r="FM577" s="1" t="s">
        <v>252</v>
      </c>
      <c r="FN577" s="1" t="s">
        <v>213</v>
      </c>
      <c r="FO577" s="1" t="s">
        <v>213</v>
      </c>
      <c r="FQ577" s="1" t="s">
        <v>4005</v>
      </c>
      <c r="FR577" s="1" t="s">
        <v>652</v>
      </c>
      <c r="FS577" s="1" t="s">
        <v>7166</v>
      </c>
      <c r="FT577" s="1" t="s">
        <v>7167</v>
      </c>
      <c r="FU577" s="1" t="s">
        <v>204</v>
      </c>
      <c r="FW577" s="1" t="s">
        <v>5202</v>
      </c>
      <c r="FX577" s="1">
        <v>22067</v>
      </c>
      <c r="FY577" s="1" t="s">
        <v>5203</v>
      </c>
      <c r="FZ577" s="1" t="s">
        <v>7168</v>
      </c>
      <c r="GA577" s="1">
        <v>212662</v>
      </c>
      <c r="GB577" s="1" t="s">
        <v>7169</v>
      </c>
      <c r="GC577" s="1">
        <v>221449</v>
      </c>
      <c r="GD577" s="1" t="s">
        <v>7170</v>
      </c>
      <c r="GE577" s="1" t="s">
        <v>210</v>
      </c>
      <c r="GI577" s="1" t="s">
        <v>213</v>
      </c>
      <c r="GJ577" s="1" t="s">
        <v>260</v>
      </c>
      <c r="GK577" s="1" t="s">
        <v>210</v>
      </c>
      <c r="GL577" s="2">
        <v>42020</v>
      </c>
      <c r="GM577" s="1" t="s">
        <v>7171</v>
      </c>
    </row>
    <row r="578" spans="1:195">
      <c r="A578" s="1">
        <v>103500</v>
      </c>
      <c r="B578" s="1" t="s">
        <v>195</v>
      </c>
      <c r="C578" s="1" t="str">
        <f>"08799107"</f>
        <v>08799107</v>
      </c>
      <c r="D578" s="1" t="s">
        <v>196</v>
      </c>
      <c r="F578" s="1" t="str">
        <f>"30"</f>
        <v>30</v>
      </c>
      <c r="G578" s="2">
        <v>41982</v>
      </c>
      <c r="H578" s="1">
        <v>109900</v>
      </c>
      <c r="I578" s="1">
        <v>109900</v>
      </c>
      <c r="J578" s="1">
        <v>103500</v>
      </c>
      <c r="K578" s="2">
        <v>41981</v>
      </c>
      <c r="L578" s="1">
        <v>37</v>
      </c>
      <c r="M578" s="2">
        <v>41981</v>
      </c>
      <c r="N578" s="1">
        <v>1</v>
      </c>
      <c r="O578" s="2">
        <v>41981</v>
      </c>
      <c r="P578" s="1">
        <v>8073</v>
      </c>
      <c r="Q578" s="1" t="s">
        <v>197</v>
      </c>
      <c r="R578" s="2">
        <v>42026</v>
      </c>
      <c r="S578" s="1">
        <v>81720</v>
      </c>
      <c r="U578" s="1">
        <v>1384</v>
      </c>
      <c r="V578" s="1" t="s">
        <v>7172</v>
      </c>
      <c r="W578" s="1" t="s">
        <v>304</v>
      </c>
      <c r="Y578" s="1">
        <v>4</v>
      </c>
      <c r="Z578" s="1" t="s">
        <v>370</v>
      </c>
      <c r="AA578" s="1" t="s">
        <v>1834</v>
      </c>
      <c r="AB578" s="1">
        <v>60030</v>
      </c>
      <c r="AD578" s="1" t="s">
        <v>7173</v>
      </c>
      <c r="AE578" s="1" t="s">
        <v>7174</v>
      </c>
      <c r="AF578" s="1">
        <v>1997</v>
      </c>
      <c r="AG578" s="1" t="s">
        <v>204</v>
      </c>
      <c r="AH578" s="1" t="s">
        <v>1837</v>
      </c>
      <c r="AI578" s="1" t="s">
        <v>509</v>
      </c>
      <c r="AJ578" s="1" t="s">
        <v>1263</v>
      </c>
      <c r="AK578" s="1" t="s">
        <v>1838</v>
      </c>
      <c r="AL578" s="1">
        <v>5</v>
      </c>
      <c r="AM578" s="1">
        <v>2</v>
      </c>
      <c r="AN578" s="1">
        <v>2</v>
      </c>
      <c r="AO578" s="1">
        <v>1</v>
      </c>
      <c r="AP578" s="1" t="s">
        <v>209</v>
      </c>
      <c r="AR578" s="1" t="s">
        <v>210</v>
      </c>
      <c r="AT578" s="1" t="s">
        <v>211</v>
      </c>
      <c r="AU578" s="1">
        <v>1</v>
      </c>
      <c r="AW578" s="1" t="s">
        <v>204</v>
      </c>
      <c r="AX578" s="1" t="s">
        <v>579</v>
      </c>
      <c r="AZ578" s="1">
        <v>5177.6400000000003</v>
      </c>
      <c r="BA578" s="1">
        <v>2012</v>
      </c>
      <c r="BB578" s="1" t="s">
        <v>405</v>
      </c>
      <c r="BE578" s="1">
        <v>1317</v>
      </c>
      <c r="BF578" s="1">
        <v>1</v>
      </c>
      <c r="BG578" s="1">
        <v>0</v>
      </c>
      <c r="BL578" s="1">
        <v>125</v>
      </c>
      <c r="BM578" s="1" t="s">
        <v>204</v>
      </c>
      <c r="BN578" s="1" t="s">
        <v>213</v>
      </c>
      <c r="BO578" s="1">
        <v>999</v>
      </c>
      <c r="BP578" s="1" t="s">
        <v>204</v>
      </c>
      <c r="BR578" s="1" t="str">
        <f>"06222080500000"</f>
        <v>06222080500000</v>
      </c>
      <c r="BT578" s="1" t="s">
        <v>7175</v>
      </c>
      <c r="BU578" s="1" t="s">
        <v>1841</v>
      </c>
      <c r="BV578" s="1" t="s">
        <v>5333</v>
      </c>
      <c r="BW578" s="1" t="s">
        <v>1843</v>
      </c>
      <c r="BX578" s="1">
        <v>46</v>
      </c>
      <c r="BY578" s="1">
        <v>46</v>
      </c>
      <c r="BZ578" s="1">
        <v>127</v>
      </c>
      <c r="CB578" s="1" t="str">
        <f>"34"</f>
        <v>34</v>
      </c>
      <c r="CC578" s="1" t="str">
        <f t="shared" ref="CC578:CC579" si="449">"0"</f>
        <v>0</v>
      </c>
      <c r="CD578" s="1">
        <v>21</v>
      </c>
      <c r="CE578" s="1">
        <v>0</v>
      </c>
      <c r="CG578" s="1" t="s">
        <v>564</v>
      </c>
      <c r="CH578" s="1" t="s">
        <v>219</v>
      </c>
      <c r="CI578" s="1" t="s">
        <v>220</v>
      </c>
      <c r="CJ578" s="1" t="s">
        <v>252</v>
      </c>
      <c r="CK578" s="1" t="s">
        <v>1045</v>
      </c>
      <c r="CL578" s="1" t="s">
        <v>277</v>
      </c>
      <c r="CM578" s="1" t="s">
        <v>220</v>
      </c>
      <c r="CN578" s="1" t="s">
        <v>252</v>
      </c>
      <c r="CO578" s="1" t="s">
        <v>3284</v>
      </c>
      <c r="CP578" s="1" t="s">
        <v>219</v>
      </c>
      <c r="CQ578" s="1" t="s">
        <v>220</v>
      </c>
      <c r="CR578" s="1" t="s">
        <v>252</v>
      </c>
      <c r="CS578" s="1" t="s">
        <v>465</v>
      </c>
      <c r="CT578" s="1" t="s">
        <v>277</v>
      </c>
      <c r="CU578" s="1" t="s">
        <v>220</v>
      </c>
      <c r="CV578" s="1" t="s">
        <v>252</v>
      </c>
      <c r="CX578" s="1" t="s">
        <v>224</v>
      </c>
      <c r="DB578" s="1" t="s">
        <v>224</v>
      </c>
      <c r="DE578" s="1" t="s">
        <v>378</v>
      </c>
      <c r="DF578" s="1" t="s">
        <v>219</v>
      </c>
      <c r="DG578" s="1" t="s">
        <v>229</v>
      </c>
      <c r="DH578" s="1" t="s">
        <v>252</v>
      </c>
      <c r="DJ578" s="1" t="s">
        <v>224</v>
      </c>
      <c r="DS578" s="1" t="s">
        <v>230</v>
      </c>
      <c r="DW578" s="1" t="s">
        <v>230</v>
      </c>
      <c r="EA578" s="1" t="s">
        <v>230</v>
      </c>
      <c r="EE578" s="1" t="s">
        <v>230</v>
      </c>
      <c r="EI578" s="1" t="s">
        <v>230</v>
      </c>
      <c r="EL578" s="1" t="s">
        <v>670</v>
      </c>
      <c r="EM578" s="1" t="s">
        <v>319</v>
      </c>
      <c r="EN578" s="1" t="s">
        <v>282</v>
      </c>
      <c r="EO578" s="1" t="s">
        <v>234</v>
      </c>
      <c r="EQ578" s="1" t="s">
        <v>236</v>
      </c>
      <c r="ER578" s="1" t="s">
        <v>383</v>
      </c>
      <c r="ES578" s="1" t="s">
        <v>824</v>
      </c>
      <c r="EU578" s="1" t="s">
        <v>239</v>
      </c>
      <c r="EV578" s="1" t="s">
        <v>240</v>
      </c>
      <c r="EW578" s="1" t="s">
        <v>353</v>
      </c>
      <c r="EY578" s="1" t="s">
        <v>242</v>
      </c>
      <c r="EZ578" s="1" t="s">
        <v>287</v>
      </c>
      <c r="FA578" s="1" t="s">
        <v>1554</v>
      </c>
      <c r="FB578" s="1" t="s">
        <v>289</v>
      </c>
      <c r="FD578" s="1" t="s">
        <v>495</v>
      </c>
      <c r="FE578" s="1" t="s">
        <v>472</v>
      </c>
      <c r="FF578" s="1" t="s">
        <v>248</v>
      </c>
      <c r="FH578" s="1" t="s">
        <v>550</v>
      </c>
      <c r="FI578" s="1" t="s">
        <v>473</v>
      </c>
      <c r="FL578" s="1" t="s">
        <v>358</v>
      </c>
      <c r="FM578" s="1" t="s">
        <v>252</v>
      </c>
      <c r="FN578" s="1" t="s">
        <v>213</v>
      </c>
      <c r="FO578" s="1" t="s">
        <v>213</v>
      </c>
      <c r="FQ578" s="1" t="s">
        <v>793</v>
      </c>
      <c r="FR578" s="1" t="s">
        <v>210</v>
      </c>
      <c r="FS578" s="1" t="s">
        <v>7176</v>
      </c>
      <c r="FT578" s="1" t="s">
        <v>255</v>
      </c>
      <c r="FU578" s="1" t="s">
        <v>204</v>
      </c>
      <c r="FW578" s="1" t="s">
        <v>3132</v>
      </c>
      <c r="FX578" s="1">
        <v>6267</v>
      </c>
      <c r="FY578" s="1" t="s">
        <v>3133</v>
      </c>
      <c r="FZ578" s="1" t="s">
        <v>7177</v>
      </c>
      <c r="GA578" s="1">
        <v>37582</v>
      </c>
      <c r="GB578" s="1" t="s">
        <v>7178</v>
      </c>
      <c r="GC578" s="1">
        <v>37600</v>
      </c>
      <c r="GE578" s="1" t="s">
        <v>210</v>
      </c>
      <c r="GI578" s="1" t="s">
        <v>213</v>
      </c>
      <c r="GJ578" s="1" t="s">
        <v>260</v>
      </c>
      <c r="GK578" s="1" t="s">
        <v>210</v>
      </c>
      <c r="GL578" s="2">
        <v>42030</v>
      </c>
    </row>
    <row r="579" spans="1:195">
      <c r="A579" s="1">
        <v>89000</v>
      </c>
      <c r="B579" s="1" t="s">
        <v>195</v>
      </c>
      <c r="C579" s="1" t="str">
        <f>"08798460"</f>
        <v>08798460</v>
      </c>
      <c r="D579" s="1" t="s">
        <v>196</v>
      </c>
      <c r="F579" s="1" t="str">
        <f>"177"</f>
        <v>177</v>
      </c>
      <c r="G579" s="2">
        <v>41981</v>
      </c>
      <c r="H579" s="1">
        <v>119900</v>
      </c>
      <c r="I579" s="1">
        <v>119900</v>
      </c>
      <c r="J579" s="1">
        <v>89000</v>
      </c>
      <c r="K579" s="2">
        <v>41981</v>
      </c>
      <c r="L579" s="1">
        <v>73</v>
      </c>
      <c r="M579" s="2">
        <v>42053</v>
      </c>
      <c r="N579" s="1">
        <v>73</v>
      </c>
      <c r="O579" s="2">
        <v>42053</v>
      </c>
      <c r="P579" s="1">
        <v>5030</v>
      </c>
      <c r="Q579" s="1" t="s">
        <v>197</v>
      </c>
      <c r="R579" s="2">
        <v>42094</v>
      </c>
      <c r="S579" s="1">
        <v>55864</v>
      </c>
      <c r="U579" s="1">
        <v>340</v>
      </c>
      <c r="V579" s="1" t="s">
        <v>5552</v>
      </c>
      <c r="W579" s="1" t="s">
        <v>304</v>
      </c>
      <c r="X579" s="1" t="s">
        <v>1688</v>
      </c>
      <c r="Y579" s="1">
        <v>4</v>
      </c>
      <c r="Z579" s="1" t="s">
        <v>370</v>
      </c>
      <c r="AA579" s="1" t="s">
        <v>1461</v>
      </c>
      <c r="AB579" s="1">
        <v>60177</v>
      </c>
      <c r="AD579" s="1" t="s">
        <v>1462</v>
      </c>
      <c r="AE579" s="1" t="s">
        <v>7179</v>
      </c>
      <c r="AF579" s="1">
        <v>1999</v>
      </c>
      <c r="AG579" s="1" t="s">
        <v>204</v>
      </c>
      <c r="AH579" s="1" t="s">
        <v>1464</v>
      </c>
      <c r="AI579" s="1" t="s">
        <v>665</v>
      </c>
      <c r="AJ579" s="1" t="s">
        <v>1175</v>
      </c>
      <c r="AL579" s="1">
        <v>6</v>
      </c>
      <c r="AM579" s="1">
        <v>2</v>
      </c>
      <c r="AN579" s="1">
        <v>1</v>
      </c>
      <c r="AO579" s="1">
        <v>1</v>
      </c>
      <c r="AP579" s="1" t="s">
        <v>209</v>
      </c>
      <c r="AQ579" s="1">
        <v>1</v>
      </c>
      <c r="AR579" s="1" t="s">
        <v>209</v>
      </c>
      <c r="AS579" s="1" t="s">
        <v>204</v>
      </c>
      <c r="AT579" s="1" t="s">
        <v>211</v>
      </c>
      <c r="AU579" s="1">
        <v>1</v>
      </c>
      <c r="AW579" s="1" t="s">
        <v>204</v>
      </c>
      <c r="AX579" s="1">
        <v>0</v>
      </c>
      <c r="AZ579" s="1">
        <v>2915.72</v>
      </c>
      <c r="BA579" s="1">
        <v>2013</v>
      </c>
      <c r="BB579" s="1" t="s">
        <v>210</v>
      </c>
      <c r="BE579" s="1">
        <v>1220</v>
      </c>
      <c r="BF579" s="1">
        <v>1</v>
      </c>
      <c r="BG579" s="1">
        <v>1</v>
      </c>
      <c r="BL579" s="1">
        <v>175</v>
      </c>
      <c r="BM579" s="1" t="s">
        <v>204</v>
      </c>
      <c r="BN579" s="1" t="s">
        <v>213</v>
      </c>
      <c r="BO579" s="1">
        <v>0</v>
      </c>
      <c r="BP579" s="1" t="s">
        <v>204</v>
      </c>
      <c r="BR579" s="1" t="str">
        <f>"0635352154"</f>
        <v>0635352154</v>
      </c>
      <c r="BT579" s="1" t="s">
        <v>7180</v>
      </c>
      <c r="BX579" s="1">
        <v>46</v>
      </c>
      <c r="BY579" s="1">
        <v>46</v>
      </c>
      <c r="BZ579" s="1">
        <v>46</v>
      </c>
      <c r="CB579" s="1" t="str">
        <f>"8"</f>
        <v>8</v>
      </c>
      <c r="CC579" s="1" t="str">
        <f t="shared" si="449"/>
        <v>0</v>
      </c>
      <c r="CD579" s="1">
        <v>34</v>
      </c>
      <c r="CE579" s="1">
        <v>0</v>
      </c>
      <c r="CG579" s="1" t="s">
        <v>315</v>
      </c>
      <c r="CH579" s="1" t="s">
        <v>219</v>
      </c>
      <c r="CJ579" s="1" t="s">
        <v>210</v>
      </c>
      <c r="CK579" s="1" t="s">
        <v>538</v>
      </c>
      <c r="CL579" s="1" t="s">
        <v>277</v>
      </c>
      <c r="CN579" s="1" t="s">
        <v>210</v>
      </c>
      <c r="CO579" s="1" t="s">
        <v>630</v>
      </c>
      <c r="CP579" s="1" t="s">
        <v>219</v>
      </c>
      <c r="CR579" s="1" t="s">
        <v>210</v>
      </c>
      <c r="CS579" s="1" t="s">
        <v>378</v>
      </c>
      <c r="CT579" s="1" t="s">
        <v>277</v>
      </c>
      <c r="CV579" s="1" t="s">
        <v>210</v>
      </c>
      <c r="CX579" s="1" t="s">
        <v>224</v>
      </c>
      <c r="DB579" s="1" t="s">
        <v>224</v>
      </c>
      <c r="DE579" s="1" t="s">
        <v>821</v>
      </c>
      <c r="DF579" s="1" t="s">
        <v>219</v>
      </c>
      <c r="DH579" s="1" t="s">
        <v>210</v>
      </c>
      <c r="DJ579" s="1" t="s">
        <v>224</v>
      </c>
      <c r="DM579" s="1" t="s">
        <v>934</v>
      </c>
      <c r="DR579" s="1" t="s">
        <v>2402</v>
      </c>
      <c r="DS579" s="1" t="s">
        <v>43</v>
      </c>
      <c r="DU579" s="1" t="s">
        <v>210</v>
      </c>
      <c r="DW579" s="1" t="s">
        <v>230</v>
      </c>
      <c r="EA579" s="1" t="s">
        <v>230</v>
      </c>
      <c r="EE579" s="1" t="s">
        <v>230</v>
      </c>
      <c r="EI579" s="1" t="s">
        <v>230</v>
      </c>
      <c r="EL579" s="1" t="s">
        <v>466</v>
      </c>
      <c r="EM579" s="1" t="s">
        <v>319</v>
      </c>
      <c r="EN579" s="1" t="s">
        <v>282</v>
      </c>
      <c r="EO579" s="1" t="s">
        <v>234</v>
      </c>
      <c r="EP579" s="1" t="s">
        <v>650</v>
      </c>
      <c r="ER579" s="1" t="s">
        <v>544</v>
      </c>
      <c r="ES579" s="1" t="s">
        <v>493</v>
      </c>
      <c r="EU579" s="1" t="s">
        <v>239</v>
      </c>
      <c r="EV579" s="1" t="s">
        <v>352</v>
      </c>
      <c r="EW579" s="1" t="s">
        <v>353</v>
      </c>
      <c r="EY579" s="1" t="s">
        <v>1315</v>
      </c>
      <c r="EZ579" s="1" t="s">
        <v>934</v>
      </c>
      <c r="FA579" s="1" t="s">
        <v>354</v>
      </c>
      <c r="FD579" s="1" t="s">
        <v>246</v>
      </c>
      <c r="FE579" s="1" t="s">
        <v>355</v>
      </c>
      <c r="FF579" s="1" t="s">
        <v>248</v>
      </c>
      <c r="FH579" s="1" t="s">
        <v>249</v>
      </c>
      <c r="FL579" s="1" t="s">
        <v>358</v>
      </c>
      <c r="FM579" s="1" t="s">
        <v>252</v>
      </c>
      <c r="FN579" s="1" t="s">
        <v>213</v>
      </c>
      <c r="FO579" s="1" t="s">
        <v>213</v>
      </c>
      <c r="FQ579" s="1" t="s">
        <v>673</v>
      </c>
      <c r="FR579" s="1" t="s">
        <v>210</v>
      </c>
      <c r="FS579" s="1" t="s">
        <v>2106</v>
      </c>
      <c r="FT579" s="1" t="s">
        <v>2107</v>
      </c>
      <c r="FU579" s="1" t="s">
        <v>204</v>
      </c>
      <c r="FW579" s="1" t="s">
        <v>2108</v>
      </c>
      <c r="FX579" s="1">
        <v>5085</v>
      </c>
      <c r="FY579" s="1" t="s">
        <v>2109</v>
      </c>
      <c r="FZ579" s="1" t="s">
        <v>2110</v>
      </c>
      <c r="GA579" s="1">
        <v>55549</v>
      </c>
      <c r="GE579" s="1" t="s">
        <v>210</v>
      </c>
      <c r="GI579" s="1" t="s">
        <v>213</v>
      </c>
      <c r="GJ579" s="1" t="s">
        <v>260</v>
      </c>
      <c r="GK579" s="1" t="s">
        <v>210</v>
      </c>
      <c r="GL579" s="2">
        <v>42095</v>
      </c>
      <c r="GM579" s="1" t="s">
        <v>2111</v>
      </c>
    </row>
    <row r="580" spans="1:195">
      <c r="A580" s="1">
        <v>320000</v>
      </c>
      <c r="B580" s="1" t="s">
        <v>195</v>
      </c>
      <c r="C580" s="1" t="str">
        <f>"08801063"</f>
        <v>08801063</v>
      </c>
      <c r="D580" s="1" t="s">
        <v>196</v>
      </c>
      <c r="F580" s="1" t="str">
        <f>"515"</f>
        <v>515</v>
      </c>
      <c r="G580" s="2">
        <v>41985</v>
      </c>
      <c r="H580" s="1">
        <v>329945</v>
      </c>
      <c r="I580" s="1">
        <v>329945</v>
      </c>
      <c r="J580" s="1">
        <v>320000</v>
      </c>
      <c r="K580" s="2">
        <v>41985</v>
      </c>
      <c r="L580" s="1">
        <v>6</v>
      </c>
      <c r="M580" s="2">
        <v>41990</v>
      </c>
      <c r="N580" s="1">
        <v>6</v>
      </c>
      <c r="O580" s="2">
        <v>41990</v>
      </c>
      <c r="P580" s="1">
        <v>20150</v>
      </c>
      <c r="Q580" s="1" t="s">
        <v>302</v>
      </c>
      <c r="R580" s="2">
        <v>42019</v>
      </c>
      <c r="S580" s="1">
        <v>212118</v>
      </c>
      <c r="U580" s="1">
        <v>945</v>
      </c>
      <c r="V580" s="1" t="s">
        <v>2756</v>
      </c>
      <c r="W580" s="1" t="s">
        <v>425</v>
      </c>
      <c r="X580" s="1">
        <v>407</v>
      </c>
      <c r="Y580" s="1">
        <v>42</v>
      </c>
      <c r="Z580" s="1" t="s">
        <v>249</v>
      </c>
      <c r="AA580" s="1" t="s">
        <v>1294</v>
      </c>
      <c r="AB580" s="1">
        <v>60515</v>
      </c>
      <c r="AD580" s="1" t="s">
        <v>2757</v>
      </c>
      <c r="AE580" s="1" t="s">
        <v>7181</v>
      </c>
      <c r="AF580" s="1">
        <v>2008</v>
      </c>
      <c r="AG580" s="1" t="s">
        <v>204</v>
      </c>
      <c r="AH580" s="1" t="s">
        <v>903</v>
      </c>
      <c r="AI580" s="1" t="s">
        <v>206</v>
      </c>
      <c r="AJ580" s="1" t="s">
        <v>903</v>
      </c>
      <c r="AL580" s="1">
        <v>4</v>
      </c>
      <c r="AM580" s="1">
        <v>2</v>
      </c>
      <c r="AN580" s="1">
        <v>2</v>
      </c>
      <c r="AO580" s="1">
        <v>0</v>
      </c>
      <c r="AP580" s="1" t="s">
        <v>209</v>
      </c>
      <c r="AR580" s="1" t="s">
        <v>210</v>
      </c>
      <c r="AS580" s="1" t="s">
        <v>204</v>
      </c>
      <c r="AT580" s="1" t="s">
        <v>211</v>
      </c>
      <c r="AU580" s="1">
        <v>2</v>
      </c>
      <c r="AW580" s="1" t="s">
        <v>204</v>
      </c>
      <c r="AX580" s="1" t="s">
        <v>212</v>
      </c>
      <c r="AZ580" s="1">
        <v>5423</v>
      </c>
      <c r="BA580" s="1">
        <v>2013</v>
      </c>
      <c r="BB580" s="1" t="s">
        <v>405</v>
      </c>
      <c r="BE580" s="1">
        <v>1275</v>
      </c>
      <c r="BF580" s="1">
        <v>4</v>
      </c>
      <c r="BG580" s="1">
        <v>0</v>
      </c>
      <c r="BL580" s="1">
        <v>350</v>
      </c>
      <c r="BM580" s="1" t="s">
        <v>213</v>
      </c>
      <c r="BN580" s="1" t="s">
        <v>213</v>
      </c>
      <c r="BO580" s="1">
        <v>25</v>
      </c>
      <c r="BP580" s="1" t="s">
        <v>204</v>
      </c>
      <c r="BR580" s="1" t="str">
        <f>"0908135035"</f>
        <v>0908135035</v>
      </c>
      <c r="BT580" s="1" t="s">
        <v>7182</v>
      </c>
      <c r="BU580" s="1" t="s">
        <v>2760</v>
      </c>
      <c r="BV580" s="1" t="s">
        <v>2761</v>
      </c>
      <c r="BW580" s="1" t="s">
        <v>2762</v>
      </c>
      <c r="BX580" s="1">
        <v>58</v>
      </c>
      <c r="BY580" s="1">
        <v>58</v>
      </c>
      <c r="BZ580" s="1">
        <v>99</v>
      </c>
      <c r="CB580" s="1" t="str">
        <f t="shared" ref="CB580:CC580" si="450">"0"</f>
        <v>0</v>
      </c>
      <c r="CC580" s="1" t="str">
        <f t="shared" si="450"/>
        <v>0</v>
      </c>
      <c r="CD580" s="1">
        <v>19</v>
      </c>
      <c r="CE580" s="1">
        <v>5</v>
      </c>
      <c r="CG580" s="1" t="s">
        <v>6197</v>
      </c>
      <c r="CH580" s="1" t="s">
        <v>219</v>
      </c>
      <c r="CI580" s="1" t="s">
        <v>438</v>
      </c>
      <c r="CJ580" s="1" t="s">
        <v>343</v>
      </c>
      <c r="CK580" s="1" t="s">
        <v>757</v>
      </c>
      <c r="CL580" s="1" t="s">
        <v>219</v>
      </c>
      <c r="CM580" s="1" t="s">
        <v>220</v>
      </c>
      <c r="CN580" s="1" t="s">
        <v>909</v>
      </c>
      <c r="CP580" s="1" t="s">
        <v>224</v>
      </c>
      <c r="CS580" s="1" t="s">
        <v>278</v>
      </c>
      <c r="CT580" s="1" t="s">
        <v>219</v>
      </c>
      <c r="CU580" s="1" t="s">
        <v>220</v>
      </c>
      <c r="CX580" s="1" t="s">
        <v>224</v>
      </c>
      <c r="DB580" s="1" t="s">
        <v>224</v>
      </c>
      <c r="DE580" s="1" t="s">
        <v>1358</v>
      </c>
      <c r="DF580" s="1" t="s">
        <v>219</v>
      </c>
      <c r="DG580" s="1" t="s">
        <v>226</v>
      </c>
      <c r="DH580" s="1" t="s">
        <v>210</v>
      </c>
      <c r="DJ580" s="1" t="s">
        <v>224</v>
      </c>
      <c r="DM580" s="1" t="s">
        <v>709</v>
      </c>
      <c r="DR580" s="1" t="s">
        <v>6343</v>
      </c>
      <c r="DS580" s="1" t="s">
        <v>219</v>
      </c>
      <c r="DT580" s="1" t="s">
        <v>438</v>
      </c>
      <c r="DU580" s="1" t="s">
        <v>210</v>
      </c>
      <c r="DW580" s="1" t="s">
        <v>230</v>
      </c>
      <c r="EA580" s="1" t="s">
        <v>230</v>
      </c>
      <c r="EE580" s="1" t="s">
        <v>230</v>
      </c>
      <c r="EI580" s="1" t="s">
        <v>230</v>
      </c>
      <c r="EL580" s="1" t="s">
        <v>491</v>
      </c>
      <c r="EM580" s="1" t="s">
        <v>232</v>
      </c>
      <c r="EN580" s="1" t="s">
        <v>282</v>
      </c>
      <c r="EO580" s="1" t="s">
        <v>234</v>
      </c>
      <c r="EP580" s="1" t="s">
        <v>3613</v>
      </c>
      <c r="EQ580" s="1" t="s">
        <v>953</v>
      </c>
      <c r="ER580" s="1" t="s">
        <v>210</v>
      </c>
      <c r="ES580" s="1" t="s">
        <v>608</v>
      </c>
      <c r="ET580" s="1" t="s">
        <v>238</v>
      </c>
      <c r="EU580" s="1" t="s">
        <v>239</v>
      </c>
      <c r="EW580" s="1" t="s">
        <v>733</v>
      </c>
      <c r="EY580" s="1" t="s">
        <v>242</v>
      </c>
      <c r="EZ580" s="1" t="s">
        <v>709</v>
      </c>
      <c r="FA580" s="1" t="s">
        <v>7183</v>
      </c>
      <c r="FB580" s="1" t="s">
        <v>4027</v>
      </c>
      <c r="FD580" s="1" t="s">
        <v>888</v>
      </c>
      <c r="FE580" s="1" t="s">
        <v>247</v>
      </c>
      <c r="FF580" s="1" t="s">
        <v>248</v>
      </c>
      <c r="FH580" s="1" t="s">
        <v>249</v>
      </c>
      <c r="FI580" s="1" t="s">
        <v>250</v>
      </c>
      <c r="FL580" s="1" t="s">
        <v>1826</v>
      </c>
      <c r="FM580" s="1" t="s">
        <v>252</v>
      </c>
      <c r="FN580" s="1" t="s">
        <v>213</v>
      </c>
      <c r="FO580" s="1" t="s">
        <v>213</v>
      </c>
      <c r="FQ580" s="1" t="s">
        <v>7184</v>
      </c>
      <c r="FR580" s="1" t="s">
        <v>652</v>
      </c>
      <c r="FS580" s="1" t="s">
        <v>7185</v>
      </c>
      <c r="FT580" s="1" t="s">
        <v>295</v>
      </c>
      <c r="FU580" s="1" t="s">
        <v>204</v>
      </c>
      <c r="FW580" s="1" t="s">
        <v>2144</v>
      </c>
      <c r="FX580" s="1">
        <v>23163</v>
      </c>
      <c r="FY580" s="1" t="s">
        <v>2145</v>
      </c>
      <c r="FZ580" s="1" t="s">
        <v>7186</v>
      </c>
      <c r="GA580" s="1">
        <v>215425</v>
      </c>
      <c r="GB580" s="1" t="s">
        <v>7187</v>
      </c>
      <c r="GC580" s="1">
        <v>254277</v>
      </c>
      <c r="GE580" s="1" t="s">
        <v>658</v>
      </c>
      <c r="GI580" s="1" t="s">
        <v>213</v>
      </c>
      <c r="GJ580" s="1" t="s">
        <v>260</v>
      </c>
      <c r="GK580" s="1" t="s">
        <v>210</v>
      </c>
      <c r="GL580" s="2">
        <v>42019</v>
      </c>
      <c r="GM580" s="1" t="s">
        <v>7188</v>
      </c>
    </row>
    <row r="581" spans="1:195">
      <c r="A581" s="1">
        <v>102500</v>
      </c>
      <c r="B581" s="1" t="s">
        <v>195</v>
      </c>
      <c r="C581" s="1" t="str">
        <f>"08797729"</f>
        <v>08797729</v>
      </c>
      <c r="D581" s="1" t="s">
        <v>196</v>
      </c>
      <c r="F581" s="1" t="str">
        <f>"546"</f>
        <v>546</v>
      </c>
      <c r="G581" s="2">
        <v>41978</v>
      </c>
      <c r="H581" s="1">
        <v>119900</v>
      </c>
      <c r="I581" s="1">
        <v>119900</v>
      </c>
      <c r="J581" s="1">
        <v>102500</v>
      </c>
      <c r="K581" s="2">
        <v>41976</v>
      </c>
      <c r="L581" s="1">
        <v>387</v>
      </c>
      <c r="M581" s="2">
        <v>42114</v>
      </c>
      <c r="N581" s="1">
        <v>139</v>
      </c>
      <c r="O581" s="2">
        <v>42114</v>
      </c>
      <c r="P581" s="1">
        <v>22029</v>
      </c>
      <c r="Q581" s="1" t="s">
        <v>302</v>
      </c>
      <c r="R581" s="2">
        <v>42128</v>
      </c>
      <c r="S581" s="1">
        <v>223142</v>
      </c>
      <c r="U581" s="1">
        <v>475</v>
      </c>
      <c r="V581" s="1" t="s">
        <v>7189</v>
      </c>
      <c r="W581" s="1" t="s">
        <v>1056</v>
      </c>
      <c r="X581" s="1">
        <v>304</v>
      </c>
      <c r="Y581" s="1">
        <v>12</v>
      </c>
      <c r="Z581" s="1" t="s">
        <v>200</v>
      </c>
      <c r="AA581" s="1" t="s">
        <v>3906</v>
      </c>
      <c r="AB581" s="1">
        <v>60546</v>
      </c>
      <c r="AC581" s="1">
        <v>2025</v>
      </c>
      <c r="AE581" s="1" t="s">
        <v>7190</v>
      </c>
      <c r="AF581" s="1" t="s">
        <v>402</v>
      </c>
      <c r="AG581" s="1" t="s">
        <v>213</v>
      </c>
      <c r="AH581" s="1" t="s">
        <v>3908</v>
      </c>
      <c r="AI581" s="1" t="s">
        <v>310</v>
      </c>
      <c r="AJ581" s="1" t="s">
        <v>3908</v>
      </c>
      <c r="AL581" s="1">
        <v>5</v>
      </c>
      <c r="AM581" s="1">
        <v>2</v>
      </c>
      <c r="AN581" s="1">
        <v>2</v>
      </c>
      <c r="AO581" s="1">
        <v>0</v>
      </c>
      <c r="AP581" s="1" t="s">
        <v>209</v>
      </c>
      <c r="AR581" s="1" t="s">
        <v>210</v>
      </c>
      <c r="AS581" s="1" t="s">
        <v>204</v>
      </c>
      <c r="AT581" s="1" t="s">
        <v>211</v>
      </c>
      <c r="AU581" s="1">
        <v>1</v>
      </c>
      <c r="AW581" s="1" t="s">
        <v>204</v>
      </c>
      <c r="AX581" s="1" t="s">
        <v>212</v>
      </c>
      <c r="AZ581" s="1">
        <v>3587.3</v>
      </c>
      <c r="BA581" s="1">
        <v>2013</v>
      </c>
      <c r="BE581" s="1">
        <v>1000</v>
      </c>
      <c r="BF581" s="1">
        <v>3</v>
      </c>
      <c r="BG581" s="1">
        <v>0</v>
      </c>
      <c r="BL581" s="1">
        <v>265</v>
      </c>
      <c r="BM581" s="1" t="s">
        <v>204</v>
      </c>
      <c r="BN581" s="1" t="s">
        <v>213</v>
      </c>
      <c r="BO581" s="1">
        <v>20</v>
      </c>
      <c r="BP581" s="1" t="s">
        <v>204</v>
      </c>
      <c r="BR581" s="1" t="str">
        <f>"15362030591012"</f>
        <v>15362030591012</v>
      </c>
      <c r="BT581" s="1" t="s">
        <v>7191</v>
      </c>
      <c r="BX581" s="1">
        <v>96</v>
      </c>
      <c r="BY581" s="1">
        <v>96</v>
      </c>
      <c r="BZ581" s="1">
        <v>208</v>
      </c>
      <c r="CB581" s="1" t="str">
        <f t="shared" ref="CB581:CC581" si="451">""</f>
        <v/>
      </c>
      <c r="CC581" s="1" t="str">
        <f t="shared" si="451"/>
        <v/>
      </c>
      <c r="CG581" s="1" t="s">
        <v>1547</v>
      </c>
      <c r="CH581" s="1" t="s">
        <v>784</v>
      </c>
      <c r="CI581" s="1" t="s">
        <v>220</v>
      </c>
      <c r="CK581" s="1" t="s">
        <v>315</v>
      </c>
      <c r="CL581" s="1" t="s">
        <v>784</v>
      </c>
      <c r="CM581" s="1" t="s">
        <v>220</v>
      </c>
      <c r="CO581" s="1" t="s">
        <v>318</v>
      </c>
      <c r="CP581" s="1" t="s">
        <v>784</v>
      </c>
      <c r="CQ581" s="1" t="s">
        <v>220</v>
      </c>
      <c r="CS581" s="1" t="s">
        <v>378</v>
      </c>
      <c r="CT581" s="1" t="s">
        <v>784</v>
      </c>
      <c r="CU581" s="1" t="s">
        <v>220</v>
      </c>
      <c r="CX581" s="1" t="s">
        <v>224</v>
      </c>
      <c r="DB581" s="1" t="s">
        <v>224</v>
      </c>
      <c r="DE581" s="1" t="s">
        <v>379</v>
      </c>
      <c r="DF581" s="1" t="s">
        <v>784</v>
      </c>
      <c r="DG581" s="1" t="s">
        <v>226</v>
      </c>
      <c r="DJ581" s="1" t="s">
        <v>224</v>
      </c>
      <c r="DM581" s="1" t="s">
        <v>1771</v>
      </c>
      <c r="DR581" s="1" t="s">
        <v>7192</v>
      </c>
      <c r="DS581" s="1" t="s">
        <v>219</v>
      </c>
      <c r="DW581" s="1" t="s">
        <v>230</v>
      </c>
      <c r="EA581" s="1" t="s">
        <v>230</v>
      </c>
      <c r="EE581" s="1" t="s">
        <v>230</v>
      </c>
      <c r="EI581" s="1" t="s">
        <v>230</v>
      </c>
      <c r="EL581" s="1" t="s">
        <v>605</v>
      </c>
      <c r="EM581" s="1" t="s">
        <v>232</v>
      </c>
      <c r="EN581" s="1" t="s">
        <v>282</v>
      </c>
      <c r="EO581" s="1" t="s">
        <v>234</v>
      </c>
      <c r="EP581" s="1" t="s">
        <v>7193</v>
      </c>
      <c r="ER581" s="1" t="s">
        <v>210</v>
      </c>
      <c r="EW581" s="1" t="s">
        <v>7194</v>
      </c>
      <c r="EZ581" s="1" t="s">
        <v>1771</v>
      </c>
      <c r="FD581" s="1" t="s">
        <v>1649</v>
      </c>
      <c r="FE581" s="1" t="s">
        <v>247</v>
      </c>
      <c r="FF581" s="1" t="s">
        <v>248</v>
      </c>
      <c r="FH581" s="1" t="s">
        <v>249</v>
      </c>
      <c r="FJ581" s="1" t="s">
        <v>1179</v>
      </c>
      <c r="FL581" s="1" t="s">
        <v>810</v>
      </c>
      <c r="FM581" s="1" t="s">
        <v>252</v>
      </c>
      <c r="FN581" s="1" t="s">
        <v>213</v>
      </c>
      <c r="FO581" s="1" t="s">
        <v>213</v>
      </c>
      <c r="FQ581" s="1" t="s">
        <v>7195</v>
      </c>
      <c r="FR581" s="1" t="s">
        <v>210</v>
      </c>
      <c r="FS581" s="1" t="s">
        <v>7196</v>
      </c>
      <c r="FT581" s="1" t="s">
        <v>255</v>
      </c>
      <c r="FU581" s="1" t="s">
        <v>204</v>
      </c>
      <c r="FV581" s="1" t="s">
        <v>7197</v>
      </c>
      <c r="FW581" s="1" t="s">
        <v>1652</v>
      </c>
      <c r="FX581" s="1">
        <v>22448</v>
      </c>
      <c r="FY581" s="1" t="s">
        <v>7198</v>
      </c>
      <c r="FZ581" s="1" t="s">
        <v>7199</v>
      </c>
      <c r="GA581" s="1">
        <v>237227</v>
      </c>
      <c r="GD581" s="1" t="s">
        <v>7200</v>
      </c>
      <c r="GE581" s="1" t="s">
        <v>2504</v>
      </c>
      <c r="GI581" s="1" t="s">
        <v>213</v>
      </c>
      <c r="GJ581" s="1" t="s">
        <v>260</v>
      </c>
      <c r="GK581" s="1" t="s">
        <v>210</v>
      </c>
      <c r="GL581" s="2">
        <v>42128</v>
      </c>
    </row>
    <row r="582" spans="1:195">
      <c r="A582" s="1">
        <v>175000</v>
      </c>
      <c r="B582" s="1" t="s">
        <v>195</v>
      </c>
      <c r="C582" s="1" t="str">
        <f>"08796904"</f>
        <v>08796904</v>
      </c>
      <c r="D582" s="1" t="s">
        <v>196</v>
      </c>
      <c r="F582" s="1" t="str">
        <f>"10"</f>
        <v>10</v>
      </c>
      <c r="G582" s="2">
        <v>41977</v>
      </c>
      <c r="H582" s="1">
        <v>175000</v>
      </c>
      <c r="I582" s="1">
        <v>175000</v>
      </c>
      <c r="J582" s="1">
        <v>175000</v>
      </c>
      <c r="K582" s="2">
        <v>41977</v>
      </c>
      <c r="L582" s="1">
        <v>245</v>
      </c>
      <c r="M582" s="2">
        <v>42036</v>
      </c>
      <c r="N582" s="1">
        <v>60</v>
      </c>
      <c r="O582" s="2">
        <v>42036</v>
      </c>
      <c r="P582" s="1">
        <v>25593</v>
      </c>
      <c r="Q582" s="1" t="s">
        <v>197</v>
      </c>
      <c r="R582" s="2">
        <v>42062</v>
      </c>
      <c r="S582" s="1">
        <v>243849</v>
      </c>
      <c r="U582" s="1" t="s">
        <v>7201</v>
      </c>
      <c r="V582" s="1" t="s">
        <v>7202</v>
      </c>
      <c r="W582" s="1" t="s">
        <v>504</v>
      </c>
      <c r="X582" s="1" t="s">
        <v>7203</v>
      </c>
      <c r="Y582" s="1">
        <v>4</v>
      </c>
      <c r="Z582" s="1" t="s">
        <v>370</v>
      </c>
      <c r="AA582" s="1" t="s">
        <v>1985</v>
      </c>
      <c r="AB582" s="1">
        <v>60010</v>
      </c>
      <c r="AD582" s="1" t="s">
        <v>7204</v>
      </c>
      <c r="AE582" s="1" t="s">
        <v>7205</v>
      </c>
      <c r="AF582" s="1">
        <v>1977</v>
      </c>
      <c r="AG582" s="1" t="s">
        <v>213</v>
      </c>
      <c r="AH582" s="1" t="s">
        <v>1988</v>
      </c>
      <c r="AI582" s="1" t="s">
        <v>509</v>
      </c>
      <c r="AJ582" s="1" t="s">
        <v>1989</v>
      </c>
      <c r="AK582" s="1" t="s">
        <v>6290</v>
      </c>
      <c r="AL582" s="1">
        <v>6</v>
      </c>
      <c r="AM582" s="1">
        <v>2</v>
      </c>
      <c r="AN582" s="1">
        <v>2</v>
      </c>
      <c r="AO582" s="1">
        <v>0</v>
      </c>
      <c r="AP582" s="1" t="s">
        <v>209</v>
      </c>
      <c r="AQ582" s="1">
        <v>1</v>
      </c>
      <c r="AR582" s="1" t="s">
        <v>210</v>
      </c>
      <c r="AS582" s="1" t="s">
        <v>204</v>
      </c>
      <c r="AT582" s="1" t="s">
        <v>375</v>
      </c>
      <c r="AU582" s="1">
        <v>1</v>
      </c>
      <c r="AV582" s="1">
        <v>1</v>
      </c>
      <c r="AW582" s="1" t="s">
        <v>204</v>
      </c>
      <c r="AX582" s="1" t="s">
        <v>212</v>
      </c>
      <c r="AZ582" s="1">
        <v>3441</v>
      </c>
      <c r="BA582" s="1">
        <v>2013</v>
      </c>
      <c r="BE582" s="1">
        <v>1314</v>
      </c>
      <c r="BF582" s="1">
        <v>2</v>
      </c>
      <c r="BG582" s="1">
        <v>30</v>
      </c>
      <c r="BL582" s="1">
        <v>405</v>
      </c>
      <c r="BM582" s="1" t="s">
        <v>213</v>
      </c>
      <c r="BN582" s="1" t="s">
        <v>213</v>
      </c>
      <c r="BO582" s="1">
        <v>25</v>
      </c>
      <c r="BP582" s="1" t="s">
        <v>204</v>
      </c>
      <c r="BR582" s="1" t="str">
        <f>"13114002320000"</f>
        <v>13114002320000</v>
      </c>
      <c r="BT582" s="1" t="s">
        <v>7206</v>
      </c>
      <c r="BU582" s="1" t="s">
        <v>1992</v>
      </c>
      <c r="BV582" s="1" t="s">
        <v>1993</v>
      </c>
      <c r="BW582" s="1" t="s">
        <v>1994</v>
      </c>
      <c r="BX582" s="1">
        <v>220</v>
      </c>
      <c r="BY582" s="1">
        <v>220</v>
      </c>
      <c r="BZ582" s="1">
        <v>220</v>
      </c>
      <c r="CB582" s="1" t="str">
        <f t="shared" ref="CB582:CC582" si="452">""</f>
        <v/>
      </c>
      <c r="CC582" s="1" t="str">
        <f t="shared" si="452"/>
        <v/>
      </c>
      <c r="CG582" s="1" t="s">
        <v>3100</v>
      </c>
      <c r="CH582" s="1" t="s">
        <v>219</v>
      </c>
      <c r="CI582" s="1" t="s">
        <v>220</v>
      </c>
      <c r="CJ582" s="1" t="s">
        <v>909</v>
      </c>
      <c r="CK582" s="1" t="s">
        <v>729</v>
      </c>
      <c r="CL582" s="1" t="s">
        <v>219</v>
      </c>
      <c r="CM582" s="1" t="s">
        <v>220</v>
      </c>
      <c r="CN582" s="1" t="s">
        <v>909</v>
      </c>
      <c r="CO582" s="1" t="s">
        <v>317</v>
      </c>
      <c r="CP582" s="1" t="s">
        <v>219</v>
      </c>
      <c r="CQ582" s="1" t="s">
        <v>220</v>
      </c>
      <c r="CR582" s="1" t="s">
        <v>909</v>
      </c>
      <c r="CS582" s="1" t="s">
        <v>461</v>
      </c>
      <c r="CT582" s="1" t="s">
        <v>219</v>
      </c>
      <c r="CU582" s="1" t="s">
        <v>220</v>
      </c>
      <c r="CV582" s="1" t="s">
        <v>343</v>
      </c>
      <c r="CX582" s="1" t="s">
        <v>224</v>
      </c>
      <c r="DB582" s="1" t="s">
        <v>224</v>
      </c>
      <c r="DE582" s="1" t="s">
        <v>223</v>
      </c>
      <c r="DF582" s="1" t="s">
        <v>219</v>
      </c>
      <c r="DG582" s="1" t="s">
        <v>220</v>
      </c>
      <c r="DH582" s="1" t="s">
        <v>343</v>
      </c>
      <c r="DJ582" s="1" t="s">
        <v>224</v>
      </c>
      <c r="DM582" s="1" t="s">
        <v>709</v>
      </c>
      <c r="DN582" s="1" t="s">
        <v>1614</v>
      </c>
      <c r="DO582" s="1" t="s">
        <v>4083</v>
      </c>
      <c r="DR582" s="1" t="s">
        <v>2451</v>
      </c>
      <c r="DS582" s="1" t="s">
        <v>219</v>
      </c>
      <c r="DT582" s="1" t="s">
        <v>226</v>
      </c>
      <c r="DV582" s="1" t="s">
        <v>281</v>
      </c>
      <c r="DW582" s="1" t="s">
        <v>219</v>
      </c>
      <c r="DX582" s="1" t="s">
        <v>347</v>
      </c>
      <c r="DZ582" s="1" t="s">
        <v>4260</v>
      </c>
      <c r="EA582" s="1" t="s">
        <v>219</v>
      </c>
      <c r="EE582" s="1" t="s">
        <v>230</v>
      </c>
      <c r="EI582" s="1" t="s">
        <v>230</v>
      </c>
      <c r="EL582" s="1" t="s">
        <v>231</v>
      </c>
      <c r="EM582" s="1" t="s">
        <v>761</v>
      </c>
      <c r="EN582" s="1" t="s">
        <v>282</v>
      </c>
      <c r="EO582" s="1" t="s">
        <v>234</v>
      </c>
      <c r="EP582" s="1" t="s">
        <v>7207</v>
      </c>
      <c r="EQ582" s="1" t="s">
        <v>7208</v>
      </c>
      <c r="ER582" s="1" t="s">
        <v>210</v>
      </c>
      <c r="ES582" s="1" t="s">
        <v>824</v>
      </c>
      <c r="ET582" s="1" t="s">
        <v>323</v>
      </c>
      <c r="EU582" s="1" t="s">
        <v>610</v>
      </c>
      <c r="EV582" s="1" t="s">
        <v>324</v>
      </c>
      <c r="EW582" s="1" t="s">
        <v>6667</v>
      </c>
      <c r="EY582" s="1" t="s">
        <v>1315</v>
      </c>
      <c r="EZ582" s="1" t="s">
        <v>7209</v>
      </c>
      <c r="FA582" s="1" t="s">
        <v>7210</v>
      </c>
      <c r="FB582" s="1" t="s">
        <v>7211</v>
      </c>
      <c r="FC582" s="1" t="s">
        <v>633</v>
      </c>
      <c r="FD582" s="1" t="s">
        <v>888</v>
      </c>
      <c r="FE582" s="1" t="s">
        <v>889</v>
      </c>
      <c r="FF582" s="1" t="s">
        <v>248</v>
      </c>
      <c r="FG582" s="1" t="s">
        <v>939</v>
      </c>
      <c r="FH582" s="1" t="s">
        <v>388</v>
      </c>
      <c r="FI582" s="1" t="s">
        <v>357</v>
      </c>
      <c r="FK582" s="1" t="s">
        <v>2076</v>
      </c>
      <c r="FL582" s="1" t="s">
        <v>1073</v>
      </c>
      <c r="FM582" s="1" t="s">
        <v>252</v>
      </c>
      <c r="FN582" s="1" t="s">
        <v>213</v>
      </c>
      <c r="FO582" s="1" t="s">
        <v>213</v>
      </c>
      <c r="FQ582" s="1" t="s">
        <v>253</v>
      </c>
      <c r="FR582" s="1" t="s">
        <v>210</v>
      </c>
      <c r="FS582" s="1" t="s">
        <v>7212</v>
      </c>
      <c r="FT582" s="1" t="s">
        <v>7213</v>
      </c>
      <c r="FU582" s="1" t="s">
        <v>204</v>
      </c>
      <c r="FV582" s="1" t="s">
        <v>7214</v>
      </c>
      <c r="FW582" s="1" t="s">
        <v>585</v>
      </c>
      <c r="FX582" s="1">
        <v>6026</v>
      </c>
      <c r="FY582" s="1" t="s">
        <v>1223</v>
      </c>
      <c r="FZ582" s="1" t="s">
        <v>7215</v>
      </c>
      <c r="GA582" s="1">
        <v>60241</v>
      </c>
      <c r="GB582" s="1" t="s">
        <v>7216</v>
      </c>
      <c r="GE582" s="1" t="s">
        <v>480</v>
      </c>
      <c r="GI582" s="1" t="s">
        <v>213</v>
      </c>
      <c r="GJ582" s="1" t="s">
        <v>260</v>
      </c>
      <c r="GK582" s="1" t="s">
        <v>210</v>
      </c>
      <c r="GL582" s="2">
        <v>42062</v>
      </c>
      <c r="GM582" s="1" t="s">
        <v>7217</v>
      </c>
    </row>
    <row r="583" spans="1:195">
      <c r="A583" s="1">
        <v>131000</v>
      </c>
      <c r="B583" s="1" t="s">
        <v>195</v>
      </c>
      <c r="C583" s="1" t="str">
        <f>"08801343"</f>
        <v>08801343</v>
      </c>
      <c r="D583" s="1" t="s">
        <v>196</v>
      </c>
      <c r="F583" s="1" t="str">
        <f>"177"</f>
        <v>177</v>
      </c>
      <c r="G583" s="2">
        <v>41985</v>
      </c>
      <c r="H583" s="1">
        <v>132900</v>
      </c>
      <c r="I583" s="1">
        <v>132900</v>
      </c>
      <c r="J583" s="1">
        <v>131000</v>
      </c>
      <c r="K583" s="2">
        <v>41984</v>
      </c>
      <c r="L583" s="1">
        <v>42</v>
      </c>
      <c r="M583" s="2">
        <v>42025</v>
      </c>
      <c r="N583" s="1">
        <v>42</v>
      </c>
      <c r="O583" s="2">
        <v>42025</v>
      </c>
      <c r="P583" s="1">
        <v>6267</v>
      </c>
      <c r="Q583" s="1" t="s">
        <v>197</v>
      </c>
      <c r="R583" s="2">
        <v>42090</v>
      </c>
      <c r="S583" s="1">
        <v>63044</v>
      </c>
      <c r="T583" s="1">
        <v>3930</v>
      </c>
      <c r="U583" s="1">
        <v>1284</v>
      </c>
      <c r="V583" s="1" t="s">
        <v>7218</v>
      </c>
      <c r="W583" s="1" t="s">
        <v>264</v>
      </c>
      <c r="X583" s="1" t="s">
        <v>527</v>
      </c>
      <c r="Y583" s="1">
        <v>2</v>
      </c>
      <c r="Z583" s="1" t="s">
        <v>249</v>
      </c>
      <c r="AA583" s="1" t="s">
        <v>1461</v>
      </c>
      <c r="AB583" s="1">
        <v>60177</v>
      </c>
      <c r="AD583" s="1" t="s">
        <v>7219</v>
      </c>
      <c r="AE583" s="1" t="s">
        <v>7220</v>
      </c>
      <c r="AF583" s="1">
        <v>1999</v>
      </c>
      <c r="AG583" s="1" t="s">
        <v>204</v>
      </c>
      <c r="AH583" s="1" t="s">
        <v>1464</v>
      </c>
      <c r="AI583" s="1" t="s">
        <v>665</v>
      </c>
      <c r="AJ583" s="1" t="s">
        <v>1175</v>
      </c>
      <c r="AK583" s="1" t="s">
        <v>430</v>
      </c>
      <c r="AL583" s="1">
        <v>5</v>
      </c>
      <c r="AM583" s="1">
        <v>2</v>
      </c>
      <c r="AN583" s="1">
        <v>1</v>
      </c>
      <c r="AO583" s="1">
        <v>1</v>
      </c>
      <c r="AP583" s="1" t="s">
        <v>210</v>
      </c>
      <c r="AR583" s="1" t="s">
        <v>210</v>
      </c>
      <c r="AS583" s="1" t="s">
        <v>204</v>
      </c>
      <c r="AT583" s="1" t="s">
        <v>211</v>
      </c>
      <c r="AU583" s="1">
        <v>2</v>
      </c>
      <c r="AW583" s="1" t="s">
        <v>204</v>
      </c>
      <c r="AX583" s="1" t="s">
        <v>212</v>
      </c>
      <c r="AZ583" s="1">
        <v>2955</v>
      </c>
      <c r="BA583" s="1">
        <v>2013</v>
      </c>
      <c r="BB583" s="1" t="s">
        <v>405</v>
      </c>
      <c r="BE583" s="1">
        <v>1131</v>
      </c>
      <c r="BF583" s="1">
        <v>1</v>
      </c>
      <c r="BG583" s="1">
        <v>0</v>
      </c>
      <c r="BJ583" s="1">
        <v>87</v>
      </c>
      <c r="BL583" s="1">
        <v>100</v>
      </c>
      <c r="BM583" s="1" t="s">
        <v>204</v>
      </c>
      <c r="BN583" s="1" t="s">
        <v>213</v>
      </c>
      <c r="BO583" s="1">
        <v>60</v>
      </c>
      <c r="BP583" s="1" t="s">
        <v>204</v>
      </c>
      <c r="BR583" s="1" t="str">
        <f>"0627305108"</f>
        <v>0627305108</v>
      </c>
      <c r="BT583" s="1" t="s">
        <v>7221</v>
      </c>
      <c r="BU583" s="1" t="s">
        <v>6003</v>
      </c>
      <c r="BV583" s="1" t="s">
        <v>1467</v>
      </c>
      <c r="BW583" s="1" t="s">
        <v>1468</v>
      </c>
      <c r="BX583" s="1">
        <v>46</v>
      </c>
      <c r="BY583" s="1">
        <v>46</v>
      </c>
      <c r="BZ583" s="1">
        <v>46</v>
      </c>
      <c r="CB583" s="1" t="str">
        <f>"8"</f>
        <v>8</v>
      </c>
      <c r="CC583" s="1" t="str">
        <f t="shared" ref="CC583:CC585" si="453">"0"</f>
        <v>0</v>
      </c>
      <c r="CD583" s="1">
        <v>35</v>
      </c>
      <c r="CE583" s="1">
        <v>0</v>
      </c>
      <c r="CG583" s="1" t="s">
        <v>628</v>
      </c>
      <c r="CH583" s="1" t="s">
        <v>219</v>
      </c>
      <c r="CI583" s="1" t="s">
        <v>220</v>
      </c>
      <c r="CJ583" s="1" t="s">
        <v>909</v>
      </c>
      <c r="CK583" s="1" t="s">
        <v>972</v>
      </c>
      <c r="CL583" s="1" t="s">
        <v>277</v>
      </c>
      <c r="CM583" s="1" t="s">
        <v>220</v>
      </c>
      <c r="CN583" s="1" t="s">
        <v>909</v>
      </c>
      <c r="CO583" s="1" t="s">
        <v>379</v>
      </c>
      <c r="CP583" s="1" t="s">
        <v>219</v>
      </c>
      <c r="CQ583" s="1" t="s">
        <v>220</v>
      </c>
      <c r="CR583" s="1" t="s">
        <v>909</v>
      </c>
      <c r="CS583" s="1" t="s">
        <v>465</v>
      </c>
      <c r="CT583" s="1" t="s">
        <v>277</v>
      </c>
      <c r="CU583" s="1" t="s">
        <v>229</v>
      </c>
      <c r="CV583" s="1" t="s">
        <v>909</v>
      </c>
      <c r="CX583" s="1" t="s">
        <v>224</v>
      </c>
      <c r="DB583" s="1" t="s">
        <v>224</v>
      </c>
      <c r="DE583" s="1" t="s">
        <v>346</v>
      </c>
      <c r="DF583" s="1" t="s">
        <v>219</v>
      </c>
      <c r="DG583" s="1" t="s">
        <v>438</v>
      </c>
      <c r="DH583" s="1" t="s">
        <v>210</v>
      </c>
      <c r="DJ583" s="1" t="s">
        <v>224</v>
      </c>
      <c r="DS583" s="1" t="s">
        <v>230</v>
      </c>
      <c r="DW583" s="1" t="s">
        <v>230</v>
      </c>
      <c r="EA583" s="1" t="s">
        <v>230</v>
      </c>
      <c r="EE583" s="1" t="s">
        <v>230</v>
      </c>
      <c r="EI583" s="1" t="s">
        <v>230</v>
      </c>
      <c r="EL583" s="1" t="s">
        <v>670</v>
      </c>
      <c r="EM583" s="1" t="s">
        <v>319</v>
      </c>
      <c r="EN583" s="1" t="s">
        <v>282</v>
      </c>
      <c r="EO583" s="1" t="s">
        <v>1020</v>
      </c>
      <c r="EP583" s="1" t="s">
        <v>650</v>
      </c>
      <c r="EQ583" s="1" t="s">
        <v>236</v>
      </c>
      <c r="ER583" s="1" t="s">
        <v>383</v>
      </c>
      <c r="ES583" s="1" t="s">
        <v>1552</v>
      </c>
      <c r="EU583" s="1" t="s">
        <v>1894</v>
      </c>
      <c r="EV583" s="1" t="s">
        <v>352</v>
      </c>
      <c r="EW583" s="1" t="s">
        <v>1250</v>
      </c>
      <c r="EY583" s="1" t="s">
        <v>790</v>
      </c>
      <c r="EZ583" s="1" t="s">
        <v>287</v>
      </c>
      <c r="FA583" s="1" t="s">
        <v>1072</v>
      </c>
      <c r="FB583" s="1" t="s">
        <v>289</v>
      </c>
      <c r="FC583" s="1" t="s">
        <v>548</v>
      </c>
      <c r="FD583" s="1" t="s">
        <v>246</v>
      </c>
      <c r="FE583" s="1" t="s">
        <v>355</v>
      </c>
      <c r="FF583" s="1" t="s">
        <v>3103</v>
      </c>
      <c r="FH583" s="1" t="s">
        <v>442</v>
      </c>
      <c r="FI583" s="1" t="s">
        <v>473</v>
      </c>
      <c r="FJ583" s="1" t="s">
        <v>197</v>
      </c>
      <c r="FL583" s="1" t="s">
        <v>358</v>
      </c>
      <c r="FM583" s="1" t="s">
        <v>252</v>
      </c>
      <c r="FN583" s="1" t="s">
        <v>213</v>
      </c>
      <c r="FO583" s="1" t="s">
        <v>213</v>
      </c>
      <c r="FQ583" s="1" t="s">
        <v>7222</v>
      </c>
      <c r="FR583" s="1" t="s">
        <v>210</v>
      </c>
      <c r="FS583" s="1" t="s">
        <v>7223</v>
      </c>
      <c r="FT583" s="1" t="s">
        <v>7224</v>
      </c>
      <c r="FU583" s="1" t="s">
        <v>204</v>
      </c>
      <c r="FW583" s="1" t="s">
        <v>585</v>
      </c>
      <c r="FX583" s="1">
        <v>8012</v>
      </c>
      <c r="FY583" s="1" t="s">
        <v>7225</v>
      </c>
      <c r="FZ583" s="1" t="s">
        <v>7226</v>
      </c>
      <c r="GA583" s="1">
        <v>80167</v>
      </c>
      <c r="GB583" s="1" t="s">
        <v>7227</v>
      </c>
      <c r="GE583" s="1" t="s">
        <v>210</v>
      </c>
      <c r="GI583" s="1" t="s">
        <v>213</v>
      </c>
      <c r="GJ583" s="1" t="s">
        <v>260</v>
      </c>
      <c r="GK583" s="1" t="s">
        <v>210</v>
      </c>
      <c r="GL583" s="2">
        <v>42090</v>
      </c>
    </row>
    <row r="584" spans="1:195">
      <c r="A584" s="1">
        <v>120000</v>
      </c>
      <c r="B584" s="1" t="s">
        <v>195</v>
      </c>
      <c r="C584" s="1" t="str">
        <f>"08801877"</f>
        <v>08801877</v>
      </c>
      <c r="D584" s="1" t="s">
        <v>196</v>
      </c>
      <c r="F584" s="1" t="str">
        <f>"123"</f>
        <v>123</v>
      </c>
      <c r="G584" s="2">
        <v>41987</v>
      </c>
      <c r="H584" s="1">
        <v>119900</v>
      </c>
      <c r="I584" s="1">
        <v>119900</v>
      </c>
      <c r="J584" s="1">
        <v>120000</v>
      </c>
      <c r="K584" s="2">
        <v>41987</v>
      </c>
      <c r="L584" s="1">
        <v>49</v>
      </c>
      <c r="M584" s="2">
        <v>42035</v>
      </c>
      <c r="N584" s="1">
        <v>49</v>
      </c>
      <c r="O584" s="2">
        <v>42035</v>
      </c>
      <c r="P584" s="1">
        <v>5338</v>
      </c>
      <c r="Q584" s="1" t="s">
        <v>197</v>
      </c>
      <c r="R584" s="2">
        <v>42102</v>
      </c>
      <c r="S584" s="1">
        <v>53275</v>
      </c>
      <c r="U584" s="1">
        <v>2375</v>
      </c>
      <c r="V584" s="1" t="s">
        <v>7228</v>
      </c>
      <c r="Y584" s="1">
        <v>1</v>
      </c>
      <c r="Z584" s="1" t="s">
        <v>370</v>
      </c>
      <c r="AA584" s="1" t="s">
        <v>1173</v>
      </c>
      <c r="AB584" s="1">
        <v>60123</v>
      </c>
      <c r="AD584" s="1" t="s">
        <v>7229</v>
      </c>
      <c r="AE584" s="1" t="s">
        <v>7230</v>
      </c>
      <c r="AF584" s="1">
        <v>2004</v>
      </c>
      <c r="AG584" s="1" t="s">
        <v>204</v>
      </c>
      <c r="AH584" s="1" t="s">
        <v>1175</v>
      </c>
      <c r="AI584" s="1" t="s">
        <v>665</v>
      </c>
      <c r="AJ584" s="1" t="s">
        <v>1175</v>
      </c>
      <c r="AL584" s="1">
        <v>5</v>
      </c>
      <c r="AM584" s="1">
        <v>2</v>
      </c>
      <c r="AN584" s="1">
        <v>2</v>
      </c>
      <c r="AO584" s="1">
        <v>1</v>
      </c>
      <c r="AP584" s="1" t="s">
        <v>209</v>
      </c>
      <c r="AR584" s="1" t="s">
        <v>210</v>
      </c>
      <c r="AS584" s="1" t="s">
        <v>204</v>
      </c>
      <c r="AT584" s="1" t="s">
        <v>211</v>
      </c>
      <c r="AU584" s="1">
        <v>2</v>
      </c>
      <c r="AW584" s="1" t="s">
        <v>204</v>
      </c>
      <c r="AX584" s="1" t="s">
        <v>212</v>
      </c>
      <c r="AZ584" s="1">
        <v>2730.04</v>
      </c>
      <c r="BA584" s="1">
        <v>2013</v>
      </c>
      <c r="BE584" s="1">
        <v>1500</v>
      </c>
      <c r="BF584" s="1">
        <v>1</v>
      </c>
      <c r="BG584" s="1">
        <v>0</v>
      </c>
      <c r="BL584" s="1">
        <v>175</v>
      </c>
      <c r="BM584" s="1" t="s">
        <v>204</v>
      </c>
      <c r="BN584" s="1" t="s">
        <v>213</v>
      </c>
      <c r="BO584" s="1">
        <v>100</v>
      </c>
      <c r="BP584" s="1" t="s">
        <v>204</v>
      </c>
      <c r="BR584" s="1" t="str">
        <f>"0628379014"</f>
        <v>0628379014</v>
      </c>
      <c r="BT584" s="1" t="s">
        <v>7231</v>
      </c>
      <c r="BX584" s="1">
        <v>46</v>
      </c>
      <c r="BY584" s="1">
        <v>46</v>
      </c>
      <c r="BZ584" s="1">
        <v>46</v>
      </c>
      <c r="CB584" s="1" t="str">
        <f>"9"</f>
        <v>9</v>
      </c>
      <c r="CC584" s="1" t="str">
        <f t="shared" si="453"/>
        <v>0</v>
      </c>
      <c r="CD584" s="1">
        <v>36</v>
      </c>
      <c r="CE584" s="1">
        <v>0</v>
      </c>
      <c r="CG584" s="1" t="s">
        <v>276</v>
      </c>
      <c r="CH584" s="1" t="s">
        <v>219</v>
      </c>
      <c r="CI584" s="1" t="s">
        <v>220</v>
      </c>
      <c r="CK584" s="1" t="s">
        <v>1737</v>
      </c>
      <c r="CL584" s="1" t="s">
        <v>277</v>
      </c>
      <c r="CM584" s="1" t="s">
        <v>220</v>
      </c>
      <c r="CO584" s="1" t="s">
        <v>281</v>
      </c>
      <c r="CP584" s="1" t="s">
        <v>219</v>
      </c>
      <c r="CQ584" s="1" t="s">
        <v>220</v>
      </c>
      <c r="CS584" s="1" t="s">
        <v>2122</v>
      </c>
      <c r="CT584" s="1" t="s">
        <v>277</v>
      </c>
      <c r="CU584" s="1" t="s">
        <v>220</v>
      </c>
      <c r="CX584" s="1" t="s">
        <v>224</v>
      </c>
      <c r="DB584" s="1" t="s">
        <v>224</v>
      </c>
      <c r="DE584" s="1" t="s">
        <v>379</v>
      </c>
      <c r="DF584" s="1" t="s">
        <v>219</v>
      </c>
      <c r="DJ584" s="1" t="s">
        <v>224</v>
      </c>
      <c r="DS584" s="1" t="s">
        <v>230</v>
      </c>
      <c r="DW584" s="1" t="s">
        <v>230</v>
      </c>
      <c r="EA584" s="1" t="s">
        <v>230</v>
      </c>
      <c r="EE584" s="1" t="s">
        <v>230</v>
      </c>
      <c r="EI584" s="1" t="s">
        <v>230</v>
      </c>
      <c r="EL584" s="1" t="s">
        <v>491</v>
      </c>
      <c r="EM584" s="1" t="s">
        <v>319</v>
      </c>
      <c r="EN584" s="1" t="s">
        <v>282</v>
      </c>
      <c r="EO584" s="1" t="s">
        <v>234</v>
      </c>
      <c r="EQ584" s="1" t="s">
        <v>236</v>
      </c>
      <c r="ER584" s="1" t="s">
        <v>210</v>
      </c>
      <c r="ES584" s="1" t="s">
        <v>322</v>
      </c>
      <c r="ET584" s="1" t="s">
        <v>7232</v>
      </c>
      <c r="EU584" s="1" t="s">
        <v>1110</v>
      </c>
      <c r="EW584" s="1" t="s">
        <v>887</v>
      </c>
      <c r="EZ584" s="1" t="s">
        <v>287</v>
      </c>
      <c r="FB584" s="1" t="s">
        <v>289</v>
      </c>
      <c r="FD584" s="1" t="s">
        <v>246</v>
      </c>
      <c r="FE584" s="1" t="s">
        <v>3783</v>
      </c>
      <c r="FF584" s="1" t="s">
        <v>248</v>
      </c>
      <c r="FH584" s="1" t="s">
        <v>2458</v>
      </c>
      <c r="FL584" s="1" t="s">
        <v>358</v>
      </c>
      <c r="FM584" s="1" t="s">
        <v>252</v>
      </c>
      <c r="FN584" s="1" t="s">
        <v>213</v>
      </c>
      <c r="FO584" s="1" t="s">
        <v>213</v>
      </c>
      <c r="FQ584" s="1" t="s">
        <v>7233</v>
      </c>
      <c r="FR584" s="1" t="s">
        <v>210</v>
      </c>
      <c r="FS584" s="1" t="s">
        <v>7234</v>
      </c>
      <c r="FT584" s="1" t="s">
        <v>295</v>
      </c>
      <c r="FU584" s="1" t="s">
        <v>204</v>
      </c>
      <c r="FW584" s="1" t="s">
        <v>7235</v>
      </c>
      <c r="FX584" s="1">
        <v>303</v>
      </c>
      <c r="FY584" s="1" t="s">
        <v>7236</v>
      </c>
      <c r="FZ584" s="1" t="s">
        <v>7237</v>
      </c>
      <c r="GA584" s="1">
        <v>8523</v>
      </c>
      <c r="GB584" s="1" t="s">
        <v>7238</v>
      </c>
      <c r="GE584" s="1" t="s">
        <v>210</v>
      </c>
      <c r="GI584" s="1" t="s">
        <v>204</v>
      </c>
      <c r="GJ584" s="1" t="s">
        <v>260</v>
      </c>
      <c r="GK584" s="1" t="s">
        <v>210</v>
      </c>
      <c r="GL584" s="2">
        <v>42108</v>
      </c>
      <c r="GM584" s="1" t="s">
        <v>7239</v>
      </c>
    </row>
    <row r="585" spans="1:195">
      <c r="A585" s="1">
        <v>85000</v>
      </c>
      <c r="B585" s="1" t="s">
        <v>195</v>
      </c>
      <c r="C585" s="1" t="str">
        <f>"08797920"</f>
        <v>08797920</v>
      </c>
      <c r="D585" s="1" t="s">
        <v>196</v>
      </c>
      <c r="F585" s="1" t="str">
        <f>"61"</f>
        <v>61</v>
      </c>
      <c r="G585" s="2">
        <v>41979</v>
      </c>
      <c r="H585" s="1">
        <v>95400</v>
      </c>
      <c r="I585" s="1">
        <v>95400</v>
      </c>
      <c r="J585" s="1">
        <v>85000</v>
      </c>
      <c r="K585" s="2">
        <v>41979</v>
      </c>
      <c r="L585" s="1">
        <v>59</v>
      </c>
      <c r="M585" s="2">
        <v>42037</v>
      </c>
      <c r="N585" s="1">
        <v>59</v>
      </c>
      <c r="O585" s="2">
        <v>42037</v>
      </c>
      <c r="P585" s="1" t="s">
        <v>1039</v>
      </c>
      <c r="Q585" s="1" t="s">
        <v>302</v>
      </c>
      <c r="R585" s="2">
        <v>42075</v>
      </c>
      <c r="S585" s="1">
        <v>99999</v>
      </c>
      <c r="U585" s="1">
        <v>2</v>
      </c>
      <c r="V585" s="1" t="s">
        <v>7240</v>
      </c>
      <c r="W585" s="1" t="s">
        <v>304</v>
      </c>
      <c r="X585" s="1">
        <v>13</v>
      </c>
      <c r="Y585" s="1">
        <v>6</v>
      </c>
      <c r="Z585" s="1" t="s">
        <v>249</v>
      </c>
      <c r="AA585" s="1" t="s">
        <v>505</v>
      </c>
      <c r="AB585" s="1">
        <v>60061</v>
      </c>
      <c r="AE585" s="1" t="s">
        <v>7241</v>
      </c>
      <c r="AF585" s="1">
        <v>1985</v>
      </c>
      <c r="AG585" s="1" t="s">
        <v>204</v>
      </c>
      <c r="AH585" s="1" t="s">
        <v>508</v>
      </c>
      <c r="AI585" s="1" t="s">
        <v>509</v>
      </c>
      <c r="AJ585" s="1" t="s">
        <v>1693</v>
      </c>
      <c r="AL585" s="1">
        <v>4</v>
      </c>
      <c r="AM585" s="1">
        <v>2</v>
      </c>
      <c r="AN585" s="1">
        <v>1</v>
      </c>
      <c r="AO585" s="1">
        <v>1</v>
      </c>
      <c r="AP585" s="1" t="s">
        <v>210</v>
      </c>
      <c r="AR585" s="1" t="s">
        <v>210</v>
      </c>
      <c r="AS585" s="1" t="s">
        <v>204</v>
      </c>
      <c r="AT585" s="1" t="s">
        <v>210</v>
      </c>
      <c r="AW585" s="1" t="s">
        <v>204</v>
      </c>
      <c r="AX585" s="1">
        <v>948</v>
      </c>
      <c r="AZ585" s="1">
        <v>1972.76</v>
      </c>
      <c r="BA585" s="1">
        <v>2012</v>
      </c>
      <c r="BE585" s="1">
        <v>948</v>
      </c>
      <c r="BF585" s="1">
        <v>1</v>
      </c>
      <c r="BG585" s="1">
        <v>0</v>
      </c>
      <c r="BL585" s="1">
        <v>0</v>
      </c>
      <c r="BM585" s="1" t="s">
        <v>204</v>
      </c>
      <c r="BN585" s="1" t="s">
        <v>204</v>
      </c>
      <c r="BP585" s="1" t="s">
        <v>204</v>
      </c>
      <c r="BR585" s="1" t="str">
        <f>"11322052010000"</f>
        <v>11322052010000</v>
      </c>
      <c r="BT585" s="1" t="s">
        <v>3770</v>
      </c>
      <c r="BX585" s="1">
        <v>73</v>
      </c>
      <c r="BY585" s="1">
        <v>73</v>
      </c>
      <c r="BZ585" s="1">
        <v>128</v>
      </c>
      <c r="CB585" s="1" t="str">
        <f>"26"</f>
        <v>26</v>
      </c>
      <c r="CC585" s="1" t="str">
        <f t="shared" si="453"/>
        <v>0</v>
      </c>
      <c r="CD585" s="1">
        <v>17</v>
      </c>
      <c r="CE585" s="1">
        <v>0</v>
      </c>
      <c r="CG585" s="1" t="s">
        <v>757</v>
      </c>
      <c r="CH585" s="1" t="s">
        <v>219</v>
      </c>
      <c r="CK585" s="1" t="s">
        <v>3656</v>
      </c>
      <c r="CL585" s="1" t="s">
        <v>219</v>
      </c>
      <c r="CP585" s="1" t="s">
        <v>224</v>
      </c>
      <c r="CS585" s="1" t="s">
        <v>1403</v>
      </c>
      <c r="CT585" s="1" t="s">
        <v>219</v>
      </c>
      <c r="CX585" s="1" t="s">
        <v>224</v>
      </c>
      <c r="DB585" s="1" t="s">
        <v>224</v>
      </c>
      <c r="DE585" s="1" t="s">
        <v>318</v>
      </c>
      <c r="DF585" s="1" t="s">
        <v>219</v>
      </c>
      <c r="DJ585" s="1" t="s">
        <v>224</v>
      </c>
      <c r="DS585" s="1" t="s">
        <v>230</v>
      </c>
      <c r="DW585" s="1" t="s">
        <v>230</v>
      </c>
      <c r="EA585" s="1" t="s">
        <v>230</v>
      </c>
      <c r="EE585" s="1" t="s">
        <v>230</v>
      </c>
      <c r="EI585" s="1" t="s">
        <v>230</v>
      </c>
      <c r="EL585" s="1" t="s">
        <v>542</v>
      </c>
      <c r="EM585" s="1" t="s">
        <v>730</v>
      </c>
      <c r="EN585" s="1" t="s">
        <v>731</v>
      </c>
      <c r="EO585" s="1" t="s">
        <v>234</v>
      </c>
      <c r="ER585" s="1" t="s">
        <v>210</v>
      </c>
      <c r="EW585" s="1" t="s">
        <v>210</v>
      </c>
      <c r="EZ585" s="1" t="s">
        <v>287</v>
      </c>
      <c r="FD585" s="1" t="s">
        <v>1112</v>
      </c>
      <c r="FE585" s="1" t="s">
        <v>386</v>
      </c>
      <c r="FF585" s="1" t="s">
        <v>248</v>
      </c>
      <c r="FH585" s="1" t="s">
        <v>249</v>
      </c>
      <c r="FJ585" s="1" t="s">
        <v>1472</v>
      </c>
      <c r="FL585" s="1" t="s">
        <v>328</v>
      </c>
      <c r="FM585" s="1" t="s">
        <v>252</v>
      </c>
      <c r="FN585" s="1" t="s">
        <v>213</v>
      </c>
      <c r="FO585" s="1" t="s">
        <v>213</v>
      </c>
      <c r="FQ585" s="1" t="s">
        <v>582</v>
      </c>
      <c r="FR585" s="1" t="s">
        <v>210</v>
      </c>
      <c r="FS585" s="1" t="s">
        <v>3772</v>
      </c>
      <c r="FT585" s="1" t="s">
        <v>3773</v>
      </c>
      <c r="FU585" s="1" t="s">
        <v>204</v>
      </c>
      <c r="FW585" s="1" t="s">
        <v>3774</v>
      </c>
      <c r="FX585" s="1">
        <v>1984</v>
      </c>
      <c r="FY585" s="1" t="s">
        <v>3775</v>
      </c>
      <c r="FZ585" s="1" t="s">
        <v>3776</v>
      </c>
      <c r="GA585" s="1">
        <v>922950</v>
      </c>
      <c r="GE585" s="1" t="s">
        <v>210</v>
      </c>
      <c r="GI585" s="1" t="s">
        <v>204</v>
      </c>
      <c r="GJ585" s="1" t="s">
        <v>260</v>
      </c>
      <c r="GK585" s="1" t="s">
        <v>210</v>
      </c>
      <c r="GL585" s="2">
        <v>42075</v>
      </c>
      <c r="GM585" s="1" t="s">
        <v>6038</v>
      </c>
    </row>
    <row r="586" spans="1:195">
      <c r="A586" s="1">
        <v>87000</v>
      </c>
      <c r="B586" s="1" t="s">
        <v>195</v>
      </c>
      <c r="C586" s="1" t="str">
        <f>"08797694"</f>
        <v>08797694</v>
      </c>
      <c r="D586" s="1" t="s">
        <v>196</v>
      </c>
      <c r="F586" s="1" t="str">
        <f>"515"</f>
        <v>515</v>
      </c>
      <c r="G586" s="2">
        <v>41978</v>
      </c>
      <c r="H586" s="1">
        <v>99900</v>
      </c>
      <c r="I586" s="1">
        <v>87000</v>
      </c>
      <c r="J586" s="1">
        <v>87000</v>
      </c>
      <c r="K586" s="2">
        <v>41978</v>
      </c>
      <c r="L586" s="1">
        <v>92</v>
      </c>
      <c r="M586" s="2">
        <v>42069</v>
      </c>
      <c r="N586" s="1">
        <v>92</v>
      </c>
      <c r="O586" s="2">
        <v>42069</v>
      </c>
      <c r="P586" s="1">
        <v>22010</v>
      </c>
      <c r="Q586" s="1" t="s">
        <v>197</v>
      </c>
      <c r="R586" s="2">
        <v>42123</v>
      </c>
      <c r="S586" s="1">
        <v>241535</v>
      </c>
      <c r="U586" s="1">
        <v>7930</v>
      </c>
      <c r="V586" s="1" t="s">
        <v>2341</v>
      </c>
      <c r="W586" s="1" t="s">
        <v>504</v>
      </c>
      <c r="X586" s="1">
        <v>105</v>
      </c>
      <c r="Y586" s="1">
        <v>20</v>
      </c>
      <c r="Z586" s="1" t="s">
        <v>249</v>
      </c>
      <c r="AA586" s="1" t="s">
        <v>1294</v>
      </c>
      <c r="AB586" s="1">
        <v>60516</v>
      </c>
      <c r="AD586" s="1" t="s">
        <v>6040</v>
      </c>
      <c r="AE586" s="1" t="s">
        <v>7242</v>
      </c>
      <c r="AF586" s="1">
        <v>1969</v>
      </c>
      <c r="AG586" s="1" t="s">
        <v>213</v>
      </c>
      <c r="AH586" s="1" t="s">
        <v>882</v>
      </c>
      <c r="AI586" s="1" t="s">
        <v>206</v>
      </c>
      <c r="AJ586" s="1" t="s">
        <v>903</v>
      </c>
      <c r="AL586" s="1">
        <v>5</v>
      </c>
      <c r="AM586" s="1">
        <v>2</v>
      </c>
      <c r="AN586" s="1">
        <v>1</v>
      </c>
      <c r="AO586" s="1">
        <v>1</v>
      </c>
      <c r="AP586" s="1" t="s">
        <v>1234</v>
      </c>
      <c r="AR586" s="1" t="s">
        <v>210</v>
      </c>
      <c r="AS586" s="1" t="s">
        <v>204</v>
      </c>
      <c r="AT586" s="1" t="s">
        <v>211</v>
      </c>
      <c r="AU586" s="1">
        <v>1</v>
      </c>
      <c r="AW586" s="1" t="s">
        <v>204</v>
      </c>
      <c r="AX586" s="1" t="s">
        <v>212</v>
      </c>
      <c r="AZ586" s="1">
        <v>1385</v>
      </c>
      <c r="BA586" s="1">
        <v>2013</v>
      </c>
      <c r="BB586" s="1" t="s">
        <v>6874</v>
      </c>
      <c r="BE586" s="1">
        <v>0</v>
      </c>
      <c r="BF586" s="1">
        <v>1</v>
      </c>
      <c r="BG586" s="1">
        <v>30</v>
      </c>
      <c r="BL586" s="1">
        <v>317</v>
      </c>
      <c r="BM586" s="1" t="s">
        <v>413</v>
      </c>
      <c r="BN586" s="1" t="s">
        <v>213</v>
      </c>
      <c r="BP586" s="1" t="s">
        <v>204</v>
      </c>
      <c r="BR586" s="1" t="str">
        <f>"0932209006"</f>
        <v>0932209006</v>
      </c>
      <c r="BT586" s="1" t="s">
        <v>7243</v>
      </c>
      <c r="BX586" s="1">
        <v>66</v>
      </c>
      <c r="BY586" s="1">
        <v>66</v>
      </c>
      <c r="BZ586" s="1">
        <v>99</v>
      </c>
      <c r="CB586" s="1" t="str">
        <f t="shared" ref="CB586:CC586" si="454">""</f>
        <v/>
      </c>
      <c r="CC586" s="1" t="str">
        <f t="shared" si="454"/>
        <v/>
      </c>
      <c r="CG586" s="1" t="s">
        <v>908</v>
      </c>
      <c r="CH586" s="1" t="s">
        <v>219</v>
      </c>
      <c r="CK586" s="1" t="s">
        <v>437</v>
      </c>
      <c r="CL586" s="1" t="s">
        <v>219</v>
      </c>
      <c r="CO586" s="1" t="s">
        <v>316</v>
      </c>
      <c r="CP586" s="1" t="s">
        <v>219</v>
      </c>
      <c r="CS586" s="1" t="s">
        <v>379</v>
      </c>
      <c r="CT586" s="1" t="s">
        <v>219</v>
      </c>
      <c r="CX586" s="1" t="s">
        <v>224</v>
      </c>
      <c r="DB586" s="1" t="s">
        <v>224</v>
      </c>
      <c r="DE586" s="1" t="s">
        <v>516</v>
      </c>
      <c r="DF586" s="1" t="s">
        <v>219</v>
      </c>
      <c r="DJ586" s="1" t="s">
        <v>224</v>
      </c>
      <c r="DS586" s="1" t="s">
        <v>230</v>
      </c>
      <c r="DW586" s="1" t="s">
        <v>230</v>
      </c>
      <c r="EA586" s="1" t="s">
        <v>230</v>
      </c>
      <c r="EE586" s="1" t="s">
        <v>230</v>
      </c>
      <c r="EI586" s="1" t="s">
        <v>230</v>
      </c>
      <c r="EL586" s="1" t="s">
        <v>605</v>
      </c>
      <c r="EM586" s="1" t="s">
        <v>232</v>
      </c>
      <c r="EN586" s="1" t="s">
        <v>731</v>
      </c>
      <c r="EO586" s="1" t="s">
        <v>234</v>
      </c>
      <c r="ER586" s="1" t="s">
        <v>210</v>
      </c>
      <c r="EW586" s="1" t="s">
        <v>2765</v>
      </c>
      <c r="EY586" s="1" t="s">
        <v>242</v>
      </c>
      <c r="EZ586" s="1" t="s">
        <v>287</v>
      </c>
      <c r="FB586" s="1" t="s">
        <v>4027</v>
      </c>
      <c r="FD586" s="1" t="s">
        <v>4003</v>
      </c>
      <c r="FE586" s="1" t="s">
        <v>247</v>
      </c>
      <c r="FF586" s="1" t="s">
        <v>248</v>
      </c>
      <c r="FH586" s="1" t="s">
        <v>249</v>
      </c>
      <c r="FL586" s="1" t="s">
        <v>2233</v>
      </c>
      <c r="FM586" s="1" t="s">
        <v>252</v>
      </c>
      <c r="FN586" s="1" t="s">
        <v>213</v>
      </c>
      <c r="FO586" s="1" t="s">
        <v>213</v>
      </c>
      <c r="FQ586" s="1" t="s">
        <v>1300</v>
      </c>
      <c r="FR586" s="1" t="s">
        <v>1301</v>
      </c>
      <c r="FS586" s="1" t="s">
        <v>1302</v>
      </c>
      <c r="FT586" s="1" t="s">
        <v>295</v>
      </c>
      <c r="FU586" s="1" t="s">
        <v>204</v>
      </c>
      <c r="FW586" s="1" t="s">
        <v>1303</v>
      </c>
      <c r="FX586" s="1">
        <v>24072</v>
      </c>
      <c r="FY586" s="1" t="s">
        <v>1304</v>
      </c>
      <c r="FZ586" s="1" t="s">
        <v>1305</v>
      </c>
      <c r="GA586" s="1">
        <v>222267</v>
      </c>
      <c r="GB586" s="1" t="s">
        <v>1304</v>
      </c>
      <c r="GC586" s="1">
        <v>871164</v>
      </c>
      <c r="GE586" s="1" t="s">
        <v>1187</v>
      </c>
      <c r="GI586" s="1" t="s">
        <v>213</v>
      </c>
      <c r="GJ586" s="1" t="s">
        <v>260</v>
      </c>
      <c r="GK586" s="1" t="s">
        <v>210</v>
      </c>
      <c r="GL586" s="2">
        <v>42129</v>
      </c>
      <c r="GM586" s="1" t="s">
        <v>7244</v>
      </c>
    </row>
    <row r="587" spans="1:195">
      <c r="A587" s="1">
        <v>155000</v>
      </c>
      <c r="B587" s="1" t="s">
        <v>195</v>
      </c>
      <c r="C587" s="1" t="str">
        <f>"08797767"</f>
        <v>08797767</v>
      </c>
      <c r="D587" s="1" t="s">
        <v>196</v>
      </c>
      <c r="F587" s="1" t="str">
        <f t="shared" ref="F587:F588" si="455">"540"</f>
        <v>540</v>
      </c>
      <c r="G587" s="2">
        <v>41978</v>
      </c>
      <c r="H587" s="1">
        <v>159700</v>
      </c>
      <c r="I587" s="1">
        <v>159700</v>
      </c>
      <c r="J587" s="1">
        <v>155000</v>
      </c>
      <c r="K587" s="2">
        <v>41977</v>
      </c>
      <c r="L587" s="1">
        <v>29</v>
      </c>
      <c r="M587" s="2">
        <v>42005</v>
      </c>
      <c r="N587" s="1">
        <v>29</v>
      </c>
      <c r="O587" s="2">
        <v>42005</v>
      </c>
      <c r="P587" s="1">
        <v>24695</v>
      </c>
      <c r="Q587" s="1" t="s">
        <v>197</v>
      </c>
      <c r="R587" s="2">
        <v>42055</v>
      </c>
      <c r="S587" s="1">
        <v>234453</v>
      </c>
      <c r="U587" s="1">
        <v>2947</v>
      </c>
      <c r="V587" s="1" t="s">
        <v>748</v>
      </c>
      <c r="W587" s="1" t="s">
        <v>449</v>
      </c>
      <c r="X587" s="1">
        <v>202</v>
      </c>
      <c r="Y587" s="1">
        <v>6</v>
      </c>
      <c r="Z587" s="1" t="s">
        <v>249</v>
      </c>
      <c r="AA587" s="1" t="s">
        <v>921</v>
      </c>
      <c r="AB587" s="1">
        <v>60564</v>
      </c>
      <c r="AD587" s="1" t="s">
        <v>2213</v>
      </c>
      <c r="AE587" s="1" t="s">
        <v>7245</v>
      </c>
      <c r="AF587" s="1">
        <v>2001</v>
      </c>
      <c r="AG587" s="1" t="s">
        <v>204</v>
      </c>
      <c r="AH587" s="1" t="s">
        <v>924</v>
      </c>
      <c r="AI587" s="1" t="s">
        <v>1800</v>
      </c>
      <c r="AJ587" s="1" t="s">
        <v>1801</v>
      </c>
      <c r="AL587" s="1">
        <v>5</v>
      </c>
      <c r="AM587" s="1">
        <v>2</v>
      </c>
      <c r="AN587" s="1">
        <v>2</v>
      </c>
      <c r="AO587" s="1">
        <v>0</v>
      </c>
      <c r="AP587" s="1" t="s">
        <v>209</v>
      </c>
      <c r="AQ587" s="1">
        <v>0</v>
      </c>
      <c r="AR587" s="1" t="s">
        <v>210</v>
      </c>
      <c r="AS587" s="1" t="s">
        <v>204</v>
      </c>
      <c r="AT587" s="1" t="s">
        <v>211</v>
      </c>
      <c r="AU587" s="1">
        <v>1</v>
      </c>
      <c r="AW587" s="1" t="s">
        <v>204</v>
      </c>
      <c r="AX587" s="1" t="s">
        <v>212</v>
      </c>
      <c r="AZ587" s="1">
        <v>3690</v>
      </c>
      <c r="BA587" s="1">
        <v>2013</v>
      </c>
      <c r="BB587" s="1" t="s">
        <v>405</v>
      </c>
      <c r="BC587" s="1">
        <v>0</v>
      </c>
      <c r="BE587" s="1">
        <v>1300</v>
      </c>
      <c r="BF587" s="1">
        <v>2</v>
      </c>
      <c r="BG587" s="1">
        <v>0</v>
      </c>
      <c r="BL587" s="1">
        <v>254</v>
      </c>
      <c r="BM587" s="1" t="s">
        <v>204</v>
      </c>
      <c r="BN587" s="1" t="s">
        <v>213</v>
      </c>
      <c r="BO587" s="1">
        <v>999</v>
      </c>
      <c r="BP587" s="1" t="s">
        <v>204</v>
      </c>
      <c r="BR587" s="1" t="str">
        <f>"01031020491006"</f>
        <v>01031020491006</v>
      </c>
      <c r="BT587" s="1" t="s">
        <v>7246</v>
      </c>
      <c r="BU587" s="1" t="s">
        <v>2216</v>
      </c>
      <c r="BV587" s="1" t="s">
        <v>2217</v>
      </c>
      <c r="BW587" s="1" t="s">
        <v>2218</v>
      </c>
      <c r="BX587" s="1">
        <v>204</v>
      </c>
      <c r="BY587" s="1">
        <v>204</v>
      </c>
      <c r="BZ587" s="1">
        <v>204</v>
      </c>
      <c r="CB587" s="1" t="str">
        <f t="shared" ref="CB587:CC587" si="456">"0"</f>
        <v>0</v>
      </c>
      <c r="CC587" s="1" t="str">
        <f t="shared" si="456"/>
        <v>0</v>
      </c>
      <c r="CD587" s="1">
        <v>29</v>
      </c>
      <c r="CE587" s="1">
        <v>10</v>
      </c>
      <c r="CG587" s="1" t="s">
        <v>861</v>
      </c>
      <c r="CH587" s="1" t="s">
        <v>277</v>
      </c>
      <c r="CI587" s="1" t="s">
        <v>229</v>
      </c>
      <c r="CJ587" s="1" t="s">
        <v>343</v>
      </c>
      <c r="CK587" s="1" t="s">
        <v>539</v>
      </c>
      <c r="CL587" s="1" t="s">
        <v>277</v>
      </c>
      <c r="CM587" s="1" t="s">
        <v>229</v>
      </c>
      <c r="CN587" s="1" t="s">
        <v>439</v>
      </c>
      <c r="CO587" s="1" t="s">
        <v>223</v>
      </c>
      <c r="CP587" s="1" t="s">
        <v>277</v>
      </c>
      <c r="CQ587" s="1" t="s">
        <v>229</v>
      </c>
      <c r="CR587" s="1" t="s">
        <v>463</v>
      </c>
      <c r="CS587" s="1" t="s">
        <v>972</v>
      </c>
      <c r="CT587" s="1" t="s">
        <v>277</v>
      </c>
      <c r="CU587" s="1" t="s">
        <v>229</v>
      </c>
      <c r="CV587" s="1" t="s">
        <v>343</v>
      </c>
      <c r="CX587" s="1" t="s">
        <v>224</v>
      </c>
      <c r="DB587" s="1" t="s">
        <v>224</v>
      </c>
      <c r="DE587" s="1" t="s">
        <v>1612</v>
      </c>
      <c r="DF587" s="1" t="s">
        <v>277</v>
      </c>
      <c r="DG587" s="1" t="s">
        <v>229</v>
      </c>
      <c r="DH587" s="1" t="s">
        <v>343</v>
      </c>
      <c r="DJ587" s="1" t="s">
        <v>224</v>
      </c>
      <c r="DS587" s="1" t="s">
        <v>230</v>
      </c>
      <c r="DW587" s="1" t="s">
        <v>230</v>
      </c>
      <c r="EA587" s="1" t="s">
        <v>230</v>
      </c>
      <c r="EE587" s="1" t="s">
        <v>230</v>
      </c>
      <c r="EI587" s="1" t="s">
        <v>230</v>
      </c>
      <c r="EL587" s="1" t="s">
        <v>466</v>
      </c>
      <c r="EM587" s="1" t="s">
        <v>232</v>
      </c>
      <c r="EN587" s="1" t="s">
        <v>282</v>
      </c>
      <c r="EO587" s="1" t="s">
        <v>840</v>
      </c>
      <c r="EP587" s="1" t="s">
        <v>1268</v>
      </c>
      <c r="EQ587" s="1" t="s">
        <v>492</v>
      </c>
      <c r="ER587" s="1" t="s">
        <v>210</v>
      </c>
      <c r="ES587" s="1" t="s">
        <v>954</v>
      </c>
      <c r="EU587" s="1" t="s">
        <v>239</v>
      </c>
      <c r="EV587" s="1" t="s">
        <v>324</v>
      </c>
      <c r="EW587" s="1" t="s">
        <v>937</v>
      </c>
      <c r="EY587" s="1" t="s">
        <v>790</v>
      </c>
      <c r="EZ587" s="1" t="s">
        <v>287</v>
      </c>
      <c r="FA587" s="1" t="s">
        <v>672</v>
      </c>
      <c r="FB587" s="1" t="s">
        <v>289</v>
      </c>
      <c r="FC587" s="1" t="s">
        <v>7247</v>
      </c>
      <c r="FD587" s="1" t="s">
        <v>495</v>
      </c>
      <c r="FE587" s="1" t="s">
        <v>496</v>
      </c>
      <c r="FF587" s="1" t="s">
        <v>248</v>
      </c>
      <c r="FH587" s="1" t="s">
        <v>249</v>
      </c>
      <c r="FI587" s="1" t="s">
        <v>473</v>
      </c>
      <c r="FJ587" s="1" t="s">
        <v>1251</v>
      </c>
      <c r="FL587" s="1" t="s">
        <v>358</v>
      </c>
      <c r="FM587" s="1" t="s">
        <v>252</v>
      </c>
      <c r="FN587" s="1" t="s">
        <v>213</v>
      </c>
      <c r="FO587" s="1" t="s">
        <v>213</v>
      </c>
      <c r="FQ587" s="1" t="s">
        <v>7248</v>
      </c>
      <c r="FR587" s="1" t="s">
        <v>210</v>
      </c>
      <c r="FS587" s="1" t="s">
        <v>7249</v>
      </c>
      <c r="FT587" s="1" t="s">
        <v>295</v>
      </c>
      <c r="FU587" s="1" t="s">
        <v>204</v>
      </c>
      <c r="FW587" s="1" t="s">
        <v>2144</v>
      </c>
      <c r="FX587" s="1">
        <v>23163</v>
      </c>
      <c r="FY587" s="1" t="s">
        <v>2145</v>
      </c>
      <c r="FZ587" s="1" t="s">
        <v>7250</v>
      </c>
      <c r="GA587" s="1">
        <v>253831</v>
      </c>
      <c r="GB587" s="1" t="s">
        <v>7251</v>
      </c>
      <c r="GE587" s="1" t="s">
        <v>210</v>
      </c>
      <c r="GI587" s="1" t="s">
        <v>213</v>
      </c>
      <c r="GJ587" s="1" t="s">
        <v>260</v>
      </c>
      <c r="GK587" s="1" t="s">
        <v>210</v>
      </c>
      <c r="GL587" s="2">
        <v>42055</v>
      </c>
      <c r="GM587" s="1" t="s">
        <v>7252</v>
      </c>
    </row>
    <row r="588" spans="1:195">
      <c r="A588" s="1">
        <v>438000</v>
      </c>
      <c r="B588" s="1" t="s">
        <v>195</v>
      </c>
      <c r="C588" s="1" t="str">
        <f>"08845367"</f>
        <v>08845367</v>
      </c>
      <c r="D588" s="1" t="s">
        <v>196</v>
      </c>
      <c r="F588" s="1" t="str">
        <f t="shared" si="455"/>
        <v>540</v>
      </c>
      <c r="G588" s="2">
        <v>42059</v>
      </c>
      <c r="H588" s="1">
        <v>465000</v>
      </c>
      <c r="I588" s="1">
        <v>465000</v>
      </c>
      <c r="J588" s="1">
        <v>438000</v>
      </c>
      <c r="K588" s="2">
        <v>42059</v>
      </c>
      <c r="L588" s="1">
        <v>452</v>
      </c>
      <c r="M588" s="2">
        <v>42059</v>
      </c>
      <c r="N588" s="1">
        <v>1</v>
      </c>
      <c r="O588" s="2">
        <v>42059</v>
      </c>
      <c r="P588" s="1">
        <v>20131</v>
      </c>
      <c r="Q588" s="1" t="s">
        <v>197</v>
      </c>
      <c r="R588" s="2">
        <v>42065</v>
      </c>
      <c r="S588" s="1">
        <v>232875</v>
      </c>
      <c r="U588" s="1">
        <v>223</v>
      </c>
      <c r="V588" s="1" t="s">
        <v>7253</v>
      </c>
      <c r="W588" s="1" t="s">
        <v>425</v>
      </c>
      <c r="Y588" s="1">
        <v>4</v>
      </c>
      <c r="Z588" s="1" t="s">
        <v>370</v>
      </c>
      <c r="AA588" s="1" t="s">
        <v>921</v>
      </c>
      <c r="AB588" s="1">
        <v>60540</v>
      </c>
      <c r="AD588" s="1" t="s">
        <v>7254</v>
      </c>
      <c r="AE588" s="1" t="s">
        <v>7255</v>
      </c>
      <c r="AF588" s="1">
        <v>2003</v>
      </c>
      <c r="AG588" s="1" t="s">
        <v>204</v>
      </c>
      <c r="AH588" s="1" t="s">
        <v>924</v>
      </c>
      <c r="AI588" s="1" t="s">
        <v>206</v>
      </c>
      <c r="AJ588" s="1" t="s">
        <v>924</v>
      </c>
      <c r="AL588" s="1">
        <v>7</v>
      </c>
      <c r="AM588" s="1">
        <v>2</v>
      </c>
      <c r="AN588" s="1">
        <v>2</v>
      </c>
      <c r="AO588" s="1">
        <v>2</v>
      </c>
      <c r="AP588" s="1" t="s">
        <v>209</v>
      </c>
      <c r="AQ588" s="1">
        <v>1</v>
      </c>
      <c r="AR588" s="1" t="s">
        <v>209</v>
      </c>
      <c r="AS588" s="1" t="s">
        <v>204</v>
      </c>
      <c r="AT588" s="1" t="s">
        <v>211</v>
      </c>
      <c r="AU588" s="1">
        <v>2</v>
      </c>
      <c r="AW588" s="1" t="s">
        <v>204</v>
      </c>
      <c r="AX588" s="1" t="s">
        <v>7256</v>
      </c>
      <c r="AZ588" s="5">
        <v>9363.02</v>
      </c>
      <c r="BA588" s="1">
        <v>2013</v>
      </c>
      <c r="BB588" s="1" t="s">
        <v>210</v>
      </c>
      <c r="BE588" s="1">
        <v>2205</v>
      </c>
      <c r="BF588" s="1">
        <v>223</v>
      </c>
      <c r="BG588" s="1">
        <v>30</v>
      </c>
      <c r="BL588" s="1">
        <v>383</v>
      </c>
      <c r="BM588" s="1" t="s">
        <v>204</v>
      </c>
      <c r="BN588" s="1" t="s">
        <v>213</v>
      </c>
      <c r="BO588" s="1">
        <v>999</v>
      </c>
      <c r="BP588" s="1" t="s">
        <v>204</v>
      </c>
      <c r="BR588" s="1" t="str">
        <f>"0713217048"</f>
        <v>0713217048</v>
      </c>
      <c r="BT588" s="1" t="s">
        <v>7257</v>
      </c>
      <c r="BU588" s="1" t="s">
        <v>7258</v>
      </c>
      <c r="BV588" s="1" t="s">
        <v>7259</v>
      </c>
      <c r="BW588" s="1" t="s">
        <v>2825</v>
      </c>
      <c r="BX588" s="1">
        <v>203</v>
      </c>
      <c r="BY588" s="1">
        <v>203</v>
      </c>
      <c r="BZ588" s="1">
        <v>203</v>
      </c>
      <c r="CB588" s="1" t="str">
        <f t="shared" ref="CB588:CC588" si="457">"0"</f>
        <v>0</v>
      </c>
      <c r="CC588" s="1" t="str">
        <f t="shared" si="457"/>
        <v>0</v>
      </c>
      <c r="CD588" s="1">
        <v>27</v>
      </c>
      <c r="CE588" s="1">
        <v>6</v>
      </c>
      <c r="CG588" s="1" t="s">
        <v>1402</v>
      </c>
      <c r="CH588" s="1" t="s">
        <v>277</v>
      </c>
      <c r="CI588" s="1" t="s">
        <v>438</v>
      </c>
      <c r="CK588" s="1" t="s">
        <v>1737</v>
      </c>
      <c r="CL588" s="1" t="s">
        <v>784</v>
      </c>
      <c r="CM588" s="1" t="s">
        <v>438</v>
      </c>
      <c r="CO588" s="1" t="s">
        <v>461</v>
      </c>
      <c r="CP588" s="1" t="s">
        <v>277</v>
      </c>
      <c r="CQ588" s="1" t="s">
        <v>438</v>
      </c>
      <c r="CR588" s="1" t="s">
        <v>210</v>
      </c>
      <c r="CS588" s="1" t="s">
        <v>317</v>
      </c>
      <c r="CT588" s="1" t="s">
        <v>784</v>
      </c>
      <c r="CU588" s="1" t="s">
        <v>220</v>
      </c>
      <c r="CX588" s="1" t="s">
        <v>224</v>
      </c>
      <c r="DB588" s="1" t="s">
        <v>224</v>
      </c>
      <c r="DE588" s="1" t="s">
        <v>2511</v>
      </c>
      <c r="DF588" s="1" t="s">
        <v>277</v>
      </c>
      <c r="DG588" s="1" t="s">
        <v>438</v>
      </c>
      <c r="DI588" s="1" t="s">
        <v>669</v>
      </c>
      <c r="DJ588" s="1" t="s">
        <v>219</v>
      </c>
      <c r="DK588" s="1" t="s">
        <v>438</v>
      </c>
      <c r="DM588" s="1" t="s">
        <v>227</v>
      </c>
      <c r="DR588" s="1" t="s">
        <v>757</v>
      </c>
      <c r="DS588" s="1" t="s">
        <v>43</v>
      </c>
      <c r="DT588" s="1" t="s">
        <v>226</v>
      </c>
      <c r="DW588" s="1" t="s">
        <v>230</v>
      </c>
      <c r="EA588" s="1" t="s">
        <v>230</v>
      </c>
      <c r="EE588" s="1" t="s">
        <v>230</v>
      </c>
      <c r="EI588" s="1" t="s">
        <v>230</v>
      </c>
      <c r="EL588" s="1" t="s">
        <v>466</v>
      </c>
      <c r="EM588" s="1" t="s">
        <v>730</v>
      </c>
      <c r="EN588" s="1" t="s">
        <v>282</v>
      </c>
      <c r="EO588" s="1" t="s">
        <v>840</v>
      </c>
      <c r="EP588" s="1" t="s">
        <v>650</v>
      </c>
      <c r="EQ588" s="1" t="s">
        <v>236</v>
      </c>
      <c r="ER588" s="1" t="s">
        <v>544</v>
      </c>
      <c r="ES588" s="1" t="s">
        <v>4840</v>
      </c>
      <c r="ET588" s="1" t="s">
        <v>1201</v>
      </c>
      <c r="EU588" s="1" t="s">
        <v>610</v>
      </c>
      <c r="EV588" s="1" t="s">
        <v>240</v>
      </c>
      <c r="EW588" s="1" t="s">
        <v>384</v>
      </c>
      <c r="EY588" s="1" t="s">
        <v>2455</v>
      </c>
      <c r="EZ588" s="1" t="s">
        <v>227</v>
      </c>
      <c r="FA588" s="1" t="s">
        <v>7260</v>
      </c>
      <c r="FB588" s="1" t="s">
        <v>289</v>
      </c>
      <c r="FD588" s="1" t="s">
        <v>495</v>
      </c>
      <c r="FE588" s="1" t="s">
        <v>247</v>
      </c>
      <c r="FF588" s="1" t="s">
        <v>248</v>
      </c>
      <c r="FG588" s="1" t="s">
        <v>912</v>
      </c>
      <c r="FH588" s="1" t="s">
        <v>1428</v>
      </c>
      <c r="FI588" s="1" t="s">
        <v>473</v>
      </c>
      <c r="FL588" s="1" t="s">
        <v>358</v>
      </c>
      <c r="FM588" s="1" t="s">
        <v>252</v>
      </c>
      <c r="FN588" s="1" t="s">
        <v>213</v>
      </c>
      <c r="FO588" s="1" t="s">
        <v>213</v>
      </c>
      <c r="FQ588" s="1" t="s">
        <v>1599</v>
      </c>
      <c r="FR588" s="1" t="s">
        <v>210</v>
      </c>
      <c r="FS588" s="1" t="s">
        <v>7261</v>
      </c>
      <c r="FT588" s="1" t="s">
        <v>520</v>
      </c>
      <c r="FU588" s="1" t="s">
        <v>204</v>
      </c>
      <c r="FW588" s="1" t="s">
        <v>585</v>
      </c>
      <c r="FX588" s="1">
        <v>23156</v>
      </c>
      <c r="FY588" s="1" t="s">
        <v>1253</v>
      </c>
      <c r="FZ588" s="1" t="s">
        <v>7262</v>
      </c>
      <c r="GA588" s="1">
        <v>233258</v>
      </c>
      <c r="GB588" s="1" t="s">
        <v>7263</v>
      </c>
      <c r="GC588" s="1">
        <v>227656</v>
      </c>
      <c r="GD588" s="1" t="s">
        <v>7264</v>
      </c>
      <c r="GE588" s="1" t="s">
        <v>1333</v>
      </c>
      <c r="GI588" s="1" t="s">
        <v>213</v>
      </c>
      <c r="GJ588" s="1" t="s">
        <v>260</v>
      </c>
      <c r="GK588" s="1" t="s">
        <v>210</v>
      </c>
      <c r="GL588" s="2">
        <v>42065</v>
      </c>
      <c r="GM588" s="1" t="s">
        <v>7175</v>
      </c>
    </row>
    <row r="589" spans="1:195">
      <c r="A589" s="1">
        <v>140000</v>
      </c>
      <c r="B589" s="1" t="s">
        <v>195</v>
      </c>
      <c r="C589" s="1" t="str">
        <f>"08825085"</f>
        <v>08825085</v>
      </c>
      <c r="D589" s="1" t="s">
        <v>196</v>
      </c>
      <c r="F589" s="1" t="str">
        <f>"123"</f>
        <v>123</v>
      </c>
      <c r="G589" s="2">
        <v>42031</v>
      </c>
      <c r="H589" s="1">
        <v>149000</v>
      </c>
      <c r="I589" s="1">
        <v>145000</v>
      </c>
      <c r="J589" s="1">
        <v>140000</v>
      </c>
      <c r="K589" s="2">
        <v>42031</v>
      </c>
      <c r="L589" s="1">
        <v>55</v>
      </c>
      <c r="M589" s="2">
        <v>42085</v>
      </c>
      <c r="N589" s="1">
        <v>55</v>
      </c>
      <c r="O589" s="2">
        <v>42085</v>
      </c>
      <c r="P589" s="1">
        <v>8340</v>
      </c>
      <c r="Q589" s="1" t="s">
        <v>197</v>
      </c>
      <c r="R589" s="2">
        <v>42142</v>
      </c>
      <c r="S589" s="1">
        <v>26534</v>
      </c>
      <c r="U589" s="1">
        <v>760</v>
      </c>
      <c r="V589" s="1" t="s">
        <v>7265</v>
      </c>
      <c r="W589" s="1" t="s">
        <v>304</v>
      </c>
      <c r="Y589" s="1">
        <v>2</v>
      </c>
      <c r="Z589" s="1" t="s">
        <v>370</v>
      </c>
      <c r="AA589" s="1" t="s">
        <v>1173</v>
      </c>
      <c r="AB589" s="1">
        <v>60120</v>
      </c>
      <c r="AD589" s="1" t="s">
        <v>3601</v>
      </c>
      <c r="AE589" s="1" t="s">
        <v>7266</v>
      </c>
      <c r="AF589" s="1">
        <v>1990</v>
      </c>
      <c r="AG589" s="1" t="s">
        <v>204</v>
      </c>
      <c r="AH589" s="1" t="s">
        <v>1175</v>
      </c>
      <c r="AI589" s="1" t="s">
        <v>310</v>
      </c>
      <c r="AJ589" s="1" t="s">
        <v>374</v>
      </c>
      <c r="AL589" s="1">
        <v>5</v>
      </c>
      <c r="AM589" s="1">
        <v>2</v>
      </c>
      <c r="AN589" s="1">
        <v>2</v>
      </c>
      <c r="AO589" s="1">
        <v>1</v>
      </c>
      <c r="AP589" s="1" t="s">
        <v>209</v>
      </c>
      <c r="AR589" s="1" t="s">
        <v>210</v>
      </c>
      <c r="AT589" s="1" t="s">
        <v>211</v>
      </c>
      <c r="AU589" s="1">
        <v>1</v>
      </c>
      <c r="AW589" s="1" t="s">
        <v>204</v>
      </c>
      <c r="AX589" s="1" t="s">
        <v>212</v>
      </c>
      <c r="AZ589" s="1">
        <v>3264.45</v>
      </c>
      <c r="BA589" s="1">
        <v>2013</v>
      </c>
      <c r="BB589" s="1" t="s">
        <v>405</v>
      </c>
      <c r="BE589" s="1">
        <v>0</v>
      </c>
      <c r="BF589" s="1">
        <v>1</v>
      </c>
      <c r="BG589" s="1">
        <v>0</v>
      </c>
      <c r="BL589" s="1">
        <v>191</v>
      </c>
      <c r="BM589" s="1" t="s">
        <v>204</v>
      </c>
      <c r="BN589" s="1" t="s">
        <v>213</v>
      </c>
      <c r="BO589" s="1">
        <v>0</v>
      </c>
      <c r="BP589" s="1" t="s">
        <v>204</v>
      </c>
      <c r="BR589" s="1" t="str">
        <f>"06074000121062"</f>
        <v>06074000121062</v>
      </c>
      <c r="BT589" s="1" t="s">
        <v>7267</v>
      </c>
      <c r="BU589" s="1" t="s">
        <v>969</v>
      </c>
      <c r="BV589" s="1" t="s">
        <v>3604</v>
      </c>
      <c r="BW589" s="1" t="s">
        <v>2058</v>
      </c>
      <c r="BX589" s="1">
        <v>46</v>
      </c>
      <c r="BY589" s="1">
        <v>46</v>
      </c>
      <c r="BZ589" s="1">
        <v>46</v>
      </c>
      <c r="CB589" s="1" t="str">
        <f>"12"</f>
        <v>12</v>
      </c>
      <c r="CC589" s="1" t="str">
        <f>""</f>
        <v/>
      </c>
      <c r="CD589" s="1">
        <v>32</v>
      </c>
      <c r="CG589" s="1" t="s">
        <v>1045</v>
      </c>
      <c r="CH589" s="1" t="s">
        <v>219</v>
      </c>
      <c r="CI589" s="1" t="s">
        <v>229</v>
      </c>
      <c r="CJ589" s="1" t="s">
        <v>439</v>
      </c>
      <c r="CK589" s="1" t="s">
        <v>3913</v>
      </c>
      <c r="CL589" s="1" t="s">
        <v>277</v>
      </c>
      <c r="CM589" s="1" t="s">
        <v>438</v>
      </c>
      <c r="CO589" s="1" t="s">
        <v>2138</v>
      </c>
      <c r="CP589" s="1" t="s">
        <v>219</v>
      </c>
      <c r="CQ589" s="1" t="s">
        <v>229</v>
      </c>
      <c r="CR589" s="1" t="s">
        <v>343</v>
      </c>
      <c r="CS589" s="1" t="s">
        <v>539</v>
      </c>
      <c r="CT589" s="1" t="s">
        <v>277</v>
      </c>
      <c r="CU589" s="1" t="s">
        <v>438</v>
      </c>
      <c r="CX589" s="1" t="s">
        <v>224</v>
      </c>
      <c r="DB589" s="1" t="s">
        <v>224</v>
      </c>
      <c r="DE589" s="1" t="s">
        <v>318</v>
      </c>
      <c r="DF589" s="1" t="s">
        <v>219</v>
      </c>
      <c r="DG589" s="1" t="s">
        <v>229</v>
      </c>
      <c r="DJ589" s="1" t="s">
        <v>224</v>
      </c>
      <c r="DS589" s="1" t="s">
        <v>230</v>
      </c>
      <c r="DW589" s="1" t="s">
        <v>230</v>
      </c>
      <c r="EA589" s="1" t="s">
        <v>230</v>
      </c>
      <c r="EE589" s="1" t="s">
        <v>230</v>
      </c>
      <c r="EI589" s="1" t="s">
        <v>230</v>
      </c>
      <c r="EL589" s="1" t="s">
        <v>382</v>
      </c>
      <c r="EM589" s="1" t="s">
        <v>319</v>
      </c>
      <c r="EN589" s="1" t="s">
        <v>282</v>
      </c>
      <c r="EO589" s="1" t="s">
        <v>234</v>
      </c>
      <c r="EQ589" s="1" t="s">
        <v>468</v>
      </c>
      <c r="ER589" s="1" t="s">
        <v>210</v>
      </c>
      <c r="ES589" s="1" t="s">
        <v>322</v>
      </c>
      <c r="EU589" s="1" t="s">
        <v>1894</v>
      </c>
      <c r="EV589" s="1" t="s">
        <v>324</v>
      </c>
      <c r="EW589" s="1" t="s">
        <v>353</v>
      </c>
      <c r="EZ589" s="1" t="s">
        <v>287</v>
      </c>
      <c r="FA589" s="1" t="s">
        <v>1072</v>
      </c>
      <c r="FD589" s="1" t="s">
        <v>246</v>
      </c>
      <c r="FE589" s="1" t="s">
        <v>355</v>
      </c>
      <c r="FF589" s="1" t="s">
        <v>248</v>
      </c>
      <c r="FH589" s="1" t="s">
        <v>550</v>
      </c>
      <c r="FI589" s="1" t="s">
        <v>357</v>
      </c>
      <c r="FJ589" s="1" t="s">
        <v>197</v>
      </c>
      <c r="FL589" s="1" t="s">
        <v>414</v>
      </c>
      <c r="FM589" s="1" t="s">
        <v>252</v>
      </c>
      <c r="FN589" s="1" t="s">
        <v>213</v>
      </c>
      <c r="FO589" s="1" t="s">
        <v>213</v>
      </c>
      <c r="FQ589" s="1" t="s">
        <v>1473</v>
      </c>
      <c r="FR589" s="1" t="s">
        <v>210</v>
      </c>
      <c r="FS589" s="1" t="s">
        <v>7268</v>
      </c>
      <c r="FT589" s="1" t="s">
        <v>255</v>
      </c>
      <c r="FU589" s="1" t="s">
        <v>204</v>
      </c>
      <c r="FW589" s="1" t="s">
        <v>1097</v>
      </c>
      <c r="FX589" s="1">
        <v>8092</v>
      </c>
      <c r="FY589" s="1" t="s">
        <v>7269</v>
      </c>
      <c r="FZ589" s="1" t="s">
        <v>7270</v>
      </c>
      <c r="GA589" s="1">
        <v>89383</v>
      </c>
      <c r="GB589" s="1" t="s">
        <v>7271</v>
      </c>
      <c r="GE589" s="1" t="s">
        <v>210</v>
      </c>
      <c r="GI589" s="1" t="s">
        <v>213</v>
      </c>
      <c r="GJ589" s="1" t="s">
        <v>260</v>
      </c>
      <c r="GK589" s="1" t="s">
        <v>210</v>
      </c>
      <c r="GL589" s="2">
        <v>42143</v>
      </c>
      <c r="GM589" s="1" t="s">
        <v>7272</v>
      </c>
    </row>
    <row r="590" spans="1:195">
      <c r="A590" s="1">
        <v>70000</v>
      </c>
      <c r="B590" s="1" t="s">
        <v>195</v>
      </c>
      <c r="C590" s="1" t="str">
        <f>"08804568"</f>
        <v>08804568</v>
      </c>
      <c r="D590" s="1" t="s">
        <v>196</v>
      </c>
      <c r="F590" s="1" t="str">
        <f>"507"</f>
        <v>507</v>
      </c>
      <c r="G590" s="2">
        <v>41992</v>
      </c>
      <c r="H590" s="1">
        <v>87000</v>
      </c>
      <c r="I590" s="1">
        <v>76900</v>
      </c>
      <c r="J590" s="1">
        <v>70000</v>
      </c>
      <c r="K590" s="2">
        <v>41992</v>
      </c>
      <c r="L590" s="1">
        <v>75</v>
      </c>
      <c r="M590" s="2">
        <v>42066</v>
      </c>
      <c r="N590" s="1">
        <v>75</v>
      </c>
      <c r="O590" s="2">
        <v>42066</v>
      </c>
      <c r="P590" s="1">
        <v>25163</v>
      </c>
      <c r="Q590" s="1" t="s">
        <v>197</v>
      </c>
      <c r="R590" s="2">
        <v>42103</v>
      </c>
      <c r="S590" s="1">
        <v>259639</v>
      </c>
      <c r="U590" s="1">
        <v>326</v>
      </c>
      <c r="V590" s="1" t="s">
        <v>7273</v>
      </c>
      <c r="W590" s="1" t="s">
        <v>304</v>
      </c>
      <c r="X590" s="1">
        <v>326</v>
      </c>
      <c r="Y590" s="1">
        <v>4</v>
      </c>
      <c r="Z590" s="1" t="s">
        <v>249</v>
      </c>
      <c r="AA590" s="1" t="s">
        <v>1123</v>
      </c>
      <c r="AB590" s="1">
        <v>60504</v>
      </c>
      <c r="AD590" s="1" t="s">
        <v>5542</v>
      </c>
      <c r="AE590" s="1" t="s">
        <v>7274</v>
      </c>
      <c r="AF590" s="1">
        <v>1979</v>
      </c>
      <c r="AG590" s="1" t="s">
        <v>204</v>
      </c>
      <c r="AH590" s="1" t="s">
        <v>1126</v>
      </c>
      <c r="AI590" s="1" t="s">
        <v>206</v>
      </c>
      <c r="AJ590" s="1" t="s">
        <v>924</v>
      </c>
      <c r="AL590" s="1">
        <v>5</v>
      </c>
      <c r="AM590" s="1">
        <v>2</v>
      </c>
      <c r="AN590" s="1">
        <v>1</v>
      </c>
      <c r="AO590" s="1">
        <v>0</v>
      </c>
      <c r="AP590" s="1" t="s">
        <v>210</v>
      </c>
      <c r="AR590" s="1" t="s">
        <v>210</v>
      </c>
      <c r="AS590" s="1" t="s">
        <v>204</v>
      </c>
      <c r="AT590" s="1" t="s">
        <v>211</v>
      </c>
      <c r="AU590" s="1">
        <v>1</v>
      </c>
      <c r="AW590" s="1" t="s">
        <v>204</v>
      </c>
      <c r="AX590" s="1" t="s">
        <v>212</v>
      </c>
      <c r="AZ590" s="1">
        <v>1597</v>
      </c>
      <c r="BA590" s="1">
        <v>2013</v>
      </c>
      <c r="BE590" s="1">
        <v>851</v>
      </c>
      <c r="BF590" s="1">
        <v>2</v>
      </c>
      <c r="BG590" s="1">
        <v>0</v>
      </c>
      <c r="BJ590" s="1">
        <v>100</v>
      </c>
      <c r="BL590" s="1">
        <v>295</v>
      </c>
      <c r="BM590" s="1" t="s">
        <v>204</v>
      </c>
      <c r="BN590" s="1" t="s">
        <v>213</v>
      </c>
      <c r="BO590" s="1" t="s">
        <v>402</v>
      </c>
      <c r="BP590" s="1" t="s">
        <v>204</v>
      </c>
      <c r="BR590" s="1" t="str">
        <f>"0720410062"</f>
        <v>0720410062</v>
      </c>
      <c r="BT590" s="1" t="s">
        <v>7275</v>
      </c>
      <c r="BX590" s="1">
        <v>204</v>
      </c>
      <c r="BY590" s="1">
        <v>204</v>
      </c>
      <c r="BZ590" s="1">
        <v>204</v>
      </c>
      <c r="CB590" s="1" t="str">
        <f t="shared" ref="CB590:CC590" si="458">"0"</f>
        <v>0</v>
      </c>
      <c r="CC590" s="1" t="str">
        <f t="shared" si="458"/>
        <v>0</v>
      </c>
      <c r="CD590" s="1">
        <v>31</v>
      </c>
      <c r="CE590" s="1">
        <v>7</v>
      </c>
      <c r="CG590" s="1" t="s">
        <v>538</v>
      </c>
      <c r="CH590" s="1" t="s">
        <v>277</v>
      </c>
      <c r="CK590" s="1" t="s">
        <v>539</v>
      </c>
      <c r="CL590" s="1" t="s">
        <v>277</v>
      </c>
      <c r="CO590" s="1" t="s">
        <v>837</v>
      </c>
      <c r="CP590" s="1" t="s">
        <v>277</v>
      </c>
      <c r="CS590" s="1" t="s">
        <v>318</v>
      </c>
      <c r="CT590" s="1" t="s">
        <v>277</v>
      </c>
      <c r="CX590" s="1" t="s">
        <v>224</v>
      </c>
      <c r="DB590" s="1" t="s">
        <v>224</v>
      </c>
      <c r="DE590" s="1" t="s">
        <v>837</v>
      </c>
      <c r="DF590" s="1" t="s">
        <v>277</v>
      </c>
      <c r="DG590" s="1" t="s">
        <v>342</v>
      </c>
      <c r="DJ590" s="1" t="s">
        <v>224</v>
      </c>
      <c r="DS590" s="1" t="s">
        <v>230</v>
      </c>
      <c r="DW590" s="1" t="s">
        <v>230</v>
      </c>
      <c r="EA590" s="1" t="s">
        <v>230</v>
      </c>
      <c r="EE590" s="1" t="s">
        <v>230</v>
      </c>
      <c r="EI590" s="1" t="s">
        <v>230</v>
      </c>
      <c r="EL590" s="1" t="s">
        <v>231</v>
      </c>
      <c r="EM590" s="1" t="s">
        <v>319</v>
      </c>
      <c r="EN590" s="1" t="s">
        <v>282</v>
      </c>
      <c r="EO590" s="1" t="s">
        <v>234</v>
      </c>
      <c r="EP590" s="1" t="s">
        <v>1489</v>
      </c>
      <c r="ER590" s="1" t="s">
        <v>210</v>
      </c>
      <c r="ES590" s="1" t="s">
        <v>322</v>
      </c>
      <c r="EV590" s="1" t="s">
        <v>240</v>
      </c>
      <c r="EW590" s="1" t="s">
        <v>3113</v>
      </c>
      <c r="EZ590" s="1" t="s">
        <v>287</v>
      </c>
      <c r="FB590" s="1" t="s">
        <v>289</v>
      </c>
      <c r="FD590" s="1" t="s">
        <v>246</v>
      </c>
      <c r="FE590" s="1" t="s">
        <v>1006</v>
      </c>
      <c r="FF590" s="1" t="s">
        <v>248</v>
      </c>
      <c r="FH590" s="1" t="s">
        <v>1387</v>
      </c>
      <c r="FI590" s="1" t="s">
        <v>357</v>
      </c>
      <c r="FL590" s="1" t="s">
        <v>414</v>
      </c>
      <c r="FM590" s="1" t="s">
        <v>252</v>
      </c>
      <c r="FN590" s="1" t="s">
        <v>213</v>
      </c>
      <c r="FO590" s="1" t="s">
        <v>213</v>
      </c>
      <c r="FQ590" s="1" t="s">
        <v>689</v>
      </c>
      <c r="FR590" s="1" t="s">
        <v>210</v>
      </c>
      <c r="FS590" s="1" t="s">
        <v>1908</v>
      </c>
      <c r="FT590" s="1" t="s">
        <v>584</v>
      </c>
      <c r="FU590" s="1" t="s">
        <v>204</v>
      </c>
      <c r="FW590" s="1" t="s">
        <v>915</v>
      </c>
      <c r="FX590" s="1">
        <v>23076</v>
      </c>
      <c r="FY590" s="1" t="s">
        <v>1909</v>
      </c>
      <c r="FZ590" s="1" t="s">
        <v>1910</v>
      </c>
      <c r="GA590" s="1">
        <v>213408</v>
      </c>
      <c r="GB590" s="1" t="s">
        <v>1911</v>
      </c>
      <c r="GE590" s="1" t="s">
        <v>210</v>
      </c>
      <c r="GI590" s="1" t="s">
        <v>213</v>
      </c>
      <c r="GJ590" s="1" t="s">
        <v>300</v>
      </c>
      <c r="GK590" s="1" t="s">
        <v>210</v>
      </c>
      <c r="GL590" s="2">
        <v>42104</v>
      </c>
      <c r="GM590" s="1" t="s">
        <v>1912</v>
      </c>
    </row>
    <row r="591" spans="1:195">
      <c r="A591" s="1">
        <v>100000</v>
      </c>
      <c r="B591" s="1" t="s">
        <v>195</v>
      </c>
      <c r="C591" s="1" t="str">
        <f>"08800153"</f>
        <v>08800153</v>
      </c>
      <c r="D591" s="1" t="s">
        <v>196</v>
      </c>
      <c r="F591" s="1" t="str">
        <f>"139"</f>
        <v>139</v>
      </c>
      <c r="G591" s="2">
        <v>41983</v>
      </c>
      <c r="H591" s="1">
        <v>120000</v>
      </c>
      <c r="I591" s="1">
        <v>120000</v>
      </c>
      <c r="J591" s="1">
        <v>100000</v>
      </c>
      <c r="K591" s="2">
        <v>41983</v>
      </c>
      <c r="L591" s="1">
        <v>8</v>
      </c>
      <c r="M591" s="2">
        <v>41990</v>
      </c>
      <c r="N591" s="1">
        <v>8</v>
      </c>
      <c r="O591" s="2">
        <v>41990</v>
      </c>
      <c r="P591" s="1">
        <v>25005</v>
      </c>
      <c r="Q591" s="1" t="s">
        <v>302</v>
      </c>
      <c r="R591" s="2">
        <v>42146</v>
      </c>
      <c r="S591" s="1">
        <v>236644</v>
      </c>
      <c r="U591" s="1">
        <v>1452</v>
      </c>
      <c r="V591" s="1" t="s">
        <v>6460</v>
      </c>
      <c r="W591" s="1" t="s">
        <v>264</v>
      </c>
      <c r="Y591" s="1">
        <v>5</v>
      </c>
      <c r="Z591" s="1" t="s">
        <v>370</v>
      </c>
      <c r="AA591" s="1" t="s">
        <v>1732</v>
      </c>
      <c r="AB591" s="1">
        <v>60139</v>
      </c>
      <c r="AE591" s="1" t="s">
        <v>7276</v>
      </c>
      <c r="AF591" s="1">
        <v>1987</v>
      </c>
      <c r="AG591" s="1" t="s">
        <v>204</v>
      </c>
      <c r="AH591" s="1" t="s">
        <v>1735</v>
      </c>
      <c r="AI591" s="1" t="s">
        <v>206</v>
      </c>
      <c r="AJ591" s="1" t="s">
        <v>269</v>
      </c>
      <c r="AL591" s="1">
        <v>4</v>
      </c>
      <c r="AM591" s="1">
        <v>2</v>
      </c>
      <c r="AN591" s="1">
        <v>2</v>
      </c>
      <c r="AO591" s="1">
        <v>0</v>
      </c>
      <c r="AP591" s="1" t="s">
        <v>210</v>
      </c>
      <c r="AQ591" s="1">
        <v>1</v>
      </c>
      <c r="AR591" s="1" t="s">
        <v>210</v>
      </c>
      <c r="AT591" s="1" t="s">
        <v>211</v>
      </c>
      <c r="AU591" s="1">
        <v>1</v>
      </c>
      <c r="AW591" s="1" t="s">
        <v>204</v>
      </c>
      <c r="AX591" s="1" t="s">
        <v>212</v>
      </c>
      <c r="AZ591" s="1">
        <v>4473</v>
      </c>
      <c r="BA591" s="1">
        <v>2013</v>
      </c>
      <c r="BE591" s="1">
        <v>1248</v>
      </c>
      <c r="BF591" s="1">
        <v>1</v>
      </c>
      <c r="BG591" s="1">
        <v>0</v>
      </c>
      <c r="BL591" s="1">
        <v>188</v>
      </c>
      <c r="BM591" s="1" t="s">
        <v>204</v>
      </c>
      <c r="BN591" s="1" t="s">
        <v>213</v>
      </c>
      <c r="BO591" s="1">
        <v>0</v>
      </c>
      <c r="BP591" s="1" t="s">
        <v>204</v>
      </c>
      <c r="BR591" s="1" t="str">
        <f>"0233204093"</f>
        <v>0233204093</v>
      </c>
      <c r="BT591" s="1" t="s">
        <v>7277</v>
      </c>
      <c r="BU591" s="1" t="s">
        <v>6319</v>
      </c>
      <c r="BV591" s="1" t="s">
        <v>3645</v>
      </c>
      <c r="BW591" s="1" t="s">
        <v>2169</v>
      </c>
      <c r="BX591" s="1">
        <v>16</v>
      </c>
      <c r="BY591" s="1">
        <v>16</v>
      </c>
      <c r="BZ591" s="1">
        <v>87</v>
      </c>
      <c r="CB591" s="1" t="str">
        <f t="shared" ref="CB591:CC591" si="459">""</f>
        <v/>
      </c>
      <c r="CC591" s="1" t="str">
        <f t="shared" si="459"/>
        <v/>
      </c>
      <c r="CG591" s="1" t="s">
        <v>5319</v>
      </c>
      <c r="CH591" s="1" t="s">
        <v>219</v>
      </c>
      <c r="CI591" s="1" t="s">
        <v>220</v>
      </c>
      <c r="CK591" s="1" t="s">
        <v>317</v>
      </c>
      <c r="CL591" s="1" t="s">
        <v>277</v>
      </c>
      <c r="CM591" s="1" t="s">
        <v>220</v>
      </c>
      <c r="CP591" s="1" t="s">
        <v>224</v>
      </c>
      <c r="CS591" s="1" t="s">
        <v>379</v>
      </c>
      <c r="CT591" s="1" t="s">
        <v>277</v>
      </c>
      <c r="CU591" s="1" t="s">
        <v>220</v>
      </c>
      <c r="CX591" s="1" t="s">
        <v>224</v>
      </c>
      <c r="DB591" s="1" t="s">
        <v>224</v>
      </c>
      <c r="DE591" s="1" t="s">
        <v>2308</v>
      </c>
      <c r="DF591" s="1" t="s">
        <v>219</v>
      </c>
      <c r="DG591" s="1" t="s">
        <v>226</v>
      </c>
      <c r="DJ591" s="1" t="s">
        <v>224</v>
      </c>
      <c r="DS591" s="1" t="s">
        <v>230</v>
      </c>
      <c r="DW591" s="1" t="s">
        <v>230</v>
      </c>
      <c r="EA591" s="1" t="s">
        <v>230</v>
      </c>
      <c r="EE591" s="1" t="s">
        <v>230</v>
      </c>
      <c r="EI591" s="1" t="s">
        <v>230</v>
      </c>
      <c r="EL591" s="1" t="s">
        <v>542</v>
      </c>
      <c r="EM591" s="1" t="s">
        <v>319</v>
      </c>
      <c r="EN591" s="1" t="s">
        <v>282</v>
      </c>
      <c r="EO591" s="1" t="s">
        <v>234</v>
      </c>
      <c r="EQ591" s="1" t="s">
        <v>3718</v>
      </c>
      <c r="ER591" s="1" t="s">
        <v>210</v>
      </c>
      <c r="ES591" s="1" t="s">
        <v>954</v>
      </c>
      <c r="EW591" s="1" t="s">
        <v>1504</v>
      </c>
      <c r="EZ591" s="1" t="s">
        <v>287</v>
      </c>
      <c r="FB591" s="1" t="s">
        <v>289</v>
      </c>
      <c r="FD591" s="1" t="s">
        <v>246</v>
      </c>
      <c r="FE591" s="1" t="s">
        <v>472</v>
      </c>
      <c r="FF591" s="1" t="s">
        <v>248</v>
      </c>
      <c r="FH591" s="1" t="s">
        <v>550</v>
      </c>
      <c r="FL591" s="1" t="s">
        <v>358</v>
      </c>
      <c r="FM591" s="1" t="s">
        <v>252</v>
      </c>
      <c r="FN591" s="1" t="s">
        <v>213</v>
      </c>
      <c r="FO591" s="1" t="s">
        <v>213</v>
      </c>
      <c r="FQ591" s="1" t="s">
        <v>1180</v>
      </c>
      <c r="FR591" s="1" t="s">
        <v>360</v>
      </c>
      <c r="FS591" s="1" t="s">
        <v>552</v>
      </c>
      <c r="FT591" s="1" t="s">
        <v>295</v>
      </c>
      <c r="FU591" s="1" t="s">
        <v>204</v>
      </c>
      <c r="FW591" s="1" t="s">
        <v>7278</v>
      </c>
      <c r="FX591" s="1">
        <v>22088</v>
      </c>
      <c r="FY591" s="1" t="s">
        <v>7279</v>
      </c>
      <c r="FZ591" s="1" t="s">
        <v>7280</v>
      </c>
      <c r="GA591" s="1">
        <v>220626</v>
      </c>
      <c r="GB591" s="1" t="s">
        <v>7279</v>
      </c>
      <c r="GE591" s="1" t="s">
        <v>210</v>
      </c>
      <c r="GI591" s="1" t="s">
        <v>213</v>
      </c>
      <c r="GJ591" s="1" t="s">
        <v>260</v>
      </c>
      <c r="GK591" s="1" t="s">
        <v>210</v>
      </c>
      <c r="GL591" s="2">
        <v>42146</v>
      </c>
      <c r="GM591" s="1" t="s">
        <v>7281</v>
      </c>
    </row>
    <row r="592" spans="1:195">
      <c r="A592" s="1">
        <v>86500</v>
      </c>
      <c r="B592" s="1" t="s">
        <v>195</v>
      </c>
      <c r="C592" s="1" t="str">
        <f>"08806534"</f>
        <v>08806534</v>
      </c>
      <c r="D592" s="1" t="s">
        <v>196</v>
      </c>
      <c r="F592" s="1" t="str">
        <f>"540"</f>
        <v>540</v>
      </c>
      <c r="G592" s="2">
        <v>42000</v>
      </c>
      <c r="H592" s="1">
        <v>134900</v>
      </c>
      <c r="I592" s="1">
        <v>99000</v>
      </c>
      <c r="J592" s="1">
        <v>86500</v>
      </c>
      <c r="K592" s="2">
        <v>41999</v>
      </c>
      <c r="L592" s="1">
        <v>124</v>
      </c>
      <c r="M592" s="2">
        <v>42122</v>
      </c>
      <c r="N592" s="1">
        <v>124</v>
      </c>
      <c r="O592" s="2">
        <v>42122</v>
      </c>
      <c r="P592" s="1">
        <v>25042</v>
      </c>
      <c r="Q592" s="1" t="s">
        <v>302</v>
      </c>
      <c r="R592" s="2">
        <v>42143</v>
      </c>
      <c r="S592" s="1">
        <v>213008</v>
      </c>
      <c r="U592" s="1">
        <v>107</v>
      </c>
      <c r="V592" s="1" t="s">
        <v>7282</v>
      </c>
      <c r="W592" s="1" t="s">
        <v>264</v>
      </c>
      <c r="X592" s="1" t="s">
        <v>4923</v>
      </c>
      <c r="Y592" s="1">
        <v>6</v>
      </c>
      <c r="Z592" s="1" t="s">
        <v>249</v>
      </c>
      <c r="AA592" s="1" t="s">
        <v>921</v>
      </c>
      <c r="AB592" s="1">
        <v>60540</v>
      </c>
      <c r="AE592" s="1" t="s">
        <v>7283</v>
      </c>
      <c r="AF592" s="1">
        <v>1980</v>
      </c>
      <c r="AG592" s="1" t="s">
        <v>204</v>
      </c>
      <c r="AH592" s="1" t="s">
        <v>924</v>
      </c>
      <c r="AI592" s="1" t="s">
        <v>206</v>
      </c>
      <c r="AJ592" s="1" t="s">
        <v>925</v>
      </c>
      <c r="AL592" s="1">
        <v>5</v>
      </c>
      <c r="AM592" s="1">
        <v>2</v>
      </c>
      <c r="AN592" s="1">
        <v>2</v>
      </c>
      <c r="AO592" s="1">
        <v>0</v>
      </c>
      <c r="AP592" s="1" t="s">
        <v>209</v>
      </c>
      <c r="AQ592" s="1">
        <v>1</v>
      </c>
      <c r="AR592" s="1" t="s">
        <v>210</v>
      </c>
      <c r="AS592" s="1" t="s">
        <v>204</v>
      </c>
      <c r="AT592" s="1" t="s">
        <v>375</v>
      </c>
      <c r="AU592" s="1">
        <v>1</v>
      </c>
      <c r="AV592" s="1">
        <v>1</v>
      </c>
      <c r="AW592" s="1" t="s">
        <v>204</v>
      </c>
      <c r="AX592" s="1" t="s">
        <v>270</v>
      </c>
      <c r="AZ592" s="1">
        <v>2429</v>
      </c>
      <c r="BA592" s="1">
        <v>2013</v>
      </c>
      <c r="BE592" s="1">
        <v>1014</v>
      </c>
      <c r="BF592" s="1">
        <v>3</v>
      </c>
      <c r="BG592" s="1">
        <v>0</v>
      </c>
      <c r="BL592" s="1">
        <v>265</v>
      </c>
      <c r="BM592" s="1" t="s">
        <v>204</v>
      </c>
      <c r="BN592" s="1" t="s">
        <v>213</v>
      </c>
      <c r="BO592" s="1">
        <v>30</v>
      </c>
      <c r="BP592" s="1" t="s">
        <v>204</v>
      </c>
      <c r="BR592" s="1" t="str">
        <f>"0817315015"</f>
        <v>0817315015</v>
      </c>
      <c r="BT592" s="1" t="s">
        <v>7284</v>
      </c>
      <c r="BX592" s="1">
        <v>203</v>
      </c>
      <c r="BY592" s="1">
        <v>203</v>
      </c>
      <c r="BZ592" s="1">
        <v>203</v>
      </c>
      <c r="CB592" s="1" t="str">
        <f t="shared" ref="CB592:CC592" si="460">""</f>
        <v/>
      </c>
      <c r="CC592" s="1" t="str">
        <f t="shared" si="460"/>
        <v/>
      </c>
      <c r="CG592" s="1" t="s">
        <v>408</v>
      </c>
      <c r="CH592" s="1" t="s">
        <v>219</v>
      </c>
      <c r="CK592" s="1" t="s">
        <v>408</v>
      </c>
      <c r="CL592" s="1" t="s">
        <v>219</v>
      </c>
      <c r="CO592" s="1" t="s">
        <v>318</v>
      </c>
      <c r="CP592" s="1" t="s">
        <v>219</v>
      </c>
      <c r="CS592" s="1" t="s">
        <v>318</v>
      </c>
      <c r="CT592" s="1" t="s">
        <v>219</v>
      </c>
      <c r="CX592" s="1" t="s">
        <v>224</v>
      </c>
      <c r="DB592" s="1" t="s">
        <v>224</v>
      </c>
      <c r="DE592" s="1" t="s">
        <v>1854</v>
      </c>
      <c r="DF592" s="1" t="s">
        <v>219</v>
      </c>
      <c r="DJ592" s="1" t="s">
        <v>224</v>
      </c>
      <c r="DS592" s="1" t="s">
        <v>230</v>
      </c>
      <c r="DW592" s="1" t="s">
        <v>230</v>
      </c>
      <c r="EA592" s="1" t="s">
        <v>230</v>
      </c>
      <c r="EE592" s="1" t="s">
        <v>230</v>
      </c>
      <c r="EI592" s="1" t="s">
        <v>230</v>
      </c>
      <c r="EL592" s="1" t="s">
        <v>231</v>
      </c>
      <c r="EM592" s="1" t="s">
        <v>232</v>
      </c>
      <c r="EN592" s="1" t="s">
        <v>282</v>
      </c>
      <c r="EO592" s="1" t="s">
        <v>234</v>
      </c>
      <c r="ER592" s="1" t="s">
        <v>210</v>
      </c>
      <c r="EW592" s="1" t="s">
        <v>937</v>
      </c>
      <c r="EZ592" s="1" t="s">
        <v>287</v>
      </c>
      <c r="FB592" s="1" t="s">
        <v>289</v>
      </c>
      <c r="FD592" s="1" t="s">
        <v>7285</v>
      </c>
      <c r="FE592" s="1" t="s">
        <v>247</v>
      </c>
      <c r="FF592" s="1" t="s">
        <v>248</v>
      </c>
      <c r="FH592" s="1" t="s">
        <v>249</v>
      </c>
      <c r="FK592" s="1" t="s">
        <v>291</v>
      </c>
      <c r="FL592" s="1" t="s">
        <v>292</v>
      </c>
      <c r="FM592" s="1" t="s">
        <v>252</v>
      </c>
      <c r="FN592" s="1" t="s">
        <v>213</v>
      </c>
      <c r="FO592" s="1" t="s">
        <v>213</v>
      </c>
      <c r="FQ592" s="1" t="s">
        <v>582</v>
      </c>
      <c r="FR592" s="1" t="s">
        <v>210</v>
      </c>
      <c r="FS592" s="1" t="s">
        <v>1805</v>
      </c>
      <c r="FT592" s="1" t="s">
        <v>584</v>
      </c>
      <c r="FU592" s="1" t="s">
        <v>204</v>
      </c>
      <c r="FW592" s="1" t="s">
        <v>1806</v>
      </c>
      <c r="FX592" s="1">
        <v>25196</v>
      </c>
      <c r="FY592" s="1" t="s">
        <v>1807</v>
      </c>
      <c r="FZ592" s="1" t="s">
        <v>1808</v>
      </c>
      <c r="GA592" s="1">
        <v>214545</v>
      </c>
      <c r="GB592" s="1" t="s">
        <v>1807</v>
      </c>
      <c r="GC592" s="1">
        <v>232216</v>
      </c>
      <c r="GE592" s="1" t="s">
        <v>658</v>
      </c>
      <c r="GI592" s="1" t="s">
        <v>213</v>
      </c>
      <c r="GJ592" s="1" t="s">
        <v>260</v>
      </c>
      <c r="GK592" s="1" t="s">
        <v>210</v>
      </c>
      <c r="GL592" s="2">
        <v>42144</v>
      </c>
      <c r="GM592" s="1" t="s">
        <v>4864</v>
      </c>
    </row>
    <row r="593" spans="1:195">
      <c r="A593" s="1">
        <v>137000</v>
      </c>
      <c r="B593" s="1" t="s">
        <v>195</v>
      </c>
      <c r="C593" s="1" t="str">
        <f>"08802314"</f>
        <v>08802314</v>
      </c>
      <c r="D593" s="1" t="s">
        <v>196</v>
      </c>
      <c r="F593" s="1" t="str">
        <f>"177"</f>
        <v>177</v>
      </c>
      <c r="G593" s="2">
        <v>41988</v>
      </c>
      <c r="H593" s="1">
        <v>144900</v>
      </c>
      <c r="I593" s="1">
        <v>144900</v>
      </c>
      <c r="J593" s="1">
        <v>137000</v>
      </c>
      <c r="K593" s="2">
        <v>41987</v>
      </c>
      <c r="L593" s="1">
        <v>34</v>
      </c>
      <c r="M593" s="2">
        <v>42020</v>
      </c>
      <c r="N593" s="1">
        <v>34</v>
      </c>
      <c r="O593" s="2">
        <v>42020</v>
      </c>
      <c r="P593" s="1">
        <v>25005</v>
      </c>
      <c r="Q593" s="1" t="s">
        <v>197</v>
      </c>
      <c r="R593" s="2">
        <v>42067</v>
      </c>
      <c r="S593" s="1">
        <v>257039</v>
      </c>
      <c r="U593" s="1">
        <v>505</v>
      </c>
      <c r="V593" s="1" t="s">
        <v>2315</v>
      </c>
      <c r="W593" s="1" t="s">
        <v>264</v>
      </c>
      <c r="Y593" s="1">
        <v>4</v>
      </c>
      <c r="Z593" s="1" t="s">
        <v>200</v>
      </c>
      <c r="AA593" s="1" t="s">
        <v>1461</v>
      </c>
      <c r="AB593" s="1">
        <v>60177</v>
      </c>
      <c r="AE593" s="1" t="s">
        <v>7286</v>
      </c>
      <c r="AF593" s="1">
        <v>1993</v>
      </c>
      <c r="AG593" s="1" t="s">
        <v>204</v>
      </c>
      <c r="AH593" s="1" t="s">
        <v>1464</v>
      </c>
      <c r="AI593" s="1" t="s">
        <v>665</v>
      </c>
      <c r="AJ593" s="1" t="s">
        <v>1175</v>
      </c>
      <c r="AL593" s="1">
        <v>5</v>
      </c>
      <c r="AM593" s="1">
        <v>2</v>
      </c>
      <c r="AN593" s="1">
        <v>1</v>
      </c>
      <c r="AO593" s="1">
        <v>1</v>
      </c>
      <c r="AP593" s="1" t="s">
        <v>209</v>
      </c>
      <c r="AR593" s="1" t="s">
        <v>209</v>
      </c>
      <c r="AS593" s="1" t="s">
        <v>204</v>
      </c>
      <c r="AT593" s="1" t="s">
        <v>211</v>
      </c>
      <c r="AU593" s="1">
        <v>1</v>
      </c>
      <c r="AW593" s="1" t="s">
        <v>213</v>
      </c>
      <c r="AX593" s="1" t="s">
        <v>212</v>
      </c>
      <c r="AZ593" s="1">
        <v>2519.34</v>
      </c>
      <c r="BA593" s="1">
        <v>2013</v>
      </c>
      <c r="BB593" s="1" t="s">
        <v>405</v>
      </c>
      <c r="BE593" s="1">
        <v>1220</v>
      </c>
      <c r="BF593" s="1">
        <v>1</v>
      </c>
      <c r="BG593" s="1">
        <v>10</v>
      </c>
      <c r="BL593" s="1">
        <v>125</v>
      </c>
      <c r="BM593" s="1" t="s">
        <v>204</v>
      </c>
      <c r="BN593" s="1" t="s">
        <v>213</v>
      </c>
      <c r="BO593" s="1">
        <v>200</v>
      </c>
      <c r="BP593" s="1" t="s">
        <v>204</v>
      </c>
      <c r="BR593" s="1" t="str">
        <f>"0634104060"</f>
        <v>0634104060</v>
      </c>
      <c r="BT593" s="1" t="s">
        <v>7287</v>
      </c>
      <c r="BX593" s="1">
        <v>46</v>
      </c>
      <c r="BY593" s="1">
        <v>46</v>
      </c>
      <c r="BZ593" s="1">
        <v>46</v>
      </c>
      <c r="CB593" s="1" t="str">
        <f t="shared" ref="CB593:CC593" si="461">""</f>
        <v/>
      </c>
      <c r="CC593" s="1" t="str">
        <f t="shared" si="461"/>
        <v/>
      </c>
      <c r="CG593" s="1" t="s">
        <v>276</v>
      </c>
      <c r="CH593" s="1" t="s">
        <v>219</v>
      </c>
      <c r="CI593" s="1" t="s">
        <v>220</v>
      </c>
      <c r="CK593" s="1" t="s">
        <v>931</v>
      </c>
      <c r="CL593" s="1" t="s">
        <v>277</v>
      </c>
      <c r="CM593" s="1" t="s">
        <v>220</v>
      </c>
      <c r="CP593" s="1" t="s">
        <v>224</v>
      </c>
      <c r="CS593" s="1" t="s">
        <v>379</v>
      </c>
      <c r="CT593" s="1" t="s">
        <v>277</v>
      </c>
      <c r="CU593" s="1" t="s">
        <v>220</v>
      </c>
      <c r="CX593" s="1" t="s">
        <v>224</v>
      </c>
      <c r="DB593" s="1" t="s">
        <v>224</v>
      </c>
      <c r="DE593" s="1" t="s">
        <v>837</v>
      </c>
      <c r="DF593" s="1" t="s">
        <v>219</v>
      </c>
      <c r="DG593" s="1" t="s">
        <v>226</v>
      </c>
      <c r="DJ593" s="1" t="s">
        <v>224</v>
      </c>
      <c r="DM593" s="1" t="s">
        <v>934</v>
      </c>
      <c r="DR593" s="1" t="s">
        <v>7288</v>
      </c>
      <c r="DS593" s="1" t="s">
        <v>43</v>
      </c>
      <c r="DT593" s="1" t="s">
        <v>220</v>
      </c>
      <c r="DW593" s="1" t="s">
        <v>230</v>
      </c>
      <c r="EA593" s="1" t="s">
        <v>230</v>
      </c>
      <c r="EE593" s="1" t="s">
        <v>230</v>
      </c>
      <c r="EI593" s="1" t="s">
        <v>230</v>
      </c>
      <c r="EL593" s="1" t="s">
        <v>382</v>
      </c>
      <c r="EM593" s="1" t="s">
        <v>319</v>
      </c>
      <c r="EN593" s="1" t="s">
        <v>282</v>
      </c>
      <c r="EO593" s="1" t="s">
        <v>234</v>
      </c>
      <c r="EQ593" s="1" t="s">
        <v>7289</v>
      </c>
      <c r="ER593" s="1" t="s">
        <v>544</v>
      </c>
      <c r="ET593" s="1" t="s">
        <v>842</v>
      </c>
      <c r="EU593" s="1" t="s">
        <v>285</v>
      </c>
      <c r="EV593" s="1" t="s">
        <v>240</v>
      </c>
      <c r="EW593" s="1" t="s">
        <v>353</v>
      </c>
      <c r="EZ593" s="1" t="s">
        <v>934</v>
      </c>
      <c r="FB593" s="1" t="s">
        <v>289</v>
      </c>
      <c r="FD593" s="1" t="s">
        <v>246</v>
      </c>
      <c r="FE593" s="1" t="s">
        <v>472</v>
      </c>
      <c r="FF593" s="1" t="s">
        <v>248</v>
      </c>
      <c r="FH593" s="1" t="s">
        <v>550</v>
      </c>
      <c r="FJ593" s="1" t="s">
        <v>518</v>
      </c>
      <c r="FL593" s="1" t="s">
        <v>414</v>
      </c>
      <c r="FM593" s="1" t="s">
        <v>252</v>
      </c>
      <c r="FN593" s="1" t="s">
        <v>213</v>
      </c>
      <c r="FO593" s="1" t="s">
        <v>213</v>
      </c>
      <c r="FQ593" s="1" t="s">
        <v>717</v>
      </c>
      <c r="FR593" s="1" t="s">
        <v>210</v>
      </c>
      <c r="FS593" s="1" t="s">
        <v>7290</v>
      </c>
      <c r="FT593" s="1" t="s">
        <v>295</v>
      </c>
      <c r="FU593" s="1" t="s">
        <v>204</v>
      </c>
      <c r="FW593" s="1" t="s">
        <v>7291</v>
      </c>
      <c r="FX593" s="1">
        <v>370</v>
      </c>
      <c r="FY593" s="1" t="s">
        <v>7292</v>
      </c>
      <c r="FZ593" s="1" t="s">
        <v>7293</v>
      </c>
      <c r="GA593" s="1">
        <v>1349</v>
      </c>
      <c r="GB593" s="1" t="s">
        <v>7294</v>
      </c>
      <c r="GE593" s="1" t="s">
        <v>210</v>
      </c>
      <c r="GI593" s="1" t="s">
        <v>213</v>
      </c>
      <c r="GJ593" s="1" t="s">
        <v>260</v>
      </c>
      <c r="GK593" s="1" t="s">
        <v>210</v>
      </c>
      <c r="GL593" s="2">
        <v>42068</v>
      </c>
    </row>
    <row r="594" spans="1:195">
      <c r="A594" s="1">
        <v>65000</v>
      </c>
      <c r="B594" s="1" t="s">
        <v>195</v>
      </c>
      <c r="C594" s="1" t="str">
        <f>"08800678"</f>
        <v>08800678</v>
      </c>
      <c r="D594" s="1" t="s">
        <v>196</v>
      </c>
      <c r="F594" s="1" t="str">
        <f>"139"</f>
        <v>139</v>
      </c>
      <c r="G594" s="2">
        <v>41984</v>
      </c>
      <c r="H594" s="1">
        <v>61900</v>
      </c>
      <c r="I594" s="1">
        <v>61900</v>
      </c>
      <c r="J594" s="1">
        <v>65000</v>
      </c>
      <c r="K594" s="2">
        <v>41984</v>
      </c>
      <c r="L594" s="1">
        <v>70</v>
      </c>
      <c r="M594" s="2">
        <v>42053</v>
      </c>
      <c r="N594" s="1">
        <v>70</v>
      </c>
      <c r="O594" s="2">
        <v>42053</v>
      </c>
      <c r="P594" s="1">
        <v>24229</v>
      </c>
      <c r="Q594" s="1" t="s">
        <v>302</v>
      </c>
      <c r="R594" s="2">
        <v>42083</v>
      </c>
      <c r="S594" s="1">
        <v>245501</v>
      </c>
      <c r="U594" s="1">
        <v>1284</v>
      </c>
      <c r="V594" s="1" t="s">
        <v>7295</v>
      </c>
      <c r="W594" s="1" t="s">
        <v>425</v>
      </c>
      <c r="X594" s="1" t="s">
        <v>1000</v>
      </c>
      <c r="Y594" s="1">
        <v>4</v>
      </c>
      <c r="Z594" s="1" t="s">
        <v>200</v>
      </c>
      <c r="AA594" s="1" t="s">
        <v>1732</v>
      </c>
      <c r="AB594" s="1">
        <v>60139</v>
      </c>
      <c r="AE594" s="1" t="s">
        <v>7296</v>
      </c>
      <c r="AF594" s="1">
        <v>1973</v>
      </c>
      <c r="AG594" s="1" t="s">
        <v>213</v>
      </c>
      <c r="AH594" s="1" t="s">
        <v>1735</v>
      </c>
      <c r="AI594" s="1" t="s">
        <v>206</v>
      </c>
      <c r="AJ594" s="1" t="s">
        <v>269</v>
      </c>
      <c r="AL594" s="1">
        <v>5</v>
      </c>
      <c r="AM594" s="1">
        <v>2</v>
      </c>
      <c r="AN594" s="1">
        <v>1</v>
      </c>
      <c r="AO594" s="1">
        <v>0</v>
      </c>
      <c r="AP594" s="1" t="s">
        <v>210</v>
      </c>
      <c r="AR594" s="1" t="s">
        <v>210</v>
      </c>
      <c r="AS594" s="1" t="s">
        <v>204</v>
      </c>
      <c r="AT594" s="1" t="s">
        <v>211</v>
      </c>
      <c r="AU594" s="1">
        <v>1</v>
      </c>
      <c r="AW594" s="1" t="s">
        <v>204</v>
      </c>
      <c r="AX594" s="1" t="s">
        <v>212</v>
      </c>
      <c r="AZ594" s="1">
        <v>2542</v>
      </c>
      <c r="BA594" s="1">
        <v>2013</v>
      </c>
      <c r="BE594" s="1">
        <v>950</v>
      </c>
      <c r="BF594" s="1">
        <v>1</v>
      </c>
      <c r="BG594" s="1">
        <v>0</v>
      </c>
      <c r="BL594" s="1">
        <v>230</v>
      </c>
      <c r="BM594" s="1" t="s">
        <v>413</v>
      </c>
      <c r="BN594" s="1" t="s">
        <v>204</v>
      </c>
      <c r="BP594" s="1" t="s">
        <v>204</v>
      </c>
      <c r="BR594" s="1" t="str">
        <f>"0235314008"</f>
        <v>0235314008</v>
      </c>
      <c r="BT594" s="1" t="s">
        <v>7297</v>
      </c>
      <c r="BX594" s="1">
        <v>15</v>
      </c>
      <c r="BY594" s="1">
        <v>15</v>
      </c>
      <c r="BZ594" s="1">
        <v>87</v>
      </c>
      <c r="CB594" s="1" t="str">
        <f t="shared" ref="CB594:CC594" si="462">""</f>
        <v/>
      </c>
      <c r="CC594" s="1" t="str">
        <f t="shared" si="462"/>
        <v/>
      </c>
      <c r="CG594" s="1" t="s">
        <v>1004</v>
      </c>
      <c r="CH594" s="1" t="s">
        <v>219</v>
      </c>
      <c r="CK594" s="1" t="s">
        <v>223</v>
      </c>
      <c r="CL594" s="1" t="s">
        <v>277</v>
      </c>
      <c r="CO594" s="1" t="s">
        <v>516</v>
      </c>
      <c r="CP594" s="1" t="s">
        <v>219</v>
      </c>
      <c r="CS594" s="1" t="s">
        <v>318</v>
      </c>
      <c r="CT594" s="1" t="s">
        <v>277</v>
      </c>
      <c r="CX594" s="1" t="s">
        <v>224</v>
      </c>
      <c r="DB594" s="1" t="s">
        <v>224</v>
      </c>
      <c r="DE594" s="1" t="s">
        <v>2138</v>
      </c>
      <c r="DF594" s="1" t="s">
        <v>219</v>
      </c>
      <c r="DJ594" s="1" t="s">
        <v>224</v>
      </c>
      <c r="DS594" s="1" t="s">
        <v>230</v>
      </c>
      <c r="DW594" s="1" t="s">
        <v>230</v>
      </c>
      <c r="EA594" s="1" t="s">
        <v>230</v>
      </c>
      <c r="EE594" s="1" t="s">
        <v>230</v>
      </c>
      <c r="EI594" s="1" t="s">
        <v>230</v>
      </c>
      <c r="EL594" s="1" t="s">
        <v>605</v>
      </c>
      <c r="EM594" s="1" t="s">
        <v>319</v>
      </c>
      <c r="EN594" s="1" t="s">
        <v>282</v>
      </c>
      <c r="EO594" s="1" t="s">
        <v>234</v>
      </c>
      <c r="ER594" s="1" t="s">
        <v>210</v>
      </c>
      <c r="EW594" s="1" t="s">
        <v>347</v>
      </c>
      <c r="EZ594" s="1" t="s">
        <v>287</v>
      </c>
      <c r="FD594" s="1" t="s">
        <v>1112</v>
      </c>
      <c r="FE594" s="1" t="s">
        <v>496</v>
      </c>
      <c r="FF594" s="1" t="s">
        <v>248</v>
      </c>
      <c r="FH594" s="1" t="s">
        <v>550</v>
      </c>
      <c r="FL594" s="1" t="s">
        <v>358</v>
      </c>
      <c r="FM594" s="1" t="s">
        <v>252</v>
      </c>
      <c r="FN594" s="1" t="s">
        <v>213</v>
      </c>
      <c r="FO594" s="1" t="s">
        <v>213</v>
      </c>
      <c r="FQ594" s="1" t="s">
        <v>7298</v>
      </c>
      <c r="FR594" s="1" t="s">
        <v>210</v>
      </c>
      <c r="FS594" s="1" t="s">
        <v>7299</v>
      </c>
      <c r="FT594" s="1" t="s">
        <v>2609</v>
      </c>
      <c r="FU594" s="1" t="s">
        <v>204</v>
      </c>
      <c r="FW594" s="1" t="s">
        <v>7300</v>
      </c>
      <c r="FX594" s="1">
        <v>16801</v>
      </c>
      <c r="FY594" s="1" t="s">
        <v>7301</v>
      </c>
      <c r="FZ594" s="1" t="s">
        <v>7302</v>
      </c>
      <c r="GA594" s="1">
        <v>184278</v>
      </c>
      <c r="GE594" s="1" t="s">
        <v>210</v>
      </c>
      <c r="GI594" s="1" t="s">
        <v>213</v>
      </c>
      <c r="GJ594" s="1" t="s">
        <v>260</v>
      </c>
      <c r="GK594" s="1" t="s">
        <v>210</v>
      </c>
      <c r="GL594" s="2">
        <v>42083</v>
      </c>
      <c r="GM594" s="1" t="s">
        <v>7303</v>
      </c>
    </row>
    <row r="595" spans="1:195">
      <c r="A595" s="1">
        <v>198000</v>
      </c>
      <c r="B595" s="1" t="s">
        <v>195</v>
      </c>
      <c r="C595" s="1" t="str">
        <f>"08805237"</f>
        <v>08805237</v>
      </c>
      <c r="D595" s="1" t="s">
        <v>196</v>
      </c>
      <c r="F595" s="1" t="str">
        <f>"531"</f>
        <v>531</v>
      </c>
      <c r="G595" s="2">
        <v>41995</v>
      </c>
      <c r="H595" s="1">
        <v>209000</v>
      </c>
      <c r="I595" s="1">
        <v>209000</v>
      </c>
      <c r="J595" s="1">
        <v>198000</v>
      </c>
      <c r="K595" s="2">
        <v>41992</v>
      </c>
      <c r="L595" s="1">
        <v>15</v>
      </c>
      <c r="M595" s="2">
        <v>42006</v>
      </c>
      <c r="N595" s="1">
        <v>15</v>
      </c>
      <c r="O595" s="2">
        <v>42006</v>
      </c>
      <c r="P595" s="1">
        <v>23076</v>
      </c>
      <c r="Q595" s="1" t="s">
        <v>197</v>
      </c>
      <c r="R595" s="2">
        <v>42034</v>
      </c>
      <c r="S595" s="1">
        <v>231354</v>
      </c>
      <c r="U595" s="1">
        <v>123</v>
      </c>
      <c r="V595" s="1" t="s">
        <v>6937</v>
      </c>
      <c r="W595" s="1" t="s">
        <v>449</v>
      </c>
      <c r="X595" s="1">
        <v>113</v>
      </c>
      <c r="Y595" s="1">
        <v>84</v>
      </c>
      <c r="Z595" s="1" t="s">
        <v>370</v>
      </c>
      <c r="AA595" s="1" t="s">
        <v>2326</v>
      </c>
      <c r="AB595" s="1">
        <v>60525</v>
      </c>
      <c r="AD595" s="1" t="s">
        <v>6938</v>
      </c>
      <c r="AE595" s="1" t="s">
        <v>7304</v>
      </c>
      <c r="AF595" s="1" t="s">
        <v>402</v>
      </c>
      <c r="AG595" s="1" t="s">
        <v>213</v>
      </c>
      <c r="AH595" s="1" t="s">
        <v>2329</v>
      </c>
      <c r="AI595" s="1" t="s">
        <v>310</v>
      </c>
      <c r="AJ595" s="1" t="s">
        <v>702</v>
      </c>
      <c r="AL595" s="1">
        <v>6</v>
      </c>
      <c r="AM595" s="1">
        <v>2</v>
      </c>
      <c r="AN595" s="1">
        <v>2</v>
      </c>
      <c r="AO595" s="1">
        <v>0</v>
      </c>
      <c r="AP595" s="1" t="s">
        <v>209</v>
      </c>
      <c r="AQ595" s="1">
        <v>0</v>
      </c>
      <c r="AR595" s="1" t="s">
        <v>210</v>
      </c>
      <c r="AS595" s="1" t="s">
        <v>204</v>
      </c>
      <c r="AT595" s="1" t="s">
        <v>211</v>
      </c>
      <c r="AU595" s="1">
        <v>1</v>
      </c>
      <c r="AW595" s="1" t="s">
        <v>204</v>
      </c>
      <c r="AX595" s="1" t="s">
        <v>212</v>
      </c>
      <c r="AZ595" s="1">
        <v>2007</v>
      </c>
      <c r="BA595" s="1">
        <v>2013</v>
      </c>
      <c r="BB595" s="1" t="s">
        <v>405</v>
      </c>
      <c r="BE595" s="1">
        <v>0</v>
      </c>
      <c r="BF595" s="1">
        <v>1</v>
      </c>
      <c r="BG595" s="1">
        <v>30</v>
      </c>
      <c r="BL595" s="1">
        <v>371</v>
      </c>
      <c r="BM595" s="1" t="s">
        <v>204</v>
      </c>
      <c r="BN595" s="1" t="s">
        <v>213</v>
      </c>
      <c r="BP595" s="1" t="s">
        <v>204</v>
      </c>
      <c r="BR595" s="1" t="str">
        <f>"18201000731012"</f>
        <v>18201000731012</v>
      </c>
      <c r="BT595" s="1" t="s">
        <v>7305</v>
      </c>
      <c r="BU595" s="1" t="s">
        <v>2495</v>
      </c>
      <c r="BV595" s="1" t="s">
        <v>2496</v>
      </c>
      <c r="BW595" s="1" t="s">
        <v>706</v>
      </c>
      <c r="BX595" s="1">
        <v>106</v>
      </c>
      <c r="BY595" s="1">
        <v>106</v>
      </c>
      <c r="BZ595" s="1">
        <v>204</v>
      </c>
      <c r="CB595" s="1" t="str">
        <f t="shared" ref="CB595:CC595" si="463">""</f>
        <v/>
      </c>
      <c r="CC595" s="1" t="str">
        <f t="shared" si="463"/>
        <v/>
      </c>
      <c r="CD595" s="1">
        <v>13</v>
      </c>
      <c r="CE595" s="1">
        <v>7</v>
      </c>
      <c r="CG595" s="1" t="s">
        <v>5319</v>
      </c>
      <c r="CH595" s="1" t="s">
        <v>219</v>
      </c>
      <c r="CI595" s="1" t="s">
        <v>220</v>
      </c>
      <c r="CJ595" s="1" t="s">
        <v>343</v>
      </c>
      <c r="CK595" s="1" t="s">
        <v>1106</v>
      </c>
      <c r="CL595" s="1" t="s">
        <v>219</v>
      </c>
      <c r="CM595" s="1" t="s">
        <v>220</v>
      </c>
      <c r="CN595" s="1" t="s">
        <v>343</v>
      </c>
      <c r="CO595" s="1" t="s">
        <v>1046</v>
      </c>
      <c r="CP595" s="1" t="s">
        <v>219</v>
      </c>
      <c r="CQ595" s="1" t="s">
        <v>220</v>
      </c>
      <c r="CR595" s="1" t="s">
        <v>343</v>
      </c>
      <c r="CS595" s="1" t="s">
        <v>539</v>
      </c>
      <c r="CT595" s="1" t="s">
        <v>219</v>
      </c>
      <c r="CU595" s="1" t="s">
        <v>220</v>
      </c>
      <c r="CV595" s="1" t="s">
        <v>343</v>
      </c>
      <c r="CX595" s="1" t="s">
        <v>224</v>
      </c>
      <c r="DB595" s="1" t="s">
        <v>224</v>
      </c>
      <c r="DE595" s="1" t="s">
        <v>407</v>
      </c>
      <c r="DF595" s="1" t="s">
        <v>219</v>
      </c>
      <c r="DG595" s="1" t="s">
        <v>226</v>
      </c>
      <c r="DI595" s="1" t="s">
        <v>539</v>
      </c>
      <c r="DJ595" s="1" t="s">
        <v>219</v>
      </c>
      <c r="DK595" s="1" t="s">
        <v>220</v>
      </c>
      <c r="DL595" s="1" t="s">
        <v>343</v>
      </c>
      <c r="DS595" s="1" t="s">
        <v>230</v>
      </c>
      <c r="DW595" s="1" t="s">
        <v>230</v>
      </c>
      <c r="EA595" s="1" t="s">
        <v>230</v>
      </c>
      <c r="EE595" s="1" t="s">
        <v>230</v>
      </c>
      <c r="EI595" s="1" t="s">
        <v>230</v>
      </c>
      <c r="EL595" s="1" t="s">
        <v>413</v>
      </c>
      <c r="EM595" s="1" t="s">
        <v>232</v>
      </c>
      <c r="EN595" s="1" t="s">
        <v>282</v>
      </c>
      <c r="EO595" s="1" t="s">
        <v>234</v>
      </c>
      <c r="EP595" s="1" t="s">
        <v>7306</v>
      </c>
      <c r="EQ595" s="1" t="s">
        <v>236</v>
      </c>
      <c r="ER595" s="1" t="s">
        <v>210</v>
      </c>
      <c r="ES595" s="1" t="s">
        <v>322</v>
      </c>
      <c r="EU595" s="1" t="s">
        <v>239</v>
      </c>
      <c r="EV595" s="1" t="s">
        <v>6425</v>
      </c>
      <c r="EW595" s="1" t="s">
        <v>6280</v>
      </c>
      <c r="EZ595" s="1" t="s">
        <v>287</v>
      </c>
      <c r="FB595" s="1" t="s">
        <v>244</v>
      </c>
      <c r="FC595" s="1" t="s">
        <v>1739</v>
      </c>
      <c r="FD595" s="1" t="s">
        <v>736</v>
      </c>
      <c r="FE595" s="1" t="s">
        <v>247</v>
      </c>
      <c r="FF595" s="1" t="s">
        <v>248</v>
      </c>
      <c r="FH595" s="1" t="s">
        <v>249</v>
      </c>
      <c r="FI595" s="1" t="s">
        <v>1114</v>
      </c>
      <c r="FL595" s="1" t="s">
        <v>292</v>
      </c>
      <c r="FM595" s="1" t="s">
        <v>252</v>
      </c>
      <c r="FN595" s="1" t="s">
        <v>213</v>
      </c>
      <c r="FO595" s="1" t="s">
        <v>213</v>
      </c>
      <c r="FQ595" s="1" t="s">
        <v>7307</v>
      </c>
      <c r="FR595" s="1" t="s">
        <v>210</v>
      </c>
      <c r="FS595" s="1" t="s">
        <v>7308</v>
      </c>
      <c r="FT595" s="1" t="s">
        <v>255</v>
      </c>
      <c r="FU595" s="1" t="s">
        <v>204</v>
      </c>
      <c r="FW595" s="1" t="s">
        <v>6907</v>
      </c>
      <c r="FX595" s="1">
        <v>22010</v>
      </c>
      <c r="FY595" s="1" t="s">
        <v>6908</v>
      </c>
      <c r="FZ595" s="1" t="s">
        <v>7309</v>
      </c>
      <c r="GA595" s="1">
        <v>215958</v>
      </c>
      <c r="GB595" s="1" t="s">
        <v>7310</v>
      </c>
      <c r="GD595" s="1" t="s">
        <v>7311</v>
      </c>
      <c r="GE595" s="1" t="s">
        <v>210</v>
      </c>
      <c r="GI595" s="1" t="s">
        <v>213</v>
      </c>
      <c r="GJ595" s="1" t="s">
        <v>260</v>
      </c>
      <c r="GK595" s="1" t="s">
        <v>210</v>
      </c>
      <c r="GL595" s="2">
        <v>42037</v>
      </c>
    </row>
    <row r="596" spans="1:195">
      <c r="A596" s="1">
        <v>174000</v>
      </c>
      <c r="B596" s="1" t="s">
        <v>195</v>
      </c>
      <c r="C596" s="1" t="str">
        <f>"08798874"</f>
        <v>08798874</v>
      </c>
      <c r="D596" s="1" t="s">
        <v>196</v>
      </c>
      <c r="F596" s="1" t="str">
        <f>"84"</f>
        <v>84</v>
      </c>
      <c r="G596" s="2">
        <v>41981</v>
      </c>
      <c r="H596" s="1">
        <v>184900</v>
      </c>
      <c r="I596" s="1">
        <v>184900</v>
      </c>
      <c r="J596" s="1">
        <v>174000</v>
      </c>
      <c r="K596" s="2">
        <v>41981</v>
      </c>
      <c r="L596" s="1">
        <v>8</v>
      </c>
      <c r="M596" s="2">
        <v>41988</v>
      </c>
      <c r="N596" s="1">
        <v>8</v>
      </c>
      <c r="O596" s="2">
        <v>41988</v>
      </c>
      <c r="P596" s="1">
        <v>6022</v>
      </c>
      <c r="Q596" s="1" t="s">
        <v>423</v>
      </c>
      <c r="R596" s="2">
        <v>42034</v>
      </c>
      <c r="S596" s="1">
        <v>60228</v>
      </c>
      <c r="U596" s="1">
        <v>2910</v>
      </c>
      <c r="V596" s="1" t="s">
        <v>7083</v>
      </c>
      <c r="W596" s="1" t="s">
        <v>3006</v>
      </c>
      <c r="X596" s="1" t="s">
        <v>1688</v>
      </c>
      <c r="Y596" s="1">
        <v>6</v>
      </c>
      <c r="Z596" s="1" t="s">
        <v>200</v>
      </c>
      <c r="AA596" s="1" t="s">
        <v>5871</v>
      </c>
      <c r="AB596" s="1">
        <v>60084</v>
      </c>
      <c r="AD596" s="1" t="s">
        <v>7312</v>
      </c>
      <c r="AE596" s="1" t="s">
        <v>7313</v>
      </c>
      <c r="AF596" s="1">
        <v>2004</v>
      </c>
      <c r="AG596" s="1" t="s">
        <v>204</v>
      </c>
      <c r="AH596" s="1" t="s">
        <v>2599</v>
      </c>
      <c r="AI596" s="1" t="s">
        <v>509</v>
      </c>
      <c r="AJ596" s="1" t="s">
        <v>2599</v>
      </c>
      <c r="AL596" s="1">
        <v>6</v>
      </c>
      <c r="AM596" s="1">
        <v>2</v>
      </c>
      <c r="AN596" s="1">
        <v>3</v>
      </c>
      <c r="AO596" s="1">
        <v>1</v>
      </c>
      <c r="AP596" s="1" t="s">
        <v>209</v>
      </c>
      <c r="AR596" s="1" t="s">
        <v>209</v>
      </c>
      <c r="AS596" s="1" t="s">
        <v>213</v>
      </c>
      <c r="AT596" s="1" t="s">
        <v>211</v>
      </c>
      <c r="AU596" s="1">
        <v>2</v>
      </c>
      <c r="AW596" s="1" t="s">
        <v>204</v>
      </c>
      <c r="AX596" s="1" t="s">
        <v>1265</v>
      </c>
      <c r="AZ596" s="1">
        <v>4880.92</v>
      </c>
      <c r="BA596" s="1">
        <v>2013</v>
      </c>
      <c r="BB596" s="1" t="s">
        <v>405</v>
      </c>
      <c r="BE596" s="1">
        <v>1572</v>
      </c>
      <c r="BF596" s="1">
        <v>1</v>
      </c>
      <c r="BG596" s="1">
        <v>0</v>
      </c>
      <c r="BL596" s="1">
        <v>150</v>
      </c>
      <c r="BM596" s="1" t="s">
        <v>204</v>
      </c>
      <c r="BN596" s="1" t="s">
        <v>213</v>
      </c>
      <c r="BO596" s="1">
        <v>80</v>
      </c>
      <c r="BP596" s="1" t="s">
        <v>204</v>
      </c>
      <c r="BR596" s="1" t="str">
        <f>"09124060430000"</f>
        <v>09124060430000</v>
      </c>
      <c r="BT596" s="1" t="s">
        <v>7314</v>
      </c>
      <c r="BU596" s="1" t="s">
        <v>7315</v>
      </c>
      <c r="BV596" s="1" t="s">
        <v>2604</v>
      </c>
      <c r="BW596" s="1" t="s">
        <v>2605</v>
      </c>
      <c r="BX596" s="1">
        <v>118</v>
      </c>
      <c r="BY596" s="1">
        <v>118</v>
      </c>
      <c r="BZ596" s="1">
        <v>118</v>
      </c>
      <c r="CB596" s="1" t="str">
        <f>"29"</f>
        <v>29</v>
      </c>
      <c r="CC596" s="1" t="str">
        <f>"0"</f>
        <v>0</v>
      </c>
      <c r="CD596" s="1">
        <v>24</v>
      </c>
      <c r="CE596" s="1">
        <v>0</v>
      </c>
      <c r="CG596" s="1" t="s">
        <v>861</v>
      </c>
      <c r="CH596" s="1" t="s">
        <v>219</v>
      </c>
      <c r="CI596" s="1" t="s">
        <v>229</v>
      </c>
      <c r="CJ596" s="1" t="s">
        <v>7316</v>
      </c>
      <c r="CK596" s="1" t="s">
        <v>7317</v>
      </c>
      <c r="CL596" s="1" t="s">
        <v>277</v>
      </c>
      <c r="CM596" s="1" t="s">
        <v>220</v>
      </c>
      <c r="CN596" s="1" t="s">
        <v>909</v>
      </c>
      <c r="CO596" s="1" t="s">
        <v>346</v>
      </c>
      <c r="CP596" s="1" t="s">
        <v>219</v>
      </c>
      <c r="CQ596" s="1" t="s">
        <v>229</v>
      </c>
      <c r="CR596" s="1" t="s">
        <v>463</v>
      </c>
      <c r="CS596" s="1" t="s">
        <v>346</v>
      </c>
      <c r="CT596" s="1" t="s">
        <v>277</v>
      </c>
      <c r="CU596" s="1" t="s">
        <v>220</v>
      </c>
      <c r="CV596" s="1" t="s">
        <v>909</v>
      </c>
      <c r="CX596" s="1" t="s">
        <v>224</v>
      </c>
      <c r="DB596" s="1" t="s">
        <v>224</v>
      </c>
      <c r="DE596" s="1" t="s">
        <v>539</v>
      </c>
      <c r="DF596" s="1" t="s">
        <v>219</v>
      </c>
      <c r="DG596" s="1" t="s">
        <v>229</v>
      </c>
      <c r="DH596" s="1" t="s">
        <v>343</v>
      </c>
      <c r="DI596" s="1" t="s">
        <v>885</v>
      </c>
      <c r="DJ596" s="1" t="s">
        <v>43</v>
      </c>
      <c r="DK596" s="1" t="s">
        <v>226</v>
      </c>
      <c r="DL596" s="1" t="s">
        <v>909</v>
      </c>
      <c r="DO596" s="1" t="s">
        <v>709</v>
      </c>
      <c r="DS596" s="1" t="s">
        <v>230</v>
      </c>
      <c r="DW596" s="1" t="s">
        <v>230</v>
      </c>
      <c r="DZ596" s="1" t="s">
        <v>2968</v>
      </c>
      <c r="EA596" s="1" t="s">
        <v>219</v>
      </c>
      <c r="EB596" s="1" t="s">
        <v>342</v>
      </c>
      <c r="EE596" s="1" t="s">
        <v>230</v>
      </c>
      <c r="EI596" s="1" t="s">
        <v>230</v>
      </c>
      <c r="EL596" s="1" t="s">
        <v>491</v>
      </c>
      <c r="EM596" s="1" t="s">
        <v>319</v>
      </c>
      <c r="EN596" s="1" t="s">
        <v>282</v>
      </c>
      <c r="EO596" s="1" t="s">
        <v>234</v>
      </c>
      <c r="ER596" s="1" t="s">
        <v>544</v>
      </c>
      <c r="ES596" s="1" t="s">
        <v>493</v>
      </c>
      <c r="ET596" s="1" t="s">
        <v>323</v>
      </c>
      <c r="EU596" s="1" t="s">
        <v>7318</v>
      </c>
      <c r="EV596" s="1" t="s">
        <v>352</v>
      </c>
      <c r="EW596" s="1" t="s">
        <v>887</v>
      </c>
      <c r="EY596" s="1" t="s">
        <v>242</v>
      </c>
      <c r="EZ596" s="1" t="s">
        <v>709</v>
      </c>
      <c r="FA596" s="1" t="s">
        <v>7319</v>
      </c>
      <c r="FD596" s="1" t="s">
        <v>246</v>
      </c>
      <c r="FE596" s="1" t="s">
        <v>1031</v>
      </c>
      <c r="FF596" s="1" t="s">
        <v>248</v>
      </c>
      <c r="FH596" s="1" t="s">
        <v>550</v>
      </c>
      <c r="FI596" s="1" t="s">
        <v>357</v>
      </c>
      <c r="FL596" s="1" t="s">
        <v>358</v>
      </c>
      <c r="FM596" s="1" t="s">
        <v>252</v>
      </c>
      <c r="FN596" s="1" t="s">
        <v>213</v>
      </c>
      <c r="FO596" s="1" t="s">
        <v>213</v>
      </c>
      <c r="FQ596" s="1" t="s">
        <v>7320</v>
      </c>
      <c r="FR596" s="1" t="s">
        <v>210</v>
      </c>
      <c r="FS596" s="1" t="s">
        <v>7321</v>
      </c>
      <c r="FT596" s="1" t="s">
        <v>295</v>
      </c>
      <c r="FU596" s="1" t="s">
        <v>204</v>
      </c>
      <c r="FW596" s="1" t="s">
        <v>1637</v>
      </c>
      <c r="FX596" s="1">
        <v>2626</v>
      </c>
      <c r="FY596" s="1" t="s">
        <v>1638</v>
      </c>
      <c r="FZ596" s="1" t="s">
        <v>1639</v>
      </c>
      <c r="GA596" s="1">
        <v>20160</v>
      </c>
      <c r="GB596" s="1" t="s">
        <v>1640</v>
      </c>
      <c r="GE596" s="1" t="s">
        <v>480</v>
      </c>
      <c r="GI596" s="1" t="s">
        <v>213</v>
      </c>
      <c r="GJ596" s="1" t="s">
        <v>260</v>
      </c>
      <c r="GK596" s="1" t="s">
        <v>210</v>
      </c>
      <c r="GL596" s="2">
        <v>42037</v>
      </c>
      <c r="GM596" s="1" t="s">
        <v>7322</v>
      </c>
    </row>
    <row r="597" spans="1:195">
      <c r="A597" s="1">
        <v>45000</v>
      </c>
      <c r="B597" s="1" t="s">
        <v>195</v>
      </c>
      <c r="C597" s="1" t="str">
        <f>"08802050"</f>
        <v>08802050</v>
      </c>
      <c r="D597" s="1" t="s">
        <v>196</v>
      </c>
      <c r="F597" s="1" t="str">
        <f>"8043"</f>
        <v>8043</v>
      </c>
      <c r="G597" s="2">
        <v>41988</v>
      </c>
      <c r="H597" s="1">
        <v>44900</v>
      </c>
      <c r="I597" s="1">
        <v>44900</v>
      </c>
      <c r="J597" s="1">
        <v>45000</v>
      </c>
      <c r="K597" s="2">
        <v>41988</v>
      </c>
      <c r="L597" s="1">
        <v>93</v>
      </c>
      <c r="M597" s="2">
        <v>42080</v>
      </c>
      <c r="N597" s="1">
        <v>93</v>
      </c>
      <c r="O597" s="2">
        <v>42080</v>
      </c>
      <c r="P597" s="1">
        <v>60875</v>
      </c>
      <c r="Q597" s="1" t="s">
        <v>197</v>
      </c>
      <c r="R597" s="2">
        <v>42122</v>
      </c>
      <c r="S597" s="1">
        <v>240951</v>
      </c>
      <c r="U597" s="1">
        <v>2337</v>
      </c>
      <c r="V597" s="1" t="s">
        <v>7323</v>
      </c>
      <c r="W597" s="1" t="s">
        <v>779</v>
      </c>
      <c r="X597" s="1">
        <v>304</v>
      </c>
      <c r="Y597" s="1">
        <v>30</v>
      </c>
      <c r="Z597" s="1" t="s">
        <v>249</v>
      </c>
      <c r="AA597" s="1" t="s">
        <v>400</v>
      </c>
      <c r="AB597" s="1">
        <v>60649</v>
      </c>
      <c r="AE597" s="1" t="s">
        <v>7324</v>
      </c>
      <c r="AF597" s="1" t="s">
        <v>402</v>
      </c>
      <c r="AG597" s="1" t="s">
        <v>213</v>
      </c>
      <c r="AH597" s="1" t="s">
        <v>403</v>
      </c>
      <c r="AI597" s="1" t="s">
        <v>310</v>
      </c>
      <c r="AJ597" s="1" t="s">
        <v>562</v>
      </c>
      <c r="AL597" s="1">
        <v>5</v>
      </c>
      <c r="AM597" s="1">
        <v>2</v>
      </c>
      <c r="AN597" s="1">
        <v>2</v>
      </c>
      <c r="AO597" s="1">
        <v>0</v>
      </c>
      <c r="AP597" s="1" t="s">
        <v>209</v>
      </c>
      <c r="AR597" s="1" t="s">
        <v>210</v>
      </c>
      <c r="AS597" s="1" t="s">
        <v>204</v>
      </c>
      <c r="AT597" s="1" t="s">
        <v>211</v>
      </c>
      <c r="AU597" s="1">
        <v>1</v>
      </c>
      <c r="AW597" s="1" t="s">
        <v>204</v>
      </c>
      <c r="AX597" s="1">
        <v>1200</v>
      </c>
      <c r="AZ597" s="1">
        <v>653</v>
      </c>
      <c r="BA597" s="1">
        <v>2013</v>
      </c>
      <c r="BB597" s="1" t="s">
        <v>405</v>
      </c>
      <c r="BE597" s="1">
        <v>1200</v>
      </c>
      <c r="BF597" s="1">
        <v>3</v>
      </c>
      <c r="BG597" s="1">
        <v>3</v>
      </c>
      <c r="BL597" s="1">
        <v>251</v>
      </c>
      <c r="BM597" s="1" t="s">
        <v>204</v>
      </c>
      <c r="BN597" s="1" t="s">
        <v>213</v>
      </c>
      <c r="BO597" s="1">
        <v>45</v>
      </c>
      <c r="BP597" s="1" t="s">
        <v>204</v>
      </c>
      <c r="BR597" s="1" t="str">
        <f>"20244290071023"</f>
        <v>20244290071023</v>
      </c>
      <c r="BT597" s="1" t="s">
        <v>7325</v>
      </c>
      <c r="BX597" s="1">
        <v>299</v>
      </c>
      <c r="BY597" s="1">
        <v>299</v>
      </c>
      <c r="BZ597" s="1">
        <v>299</v>
      </c>
      <c r="CB597" s="1" t="str">
        <f>"0"</f>
        <v>0</v>
      </c>
      <c r="CC597" s="1" t="str">
        <f>"2300"</f>
        <v>2300</v>
      </c>
      <c r="CD597" s="1">
        <v>0</v>
      </c>
      <c r="CE597" s="1">
        <v>7000</v>
      </c>
      <c r="CG597" s="1" t="s">
        <v>3071</v>
      </c>
      <c r="CH597" s="1" t="s">
        <v>219</v>
      </c>
      <c r="CI597" s="1" t="s">
        <v>438</v>
      </c>
      <c r="CK597" s="1" t="s">
        <v>3151</v>
      </c>
      <c r="CL597" s="1" t="s">
        <v>219</v>
      </c>
      <c r="CM597" s="1" t="s">
        <v>220</v>
      </c>
      <c r="CO597" s="1" t="s">
        <v>2982</v>
      </c>
      <c r="CP597" s="1" t="s">
        <v>219</v>
      </c>
      <c r="CQ597" s="1" t="s">
        <v>438</v>
      </c>
      <c r="CR597" s="1" t="s">
        <v>210</v>
      </c>
      <c r="CS597" s="1" t="s">
        <v>1046</v>
      </c>
      <c r="CT597" s="1" t="s">
        <v>219</v>
      </c>
      <c r="CU597" s="1" t="s">
        <v>220</v>
      </c>
      <c r="CX597" s="1" t="s">
        <v>224</v>
      </c>
      <c r="DB597" s="1" t="s">
        <v>224</v>
      </c>
      <c r="DE597" s="1" t="s">
        <v>7326</v>
      </c>
      <c r="DF597" s="1" t="s">
        <v>219</v>
      </c>
      <c r="DG597" s="1" t="s">
        <v>342</v>
      </c>
      <c r="DJ597" s="1" t="s">
        <v>224</v>
      </c>
      <c r="DS597" s="1" t="s">
        <v>230</v>
      </c>
      <c r="DW597" s="1" t="s">
        <v>230</v>
      </c>
      <c r="EA597" s="1" t="s">
        <v>230</v>
      </c>
      <c r="EE597" s="1" t="s">
        <v>230</v>
      </c>
      <c r="EI597" s="1" t="s">
        <v>230</v>
      </c>
      <c r="EL597" s="1" t="s">
        <v>2154</v>
      </c>
      <c r="EM597" s="1" t="s">
        <v>319</v>
      </c>
      <c r="EN597" s="1" t="s">
        <v>282</v>
      </c>
      <c r="EO597" s="1" t="s">
        <v>234</v>
      </c>
      <c r="EP597" s="1" t="s">
        <v>1614</v>
      </c>
      <c r="EQ597" s="1" t="s">
        <v>2416</v>
      </c>
      <c r="ER597" s="1" t="s">
        <v>210</v>
      </c>
      <c r="ES597" s="1" t="s">
        <v>493</v>
      </c>
      <c r="EV597" s="1" t="s">
        <v>324</v>
      </c>
      <c r="EW597" s="1" t="s">
        <v>7327</v>
      </c>
      <c r="EZ597" s="1" t="s">
        <v>287</v>
      </c>
      <c r="FD597" s="1" t="s">
        <v>246</v>
      </c>
      <c r="FE597" s="1" t="s">
        <v>247</v>
      </c>
      <c r="FF597" s="1" t="s">
        <v>248</v>
      </c>
      <c r="FH597" s="1" t="s">
        <v>249</v>
      </c>
      <c r="FL597" s="1" t="s">
        <v>414</v>
      </c>
      <c r="FM597" s="1" t="s">
        <v>252</v>
      </c>
      <c r="FN597" s="1" t="s">
        <v>213</v>
      </c>
      <c r="FO597" s="1" t="s">
        <v>213</v>
      </c>
      <c r="FQ597" s="1" t="s">
        <v>673</v>
      </c>
      <c r="FR597" s="1" t="s">
        <v>210</v>
      </c>
      <c r="FS597" s="1" t="s">
        <v>7328</v>
      </c>
      <c r="FT597" s="1" t="s">
        <v>7329</v>
      </c>
      <c r="FU597" s="1" t="s">
        <v>204</v>
      </c>
      <c r="FW597" s="1" t="s">
        <v>4856</v>
      </c>
      <c r="FX597" s="1">
        <v>84818</v>
      </c>
      <c r="FY597" s="1" t="s">
        <v>4857</v>
      </c>
      <c r="FZ597" s="1" t="s">
        <v>4858</v>
      </c>
      <c r="GA597" s="1">
        <v>110478</v>
      </c>
      <c r="GB597" s="1" t="s">
        <v>4857</v>
      </c>
      <c r="GE597" s="1" t="s">
        <v>210</v>
      </c>
      <c r="GH597" s="1" t="s">
        <v>800</v>
      </c>
      <c r="GI597" s="1" t="s">
        <v>213</v>
      </c>
      <c r="GJ597" s="1" t="s">
        <v>260</v>
      </c>
      <c r="GK597" s="1" t="s">
        <v>210</v>
      </c>
      <c r="GL597" s="2">
        <v>42123</v>
      </c>
      <c r="GM597" s="1" t="s">
        <v>7330</v>
      </c>
    </row>
    <row r="598" spans="1:195">
      <c r="A598" s="1">
        <v>141100</v>
      </c>
      <c r="B598" s="1" t="s">
        <v>195</v>
      </c>
      <c r="C598" s="1" t="str">
        <f>"08800440"</f>
        <v>08800440</v>
      </c>
      <c r="D598" s="1" t="s">
        <v>196</v>
      </c>
      <c r="F598" s="1" t="str">
        <f>"108"</f>
        <v>108</v>
      </c>
      <c r="G598" s="2">
        <v>41984</v>
      </c>
      <c r="H598" s="1">
        <v>141900</v>
      </c>
      <c r="I598" s="1">
        <v>141900</v>
      </c>
      <c r="J598" s="1">
        <v>141100</v>
      </c>
      <c r="K598" s="2">
        <v>41984</v>
      </c>
      <c r="L598" s="1">
        <v>7</v>
      </c>
      <c r="M598" s="2">
        <v>41990</v>
      </c>
      <c r="N598" s="1">
        <v>7</v>
      </c>
      <c r="O598" s="2">
        <v>41990</v>
      </c>
      <c r="P598" s="1">
        <v>18148</v>
      </c>
      <c r="Q598" s="1" t="s">
        <v>197</v>
      </c>
      <c r="R598" s="2">
        <v>42040</v>
      </c>
      <c r="S598" s="1">
        <v>187953</v>
      </c>
      <c r="T598" s="1">
        <v>4000</v>
      </c>
      <c r="U598" s="1">
        <v>305</v>
      </c>
      <c r="V598" s="1" t="s">
        <v>7331</v>
      </c>
      <c r="W598" s="1" t="s">
        <v>304</v>
      </c>
      <c r="X598" s="1" t="s">
        <v>527</v>
      </c>
      <c r="Y598" s="1">
        <v>2</v>
      </c>
      <c r="Z598" s="1" t="s">
        <v>200</v>
      </c>
      <c r="AA598" s="1" t="s">
        <v>829</v>
      </c>
      <c r="AB598" s="1">
        <v>60108</v>
      </c>
      <c r="AE598" s="1" t="s">
        <v>7332</v>
      </c>
      <c r="AF598" s="1">
        <v>1985</v>
      </c>
      <c r="AG598" s="1" t="s">
        <v>204</v>
      </c>
      <c r="AH598" s="1" t="s">
        <v>269</v>
      </c>
      <c r="AI598" s="1" t="s">
        <v>206</v>
      </c>
      <c r="AJ598" s="1" t="s">
        <v>269</v>
      </c>
      <c r="AL598" s="1">
        <v>6</v>
      </c>
      <c r="AM598" s="1">
        <v>2</v>
      </c>
      <c r="AN598" s="1">
        <v>1</v>
      </c>
      <c r="AO598" s="1">
        <v>1</v>
      </c>
      <c r="AP598" s="1" t="s">
        <v>210</v>
      </c>
      <c r="AR598" s="1" t="s">
        <v>209</v>
      </c>
      <c r="AS598" s="1" t="s">
        <v>204</v>
      </c>
      <c r="AT598" s="1" t="s">
        <v>211</v>
      </c>
      <c r="AU598" s="1">
        <v>1</v>
      </c>
      <c r="AW598" s="1" t="s">
        <v>204</v>
      </c>
      <c r="AX598" s="1" t="s">
        <v>7333</v>
      </c>
      <c r="AZ598" s="1">
        <v>3823</v>
      </c>
      <c r="BA598" s="1">
        <v>2013</v>
      </c>
      <c r="BE598" s="1">
        <v>1834</v>
      </c>
      <c r="BF598" s="1">
        <v>1</v>
      </c>
      <c r="BG598" s="1">
        <v>0</v>
      </c>
      <c r="BL598" s="1">
        <v>0</v>
      </c>
      <c r="BM598" s="1" t="s">
        <v>204</v>
      </c>
      <c r="BN598" s="1" t="s">
        <v>213</v>
      </c>
      <c r="BO598" s="1">
        <v>20</v>
      </c>
      <c r="BP598" s="1" t="s">
        <v>204</v>
      </c>
      <c r="BR598" s="1" t="str">
        <f>"0223405056"</f>
        <v>0223405056</v>
      </c>
      <c r="BT598" s="1" t="s">
        <v>7334</v>
      </c>
      <c r="BX598" s="1">
        <v>13</v>
      </c>
      <c r="BY598" s="1">
        <v>13</v>
      </c>
      <c r="BZ598" s="1">
        <v>13</v>
      </c>
      <c r="CB598" s="1" t="str">
        <f t="shared" ref="CB598:CC598" si="464">""</f>
        <v/>
      </c>
      <c r="CC598" s="1" t="str">
        <f t="shared" si="464"/>
        <v/>
      </c>
      <c r="CG598" s="1" t="s">
        <v>7335</v>
      </c>
      <c r="CH598" s="1" t="s">
        <v>219</v>
      </c>
      <c r="CK598" s="1" t="s">
        <v>2122</v>
      </c>
      <c r="CL598" s="1" t="s">
        <v>219</v>
      </c>
      <c r="CP598" s="1" t="s">
        <v>224</v>
      </c>
      <c r="CS598" s="1" t="s">
        <v>1297</v>
      </c>
      <c r="CT598" s="1" t="s">
        <v>219</v>
      </c>
      <c r="CW598" s="1" t="s">
        <v>465</v>
      </c>
      <c r="CX598" s="1" t="s">
        <v>43</v>
      </c>
      <c r="DB598" s="1" t="s">
        <v>224</v>
      </c>
      <c r="DE598" s="1" t="s">
        <v>837</v>
      </c>
      <c r="DF598" s="1" t="s">
        <v>219</v>
      </c>
      <c r="DI598" s="1" t="s">
        <v>7336</v>
      </c>
      <c r="DJ598" s="1" t="s">
        <v>43</v>
      </c>
      <c r="DS598" s="1" t="s">
        <v>230</v>
      </c>
      <c r="DW598" s="1" t="s">
        <v>230</v>
      </c>
      <c r="EA598" s="1" t="s">
        <v>230</v>
      </c>
      <c r="EE598" s="1" t="s">
        <v>230</v>
      </c>
      <c r="EI598" s="1" t="s">
        <v>230</v>
      </c>
      <c r="EL598" s="1" t="s">
        <v>542</v>
      </c>
      <c r="EM598" s="1" t="s">
        <v>319</v>
      </c>
      <c r="EN598" s="1" t="s">
        <v>282</v>
      </c>
      <c r="EO598" s="1" t="s">
        <v>234</v>
      </c>
      <c r="ER598" s="1" t="s">
        <v>544</v>
      </c>
      <c r="EW598" s="1" t="s">
        <v>210</v>
      </c>
      <c r="EZ598" s="1" t="s">
        <v>287</v>
      </c>
      <c r="FD598" s="1" t="s">
        <v>246</v>
      </c>
      <c r="FE598" s="1" t="s">
        <v>975</v>
      </c>
      <c r="FF598" s="1" t="s">
        <v>248</v>
      </c>
      <c r="FH598" s="1" t="s">
        <v>442</v>
      </c>
      <c r="FL598" s="1" t="s">
        <v>358</v>
      </c>
      <c r="FM598" s="1" t="s">
        <v>252</v>
      </c>
      <c r="FN598" s="1" t="s">
        <v>213</v>
      </c>
      <c r="FO598" s="1" t="s">
        <v>213</v>
      </c>
      <c r="FQ598" s="1" t="s">
        <v>673</v>
      </c>
      <c r="FR598" s="1" t="s">
        <v>210</v>
      </c>
      <c r="FS598" s="1" t="s">
        <v>2984</v>
      </c>
      <c r="FT598" s="1" t="s">
        <v>3729</v>
      </c>
      <c r="FU598" s="1" t="s">
        <v>204</v>
      </c>
      <c r="FW598" s="1" t="s">
        <v>2985</v>
      </c>
      <c r="FX598" s="1">
        <v>23959</v>
      </c>
      <c r="FY598" s="1" t="s">
        <v>2986</v>
      </c>
      <c r="FZ598" s="1" t="s">
        <v>2987</v>
      </c>
      <c r="GA598" s="1">
        <v>220868</v>
      </c>
      <c r="GB598" s="1" t="s">
        <v>2986</v>
      </c>
      <c r="GE598" s="1" t="s">
        <v>210</v>
      </c>
      <c r="GI598" s="1" t="s">
        <v>213</v>
      </c>
      <c r="GJ598" s="1" t="s">
        <v>260</v>
      </c>
      <c r="GK598" s="1" t="s">
        <v>210</v>
      </c>
      <c r="GL598" s="2">
        <v>42041</v>
      </c>
      <c r="GM598" s="1" t="s">
        <v>7337</v>
      </c>
    </row>
    <row r="599" spans="1:195">
      <c r="A599" s="1">
        <v>40000</v>
      </c>
      <c r="B599" s="1" t="s">
        <v>195</v>
      </c>
      <c r="C599" s="1" t="str">
        <f>"08802390"</f>
        <v>08802390</v>
      </c>
      <c r="D599" s="1" t="s">
        <v>196</v>
      </c>
      <c r="F599" s="1" t="str">
        <f>"8042"</f>
        <v>8042</v>
      </c>
      <c r="G599" s="2">
        <v>41988</v>
      </c>
      <c r="H599" s="1">
        <v>53750</v>
      </c>
      <c r="I599" s="1">
        <v>43750</v>
      </c>
      <c r="J599" s="1">
        <v>40000</v>
      </c>
      <c r="K599" s="2">
        <v>41988</v>
      </c>
      <c r="L599" s="1">
        <v>234</v>
      </c>
      <c r="M599" s="2">
        <v>42065</v>
      </c>
      <c r="N599" s="1">
        <v>78</v>
      </c>
      <c r="O599" s="2">
        <v>42065</v>
      </c>
      <c r="P599" s="1">
        <v>84467</v>
      </c>
      <c r="Q599" s="1" t="s">
        <v>302</v>
      </c>
      <c r="R599" s="2">
        <v>42122</v>
      </c>
      <c r="S599" s="1">
        <v>875623</v>
      </c>
      <c r="U599" s="1">
        <v>6610</v>
      </c>
      <c r="V599" s="1" t="s">
        <v>7338</v>
      </c>
      <c r="W599" s="1" t="s">
        <v>425</v>
      </c>
      <c r="X599" s="1">
        <v>310</v>
      </c>
      <c r="Y599" s="1">
        <v>35</v>
      </c>
      <c r="Z599" s="1" t="s">
        <v>249</v>
      </c>
      <c r="AA599" s="1" t="s">
        <v>400</v>
      </c>
      <c r="AB599" s="1">
        <v>60637</v>
      </c>
      <c r="AE599" s="1" t="s">
        <v>7339</v>
      </c>
      <c r="AF599" s="1" t="s">
        <v>402</v>
      </c>
      <c r="AG599" s="1" t="s">
        <v>213</v>
      </c>
      <c r="AH599" s="1" t="s">
        <v>403</v>
      </c>
      <c r="AI599" s="1" t="s">
        <v>310</v>
      </c>
      <c r="AJ599" s="1" t="s">
        <v>562</v>
      </c>
      <c r="AL599" s="1">
        <v>5</v>
      </c>
      <c r="AM599" s="1">
        <v>2</v>
      </c>
      <c r="AN599" s="1">
        <v>2</v>
      </c>
      <c r="AO599" s="1">
        <v>0</v>
      </c>
      <c r="AP599" s="1" t="s">
        <v>209</v>
      </c>
      <c r="AR599" s="1" t="s">
        <v>210</v>
      </c>
      <c r="AS599" s="1" t="s">
        <v>204</v>
      </c>
      <c r="AT599" s="1" t="s">
        <v>210</v>
      </c>
      <c r="AW599" s="1" t="s">
        <v>204</v>
      </c>
      <c r="AX599" s="1">
        <v>0</v>
      </c>
      <c r="AZ599" s="1">
        <v>1840.39</v>
      </c>
      <c r="BA599" s="1">
        <v>2012</v>
      </c>
      <c r="BE599" s="1">
        <v>1000</v>
      </c>
      <c r="BF599" s="1">
        <v>3</v>
      </c>
      <c r="BG599" s="1">
        <v>0</v>
      </c>
      <c r="BL599" s="1">
        <v>149</v>
      </c>
      <c r="BM599" s="1" t="s">
        <v>204</v>
      </c>
      <c r="BN599" s="1" t="s">
        <v>213</v>
      </c>
      <c r="BO599" s="1">
        <v>0</v>
      </c>
      <c r="BP599" s="1" t="s">
        <v>204</v>
      </c>
      <c r="BR599" s="1" t="str">
        <f>"20232230421025"</f>
        <v>20232230421025</v>
      </c>
      <c r="BT599" s="1" t="s">
        <v>7340</v>
      </c>
      <c r="BX599" s="1">
        <v>299</v>
      </c>
      <c r="BY599" s="1">
        <v>299</v>
      </c>
      <c r="BZ599" s="1">
        <v>299</v>
      </c>
      <c r="CB599" s="1" t="str">
        <f t="shared" ref="CB599:CB601" si="465">"0"</f>
        <v>0</v>
      </c>
      <c r="CC599" s="1" t="str">
        <f>"1332"</f>
        <v>1332</v>
      </c>
      <c r="CD599" s="1">
        <v>0</v>
      </c>
      <c r="CE599" s="1">
        <v>6610</v>
      </c>
      <c r="CG599" s="1" t="s">
        <v>4062</v>
      </c>
      <c r="CH599" s="1" t="s">
        <v>784</v>
      </c>
      <c r="CI599" s="1" t="s">
        <v>438</v>
      </c>
      <c r="CK599" s="1" t="s">
        <v>3100</v>
      </c>
      <c r="CL599" s="1" t="s">
        <v>784</v>
      </c>
      <c r="CM599" s="1" t="s">
        <v>438</v>
      </c>
      <c r="CO599" s="1" t="s">
        <v>629</v>
      </c>
      <c r="CP599" s="1" t="s">
        <v>784</v>
      </c>
      <c r="CS599" s="1" t="s">
        <v>318</v>
      </c>
      <c r="CT599" s="1" t="s">
        <v>784</v>
      </c>
      <c r="CU599" s="1" t="s">
        <v>438</v>
      </c>
      <c r="CX599" s="1" t="s">
        <v>224</v>
      </c>
      <c r="DB599" s="1" t="s">
        <v>224</v>
      </c>
      <c r="DE599" s="1" t="s">
        <v>836</v>
      </c>
      <c r="DF599" s="1" t="s">
        <v>784</v>
      </c>
      <c r="DG599" s="1" t="s">
        <v>438</v>
      </c>
      <c r="DJ599" s="1" t="s">
        <v>224</v>
      </c>
      <c r="DS599" s="1" t="s">
        <v>230</v>
      </c>
      <c r="DW599" s="1" t="s">
        <v>230</v>
      </c>
      <c r="EA599" s="1" t="s">
        <v>230</v>
      </c>
      <c r="EE599" s="1" t="s">
        <v>230</v>
      </c>
      <c r="EI599" s="1" t="s">
        <v>230</v>
      </c>
      <c r="EL599" s="1" t="s">
        <v>670</v>
      </c>
      <c r="EM599" s="1" t="s">
        <v>232</v>
      </c>
      <c r="EN599" s="1" t="s">
        <v>282</v>
      </c>
      <c r="EO599" s="1" t="s">
        <v>234</v>
      </c>
      <c r="ER599" s="1" t="s">
        <v>210</v>
      </c>
      <c r="EW599" s="1" t="s">
        <v>1134</v>
      </c>
      <c r="EZ599" s="1" t="s">
        <v>287</v>
      </c>
      <c r="FB599" s="1" t="s">
        <v>1505</v>
      </c>
      <c r="FC599" s="1" t="s">
        <v>1386</v>
      </c>
      <c r="FD599" s="1" t="s">
        <v>246</v>
      </c>
      <c r="FE599" s="1" t="s">
        <v>247</v>
      </c>
      <c r="FF599" s="1" t="s">
        <v>248</v>
      </c>
      <c r="FH599" s="1" t="s">
        <v>249</v>
      </c>
      <c r="FL599" s="1" t="s">
        <v>358</v>
      </c>
      <c r="FM599" s="1" t="s">
        <v>769</v>
      </c>
      <c r="FN599" s="1" t="s">
        <v>213</v>
      </c>
      <c r="FO599" s="1" t="s">
        <v>213</v>
      </c>
      <c r="FQ599" s="1" t="s">
        <v>582</v>
      </c>
      <c r="FR599" s="1" t="s">
        <v>360</v>
      </c>
      <c r="FS599" s="1" t="s">
        <v>1709</v>
      </c>
      <c r="FT599" s="1" t="s">
        <v>362</v>
      </c>
      <c r="FU599" s="1" t="s">
        <v>204</v>
      </c>
      <c r="FW599" s="1" t="s">
        <v>915</v>
      </c>
      <c r="FX599" s="1">
        <v>12660</v>
      </c>
      <c r="FY599" s="1" t="s">
        <v>7341</v>
      </c>
      <c r="FZ599" s="1" t="s">
        <v>7342</v>
      </c>
      <c r="GA599" s="1">
        <v>166997</v>
      </c>
      <c r="GB599" s="1" t="s">
        <v>7343</v>
      </c>
      <c r="GE599" s="1" t="s">
        <v>210</v>
      </c>
      <c r="GH599" s="1" t="s">
        <v>421</v>
      </c>
      <c r="GI599" s="1" t="s">
        <v>213</v>
      </c>
      <c r="GJ599" s="1" t="s">
        <v>260</v>
      </c>
      <c r="GK599" s="1" t="s">
        <v>210</v>
      </c>
      <c r="GL599" s="2">
        <v>42122</v>
      </c>
      <c r="GM599" s="1" t="s">
        <v>7344</v>
      </c>
    </row>
    <row r="600" spans="1:195">
      <c r="A600" s="1">
        <v>163000</v>
      </c>
      <c r="B600" s="1" t="s">
        <v>195</v>
      </c>
      <c r="C600" s="1" t="str">
        <f>"08806154"</f>
        <v>08806154</v>
      </c>
      <c r="D600" s="1" t="s">
        <v>196</v>
      </c>
      <c r="F600" s="1" t="str">
        <f>"507"</f>
        <v>507</v>
      </c>
      <c r="G600" s="2">
        <v>41999</v>
      </c>
      <c r="H600" s="1">
        <v>189900</v>
      </c>
      <c r="I600" s="1">
        <v>169900</v>
      </c>
      <c r="J600" s="1">
        <v>163000</v>
      </c>
      <c r="K600" s="2">
        <v>41999</v>
      </c>
      <c r="L600" s="1">
        <v>88</v>
      </c>
      <c r="M600" s="2">
        <v>42086</v>
      </c>
      <c r="N600" s="1">
        <v>88</v>
      </c>
      <c r="O600" s="2">
        <v>42086</v>
      </c>
      <c r="P600" s="1">
        <v>25182</v>
      </c>
      <c r="Q600" s="1" t="s">
        <v>302</v>
      </c>
      <c r="R600" s="2">
        <v>42089</v>
      </c>
      <c r="S600" s="1">
        <v>245054</v>
      </c>
      <c r="U600" s="1">
        <v>2413</v>
      </c>
      <c r="V600" s="1" t="s">
        <v>6254</v>
      </c>
      <c r="W600" s="1" t="s">
        <v>449</v>
      </c>
      <c r="X600" s="1">
        <v>2413</v>
      </c>
      <c r="Y600" s="1">
        <v>6</v>
      </c>
      <c r="Z600" s="1" t="s">
        <v>249</v>
      </c>
      <c r="AA600" s="1" t="s">
        <v>1123</v>
      </c>
      <c r="AB600" s="1">
        <v>60502</v>
      </c>
      <c r="AD600" s="1" t="s">
        <v>7345</v>
      </c>
      <c r="AE600" s="1" t="s">
        <v>7346</v>
      </c>
      <c r="AF600" s="1">
        <v>2003</v>
      </c>
      <c r="AG600" s="1" t="s">
        <v>204</v>
      </c>
      <c r="AH600" s="1" t="s">
        <v>1126</v>
      </c>
      <c r="AI600" s="1" t="s">
        <v>206</v>
      </c>
      <c r="AJ600" s="1" t="s">
        <v>924</v>
      </c>
      <c r="AL600" s="1">
        <v>6</v>
      </c>
      <c r="AM600" s="1">
        <v>2</v>
      </c>
      <c r="AN600" s="1">
        <v>2</v>
      </c>
      <c r="AO600" s="1">
        <v>0</v>
      </c>
      <c r="AP600" s="1" t="s">
        <v>209</v>
      </c>
      <c r="AQ600" s="1">
        <v>0</v>
      </c>
      <c r="AR600" s="1" t="s">
        <v>210</v>
      </c>
      <c r="AT600" s="1" t="s">
        <v>211</v>
      </c>
      <c r="AU600" s="1">
        <v>2</v>
      </c>
      <c r="AW600" s="1" t="s">
        <v>204</v>
      </c>
      <c r="AX600" s="1" t="s">
        <v>212</v>
      </c>
      <c r="AZ600" s="1">
        <v>4392</v>
      </c>
      <c r="BA600" s="1">
        <v>2013</v>
      </c>
      <c r="BB600" s="1" t="s">
        <v>405</v>
      </c>
      <c r="BE600" s="1">
        <v>1833</v>
      </c>
      <c r="BF600" s="1">
        <v>2</v>
      </c>
      <c r="BG600" s="1">
        <v>0</v>
      </c>
      <c r="BL600" s="1">
        <v>151</v>
      </c>
      <c r="BM600" s="1" t="s">
        <v>413</v>
      </c>
      <c r="BN600" s="1" t="s">
        <v>213</v>
      </c>
      <c r="BO600" s="1">
        <v>999</v>
      </c>
      <c r="BP600" s="1" t="s">
        <v>204</v>
      </c>
      <c r="BR600" s="1" t="str">
        <f>"0719316091"</f>
        <v>0719316091</v>
      </c>
      <c r="BT600" s="1" t="s">
        <v>7347</v>
      </c>
      <c r="BU600" s="1" t="s">
        <v>6259</v>
      </c>
      <c r="BV600" s="1" t="s">
        <v>1648</v>
      </c>
      <c r="BW600" s="1" t="s">
        <v>1312</v>
      </c>
      <c r="BX600" s="1">
        <v>204</v>
      </c>
      <c r="BY600" s="1">
        <v>204</v>
      </c>
      <c r="BZ600" s="1">
        <v>204</v>
      </c>
      <c r="CB600" s="1" t="str">
        <f t="shared" si="465"/>
        <v>0</v>
      </c>
      <c r="CC600" s="1" t="str">
        <f t="shared" ref="CC600:CC601" si="466">"0"</f>
        <v>0</v>
      </c>
      <c r="CD600" s="1">
        <v>32</v>
      </c>
      <c r="CE600" s="1">
        <v>7</v>
      </c>
      <c r="CG600" s="1" t="s">
        <v>932</v>
      </c>
      <c r="CH600" s="1" t="s">
        <v>277</v>
      </c>
      <c r="CI600" s="1" t="s">
        <v>220</v>
      </c>
      <c r="CK600" s="1" t="s">
        <v>1155</v>
      </c>
      <c r="CL600" s="1" t="s">
        <v>277</v>
      </c>
      <c r="CM600" s="1" t="s">
        <v>220</v>
      </c>
      <c r="CO600" s="1" t="s">
        <v>539</v>
      </c>
      <c r="CP600" s="1" t="s">
        <v>277</v>
      </c>
      <c r="CQ600" s="1" t="s">
        <v>220</v>
      </c>
      <c r="CS600" s="1" t="s">
        <v>378</v>
      </c>
      <c r="CT600" s="1" t="s">
        <v>277</v>
      </c>
      <c r="CU600" s="1" t="s">
        <v>220</v>
      </c>
      <c r="DB600" s="1" t="s">
        <v>224</v>
      </c>
      <c r="DE600" s="1" t="s">
        <v>315</v>
      </c>
      <c r="DF600" s="1" t="s">
        <v>277</v>
      </c>
      <c r="DG600" s="1" t="s">
        <v>347</v>
      </c>
      <c r="DJ600" s="1" t="s">
        <v>224</v>
      </c>
      <c r="DM600" s="1" t="s">
        <v>227</v>
      </c>
      <c r="DR600" s="1" t="s">
        <v>1046</v>
      </c>
      <c r="DS600" s="1" t="s">
        <v>277</v>
      </c>
      <c r="DW600" s="1" t="s">
        <v>230</v>
      </c>
      <c r="EA600" s="1" t="s">
        <v>230</v>
      </c>
      <c r="EE600" s="1" t="s">
        <v>230</v>
      </c>
      <c r="EI600" s="1" t="s">
        <v>230</v>
      </c>
      <c r="EL600" s="1" t="s">
        <v>466</v>
      </c>
      <c r="EM600" s="1" t="s">
        <v>232</v>
      </c>
      <c r="EN600" s="1" t="s">
        <v>282</v>
      </c>
      <c r="EO600" s="1" t="s">
        <v>234</v>
      </c>
      <c r="EP600" s="1" t="s">
        <v>650</v>
      </c>
      <c r="ER600" s="1" t="s">
        <v>210</v>
      </c>
      <c r="ES600" s="1" t="s">
        <v>608</v>
      </c>
      <c r="EU600" s="1" t="s">
        <v>1110</v>
      </c>
      <c r="EV600" s="1" t="s">
        <v>1553</v>
      </c>
      <c r="EW600" s="1" t="s">
        <v>353</v>
      </c>
      <c r="EY600" s="1" t="s">
        <v>242</v>
      </c>
      <c r="EZ600" s="1" t="s">
        <v>227</v>
      </c>
      <c r="FD600" s="1" t="s">
        <v>246</v>
      </c>
      <c r="FE600" s="1" t="s">
        <v>386</v>
      </c>
      <c r="FF600" s="1" t="s">
        <v>248</v>
      </c>
      <c r="FH600" s="1" t="s">
        <v>825</v>
      </c>
      <c r="FI600" s="1" t="s">
        <v>473</v>
      </c>
      <c r="FL600" s="1" t="s">
        <v>4215</v>
      </c>
      <c r="FM600" s="1" t="s">
        <v>252</v>
      </c>
      <c r="FN600" s="1" t="s">
        <v>213</v>
      </c>
      <c r="FO600" s="1" t="s">
        <v>213</v>
      </c>
      <c r="FQ600" s="1" t="s">
        <v>582</v>
      </c>
      <c r="FR600" s="1" t="s">
        <v>210</v>
      </c>
      <c r="FS600" s="1" t="s">
        <v>5209</v>
      </c>
      <c r="FT600" s="1" t="s">
        <v>584</v>
      </c>
      <c r="FU600" s="1" t="s">
        <v>204</v>
      </c>
      <c r="FW600" s="1" t="s">
        <v>3015</v>
      </c>
      <c r="FX600" s="1">
        <v>24199</v>
      </c>
      <c r="FY600" s="1" t="s">
        <v>3016</v>
      </c>
      <c r="FZ600" s="1" t="s">
        <v>3017</v>
      </c>
      <c r="GA600" s="1">
        <v>235607</v>
      </c>
      <c r="GB600" s="1" t="s">
        <v>3018</v>
      </c>
      <c r="GC600" s="1">
        <v>237175</v>
      </c>
      <c r="GE600" s="1" t="s">
        <v>480</v>
      </c>
      <c r="GI600" s="1" t="s">
        <v>204</v>
      </c>
      <c r="GJ600" s="1" t="s">
        <v>260</v>
      </c>
      <c r="GK600" s="1" t="s">
        <v>210</v>
      </c>
      <c r="GL600" s="2">
        <v>42100</v>
      </c>
      <c r="GM600" s="1" t="s">
        <v>7348</v>
      </c>
    </row>
    <row r="601" spans="1:195">
      <c r="A601" s="1">
        <v>145000</v>
      </c>
      <c r="B601" s="1" t="s">
        <v>195</v>
      </c>
      <c r="C601" s="1" t="str">
        <f>"08802787"</f>
        <v>08802787</v>
      </c>
      <c r="D601" s="1" t="s">
        <v>196</v>
      </c>
      <c r="F601" s="1" t="str">
        <f>"559"</f>
        <v>559</v>
      </c>
      <c r="G601" s="2">
        <v>41989</v>
      </c>
      <c r="H601" s="1">
        <v>150000</v>
      </c>
      <c r="I601" s="1">
        <v>150000</v>
      </c>
      <c r="J601" s="1">
        <v>145000</v>
      </c>
      <c r="K601" s="2">
        <v>41989</v>
      </c>
      <c r="L601" s="1">
        <v>39</v>
      </c>
      <c r="M601" s="2">
        <v>42027</v>
      </c>
      <c r="N601" s="1">
        <v>39</v>
      </c>
      <c r="O601" s="2">
        <v>42027</v>
      </c>
      <c r="P601" s="1">
        <v>25732</v>
      </c>
      <c r="Q601" s="1" t="s">
        <v>197</v>
      </c>
      <c r="R601" s="2">
        <v>42076</v>
      </c>
      <c r="S601" s="1">
        <v>222914</v>
      </c>
      <c r="U601" s="1">
        <v>527</v>
      </c>
      <c r="V601" s="1" t="s">
        <v>7349</v>
      </c>
      <c r="W601" s="1" t="s">
        <v>1056</v>
      </c>
      <c r="X601" s="1" t="s">
        <v>7350</v>
      </c>
      <c r="Y601" s="1">
        <v>48</v>
      </c>
      <c r="Z601" s="1" t="s">
        <v>249</v>
      </c>
      <c r="AA601" s="1" t="s">
        <v>1950</v>
      </c>
      <c r="AB601" s="1">
        <v>60559</v>
      </c>
      <c r="AD601" s="1" t="s">
        <v>7351</v>
      </c>
      <c r="AE601" s="1" t="s">
        <v>7352</v>
      </c>
      <c r="AF601" s="1">
        <v>1983</v>
      </c>
      <c r="AG601" s="1" t="s">
        <v>204</v>
      </c>
      <c r="AH601" s="1" t="s">
        <v>1952</v>
      </c>
      <c r="AI601" s="1" t="s">
        <v>206</v>
      </c>
      <c r="AJ601" s="1" t="s">
        <v>903</v>
      </c>
      <c r="AL601" s="1">
        <v>5</v>
      </c>
      <c r="AM601" s="1">
        <v>2</v>
      </c>
      <c r="AN601" s="1">
        <v>2</v>
      </c>
      <c r="AO601" s="1">
        <v>0</v>
      </c>
      <c r="AP601" s="1" t="s">
        <v>209</v>
      </c>
      <c r="AQ601" s="1">
        <v>1</v>
      </c>
      <c r="AR601" s="1" t="s">
        <v>210</v>
      </c>
      <c r="AT601" s="1" t="s">
        <v>211</v>
      </c>
      <c r="AU601" s="1">
        <v>1</v>
      </c>
      <c r="AW601" s="1" t="s">
        <v>204</v>
      </c>
      <c r="AX601" s="1" t="s">
        <v>212</v>
      </c>
      <c r="AZ601" s="1">
        <v>2087</v>
      </c>
      <c r="BA601" s="1">
        <v>2013</v>
      </c>
      <c r="BB601" s="1" t="s">
        <v>405</v>
      </c>
      <c r="BE601" s="1">
        <v>1020</v>
      </c>
      <c r="BF601" s="1">
        <v>2</v>
      </c>
      <c r="BG601" s="1">
        <v>0</v>
      </c>
      <c r="BL601" s="1">
        <v>170</v>
      </c>
      <c r="BM601" s="1" t="s">
        <v>204</v>
      </c>
      <c r="BN601" s="1" t="s">
        <v>213</v>
      </c>
      <c r="BO601" s="1">
        <v>99</v>
      </c>
      <c r="BP601" s="1" t="s">
        <v>204</v>
      </c>
      <c r="BR601" s="1" t="str">
        <f>"0904314040"</f>
        <v>0904314040</v>
      </c>
      <c r="BT601" s="1" t="s">
        <v>7353</v>
      </c>
      <c r="BU601" s="1" t="s">
        <v>7354</v>
      </c>
      <c r="BV601" s="1" t="s">
        <v>2761</v>
      </c>
      <c r="BW601" s="1" t="s">
        <v>2762</v>
      </c>
      <c r="BX601" s="1">
        <v>58</v>
      </c>
      <c r="BY601" s="1">
        <v>58</v>
      </c>
      <c r="BZ601" s="1">
        <v>99</v>
      </c>
      <c r="CB601" s="1" t="str">
        <f t="shared" si="465"/>
        <v>0</v>
      </c>
      <c r="CC601" s="1" t="str">
        <f t="shared" si="466"/>
        <v>0</v>
      </c>
      <c r="CD601" s="1">
        <v>18</v>
      </c>
      <c r="CE601" s="1">
        <v>6</v>
      </c>
      <c r="CG601" s="1" t="s">
        <v>1045</v>
      </c>
      <c r="CH601" s="1" t="s">
        <v>277</v>
      </c>
      <c r="CI601" s="1" t="s">
        <v>229</v>
      </c>
      <c r="CK601" s="1" t="s">
        <v>278</v>
      </c>
      <c r="CL601" s="1" t="s">
        <v>277</v>
      </c>
      <c r="CM601" s="1" t="s">
        <v>220</v>
      </c>
      <c r="CO601" s="1" t="s">
        <v>409</v>
      </c>
      <c r="CP601" s="1" t="s">
        <v>277</v>
      </c>
      <c r="CQ601" s="1" t="s">
        <v>229</v>
      </c>
      <c r="CS601" s="1" t="s">
        <v>1358</v>
      </c>
      <c r="CT601" s="1" t="s">
        <v>277</v>
      </c>
      <c r="CU601" s="1" t="s">
        <v>220</v>
      </c>
      <c r="CX601" s="1" t="s">
        <v>224</v>
      </c>
      <c r="DB601" s="1" t="s">
        <v>224</v>
      </c>
      <c r="DE601" s="1" t="s">
        <v>7355</v>
      </c>
      <c r="DF601" s="1" t="s">
        <v>277</v>
      </c>
      <c r="DG601" s="1" t="s">
        <v>226</v>
      </c>
      <c r="DJ601" s="1" t="s">
        <v>224</v>
      </c>
      <c r="DM601" s="1" t="s">
        <v>709</v>
      </c>
      <c r="DR601" s="1" t="s">
        <v>7356</v>
      </c>
      <c r="DS601" s="1" t="s">
        <v>277</v>
      </c>
      <c r="DW601" s="1" t="s">
        <v>230</v>
      </c>
      <c r="EA601" s="1" t="s">
        <v>230</v>
      </c>
      <c r="EE601" s="1" t="s">
        <v>230</v>
      </c>
      <c r="EI601" s="1" t="s">
        <v>230</v>
      </c>
      <c r="EL601" s="1" t="s">
        <v>231</v>
      </c>
      <c r="EM601" s="1" t="s">
        <v>232</v>
      </c>
      <c r="EN601" s="1" t="s">
        <v>282</v>
      </c>
      <c r="EO601" s="1" t="s">
        <v>234</v>
      </c>
      <c r="EP601" s="1" t="s">
        <v>1047</v>
      </c>
      <c r="EQ601" s="1" t="s">
        <v>5876</v>
      </c>
      <c r="ER601" s="1" t="s">
        <v>210</v>
      </c>
      <c r="ET601" s="1" t="s">
        <v>842</v>
      </c>
      <c r="EU601" s="1" t="s">
        <v>7357</v>
      </c>
      <c r="EV601" s="1" t="s">
        <v>240</v>
      </c>
      <c r="EW601" s="1" t="s">
        <v>887</v>
      </c>
      <c r="EY601" s="1" t="s">
        <v>7358</v>
      </c>
      <c r="EZ601" s="1" t="s">
        <v>709</v>
      </c>
      <c r="FB601" s="1" t="s">
        <v>289</v>
      </c>
      <c r="FD601" s="1" t="s">
        <v>246</v>
      </c>
      <c r="FE601" s="1" t="s">
        <v>2016</v>
      </c>
      <c r="FF601" s="1" t="s">
        <v>248</v>
      </c>
      <c r="FG601" s="1" t="s">
        <v>871</v>
      </c>
      <c r="FH601" s="1" t="s">
        <v>249</v>
      </c>
      <c r="FI601" s="1" t="s">
        <v>473</v>
      </c>
      <c r="FL601" s="1" t="s">
        <v>810</v>
      </c>
      <c r="FM601" s="1" t="s">
        <v>252</v>
      </c>
      <c r="FN601" s="1" t="s">
        <v>213</v>
      </c>
      <c r="FO601" s="1" t="s">
        <v>213</v>
      </c>
      <c r="FQ601" s="1" t="s">
        <v>329</v>
      </c>
      <c r="FR601" s="1" t="s">
        <v>210</v>
      </c>
      <c r="FS601" s="1" t="s">
        <v>7359</v>
      </c>
      <c r="FT601" s="1" t="s">
        <v>520</v>
      </c>
      <c r="FU601" s="1" t="s">
        <v>204</v>
      </c>
      <c r="FW601" s="1" t="s">
        <v>1475</v>
      </c>
      <c r="FX601" s="1">
        <v>23265</v>
      </c>
      <c r="FY601" s="1" t="s">
        <v>1476</v>
      </c>
      <c r="FZ601" s="1" t="s">
        <v>7360</v>
      </c>
      <c r="GA601" s="1">
        <v>232075</v>
      </c>
      <c r="GB601" s="1" t="s">
        <v>7361</v>
      </c>
      <c r="GC601" s="1">
        <v>225730</v>
      </c>
      <c r="GD601" s="1" t="s">
        <v>7362</v>
      </c>
      <c r="GE601" s="1" t="s">
        <v>480</v>
      </c>
      <c r="GI601" s="1" t="s">
        <v>213</v>
      </c>
      <c r="GJ601" s="1" t="s">
        <v>260</v>
      </c>
      <c r="GK601" s="1" t="s">
        <v>261</v>
      </c>
      <c r="GL601" s="2">
        <v>42076</v>
      </c>
      <c r="GM601" s="1" t="s">
        <v>7363</v>
      </c>
    </row>
    <row r="602" spans="1:195">
      <c r="A602" s="1">
        <v>130900</v>
      </c>
      <c r="B602" s="1" t="s">
        <v>195</v>
      </c>
      <c r="C602" s="1" t="str">
        <f>"08803179"</f>
        <v>08803179</v>
      </c>
      <c r="D602" s="1" t="s">
        <v>196</v>
      </c>
      <c r="F602" s="1" t="str">
        <f>"186"</f>
        <v>186</v>
      </c>
      <c r="G602" s="2">
        <v>41989</v>
      </c>
      <c r="H602" s="1">
        <v>139900</v>
      </c>
      <c r="I602" s="1">
        <v>139900</v>
      </c>
      <c r="J602" s="1">
        <v>130900</v>
      </c>
      <c r="K602" s="2">
        <v>41988</v>
      </c>
      <c r="L602" s="1">
        <v>43</v>
      </c>
      <c r="M602" s="2">
        <v>42030</v>
      </c>
      <c r="N602" s="1">
        <v>43</v>
      </c>
      <c r="O602" s="2">
        <v>42030</v>
      </c>
      <c r="P602" s="1">
        <v>257</v>
      </c>
      <c r="Q602" s="1" t="s">
        <v>423</v>
      </c>
      <c r="R602" s="2">
        <v>42076</v>
      </c>
      <c r="S602" s="1">
        <v>8859</v>
      </c>
      <c r="U602" s="1" t="s">
        <v>7364</v>
      </c>
      <c r="V602" s="1" t="s">
        <v>7365</v>
      </c>
      <c r="W602" s="1" t="s">
        <v>504</v>
      </c>
      <c r="X602" s="1">
        <v>157</v>
      </c>
      <c r="Y602" s="1">
        <v>4</v>
      </c>
      <c r="Z602" s="1" t="s">
        <v>370</v>
      </c>
      <c r="AA602" s="1" t="s">
        <v>2099</v>
      </c>
      <c r="AB602" s="1">
        <v>60181</v>
      </c>
      <c r="AE602" s="1" t="s">
        <v>7366</v>
      </c>
      <c r="AF602" s="1">
        <v>1968</v>
      </c>
      <c r="AG602" s="1" t="s">
        <v>213</v>
      </c>
      <c r="AH602" s="1" t="s">
        <v>882</v>
      </c>
      <c r="AI602" s="1" t="s">
        <v>206</v>
      </c>
      <c r="AJ602" s="1" t="s">
        <v>1608</v>
      </c>
      <c r="AL602" s="1">
        <v>5</v>
      </c>
      <c r="AM602" s="1">
        <v>2</v>
      </c>
      <c r="AN602" s="1">
        <v>1</v>
      </c>
      <c r="AO602" s="1">
        <v>1</v>
      </c>
      <c r="AP602" s="1" t="s">
        <v>210</v>
      </c>
      <c r="AR602" s="1" t="s">
        <v>209</v>
      </c>
      <c r="AS602" s="1" t="s">
        <v>204</v>
      </c>
      <c r="AT602" s="1" t="s">
        <v>271</v>
      </c>
      <c r="AV602" s="1">
        <v>1</v>
      </c>
      <c r="AW602" s="1" t="s">
        <v>204</v>
      </c>
      <c r="AX602" s="1" t="s">
        <v>7367</v>
      </c>
      <c r="AZ602" s="1">
        <v>1790</v>
      </c>
      <c r="BA602" s="1">
        <v>2013</v>
      </c>
      <c r="BE602" s="1">
        <v>876</v>
      </c>
      <c r="BF602" s="1">
        <v>1</v>
      </c>
      <c r="BG602" s="1">
        <v>0</v>
      </c>
      <c r="BL602" s="1">
        <v>186</v>
      </c>
      <c r="BM602" s="1" t="s">
        <v>204</v>
      </c>
      <c r="BN602" s="1" t="s">
        <v>213</v>
      </c>
      <c r="BO602" s="1">
        <v>999</v>
      </c>
      <c r="BP602" s="1" t="s">
        <v>204</v>
      </c>
      <c r="BR602" s="1" t="str">
        <f>"0621212013"</f>
        <v>0621212013</v>
      </c>
      <c r="BT602" s="1" t="s">
        <v>7368</v>
      </c>
      <c r="BX602" s="1">
        <v>45</v>
      </c>
      <c r="BY602" s="1">
        <v>45</v>
      </c>
      <c r="BZ602" s="1">
        <v>88</v>
      </c>
      <c r="CB602" s="1" t="str">
        <f t="shared" ref="CB602:CC602" si="467">""</f>
        <v/>
      </c>
      <c r="CC602" s="1" t="str">
        <f t="shared" si="467"/>
        <v/>
      </c>
      <c r="CG602" s="1" t="s">
        <v>315</v>
      </c>
      <c r="CH602" s="1" t="s">
        <v>219</v>
      </c>
      <c r="CI602" s="1" t="s">
        <v>438</v>
      </c>
      <c r="CJ602" s="1" t="s">
        <v>210</v>
      </c>
      <c r="CK602" s="1" t="s">
        <v>972</v>
      </c>
      <c r="CL602" s="1" t="s">
        <v>277</v>
      </c>
      <c r="CM602" s="1" t="s">
        <v>1236</v>
      </c>
      <c r="CP602" s="1" t="s">
        <v>224</v>
      </c>
      <c r="CS602" s="1" t="s">
        <v>379</v>
      </c>
      <c r="CT602" s="1" t="s">
        <v>277</v>
      </c>
      <c r="CU602" s="1" t="s">
        <v>1236</v>
      </c>
      <c r="CX602" s="1" t="s">
        <v>224</v>
      </c>
      <c r="DB602" s="1" t="s">
        <v>224</v>
      </c>
      <c r="DE602" s="1" t="s">
        <v>346</v>
      </c>
      <c r="DF602" s="1" t="s">
        <v>219</v>
      </c>
      <c r="DG602" s="1" t="s">
        <v>4958</v>
      </c>
      <c r="DI602" s="1" t="s">
        <v>2402</v>
      </c>
      <c r="DJ602" s="1" t="s">
        <v>43</v>
      </c>
      <c r="DK602" s="1" t="s">
        <v>4958</v>
      </c>
      <c r="DS602" s="1" t="s">
        <v>230</v>
      </c>
      <c r="DW602" s="1" t="s">
        <v>230</v>
      </c>
      <c r="EA602" s="1" t="s">
        <v>230</v>
      </c>
      <c r="EE602" s="1" t="s">
        <v>230</v>
      </c>
      <c r="EI602" s="1" t="s">
        <v>230</v>
      </c>
      <c r="EL602" s="1" t="s">
        <v>605</v>
      </c>
      <c r="EM602" s="1" t="s">
        <v>319</v>
      </c>
      <c r="EN602" s="1" t="s">
        <v>282</v>
      </c>
      <c r="EO602" s="1" t="s">
        <v>234</v>
      </c>
      <c r="ER602" s="1" t="s">
        <v>544</v>
      </c>
      <c r="EW602" s="1" t="s">
        <v>7369</v>
      </c>
      <c r="EZ602" s="1" t="s">
        <v>287</v>
      </c>
      <c r="FD602" s="1" t="s">
        <v>495</v>
      </c>
      <c r="FE602" s="1" t="s">
        <v>651</v>
      </c>
      <c r="FF602" s="1" t="s">
        <v>248</v>
      </c>
      <c r="FH602" s="1" t="s">
        <v>550</v>
      </c>
      <c r="FJ602" s="1" t="s">
        <v>1251</v>
      </c>
      <c r="FL602" s="1" t="s">
        <v>1073</v>
      </c>
      <c r="FM602" s="1" t="s">
        <v>252</v>
      </c>
      <c r="FN602" s="1" t="s">
        <v>213</v>
      </c>
      <c r="FO602" s="1" t="s">
        <v>213</v>
      </c>
      <c r="FQ602" s="1" t="s">
        <v>793</v>
      </c>
      <c r="FR602" s="1" t="s">
        <v>210</v>
      </c>
      <c r="FS602" s="1" t="s">
        <v>7370</v>
      </c>
      <c r="FT602" s="1" t="s">
        <v>7371</v>
      </c>
      <c r="FU602" s="1" t="s">
        <v>204</v>
      </c>
      <c r="FW602" s="1" t="s">
        <v>915</v>
      </c>
      <c r="FX602" s="1">
        <v>24071</v>
      </c>
      <c r="FY602" s="1" t="s">
        <v>2208</v>
      </c>
      <c r="FZ602" s="1" t="s">
        <v>7372</v>
      </c>
      <c r="GA602" s="1">
        <v>222489</v>
      </c>
      <c r="GB602" s="1" t="s">
        <v>7373</v>
      </c>
      <c r="GE602" s="1" t="s">
        <v>335</v>
      </c>
      <c r="GI602" s="1" t="s">
        <v>213</v>
      </c>
      <c r="GJ602" s="1" t="s">
        <v>260</v>
      </c>
      <c r="GK602" s="1" t="s">
        <v>210</v>
      </c>
      <c r="GL602" s="2">
        <v>42076</v>
      </c>
      <c r="GM602" s="1" t="s">
        <v>7374</v>
      </c>
    </row>
    <row r="603" spans="1:195">
      <c r="A603" s="1">
        <v>110000</v>
      </c>
      <c r="B603" s="1" t="s">
        <v>195</v>
      </c>
      <c r="C603" s="1" t="str">
        <f>"08802369"</f>
        <v>08802369</v>
      </c>
      <c r="D603" s="1" t="s">
        <v>196</v>
      </c>
      <c r="F603" s="1" t="str">
        <f t="shared" ref="F603:F604" si="468">"540"</f>
        <v>540</v>
      </c>
      <c r="G603" s="2">
        <v>41988</v>
      </c>
      <c r="H603" s="1">
        <v>114900</v>
      </c>
      <c r="I603" s="1">
        <v>114900</v>
      </c>
      <c r="J603" s="1">
        <v>110000</v>
      </c>
      <c r="K603" s="2">
        <v>41986</v>
      </c>
      <c r="L603" s="1">
        <v>25</v>
      </c>
      <c r="M603" s="2">
        <v>42010</v>
      </c>
      <c r="N603" s="1">
        <v>25</v>
      </c>
      <c r="O603" s="2">
        <v>42010</v>
      </c>
      <c r="P603" s="1">
        <v>8096</v>
      </c>
      <c r="Q603" s="1" t="s">
        <v>197</v>
      </c>
      <c r="R603" s="2">
        <v>42065</v>
      </c>
      <c r="S603" s="1">
        <v>82289</v>
      </c>
      <c r="T603" s="1">
        <v>4356.37</v>
      </c>
      <c r="U603" s="1">
        <v>1330</v>
      </c>
      <c r="V603" s="1" t="s">
        <v>7375</v>
      </c>
      <c r="W603" s="1" t="s">
        <v>1056</v>
      </c>
      <c r="X603" s="1">
        <v>1330</v>
      </c>
      <c r="Y603" s="1">
        <v>8</v>
      </c>
      <c r="Z603" s="1" t="s">
        <v>370</v>
      </c>
      <c r="AA603" s="1" t="s">
        <v>921</v>
      </c>
      <c r="AB603" s="1">
        <v>60564</v>
      </c>
      <c r="AD603" s="1" t="s">
        <v>2750</v>
      </c>
      <c r="AE603" s="1" t="s">
        <v>7376</v>
      </c>
      <c r="AF603" s="1">
        <v>1994</v>
      </c>
      <c r="AG603" s="1" t="s">
        <v>204</v>
      </c>
      <c r="AH603" s="1" t="s">
        <v>924</v>
      </c>
      <c r="AI603" s="1" t="s">
        <v>206</v>
      </c>
      <c r="AJ603" s="1" t="s">
        <v>924</v>
      </c>
      <c r="AL603" s="1">
        <v>5</v>
      </c>
      <c r="AM603" s="1">
        <v>2</v>
      </c>
      <c r="AN603" s="1">
        <v>1</v>
      </c>
      <c r="AO603" s="1">
        <v>1</v>
      </c>
      <c r="AP603" s="1" t="s">
        <v>210</v>
      </c>
      <c r="AR603" s="1" t="s">
        <v>210</v>
      </c>
      <c r="AS603" s="1" t="s">
        <v>204</v>
      </c>
      <c r="AT603" s="1" t="s">
        <v>211</v>
      </c>
      <c r="AU603" s="1">
        <v>1</v>
      </c>
      <c r="AW603" s="1" t="s">
        <v>204</v>
      </c>
      <c r="AX603" s="1" t="s">
        <v>212</v>
      </c>
      <c r="AZ603" s="1">
        <v>2302.64</v>
      </c>
      <c r="BA603" s="1">
        <v>2013</v>
      </c>
      <c r="BE603" s="1">
        <v>1052</v>
      </c>
      <c r="BF603" s="1">
        <v>1</v>
      </c>
      <c r="BG603" s="1">
        <v>0</v>
      </c>
      <c r="BL603" s="1">
        <v>165</v>
      </c>
      <c r="BM603" s="1" t="s">
        <v>204</v>
      </c>
      <c r="BN603" s="1" t="s">
        <v>213</v>
      </c>
      <c r="BO603" s="1">
        <v>0</v>
      </c>
      <c r="BP603" s="1" t="s">
        <v>204</v>
      </c>
      <c r="BR603" s="1" t="str">
        <f>"0732417014"</f>
        <v>0732417014</v>
      </c>
      <c r="BT603" s="1" t="s">
        <v>7377</v>
      </c>
      <c r="BX603" s="1">
        <v>204</v>
      </c>
      <c r="BY603" s="1">
        <v>204</v>
      </c>
      <c r="BZ603" s="1">
        <v>204</v>
      </c>
      <c r="CB603" s="1" t="str">
        <f t="shared" ref="CB603:CC603" si="469">"0"</f>
        <v>0</v>
      </c>
      <c r="CC603" s="1" t="str">
        <f t="shared" si="469"/>
        <v>0</v>
      </c>
      <c r="CD603" s="1">
        <v>31</v>
      </c>
      <c r="CE603" s="1">
        <v>9</v>
      </c>
      <c r="CG603" s="1" t="s">
        <v>4546</v>
      </c>
      <c r="CH603" s="1" t="s">
        <v>219</v>
      </c>
      <c r="CI603" s="1" t="s">
        <v>220</v>
      </c>
      <c r="CK603" s="1" t="s">
        <v>1788</v>
      </c>
      <c r="CL603" s="1" t="s">
        <v>277</v>
      </c>
      <c r="CM603" s="1" t="s">
        <v>220</v>
      </c>
      <c r="CO603" s="1" t="s">
        <v>629</v>
      </c>
      <c r="CP603" s="1" t="s">
        <v>219</v>
      </c>
      <c r="CS603" s="1" t="s">
        <v>378</v>
      </c>
      <c r="CT603" s="1" t="s">
        <v>277</v>
      </c>
      <c r="CU603" s="1" t="s">
        <v>220</v>
      </c>
      <c r="CX603" s="1" t="s">
        <v>224</v>
      </c>
      <c r="DB603" s="1" t="s">
        <v>224</v>
      </c>
      <c r="DE603" s="1" t="s">
        <v>1470</v>
      </c>
      <c r="DF603" s="1" t="s">
        <v>219</v>
      </c>
      <c r="DG603" s="1" t="s">
        <v>342</v>
      </c>
      <c r="DH603" s="1" t="s">
        <v>210</v>
      </c>
      <c r="DJ603" s="1" t="s">
        <v>224</v>
      </c>
      <c r="DS603" s="1" t="s">
        <v>230</v>
      </c>
      <c r="DW603" s="1" t="s">
        <v>230</v>
      </c>
      <c r="EA603" s="1" t="s">
        <v>230</v>
      </c>
      <c r="EE603" s="1" t="s">
        <v>230</v>
      </c>
      <c r="EI603" s="1" t="s">
        <v>230</v>
      </c>
      <c r="EL603" s="1" t="s">
        <v>670</v>
      </c>
      <c r="EM603" s="1" t="s">
        <v>232</v>
      </c>
      <c r="EN603" s="1" t="s">
        <v>282</v>
      </c>
      <c r="EO603" s="1" t="s">
        <v>234</v>
      </c>
      <c r="ER603" s="1" t="s">
        <v>210</v>
      </c>
      <c r="ES603" s="1" t="s">
        <v>493</v>
      </c>
      <c r="EV603" s="1" t="s">
        <v>240</v>
      </c>
      <c r="EW603" s="1" t="s">
        <v>353</v>
      </c>
      <c r="EZ603" s="1" t="s">
        <v>287</v>
      </c>
      <c r="FB603" s="1" t="s">
        <v>289</v>
      </c>
      <c r="FD603" s="1" t="s">
        <v>246</v>
      </c>
      <c r="FE603" s="1" t="s">
        <v>472</v>
      </c>
      <c r="FF603" s="1" t="s">
        <v>248</v>
      </c>
      <c r="FH603" s="1" t="s">
        <v>550</v>
      </c>
      <c r="FL603" s="1" t="s">
        <v>414</v>
      </c>
      <c r="FM603" s="1" t="s">
        <v>252</v>
      </c>
      <c r="FN603" s="1" t="s">
        <v>213</v>
      </c>
      <c r="FO603" s="1" t="s">
        <v>213</v>
      </c>
      <c r="FQ603" s="1" t="s">
        <v>689</v>
      </c>
      <c r="FR603" s="1" t="s">
        <v>210</v>
      </c>
      <c r="FS603" s="1" t="s">
        <v>4314</v>
      </c>
      <c r="FT603" s="1" t="s">
        <v>584</v>
      </c>
      <c r="FU603" s="1" t="s">
        <v>204</v>
      </c>
      <c r="FW603" s="1" t="s">
        <v>813</v>
      </c>
      <c r="FX603" s="1">
        <v>23286</v>
      </c>
      <c r="FY603" s="1" t="s">
        <v>4315</v>
      </c>
      <c r="FZ603" s="1" t="s">
        <v>4316</v>
      </c>
      <c r="GA603" s="1">
        <v>223647</v>
      </c>
      <c r="GB603" s="1" t="s">
        <v>4317</v>
      </c>
      <c r="GC603" s="1">
        <v>230243</v>
      </c>
      <c r="GE603" s="1" t="s">
        <v>210</v>
      </c>
      <c r="GI603" s="1" t="s">
        <v>213</v>
      </c>
      <c r="GJ603" s="1" t="s">
        <v>260</v>
      </c>
      <c r="GK603" s="1" t="s">
        <v>210</v>
      </c>
      <c r="GL603" s="2">
        <v>42066</v>
      </c>
      <c r="GM603" s="1" t="s">
        <v>4847</v>
      </c>
    </row>
    <row r="604" spans="1:195">
      <c r="A604" s="1">
        <v>84000</v>
      </c>
      <c r="B604" s="1" t="s">
        <v>195</v>
      </c>
      <c r="C604" s="1" t="str">
        <f>"08798983"</f>
        <v>08798983</v>
      </c>
      <c r="D604" s="1" t="s">
        <v>196</v>
      </c>
      <c r="F604" s="1" t="str">
        <f t="shared" si="468"/>
        <v>540</v>
      </c>
      <c r="G604" s="2">
        <v>41981</v>
      </c>
      <c r="H604" s="1">
        <v>84900</v>
      </c>
      <c r="I604" s="1">
        <v>84900</v>
      </c>
      <c r="J604" s="1">
        <v>84000</v>
      </c>
      <c r="K604" s="2">
        <v>41981</v>
      </c>
      <c r="L604" s="1">
        <v>43</v>
      </c>
      <c r="M604" s="2">
        <v>42023</v>
      </c>
      <c r="N604" s="1">
        <v>43</v>
      </c>
      <c r="O604" s="2">
        <v>42023</v>
      </c>
      <c r="P604" s="1">
        <v>21823</v>
      </c>
      <c r="Q604" s="1" t="s">
        <v>197</v>
      </c>
      <c r="R604" s="2">
        <v>42075</v>
      </c>
      <c r="S604" s="1">
        <v>232175</v>
      </c>
      <c r="U604" s="1">
        <v>1104</v>
      </c>
      <c r="V604" s="1" t="s">
        <v>4657</v>
      </c>
      <c r="W604" s="1" t="s">
        <v>725</v>
      </c>
      <c r="X604" s="1">
        <v>306</v>
      </c>
      <c r="Y604" s="1">
        <v>35</v>
      </c>
      <c r="Z604" s="1" t="s">
        <v>249</v>
      </c>
      <c r="AA604" s="1" t="s">
        <v>921</v>
      </c>
      <c r="AB604" s="1">
        <v>60563</v>
      </c>
      <c r="AE604" s="1" t="s">
        <v>7378</v>
      </c>
      <c r="AF604" s="1">
        <v>1980</v>
      </c>
      <c r="AG604" s="1" t="s">
        <v>204</v>
      </c>
      <c r="AH604" s="1" t="s">
        <v>924</v>
      </c>
      <c r="AI604" s="1" t="s">
        <v>206</v>
      </c>
      <c r="AJ604" s="1" t="s">
        <v>924</v>
      </c>
      <c r="AL604" s="1">
        <v>5</v>
      </c>
      <c r="AM604" s="1">
        <v>2</v>
      </c>
      <c r="AN604" s="1">
        <v>1</v>
      </c>
      <c r="AO604" s="1">
        <v>1</v>
      </c>
      <c r="AP604" s="1" t="s">
        <v>209</v>
      </c>
      <c r="AR604" s="1" t="s">
        <v>210</v>
      </c>
      <c r="AS604" s="1" t="s">
        <v>204</v>
      </c>
      <c r="AT604" s="1" t="s">
        <v>271</v>
      </c>
      <c r="AV604" s="1">
        <v>2</v>
      </c>
      <c r="AW604" s="1" t="s">
        <v>204</v>
      </c>
      <c r="AX604" s="1" t="s">
        <v>212</v>
      </c>
      <c r="AZ604" s="1">
        <v>1745</v>
      </c>
      <c r="BA604" s="1">
        <v>2013</v>
      </c>
      <c r="BE604" s="1">
        <v>1080</v>
      </c>
      <c r="BF604" s="1">
        <v>3</v>
      </c>
      <c r="BG604" s="1">
        <v>0</v>
      </c>
      <c r="BL604" s="1">
        <v>335</v>
      </c>
      <c r="BM604" s="1" t="s">
        <v>204</v>
      </c>
      <c r="BN604" s="1" t="s">
        <v>213</v>
      </c>
      <c r="BO604" s="1">
        <v>20</v>
      </c>
      <c r="BP604" s="1" t="s">
        <v>204</v>
      </c>
      <c r="BR604" s="1" t="str">
        <f>"0712426237"</f>
        <v>0712426237</v>
      </c>
      <c r="BT604" s="1" t="s">
        <v>7379</v>
      </c>
      <c r="BX604" s="1">
        <v>203</v>
      </c>
      <c r="BY604" s="1">
        <v>203</v>
      </c>
      <c r="BZ604" s="1">
        <v>203</v>
      </c>
      <c r="CB604" s="1" t="str">
        <f t="shared" ref="CB604:CC604" si="470">""</f>
        <v/>
      </c>
      <c r="CC604" s="1" t="str">
        <f t="shared" si="470"/>
        <v/>
      </c>
      <c r="CG604" s="1" t="s">
        <v>7380</v>
      </c>
      <c r="CH604" s="1" t="s">
        <v>784</v>
      </c>
      <c r="CK604" s="1" t="s">
        <v>2122</v>
      </c>
      <c r="CL604" s="1" t="s">
        <v>784</v>
      </c>
      <c r="CO604" s="1" t="s">
        <v>348</v>
      </c>
      <c r="CP604" s="1" t="s">
        <v>784</v>
      </c>
      <c r="CS604" s="1" t="s">
        <v>1107</v>
      </c>
      <c r="CT604" s="1" t="s">
        <v>784</v>
      </c>
      <c r="CX604" s="1" t="s">
        <v>224</v>
      </c>
      <c r="DB604" s="1" t="s">
        <v>224</v>
      </c>
      <c r="DE604" s="1" t="s">
        <v>4098</v>
      </c>
      <c r="DF604" s="1" t="s">
        <v>784</v>
      </c>
      <c r="DJ604" s="1" t="s">
        <v>224</v>
      </c>
      <c r="DS604" s="1" t="s">
        <v>230</v>
      </c>
      <c r="DW604" s="1" t="s">
        <v>230</v>
      </c>
      <c r="EA604" s="1" t="s">
        <v>230</v>
      </c>
      <c r="EE604" s="1" t="s">
        <v>230</v>
      </c>
      <c r="EI604" s="1" t="s">
        <v>230</v>
      </c>
      <c r="EL604" s="1" t="s">
        <v>231</v>
      </c>
      <c r="EM604" s="1" t="s">
        <v>232</v>
      </c>
      <c r="EN604" s="1" t="s">
        <v>233</v>
      </c>
      <c r="EO604" s="1" t="s">
        <v>234</v>
      </c>
      <c r="ER604" s="1" t="s">
        <v>210</v>
      </c>
      <c r="EW604" s="1" t="s">
        <v>4662</v>
      </c>
      <c r="EZ604" s="1" t="s">
        <v>287</v>
      </c>
      <c r="FB604" s="1" t="s">
        <v>244</v>
      </c>
      <c r="FD604" s="1" t="s">
        <v>246</v>
      </c>
      <c r="FE604" s="1" t="s">
        <v>247</v>
      </c>
      <c r="FF604" s="1" t="s">
        <v>248</v>
      </c>
      <c r="FH604" s="1" t="s">
        <v>249</v>
      </c>
      <c r="FL604" s="1" t="s">
        <v>328</v>
      </c>
      <c r="FM604" s="1" t="s">
        <v>252</v>
      </c>
      <c r="FN604" s="1" t="s">
        <v>213</v>
      </c>
      <c r="FO604" s="1" t="s">
        <v>213</v>
      </c>
      <c r="FQ604" s="1" t="s">
        <v>582</v>
      </c>
      <c r="FR604" s="1" t="s">
        <v>210</v>
      </c>
      <c r="FS604" s="1" t="s">
        <v>1805</v>
      </c>
      <c r="FT604" s="1" t="s">
        <v>584</v>
      </c>
      <c r="FU604" s="1" t="s">
        <v>204</v>
      </c>
      <c r="FW604" s="1" t="s">
        <v>1806</v>
      </c>
      <c r="FX604" s="1">
        <v>25196</v>
      </c>
      <c r="FY604" s="1" t="s">
        <v>1807</v>
      </c>
      <c r="FZ604" s="1" t="s">
        <v>1808</v>
      </c>
      <c r="GA604" s="1">
        <v>214545</v>
      </c>
      <c r="GB604" s="1" t="s">
        <v>1807</v>
      </c>
      <c r="GC604" s="1">
        <v>239627</v>
      </c>
      <c r="GE604" s="1" t="s">
        <v>210</v>
      </c>
      <c r="GH604" s="1" t="s">
        <v>230</v>
      </c>
      <c r="GI604" s="1" t="s">
        <v>213</v>
      </c>
      <c r="GJ604" s="1" t="s">
        <v>260</v>
      </c>
      <c r="GK604" s="1" t="s">
        <v>210</v>
      </c>
      <c r="GL604" s="2">
        <v>42076</v>
      </c>
      <c r="GM604" s="1" t="s">
        <v>4864</v>
      </c>
    </row>
    <row r="605" spans="1:195">
      <c r="A605" s="1">
        <v>135000</v>
      </c>
      <c r="B605" s="1" t="s">
        <v>195</v>
      </c>
      <c r="C605" s="1" t="str">
        <f>"08804528"</f>
        <v>08804528</v>
      </c>
      <c r="D605" s="1" t="s">
        <v>196</v>
      </c>
      <c r="F605" s="1" t="str">
        <f>"131"</f>
        <v>131</v>
      </c>
      <c r="G605" s="2">
        <v>41992</v>
      </c>
      <c r="H605" s="1">
        <v>134500</v>
      </c>
      <c r="I605" s="1">
        <v>134500</v>
      </c>
      <c r="J605" s="1">
        <v>135000</v>
      </c>
      <c r="K605" s="2">
        <v>41992</v>
      </c>
      <c r="L605" s="1">
        <v>29</v>
      </c>
      <c r="M605" s="2">
        <v>42020</v>
      </c>
      <c r="N605" s="1">
        <v>29</v>
      </c>
      <c r="O605" s="2">
        <v>42020</v>
      </c>
      <c r="P605" s="1">
        <v>8012</v>
      </c>
      <c r="Q605" s="1" t="s">
        <v>197</v>
      </c>
      <c r="R605" s="2">
        <v>42053</v>
      </c>
      <c r="S605" s="1">
        <v>242578</v>
      </c>
      <c r="U605" s="1">
        <v>9670</v>
      </c>
      <c r="V605" s="1" t="s">
        <v>7381</v>
      </c>
      <c r="W605" s="1" t="s">
        <v>425</v>
      </c>
      <c r="X605" s="1">
        <v>609</v>
      </c>
      <c r="Y605" s="1">
        <v>75</v>
      </c>
      <c r="Z605" s="1" t="s">
        <v>249</v>
      </c>
      <c r="AA605" s="1" t="s">
        <v>3712</v>
      </c>
      <c r="AB605" s="1">
        <v>60131</v>
      </c>
      <c r="AE605" s="1" t="s">
        <v>7382</v>
      </c>
      <c r="AF605" s="1">
        <v>2005</v>
      </c>
      <c r="AG605" s="1" t="s">
        <v>204</v>
      </c>
      <c r="AH605" s="1" t="s">
        <v>3714</v>
      </c>
      <c r="AI605" s="1" t="s">
        <v>310</v>
      </c>
      <c r="AJ605" s="1" t="s">
        <v>311</v>
      </c>
      <c r="AL605" s="1">
        <v>4</v>
      </c>
      <c r="AM605" s="1">
        <v>2</v>
      </c>
      <c r="AN605" s="1">
        <v>2</v>
      </c>
      <c r="AO605" s="1">
        <v>0</v>
      </c>
      <c r="AP605" s="1" t="s">
        <v>209</v>
      </c>
      <c r="AR605" s="1" t="s">
        <v>210</v>
      </c>
      <c r="AS605" s="1" t="s">
        <v>204</v>
      </c>
      <c r="AT605" s="1" t="s">
        <v>375</v>
      </c>
      <c r="AU605" s="1">
        <v>1</v>
      </c>
      <c r="AV605" s="1">
        <v>1</v>
      </c>
      <c r="AW605" s="1" t="s">
        <v>204</v>
      </c>
      <c r="AX605" s="1" t="s">
        <v>7383</v>
      </c>
      <c r="AZ605" s="1">
        <v>2999.11</v>
      </c>
      <c r="BA605" s="1">
        <v>2013</v>
      </c>
      <c r="BB605" s="1" t="s">
        <v>210</v>
      </c>
      <c r="BE605" s="1">
        <v>0</v>
      </c>
      <c r="BF605" s="1">
        <v>6</v>
      </c>
      <c r="BG605" s="1">
        <v>30</v>
      </c>
      <c r="BL605" s="1">
        <v>352</v>
      </c>
      <c r="BM605" s="1" t="s">
        <v>204</v>
      </c>
      <c r="BN605" s="1" t="s">
        <v>213</v>
      </c>
      <c r="BO605" s="1" t="s">
        <v>7384</v>
      </c>
      <c r="BP605" s="1" t="s">
        <v>204</v>
      </c>
      <c r="BR605" s="1" t="str">
        <f>"12282060321069"</f>
        <v>12282060321069</v>
      </c>
      <c r="BT605" s="1" t="s">
        <v>7385</v>
      </c>
      <c r="BW605" s="1" t="s">
        <v>313</v>
      </c>
      <c r="BX605" s="1">
        <v>84</v>
      </c>
      <c r="BY605" s="1">
        <v>84</v>
      </c>
      <c r="BZ605" s="1">
        <v>212</v>
      </c>
      <c r="CB605" s="1" t="str">
        <f>"4"</f>
        <v>4</v>
      </c>
      <c r="CC605" s="1" t="str">
        <f>"0"</f>
        <v>0</v>
      </c>
      <c r="CD605" s="1">
        <v>12</v>
      </c>
      <c r="CE605" s="1">
        <v>0</v>
      </c>
      <c r="CG605" s="1" t="s">
        <v>581</v>
      </c>
      <c r="CH605" s="1" t="s">
        <v>219</v>
      </c>
      <c r="CI605" s="1" t="s">
        <v>220</v>
      </c>
      <c r="CK605" s="1" t="s">
        <v>461</v>
      </c>
      <c r="CL605" s="1" t="s">
        <v>219</v>
      </c>
      <c r="CM605" s="1" t="s">
        <v>220</v>
      </c>
      <c r="CP605" s="1" t="s">
        <v>224</v>
      </c>
      <c r="CS605" s="1" t="s">
        <v>465</v>
      </c>
      <c r="CT605" s="1" t="s">
        <v>219</v>
      </c>
      <c r="CU605" s="1" t="s">
        <v>220</v>
      </c>
      <c r="CX605" s="1" t="s">
        <v>224</v>
      </c>
      <c r="DB605" s="1" t="s">
        <v>224</v>
      </c>
      <c r="DE605" s="1" t="s">
        <v>379</v>
      </c>
      <c r="DF605" s="1" t="s">
        <v>219</v>
      </c>
      <c r="DG605" s="1" t="s">
        <v>342</v>
      </c>
      <c r="DJ605" s="1" t="s">
        <v>224</v>
      </c>
      <c r="DS605" s="1" t="s">
        <v>230</v>
      </c>
      <c r="DW605" s="1" t="s">
        <v>230</v>
      </c>
      <c r="EA605" s="1" t="s">
        <v>230</v>
      </c>
      <c r="EE605" s="1" t="s">
        <v>230</v>
      </c>
      <c r="EI605" s="1" t="s">
        <v>230</v>
      </c>
      <c r="EL605" s="1" t="s">
        <v>491</v>
      </c>
      <c r="EM605" s="1" t="s">
        <v>232</v>
      </c>
      <c r="EN605" s="1" t="s">
        <v>282</v>
      </c>
      <c r="EO605" s="1" t="s">
        <v>234</v>
      </c>
      <c r="EQ605" s="1" t="s">
        <v>492</v>
      </c>
      <c r="ER605" s="1" t="s">
        <v>210</v>
      </c>
      <c r="ES605" s="1" t="s">
        <v>322</v>
      </c>
      <c r="EW605" s="1" t="s">
        <v>7386</v>
      </c>
      <c r="EY605" s="1" t="s">
        <v>242</v>
      </c>
      <c r="EZ605" s="1" t="s">
        <v>287</v>
      </c>
      <c r="FB605" s="1" t="s">
        <v>289</v>
      </c>
      <c r="FC605" s="1" t="s">
        <v>548</v>
      </c>
      <c r="FD605" s="1" t="s">
        <v>290</v>
      </c>
      <c r="FE605" s="1" t="s">
        <v>247</v>
      </c>
      <c r="FF605" s="1" t="s">
        <v>248</v>
      </c>
      <c r="FH605" s="1" t="s">
        <v>249</v>
      </c>
      <c r="FI605" s="1" t="s">
        <v>357</v>
      </c>
      <c r="FK605" s="1" t="s">
        <v>891</v>
      </c>
      <c r="FL605" s="1" t="s">
        <v>358</v>
      </c>
      <c r="FM605" s="1" t="s">
        <v>252</v>
      </c>
      <c r="FN605" s="1" t="s">
        <v>213</v>
      </c>
      <c r="FO605" s="1" t="s">
        <v>213</v>
      </c>
      <c r="FQ605" s="1" t="s">
        <v>849</v>
      </c>
      <c r="FR605" s="1" t="s">
        <v>210</v>
      </c>
      <c r="FS605" s="1" t="s">
        <v>1429</v>
      </c>
      <c r="FT605" s="1" t="s">
        <v>255</v>
      </c>
      <c r="FU605" s="1" t="s">
        <v>204</v>
      </c>
      <c r="FW605" s="1" t="s">
        <v>3416</v>
      </c>
      <c r="FX605" s="1">
        <v>8815</v>
      </c>
      <c r="FY605" s="1" t="s">
        <v>3417</v>
      </c>
      <c r="FZ605" s="1" t="s">
        <v>7387</v>
      </c>
      <c r="GA605" s="1">
        <v>82946</v>
      </c>
      <c r="GB605" s="1" t="s">
        <v>7388</v>
      </c>
      <c r="GE605" s="1" t="s">
        <v>210</v>
      </c>
      <c r="GI605" s="1" t="s">
        <v>204</v>
      </c>
      <c r="GJ605" s="1" t="s">
        <v>260</v>
      </c>
      <c r="GK605" s="1" t="s">
        <v>210</v>
      </c>
      <c r="GL605" s="2">
        <v>42053</v>
      </c>
      <c r="GM605" s="1" t="s">
        <v>7389</v>
      </c>
    </row>
    <row r="606" spans="1:195">
      <c r="A606" s="1">
        <v>119000</v>
      </c>
      <c r="B606" s="1" t="s">
        <v>195</v>
      </c>
      <c r="C606" s="1" t="str">
        <f>"08802785"</f>
        <v>08802785</v>
      </c>
      <c r="D606" s="1" t="s">
        <v>196</v>
      </c>
      <c r="F606" s="1" t="str">
        <f>"61"</f>
        <v>61</v>
      </c>
      <c r="G606" s="2">
        <v>41989</v>
      </c>
      <c r="H606" s="1">
        <v>119900</v>
      </c>
      <c r="I606" s="1">
        <v>119900</v>
      </c>
      <c r="J606" s="1">
        <v>119000</v>
      </c>
      <c r="K606" s="2">
        <v>41989</v>
      </c>
      <c r="L606" s="1">
        <v>17</v>
      </c>
      <c r="M606" s="2">
        <v>42005</v>
      </c>
      <c r="N606" s="1">
        <v>17</v>
      </c>
      <c r="O606" s="2">
        <v>42005</v>
      </c>
      <c r="P606" s="1">
        <v>8092</v>
      </c>
      <c r="Q606" s="1" t="s">
        <v>197</v>
      </c>
      <c r="R606" s="2">
        <v>42054</v>
      </c>
      <c r="S606" s="1">
        <v>29200</v>
      </c>
      <c r="U606" s="1">
        <v>72</v>
      </c>
      <c r="V606" s="1" t="s">
        <v>4033</v>
      </c>
      <c r="W606" s="1" t="s">
        <v>304</v>
      </c>
      <c r="X606" s="1" t="s">
        <v>305</v>
      </c>
      <c r="Y606" s="1">
        <v>8</v>
      </c>
      <c r="Z606" s="1" t="s">
        <v>249</v>
      </c>
      <c r="AA606" s="1" t="s">
        <v>505</v>
      </c>
      <c r="AB606" s="1">
        <v>60061</v>
      </c>
      <c r="AD606" s="1" t="s">
        <v>4034</v>
      </c>
      <c r="AE606" s="1" t="s">
        <v>7390</v>
      </c>
      <c r="AF606" s="1">
        <v>1975</v>
      </c>
      <c r="AG606" s="1" t="s">
        <v>213</v>
      </c>
      <c r="AH606" s="1" t="s">
        <v>508</v>
      </c>
      <c r="AI606" s="1" t="s">
        <v>509</v>
      </c>
      <c r="AJ606" s="1" t="s">
        <v>1693</v>
      </c>
      <c r="AK606" s="1" t="s">
        <v>7391</v>
      </c>
      <c r="AL606" s="1">
        <v>5</v>
      </c>
      <c r="AM606" s="1">
        <v>2</v>
      </c>
      <c r="AN606" s="1">
        <v>2</v>
      </c>
      <c r="AO606" s="1">
        <v>0</v>
      </c>
      <c r="AP606" s="1" t="s">
        <v>209</v>
      </c>
      <c r="AR606" s="1" t="s">
        <v>210</v>
      </c>
      <c r="AS606" s="1" t="s">
        <v>204</v>
      </c>
      <c r="AT606" s="1" t="s">
        <v>211</v>
      </c>
      <c r="AU606" s="1">
        <v>1</v>
      </c>
      <c r="AW606" s="1" t="s">
        <v>204</v>
      </c>
      <c r="AX606" s="1" t="s">
        <v>7392</v>
      </c>
      <c r="AZ606" s="1">
        <v>2814.93</v>
      </c>
      <c r="BA606" s="1">
        <v>2013</v>
      </c>
      <c r="BB606" s="1" t="s">
        <v>210</v>
      </c>
      <c r="BE606" s="1">
        <v>995</v>
      </c>
      <c r="BF606" s="1">
        <v>2</v>
      </c>
      <c r="BG606" s="1">
        <v>0</v>
      </c>
      <c r="BL606" s="1">
        <v>331</v>
      </c>
      <c r="BM606" s="1" t="s">
        <v>204</v>
      </c>
      <c r="BN606" s="1" t="s">
        <v>213</v>
      </c>
      <c r="BO606" s="1">
        <v>999</v>
      </c>
      <c r="BP606" s="1" t="s">
        <v>204</v>
      </c>
      <c r="BR606" s="1" t="str">
        <f>"11324140170000"</f>
        <v>11324140170000</v>
      </c>
      <c r="BT606" s="1" t="s">
        <v>7393</v>
      </c>
      <c r="BU606" s="1" t="s">
        <v>1879</v>
      </c>
      <c r="BV606" s="1" t="s">
        <v>1880</v>
      </c>
      <c r="BW606" s="1" t="s">
        <v>514</v>
      </c>
      <c r="BX606" s="1">
        <v>73</v>
      </c>
      <c r="BY606" s="1">
        <v>73</v>
      </c>
      <c r="BZ606" s="1">
        <v>128</v>
      </c>
      <c r="CB606" s="1" t="str">
        <f t="shared" ref="CB606:CC606" si="471">""</f>
        <v/>
      </c>
      <c r="CC606" s="1" t="str">
        <f t="shared" si="471"/>
        <v/>
      </c>
      <c r="CG606" s="1" t="s">
        <v>581</v>
      </c>
      <c r="CH606" s="1" t="s">
        <v>277</v>
      </c>
      <c r="CI606" s="1" t="s">
        <v>438</v>
      </c>
      <c r="CK606" s="1" t="s">
        <v>539</v>
      </c>
      <c r="CL606" s="1" t="s">
        <v>277</v>
      </c>
      <c r="CM606" s="1" t="s">
        <v>220</v>
      </c>
      <c r="CO606" s="1" t="s">
        <v>3284</v>
      </c>
      <c r="CP606" s="1" t="s">
        <v>277</v>
      </c>
      <c r="CQ606" s="1" t="s">
        <v>438</v>
      </c>
      <c r="CS606" s="1" t="s">
        <v>317</v>
      </c>
      <c r="CT606" s="1" t="s">
        <v>277</v>
      </c>
      <c r="CU606" s="1" t="s">
        <v>220</v>
      </c>
      <c r="CX606" s="1" t="s">
        <v>224</v>
      </c>
      <c r="DB606" s="1" t="s">
        <v>224</v>
      </c>
      <c r="DE606" s="1" t="s">
        <v>4038</v>
      </c>
      <c r="DF606" s="1" t="s">
        <v>219</v>
      </c>
      <c r="DJ606" s="1" t="s">
        <v>224</v>
      </c>
      <c r="DS606" s="1" t="s">
        <v>230</v>
      </c>
      <c r="DW606" s="1" t="s">
        <v>230</v>
      </c>
      <c r="EA606" s="1" t="s">
        <v>230</v>
      </c>
      <c r="EE606" s="1" t="s">
        <v>230</v>
      </c>
      <c r="EI606" s="1" t="s">
        <v>230</v>
      </c>
      <c r="EL606" s="1" t="s">
        <v>231</v>
      </c>
      <c r="EM606" s="1" t="s">
        <v>232</v>
      </c>
      <c r="EN606" s="1" t="s">
        <v>282</v>
      </c>
      <c r="EO606" s="1" t="s">
        <v>1020</v>
      </c>
      <c r="EP606" s="1" t="s">
        <v>4039</v>
      </c>
      <c r="EQ606" s="1" t="s">
        <v>1094</v>
      </c>
      <c r="ER606" s="1" t="s">
        <v>210</v>
      </c>
      <c r="ES606" s="1" t="s">
        <v>1160</v>
      </c>
      <c r="EU606" s="1" t="s">
        <v>3536</v>
      </c>
      <c r="EV606" s="1" t="s">
        <v>240</v>
      </c>
      <c r="EW606" s="1" t="s">
        <v>6606</v>
      </c>
      <c r="EZ606" s="1" t="s">
        <v>287</v>
      </c>
      <c r="FA606" s="1" t="s">
        <v>1554</v>
      </c>
      <c r="FB606" s="1" t="s">
        <v>1505</v>
      </c>
      <c r="FD606" s="1" t="s">
        <v>3287</v>
      </c>
      <c r="FE606" s="1" t="s">
        <v>472</v>
      </c>
      <c r="FF606" s="1" t="s">
        <v>248</v>
      </c>
      <c r="FH606" s="1" t="s">
        <v>249</v>
      </c>
      <c r="FL606" s="1" t="s">
        <v>414</v>
      </c>
      <c r="FM606" s="1" t="s">
        <v>252</v>
      </c>
      <c r="FN606" s="1" t="s">
        <v>213</v>
      </c>
      <c r="FO606" s="1" t="s">
        <v>213</v>
      </c>
      <c r="FQ606" s="1" t="s">
        <v>3378</v>
      </c>
      <c r="FR606" s="1" t="s">
        <v>210</v>
      </c>
      <c r="FS606" s="1" t="s">
        <v>7394</v>
      </c>
      <c r="FT606" s="1" t="s">
        <v>1778</v>
      </c>
      <c r="FU606" s="1" t="s">
        <v>204</v>
      </c>
      <c r="FW606" s="1" t="s">
        <v>1559</v>
      </c>
      <c r="FX606" s="1">
        <v>2415</v>
      </c>
      <c r="FY606" s="1" t="s">
        <v>3380</v>
      </c>
      <c r="FZ606" s="1" t="s">
        <v>4041</v>
      </c>
      <c r="GA606" s="1">
        <v>15499</v>
      </c>
      <c r="GB606" s="1" t="s">
        <v>4042</v>
      </c>
      <c r="GD606" s="1" t="s">
        <v>4043</v>
      </c>
      <c r="GE606" s="1" t="s">
        <v>210</v>
      </c>
      <c r="GI606" s="1" t="s">
        <v>213</v>
      </c>
      <c r="GJ606" s="1" t="s">
        <v>260</v>
      </c>
      <c r="GK606" s="1" t="s">
        <v>210</v>
      </c>
      <c r="GL606" s="2">
        <v>42054</v>
      </c>
    </row>
    <row r="607" spans="1:195">
      <c r="A607" s="1">
        <v>119900</v>
      </c>
      <c r="B607" s="1" t="s">
        <v>195</v>
      </c>
      <c r="C607" s="1" t="str">
        <f>"08803708"</f>
        <v>08803708</v>
      </c>
      <c r="D607" s="1" t="s">
        <v>196</v>
      </c>
      <c r="F607" s="1" t="str">
        <f>"510"</f>
        <v>510</v>
      </c>
      <c r="G607" s="2">
        <v>41990</v>
      </c>
      <c r="H607" s="1">
        <v>119900</v>
      </c>
      <c r="I607" s="1">
        <v>119900</v>
      </c>
      <c r="J607" s="1">
        <v>119900</v>
      </c>
      <c r="K607" s="2">
        <v>41990</v>
      </c>
      <c r="L607" s="1">
        <v>3</v>
      </c>
      <c r="M607" s="2">
        <v>41992</v>
      </c>
      <c r="N607" s="1">
        <v>3</v>
      </c>
      <c r="O607" s="2">
        <v>41992</v>
      </c>
      <c r="P607" s="1">
        <v>361</v>
      </c>
      <c r="Q607" s="1" t="s">
        <v>302</v>
      </c>
      <c r="R607" s="2">
        <v>42013</v>
      </c>
      <c r="S607" s="1">
        <v>8867</v>
      </c>
      <c r="U607" s="1">
        <v>440</v>
      </c>
      <c r="V607" s="1" t="s">
        <v>6218</v>
      </c>
      <c r="W607" s="1" t="s">
        <v>725</v>
      </c>
      <c r="Y607" s="1">
        <v>2</v>
      </c>
      <c r="Z607" s="1" t="s">
        <v>200</v>
      </c>
      <c r="AA607" s="1" t="s">
        <v>947</v>
      </c>
      <c r="AB607" s="1">
        <v>60510</v>
      </c>
      <c r="AE607" s="1" t="s">
        <v>7395</v>
      </c>
      <c r="AF607" s="1">
        <v>1970</v>
      </c>
      <c r="AG607" s="1" t="s">
        <v>213</v>
      </c>
      <c r="AH607" s="1" t="s">
        <v>949</v>
      </c>
      <c r="AI607" s="1" t="s">
        <v>665</v>
      </c>
      <c r="AJ607" s="1" t="s">
        <v>949</v>
      </c>
      <c r="AL607" s="1">
        <v>5</v>
      </c>
      <c r="AM607" s="1">
        <v>2</v>
      </c>
      <c r="AN607" s="1">
        <v>1</v>
      </c>
      <c r="AO607" s="1">
        <v>1</v>
      </c>
      <c r="AP607" s="1" t="s">
        <v>210</v>
      </c>
      <c r="AR607" s="1" t="s">
        <v>210</v>
      </c>
      <c r="AS607" s="1" t="s">
        <v>204</v>
      </c>
      <c r="AT607" s="1" t="s">
        <v>211</v>
      </c>
      <c r="AU607" s="1">
        <v>1</v>
      </c>
      <c r="AW607" s="1" t="s">
        <v>204</v>
      </c>
      <c r="AX607" s="1" t="s">
        <v>7396</v>
      </c>
      <c r="AZ607" s="1">
        <v>4546.6400000000003</v>
      </c>
      <c r="BA607" s="1">
        <v>2013</v>
      </c>
      <c r="BE607" s="1">
        <v>1058</v>
      </c>
      <c r="BF607" s="1">
        <v>1</v>
      </c>
      <c r="BG607" s="1">
        <v>1</v>
      </c>
      <c r="BL607" s="1">
        <v>0</v>
      </c>
      <c r="BM607" s="1" t="s">
        <v>204</v>
      </c>
      <c r="BN607" s="1" t="s">
        <v>204</v>
      </c>
      <c r="BP607" s="1" t="s">
        <v>204</v>
      </c>
      <c r="BR607" s="1" t="str">
        <f>"1222306042"</f>
        <v>1222306042</v>
      </c>
      <c r="BT607" s="1" t="s">
        <v>7175</v>
      </c>
      <c r="BX607" s="1">
        <v>101</v>
      </c>
      <c r="BY607" s="1">
        <v>101</v>
      </c>
      <c r="BZ607" s="1">
        <v>101</v>
      </c>
      <c r="CB607" s="1" t="str">
        <f t="shared" ref="CB607:CC607" si="472">"0"</f>
        <v>0</v>
      </c>
      <c r="CC607" s="1" t="str">
        <f t="shared" si="472"/>
        <v>0</v>
      </c>
      <c r="CD607" s="1">
        <v>35</v>
      </c>
      <c r="CE607" s="1">
        <v>1</v>
      </c>
      <c r="CG607" s="1" t="s">
        <v>515</v>
      </c>
      <c r="CH607" s="1" t="s">
        <v>219</v>
      </c>
      <c r="CK607" s="1" t="s">
        <v>539</v>
      </c>
      <c r="CL607" s="1" t="s">
        <v>219</v>
      </c>
      <c r="CO607" s="1" t="s">
        <v>629</v>
      </c>
      <c r="CP607" s="1" t="s">
        <v>219</v>
      </c>
      <c r="CS607" s="1" t="s">
        <v>465</v>
      </c>
      <c r="CT607" s="1" t="s">
        <v>219</v>
      </c>
      <c r="CX607" s="1" t="s">
        <v>224</v>
      </c>
      <c r="DB607" s="1" t="s">
        <v>224</v>
      </c>
      <c r="DE607" s="1" t="s">
        <v>1178</v>
      </c>
      <c r="DF607" s="1" t="s">
        <v>219</v>
      </c>
      <c r="DJ607" s="1" t="s">
        <v>224</v>
      </c>
      <c r="DS607" s="1" t="s">
        <v>230</v>
      </c>
      <c r="DW607" s="1" t="s">
        <v>230</v>
      </c>
      <c r="EA607" s="1" t="s">
        <v>230</v>
      </c>
      <c r="EE607" s="1" t="s">
        <v>230</v>
      </c>
      <c r="EI607" s="1" t="s">
        <v>230</v>
      </c>
      <c r="EL607" s="1" t="s">
        <v>605</v>
      </c>
      <c r="EM607" s="1" t="s">
        <v>319</v>
      </c>
      <c r="EN607" s="1" t="s">
        <v>282</v>
      </c>
      <c r="EO607" s="1" t="s">
        <v>234</v>
      </c>
      <c r="ER607" s="1" t="s">
        <v>383</v>
      </c>
      <c r="EW607" s="1" t="s">
        <v>210</v>
      </c>
      <c r="EZ607" s="1" t="s">
        <v>287</v>
      </c>
      <c r="FD607" s="1" t="s">
        <v>1112</v>
      </c>
      <c r="FE607" s="1" t="s">
        <v>247</v>
      </c>
      <c r="FF607" s="1" t="s">
        <v>248</v>
      </c>
      <c r="FH607" s="1" t="s">
        <v>442</v>
      </c>
      <c r="FL607" s="1" t="s">
        <v>414</v>
      </c>
      <c r="FM607" s="1" t="s">
        <v>252</v>
      </c>
      <c r="FN607" s="1" t="s">
        <v>213</v>
      </c>
      <c r="FO607" s="1" t="s">
        <v>213</v>
      </c>
      <c r="FQ607" s="1" t="s">
        <v>849</v>
      </c>
      <c r="FR607" s="1" t="s">
        <v>210</v>
      </c>
      <c r="FS607" s="1" t="s">
        <v>7397</v>
      </c>
      <c r="FT607" s="1" t="s">
        <v>7398</v>
      </c>
      <c r="FU607" s="1" t="s">
        <v>204</v>
      </c>
      <c r="FW607" s="1" t="s">
        <v>915</v>
      </c>
      <c r="FX607" s="1">
        <v>361</v>
      </c>
      <c r="FY607" s="1" t="s">
        <v>2034</v>
      </c>
      <c r="FZ607" s="1" t="s">
        <v>7399</v>
      </c>
      <c r="GA607" s="1">
        <v>8867</v>
      </c>
      <c r="GE607" s="1" t="s">
        <v>210</v>
      </c>
      <c r="GI607" s="1" t="s">
        <v>213</v>
      </c>
      <c r="GJ607" s="1" t="s">
        <v>260</v>
      </c>
      <c r="GK607" s="1" t="s">
        <v>210</v>
      </c>
      <c r="GL607" s="2">
        <v>42016</v>
      </c>
    </row>
    <row r="608" spans="1:195">
      <c r="A608" s="1">
        <v>195000</v>
      </c>
      <c r="B608" s="1" t="s">
        <v>195</v>
      </c>
      <c r="C608" s="1" t="str">
        <f>"08803303"</f>
        <v>08803303</v>
      </c>
      <c r="D608" s="1" t="s">
        <v>196</v>
      </c>
      <c r="F608" s="1" t="str">
        <f>"148"</f>
        <v>148</v>
      </c>
      <c r="G608" s="2">
        <v>41990</v>
      </c>
      <c r="H608" s="1">
        <v>194500</v>
      </c>
      <c r="I608" s="1">
        <v>194000</v>
      </c>
      <c r="J608" s="1">
        <v>195000</v>
      </c>
      <c r="K608" s="2">
        <v>41989</v>
      </c>
      <c r="L608" s="1">
        <v>66</v>
      </c>
      <c r="M608" s="2">
        <v>42054</v>
      </c>
      <c r="N608" s="1">
        <v>66</v>
      </c>
      <c r="O608" s="2">
        <v>42054</v>
      </c>
      <c r="P608" s="1">
        <v>24587</v>
      </c>
      <c r="Q608" s="1" t="s">
        <v>197</v>
      </c>
      <c r="R608" s="2">
        <v>42111</v>
      </c>
      <c r="S608" s="1">
        <v>243144</v>
      </c>
      <c r="U608" s="1">
        <v>500</v>
      </c>
      <c r="V608" s="1" t="s">
        <v>3609</v>
      </c>
      <c r="W608" s="1" t="s">
        <v>1056</v>
      </c>
      <c r="X608" s="1" t="s">
        <v>7400</v>
      </c>
      <c r="Y608" s="1">
        <v>40</v>
      </c>
      <c r="Z608" s="1" t="s">
        <v>249</v>
      </c>
      <c r="AA608" s="1" t="s">
        <v>1927</v>
      </c>
      <c r="AB608" s="1">
        <v>60148</v>
      </c>
      <c r="AD608" s="1" t="s">
        <v>7401</v>
      </c>
      <c r="AE608" s="1" t="s">
        <v>7402</v>
      </c>
      <c r="AF608" s="1">
        <v>2006</v>
      </c>
      <c r="AG608" s="1" t="s">
        <v>204</v>
      </c>
      <c r="AH608" s="1" t="s">
        <v>1930</v>
      </c>
      <c r="AI608" s="1" t="s">
        <v>206</v>
      </c>
      <c r="AJ608" s="1" t="s">
        <v>1608</v>
      </c>
      <c r="AK608" s="1" t="s">
        <v>1688</v>
      </c>
      <c r="AL608" s="1">
        <v>5</v>
      </c>
      <c r="AM608" s="1">
        <v>2</v>
      </c>
      <c r="AN608" s="1">
        <v>2</v>
      </c>
      <c r="AO608" s="1">
        <v>0</v>
      </c>
      <c r="AP608" s="1" t="s">
        <v>209</v>
      </c>
      <c r="AQ608" s="1">
        <v>0</v>
      </c>
      <c r="AR608" s="1" t="s">
        <v>210</v>
      </c>
      <c r="AT608" s="1" t="s">
        <v>211</v>
      </c>
      <c r="AU608" s="1">
        <v>1</v>
      </c>
      <c r="AW608" s="1" t="s">
        <v>204</v>
      </c>
      <c r="AX608" s="1" t="s">
        <v>212</v>
      </c>
      <c r="AZ608" s="1">
        <v>2874</v>
      </c>
      <c r="BA608" s="1">
        <v>2013</v>
      </c>
      <c r="BE608" s="1">
        <v>1320</v>
      </c>
      <c r="BF608" s="1">
        <v>5</v>
      </c>
      <c r="BG608" s="1">
        <v>1</v>
      </c>
      <c r="BL608" s="1">
        <v>285</v>
      </c>
      <c r="BM608" s="1" t="s">
        <v>204</v>
      </c>
      <c r="BN608" s="1" t="s">
        <v>213</v>
      </c>
      <c r="BO608" s="1">
        <v>50</v>
      </c>
      <c r="BP608" s="1" t="s">
        <v>204</v>
      </c>
      <c r="BR608" s="1" t="str">
        <f>"0605429032"</f>
        <v>0605429032</v>
      </c>
      <c r="BT608" s="1" t="s">
        <v>7403</v>
      </c>
      <c r="BU608" s="1" t="s">
        <v>7404</v>
      </c>
      <c r="BV608" s="1" t="s">
        <v>3929</v>
      </c>
      <c r="BW608" s="1" t="s">
        <v>2201</v>
      </c>
      <c r="BX608" s="1">
        <v>45</v>
      </c>
      <c r="BY608" s="1">
        <v>45</v>
      </c>
      <c r="BZ608" s="1">
        <v>88</v>
      </c>
      <c r="CB608" s="1" t="str">
        <f t="shared" ref="CB608:CC608" si="473">"0"</f>
        <v>0</v>
      </c>
      <c r="CC608" s="1" t="str">
        <f t="shared" si="473"/>
        <v>0</v>
      </c>
      <c r="CD608" s="1">
        <v>19</v>
      </c>
      <c r="CE608" s="1">
        <v>0</v>
      </c>
      <c r="CG608" s="1" t="s">
        <v>218</v>
      </c>
      <c r="CH608" s="1" t="s">
        <v>219</v>
      </c>
      <c r="CI608" s="1" t="s">
        <v>438</v>
      </c>
      <c r="CJ608" s="1" t="s">
        <v>343</v>
      </c>
      <c r="CK608" s="1" t="s">
        <v>437</v>
      </c>
      <c r="CL608" s="1" t="s">
        <v>219</v>
      </c>
      <c r="CM608" s="1" t="s">
        <v>220</v>
      </c>
      <c r="CN608" s="1" t="s">
        <v>343</v>
      </c>
      <c r="CO608" s="1" t="s">
        <v>629</v>
      </c>
      <c r="CP608" s="1" t="s">
        <v>219</v>
      </c>
      <c r="CQ608" s="1" t="s">
        <v>438</v>
      </c>
      <c r="CR608" s="1" t="s">
        <v>210</v>
      </c>
      <c r="CS608" s="1" t="s">
        <v>465</v>
      </c>
      <c r="CT608" s="1" t="s">
        <v>219</v>
      </c>
      <c r="CU608" s="1" t="s">
        <v>220</v>
      </c>
      <c r="CV608" s="1" t="s">
        <v>343</v>
      </c>
      <c r="CX608" s="1" t="s">
        <v>224</v>
      </c>
      <c r="DB608" s="1" t="s">
        <v>224</v>
      </c>
      <c r="DE608" s="1" t="s">
        <v>687</v>
      </c>
      <c r="DF608" s="1" t="s">
        <v>219</v>
      </c>
      <c r="DG608" s="1" t="s">
        <v>438</v>
      </c>
      <c r="DJ608" s="1" t="s">
        <v>224</v>
      </c>
      <c r="DS608" s="1" t="s">
        <v>230</v>
      </c>
      <c r="DW608" s="1" t="s">
        <v>230</v>
      </c>
      <c r="EA608" s="1" t="s">
        <v>230</v>
      </c>
      <c r="EE608" s="1" t="s">
        <v>230</v>
      </c>
      <c r="EI608" s="1" t="s">
        <v>230</v>
      </c>
      <c r="EL608" s="1" t="s">
        <v>491</v>
      </c>
      <c r="EM608" s="1" t="s">
        <v>232</v>
      </c>
      <c r="EN608" s="1" t="s">
        <v>282</v>
      </c>
      <c r="EO608" s="1" t="s">
        <v>234</v>
      </c>
      <c r="EP608" s="1" t="s">
        <v>7405</v>
      </c>
      <c r="EQ608" s="1" t="s">
        <v>2188</v>
      </c>
      <c r="ER608" s="1" t="s">
        <v>210</v>
      </c>
      <c r="ES608" s="1" t="s">
        <v>954</v>
      </c>
      <c r="ET608" s="1" t="s">
        <v>2404</v>
      </c>
      <c r="EU608" s="1" t="s">
        <v>3536</v>
      </c>
      <c r="EW608" s="1" t="s">
        <v>7406</v>
      </c>
      <c r="EY608" s="1" t="s">
        <v>441</v>
      </c>
      <c r="EZ608" s="1" t="s">
        <v>287</v>
      </c>
      <c r="FA608" s="1" t="s">
        <v>7407</v>
      </c>
      <c r="FB608" s="1" t="s">
        <v>289</v>
      </c>
      <c r="FD608" s="1" t="s">
        <v>290</v>
      </c>
      <c r="FE608" s="1" t="s">
        <v>247</v>
      </c>
      <c r="FF608" s="1" t="s">
        <v>7408</v>
      </c>
      <c r="FH608" s="1" t="s">
        <v>249</v>
      </c>
      <c r="FI608" s="1" t="s">
        <v>250</v>
      </c>
      <c r="FJ608" s="1" t="s">
        <v>197</v>
      </c>
      <c r="FL608" s="1" t="s">
        <v>358</v>
      </c>
      <c r="FM608" s="1" t="s">
        <v>252</v>
      </c>
      <c r="FN608" s="1" t="s">
        <v>213</v>
      </c>
      <c r="FO608" s="1" t="s">
        <v>213</v>
      </c>
      <c r="FQ608" s="1" t="s">
        <v>3616</v>
      </c>
      <c r="FR608" s="1" t="s">
        <v>210</v>
      </c>
      <c r="FS608" s="1" t="s">
        <v>7409</v>
      </c>
      <c r="FT608" s="1" t="s">
        <v>7410</v>
      </c>
      <c r="FU608" s="1" t="s">
        <v>213</v>
      </c>
      <c r="FW608" s="1" t="s">
        <v>2658</v>
      </c>
      <c r="FX608" s="1">
        <v>92063</v>
      </c>
      <c r="FY608" s="1" t="s">
        <v>2659</v>
      </c>
      <c r="FZ608" s="1" t="s">
        <v>2660</v>
      </c>
      <c r="GA608" s="1">
        <v>26265</v>
      </c>
      <c r="GE608" s="1" t="s">
        <v>1333</v>
      </c>
      <c r="GH608" s="1" t="s">
        <v>800</v>
      </c>
      <c r="GI608" s="1" t="s">
        <v>213</v>
      </c>
      <c r="GJ608" s="1" t="s">
        <v>260</v>
      </c>
      <c r="GK608" s="1" t="s">
        <v>210</v>
      </c>
      <c r="GL608" s="2">
        <v>42111</v>
      </c>
      <c r="GM608" s="1" t="s">
        <v>2657</v>
      </c>
    </row>
    <row r="609" spans="1:195">
      <c r="A609" s="1">
        <v>144900</v>
      </c>
      <c r="B609" s="1" t="s">
        <v>195</v>
      </c>
      <c r="C609" s="1" t="str">
        <f>"08801651"</f>
        <v>08801651</v>
      </c>
      <c r="D609" s="1" t="s">
        <v>196</v>
      </c>
      <c r="F609" s="1" t="str">
        <f t="shared" ref="F609:F610" si="474">"540"</f>
        <v>540</v>
      </c>
      <c r="G609" s="2">
        <v>41986</v>
      </c>
      <c r="H609" s="1">
        <v>167900</v>
      </c>
      <c r="I609" s="1">
        <v>149900</v>
      </c>
      <c r="J609" s="1">
        <v>144900</v>
      </c>
      <c r="K609" s="2">
        <v>41984</v>
      </c>
      <c r="L609" s="1">
        <v>81</v>
      </c>
      <c r="M609" s="2">
        <v>42064</v>
      </c>
      <c r="N609" s="1">
        <v>81</v>
      </c>
      <c r="O609" s="2">
        <v>42064</v>
      </c>
      <c r="P609" s="1">
        <v>23156</v>
      </c>
      <c r="Q609" s="1" t="s">
        <v>197</v>
      </c>
      <c r="R609" s="2">
        <v>42122</v>
      </c>
      <c r="S609" s="1">
        <v>232740</v>
      </c>
      <c r="T609" s="1">
        <v>2295.75</v>
      </c>
      <c r="U609" s="1">
        <v>809</v>
      </c>
      <c r="V609" s="1" t="s">
        <v>7411</v>
      </c>
      <c r="W609" s="1" t="s">
        <v>264</v>
      </c>
      <c r="Y609" s="1">
        <v>6</v>
      </c>
      <c r="Z609" s="1" t="s">
        <v>249</v>
      </c>
      <c r="AA609" s="1" t="s">
        <v>921</v>
      </c>
      <c r="AB609" s="1">
        <v>60563</v>
      </c>
      <c r="AD609" s="1" t="s">
        <v>5950</v>
      </c>
      <c r="AE609" s="1" t="s">
        <v>7412</v>
      </c>
      <c r="AF609" s="1">
        <v>2000</v>
      </c>
      <c r="AG609" s="1" t="s">
        <v>204</v>
      </c>
      <c r="AH609" s="1" t="s">
        <v>924</v>
      </c>
      <c r="AI609" s="1" t="s">
        <v>206</v>
      </c>
      <c r="AJ609" s="1" t="s">
        <v>924</v>
      </c>
      <c r="AK609" s="1" t="s">
        <v>7413</v>
      </c>
      <c r="AL609" s="1">
        <v>5</v>
      </c>
      <c r="AM609" s="1">
        <v>2</v>
      </c>
      <c r="AN609" s="1">
        <v>1</v>
      </c>
      <c r="AO609" s="1">
        <v>1</v>
      </c>
      <c r="AP609" s="1" t="s">
        <v>209</v>
      </c>
      <c r="AQ609" s="1">
        <v>1</v>
      </c>
      <c r="AR609" s="1" t="s">
        <v>210</v>
      </c>
      <c r="AS609" s="1" t="s">
        <v>204</v>
      </c>
      <c r="AT609" s="1" t="s">
        <v>211</v>
      </c>
      <c r="AU609" s="1">
        <v>1</v>
      </c>
      <c r="AW609" s="1" t="s">
        <v>204</v>
      </c>
      <c r="AX609" s="1" t="s">
        <v>212</v>
      </c>
      <c r="AZ609" s="1">
        <v>3142</v>
      </c>
      <c r="BA609" s="1">
        <v>2013</v>
      </c>
      <c r="BB609" s="1" t="s">
        <v>405</v>
      </c>
      <c r="BE609" s="1">
        <v>1412</v>
      </c>
      <c r="BF609" s="1">
        <v>1</v>
      </c>
      <c r="BG609" s="1">
        <v>0</v>
      </c>
      <c r="BL609" s="1">
        <v>184</v>
      </c>
      <c r="BM609" s="1" t="s">
        <v>204</v>
      </c>
      <c r="BN609" s="1" t="s">
        <v>213</v>
      </c>
      <c r="BO609" s="1">
        <v>0</v>
      </c>
      <c r="BP609" s="1" t="s">
        <v>204</v>
      </c>
      <c r="BR609" s="1" t="str">
        <f>"0709310068"</f>
        <v>0709310068</v>
      </c>
      <c r="BT609" s="1" t="s">
        <v>7414</v>
      </c>
      <c r="BX609" s="1">
        <v>204</v>
      </c>
      <c r="BY609" s="1">
        <v>204</v>
      </c>
      <c r="BZ609" s="1">
        <v>204</v>
      </c>
      <c r="CB609" s="1" t="str">
        <f t="shared" ref="CB609:CC609" si="475">"0"</f>
        <v>0</v>
      </c>
      <c r="CC609" s="1" t="str">
        <f t="shared" si="475"/>
        <v>0</v>
      </c>
      <c r="CD609" s="1">
        <v>30</v>
      </c>
      <c r="CE609" s="1">
        <v>6</v>
      </c>
      <c r="CG609" s="1" t="s">
        <v>972</v>
      </c>
      <c r="CH609" s="1" t="s">
        <v>219</v>
      </c>
      <c r="CI609" s="1" t="s">
        <v>220</v>
      </c>
      <c r="CK609" s="1" t="s">
        <v>757</v>
      </c>
      <c r="CL609" s="1" t="s">
        <v>277</v>
      </c>
      <c r="CM609" s="1" t="s">
        <v>220</v>
      </c>
      <c r="CO609" s="1" t="s">
        <v>409</v>
      </c>
      <c r="CP609" s="1" t="s">
        <v>219</v>
      </c>
      <c r="CQ609" s="1" t="s">
        <v>220</v>
      </c>
      <c r="CS609" s="1" t="s">
        <v>1854</v>
      </c>
      <c r="CT609" s="1" t="s">
        <v>277</v>
      </c>
      <c r="CU609" s="1" t="s">
        <v>220</v>
      </c>
      <c r="CX609" s="1" t="s">
        <v>224</v>
      </c>
      <c r="DB609" s="1" t="s">
        <v>224</v>
      </c>
      <c r="DE609" s="1" t="s">
        <v>951</v>
      </c>
      <c r="DF609" s="1" t="s">
        <v>219</v>
      </c>
      <c r="DG609" s="1" t="s">
        <v>226</v>
      </c>
      <c r="DJ609" s="1" t="s">
        <v>224</v>
      </c>
      <c r="DS609" s="1" t="s">
        <v>230</v>
      </c>
      <c r="DW609" s="1" t="s">
        <v>230</v>
      </c>
      <c r="EA609" s="1" t="s">
        <v>230</v>
      </c>
      <c r="EE609" s="1" t="s">
        <v>230</v>
      </c>
      <c r="EI609" s="1" t="s">
        <v>230</v>
      </c>
      <c r="EL609" s="1" t="s">
        <v>466</v>
      </c>
      <c r="EM609" s="1" t="s">
        <v>232</v>
      </c>
      <c r="EN609" s="1" t="s">
        <v>282</v>
      </c>
      <c r="EO609" s="1" t="s">
        <v>234</v>
      </c>
      <c r="ER609" s="1" t="s">
        <v>210</v>
      </c>
      <c r="ES609" s="1" t="s">
        <v>608</v>
      </c>
      <c r="EU609" s="1" t="s">
        <v>712</v>
      </c>
      <c r="EV609" s="1" t="s">
        <v>240</v>
      </c>
      <c r="EW609" s="1" t="s">
        <v>937</v>
      </c>
      <c r="EY609" s="1" t="s">
        <v>790</v>
      </c>
      <c r="EZ609" s="1" t="s">
        <v>287</v>
      </c>
      <c r="FD609" s="1" t="s">
        <v>246</v>
      </c>
      <c r="FE609" s="1" t="s">
        <v>870</v>
      </c>
      <c r="FF609" s="1" t="s">
        <v>248</v>
      </c>
      <c r="FH609" s="1" t="s">
        <v>940</v>
      </c>
      <c r="FL609" s="1" t="s">
        <v>358</v>
      </c>
      <c r="FM609" s="1" t="s">
        <v>252</v>
      </c>
      <c r="FN609" s="1" t="s">
        <v>213</v>
      </c>
      <c r="FO609" s="1" t="s">
        <v>213</v>
      </c>
      <c r="FQ609" s="1" t="s">
        <v>689</v>
      </c>
      <c r="FR609" s="1" t="s">
        <v>210</v>
      </c>
      <c r="FS609" s="1" t="s">
        <v>2541</v>
      </c>
      <c r="FT609" s="1" t="s">
        <v>584</v>
      </c>
      <c r="FU609" s="1" t="s">
        <v>204</v>
      </c>
      <c r="FW609" s="1" t="s">
        <v>813</v>
      </c>
      <c r="FX609" s="1">
        <v>23286</v>
      </c>
      <c r="FY609" s="1" t="s">
        <v>4315</v>
      </c>
      <c r="FZ609" s="1" t="s">
        <v>4316</v>
      </c>
      <c r="GA609" s="1">
        <v>223647</v>
      </c>
      <c r="GB609" s="1" t="s">
        <v>4317</v>
      </c>
      <c r="GC609" s="1">
        <v>230243</v>
      </c>
      <c r="GE609" s="1" t="s">
        <v>210</v>
      </c>
      <c r="GI609" s="1" t="s">
        <v>213</v>
      </c>
      <c r="GJ609" s="1" t="s">
        <v>260</v>
      </c>
      <c r="GK609" s="1" t="s">
        <v>210</v>
      </c>
      <c r="GL609" s="2">
        <v>42123</v>
      </c>
      <c r="GM609" s="1" t="s">
        <v>7415</v>
      </c>
    </row>
    <row r="610" spans="1:195">
      <c r="A610" s="1">
        <v>45100</v>
      </c>
      <c r="B610" s="1" t="s">
        <v>195</v>
      </c>
      <c r="C610" s="1" t="str">
        <f>"08803983"</f>
        <v>08803983</v>
      </c>
      <c r="D610" s="1" t="s">
        <v>196</v>
      </c>
      <c r="F610" s="1" t="str">
        <f t="shared" si="474"/>
        <v>540</v>
      </c>
      <c r="G610" s="2">
        <v>41991</v>
      </c>
      <c r="H610" s="1">
        <v>42000</v>
      </c>
      <c r="I610" s="1">
        <v>42000</v>
      </c>
      <c r="J610" s="1">
        <v>45100</v>
      </c>
      <c r="K610" s="2">
        <v>41991</v>
      </c>
      <c r="L610" s="1">
        <v>13</v>
      </c>
      <c r="M610" s="2">
        <v>42003</v>
      </c>
      <c r="N610" s="1">
        <v>13</v>
      </c>
      <c r="O610" s="2">
        <v>42003</v>
      </c>
      <c r="P610" s="1">
        <v>85118</v>
      </c>
      <c r="Q610" s="1" t="s">
        <v>302</v>
      </c>
      <c r="R610" s="2">
        <v>42097</v>
      </c>
      <c r="S610" s="1">
        <v>124174</v>
      </c>
      <c r="U610" s="1">
        <v>1121</v>
      </c>
      <c r="V610" s="1" t="s">
        <v>4567</v>
      </c>
      <c r="W610" s="1" t="s">
        <v>425</v>
      </c>
      <c r="X610" s="1">
        <v>166</v>
      </c>
      <c r="Y610" s="1">
        <v>51</v>
      </c>
      <c r="Z610" s="1" t="s">
        <v>249</v>
      </c>
      <c r="AA610" s="1" t="s">
        <v>921</v>
      </c>
      <c r="AB610" s="1">
        <v>60563</v>
      </c>
      <c r="AE610" s="1" t="s">
        <v>7416</v>
      </c>
      <c r="AF610" s="1">
        <v>1969</v>
      </c>
      <c r="AG610" s="1" t="s">
        <v>213</v>
      </c>
      <c r="AH610" s="1" t="s">
        <v>924</v>
      </c>
      <c r="AI610" s="1" t="s">
        <v>206</v>
      </c>
      <c r="AJ610" s="1" t="s">
        <v>924</v>
      </c>
      <c r="AL610" s="1">
        <v>4</v>
      </c>
      <c r="AM610" s="1">
        <v>2</v>
      </c>
      <c r="AN610" s="1">
        <v>2</v>
      </c>
      <c r="AO610" s="1">
        <v>0</v>
      </c>
      <c r="AP610" s="1" t="s">
        <v>209</v>
      </c>
      <c r="AQ610" s="1">
        <v>0</v>
      </c>
      <c r="AR610" s="1" t="s">
        <v>210</v>
      </c>
      <c r="AS610" s="1" t="s">
        <v>204</v>
      </c>
      <c r="AT610" s="1" t="s">
        <v>271</v>
      </c>
      <c r="AV610" s="1">
        <v>2</v>
      </c>
      <c r="AW610" s="1" t="s">
        <v>204</v>
      </c>
      <c r="AX610" s="1" t="s">
        <v>212</v>
      </c>
      <c r="AZ610" s="1">
        <v>1827</v>
      </c>
      <c r="BA610" s="1">
        <v>2013</v>
      </c>
      <c r="BE610" s="1">
        <v>1050</v>
      </c>
      <c r="BF610" s="1">
        <v>1</v>
      </c>
      <c r="BG610" s="1">
        <v>0</v>
      </c>
      <c r="BL610" s="1">
        <v>355</v>
      </c>
      <c r="BM610" s="1" t="s">
        <v>413</v>
      </c>
      <c r="BN610" s="1" t="s">
        <v>213</v>
      </c>
      <c r="BO610" s="1">
        <v>10</v>
      </c>
      <c r="BP610" s="1" t="s">
        <v>204</v>
      </c>
      <c r="BR610" s="1" t="str">
        <f>"0711409168"</f>
        <v>0711409168</v>
      </c>
      <c r="BT610" s="1" t="s">
        <v>7417</v>
      </c>
      <c r="BX610" s="1">
        <v>203</v>
      </c>
      <c r="BY610" s="1">
        <v>203</v>
      </c>
      <c r="BZ610" s="1">
        <v>203</v>
      </c>
      <c r="CB610" s="1" t="str">
        <f t="shared" ref="CB610:CC610" si="476">""</f>
        <v/>
      </c>
      <c r="CC610" s="1" t="str">
        <f t="shared" si="476"/>
        <v/>
      </c>
      <c r="CG610" s="1" t="s">
        <v>228</v>
      </c>
      <c r="CH610" s="1" t="s">
        <v>219</v>
      </c>
      <c r="CI610" s="1" t="s">
        <v>438</v>
      </c>
      <c r="CK610" s="1" t="s">
        <v>757</v>
      </c>
      <c r="CL610" s="1" t="s">
        <v>219</v>
      </c>
      <c r="CP610" s="1" t="s">
        <v>224</v>
      </c>
      <c r="CS610" s="1" t="s">
        <v>378</v>
      </c>
      <c r="CT610" s="1" t="s">
        <v>219</v>
      </c>
      <c r="CX610" s="1" t="s">
        <v>224</v>
      </c>
      <c r="DB610" s="1" t="s">
        <v>224</v>
      </c>
      <c r="DE610" s="1" t="s">
        <v>757</v>
      </c>
      <c r="DF610" s="1" t="s">
        <v>219</v>
      </c>
      <c r="DJ610" s="1" t="s">
        <v>224</v>
      </c>
      <c r="DS610" s="1" t="s">
        <v>230</v>
      </c>
      <c r="DW610" s="1" t="s">
        <v>230</v>
      </c>
      <c r="EA610" s="1" t="s">
        <v>230</v>
      </c>
      <c r="EE610" s="1" t="s">
        <v>230</v>
      </c>
      <c r="EI610" s="1" t="s">
        <v>230</v>
      </c>
      <c r="EL610" s="1" t="s">
        <v>605</v>
      </c>
      <c r="EM610" s="1" t="s">
        <v>319</v>
      </c>
      <c r="EN610" s="1" t="s">
        <v>233</v>
      </c>
      <c r="EO610" s="1" t="s">
        <v>234</v>
      </c>
      <c r="EP610" s="1" t="s">
        <v>7418</v>
      </c>
      <c r="ER610" s="1" t="s">
        <v>210</v>
      </c>
      <c r="EW610" s="1" t="s">
        <v>5284</v>
      </c>
      <c r="EZ610" s="1" t="s">
        <v>287</v>
      </c>
      <c r="FD610" s="1" t="s">
        <v>246</v>
      </c>
      <c r="FE610" s="1" t="s">
        <v>247</v>
      </c>
      <c r="FF610" s="1" t="s">
        <v>248</v>
      </c>
      <c r="FH610" s="1" t="s">
        <v>249</v>
      </c>
      <c r="FK610" s="1" t="s">
        <v>891</v>
      </c>
      <c r="FL610" s="1" t="s">
        <v>328</v>
      </c>
      <c r="FM610" s="1" t="s">
        <v>252</v>
      </c>
      <c r="FN610" s="1" t="s">
        <v>213</v>
      </c>
      <c r="FO610" s="1" t="s">
        <v>213</v>
      </c>
      <c r="FQ610" s="1" t="s">
        <v>689</v>
      </c>
      <c r="FR610" s="1" t="s">
        <v>652</v>
      </c>
      <c r="FS610" s="1" t="s">
        <v>6634</v>
      </c>
      <c r="FT610" s="1" t="s">
        <v>295</v>
      </c>
      <c r="FU610" s="1" t="s">
        <v>204</v>
      </c>
      <c r="FW610" s="1" t="s">
        <v>1857</v>
      </c>
      <c r="FX610" s="1">
        <v>22993</v>
      </c>
      <c r="FY610" s="1" t="s">
        <v>1858</v>
      </c>
      <c r="FZ610" s="1" t="s">
        <v>1859</v>
      </c>
      <c r="GA610" s="1">
        <v>233401</v>
      </c>
      <c r="GB610" s="1" t="s">
        <v>1858</v>
      </c>
      <c r="GD610" s="1" t="s">
        <v>1860</v>
      </c>
      <c r="GE610" s="1" t="s">
        <v>776</v>
      </c>
      <c r="GH610" s="1" t="s">
        <v>589</v>
      </c>
      <c r="GI610" s="1" t="s">
        <v>213</v>
      </c>
      <c r="GJ610" s="1" t="s">
        <v>260</v>
      </c>
      <c r="GK610" s="1" t="s">
        <v>210</v>
      </c>
      <c r="GL610" s="2">
        <v>42097</v>
      </c>
      <c r="GM610" s="1" t="s">
        <v>7419</v>
      </c>
    </row>
    <row r="611" spans="1:195">
      <c r="A611" s="1">
        <v>270000</v>
      </c>
      <c r="B611" s="1" t="s">
        <v>195</v>
      </c>
      <c r="C611" s="1" t="str">
        <f>"08805596"</f>
        <v>08805596</v>
      </c>
      <c r="D611" s="1" t="s">
        <v>196</v>
      </c>
      <c r="F611" s="1" t="str">
        <f>"172"</f>
        <v>172</v>
      </c>
      <c r="G611" s="2">
        <v>41996</v>
      </c>
      <c r="H611" s="1">
        <v>294500</v>
      </c>
      <c r="I611" s="1">
        <v>283800</v>
      </c>
      <c r="J611" s="1">
        <v>270000</v>
      </c>
      <c r="K611" s="2">
        <v>41996</v>
      </c>
      <c r="L611" s="1">
        <v>201</v>
      </c>
      <c r="M611" s="2">
        <v>42104</v>
      </c>
      <c r="N611" s="1">
        <v>109</v>
      </c>
      <c r="O611" s="2">
        <v>42104</v>
      </c>
      <c r="P611" s="1">
        <v>15694</v>
      </c>
      <c r="Q611" s="1" t="s">
        <v>197</v>
      </c>
      <c r="R611" s="2">
        <v>42146</v>
      </c>
      <c r="S611" s="1">
        <v>130520</v>
      </c>
      <c r="U611" s="1">
        <v>620</v>
      </c>
      <c r="V611" s="1" t="s">
        <v>7420</v>
      </c>
      <c r="W611" s="1" t="s">
        <v>449</v>
      </c>
      <c r="Y611" s="1">
        <v>2</v>
      </c>
      <c r="Z611" s="1" t="s">
        <v>370</v>
      </c>
      <c r="AA611" s="1" t="s">
        <v>266</v>
      </c>
      <c r="AB611" s="1">
        <v>60172</v>
      </c>
      <c r="AC611" s="1">
        <v>3088</v>
      </c>
      <c r="AD611" s="1" t="s">
        <v>7421</v>
      </c>
      <c r="AE611" s="1" t="s">
        <v>7422</v>
      </c>
      <c r="AF611" s="1">
        <v>1994</v>
      </c>
      <c r="AG611" s="1" t="s">
        <v>204</v>
      </c>
      <c r="AH611" s="1" t="s">
        <v>3952</v>
      </c>
      <c r="AI611" s="1" t="s">
        <v>206</v>
      </c>
      <c r="AJ611" s="1" t="s">
        <v>269</v>
      </c>
      <c r="AL611" s="1">
        <v>6</v>
      </c>
      <c r="AM611" s="1">
        <v>2</v>
      </c>
      <c r="AN611" s="1">
        <v>3</v>
      </c>
      <c r="AO611" s="1">
        <v>1</v>
      </c>
      <c r="AP611" s="1" t="s">
        <v>209</v>
      </c>
      <c r="AQ611" s="1">
        <v>1</v>
      </c>
      <c r="AR611" s="1" t="s">
        <v>1631</v>
      </c>
      <c r="AS611" s="1" t="s">
        <v>213</v>
      </c>
      <c r="AT611" s="1" t="s">
        <v>211</v>
      </c>
      <c r="AU611" s="1">
        <v>2</v>
      </c>
      <c r="AW611" s="1" t="s">
        <v>204</v>
      </c>
      <c r="AX611" s="1" t="s">
        <v>7423</v>
      </c>
      <c r="AZ611" s="3">
        <v>7078</v>
      </c>
      <c r="BA611" s="1">
        <v>2013</v>
      </c>
      <c r="BB611" s="1" t="s">
        <v>405</v>
      </c>
      <c r="BE611" s="1">
        <v>2003</v>
      </c>
      <c r="BF611" s="1">
        <v>1</v>
      </c>
      <c r="BG611" s="1">
        <v>0</v>
      </c>
      <c r="BJ611" s="1">
        <v>100</v>
      </c>
      <c r="BL611" s="1">
        <v>225</v>
      </c>
      <c r="BM611" s="1" t="s">
        <v>204</v>
      </c>
      <c r="BN611" s="1" t="s">
        <v>213</v>
      </c>
      <c r="BO611" s="1">
        <v>999</v>
      </c>
      <c r="BP611" s="1" t="s">
        <v>204</v>
      </c>
      <c r="BR611" s="1" t="str">
        <f>"0210211120"</f>
        <v>0210211120</v>
      </c>
      <c r="BT611" s="1" t="s">
        <v>7424</v>
      </c>
      <c r="BX611" s="1">
        <v>12</v>
      </c>
      <c r="BY611" s="1">
        <v>12</v>
      </c>
      <c r="BZ611" s="1">
        <v>108</v>
      </c>
      <c r="CB611" s="1" t="str">
        <f>"6"</f>
        <v>6</v>
      </c>
      <c r="CC611" s="1" t="str">
        <f>"0"</f>
        <v>0</v>
      </c>
      <c r="CD611" s="1">
        <v>23</v>
      </c>
      <c r="CE611" s="1">
        <v>0</v>
      </c>
      <c r="CG611" s="1" t="s">
        <v>835</v>
      </c>
      <c r="CH611" s="1" t="s">
        <v>219</v>
      </c>
      <c r="CI611" s="1" t="s">
        <v>438</v>
      </c>
      <c r="CJ611" s="1" t="s">
        <v>1199</v>
      </c>
      <c r="CK611" s="1" t="s">
        <v>861</v>
      </c>
      <c r="CL611" s="1" t="s">
        <v>277</v>
      </c>
      <c r="CM611" s="1" t="s">
        <v>220</v>
      </c>
      <c r="CN611" s="1" t="s">
        <v>343</v>
      </c>
      <c r="CO611" s="1" t="s">
        <v>379</v>
      </c>
      <c r="CP611" s="1" t="s">
        <v>219</v>
      </c>
      <c r="CQ611" s="1" t="s">
        <v>438</v>
      </c>
      <c r="CR611" s="1" t="s">
        <v>1199</v>
      </c>
      <c r="CS611" s="1" t="s">
        <v>221</v>
      </c>
      <c r="CT611" s="1" t="s">
        <v>277</v>
      </c>
      <c r="CU611" s="1" t="s">
        <v>220</v>
      </c>
      <c r="CX611" s="1" t="s">
        <v>224</v>
      </c>
      <c r="DB611" s="1" t="s">
        <v>224</v>
      </c>
      <c r="DE611" s="1" t="s">
        <v>7425</v>
      </c>
      <c r="DF611" s="1" t="s">
        <v>219</v>
      </c>
      <c r="DG611" s="1" t="s">
        <v>438</v>
      </c>
      <c r="DJ611" s="1" t="s">
        <v>224</v>
      </c>
      <c r="DM611" s="1" t="s">
        <v>464</v>
      </c>
      <c r="DR611" s="1" t="s">
        <v>221</v>
      </c>
      <c r="DS611" s="1" t="s">
        <v>277</v>
      </c>
      <c r="DT611" s="1" t="s">
        <v>220</v>
      </c>
      <c r="DU611" s="1" t="s">
        <v>1199</v>
      </c>
      <c r="DW611" s="1" t="s">
        <v>230</v>
      </c>
      <c r="EA611" s="1" t="s">
        <v>230</v>
      </c>
      <c r="EE611" s="1" t="s">
        <v>230</v>
      </c>
      <c r="EI611" s="1" t="s">
        <v>230</v>
      </c>
      <c r="EL611" s="1" t="s">
        <v>382</v>
      </c>
      <c r="EM611" s="1" t="s">
        <v>319</v>
      </c>
      <c r="EN611" s="1" t="s">
        <v>282</v>
      </c>
      <c r="EO611" s="1" t="s">
        <v>234</v>
      </c>
      <c r="ER611" s="1" t="s">
        <v>544</v>
      </c>
      <c r="ET611" s="1" t="s">
        <v>1201</v>
      </c>
      <c r="EW611" s="1" t="s">
        <v>867</v>
      </c>
      <c r="EZ611" s="1" t="s">
        <v>464</v>
      </c>
      <c r="FB611" s="1" t="s">
        <v>244</v>
      </c>
      <c r="FD611" s="1" t="s">
        <v>1649</v>
      </c>
      <c r="FE611" s="1" t="s">
        <v>247</v>
      </c>
      <c r="FF611" s="1" t="s">
        <v>248</v>
      </c>
      <c r="FG611" s="1" t="s">
        <v>1682</v>
      </c>
      <c r="FH611" s="1" t="s">
        <v>550</v>
      </c>
      <c r="FL611" s="1" t="s">
        <v>358</v>
      </c>
      <c r="FM611" s="1" t="s">
        <v>252</v>
      </c>
      <c r="FN611" s="1" t="s">
        <v>213</v>
      </c>
      <c r="FO611" s="1" t="s">
        <v>204</v>
      </c>
      <c r="FQ611" s="1" t="s">
        <v>7426</v>
      </c>
      <c r="FR611" s="1" t="s">
        <v>210</v>
      </c>
      <c r="FS611" s="1" t="s">
        <v>7427</v>
      </c>
      <c r="FT611" s="1" t="s">
        <v>295</v>
      </c>
      <c r="FU611" s="1" t="s">
        <v>213</v>
      </c>
      <c r="FW611" s="1" t="s">
        <v>4007</v>
      </c>
      <c r="FX611" s="1">
        <v>21754</v>
      </c>
      <c r="FY611" s="1" t="s">
        <v>4008</v>
      </c>
      <c r="FZ611" s="1" t="s">
        <v>7428</v>
      </c>
      <c r="GA611" s="1">
        <v>234940</v>
      </c>
      <c r="GB611" s="1" t="s">
        <v>7429</v>
      </c>
      <c r="GC611" s="1">
        <v>224946</v>
      </c>
      <c r="GE611" s="1" t="s">
        <v>210</v>
      </c>
      <c r="GI611" s="1" t="s">
        <v>213</v>
      </c>
      <c r="GJ611" s="1" t="s">
        <v>260</v>
      </c>
      <c r="GK611" s="1" t="s">
        <v>210</v>
      </c>
      <c r="GL611" s="2">
        <v>42150</v>
      </c>
      <c r="GM611" s="1" t="s">
        <v>7430</v>
      </c>
    </row>
    <row r="612" spans="1:195">
      <c r="A612" s="1">
        <v>122000</v>
      </c>
      <c r="B612" s="1" t="s">
        <v>195</v>
      </c>
      <c r="C612" s="1" t="str">
        <f>"08804907"</f>
        <v>08804907</v>
      </c>
      <c r="D612" s="1" t="s">
        <v>196</v>
      </c>
      <c r="F612" s="1" t="str">
        <f>"558"</f>
        <v>558</v>
      </c>
      <c r="G612" s="2">
        <v>41993</v>
      </c>
      <c r="H612" s="1">
        <v>124500</v>
      </c>
      <c r="I612" s="1">
        <v>124500</v>
      </c>
      <c r="J612" s="1">
        <v>122000</v>
      </c>
      <c r="K612" s="2">
        <v>41993</v>
      </c>
      <c r="L612" s="1">
        <v>22</v>
      </c>
      <c r="M612" s="2">
        <v>42014</v>
      </c>
      <c r="N612" s="1">
        <v>22</v>
      </c>
      <c r="O612" s="2">
        <v>42014</v>
      </c>
      <c r="P612" s="1">
        <v>22375</v>
      </c>
      <c r="Q612" s="1" t="s">
        <v>197</v>
      </c>
      <c r="R612" s="2">
        <v>42069</v>
      </c>
      <c r="S612" s="1">
        <v>239905</v>
      </c>
      <c r="U612" s="1">
        <v>5580</v>
      </c>
      <c r="V612" s="1" t="s">
        <v>5770</v>
      </c>
      <c r="W612" s="1" t="s">
        <v>1056</v>
      </c>
      <c r="X612" s="1">
        <v>207</v>
      </c>
      <c r="Y612" s="1">
        <v>24</v>
      </c>
      <c r="Z612" s="1" t="s">
        <v>249</v>
      </c>
      <c r="AA612" s="1" t="s">
        <v>2490</v>
      </c>
      <c r="AB612" s="1">
        <v>60558</v>
      </c>
      <c r="AE612" s="1" t="s">
        <v>7431</v>
      </c>
      <c r="AF612" s="1">
        <v>1974</v>
      </c>
      <c r="AG612" s="1" t="s">
        <v>213</v>
      </c>
      <c r="AH612" s="1" t="s">
        <v>2493</v>
      </c>
      <c r="AI612" s="1" t="s">
        <v>310</v>
      </c>
      <c r="AJ612" s="1" t="s">
        <v>702</v>
      </c>
      <c r="AL612" s="1">
        <v>5</v>
      </c>
      <c r="AM612" s="1">
        <v>2</v>
      </c>
      <c r="AN612" s="1">
        <v>2</v>
      </c>
      <c r="AO612" s="1">
        <v>0</v>
      </c>
      <c r="AP612" s="1" t="s">
        <v>209</v>
      </c>
      <c r="AR612" s="1" t="s">
        <v>210</v>
      </c>
      <c r="AT612" s="1" t="s">
        <v>375</v>
      </c>
      <c r="AU612" s="1">
        <v>1</v>
      </c>
      <c r="AV612" s="1">
        <v>1</v>
      </c>
      <c r="AW612" s="1" t="s">
        <v>204</v>
      </c>
      <c r="AX612" s="1" t="s">
        <v>212</v>
      </c>
      <c r="AZ612" s="1">
        <v>2217.2199999999998</v>
      </c>
      <c r="BA612" s="1">
        <v>2012</v>
      </c>
      <c r="BB612" s="1" t="s">
        <v>599</v>
      </c>
      <c r="BE612" s="1">
        <v>0</v>
      </c>
      <c r="BF612" s="1">
        <v>2</v>
      </c>
      <c r="BG612" s="1">
        <v>14</v>
      </c>
      <c r="BL612" s="1">
        <v>254</v>
      </c>
      <c r="BM612" s="1" t="s">
        <v>204</v>
      </c>
      <c r="BN612" s="1" t="s">
        <v>204</v>
      </c>
      <c r="BP612" s="1" t="s">
        <v>204</v>
      </c>
      <c r="BR612" s="1" t="str">
        <f>"18182000331015"</f>
        <v>18182000331015</v>
      </c>
      <c r="BT612" s="1" t="s">
        <v>7432</v>
      </c>
      <c r="BU612" s="1" t="s">
        <v>2495</v>
      </c>
      <c r="BV612" s="1" t="s">
        <v>2496</v>
      </c>
      <c r="BW612" s="1" t="s">
        <v>706</v>
      </c>
      <c r="BX612" s="1">
        <v>106</v>
      </c>
      <c r="BY612" s="1">
        <v>106</v>
      </c>
      <c r="BZ612" s="1">
        <v>204</v>
      </c>
      <c r="CB612" s="1" t="str">
        <f t="shared" ref="CB612:CC612" si="477">""</f>
        <v/>
      </c>
      <c r="CC612" s="1" t="str">
        <f t="shared" si="477"/>
        <v/>
      </c>
      <c r="CG612" s="1" t="s">
        <v>1155</v>
      </c>
      <c r="CH612" s="1" t="s">
        <v>219</v>
      </c>
      <c r="CI612" s="1" t="s">
        <v>220</v>
      </c>
      <c r="CJ612" s="1" t="s">
        <v>343</v>
      </c>
      <c r="CK612" s="1" t="s">
        <v>885</v>
      </c>
      <c r="CL612" s="1" t="s">
        <v>219</v>
      </c>
      <c r="CM612" s="1" t="s">
        <v>220</v>
      </c>
      <c r="CN612" s="1" t="s">
        <v>343</v>
      </c>
      <c r="CO612" s="1" t="s">
        <v>2231</v>
      </c>
      <c r="CP612" s="1" t="s">
        <v>219</v>
      </c>
      <c r="CQ612" s="1" t="s">
        <v>220</v>
      </c>
      <c r="CR612" s="1" t="s">
        <v>210</v>
      </c>
      <c r="CS612" s="1" t="s">
        <v>317</v>
      </c>
      <c r="CT612" s="1" t="s">
        <v>219</v>
      </c>
      <c r="CU612" s="1" t="s">
        <v>220</v>
      </c>
      <c r="CV612" s="1" t="s">
        <v>343</v>
      </c>
      <c r="CX612" s="1" t="s">
        <v>224</v>
      </c>
      <c r="DB612" s="1" t="s">
        <v>224</v>
      </c>
      <c r="DE612" s="1" t="s">
        <v>4147</v>
      </c>
      <c r="DF612" s="1" t="s">
        <v>219</v>
      </c>
      <c r="DG612" s="1" t="s">
        <v>226</v>
      </c>
      <c r="DJ612" s="1" t="s">
        <v>224</v>
      </c>
      <c r="DM612" s="1" t="s">
        <v>709</v>
      </c>
      <c r="DR612" s="1" t="s">
        <v>7433</v>
      </c>
      <c r="DS612" s="1" t="s">
        <v>219</v>
      </c>
      <c r="DT612" s="1" t="s">
        <v>220</v>
      </c>
      <c r="DW612" s="1" t="s">
        <v>230</v>
      </c>
      <c r="EA612" s="1" t="s">
        <v>230</v>
      </c>
      <c r="EE612" s="1" t="s">
        <v>230</v>
      </c>
      <c r="EI612" s="1" t="s">
        <v>230</v>
      </c>
      <c r="EL612" s="1" t="s">
        <v>605</v>
      </c>
      <c r="EM612" s="1" t="s">
        <v>761</v>
      </c>
      <c r="EN612" s="1" t="s">
        <v>282</v>
      </c>
      <c r="EO612" s="1" t="s">
        <v>234</v>
      </c>
      <c r="EQ612" s="1" t="s">
        <v>468</v>
      </c>
      <c r="ER612" s="1" t="s">
        <v>210</v>
      </c>
      <c r="ES612" s="1" t="s">
        <v>322</v>
      </c>
      <c r="EV612" s="1" t="s">
        <v>240</v>
      </c>
      <c r="EW612" s="1" t="s">
        <v>5888</v>
      </c>
      <c r="EY612" s="1" t="s">
        <v>242</v>
      </c>
      <c r="EZ612" s="1" t="s">
        <v>709</v>
      </c>
      <c r="FB612" s="1" t="s">
        <v>289</v>
      </c>
      <c r="FD612" s="1" t="s">
        <v>1112</v>
      </c>
      <c r="FE612" s="1" t="s">
        <v>247</v>
      </c>
      <c r="FF612" s="1" t="s">
        <v>387</v>
      </c>
      <c r="FH612" s="1" t="s">
        <v>249</v>
      </c>
      <c r="FK612" s="1" t="s">
        <v>291</v>
      </c>
      <c r="FL612" s="1" t="s">
        <v>292</v>
      </c>
      <c r="FM612" s="1" t="s">
        <v>252</v>
      </c>
      <c r="FN612" s="1" t="s">
        <v>213</v>
      </c>
      <c r="FO612" s="1" t="s">
        <v>213</v>
      </c>
      <c r="FQ612" s="1" t="s">
        <v>3616</v>
      </c>
      <c r="FR612" s="1" t="s">
        <v>210</v>
      </c>
      <c r="FS612" s="1" t="s">
        <v>1008</v>
      </c>
      <c r="FT612" s="1" t="s">
        <v>7434</v>
      </c>
      <c r="FU612" s="1" t="s">
        <v>204</v>
      </c>
      <c r="FW612" s="1" t="s">
        <v>1288</v>
      </c>
      <c r="FX612" s="1">
        <v>22097</v>
      </c>
      <c r="FY612" s="1" t="s">
        <v>1289</v>
      </c>
      <c r="FZ612" s="1" t="s">
        <v>7435</v>
      </c>
      <c r="GA612" s="1">
        <v>221899</v>
      </c>
      <c r="GB612" s="1" t="s">
        <v>7436</v>
      </c>
      <c r="GC612" s="1">
        <v>222367</v>
      </c>
      <c r="GE612" s="1" t="s">
        <v>2504</v>
      </c>
      <c r="GI612" s="1" t="s">
        <v>213</v>
      </c>
      <c r="GJ612" s="1" t="s">
        <v>260</v>
      </c>
      <c r="GK612" s="1" t="s">
        <v>210</v>
      </c>
      <c r="GL612" s="2">
        <v>42069</v>
      </c>
      <c r="GM612" s="1" t="s">
        <v>7437</v>
      </c>
    </row>
    <row r="613" spans="1:195">
      <c r="A613" s="1">
        <v>75000</v>
      </c>
      <c r="B613" s="1" t="s">
        <v>195</v>
      </c>
      <c r="C613" s="1" t="str">
        <f>"08804193"</f>
        <v>08804193</v>
      </c>
      <c r="D613" s="1" t="s">
        <v>196</v>
      </c>
      <c r="F613" s="1" t="str">
        <f>"61"</f>
        <v>61</v>
      </c>
      <c r="G613" s="2">
        <v>41991</v>
      </c>
      <c r="H613" s="1">
        <v>85500</v>
      </c>
      <c r="I613" s="1">
        <v>81500</v>
      </c>
      <c r="J613" s="1">
        <v>75000</v>
      </c>
      <c r="K613" s="2">
        <v>41991</v>
      </c>
      <c r="L613" s="1">
        <v>197</v>
      </c>
      <c r="M613" s="2">
        <v>42039</v>
      </c>
      <c r="N613" s="1">
        <v>49</v>
      </c>
      <c r="O613" s="2">
        <v>42039</v>
      </c>
      <c r="P613" s="1">
        <v>8098</v>
      </c>
      <c r="Q613" s="1" t="s">
        <v>302</v>
      </c>
      <c r="R613" s="2">
        <v>42062</v>
      </c>
      <c r="S613" s="1">
        <v>81017</v>
      </c>
      <c r="U613" s="1">
        <v>414</v>
      </c>
      <c r="V613" s="1" t="s">
        <v>7438</v>
      </c>
      <c r="W613" s="1" t="s">
        <v>449</v>
      </c>
      <c r="X613" s="1">
        <v>414</v>
      </c>
      <c r="Y613" s="1">
        <v>4</v>
      </c>
      <c r="Z613" s="1" t="s">
        <v>249</v>
      </c>
      <c r="AA613" s="1" t="s">
        <v>505</v>
      </c>
      <c r="AB613" s="1">
        <v>60061</v>
      </c>
      <c r="AE613" s="1" t="s">
        <v>7439</v>
      </c>
      <c r="AF613" s="1">
        <v>1974</v>
      </c>
      <c r="AG613" s="1" t="s">
        <v>213</v>
      </c>
      <c r="AH613" s="1" t="s">
        <v>508</v>
      </c>
      <c r="AI613" s="1" t="s">
        <v>509</v>
      </c>
      <c r="AJ613" s="1" t="s">
        <v>510</v>
      </c>
      <c r="AL613" s="1">
        <v>5</v>
      </c>
      <c r="AM613" s="1">
        <v>2</v>
      </c>
      <c r="AN613" s="1">
        <v>1</v>
      </c>
      <c r="AO613" s="1">
        <v>0</v>
      </c>
      <c r="AP613" s="1" t="s">
        <v>210</v>
      </c>
      <c r="AR613" s="1" t="s">
        <v>210</v>
      </c>
      <c r="AT613" s="1" t="s">
        <v>211</v>
      </c>
      <c r="AU613" s="1">
        <v>1</v>
      </c>
      <c r="AW613" s="1" t="s">
        <v>204</v>
      </c>
      <c r="AX613" s="1" t="s">
        <v>212</v>
      </c>
      <c r="AZ613" s="1">
        <v>1871.32</v>
      </c>
      <c r="BA613" s="1">
        <v>2013</v>
      </c>
      <c r="BE613" s="1">
        <v>864</v>
      </c>
      <c r="BF613" s="1">
        <v>1</v>
      </c>
      <c r="BG613" s="1">
        <v>0</v>
      </c>
      <c r="BL613" s="1">
        <v>181</v>
      </c>
      <c r="BM613" s="1" t="s">
        <v>204</v>
      </c>
      <c r="BN613" s="1" t="s">
        <v>213</v>
      </c>
      <c r="BO613" s="1" t="s">
        <v>432</v>
      </c>
      <c r="BP613" s="1" t="s">
        <v>204</v>
      </c>
      <c r="BR613" s="1" t="str">
        <f>"15053010690000"</f>
        <v>15053010690000</v>
      </c>
      <c r="BT613" s="1" t="s">
        <v>7440</v>
      </c>
      <c r="BX613" s="1">
        <v>73</v>
      </c>
      <c r="BY613" s="1">
        <v>73</v>
      </c>
      <c r="BZ613" s="1">
        <v>128</v>
      </c>
      <c r="CB613" s="1" t="str">
        <f t="shared" ref="CB613:CC613" si="478">""</f>
        <v/>
      </c>
      <c r="CC613" s="1" t="str">
        <f t="shared" si="478"/>
        <v/>
      </c>
      <c r="CG613" s="1" t="s">
        <v>377</v>
      </c>
      <c r="CH613" s="1" t="s">
        <v>219</v>
      </c>
      <c r="CK613" s="1" t="s">
        <v>972</v>
      </c>
      <c r="CL613" s="1" t="s">
        <v>219</v>
      </c>
      <c r="CP613" s="1" t="s">
        <v>224</v>
      </c>
      <c r="CS613" s="1" t="s">
        <v>346</v>
      </c>
      <c r="CT613" s="1" t="s">
        <v>219</v>
      </c>
      <c r="CX613" s="1" t="s">
        <v>224</v>
      </c>
      <c r="DB613" s="1" t="s">
        <v>224</v>
      </c>
      <c r="DE613" s="1" t="s">
        <v>516</v>
      </c>
      <c r="DF613" s="1" t="s">
        <v>219</v>
      </c>
      <c r="DJ613" s="1" t="s">
        <v>224</v>
      </c>
      <c r="DM613" s="1" t="s">
        <v>381</v>
      </c>
      <c r="DR613" s="1" t="s">
        <v>348</v>
      </c>
      <c r="DS613" s="1" t="s">
        <v>219</v>
      </c>
      <c r="DW613" s="1" t="s">
        <v>230</v>
      </c>
      <c r="EA613" s="1" t="s">
        <v>230</v>
      </c>
      <c r="EE613" s="1" t="s">
        <v>230</v>
      </c>
      <c r="EI613" s="1" t="s">
        <v>230</v>
      </c>
      <c r="EL613" s="1" t="s">
        <v>231</v>
      </c>
      <c r="EM613" s="1" t="s">
        <v>232</v>
      </c>
      <c r="EN613" s="1" t="s">
        <v>282</v>
      </c>
      <c r="EO613" s="1" t="s">
        <v>234</v>
      </c>
      <c r="ER613" s="1" t="s">
        <v>1069</v>
      </c>
      <c r="EW613" s="1" t="s">
        <v>1219</v>
      </c>
      <c r="EZ613" s="1" t="s">
        <v>381</v>
      </c>
      <c r="FD613" s="1" t="s">
        <v>246</v>
      </c>
      <c r="FE613" s="1" t="s">
        <v>355</v>
      </c>
      <c r="FF613" s="1" t="s">
        <v>248</v>
      </c>
      <c r="FH613" s="1" t="s">
        <v>6378</v>
      </c>
      <c r="FJ613" s="1" t="s">
        <v>197</v>
      </c>
      <c r="FL613" s="1" t="s">
        <v>358</v>
      </c>
      <c r="FM613" s="1" t="s">
        <v>252</v>
      </c>
      <c r="FN613" s="1" t="s">
        <v>213</v>
      </c>
      <c r="FO613" s="1" t="s">
        <v>213</v>
      </c>
      <c r="FQ613" s="1" t="s">
        <v>849</v>
      </c>
      <c r="FR613" s="1" t="s">
        <v>210</v>
      </c>
      <c r="FS613" s="1" t="s">
        <v>7441</v>
      </c>
      <c r="FT613" s="1" t="s">
        <v>7442</v>
      </c>
      <c r="FU613" s="1" t="s">
        <v>204</v>
      </c>
      <c r="FW613" s="1" t="s">
        <v>1637</v>
      </c>
      <c r="FX613" s="1">
        <v>2626</v>
      </c>
      <c r="FY613" s="1" t="s">
        <v>1638</v>
      </c>
      <c r="FZ613" s="1" t="s">
        <v>5530</v>
      </c>
      <c r="GA613" s="1">
        <v>28075</v>
      </c>
      <c r="GB613" s="1" t="s">
        <v>5531</v>
      </c>
      <c r="GE613" s="1" t="s">
        <v>210</v>
      </c>
      <c r="GI613" s="1" t="s">
        <v>213</v>
      </c>
      <c r="GJ613" s="1" t="s">
        <v>260</v>
      </c>
      <c r="GK613" s="1" t="s">
        <v>210</v>
      </c>
      <c r="GL613" s="2">
        <v>42065</v>
      </c>
      <c r="GM613" s="1" t="s">
        <v>7443</v>
      </c>
    </row>
    <row r="614" spans="1:195">
      <c r="A614" s="1">
        <v>94600</v>
      </c>
      <c r="B614" s="1" t="s">
        <v>195</v>
      </c>
      <c r="C614" s="1" t="str">
        <f>"08804757"</f>
        <v>08804757</v>
      </c>
      <c r="D614" s="1" t="s">
        <v>196</v>
      </c>
      <c r="F614" s="1" t="str">
        <f>"8041"</f>
        <v>8041</v>
      </c>
      <c r="G614" s="2">
        <v>41993</v>
      </c>
      <c r="H614" s="1">
        <v>94600</v>
      </c>
      <c r="I614" s="1">
        <v>94600</v>
      </c>
      <c r="J614" s="1">
        <v>94600</v>
      </c>
      <c r="K614" s="2">
        <v>41992</v>
      </c>
      <c r="L614" s="1">
        <v>26</v>
      </c>
      <c r="M614" s="2">
        <v>42017</v>
      </c>
      <c r="N614" s="1">
        <v>26</v>
      </c>
      <c r="O614" s="2">
        <v>42017</v>
      </c>
      <c r="P614" s="1">
        <v>84729</v>
      </c>
      <c r="Q614" s="1" t="s">
        <v>197</v>
      </c>
      <c r="R614" s="2">
        <v>42111</v>
      </c>
      <c r="S614" s="1">
        <v>120934</v>
      </c>
      <c r="U614" s="1">
        <v>5400</v>
      </c>
      <c r="V614" s="1" t="s">
        <v>560</v>
      </c>
      <c r="W614" s="1" t="s">
        <v>425</v>
      </c>
      <c r="X614" s="1">
        <v>902</v>
      </c>
      <c r="Y614" s="1">
        <v>48</v>
      </c>
      <c r="Z614" s="1" t="s">
        <v>249</v>
      </c>
      <c r="AA614" s="1" t="s">
        <v>400</v>
      </c>
      <c r="AB614" s="1">
        <v>60615</v>
      </c>
      <c r="AE614" s="1" t="s">
        <v>7444</v>
      </c>
      <c r="AF614" s="1">
        <v>1920</v>
      </c>
      <c r="AG614" s="1" t="s">
        <v>213</v>
      </c>
      <c r="AH614" s="1" t="s">
        <v>403</v>
      </c>
      <c r="AI614" s="1" t="s">
        <v>310</v>
      </c>
      <c r="AJ614" s="1" t="s">
        <v>562</v>
      </c>
      <c r="AL614" s="1">
        <v>4</v>
      </c>
      <c r="AM614" s="1">
        <v>2</v>
      </c>
      <c r="AN614" s="1">
        <v>1</v>
      </c>
      <c r="AO614" s="1">
        <v>0</v>
      </c>
      <c r="AP614" s="1" t="s">
        <v>210</v>
      </c>
      <c r="AR614" s="1" t="s">
        <v>210</v>
      </c>
      <c r="AS614" s="1" t="s">
        <v>204</v>
      </c>
      <c r="AT614" s="1" t="s">
        <v>210</v>
      </c>
      <c r="AW614" s="1" t="s">
        <v>204</v>
      </c>
      <c r="AX614" s="1" t="s">
        <v>212</v>
      </c>
      <c r="AZ614" s="1">
        <v>1639.42</v>
      </c>
      <c r="BA614" s="1">
        <v>2012</v>
      </c>
      <c r="BE614" s="1">
        <v>0</v>
      </c>
      <c r="BF614" s="1">
        <v>9</v>
      </c>
      <c r="BG614" s="1">
        <v>30</v>
      </c>
      <c r="BL614" s="1">
        <v>589</v>
      </c>
      <c r="BM614" s="1" t="s">
        <v>213</v>
      </c>
      <c r="BN614" s="1" t="s">
        <v>213</v>
      </c>
      <c r="BO614" s="1">
        <v>15</v>
      </c>
      <c r="BP614" s="1" t="s">
        <v>204</v>
      </c>
      <c r="BR614" s="1" t="str">
        <f>"20114250401030"</f>
        <v>20114250401030</v>
      </c>
      <c r="BT614" s="1" t="s">
        <v>7445</v>
      </c>
      <c r="BX614" s="1">
        <v>299</v>
      </c>
      <c r="BY614" s="1">
        <v>299</v>
      </c>
      <c r="BZ614" s="1">
        <v>299</v>
      </c>
      <c r="CB614" s="1" t="str">
        <f>"0"</f>
        <v>0</v>
      </c>
      <c r="CC614" s="1" t="str">
        <f>"1532"</f>
        <v>1532</v>
      </c>
      <c r="CD614" s="1">
        <v>0</v>
      </c>
      <c r="CE614" s="1">
        <v>5400</v>
      </c>
      <c r="CG614" s="1" t="s">
        <v>564</v>
      </c>
      <c r="CH614" s="1" t="s">
        <v>219</v>
      </c>
      <c r="CK614" s="1" t="s">
        <v>539</v>
      </c>
      <c r="CL614" s="1" t="s">
        <v>219</v>
      </c>
      <c r="CP614" s="1" t="s">
        <v>224</v>
      </c>
      <c r="CS614" s="1" t="s">
        <v>317</v>
      </c>
      <c r="CT614" s="1" t="s">
        <v>219</v>
      </c>
      <c r="CX614" s="1" t="s">
        <v>224</v>
      </c>
      <c r="DB614" s="1" t="s">
        <v>224</v>
      </c>
      <c r="DE614" s="1" t="s">
        <v>565</v>
      </c>
      <c r="DF614" s="1" t="s">
        <v>219</v>
      </c>
      <c r="DJ614" s="1" t="s">
        <v>224</v>
      </c>
      <c r="DS614" s="1" t="s">
        <v>230</v>
      </c>
      <c r="DW614" s="1" t="s">
        <v>230</v>
      </c>
      <c r="EA614" s="1" t="s">
        <v>230</v>
      </c>
      <c r="EE614" s="1" t="s">
        <v>230</v>
      </c>
      <c r="EI614" s="1" t="s">
        <v>230</v>
      </c>
      <c r="EL614" s="1" t="s">
        <v>2521</v>
      </c>
      <c r="EM614" s="1" t="s">
        <v>232</v>
      </c>
      <c r="EN614" s="1" t="s">
        <v>282</v>
      </c>
      <c r="EO614" s="1" t="s">
        <v>234</v>
      </c>
      <c r="ER614" s="1" t="s">
        <v>210</v>
      </c>
      <c r="EW614" s="1" t="s">
        <v>937</v>
      </c>
      <c r="EZ614" s="1" t="s">
        <v>287</v>
      </c>
      <c r="FD614" s="1" t="s">
        <v>246</v>
      </c>
      <c r="FE614" s="1" t="s">
        <v>247</v>
      </c>
      <c r="FF614" s="1" t="s">
        <v>248</v>
      </c>
      <c r="FH614" s="1" t="s">
        <v>249</v>
      </c>
      <c r="FL614" s="1" t="s">
        <v>358</v>
      </c>
      <c r="FM614" s="1" t="s">
        <v>252</v>
      </c>
      <c r="FN614" s="1" t="s">
        <v>213</v>
      </c>
      <c r="FO614" s="1" t="s">
        <v>213</v>
      </c>
      <c r="FQ614" s="1" t="s">
        <v>582</v>
      </c>
      <c r="FR614" s="1" t="s">
        <v>210</v>
      </c>
      <c r="FS614" s="1" t="s">
        <v>4314</v>
      </c>
      <c r="FT614" s="1" t="s">
        <v>520</v>
      </c>
      <c r="FU614" s="1" t="s">
        <v>204</v>
      </c>
      <c r="FW614" s="1" t="s">
        <v>7446</v>
      </c>
      <c r="FX614" s="1">
        <v>21139</v>
      </c>
      <c r="FY614" s="1" t="s">
        <v>7447</v>
      </c>
      <c r="FZ614" s="1" t="s">
        <v>7448</v>
      </c>
      <c r="GA614" s="1">
        <v>606494</v>
      </c>
      <c r="GB614" s="1" t="s">
        <v>7447</v>
      </c>
      <c r="GD614" s="1" t="s">
        <v>7449</v>
      </c>
      <c r="GE614" s="1" t="s">
        <v>210</v>
      </c>
      <c r="GH614" s="1" t="s">
        <v>421</v>
      </c>
      <c r="GI614" s="1" t="s">
        <v>213</v>
      </c>
      <c r="GJ614" s="1" t="s">
        <v>260</v>
      </c>
      <c r="GK614" s="1" t="s">
        <v>210</v>
      </c>
      <c r="GL614" s="2">
        <v>42116</v>
      </c>
      <c r="GM614" s="1" t="s">
        <v>7450</v>
      </c>
    </row>
    <row r="615" spans="1:195">
      <c r="A615" s="1">
        <v>74000</v>
      </c>
      <c r="B615" s="1" t="s">
        <v>195</v>
      </c>
      <c r="C615" s="1" t="str">
        <f>"08805804"</f>
        <v>08805804</v>
      </c>
      <c r="D615" s="1" t="s">
        <v>196</v>
      </c>
      <c r="F615" s="1" t="str">
        <f>"507"</f>
        <v>507</v>
      </c>
      <c r="G615" s="2">
        <v>41996</v>
      </c>
      <c r="H615" s="1">
        <v>75000</v>
      </c>
      <c r="I615" s="1">
        <v>75000</v>
      </c>
      <c r="J615" s="1">
        <v>74000</v>
      </c>
      <c r="K615" s="2">
        <v>41996</v>
      </c>
      <c r="L615" s="1">
        <v>9</v>
      </c>
      <c r="M615" s="2">
        <v>42004</v>
      </c>
      <c r="N615" s="1">
        <v>9</v>
      </c>
      <c r="O615" s="2">
        <v>42004</v>
      </c>
      <c r="P615" s="1">
        <v>25015</v>
      </c>
      <c r="Q615" s="1" t="s">
        <v>197</v>
      </c>
      <c r="R615" s="2">
        <v>42072</v>
      </c>
      <c r="S615" s="1">
        <v>242124</v>
      </c>
      <c r="T615" s="1">
        <v>2000</v>
      </c>
      <c r="U615" s="1">
        <v>1932</v>
      </c>
      <c r="V615" s="1" t="s">
        <v>7451</v>
      </c>
      <c r="W615" s="1" t="s">
        <v>264</v>
      </c>
      <c r="X615" s="1">
        <v>3</v>
      </c>
      <c r="Y615" s="1">
        <v>18</v>
      </c>
      <c r="Z615" s="1" t="s">
        <v>249</v>
      </c>
      <c r="AA615" s="1" t="s">
        <v>1123</v>
      </c>
      <c r="AB615" s="1">
        <v>60505</v>
      </c>
      <c r="AD615" s="1" t="s">
        <v>7452</v>
      </c>
      <c r="AE615" s="1" t="s">
        <v>7453</v>
      </c>
      <c r="AF615" s="1">
        <v>1979</v>
      </c>
      <c r="AG615" s="1" t="s">
        <v>204</v>
      </c>
      <c r="AH615" s="1" t="s">
        <v>1126</v>
      </c>
      <c r="AI615" s="1" t="s">
        <v>665</v>
      </c>
      <c r="AJ615" s="1" t="s">
        <v>1126</v>
      </c>
      <c r="AL615" s="1">
        <v>5</v>
      </c>
      <c r="AM615" s="1">
        <v>2</v>
      </c>
      <c r="AN615" s="1">
        <v>2</v>
      </c>
      <c r="AO615" s="1">
        <v>0</v>
      </c>
      <c r="AP615" s="1" t="s">
        <v>209</v>
      </c>
      <c r="AQ615" s="1">
        <v>1</v>
      </c>
      <c r="AR615" s="1" t="s">
        <v>210</v>
      </c>
      <c r="AT615" s="1" t="s">
        <v>271</v>
      </c>
      <c r="AV615" s="1">
        <v>2</v>
      </c>
      <c r="AW615" s="1" t="s">
        <v>204</v>
      </c>
      <c r="AX615" s="1" t="s">
        <v>212</v>
      </c>
      <c r="AZ615" s="1">
        <v>1319.6</v>
      </c>
      <c r="BA615" s="1">
        <v>2013</v>
      </c>
      <c r="BE615" s="1">
        <v>950</v>
      </c>
      <c r="BF615" s="1">
        <v>1</v>
      </c>
      <c r="BG615" s="1">
        <v>0</v>
      </c>
      <c r="BL615" s="1">
        <v>284</v>
      </c>
      <c r="BM615" s="1" t="s">
        <v>413</v>
      </c>
      <c r="BN615" s="1" t="s">
        <v>213</v>
      </c>
      <c r="BO615" s="1">
        <v>999</v>
      </c>
      <c r="BP615" s="1" t="s">
        <v>204</v>
      </c>
      <c r="BR615" s="1" t="str">
        <f>"1512103099"</f>
        <v>1512103099</v>
      </c>
      <c r="BT615" s="1" t="s">
        <v>7454</v>
      </c>
      <c r="BX615" s="1">
        <v>131</v>
      </c>
      <c r="BY615" s="1">
        <v>131</v>
      </c>
      <c r="BZ615" s="1">
        <v>131</v>
      </c>
      <c r="CB615" s="1" t="str">
        <f t="shared" ref="CB615:CC615" si="479">""</f>
        <v/>
      </c>
      <c r="CC615" s="1" t="str">
        <f t="shared" si="479"/>
        <v/>
      </c>
      <c r="CD615" s="1">
        <v>33</v>
      </c>
      <c r="CE615" s="1">
        <v>5</v>
      </c>
      <c r="CG615" s="1" t="s">
        <v>628</v>
      </c>
      <c r="CH615" s="1" t="s">
        <v>219</v>
      </c>
      <c r="CI615" s="1" t="s">
        <v>438</v>
      </c>
      <c r="CK615" s="1" t="s">
        <v>315</v>
      </c>
      <c r="CL615" s="1" t="s">
        <v>219</v>
      </c>
      <c r="CM615" s="1" t="s">
        <v>438</v>
      </c>
      <c r="CO615" s="1" t="s">
        <v>729</v>
      </c>
      <c r="CP615" s="1" t="s">
        <v>219</v>
      </c>
      <c r="CQ615" s="1" t="s">
        <v>438</v>
      </c>
      <c r="CS615" s="1" t="s">
        <v>378</v>
      </c>
      <c r="CT615" s="1" t="s">
        <v>219</v>
      </c>
      <c r="CU615" s="1" t="s">
        <v>438</v>
      </c>
      <c r="CX615" s="1" t="s">
        <v>224</v>
      </c>
      <c r="DB615" s="1" t="s">
        <v>224</v>
      </c>
      <c r="DE615" s="1" t="s">
        <v>223</v>
      </c>
      <c r="DF615" s="1" t="s">
        <v>219</v>
      </c>
      <c r="DG615" s="1" t="s">
        <v>226</v>
      </c>
      <c r="DJ615" s="1" t="s">
        <v>224</v>
      </c>
      <c r="DS615" s="1" t="s">
        <v>230</v>
      </c>
      <c r="DW615" s="1" t="s">
        <v>230</v>
      </c>
      <c r="EA615" s="1" t="s">
        <v>230</v>
      </c>
      <c r="EE615" s="1" t="s">
        <v>230</v>
      </c>
      <c r="EI615" s="1" t="s">
        <v>230</v>
      </c>
      <c r="EL615" s="1" t="s">
        <v>231</v>
      </c>
      <c r="EM615" s="1" t="s">
        <v>319</v>
      </c>
      <c r="EN615" s="1" t="s">
        <v>282</v>
      </c>
      <c r="EO615" s="1" t="s">
        <v>234</v>
      </c>
      <c r="EP615" s="1" t="s">
        <v>936</v>
      </c>
      <c r="EQ615" s="1" t="s">
        <v>7455</v>
      </c>
      <c r="ER615" s="1" t="s">
        <v>210</v>
      </c>
      <c r="EV615" s="1" t="s">
        <v>240</v>
      </c>
      <c r="EW615" s="1" t="s">
        <v>7456</v>
      </c>
      <c r="EZ615" s="1" t="s">
        <v>287</v>
      </c>
      <c r="FB615" s="1" t="s">
        <v>244</v>
      </c>
      <c r="FC615" s="1" t="s">
        <v>1405</v>
      </c>
      <c r="FD615" s="1" t="s">
        <v>246</v>
      </c>
      <c r="FE615" s="1" t="s">
        <v>247</v>
      </c>
      <c r="FF615" s="1" t="s">
        <v>248</v>
      </c>
      <c r="FG615" s="1" t="s">
        <v>912</v>
      </c>
      <c r="FH615" s="1" t="s">
        <v>249</v>
      </c>
      <c r="FJ615" s="1" t="s">
        <v>197</v>
      </c>
      <c r="FK615" s="1" t="s">
        <v>891</v>
      </c>
      <c r="FL615" s="1" t="s">
        <v>358</v>
      </c>
      <c r="FM615" s="1" t="s">
        <v>769</v>
      </c>
      <c r="FN615" s="1" t="s">
        <v>213</v>
      </c>
      <c r="FO615" s="1" t="s">
        <v>213</v>
      </c>
      <c r="FQ615" s="1" t="s">
        <v>849</v>
      </c>
      <c r="FR615" s="1" t="s">
        <v>210</v>
      </c>
      <c r="FS615" s="1" t="s">
        <v>7457</v>
      </c>
      <c r="FT615" s="1" t="s">
        <v>362</v>
      </c>
      <c r="FU615" s="1" t="s">
        <v>204</v>
      </c>
      <c r="FW615" s="1" t="s">
        <v>719</v>
      </c>
      <c r="FX615" s="1">
        <v>22029</v>
      </c>
      <c r="FY615" s="1" t="s">
        <v>720</v>
      </c>
      <c r="FZ615" s="1" t="s">
        <v>7458</v>
      </c>
      <c r="GA615" s="1">
        <v>243670</v>
      </c>
      <c r="GD615" s="1" t="s">
        <v>7459</v>
      </c>
      <c r="GE615" s="1" t="s">
        <v>210</v>
      </c>
      <c r="GI615" s="1" t="s">
        <v>204</v>
      </c>
      <c r="GJ615" s="1" t="s">
        <v>260</v>
      </c>
      <c r="GK615" s="1" t="s">
        <v>261</v>
      </c>
      <c r="GL615" s="2">
        <v>42073</v>
      </c>
      <c r="GM615" s="1" t="s">
        <v>7460</v>
      </c>
    </row>
    <row r="616" spans="1:195">
      <c r="A616" s="1">
        <v>20000</v>
      </c>
      <c r="B616" s="1" t="s">
        <v>195</v>
      </c>
      <c r="C616" s="1" t="str">
        <f>"08804344"</f>
        <v>08804344</v>
      </c>
      <c r="D616" s="1" t="s">
        <v>196</v>
      </c>
      <c r="F616" s="1" t="str">
        <f>"153"</f>
        <v>153</v>
      </c>
      <c r="G616" s="2">
        <v>41992</v>
      </c>
      <c r="H616" s="1">
        <v>12500</v>
      </c>
      <c r="I616" s="1">
        <v>12500</v>
      </c>
      <c r="J616" s="1">
        <v>20000</v>
      </c>
      <c r="K616" s="2">
        <v>41992</v>
      </c>
      <c r="L616" s="1">
        <v>138</v>
      </c>
      <c r="M616" s="2">
        <v>41996</v>
      </c>
      <c r="N616" s="1">
        <v>5</v>
      </c>
      <c r="O616" s="2">
        <v>41996</v>
      </c>
      <c r="P616" s="1">
        <v>18235</v>
      </c>
      <c r="Q616" s="1" t="s">
        <v>302</v>
      </c>
      <c r="R616" s="2">
        <v>42034</v>
      </c>
      <c r="S616" s="1">
        <v>162075</v>
      </c>
      <c r="U616" s="1">
        <v>30</v>
      </c>
      <c r="V616" s="1" t="s">
        <v>7461</v>
      </c>
      <c r="W616" s="1" t="s">
        <v>425</v>
      </c>
      <c r="X616" s="1" t="s">
        <v>726</v>
      </c>
      <c r="Y616" s="1">
        <v>24</v>
      </c>
      <c r="Z616" s="1" t="s">
        <v>249</v>
      </c>
      <c r="AA616" s="1" t="s">
        <v>7462</v>
      </c>
      <c r="AB616" s="1">
        <v>60153</v>
      </c>
      <c r="AE616" s="1" t="s">
        <v>7463</v>
      </c>
      <c r="AF616" s="1">
        <v>1967</v>
      </c>
      <c r="AG616" s="1" t="s">
        <v>213</v>
      </c>
      <c r="AH616" s="1" t="s">
        <v>7464</v>
      </c>
      <c r="AI616" s="1" t="s">
        <v>310</v>
      </c>
      <c r="AJ616" s="1" t="s">
        <v>429</v>
      </c>
      <c r="AL616" s="1">
        <v>5</v>
      </c>
      <c r="AM616" s="1">
        <v>2</v>
      </c>
      <c r="AN616" s="1">
        <v>1</v>
      </c>
      <c r="AO616" s="1">
        <v>0</v>
      </c>
      <c r="AP616" s="1" t="s">
        <v>210</v>
      </c>
      <c r="AR616" s="1" t="s">
        <v>210</v>
      </c>
      <c r="AS616" s="1" t="s">
        <v>204</v>
      </c>
      <c r="AT616" s="1" t="s">
        <v>271</v>
      </c>
      <c r="AV616" s="1">
        <v>1</v>
      </c>
      <c r="AW616" s="1" t="s">
        <v>204</v>
      </c>
      <c r="AX616" s="1" t="s">
        <v>212</v>
      </c>
      <c r="AZ616" s="1">
        <v>2058</v>
      </c>
      <c r="BA616" s="1">
        <v>2013</v>
      </c>
      <c r="BE616" s="1">
        <v>771</v>
      </c>
      <c r="BF616" s="1">
        <v>2</v>
      </c>
      <c r="BG616" s="1">
        <v>0</v>
      </c>
      <c r="BL616" s="1">
        <v>180</v>
      </c>
      <c r="BM616" s="1" t="s">
        <v>413</v>
      </c>
      <c r="BN616" s="1" t="s">
        <v>213</v>
      </c>
      <c r="BO616" s="1">
        <v>0</v>
      </c>
      <c r="BP616" s="1" t="s">
        <v>204</v>
      </c>
      <c r="BR616" s="1" t="str">
        <f>"15101180461004"</f>
        <v>15101180461004</v>
      </c>
      <c r="BT616" s="1" t="s">
        <v>7465</v>
      </c>
      <c r="BX616" s="1">
        <v>89</v>
      </c>
      <c r="BY616" s="1">
        <v>89</v>
      </c>
      <c r="BZ616" s="1">
        <v>209</v>
      </c>
      <c r="CB616" s="1" t="str">
        <f t="shared" ref="CB616:CC616" si="480">""</f>
        <v/>
      </c>
      <c r="CC616" s="1" t="str">
        <f t="shared" si="480"/>
        <v/>
      </c>
      <c r="CG616" s="1" t="s">
        <v>1403</v>
      </c>
      <c r="CH616" s="1" t="s">
        <v>277</v>
      </c>
      <c r="CK616" s="1" t="s">
        <v>344</v>
      </c>
      <c r="CL616" s="1" t="s">
        <v>277</v>
      </c>
      <c r="CO616" s="1" t="s">
        <v>2231</v>
      </c>
      <c r="CP616" s="1" t="s">
        <v>277</v>
      </c>
      <c r="CS616" s="1" t="s">
        <v>1107</v>
      </c>
      <c r="CT616" s="1" t="s">
        <v>277</v>
      </c>
      <c r="CX616" s="1" t="s">
        <v>224</v>
      </c>
      <c r="DB616" s="1" t="s">
        <v>224</v>
      </c>
      <c r="DE616" s="1" t="s">
        <v>7466</v>
      </c>
      <c r="DF616" s="1" t="s">
        <v>277</v>
      </c>
      <c r="DJ616" s="1" t="s">
        <v>224</v>
      </c>
      <c r="DS616" s="1" t="s">
        <v>230</v>
      </c>
      <c r="DW616" s="1" t="s">
        <v>230</v>
      </c>
      <c r="EA616" s="1" t="s">
        <v>230</v>
      </c>
      <c r="EE616" s="1" t="s">
        <v>230</v>
      </c>
      <c r="EI616" s="1" t="s">
        <v>230</v>
      </c>
      <c r="EL616" s="1" t="s">
        <v>605</v>
      </c>
      <c r="EM616" s="1" t="s">
        <v>319</v>
      </c>
      <c r="EN616" s="1" t="s">
        <v>731</v>
      </c>
      <c r="EO616" s="1" t="s">
        <v>234</v>
      </c>
      <c r="ER616" s="1" t="s">
        <v>210</v>
      </c>
      <c r="EW616" s="1" t="s">
        <v>347</v>
      </c>
      <c r="EZ616" s="1" t="s">
        <v>287</v>
      </c>
      <c r="FD616" s="1" t="s">
        <v>1649</v>
      </c>
      <c r="FE616" s="1" t="s">
        <v>247</v>
      </c>
      <c r="FF616" s="1" t="s">
        <v>248</v>
      </c>
      <c r="FH616" s="1" t="s">
        <v>249</v>
      </c>
      <c r="FL616" s="1" t="s">
        <v>292</v>
      </c>
      <c r="FM616" s="1" t="s">
        <v>252</v>
      </c>
      <c r="FN616" s="1" t="s">
        <v>213</v>
      </c>
      <c r="FO616" s="1" t="s">
        <v>213</v>
      </c>
      <c r="FQ616" s="1" t="s">
        <v>689</v>
      </c>
      <c r="FR616" s="1" t="s">
        <v>210</v>
      </c>
      <c r="FS616" s="1" t="s">
        <v>2541</v>
      </c>
      <c r="FT616" s="1" t="s">
        <v>654</v>
      </c>
      <c r="FU616" s="1" t="s">
        <v>204</v>
      </c>
      <c r="FW616" s="1" t="s">
        <v>4399</v>
      </c>
      <c r="FX616" s="1">
        <v>8698</v>
      </c>
      <c r="FY616" s="1" t="s">
        <v>4400</v>
      </c>
      <c r="FZ616" s="1" t="s">
        <v>4401</v>
      </c>
      <c r="GA616" s="1">
        <v>85273</v>
      </c>
      <c r="GB616" s="1" t="s">
        <v>4400</v>
      </c>
      <c r="GE616" s="1" t="s">
        <v>210</v>
      </c>
      <c r="GH616" s="1" t="s">
        <v>421</v>
      </c>
      <c r="GI616" s="1" t="s">
        <v>204</v>
      </c>
      <c r="GJ616" s="1" t="s">
        <v>260</v>
      </c>
      <c r="GK616" s="1" t="s">
        <v>210</v>
      </c>
      <c r="GL616" s="2">
        <v>42034</v>
      </c>
      <c r="GM616" s="1" t="s">
        <v>7467</v>
      </c>
    </row>
    <row r="617" spans="1:195">
      <c r="A617" s="1">
        <v>65000</v>
      </c>
      <c r="B617" s="1" t="s">
        <v>195</v>
      </c>
      <c r="C617" s="1" t="str">
        <f>"08807781"</f>
        <v>08807781</v>
      </c>
      <c r="D617" s="1" t="s">
        <v>196</v>
      </c>
      <c r="F617" s="1" t="str">
        <f>"515"</f>
        <v>515</v>
      </c>
      <c r="G617" s="2">
        <v>42004</v>
      </c>
      <c r="H617" s="1">
        <v>70000</v>
      </c>
      <c r="I617" s="1">
        <v>70000</v>
      </c>
      <c r="J617" s="1">
        <v>65000</v>
      </c>
      <c r="K617" s="2">
        <v>42003</v>
      </c>
      <c r="L617" s="1">
        <v>50</v>
      </c>
      <c r="M617" s="2">
        <v>42052</v>
      </c>
      <c r="N617" s="1">
        <v>50</v>
      </c>
      <c r="O617" s="2">
        <v>42052</v>
      </c>
      <c r="P617" s="1">
        <v>84291</v>
      </c>
      <c r="Q617" s="1" t="s">
        <v>302</v>
      </c>
      <c r="R617" s="2">
        <v>42076</v>
      </c>
      <c r="S617" s="1">
        <v>877044</v>
      </c>
      <c r="U617" s="1">
        <v>3913</v>
      </c>
      <c r="V617" s="1" t="s">
        <v>5751</v>
      </c>
      <c r="W617" s="1" t="s">
        <v>425</v>
      </c>
      <c r="X617" s="1" t="s">
        <v>7468</v>
      </c>
      <c r="Y617" s="1">
        <v>417</v>
      </c>
      <c r="Z617" s="1" t="s">
        <v>249</v>
      </c>
      <c r="AA617" s="1" t="s">
        <v>1294</v>
      </c>
      <c r="AB617" s="1">
        <v>60515</v>
      </c>
      <c r="AD617" s="1" t="s">
        <v>7469</v>
      </c>
      <c r="AE617" s="1" t="s">
        <v>7470</v>
      </c>
      <c r="AF617" s="1">
        <v>1968</v>
      </c>
      <c r="AG617" s="1" t="s">
        <v>213</v>
      </c>
      <c r="AH617" s="1" t="s">
        <v>903</v>
      </c>
      <c r="AI617" s="1" t="s">
        <v>206</v>
      </c>
      <c r="AJ617" s="1" t="s">
        <v>903</v>
      </c>
      <c r="AK617" s="1" t="s">
        <v>7471</v>
      </c>
      <c r="AL617" s="1">
        <v>5</v>
      </c>
      <c r="AM617" s="1">
        <v>2</v>
      </c>
      <c r="AN617" s="1">
        <v>1</v>
      </c>
      <c r="AO617" s="1">
        <v>0</v>
      </c>
      <c r="AP617" s="1" t="s">
        <v>210</v>
      </c>
      <c r="AR617" s="1" t="s">
        <v>209</v>
      </c>
      <c r="AS617" s="1" t="s">
        <v>204</v>
      </c>
      <c r="AT617" s="1" t="s">
        <v>271</v>
      </c>
      <c r="AV617" s="1">
        <v>2</v>
      </c>
      <c r="AW617" s="1" t="s">
        <v>204</v>
      </c>
      <c r="AX617" s="1" t="s">
        <v>212</v>
      </c>
      <c r="AZ617" s="1">
        <v>669</v>
      </c>
      <c r="BA617" s="1">
        <v>2013</v>
      </c>
      <c r="BB617" s="1" t="s">
        <v>599</v>
      </c>
      <c r="BE617" s="1">
        <v>1150</v>
      </c>
      <c r="BF617" s="1">
        <v>1</v>
      </c>
      <c r="BG617" s="1">
        <v>0</v>
      </c>
      <c r="BJ617" s="1">
        <v>93</v>
      </c>
      <c r="BK617" s="1">
        <v>0.25</v>
      </c>
      <c r="BL617" s="1">
        <v>360</v>
      </c>
      <c r="BM617" s="1" t="s">
        <v>204</v>
      </c>
      <c r="BN617" s="1" t="s">
        <v>213</v>
      </c>
      <c r="BP617" s="1" t="s">
        <v>204</v>
      </c>
      <c r="BR617" s="1" t="str">
        <f>"0905123173"</f>
        <v>0905123173</v>
      </c>
      <c r="BT617" s="1" t="s">
        <v>7472</v>
      </c>
      <c r="BU617" s="1" t="s">
        <v>5757</v>
      </c>
      <c r="BV617" s="1" t="s">
        <v>2761</v>
      </c>
      <c r="BW617" s="1" t="s">
        <v>2762</v>
      </c>
      <c r="BX617" s="1">
        <v>58</v>
      </c>
      <c r="BY617" s="1">
        <v>58</v>
      </c>
      <c r="BZ617" s="1">
        <v>99</v>
      </c>
      <c r="CB617" s="1" t="str">
        <f t="shared" ref="CB617:CC617" si="481">""</f>
        <v/>
      </c>
      <c r="CC617" s="1" t="str">
        <f t="shared" si="481"/>
        <v/>
      </c>
      <c r="CG617" s="1" t="s">
        <v>1723</v>
      </c>
      <c r="CH617" s="1" t="s">
        <v>219</v>
      </c>
      <c r="CI617" s="1" t="s">
        <v>220</v>
      </c>
      <c r="CK617" s="1" t="s">
        <v>564</v>
      </c>
      <c r="CL617" s="1" t="s">
        <v>219</v>
      </c>
      <c r="CM617" s="1" t="s">
        <v>220</v>
      </c>
      <c r="CO617" s="1" t="s">
        <v>629</v>
      </c>
      <c r="CP617" s="1" t="s">
        <v>219</v>
      </c>
      <c r="CQ617" s="1" t="s">
        <v>220</v>
      </c>
      <c r="CS617" s="1" t="s">
        <v>317</v>
      </c>
      <c r="CT617" s="1" t="s">
        <v>219</v>
      </c>
      <c r="CU617" s="1" t="s">
        <v>220</v>
      </c>
      <c r="CX617" s="1" t="s">
        <v>224</v>
      </c>
      <c r="DB617" s="1" t="s">
        <v>224</v>
      </c>
      <c r="DE617" s="1" t="s">
        <v>223</v>
      </c>
      <c r="DF617" s="1" t="s">
        <v>219</v>
      </c>
      <c r="DG617" s="1" t="s">
        <v>342</v>
      </c>
      <c r="DJ617" s="1" t="s">
        <v>224</v>
      </c>
      <c r="DS617" s="1" t="s">
        <v>230</v>
      </c>
      <c r="DW617" s="1" t="s">
        <v>230</v>
      </c>
      <c r="EA617" s="1" t="s">
        <v>230</v>
      </c>
      <c r="EE617" s="1" t="s">
        <v>230</v>
      </c>
      <c r="EI617" s="1" t="s">
        <v>230</v>
      </c>
      <c r="EL617" s="1" t="s">
        <v>605</v>
      </c>
      <c r="EM617" s="1" t="s">
        <v>730</v>
      </c>
      <c r="EN617" s="1" t="s">
        <v>731</v>
      </c>
      <c r="EO617" s="1" t="s">
        <v>234</v>
      </c>
      <c r="EP617" s="1" t="s">
        <v>7473</v>
      </c>
      <c r="EQ617" s="1" t="s">
        <v>7289</v>
      </c>
      <c r="ER617" s="1" t="s">
        <v>351</v>
      </c>
      <c r="ES617" s="1" t="s">
        <v>322</v>
      </c>
      <c r="EV617" s="1" t="s">
        <v>240</v>
      </c>
      <c r="EW617" s="1" t="s">
        <v>3975</v>
      </c>
      <c r="EZ617" s="1" t="s">
        <v>287</v>
      </c>
      <c r="FB617" s="1" t="s">
        <v>244</v>
      </c>
      <c r="FC617" s="1" t="s">
        <v>1386</v>
      </c>
      <c r="FD617" s="1" t="s">
        <v>4003</v>
      </c>
      <c r="FE617" s="1" t="s">
        <v>247</v>
      </c>
      <c r="FF617" s="1" t="s">
        <v>248</v>
      </c>
      <c r="FH617" s="1" t="s">
        <v>249</v>
      </c>
      <c r="FJ617" s="1" t="s">
        <v>1179</v>
      </c>
      <c r="FK617" s="1" t="s">
        <v>891</v>
      </c>
      <c r="FL617" s="1" t="s">
        <v>328</v>
      </c>
      <c r="FM617" s="1" t="s">
        <v>252</v>
      </c>
      <c r="FN617" s="1" t="s">
        <v>213</v>
      </c>
      <c r="FO617" s="1" t="s">
        <v>213</v>
      </c>
      <c r="FQ617" s="1" t="s">
        <v>7474</v>
      </c>
      <c r="FR617" s="1" t="s">
        <v>210</v>
      </c>
      <c r="FS617" s="1" t="s">
        <v>3221</v>
      </c>
      <c r="FT617" s="1" t="s">
        <v>295</v>
      </c>
      <c r="FU617" s="1" t="s">
        <v>204</v>
      </c>
      <c r="FW617" s="1" t="s">
        <v>585</v>
      </c>
      <c r="FX617" s="1">
        <v>23156</v>
      </c>
      <c r="FY617" s="1" t="s">
        <v>1253</v>
      </c>
      <c r="FZ617" s="1" t="s">
        <v>3222</v>
      </c>
      <c r="GA617" s="1">
        <v>210623</v>
      </c>
      <c r="GB617" s="1" t="s">
        <v>3223</v>
      </c>
      <c r="GC617" s="1">
        <v>232932</v>
      </c>
      <c r="GE617" s="1" t="s">
        <v>1379</v>
      </c>
      <c r="GI617" s="1" t="s">
        <v>213</v>
      </c>
      <c r="GJ617" s="1" t="s">
        <v>260</v>
      </c>
      <c r="GK617" s="1" t="s">
        <v>210</v>
      </c>
      <c r="GL617" s="2">
        <v>42076</v>
      </c>
      <c r="GM617" s="1" t="s">
        <v>7475</v>
      </c>
    </row>
    <row r="618" spans="1:195">
      <c r="A618" s="1">
        <v>74900</v>
      </c>
      <c r="B618" s="1" t="s">
        <v>195</v>
      </c>
      <c r="C618" s="1" t="str">
        <f>"08807195"</f>
        <v>08807195</v>
      </c>
      <c r="D618" s="1" t="s">
        <v>196</v>
      </c>
      <c r="F618" s="1" t="str">
        <f>"103"</f>
        <v>103</v>
      </c>
      <c r="G618" s="2">
        <v>42003</v>
      </c>
      <c r="H618" s="1">
        <v>74900</v>
      </c>
      <c r="I618" s="1">
        <v>74900</v>
      </c>
      <c r="J618" s="1">
        <v>74900</v>
      </c>
      <c r="K618" s="2">
        <v>42002</v>
      </c>
      <c r="L618" s="1">
        <v>8</v>
      </c>
      <c r="M618" s="2">
        <v>42009</v>
      </c>
      <c r="N618" s="1">
        <v>8</v>
      </c>
      <c r="O618" s="2">
        <v>42009</v>
      </c>
      <c r="P618" s="1">
        <v>15391</v>
      </c>
      <c r="Q618" s="1" t="s">
        <v>197</v>
      </c>
      <c r="R618" s="2">
        <v>42062</v>
      </c>
      <c r="S618" s="1">
        <v>189321</v>
      </c>
      <c r="T618" s="1">
        <v>3000</v>
      </c>
      <c r="U618" s="1">
        <v>1340</v>
      </c>
      <c r="V618" s="1" t="s">
        <v>2024</v>
      </c>
      <c r="W618" s="1" t="s">
        <v>264</v>
      </c>
      <c r="X618" s="1">
        <v>1</v>
      </c>
      <c r="Y618" s="1">
        <v>4</v>
      </c>
      <c r="Z618" s="1" t="s">
        <v>249</v>
      </c>
      <c r="AA618" s="1" t="s">
        <v>337</v>
      </c>
      <c r="AB618" s="1">
        <v>60133</v>
      </c>
      <c r="AE618" s="1" t="s">
        <v>7476</v>
      </c>
      <c r="AF618" s="1">
        <v>1978</v>
      </c>
      <c r="AG618" s="1" t="s">
        <v>204</v>
      </c>
      <c r="AH618" s="1" t="s">
        <v>339</v>
      </c>
      <c r="AI618" s="1" t="s">
        <v>310</v>
      </c>
      <c r="AJ618" s="1" t="s">
        <v>1717</v>
      </c>
      <c r="AL618" s="1">
        <v>5</v>
      </c>
      <c r="AM618" s="1">
        <v>2</v>
      </c>
      <c r="AN618" s="1">
        <v>1</v>
      </c>
      <c r="AO618" s="1">
        <v>0</v>
      </c>
      <c r="AP618" s="1" t="s">
        <v>667</v>
      </c>
      <c r="AR618" s="1" t="s">
        <v>210</v>
      </c>
      <c r="AS618" s="1" t="s">
        <v>204</v>
      </c>
      <c r="AT618" s="1" t="s">
        <v>211</v>
      </c>
      <c r="AU618" s="1">
        <v>1</v>
      </c>
      <c r="AW618" s="1" t="s">
        <v>204</v>
      </c>
      <c r="AX618" s="1" t="s">
        <v>212</v>
      </c>
      <c r="AZ618" s="1">
        <v>2038.01</v>
      </c>
      <c r="BA618" s="1">
        <v>2013</v>
      </c>
      <c r="BB618" s="1" t="s">
        <v>210</v>
      </c>
      <c r="BE618" s="1">
        <v>1050</v>
      </c>
      <c r="BF618" s="1">
        <v>2</v>
      </c>
      <c r="BG618" s="1">
        <v>0</v>
      </c>
      <c r="BL618" s="1">
        <v>225</v>
      </c>
      <c r="BM618" s="1" t="s">
        <v>413</v>
      </c>
      <c r="BN618" s="1" t="s">
        <v>213</v>
      </c>
      <c r="BO618" s="1">
        <v>999</v>
      </c>
      <c r="BP618" s="1" t="s">
        <v>204</v>
      </c>
      <c r="BR618" s="1" t="str">
        <f>"07303000231001"</f>
        <v>07303000231001</v>
      </c>
      <c r="BT618" s="1" t="s">
        <v>7477</v>
      </c>
      <c r="BX618" s="1">
        <v>54</v>
      </c>
      <c r="BY618" s="1">
        <v>54</v>
      </c>
      <c r="BZ618" s="1">
        <v>211</v>
      </c>
      <c r="CB618" s="1" t="str">
        <f t="shared" ref="CB618:CC618" si="482">""</f>
        <v/>
      </c>
      <c r="CC618" s="1" t="str">
        <f t="shared" si="482"/>
        <v/>
      </c>
      <c r="CG618" s="1" t="s">
        <v>648</v>
      </c>
      <c r="CH618" s="1" t="s">
        <v>219</v>
      </c>
      <c r="CI618" s="1" t="s">
        <v>229</v>
      </c>
      <c r="CK618" s="1" t="s">
        <v>885</v>
      </c>
      <c r="CL618" s="1" t="s">
        <v>219</v>
      </c>
      <c r="CM618" s="1" t="s">
        <v>229</v>
      </c>
      <c r="CO618" s="1" t="s">
        <v>516</v>
      </c>
      <c r="CP618" s="1" t="s">
        <v>219</v>
      </c>
      <c r="CQ618" s="1" t="s">
        <v>229</v>
      </c>
      <c r="CS618" s="1" t="s">
        <v>379</v>
      </c>
      <c r="CT618" s="1" t="s">
        <v>219</v>
      </c>
      <c r="CU618" s="1" t="s">
        <v>229</v>
      </c>
      <c r="CX618" s="1" t="s">
        <v>224</v>
      </c>
      <c r="DB618" s="1" t="s">
        <v>224</v>
      </c>
      <c r="DE618" s="1" t="s">
        <v>2138</v>
      </c>
      <c r="DF618" s="1" t="s">
        <v>219</v>
      </c>
      <c r="DG618" s="1" t="s">
        <v>342</v>
      </c>
      <c r="DJ618" s="1" t="s">
        <v>224</v>
      </c>
      <c r="DS618" s="1" t="s">
        <v>230</v>
      </c>
      <c r="DW618" s="1" t="s">
        <v>230</v>
      </c>
      <c r="EA618" s="1" t="s">
        <v>230</v>
      </c>
      <c r="EE618" s="1" t="s">
        <v>230</v>
      </c>
      <c r="EI618" s="1" t="s">
        <v>230</v>
      </c>
      <c r="EL618" s="1" t="s">
        <v>231</v>
      </c>
      <c r="EM618" s="1" t="s">
        <v>319</v>
      </c>
      <c r="EN618" s="1" t="s">
        <v>282</v>
      </c>
      <c r="EO618" s="1" t="s">
        <v>234</v>
      </c>
      <c r="ER618" s="1" t="s">
        <v>210</v>
      </c>
      <c r="EW618" s="1" t="s">
        <v>7478</v>
      </c>
      <c r="EZ618" s="1" t="s">
        <v>287</v>
      </c>
      <c r="FB618" s="1" t="s">
        <v>289</v>
      </c>
      <c r="FD618" s="1" t="s">
        <v>246</v>
      </c>
      <c r="FE618" s="1" t="s">
        <v>975</v>
      </c>
      <c r="FF618" s="1" t="s">
        <v>248</v>
      </c>
      <c r="FH618" s="1" t="s">
        <v>249</v>
      </c>
      <c r="FJ618" s="1" t="s">
        <v>1472</v>
      </c>
      <c r="FL618" s="1" t="s">
        <v>358</v>
      </c>
      <c r="FM618" s="1" t="s">
        <v>252</v>
      </c>
      <c r="FN618" s="1" t="s">
        <v>213</v>
      </c>
      <c r="FO618" s="1" t="s">
        <v>213</v>
      </c>
      <c r="FQ618" s="1" t="s">
        <v>7479</v>
      </c>
      <c r="FR618" s="1" t="s">
        <v>210</v>
      </c>
      <c r="FS618" s="1" t="s">
        <v>7480</v>
      </c>
      <c r="FT618" s="1" t="s">
        <v>584</v>
      </c>
      <c r="FU618" s="1" t="s">
        <v>204</v>
      </c>
      <c r="FW618" s="1" t="s">
        <v>3132</v>
      </c>
      <c r="FX618" s="1">
        <v>6267</v>
      </c>
      <c r="FY618" s="1" t="s">
        <v>3133</v>
      </c>
      <c r="FZ618" s="1" t="s">
        <v>7481</v>
      </c>
      <c r="GA618" s="1">
        <v>38359</v>
      </c>
      <c r="GB618" s="1" t="s">
        <v>7482</v>
      </c>
      <c r="GE618" s="1" t="s">
        <v>210</v>
      </c>
      <c r="GI618" s="1" t="s">
        <v>213</v>
      </c>
      <c r="GJ618" s="1" t="s">
        <v>260</v>
      </c>
      <c r="GK618" s="1" t="s">
        <v>210</v>
      </c>
      <c r="GL618" s="2">
        <v>42062</v>
      </c>
      <c r="GM618" s="1" t="s">
        <v>7483</v>
      </c>
    </row>
    <row r="619" spans="1:195">
      <c r="A619" s="1">
        <v>65000</v>
      </c>
      <c r="B619" s="1" t="s">
        <v>195</v>
      </c>
      <c r="C619" s="1" t="str">
        <f>"08808805"</f>
        <v>08808805</v>
      </c>
      <c r="D619" s="1" t="s">
        <v>196</v>
      </c>
      <c r="F619" s="1" t="str">
        <f>"8064"</f>
        <v>8064</v>
      </c>
      <c r="G619" s="2">
        <v>42007</v>
      </c>
      <c r="H619" s="1">
        <v>81900</v>
      </c>
      <c r="I619" s="1">
        <v>81900</v>
      </c>
      <c r="J619" s="1">
        <v>65000</v>
      </c>
      <c r="K619" s="2">
        <v>42006</v>
      </c>
      <c r="L619" s="1">
        <v>181</v>
      </c>
      <c r="M619" s="2">
        <v>42031</v>
      </c>
      <c r="N619" s="1">
        <v>26</v>
      </c>
      <c r="O619" s="2">
        <v>42031</v>
      </c>
      <c r="P619" s="1">
        <v>60070</v>
      </c>
      <c r="Q619" s="1" t="s">
        <v>302</v>
      </c>
      <c r="R619" s="2">
        <v>42055</v>
      </c>
      <c r="S619" s="1">
        <v>608068</v>
      </c>
      <c r="U619" s="1">
        <v>6405</v>
      </c>
      <c r="V619" s="1" t="s">
        <v>7484</v>
      </c>
      <c r="W619" s="1" t="s">
        <v>425</v>
      </c>
      <c r="Y619" s="1">
        <v>1</v>
      </c>
      <c r="Z619" s="1" t="s">
        <v>200</v>
      </c>
      <c r="AA619" s="1" t="s">
        <v>400</v>
      </c>
      <c r="AB619" s="1">
        <v>60638</v>
      </c>
      <c r="AE619" s="1" t="s">
        <v>7485</v>
      </c>
      <c r="AF619" s="1">
        <v>1940</v>
      </c>
      <c r="AG619" s="1" t="s">
        <v>213</v>
      </c>
      <c r="AH619" s="1" t="s">
        <v>403</v>
      </c>
      <c r="AI619" s="1" t="s">
        <v>310</v>
      </c>
      <c r="AJ619" s="1" t="s">
        <v>683</v>
      </c>
      <c r="AL619" s="1">
        <v>6</v>
      </c>
      <c r="AM619" s="1">
        <v>2</v>
      </c>
      <c r="AN619" s="1">
        <v>2</v>
      </c>
      <c r="AO619" s="1">
        <v>0</v>
      </c>
      <c r="AP619" s="1" t="s">
        <v>210</v>
      </c>
      <c r="AR619" s="1" t="s">
        <v>2275</v>
      </c>
      <c r="AS619" s="1" t="s">
        <v>213</v>
      </c>
      <c r="AT619" s="1" t="s">
        <v>271</v>
      </c>
      <c r="AV619" s="1">
        <v>1</v>
      </c>
      <c r="AW619" s="1" t="s">
        <v>204</v>
      </c>
      <c r="AX619" s="1" t="s">
        <v>6882</v>
      </c>
      <c r="AZ619" s="1">
        <v>2061.83</v>
      </c>
      <c r="BA619" s="1">
        <v>2013</v>
      </c>
      <c r="BB619" s="1" t="s">
        <v>210</v>
      </c>
      <c r="BE619" s="1">
        <v>891</v>
      </c>
      <c r="BF619" s="1">
        <v>1</v>
      </c>
      <c r="BG619" s="1">
        <v>0</v>
      </c>
      <c r="BL619" s="1">
        <v>0</v>
      </c>
      <c r="BM619" s="1" t="s">
        <v>204</v>
      </c>
      <c r="BN619" s="1" t="s">
        <v>213</v>
      </c>
      <c r="BO619" s="1">
        <v>100</v>
      </c>
      <c r="BP619" s="1" t="s">
        <v>204</v>
      </c>
      <c r="BR619" s="1" t="str">
        <f>"19211170030000"</f>
        <v>19211170030000</v>
      </c>
      <c r="BT619" s="1" t="s">
        <v>7486</v>
      </c>
      <c r="BX619" s="1">
        <v>299</v>
      </c>
      <c r="BY619" s="1">
        <v>299</v>
      </c>
      <c r="BZ619" s="1">
        <v>299</v>
      </c>
      <c r="CB619" s="1" t="str">
        <f t="shared" ref="CB619:CC619" si="483">"0"</f>
        <v>0</v>
      </c>
      <c r="CC619" s="1" t="str">
        <f t="shared" si="483"/>
        <v>0</v>
      </c>
      <c r="CD619" s="1">
        <v>5300</v>
      </c>
      <c r="CE619" s="1">
        <v>6405</v>
      </c>
      <c r="CG619" s="1" t="s">
        <v>2170</v>
      </c>
      <c r="CH619" s="1" t="s">
        <v>219</v>
      </c>
      <c r="CI619" s="1" t="s">
        <v>220</v>
      </c>
      <c r="CK619" s="1" t="s">
        <v>465</v>
      </c>
      <c r="CL619" s="1" t="s">
        <v>277</v>
      </c>
      <c r="CM619" s="1" t="s">
        <v>229</v>
      </c>
      <c r="CO619" s="1" t="s">
        <v>2982</v>
      </c>
      <c r="CP619" s="1" t="s">
        <v>219</v>
      </c>
      <c r="CQ619" s="1" t="s">
        <v>229</v>
      </c>
      <c r="CS619" s="1" t="s">
        <v>3657</v>
      </c>
      <c r="CT619" s="1" t="s">
        <v>277</v>
      </c>
      <c r="CU619" s="1" t="s">
        <v>229</v>
      </c>
      <c r="CX619" s="1" t="s">
        <v>224</v>
      </c>
      <c r="DB619" s="1" t="s">
        <v>224</v>
      </c>
      <c r="DE619" s="1" t="s">
        <v>7487</v>
      </c>
      <c r="DF619" s="1" t="s">
        <v>219</v>
      </c>
      <c r="DG619" s="1" t="s">
        <v>229</v>
      </c>
      <c r="DI619" s="1" t="s">
        <v>378</v>
      </c>
      <c r="DJ619" s="1" t="s">
        <v>4450</v>
      </c>
      <c r="DK619" s="1" t="s">
        <v>347</v>
      </c>
      <c r="DS619" s="1" t="s">
        <v>230</v>
      </c>
      <c r="DW619" s="1" t="s">
        <v>230</v>
      </c>
      <c r="EA619" s="1" t="s">
        <v>230</v>
      </c>
      <c r="EE619" s="1" t="s">
        <v>230</v>
      </c>
      <c r="EI619" s="1" t="s">
        <v>230</v>
      </c>
      <c r="EL619" s="1" t="s">
        <v>440</v>
      </c>
      <c r="EM619" s="1" t="s">
        <v>319</v>
      </c>
      <c r="EN619" s="1" t="s">
        <v>282</v>
      </c>
      <c r="EO619" s="1" t="s">
        <v>234</v>
      </c>
      <c r="ER619" s="1" t="s">
        <v>351</v>
      </c>
      <c r="EW619" s="1" t="s">
        <v>210</v>
      </c>
      <c r="EZ619" s="1" t="s">
        <v>287</v>
      </c>
      <c r="FD619" s="1" t="s">
        <v>2914</v>
      </c>
      <c r="FE619" s="1" t="s">
        <v>247</v>
      </c>
      <c r="FF619" s="1" t="s">
        <v>387</v>
      </c>
      <c r="FH619" s="1" t="s">
        <v>550</v>
      </c>
      <c r="FJ619" s="1" t="s">
        <v>1472</v>
      </c>
      <c r="FL619" s="1" t="s">
        <v>414</v>
      </c>
      <c r="FM619" s="1" t="s">
        <v>252</v>
      </c>
      <c r="FN619" s="1" t="s">
        <v>213</v>
      </c>
      <c r="FO619" s="1" t="s">
        <v>204</v>
      </c>
      <c r="FQ619" s="1" t="s">
        <v>1650</v>
      </c>
      <c r="FR619" s="1" t="s">
        <v>210</v>
      </c>
      <c r="FS619" s="1" t="s">
        <v>7488</v>
      </c>
      <c r="FT619" s="1" t="s">
        <v>1139</v>
      </c>
      <c r="FU619" s="1" t="s">
        <v>204</v>
      </c>
      <c r="FW619" s="1" t="s">
        <v>1652</v>
      </c>
      <c r="FX619" s="1">
        <v>12174</v>
      </c>
      <c r="FY619" s="1" t="s">
        <v>4381</v>
      </c>
      <c r="FZ619" s="1" t="s">
        <v>7489</v>
      </c>
      <c r="GA619" s="1">
        <v>150163</v>
      </c>
      <c r="GB619" s="1" t="s">
        <v>7490</v>
      </c>
      <c r="GD619" s="1" t="s">
        <v>7491</v>
      </c>
      <c r="GE619" s="1" t="s">
        <v>210</v>
      </c>
      <c r="GH619" s="1" t="s">
        <v>421</v>
      </c>
      <c r="GI619" s="1" t="s">
        <v>213</v>
      </c>
      <c r="GJ619" s="1" t="s">
        <v>260</v>
      </c>
      <c r="GK619" s="1" t="s">
        <v>210</v>
      </c>
      <c r="GL619" s="2">
        <v>42055</v>
      </c>
      <c r="GM619" s="1" t="s">
        <v>7492</v>
      </c>
    </row>
    <row r="620" spans="1:195">
      <c r="A620" s="1">
        <v>45000</v>
      </c>
      <c r="B620" s="1" t="s">
        <v>195</v>
      </c>
      <c r="C620" s="1" t="str">
        <f>"08809089"</f>
        <v>08809089</v>
      </c>
      <c r="D620" s="1" t="s">
        <v>196</v>
      </c>
      <c r="F620" s="1" t="str">
        <f>"8075"</f>
        <v>8075</v>
      </c>
      <c r="G620" s="2">
        <v>42007</v>
      </c>
      <c r="H620" s="1">
        <v>52900</v>
      </c>
      <c r="I620" s="1">
        <v>47900</v>
      </c>
      <c r="J620" s="1">
        <v>45000</v>
      </c>
      <c r="K620" s="2">
        <v>42005</v>
      </c>
      <c r="L620" s="1">
        <v>40</v>
      </c>
      <c r="M620" s="2">
        <v>42044</v>
      </c>
      <c r="N620" s="1">
        <v>40</v>
      </c>
      <c r="O620" s="2">
        <v>42044</v>
      </c>
      <c r="P620" s="1">
        <v>16700</v>
      </c>
      <c r="Q620" s="1" t="s">
        <v>197</v>
      </c>
      <c r="R620" s="2">
        <v>42139</v>
      </c>
      <c r="S620" s="1">
        <v>176000</v>
      </c>
      <c r="U620" s="1">
        <v>11101</v>
      </c>
      <c r="V620" s="1" t="s">
        <v>7493</v>
      </c>
      <c r="W620" s="1" t="s">
        <v>425</v>
      </c>
      <c r="X620" s="1" t="s">
        <v>4849</v>
      </c>
      <c r="Y620" s="1">
        <v>15</v>
      </c>
      <c r="Z620" s="1" t="s">
        <v>200</v>
      </c>
      <c r="AA620" s="1" t="s">
        <v>400</v>
      </c>
      <c r="AB620" s="1">
        <v>60655</v>
      </c>
      <c r="AE620" s="1" t="s">
        <v>7494</v>
      </c>
      <c r="AF620" s="1">
        <v>1971</v>
      </c>
      <c r="AG620" s="1" t="s">
        <v>213</v>
      </c>
      <c r="AH620" s="1" t="s">
        <v>403</v>
      </c>
      <c r="AI620" s="1" t="s">
        <v>310</v>
      </c>
      <c r="AJ620" s="1" t="s">
        <v>562</v>
      </c>
      <c r="AL620" s="1">
        <v>4</v>
      </c>
      <c r="AM620" s="1">
        <v>2</v>
      </c>
      <c r="AN620" s="1">
        <v>1</v>
      </c>
      <c r="AO620" s="1">
        <v>0</v>
      </c>
      <c r="AP620" s="1" t="s">
        <v>210</v>
      </c>
      <c r="AR620" s="1" t="s">
        <v>210</v>
      </c>
      <c r="AS620" s="1" t="s">
        <v>204</v>
      </c>
      <c r="AT620" s="1" t="s">
        <v>271</v>
      </c>
      <c r="AV620" s="1">
        <v>1</v>
      </c>
      <c r="AW620" s="1" t="s">
        <v>204</v>
      </c>
      <c r="AX620" s="1">
        <v>0</v>
      </c>
      <c r="AZ620" s="1">
        <v>1445.9</v>
      </c>
      <c r="BA620" s="1">
        <v>2013</v>
      </c>
      <c r="BB620" s="1" t="s">
        <v>405</v>
      </c>
      <c r="BE620" s="1">
        <v>900</v>
      </c>
      <c r="BF620" s="1">
        <v>2</v>
      </c>
      <c r="BG620" s="1">
        <v>15</v>
      </c>
      <c r="BL620" s="1">
        <v>240</v>
      </c>
      <c r="BM620" s="1" t="s">
        <v>413</v>
      </c>
      <c r="BN620" s="1" t="s">
        <v>213</v>
      </c>
      <c r="BO620" s="1">
        <v>25</v>
      </c>
      <c r="BP620" s="1" t="s">
        <v>204</v>
      </c>
      <c r="BR620" s="1" t="str">
        <f>"24242030401008"</f>
        <v>24242030401008</v>
      </c>
      <c r="BT620" s="1" t="s">
        <v>7495</v>
      </c>
      <c r="BX620" s="1">
        <v>299</v>
      </c>
      <c r="BY620" s="1">
        <v>299</v>
      </c>
      <c r="BZ620" s="1">
        <v>299</v>
      </c>
      <c r="CB620" s="1" t="str">
        <f t="shared" ref="CB620:CC620" si="484">"0"</f>
        <v>0</v>
      </c>
      <c r="CC620" s="1" t="str">
        <f t="shared" si="484"/>
        <v>0</v>
      </c>
      <c r="CD620" s="1">
        <v>2200</v>
      </c>
      <c r="CE620" s="1">
        <v>11101</v>
      </c>
      <c r="CG620" s="1" t="s">
        <v>861</v>
      </c>
      <c r="CH620" s="1" t="s">
        <v>219</v>
      </c>
      <c r="CK620" s="1" t="s">
        <v>461</v>
      </c>
      <c r="CL620" s="1" t="s">
        <v>219</v>
      </c>
      <c r="CP620" s="1" t="s">
        <v>224</v>
      </c>
      <c r="CS620" s="1" t="s">
        <v>378</v>
      </c>
      <c r="CT620" s="1" t="s">
        <v>219</v>
      </c>
      <c r="CX620" s="1" t="s">
        <v>224</v>
      </c>
      <c r="DB620" s="1" t="s">
        <v>224</v>
      </c>
      <c r="DE620" s="1" t="s">
        <v>346</v>
      </c>
      <c r="DF620" s="1" t="s">
        <v>219</v>
      </c>
      <c r="DJ620" s="1" t="s">
        <v>224</v>
      </c>
      <c r="DS620" s="1" t="s">
        <v>230</v>
      </c>
      <c r="DW620" s="1" t="s">
        <v>230</v>
      </c>
      <c r="EA620" s="1" t="s">
        <v>230</v>
      </c>
      <c r="EE620" s="1" t="s">
        <v>230</v>
      </c>
      <c r="EI620" s="1" t="s">
        <v>230</v>
      </c>
      <c r="EL620" s="1" t="s">
        <v>605</v>
      </c>
      <c r="EM620" s="1" t="s">
        <v>232</v>
      </c>
      <c r="EN620" s="1" t="s">
        <v>731</v>
      </c>
      <c r="EO620" s="1" t="s">
        <v>234</v>
      </c>
      <c r="ER620" s="1" t="s">
        <v>210</v>
      </c>
      <c r="EW620" s="1" t="s">
        <v>7496</v>
      </c>
      <c r="EZ620" s="1" t="s">
        <v>287</v>
      </c>
      <c r="FD620" s="1" t="s">
        <v>246</v>
      </c>
      <c r="FE620" s="1" t="s">
        <v>247</v>
      </c>
      <c r="FF620" s="1" t="s">
        <v>248</v>
      </c>
      <c r="FH620" s="1" t="s">
        <v>249</v>
      </c>
      <c r="FL620" s="1" t="s">
        <v>810</v>
      </c>
      <c r="FM620" s="1" t="s">
        <v>252</v>
      </c>
      <c r="FN620" s="1" t="s">
        <v>213</v>
      </c>
      <c r="FO620" s="1" t="s">
        <v>213</v>
      </c>
      <c r="FQ620" s="1" t="s">
        <v>582</v>
      </c>
      <c r="FR620" s="1" t="s">
        <v>210</v>
      </c>
      <c r="FS620" s="1" t="s">
        <v>7497</v>
      </c>
      <c r="FT620" s="1" t="s">
        <v>584</v>
      </c>
      <c r="FU620" s="1" t="s">
        <v>204</v>
      </c>
      <c r="FW620" s="1" t="s">
        <v>7498</v>
      </c>
      <c r="FX620" s="1">
        <v>22994</v>
      </c>
      <c r="FY620" s="1" t="s">
        <v>7499</v>
      </c>
      <c r="FZ620" s="1" t="s">
        <v>7500</v>
      </c>
      <c r="GA620" s="1">
        <v>502340</v>
      </c>
      <c r="GB620" s="1" t="s">
        <v>7501</v>
      </c>
      <c r="GE620" s="1" t="s">
        <v>210</v>
      </c>
      <c r="GH620" s="1" t="s">
        <v>421</v>
      </c>
      <c r="GI620" s="1" t="s">
        <v>213</v>
      </c>
      <c r="GJ620" s="1" t="s">
        <v>260</v>
      </c>
      <c r="GK620" s="1" t="s">
        <v>210</v>
      </c>
      <c r="GL620" s="2">
        <v>42140</v>
      </c>
      <c r="GM620" s="1" t="s">
        <v>7502</v>
      </c>
    </row>
    <row r="621" spans="1:195">
      <c r="A621" s="1">
        <v>140000</v>
      </c>
      <c r="B621" s="1" t="s">
        <v>195</v>
      </c>
      <c r="C621" s="1" t="str">
        <f>"08810038"</f>
        <v>08810038</v>
      </c>
      <c r="D621" s="1" t="s">
        <v>196</v>
      </c>
      <c r="F621" s="1" t="str">
        <f>"540"</f>
        <v>540</v>
      </c>
      <c r="G621" s="2">
        <v>42009</v>
      </c>
      <c r="H621" s="1">
        <v>150000</v>
      </c>
      <c r="I621" s="1">
        <v>150000</v>
      </c>
      <c r="J621" s="1">
        <v>140000</v>
      </c>
      <c r="K621" s="2">
        <v>42009</v>
      </c>
      <c r="L621" s="1">
        <v>9</v>
      </c>
      <c r="M621" s="2">
        <v>42017</v>
      </c>
      <c r="N621" s="1">
        <v>9</v>
      </c>
      <c r="O621" s="2">
        <v>42017</v>
      </c>
      <c r="P621" s="1">
        <v>2648</v>
      </c>
      <c r="Q621" s="1" t="s">
        <v>302</v>
      </c>
      <c r="R621" s="2">
        <v>42079</v>
      </c>
      <c r="S621" s="1">
        <v>18093</v>
      </c>
      <c r="U621" s="1">
        <v>2160</v>
      </c>
      <c r="V621" s="1" t="s">
        <v>7503</v>
      </c>
      <c r="W621" s="1" t="s">
        <v>264</v>
      </c>
      <c r="X621" s="1">
        <v>2160</v>
      </c>
      <c r="Y621" s="1">
        <v>6</v>
      </c>
      <c r="Z621" s="1" t="s">
        <v>370</v>
      </c>
      <c r="AA621" s="1" t="s">
        <v>921</v>
      </c>
      <c r="AB621" s="1">
        <v>60564</v>
      </c>
      <c r="AD621" s="1" t="s">
        <v>7504</v>
      </c>
      <c r="AE621" s="1" t="s">
        <v>7505</v>
      </c>
      <c r="AF621" s="1">
        <v>1996</v>
      </c>
      <c r="AG621" s="1" t="s">
        <v>204</v>
      </c>
      <c r="AH621" s="1" t="s">
        <v>924</v>
      </c>
      <c r="AI621" s="1" t="s">
        <v>206</v>
      </c>
      <c r="AJ621" s="1" t="s">
        <v>924</v>
      </c>
      <c r="AK621" s="1" t="s">
        <v>7506</v>
      </c>
      <c r="AL621" s="1">
        <v>5</v>
      </c>
      <c r="AM621" s="1">
        <v>2</v>
      </c>
      <c r="AN621" s="1">
        <v>2</v>
      </c>
      <c r="AO621" s="1">
        <v>0</v>
      </c>
      <c r="AP621" s="1" t="s">
        <v>209</v>
      </c>
      <c r="AR621" s="1" t="s">
        <v>210</v>
      </c>
      <c r="AS621" s="1" t="s">
        <v>204</v>
      </c>
      <c r="AT621" s="1" t="s">
        <v>211</v>
      </c>
      <c r="AU621" s="1">
        <v>1</v>
      </c>
      <c r="AW621" s="1" t="s">
        <v>204</v>
      </c>
      <c r="AX621" s="1" t="s">
        <v>212</v>
      </c>
      <c r="AZ621" s="1">
        <v>2789</v>
      </c>
      <c r="BA621" s="1">
        <v>2013</v>
      </c>
      <c r="BB621" s="1" t="s">
        <v>3996</v>
      </c>
      <c r="BE621" s="1">
        <v>1142</v>
      </c>
      <c r="BF621" s="1">
        <v>1</v>
      </c>
      <c r="BG621" s="1">
        <v>0</v>
      </c>
      <c r="BL621" s="1">
        <v>156</v>
      </c>
      <c r="BM621" s="1" t="s">
        <v>204</v>
      </c>
      <c r="BN621" s="1" t="s">
        <v>213</v>
      </c>
      <c r="BO621" s="1">
        <v>30</v>
      </c>
      <c r="BP621" s="1" t="s">
        <v>204</v>
      </c>
      <c r="BR621" s="1" t="str">
        <f>"0734314018"</f>
        <v>0734314018</v>
      </c>
      <c r="BT621" s="1" t="s">
        <v>7507</v>
      </c>
      <c r="BU621" s="1" t="s">
        <v>2216</v>
      </c>
      <c r="BV621" s="1" t="s">
        <v>2217</v>
      </c>
      <c r="BW621" s="1" t="s">
        <v>2218</v>
      </c>
      <c r="BX621" s="1">
        <v>204</v>
      </c>
      <c r="BY621" s="1">
        <v>204</v>
      </c>
      <c r="BZ621" s="1">
        <v>204</v>
      </c>
      <c r="CB621" s="1" t="str">
        <f t="shared" ref="CB621:CC621" si="485">""</f>
        <v/>
      </c>
      <c r="CC621" s="1" t="str">
        <f t="shared" si="485"/>
        <v/>
      </c>
      <c r="CG621" s="1" t="s">
        <v>908</v>
      </c>
      <c r="CH621" s="1" t="s">
        <v>219</v>
      </c>
      <c r="CJ621" s="1" t="s">
        <v>343</v>
      </c>
      <c r="CK621" s="1" t="s">
        <v>221</v>
      </c>
      <c r="CL621" s="1" t="s">
        <v>219</v>
      </c>
      <c r="CN621" s="1" t="s">
        <v>343</v>
      </c>
      <c r="CO621" s="1" t="s">
        <v>629</v>
      </c>
      <c r="CP621" s="1" t="s">
        <v>219</v>
      </c>
      <c r="CS621" s="1" t="s">
        <v>1046</v>
      </c>
      <c r="CT621" s="1" t="s">
        <v>219</v>
      </c>
      <c r="CV621" s="1" t="s">
        <v>343</v>
      </c>
      <c r="CX621" s="1" t="s">
        <v>224</v>
      </c>
      <c r="DB621" s="1" t="s">
        <v>224</v>
      </c>
      <c r="DE621" s="1" t="s">
        <v>1046</v>
      </c>
      <c r="DF621" s="1" t="s">
        <v>219</v>
      </c>
      <c r="DJ621" s="1" t="s">
        <v>224</v>
      </c>
      <c r="DS621" s="1" t="s">
        <v>230</v>
      </c>
      <c r="DW621" s="1" t="s">
        <v>230</v>
      </c>
      <c r="EA621" s="1" t="s">
        <v>230</v>
      </c>
      <c r="EE621" s="1" t="s">
        <v>230</v>
      </c>
      <c r="EI621" s="1" t="s">
        <v>230</v>
      </c>
      <c r="EL621" s="1" t="s">
        <v>670</v>
      </c>
      <c r="EM621" s="1" t="s">
        <v>232</v>
      </c>
      <c r="EN621" s="1" t="s">
        <v>282</v>
      </c>
      <c r="EO621" s="1" t="s">
        <v>234</v>
      </c>
      <c r="EP621" s="1" t="s">
        <v>650</v>
      </c>
      <c r="EQ621" s="1" t="s">
        <v>953</v>
      </c>
      <c r="ER621" s="1" t="s">
        <v>210</v>
      </c>
      <c r="ES621" s="1" t="s">
        <v>1552</v>
      </c>
      <c r="EV621" s="1" t="s">
        <v>240</v>
      </c>
      <c r="EW621" s="1" t="s">
        <v>937</v>
      </c>
      <c r="EY621" s="1" t="s">
        <v>242</v>
      </c>
      <c r="EZ621" s="1" t="s">
        <v>287</v>
      </c>
      <c r="FD621" s="1" t="s">
        <v>246</v>
      </c>
      <c r="FE621" s="1" t="s">
        <v>975</v>
      </c>
      <c r="FF621" s="1" t="s">
        <v>248</v>
      </c>
      <c r="FH621" s="1" t="s">
        <v>249</v>
      </c>
      <c r="FI621" s="1" t="s">
        <v>357</v>
      </c>
      <c r="FL621" s="1" t="s">
        <v>3483</v>
      </c>
      <c r="FM621" s="1" t="s">
        <v>252</v>
      </c>
      <c r="FN621" s="1" t="s">
        <v>213</v>
      </c>
      <c r="FO621" s="1" t="s">
        <v>213</v>
      </c>
      <c r="FQ621" s="1" t="s">
        <v>293</v>
      </c>
      <c r="FR621" s="1" t="s">
        <v>210</v>
      </c>
      <c r="FS621" s="1" t="s">
        <v>3221</v>
      </c>
      <c r="FT621" s="1" t="s">
        <v>295</v>
      </c>
      <c r="FU621" s="1" t="s">
        <v>204</v>
      </c>
      <c r="FW621" s="1" t="s">
        <v>585</v>
      </c>
      <c r="FX621" s="1">
        <v>23156</v>
      </c>
      <c r="FY621" s="1" t="s">
        <v>1253</v>
      </c>
      <c r="FZ621" s="1" t="s">
        <v>7508</v>
      </c>
      <c r="GA621" s="1">
        <v>232932</v>
      </c>
      <c r="GB621" s="1" t="s">
        <v>7509</v>
      </c>
      <c r="GC621" s="1">
        <v>210623</v>
      </c>
      <c r="GE621" s="1" t="s">
        <v>480</v>
      </c>
      <c r="GI621" s="1" t="s">
        <v>213</v>
      </c>
      <c r="GJ621" s="1" t="s">
        <v>260</v>
      </c>
      <c r="GK621" s="1" t="s">
        <v>210</v>
      </c>
      <c r="GL621" s="2">
        <v>42079</v>
      </c>
      <c r="GM621" s="1" t="s">
        <v>7510</v>
      </c>
    </row>
    <row r="622" spans="1:195">
      <c r="A622" s="1">
        <v>137500</v>
      </c>
      <c r="B622" s="1" t="s">
        <v>195</v>
      </c>
      <c r="C622" s="1" t="str">
        <f>"08799968"</f>
        <v>08799968</v>
      </c>
      <c r="D622" s="1" t="s">
        <v>196</v>
      </c>
      <c r="F622" s="1" t="str">
        <f>"139"</f>
        <v>139</v>
      </c>
      <c r="G622" s="2">
        <v>41983</v>
      </c>
      <c r="H622" s="1">
        <v>139900</v>
      </c>
      <c r="I622" s="1">
        <v>139900</v>
      </c>
      <c r="J622" s="1">
        <v>137500</v>
      </c>
      <c r="K622" s="2">
        <v>41981</v>
      </c>
      <c r="L622" s="1">
        <v>31</v>
      </c>
      <c r="M622" s="2">
        <v>42011</v>
      </c>
      <c r="N622" s="1">
        <v>31</v>
      </c>
      <c r="O622" s="2">
        <v>42011</v>
      </c>
      <c r="P622" s="1">
        <v>23462</v>
      </c>
      <c r="Q622" s="1" t="s">
        <v>197</v>
      </c>
      <c r="R622" s="2">
        <v>42068</v>
      </c>
      <c r="S622" s="1">
        <v>240269</v>
      </c>
      <c r="T622" s="1">
        <v>2000</v>
      </c>
      <c r="U622" s="1">
        <v>1407</v>
      </c>
      <c r="V622" s="1" t="s">
        <v>6611</v>
      </c>
      <c r="W622" s="1" t="s">
        <v>264</v>
      </c>
      <c r="Y622" s="1">
        <v>4</v>
      </c>
      <c r="Z622" s="1" t="s">
        <v>370</v>
      </c>
      <c r="AA622" s="1" t="s">
        <v>1732</v>
      </c>
      <c r="AB622" s="1">
        <v>60139</v>
      </c>
      <c r="AE622" s="1" t="s">
        <v>7511</v>
      </c>
      <c r="AF622" s="1">
        <v>1987</v>
      </c>
      <c r="AG622" s="1" t="s">
        <v>204</v>
      </c>
      <c r="AH622" s="1" t="s">
        <v>1735</v>
      </c>
      <c r="AI622" s="1" t="s">
        <v>206</v>
      </c>
      <c r="AJ622" s="1" t="s">
        <v>269</v>
      </c>
      <c r="AL622" s="1">
        <v>5</v>
      </c>
      <c r="AM622" s="1">
        <v>2</v>
      </c>
      <c r="AN622" s="1">
        <v>2</v>
      </c>
      <c r="AO622" s="1">
        <v>1</v>
      </c>
      <c r="AP622" s="1" t="s">
        <v>209</v>
      </c>
      <c r="AR622" s="1" t="s">
        <v>210</v>
      </c>
      <c r="AT622" s="1" t="s">
        <v>211</v>
      </c>
      <c r="AU622" s="1">
        <v>1</v>
      </c>
      <c r="AW622" s="1" t="s">
        <v>204</v>
      </c>
      <c r="AX622" s="1" t="s">
        <v>212</v>
      </c>
      <c r="AZ622" s="1">
        <v>4041</v>
      </c>
      <c r="BA622" s="1">
        <v>2013</v>
      </c>
      <c r="BB622" s="1" t="s">
        <v>405</v>
      </c>
      <c r="BE622" s="1">
        <v>1010</v>
      </c>
      <c r="BF622" s="1">
        <v>1</v>
      </c>
      <c r="BG622" s="1">
        <v>0</v>
      </c>
      <c r="BL622" s="1">
        <v>185</v>
      </c>
      <c r="BM622" s="1" t="s">
        <v>204</v>
      </c>
      <c r="BN622" s="1" t="s">
        <v>213</v>
      </c>
      <c r="BO622" s="1">
        <v>0</v>
      </c>
      <c r="BP622" s="1" t="s">
        <v>204</v>
      </c>
      <c r="BR622" s="1" t="str">
        <f>"0233206050"</f>
        <v>0233206050</v>
      </c>
      <c r="BT622" s="1" t="s">
        <v>7512</v>
      </c>
      <c r="BU622" s="1" t="s">
        <v>7513</v>
      </c>
      <c r="BV622" s="1" t="s">
        <v>3645</v>
      </c>
      <c r="BW622" s="1" t="s">
        <v>1092</v>
      </c>
      <c r="BX622" s="1">
        <v>16</v>
      </c>
      <c r="BY622" s="1">
        <v>16</v>
      </c>
      <c r="BZ622" s="1">
        <v>87</v>
      </c>
      <c r="CB622" s="1" t="str">
        <f>"2"</f>
        <v>2</v>
      </c>
      <c r="CC622" s="1" t="str">
        <f>"0"</f>
        <v>0</v>
      </c>
      <c r="CD622" s="1">
        <v>24</v>
      </c>
      <c r="CE622" s="1">
        <v>0</v>
      </c>
      <c r="CG622" s="1" t="s">
        <v>1200</v>
      </c>
      <c r="CH622" s="1" t="s">
        <v>219</v>
      </c>
      <c r="CI622" s="1" t="s">
        <v>220</v>
      </c>
      <c r="CJ622" s="1" t="s">
        <v>252</v>
      </c>
      <c r="CK622" s="1" t="s">
        <v>539</v>
      </c>
      <c r="CL622" s="1" t="s">
        <v>277</v>
      </c>
      <c r="CM622" s="1" t="s">
        <v>220</v>
      </c>
      <c r="CN622" s="1" t="s">
        <v>252</v>
      </c>
      <c r="CO622" s="1" t="s">
        <v>629</v>
      </c>
      <c r="CP622" s="1" t="s">
        <v>219</v>
      </c>
      <c r="CQ622" s="1" t="s">
        <v>220</v>
      </c>
      <c r="CS622" s="1" t="s">
        <v>1297</v>
      </c>
      <c r="CT622" s="1" t="s">
        <v>277</v>
      </c>
      <c r="CU622" s="1" t="s">
        <v>220</v>
      </c>
      <c r="CV622" s="1" t="s">
        <v>252</v>
      </c>
      <c r="CX622" s="1" t="s">
        <v>224</v>
      </c>
      <c r="DB622" s="1" t="s">
        <v>224</v>
      </c>
      <c r="DE622" s="1" t="s">
        <v>516</v>
      </c>
      <c r="DF622" s="1" t="s">
        <v>219</v>
      </c>
      <c r="DG622" s="1" t="s">
        <v>229</v>
      </c>
      <c r="DH622" s="1" t="s">
        <v>210</v>
      </c>
      <c r="DJ622" s="1" t="s">
        <v>224</v>
      </c>
      <c r="DS622" s="1" t="s">
        <v>230</v>
      </c>
      <c r="DW622" s="1" t="s">
        <v>230</v>
      </c>
      <c r="EA622" s="1" t="s">
        <v>230</v>
      </c>
      <c r="EE622" s="1" t="s">
        <v>230</v>
      </c>
      <c r="EI622" s="1" t="s">
        <v>230</v>
      </c>
      <c r="EL622" s="1" t="s">
        <v>542</v>
      </c>
      <c r="EM622" s="1" t="s">
        <v>319</v>
      </c>
      <c r="EN622" s="1" t="s">
        <v>282</v>
      </c>
      <c r="EO622" s="1" t="s">
        <v>234</v>
      </c>
      <c r="EP622" s="1" t="s">
        <v>4938</v>
      </c>
      <c r="EQ622" s="1" t="s">
        <v>468</v>
      </c>
      <c r="ER622" s="1" t="s">
        <v>210</v>
      </c>
      <c r="ES622" s="1" t="s">
        <v>3719</v>
      </c>
      <c r="EU622" s="1" t="s">
        <v>3377</v>
      </c>
      <c r="EV622" s="1" t="s">
        <v>240</v>
      </c>
      <c r="EW622" s="1" t="s">
        <v>6645</v>
      </c>
      <c r="EY622" s="1" t="s">
        <v>242</v>
      </c>
      <c r="EZ622" s="1" t="s">
        <v>287</v>
      </c>
      <c r="FA622" s="1" t="s">
        <v>1270</v>
      </c>
      <c r="FB622" s="1" t="s">
        <v>289</v>
      </c>
      <c r="FD622" s="1" t="s">
        <v>246</v>
      </c>
      <c r="FE622" s="1" t="s">
        <v>975</v>
      </c>
      <c r="FF622" s="1" t="s">
        <v>248</v>
      </c>
      <c r="FH622" s="1" t="s">
        <v>550</v>
      </c>
      <c r="FI622" s="1" t="s">
        <v>473</v>
      </c>
      <c r="FL622" s="1" t="s">
        <v>358</v>
      </c>
      <c r="FM622" s="1" t="s">
        <v>252</v>
      </c>
      <c r="FN622" s="1" t="s">
        <v>213</v>
      </c>
      <c r="FO622" s="1" t="s">
        <v>213</v>
      </c>
      <c r="FQ622" s="1" t="s">
        <v>1884</v>
      </c>
      <c r="FR622" s="1" t="s">
        <v>210</v>
      </c>
      <c r="FS622" s="1" t="s">
        <v>7514</v>
      </c>
      <c r="FT622" s="1" t="s">
        <v>295</v>
      </c>
      <c r="FU622" s="1" t="s">
        <v>204</v>
      </c>
      <c r="FW622" s="1" t="s">
        <v>7515</v>
      </c>
      <c r="FX622" s="1">
        <v>25416</v>
      </c>
      <c r="FY622" s="1" t="s">
        <v>7516</v>
      </c>
      <c r="FZ622" s="1" t="s">
        <v>7517</v>
      </c>
      <c r="GA622" s="1">
        <v>220169</v>
      </c>
      <c r="GB622" s="1" t="s">
        <v>7518</v>
      </c>
      <c r="GE622" s="1" t="s">
        <v>658</v>
      </c>
      <c r="GI622" s="1" t="s">
        <v>204</v>
      </c>
      <c r="GJ622" s="1" t="s">
        <v>260</v>
      </c>
      <c r="GK622" s="1" t="s">
        <v>210</v>
      </c>
      <c r="GL622" s="2">
        <v>42070</v>
      </c>
      <c r="GM622" s="1" t="s">
        <v>7519</v>
      </c>
    </row>
    <row r="623" spans="1:195">
      <c r="A623" s="1">
        <v>75000</v>
      </c>
      <c r="B623" s="1" t="s">
        <v>195</v>
      </c>
      <c r="C623" s="1" t="str">
        <f>"08799345"</f>
        <v>08799345</v>
      </c>
      <c r="D623" s="1" t="s">
        <v>196</v>
      </c>
      <c r="F623" s="1" t="str">
        <f>"540"</f>
        <v>540</v>
      </c>
      <c r="G623" s="2">
        <v>41982</v>
      </c>
      <c r="H623" s="1">
        <v>94900</v>
      </c>
      <c r="I623" s="1">
        <v>89900</v>
      </c>
      <c r="J623" s="1">
        <v>75000</v>
      </c>
      <c r="K623" s="2">
        <v>41982</v>
      </c>
      <c r="L623" s="1">
        <v>28</v>
      </c>
      <c r="M623" s="2">
        <v>42009</v>
      </c>
      <c r="N623" s="1">
        <v>28</v>
      </c>
      <c r="O623" s="2">
        <v>42009</v>
      </c>
      <c r="P623" s="1">
        <v>25645</v>
      </c>
      <c r="Q623" s="1" t="s">
        <v>302</v>
      </c>
      <c r="R623" s="2">
        <v>42034</v>
      </c>
      <c r="S623" s="1">
        <v>88779</v>
      </c>
      <c r="U623" s="1">
        <v>1221</v>
      </c>
      <c r="V623" s="1" t="s">
        <v>2820</v>
      </c>
      <c r="W623" s="1" t="s">
        <v>1056</v>
      </c>
      <c r="X623" s="1">
        <v>100</v>
      </c>
      <c r="Y623" s="1">
        <v>6</v>
      </c>
      <c r="Z623" s="1" t="s">
        <v>370</v>
      </c>
      <c r="AA623" s="1" t="s">
        <v>921</v>
      </c>
      <c r="AB623" s="1">
        <v>60563</v>
      </c>
      <c r="AE623" s="1" t="s">
        <v>7520</v>
      </c>
      <c r="AF623" s="1">
        <v>1980</v>
      </c>
      <c r="AG623" s="1" t="s">
        <v>204</v>
      </c>
      <c r="AH623" s="1" t="s">
        <v>924</v>
      </c>
      <c r="AI623" s="1" t="s">
        <v>206</v>
      </c>
      <c r="AJ623" s="1" t="s">
        <v>924</v>
      </c>
      <c r="AL623" s="1">
        <v>5</v>
      </c>
      <c r="AM623" s="1">
        <v>2</v>
      </c>
      <c r="AN623" s="1">
        <v>2</v>
      </c>
      <c r="AO623" s="1">
        <v>0</v>
      </c>
      <c r="AP623" s="1" t="s">
        <v>209</v>
      </c>
      <c r="AR623" s="1" t="s">
        <v>210</v>
      </c>
      <c r="AS623" s="1" t="s">
        <v>204</v>
      </c>
      <c r="AT623" s="1" t="s">
        <v>211</v>
      </c>
      <c r="AU623" s="1">
        <v>1</v>
      </c>
      <c r="AW623" s="1" t="s">
        <v>204</v>
      </c>
      <c r="AX623" s="1" t="s">
        <v>212</v>
      </c>
      <c r="AZ623" s="1">
        <v>1676.84</v>
      </c>
      <c r="BA623" s="1">
        <v>2013</v>
      </c>
      <c r="BE623" s="1">
        <v>937</v>
      </c>
      <c r="BF623" s="1">
        <v>1</v>
      </c>
      <c r="BG623" s="1">
        <v>30</v>
      </c>
      <c r="BL623" s="1">
        <v>225</v>
      </c>
      <c r="BM623" s="1" t="s">
        <v>204</v>
      </c>
      <c r="BN623" s="1" t="s">
        <v>213</v>
      </c>
      <c r="BO623" s="1">
        <v>30</v>
      </c>
      <c r="BP623" s="1" t="s">
        <v>204</v>
      </c>
      <c r="BR623" s="1" t="str">
        <f>"0714222001"</f>
        <v>0714222001</v>
      </c>
      <c r="BT623" s="1" t="s">
        <v>7521</v>
      </c>
      <c r="BX623" s="1">
        <v>203</v>
      </c>
      <c r="BY623" s="1">
        <v>203</v>
      </c>
      <c r="BZ623" s="1">
        <v>203</v>
      </c>
      <c r="CB623" s="1" t="str">
        <f t="shared" ref="CB623:CC623" si="486">""</f>
        <v/>
      </c>
      <c r="CC623" s="1" t="str">
        <f t="shared" si="486"/>
        <v/>
      </c>
      <c r="CG623" s="1" t="s">
        <v>539</v>
      </c>
      <c r="CH623" s="1" t="s">
        <v>219</v>
      </c>
      <c r="CI623" s="1" t="s">
        <v>220</v>
      </c>
      <c r="CK623" s="1" t="s">
        <v>344</v>
      </c>
      <c r="CL623" s="1" t="s">
        <v>219</v>
      </c>
      <c r="CM623" s="1" t="s">
        <v>220</v>
      </c>
      <c r="CO623" s="1" t="s">
        <v>318</v>
      </c>
      <c r="CP623" s="1" t="s">
        <v>219</v>
      </c>
      <c r="CQ623" s="1" t="s">
        <v>220</v>
      </c>
      <c r="CS623" s="1" t="s">
        <v>379</v>
      </c>
      <c r="CT623" s="1" t="s">
        <v>219</v>
      </c>
      <c r="CU623" s="1" t="s">
        <v>220</v>
      </c>
      <c r="CX623" s="1" t="s">
        <v>224</v>
      </c>
      <c r="DB623" s="1" t="s">
        <v>224</v>
      </c>
      <c r="DE623" s="1" t="s">
        <v>409</v>
      </c>
      <c r="DF623" s="1" t="s">
        <v>219</v>
      </c>
      <c r="DG623" s="1" t="s">
        <v>342</v>
      </c>
      <c r="DJ623" s="1" t="s">
        <v>224</v>
      </c>
      <c r="DM623" s="1" t="s">
        <v>1771</v>
      </c>
      <c r="DR623" s="1" t="s">
        <v>1774</v>
      </c>
      <c r="DS623" s="1" t="s">
        <v>219</v>
      </c>
      <c r="DT623" s="1" t="s">
        <v>220</v>
      </c>
      <c r="DW623" s="1" t="s">
        <v>230</v>
      </c>
      <c r="EA623" s="1" t="s">
        <v>230</v>
      </c>
      <c r="EE623" s="1" t="s">
        <v>230</v>
      </c>
      <c r="EI623" s="1" t="s">
        <v>230</v>
      </c>
      <c r="EL623" s="1" t="s">
        <v>231</v>
      </c>
      <c r="EM623" s="1" t="s">
        <v>232</v>
      </c>
      <c r="EN623" s="1" t="s">
        <v>282</v>
      </c>
      <c r="EO623" s="1" t="s">
        <v>234</v>
      </c>
      <c r="ER623" s="1" t="s">
        <v>210</v>
      </c>
      <c r="EV623" s="1" t="s">
        <v>324</v>
      </c>
      <c r="EW623" s="1" t="s">
        <v>937</v>
      </c>
      <c r="EZ623" s="1" t="s">
        <v>1771</v>
      </c>
      <c r="FD623" s="1" t="s">
        <v>246</v>
      </c>
      <c r="FE623" s="1" t="s">
        <v>3771</v>
      </c>
      <c r="FF623" s="1" t="s">
        <v>248</v>
      </c>
      <c r="FH623" s="1" t="s">
        <v>249</v>
      </c>
      <c r="FL623" s="1" t="s">
        <v>292</v>
      </c>
      <c r="FM623" s="1" t="s">
        <v>252</v>
      </c>
      <c r="FN623" s="1" t="s">
        <v>213</v>
      </c>
      <c r="FO623" s="1" t="s">
        <v>213</v>
      </c>
      <c r="FQ623" s="1" t="s">
        <v>689</v>
      </c>
      <c r="FR623" s="1" t="s">
        <v>210</v>
      </c>
      <c r="FS623" s="1" t="s">
        <v>3448</v>
      </c>
      <c r="FT623" s="1" t="s">
        <v>584</v>
      </c>
      <c r="FU623" s="1" t="s">
        <v>204</v>
      </c>
      <c r="FW623" s="1" t="s">
        <v>3449</v>
      </c>
      <c r="FX623" s="1">
        <v>605</v>
      </c>
      <c r="FY623" s="1" t="s">
        <v>3450</v>
      </c>
      <c r="FZ623" s="1" t="s">
        <v>3451</v>
      </c>
      <c r="GA623" s="1">
        <v>170</v>
      </c>
      <c r="GB623" s="1" t="s">
        <v>3450</v>
      </c>
      <c r="GD623" s="1" t="s">
        <v>3452</v>
      </c>
      <c r="GE623" s="1" t="s">
        <v>210</v>
      </c>
      <c r="GI623" s="1" t="s">
        <v>213</v>
      </c>
      <c r="GJ623" s="1" t="s">
        <v>260</v>
      </c>
      <c r="GK623" s="1" t="s">
        <v>210</v>
      </c>
      <c r="GL623" s="2">
        <v>42034</v>
      </c>
      <c r="GM623" s="1" t="s">
        <v>7522</v>
      </c>
    </row>
    <row r="624" spans="1:195">
      <c r="A624" s="1">
        <v>83000</v>
      </c>
      <c r="B624" s="1" t="s">
        <v>195</v>
      </c>
      <c r="C624" s="1" t="str">
        <f>"08799324"</f>
        <v>08799324</v>
      </c>
      <c r="D624" s="1" t="s">
        <v>196</v>
      </c>
      <c r="F624" s="1" t="str">
        <f>"87"</f>
        <v>87</v>
      </c>
      <c r="G624" s="2">
        <v>41982</v>
      </c>
      <c r="H624" s="1">
        <v>122500</v>
      </c>
      <c r="I624" s="1">
        <v>100900</v>
      </c>
      <c r="J624" s="1">
        <v>83000</v>
      </c>
      <c r="K624" s="2">
        <v>41982</v>
      </c>
      <c r="L624" s="1">
        <v>84</v>
      </c>
      <c r="M624" s="2">
        <v>42065</v>
      </c>
      <c r="N624" s="1">
        <v>84</v>
      </c>
      <c r="O624" s="2">
        <v>42065</v>
      </c>
      <c r="P624" s="1">
        <v>8015</v>
      </c>
      <c r="Q624" s="1" t="s">
        <v>302</v>
      </c>
      <c r="R624" s="2">
        <v>42086</v>
      </c>
      <c r="S624" s="1">
        <v>80267</v>
      </c>
      <c r="U624" s="1">
        <v>13160</v>
      </c>
      <c r="V624" s="1" t="s">
        <v>7523</v>
      </c>
      <c r="W624" s="1" t="s">
        <v>264</v>
      </c>
      <c r="Y624" s="1">
        <v>4</v>
      </c>
      <c r="Z624" s="1" t="s">
        <v>370</v>
      </c>
      <c r="AA624" s="1" t="s">
        <v>4385</v>
      </c>
      <c r="AB624" s="1">
        <v>60083</v>
      </c>
      <c r="AD624" s="1" t="s">
        <v>7524</v>
      </c>
      <c r="AE624" s="1" t="s">
        <v>7525</v>
      </c>
      <c r="AF624" s="1">
        <v>2006</v>
      </c>
      <c r="AG624" s="1" t="s">
        <v>204</v>
      </c>
      <c r="AH624" s="1" t="s">
        <v>4388</v>
      </c>
      <c r="AI624" s="1" t="s">
        <v>509</v>
      </c>
      <c r="AJ624" s="1" t="s">
        <v>7526</v>
      </c>
      <c r="AK624" s="1" t="s">
        <v>1088</v>
      </c>
      <c r="AL624" s="1">
        <v>5</v>
      </c>
      <c r="AM624" s="1">
        <v>2</v>
      </c>
      <c r="AN624" s="1">
        <v>2</v>
      </c>
      <c r="AO624" s="1">
        <v>0</v>
      </c>
      <c r="AP624" s="1" t="s">
        <v>209</v>
      </c>
      <c r="AR624" s="1" t="s">
        <v>210</v>
      </c>
      <c r="AS624" s="1" t="s">
        <v>204</v>
      </c>
      <c r="AT624" s="1" t="s">
        <v>211</v>
      </c>
      <c r="AU624" s="1">
        <v>2</v>
      </c>
      <c r="AW624" s="1" t="s">
        <v>204</v>
      </c>
      <c r="AX624" s="1" t="s">
        <v>212</v>
      </c>
      <c r="AZ624" s="1">
        <v>3495.81</v>
      </c>
      <c r="BA624" s="1">
        <v>2013</v>
      </c>
      <c r="BE624" s="1">
        <v>1263</v>
      </c>
      <c r="BF624" s="1">
        <v>1</v>
      </c>
      <c r="BG624" s="1">
        <v>0</v>
      </c>
      <c r="BL624" s="1">
        <v>221</v>
      </c>
      <c r="BM624" s="1" t="s">
        <v>204</v>
      </c>
      <c r="BN624" s="1" t="s">
        <v>213</v>
      </c>
      <c r="BO624" s="1">
        <v>999</v>
      </c>
      <c r="BP624" s="1" t="s">
        <v>204</v>
      </c>
      <c r="BR624" s="1" t="str">
        <f>"03252040070000"</f>
        <v>03252040070000</v>
      </c>
      <c r="BT624" s="1" t="s">
        <v>7527</v>
      </c>
      <c r="BU624" s="1" t="s">
        <v>7528</v>
      </c>
      <c r="BV624" s="1" t="s">
        <v>7529</v>
      </c>
      <c r="BW624" s="1" t="s">
        <v>7530</v>
      </c>
      <c r="BX624" s="1">
        <v>3</v>
      </c>
      <c r="BY624" s="1">
        <v>3</v>
      </c>
      <c r="BZ624" s="1">
        <v>126</v>
      </c>
      <c r="CB624" s="1" t="str">
        <f>"39"</f>
        <v>39</v>
      </c>
      <c r="CC624" s="1" t="str">
        <f>"0"</f>
        <v>0</v>
      </c>
      <c r="CD624" s="1">
        <v>13</v>
      </c>
      <c r="CE624" s="1">
        <v>0</v>
      </c>
      <c r="CF624" s="1" t="s">
        <v>7531</v>
      </c>
      <c r="CG624" s="1" t="s">
        <v>1737</v>
      </c>
      <c r="CH624" s="1" t="s">
        <v>219</v>
      </c>
      <c r="CI624" s="1" t="s">
        <v>220</v>
      </c>
      <c r="CK624" s="1" t="s">
        <v>228</v>
      </c>
      <c r="CL624" s="1" t="s">
        <v>219</v>
      </c>
      <c r="CM624" s="1" t="s">
        <v>220</v>
      </c>
      <c r="CO624" s="1" t="s">
        <v>346</v>
      </c>
      <c r="CP624" s="1" t="s">
        <v>219</v>
      </c>
      <c r="CQ624" s="1" t="s">
        <v>220</v>
      </c>
      <c r="CS624" s="1" t="s">
        <v>379</v>
      </c>
      <c r="CT624" s="1" t="s">
        <v>219</v>
      </c>
      <c r="CU624" s="1" t="s">
        <v>220</v>
      </c>
      <c r="CX624" s="1" t="s">
        <v>224</v>
      </c>
      <c r="DB624" s="1" t="s">
        <v>224</v>
      </c>
      <c r="DE624" s="1" t="s">
        <v>379</v>
      </c>
      <c r="DF624" s="1" t="s">
        <v>219</v>
      </c>
      <c r="DG624" s="1" t="s">
        <v>342</v>
      </c>
      <c r="DJ624" s="1" t="s">
        <v>224</v>
      </c>
      <c r="DS624" s="1" t="s">
        <v>230</v>
      </c>
      <c r="DW624" s="1" t="s">
        <v>230</v>
      </c>
      <c r="EA624" s="1" t="s">
        <v>230</v>
      </c>
      <c r="EE624" s="1" t="s">
        <v>230</v>
      </c>
      <c r="EI624" s="1" t="s">
        <v>230</v>
      </c>
      <c r="EL624" s="1" t="s">
        <v>491</v>
      </c>
      <c r="EM624" s="1" t="s">
        <v>319</v>
      </c>
      <c r="EN624" s="1" t="s">
        <v>282</v>
      </c>
      <c r="EO624" s="1" t="s">
        <v>234</v>
      </c>
      <c r="EP624" s="1" t="s">
        <v>7532</v>
      </c>
      <c r="ER624" s="1" t="s">
        <v>210</v>
      </c>
      <c r="EU624" s="1" t="s">
        <v>239</v>
      </c>
      <c r="EW624" s="1" t="s">
        <v>7533</v>
      </c>
      <c r="EY624" s="1" t="s">
        <v>242</v>
      </c>
      <c r="EZ624" s="1" t="s">
        <v>287</v>
      </c>
      <c r="FA624" s="1" t="s">
        <v>1270</v>
      </c>
      <c r="FB624" s="1" t="s">
        <v>244</v>
      </c>
      <c r="FC624" s="1" t="s">
        <v>548</v>
      </c>
      <c r="FD624" s="1" t="s">
        <v>246</v>
      </c>
      <c r="FE624" s="1" t="s">
        <v>472</v>
      </c>
      <c r="FF624" s="1" t="s">
        <v>248</v>
      </c>
      <c r="FH624" s="1" t="s">
        <v>442</v>
      </c>
      <c r="FL624" s="1" t="s">
        <v>358</v>
      </c>
      <c r="FM624" s="1" t="s">
        <v>252</v>
      </c>
      <c r="FN624" s="1" t="s">
        <v>213</v>
      </c>
      <c r="FO624" s="1" t="s">
        <v>213</v>
      </c>
      <c r="FQ624" s="1" t="s">
        <v>689</v>
      </c>
      <c r="FR624" s="1" t="s">
        <v>210</v>
      </c>
      <c r="FS624" s="1" t="s">
        <v>7534</v>
      </c>
      <c r="FT624" s="1" t="s">
        <v>1828</v>
      </c>
      <c r="FU624" s="1" t="s">
        <v>204</v>
      </c>
      <c r="FW624" s="1" t="s">
        <v>7535</v>
      </c>
      <c r="FX624" s="1">
        <v>18133</v>
      </c>
      <c r="FY624" s="1" t="s">
        <v>7536</v>
      </c>
      <c r="FZ624" s="1" t="s">
        <v>7537</v>
      </c>
      <c r="GA624" s="1">
        <v>128731</v>
      </c>
      <c r="GB624" s="1" t="s">
        <v>7536</v>
      </c>
      <c r="GE624" s="1" t="s">
        <v>623</v>
      </c>
      <c r="GH624" s="1" t="s">
        <v>589</v>
      </c>
      <c r="GI624" s="1" t="s">
        <v>213</v>
      </c>
      <c r="GJ624" s="1" t="s">
        <v>260</v>
      </c>
      <c r="GK624" s="1" t="s">
        <v>210</v>
      </c>
      <c r="GL624" s="2">
        <v>42087</v>
      </c>
      <c r="GM624" s="1" t="s">
        <v>7538</v>
      </c>
    </row>
    <row r="625" spans="1:195">
      <c r="A625" s="1">
        <v>148000</v>
      </c>
      <c r="B625" s="1" t="s">
        <v>195</v>
      </c>
      <c r="C625" s="1" t="str">
        <f>"08801275"</f>
        <v>08801275</v>
      </c>
      <c r="D625" s="1" t="s">
        <v>196</v>
      </c>
      <c r="F625" s="1" t="str">
        <f>"191"</f>
        <v>191</v>
      </c>
      <c r="G625" s="2">
        <v>41985</v>
      </c>
      <c r="H625" s="1">
        <v>159900</v>
      </c>
      <c r="I625" s="1">
        <v>159900</v>
      </c>
      <c r="J625" s="1">
        <v>148000</v>
      </c>
      <c r="K625" s="2">
        <v>41984</v>
      </c>
      <c r="L625" s="1">
        <v>12</v>
      </c>
      <c r="M625" s="2">
        <v>41995</v>
      </c>
      <c r="N625" s="1">
        <v>12</v>
      </c>
      <c r="O625" s="2">
        <v>41995</v>
      </c>
      <c r="P625" s="1">
        <v>8073</v>
      </c>
      <c r="Q625" s="1" t="s">
        <v>302</v>
      </c>
      <c r="R625" s="2">
        <v>42009</v>
      </c>
      <c r="S625" s="1">
        <v>89198</v>
      </c>
      <c r="U625" s="1">
        <v>271</v>
      </c>
      <c r="V625" s="1" t="s">
        <v>7539</v>
      </c>
      <c r="W625" s="1" t="s">
        <v>725</v>
      </c>
      <c r="X625" s="1">
        <v>271</v>
      </c>
      <c r="Y625" s="1">
        <v>6</v>
      </c>
      <c r="Z625" s="1" t="s">
        <v>370</v>
      </c>
      <c r="AA625" s="1" t="s">
        <v>1966</v>
      </c>
      <c r="AB625" s="1">
        <v>60191</v>
      </c>
      <c r="AD625" s="1" t="s">
        <v>7540</v>
      </c>
      <c r="AE625" s="1" t="s">
        <v>7541</v>
      </c>
      <c r="AF625" s="1">
        <v>1969</v>
      </c>
      <c r="AG625" s="1" t="s">
        <v>213</v>
      </c>
      <c r="AH625" s="1" t="s">
        <v>1969</v>
      </c>
      <c r="AI625" s="1" t="s">
        <v>206</v>
      </c>
      <c r="AJ625" s="1" t="s">
        <v>1233</v>
      </c>
      <c r="AL625" s="1">
        <v>6</v>
      </c>
      <c r="AM625" s="1">
        <v>2</v>
      </c>
      <c r="AN625" s="1">
        <v>1</v>
      </c>
      <c r="AO625" s="1">
        <v>1</v>
      </c>
      <c r="AP625" s="1" t="s">
        <v>210</v>
      </c>
      <c r="AR625" s="1" t="s">
        <v>209</v>
      </c>
      <c r="AS625" s="1" t="s">
        <v>204</v>
      </c>
      <c r="AT625" s="1" t="s">
        <v>271</v>
      </c>
      <c r="AV625" s="1">
        <v>2</v>
      </c>
      <c r="AW625" s="1" t="s">
        <v>204</v>
      </c>
      <c r="AX625" s="1" t="s">
        <v>212</v>
      </c>
      <c r="AZ625" s="1">
        <v>1917</v>
      </c>
      <c r="BA625" s="1">
        <v>2013</v>
      </c>
      <c r="BE625" s="1">
        <v>990</v>
      </c>
      <c r="BF625" s="1">
        <v>1</v>
      </c>
      <c r="BG625" s="1">
        <v>1</v>
      </c>
      <c r="BL625" s="1">
        <v>205</v>
      </c>
      <c r="BM625" s="1" t="s">
        <v>204</v>
      </c>
      <c r="BN625" s="1" t="s">
        <v>213</v>
      </c>
      <c r="BO625" s="1">
        <v>999</v>
      </c>
      <c r="BP625" s="1" t="s">
        <v>204</v>
      </c>
      <c r="BR625" s="1" t="str">
        <f>"0316104001"</f>
        <v>0316104001</v>
      </c>
      <c r="BT625" s="1" t="s">
        <v>7542</v>
      </c>
      <c r="BX625" s="1">
        <v>7</v>
      </c>
      <c r="BY625" s="1">
        <v>7</v>
      </c>
      <c r="BZ625" s="1">
        <v>100</v>
      </c>
      <c r="CB625" s="1" t="str">
        <f t="shared" ref="CB625:CC625" si="487">""</f>
        <v/>
      </c>
      <c r="CC625" s="1" t="str">
        <f t="shared" si="487"/>
        <v/>
      </c>
      <c r="CG625" s="1" t="s">
        <v>1045</v>
      </c>
      <c r="CH625" s="1" t="s">
        <v>219</v>
      </c>
      <c r="CK625" s="1" t="s">
        <v>539</v>
      </c>
      <c r="CL625" s="1" t="s">
        <v>219</v>
      </c>
      <c r="CP625" s="1" t="s">
        <v>224</v>
      </c>
      <c r="CS625" s="1" t="s">
        <v>281</v>
      </c>
      <c r="CT625" s="1" t="s">
        <v>219</v>
      </c>
      <c r="CW625" s="1" t="s">
        <v>318</v>
      </c>
      <c r="CX625" s="1" t="s">
        <v>43</v>
      </c>
      <c r="DB625" s="1" t="s">
        <v>224</v>
      </c>
      <c r="DE625" s="1" t="s">
        <v>465</v>
      </c>
      <c r="DF625" s="1" t="s">
        <v>219</v>
      </c>
      <c r="DI625" s="1" t="s">
        <v>5427</v>
      </c>
      <c r="DJ625" s="1" t="s">
        <v>43</v>
      </c>
      <c r="DM625" s="1" t="s">
        <v>1614</v>
      </c>
      <c r="DR625" s="1" t="s">
        <v>565</v>
      </c>
      <c r="DS625" s="1" t="s">
        <v>43</v>
      </c>
      <c r="DW625" s="1" t="s">
        <v>230</v>
      </c>
      <c r="EA625" s="1" t="s">
        <v>230</v>
      </c>
      <c r="EE625" s="1" t="s">
        <v>230</v>
      </c>
      <c r="EI625" s="1" t="s">
        <v>230</v>
      </c>
      <c r="EL625" s="1" t="s">
        <v>605</v>
      </c>
      <c r="EM625" s="1" t="s">
        <v>232</v>
      </c>
      <c r="EN625" s="1" t="s">
        <v>282</v>
      </c>
      <c r="EO625" s="1" t="s">
        <v>840</v>
      </c>
      <c r="EP625" s="1" t="s">
        <v>7543</v>
      </c>
      <c r="EQ625" s="1" t="s">
        <v>492</v>
      </c>
      <c r="ER625" s="1" t="s">
        <v>544</v>
      </c>
      <c r="EU625" s="1" t="s">
        <v>7544</v>
      </c>
      <c r="EW625" s="1" t="s">
        <v>7545</v>
      </c>
      <c r="EZ625" s="1" t="s">
        <v>1614</v>
      </c>
      <c r="FA625" s="1" t="s">
        <v>6548</v>
      </c>
      <c r="FD625" s="1" t="s">
        <v>246</v>
      </c>
      <c r="FE625" s="1" t="s">
        <v>247</v>
      </c>
      <c r="FF625" s="1" t="s">
        <v>387</v>
      </c>
      <c r="FH625" s="1" t="s">
        <v>825</v>
      </c>
      <c r="FJ625" s="1" t="s">
        <v>7546</v>
      </c>
      <c r="FK625" s="1" t="s">
        <v>291</v>
      </c>
      <c r="FL625" s="1" t="s">
        <v>4215</v>
      </c>
      <c r="FM625" s="1" t="s">
        <v>252</v>
      </c>
      <c r="FN625" s="1" t="s">
        <v>213</v>
      </c>
      <c r="FO625" s="1" t="s">
        <v>213</v>
      </c>
      <c r="FQ625" s="1" t="s">
        <v>849</v>
      </c>
      <c r="FR625" s="1" t="s">
        <v>210</v>
      </c>
      <c r="FS625" s="1" t="s">
        <v>7547</v>
      </c>
      <c r="FT625" s="1" t="s">
        <v>295</v>
      </c>
      <c r="FU625" s="1" t="s">
        <v>204</v>
      </c>
      <c r="FW625" s="1" t="s">
        <v>4125</v>
      </c>
      <c r="FX625" s="1">
        <v>8073</v>
      </c>
      <c r="FY625" s="1" t="s">
        <v>4126</v>
      </c>
      <c r="FZ625" s="1" t="s">
        <v>7548</v>
      </c>
      <c r="GA625" s="1">
        <v>89198</v>
      </c>
      <c r="GB625" s="1" t="s">
        <v>7549</v>
      </c>
      <c r="GC625" s="1">
        <v>253586</v>
      </c>
      <c r="GD625" s="1" t="s">
        <v>7550</v>
      </c>
      <c r="GE625" s="1" t="s">
        <v>210</v>
      </c>
      <c r="GI625" s="1" t="s">
        <v>213</v>
      </c>
      <c r="GJ625" s="1" t="s">
        <v>260</v>
      </c>
      <c r="GK625" s="1" t="s">
        <v>210</v>
      </c>
      <c r="GL625" s="2">
        <v>42009</v>
      </c>
      <c r="GM625" s="1" t="s">
        <v>7551</v>
      </c>
    </row>
    <row r="626" spans="1:195">
      <c r="A626" s="1">
        <v>170000</v>
      </c>
      <c r="B626" s="1" t="s">
        <v>195</v>
      </c>
      <c r="C626" s="1" t="str">
        <f>"08800352"</f>
        <v>08800352</v>
      </c>
      <c r="D626" s="1" t="s">
        <v>196</v>
      </c>
      <c r="F626" s="1" t="str">
        <f>"47"</f>
        <v>47</v>
      </c>
      <c r="G626" s="2">
        <v>41983</v>
      </c>
      <c r="H626" s="1">
        <v>184900</v>
      </c>
      <c r="I626" s="1">
        <v>177900</v>
      </c>
      <c r="J626" s="1">
        <v>170000</v>
      </c>
      <c r="K626" s="2">
        <v>41982</v>
      </c>
      <c r="L626" s="1">
        <v>166</v>
      </c>
      <c r="M626" s="2">
        <v>42008</v>
      </c>
      <c r="N626" s="1">
        <v>27</v>
      </c>
      <c r="O626" s="2">
        <v>42008</v>
      </c>
      <c r="P626" s="1">
        <v>4549</v>
      </c>
      <c r="Q626" s="1" t="s">
        <v>197</v>
      </c>
      <c r="R626" s="2">
        <v>42056</v>
      </c>
      <c r="S626" s="1">
        <v>32776</v>
      </c>
      <c r="U626" s="1">
        <v>722</v>
      </c>
      <c r="V626" s="1" t="s">
        <v>7552</v>
      </c>
      <c r="W626" s="1" t="s">
        <v>2781</v>
      </c>
      <c r="X626" s="1">
        <v>722</v>
      </c>
      <c r="Y626" s="1">
        <v>5</v>
      </c>
      <c r="Z626" s="1" t="s">
        <v>370</v>
      </c>
      <c r="AA626" s="1" t="s">
        <v>528</v>
      </c>
      <c r="AB626" s="1">
        <v>60047</v>
      </c>
      <c r="AD626" s="1" t="s">
        <v>7553</v>
      </c>
      <c r="AE626" s="1" t="s">
        <v>7554</v>
      </c>
      <c r="AF626" s="1">
        <v>2004</v>
      </c>
      <c r="AG626" s="1" t="s">
        <v>204</v>
      </c>
      <c r="AH626" s="1" t="s">
        <v>531</v>
      </c>
      <c r="AI626" s="1" t="s">
        <v>509</v>
      </c>
      <c r="AJ626" s="1" t="s">
        <v>532</v>
      </c>
      <c r="AK626" s="1" t="s">
        <v>7555</v>
      </c>
      <c r="AL626" s="1">
        <v>6</v>
      </c>
      <c r="AM626" s="1">
        <v>2</v>
      </c>
      <c r="AN626" s="1">
        <v>2</v>
      </c>
      <c r="AO626" s="1">
        <v>1</v>
      </c>
      <c r="AP626" s="1" t="s">
        <v>209</v>
      </c>
      <c r="AR626" s="1" t="s">
        <v>1483</v>
      </c>
      <c r="AS626" s="1" t="s">
        <v>204</v>
      </c>
      <c r="AT626" s="1" t="s">
        <v>211</v>
      </c>
      <c r="AU626" s="1">
        <v>2</v>
      </c>
      <c r="AW626" s="1" t="s">
        <v>204</v>
      </c>
      <c r="AX626" s="1" t="s">
        <v>212</v>
      </c>
      <c r="AZ626" s="1">
        <v>4775</v>
      </c>
      <c r="BA626" s="1">
        <v>2013</v>
      </c>
      <c r="BB626" s="1" t="s">
        <v>405</v>
      </c>
      <c r="BE626" s="1">
        <v>1830</v>
      </c>
      <c r="BF626" s="1">
        <v>3</v>
      </c>
      <c r="BG626" s="1">
        <v>30</v>
      </c>
      <c r="BL626" s="1">
        <v>314</v>
      </c>
      <c r="BM626" s="1" t="s">
        <v>204</v>
      </c>
      <c r="BN626" s="1" t="s">
        <v>213</v>
      </c>
      <c r="BO626" s="1">
        <v>0</v>
      </c>
      <c r="BP626" s="1" t="s">
        <v>204</v>
      </c>
      <c r="BR626" s="1" t="str">
        <f>"14203071240000"</f>
        <v>14203071240000</v>
      </c>
      <c r="BT626" s="1" t="s">
        <v>7556</v>
      </c>
      <c r="BU626" s="1" t="s">
        <v>535</v>
      </c>
      <c r="BV626" s="1" t="s">
        <v>536</v>
      </c>
      <c r="BW626" s="1" t="s">
        <v>537</v>
      </c>
      <c r="BX626" s="1">
        <v>95</v>
      </c>
      <c r="BY626" s="1">
        <v>95</v>
      </c>
      <c r="BZ626" s="1">
        <v>95</v>
      </c>
      <c r="CB626" s="1" t="str">
        <f>"15"</f>
        <v>15</v>
      </c>
      <c r="CC626" s="1" t="str">
        <f t="shared" ref="CC626:CC628" si="488">"0"</f>
        <v>0</v>
      </c>
      <c r="CD626" s="1">
        <v>25</v>
      </c>
      <c r="CE626" s="1">
        <v>0</v>
      </c>
      <c r="CG626" s="1" t="s">
        <v>602</v>
      </c>
      <c r="CH626" s="1" t="s">
        <v>219</v>
      </c>
      <c r="CI626" s="1" t="s">
        <v>220</v>
      </c>
      <c r="CK626" s="1" t="s">
        <v>377</v>
      </c>
      <c r="CL626" s="1" t="s">
        <v>277</v>
      </c>
      <c r="CM626" s="1" t="s">
        <v>220</v>
      </c>
      <c r="CO626" s="1" t="s">
        <v>837</v>
      </c>
      <c r="CP626" s="1" t="s">
        <v>219</v>
      </c>
      <c r="CQ626" s="1" t="s">
        <v>220</v>
      </c>
      <c r="CS626" s="1" t="s">
        <v>932</v>
      </c>
      <c r="CT626" s="1" t="s">
        <v>277</v>
      </c>
      <c r="CU626" s="1" t="s">
        <v>220</v>
      </c>
      <c r="CX626" s="1" t="s">
        <v>224</v>
      </c>
      <c r="DB626" s="1" t="s">
        <v>224</v>
      </c>
      <c r="DE626" s="1" t="s">
        <v>437</v>
      </c>
      <c r="DF626" s="1" t="s">
        <v>219</v>
      </c>
      <c r="DG626" s="1" t="s">
        <v>342</v>
      </c>
      <c r="DI626" s="1" t="s">
        <v>221</v>
      </c>
      <c r="DJ626" s="1" t="s">
        <v>822</v>
      </c>
      <c r="DK626" s="1" t="s">
        <v>220</v>
      </c>
      <c r="DS626" s="1" t="s">
        <v>230</v>
      </c>
      <c r="DW626" s="1" t="s">
        <v>230</v>
      </c>
      <c r="EA626" s="1" t="s">
        <v>230</v>
      </c>
      <c r="EE626" s="1" t="s">
        <v>230</v>
      </c>
      <c r="EI626" s="1" t="s">
        <v>230</v>
      </c>
      <c r="EL626" s="1" t="s">
        <v>491</v>
      </c>
      <c r="EM626" s="1" t="s">
        <v>319</v>
      </c>
      <c r="EN626" s="1" t="s">
        <v>282</v>
      </c>
      <c r="EO626" s="1" t="s">
        <v>840</v>
      </c>
      <c r="EP626" s="1" t="s">
        <v>4938</v>
      </c>
      <c r="EQ626" s="1" t="s">
        <v>1344</v>
      </c>
      <c r="ER626" s="1" t="s">
        <v>544</v>
      </c>
      <c r="ES626" s="1" t="s">
        <v>824</v>
      </c>
      <c r="EV626" s="1" t="s">
        <v>324</v>
      </c>
      <c r="EW626" s="1" t="s">
        <v>991</v>
      </c>
      <c r="EY626" s="1" t="s">
        <v>242</v>
      </c>
      <c r="EZ626" s="1" t="s">
        <v>287</v>
      </c>
      <c r="FD626" s="1" t="s">
        <v>246</v>
      </c>
      <c r="FE626" s="1" t="s">
        <v>549</v>
      </c>
      <c r="FF626" s="1" t="s">
        <v>248</v>
      </c>
      <c r="FH626" s="1" t="s">
        <v>1428</v>
      </c>
      <c r="FL626" s="1" t="s">
        <v>358</v>
      </c>
      <c r="FM626" s="1" t="s">
        <v>252</v>
      </c>
      <c r="FN626" s="1" t="s">
        <v>213</v>
      </c>
      <c r="FO626" s="1" t="s">
        <v>213</v>
      </c>
      <c r="FQ626" s="1" t="s">
        <v>689</v>
      </c>
      <c r="FR626" s="1" t="s">
        <v>210</v>
      </c>
      <c r="FS626" s="1" t="s">
        <v>7557</v>
      </c>
      <c r="FT626" s="1" t="s">
        <v>584</v>
      </c>
      <c r="FU626" s="1" t="s">
        <v>204</v>
      </c>
      <c r="FW626" s="1" t="s">
        <v>7558</v>
      </c>
      <c r="FX626" s="1">
        <v>1622</v>
      </c>
      <c r="FY626" s="1" t="s">
        <v>7559</v>
      </c>
      <c r="FZ626" s="1" t="s">
        <v>7560</v>
      </c>
      <c r="GA626" s="1">
        <v>26066</v>
      </c>
      <c r="GB626" s="1" t="s">
        <v>7559</v>
      </c>
      <c r="GE626" s="1" t="s">
        <v>480</v>
      </c>
      <c r="GI626" s="1" t="s">
        <v>213</v>
      </c>
      <c r="GJ626" s="1" t="s">
        <v>260</v>
      </c>
      <c r="GK626" s="1" t="s">
        <v>210</v>
      </c>
      <c r="GL626" s="2">
        <v>42058</v>
      </c>
      <c r="GM626" s="1" t="s">
        <v>7561</v>
      </c>
    </row>
    <row r="627" spans="1:195">
      <c r="A627" s="1">
        <v>128000</v>
      </c>
      <c r="B627" s="1" t="s">
        <v>195</v>
      </c>
      <c r="C627" s="1" t="str">
        <f>"08803660"</f>
        <v>08803660</v>
      </c>
      <c r="D627" s="1" t="s">
        <v>196</v>
      </c>
      <c r="F627" s="1" t="str">
        <f>"123"</f>
        <v>123</v>
      </c>
      <c r="G627" s="2">
        <v>41990</v>
      </c>
      <c r="H627" s="1">
        <v>137500</v>
      </c>
      <c r="I627" s="1">
        <v>137500</v>
      </c>
      <c r="J627" s="1">
        <v>128000</v>
      </c>
      <c r="K627" s="2">
        <v>41990</v>
      </c>
      <c r="L627" s="1">
        <v>29</v>
      </c>
      <c r="M627" s="2">
        <v>42018</v>
      </c>
      <c r="N627" s="1">
        <v>29</v>
      </c>
      <c r="O627" s="2">
        <v>42018</v>
      </c>
      <c r="P627" s="1">
        <v>662</v>
      </c>
      <c r="Q627" s="1" t="s">
        <v>197</v>
      </c>
      <c r="R627" s="2">
        <v>42090</v>
      </c>
      <c r="S627" s="1">
        <v>8746</v>
      </c>
      <c r="U627" s="1">
        <v>476</v>
      </c>
      <c r="V627" s="1" t="s">
        <v>7562</v>
      </c>
      <c r="W627" s="1" t="s">
        <v>526</v>
      </c>
      <c r="Y627" s="1">
        <v>4</v>
      </c>
      <c r="Z627" s="1" t="s">
        <v>249</v>
      </c>
      <c r="AA627" s="1" t="s">
        <v>1173</v>
      </c>
      <c r="AB627" s="1">
        <v>60120</v>
      </c>
      <c r="AD627" s="1" t="s">
        <v>5007</v>
      </c>
      <c r="AE627" s="1" t="s">
        <v>7563</v>
      </c>
      <c r="AF627" s="1">
        <v>2001</v>
      </c>
      <c r="AG627" s="1" t="s">
        <v>204</v>
      </c>
      <c r="AH627" s="1" t="s">
        <v>1175</v>
      </c>
      <c r="AI627" s="1" t="s">
        <v>310</v>
      </c>
      <c r="AJ627" s="1" t="s">
        <v>1175</v>
      </c>
      <c r="AL627" s="1">
        <v>5</v>
      </c>
      <c r="AM627" s="1">
        <v>2</v>
      </c>
      <c r="AN627" s="1">
        <v>1</v>
      </c>
      <c r="AO627" s="1">
        <v>1</v>
      </c>
      <c r="AP627" s="1" t="s">
        <v>667</v>
      </c>
      <c r="AR627" s="1" t="s">
        <v>1631</v>
      </c>
      <c r="AS627" s="1" t="s">
        <v>204</v>
      </c>
      <c r="AT627" s="1" t="s">
        <v>211</v>
      </c>
      <c r="AU627" s="1">
        <v>2</v>
      </c>
      <c r="AW627" s="1" t="s">
        <v>204</v>
      </c>
      <c r="AX627" s="1" t="s">
        <v>212</v>
      </c>
      <c r="AZ627" s="1">
        <v>1805</v>
      </c>
      <c r="BA627" s="1">
        <v>2013</v>
      </c>
      <c r="BB627" s="1" t="s">
        <v>405</v>
      </c>
      <c r="BE627" s="1">
        <v>1210</v>
      </c>
      <c r="BF627" s="1">
        <v>1</v>
      </c>
      <c r="BG627" s="1">
        <v>0</v>
      </c>
      <c r="BL627" s="1">
        <v>130</v>
      </c>
      <c r="BM627" s="1" t="s">
        <v>204</v>
      </c>
      <c r="BN627" s="1" t="s">
        <v>213</v>
      </c>
      <c r="BO627" s="1">
        <v>999</v>
      </c>
      <c r="BP627" s="1" t="s">
        <v>204</v>
      </c>
      <c r="BR627" s="1" t="str">
        <f>"06202080181212"</f>
        <v>06202080181212</v>
      </c>
      <c r="BT627" s="1" t="s">
        <v>7564</v>
      </c>
      <c r="BU627" s="1" t="s">
        <v>2057</v>
      </c>
      <c r="BV627" s="1" t="s">
        <v>2057</v>
      </c>
      <c r="BW627" s="1" t="s">
        <v>2058</v>
      </c>
      <c r="BX627" s="1">
        <v>46</v>
      </c>
      <c r="BY627" s="1">
        <v>46</v>
      </c>
      <c r="BZ627" s="1">
        <v>46</v>
      </c>
      <c r="CB627" s="1" t="str">
        <f>"10"</f>
        <v>10</v>
      </c>
      <c r="CC627" s="1" t="str">
        <f t="shared" si="488"/>
        <v>0</v>
      </c>
      <c r="CD627" s="1">
        <v>31</v>
      </c>
      <c r="CE627" s="1">
        <v>0</v>
      </c>
      <c r="CG627" s="1" t="s">
        <v>669</v>
      </c>
      <c r="CH627" s="1" t="s">
        <v>219</v>
      </c>
      <c r="CI627" s="1" t="s">
        <v>438</v>
      </c>
      <c r="CJ627" s="1" t="s">
        <v>252</v>
      </c>
      <c r="CK627" s="1" t="s">
        <v>729</v>
      </c>
      <c r="CL627" s="1" t="s">
        <v>277</v>
      </c>
      <c r="CM627" s="1" t="s">
        <v>220</v>
      </c>
      <c r="CN627" s="1" t="s">
        <v>252</v>
      </c>
      <c r="CO627" s="1" t="s">
        <v>379</v>
      </c>
      <c r="CP627" s="1" t="s">
        <v>219</v>
      </c>
      <c r="CQ627" s="1" t="s">
        <v>438</v>
      </c>
      <c r="CR627" s="1" t="s">
        <v>252</v>
      </c>
      <c r="CS627" s="1" t="s">
        <v>317</v>
      </c>
      <c r="CT627" s="1" t="s">
        <v>277</v>
      </c>
      <c r="CU627" s="1" t="s">
        <v>220</v>
      </c>
      <c r="CV627" s="1" t="s">
        <v>252</v>
      </c>
      <c r="CX627" s="1" t="s">
        <v>224</v>
      </c>
      <c r="DB627" s="1" t="s">
        <v>224</v>
      </c>
      <c r="DE627" s="1" t="s">
        <v>379</v>
      </c>
      <c r="DF627" s="1" t="s">
        <v>219</v>
      </c>
      <c r="DG627" s="1" t="s">
        <v>438</v>
      </c>
      <c r="DH627" s="1" t="s">
        <v>252</v>
      </c>
      <c r="DJ627" s="1" t="s">
        <v>224</v>
      </c>
      <c r="DS627" s="1" t="s">
        <v>230</v>
      </c>
      <c r="DW627" s="1" t="s">
        <v>230</v>
      </c>
      <c r="EA627" s="1" t="s">
        <v>230</v>
      </c>
      <c r="EE627" s="1" t="s">
        <v>230</v>
      </c>
      <c r="EI627" s="1" t="s">
        <v>230</v>
      </c>
      <c r="EL627" s="1" t="s">
        <v>466</v>
      </c>
      <c r="EM627" s="1" t="s">
        <v>319</v>
      </c>
      <c r="EN627" s="1" t="s">
        <v>282</v>
      </c>
      <c r="EO627" s="1" t="s">
        <v>234</v>
      </c>
      <c r="EP627" s="1" t="s">
        <v>7565</v>
      </c>
      <c r="EQ627" s="1" t="s">
        <v>492</v>
      </c>
      <c r="ER627" s="1" t="s">
        <v>544</v>
      </c>
      <c r="ES627" s="1" t="s">
        <v>1552</v>
      </c>
      <c r="EU627" s="1" t="s">
        <v>239</v>
      </c>
      <c r="EV627" s="1" t="s">
        <v>240</v>
      </c>
      <c r="EW627" s="1" t="s">
        <v>887</v>
      </c>
      <c r="EY627" s="1" t="s">
        <v>790</v>
      </c>
      <c r="EZ627" s="1" t="s">
        <v>287</v>
      </c>
      <c r="FA627" s="1" t="s">
        <v>1270</v>
      </c>
      <c r="FB627" s="1" t="s">
        <v>289</v>
      </c>
      <c r="FD627" s="1" t="s">
        <v>246</v>
      </c>
      <c r="FE627" s="1" t="s">
        <v>472</v>
      </c>
      <c r="FF627" s="1" t="s">
        <v>248</v>
      </c>
      <c r="FH627" s="1" t="s">
        <v>550</v>
      </c>
      <c r="FI627" s="1" t="s">
        <v>473</v>
      </c>
      <c r="FL627" s="1" t="s">
        <v>810</v>
      </c>
      <c r="FM627" s="1" t="s">
        <v>252</v>
      </c>
      <c r="FN627" s="1" t="s">
        <v>213</v>
      </c>
      <c r="FO627" s="1" t="s">
        <v>213</v>
      </c>
      <c r="FQ627" s="1" t="s">
        <v>7566</v>
      </c>
      <c r="FR627" s="1" t="s">
        <v>210</v>
      </c>
      <c r="FS627" s="1" t="s">
        <v>7567</v>
      </c>
      <c r="FT627" s="1" t="s">
        <v>295</v>
      </c>
      <c r="FU627" s="1" t="s">
        <v>204</v>
      </c>
      <c r="FW627" s="1" t="s">
        <v>6296</v>
      </c>
      <c r="FX627" s="1">
        <v>4796</v>
      </c>
      <c r="FY627" s="1" t="s">
        <v>6297</v>
      </c>
      <c r="FZ627" s="1" t="s">
        <v>7568</v>
      </c>
      <c r="GA627" s="1">
        <v>35713</v>
      </c>
      <c r="GB627" s="1" t="s">
        <v>6297</v>
      </c>
      <c r="GC627" s="1">
        <v>41999</v>
      </c>
      <c r="GD627" s="1" t="s">
        <v>7569</v>
      </c>
      <c r="GE627" s="1" t="s">
        <v>210</v>
      </c>
      <c r="GI627" s="1" t="s">
        <v>204</v>
      </c>
      <c r="GJ627" s="1" t="s">
        <v>260</v>
      </c>
      <c r="GK627" s="1" t="s">
        <v>210</v>
      </c>
      <c r="GL627" s="2">
        <v>42102</v>
      </c>
    </row>
    <row r="628" spans="1:195">
      <c r="A628" s="1">
        <v>75000</v>
      </c>
      <c r="B628" s="1" t="s">
        <v>195</v>
      </c>
      <c r="C628" s="1" t="str">
        <f>"08800502"</f>
        <v>08800502</v>
      </c>
      <c r="D628" s="1" t="s">
        <v>196</v>
      </c>
      <c r="F628" s="1" t="str">
        <f>"140"</f>
        <v>140</v>
      </c>
      <c r="G628" s="2">
        <v>41984</v>
      </c>
      <c r="H628" s="1">
        <v>119900</v>
      </c>
      <c r="I628" s="1">
        <v>79900</v>
      </c>
      <c r="J628" s="1">
        <v>75000</v>
      </c>
      <c r="K628" s="2">
        <v>41983</v>
      </c>
      <c r="L628" s="1">
        <v>108</v>
      </c>
      <c r="M628" s="2">
        <v>42090</v>
      </c>
      <c r="N628" s="1">
        <v>108</v>
      </c>
      <c r="O628" s="2">
        <v>42090</v>
      </c>
      <c r="P628" s="1">
        <v>5030</v>
      </c>
      <c r="Q628" s="1" t="s">
        <v>302</v>
      </c>
      <c r="R628" s="2">
        <v>42104</v>
      </c>
      <c r="S628" s="1">
        <v>55537</v>
      </c>
      <c r="U628" s="1">
        <v>1037</v>
      </c>
      <c r="V628" s="1" t="s">
        <v>7570</v>
      </c>
      <c r="W628" s="1" t="s">
        <v>264</v>
      </c>
      <c r="Y628" s="1">
        <v>6</v>
      </c>
      <c r="Z628" s="1" t="s">
        <v>249</v>
      </c>
      <c r="AA628" s="1" t="s">
        <v>1658</v>
      </c>
      <c r="AB628" s="1">
        <v>60140</v>
      </c>
      <c r="AD628" s="1" t="s">
        <v>7571</v>
      </c>
      <c r="AE628" s="1" t="s">
        <v>7572</v>
      </c>
      <c r="AF628" s="1">
        <v>2007</v>
      </c>
      <c r="AG628" s="1" t="s">
        <v>204</v>
      </c>
      <c r="AH628" s="1" t="s">
        <v>1660</v>
      </c>
      <c r="AI628" s="1" t="s">
        <v>665</v>
      </c>
      <c r="AJ628" s="1" t="s">
        <v>1660</v>
      </c>
      <c r="AL628" s="1">
        <v>7</v>
      </c>
      <c r="AM628" s="1">
        <v>2</v>
      </c>
      <c r="AN628" s="1">
        <v>2</v>
      </c>
      <c r="AO628" s="1">
        <v>0</v>
      </c>
      <c r="AP628" s="1" t="s">
        <v>210</v>
      </c>
      <c r="AQ628" s="1">
        <v>0</v>
      </c>
      <c r="AR628" s="1" t="s">
        <v>210</v>
      </c>
      <c r="AS628" s="1" t="s">
        <v>204</v>
      </c>
      <c r="AT628" s="1" t="s">
        <v>211</v>
      </c>
      <c r="AU628" s="1">
        <v>2</v>
      </c>
      <c r="AW628" s="1" t="s">
        <v>204</v>
      </c>
      <c r="AX628" s="1" t="s">
        <v>212</v>
      </c>
      <c r="AZ628" s="1">
        <v>4235.7</v>
      </c>
      <c r="BA628" s="1">
        <v>2013</v>
      </c>
      <c r="BE628" s="1">
        <v>1322</v>
      </c>
      <c r="BF628" s="1">
        <v>1</v>
      </c>
      <c r="BG628" s="1">
        <v>0</v>
      </c>
      <c r="BL628" s="1">
        <v>132</v>
      </c>
      <c r="BM628" s="1" t="s">
        <v>213</v>
      </c>
      <c r="BN628" s="1" t="s">
        <v>213</v>
      </c>
      <c r="BO628" s="1">
        <v>999</v>
      </c>
      <c r="BP628" s="1" t="s">
        <v>204</v>
      </c>
      <c r="BR628" s="1" t="str">
        <f>"0126152037"</f>
        <v>0126152037</v>
      </c>
      <c r="BT628" s="1" t="s">
        <v>7573</v>
      </c>
      <c r="BU628" s="1" t="s">
        <v>5057</v>
      </c>
      <c r="BV628" s="1" t="s">
        <v>754</v>
      </c>
      <c r="BW628" s="1" t="s">
        <v>755</v>
      </c>
      <c r="BX628" s="1">
        <v>300</v>
      </c>
      <c r="BY628" s="1">
        <v>300</v>
      </c>
      <c r="BZ628" s="1">
        <v>300</v>
      </c>
      <c r="CB628" s="1" t="str">
        <f>"6"</f>
        <v>6</v>
      </c>
      <c r="CC628" s="1" t="str">
        <f t="shared" si="488"/>
        <v>0</v>
      </c>
      <c r="CD628" s="1">
        <v>45</v>
      </c>
      <c r="CE628" s="1">
        <v>0</v>
      </c>
      <c r="CG628" s="1" t="s">
        <v>461</v>
      </c>
      <c r="CH628" s="1" t="s">
        <v>219</v>
      </c>
      <c r="CI628" s="1" t="s">
        <v>220</v>
      </c>
      <c r="CK628" s="1" t="s">
        <v>1533</v>
      </c>
      <c r="CL628" s="1" t="s">
        <v>219</v>
      </c>
      <c r="CM628" s="1" t="s">
        <v>220</v>
      </c>
      <c r="CO628" s="1" t="s">
        <v>316</v>
      </c>
      <c r="CP628" s="1" t="s">
        <v>219</v>
      </c>
      <c r="CQ628" s="1" t="s">
        <v>226</v>
      </c>
      <c r="CS628" s="1" t="s">
        <v>409</v>
      </c>
      <c r="CT628" s="1" t="s">
        <v>822</v>
      </c>
      <c r="CU628" s="1" t="s">
        <v>220</v>
      </c>
      <c r="CX628" s="1" t="s">
        <v>224</v>
      </c>
      <c r="DB628" s="1" t="s">
        <v>224</v>
      </c>
      <c r="DE628" s="1" t="s">
        <v>346</v>
      </c>
      <c r="DF628" s="1" t="s">
        <v>219</v>
      </c>
      <c r="DG628" s="1" t="s">
        <v>342</v>
      </c>
      <c r="DI628" s="1" t="s">
        <v>465</v>
      </c>
      <c r="DJ628" s="1" t="s">
        <v>822</v>
      </c>
      <c r="DK628" s="1" t="s">
        <v>220</v>
      </c>
      <c r="DM628" s="1" t="s">
        <v>464</v>
      </c>
      <c r="DR628" s="1" t="s">
        <v>1470</v>
      </c>
      <c r="DS628" s="1" t="s">
        <v>219</v>
      </c>
      <c r="DT628" s="1" t="s">
        <v>220</v>
      </c>
      <c r="DW628" s="1" t="s">
        <v>230</v>
      </c>
      <c r="EA628" s="1" t="s">
        <v>230</v>
      </c>
      <c r="EE628" s="1" t="s">
        <v>230</v>
      </c>
      <c r="EI628" s="1" t="s">
        <v>230</v>
      </c>
      <c r="EL628" s="1" t="s">
        <v>491</v>
      </c>
      <c r="EM628" s="1" t="s">
        <v>319</v>
      </c>
      <c r="EN628" s="1" t="s">
        <v>282</v>
      </c>
      <c r="EO628" s="1" t="s">
        <v>234</v>
      </c>
      <c r="EP628" s="1" t="s">
        <v>1489</v>
      </c>
      <c r="EQ628" s="1" t="s">
        <v>1867</v>
      </c>
      <c r="ER628" s="1" t="s">
        <v>383</v>
      </c>
      <c r="EW628" s="1" t="s">
        <v>353</v>
      </c>
      <c r="EY628" s="1" t="s">
        <v>790</v>
      </c>
      <c r="EZ628" s="1" t="s">
        <v>464</v>
      </c>
      <c r="FA628" s="1" t="s">
        <v>1072</v>
      </c>
      <c r="FB628" s="1" t="s">
        <v>289</v>
      </c>
      <c r="FC628" s="1" t="s">
        <v>1362</v>
      </c>
      <c r="FD628" s="1" t="s">
        <v>246</v>
      </c>
      <c r="FE628" s="1" t="s">
        <v>247</v>
      </c>
      <c r="FF628" s="1" t="s">
        <v>248</v>
      </c>
      <c r="FH628" s="1" t="s">
        <v>249</v>
      </c>
      <c r="FI628" s="1" t="s">
        <v>473</v>
      </c>
      <c r="FJ628" s="1" t="s">
        <v>2046</v>
      </c>
      <c r="FL628" s="1" t="s">
        <v>358</v>
      </c>
      <c r="FM628" s="1" t="s">
        <v>252</v>
      </c>
      <c r="FN628" s="1" t="s">
        <v>213</v>
      </c>
      <c r="FO628" s="1" t="s">
        <v>213</v>
      </c>
      <c r="FQ628" s="1" t="s">
        <v>673</v>
      </c>
      <c r="FR628" s="1" t="s">
        <v>210</v>
      </c>
      <c r="FS628" s="1" t="s">
        <v>5323</v>
      </c>
      <c r="FT628" s="1" t="s">
        <v>2609</v>
      </c>
      <c r="FU628" s="1" t="s">
        <v>204</v>
      </c>
      <c r="FW628" s="1" t="s">
        <v>4583</v>
      </c>
      <c r="FX628" s="1">
        <v>24811</v>
      </c>
      <c r="FY628" s="1" t="s">
        <v>4584</v>
      </c>
      <c r="FZ628" s="1" t="s">
        <v>4585</v>
      </c>
      <c r="GA628" s="1">
        <v>237447</v>
      </c>
      <c r="GE628" s="1" t="s">
        <v>210</v>
      </c>
      <c r="GI628" s="1" t="s">
        <v>213</v>
      </c>
      <c r="GJ628" s="1" t="s">
        <v>260</v>
      </c>
      <c r="GK628" s="1" t="s">
        <v>210</v>
      </c>
      <c r="GL628" s="2">
        <v>42110</v>
      </c>
      <c r="GM628" s="1" t="s">
        <v>7574</v>
      </c>
    </row>
    <row r="629" spans="1:195">
      <c r="A629" s="1">
        <v>9999</v>
      </c>
      <c r="B629" s="1" t="s">
        <v>195</v>
      </c>
      <c r="C629" s="1" t="str">
        <f>"08803742"</f>
        <v>08803742</v>
      </c>
      <c r="D629" s="1" t="s">
        <v>196</v>
      </c>
      <c r="F629" s="1" t="str">
        <f>"8043"</f>
        <v>8043</v>
      </c>
      <c r="G629" s="2">
        <v>41990</v>
      </c>
      <c r="H629" s="1">
        <v>9999</v>
      </c>
      <c r="I629" s="1">
        <v>9999</v>
      </c>
      <c r="J629" s="1">
        <v>9999</v>
      </c>
      <c r="K629" s="2">
        <v>41989</v>
      </c>
      <c r="L629" s="1">
        <v>471</v>
      </c>
      <c r="M629" s="2">
        <v>42016</v>
      </c>
      <c r="N629" s="1">
        <v>28</v>
      </c>
      <c r="O629" s="2">
        <v>42016</v>
      </c>
      <c r="P629" s="1">
        <v>51102</v>
      </c>
      <c r="Q629" s="1" t="s">
        <v>302</v>
      </c>
      <c r="R629" s="2">
        <v>42090</v>
      </c>
      <c r="S629" s="1">
        <v>237534</v>
      </c>
      <c r="T629" s="1">
        <v>1150</v>
      </c>
      <c r="U629" s="1">
        <v>2215</v>
      </c>
      <c r="V629" s="1" t="s">
        <v>7575</v>
      </c>
      <c r="W629" s="1" t="s">
        <v>725</v>
      </c>
      <c r="X629" s="1" t="s">
        <v>7576</v>
      </c>
      <c r="Y629" s="1">
        <v>12</v>
      </c>
      <c r="Z629" s="1" t="s">
        <v>200</v>
      </c>
      <c r="AA629" s="1" t="s">
        <v>400</v>
      </c>
      <c r="AB629" s="1">
        <v>60649</v>
      </c>
      <c r="AE629" s="1" t="s">
        <v>7577</v>
      </c>
      <c r="AF629" s="1">
        <v>1931</v>
      </c>
      <c r="AG629" s="1" t="s">
        <v>213</v>
      </c>
      <c r="AH629" s="1" t="s">
        <v>403</v>
      </c>
      <c r="AI629" s="1" t="s">
        <v>310</v>
      </c>
      <c r="AJ629" s="1" t="s">
        <v>562</v>
      </c>
      <c r="AL629" s="1">
        <v>5</v>
      </c>
      <c r="AM629" s="1">
        <v>2</v>
      </c>
      <c r="AN629" s="1">
        <v>2</v>
      </c>
      <c r="AO629" s="1">
        <v>0</v>
      </c>
      <c r="AP629" s="1" t="s">
        <v>209</v>
      </c>
      <c r="AQ629" s="1">
        <v>0</v>
      </c>
      <c r="AR629" s="1" t="s">
        <v>210</v>
      </c>
      <c r="AS629" s="1" t="s">
        <v>204</v>
      </c>
      <c r="AT629" s="1" t="s">
        <v>210</v>
      </c>
      <c r="AW629" s="1" t="s">
        <v>204</v>
      </c>
      <c r="AX629" s="1">
        <v>0</v>
      </c>
      <c r="AZ629" s="1">
        <v>2206</v>
      </c>
      <c r="BA629" s="1">
        <v>2012</v>
      </c>
      <c r="BB629" s="1" t="s">
        <v>210</v>
      </c>
      <c r="BE629" s="1">
        <v>975</v>
      </c>
      <c r="BF629" s="1">
        <v>3</v>
      </c>
      <c r="BG629" s="1">
        <v>0</v>
      </c>
      <c r="BL629" s="1">
        <v>477</v>
      </c>
      <c r="BM629" s="1" t="s">
        <v>213</v>
      </c>
      <c r="BN629" s="1" t="s">
        <v>204</v>
      </c>
      <c r="BP629" s="1" t="s">
        <v>204</v>
      </c>
      <c r="BR629" s="1" t="str">
        <f>"20244110181012"</f>
        <v>20244110181012</v>
      </c>
      <c r="BT629" s="1" t="s">
        <v>7578</v>
      </c>
      <c r="BX629" s="1">
        <v>299</v>
      </c>
      <c r="BY629" s="1">
        <v>299</v>
      </c>
      <c r="BZ629" s="1">
        <v>299</v>
      </c>
      <c r="CB629" s="1" t="str">
        <f t="shared" ref="CB629:CB631" si="489">"0"</f>
        <v>0</v>
      </c>
      <c r="CC629" s="1" t="str">
        <f>"2215"</f>
        <v>2215</v>
      </c>
      <c r="CD629" s="1">
        <v>0</v>
      </c>
      <c r="CE629" s="1">
        <v>6800</v>
      </c>
      <c r="CG629" s="1" t="s">
        <v>581</v>
      </c>
      <c r="CH629" s="1" t="s">
        <v>822</v>
      </c>
      <c r="CI629" s="1" t="s">
        <v>438</v>
      </c>
      <c r="CK629" s="1" t="s">
        <v>757</v>
      </c>
      <c r="CL629" s="1" t="s">
        <v>219</v>
      </c>
      <c r="CO629" s="1" t="s">
        <v>757</v>
      </c>
      <c r="CP629" s="1" t="s">
        <v>219</v>
      </c>
      <c r="CQ629" s="1" t="s">
        <v>438</v>
      </c>
      <c r="CS629" s="1" t="s">
        <v>379</v>
      </c>
      <c r="CT629" s="1" t="s">
        <v>219</v>
      </c>
      <c r="CX629" s="1" t="s">
        <v>224</v>
      </c>
      <c r="DB629" s="1" t="s">
        <v>224</v>
      </c>
      <c r="DE629" s="1" t="s">
        <v>379</v>
      </c>
      <c r="DF629" s="1" t="s">
        <v>219</v>
      </c>
      <c r="DJ629" s="1" t="s">
        <v>224</v>
      </c>
      <c r="DS629" s="1" t="s">
        <v>230</v>
      </c>
      <c r="DW629" s="1" t="s">
        <v>230</v>
      </c>
      <c r="EA629" s="1" t="s">
        <v>230</v>
      </c>
      <c r="EE629" s="1" t="s">
        <v>230</v>
      </c>
      <c r="EI629" s="1" t="s">
        <v>230</v>
      </c>
      <c r="EL629" s="1" t="s">
        <v>2154</v>
      </c>
      <c r="EM629" s="1" t="s">
        <v>319</v>
      </c>
      <c r="EN629" s="1" t="s">
        <v>210</v>
      </c>
      <c r="EO629" s="1" t="s">
        <v>2834</v>
      </c>
      <c r="ER629" s="1" t="s">
        <v>210</v>
      </c>
      <c r="EW629" s="1" t="s">
        <v>1219</v>
      </c>
      <c r="EZ629" s="1" t="s">
        <v>287</v>
      </c>
      <c r="FD629" s="1" t="s">
        <v>1112</v>
      </c>
      <c r="FE629" s="1" t="s">
        <v>247</v>
      </c>
      <c r="FF629" s="1" t="s">
        <v>248</v>
      </c>
      <c r="FH629" s="1" t="s">
        <v>249</v>
      </c>
      <c r="FL629" s="1" t="s">
        <v>1907</v>
      </c>
      <c r="FM629" s="1" t="s">
        <v>252</v>
      </c>
      <c r="FN629" s="1" t="s">
        <v>213</v>
      </c>
      <c r="FO629" s="1" t="s">
        <v>213</v>
      </c>
      <c r="FQ629" s="1" t="s">
        <v>689</v>
      </c>
      <c r="FR629" s="1" t="s">
        <v>210</v>
      </c>
      <c r="FS629" s="1" t="s">
        <v>7579</v>
      </c>
      <c r="FT629" s="1" t="s">
        <v>1828</v>
      </c>
      <c r="FU629" s="1" t="s">
        <v>204</v>
      </c>
      <c r="FW629" s="1" t="s">
        <v>7498</v>
      </c>
      <c r="FX629" s="1">
        <v>22994</v>
      </c>
      <c r="FY629" s="1" t="s">
        <v>7499</v>
      </c>
      <c r="FZ629" s="1" t="s">
        <v>7580</v>
      </c>
      <c r="GA629" s="1">
        <v>235814</v>
      </c>
      <c r="GB629" s="1" t="s">
        <v>7581</v>
      </c>
      <c r="GE629" s="1" t="s">
        <v>2504</v>
      </c>
      <c r="GH629" s="1" t="s">
        <v>800</v>
      </c>
      <c r="GI629" s="1" t="s">
        <v>213</v>
      </c>
      <c r="GJ629" s="1" t="s">
        <v>260</v>
      </c>
      <c r="GK629" s="1" t="s">
        <v>210</v>
      </c>
      <c r="GL629" s="2">
        <v>42092</v>
      </c>
      <c r="GM629" s="1" t="s">
        <v>7582</v>
      </c>
    </row>
    <row r="630" spans="1:195">
      <c r="A630" s="1">
        <v>96000</v>
      </c>
      <c r="B630" s="1" t="s">
        <v>195</v>
      </c>
      <c r="C630" s="1" t="str">
        <f>"08802757"</f>
        <v>08802757</v>
      </c>
      <c r="D630" s="1" t="s">
        <v>196</v>
      </c>
      <c r="F630" s="1" t="str">
        <f>"543"</f>
        <v>543</v>
      </c>
      <c r="G630" s="2">
        <v>41989</v>
      </c>
      <c r="H630" s="1">
        <v>129900</v>
      </c>
      <c r="I630" s="1">
        <v>109900</v>
      </c>
      <c r="J630" s="1">
        <v>96000</v>
      </c>
      <c r="K630" s="2">
        <v>41988</v>
      </c>
      <c r="L630" s="1">
        <v>80</v>
      </c>
      <c r="M630" s="2">
        <v>42067</v>
      </c>
      <c r="N630" s="1">
        <v>80</v>
      </c>
      <c r="O630" s="2">
        <v>42067</v>
      </c>
      <c r="P630" s="1">
        <v>22029</v>
      </c>
      <c r="Q630" s="1" t="s">
        <v>423</v>
      </c>
      <c r="R630" s="2">
        <v>42125</v>
      </c>
      <c r="S630" s="1">
        <v>243464</v>
      </c>
      <c r="U630" s="1">
        <v>245</v>
      </c>
      <c r="V630" s="1" t="s">
        <v>7583</v>
      </c>
      <c r="W630" s="1" t="s">
        <v>526</v>
      </c>
      <c r="X630" s="1" t="s">
        <v>5590</v>
      </c>
      <c r="Y630" s="1">
        <v>5</v>
      </c>
      <c r="Z630" s="1" t="s">
        <v>370</v>
      </c>
      <c r="AA630" s="1" t="s">
        <v>2639</v>
      </c>
      <c r="AB630" s="1">
        <v>60543</v>
      </c>
      <c r="AD630" s="1" t="s">
        <v>7584</v>
      </c>
      <c r="AE630" s="1" t="s">
        <v>7585</v>
      </c>
      <c r="AF630" s="1">
        <v>2005</v>
      </c>
      <c r="AG630" s="1" t="s">
        <v>204</v>
      </c>
      <c r="AH630" s="1" t="s">
        <v>1397</v>
      </c>
      <c r="AI630" s="1" t="s">
        <v>453</v>
      </c>
      <c r="AJ630" s="1" t="s">
        <v>1397</v>
      </c>
      <c r="AL630" s="1">
        <v>6</v>
      </c>
      <c r="AM630" s="1">
        <v>2</v>
      </c>
      <c r="AN630" s="1">
        <v>1</v>
      </c>
      <c r="AO630" s="1">
        <v>1</v>
      </c>
      <c r="AP630" s="1" t="s">
        <v>667</v>
      </c>
      <c r="AR630" s="1" t="s">
        <v>210</v>
      </c>
      <c r="AS630" s="1" t="s">
        <v>204</v>
      </c>
      <c r="AT630" s="1" t="s">
        <v>211</v>
      </c>
      <c r="AU630" s="1">
        <v>2</v>
      </c>
      <c r="AW630" s="1" t="s">
        <v>204</v>
      </c>
      <c r="AX630" s="1" t="s">
        <v>7586</v>
      </c>
      <c r="AZ630" s="1">
        <v>3227.16</v>
      </c>
      <c r="BA630" s="1">
        <v>2013</v>
      </c>
      <c r="BB630" s="1" t="s">
        <v>210</v>
      </c>
      <c r="BE630" s="1">
        <v>1472</v>
      </c>
      <c r="BF630" s="1">
        <v>1</v>
      </c>
      <c r="BG630" s="1">
        <v>0</v>
      </c>
      <c r="BL630" s="1">
        <v>140</v>
      </c>
      <c r="BM630" s="1" t="s">
        <v>204</v>
      </c>
      <c r="BN630" s="1" t="s">
        <v>213</v>
      </c>
      <c r="BO630" s="1">
        <v>999</v>
      </c>
      <c r="BP630" s="1" t="s">
        <v>204</v>
      </c>
      <c r="BR630" s="1" t="str">
        <f>"0303455062"</f>
        <v>0303455062</v>
      </c>
      <c r="BT630" s="1" t="s">
        <v>7587</v>
      </c>
      <c r="BU630" s="1" t="s">
        <v>7588</v>
      </c>
      <c r="BV630" s="1" t="s">
        <v>2574</v>
      </c>
      <c r="BW630" s="1" t="s">
        <v>460</v>
      </c>
      <c r="BX630" s="1">
        <v>308</v>
      </c>
      <c r="BY630" s="1">
        <v>308</v>
      </c>
      <c r="BZ630" s="1">
        <v>308</v>
      </c>
      <c r="CB630" s="1" t="str">
        <f t="shared" si="489"/>
        <v>0</v>
      </c>
      <c r="CC630" s="1" t="str">
        <f t="shared" ref="CC630:CC631" si="490">"0"</f>
        <v>0</v>
      </c>
      <c r="CD630" s="1">
        <v>35</v>
      </c>
      <c r="CE630" s="1">
        <v>10</v>
      </c>
      <c r="CG630" s="1" t="s">
        <v>757</v>
      </c>
      <c r="CH630" s="1" t="s">
        <v>219</v>
      </c>
      <c r="CI630" s="1" t="s">
        <v>220</v>
      </c>
      <c r="CJ630" s="1" t="s">
        <v>210</v>
      </c>
      <c r="CK630" s="1" t="s">
        <v>539</v>
      </c>
      <c r="CL630" s="1" t="s">
        <v>277</v>
      </c>
      <c r="CM630" s="1" t="s">
        <v>220</v>
      </c>
      <c r="CN630" s="1" t="s">
        <v>210</v>
      </c>
      <c r="CO630" s="1" t="s">
        <v>348</v>
      </c>
      <c r="CP630" s="1" t="s">
        <v>219</v>
      </c>
      <c r="CQ630" s="1" t="s">
        <v>220</v>
      </c>
      <c r="CR630" s="1" t="s">
        <v>210</v>
      </c>
      <c r="CS630" s="1" t="s">
        <v>318</v>
      </c>
      <c r="CT630" s="1" t="s">
        <v>277</v>
      </c>
      <c r="CU630" s="1" t="s">
        <v>220</v>
      </c>
      <c r="CV630" s="1" t="s">
        <v>210</v>
      </c>
      <c r="CX630" s="1" t="s">
        <v>224</v>
      </c>
      <c r="DB630" s="1" t="s">
        <v>224</v>
      </c>
      <c r="DE630" s="1" t="s">
        <v>317</v>
      </c>
      <c r="DF630" s="1" t="s">
        <v>219</v>
      </c>
      <c r="DG630" s="1" t="s">
        <v>342</v>
      </c>
      <c r="DH630" s="1" t="s">
        <v>210</v>
      </c>
      <c r="DI630" s="1" t="s">
        <v>1996</v>
      </c>
      <c r="DJ630" s="1" t="s">
        <v>277</v>
      </c>
      <c r="DK630" s="1" t="s">
        <v>220</v>
      </c>
      <c r="DL630" s="1" t="s">
        <v>210</v>
      </c>
      <c r="DS630" s="1" t="s">
        <v>230</v>
      </c>
      <c r="DW630" s="1" t="s">
        <v>230</v>
      </c>
      <c r="EA630" s="1" t="s">
        <v>230</v>
      </c>
      <c r="EE630" s="1" t="s">
        <v>230</v>
      </c>
      <c r="EI630" s="1" t="s">
        <v>230</v>
      </c>
      <c r="EL630" s="1" t="s">
        <v>491</v>
      </c>
      <c r="EM630" s="1" t="s">
        <v>319</v>
      </c>
      <c r="EN630" s="1" t="s">
        <v>210</v>
      </c>
      <c r="EO630" s="1" t="s">
        <v>234</v>
      </c>
      <c r="EP630" s="1" t="s">
        <v>650</v>
      </c>
      <c r="ER630" s="1" t="s">
        <v>383</v>
      </c>
      <c r="ES630" s="1" t="s">
        <v>493</v>
      </c>
      <c r="EU630" s="1" t="s">
        <v>239</v>
      </c>
      <c r="EV630" s="1" t="s">
        <v>324</v>
      </c>
      <c r="EW630" s="1" t="s">
        <v>887</v>
      </c>
      <c r="EY630" s="1" t="s">
        <v>242</v>
      </c>
      <c r="EZ630" s="1" t="s">
        <v>287</v>
      </c>
      <c r="FC630" s="1" t="s">
        <v>633</v>
      </c>
      <c r="FD630" s="1" t="s">
        <v>246</v>
      </c>
      <c r="FE630" s="1" t="s">
        <v>651</v>
      </c>
      <c r="FF630" s="1" t="s">
        <v>248</v>
      </c>
      <c r="FH630" s="1" t="s">
        <v>550</v>
      </c>
      <c r="FL630" s="1" t="s">
        <v>358</v>
      </c>
      <c r="FM630" s="1" t="s">
        <v>252</v>
      </c>
      <c r="FN630" s="1" t="s">
        <v>213</v>
      </c>
      <c r="FO630" s="1" t="s">
        <v>204</v>
      </c>
      <c r="FQ630" s="1" t="s">
        <v>7589</v>
      </c>
      <c r="FR630" s="1" t="s">
        <v>210</v>
      </c>
      <c r="FS630" s="1" t="s">
        <v>7590</v>
      </c>
      <c r="FT630" s="1" t="s">
        <v>295</v>
      </c>
      <c r="FU630" s="1" t="s">
        <v>204</v>
      </c>
      <c r="FW630" s="1" t="s">
        <v>3546</v>
      </c>
      <c r="FX630" s="1">
        <v>24695</v>
      </c>
      <c r="FY630" s="1" t="s">
        <v>3547</v>
      </c>
      <c r="FZ630" s="1" t="s">
        <v>7591</v>
      </c>
      <c r="GA630" s="1">
        <v>237016</v>
      </c>
      <c r="GB630" s="1" t="s">
        <v>7592</v>
      </c>
      <c r="GE630" s="1" t="s">
        <v>210</v>
      </c>
      <c r="GH630" s="1" t="s">
        <v>421</v>
      </c>
      <c r="GI630" s="1" t="s">
        <v>213</v>
      </c>
      <c r="GJ630" s="1" t="s">
        <v>260</v>
      </c>
      <c r="GK630" s="1" t="s">
        <v>210</v>
      </c>
      <c r="GL630" s="2">
        <v>42128</v>
      </c>
      <c r="GM630" s="1" t="s">
        <v>7593</v>
      </c>
    </row>
    <row r="631" spans="1:195">
      <c r="A631" s="1">
        <v>215000</v>
      </c>
      <c r="B631" s="1" t="s">
        <v>195</v>
      </c>
      <c r="C631" s="1" t="str">
        <f>"08801714"</f>
        <v>08801714</v>
      </c>
      <c r="D631" s="1" t="s">
        <v>196</v>
      </c>
      <c r="F631" s="1" t="str">
        <f>"540"</f>
        <v>540</v>
      </c>
      <c r="G631" s="2">
        <v>41986</v>
      </c>
      <c r="H631" s="1">
        <v>219500</v>
      </c>
      <c r="I631" s="1">
        <v>219500</v>
      </c>
      <c r="J631" s="1">
        <v>215000</v>
      </c>
      <c r="K631" s="2">
        <v>41984</v>
      </c>
      <c r="L631" s="1">
        <v>7</v>
      </c>
      <c r="M631" s="2">
        <v>41990</v>
      </c>
      <c r="N631" s="1">
        <v>7</v>
      </c>
      <c r="O631" s="2">
        <v>41990</v>
      </c>
      <c r="P631" s="1">
        <v>21244</v>
      </c>
      <c r="Q631" s="1" t="s">
        <v>197</v>
      </c>
      <c r="R631" s="2">
        <v>42034</v>
      </c>
      <c r="S631" s="1">
        <v>217777</v>
      </c>
      <c r="U631" s="1">
        <v>3255</v>
      </c>
      <c r="V631" s="1" t="s">
        <v>7594</v>
      </c>
      <c r="W631" s="1" t="s">
        <v>304</v>
      </c>
      <c r="Y631" s="1">
        <v>6</v>
      </c>
      <c r="Z631" s="1" t="s">
        <v>370</v>
      </c>
      <c r="AA631" s="1" t="s">
        <v>921</v>
      </c>
      <c r="AB631" s="1">
        <v>60564</v>
      </c>
      <c r="AD631" s="1" t="s">
        <v>7595</v>
      </c>
      <c r="AE631" s="1" t="s">
        <v>7596</v>
      </c>
      <c r="AF631" s="1">
        <v>2000</v>
      </c>
      <c r="AG631" s="1" t="s">
        <v>204</v>
      </c>
      <c r="AH631" s="1" t="s">
        <v>924</v>
      </c>
      <c r="AI631" s="1" t="s">
        <v>1800</v>
      </c>
      <c r="AJ631" s="1" t="s">
        <v>1801</v>
      </c>
      <c r="AK631" s="1" t="s">
        <v>7597</v>
      </c>
      <c r="AL631" s="1">
        <v>6</v>
      </c>
      <c r="AM631" s="1">
        <v>2</v>
      </c>
      <c r="AN631" s="1">
        <v>2</v>
      </c>
      <c r="AO631" s="1">
        <v>1</v>
      </c>
      <c r="AP631" s="1" t="s">
        <v>209</v>
      </c>
      <c r="AQ631" s="1">
        <v>1</v>
      </c>
      <c r="AR631" s="1" t="s">
        <v>210</v>
      </c>
      <c r="AS631" s="1" t="s">
        <v>204</v>
      </c>
      <c r="AT631" s="1" t="s">
        <v>211</v>
      </c>
      <c r="AU631" s="1">
        <v>2</v>
      </c>
      <c r="AW631" s="1" t="s">
        <v>213</v>
      </c>
      <c r="AX631" s="1" t="s">
        <v>212</v>
      </c>
      <c r="AZ631" s="1">
        <v>5203.88</v>
      </c>
      <c r="BA631" s="1">
        <v>2013</v>
      </c>
      <c r="BB631" s="1" t="s">
        <v>405</v>
      </c>
      <c r="BE631" s="1">
        <v>1719</v>
      </c>
      <c r="BF631" s="1">
        <v>1</v>
      </c>
      <c r="BG631" s="1">
        <v>0</v>
      </c>
      <c r="BL631" s="1">
        <v>188</v>
      </c>
      <c r="BM631" s="1" t="s">
        <v>204</v>
      </c>
      <c r="BN631" s="1" t="s">
        <v>213</v>
      </c>
      <c r="BO631" s="1">
        <v>999</v>
      </c>
      <c r="BP631" s="1" t="s">
        <v>204</v>
      </c>
      <c r="BR631" s="1" t="str">
        <f>"01092040540000"</f>
        <v>01092040540000</v>
      </c>
      <c r="BT631" s="1" t="s">
        <v>7598</v>
      </c>
      <c r="BU631" s="1" t="s">
        <v>7599</v>
      </c>
      <c r="BV631" s="1" t="s">
        <v>2217</v>
      </c>
      <c r="BW631" s="1" t="s">
        <v>1312</v>
      </c>
      <c r="BX631" s="1">
        <v>204</v>
      </c>
      <c r="BY631" s="1">
        <v>204</v>
      </c>
      <c r="BZ631" s="1">
        <v>204</v>
      </c>
      <c r="CB631" s="1" t="str">
        <f t="shared" si="489"/>
        <v>0</v>
      </c>
      <c r="CC631" s="1" t="str">
        <f t="shared" si="490"/>
        <v>0</v>
      </c>
      <c r="CD631" s="1">
        <v>30</v>
      </c>
      <c r="CE631" s="1">
        <v>11</v>
      </c>
      <c r="CG631" s="1" t="s">
        <v>602</v>
      </c>
      <c r="CH631" s="1" t="s">
        <v>219</v>
      </c>
      <c r="CI631" s="1" t="s">
        <v>220</v>
      </c>
      <c r="CK631" s="1" t="s">
        <v>7600</v>
      </c>
      <c r="CL631" s="1" t="s">
        <v>277</v>
      </c>
      <c r="CM631" s="1" t="s">
        <v>220</v>
      </c>
      <c r="CO631" s="1" t="s">
        <v>2934</v>
      </c>
      <c r="CP631" s="1" t="s">
        <v>219</v>
      </c>
      <c r="CQ631" s="1" t="s">
        <v>220</v>
      </c>
      <c r="CS631" s="1" t="s">
        <v>628</v>
      </c>
      <c r="CT631" s="1" t="s">
        <v>277</v>
      </c>
      <c r="CU631" s="1" t="s">
        <v>220</v>
      </c>
      <c r="CX631" s="1" t="s">
        <v>224</v>
      </c>
      <c r="DB631" s="1" t="s">
        <v>224</v>
      </c>
      <c r="DE631" s="1" t="s">
        <v>437</v>
      </c>
      <c r="DF631" s="1" t="s">
        <v>219</v>
      </c>
      <c r="DG631" s="1" t="s">
        <v>226</v>
      </c>
      <c r="DI631" s="1" t="s">
        <v>932</v>
      </c>
      <c r="DJ631" s="1" t="s">
        <v>219</v>
      </c>
      <c r="DK631" s="1" t="s">
        <v>220</v>
      </c>
      <c r="DS631" s="1" t="s">
        <v>230</v>
      </c>
      <c r="DW631" s="1" t="s">
        <v>230</v>
      </c>
      <c r="EA631" s="1" t="s">
        <v>230</v>
      </c>
      <c r="EE631" s="1" t="s">
        <v>230</v>
      </c>
      <c r="EI631" s="1" t="s">
        <v>230</v>
      </c>
      <c r="EL631" s="1" t="s">
        <v>466</v>
      </c>
      <c r="EM631" s="1" t="s">
        <v>232</v>
      </c>
      <c r="EN631" s="1" t="s">
        <v>282</v>
      </c>
      <c r="EO631" s="1" t="s">
        <v>234</v>
      </c>
      <c r="EQ631" s="1" t="s">
        <v>236</v>
      </c>
      <c r="ER631" s="1" t="s">
        <v>210</v>
      </c>
      <c r="ES631" s="1" t="s">
        <v>1791</v>
      </c>
      <c r="ET631" s="1" t="s">
        <v>866</v>
      </c>
      <c r="EU631" s="1" t="s">
        <v>7601</v>
      </c>
      <c r="EV631" s="1" t="s">
        <v>1553</v>
      </c>
      <c r="EW631" s="1" t="s">
        <v>353</v>
      </c>
      <c r="EZ631" s="1" t="s">
        <v>287</v>
      </c>
      <c r="FD631" s="1" t="s">
        <v>246</v>
      </c>
      <c r="FE631" s="1" t="s">
        <v>975</v>
      </c>
      <c r="FF631" s="1" t="s">
        <v>248</v>
      </c>
      <c r="FG631" s="1" t="s">
        <v>871</v>
      </c>
      <c r="FH631" s="1" t="s">
        <v>550</v>
      </c>
      <c r="FI631" s="1" t="s">
        <v>473</v>
      </c>
      <c r="FL631" s="1" t="s">
        <v>358</v>
      </c>
      <c r="FM631" s="1" t="s">
        <v>252</v>
      </c>
      <c r="FN631" s="1" t="s">
        <v>213</v>
      </c>
      <c r="FO631" s="1" t="s">
        <v>213</v>
      </c>
      <c r="FQ631" s="1" t="s">
        <v>793</v>
      </c>
      <c r="FR631" s="1" t="s">
        <v>210</v>
      </c>
      <c r="FS631" s="1" t="s">
        <v>7602</v>
      </c>
      <c r="FT631" s="1" t="s">
        <v>295</v>
      </c>
      <c r="FU631" s="1" t="s">
        <v>204</v>
      </c>
      <c r="FW631" s="1" t="s">
        <v>585</v>
      </c>
      <c r="FX631" s="1">
        <v>23156</v>
      </c>
      <c r="FY631" s="1" t="s">
        <v>1253</v>
      </c>
      <c r="FZ631" s="1" t="s">
        <v>7603</v>
      </c>
      <c r="GA631" s="1">
        <v>226943</v>
      </c>
      <c r="GB631" s="1" t="s">
        <v>7604</v>
      </c>
      <c r="GE631" s="1" t="s">
        <v>480</v>
      </c>
      <c r="GI631" s="1" t="s">
        <v>213</v>
      </c>
      <c r="GJ631" s="1" t="s">
        <v>260</v>
      </c>
      <c r="GK631" s="1" t="s">
        <v>210</v>
      </c>
      <c r="GL631" s="2">
        <v>42034</v>
      </c>
      <c r="GM631" s="1" t="s">
        <v>7605</v>
      </c>
    </row>
    <row r="632" spans="1:195">
      <c r="A632" s="1">
        <v>120000</v>
      </c>
      <c r="B632" s="1" t="s">
        <v>195</v>
      </c>
      <c r="C632" s="1" t="str">
        <f>"08800816"</f>
        <v>08800816</v>
      </c>
      <c r="D632" s="1" t="s">
        <v>196</v>
      </c>
      <c r="F632" s="1" t="str">
        <f>"123"</f>
        <v>123</v>
      </c>
      <c r="G632" s="2">
        <v>41984</v>
      </c>
      <c r="H632" s="1">
        <v>134900</v>
      </c>
      <c r="I632" s="1">
        <v>129900</v>
      </c>
      <c r="J632" s="1">
        <v>120000</v>
      </c>
      <c r="K632" s="2">
        <v>41984</v>
      </c>
      <c r="L632" s="1">
        <v>85</v>
      </c>
      <c r="M632" s="2">
        <v>42046</v>
      </c>
      <c r="N632" s="1">
        <v>63</v>
      </c>
      <c r="O632" s="2">
        <v>42046</v>
      </c>
      <c r="P632" s="1">
        <v>3706</v>
      </c>
      <c r="Q632" s="1" t="s">
        <v>197</v>
      </c>
      <c r="R632" s="2">
        <v>42108</v>
      </c>
      <c r="S632" s="1">
        <v>38455</v>
      </c>
      <c r="U632" s="1">
        <v>1240</v>
      </c>
      <c r="V632" s="1" t="s">
        <v>7606</v>
      </c>
      <c r="W632" s="1" t="s">
        <v>3006</v>
      </c>
      <c r="X632" s="1">
        <v>1240</v>
      </c>
      <c r="Y632" s="1">
        <v>6</v>
      </c>
      <c r="Z632" s="1" t="s">
        <v>249</v>
      </c>
      <c r="AA632" s="1" t="s">
        <v>1173</v>
      </c>
      <c r="AB632" s="1">
        <v>60120</v>
      </c>
      <c r="AD632" s="1" t="s">
        <v>3601</v>
      </c>
      <c r="AE632" s="1" t="s">
        <v>7607</v>
      </c>
      <c r="AF632" s="1">
        <v>1995</v>
      </c>
      <c r="AG632" s="1" t="s">
        <v>204</v>
      </c>
      <c r="AH632" s="1" t="s">
        <v>1175</v>
      </c>
      <c r="AI632" s="1" t="s">
        <v>310</v>
      </c>
      <c r="AJ632" s="1" t="s">
        <v>374</v>
      </c>
      <c r="AK632" s="1" t="s">
        <v>7608</v>
      </c>
      <c r="AL632" s="1">
        <v>6</v>
      </c>
      <c r="AM632" s="1">
        <v>2</v>
      </c>
      <c r="AN632" s="1">
        <v>1</v>
      </c>
      <c r="AO632" s="1">
        <v>1</v>
      </c>
      <c r="AP632" s="1" t="s">
        <v>667</v>
      </c>
      <c r="AR632" s="1" t="s">
        <v>210</v>
      </c>
      <c r="AS632" s="1" t="s">
        <v>204</v>
      </c>
      <c r="AT632" s="1" t="s">
        <v>211</v>
      </c>
      <c r="AU632" s="1">
        <v>1</v>
      </c>
      <c r="AW632" s="1" t="s">
        <v>204</v>
      </c>
      <c r="AX632" s="1" t="s">
        <v>212</v>
      </c>
      <c r="AZ632" s="1">
        <v>2273.31</v>
      </c>
      <c r="BA632" s="1">
        <v>2013</v>
      </c>
      <c r="BB632" s="1" t="s">
        <v>405</v>
      </c>
      <c r="BE632" s="1">
        <v>1310</v>
      </c>
      <c r="BF632" s="1">
        <v>1</v>
      </c>
      <c r="BG632" s="1">
        <v>0</v>
      </c>
      <c r="BL632" s="1">
        <v>181</v>
      </c>
      <c r="BM632" s="1" t="s">
        <v>204</v>
      </c>
      <c r="BN632" s="1" t="s">
        <v>213</v>
      </c>
      <c r="BO632" s="1">
        <v>999</v>
      </c>
      <c r="BP632" s="1" t="s">
        <v>204</v>
      </c>
      <c r="BR632" s="1" t="str">
        <f>"06062080081011"</f>
        <v>06062080081011</v>
      </c>
      <c r="BT632" s="1" t="s">
        <v>7609</v>
      </c>
      <c r="BU632" s="1" t="s">
        <v>969</v>
      </c>
      <c r="BV632" s="1" t="s">
        <v>3604</v>
      </c>
      <c r="BW632" s="1" t="s">
        <v>2058</v>
      </c>
      <c r="BX632" s="1">
        <v>46</v>
      </c>
      <c r="BY632" s="1">
        <v>46</v>
      </c>
      <c r="BZ632" s="1">
        <v>46</v>
      </c>
      <c r="CB632" s="1" t="str">
        <f>"12"</f>
        <v>12</v>
      </c>
      <c r="CC632" s="1" t="str">
        <f>""</f>
        <v/>
      </c>
      <c r="CD632" s="1">
        <v>32</v>
      </c>
      <c r="CG632" s="1" t="s">
        <v>1045</v>
      </c>
      <c r="CH632" s="1" t="s">
        <v>219</v>
      </c>
      <c r="CI632" s="1" t="s">
        <v>220</v>
      </c>
      <c r="CJ632" s="1" t="s">
        <v>252</v>
      </c>
      <c r="CK632" s="1" t="s">
        <v>539</v>
      </c>
      <c r="CL632" s="1" t="s">
        <v>277</v>
      </c>
      <c r="CM632" s="1" t="s">
        <v>220</v>
      </c>
      <c r="CN632" s="1" t="s">
        <v>252</v>
      </c>
      <c r="CO632" s="1" t="s">
        <v>318</v>
      </c>
      <c r="CP632" s="1" t="s">
        <v>219</v>
      </c>
      <c r="CQ632" s="1" t="s">
        <v>220</v>
      </c>
      <c r="CR632" s="1" t="s">
        <v>252</v>
      </c>
      <c r="CS632" s="1" t="s">
        <v>346</v>
      </c>
      <c r="CT632" s="1" t="s">
        <v>277</v>
      </c>
      <c r="CU632" s="1" t="s">
        <v>220</v>
      </c>
      <c r="CV632" s="1" t="s">
        <v>252</v>
      </c>
      <c r="CX632" s="1" t="s">
        <v>224</v>
      </c>
      <c r="DB632" s="1" t="s">
        <v>224</v>
      </c>
      <c r="DE632" s="1" t="s">
        <v>379</v>
      </c>
      <c r="DF632" s="1" t="s">
        <v>219</v>
      </c>
      <c r="DG632" s="1" t="s">
        <v>4958</v>
      </c>
      <c r="DJ632" s="1" t="s">
        <v>224</v>
      </c>
      <c r="DM632" s="1" t="s">
        <v>464</v>
      </c>
      <c r="DN632" s="1" t="s">
        <v>709</v>
      </c>
      <c r="DR632" s="1" t="s">
        <v>409</v>
      </c>
      <c r="DS632" s="1" t="s">
        <v>277</v>
      </c>
      <c r="DT632" s="1" t="s">
        <v>220</v>
      </c>
      <c r="DV632" s="1" t="s">
        <v>7610</v>
      </c>
      <c r="DW632" s="1" t="s">
        <v>219</v>
      </c>
      <c r="DX632" s="1" t="s">
        <v>4958</v>
      </c>
      <c r="EA632" s="1" t="s">
        <v>230</v>
      </c>
      <c r="EE632" s="1" t="s">
        <v>230</v>
      </c>
      <c r="EI632" s="1" t="s">
        <v>230</v>
      </c>
      <c r="EL632" s="1" t="s">
        <v>670</v>
      </c>
      <c r="EM632" s="1" t="s">
        <v>232</v>
      </c>
      <c r="EN632" s="1" t="s">
        <v>282</v>
      </c>
      <c r="EO632" s="1" t="s">
        <v>234</v>
      </c>
      <c r="EP632" s="1" t="s">
        <v>650</v>
      </c>
      <c r="EQ632" s="1" t="s">
        <v>1094</v>
      </c>
      <c r="ER632" s="1" t="s">
        <v>383</v>
      </c>
      <c r="ES632" s="1" t="s">
        <v>824</v>
      </c>
      <c r="ET632" s="1" t="s">
        <v>842</v>
      </c>
      <c r="EU632" s="1" t="s">
        <v>712</v>
      </c>
      <c r="EV632" s="1" t="s">
        <v>352</v>
      </c>
      <c r="EW632" s="1" t="s">
        <v>887</v>
      </c>
      <c r="EY632" s="1" t="s">
        <v>242</v>
      </c>
      <c r="EZ632" s="1" t="s">
        <v>2549</v>
      </c>
      <c r="FA632" s="1" t="s">
        <v>714</v>
      </c>
      <c r="FB632" s="1" t="s">
        <v>289</v>
      </c>
      <c r="FD632" s="1" t="s">
        <v>246</v>
      </c>
      <c r="FE632" s="1" t="s">
        <v>386</v>
      </c>
      <c r="FF632" s="1" t="s">
        <v>248</v>
      </c>
      <c r="FH632" s="1" t="s">
        <v>249</v>
      </c>
      <c r="FI632" s="1" t="s">
        <v>473</v>
      </c>
      <c r="FJ632" s="1" t="s">
        <v>1472</v>
      </c>
      <c r="FL632" s="1" t="s">
        <v>358</v>
      </c>
      <c r="FM632" s="1" t="s">
        <v>252</v>
      </c>
      <c r="FN632" s="1" t="s">
        <v>213</v>
      </c>
      <c r="FO632" s="1" t="s">
        <v>213</v>
      </c>
      <c r="FQ632" s="1" t="s">
        <v>359</v>
      </c>
      <c r="FR632" s="1" t="s">
        <v>210</v>
      </c>
      <c r="FS632" s="1" t="s">
        <v>7611</v>
      </c>
      <c r="FT632" s="1" t="s">
        <v>7612</v>
      </c>
      <c r="FU632" s="1" t="s">
        <v>204</v>
      </c>
      <c r="FW632" s="1" t="s">
        <v>1637</v>
      </c>
      <c r="FX632" s="1">
        <v>8059</v>
      </c>
      <c r="FY632" s="1" t="s">
        <v>2034</v>
      </c>
      <c r="FZ632" s="1" t="s">
        <v>7613</v>
      </c>
      <c r="GA632" s="1">
        <v>83596</v>
      </c>
      <c r="GB632" s="1" t="s">
        <v>7614</v>
      </c>
      <c r="GE632" s="1" t="s">
        <v>480</v>
      </c>
      <c r="GI632" s="1" t="s">
        <v>213</v>
      </c>
      <c r="GJ632" s="1" t="s">
        <v>260</v>
      </c>
      <c r="GK632" s="1" t="s">
        <v>210</v>
      </c>
      <c r="GL632" s="2">
        <v>42110</v>
      </c>
    </row>
    <row r="633" spans="1:195">
      <c r="A633" s="1">
        <v>153000</v>
      </c>
      <c r="B633" s="1" t="s">
        <v>195</v>
      </c>
      <c r="C633" s="1" t="str">
        <f>"08804754"</f>
        <v>08804754</v>
      </c>
      <c r="D633" s="1" t="s">
        <v>196</v>
      </c>
      <c r="F633" s="1" t="str">
        <f>"540"</f>
        <v>540</v>
      </c>
      <c r="G633" s="2">
        <v>41993</v>
      </c>
      <c r="H633" s="1">
        <v>169900</v>
      </c>
      <c r="I633" s="1">
        <v>169900</v>
      </c>
      <c r="J633" s="1">
        <v>153000</v>
      </c>
      <c r="K633" s="2">
        <v>41993</v>
      </c>
      <c r="L633" s="1">
        <v>52</v>
      </c>
      <c r="M633" s="2">
        <v>42044</v>
      </c>
      <c r="N633" s="1">
        <v>52</v>
      </c>
      <c r="O633" s="2">
        <v>42044</v>
      </c>
      <c r="P633" s="1">
        <v>25088</v>
      </c>
      <c r="Q633" s="1" t="s">
        <v>197</v>
      </c>
      <c r="R633" s="2">
        <v>42101</v>
      </c>
      <c r="S633" s="1">
        <v>238523</v>
      </c>
      <c r="T633" s="1">
        <v>1000</v>
      </c>
      <c r="U633" s="1">
        <v>1466</v>
      </c>
      <c r="V633" s="1" t="s">
        <v>7615</v>
      </c>
      <c r="W633" s="1" t="s">
        <v>449</v>
      </c>
      <c r="X633" s="1">
        <v>1466</v>
      </c>
      <c r="Y633" s="1">
        <v>4</v>
      </c>
      <c r="Z633" s="1" t="s">
        <v>370</v>
      </c>
      <c r="AA633" s="1" t="s">
        <v>921</v>
      </c>
      <c r="AB633" s="1">
        <v>60563</v>
      </c>
      <c r="AD633" s="1" t="s">
        <v>7616</v>
      </c>
      <c r="AE633" s="1" t="s">
        <v>7617</v>
      </c>
      <c r="AF633" s="1">
        <v>1986</v>
      </c>
      <c r="AG633" s="1" t="s">
        <v>204</v>
      </c>
      <c r="AH633" s="1" t="s">
        <v>924</v>
      </c>
      <c r="AI633" s="1" t="s">
        <v>206</v>
      </c>
      <c r="AJ633" s="1" t="s">
        <v>924</v>
      </c>
      <c r="AL633" s="1">
        <v>5</v>
      </c>
      <c r="AM633" s="1">
        <v>2</v>
      </c>
      <c r="AN633" s="1">
        <v>1</v>
      </c>
      <c r="AO633" s="1">
        <v>1</v>
      </c>
      <c r="AP633" s="1" t="s">
        <v>667</v>
      </c>
      <c r="AQ633" s="1">
        <v>1</v>
      </c>
      <c r="AR633" s="1" t="s">
        <v>210</v>
      </c>
      <c r="AS633" s="1" t="s">
        <v>204</v>
      </c>
      <c r="AT633" s="1" t="s">
        <v>211</v>
      </c>
      <c r="AU633" s="1">
        <v>1</v>
      </c>
      <c r="AW633" s="1" t="s">
        <v>204</v>
      </c>
      <c r="AX633" s="1" t="s">
        <v>212</v>
      </c>
      <c r="AZ633" s="1">
        <v>3286</v>
      </c>
      <c r="BA633" s="1">
        <v>2013</v>
      </c>
      <c r="BB633" s="1" t="s">
        <v>405</v>
      </c>
      <c r="BE633" s="1">
        <v>1297</v>
      </c>
      <c r="BF633" s="1">
        <v>1</v>
      </c>
      <c r="BG633" s="1">
        <v>0</v>
      </c>
      <c r="BL633" s="1">
        <v>217</v>
      </c>
      <c r="BM633" s="1" t="s">
        <v>204</v>
      </c>
      <c r="BN633" s="1" t="s">
        <v>213</v>
      </c>
      <c r="BO633" s="1">
        <v>0</v>
      </c>
      <c r="BP633" s="1" t="s">
        <v>204</v>
      </c>
      <c r="BR633" s="1" t="str">
        <f>"0710212077"</f>
        <v>0710212077</v>
      </c>
      <c r="BT633" s="1" t="s">
        <v>7618</v>
      </c>
      <c r="BU633" s="1" t="s">
        <v>1247</v>
      </c>
      <c r="BV633" s="1" t="s">
        <v>1248</v>
      </c>
      <c r="BW633" s="1" t="s">
        <v>1131</v>
      </c>
      <c r="BX633" s="1">
        <v>204</v>
      </c>
      <c r="BY633" s="1">
        <v>204</v>
      </c>
      <c r="BZ633" s="1">
        <v>204</v>
      </c>
      <c r="CB633" s="1" t="str">
        <f t="shared" ref="CB633:CC633" si="491">"0"</f>
        <v>0</v>
      </c>
      <c r="CC633" s="1" t="str">
        <f t="shared" si="491"/>
        <v>0</v>
      </c>
      <c r="CD633" s="1">
        <v>29</v>
      </c>
      <c r="CE633" s="1">
        <v>5</v>
      </c>
      <c r="CG633" s="1" t="s">
        <v>1178</v>
      </c>
      <c r="CH633" s="1" t="s">
        <v>219</v>
      </c>
      <c r="CI633" s="1" t="s">
        <v>438</v>
      </c>
      <c r="CJ633" s="1" t="s">
        <v>252</v>
      </c>
      <c r="CK633" s="1" t="s">
        <v>278</v>
      </c>
      <c r="CL633" s="1" t="s">
        <v>277</v>
      </c>
      <c r="CM633" s="1" t="s">
        <v>220</v>
      </c>
      <c r="CN633" s="1" t="s">
        <v>252</v>
      </c>
      <c r="CO633" s="1" t="s">
        <v>318</v>
      </c>
      <c r="CP633" s="1" t="s">
        <v>219</v>
      </c>
      <c r="CQ633" s="1" t="s">
        <v>438</v>
      </c>
      <c r="CR633" s="1" t="s">
        <v>252</v>
      </c>
      <c r="CS633" s="1" t="s">
        <v>317</v>
      </c>
      <c r="CT633" s="1" t="s">
        <v>277</v>
      </c>
      <c r="CU633" s="1" t="s">
        <v>220</v>
      </c>
      <c r="CV633" s="1" t="s">
        <v>252</v>
      </c>
      <c r="CX633" s="1" t="s">
        <v>224</v>
      </c>
      <c r="DB633" s="1" t="s">
        <v>224</v>
      </c>
      <c r="DE633" s="1" t="s">
        <v>348</v>
      </c>
      <c r="DF633" s="1" t="s">
        <v>219</v>
      </c>
      <c r="DG633" s="1" t="s">
        <v>438</v>
      </c>
      <c r="DH633" s="1" t="s">
        <v>210</v>
      </c>
      <c r="DJ633" s="1" t="s">
        <v>224</v>
      </c>
      <c r="DS633" s="1" t="s">
        <v>230</v>
      </c>
      <c r="DW633" s="1" t="s">
        <v>230</v>
      </c>
      <c r="EA633" s="1" t="s">
        <v>230</v>
      </c>
      <c r="EE633" s="1" t="s">
        <v>230</v>
      </c>
      <c r="EI633" s="1" t="s">
        <v>230</v>
      </c>
      <c r="EL633" s="1" t="s">
        <v>542</v>
      </c>
      <c r="EM633" s="1" t="s">
        <v>232</v>
      </c>
      <c r="EN633" s="1" t="s">
        <v>282</v>
      </c>
      <c r="EO633" s="1" t="s">
        <v>234</v>
      </c>
      <c r="EP633" s="1" t="s">
        <v>2738</v>
      </c>
      <c r="EQ633" s="1" t="s">
        <v>953</v>
      </c>
      <c r="ER633" s="1" t="s">
        <v>383</v>
      </c>
      <c r="ES633" s="1" t="s">
        <v>3763</v>
      </c>
      <c r="EU633" s="1" t="s">
        <v>1820</v>
      </c>
      <c r="EV633" s="1" t="s">
        <v>324</v>
      </c>
      <c r="EW633" s="1" t="s">
        <v>353</v>
      </c>
      <c r="EZ633" s="1" t="s">
        <v>287</v>
      </c>
      <c r="FB633" s="1" t="s">
        <v>289</v>
      </c>
      <c r="FD633" s="1" t="s">
        <v>246</v>
      </c>
      <c r="FE633" s="1" t="s">
        <v>2074</v>
      </c>
      <c r="FF633" s="1" t="s">
        <v>248</v>
      </c>
      <c r="FG633" s="1" t="s">
        <v>2406</v>
      </c>
      <c r="FH633" s="1" t="s">
        <v>550</v>
      </c>
      <c r="FI633" s="1" t="s">
        <v>473</v>
      </c>
      <c r="FL633" s="1" t="s">
        <v>358</v>
      </c>
      <c r="FM633" s="1" t="s">
        <v>252</v>
      </c>
      <c r="FN633" s="1" t="s">
        <v>213</v>
      </c>
      <c r="FO633" s="1" t="s">
        <v>213</v>
      </c>
      <c r="FQ633" s="1" t="s">
        <v>3545</v>
      </c>
      <c r="FR633" s="1" t="s">
        <v>210</v>
      </c>
      <c r="FS633" s="1" t="s">
        <v>7619</v>
      </c>
      <c r="FT633" s="1" t="s">
        <v>7620</v>
      </c>
      <c r="FU633" s="1" t="s">
        <v>204</v>
      </c>
      <c r="FW633" s="1" t="s">
        <v>3407</v>
      </c>
      <c r="FX633" s="1">
        <v>20131</v>
      </c>
      <c r="FY633" s="1" t="s">
        <v>3408</v>
      </c>
      <c r="FZ633" s="1" t="s">
        <v>7621</v>
      </c>
      <c r="GA633" s="1">
        <v>231518</v>
      </c>
      <c r="GB633" s="1" t="s">
        <v>7622</v>
      </c>
      <c r="GE633" s="1" t="s">
        <v>480</v>
      </c>
      <c r="GI633" s="1" t="s">
        <v>213</v>
      </c>
      <c r="GJ633" s="1" t="s">
        <v>260</v>
      </c>
      <c r="GK633" s="1" t="s">
        <v>210</v>
      </c>
      <c r="GL633" s="2">
        <v>42101</v>
      </c>
      <c r="GM633" s="1" t="s">
        <v>7623</v>
      </c>
    </row>
    <row r="634" spans="1:195">
      <c r="A634" s="1">
        <v>87500</v>
      </c>
      <c r="B634" s="1" t="s">
        <v>195</v>
      </c>
      <c r="C634" s="1" t="str">
        <f>"08803759"</f>
        <v>08803759</v>
      </c>
      <c r="D634" s="1" t="s">
        <v>196</v>
      </c>
      <c r="F634" s="1" t="str">
        <f>"187"</f>
        <v>187</v>
      </c>
      <c r="G634" s="2">
        <v>41990</v>
      </c>
      <c r="H634" s="1">
        <v>89250</v>
      </c>
      <c r="I634" s="1">
        <v>89250</v>
      </c>
      <c r="J634" s="1">
        <v>87500</v>
      </c>
      <c r="K634" s="2">
        <v>41990</v>
      </c>
      <c r="L634" s="1">
        <v>7</v>
      </c>
      <c r="M634" s="2">
        <v>41996</v>
      </c>
      <c r="N634" s="1">
        <v>7</v>
      </c>
      <c r="O634" s="2">
        <v>41996</v>
      </c>
      <c r="P634" s="1">
        <v>23163</v>
      </c>
      <c r="Q634" s="1" t="s">
        <v>197</v>
      </c>
      <c r="R634" s="2">
        <v>42038</v>
      </c>
      <c r="S634" s="1">
        <v>215303</v>
      </c>
      <c r="U634" s="1">
        <v>201</v>
      </c>
      <c r="V634" s="1" t="s">
        <v>7624</v>
      </c>
      <c r="W634" s="1" t="s">
        <v>725</v>
      </c>
      <c r="X634" s="1" t="s">
        <v>305</v>
      </c>
      <c r="Y634" s="1">
        <v>10</v>
      </c>
      <c r="Z634" s="1" t="s">
        <v>370</v>
      </c>
      <c r="AA634" s="1" t="s">
        <v>964</v>
      </c>
      <c r="AB634" s="1">
        <v>60187</v>
      </c>
      <c r="AE634" s="1" t="s">
        <v>7625</v>
      </c>
      <c r="AF634" s="1">
        <v>1971</v>
      </c>
      <c r="AG634" s="1" t="s">
        <v>213</v>
      </c>
      <c r="AH634" s="1" t="s">
        <v>967</v>
      </c>
      <c r="AI634" s="1" t="s">
        <v>206</v>
      </c>
      <c r="AJ634" s="1" t="s">
        <v>207</v>
      </c>
      <c r="AL634" s="1">
        <v>5</v>
      </c>
      <c r="AM634" s="1">
        <v>2</v>
      </c>
      <c r="AN634" s="1">
        <v>1</v>
      </c>
      <c r="AO634" s="1">
        <v>0</v>
      </c>
      <c r="AP634" s="1" t="s">
        <v>210</v>
      </c>
      <c r="AR634" s="1" t="s">
        <v>210</v>
      </c>
      <c r="AT634" s="1" t="s">
        <v>271</v>
      </c>
      <c r="AV634" s="1">
        <v>1</v>
      </c>
      <c r="AW634" s="1" t="s">
        <v>204</v>
      </c>
      <c r="AX634" s="1" t="s">
        <v>212</v>
      </c>
      <c r="AZ634" s="1">
        <v>2081</v>
      </c>
      <c r="BA634" s="1">
        <v>2013</v>
      </c>
      <c r="BB634" s="1" t="s">
        <v>599</v>
      </c>
      <c r="BE634" s="1">
        <v>1060</v>
      </c>
      <c r="BF634" s="1">
        <v>3</v>
      </c>
      <c r="BG634" s="1">
        <v>0</v>
      </c>
      <c r="BL634" s="1">
        <v>195</v>
      </c>
      <c r="BM634" s="1" t="s">
        <v>204</v>
      </c>
      <c r="BN634" s="1" t="s">
        <v>213</v>
      </c>
      <c r="BO634" s="1">
        <v>0</v>
      </c>
      <c r="BP634" s="1" t="s">
        <v>204</v>
      </c>
      <c r="BR634" s="1" t="str">
        <f>"0515129008"</f>
        <v>0515129008</v>
      </c>
      <c r="BT634" s="1" t="s">
        <v>7626</v>
      </c>
      <c r="BU634" s="1" t="s">
        <v>7627</v>
      </c>
      <c r="BV634" s="1" t="s">
        <v>6455</v>
      </c>
      <c r="BW634" s="1" t="s">
        <v>6456</v>
      </c>
      <c r="BX634" s="1">
        <v>200</v>
      </c>
      <c r="BY634" s="1">
        <v>200</v>
      </c>
      <c r="BZ634" s="1">
        <v>200</v>
      </c>
      <c r="CB634" s="1" t="str">
        <f t="shared" ref="CB634:CC634" si="492">""</f>
        <v/>
      </c>
      <c r="CC634" s="1" t="str">
        <f t="shared" si="492"/>
        <v/>
      </c>
      <c r="CG634" s="1" t="s">
        <v>3035</v>
      </c>
      <c r="CH634" s="1" t="s">
        <v>784</v>
      </c>
      <c r="CI634" s="1" t="s">
        <v>220</v>
      </c>
      <c r="CJ634" s="1" t="s">
        <v>252</v>
      </c>
      <c r="CK634" s="1" t="s">
        <v>1533</v>
      </c>
      <c r="CL634" s="1" t="s">
        <v>784</v>
      </c>
      <c r="CM634" s="1" t="s">
        <v>220</v>
      </c>
      <c r="CN634" s="1" t="s">
        <v>252</v>
      </c>
      <c r="CO634" s="1" t="s">
        <v>837</v>
      </c>
      <c r="CP634" s="1" t="s">
        <v>784</v>
      </c>
      <c r="CQ634" s="1" t="s">
        <v>220</v>
      </c>
      <c r="CS634" s="1" t="s">
        <v>379</v>
      </c>
      <c r="CT634" s="1" t="s">
        <v>784</v>
      </c>
      <c r="CU634" s="1" t="s">
        <v>220</v>
      </c>
      <c r="CV634" s="1" t="s">
        <v>252</v>
      </c>
      <c r="CX634" s="1" t="s">
        <v>224</v>
      </c>
      <c r="DB634" s="1" t="s">
        <v>224</v>
      </c>
      <c r="DE634" s="1" t="s">
        <v>951</v>
      </c>
      <c r="DF634" s="1" t="s">
        <v>784</v>
      </c>
      <c r="DG634" s="1" t="s">
        <v>342</v>
      </c>
      <c r="DJ634" s="1" t="s">
        <v>224</v>
      </c>
      <c r="DS634" s="1" t="s">
        <v>230</v>
      </c>
      <c r="DW634" s="1" t="s">
        <v>230</v>
      </c>
      <c r="EA634" s="1" t="s">
        <v>230</v>
      </c>
      <c r="EE634" s="1" t="s">
        <v>230</v>
      </c>
      <c r="EI634" s="1" t="s">
        <v>230</v>
      </c>
      <c r="EL634" s="1" t="s">
        <v>605</v>
      </c>
      <c r="EM634" s="1" t="s">
        <v>232</v>
      </c>
      <c r="EN634" s="1" t="s">
        <v>731</v>
      </c>
      <c r="EO634" s="1" t="s">
        <v>234</v>
      </c>
      <c r="EP634" s="1" t="s">
        <v>1283</v>
      </c>
      <c r="ER634" s="1" t="s">
        <v>210</v>
      </c>
      <c r="EU634" s="1" t="s">
        <v>239</v>
      </c>
      <c r="EW634" s="1" t="s">
        <v>3750</v>
      </c>
      <c r="EY634" s="1" t="s">
        <v>242</v>
      </c>
      <c r="EZ634" s="1" t="s">
        <v>287</v>
      </c>
      <c r="FB634" s="1" t="s">
        <v>289</v>
      </c>
      <c r="FC634" s="1" t="s">
        <v>633</v>
      </c>
      <c r="FD634" s="1" t="s">
        <v>495</v>
      </c>
      <c r="FE634" s="1" t="s">
        <v>549</v>
      </c>
      <c r="FF634" s="1" t="s">
        <v>248</v>
      </c>
      <c r="FH634" s="1" t="s">
        <v>249</v>
      </c>
      <c r="FK634" s="1" t="s">
        <v>291</v>
      </c>
      <c r="FL634" s="1" t="s">
        <v>2233</v>
      </c>
      <c r="FM634" s="1" t="s">
        <v>252</v>
      </c>
      <c r="FN634" s="1" t="s">
        <v>213</v>
      </c>
      <c r="FO634" s="1" t="s">
        <v>213</v>
      </c>
      <c r="FQ634" s="1" t="s">
        <v>5689</v>
      </c>
      <c r="FR634" s="1" t="s">
        <v>210</v>
      </c>
      <c r="FS634" s="1" t="s">
        <v>7628</v>
      </c>
      <c r="FT634" s="1" t="s">
        <v>295</v>
      </c>
      <c r="FU634" s="1" t="s">
        <v>204</v>
      </c>
      <c r="FW634" s="1" t="s">
        <v>2144</v>
      </c>
      <c r="FX634" s="1">
        <v>23163</v>
      </c>
      <c r="FY634" s="1" t="s">
        <v>2145</v>
      </c>
      <c r="FZ634" s="1" t="s">
        <v>7186</v>
      </c>
      <c r="GA634" s="1">
        <v>215425</v>
      </c>
      <c r="GB634" s="1" t="s">
        <v>7187</v>
      </c>
      <c r="GE634" s="1" t="s">
        <v>1333</v>
      </c>
      <c r="GH634" s="1" t="s">
        <v>230</v>
      </c>
      <c r="GI634" s="1" t="s">
        <v>213</v>
      </c>
      <c r="GJ634" s="1" t="s">
        <v>260</v>
      </c>
      <c r="GK634" s="1" t="s">
        <v>210</v>
      </c>
      <c r="GL634" s="2">
        <v>42038</v>
      </c>
    </row>
    <row r="635" spans="1:195">
      <c r="A635" s="1">
        <v>71000</v>
      </c>
      <c r="B635" s="1" t="s">
        <v>195</v>
      </c>
      <c r="C635" s="1" t="str">
        <f>"08807869"</f>
        <v>08807869</v>
      </c>
      <c r="D635" s="1" t="s">
        <v>196</v>
      </c>
      <c r="F635" s="1" t="str">
        <f>"516"</f>
        <v>516</v>
      </c>
      <c r="G635" s="2">
        <v>42004</v>
      </c>
      <c r="H635" s="1">
        <v>67000</v>
      </c>
      <c r="I635" s="1">
        <v>67000</v>
      </c>
      <c r="J635" s="1">
        <v>71000</v>
      </c>
      <c r="K635" s="2">
        <v>42003</v>
      </c>
      <c r="L635" s="1">
        <v>12</v>
      </c>
      <c r="M635" s="2">
        <v>42014</v>
      </c>
      <c r="N635" s="1">
        <v>12</v>
      </c>
      <c r="O635" s="2">
        <v>42014</v>
      </c>
      <c r="P635" s="1">
        <v>18235</v>
      </c>
      <c r="Q635" s="1" t="s">
        <v>302</v>
      </c>
      <c r="R635" s="2">
        <v>42062</v>
      </c>
      <c r="S635" s="1">
        <v>148236</v>
      </c>
      <c r="U635" s="1" t="s">
        <v>7629</v>
      </c>
      <c r="V635" s="1" t="s">
        <v>509</v>
      </c>
      <c r="W635" s="1" t="s">
        <v>264</v>
      </c>
      <c r="X635" s="1">
        <v>201</v>
      </c>
      <c r="Y635" s="1">
        <v>16</v>
      </c>
      <c r="Z635" s="1" t="s">
        <v>370</v>
      </c>
      <c r="AA635" s="1" t="s">
        <v>1417</v>
      </c>
      <c r="AB635" s="1">
        <v>60527</v>
      </c>
      <c r="AE635" s="1" t="s">
        <v>7630</v>
      </c>
      <c r="AF635" s="1">
        <v>1970</v>
      </c>
      <c r="AG635" s="1" t="s">
        <v>213</v>
      </c>
      <c r="AH635" s="1" t="s">
        <v>1419</v>
      </c>
      <c r="AI635" s="1" t="s">
        <v>206</v>
      </c>
      <c r="AJ635" s="1" t="s">
        <v>903</v>
      </c>
      <c r="AL635" s="1">
        <v>5</v>
      </c>
      <c r="AM635" s="1">
        <v>2</v>
      </c>
      <c r="AN635" s="1">
        <v>1</v>
      </c>
      <c r="AO635" s="1">
        <v>0</v>
      </c>
      <c r="AP635" s="1" t="s">
        <v>210</v>
      </c>
      <c r="AR635" s="1" t="s">
        <v>210</v>
      </c>
      <c r="AS635" s="1" t="s">
        <v>204</v>
      </c>
      <c r="AT635" s="1" t="s">
        <v>271</v>
      </c>
      <c r="AV635" s="1">
        <v>1</v>
      </c>
      <c r="AW635" s="1" t="s">
        <v>204</v>
      </c>
      <c r="AX635" s="1" t="s">
        <v>212</v>
      </c>
      <c r="AZ635" s="1">
        <v>732</v>
      </c>
      <c r="BA635" s="1">
        <v>2013</v>
      </c>
      <c r="BE635" s="1">
        <v>0</v>
      </c>
      <c r="BF635" s="1">
        <v>1</v>
      </c>
      <c r="BG635" s="1">
        <v>0</v>
      </c>
      <c r="BL635" s="1">
        <v>365</v>
      </c>
      <c r="BM635" s="1" t="s">
        <v>204</v>
      </c>
      <c r="BN635" s="1" t="s">
        <v>213</v>
      </c>
      <c r="BP635" s="1" t="s">
        <v>204</v>
      </c>
      <c r="BR635" s="1" t="str">
        <f>"0935114357"</f>
        <v>0935114357</v>
      </c>
      <c r="BT635" s="1" t="s">
        <v>7631</v>
      </c>
      <c r="BX635" s="1">
        <v>62</v>
      </c>
      <c r="BY635" s="1">
        <v>62</v>
      </c>
      <c r="BZ635" s="1">
        <v>86</v>
      </c>
      <c r="CB635" s="1" t="str">
        <f t="shared" ref="CB635:CC635" si="493">""</f>
        <v/>
      </c>
      <c r="CC635" s="1" t="str">
        <f t="shared" si="493"/>
        <v/>
      </c>
      <c r="CG635" s="1" t="s">
        <v>669</v>
      </c>
      <c r="CH635" s="1" t="s">
        <v>219</v>
      </c>
      <c r="CK635" s="1" t="s">
        <v>437</v>
      </c>
      <c r="CL635" s="1" t="s">
        <v>219</v>
      </c>
      <c r="CO635" s="1" t="s">
        <v>3034</v>
      </c>
      <c r="CP635" s="1" t="s">
        <v>219</v>
      </c>
      <c r="CS635" s="1" t="s">
        <v>465</v>
      </c>
      <c r="CT635" s="1" t="s">
        <v>219</v>
      </c>
      <c r="CX635" s="1" t="s">
        <v>224</v>
      </c>
      <c r="DB635" s="1" t="s">
        <v>224</v>
      </c>
      <c r="DE635" s="1" t="s">
        <v>317</v>
      </c>
      <c r="DF635" s="1" t="s">
        <v>219</v>
      </c>
      <c r="DJ635" s="1" t="s">
        <v>224</v>
      </c>
      <c r="DS635" s="1" t="s">
        <v>230</v>
      </c>
      <c r="DW635" s="1" t="s">
        <v>230</v>
      </c>
      <c r="EA635" s="1" t="s">
        <v>230</v>
      </c>
      <c r="EE635" s="1" t="s">
        <v>230</v>
      </c>
      <c r="EI635" s="1" t="s">
        <v>230</v>
      </c>
      <c r="EL635" s="1" t="s">
        <v>605</v>
      </c>
      <c r="EM635" s="1" t="s">
        <v>730</v>
      </c>
      <c r="EN635" s="1" t="s">
        <v>210</v>
      </c>
      <c r="EO635" s="1" t="s">
        <v>234</v>
      </c>
      <c r="ER635" s="1" t="s">
        <v>210</v>
      </c>
      <c r="EW635" s="1" t="s">
        <v>7632</v>
      </c>
      <c r="EZ635" s="1" t="s">
        <v>287</v>
      </c>
      <c r="FD635" s="1" t="s">
        <v>736</v>
      </c>
      <c r="FE635" s="1" t="s">
        <v>247</v>
      </c>
      <c r="FF635" s="1" t="s">
        <v>387</v>
      </c>
      <c r="FH635" s="1" t="s">
        <v>249</v>
      </c>
      <c r="FK635" s="1" t="s">
        <v>291</v>
      </c>
      <c r="FL635" s="1" t="s">
        <v>414</v>
      </c>
      <c r="FM635" s="1" t="s">
        <v>252</v>
      </c>
      <c r="FN635" s="1" t="s">
        <v>213</v>
      </c>
      <c r="FO635" s="1" t="s">
        <v>213</v>
      </c>
      <c r="FQ635" s="1" t="s">
        <v>849</v>
      </c>
      <c r="FR635" s="1" t="s">
        <v>210</v>
      </c>
      <c r="FS635" s="1" t="s">
        <v>7633</v>
      </c>
      <c r="FT635" s="1" t="s">
        <v>255</v>
      </c>
      <c r="FU635" s="1" t="s">
        <v>204</v>
      </c>
      <c r="FW635" s="1" t="s">
        <v>3206</v>
      </c>
      <c r="FX635" s="1">
        <v>85213</v>
      </c>
      <c r="FY635" s="1" t="s">
        <v>3207</v>
      </c>
      <c r="FZ635" s="1" t="s">
        <v>3208</v>
      </c>
      <c r="GA635" s="1">
        <v>167287</v>
      </c>
      <c r="GB635" s="1" t="s">
        <v>3209</v>
      </c>
      <c r="GE635" s="1" t="s">
        <v>210</v>
      </c>
      <c r="GI635" s="1" t="s">
        <v>204</v>
      </c>
      <c r="GJ635" s="1" t="s">
        <v>260</v>
      </c>
      <c r="GK635" s="1" t="s">
        <v>210</v>
      </c>
      <c r="GL635" s="2">
        <v>42075</v>
      </c>
      <c r="GM635" s="1" t="s">
        <v>7634</v>
      </c>
    </row>
    <row r="636" spans="1:195">
      <c r="A636" s="1">
        <v>26200</v>
      </c>
      <c r="B636" s="1" t="s">
        <v>195</v>
      </c>
      <c r="C636" s="1" t="str">
        <f>"08803045"</f>
        <v>08803045</v>
      </c>
      <c r="D636" s="1" t="s">
        <v>196</v>
      </c>
      <c r="F636" s="1" t="str">
        <f>"8043"</f>
        <v>8043</v>
      </c>
      <c r="G636" s="2">
        <v>41989</v>
      </c>
      <c r="H636" s="1">
        <v>25000</v>
      </c>
      <c r="I636" s="1">
        <v>25000</v>
      </c>
      <c r="J636" s="1">
        <v>26200</v>
      </c>
      <c r="K636" s="2">
        <v>41989</v>
      </c>
      <c r="L636" s="1">
        <v>7</v>
      </c>
      <c r="M636" s="2">
        <v>41995</v>
      </c>
      <c r="N636" s="1">
        <v>7</v>
      </c>
      <c r="O636" s="2">
        <v>41995</v>
      </c>
      <c r="P636" s="1">
        <v>84864</v>
      </c>
      <c r="Q636" s="1" t="s">
        <v>302</v>
      </c>
      <c r="R636" s="2">
        <v>42034</v>
      </c>
      <c r="S636" s="1">
        <v>187944</v>
      </c>
      <c r="U636" s="1">
        <v>7008</v>
      </c>
      <c r="V636" s="1" t="s">
        <v>7635</v>
      </c>
      <c r="W636" s="1" t="s">
        <v>425</v>
      </c>
      <c r="X636" s="1">
        <v>3</v>
      </c>
      <c r="Y636" s="1">
        <v>8</v>
      </c>
      <c r="Z636" s="1" t="s">
        <v>249</v>
      </c>
      <c r="AA636" s="1" t="s">
        <v>400</v>
      </c>
      <c r="AB636" s="1">
        <v>60649</v>
      </c>
      <c r="AC636" s="1">
        <v>2110</v>
      </c>
      <c r="AE636" s="1" t="s">
        <v>7636</v>
      </c>
      <c r="AF636" s="1">
        <v>1916</v>
      </c>
      <c r="AG636" s="1" t="s">
        <v>213</v>
      </c>
      <c r="AH636" s="1" t="s">
        <v>403</v>
      </c>
      <c r="AI636" s="1" t="s">
        <v>310</v>
      </c>
      <c r="AJ636" s="1" t="s">
        <v>7637</v>
      </c>
      <c r="AL636" s="1">
        <v>5</v>
      </c>
      <c r="AM636" s="1">
        <v>2</v>
      </c>
      <c r="AN636" s="1">
        <v>2</v>
      </c>
      <c r="AO636" s="1">
        <v>0</v>
      </c>
      <c r="AP636" s="1" t="s">
        <v>209</v>
      </c>
      <c r="AR636" s="1" t="s">
        <v>210</v>
      </c>
      <c r="AS636" s="1" t="s">
        <v>204</v>
      </c>
      <c r="AT636" s="1" t="s">
        <v>271</v>
      </c>
      <c r="AV636" s="1">
        <v>1</v>
      </c>
      <c r="AW636" s="1" t="s">
        <v>204</v>
      </c>
      <c r="AX636" s="1" t="s">
        <v>212</v>
      </c>
      <c r="AZ636" s="1">
        <v>2497.38</v>
      </c>
      <c r="BA636" s="1">
        <v>2012</v>
      </c>
      <c r="BE636" s="1">
        <v>1290</v>
      </c>
      <c r="BF636" s="1">
        <v>3</v>
      </c>
      <c r="BG636" s="1">
        <v>0</v>
      </c>
      <c r="BL636" s="1">
        <v>90</v>
      </c>
      <c r="BM636" s="1" t="s">
        <v>204</v>
      </c>
      <c r="BN636" s="1" t="s">
        <v>213</v>
      </c>
      <c r="BO636" s="1">
        <v>20</v>
      </c>
      <c r="BP636" s="1" t="s">
        <v>204</v>
      </c>
      <c r="BR636" s="1" t="str">
        <f>"20244230301004"</f>
        <v>20244230301004</v>
      </c>
      <c r="BT636" s="1" t="s">
        <v>7638</v>
      </c>
      <c r="BX636" s="1">
        <v>299</v>
      </c>
      <c r="BY636" s="1">
        <v>299</v>
      </c>
      <c r="BZ636" s="1">
        <v>299</v>
      </c>
      <c r="CB636" s="1" t="str">
        <f>"0"</f>
        <v>0</v>
      </c>
      <c r="CC636" s="1" t="str">
        <f>"2200"</f>
        <v>2200</v>
      </c>
      <c r="CD636" s="1">
        <v>0</v>
      </c>
      <c r="CE636" s="1">
        <v>7008</v>
      </c>
      <c r="CG636" s="1" t="s">
        <v>3100</v>
      </c>
      <c r="CH636" s="1" t="s">
        <v>219</v>
      </c>
      <c r="CK636" s="1" t="s">
        <v>602</v>
      </c>
      <c r="CL636" s="1" t="s">
        <v>219</v>
      </c>
      <c r="CO636" s="1" t="s">
        <v>2982</v>
      </c>
      <c r="CP636" s="1" t="s">
        <v>219</v>
      </c>
      <c r="CS636" s="1" t="s">
        <v>2170</v>
      </c>
      <c r="CT636" s="1" t="s">
        <v>219</v>
      </c>
      <c r="CX636" s="1" t="s">
        <v>224</v>
      </c>
      <c r="DB636" s="1" t="s">
        <v>224</v>
      </c>
      <c r="DE636" s="1" t="s">
        <v>1360</v>
      </c>
      <c r="DF636" s="1" t="s">
        <v>219</v>
      </c>
      <c r="DJ636" s="1" t="s">
        <v>224</v>
      </c>
      <c r="DS636" s="1" t="s">
        <v>230</v>
      </c>
      <c r="DW636" s="1" t="s">
        <v>230</v>
      </c>
      <c r="EA636" s="1" t="s">
        <v>230</v>
      </c>
      <c r="EE636" s="1" t="s">
        <v>230</v>
      </c>
      <c r="EI636" s="1" t="s">
        <v>230</v>
      </c>
      <c r="EL636" s="1" t="s">
        <v>2521</v>
      </c>
      <c r="EM636" s="1" t="s">
        <v>232</v>
      </c>
      <c r="EN636" s="1" t="s">
        <v>282</v>
      </c>
      <c r="EO636" s="1" t="s">
        <v>234</v>
      </c>
      <c r="EP636" s="1" t="s">
        <v>7639</v>
      </c>
      <c r="ER636" s="1" t="s">
        <v>210</v>
      </c>
      <c r="EW636" s="1" t="s">
        <v>7327</v>
      </c>
      <c r="EY636" s="1" t="s">
        <v>790</v>
      </c>
      <c r="EZ636" s="1" t="s">
        <v>287</v>
      </c>
      <c r="FB636" s="1" t="s">
        <v>846</v>
      </c>
      <c r="FD636" s="1" t="s">
        <v>246</v>
      </c>
      <c r="FE636" s="1" t="s">
        <v>247</v>
      </c>
      <c r="FF636" s="1" t="s">
        <v>248</v>
      </c>
      <c r="FH636" s="1" t="s">
        <v>249</v>
      </c>
      <c r="FL636" s="1" t="s">
        <v>358</v>
      </c>
      <c r="FM636" s="1" t="s">
        <v>252</v>
      </c>
      <c r="FN636" s="1" t="s">
        <v>213</v>
      </c>
      <c r="FO636" s="1" t="s">
        <v>213</v>
      </c>
      <c r="FQ636" s="1" t="s">
        <v>5214</v>
      </c>
      <c r="FR636" s="1" t="s">
        <v>210</v>
      </c>
      <c r="FS636" s="1" t="s">
        <v>2984</v>
      </c>
      <c r="FT636" s="1" t="s">
        <v>295</v>
      </c>
      <c r="FU636" s="1" t="s">
        <v>204</v>
      </c>
      <c r="FW636" s="1" t="s">
        <v>2985</v>
      </c>
      <c r="FX636" s="1">
        <v>23959</v>
      </c>
      <c r="FY636" s="1" t="s">
        <v>2986</v>
      </c>
      <c r="FZ636" s="1" t="s">
        <v>6386</v>
      </c>
      <c r="GA636" s="1">
        <v>238419</v>
      </c>
      <c r="GC636" s="1">
        <v>220868</v>
      </c>
      <c r="GE636" s="1" t="s">
        <v>210</v>
      </c>
      <c r="GH636" s="1" t="s">
        <v>421</v>
      </c>
      <c r="GI636" s="1" t="s">
        <v>213</v>
      </c>
      <c r="GJ636" s="1" t="s">
        <v>260</v>
      </c>
      <c r="GK636" s="1" t="s">
        <v>210</v>
      </c>
      <c r="GL636" s="2">
        <v>42034</v>
      </c>
      <c r="GM636" s="1" t="s">
        <v>7640</v>
      </c>
    </row>
    <row r="637" spans="1:195">
      <c r="A637" s="1">
        <v>200000</v>
      </c>
      <c r="B637" s="1" t="s">
        <v>195</v>
      </c>
      <c r="C637" s="1" t="str">
        <f>"08800699"</f>
        <v>08800699</v>
      </c>
      <c r="D637" s="1" t="s">
        <v>196</v>
      </c>
      <c r="F637" s="1" t="str">
        <f>"104"</f>
        <v>104</v>
      </c>
      <c r="G637" s="2">
        <v>41984</v>
      </c>
      <c r="H637" s="1">
        <v>212500</v>
      </c>
      <c r="I637" s="1">
        <v>204500</v>
      </c>
      <c r="J637" s="1">
        <v>200000</v>
      </c>
      <c r="K637" s="2">
        <v>41984</v>
      </c>
      <c r="L637" s="1">
        <v>72</v>
      </c>
      <c r="M637" s="2">
        <v>42055</v>
      </c>
      <c r="N637" s="1">
        <v>72</v>
      </c>
      <c r="O637" s="2">
        <v>42055</v>
      </c>
      <c r="P637" s="1">
        <v>383</v>
      </c>
      <c r="Q637" s="1" t="s">
        <v>197</v>
      </c>
      <c r="R637" s="2">
        <v>42090</v>
      </c>
      <c r="S637" s="1">
        <v>921</v>
      </c>
      <c r="T637" s="1">
        <v>4000</v>
      </c>
      <c r="U637" s="1">
        <v>557</v>
      </c>
      <c r="V637" s="1" t="s">
        <v>7641</v>
      </c>
      <c r="W637" s="1" t="s">
        <v>4046</v>
      </c>
      <c r="Y637" s="1">
        <v>6</v>
      </c>
      <c r="Z637" s="1" t="s">
        <v>249</v>
      </c>
      <c r="AA637" s="1" t="s">
        <v>371</v>
      </c>
      <c r="AB637" s="1">
        <v>60103</v>
      </c>
      <c r="AD637" s="1" t="s">
        <v>7642</v>
      </c>
      <c r="AE637" s="1" t="s">
        <v>7643</v>
      </c>
      <c r="AF637" s="1">
        <v>2001</v>
      </c>
      <c r="AG637" s="1" t="s">
        <v>204</v>
      </c>
      <c r="AH637" s="1" t="s">
        <v>373</v>
      </c>
      <c r="AI637" s="1" t="s">
        <v>310</v>
      </c>
      <c r="AJ637" s="1" t="s">
        <v>374</v>
      </c>
      <c r="AK637" s="1" t="s">
        <v>7044</v>
      </c>
      <c r="AL637" s="1">
        <v>7</v>
      </c>
      <c r="AM637" s="1">
        <v>2</v>
      </c>
      <c r="AN637" s="1">
        <v>2</v>
      </c>
      <c r="AO637" s="1">
        <v>1</v>
      </c>
      <c r="AP637" s="1" t="s">
        <v>455</v>
      </c>
      <c r="AQ637" s="1">
        <v>0</v>
      </c>
      <c r="AR637" s="1" t="s">
        <v>2275</v>
      </c>
      <c r="AS637" s="1" t="s">
        <v>213</v>
      </c>
      <c r="AT637" s="1" t="s">
        <v>211</v>
      </c>
      <c r="AU637" s="1">
        <v>2</v>
      </c>
      <c r="AW637" s="1" t="s">
        <v>204</v>
      </c>
      <c r="AX637" s="1" t="s">
        <v>212</v>
      </c>
      <c r="AZ637" s="1">
        <v>3895</v>
      </c>
      <c r="BA637" s="1">
        <v>2013</v>
      </c>
      <c r="BB637" s="1" t="s">
        <v>405</v>
      </c>
      <c r="BE637" s="1">
        <v>1461</v>
      </c>
      <c r="BF637" s="1">
        <v>1</v>
      </c>
      <c r="BG637" s="1">
        <v>0</v>
      </c>
      <c r="BJ637" s="1">
        <v>0</v>
      </c>
      <c r="BL637" s="1">
        <v>147</v>
      </c>
      <c r="BM637" s="1" t="s">
        <v>204</v>
      </c>
      <c r="BN637" s="1" t="s">
        <v>213</v>
      </c>
      <c r="BO637" s="1">
        <v>999</v>
      </c>
      <c r="BP637" s="1" t="s">
        <v>204</v>
      </c>
      <c r="BR637" s="1" t="str">
        <f>"06284020171047"</f>
        <v>06284020171047</v>
      </c>
      <c r="BT637" s="1" t="s">
        <v>7644</v>
      </c>
      <c r="BU637" s="1" t="s">
        <v>6711</v>
      </c>
      <c r="BV637" s="1" t="s">
        <v>1467</v>
      </c>
      <c r="BW637" s="1" t="s">
        <v>1468</v>
      </c>
      <c r="BX637" s="1">
        <v>46</v>
      </c>
      <c r="BY637" s="1">
        <v>46</v>
      </c>
      <c r="BZ637" s="1">
        <v>46</v>
      </c>
      <c r="CB637" s="1" t="str">
        <f>"9"</f>
        <v>9</v>
      </c>
      <c r="CC637" s="1" t="str">
        <f>"0"</f>
        <v>0</v>
      </c>
      <c r="CD637" s="1">
        <v>30</v>
      </c>
      <c r="CE637" s="1">
        <v>0</v>
      </c>
      <c r="CG637" s="1" t="s">
        <v>437</v>
      </c>
      <c r="CH637" s="1" t="s">
        <v>219</v>
      </c>
      <c r="CI637" s="1" t="s">
        <v>342</v>
      </c>
      <c r="CK637" s="1" t="s">
        <v>437</v>
      </c>
      <c r="CL637" s="1" t="s">
        <v>277</v>
      </c>
      <c r="CM637" s="1" t="s">
        <v>220</v>
      </c>
      <c r="CO637" s="1" t="s">
        <v>346</v>
      </c>
      <c r="CP637" s="1" t="s">
        <v>219</v>
      </c>
      <c r="CQ637" s="1" t="s">
        <v>342</v>
      </c>
      <c r="CS637" s="1" t="s">
        <v>1046</v>
      </c>
      <c r="CT637" s="1" t="s">
        <v>277</v>
      </c>
      <c r="CU637" s="1" t="s">
        <v>220</v>
      </c>
      <c r="CX637" s="1" t="s">
        <v>224</v>
      </c>
      <c r="DB637" s="1" t="s">
        <v>224</v>
      </c>
      <c r="DE637" s="1" t="s">
        <v>346</v>
      </c>
      <c r="DF637" s="1" t="s">
        <v>219</v>
      </c>
      <c r="DG637" s="1" t="s">
        <v>342</v>
      </c>
      <c r="DH637" s="1" t="s">
        <v>210</v>
      </c>
      <c r="DI637" s="1" t="s">
        <v>2402</v>
      </c>
      <c r="DJ637" s="1" t="s">
        <v>4450</v>
      </c>
      <c r="DK637" s="1" t="s">
        <v>220</v>
      </c>
      <c r="DM637" s="1" t="s">
        <v>464</v>
      </c>
      <c r="DR637" s="1" t="s">
        <v>516</v>
      </c>
      <c r="DS637" s="1" t="s">
        <v>277</v>
      </c>
      <c r="DT637" s="1" t="s">
        <v>220</v>
      </c>
      <c r="DU637" s="1" t="s">
        <v>210</v>
      </c>
      <c r="DW637" s="1" t="s">
        <v>230</v>
      </c>
      <c r="EA637" s="1" t="s">
        <v>230</v>
      </c>
      <c r="EE637" s="1" t="s">
        <v>230</v>
      </c>
      <c r="EI637" s="1" t="s">
        <v>230</v>
      </c>
      <c r="EL637" s="1" t="s">
        <v>466</v>
      </c>
      <c r="EM637" s="1" t="s">
        <v>319</v>
      </c>
      <c r="EN637" s="1" t="s">
        <v>282</v>
      </c>
      <c r="EO637" s="1" t="s">
        <v>234</v>
      </c>
      <c r="EP637" s="1" t="s">
        <v>1268</v>
      </c>
      <c r="EQ637" s="1" t="s">
        <v>2188</v>
      </c>
      <c r="ER637" s="1" t="s">
        <v>823</v>
      </c>
      <c r="ES637" s="1" t="s">
        <v>608</v>
      </c>
      <c r="ET637" s="1" t="s">
        <v>842</v>
      </c>
      <c r="EU637" s="1" t="s">
        <v>3536</v>
      </c>
      <c r="EV637" s="1" t="s">
        <v>324</v>
      </c>
      <c r="EW637" s="1" t="s">
        <v>353</v>
      </c>
      <c r="EY637" s="1" t="s">
        <v>612</v>
      </c>
      <c r="EZ637" s="1" t="s">
        <v>464</v>
      </c>
      <c r="FA637" s="1" t="s">
        <v>714</v>
      </c>
      <c r="FB637" s="1" t="s">
        <v>289</v>
      </c>
      <c r="FC637" s="1" t="s">
        <v>1405</v>
      </c>
      <c r="FD637" s="1" t="s">
        <v>290</v>
      </c>
      <c r="FE637" s="1" t="s">
        <v>472</v>
      </c>
      <c r="FF637" s="1" t="s">
        <v>248</v>
      </c>
      <c r="FH637" s="1" t="s">
        <v>550</v>
      </c>
      <c r="FI637" s="1" t="s">
        <v>473</v>
      </c>
      <c r="FJ637" s="1" t="s">
        <v>197</v>
      </c>
      <c r="FL637" s="1" t="s">
        <v>358</v>
      </c>
      <c r="FM637" s="1" t="s">
        <v>252</v>
      </c>
      <c r="FN637" s="1" t="s">
        <v>213</v>
      </c>
      <c r="FO637" s="1" t="s">
        <v>213</v>
      </c>
      <c r="FQ637" s="1" t="s">
        <v>329</v>
      </c>
      <c r="FR637" s="1" t="s">
        <v>210</v>
      </c>
      <c r="FS637" s="1" t="s">
        <v>443</v>
      </c>
      <c r="FT637" s="1" t="s">
        <v>7645</v>
      </c>
      <c r="FU637" s="1" t="s">
        <v>204</v>
      </c>
      <c r="FV637" s="1" t="s">
        <v>7646</v>
      </c>
      <c r="FW637" s="1" t="s">
        <v>554</v>
      </c>
      <c r="FX637" s="1">
        <v>25215</v>
      </c>
      <c r="FY637" s="1" t="s">
        <v>1508</v>
      </c>
      <c r="FZ637" s="1" t="s">
        <v>7647</v>
      </c>
      <c r="GA637" s="1">
        <v>255576</v>
      </c>
      <c r="GB637" s="1" t="s">
        <v>7648</v>
      </c>
      <c r="GD637" s="1" t="s">
        <v>7649</v>
      </c>
      <c r="GE637" s="1" t="s">
        <v>480</v>
      </c>
      <c r="GI637" s="1" t="s">
        <v>213</v>
      </c>
      <c r="GJ637" s="1" t="s">
        <v>260</v>
      </c>
      <c r="GK637" s="1" t="s">
        <v>210</v>
      </c>
      <c r="GL637" s="2">
        <v>42090</v>
      </c>
      <c r="GM637" s="1" t="s">
        <v>7650</v>
      </c>
    </row>
    <row r="638" spans="1:195">
      <c r="A638" s="1">
        <v>125000</v>
      </c>
      <c r="B638" s="1" t="s">
        <v>195</v>
      </c>
      <c r="C638" s="1" t="str">
        <f>"08800386"</f>
        <v>08800386</v>
      </c>
      <c r="D638" s="1" t="s">
        <v>196</v>
      </c>
      <c r="F638" s="1" t="str">
        <f>"139"</f>
        <v>139</v>
      </c>
      <c r="G638" s="2">
        <v>41984</v>
      </c>
      <c r="H638" s="1">
        <v>129900</v>
      </c>
      <c r="I638" s="1">
        <v>129900</v>
      </c>
      <c r="J638" s="1">
        <v>125000</v>
      </c>
      <c r="K638" s="2">
        <v>41984</v>
      </c>
      <c r="L638" s="1">
        <v>13</v>
      </c>
      <c r="M638" s="2">
        <v>41996</v>
      </c>
      <c r="N638" s="1">
        <v>13</v>
      </c>
      <c r="O638" s="2">
        <v>41996</v>
      </c>
      <c r="P638" s="1">
        <v>10646</v>
      </c>
      <c r="Q638" s="1" t="s">
        <v>197</v>
      </c>
      <c r="R638" s="2">
        <v>42055</v>
      </c>
      <c r="S638" s="1">
        <v>157941</v>
      </c>
      <c r="U638" s="1">
        <v>2130</v>
      </c>
      <c r="V638" s="1" t="s">
        <v>7651</v>
      </c>
      <c r="W638" s="1" t="s">
        <v>504</v>
      </c>
      <c r="Y638" s="1">
        <v>2</v>
      </c>
      <c r="Z638" s="1" t="s">
        <v>200</v>
      </c>
      <c r="AA638" s="1" t="s">
        <v>1732</v>
      </c>
      <c r="AB638" s="1">
        <v>60139</v>
      </c>
      <c r="AE638" s="1" t="s">
        <v>7652</v>
      </c>
      <c r="AF638" s="1">
        <v>1984</v>
      </c>
      <c r="AG638" s="1" t="s">
        <v>204</v>
      </c>
      <c r="AH638" s="1" t="s">
        <v>1735</v>
      </c>
      <c r="AI638" s="1" t="s">
        <v>206</v>
      </c>
      <c r="AJ638" s="1" t="s">
        <v>269</v>
      </c>
      <c r="AL638" s="1">
        <v>5</v>
      </c>
      <c r="AM638" s="1">
        <v>2</v>
      </c>
      <c r="AN638" s="1">
        <v>1</v>
      </c>
      <c r="AO638" s="1">
        <v>1</v>
      </c>
      <c r="AP638" s="1" t="s">
        <v>209</v>
      </c>
      <c r="AQ638" s="1">
        <v>1</v>
      </c>
      <c r="AR638" s="1" t="s">
        <v>210</v>
      </c>
      <c r="AT638" s="1" t="s">
        <v>211</v>
      </c>
      <c r="AU638" s="1">
        <v>1</v>
      </c>
      <c r="AW638" s="1" t="s">
        <v>204</v>
      </c>
      <c r="AX638" s="1" t="s">
        <v>7653</v>
      </c>
      <c r="AZ638" s="1">
        <v>3892</v>
      </c>
      <c r="BA638" s="1">
        <v>2013</v>
      </c>
      <c r="BB638" s="1" t="s">
        <v>347</v>
      </c>
      <c r="BE638" s="1">
        <v>910</v>
      </c>
      <c r="BF638" s="1">
        <v>1</v>
      </c>
      <c r="BG638" s="1">
        <v>0</v>
      </c>
      <c r="BL638" s="1">
        <v>0</v>
      </c>
      <c r="BM638" s="1" t="s">
        <v>204</v>
      </c>
      <c r="BN638" s="1" t="s">
        <v>213</v>
      </c>
      <c r="BO638" s="1">
        <v>100</v>
      </c>
      <c r="BP638" s="1" t="s">
        <v>204</v>
      </c>
      <c r="BR638" s="1" t="str">
        <f>"0221403058"</f>
        <v>0221403058</v>
      </c>
      <c r="BT638" s="1" t="s">
        <v>7654</v>
      </c>
      <c r="BX638" s="1">
        <v>15</v>
      </c>
      <c r="BY638" s="1">
        <v>15</v>
      </c>
      <c r="BZ638" s="1">
        <v>87</v>
      </c>
      <c r="CB638" s="1" t="str">
        <f t="shared" ref="CB638:CC638" si="494">""</f>
        <v/>
      </c>
      <c r="CC638" s="1" t="str">
        <f t="shared" si="494"/>
        <v/>
      </c>
      <c r="CG638" s="1" t="s">
        <v>3035</v>
      </c>
      <c r="CH638" s="1" t="s">
        <v>219</v>
      </c>
      <c r="CI638" s="1" t="s">
        <v>220</v>
      </c>
      <c r="CK638" s="1" t="s">
        <v>465</v>
      </c>
      <c r="CL638" s="1" t="s">
        <v>219</v>
      </c>
      <c r="CO638" s="1" t="s">
        <v>629</v>
      </c>
      <c r="CP638" s="1" t="s">
        <v>219</v>
      </c>
      <c r="CQ638" s="1" t="s">
        <v>220</v>
      </c>
      <c r="CS638" s="1" t="s">
        <v>318</v>
      </c>
      <c r="CT638" s="1" t="s">
        <v>219</v>
      </c>
      <c r="CX638" s="1" t="s">
        <v>224</v>
      </c>
      <c r="DB638" s="1" t="s">
        <v>224</v>
      </c>
      <c r="DE638" s="1" t="s">
        <v>281</v>
      </c>
      <c r="DF638" s="1" t="s">
        <v>219</v>
      </c>
      <c r="DG638" s="1" t="s">
        <v>229</v>
      </c>
      <c r="DJ638" s="1" t="s">
        <v>224</v>
      </c>
      <c r="DS638" s="1" t="s">
        <v>230</v>
      </c>
      <c r="DW638" s="1" t="s">
        <v>230</v>
      </c>
      <c r="EA638" s="1" t="s">
        <v>230</v>
      </c>
      <c r="EE638" s="1" t="s">
        <v>230</v>
      </c>
      <c r="EI638" s="1" t="s">
        <v>230</v>
      </c>
      <c r="EL638" s="1" t="s">
        <v>542</v>
      </c>
      <c r="EM638" s="1" t="s">
        <v>319</v>
      </c>
      <c r="EN638" s="1" t="s">
        <v>282</v>
      </c>
      <c r="EO638" s="1" t="s">
        <v>234</v>
      </c>
      <c r="EQ638" s="1" t="s">
        <v>350</v>
      </c>
      <c r="ER638" s="1" t="s">
        <v>210</v>
      </c>
      <c r="ES638" s="1" t="s">
        <v>824</v>
      </c>
      <c r="EW638" s="1" t="s">
        <v>210</v>
      </c>
      <c r="EZ638" s="1" t="s">
        <v>287</v>
      </c>
      <c r="FD638" s="1" t="s">
        <v>246</v>
      </c>
      <c r="FE638" s="1" t="s">
        <v>496</v>
      </c>
      <c r="FF638" s="1" t="s">
        <v>248</v>
      </c>
      <c r="FH638" s="1" t="s">
        <v>442</v>
      </c>
      <c r="FL638" s="1" t="s">
        <v>358</v>
      </c>
      <c r="FM638" s="1" t="s">
        <v>252</v>
      </c>
      <c r="FN638" s="1" t="s">
        <v>213</v>
      </c>
      <c r="FO638" s="1" t="s">
        <v>213</v>
      </c>
      <c r="FQ638" s="1" t="s">
        <v>1896</v>
      </c>
      <c r="FR638" s="1" t="s">
        <v>210</v>
      </c>
      <c r="FS638" s="1" t="s">
        <v>7655</v>
      </c>
      <c r="FT638" s="1" t="s">
        <v>295</v>
      </c>
      <c r="FU638" s="1" t="s">
        <v>204</v>
      </c>
      <c r="FW638" s="1" t="s">
        <v>5648</v>
      </c>
      <c r="FX638" s="1">
        <v>23099</v>
      </c>
      <c r="FY638" s="1" t="s">
        <v>5649</v>
      </c>
      <c r="FZ638" s="1" t="s">
        <v>7656</v>
      </c>
      <c r="GA638" s="1">
        <v>227397</v>
      </c>
      <c r="GB638" s="1" t="s">
        <v>7657</v>
      </c>
      <c r="GE638" s="1" t="s">
        <v>480</v>
      </c>
      <c r="GH638" s="1" t="s">
        <v>589</v>
      </c>
      <c r="GI638" s="1" t="s">
        <v>213</v>
      </c>
      <c r="GJ638" s="1" t="s">
        <v>260</v>
      </c>
      <c r="GK638" s="1" t="s">
        <v>210</v>
      </c>
      <c r="GL638" s="2">
        <v>42056</v>
      </c>
      <c r="GM638" s="1" t="s">
        <v>7658</v>
      </c>
    </row>
    <row r="639" spans="1:195">
      <c r="A639" s="1">
        <v>75000</v>
      </c>
      <c r="B639" s="1" t="s">
        <v>195</v>
      </c>
      <c r="C639" s="1" t="str">
        <f>"08804767"</f>
        <v>08804767</v>
      </c>
      <c r="D639" s="1" t="s">
        <v>196</v>
      </c>
      <c r="F639" s="1" t="str">
        <f>"140"</f>
        <v>140</v>
      </c>
      <c r="G639" s="2">
        <v>41993</v>
      </c>
      <c r="H639" s="1">
        <v>69000</v>
      </c>
      <c r="I639" s="1">
        <v>75000</v>
      </c>
      <c r="J639" s="1">
        <v>75000</v>
      </c>
      <c r="K639" s="2">
        <v>41993</v>
      </c>
      <c r="L639" s="1">
        <v>261</v>
      </c>
      <c r="M639" s="2">
        <v>42041</v>
      </c>
      <c r="N639" s="1">
        <v>49</v>
      </c>
      <c r="O639" s="2">
        <v>42041</v>
      </c>
      <c r="P639" s="1">
        <v>7630</v>
      </c>
      <c r="Q639" s="1" t="s">
        <v>302</v>
      </c>
      <c r="R639" s="2">
        <v>42086</v>
      </c>
      <c r="S639" s="1">
        <v>8917</v>
      </c>
      <c r="U639" s="1">
        <v>2250</v>
      </c>
      <c r="V639" s="1" t="s">
        <v>1123</v>
      </c>
      <c r="W639" s="1" t="s">
        <v>425</v>
      </c>
      <c r="X639" s="1">
        <v>22</v>
      </c>
      <c r="Y639" s="1">
        <v>5</v>
      </c>
      <c r="Z639" s="1" t="s">
        <v>249</v>
      </c>
      <c r="AA639" s="1" t="s">
        <v>744</v>
      </c>
      <c r="AB639" s="1">
        <v>60140</v>
      </c>
      <c r="AD639" s="1" t="s">
        <v>745</v>
      </c>
      <c r="AE639" s="1" t="s">
        <v>7659</v>
      </c>
      <c r="AF639" s="1">
        <v>2008</v>
      </c>
      <c r="AG639" s="1" t="s">
        <v>204</v>
      </c>
      <c r="AH639" s="1" t="s">
        <v>747</v>
      </c>
      <c r="AI639" s="1" t="s">
        <v>665</v>
      </c>
      <c r="AJ639" s="1" t="s">
        <v>748</v>
      </c>
      <c r="AK639" s="1" t="s">
        <v>7660</v>
      </c>
      <c r="AL639" s="1">
        <v>5</v>
      </c>
      <c r="AM639" s="1">
        <v>2</v>
      </c>
      <c r="AN639" s="1">
        <v>2</v>
      </c>
      <c r="AO639" s="1">
        <v>0</v>
      </c>
      <c r="AP639" s="1" t="s">
        <v>209</v>
      </c>
      <c r="AQ639" s="1">
        <v>0</v>
      </c>
      <c r="AR639" s="1" t="s">
        <v>210</v>
      </c>
      <c r="AS639" s="1" t="s">
        <v>204</v>
      </c>
      <c r="AT639" s="1" t="s">
        <v>375</v>
      </c>
      <c r="AU639" s="1">
        <v>1</v>
      </c>
      <c r="AV639" s="1">
        <v>1</v>
      </c>
      <c r="AW639" s="1" t="s">
        <v>204</v>
      </c>
      <c r="AX639" s="1" t="s">
        <v>212</v>
      </c>
      <c r="AZ639" s="1">
        <v>3442</v>
      </c>
      <c r="BA639" s="1">
        <v>2013</v>
      </c>
      <c r="BB639" s="1" t="s">
        <v>210</v>
      </c>
      <c r="BE639" s="1">
        <v>0</v>
      </c>
      <c r="BF639" s="1">
        <v>2</v>
      </c>
      <c r="BG639" s="1">
        <v>0</v>
      </c>
      <c r="BL639" s="1">
        <v>266</v>
      </c>
      <c r="BM639" s="1" t="s">
        <v>213</v>
      </c>
      <c r="BN639" s="1" t="s">
        <v>213</v>
      </c>
      <c r="BO639" s="1">
        <v>999</v>
      </c>
      <c r="BP639" s="1" t="s">
        <v>204</v>
      </c>
      <c r="BR639" s="1" t="str">
        <f>"0230460147"</f>
        <v>0230460147</v>
      </c>
      <c r="BT639" s="1" t="s">
        <v>7661</v>
      </c>
      <c r="BX639" s="1">
        <v>300</v>
      </c>
      <c r="BY639" s="1">
        <v>300</v>
      </c>
      <c r="BZ639" s="1">
        <v>300</v>
      </c>
      <c r="CB639" s="1" t="str">
        <f t="shared" ref="CB639:CC639" si="495">""</f>
        <v/>
      </c>
      <c r="CC639" s="1" t="str">
        <f t="shared" si="495"/>
        <v/>
      </c>
      <c r="CG639" s="1" t="s">
        <v>932</v>
      </c>
      <c r="CH639" s="1" t="s">
        <v>277</v>
      </c>
      <c r="CK639" s="1" t="s">
        <v>437</v>
      </c>
      <c r="CL639" s="1" t="s">
        <v>277</v>
      </c>
      <c r="CO639" s="1" t="s">
        <v>409</v>
      </c>
      <c r="CP639" s="1" t="s">
        <v>277</v>
      </c>
      <c r="CS639" s="1" t="s">
        <v>346</v>
      </c>
      <c r="CT639" s="1" t="s">
        <v>277</v>
      </c>
      <c r="CX639" s="1" t="s">
        <v>224</v>
      </c>
      <c r="DB639" s="1" t="s">
        <v>224</v>
      </c>
      <c r="DE639" s="1" t="s">
        <v>409</v>
      </c>
      <c r="DF639" s="1" t="s">
        <v>277</v>
      </c>
      <c r="DJ639" s="1" t="s">
        <v>224</v>
      </c>
      <c r="DS639" s="1" t="s">
        <v>230</v>
      </c>
      <c r="DW639" s="1" t="s">
        <v>230</v>
      </c>
      <c r="EA639" s="1" t="s">
        <v>230</v>
      </c>
      <c r="EE639" s="1" t="s">
        <v>230</v>
      </c>
      <c r="EI639" s="1" t="s">
        <v>230</v>
      </c>
      <c r="EL639" s="1" t="s">
        <v>491</v>
      </c>
      <c r="EM639" s="1" t="s">
        <v>319</v>
      </c>
      <c r="EN639" s="1" t="s">
        <v>282</v>
      </c>
      <c r="EO639" s="1" t="s">
        <v>234</v>
      </c>
      <c r="ER639" s="1" t="s">
        <v>210</v>
      </c>
      <c r="EW639" s="1" t="s">
        <v>7662</v>
      </c>
      <c r="EZ639" s="1" t="s">
        <v>287</v>
      </c>
      <c r="FD639" s="1" t="s">
        <v>246</v>
      </c>
      <c r="FE639" s="1" t="s">
        <v>472</v>
      </c>
      <c r="FF639" s="1" t="s">
        <v>3103</v>
      </c>
      <c r="FH639" s="1" t="s">
        <v>249</v>
      </c>
      <c r="FK639" s="1" t="s">
        <v>291</v>
      </c>
      <c r="FL639" s="1" t="s">
        <v>414</v>
      </c>
      <c r="FM639" s="1" t="s">
        <v>252</v>
      </c>
      <c r="FN639" s="1" t="s">
        <v>213</v>
      </c>
      <c r="FO639" s="1" t="s">
        <v>213</v>
      </c>
      <c r="FQ639" s="1" t="s">
        <v>7663</v>
      </c>
      <c r="FR639" s="1" t="s">
        <v>360</v>
      </c>
      <c r="FS639" s="1" t="s">
        <v>7664</v>
      </c>
      <c r="FT639" s="1" t="s">
        <v>295</v>
      </c>
      <c r="FU639" s="1" t="s">
        <v>204</v>
      </c>
      <c r="FW639" s="1" t="s">
        <v>1637</v>
      </c>
      <c r="FX639" s="1">
        <v>8256</v>
      </c>
      <c r="FY639" s="1" t="s">
        <v>5617</v>
      </c>
      <c r="FZ639" s="1" t="s">
        <v>7665</v>
      </c>
      <c r="GA639" s="1">
        <v>29279</v>
      </c>
      <c r="GB639" s="1" t="s">
        <v>7666</v>
      </c>
      <c r="GE639" s="1" t="s">
        <v>210</v>
      </c>
      <c r="GI639" s="1" t="s">
        <v>213</v>
      </c>
      <c r="GJ639" s="1" t="s">
        <v>260</v>
      </c>
      <c r="GK639" s="1" t="s">
        <v>210</v>
      </c>
      <c r="GL639" s="2">
        <v>42086</v>
      </c>
      <c r="GM639" s="1" t="s">
        <v>7667</v>
      </c>
    </row>
    <row r="640" spans="1:195">
      <c r="A640" s="1">
        <v>79500</v>
      </c>
      <c r="B640" s="1" t="s">
        <v>195</v>
      </c>
      <c r="C640" s="1" t="str">
        <f>"08809652"</f>
        <v>08809652</v>
      </c>
      <c r="D640" s="1" t="s">
        <v>196</v>
      </c>
      <c r="F640" s="1" t="str">
        <f>"73"</f>
        <v>73</v>
      </c>
      <c r="G640" s="2">
        <v>42009</v>
      </c>
      <c r="H640" s="1">
        <v>79750</v>
      </c>
      <c r="I640" s="1">
        <v>79750</v>
      </c>
      <c r="J640" s="1">
        <v>79500</v>
      </c>
      <c r="K640" s="2">
        <v>42009</v>
      </c>
      <c r="L640" s="1">
        <v>18</v>
      </c>
      <c r="M640" s="2">
        <v>42026</v>
      </c>
      <c r="N640" s="1">
        <v>18</v>
      </c>
      <c r="O640" s="2">
        <v>42026</v>
      </c>
      <c r="P640" s="1">
        <v>25040</v>
      </c>
      <c r="Q640" s="1" t="s">
        <v>302</v>
      </c>
      <c r="R640" s="2">
        <v>42052</v>
      </c>
      <c r="S640" s="1">
        <v>922670</v>
      </c>
      <c r="U640" s="1">
        <v>1151</v>
      </c>
      <c r="V640" s="1" t="s">
        <v>7668</v>
      </c>
      <c r="W640" s="1" t="s">
        <v>264</v>
      </c>
      <c r="X640" s="1">
        <v>2</v>
      </c>
      <c r="Y640" s="1">
        <v>4</v>
      </c>
      <c r="Z640" s="1" t="s">
        <v>249</v>
      </c>
      <c r="AA640" s="1" t="s">
        <v>1027</v>
      </c>
      <c r="AB640" s="1">
        <v>60073</v>
      </c>
      <c r="AD640" s="1" t="s">
        <v>7669</v>
      </c>
      <c r="AE640" s="1" t="s">
        <v>7670</v>
      </c>
      <c r="AF640" s="1">
        <v>2000</v>
      </c>
      <c r="AG640" s="1" t="s">
        <v>204</v>
      </c>
      <c r="AH640" s="1" t="s">
        <v>1029</v>
      </c>
      <c r="AI640" s="1" t="s">
        <v>509</v>
      </c>
      <c r="AJ640" s="1" t="s">
        <v>1263</v>
      </c>
      <c r="AL640" s="1">
        <v>5</v>
      </c>
      <c r="AM640" s="1">
        <v>2</v>
      </c>
      <c r="AN640" s="1">
        <v>2</v>
      </c>
      <c r="AO640" s="1">
        <v>0</v>
      </c>
      <c r="AP640" s="1" t="s">
        <v>209</v>
      </c>
      <c r="AQ640" s="1">
        <v>1</v>
      </c>
      <c r="AR640" s="1" t="s">
        <v>210</v>
      </c>
      <c r="AS640" s="1" t="s">
        <v>204</v>
      </c>
      <c r="AT640" s="1" t="s">
        <v>211</v>
      </c>
      <c r="AU640" s="1">
        <v>1</v>
      </c>
      <c r="AW640" s="1" t="s">
        <v>204</v>
      </c>
      <c r="AX640" s="1" t="s">
        <v>212</v>
      </c>
      <c r="AZ640" s="1">
        <v>3811.37</v>
      </c>
      <c r="BA640" s="1">
        <v>2013</v>
      </c>
      <c r="BB640" s="1" t="s">
        <v>210</v>
      </c>
      <c r="BE640" s="1">
        <v>1008</v>
      </c>
      <c r="BF640" s="1">
        <v>1</v>
      </c>
      <c r="BG640" s="1">
        <v>0</v>
      </c>
      <c r="BL640" s="1">
        <v>185</v>
      </c>
      <c r="BM640" s="1" t="s">
        <v>204</v>
      </c>
      <c r="BN640" s="1" t="s">
        <v>213</v>
      </c>
      <c r="BO640" s="1">
        <v>20</v>
      </c>
      <c r="BP640" s="1" t="s">
        <v>204</v>
      </c>
      <c r="BR640" s="1" t="str">
        <f>"06191020230000"</f>
        <v>06191020230000</v>
      </c>
      <c r="BT640" s="1" t="s">
        <v>7671</v>
      </c>
      <c r="BU640" s="1" t="s">
        <v>7672</v>
      </c>
      <c r="BV640" s="1" t="s">
        <v>7673</v>
      </c>
      <c r="BW640" s="1" t="s">
        <v>4026</v>
      </c>
      <c r="BX640" s="1">
        <v>116</v>
      </c>
      <c r="BY640" s="1">
        <v>116</v>
      </c>
      <c r="BZ640" s="1">
        <v>116</v>
      </c>
      <c r="CB640" s="1" t="str">
        <f>"34"</f>
        <v>34</v>
      </c>
      <c r="CC640" s="1" t="str">
        <f>"0"</f>
        <v>0</v>
      </c>
      <c r="CD640" s="1">
        <v>24</v>
      </c>
      <c r="CE640" s="1">
        <v>0</v>
      </c>
      <c r="CG640" s="1" t="s">
        <v>729</v>
      </c>
      <c r="CH640" s="1" t="s">
        <v>219</v>
      </c>
      <c r="CI640" s="1" t="s">
        <v>438</v>
      </c>
      <c r="CJ640" s="1" t="s">
        <v>343</v>
      </c>
      <c r="CK640" s="1" t="s">
        <v>729</v>
      </c>
      <c r="CL640" s="1" t="s">
        <v>219</v>
      </c>
      <c r="CM640" s="1" t="s">
        <v>220</v>
      </c>
      <c r="CN640" s="1" t="s">
        <v>343</v>
      </c>
      <c r="CO640" s="1" t="s">
        <v>318</v>
      </c>
      <c r="CP640" s="1" t="s">
        <v>219</v>
      </c>
      <c r="CQ640" s="1" t="s">
        <v>438</v>
      </c>
      <c r="CR640" s="1" t="s">
        <v>343</v>
      </c>
      <c r="CS640" s="1" t="s">
        <v>318</v>
      </c>
      <c r="CT640" s="1" t="s">
        <v>219</v>
      </c>
      <c r="CU640" s="1" t="s">
        <v>229</v>
      </c>
      <c r="CV640" s="1" t="s">
        <v>343</v>
      </c>
      <c r="CX640" s="1" t="s">
        <v>224</v>
      </c>
      <c r="DB640" s="1" t="s">
        <v>224</v>
      </c>
      <c r="DE640" s="1" t="s">
        <v>348</v>
      </c>
      <c r="DF640" s="1" t="s">
        <v>219</v>
      </c>
      <c r="DG640" s="1" t="s">
        <v>226</v>
      </c>
      <c r="DJ640" s="1" t="s">
        <v>224</v>
      </c>
      <c r="DS640" s="1" t="s">
        <v>230</v>
      </c>
      <c r="DW640" s="1" t="s">
        <v>230</v>
      </c>
      <c r="EA640" s="1" t="s">
        <v>230</v>
      </c>
      <c r="EE640" s="1" t="s">
        <v>230</v>
      </c>
      <c r="EI640" s="1" t="s">
        <v>230</v>
      </c>
      <c r="EL640" s="1" t="s">
        <v>466</v>
      </c>
      <c r="EM640" s="1" t="s">
        <v>319</v>
      </c>
      <c r="EN640" s="1" t="s">
        <v>282</v>
      </c>
      <c r="EO640" s="1" t="s">
        <v>234</v>
      </c>
      <c r="EP640" s="1" t="s">
        <v>1047</v>
      </c>
      <c r="EQ640" s="1" t="s">
        <v>236</v>
      </c>
      <c r="ER640" s="1" t="s">
        <v>210</v>
      </c>
      <c r="ES640" s="1" t="s">
        <v>493</v>
      </c>
      <c r="ET640" s="1" t="s">
        <v>842</v>
      </c>
      <c r="EU640" s="1" t="s">
        <v>239</v>
      </c>
      <c r="EW640" s="1" t="s">
        <v>887</v>
      </c>
      <c r="EZ640" s="1" t="s">
        <v>287</v>
      </c>
      <c r="FA640" s="1" t="s">
        <v>471</v>
      </c>
      <c r="FD640" s="1" t="s">
        <v>290</v>
      </c>
      <c r="FE640" s="1" t="s">
        <v>975</v>
      </c>
      <c r="FF640" s="1" t="s">
        <v>248</v>
      </c>
      <c r="FH640" s="1" t="s">
        <v>388</v>
      </c>
      <c r="FI640" s="1" t="s">
        <v>473</v>
      </c>
      <c r="FJ640" s="1" t="s">
        <v>1251</v>
      </c>
      <c r="FL640" s="1" t="s">
        <v>358</v>
      </c>
      <c r="FM640" s="1" t="s">
        <v>252</v>
      </c>
      <c r="FN640" s="1" t="s">
        <v>213</v>
      </c>
      <c r="FO640" s="1" t="s">
        <v>213</v>
      </c>
      <c r="FQ640" s="1" t="s">
        <v>359</v>
      </c>
      <c r="FR640" s="1" t="s">
        <v>210</v>
      </c>
      <c r="FS640" s="1" t="s">
        <v>7674</v>
      </c>
      <c r="FT640" s="1" t="s">
        <v>691</v>
      </c>
      <c r="FU640" s="1" t="s">
        <v>204</v>
      </c>
      <c r="FW640" s="1" t="s">
        <v>256</v>
      </c>
      <c r="FX640" s="1">
        <v>2648</v>
      </c>
      <c r="FY640" s="1" t="s">
        <v>1022</v>
      </c>
      <c r="FZ640" s="1" t="s">
        <v>7675</v>
      </c>
      <c r="GA640" s="1">
        <v>18093</v>
      </c>
      <c r="GB640" s="1" t="s">
        <v>7676</v>
      </c>
      <c r="GC640" s="1">
        <v>13825</v>
      </c>
      <c r="GD640" s="1" t="s">
        <v>7677</v>
      </c>
      <c r="GE640" s="1" t="s">
        <v>1256</v>
      </c>
      <c r="GH640" s="1" t="s">
        <v>230</v>
      </c>
      <c r="GI640" s="1" t="s">
        <v>213</v>
      </c>
      <c r="GJ640" s="1" t="s">
        <v>260</v>
      </c>
      <c r="GK640" s="1" t="s">
        <v>210</v>
      </c>
      <c r="GL640" s="2">
        <v>42052</v>
      </c>
      <c r="GM640" s="1" t="s">
        <v>7678</v>
      </c>
    </row>
    <row r="641" spans="1:195">
      <c r="A641" s="1">
        <v>159990</v>
      </c>
      <c r="B641" s="1" t="s">
        <v>195</v>
      </c>
      <c r="C641" s="1" t="str">
        <f>"08805307"</f>
        <v>08805307</v>
      </c>
      <c r="D641" s="1" t="s">
        <v>196</v>
      </c>
      <c r="F641" s="1" t="str">
        <f>"140"</f>
        <v>140</v>
      </c>
      <c r="G641" s="2">
        <v>41995</v>
      </c>
      <c r="H641" s="1">
        <v>159990</v>
      </c>
      <c r="I641" s="1">
        <v>159990</v>
      </c>
      <c r="J641" s="1">
        <v>159990</v>
      </c>
      <c r="K641" s="2">
        <v>41995</v>
      </c>
      <c r="L641" s="1">
        <v>17</v>
      </c>
      <c r="M641" s="2">
        <v>42011</v>
      </c>
      <c r="N641" s="1">
        <v>17</v>
      </c>
      <c r="O641" s="2">
        <v>42011</v>
      </c>
      <c r="P641" s="1" t="s">
        <v>1039</v>
      </c>
      <c r="Q641" s="1" t="s">
        <v>197</v>
      </c>
      <c r="R641" s="2">
        <v>42049</v>
      </c>
      <c r="S641" s="1">
        <v>99995</v>
      </c>
      <c r="U641" s="1">
        <v>1708</v>
      </c>
      <c r="V641" s="1" t="s">
        <v>7679</v>
      </c>
      <c r="W641" s="1" t="s">
        <v>504</v>
      </c>
      <c r="X641" s="1">
        <v>1062</v>
      </c>
      <c r="Y641" s="1">
        <v>4</v>
      </c>
      <c r="Z641" s="1" t="s">
        <v>370</v>
      </c>
      <c r="AA641" s="1" t="s">
        <v>744</v>
      </c>
      <c r="AB641" s="1">
        <v>60140</v>
      </c>
      <c r="AD641" s="1" t="s">
        <v>1449</v>
      </c>
      <c r="AE641" s="1" t="s">
        <v>1450</v>
      </c>
      <c r="AF641" s="1">
        <v>2014</v>
      </c>
      <c r="AG641" s="1" t="s">
        <v>204</v>
      </c>
      <c r="AH641" s="1" t="s">
        <v>747</v>
      </c>
      <c r="AI641" s="1" t="s">
        <v>665</v>
      </c>
      <c r="AJ641" s="1" t="s">
        <v>748</v>
      </c>
      <c r="AK641" s="1" t="s">
        <v>7680</v>
      </c>
      <c r="AL641" s="1">
        <v>5</v>
      </c>
      <c r="AM641" s="1">
        <v>2</v>
      </c>
      <c r="AN641" s="1">
        <v>2</v>
      </c>
      <c r="AO641" s="1">
        <v>0</v>
      </c>
      <c r="AP641" s="1" t="s">
        <v>209</v>
      </c>
      <c r="AR641" s="1" t="s">
        <v>210</v>
      </c>
      <c r="AS641" s="1" t="s">
        <v>204</v>
      </c>
      <c r="AT641" s="1" t="s">
        <v>211</v>
      </c>
      <c r="AU641" s="1">
        <v>2</v>
      </c>
      <c r="AW641" s="1" t="s">
        <v>204</v>
      </c>
      <c r="AX641" s="1" t="s">
        <v>7681</v>
      </c>
      <c r="AZ641" s="1" t="s">
        <v>751</v>
      </c>
      <c r="BA641" s="1">
        <v>2013</v>
      </c>
      <c r="BB641" s="1" t="s">
        <v>210</v>
      </c>
      <c r="BE641" s="1">
        <v>1332</v>
      </c>
      <c r="BF641" s="1">
        <v>1</v>
      </c>
      <c r="BG641" s="1">
        <v>0</v>
      </c>
      <c r="BL641" s="1">
        <v>186</v>
      </c>
      <c r="BM641" s="1" t="s">
        <v>204</v>
      </c>
      <c r="BN641" s="1" t="s">
        <v>213</v>
      </c>
      <c r="BO641" s="1">
        <v>999</v>
      </c>
      <c r="BP641" s="1" t="s">
        <v>213</v>
      </c>
      <c r="BQ641" s="2">
        <v>41995</v>
      </c>
      <c r="BR641" s="1" t="str">
        <f>"0228175018"</f>
        <v>0228175018</v>
      </c>
      <c r="BT641" s="1" t="s">
        <v>7682</v>
      </c>
      <c r="BX641" s="1">
        <v>300</v>
      </c>
      <c r="BY641" s="1">
        <v>300</v>
      </c>
      <c r="BZ641" s="1">
        <v>300</v>
      </c>
      <c r="CB641" s="1" t="str">
        <f t="shared" ref="CB641:CC641" si="496">""</f>
        <v/>
      </c>
      <c r="CC641" s="1" t="str">
        <f t="shared" si="496"/>
        <v/>
      </c>
      <c r="CG641" s="1" t="s">
        <v>2511</v>
      </c>
      <c r="CH641" s="1" t="s">
        <v>219</v>
      </c>
      <c r="CI641" s="1" t="s">
        <v>438</v>
      </c>
      <c r="CJ641" s="1" t="s">
        <v>210</v>
      </c>
      <c r="CK641" s="1" t="s">
        <v>228</v>
      </c>
      <c r="CL641" s="1" t="s">
        <v>219</v>
      </c>
      <c r="CO641" s="1" t="s">
        <v>348</v>
      </c>
      <c r="CP641" s="1" t="s">
        <v>219</v>
      </c>
      <c r="CQ641" s="1" t="s">
        <v>438</v>
      </c>
      <c r="CR641" s="1" t="s">
        <v>210</v>
      </c>
      <c r="CS641" s="1" t="s">
        <v>1046</v>
      </c>
      <c r="CT641" s="1" t="s">
        <v>219</v>
      </c>
      <c r="CX641" s="1" t="s">
        <v>224</v>
      </c>
      <c r="DB641" s="1" t="s">
        <v>224</v>
      </c>
      <c r="DE641" s="1" t="s">
        <v>1854</v>
      </c>
      <c r="DF641" s="1" t="s">
        <v>219</v>
      </c>
      <c r="DG641" s="1" t="s">
        <v>438</v>
      </c>
      <c r="DH641" s="1" t="s">
        <v>210</v>
      </c>
      <c r="DJ641" s="1" t="s">
        <v>224</v>
      </c>
      <c r="DS641" s="1" t="s">
        <v>230</v>
      </c>
      <c r="DW641" s="1" t="s">
        <v>230</v>
      </c>
      <c r="EA641" s="1" t="s">
        <v>230</v>
      </c>
      <c r="EE641" s="1" t="s">
        <v>230</v>
      </c>
      <c r="EI641" s="1" t="s">
        <v>230</v>
      </c>
      <c r="EL641" s="1" t="s">
        <v>1455</v>
      </c>
      <c r="EM641" s="1" t="s">
        <v>319</v>
      </c>
      <c r="EN641" s="1" t="s">
        <v>282</v>
      </c>
      <c r="EO641" s="1" t="s">
        <v>234</v>
      </c>
      <c r="EP641" s="1" t="s">
        <v>7683</v>
      </c>
      <c r="EQ641" s="1" t="s">
        <v>671</v>
      </c>
      <c r="ER641" s="1" t="s">
        <v>210</v>
      </c>
      <c r="EV641" s="1" t="s">
        <v>240</v>
      </c>
      <c r="EW641" s="1" t="s">
        <v>1457</v>
      </c>
      <c r="EY641" s="1" t="s">
        <v>790</v>
      </c>
      <c r="EZ641" s="1" t="s">
        <v>287</v>
      </c>
      <c r="FD641" s="1" t="s">
        <v>246</v>
      </c>
      <c r="FE641" s="1" t="s">
        <v>472</v>
      </c>
      <c r="FF641" s="1" t="s">
        <v>248</v>
      </c>
      <c r="FH641" s="1" t="s">
        <v>6378</v>
      </c>
      <c r="FL641" s="1" t="s">
        <v>358</v>
      </c>
      <c r="FM641" s="1" t="s">
        <v>252</v>
      </c>
      <c r="FN641" s="1" t="s">
        <v>213</v>
      </c>
      <c r="FO641" s="1" t="s">
        <v>213</v>
      </c>
      <c r="FQ641" s="1" t="s">
        <v>582</v>
      </c>
      <c r="FR641" s="1" t="s">
        <v>210</v>
      </c>
      <c r="FS641" s="1" t="s">
        <v>7684</v>
      </c>
      <c r="FT641" s="1" t="s">
        <v>7685</v>
      </c>
      <c r="FU641" s="1" t="s">
        <v>204</v>
      </c>
      <c r="FW641" s="1" t="s">
        <v>772</v>
      </c>
      <c r="FX641" s="1">
        <v>92038</v>
      </c>
      <c r="FY641" s="1" t="s">
        <v>773</v>
      </c>
      <c r="FZ641" s="1" t="s">
        <v>774</v>
      </c>
      <c r="GA641" s="1">
        <v>21137</v>
      </c>
      <c r="GB641" s="1" t="s">
        <v>775</v>
      </c>
      <c r="GE641" s="1" t="s">
        <v>623</v>
      </c>
      <c r="GI641" s="1" t="s">
        <v>204</v>
      </c>
      <c r="GJ641" s="1" t="s">
        <v>260</v>
      </c>
      <c r="GK641" s="1" t="s">
        <v>210</v>
      </c>
      <c r="GL641" s="2">
        <v>42049</v>
      </c>
      <c r="GM641" s="1" t="s">
        <v>7686</v>
      </c>
    </row>
    <row r="642" spans="1:195">
      <c r="A642" s="1">
        <v>130000</v>
      </c>
      <c r="B642" s="1" t="s">
        <v>195</v>
      </c>
      <c r="C642" s="1" t="str">
        <f>"08811008"</f>
        <v>08811008</v>
      </c>
      <c r="D642" s="1" t="s">
        <v>196</v>
      </c>
      <c r="F642" s="1" t="str">
        <f>"8041"</f>
        <v>8041</v>
      </c>
      <c r="G642" s="2">
        <v>42010</v>
      </c>
      <c r="H642" s="1">
        <v>169000</v>
      </c>
      <c r="I642" s="1">
        <v>169000</v>
      </c>
      <c r="J642" s="1">
        <v>130000</v>
      </c>
      <c r="K642" s="2">
        <v>42009</v>
      </c>
      <c r="L642" s="1">
        <v>326</v>
      </c>
      <c r="M642" s="2">
        <v>42054</v>
      </c>
      <c r="N642" s="1">
        <v>46</v>
      </c>
      <c r="O642" s="2">
        <v>42054</v>
      </c>
      <c r="P642" s="1">
        <v>14090</v>
      </c>
      <c r="Q642" s="1" t="s">
        <v>197</v>
      </c>
      <c r="R642" s="2">
        <v>42082</v>
      </c>
      <c r="S642" s="1">
        <v>158866</v>
      </c>
      <c r="U642" s="1">
        <v>1700</v>
      </c>
      <c r="V642" s="1" t="s">
        <v>7687</v>
      </c>
      <c r="W642" s="1" t="s">
        <v>725</v>
      </c>
      <c r="X642" s="1">
        <v>3708</v>
      </c>
      <c r="Y642" s="1">
        <v>369</v>
      </c>
      <c r="Z642" s="1" t="s">
        <v>249</v>
      </c>
      <c r="AA642" s="1" t="s">
        <v>400</v>
      </c>
      <c r="AB642" s="1">
        <v>60637</v>
      </c>
      <c r="AE642" s="1" t="s">
        <v>7688</v>
      </c>
      <c r="AF642" s="1" t="s">
        <v>402</v>
      </c>
      <c r="AG642" s="1" t="s">
        <v>213</v>
      </c>
      <c r="AH642" s="1" t="s">
        <v>403</v>
      </c>
      <c r="AI642" s="1" t="s">
        <v>310</v>
      </c>
      <c r="AJ642" s="1" t="s">
        <v>562</v>
      </c>
      <c r="AL642" s="1">
        <v>5</v>
      </c>
      <c r="AM642" s="1">
        <v>2</v>
      </c>
      <c r="AN642" s="1">
        <v>2</v>
      </c>
      <c r="AO642" s="1">
        <v>0</v>
      </c>
      <c r="AP642" s="1" t="s">
        <v>209</v>
      </c>
      <c r="AR642" s="1" t="s">
        <v>210</v>
      </c>
      <c r="AS642" s="1" t="s">
        <v>204</v>
      </c>
      <c r="AT642" s="1" t="s">
        <v>211</v>
      </c>
      <c r="AU642" s="1">
        <v>1</v>
      </c>
      <c r="AW642" s="1" t="s">
        <v>213</v>
      </c>
      <c r="AX642" s="1" t="s">
        <v>212</v>
      </c>
      <c r="AZ642" s="1">
        <v>3146.82</v>
      </c>
      <c r="BA642" s="1">
        <v>2013</v>
      </c>
      <c r="BB642" s="1" t="s">
        <v>210</v>
      </c>
      <c r="BE642" s="1">
        <v>1250</v>
      </c>
      <c r="BF642" s="1">
        <v>37</v>
      </c>
      <c r="BG642" s="1">
        <v>30</v>
      </c>
      <c r="BL642" s="1">
        <v>1053</v>
      </c>
      <c r="BM642" s="1" t="s">
        <v>204</v>
      </c>
      <c r="BN642" s="1" t="s">
        <v>213</v>
      </c>
      <c r="BO642" s="1">
        <v>30</v>
      </c>
      <c r="BP642" s="1" t="s">
        <v>204</v>
      </c>
      <c r="BR642" s="1" t="str">
        <f>"20131020291347"</f>
        <v>20131020291347</v>
      </c>
      <c r="BT642" s="1" t="s">
        <v>7689</v>
      </c>
      <c r="BX642" s="1">
        <v>299</v>
      </c>
      <c r="BY642" s="1">
        <v>299</v>
      </c>
      <c r="BZ642" s="1">
        <v>299</v>
      </c>
      <c r="CB642" s="1" t="str">
        <f>"0"</f>
        <v>0</v>
      </c>
      <c r="CC642" s="1" t="str">
        <f>"1700"</f>
        <v>1700</v>
      </c>
      <c r="CD642" s="1">
        <v>0</v>
      </c>
      <c r="CE642" s="1">
        <v>5600</v>
      </c>
      <c r="CG642" s="1" t="s">
        <v>7380</v>
      </c>
      <c r="CH642" s="1" t="s">
        <v>219</v>
      </c>
      <c r="CI642" s="1" t="s">
        <v>342</v>
      </c>
      <c r="CJ642" s="1" t="s">
        <v>343</v>
      </c>
      <c r="CK642" s="1" t="s">
        <v>581</v>
      </c>
      <c r="CL642" s="1" t="s">
        <v>219</v>
      </c>
      <c r="CM642" s="1" t="s">
        <v>342</v>
      </c>
      <c r="CN642" s="1" t="s">
        <v>343</v>
      </c>
      <c r="CO642" s="1" t="s">
        <v>378</v>
      </c>
      <c r="CP642" s="1" t="s">
        <v>219</v>
      </c>
      <c r="CQ642" s="1" t="s">
        <v>342</v>
      </c>
      <c r="CR642" s="1" t="s">
        <v>343</v>
      </c>
      <c r="CS642" s="1" t="s">
        <v>344</v>
      </c>
      <c r="CT642" s="1" t="s">
        <v>219</v>
      </c>
      <c r="CU642" s="1" t="s">
        <v>342</v>
      </c>
      <c r="CV642" s="1" t="s">
        <v>343</v>
      </c>
      <c r="CX642" s="1" t="s">
        <v>224</v>
      </c>
      <c r="DB642" s="1" t="s">
        <v>224</v>
      </c>
      <c r="DE642" s="1" t="s">
        <v>380</v>
      </c>
      <c r="DF642" s="1" t="s">
        <v>219</v>
      </c>
      <c r="DG642" s="1" t="s">
        <v>342</v>
      </c>
      <c r="DJ642" s="1" t="s">
        <v>224</v>
      </c>
      <c r="DS642" s="1" t="s">
        <v>230</v>
      </c>
      <c r="DW642" s="1" t="s">
        <v>230</v>
      </c>
      <c r="EA642" s="1" t="s">
        <v>230</v>
      </c>
      <c r="EE642" s="1" t="s">
        <v>230</v>
      </c>
      <c r="EI642" s="1" t="s">
        <v>230</v>
      </c>
      <c r="EL642" s="1" t="s">
        <v>605</v>
      </c>
      <c r="EM642" s="1" t="s">
        <v>232</v>
      </c>
      <c r="EN642" s="1" t="s">
        <v>282</v>
      </c>
      <c r="EO642" s="1" t="s">
        <v>234</v>
      </c>
      <c r="EP642" s="1" t="s">
        <v>7690</v>
      </c>
      <c r="ER642" s="1" t="s">
        <v>210</v>
      </c>
      <c r="EW642" s="1" t="s">
        <v>7691</v>
      </c>
      <c r="EZ642" s="1" t="s">
        <v>287</v>
      </c>
      <c r="FB642" s="1" t="s">
        <v>1755</v>
      </c>
      <c r="FC642" s="1" t="s">
        <v>1739</v>
      </c>
      <c r="FD642" s="1" t="s">
        <v>290</v>
      </c>
      <c r="FE642" s="1" t="s">
        <v>6104</v>
      </c>
      <c r="FF642" s="1" t="s">
        <v>248</v>
      </c>
      <c r="FH642" s="1" t="s">
        <v>2432</v>
      </c>
      <c r="FI642" s="1" t="s">
        <v>1114</v>
      </c>
      <c r="FL642" s="1" t="s">
        <v>810</v>
      </c>
      <c r="FM642" s="1" t="s">
        <v>252</v>
      </c>
      <c r="FN642" s="1" t="s">
        <v>213</v>
      </c>
      <c r="FO642" s="1" t="s">
        <v>213</v>
      </c>
      <c r="FQ642" s="1" t="s">
        <v>7692</v>
      </c>
      <c r="FR642" s="1" t="s">
        <v>210</v>
      </c>
      <c r="FS642" s="1" t="s">
        <v>7693</v>
      </c>
      <c r="FT642" s="1" t="s">
        <v>1076</v>
      </c>
      <c r="FU642" s="1" t="s">
        <v>204</v>
      </c>
      <c r="FW642" s="1" t="s">
        <v>1559</v>
      </c>
      <c r="FX642" s="1">
        <v>10317</v>
      </c>
      <c r="FY642" s="1" t="s">
        <v>7694</v>
      </c>
      <c r="FZ642" s="1" t="s">
        <v>7695</v>
      </c>
      <c r="GA642" s="1">
        <v>133303</v>
      </c>
      <c r="GB642" s="1" t="s">
        <v>7696</v>
      </c>
      <c r="GE642" s="1" t="s">
        <v>210</v>
      </c>
      <c r="GH642" s="1" t="s">
        <v>800</v>
      </c>
      <c r="GI642" s="1" t="s">
        <v>213</v>
      </c>
      <c r="GJ642" s="1" t="s">
        <v>260</v>
      </c>
      <c r="GK642" s="1" t="s">
        <v>210</v>
      </c>
      <c r="GL642" s="2">
        <v>42083</v>
      </c>
    </row>
    <row r="643" spans="1:195">
      <c r="A643" s="1">
        <v>216000</v>
      </c>
      <c r="B643" s="1" t="s">
        <v>195</v>
      </c>
      <c r="C643" s="1" t="str">
        <f>"08805443"</f>
        <v>08805443</v>
      </c>
      <c r="D643" s="1" t="s">
        <v>196</v>
      </c>
      <c r="F643" s="1" t="str">
        <f>"554"</f>
        <v>554</v>
      </c>
      <c r="G643" s="2">
        <v>41996</v>
      </c>
      <c r="H643" s="1">
        <v>229000</v>
      </c>
      <c r="I643" s="1">
        <v>224500</v>
      </c>
      <c r="J643" s="1">
        <v>216000</v>
      </c>
      <c r="K643" s="2">
        <v>41994</v>
      </c>
      <c r="L643" s="1">
        <v>34</v>
      </c>
      <c r="M643" s="2">
        <v>42027</v>
      </c>
      <c r="N643" s="1">
        <v>34</v>
      </c>
      <c r="O643" s="2">
        <v>42027</v>
      </c>
      <c r="P643" s="1">
        <v>30</v>
      </c>
      <c r="Q643" s="1" t="s">
        <v>197</v>
      </c>
      <c r="R643" s="2">
        <v>42087</v>
      </c>
      <c r="S643" s="1">
        <v>607</v>
      </c>
      <c r="U643" s="1">
        <v>1835</v>
      </c>
      <c r="V643" s="1" t="s">
        <v>7697</v>
      </c>
      <c r="W643" s="1" t="s">
        <v>449</v>
      </c>
      <c r="X643" s="1" t="s">
        <v>1688</v>
      </c>
      <c r="Y643" s="1">
        <v>2</v>
      </c>
      <c r="Z643" s="1" t="s">
        <v>370</v>
      </c>
      <c r="AA643" s="1" t="s">
        <v>3443</v>
      </c>
      <c r="AB643" s="1">
        <v>60554</v>
      </c>
      <c r="AE643" s="1" t="s">
        <v>7698</v>
      </c>
      <c r="AF643" s="1">
        <v>2006</v>
      </c>
      <c r="AG643" s="1" t="s">
        <v>204</v>
      </c>
      <c r="AH643" s="1" t="s">
        <v>3240</v>
      </c>
      <c r="AI643" s="1" t="s">
        <v>665</v>
      </c>
      <c r="AJ643" s="1" t="s">
        <v>3240</v>
      </c>
      <c r="AL643" s="1">
        <v>7</v>
      </c>
      <c r="AM643" s="1">
        <v>2</v>
      </c>
      <c r="AN643" s="1">
        <v>2</v>
      </c>
      <c r="AO643" s="1">
        <v>0</v>
      </c>
      <c r="AP643" s="1" t="s">
        <v>209</v>
      </c>
      <c r="AR643" s="1" t="s">
        <v>209</v>
      </c>
      <c r="AS643" s="1" t="s">
        <v>204</v>
      </c>
      <c r="AT643" s="1" t="s">
        <v>211</v>
      </c>
      <c r="AU643" s="1">
        <v>2</v>
      </c>
      <c r="AW643" s="1" t="s">
        <v>204</v>
      </c>
      <c r="AX643" s="1" t="s">
        <v>212</v>
      </c>
      <c r="AZ643" s="1">
        <v>4743</v>
      </c>
      <c r="BA643" s="1">
        <v>2013</v>
      </c>
      <c r="BB643" s="1" t="s">
        <v>599</v>
      </c>
      <c r="BE643" s="1">
        <v>1524</v>
      </c>
      <c r="BF643" s="1">
        <v>1</v>
      </c>
      <c r="BG643" s="1">
        <v>1</v>
      </c>
      <c r="BL643" s="1">
        <v>240</v>
      </c>
      <c r="BM643" s="1" t="s">
        <v>204</v>
      </c>
      <c r="BN643" s="1" t="s">
        <v>213</v>
      </c>
      <c r="BO643" s="1">
        <v>0</v>
      </c>
      <c r="BP643" s="1" t="s">
        <v>204</v>
      </c>
      <c r="BR643" s="1" t="str">
        <f>"1411166009"</f>
        <v>1411166009</v>
      </c>
      <c r="BT643" s="1" t="s">
        <v>7699</v>
      </c>
      <c r="BX643" s="1">
        <v>129</v>
      </c>
      <c r="BY643" s="1">
        <v>129</v>
      </c>
      <c r="BZ643" s="1">
        <v>129</v>
      </c>
      <c r="CB643" s="1" t="str">
        <f t="shared" ref="CB643:CC643" si="497">""</f>
        <v/>
      </c>
      <c r="CC643" s="1" t="str">
        <f t="shared" si="497"/>
        <v/>
      </c>
      <c r="CH643" s="1" t="s">
        <v>224</v>
      </c>
      <c r="CK643" s="1" t="s">
        <v>885</v>
      </c>
      <c r="CL643" s="1" t="s">
        <v>219</v>
      </c>
      <c r="CM643" s="1" t="s">
        <v>220</v>
      </c>
      <c r="CN643" s="1" t="s">
        <v>252</v>
      </c>
      <c r="CP643" s="1" t="s">
        <v>224</v>
      </c>
      <c r="CS643" s="1" t="s">
        <v>465</v>
      </c>
      <c r="CT643" s="1" t="s">
        <v>219</v>
      </c>
      <c r="CU643" s="1" t="s">
        <v>220</v>
      </c>
      <c r="CV643" s="1" t="s">
        <v>252</v>
      </c>
      <c r="CX643" s="1" t="s">
        <v>224</v>
      </c>
      <c r="DB643" s="1" t="s">
        <v>224</v>
      </c>
      <c r="DE643" s="1" t="s">
        <v>465</v>
      </c>
      <c r="DF643" s="1" t="s">
        <v>219</v>
      </c>
      <c r="DG643" s="1" t="s">
        <v>229</v>
      </c>
      <c r="DH643" s="1" t="s">
        <v>252</v>
      </c>
      <c r="DI643" s="1" t="s">
        <v>931</v>
      </c>
      <c r="DJ643" s="1" t="s">
        <v>219</v>
      </c>
      <c r="DK643" s="1" t="s">
        <v>229</v>
      </c>
      <c r="DL643" s="1" t="s">
        <v>252</v>
      </c>
      <c r="DM643" s="1" t="s">
        <v>381</v>
      </c>
      <c r="DN643" s="1" t="s">
        <v>1005</v>
      </c>
      <c r="DO643" s="1" t="s">
        <v>1789</v>
      </c>
      <c r="DR643" s="1" t="s">
        <v>3034</v>
      </c>
      <c r="DS643" s="1" t="s">
        <v>219</v>
      </c>
      <c r="DT643" s="1" t="s">
        <v>229</v>
      </c>
      <c r="DU643" s="1" t="s">
        <v>252</v>
      </c>
      <c r="DV643" s="1" t="s">
        <v>1046</v>
      </c>
      <c r="DW643" s="1" t="s">
        <v>219</v>
      </c>
      <c r="DX643" s="1" t="s">
        <v>220</v>
      </c>
      <c r="DY643" s="1" t="s">
        <v>252</v>
      </c>
      <c r="DZ643" s="1" t="s">
        <v>2841</v>
      </c>
      <c r="EA643" s="1" t="s">
        <v>219</v>
      </c>
      <c r="EB643" s="1" t="s">
        <v>229</v>
      </c>
      <c r="EC643" s="1" t="s">
        <v>252</v>
      </c>
      <c r="EE643" s="1" t="s">
        <v>230</v>
      </c>
      <c r="EI643" s="1" t="s">
        <v>230</v>
      </c>
      <c r="EL643" s="1" t="s">
        <v>491</v>
      </c>
      <c r="EM643" s="1" t="s">
        <v>319</v>
      </c>
      <c r="EN643" s="1" t="s">
        <v>282</v>
      </c>
      <c r="EO643" s="1" t="s">
        <v>234</v>
      </c>
      <c r="EQ643" s="1" t="s">
        <v>2188</v>
      </c>
      <c r="ER643" s="1" t="s">
        <v>7700</v>
      </c>
      <c r="ES643" s="1" t="s">
        <v>3932</v>
      </c>
      <c r="EW643" s="1" t="s">
        <v>4250</v>
      </c>
      <c r="EZ643" s="1" t="s">
        <v>7701</v>
      </c>
      <c r="FA643" s="1" t="s">
        <v>5059</v>
      </c>
      <c r="FD643" s="1" t="s">
        <v>246</v>
      </c>
      <c r="FE643" s="1" t="s">
        <v>975</v>
      </c>
      <c r="FF643" s="1" t="s">
        <v>387</v>
      </c>
      <c r="FH643" s="1" t="s">
        <v>442</v>
      </c>
      <c r="FI643" s="1" t="s">
        <v>473</v>
      </c>
      <c r="FL643" s="1" t="s">
        <v>414</v>
      </c>
      <c r="FM643" s="1" t="s">
        <v>252</v>
      </c>
      <c r="FN643" s="1" t="s">
        <v>213</v>
      </c>
      <c r="FO643" s="1" t="s">
        <v>213</v>
      </c>
      <c r="FQ643" s="1" t="s">
        <v>673</v>
      </c>
      <c r="FR643" s="1" t="s">
        <v>210</v>
      </c>
      <c r="FS643" s="1" t="s">
        <v>7702</v>
      </c>
      <c r="FT643" s="1" t="s">
        <v>675</v>
      </c>
      <c r="FU643" s="1" t="s">
        <v>204</v>
      </c>
      <c r="FW643" s="1" t="s">
        <v>873</v>
      </c>
      <c r="FX643" s="1">
        <v>300</v>
      </c>
      <c r="FY643" s="1" t="s">
        <v>3105</v>
      </c>
      <c r="FZ643" s="1" t="s">
        <v>7703</v>
      </c>
      <c r="GA643" s="1">
        <v>313804</v>
      </c>
      <c r="GB643" s="1" t="s">
        <v>7704</v>
      </c>
      <c r="GE643" s="1" t="s">
        <v>7705</v>
      </c>
      <c r="GI643" s="1" t="s">
        <v>213</v>
      </c>
      <c r="GJ643" s="1" t="s">
        <v>260</v>
      </c>
      <c r="GK643" s="1" t="s">
        <v>261</v>
      </c>
      <c r="GL643" s="2">
        <v>42088</v>
      </c>
      <c r="GM643" s="1" t="s">
        <v>7706</v>
      </c>
    </row>
    <row r="644" spans="1:195">
      <c r="A644" s="1">
        <v>97500</v>
      </c>
      <c r="B644" s="1" t="s">
        <v>195</v>
      </c>
      <c r="C644" s="1" t="str">
        <f>"08803603"</f>
        <v>08803603</v>
      </c>
      <c r="D644" s="1" t="s">
        <v>196</v>
      </c>
      <c r="F644" s="1" t="str">
        <f>"559"</f>
        <v>559</v>
      </c>
      <c r="G644" s="2">
        <v>41990</v>
      </c>
      <c r="H644" s="1">
        <v>104900</v>
      </c>
      <c r="I644" s="1">
        <v>104900</v>
      </c>
      <c r="J644" s="1">
        <v>97500</v>
      </c>
      <c r="K644" s="2">
        <v>41990</v>
      </c>
      <c r="L644" s="1">
        <v>43</v>
      </c>
      <c r="M644" s="2">
        <v>42032</v>
      </c>
      <c r="N644" s="1">
        <v>43</v>
      </c>
      <c r="O644" s="2">
        <v>42032</v>
      </c>
      <c r="P644" s="1">
        <v>24695</v>
      </c>
      <c r="Q644" s="1" t="s">
        <v>302</v>
      </c>
      <c r="R644" s="2">
        <v>42058</v>
      </c>
      <c r="S644" s="1">
        <v>229820</v>
      </c>
      <c r="U644" s="1">
        <v>61</v>
      </c>
      <c r="V644" s="1" t="s">
        <v>6820</v>
      </c>
      <c r="W644" s="1" t="s">
        <v>264</v>
      </c>
      <c r="X644" s="1">
        <v>102</v>
      </c>
      <c r="Y644" s="1">
        <v>12</v>
      </c>
      <c r="Z644" s="1" t="s">
        <v>370</v>
      </c>
      <c r="AA644" s="1" t="s">
        <v>1950</v>
      </c>
      <c r="AB644" s="1">
        <v>60559</v>
      </c>
      <c r="AD644" s="1" t="s">
        <v>7707</v>
      </c>
      <c r="AE644" s="1" t="s">
        <v>7708</v>
      </c>
      <c r="AF644" s="1">
        <v>1975</v>
      </c>
      <c r="AG644" s="1" t="s">
        <v>213</v>
      </c>
      <c r="AH644" s="1" t="s">
        <v>1952</v>
      </c>
      <c r="AI644" s="1" t="s">
        <v>206</v>
      </c>
      <c r="AJ644" s="1" t="s">
        <v>903</v>
      </c>
      <c r="AL644" s="1">
        <v>5</v>
      </c>
      <c r="AM644" s="1">
        <v>2</v>
      </c>
      <c r="AN644" s="1">
        <v>2</v>
      </c>
      <c r="AO644" s="1">
        <v>0</v>
      </c>
      <c r="AP644" s="1" t="s">
        <v>209</v>
      </c>
      <c r="AQ644" s="1">
        <v>1</v>
      </c>
      <c r="AR644" s="1" t="s">
        <v>210</v>
      </c>
      <c r="AS644" s="1" t="s">
        <v>204</v>
      </c>
      <c r="AT644" s="1" t="s">
        <v>211</v>
      </c>
      <c r="AU644" s="1">
        <v>1</v>
      </c>
      <c r="AW644" s="1" t="s">
        <v>204</v>
      </c>
      <c r="AX644" s="1" t="s">
        <v>7709</v>
      </c>
      <c r="AZ644" s="1">
        <v>1703</v>
      </c>
      <c r="BA644" s="1">
        <v>2013</v>
      </c>
      <c r="BE644" s="1">
        <v>1100</v>
      </c>
      <c r="BF644" s="1">
        <v>1</v>
      </c>
      <c r="BG644" s="1">
        <v>15</v>
      </c>
      <c r="BL644" s="1">
        <v>300</v>
      </c>
      <c r="BM644" s="1" t="s">
        <v>204</v>
      </c>
      <c r="BN644" s="1" t="s">
        <v>213</v>
      </c>
      <c r="BO644" s="1">
        <v>75</v>
      </c>
      <c r="BP644" s="1" t="s">
        <v>204</v>
      </c>
      <c r="BR644" s="1" t="str">
        <f>"0921213068"</f>
        <v>0921213068</v>
      </c>
      <c r="BT644" s="1" t="s">
        <v>7710</v>
      </c>
      <c r="BX644" s="1">
        <v>60</v>
      </c>
      <c r="BY644" s="1">
        <v>60</v>
      </c>
      <c r="BZ644" s="1">
        <v>99</v>
      </c>
      <c r="CB644" s="1" t="str">
        <f t="shared" ref="CB644:CC644" si="498">"0"</f>
        <v>0</v>
      </c>
      <c r="CC644" s="1" t="str">
        <f t="shared" si="498"/>
        <v>0</v>
      </c>
      <c r="CD644" s="1">
        <v>15600</v>
      </c>
      <c r="CE644" s="1">
        <v>6500</v>
      </c>
      <c r="CG644" s="1" t="s">
        <v>861</v>
      </c>
      <c r="CH644" s="1" t="s">
        <v>219</v>
      </c>
      <c r="CI644" s="1" t="s">
        <v>220</v>
      </c>
      <c r="CK644" s="1" t="s">
        <v>729</v>
      </c>
      <c r="CL644" s="1" t="s">
        <v>219</v>
      </c>
      <c r="CM644" s="1" t="s">
        <v>220</v>
      </c>
      <c r="CO644" s="1" t="s">
        <v>837</v>
      </c>
      <c r="CP644" s="1" t="s">
        <v>219</v>
      </c>
      <c r="CQ644" s="1" t="s">
        <v>220</v>
      </c>
      <c r="CS644" s="1" t="s">
        <v>1046</v>
      </c>
      <c r="CT644" s="1" t="s">
        <v>219</v>
      </c>
      <c r="CX644" s="1" t="s">
        <v>224</v>
      </c>
      <c r="DB644" s="1" t="s">
        <v>224</v>
      </c>
      <c r="DE644" s="1" t="s">
        <v>2982</v>
      </c>
      <c r="DF644" s="1" t="s">
        <v>219</v>
      </c>
      <c r="DG644" s="1" t="s">
        <v>342</v>
      </c>
      <c r="DJ644" s="1" t="s">
        <v>224</v>
      </c>
      <c r="DS644" s="1" t="s">
        <v>230</v>
      </c>
      <c r="DW644" s="1" t="s">
        <v>230</v>
      </c>
      <c r="EA644" s="1" t="s">
        <v>230</v>
      </c>
      <c r="EE644" s="1" t="s">
        <v>230</v>
      </c>
      <c r="EI644" s="1" t="s">
        <v>230</v>
      </c>
      <c r="EL644" s="1" t="s">
        <v>231</v>
      </c>
      <c r="EM644" s="1" t="s">
        <v>730</v>
      </c>
      <c r="EN644" s="1" t="s">
        <v>282</v>
      </c>
      <c r="EO644" s="1" t="s">
        <v>840</v>
      </c>
      <c r="EP644" s="1" t="s">
        <v>7711</v>
      </c>
      <c r="EQ644" s="1" t="s">
        <v>468</v>
      </c>
      <c r="ER644" s="1" t="s">
        <v>210</v>
      </c>
      <c r="ES644" s="1" t="s">
        <v>322</v>
      </c>
      <c r="EU644" s="1" t="s">
        <v>7712</v>
      </c>
      <c r="EV644" s="1" t="s">
        <v>240</v>
      </c>
      <c r="EW644" s="1" t="s">
        <v>7713</v>
      </c>
      <c r="EZ644" s="1" t="s">
        <v>287</v>
      </c>
      <c r="FB644" s="1" t="s">
        <v>289</v>
      </c>
      <c r="FD644" s="1" t="s">
        <v>246</v>
      </c>
      <c r="FE644" s="1" t="s">
        <v>549</v>
      </c>
      <c r="FF644" s="1" t="s">
        <v>248</v>
      </c>
      <c r="FG644" s="1" t="s">
        <v>871</v>
      </c>
      <c r="FH644" s="1" t="s">
        <v>249</v>
      </c>
      <c r="FI644" s="1" t="s">
        <v>473</v>
      </c>
      <c r="FL644" s="1" t="s">
        <v>414</v>
      </c>
      <c r="FM644" s="1" t="s">
        <v>252</v>
      </c>
      <c r="FN644" s="1" t="s">
        <v>213</v>
      </c>
      <c r="FO644" s="1" t="s">
        <v>213</v>
      </c>
      <c r="FQ644" s="1" t="s">
        <v>359</v>
      </c>
      <c r="FR644" s="1" t="s">
        <v>210</v>
      </c>
      <c r="FS644" s="1" t="s">
        <v>583</v>
      </c>
      <c r="FT644" s="1" t="s">
        <v>362</v>
      </c>
      <c r="FU644" s="1" t="s">
        <v>204</v>
      </c>
      <c r="FW644" s="1" t="s">
        <v>585</v>
      </c>
      <c r="FX644" s="1">
        <v>60021</v>
      </c>
      <c r="FY644" s="1" t="s">
        <v>2502</v>
      </c>
      <c r="FZ644" s="1" t="s">
        <v>7714</v>
      </c>
      <c r="GA644" s="1">
        <v>218940</v>
      </c>
      <c r="GB644" s="1" t="s">
        <v>7715</v>
      </c>
      <c r="GE644" s="1" t="s">
        <v>1764</v>
      </c>
      <c r="GI644" s="1" t="s">
        <v>213</v>
      </c>
      <c r="GJ644" s="1" t="s">
        <v>300</v>
      </c>
      <c r="GK644" s="1" t="s">
        <v>210</v>
      </c>
      <c r="GL644" s="2">
        <v>42058</v>
      </c>
      <c r="GM644" s="1" t="s">
        <v>7716</v>
      </c>
    </row>
    <row r="645" spans="1:195">
      <c r="A645" s="1">
        <v>220000</v>
      </c>
      <c r="B645" s="1" t="s">
        <v>195</v>
      </c>
      <c r="C645" s="1" t="str">
        <f>"08802169"</f>
        <v>08802169</v>
      </c>
      <c r="D645" s="1" t="s">
        <v>196</v>
      </c>
      <c r="F645" s="1" t="str">
        <f>"134"</f>
        <v>134</v>
      </c>
      <c r="G645" s="2">
        <v>41988</v>
      </c>
      <c r="H645" s="1">
        <v>239900</v>
      </c>
      <c r="I645" s="1">
        <v>239900</v>
      </c>
      <c r="J645" s="1">
        <v>220000</v>
      </c>
      <c r="K645" s="2">
        <v>41988</v>
      </c>
      <c r="L645" s="1">
        <v>45</v>
      </c>
      <c r="M645" s="2">
        <v>42032</v>
      </c>
      <c r="N645" s="1">
        <v>45</v>
      </c>
      <c r="O645" s="2">
        <v>42032</v>
      </c>
      <c r="P645" s="1">
        <v>49</v>
      </c>
      <c r="Q645" s="1" t="s">
        <v>197</v>
      </c>
      <c r="R645" s="2">
        <v>42090</v>
      </c>
      <c r="S645" s="1">
        <v>282</v>
      </c>
      <c r="U645" s="1">
        <v>202</v>
      </c>
      <c r="V645" s="1" t="s">
        <v>7717</v>
      </c>
      <c r="W645" s="1" t="s">
        <v>304</v>
      </c>
      <c r="X645" s="1">
        <v>202</v>
      </c>
      <c r="Y645" s="1">
        <v>30</v>
      </c>
      <c r="Z645" s="1" t="s">
        <v>370</v>
      </c>
      <c r="AA645" s="1" t="s">
        <v>661</v>
      </c>
      <c r="AB645" s="1">
        <v>60134</v>
      </c>
      <c r="AD645" s="1" t="s">
        <v>7717</v>
      </c>
      <c r="AE645" s="1" t="s">
        <v>7718</v>
      </c>
      <c r="AF645" s="1">
        <v>1967</v>
      </c>
      <c r="AG645" s="1" t="s">
        <v>213</v>
      </c>
      <c r="AH645" s="1" t="s">
        <v>664</v>
      </c>
      <c r="AI645" s="1" t="s">
        <v>665</v>
      </c>
      <c r="AJ645" s="1" t="s">
        <v>664</v>
      </c>
      <c r="AL645" s="1">
        <v>6</v>
      </c>
      <c r="AM645" s="1">
        <v>2</v>
      </c>
      <c r="AN645" s="1">
        <v>2</v>
      </c>
      <c r="AO645" s="1">
        <v>0</v>
      </c>
      <c r="AP645" s="1" t="s">
        <v>209</v>
      </c>
      <c r="AQ645" s="1">
        <v>1</v>
      </c>
      <c r="AR645" s="1" t="s">
        <v>209</v>
      </c>
      <c r="AS645" s="1" t="s">
        <v>204</v>
      </c>
      <c r="AT645" s="1" t="s">
        <v>211</v>
      </c>
      <c r="AU645" s="1">
        <v>1</v>
      </c>
      <c r="AW645" s="1" t="s">
        <v>204</v>
      </c>
      <c r="AX645" s="1" t="s">
        <v>212</v>
      </c>
      <c r="AZ645" s="1">
        <v>4127.3599999999997</v>
      </c>
      <c r="BA645" s="1">
        <v>2013</v>
      </c>
      <c r="BB645" s="1" t="s">
        <v>599</v>
      </c>
      <c r="BE645" s="1">
        <v>1188</v>
      </c>
      <c r="BF645" s="1">
        <v>1</v>
      </c>
      <c r="BG645" s="1">
        <v>0</v>
      </c>
      <c r="BJ645" s="1">
        <v>80</v>
      </c>
      <c r="BL645" s="1">
        <v>329</v>
      </c>
      <c r="BM645" s="1" t="s">
        <v>204</v>
      </c>
      <c r="BN645" s="1" t="s">
        <v>213</v>
      </c>
      <c r="BO645" s="1">
        <v>40</v>
      </c>
      <c r="BP645" s="1" t="s">
        <v>204</v>
      </c>
      <c r="BR645" s="1" t="str">
        <f>"1203378026"</f>
        <v>1203378026</v>
      </c>
      <c r="BT645" s="1" t="s">
        <v>7719</v>
      </c>
      <c r="BV645" s="1" t="s">
        <v>2447</v>
      </c>
      <c r="BW645" s="1" t="s">
        <v>2448</v>
      </c>
      <c r="BX645" s="1">
        <v>304</v>
      </c>
      <c r="BY645" s="1">
        <v>304</v>
      </c>
      <c r="BZ645" s="1">
        <v>304</v>
      </c>
      <c r="CB645" s="1" t="str">
        <f>"1"</f>
        <v>1</v>
      </c>
      <c r="CC645" s="1" t="str">
        <f>"0"</f>
        <v>0</v>
      </c>
      <c r="CD645" s="1">
        <v>36</v>
      </c>
      <c r="CE645" s="1">
        <v>0</v>
      </c>
      <c r="CG645" s="1" t="s">
        <v>1004</v>
      </c>
      <c r="CH645" s="1" t="s">
        <v>219</v>
      </c>
      <c r="CI645" s="1" t="s">
        <v>220</v>
      </c>
      <c r="CJ645" s="1" t="s">
        <v>343</v>
      </c>
      <c r="CK645" s="1" t="s">
        <v>344</v>
      </c>
      <c r="CL645" s="1" t="s">
        <v>219</v>
      </c>
      <c r="CM645" s="1" t="s">
        <v>220</v>
      </c>
      <c r="CO645" s="1" t="s">
        <v>379</v>
      </c>
      <c r="CP645" s="1" t="s">
        <v>219</v>
      </c>
      <c r="CQ645" s="1" t="s">
        <v>220</v>
      </c>
      <c r="CS645" s="1" t="s">
        <v>346</v>
      </c>
      <c r="CT645" s="1" t="s">
        <v>219</v>
      </c>
      <c r="CU645" s="1" t="s">
        <v>220</v>
      </c>
      <c r="CV645" s="1" t="s">
        <v>343</v>
      </c>
      <c r="DB645" s="1" t="s">
        <v>224</v>
      </c>
      <c r="DE645" s="1" t="s">
        <v>1854</v>
      </c>
      <c r="DF645" s="1" t="s">
        <v>219</v>
      </c>
      <c r="DG645" s="1" t="s">
        <v>229</v>
      </c>
      <c r="DH645" s="1" t="s">
        <v>343</v>
      </c>
      <c r="DJ645" s="1" t="s">
        <v>224</v>
      </c>
      <c r="DM645" s="1" t="s">
        <v>1005</v>
      </c>
      <c r="DR645" s="1" t="s">
        <v>837</v>
      </c>
      <c r="DS645" s="1" t="s">
        <v>219</v>
      </c>
      <c r="DT645" s="1" t="s">
        <v>220</v>
      </c>
      <c r="DU645" s="1" t="s">
        <v>343</v>
      </c>
      <c r="DW645" s="1" t="s">
        <v>230</v>
      </c>
      <c r="EA645" s="1" t="s">
        <v>230</v>
      </c>
      <c r="EE645" s="1" t="s">
        <v>230</v>
      </c>
      <c r="EI645" s="1" t="s">
        <v>230</v>
      </c>
      <c r="EL645" s="1" t="s">
        <v>605</v>
      </c>
      <c r="EM645" s="1" t="s">
        <v>319</v>
      </c>
      <c r="EN645" s="1" t="s">
        <v>282</v>
      </c>
      <c r="EO645" s="1" t="s">
        <v>234</v>
      </c>
      <c r="EP645" s="1" t="s">
        <v>7720</v>
      </c>
      <c r="EQ645" s="1" t="s">
        <v>7721</v>
      </c>
      <c r="ER645" s="1" t="s">
        <v>1249</v>
      </c>
      <c r="ES645" s="1" t="s">
        <v>322</v>
      </c>
      <c r="EU645" s="1" t="s">
        <v>7722</v>
      </c>
      <c r="EV645" s="1" t="s">
        <v>1999</v>
      </c>
      <c r="EW645" s="1" t="s">
        <v>7723</v>
      </c>
      <c r="EY645" s="1" t="s">
        <v>242</v>
      </c>
      <c r="EZ645" s="1" t="s">
        <v>1005</v>
      </c>
      <c r="FA645" s="1" t="s">
        <v>7111</v>
      </c>
      <c r="FB645" s="1" t="s">
        <v>289</v>
      </c>
      <c r="FC645" s="1" t="s">
        <v>633</v>
      </c>
      <c r="FD645" s="1" t="s">
        <v>246</v>
      </c>
      <c r="FE645" s="1" t="s">
        <v>247</v>
      </c>
      <c r="FF645" s="1" t="s">
        <v>387</v>
      </c>
      <c r="FG645" s="1" t="s">
        <v>7724</v>
      </c>
      <c r="FH645" s="1" t="s">
        <v>249</v>
      </c>
      <c r="FI645" s="1" t="s">
        <v>473</v>
      </c>
      <c r="FJ645" s="1" t="s">
        <v>197</v>
      </c>
      <c r="FL645" s="1" t="s">
        <v>414</v>
      </c>
      <c r="FM645" s="1" t="s">
        <v>252</v>
      </c>
      <c r="FN645" s="1" t="s">
        <v>213</v>
      </c>
      <c r="FO645" s="1" t="s">
        <v>213</v>
      </c>
      <c r="FQ645" s="1" t="s">
        <v>7057</v>
      </c>
      <c r="FR645" s="1" t="s">
        <v>210</v>
      </c>
      <c r="FS645" s="1" t="s">
        <v>1709</v>
      </c>
      <c r="FT645" s="1" t="s">
        <v>617</v>
      </c>
      <c r="FU645" s="1" t="s">
        <v>204</v>
      </c>
      <c r="FW645" s="1" t="s">
        <v>7725</v>
      </c>
      <c r="FX645" s="1">
        <v>458</v>
      </c>
      <c r="FY645" s="1" t="s">
        <v>7726</v>
      </c>
      <c r="FZ645" s="1" t="s">
        <v>7727</v>
      </c>
      <c r="GA645" s="1">
        <v>236</v>
      </c>
      <c r="GB645" s="1" t="s">
        <v>7728</v>
      </c>
      <c r="GE645" s="1" t="s">
        <v>210</v>
      </c>
      <c r="GI645" s="1" t="s">
        <v>213</v>
      </c>
      <c r="GJ645" s="1" t="s">
        <v>260</v>
      </c>
      <c r="GK645" s="1" t="s">
        <v>210</v>
      </c>
      <c r="GL645" s="2">
        <v>42090</v>
      </c>
      <c r="GM645" s="1" t="s">
        <v>7729</v>
      </c>
    </row>
    <row r="646" spans="1:195">
      <c r="A646" s="1">
        <v>119500</v>
      </c>
      <c r="B646" s="1" t="s">
        <v>195</v>
      </c>
      <c r="C646" s="1" t="str">
        <f>"08813714"</f>
        <v>08813714</v>
      </c>
      <c r="D646" s="1" t="s">
        <v>196</v>
      </c>
      <c r="F646" s="1" t="str">
        <f>"187"</f>
        <v>187</v>
      </c>
      <c r="G646" s="2">
        <v>42014</v>
      </c>
      <c r="H646" s="1">
        <v>139900</v>
      </c>
      <c r="I646" s="1">
        <v>134900</v>
      </c>
      <c r="J646" s="1">
        <v>119500</v>
      </c>
      <c r="K646" s="2">
        <v>42014</v>
      </c>
      <c r="L646" s="1">
        <v>137</v>
      </c>
      <c r="M646" s="2">
        <v>42045</v>
      </c>
      <c r="N646" s="1">
        <v>32</v>
      </c>
      <c r="O646" s="2">
        <v>42045</v>
      </c>
      <c r="P646" s="1">
        <v>25083</v>
      </c>
      <c r="Q646" s="1" t="s">
        <v>197</v>
      </c>
      <c r="R646" s="2">
        <v>42075</v>
      </c>
      <c r="S646" s="1">
        <v>250887</v>
      </c>
      <c r="U646" s="1">
        <v>1653</v>
      </c>
      <c r="V646" s="1" t="s">
        <v>7730</v>
      </c>
      <c r="W646" s="1" t="s">
        <v>304</v>
      </c>
      <c r="X646" s="1" t="s">
        <v>1000</v>
      </c>
      <c r="Y646" s="1">
        <v>4</v>
      </c>
      <c r="Z646" s="1" t="s">
        <v>249</v>
      </c>
      <c r="AA646" s="1" t="s">
        <v>964</v>
      </c>
      <c r="AB646" s="1">
        <v>60189</v>
      </c>
      <c r="AD646" s="1" t="s">
        <v>7731</v>
      </c>
      <c r="AE646" s="1" t="s">
        <v>7732</v>
      </c>
      <c r="AF646" s="1">
        <v>1978</v>
      </c>
      <c r="AG646" s="1" t="s">
        <v>204</v>
      </c>
      <c r="AH646" s="1" t="s">
        <v>967</v>
      </c>
      <c r="AI646" s="1" t="s">
        <v>206</v>
      </c>
      <c r="AJ646" s="1" t="s">
        <v>207</v>
      </c>
      <c r="AL646" s="1">
        <v>5</v>
      </c>
      <c r="AM646" s="1">
        <v>2</v>
      </c>
      <c r="AN646" s="1">
        <v>1</v>
      </c>
      <c r="AO646" s="1">
        <v>1</v>
      </c>
      <c r="AP646" s="1" t="s">
        <v>1234</v>
      </c>
      <c r="AR646" s="1" t="s">
        <v>210</v>
      </c>
      <c r="AS646" s="1" t="s">
        <v>204</v>
      </c>
      <c r="AT646" s="1" t="s">
        <v>211</v>
      </c>
      <c r="AU646" s="1">
        <v>1</v>
      </c>
      <c r="AW646" s="1" t="s">
        <v>204</v>
      </c>
      <c r="AX646" s="1" t="s">
        <v>212</v>
      </c>
      <c r="AZ646" s="1">
        <v>2645.46</v>
      </c>
      <c r="BA646" s="1">
        <v>2013</v>
      </c>
      <c r="BB646" s="1" t="s">
        <v>405</v>
      </c>
      <c r="BE646" s="1">
        <v>0</v>
      </c>
      <c r="BF646" s="1">
        <v>2</v>
      </c>
      <c r="BG646" s="1">
        <v>30</v>
      </c>
      <c r="BL646" s="1">
        <v>305</v>
      </c>
      <c r="BM646" s="1" t="s">
        <v>204</v>
      </c>
      <c r="BN646" s="1" t="s">
        <v>213</v>
      </c>
      <c r="BO646" s="1">
        <v>999</v>
      </c>
      <c r="BP646" s="1" t="s">
        <v>204</v>
      </c>
      <c r="BR646" s="1" t="str">
        <f>"0527107261"</f>
        <v>0527107261</v>
      </c>
      <c r="BT646" s="1" t="s">
        <v>7733</v>
      </c>
      <c r="BU646" s="1" t="s">
        <v>7734</v>
      </c>
      <c r="BV646" s="1" t="s">
        <v>216</v>
      </c>
      <c r="BW646" s="1" t="s">
        <v>217</v>
      </c>
      <c r="BX646" s="1">
        <v>89</v>
      </c>
      <c r="BY646" s="1">
        <v>89</v>
      </c>
      <c r="BZ646" s="1">
        <v>87</v>
      </c>
      <c r="CB646" s="1" t="str">
        <f t="shared" ref="CB646:CC646" si="499">"0"</f>
        <v>0</v>
      </c>
      <c r="CC646" s="1" t="str">
        <f t="shared" si="499"/>
        <v>0</v>
      </c>
      <c r="CD646" s="1">
        <v>23</v>
      </c>
      <c r="CE646" s="1">
        <v>2</v>
      </c>
      <c r="CG646" s="1" t="s">
        <v>314</v>
      </c>
      <c r="CH646" s="1" t="s">
        <v>277</v>
      </c>
      <c r="CI646" s="1" t="s">
        <v>229</v>
      </c>
      <c r="CK646" s="1" t="s">
        <v>2122</v>
      </c>
      <c r="CL646" s="1" t="s">
        <v>277</v>
      </c>
      <c r="CM646" s="1" t="s">
        <v>438</v>
      </c>
      <c r="CN646" s="1" t="s">
        <v>343</v>
      </c>
      <c r="CO646" s="1" t="s">
        <v>837</v>
      </c>
      <c r="CP646" s="1" t="s">
        <v>277</v>
      </c>
      <c r="CQ646" s="1" t="s">
        <v>229</v>
      </c>
      <c r="CR646" s="1" t="s">
        <v>252</v>
      </c>
      <c r="CS646" s="1" t="s">
        <v>1297</v>
      </c>
      <c r="CT646" s="1" t="s">
        <v>277</v>
      </c>
      <c r="CU646" s="1" t="s">
        <v>438</v>
      </c>
      <c r="CV646" s="1" t="s">
        <v>252</v>
      </c>
      <c r="CX646" s="1" t="s">
        <v>224</v>
      </c>
      <c r="DB646" s="1" t="s">
        <v>224</v>
      </c>
      <c r="DE646" s="1" t="s">
        <v>409</v>
      </c>
      <c r="DF646" s="1" t="s">
        <v>277</v>
      </c>
      <c r="DG646" s="1" t="s">
        <v>226</v>
      </c>
      <c r="DH646" s="1" t="s">
        <v>343</v>
      </c>
      <c r="DJ646" s="1" t="s">
        <v>224</v>
      </c>
      <c r="DS646" s="1" t="s">
        <v>230</v>
      </c>
      <c r="DW646" s="1" t="s">
        <v>230</v>
      </c>
      <c r="EA646" s="1" t="s">
        <v>230</v>
      </c>
      <c r="EE646" s="1" t="s">
        <v>230</v>
      </c>
      <c r="EI646" s="1" t="s">
        <v>230</v>
      </c>
      <c r="EL646" s="1" t="s">
        <v>231</v>
      </c>
      <c r="EM646" s="1" t="s">
        <v>232</v>
      </c>
      <c r="EN646" s="1" t="s">
        <v>282</v>
      </c>
      <c r="EO646" s="1" t="s">
        <v>234</v>
      </c>
      <c r="EP646" s="1" t="s">
        <v>7735</v>
      </c>
      <c r="EQ646" s="1" t="s">
        <v>492</v>
      </c>
      <c r="ER646" s="1" t="s">
        <v>210</v>
      </c>
      <c r="ET646" s="1" t="s">
        <v>1161</v>
      </c>
      <c r="EV646" s="1" t="s">
        <v>240</v>
      </c>
      <c r="EW646" s="1" t="s">
        <v>7736</v>
      </c>
      <c r="EY646" s="1" t="s">
        <v>242</v>
      </c>
      <c r="EZ646" s="1" t="s">
        <v>287</v>
      </c>
      <c r="FB646" s="1" t="s">
        <v>289</v>
      </c>
      <c r="FC646" s="1" t="s">
        <v>633</v>
      </c>
      <c r="FD646" s="1" t="s">
        <v>246</v>
      </c>
      <c r="FE646" s="1" t="s">
        <v>2016</v>
      </c>
      <c r="FF646" s="1" t="s">
        <v>248</v>
      </c>
      <c r="FH646" s="1" t="s">
        <v>1387</v>
      </c>
      <c r="FI646" s="1" t="s">
        <v>3300</v>
      </c>
      <c r="FJ646" s="1" t="s">
        <v>7546</v>
      </c>
      <c r="FL646" s="1" t="s">
        <v>414</v>
      </c>
      <c r="FM646" s="1" t="s">
        <v>252</v>
      </c>
      <c r="FN646" s="1" t="s">
        <v>213</v>
      </c>
      <c r="FO646" s="1" t="s">
        <v>213</v>
      </c>
      <c r="FQ646" s="1" t="s">
        <v>7737</v>
      </c>
      <c r="FR646" s="1" t="s">
        <v>210</v>
      </c>
      <c r="FS646" s="1" t="s">
        <v>7738</v>
      </c>
      <c r="FT646" s="1" t="s">
        <v>295</v>
      </c>
      <c r="FU646" s="1" t="s">
        <v>204</v>
      </c>
      <c r="FW646" s="1" t="s">
        <v>585</v>
      </c>
      <c r="FX646" s="1">
        <v>20001</v>
      </c>
      <c r="FY646" s="1" t="s">
        <v>5002</v>
      </c>
      <c r="FZ646" s="1" t="s">
        <v>7739</v>
      </c>
      <c r="GA646" s="1">
        <v>236248</v>
      </c>
      <c r="GB646" s="1" t="s">
        <v>7740</v>
      </c>
      <c r="GD646" s="1" t="s">
        <v>7741</v>
      </c>
      <c r="GE646" s="1" t="s">
        <v>210</v>
      </c>
      <c r="GI646" s="1" t="s">
        <v>213</v>
      </c>
      <c r="GJ646" s="1" t="s">
        <v>260</v>
      </c>
      <c r="GK646" s="1" t="s">
        <v>210</v>
      </c>
      <c r="GL646" s="2">
        <v>42076</v>
      </c>
      <c r="GM646" s="1" t="s">
        <v>7742</v>
      </c>
    </row>
    <row r="647" spans="1:195">
      <c r="A647" s="1">
        <v>420000</v>
      </c>
      <c r="B647" s="1" t="s">
        <v>195</v>
      </c>
      <c r="C647" s="1" t="str">
        <f>"08815166"</f>
        <v>08815166</v>
      </c>
      <c r="D647" s="1" t="s">
        <v>196</v>
      </c>
      <c r="F647" s="1" t="str">
        <f>"522"</f>
        <v>522</v>
      </c>
      <c r="G647" s="2">
        <v>42017</v>
      </c>
      <c r="H647" s="1">
        <v>449000</v>
      </c>
      <c r="I647" s="1">
        <v>449000</v>
      </c>
      <c r="J647" s="1">
        <v>420000</v>
      </c>
      <c r="K647" s="2">
        <v>42017</v>
      </c>
      <c r="L647" s="1">
        <v>439</v>
      </c>
      <c r="M647" s="2">
        <v>42024</v>
      </c>
      <c r="N647" s="1">
        <v>8</v>
      </c>
      <c r="O647" s="2">
        <v>42024</v>
      </c>
      <c r="P647" s="1">
        <v>4555</v>
      </c>
      <c r="Q647" s="1" t="s">
        <v>197</v>
      </c>
      <c r="R647" s="2">
        <v>42088</v>
      </c>
      <c r="S647" s="1">
        <v>38855</v>
      </c>
      <c r="U647" s="1">
        <v>1000</v>
      </c>
      <c r="V647" s="1" t="s">
        <v>4045</v>
      </c>
      <c r="W647" s="1" t="s">
        <v>264</v>
      </c>
      <c r="X647" s="1">
        <v>113</v>
      </c>
      <c r="Y647" s="1">
        <v>59</v>
      </c>
      <c r="Z647" s="1" t="s">
        <v>249</v>
      </c>
      <c r="AA647" s="1" t="s">
        <v>698</v>
      </c>
      <c r="AB647" s="1">
        <v>60527</v>
      </c>
      <c r="AE647" s="1" t="s">
        <v>7743</v>
      </c>
      <c r="AF647" s="1">
        <v>2008</v>
      </c>
      <c r="AG647" s="1" t="s">
        <v>204</v>
      </c>
      <c r="AH647" s="1" t="s">
        <v>701</v>
      </c>
      <c r="AI647" s="1" t="s">
        <v>310</v>
      </c>
      <c r="AJ647" s="1" t="s">
        <v>702</v>
      </c>
      <c r="AK647" s="1" t="s">
        <v>800</v>
      </c>
      <c r="AL647" s="1">
        <v>7</v>
      </c>
      <c r="AM647" s="1">
        <v>2</v>
      </c>
      <c r="AN647" s="1">
        <v>2</v>
      </c>
      <c r="AO647" s="1">
        <v>0</v>
      </c>
      <c r="AP647" s="1" t="s">
        <v>209</v>
      </c>
      <c r="AQ647" s="1">
        <v>0</v>
      </c>
      <c r="AR647" s="1" t="s">
        <v>210</v>
      </c>
      <c r="AS647" s="1" t="s">
        <v>204</v>
      </c>
      <c r="AT647" s="1" t="s">
        <v>211</v>
      </c>
      <c r="AU647" s="1">
        <v>2</v>
      </c>
      <c r="AW647" s="1" t="s">
        <v>204</v>
      </c>
      <c r="AX647" s="1" t="s">
        <v>270</v>
      </c>
      <c r="AZ647" s="1">
        <v>1052</v>
      </c>
      <c r="BA647" s="1">
        <v>2013</v>
      </c>
      <c r="BB647" s="1" t="s">
        <v>405</v>
      </c>
      <c r="BE647" s="1">
        <v>2069</v>
      </c>
      <c r="BF647" s="1">
        <v>1</v>
      </c>
      <c r="BG647" s="1">
        <v>1</v>
      </c>
      <c r="BL647" s="1">
        <v>539</v>
      </c>
      <c r="BM647" s="1" t="s">
        <v>204</v>
      </c>
      <c r="BN647" s="1" t="s">
        <v>213</v>
      </c>
      <c r="BO647" s="1">
        <v>0</v>
      </c>
      <c r="BP647" s="1" t="s">
        <v>204</v>
      </c>
      <c r="BR647" s="1" t="str">
        <f>"18303000581013"</f>
        <v>18303000581013</v>
      </c>
      <c r="BT647" s="1" t="s">
        <v>7744</v>
      </c>
      <c r="BU647" s="1" t="s">
        <v>704</v>
      </c>
      <c r="BV647" s="1" t="s">
        <v>705</v>
      </c>
      <c r="BW647" s="1" t="s">
        <v>706</v>
      </c>
      <c r="BX647" s="1">
        <v>107</v>
      </c>
      <c r="BY647" s="1">
        <v>107</v>
      </c>
      <c r="BZ647" s="1">
        <v>204</v>
      </c>
      <c r="CB647" s="1" t="str">
        <f t="shared" ref="CB647:CC647" si="500">"0"</f>
        <v>0</v>
      </c>
      <c r="CC647" s="1" t="str">
        <f t="shared" si="500"/>
        <v>0</v>
      </c>
      <c r="CD647" s="1">
        <v>14</v>
      </c>
      <c r="CE647" s="1">
        <v>8</v>
      </c>
      <c r="CG647" s="1" t="s">
        <v>835</v>
      </c>
      <c r="CH647" s="1" t="s">
        <v>219</v>
      </c>
      <c r="CI647" s="1" t="s">
        <v>438</v>
      </c>
      <c r="CJ647" s="1" t="s">
        <v>210</v>
      </c>
      <c r="CK647" s="1" t="s">
        <v>3100</v>
      </c>
      <c r="CL647" s="1" t="s">
        <v>219</v>
      </c>
      <c r="CM647" s="1" t="s">
        <v>220</v>
      </c>
      <c r="CO647" s="1" t="s">
        <v>3151</v>
      </c>
      <c r="CP647" s="1" t="s">
        <v>219</v>
      </c>
      <c r="CQ647" s="1" t="s">
        <v>438</v>
      </c>
      <c r="CR647" s="1" t="s">
        <v>210</v>
      </c>
      <c r="CS647" s="1" t="s">
        <v>378</v>
      </c>
      <c r="CT647" s="1" t="s">
        <v>219</v>
      </c>
      <c r="CU647" s="1" t="s">
        <v>220</v>
      </c>
      <c r="CX647" s="1" t="s">
        <v>224</v>
      </c>
      <c r="DB647" s="1" t="s">
        <v>224</v>
      </c>
      <c r="DE647" s="1" t="s">
        <v>317</v>
      </c>
      <c r="DF647" s="1" t="s">
        <v>219</v>
      </c>
      <c r="DG647" s="1" t="s">
        <v>438</v>
      </c>
      <c r="DH647" s="1" t="s">
        <v>210</v>
      </c>
      <c r="DI647" s="1" t="s">
        <v>3748</v>
      </c>
      <c r="DJ647" s="1" t="s">
        <v>219</v>
      </c>
      <c r="DK647" s="1" t="s">
        <v>438</v>
      </c>
      <c r="DM647" s="1" t="s">
        <v>1548</v>
      </c>
      <c r="DR647" s="1" t="s">
        <v>2031</v>
      </c>
      <c r="DS647" s="1" t="s">
        <v>219</v>
      </c>
      <c r="DT647" s="1" t="s">
        <v>438</v>
      </c>
      <c r="DW647" s="1" t="s">
        <v>230</v>
      </c>
      <c r="EA647" s="1" t="s">
        <v>230</v>
      </c>
      <c r="EE647" s="1" t="s">
        <v>230</v>
      </c>
      <c r="EI647" s="1" t="s">
        <v>230</v>
      </c>
      <c r="EL647" s="1" t="s">
        <v>491</v>
      </c>
      <c r="EM647" s="1" t="s">
        <v>232</v>
      </c>
      <c r="EN647" s="1" t="s">
        <v>282</v>
      </c>
      <c r="EO647" s="1" t="s">
        <v>234</v>
      </c>
      <c r="EQ647" s="1" t="s">
        <v>5688</v>
      </c>
      <c r="ER647" s="1" t="s">
        <v>210</v>
      </c>
      <c r="ES647" s="1" t="s">
        <v>1791</v>
      </c>
      <c r="ET647" s="1" t="s">
        <v>866</v>
      </c>
      <c r="EU647" s="1" t="s">
        <v>7745</v>
      </c>
      <c r="EV647" s="1" t="s">
        <v>240</v>
      </c>
      <c r="EW647" s="1" t="s">
        <v>7015</v>
      </c>
      <c r="EY647" s="1" t="s">
        <v>242</v>
      </c>
      <c r="EZ647" s="1" t="s">
        <v>1548</v>
      </c>
      <c r="FA647" s="1" t="s">
        <v>3690</v>
      </c>
      <c r="FC647" s="1" t="s">
        <v>735</v>
      </c>
      <c r="FD647" s="1" t="s">
        <v>495</v>
      </c>
      <c r="FE647" s="1" t="s">
        <v>247</v>
      </c>
      <c r="FF647" s="1" t="s">
        <v>248</v>
      </c>
      <c r="FH647" s="1" t="s">
        <v>249</v>
      </c>
      <c r="FI647" s="1" t="s">
        <v>357</v>
      </c>
      <c r="FL647" s="1" t="s">
        <v>1907</v>
      </c>
      <c r="FM647" s="1" t="s">
        <v>252</v>
      </c>
      <c r="FN647" s="1" t="s">
        <v>213</v>
      </c>
      <c r="FO647" s="1" t="s">
        <v>204</v>
      </c>
      <c r="FQ647" s="1" t="s">
        <v>673</v>
      </c>
      <c r="FR647" s="1" t="s">
        <v>210</v>
      </c>
      <c r="FS647" s="1" t="s">
        <v>7746</v>
      </c>
      <c r="FT647" s="1" t="s">
        <v>7747</v>
      </c>
      <c r="FU647" s="1" t="s">
        <v>204</v>
      </c>
      <c r="FW647" s="1" t="s">
        <v>7748</v>
      </c>
      <c r="FX647" s="1">
        <v>4555</v>
      </c>
      <c r="FY647" s="1" t="s">
        <v>7749</v>
      </c>
      <c r="FZ647" s="1" t="s">
        <v>7750</v>
      </c>
      <c r="GA647" s="1">
        <v>38855</v>
      </c>
      <c r="GB647" s="1" t="s">
        <v>7751</v>
      </c>
      <c r="GE647" s="1" t="s">
        <v>210</v>
      </c>
      <c r="GI647" s="1" t="s">
        <v>213</v>
      </c>
      <c r="GJ647" s="1" t="s">
        <v>260</v>
      </c>
      <c r="GK647" s="1" t="s">
        <v>210</v>
      </c>
      <c r="GL647" s="2">
        <v>42089</v>
      </c>
      <c r="GM647" s="1" t="s">
        <v>7752</v>
      </c>
    </row>
    <row r="648" spans="1:195">
      <c r="A648" s="1">
        <v>91250</v>
      </c>
      <c r="B648" s="1" t="s">
        <v>195</v>
      </c>
      <c r="C648" s="1" t="str">
        <f>"08805556"</f>
        <v>08805556</v>
      </c>
      <c r="D648" s="1" t="s">
        <v>196</v>
      </c>
      <c r="F648" s="1" t="str">
        <f>"186"</f>
        <v>186</v>
      </c>
      <c r="G648" s="2">
        <v>41996</v>
      </c>
      <c r="H648" s="1">
        <v>87900</v>
      </c>
      <c r="I648" s="1">
        <v>87900</v>
      </c>
      <c r="J648" s="1">
        <v>91250</v>
      </c>
      <c r="K648" s="2">
        <v>41996</v>
      </c>
      <c r="L648" s="1">
        <v>17</v>
      </c>
      <c r="M648" s="2">
        <v>42012</v>
      </c>
      <c r="N648" s="1">
        <v>17</v>
      </c>
      <c r="O648" s="2">
        <v>42012</v>
      </c>
      <c r="P648" s="1">
        <v>22891</v>
      </c>
      <c r="Q648" s="1" t="s">
        <v>302</v>
      </c>
      <c r="R648" s="2">
        <v>42025</v>
      </c>
      <c r="S648" s="1">
        <v>224554</v>
      </c>
      <c r="U648" s="1" t="s">
        <v>7753</v>
      </c>
      <c r="V648" s="1" t="s">
        <v>7365</v>
      </c>
      <c r="W648" s="1" t="s">
        <v>504</v>
      </c>
      <c r="Y648" s="1" t="s">
        <v>432</v>
      </c>
      <c r="Z648" s="1" t="s">
        <v>249</v>
      </c>
      <c r="AA648" s="1" t="s">
        <v>2099</v>
      </c>
      <c r="AB648" s="1">
        <v>60181</v>
      </c>
      <c r="AE648" s="1" t="s">
        <v>7754</v>
      </c>
      <c r="AF648" s="1">
        <v>1968</v>
      </c>
      <c r="AG648" s="1" t="s">
        <v>213</v>
      </c>
      <c r="AH648" s="1" t="s">
        <v>2101</v>
      </c>
      <c r="AI648" s="1" t="s">
        <v>206</v>
      </c>
      <c r="AJ648" s="1" t="s">
        <v>1608</v>
      </c>
      <c r="AL648" s="1">
        <v>5</v>
      </c>
      <c r="AM648" s="1">
        <v>2</v>
      </c>
      <c r="AN648" s="1">
        <v>1</v>
      </c>
      <c r="AO648" s="1">
        <v>1</v>
      </c>
      <c r="AP648" s="1" t="s">
        <v>210</v>
      </c>
      <c r="AR648" s="1" t="s">
        <v>209</v>
      </c>
      <c r="AS648" s="1" t="s">
        <v>204</v>
      </c>
      <c r="AT648" s="1" t="s">
        <v>271</v>
      </c>
      <c r="AV648" s="1">
        <v>1</v>
      </c>
      <c r="AW648" s="1" t="s">
        <v>204</v>
      </c>
      <c r="AX648" s="1" t="s">
        <v>212</v>
      </c>
      <c r="AZ648" s="1">
        <v>1556</v>
      </c>
      <c r="BA648" s="1">
        <v>2013</v>
      </c>
      <c r="BE648" s="1">
        <v>1054</v>
      </c>
      <c r="BF648" s="1">
        <v>1</v>
      </c>
      <c r="BG648" s="1">
        <v>30</v>
      </c>
      <c r="BL648" s="1">
        <v>189</v>
      </c>
      <c r="BM648" s="1" t="s">
        <v>413</v>
      </c>
      <c r="BN648" s="1" t="s">
        <v>204</v>
      </c>
      <c r="BP648" s="1" t="s">
        <v>204</v>
      </c>
      <c r="BR648" s="1" t="str">
        <f>"0621213092"</f>
        <v>0621213092</v>
      </c>
      <c r="BT648" s="1" t="s">
        <v>7755</v>
      </c>
      <c r="BX648" s="1">
        <v>45</v>
      </c>
      <c r="BY648" s="1">
        <v>45</v>
      </c>
      <c r="BZ648" s="1">
        <v>88</v>
      </c>
      <c r="CB648" s="1" t="str">
        <f t="shared" ref="CB648:CC648" si="501">""</f>
        <v/>
      </c>
      <c r="CC648" s="1" t="str">
        <f t="shared" si="501"/>
        <v/>
      </c>
      <c r="CG648" s="1" t="s">
        <v>3316</v>
      </c>
      <c r="CH648" s="1" t="s">
        <v>219</v>
      </c>
      <c r="CK648" s="1" t="s">
        <v>3748</v>
      </c>
      <c r="CL648" s="1" t="s">
        <v>277</v>
      </c>
      <c r="CO648" s="1" t="s">
        <v>2982</v>
      </c>
      <c r="CP648" s="1" t="s">
        <v>219</v>
      </c>
      <c r="CS648" s="1" t="s">
        <v>1107</v>
      </c>
      <c r="CT648" s="1" t="s">
        <v>277</v>
      </c>
      <c r="CX648" s="1" t="s">
        <v>224</v>
      </c>
      <c r="DB648" s="1" t="s">
        <v>224</v>
      </c>
      <c r="DE648" s="1" t="s">
        <v>1470</v>
      </c>
      <c r="DF648" s="1" t="s">
        <v>219</v>
      </c>
      <c r="DJ648" s="1" t="s">
        <v>224</v>
      </c>
      <c r="DS648" s="1" t="s">
        <v>230</v>
      </c>
      <c r="DW648" s="1" t="s">
        <v>230</v>
      </c>
      <c r="EA648" s="1" t="s">
        <v>230</v>
      </c>
      <c r="EE648" s="1" t="s">
        <v>230</v>
      </c>
      <c r="EI648" s="1" t="s">
        <v>230</v>
      </c>
      <c r="EL648" s="1" t="s">
        <v>605</v>
      </c>
      <c r="EM648" s="1" t="s">
        <v>319</v>
      </c>
      <c r="EN648" s="1" t="s">
        <v>282</v>
      </c>
      <c r="EO648" s="1" t="s">
        <v>234</v>
      </c>
      <c r="ER648" s="1" t="s">
        <v>544</v>
      </c>
      <c r="EW648" s="1" t="s">
        <v>1134</v>
      </c>
      <c r="EZ648" s="1" t="s">
        <v>287</v>
      </c>
      <c r="FD648" s="1" t="s">
        <v>1112</v>
      </c>
      <c r="FE648" s="1" t="s">
        <v>247</v>
      </c>
      <c r="FF648" s="1" t="s">
        <v>248</v>
      </c>
      <c r="FH648" s="1" t="s">
        <v>940</v>
      </c>
      <c r="FL648" s="1" t="s">
        <v>1073</v>
      </c>
      <c r="FM648" s="1" t="s">
        <v>252</v>
      </c>
      <c r="FN648" s="1" t="s">
        <v>213</v>
      </c>
      <c r="FO648" s="1" t="s">
        <v>213</v>
      </c>
      <c r="FQ648" s="1" t="s">
        <v>582</v>
      </c>
      <c r="FR648" s="1" t="s">
        <v>210</v>
      </c>
      <c r="FS648" s="1" t="s">
        <v>2984</v>
      </c>
      <c r="FT648" s="1" t="s">
        <v>295</v>
      </c>
      <c r="FU648" s="1" t="s">
        <v>204</v>
      </c>
      <c r="FW648" s="1" t="s">
        <v>2985</v>
      </c>
      <c r="FX648" s="1">
        <v>23959</v>
      </c>
      <c r="FY648" s="1" t="s">
        <v>2986</v>
      </c>
      <c r="FZ648" s="1" t="s">
        <v>6386</v>
      </c>
      <c r="GA648" s="1">
        <v>238419</v>
      </c>
      <c r="GC648" s="1">
        <v>220868</v>
      </c>
      <c r="GE648" s="1" t="s">
        <v>210</v>
      </c>
      <c r="GI648" s="1" t="s">
        <v>213</v>
      </c>
      <c r="GJ648" s="1" t="s">
        <v>260</v>
      </c>
      <c r="GK648" s="1" t="s">
        <v>210</v>
      </c>
      <c r="GL648" s="2">
        <v>42025</v>
      </c>
      <c r="GM648" s="1" t="s">
        <v>7756</v>
      </c>
    </row>
    <row r="649" spans="1:195">
      <c r="A649" s="1">
        <v>142000</v>
      </c>
      <c r="B649" s="1" t="s">
        <v>195</v>
      </c>
      <c r="C649" s="1" t="str">
        <f>"08806572"</f>
        <v>08806572</v>
      </c>
      <c r="D649" s="1" t="s">
        <v>196</v>
      </c>
      <c r="F649" s="1" t="str">
        <f>"540"</f>
        <v>540</v>
      </c>
      <c r="G649" s="2">
        <v>42001</v>
      </c>
      <c r="H649" s="1">
        <v>145000</v>
      </c>
      <c r="I649" s="1">
        <v>145000</v>
      </c>
      <c r="J649" s="1">
        <v>142000</v>
      </c>
      <c r="K649" s="2">
        <v>42001</v>
      </c>
      <c r="L649" s="1">
        <v>41</v>
      </c>
      <c r="M649" s="2">
        <v>42041</v>
      </c>
      <c r="N649" s="1">
        <v>41</v>
      </c>
      <c r="O649" s="2">
        <v>42041</v>
      </c>
      <c r="P649" s="1">
        <v>23076</v>
      </c>
      <c r="Q649" s="1" t="s">
        <v>197</v>
      </c>
      <c r="R649" s="2">
        <v>42090</v>
      </c>
      <c r="S649" s="1">
        <v>239119</v>
      </c>
      <c r="U649" s="1">
        <v>2837</v>
      </c>
      <c r="V649" s="1" t="s">
        <v>5206</v>
      </c>
      <c r="W649" s="1" t="s">
        <v>449</v>
      </c>
      <c r="X649" s="1">
        <v>2837</v>
      </c>
      <c r="Y649" s="1">
        <v>25</v>
      </c>
      <c r="Z649" s="1" t="s">
        <v>249</v>
      </c>
      <c r="AA649" s="1" t="s">
        <v>921</v>
      </c>
      <c r="AB649" s="1">
        <v>60564</v>
      </c>
      <c r="AD649" s="1" t="s">
        <v>2213</v>
      </c>
      <c r="AE649" s="1" t="s">
        <v>7757</v>
      </c>
      <c r="AF649" s="1">
        <v>2000</v>
      </c>
      <c r="AG649" s="1" t="s">
        <v>204</v>
      </c>
      <c r="AH649" s="1" t="s">
        <v>924</v>
      </c>
      <c r="AI649" s="1" t="s">
        <v>1800</v>
      </c>
      <c r="AJ649" s="1" t="s">
        <v>1801</v>
      </c>
      <c r="AL649" s="1">
        <v>5</v>
      </c>
      <c r="AM649" s="1">
        <v>2</v>
      </c>
      <c r="AN649" s="1">
        <v>1</v>
      </c>
      <c r="AO649" s="1">
        <v>1</v>
      </c>
      <c r="AP649" s="1" t="s">
        <v>667</v>
      </c>
      <c r="AR649" s="1" t="s">
        <v>210</v>
      </c>
      <c r="AS649" s="1" t="s">
        <v>204</v>
      </c>
      <c r="AT649" s="1" t="s">
        <v>211</v>
      </c>
      <c r="AU649" s="1">
        <v>1</v>
      </c>
      <c r="AW649" s="1" t="s">
        <v>204</v>
      </c>
      <c r="AX649" s="1" t="s">
        <v>212</v>
      </c>
      <c r="AZ649" s="1">
        <v>3755.8</v>
      </c>
      <c r="BA649" s="1">
        <v>2012</v>
      </c>
      <c r="BB649" s="1" t="s">
        <v>405</v>
      </c>
      <c r="BE649" s="1">
        <v>1138</v>
      </c>
      <c r="BF649" s="1">
        <v>1</v>
      </c>
      <c r="BG649" s="1">
        <v>30</v>
      </c>
      <c r="BL649" s="1">
        <v>220</v>
      </c>
      <c r="BM649" s="1" t="s">
        <v>204</v>
      </c>
      <c r="BN649" s="1" t="s">
        <v>213</v>
      </c>
      <c r="BO649" s="1">
        <v>0</v>
      </c>
      <c r="BP649" s="1" t="s">
        <v>204</v>
      </c>
      <c r="BR649" s="1" t="str">
        <f>"01031040811004"</f>
        <v>01031040811004</v>
      </c>
      <c r="BT649" s="1" t="s">
        <v>7758</v>
      </c>
      <c r="BU649" s="1" t="s">
        <v>2216</v>
      </c>
      <c r="BV649" s="1" t="s">
        <v>2217</v>
      </c>
      <c r="BW649" s="1" t="s">
        <v>2218</v>
      </c>
      <c r="BX649" s="1">
        <v>204</v>
      </c>
      <c r="BY649" s="1">
        <v>204</v>
      </c>
      <c r="BZ649" s="1">
        <v>204</v>
      </c>
      <c r="CB649" s="1" t="str">
        <f t="shared" ref="CB649:CC649" si="502">"0"</f>
        <v>0</v>
      </c>
      <c r="CC649" s="1" t="str">
        <f t="shared" si="502"/>
        <v>0</v>
      </c>
      <c r="CD649" s="1">
        <v>29</v>
      </c>
      <c r="CE649" s="1">
        <v>10</v>
      </c>
      <c r="CG649" s="1" t="s">
        <v>539</v>
      </c>
      <c r="CH649" s="1" t="s">
        <v>822</v>
      </c>
      <c r="CI649" s="1" t="s">
        <v>220</v>
      </c>
      <c r="CJ649" s="1" t="s">
        <v>210</v>
      </c>
      <c r="CK649" s="1" t="s">
        <v>539</v>
      </c>
      <c r="CL649" s="1" t="s">
        <v>277</v>
      </c>
      <c r="CM649" s="1" t="s">
        <v>220</v>
      </c>
      <c r="CN649" s="1" t="s">
        <v>210</v>
      </c>
      <c r="CO649" s="1" t="s">
        <v>316</v>
      </c>
      <c r="CP649" s="1" t="s">
        <v>219</v>
      </c>
      <c r="CQ649" s="1" t="s">
        <v>220</v>
      </c>
      <c r="CR649" s="1" t="s">
        <v>210</v>
      </c>
      <c r="CS649" s="1" t="s">
        <v>465</v>
      </c>
      <c r="CT649" s="1" t="s">
        <v>277</v>
      </c>
      <c r="CU649" s="1" t="s">
        <v>220</v>
      </c>
      <c r="CV649" s="1" t="s">
        <v>210</v>
      </c>
      <c r="CX649" s="1" t="s">
        <v>224</v>
      </c>
      <c r="DB649" s="1" t="s">
        <v>224</v>
      </c>
      <c r="DE649" s="1" t="s">
        <v>2899</v>
      </c>
      <c r="DF649" s="1" t="s">
        <v>219</v>
      </c>
      <c r="DG649" s="1" t="s">
        <v>342</v>
      </c>
      <c r="DH649" s="1" t="s">
        <v>210</v>
      </c>
      <c r="DJ649" s="1" t="s">
        <v>224</v>
      </c>
      <c r="DS649" s="1" t="s">
        <v>230</v>
      </c>
      <c r="DW649" s="1" t="s">
        <v>230</v>
      </c>
      <c r="EA649" s="1" t="s">
        <v>230</v>
      </c>
      <c r="EE649" s="1" t="s">
        <v>230</v>
      </c>
      <c r="EI649" s="1" t="s">
        <v>230</v>
      </c>
      <c r="EL649" s="1" t="s">
        <v>466</v>
      </c>
      <c r="EM649" s="1" t="s">
        <v>319</v>
      </c>
      <c r="EN649" s="1" t="s">
        <v>282</v>
      </c>
      <c r="EO649" s="1" t="s">
        <v>234</v>
      </c>
      <c r="EP649" s="1" t="s">
        <v>650</v>
      </c>
      <c r="EQ649" s="1" t="s">
        <v>468</v>
      </c>
      <c r="ER649" s="1" t="s">
        <v>210</v>
      </c>
      <c r="ES649" s="1" t="s">
        <v>322</v>
      </c>
      <c r="EV649" s="1" t="s">
        <v>240</v>
      </c>
      <c r="EW649" s="1" t="s">
        <v>1804</v>
      </c>
      <c r="EY649" s="1" t="s">
        <v>242</v>
      </c>
      <c r="EZ649" s="1" t="s">
        <v>287</v>
      </c>
      <c r="FA649" s="1" t="s">
        <v>1427</v>
      </c>
      <c r="FB649" s="1" t="s">
        <v>289</v>
      </c>
      <c r="FC649" s="1" t="s">
        <v>548</v>
      </c>
      <c r="FD649" s="1" t="s">
        <v>495</v>
      </c>
      <c r="FE649" s="1" t="s">
        <v>472</v>
      </c>
      <c r="FF649" s="1" t="s">
        <v>248</v>
      </c>
      <c r="FH649" s="1" t="s">
        <v>249</v>
      </c>
      <c r="FJ649" s="1" t="s">
        <v>1251</v>
      </c>
      <c r="FL649" s="1" t="s">
        <v>414</v>
      </c>
      <c r="FM649" s="1" t="s">
        <v>252</v>
      </c>
      <c r="FN649" s="1" t="s">
        <v>213</v>
      </c>
      <c r="FO649" s="1" t="s">
        <v>204</v>
      </c>
      <c r="FQ649" s="1" t="s">
        <v>253</v>
      </c>
      <c r="FR649" s="1" t="s">
        <v>210</v>
      </c>
      <c r="FS649" s="1" t="s">
        <v>7759</v>
      </c>
      <c r="FT649" s="1" t="s">
        <v>295</v>
      </c>
      <c r="FU649" s="1" t="s">
        <v>204</v>
      </c>
      <c r="FW649" s="1" t="s">
        <v>7760</v>
      </c>
      <c r="FX649" s="1">
        <v>24920</v>
      </c>
      <c r="FY649" s="1" t="s">
        <v>7761</v>
      </c>
      <c r="FZ649" s="1" t="s">
        <v>7762</v>
      </c>
      <c r="GA649" s="1">
        <v>239537</v>
      </c>
      <c r="GB649" s="1" t="s">
        <v>7763</v>
      </c>
      <c r="GE649" s="1" t="s">
        <v>480</v>
      </c>
      <c r="GI649" s="1" t="s">
        <v>213</v>
      </c>
      <c r="GJ649" s="1" t="s">
        <v>260</v>
      </c>
      <c r="GK649" s="1" t="s">
        <v>210</v>
      </c>
      <c r="GL649" s="2">
        <v>42093</v>
      </c>
      <c r="GM649" s="1" t="s">
        <v>7764</v>
      </c>
    </row>
    <row r="650" spans="1:195">
      <c r="A650" s="1">
        <v>345000</v>
      </c>
      <c r="B650" s="1" t="s">
        <v>195</v>
      </c>
      <c r="C650" s="1" t="str">
        <f>"08805597"</f>
        <v>08805597</v>
      </c>
      <c r="D650" s="1" t="s">
        <v>196</v>
      </c>
      <c r="F650" s="1" t="str">
        <f>"559"</f>
        <v>559</v>
      </c>
      <c r="G650" s="2">
        <v>41996</v>
      </c>
      <c r="H650" s="1">
        <v>359000</v>
      </c>
      <c r="I650" s="1">
        <v>359000</v>
      </c>
      <c r="J650" s="1">
        <v>345000</v>
      </c>
      <c r="K650" s="2">
        <v>41996</v>
      </c>
      <c r="L650" s="1">
        <v>154</v>
      </c>
      <c r="M650" s="2">
        <v>41996</v>
      </c>
      <c r="N650" s="1">
        <v>1</v>
      </c>
      <c r="O650" s="2">
        <v>41996</v>
      </c>
      <c r="P650" s="1">
        <v>20132</v>
      </c>
      <c r="Q650" s="1" t="s">
        <v>197</v>
      </c>
      <c r="R650" s="2">
        <v>42055</v>
      </c>
      <c r="S650" s="1">
        <v>211020</v>
      </c>
      <c r="U650" s="1">
        <v>663</v>
      </c>
      <c r="V650" s="1" t="s">
        <v>7765</v>
      </c>
      <c r="W650" s="1" t="s">
        <v>264</v>
      </c>
      <c r="Y650" s="1">
        <v>4</v>
      </c>
      <c r="Z650" s="1" t="s">
        <v>370</v>
      </c>
      <c r="AA650" s="1" t="s">
        <v>1950</v>
      </c>
      <c r="AB650" s="1">
        <v>60559</v>
      </c>
      <c r="AD650" s="1" t="s">
        <v>7766</v>
      </c>
      <c r="AE650" s="1" t="s">
        <v>7767</v>
      </c>
      <c r="AF650" s="1">
        <v>1996</v>
      </c>
      <c r="AG650" s="1" t="s">
        <v>204</v>
      </c>
      <c r="AH650" s="1" t="s">
        <v>1952</v>
      </c>
      <c r="AI650" s="1" t="s">
        <v>206</v>
      </c>
      <c r="AJ650" s="1" t="s">
        <v>903</v>
      </c>
      <c r="AK650" s="1" t="s">
        <v>7768</v>
      </c>
      <c r="AL650" s="1">
        <v>9</v>
      </c>
      <c r="AM650" s="1">
        <v>2</v>
      </c>
      <c r="AN650" s="1">
        <v>3</v>
      </c>
      <c r="AO650" s="1">
        <v>1</v>
      </c>
      <c r="AP650" s="1" t="s">
        <v>209</v>
      </c>
      <c r="AQ650" s="1">
        <v>1</v>
      </c>
      <c r="AR650" s="1" t="s">
        <v>2275</v>
      </c>
      <c r="AS650" s="1" t="s">
        <v>213</v>
      </c>
      <c r="AT650" s="1" t="s">
        <v>211</v>
      </c>
      <c r="AU650" s="1">
        <v>2</v>
      </c>
      <c r="AW650" s="1" t="s">
        <v>213</v>
      </c>
      <c r="AX650" s="1" t="s">
        <v>7769</v>
      </c>
      <c r="AZ650" s="1">
        <v>5544.1</v>
      </c>
      <c r="BA650" s="1">
        <v>2013</v>
      </c>
      <c r="BE650" s="1">
        <v>1600</v>
      </c>
      <c r="BF650" s="1">
        <v>1</v>
      </c>
      <c r="BG650" s="1">
        <v>0</v>
      </c>
      <c r="BL650" s="1">
        <v>225</v>
      </c>
      <c r="BM650" s="1" t="s">
        <v>413</v>
      </c>
      <c r="BN650" s="1" t="s">
        <v>213</v>
      </c>
      <c r="BO650" s="1">
        <v>0</v>
      </c>
      <c r="BP650" s="1" t="s">
        <v>204</v>
      </c>
      <c r="BR650" s="1" t="str">
        <f>"0903213124"</f>
        <v>0903213124</v>
      </c>
      <c r="BT650" s="1" t="s">
        <v>7770</v>
      </c>
      <c r="BU650" s="1" t="s">
        <v>1954</v>
      </c>
      <c r="BV650" s="1" t="s">
        <v>1955</v>
      </c>
      <c r="BW650" s="1" t="s">
        <v>1956</v>
      </c>
      <c r="BX650" s="1">
        <v>201</v>
      </c>
      <c r="BY650" s="1">
        <v>201</v>
      </c>
      <c r="BZ650" s="1">
        <v>201</v>
      </c>
      <c r="CB650" s="1" t="str">
        <f t="shared" ref="CB650:CC650" si="503">""</f>
        <v/>
      </c>
      <c r="CC650" s="1" t="str">
        <f t="shared" si="503"/>
        <v/>
      </c>
      <c r="CG650" s="1" t="s">
        <v>221</v>
      </c>
      <c r="CH650" s="1" t="s">
        <v>219</v>
      </c>
      <c r="CI650" s="1" t="s">
        <v>438</v>
      </c>
      <c r="CK650" s="1" t="s">
        <v>221</v>
      </c>
      <c r="CL650" s="1" t="s">
        <v>277</v>
      </c>
      <c r="CM650" s="1" t="s">
        <v>438</v>
      </c>
      <c r="CO650" s="1" t="s">
        <v>346</v>
      </c>
      <c r="CP650" s="1" t="s">
        <v>219</v>
      </c>
      <c r="CQ650" s="1" t="s">
        <v>438</v>
      </c>
      <c r="CS650" s="1" t="s">
        <v>1046</v>
      </c>
      <c r="CT650" s="1" t="s">
        <v>277</v>
      </c>
      <c r="CU650" s="1" t="s">
        <v>438</v>
      </c>
      <c r="CX650" s="1" t="s">
        <v>224</v>
      </c>
      <c r="DB650" s="1" t="s">
        <v>224</v>
      </c>
      <c r="DE650" s="1" t="s">
        <v>1297</v>
      </c>
      <c r="DF650" s="1" t="s">
        <v>219</v>
      </c>
      <c r="DG650" s="1" t="s">
        <v>438</v>
      </c>
      <c r="DJ650" s="1" t="s">
        <v>224</v>
      </c>
      <c r="DM650" s="1" t="s">
        <v>1548</v>
      </c>
      <c r="DN650" s="1" t="s">
        <v>464</v>
      </c>
      <c r="DO650" s="1" t="s">
        <v>934</v>
      </c>
      <c r="DP650" s="1" t="s">
        <v>7771</v>
      </c>
      <c r="DR650" s="1" t="s">
        <v>786</v>
      </c>
      <c r="DS650" s="1" t="s">
        <v>219</v>
      </c>
      <c r="DT650" s="1" t="s">
        <v>438</v>
      </c>
      <c r="DV650" s="1" t="s">
        <v>686</v>
      </c>
      <c r="DW650" s="1" t="s">
        <v>277</v>
      </c>
      <c r="DX650" s="1" t="s">
        <v>438</v>
      </c>
      <c r="DZ650" s="1" t="s">
        <v>2925</v>
      </c>
      <c r="EA650" s="1" t="s">
        <v>4450</v>
      </c>
      <c r="EB650" s="1" t="s">
        <v>438</v>
      </c>
      <c r="ED650" s="1" t="s">
        <v>1046</v>
      </c>
      <c r="EE650" s="1" t="s">
        <v>4450</v>
      </c>
      <c r="EI650" s="1" t="s">
        <v>230</v>
      </c>
      <c r="EL650" s="1" t="s">
        <v>670</v>
      </c>
      <c r="EM650" s="1" t="s">
        <v>232</v>
      </c>
      <c r="EN650" s="1" t="s">
        <v>282</v>
      </c>
      <c r="EO650" s="1" t="s">
        <v>234</v>
      </c>
      <c r="EQ650" s="1" t="s">
        <v>492</v>
      </c>
      <c r="ER650" s="1" t="s">
        <v>823</v>
      </c>
      <c r="ET650" s="1" t="s">
        <v>1404</v>
      </c>
      <c r="EU650" s="1" t="s">
        <v>239</v>
      </c>
      <c r="EV650" s="1" t="s">
        <v>240</v>
      </c>
      <c r="EW650" s="1" t="s">
        <v>353</v>
      </c>
      <c r="EZ650" s="1" t="s">
        <v>7772</v>
      </c>
      <c r="FD650" s="1" t="s">
        <v>246</v>
      </c>
      <c r="FE650" s="1" t="s">
        <v>651</v>
      </c>
      <c r="FF650" s="1" t="s">
        <v>248</v>
      </c>
      <c r="FH650" s="1" t="s">
        <v>550</v>
      </c>
      <c r="FL650" s="1" t="s">
        <v>358</v>
      </c>
      <c r="FM650" s="1" t="s">
        <v>210</v>
      </c>
      <c r="FN650" s="1" t="s">
        <v>204</v>
      </c>
      <c r="FO650" s="1" t="s">
        <v>204</v>
      </c>
      <c r="FQ650" s="1" t="s">
        <v>7773</v>
      </c>
      <c r="FR650" s="1" t="s">
        <v>210</v>
      </c>
      <c r="FS650" s="1" t="s">
        <v>7774</v>
      </c>
      <c r="FT650" s="1" t="s">
        <v>362</v>
      </c>
      <c r="FU650" s="1" t="s">
        <v>204</v>
      </c>
      <c r="FV650" s="1" t="s">
        <v>7775</v>
      </c>
      <c r="FW650" s="1" t="s">
        <v>7776</v>
      </c>
      <c r="FX650" s="1">
        <v>20132</v>
      </c>
      <c r="FY650" s="1" t="s">
        <v>7777</v>
      </c>
      <c r="FZ650" s="1" t="s">
        <v>7778</v>
      </c>
      <c r="GA650" s="1">
        <v>211020</v>
      </c>
      <c r="GB650" s="1" t="s">
        <v>7779</v>
      </c>
      <c r="GE650" s="1" t="s">
        <v>210</v>
      </c>
      <c r="GI650" s="1" t="s">
        <v>213</v>
      </c>
      <c r="GJ650" s="1" t="s">
        <v>260</v>
      </c>
      <c r="GK650" s="1" t="s">
        <v>210</v>
      </c>
      <c r="GL650" s="2">
        <v>42055</v>
      </c>
    </row>
    <row r="651" spans="1:195">
      <c r="A651" s="1">
        <v>90300</v>
      </c>
      <c r="B651" s="1" t="s">
        <v>195</v>
      </c>
      <c r="C651" s="1" t="str">
        <f>"08803663"</f>
        <v>08803663</v>
      </c>
      <c r="D651" s="1" t="s">
        <v>196</v>
      </c>
      <c r="F651" s="1" t="str">
        <f>"191"</f>
        <v>191</v>
      </c>
      <c r="G651" s="2">
        <v>41990</v>
      </c>
      <c r="H651" s="1">
        <v>119900</v>
      </c>
      <c r="I651" s="1">
        <v>119900</v>
      </c>
      <c r="J651" s="1">
        <v>90300</v>
      </c>
      <c r="K651" s="2">
        <v>41990</v>
      </c>
      <c r="L651" s="1">
        <v>38</v>
      </c>
      <c r="M651" s="2">
        <v>42027</v>
      </c>
      <c r="N651" s="1">
        <v>38</v>
      </c>
      <c r="O651" s="2">
        <v>42027</v>
      </c>
      <c r="P651" s="1">
        <v>85357</v>
      </c>
      <c r="Q651" s="1" t="s">
        <v>302</v>
      </c>
      <c r="R651" s="2">
        <v>42062</v>
      </c>
      <c r="S651" s="1">
        <v>172000</v>
      </c>
      <c r="U651" s="1">
        <v>223</v>
      </c>
      <c r="V651" s="1" t="s">
        <v>7780</v>
      </c>
      <c r="W651" s="1" t="s">
        <v>425</v>
      </c>
      <c r="X651" s="1">
        <v>223</v>
      </c>
      <c r="Y651" s="1">
        <v>4</v>
      </c>
      <c r="Z651" s="1" t="s">
        <v>249</v>
      </c>
      <c r="AA651" s="1" t="s">
        <v>1966</v>
      </c>
      <c r="AB651" s="1">
        <v>60191</v>
      </c>
      <c r="AD651" s="1" t="s">
        <v>7540</v>
      </c>
      <c r="AE651" s="1" t="s">
        <v>7781</v>
      </c>
      <c r="AF651" s="1">
        <v>1969</v>
      </c>
      <c r="AG651" s="1" t="s">
        <v>213</v>
      </c>
      <c r="AH651" s="1" t="s">
        <v>1969</v>
      </c>
      <c r="AI651" s="1" t="s">
        <v>206</v>
      </c>
      <c r="AJ651" s="1" t="s">
        <v>1233</v>
      </c>
      <c r="AL651" s="1">
        <v>4</v>
      </c>
      <c r="AM651" s="1">
        <v>2</v>
      </c>
      <c r="AN651" s="1">
        <v>1</v>
      </c>
      <c r="AO651" s="1">
        <v>1</v>
      </c>
      <c r="AP651" s="1" t="s">
        <v>210</v>
      </c>
      <c r="AR651" s="1" t="s">
        <v>209</v>
      </c>
      <c r="AS651" s="1" t="s">
        <v>204</v>
      </c>
      <c r="AT651" s="1" t="s">
        <v>271</v>
      </c>
      <c r="AV651" s="1">
        <v>2</v>
      </c>
      <c r="AW651" s="1" t="s">
        <v>204</v>
      </c>
      <c r="AX651" s="1" t="s">
        <v>7782</v>
      </c>
      <c r="AZ651" s="1">
        <v>2444</v>
      </c>
      <c r="BA651" s="1">
        <v>2013</v>
      </c>
      <c r="BB651" s="1" t="s">
        <v>405</v>
      </c>
      <c r="BE651" s="1">
        <v>900</v>
      </c>
      <c r="BF651" s="1">
        <v>1</v>
      </c>
      <c r="BG651" s="1">
        <v>10</v>
      </c>
      <c r="BL651" s="1">
        <v>210</v>
      </c>
      <c r="BM651" s="1" t="s">
        <v>204</v>
      </c>
      <c r="BN651" s="1" t="s">
        <v>213</v>
      </c>
      <c r="BO651" s="1">
        <v>0</v>
      </c>
      <c r="BP651" s="1" t="s">
        <v>204</v>
      </c>
      <c r="BR651" s="1" t="str">
        <f>"0316111009"</f>
        <v>0316111009</v>
      </c>
      <c r="BT651" s="1" t="s">
        <v>7783</v>
      </c>
      <c r="BX651" s="1">
        <v>7</v>
      </c>
      <c r="BY651" s="1">
        <v>7</v>
      </c>
      <c r="BZ651" s="1">
        <v>100</v>
      </c>
      <c r="CB651" s="1" t="str">
        <f t="shared" ref="CB651:CC651" si="504">""</f>
        <v/>
      </c>
      <c r="CC651" s="1" t="str">
        <f t="shared" si="504"/>
        <v/>
      </c>
      <c r="CG651" s="1" t="s">
        <v>1737</v>
      </c>
      <c r="CH651" s="1" t="s">
        <v>219</v>
      </c>
      <c r="CK651" s="1" t="s">
        <v>278</v>
      </c>
      <c r="CL651" s="1" t="s">
        <v>277</v>
      </c>
      <c r="CM651" s="1" t="s">
        <v>220</v>
      </c>
      <c r="CP651" s="1" t="s">
        <v>224</v>
      </c>
      <c r="CS651" s="1" t="s">
        <v>379</v>
      </c>
      <c r="CT651" s="1" t="s">
        <v>277</v>
      </c>
      <c r="CU651" s="1" t="s">
        <v>220</v>
      </c>
      <c r="CX651" s="1" t="s">
        <v>224</v>
      </c>
      <c r="DB651" s="1" t="s">
        <v>224</v>
      </c>
      <c r="DE651" s="1" t="s">
        <v>539</v>
      </c>
      <c r="DF651" s="1" t="s">
        <v>219</v>
      </c>
      <c r="DJ651" s="1" t="s">
        <v>224</v>
      </c>
      <c r="DS651" s="1" t="s">
        <v>230</v>
      </c>
      <c r="DW651" s="1" t="s">
        <v>230</v>
      </c>
      <c r="EA651" s="1" t="s">
        <v>230</v>
      </c>
      <c r="EE651" s="1" t="s">
        <v>230</v>
      </c>
      <c r="EI651" s="1" t="s">
        <v>230</v>
      </c>
      <c r="EL651" s="1" t="s">
        <v>605</v>
      </c>
      <c r="EM651" s="1" t="s">
        <v>232</v>
      </c>
      <c r="EN651" s="1" t="s">
        <v>282</v>
      </c>
      <c r="EO651" s="1" t="s">
        <v>234</v>
      </c>
      <c r="ER651" s="1" t="s">
        <v>544</v>
      </c>
      <c r="ES651" s="1" t="s">
        <v>322</v>
      </c>
      <c r="EW651" s="1" t="s">
        <v>384</v>
      </c>
      <c r="EZ651" s="1" t="s">
        <v>287</v>
      </c>
      <c r="FD651" s="1" t="s">
        <v>246</v>
      </c>
      <c r="FE651" s="1" t="s">
        <v>386</v>
      </c>
      <c r="FF651" s="1" t="s">
        <v>248</v>
      </c>
      <c r="FH651" s="1" t="s">
        <v>550</v>
      </c>
      <c r="FJ651" s="1" t="s">
        <v>1472</v>
      </c>
      <c r="FL651" s="1" t="s">
        <v>358</v>
      </c>
      <c r="FM651" s="1" t="s">
        <v>252</v>
      </c>
      <c r="FN651" s="1" t="s">
        <v>213</v>
      </c>
      <c r="FO651" s="1" t="s">
        <v>213</v>
      </c>
      <c r="FQ651" s="1" t="s">
        <v>582</v>
      </c>
      <c r="FR651" s="1" t="s">
        <v>210</v>
      </c>
      <c r="FS651" s="1" t="s">
        <v>552</v>
      </c>
      <c r="FT651" s="1" t="s">
        <v>4511</v>
      </c>
      <c r="FU651" s="1" t="s">
        <v>204</v>
      </c>
      <c r="FW651" s="1" t="s">
        <v>7784</v>
      </c>
      <c r="FX651" s="1">
        <v>25563</v>
      </c>
      <c r="FY651" s="1" t="s">
        <v>7785</v>
      </c>
      <c r="FZ651" s="1" t="s">
        <v>7786</v>
      </c>
      <c r="GA651" s="1">
        <v>923091</v>
      </c>
      <c r="GB651" s="1" t="s">
        <v>7787</v>
      </c>
      <c r="GE651" s="1" t="s">
        <v>480</v>
      </c>
      <c r="GI651" s="1" t="s">
        <v>213</v>
      </c>
      <c r="GJ651" s="1" t="s">
        <v>260</v>
      </c>
      <c r="GK651" s="1" t="s">
        <v>210</v>
      </c>
      <c r="GL651" s="2">
        <v>42064</v>
      </c>
    </row>
    <row r="652" spans="1:195">
      <c r="A652" s="1">
        <v>138000</v>
      </c>
      <c r="B652" s="1" t="s">
        <v>195</v>
      </c>
      <c r="C652" s="1" t="str">
        <f>"08811136"</f>
        <v>08811136</v>
      </c>
      <c r="D652" s="1" t="s">
        <v>196</v>
      </c>
      <c r="F652" s="1" t="str">
        <f t="shared" ref="F652:F653" si="505">"540"</f>
        <v>540</v>
      </c>
      <c r="G652" s="2">
        <v>42010</v>
      </c>
      <c r="H652" s="1">
        <v>137900</v>
      </c>
      <c r="I652" s="1">
        <v>137900</v>
      </c>
      <c r="J652" s="1">
        <v>138000</v>
      </c>
      <c r="K652" s="2">
        <v>42010</v>
      </c>
      <c r="L652" s="1">
        <v>4</v>
      </c>
      <c r="M652" s="2">
        <v>42013</v>
      </c>
      <c r="N652" s="1">
        <v>4</v>
      </c>
      <c r="O652" s="2">
        <v>42013</v>
      </c>
      <c r="P652" s="1">
        <v>72001</v>
      </c>
      <c r="Q652" s="1" t="s">
        <v>197</v>
      </c>
      <c r="R652" s="2">
        <v>42053</v>
      </c>
      <c r="S652" s="1">
        <v>702630</v>
      </c>
      <c r="U652" s="1">
        <v>19</v>
      </c>
      <c r="V652" s="1" t="s">
        <v>7788</v>
      </c>
      <c r="W652" s="1" t="s">
        <v>1056</v>
      </c>
      <c r="X652" s="1">
        <v>131</v>
      </c>
      <c r="Y652" s="1">
        <v>16</v>
      </c>
      <c r="Z652" s="1" t="s">
        <v>249</v>
      </c>
      <c r="AA652" s="1" t="s">
        <v>921</v>
      </c>
      <c r="AB652" s="1">
        <v>60565</v>
      </c>
      <c r="AD652" s="1" t="s">
        <v>7789</v>
      </c>
      <c r="AE652" s="1" t="s">
        <v>7790</v>
      </c>
      <c r="AF652" s="1">
        <v>1991</v>
      </c>
      <c r="AG652" s="1" t="s">
        <v>204</v>
      </c>
      <c r="AH652" s="1" t="s">
        <v>924</v>
      </c>
      <c r="AI652" s="1" t="s">
        <v>206</v>
      </c>
      <c r="AJ652" s="1" t="s">
        <v>925</v>
      </c>
      <c r="AL652" s="1">
        <v>5</v>
      </c>
      <c r="AM652" s="1">
        <v>2</v>
      </c>
      <c r="AN652" s="1">
        <v>1</v>
      </c>
      <c r="AO652" s="1">
        <v>1</v>
      </c>
      <c r="AP652" s="1" t="s">
        <v>210</v>
      </c>
      <c r="AQ652" s="1">
        <v>1</v>
      </c>
      <c r="AR652" s="1" t="s">
        <v>210</v>
      </c>
      <c r="AS652" s="1" t="s">
        <v>204</v>
      </c>
      <c r="AT652" s="1" t="s">
        <v>271</v>
      </c>
      <c r="AV652" s="1">
        <v>2</v>
      </c>
      <c r="AW652" s="1" t="s">
        <v>204</v>
      </c>
      <c r="AX652" s="1" t="s">
        <v>212</v>
      </c>
      <c r="AZ652" s="1">
        <v>2762</v>
      </c>
      <c r="BA652" s="1">
        <v>2013</v>
      </c>
      <c r="BB652" s="1" t="s">
        <v>210</v>
      </c>
      <c r="BC652" s="1">
        <v>0</v>
      </c>
      <c r="BE652" s="1">
        <v>1185</v>
      </c>
      <c r="BF652" s="1">
        <v>1</v>
      </c>
      <c r="BG652" s="1">
        <v>0</v>
      </c>
      <c r="BL652" s="1">
        <v>309</v>
      </c>
      <c r="BM652" s="1" t="s">
        <v>204</v>
      </c>
      <c r="BN652" s="1" t="s">
        <v>213</v>
      </c>
      <c r="BO652" s="1">
        <v>40</v>
      </c>
      <c r="BP652" s="1" t="s">
        <v>204</v>
      </c>
      <c r="BR652" s="1" t="str">
        <f>"0831419024"</f>
        <v>0831419024</v>
      </c>
      <c r="BT652" s="1" t="s">
        <v>7791</v>
      </c>
      <c r="BU652" s="1" t="s">
        <v>1892</v>
      </c>
      <c r="BV652" s="1" t="s">
        <v>929</v>
      </c>
      <c r="BW652" s="1" t="s">
        <v>930</v>
      </c>
      <c r="BX652" s="1">
        <v>203</v>
      </c>
      <c r="BY652" s="1">
        <v>203</v>
      </c>
      <c r="BZ652" s="1">
        <v>203</v>
      </c>
      <c r="CB652" s="1" t="str">
        <f t="shared" ref="CB652:CC652" si="506">"0"</f>
        <v>0</v>
      </c>
      <c r="CC652" s="1" t="str">
        <f t="shared" si="506"/>
        <v>0</v>
      </c>
      <c r="CD652" s="1">
        <v>26</v>
      </c>
      <c r="CE652" s="1">
        <v>9</v>
      </c>
      <c r="CG652" s="1" t="s">
        <v>669</v>
      </c>
      <c r="CH652" s="1" t="s">
        <v>219</v>
      </c>
      <c r="CI652" s="1" t="s">
        <v>220</v>
      </c>
      <c r="CJ652" s="1" t="s">
        <v>252</v>
      </c>
      <c r="CK652" s="1" t="s">
        <v>932</v>
      </c>
      <c r="CL652" s="1" t="s">
        <v>277</v>
      </c>
      <c r="CM652" s="1" t="s">
        <v>220</v>
      </c>
      <c r="CN652" s="1" t="s">
        <v>252</v>
      </c>
      <c r="CO652" s="1" t="s">
        <v>316</v>
      </c>
      <c r="CP652" s="1" t="s">
        <v>219</v>
      </c>
      <c r="CQ652" s="1" t="s">
        <v>220</v>
      </c>
      <c r="CR652" s="1" t="s">
        <v>252</v>
      </c>
      <c r="CS652" s="1" t="s">
        <v>317</v>
      </c>
      <c r="CT652" s="1" t="s">
        <v>277</v>
      </c>
      <c r="CU652" s="1" t="s">
        <v>220</v>
      </c>
      <c r="CV652" s="1" t="s">
        <v>252</v>
      </c>
      <c r="CX652" s="1" t="s">
        <v>224</v>
      </c>
      <c r="DB652" s="1" t="s">
        <v>224</v>
      </c>
      <c r="DE652" s="1" t="s">
        <v>409</v>
      </c>
      <c r="DF652" s="1" t="s">
        <v>219</v>
      </c>
      <c r="DG652" s="1" t="s">
        <v>438</v>
      </c>
      <c r="DJ652" s="1" t="s">
        <v>224</v>
      </c>
      <c r="DM652" s="1" t="s">
        <v>3011</v>
      </c>
      <c r="DR652" s="1" t="s">
        <v>5717</v>
      </c>
      <c r="DS652" s="1" t="s">
        <v>219</v>
      </c>
      <c r="DW652" s="1" t="s">
        <v>230</v>
      </c>
      <c r="EA652" s="1" t="s">
        <v>230</v>
      </c>
      <c r="EE652" s="1" t="s">
        <v>230</v>
      </c>
      <c r="EI652" s="1" t="s">
        <v>230</v>
      </c>
      <c r="EL652" s="1" t="s">
        <v>382</v>
      </c>
      <c r="EM652" s="1" t="s">
        <v>232</v>
      </c>
      <c r="EN652" s="1" t="s">
        <v>282</v>
      </c>
      <c r="EO652" s="1" t="s">
        <v>234</v>
      </c>
      <c r="EP652" s="1" t="s">
        <v>7792</v>
      </c>
      <c r="EQ652" s="1" t="s">
        <v>1551</v>
      </c>
      <c r="ER652" s="1" t="s">
        <v>210</v>
      </c>
      <c r="ET652" s="1" t="s">
        <v>866</v>
      </c>
      <c r="EV652" s="1" t="s">
        <v>324</v>
      </c>
      <c r="EW652" s="1" t="s">
        <v>7793</v>
      </c>
      <c r="EZ652" s="1" t="s">
        <v>3011</v>
      </c>
      <c r="FB652" s="1" t="s">
        <v>289</v>
      </c>
      <c r="FC652" s="1" t="s">
        <v>1362</v>
      </c>
      <c r="FD652" s="1" t="s">
        <v>385</v>
      </c>
      <c r="FE652" s="1" t="s">
        <v>549</v>
      </c>
      <c r="FF652" s="1" t="s">
        <v>248</v>
      </c>
      <c r="FG652" s="1" t="s">
        <v>1682</v>
      </c>
      <c r="FH652" s="1" t="s">
        <v>940</v>
      </c>
      <c r="FK652" s="1" t="s">
        <v>291</v>
      </c>
      <c r="FL652" s="1" t="s">
        <v>358</v>
      </c>
      <c r="FM652" s="1" t="s">
        <v>252</v>
      </c>
      <c r="FN652" s="1" t="s">
        <v>213</v>
      </c>
      <c r="FO652" s="1" t="s">
        <v>213</v>
      </c>
      <c r="FQ652" s="1" t="s">
        <v>913</v>
      </c>
      <c r="FR652" s="1" t="s">
        <v>210</v>
      </c>
      <c r="FS652" s="1" t="s">
        <v>7794</v>
      </c>
      <c r="FT652" s="1" t="s">
        <v>7795</v>
      </c>
      <c r="FU652" s="1" t="s">
        <v>204</v>
      </c>
      <c r="FW652" s="1" t="s">
        <v>915</v>
      </c>
      <c r="FX652" s="1">
        <v>25088</v>
      </c>
      <c r="FY652" s="1" t="s">
        <v>1761</v>
      </c>
      <c r="FZ652" s="1" t="s">
        <v>7796</v>
      </c>
      <c r="GA652" s="1">
        <v>217185</v>
      </c>
      <c r="GB652" s="1" t="s">
        <v>7797</v>
      </c>
      <c r="GC652" s="1">
        <v>243375</v>
      </c>
      <c r="GE652" s="1" t="s">
        <v>210</v>
      </c>
      <c r="GI652" s="1" t="s">
        <v>213</v>
      </c>
      <c r="GJ652" s="1" t="s">
        <v>300</v>
      </c>
      <c r="GK652" s="1" t="s">
        <v>210</v>
      </c>
      <c r="GL652" s="2">
        <v>42053</v>
      </c>
      <c r="GM652" s="1" t="s">
        <v>7798</v>
      </c>
    </row>
    <row r="653" spans="1:195">
      <c r="A653" s="1">
        <v>125500</v>
      </c>
      <c r="B653" s="1" t="s">
        <v>195</v>
      </c>
      <c r="C653" s="1" t="str">
        <f>"08809248"</f>
        <v>08809248</v>
      </c>
      <c r="D653" s="1" t="s">
        <v>196</v>
      </c>
      <c r="F653" s="1" t="str">
        <f t="shared" si="505"/>
        <v>540</v>
      </c>
      <c r="G653" s="2">
        <v>42008</v>
      </c>
      <c r="H653" s="1">
        <v>129900</v>
      </c>
      <c r="I653" s="1">
        <v>129900</v>
      </c>
      <c r="J653" s="1">
        <v>125500</v>
      </c>
      <c r="K653" s="2">
        <v>42007</v>
      </c>
      <c r="L653" s="1">
        <v>19</v>
      </c>
      <c r="M653" s="2">
        <v>42025</v>
      </c>
      <c r="N653" s="1">
        <v>19</v>
      </c>
      <c r="O653" s="2">
        <v>42025</v>
      </c>
      <c r="P653" s="1">
        <v>60436</v>
      </c>
      <c r="Q653" s="1" t="s">
        <v>197</v>
      </c>
      <c r="R653" s="2">
        <v>42087</v>
      </c>
      <c r="S653" s="1">
        <v>237755</v>
      </c>
      <c r="U653" s="1" t="s">
        <v>7799</v>
      </c>
      <c r="V653" s="1" t="s">
        <v>7800</v>
      </c>
      <c r="W653" s="1" t="s">
        <v>264</v>
      </c>
      <c r="X653" s="1" t="s">
        <v>7801</v>
      </c>
      <c r="Y653" s="1">
        <v>8</v>
      </c>
      <c r="Z653" s="1" t="s">
        <v>249</v>
      </c>
      <c r="AA653" s="1" t="s">
        <v>921</v>
      </c>
      <c r="AB653" s="1">
        <v>60540</v>
      </c>
      <c r="AD653" s="1" t="s">
        <v>7802</v>
      </c>
      <c r="AE653" s="1" t="s">
        <v>7803</v>
      </c>
      <c r="AF653" s="1">
        <v>1977</v>
      </c>
      <c r="AG653" s="1" t="s">
        <v>213</v>
      </c>
      <c r="AH653" s="1" t="s">
        <v>882</v>
      </c>
      <c r="AI653" s="1" t="s">
        <v>206</v>
      </c>
      <c r="AJ653" s="1" t="s">
        <v>925</v>
      </c>
      <c r="AK653" s="1" t="s">
        <v>4036</v>
      </c>
      <c r="AL653" s="1">
        <v>5</v>
      </c>
      <c r="AM653" s="1">
        <v>2</v>
      </c>
      <c r="AN653" s="1">
        <v>2</v>
      </c>
      <c r="AO653" s="1">
        <v>0</v>
      </c>
      <c r="AP653" s="1" t="s">
        <v>209</v>
      </c>
      <c r="AR653" s="1" t="s">
        <v>210</v>
      </c>
      <c r="AS653" s="1" t="s">
        <v>204</v>
      </c>
      <c r="AT653" s="1" t="s">
        <v>271</v>
      </c>
      <c r="AV653" s="1">
        <v>1</v>
      </c>
      <c r="AW653" s="1" t="s">
        <v>204</v>
      </c>
      <c r="AX653" s="1" t="s">
        <v>212</v>
      </c>
      <c r="AZ653" s="1">
        <v>2729</v>
      </c>
      <c r="BA653" s="1">
        <v>2013</v>
      </c>
      <c r="BB653" s="1" t="s">
        <v>210</v>
      </c>
      <c r="BE653" s="1">
        <v>1181</v>
      </c>
      <c r="BF653" s="1">
        <v>1</v>
      </c>
      <c r="BG653" s="1">
        <v>0</v>
      </c>
      <c r="BL653" s="1">
        <v>260</v>
      </c>
      <c r="BM653" s="1" t="s">
        <v>204</v>
      </c>
      <c r="BN653" s="1" t="s">
        <v>204</v>
      </c>
      <c r="BP653" s="1" t="s">
        <v>204</v>
      </c>
      <c r="BR653" s="1" t="str">
        <f>"0816110036"</f>
        <v>0816110036</v>
      </c>
      <c r="BT653" s="1" t="s">
        <v>7804</v>
      </c>
      <c r="BU653" s="1" t="s">
        <v>4936</v>
      </c>
      <c r="BV653" s="1" t="s">
        <v>2824</v>
      </c>
      <c r="BW653" s="1" t="s">
        <v>2825</v>
      </c>
      <c r="BX653" s="1">
        <v>203</v>
      </c>
      <c r="BY653" s="1">
        <v>203</v>
      </c>
      <c r="BZ653" s="1">
        <v>203</v>
      </c>
      <c r="CB653" s="1" t="str">
        <f t="shared" ref="CB653:CC653" si="507">"0"</f>
        <v>0</v>
      </c>
      <c r="CC653" s="1" t="str">
        <f t="shared" si="507"/>
        <v>0</v>
      </c>
      <c r="CD653" s="1">
        <v>24</v>
      </c>
      <c r="CE653" s="1">
        <v>6</v>
      </c>
      <c r="CG653" s="1" t="s">
        <v>538</v>
      </c>
      <c r="CH653" s="1" t="s">
        <v>219</v>
      </c>
      <c r="CI653" s="1" t="s">
        <v>229</v>
      </c>
      <c r="CK653" s="1" t="s">
        <v>932</v>
      </c>
      <c r="CL653" s="1" t="s">
        <v>219</v>
      </c>
      <c r="CM653" s="1" t="s">
        <v>220</v>
      </c>
      <c r="CO653" s="1" t="s">
        <v>348</v>
      </c>
      <c r="CP653" s="1" t="s">
        <v>219</v>
      </c>
      <c r="CQ653" s="1" t="s">
        <v>229</v>
      </c>
      <c r="CS653" s="1" t="s">
        <v>378</v>
      </c>
      <c r="CT653" s="1" t="s">
        <v>219</v>
      </c>
      <c r="CU653" s="1" t="s">
        <v>229</v>
      </c>
      <c r="CX653" s="1" t="s">
        <v>224</v>
      </c>
      <c r="DB653" s="1" t="s">
        <v>224</v>
      </c>
      <c r="DE653" s="1" t="s">
        <v>316</v>
      </c>
      <c r="DF653" s="1" t="s">
        <v>219</v>
      </c>
      <c r="DG653" s="1" t="s">
        <v>229</v>
      </c>
      <c r="DJ653" s="1" t="s">
        <v>224</v>
      </c>
      <c r="DS653" s="1" t="s">
        <v>230</v>
      </c>
      <c r="DW653" s="1" t="s">
        <v>230</v>
      </c>
      <c r="EA653" s="1" t="s">
        <v>230</v>
      </c>
      <c r="EE653" s="1" t="s">
        <v>230</v>
      </c>
      <c r="EI653" s="1" t="s">
        <v>230</v>
      </c>
      <c r="EL653" s="1" t="s">
        <v>231</v>
      </c>
      <c r="EM653" s="1" t="s">
        <v>232</v>
      </c>
      <c r="EN653" s="1" t="s">
        <v>282</v>
      </c>
      <c r="EO653" s="1" t="s">
        <v>234</v>
      </c>
      <c r="EP653" s="1" t="s">
        <v>6876</v>
      </c>
      <c r="ER653" s="1" t="s">
        <v>210</v>
      </c>
      <c r="EU653" s="1" t="s">
        <v>239</v>
      </c>
      <c r="EV653" s="1" t="s">
        <v>6425</v>
      </c>
      <c r="EW653" s="1" t="s">
        <v>5152</v>
      </c>
      <c r="EZ653" s="1" t="s">
        <v>287</v>
      </c>
      <c r="FB653" s="1" t="s">
        <v>289</v>
      </c>
      <c r="FC653" s="1" t="s">
        <v>633</v>
      </c>
      <c r="FD653" s="1" t="s">
        <v>1112</v>
      </c>
      <c r="FE653" s="1" t="s">
        <v>247</v>
      </c>
      <c r="FF653" s="1" t="s">
        <v>248</v>
      </c>
      <c r="FH653" s="1" t="s">
        <v>249</v>
      </c>
      <c r="FJ653" s="1" t="s">
        <v>197</v>
      </c>
      <c r="FK653" s="1" t="s">
        <v>1825</v>
      </c>
      <c r="FL653" s="1" t="s">
        <v>358</v>
      </c>
      <c r="FM653" s="1" t="s">
        <v>252</v>
      </c>
      <c r="FN653" s="1" t="s">
        <v>213</v>
      </c>
      <c r="FO653" s="1" t="s">
        <v>213</v>
      </c>
      <c r="FQ653" s="1" t="s">
        <v>7805</v>
      </c>
      <c r="FR653" s="1" t="s">
        <v>210</v>
      </c>
      <c r="FS653" s="1" t="s">
        <v>4495</v>
      </c>
      <c r="FT653" s="1" t="s">
        <v>295</v>
      </c>
      <c r="FU653" s="1" t="s">
        <v>204</v>
      </c>
      <c r="FV653" s="1" t="s">
        <v>7806</v>
      </c>
      <c r="FW653" s="1" t="s">
        <v>1806</v>
      </c>
      <c r="FX653" s="1">
        <v>21324</v>
      </c>
      <c r="FY653" s="1" t="s">
        <v>2395</v>
      </c>
      <c r="FZ653" s="1" t="s">
        <v>4497</v>
      </c>
      <c r="GA653" s="1">
        <v>234654</v>
      </c>
      <c r="GB653" s="1" t="s">
        <v>4498</v>
      </c>
      <c r="GD653" s="1" t="s">
        <v>6165</v>
      </c>
      <c r="GE653" s="1" t="s">
        <v>210</v>
      </c>
      <c r="GI653" s="1" t="s">
        <v>213</v>
      </c>
      <c r="GJ653" s="1" t="s">
        <v>260</v>
      </c>
      <c r="GK653" s="1" t="s">
        <v>210</v>
      </c>
      <c r="GL653" s="2">
        <v>42087</v>
      </c>
      <c r="GM653" s="1" t="s">
        <v>7807</v>
      </c>
    </row>
    <row r="654" spans="1:195">
      <c r="A654" s="1">
        <v>154500</v>
      </c>
      <c r="B654" s="1" t="s">
        <v>195</v>
      </c>
      <c r="C654" s="1" t="str">
        <f>"08804830"</f>
        <v>08804830</v>
      </c>
      <c r="D654" s="1" t="s">
        <v>196</v>
      </c>
      <c r="F654" s="1" t="str">
        <f>"554"</f>
        <v>554</v>
      </c>
      <c r="G654" s="2">
        <v>41993</v>
      </c>
      <c r="H654" s="1">
        <v>155900</v>
      </c>
      <c r="I654" s="1">
        <v>155900</v>
      </c>
      <c r="J654" s="1">
        <v>154500</v>
      </c>
      <c r="K654" s="2">
        <v>41993</v>
      </c>
      <c r="L654" s="1">
        <v>18</v>
      </c>
      <c r="M654" s="2">
        <v>42010</v>
      </c>
      <c r="N654" s="1">
        <v>18</v>
      </c>
      <c r="O654" s="2">
        <v>42010</v>
      </c>
      <c r="P654" s="1">
        <v>41</v>
      </c>
      <c r="Q654" s="1" t="s">
        <v>197</v>
      </c>
      <c r="R654" s="2">
        <v>42063</v>
      </c>
      <c r="S654" s="1">
        <v>1988</v>
      </c>
      <c r="U654" s="1">
        <v>325</v>
      </c>
      <c r="V654" s="1" t="s">
        <v>7808</v>
      </c>
      <c r="W654" s="1" t="s">
        <v>264</v>
      </c>
      <c r="X654" s="1" t="s">
        <v>527</v>
      </c>
      <c r="Y654" s="1">
        <v>2</v>
      </c>
      <c r="Z654" s="1" t="s">
        <v>370</v>
      </c>
      <c r="AA654" s="1" t="s">
        <v>3443</v>
      </c>
      <c r="AB654" s="1">
        <v>60554</v>
      </c>
      <c r="AE654" s="1" t="s">
        <v>7809</v>
      </c>
      <c r="AF654" s="1">
        <v>2002</v>
      </c>
      <c r="AG654" s="1" t="s">
        <v>204</v>
      </c>
      <c r="AH654" s="1" t="s">
        <v>3240</v>
      </c>
      <c r="AI654" s="1" t="s">
        <v>665</v>
      </c>
      <c r="AJ654" s="1" t="s">
        <v>3240</v>
      </c>
      <c r="AL654" s="1">
        <v>5</v>
      </c>
      <c r="AM654" s="1">
        <v>2</v>
      </c>
      <c r="AN654" s="1">
        <v>2</v>
      </c>
      <c r="AO654" s="1">
        <v>0</v>
      </c>
      <c r="AP654" s="1" t="s">
        <v>209</v>
      </c>
      <c r="AR654" s="1" t="s">
        <v>210</v>
      </c>
      <c r="AS654" s="1" t="s">
        <v>204</v>
      </c>
      <c r="AT654" s="1" t="s">
        <v>211</v>
      </c>
      <c r="AU654" s="1">
        <v>2</v>
      </c>
      <c r="AW654" s="1" t="s">
        <v>204</v>
      </c>
      <c r="AX654" s="1" t="s">
        <v>7810</v>
      </c>
      <c r="AZ654" s="1">
        <v>4410.6000000000004</v>
      </c>
      <c r="BA654" s="1">
        <v>2013</v>
      </c>
      <c r="BB654" s="1" t="s">
        <v>405</v>
      </c>
      <c r="BE654" s="1">
        <v>1387</v>
      </c>
      <c r="BF654" s="1">
        <v>1</v>
      </c>
      <c r="BG654" s="1">
        <v>0</v>
      </c>
      <c r="BL654" s="1">
        <v>150</v>
      </c>
      <c r="BM654" s="1" t="s">
        <v>413</v>
      </c>
      <c r="BN654" s="1" t="s">
        <v>213</v>
      </c>
      <c r="BO654" s="1">
        <v>0</v>
      </c>
      <c r="BP654" s="1" t="s">
        <v>204</v>
      </c>
      <c r="BR654" s="1" t="str">
        <f>"1416226117"</f>
        <v>1416226117</v>
      </c>
      <c r="BT654" s="1" t="s">
        <v>7811</v>
      </c>
      <c r="BX654" s="1">
        <v>302</v>
      </c>
      <c r="BY654" s="1">
        <v>302</v>
      </c>
      <c r="BZ654" s="1">
        <v>302</v>
      </c>
      <c r="CB654" s="1" t="str">
        <f t="shared" ref="CB654:CC654" si="508">""</f>
        <v/>
      </c>
      <c r="CC654" s="1" t="str">
        <f t="shared" si="508"/>
        <v/>
      </c>
      <c r="CG654" s="1" t="s">
        <v>1788</v>
      </c>
      <c r="CH654" s="1" t="s">
        <v>219</v>
      </c>
      <c r="CI654" s="1" t="s">
        <v>438</v>
      </c>
      <c r="CK654" s="1" t="s">
        <v>1533</v>
      </c>
      <c r="CL654" s="1" t="s">
        <v>219</v>
      </c>
      <c r="CM654" s="1" t="s">
        <v>220</v>
      </c>
      <c r="CO654" s="1" t="s">
        <v>279</v>
      </c>
      <c r="CP654" s="1" t="s">
        <v>219</v>
      </c>
      <c r="CQ654" s="1" t="s">
        <v>438</v>
      </c>
      <c r="CS654" s="1" t="s">
        <v>346</v>
      </c>
      <c r="CT654" s="1" t="s">
        <v>219</v>
      </c>
      <c r="CU654" s="1" t="s">
        <v>220</v>
      </c>
      <c r="CX654" s="1" t="s">
        <v>224</v>
      </c>
      <c r="DB654" s="1" t="s">
        <v>224</v>
      </c>
      <c r="DE654" s="1" t="s">
        <v>465</v>
      </c>
      <c r="DF654" s="1" t="s">
        <v>219</v>
      </c>
      <c r="DG654" s="1" t="s">
        <v>438</v>
      </c>
      <c r="DJ654" s="1" t="s">
        <v>224</v>
      </c>
      <c r="DM654" s="1" t="s">
        <v>709</v>
      </c>
      <c r="DR654" s="1" t="s">
        <v>7812</v>
      </c>
      <c r="DS654" s="1" t="s">
        <v>219</v>
      </c>
      <c r="DW654" s="1" t="s">
        <v>230</v>
      </c>
      <c r="EA654" s="1" t="s">
        <v>230</v>
      </c>
      <c r="EE654" s="1" t="s">
        <v>230</v>
      </c>
      <c r="EI654" s="1" t="s">
        <v>230</v>
      </c>
      <c r="EL654" s="1" t="s">
        <v>466</v>
      </c>
      <c r="EM654" s="1" t="s">
        <v>319</v>
      </c>
      <c r="EN654" s="1" t="s">
        <v>282</v>
      </c>
      <c r="EO654" s="1" t="s">
        <v>234</v>
      </c>
      <c r="EQ654" s="1" t="s">
        <v>4356</v>
      </c>
      <c r="ER654" s="1" t="s">
        <v>210</v>
      </c>
      <c r="ET654" s="1" t="s">
        <v>842</v>
      </c>
      <c r="EU654" s="1" t="s">
        <v>7813</v>
      </c>
      <c r="EV654" s="1" t="s">
        <v>240</v>
      </c>
      <c r="EW654" s="1" t="s">
        <v>353</v>
      </c>
      <c r="EY654" s="1" t="s">
        <v>242</v>
      </c>
      <c r="EZ654" s="1" t="s">
        <v>709</v>
      </c>
      <c r="FA654" s="1" t="s">
        <v>7814</v>
      </c>
      <c r="FD654" s="1" t="s">
        <v>246</v>
      </c>
      <c r="FE654" s="1" t="s">
        <v>975</v>
      </c>
      <c r="FF654" s="1" t="s">
        <v>248</v>
      </c>
      <c r="FH654" s="1" t="s">
        <v>825</v>
      </c>
      <c r="FI654" s="1" t="s">
        <v>473</v>
      </c>
      <c r="FJ654" s="1" t="s">
        <v>197</v>
      </c>
      <c r="FL654" s="1" t="s">
        <v>414</v>
      </c>
      <c r="FM654" s="1" t="s">
        <v>252</v>
      </c>
      <c r="FN654" s="1" t="s">
        <v>213</v>
      </c>
      <c r="FO654" s="1" t="s">
        <v>213</v>
      </c>
      <c r="FQ654" s="1" t="s">
        <v>2253</v>
      </c>
      <c r="FR654" s="1" t="s">
        <v>652</v>
      </c>
      <c r="FS654" s="1" t="s">
        <v>7590</v>
      </c>
      <c r="FT654" s="1" t="s">
        <v>675</v>
      </c>
      <c r="FU654" s="1" t="s">
        <v>204</v>
      </c>
      <c r="FW654" s="1" t="s">
        <v>2420</v>
      </c>
      <c r="FX654" s="1">
        <v>41</v>
      </c>
      <c r="FY654" s="1" t="s">
        <v>2421</v>
      </c>
      <c r="FZ654" s="1" t="s">
        <v>7815</v>
      </c>
      <c r="GA654" s="1">
        <v>1988</v>
      </c>
      <c r="GB654" s="1" t="s">
        <v>7816</v>
      </c>
      <c r="GC654" s="1">
        <v>7786</v>
      </c>
      <c r="GE654" s="1" t="s">
        <v>480</v>
      </c>
      <c r="GI654" s="1" t="s">
        <v>213</v>
      </c>
      <c r="GJ654" s="1" t="s">
        <v>260</v>
      </c>
      <c r="GK654" s="1" t="s">
        <v>210</v>
      </c>
      <c r="GL654" s="2">
        <v>42064</v>
      </c>
      <c r="GM654" s="1" t="s">
        <v>7817</v>
      </c>
    </row>
    <row r="655" spans="1:195">
      <c r="A655" s="1">
        <v>169000</v>
      </c>
      <c r="B655" s="1" t="s">
        <v>195</v>
      </c>
      <c r="C655" s="1" t="str">
        <f>"08803854"</f>
        <v>08803854</v>
      </c>
      <c r="D655" s="1" t="s">
        <v>196</v>
      </c>
      <c r="F655" s="1" t="str">
        <f>"115"</f>
        <v>115</v>
      </c>
      <c r="G655" s="2">
        <v>41991</v>
      </c>
      <c r="H655" s="1">
        <v>179400</v>
      </c>
      <c r="I655" s="1">
        <v>179400</v>
      </c>
      <c r="J655" s="1">
        <v>169000</v>
      </c>
      <c r="K655" s="2">
        <v>41991</v>
      </c>
      <c r="L655" s="1">
        <v>542</v>
      </c>
      <c r="M655" s="2">
        <v>42072</v>
      </c>
      <c r="N655" s="1">
        <v>82</v>
      </c>
      <c r="O655" s="2">
        <v>42072</v>
      </c>
      <c r="P655" s="1">
        <v>93094</v>
      </c>
      <c r="Q655" s="1" t="s">
        <v>302</v>
      </c>
      <c r="R655" s="2">
        <v>42104</v>
      </c>
      <c r="S655" s="1">
        <v>930256</v>
      </c>
      <c r="U655" s="1">
        <v>3028</v>
      </c>
      <c r="V655" s="1" t="s">
        <v>7818</v>
      </c>
      <c r="W655" s="1" t="s">
        <v>264</v>
      </c>
      <c r="Y655" s="1">
        <v>2</v>
      </c>
      <c r="Z655" s="1" t="s">
        <v>249</v>
      </c>
      <c r="AA655" s="1" t="s">
        <v>2242</v>
      </c>
      <c r="AB655" s="1">
        <v>60115</v>
      </c>
      <c r="AE655" s="1" t="s">
        <v>7819</v>
      </c>
      <c r="AF655" s="1">
        <v>1990</v>
      </c>
      <c r="AG655" s="1" t="s">
        <v>204</v>
      </c>
      <c r="AH655" s="1" t="s">
        <v>2245</v>
      </c>
      <c r="AI655" s="1" t="s">
        <v>2246</v>
      </c>
      <c r="AJ655" s="1" t="s">
        <v>2245</v>
      </c>
      <c r="AL655" s="1">
        <v>5</v>
      </c>
      <c r="AM655" s="1">
        <v>2</v>
      </c>
      <c r="AN655" s="1">
        <v>2</v>
      </c>
      <c r="AO655" s="1">
        <v>0</v>
      </c>
      <c r="AP655" s="1" t="s">
        <v>209</v>
      </c>
      <c r="AQ655" s="1">
        <v>1</v>
      </c>
      <c r="AR655" s="1" t="s">
        <v>1631</v>
      </c>
      <c r="AS655" s="1" t="s">
        <v>204</v>
      </c>
      <c r="AT655" s="1" t="s">
        <v>211</v>
      </c>
      <c r="AU655" s="1">
        <v>2</v>
      </c>
      <c r="AW655" s="1" t="s">
        <v>204</v>
      </c>
      <c r="AX655" s="1" t="s">
        <v>270</v>
      </c>
      <c r="AZ655" s="1">
        <v>5317.52</v>
      </c>
      <c r="BA655" s="1">
        <v>2013</v>
      </c>
      <c r="BB655" s="1" t="s">
        <v>599</v>
      </c>
      <c r="BE655" s="1">
        <v>1900</v>
      </c>
      <c r="BF655" s="1">
        <v>1</v>
      </c>
      <c r="BG655" s="1">
        <v>30</v>
      </c>
      <c r="BL655" s="1">
        <v>160</v>
      </c>
      <c r="BM655" s="1" t="s">
        <v>204</v>
      </c>
      <c r="BN655" s="1" t="s">
        <v>213</v>
      </c>
      <c r="BO655" s="1">
        <v>999</v>
      </c>
      <c r="BP655" s="1" t="s">
        <v>204</v>
      </c>
      <c r="BR655" s="1" t="str">
        <f>"0812112032"</f>
        <v>0812112032</v>
      </c>
      <c r="BT655" s="1" t="s">
        <v>7820</v>
      </c>
      <c r="BX655" s="1">
        <v>428</v>
      </c>
      <c r="BY655" s="1">
        <v>428</v>
      </c>
      <c r="BZ655" s="1">
        <v>428</v>
      </c>
      <c r="CB655" s="1" t="str">
        <f t="shared" ref="CB655:CC655" si="509">""</f>
        <v/>
      </c>
      <c r="CC655" s="1" t="str">
        <f t="shared" si="509"/>
        <v/>
      </c>
      <c r="CG655" s="1" t="s">
        <v>7821</v>
      </c>
      <c r="CH655" s="1" t="s">
        <v>219</v>
      </c>
      <c r="CI655" s="1" t="s">
        <v>220</v>
      </c>
      <c r="CJ655" s="1" t="s">
        <v>439</v>
      </c>
      <c r="CK655" s="1" t="s">
        <v>1957</v>
      </c>
      <c r="CL655" s="1" t="s">
        <v>219</v>
      </c>
      <c r="CM655" s="1" t="s">
        <v>220</v>
      </c>
      <c r="CN655" s="1" t="s">
        <v>439</v>
      </c>
      <c r="CP655" s="1" t="s">
        <v>224</v>
      </c>
      <c r="CS655" s="1" t="s">
        <v>3591</v>
      </c>
      <c r="CT655" s="1" t="s">
        <v>219</v>
      </c>
      <c r="CU655" s="1" t="s">
        <v>220</v>
      </c>
      <c r="CX655" s="1" t="s">
        <v>224</v>
      </c>
      <c r="DB655" s="1" t="s">
        <v>224</v>
      </c>
      <c r="DE655" s="1" t="s">
        <v>2122</v>
      </c>
      <c r="DF655" s="1" t="s">
        <v>219</v>
      </c>
      <c r="DG655" s="1" t="s">
        <v>438</v>
      </c>
      <c r="DI655" s="1" t="s">
        <v>7822</v>
      </c>
      <c r="DJ655" s="1" t="s">
        <v>822</v>
      </c>
      <c r="DK655" s="1" t="s">
        <v>220</v>
      </c>
      <c r="DM655" s="1" t="s">
        <v>603</v>
      </c>
      <c r="DR655" s="1" t="s">
        <v>5997</v>
      </c>
      <c r="DS655" s="1" t="s">
        <v>219</v>
      </c>
      <c r="DT655" s="1" t="s">
        <v>220</v>
      </c>
      <c r="DU655" s="1" t="s">
        <v>343</v>
      </c>
      <c r="DW655" s="1" t="s">
        <v>230</v>
      </c>
      <c r="EA655" s="1" t="s">
        <v>230</v>
      </c>
      <c r="EE655" s="1" t="s">
        <v>230</v>
      </c>
      <c r="EI655" s="1" t="s">
        <v>230</v>
      </c>
      <c r="EL655" s="1" t="s">
        <v>382</v>
      </c>
      <c r="EM655" s="1" t="s">
        <v>319</v>
      </c>
      <c r="EN655" s="1" t="s">
        <v>282</v>
      </c>
      <c r="EO655" s="1" t="s">
        <v>234</v>
      </c>
      <c r="EP655" s="1" t="s">
        <v>1093</v>
      </c>
      <c r="EQ655" s="1" t="s">
        <v>236</v>
      </c>
      <c r="ER655" s="1" t="s">
        <v>544</v>
      </c>
      <c r="EV655" s="1" t="s">
        <v>240</v>
      </c>
      <c r="EW655" s="1" t="s">
        <v>867</v>
      </c>
      <c r="EY655" s="1" t="s">
        <v>1315</v>
      </c>
      <c r="EZ655" s="1" t="s">
        <v>603</v>
      </c>
      <c r="FA655" s="1" t="s">
        <v>4411</v>
      </c>
      <c r="FD655" s="1" t="s">
        <v>246</v>
      </c>
      <c r="FE655" s="1" t="s">
        <v>651</v>
      </c>
      <c r="FF655" s="1" t="s">
        <v>248</v>
      </c>
      <c r="FG655" s="1" t="s">
        <v>912</v>
      </c>
      <c r="FH655" s="1" t="s">
        <v>249</v>
      </c>
      <c r="FI655" s="1" t="s">
        <v>357</v>
      </c>
      <c r="FL655" s="1" t="s">
        <v>358</v>
      </c>
      <c r="FM655" s="1" t="s">
        <v>252</v>
      </c>
      <c r="FN655" s="1" t="s">
        <v>213</v>
      </c>
      <c r="FO655" s="1" t="s">
        <v>213</v>
      </c>
      <c r="FQ655" s="1" t="s">
        <v>2091</v>
      </c>
      <c r="FR655" s="1" t="s">
        <v>210</v>
      </c>
      <c r="FS655" s="1" t="s">
        <v>7823</v>
      </c>
      <c r="FT655" s="1" t="s">
        <v>7824</v>
      </c>
      <c r="FU655" s="1" t="s">
        <v>204</v>
      </c>
      <c r="FW655" s="1" t="s">
        <v>7825</v>
      </c>
      <c r="FX655" s="1">
        <v>93067</v>
      </c>
      <c r="FY655" s="1" t="s">
        <v>7826</v>
      </c>
      <c r="FZ655" s="1" t="s">
        <v>7827</v>
      </c>
      <c r="GA655" s="1">
        <v>930190</v>
      </c>
      <c r="GE655" s="1" t="s">
        <v>1145</v>
      </c>
      <c r="GI655" s="1" t="s">
        <v>213</v>
      </c>
      <c r="GJ655" s="1" t="s">
        <v>260</v>
      </c>
      <c r="GK655" s="1" t="s">
        <v>210</v>
      </c>
      <c r="GL655" s="2">
        <v>42105</v>
      </c>
      <c r="GM655" s="1" t="s">
        <v>7828</v>
      </c>
    </row>
    <row r="656" spans="1:195">
      <c r="A656" s="1">
        <v>190000</v>
      </c>
      <c r="B656" s="1" t="s">
        <v>195</v>
      </c>
      <c r="C656" s="1" t="str">
        <f>"08814125"</f>
        <v>08814125</v>
      </c>
      <c r="D656" s="1" t="s">
        <v>196</v>
      </c>
      <c r="F656" s="1" t="str">
        <f>"154"</f>
        <v>154</v>
      </c>
      <c r="G656" s="2">
        <v>42016</v>
      </c>
      <c r="H656" s="1">
        <v>214900</v>
      </c>
      <c r="I656" s="1">
        <v>199900</v>
      </c>
      <c r="J656" s="1">
        <v>190000</v>
      </c>
      <c r="K656" s="2">
        <v>42016</v>
      </c>
      <c r="L656" s="1">
        <v>21</v>
      </c>
      <c r="M656" s="2">
        <v>42036</v>
      </c>
      <c r="N656" s="1">
        <v>21</v>
      </c>
      <c r="O656" s="2">
        <v>42036</v>
      </c>
      <c r="P656" s="1">
        <v>25046</v>
      </c>
      <c r="Q656" s="1" t="s">
        <v>197</v>
      </c>
      <c r="R656" s="2">
        <v>42068</v>
      </c>
      <c r="S656" s="1">
        <v>235480</v>
      </c>
      <c r="U656" s="1">
        <v>3045</v>
      </c>
      <c r="V656" s="1" t="s">
        <v>7829</v>
      </c>
      <c r="W656" s="1" t="s">
        <v>304</v>
      </c>
      <c r="Y656" s="1">
        <v>3</v>
      </c>
      <c r="Z656" s="1" t="s">
        <v>370</v>
      </c>
      <c r="AA656" s="1" t="s">
        <v>1190</v>
      </c>
      <c r="AB656" s="1">
        <v>60154</v>
      </c>
      <c r="AC656" s="1">
        <v>5615</v>
      </c>
      <c r="AD656" s="1" t="s">
        <v>4727</v>
      </c>
      <c r="AE656" s="1" t="s">
        <v>7830</v>
      </c>
      <c r="AF656" s="1">
        <v>1985</v>
      </c>
      <c r="AG656" s="1" t="s">
        <v>204</v>
      </c>
      <c r="AH656" s="1" t="s">
        <v>1193</v>
      </c>
      <c r="AI656" s="1" t="s">
        <v>310</v>
      </c>
      <c r="AJ656" s="1" t="s">
        <v>429</v>
      </c>
      <c r="AK656" s="1" t="s">
        <v>4729</v>
      </c>
      <c r="AL656" s="1">
        <v>5</v>
      </c>
      <c r="AM656" s="1">
        <v>2</v>
      </c>
      <c r="AN656" s="1">
        <v>1</v>
      </c>
      <c r="AO656" s="1">
        <v>1</v>
      </c>
      <c r="AP656" s="1" t="s">
        <v>210</v>
      </c>
      <c r="AQ656" s="1">
        <v>1</v>
      </c>
      <c r="AR656" s="1" t="s">
        <v>210</v>
      </c>
      <c r="AS656" s="1" t="s">
        <v>204</v>
      </c>
      <c r="AT656" s="1" t="s">
        <v>211</v>
      </c>
      <c r="AU656" s="1">
        <v>2</v>
      </c>
      <c r="AW656" s="1" t="s">
        <v>204</v>
      </c>
      <c r="AX656" s="1" t="s">
        <v>7831</v>
      </c>
      <c r="AZ656" s="1">
        <v>1952</v>
      </c>
      <c r="BA656" s="1">
        <v>2012</v>
      </c>
      <c r="BB656" s="1" t="s">
        <v>599</v>
      </c>
      <c r="BE656" s="1">
        <v>1319</v>
      </c>
      <c r="BF656" s="1">
        <v>1</v>
      </c>
      <c r="BG656" s="1">
        <v>30</v>
      </c>
      <c r="BL656" s="1">
        <v>150</v>
      </c>
      <c r="BM656" s="1" t="s">
        <v>204</v>
      </c>
      <c r="BN656" s="1" t="s">
        <v>213</v>
      </c>
      <c r="BO656" s="1">
        <v>999</v>
      </c>
      <c r="BP656" s="1" t="s">
        <v>204</v>
      </c>
      <c r="BR656" s="1" t="str">
        <f>"15293150130000"</f>
        <v>15293150130000</v>
      </c>
      <c r="BT656" s="1" t="s">
        <v>7832</v>
      </c>
      <c r="BU656" s="1" t="s">
        <v>1198</v>
      </c>
      <c r="BV656" s="1" t="s">
        <v>1195</v>
      </c>
      <c r="BW656" s="1" t="s">
        <v>1197</v>
      </c>
      <c r="BX656" s="1">
        <v>92.5</v>
      </c>
      <c r="BY656" s="1">
        <v>92.5</v>
      </c>
      <c r="BZ656" s="1">
        <v>209</v>
      </c>
      <c r="CB656" s="1" t="str">
        <f t="shared" ref="CB656:CC656" si="510">""</f>
        <v/>
      </c>
      <c r="CC656" s="1" t="str">
        <f t="shared" si="510"/>
        <v/>
      </c>
      <c r="CG656" s="1" t="s">
        <v>862</v>
      </c>
      <c r="CH656" s="1" t="s">
        <v>219</v>
      </c>
      <c r="CI656" s="1" t="s">
        <v>220</v>
      </c>
      <c r="CJ656" s="1" t="s">
        <v>252</v>
      </c>
      <c r="CK656" s="1" t="s">
        <v>1533</v>
      </c>
      <c r="CL656" s="1" t="s">
        <v>277</v>
      </c>
      <c r="CM656" s="1" t="s">
        <v>220</v>
      </c>
      <c r="CN656" s="1" t="s">
        <v>252</v>
      </c>
      <c r="CO656" s="1" t="s">
        <v>281</v>
      </c>
      <c r="CP656" s="1" t="s">
        <v>219</v>
      </c>
      <c r="CQ656" s="1" t="s">
        <v>220</v>
      </c>
      <c r="CR656" s="1" t="s">
        <v>252</v>
      </c>
      <c r="CS656" s="1" t="s">
        <v>786</v>
      </c>
      <c r="CT656" s="1" t="s">
        <v>277</v>
      </c>
      <c r="CU656" s="1" t="s">
        <v>220</v>
      </c>
      <c r="CV656" s="1" t="s">
        <v>252</v>
      </c>
      <c r="CX656" s="1" t="s">
        <v>224</v>
      </c>
      <c r="DB656" s="1" t="s">
        <v>224</v>
      </c>
      <c r="DE656" s="1" t="s">
        <v>380</v>
      </c>
      <c r="DF656" s="1" t="s">
        <v>219</v>
      </c>
      <c r="DG656" s="1" t="s">
        <v>342</v>
      </c>
      <c r="DH656" s="1" t="s">
        <v>210</v>
      </c>
      <c r="DJ656" s="1" t="s">
        <v>224</v>
      </c>
      <c r="DS656" s="1" t="s">
        <v>230</v>
      </c>
      <c r="DW656" s="1" t="s">
        <v>230</v>
      </c>
      <c r="EA656" s="1" t="s">
        <v>230</v>
      </c>
      <c r="EE656" s="1" t="s">
        <v>230</v>
      </c>
      <c r="EI656" s="1" t="s">
        <v>230</v>
      </c>
      <c r="EL656" s="1" t="s">
        <v>542</v>
      </c>
      <c r="EM656" s="1" t="s">
        <v>232</v>
      </c>
      <c r="EN656" s="1" t="s">
        <v>282</v>
      </c>
      <c r="EO656" s="1" t="s">
        <v>234</v>
      </c>
      <c r="EP656" s="1" t="s">
        <v>650</v>
      </c>
      <c r="EQ656" s="1" t="s">
        <v>492</v>
      </c>
      <c r="ER656" s="1" t="s">
        <v>1069</v>
      </c>
      <c r="ES656" s="1" t="s">
        <v>3285</v>
      </c>
      <c r="EU656" s="1" t="s">
        <v>610</v>
      </c>
      <c r="EV656" s="1" t="s">
        <v>324</v>
      </c>
      <c r="EW656" s="1" t="s">
        <v>1250</v>
      </c>
      <c r="EY656" s="1" t="s">
        <v>242</v>
      </c>
      <c r="EZ656" s="1" t="s">
        <v>287</v>
      </c>
      <c r="FA656" s="1" t="s">
        <v>4285</v>
      </c>
      <c r="FB656" s="1" t="s">
        <v>289</v>
      </c>
      <c r="FC656" s="1" t="s">
        <v>1405</v>
      </c>
      <c r="FD656" s="1" t="s">
        <v>246</v>
      </c>
      <c r="FE656" s="1" t="s">
        <v>2016</v>
      </c>
      <c r="FF656" s="1" t="s">
        <v>248</v>
      </c>
      <c r="FG656" s="1" t="s">
        <v>2739</v>
      </c>
      <c r="FH656" s="1" t="s">
        <v>550</v>
      </c>
      <c r="FI656" s="1" t="s">
        <v>4004</v>
      </c>
      <c r="FL656" s="1" t="s">
        <v>358</v>
      </c>
      <c r="FM656" s="1" t="s">
        <v>252</v>
      </c>
      <c r="FN656" s="1" t="s">
        <v>213</v>
      </c>
      <c r="FO656" s="1" t="s">
        <v>213</v>
      </c>
      <c r="FQ656" s="1" t="s">
        <v>849</v>
      </c>
      <c r="FR656" s="1" t="s">
        <v>210</v>
      </c>
      <c r="FS656" s="1" t="s">
        <v>7833</v>
      </c>
      <c r="FT656" s="1" t="s">
        <v>7834</v>
      </c>
      <c r="FU656" s="1" t="s">
        <v>204</v>
      </c>
      <c r="FV656" s="1" t="s">
        <v>7835</v>
      </c>
      <c r="FW656" s="1" t="s">
        <v>719</v>
      </c>
      <c r="FX656" s="1">
        <v>22029</v>
      </c>
      <c r="FY656" s="1" t="s">
        <v>720</v>
      </c>
      <c r="FZ656" s="1" t="s">
        <v>7836</v>
      </c>
      <c r="GA656" s="1">
        <v>224145</v>
      </c>
      <c r="GB656" s="1" t="s">
        <v>7837</v>
      </c>
      <c r="GE656" s="1" t="s">
        <v>210</v>
      </c>
      <c r="GI656" s="1" t="s">
        <v>204</v>
      </c>
      <c r="GJ656" s="1" t="s">
        <v>260</v>
      </c>
      <c r="GK656" s="1" t="s">
        <v>261</v>
      </c>
      <c r="GL656" s="2">
        <v>42068</v>
      </c>
      <c r="GM656" s="1" t="s">
        <v>7838</v>
      </c>
    </row>
    <row r="657" spans="1:195">
      <c r="A657" s="1">
        <v>130000</v>
      </c>
      <c r="B657" s="1" t="s">
        <v>195</v>
      </c>
      <c r="C657" s="1" t="str">
        <f>"08803531"</f>
        <v>08803531</v>
      </c>
      <c r="D657" s="1" t="s">
        <v>196</v>
      </c>
      <c r="F657" s="1" t="str">
        <f>"60"</f>
        <v>60</v>
      </c>
      <c r="G657" s="2">
        <v>41990</v>
      </c>
      <c r="H657" s="1">
        <v>134900</v>
      </c>
      <c r="I657" s="1">
        <v>134900</v>
      </c>
      <c r="J657" s="1">
        <v>130000</v>
      </c>
      <c r="K657" s="2">
        <v>41990</v>
      </c>
      <c r="L657" s="1">
        <v>6</v>
      </c>
      <c r="M657" s="2">
        <v>41995</v>
      </c>
      <c r="N657" s="1">
        <v>6</v>
      </c>
      <c r="O657" s="2">
        <v>41995</v>
      </c>
      <c r="P657" s="1">
        <v>2700</v>
      </c>
      <c r="Q657" s="1" t="s">
        <v>197</v>
      </c>
      <c r="R657" s="2">
        <v>42047</v>
      </c>
      <c r="S657" s="1">
        <v>86383</v>
      </c>
      <c r="U657" s="1">
        <v>1275</v>
      </c>
      <c r="V657" s="1" t="s">
        <v>7839</v>
      </c>
      <c r="W657" s="1" t="s">
        <v>264</v>
      </c>
      <c r="X657" s="1">
        <v>1275</v>
      </c>
      <c r="Y657" s="1">
        <v>8</v>
      </c>
      <c r="Z657" s="1" t="s">
        <v>370</v>
      </c>
      <c r="AA657" s="1" t="s">
        <v>1689</v>
      </c>
      <c r="AB657" s="1">
        <v>60060</v>
      </c>
      <c r="AD657" s="1" t="s">
        <v>7840</v>
      </c>
      <c r="AE657" s="1" t="s">
        <v>7841</v>
      </c>
      <c r="AF657" s="1">
        <v>1995</v>
      </c>
      <c r="AG657" s="1" t="s">
        <v>204</v>
      </c>
      <c r="AH657" s="1" t="s">
        <v>1692</v>
      </c>
      <c r="AI657" s="1" t="s">
        <v>509</v>
      </c>
      <c r="AJ657" s="1" t="s">
        <v>510</v>
      </c>
      <c r="AL657" s="1">
        <v>6</v>
      </c>
      <c r="AM657" s="1">
        <v>2</v>
      </c>
      <c r="AN657" s="1">
        <v>2</v>
      </c>
      <c r="AO657" s="1">
        <v>1</v>
      </c>
      <c r="AP657" s="1" t="s">
        <v>209</v>
      </c>
      <c r="AQ657" s="1">
        <v>1</v>
      </c>
      <c r="AR657" s="1" t="s">
        <v>210</v>
      </c>
      <c r="AS657" s="1" t="s">
        <v>204</v>
      </c>
      <c r="AT657" s="1" t="s">
        <v>211</v>
      </c>
      <c r="AU657" s="1">
        <v>1</v>
      </c>
      <c r="AW657" s="1" t="s">
        <v>204</v>
      </c>
      <c r="AX657" s="1" t="s">
        <v>1265</v>
      </c>
      <c r="AZ657" s="1">
        <v>3795</v>
      </c>
      <c r="BA657" s="1">
        <v>2013</v>
      </c>
      <c r="BB657" s="1" t="s">
        <v>210</v>
      </c>
      <c r="BC657" s="1">
        <v>0</v>
      </c>
      <c r="BE657" s="1">
        <v>1150</v>
      </c>
      <c r="BF657" s="1">
        <v>1</v>
      </c>
      <c r="BG657" s="1">
        <v>0</v>
      </c>
      <c r="BL657" s="1">
        <v>218</v>
      </c>
      <c r="BM657" s="1" t="s">
        <v>204</v>
      </c>
      <c r="BN657" s="1" t="s">
        <v>213</v>
      </c>
      <c r="BO657" s="1">
        <v>80</v>
      </c>
      <c r="BP657" s="1" t="s">
        <v>204</v>
      </c>
      <c r="BR657" s="1" t="str">
        <f>"15051031710000"</f>
        <v>15051031710000</v>
      </c>
      <c r="BT657" s="1" t="s">
        <v>7842</v>
      </c>
      <c r="BW657" s="1" t="s">
        <v>5840</v>
      </c>
      <c r="BX657" s="1">
        <v>73</v>
      </c>
      <c r="BY657" s="1">
        <v>73</v>
      </c>
      <c r="BZ657" s="1">
        <v>120</v>
      </c>
      <c r="CB657" s="1" t="str">
        <f>"25"</f>
        <v>25</v>
      </c>
      <c r="CC657" s="1" t="str">
        <f>"0"</f>
        <v>0</v>
      </c>
      <c r="CD657" s="1">
        <v>17</v>
      </c>
      <c r="CE657" s="1">
        <v>0</v>
      </c>
      <c r="CG657" s="1" t="s">
        <v>315</v>
      </c>
      <c r="CH657" s="1" t="s">
        <v>219</v>
      </c>
      <c r="CI657" s="1" t="s">
        <v>220</v>
      </c>
      <c r="CJ657" s="1" t="s">
        <v>252</v>
      </c>
      <c r="CK657" s="1" t="s">
        <v>221</v>
      </c>
      <c r="CL657" s="1" t="s">
        <v>277</v>
      </c>
      <c r="CM657" s="1" t="s">
        <v>220</v>
      </c>
      <c r="CN657" s="1" t="s">
        <v>252</v>
      </c>
      <c r="CO657" s="1" t="s">
        <v>465</v>
      </c>
      <c r="CP657" s="1" t="s">
        <v>219</v>
      </c>
      <c r="CQ657" s="1" t="s">
        <v>220</v>
      </c>
      <c r="CR657" s="1" t="s">
        <v>252</v>
      </c>
      <c r="CS657" s="1" t="s">
        <v>317</v>
      </c>
      <c r="CT657" s="1" t="s">
        <v>277</v>
      </c>
      <c r="CU657" s="1" t="s">
        <v>220</v>
      </c>
      <c r="CV657" s="1" t="s">
        <v>252</v>
      </c>
      <c r="CX657" s="1" t="s">
        <v>224</v>
      </c>
      <c r="DB657" s="1" t="s">
        <v>224</v>
      </c>
      <c r="DE657" s="1" t="s">
        <v>344</v>
      </c>
      <c r="DF657" s="1" t="s">
        <v>219</v>
      </c>
      <c r="DG657" s="1" t="s">
        <v>438</v>
      </c>
      <c r="DH657" s="1" t="s">
        <v>252</v>
      </c>
      <c r="DJ657" s="1" t="s">
        <v>224</v>
      </c>
      <c r="DM657" s="1" t="s">
        <v>381</v>
      </c>
      <c r="DR657" s="1" t="s">
        <v>837</v>
      </c>
      <c r="DS657" s="1" t="s">
        <v>219</v>
      </c>
      <c r="DT657" s="1" t="s">
        <v>438</v>
      </c>
      <c r="DU657" s="1" t="s">
        <v>252</v>
      </c>
      <c r="DW657" s="1" t="s">
        <v>230</v>
      </c>
      <c r="EA657" s="1" t="s">
        <v>230</v>
      </c>
      <c r="EE657" s="1" t="s">
        <v>230</v>
      </c>
      <c r="EI657" s="1" t="s">
        <v>230</v>
      </c>
      <c r="EL657" s="1" t="s">
        <v>670</v>
      </c>
      <c r="EM657" s="1" t="s">
        <v>232</v>
      </c>
      <c r="EN657" s="1" t="s">
        <v>282</v>
      </c>
      <c r="EO657" s="1" t="s">
        <v>234</v>
      </c>
      <c r="EP657" s="1" t="s">
        <v>4619</v>
      </c>
      <c r="EQ657" s="1" t="s">
        <v>236</v>
      </c>
      <c r="ER657" s="1" t="s">
        <v>383</v>
      </c>
      <c r="ES657" s="1" t="s">
        <v>824</v>
      </c>
      <c r="EU657" s="1" t="s">
        <v>239</v>
      </c>
      <c r="EV657" s="1" t="s">
        <v>324</v>
      </c>
      <c r="EW657" s="1" t="s">
        <v>887</v>
      </c>
      <c r="EZ657" s="1" t="s">
        <v>381</v>
      </c>
      <c r="FA657" s="1" t="s">
        <v>7843</v>
      </c>
      <c r="FB657" s="1" t="s">
        <v>289</v>
      </c>
      <c r="FD657" s="1" t="s">
        <v>246</v>
      </c>
      <c r="FE657" s="1" t="s">
        <v>472</v>
      </c>
      <c r="FF657" s="1" t="s">
        <v>248</v>
      </c>
      <c r="FG657" s="1" t="s">
        <v>1682</v>
      </c>
      <c r="FH657" s="1" t="s">
        <v>550</v>
      </c>
      <c r="FI657" s="1" t="s">
        <v>473</v>
      </c>
      <c r="FL657" s="1" t="s">
        <v>358</v>
      </c>
      <c r="FM657" s="1" t="s">
        <v>252</v>
      </c>
      <c r="FN657" s="1" t="s">
        <v>213</v>
      </c>
      <c r="FO657" s="1" t="s">
        <v>213</v>
      </c>
      <c r="FQ657" s="1" t="s">
        <v>329</v>
      </c>
      <c r="FR657" s="1" t="s">
        <v>652</v>
      </c>
      <c r="FS657" s="1" t="s">
        <v>7844</v>
      </c>
      <c r="FT657" s="1" t="s">
        <v>1408</v>
      </c>
      <c r="FU657" s="1" t="s">
        <v>204</v>
      </c>
      <c r="FW657" s="1" t="s">
        <v>256</v>
      </c>
      <c r="FX657" s="1">
        <v>2648</v>
      </c>
      <c r="FY657" s="1" t="s">
        <v>1022</v>
      </c>
      <c r="FZ657" s="1" t="s">
        <v>1023</v>
      </c>
      <c r="GA657" s="1">
        <v>13380</v>
      </c>
      <c r="GB657" s="1" t="s">
        <v>1024</v>
      </c>
      <c r="GE657" s="1" t="s">
        <v>210</v>
      </c>
      <c r="GI657" s="1" t="s">
        <v>213</v>
      </c>
      <c r="GJ657" s="1" t="s">
        <v>260</v>
      </c>
      <c r="GK657" s="1" t="s">
        <v>210</v>
      </c>
      <c r="GL657" s="2">
        <v>42047</v>
      </c>
    </row>
    <row r="658" spans="1:195">
      <c r="A658" s="1">
        <v>103000</v>
      </c>
      <c r="B658" s="1" t="s">
        <v>195</v>
      </c>
      <c r="C658" s="1" t="str">
        <f>"08805532"</f>
        <v>08805532</v>
      </c>
      <c r="D658" s="1" t="s">
        <v>196</v>
      </c>
      <c r="F658" s="1" t="str">
        <f>"160"</f>
        <v>160</v>
      </c>
      <c r="G658" s="2">
        <v>41996</v>
      </c>
      <c r="H658" s="1">
        <v>106000</v>
      </c>
      <c r="I658" s="1">
        <v>106000</v>
      </c>
      <c r="J658" s="1">
        <v>103000</v>
      </c>
      <c r="K658" s="2">
        <v>41996</v>
      </c>
      <c r="L658" s="1">
        <v>29</v>
      </c>
      <c r="M658" s="2">
        <v>42024</v>
      </c>
      <c r="N658" s="1">
        <v>29</v>
      </c>
      <c r="O658" s="2">
        <v>42024</v>
      </c>
      <c r="P658" s="1">
        <v>8431</v>
      </c>
      <c r="Q658" s="1" t="s">
        <v>197</v>
      </c>
      <c r="R658" s="2">
        <v>42067</v>
      </c>
      <c r="S658" s="1">
        <v>81553</v>
      </c>
      <c r="T658" s="1">
        <v>2000</v>
      </c>
      <c r="U658" s="1">
        <v>1612</v>
      </c>
      <c r="V658" s="1" t="s">
        <v>7845</v>
      </c>
      <c r="W658" s="1" t="s">
        <v>425</v>
      </c>
      <c r="Y658" s="1">
        <v>1</v>
      </c>
      <c r="Z658" s="1" t="s">
        <v>200</v>
      </c>
      <c r="AA658" s="1" t="s">
        <v>426</v>
      </c>
      <c r="AB658" s="1">
        <v>60160</v>
      </c>
      <c r="AE658" s="1" t="s">
        <v>7846</v>
      </c>
      <c r="AF658" s="1">
        <v>1945</v>
      </c>
      <c r="AG658" s="1" t="s">
        <v>213</v>
      </c>
      <c r="AH658" s="1" t="s">
        <v>428</v>
      </c>
      <c r="AI658" s="1" t="s">
        <v>310</v>
      </c>
      <c r="AJ658" s="1" t="s">
        <v>311</v>
      </c>
      <c r="AL658" s="1">
        <v>4</v>
      </c>
      <c r="AM658" s="1">
        <v>2</v>
      </c>
      <c r="AN658" s="1">
        <v>2</v>
      </c>
      <c r="AO658" s="1">
        <v>0</v>
      </c>
      <c r="AP658" s="1" t="s">
        <v>210</v>
      </c>
      <c r="AR658" s="1" t="s">
        <v>1631</v>
      </c>
      <c r="AS658" s="1" t="s">
        <v>213</v>
      </c>
      <c r="AT658" s="1" t="s">
        <v>211</v>
      </c>
      <c r="AU658" s="1">
        <v>2</v>
      </c>
      <c r="AW658" s="1" t="s">
        <v>204</v>
      </c>
      <c r="AX658" s="1" t="s">
        <v>2379</v>
      </c>
      <c r="AZ658" s="1">
        <v>2785.41</v>
      </c>
      <c r="BA658" s="1">
        <v>2013</v>
      </c>
      <c r="BB658" s="1" t="s">
        <v>405</v>
      </c>
      <c r="BE658" s="1">
        <v>950</v>
      </c>
      <c r="BF658" s="1">
        <v>1</v>
      </c>
      <c r="BG658" s="1">
        <v>0</v>
      </c>
      <c r="BL658" s="1">
        <v>0</v>
      </c>
      <c r="BM658" s="1" t="s">
        <v>204</v>
      </c>
      <c r="BN658" s="1" t="s">
        <v>213</v>
      </c>
      <c r="BO658" s="1">
        <v>100</v>
      </c>
      <c r="BP658" s="1" t="s">
        <v>204</v>
      </c>
      <c r="BR658" s="1" t="str">
        <f>"15031220860000"</f>
        <v>15031220860000</v>
      </c>
      <c r="BT658" s="1" t="s">
        <v>7847</v>
      </c>
      <c r="BX658" s="1">
        <v>212</v>
      </c>
      <c r="BY658" s="1">
        <v>212</v>
      </c>
      <c r="BZ658" s="1">
        <v>212</v>
      </c>
      <c r="CB658" s="1" t="str">
        <f t="shared" ref="CB658:CC658" si="511">""</f>
        <v/>
      </c>
      <c r="CC658" s="1" t="str">
        <f t="shared" si="511"/>
        <v/>
      </c>
      <c r="CG658" s="1" t="s">
        <v>407</v>
      </c>
      <c r="CH658" s="1" t="s">
        <v>219</v>
      </c>
      <c r="CK658" s="1" t="s">
        <v>1470</v>
      </c>
      <c r="CL658" s="1" t="s">
        <v>277</v>
      </c>
      <c r="CP658" s="1" t="s">
        <v>224</v>
      </c>
      <c r="CS658" s="1" t="s">
        <v>348</v>
      </c>
      <c r="CT658" s="1" t="s">
        <v>277</v>
      </c>
      <c r="CX658" s="1" t="s">
        <v>224</v>
      </c>
      <c r="DB658" s="1" t="s">
        <v>224</v>
      </c>
      <c r="DE658" s="1" t="s">
        <v>7848</v>
      </c>
      <c r="DF658" s="1" t="s">
        <v>219</v>
      </c>
      <c r="DJ658" s="1" t="s">
        <v>224</v>
      </c>
      <c r="DS658" s="1" t="s">
        <v>230</v>
      </c>
      <c r="DW658" s="1" t="s">
        <v>230</v>
      </c>
      <c r="EA658" s="1" t="s">
        <v>230</v>
      </c>
      <c r="EE658" s="1" t="s">
        <v>230</v>
      </c>
      <c r="EI658" s="1" t="s">
        <v>230</v>
      </c>
      <c r="EL658" s="1" t="s">
        <v>3717</v>
      </c>
      <c r="EM658" s="1" t="s">
        <v>319</v>
      </c>
      <c r="EN658" s="1" t="s">
        <v>282</v>
      </c>
      <c r="EO658" s="1" t="s">
        <v>234</v>
      </c>
      <c r="ER658" s="1" t="s">
        <v>351</v>
      </c>
      <c r="EW658" s="1" t="s">
        <v>210</v>
      </c>
      <c r="EZ658" s="1" t="s">
        <v>287</v>
      </c>
      <c r="FD658" s="1" t="s">
        <v>246</v>
      </c>
      <c r="FE658" s="1" t="s">
        <v>247</v>
      </c>
      <c r="FF658" s="1" t="s">
        <v>248</v>
      </c>
      <c r="FH658" s="1" t="s">
        <v>550</v>
      </c>
      <c r="FL658" s="1" t="s">
        <v>358</v>
      </c>
      <c r="FM658" s="1" t="s">
        <v>252</v>
      </c>
      <c r="FN658" s="1" t="s">
        <v>213</v>
      </c>
      <c r="FO658" s="1" t="s">
        <v>213</v>
      </c>
      <c r="FQ658" s="1" t="s">
        <v>7849</v>
      </c>
      <c r="FR658" s="1" t="s">
        <v>210</v>
      </c>
      <c r="FS658" s="1" t="s">
        <v>416</v>
      </c>
      <c r="FT658" s="1" t="s">
        <v>295</v>
      </c>
      <c r="FU658" s="1" t="s">
        <v>204</v>
      </c>
      <c r="FW658" s="1" t="s">
        <v>417</v>
      </c>
      <c r="FX658" s="1">
        <v>16795</v>
      </c>
      <c r="FY658" s="1" t="s">
        <v>418</v>
      </c>
      <c r="FZ658" s="1" t="s">
        <v>419</v>
      </c>
      <c r="GA658" s="1">
        <v>110590</v>
      </c>
      <c r="GB658" s="1" t="s">
        <v>420</v>
      </c>
      <c r="GC658" s="1">
        <v>185513</v>
      </c>
      <c r="GE658" s="1" t="s">
        <v>210</v>
      </c>
      <c r="GH658" s="1" t="s">
        <v>230</v>
      </c>
      <c r="GI658" s="1" t="s">
        <v>213</v>
      </c>
      <c r="GJ658" s="1" t="s">
        <v>260</v>
      </c>
      <c r="GK658" s="1" t="s">
        <v>210</v>
      </c>
      <c r="GL658" s="2">
        <v>42067</v>
      </c>
      <c r="GM658" s="1" t="s">
        <v>422</v>
      </c>
    </row>
    <row r="659" spans="1:195">
      <c r="A659" s="1">
        <v>128000</v>
      </c>
      <c r="B659" s="1" t="s">
        <v>195</v>
      </c>
      <c r="C659" s="1" t="str">
        <f>"08809355"</f>
        <v>08809355</v>
      </c>
      <c r="D659" s="1" t="s">
        <v>196</v>
      </c>
      <c r="F659" s="1" t="str">
        <f>"562"</f>
        <v>562</v>
      </c>
      <c r="G659" s="2">
        <v>42009</v>
      </c>
      <c r="H659" s="1">
        <v>147500</v>
      </c>
      <c r="I659" s="1">
        <v>139900</v>
      </c>
      <c r="J659" s="1">
        <v>128000</v>
      </c>
      <c r="K659" s="2">
        <v>42009</v>
      </c>
      <c r="L659" s="1">
        <v>80</v>
      </c>
      <c r="M659" s="2">
        <v>42088</v>
      </c>
      <c r="N659" s="1">
        <v>80</v>
      </c>
      <c r="O659" s="2">
        <v>42088</v>
      </c>
      <c r="P659" s="1">
        <v>72504</v>
      </c>
      <c r="Q659" s="1" t="s">
        <v>197</v>
      </c>
      <c r="R659" s="2">
        <v>42124</v>
      </c>
      <c r="S659" s="1">
        <v>703632</v>
      </c>
      <c r="U659" s="1">
        <v>7938</v>
      </c>
      <c r="V659" s="1" t="s">
        <v>7850</v>
      </c>
      <c r="W659" s="1" t="s">
        <v>449</v>
      </c>
      <c r="X659" s="1" t="s">
        <v>527</v>
      </c>
      <c r="Y659" s="1">
        <v>4</v>
      </c>
      <c r="Z659" s="1" t="s">
        <v>249</v>
      </c>
      <c r="AA659" s="1" t="s">
        <v>899</v>
      </c>
      <c r="AB659" s="1">
        <v>60561</v>
      </c>
      <c r="AD659" s="1" t="s">
        <v>7851</v>
      </c>
      <c r="AE659" s="1" t="s">
        <v>7852</v>
      </c>
      <c r="AF659" s="1">
        <v>1986</v>
      </c>
      <c r="AG659" s="1" t="s">
        <v>204</v>
      </c>
      <c r="AH659" s="1" t="s">
        <v>902</v>
      </c>
      <c r="AI659" s="1" t="s">
        <v>206</v>
      </c>
      <c r="AJ659" s="1" t="s">
        <v>903</v>
      </c>
      <c r="AL659" s="1">
        <v>5</v>
      </c>
      <c r="AM659" s="1">
        <v>2</v>
      </c>
      <c r="AN659" s="1">
        <v>1</v>
      </c>
      <c r="AO659" s="1">
        <v>0</v>
      </c>
      <c r="AP659" s="1" t="s">
        <v>667</v>
      </c>
      <c r="AQ659" s="1">
        <v>1</v>
      </c>
      <c r="AR659" s="1" t="s">
        <v>210</v>
      </c>
      <c r="AS659" s="1" t="s">
        <v>204</v>
      </c>
      <c r="AT659" s="1" t="s">
        <v>211</v>
      </c>
      <c r="AU659" s="1">
        <v>1</v>
      </c>
      <c r="AW659" s="1" t="s">
        <v>204</v>
      </c>
      <c r="AX659" s="1" t="s">
        <v>212</v>
      </c>
      <c r="AZ659" s="1">
        <v>2917.4</v>
      </c>
      <c r="BA659" s="1">
        <v>2013</v>
      </c>
      <c r="BB659" s="1" t="s">
        <v>405</v>
      </c>
      <c r="BE659" s="1">
        <v>1044</v>
      </c>
      <c r="BF659" s="1">
        <v>2</v>
      </c>
      <c r="BG659" s="1">
        <v>0</v>
      </c>
      <c r="BL659" s="1">
        <v>151</v>
      </c>
      <c r="BM659" s="1" t="s">
        <v>204</v>
      </c>
      <c r="BN659" s="1" t="s">
        <v>213</v>
      </c>
      <c r="BO659" s="1">
        <v>25</v>
      </c>
      <c r="BP659" s="1" t="s">
        <v>204</v>
      </c>
      <c r="BR659" s="1" t="str">
        <f>"0933115108"</f>
        <v>0933115108</v>
      </c>
      <c r="BT659" s="1" t="s">
        <v>7853</v>
      </c>
      <c r="BX659" s="1">
        <v>66</v>
      </c>
      <c r="BY659" s="1">
        <v>66</v>
      </c>
      <c r="BZ659" s="1">
        <v>99</v>
      </c>
      <c r="CB659" s="1" t="str">
        <f t="shared" ref="CB659:CC659" si="512">"0"</f>
        <v>0</v>
      </c>
      <c r="CC659" s="1" t="str">
        <f t="shared" si="512"/>
        <v>0</v>
      </c>
      <c r="CD659" s="1">
        <v>18</v>
      </c>
      <c r="CE659" s="1">
        <v>9</v>
      </c>
      <c r="CG659" s="1" t="s">
        <v>729</v>
      </c>
      <c r="CH659" s="1" t="s">
        <v>219</v>
      </c>
      <c r="CI659" s="1" t="s">
        <v>229</v>
      </c>
      <c r="CJ659" s="1" t="s">
        <v>343</v>
      </c>
      <c r="CK659" s="1" t="s">
        <v>1045</v>
      </c>
      <c r="CL659" s="1" t="s">
        <v>219</v>
      </c>
      <c r="CM659" s="1" t="s">
        <v>220</v>
      </c>
      <c r="CN659" s="1" t="s">
        <v>463</v>
      </c>
      <c r="CO659" s="1" t="s">
        <v>837</v>
      </c>
      <c r="CP659" s="1" t="s">
        <v>219</v>
      </c>
      <c r="CQ659" s="1" t="s">
        <v>229</v>
      </c>
      <c r="CR659" s="1" t="s">
        <v>343</v>
      </c>
      <c r="CS659" s="1" t="s">
        <v>318</v>
      </c>
      <c r="CT659" s="1" t="s">
        <v>219</v>
      </c>
      <c r="CU659" s="1" t="s">
        <v>220</v>
      </c>
      <c r="CX659" s="1" t="s">
        <v>224</v>
      </c>
      <c r="DB659" s="1" t="s">
        <v>224</v>
      </c>
      <c r="DE659" s="1" t="s">
        <v>516</v>
      </c>
      <c r="DF659" s="1" t="s">
        <v>219</v>
      </c>
      <c r="DG659" s="1" t="s">
        <v>226</v>
      </c>
      <c r="DJ659" s="1" t="s">
        <v>224</v>
      </c>
      <c r="DS659" s="1" t="s">
        <v>230</v>
      </c>
      <c r="DW659" s="1" t="s">
        <v>230</v>
      </c>
      <c r="EA659" s="1" t="s">
        <v>230</v>
      </c>
      <c r="EE659" s="1" t="s">
        <v>230</v>
      </c>
      <c r="EI659" s="1" t="s">
        <v>230</v>
      </c>
      <c r="EL659" s="1" t="s">
        <v>542</v>
      </c>
      <c r="EM659" s="1" t="s">
        <v>232</v>
      </c>
      <c r="EN659" s="1" t="s">
        <v>282</v>
      </c>
      <c r="EO659" s="1" t="s">
        <v>234</v>
      </c>
      <c r="EP659" s="1" t="s">
        <v>349</v>
      </c>
      <c r="EQ659" s="1" t="s">
        <v>468</v>
      </c>
      <c r="ER659" s="1" t="s">
        <v>210</v>
      </c>
      <c r="ES659" s="1" t="s">
        <v>545</v>
      </c>
      <c r="EU659" s="1" t="s">
        <v>239</v>
      </c>
      <c r="EV659" s="1" t="s">
        <v>352</v>
      </c>
      <c r="EW659" s="1" t="s">
        <v>353</v>
      </c>
      <c r="EY659" s="1" t="s">
        <v>790</v>
      </c>
      <c r="EZ659" s="1" t="s">
        <v>287</v>
      </c>
      <c r="FA659" s="1" t="s">
        <v>6559</v>
      </c>
      <c r="FB659" s="1" t="s">
        <v>289</v>
      </c>
      <c r="FD659" s="1" t="s">
        <v>290</v>
      </c>
      <c r="FE659" s="1" t="s">
        <v>355</v>
      </c>
      <c r="FF659" s="1" t="s">
        <v>248</v>
      </c>
      <c r="FG659" s="1" t="s">
        <v>912</v>
      </c>
      <c r="FH659" s="1" t="s">
        <v>7854</v>
      </c>
      <c r="FI659" s="1" t="s">
        <v>357</v>
      </c>
      <c r="FL659" s="1" t="s">
        <v>358</v>
      </c>
      <c r="FM659" s="1" t="s">
        <v>252</v>
      </c>
      <c r="FN659" s="1" t="s">
        <v>213</v>
      </c>
      <c r="FO659" s="1" t="s">
        <v>213</v>
      </c>
      <c r="FQ659" s="1" t="s">
        <v>7855</v>
      </c>
      <c r="FR659" s="1" t="s">
        <v>210</v>
      </c>
      <c r="FS659" s="1" t="s">
        <v>7856</v>
      </c>
      <c r="FT659" s="1" t="s">
        <v>295</v>
      </c>
      <c r="FU659" s="1" t="s">
        <v>204</v>
      </c>
      <c r="FW659" s="1" t="s">
        <v>2144</v>
      </c>
      <c r="FX659" s="1">
        <v>25732</v>
      </c>
      <c r="FY659" s="1" t="s">
        <v>6066</v>
      </c>
      <c r="FZ659" s="1" t="s">
        <v>7857</v>
      </c>
      <c r="GA659" s="1">
        <v>224958</v>
      </c>
      <c r="GB659" s="1" t="s">
        <v>7858</v>
      </c>
      <c r="GE659" s="1" t="s">
        <v>210</v>
      </c>
      <c r="GI659" s="1" t="s">
        <v>213</v>
      </c>
      <c r="GJ659" s="1" t="s">
        <v>260</v>
      </c>
      <c r="GK659" s="1" t="s">
        <v>210</v>
      </c>
      <c r="GL659" s="2">
        <v>42124</v>
      </c>
      <c r="GM659" s="1" t="s">
        <v>7859</v>
      </c>
    </row>
    <row r="660" spans="1:195">
      <c r="A660" s="1">
        <v>113000</v>
      </c>
      <c r="B660" s="1" t="s">
        <v>195</v>
      </c>
      <c r="C660" s="1" t="str">
        <f>"08807713"</f>
        <v>08807713</v>
      </c>
      <c r="D660" s="1" t="s">
        <v>196</v>
      </c>
      <c r="F660" s="1" t="str">
        <f>"118"</f>
        <v>118</v>
      </c>
      <c r="G660" s="2">
        <v>42004</v>
      </c>
      <c r="H660" s="1">
        <v>134900</v>
      </c>
      <c r="I660" s="1">
        <v>119900</v>
      </c>
      <c r="J660" s="1">
        <v>113000</v>
      </c>
      <c r="K660" s="2">
        <v>42004</v>
      </c>
      <c r="L660" s="1">
        <v>52</v>
      </c>
      <c r="M660" s="2">
        <v>42055</v>
      </c>
      <c r="N660" s="1">
        <v>52</v>
      </c>
      <c r="O660" s="2">
        <v>42055</v>
      </c>
      <c r="P660" s="1">
        <v>8059</v>
      </c>
      <c r="Q660" s="1" t="s">
        <v>197</v>
      </c>
      <c r="R660" s="2">
        <v>42103</v>
      </c>
      <c r="S660" s="1">
        <v>28753</v>
      </c>
      <c r="T660" s="1">
        <v>3390</v>
      </c>
      <c r="U660" s="1">
        <v>424</v>
      </c>
      <c r="V660" s="1" t="s">
        <v>4078</v>
      </c>
      <c r="W660" s="1" t="s">
        <v>425</v>
      </c>
      <c r="Y660" s="1">
        <v>4</v>
      </c>
      <c r="Z660" s="1" t="s">
        <v>249</v>
      </c>
      <c r="AA660" s="1" t="s">
        <v>4079</v>
      </c>
      <c r="AB660" s="1">
        <v>60118</v>
      </c>
      <c r="AE660" s="1" t="s">
        <v>7860</v>
      </c>
      <c r="AF660" s="1">
        <v>1995</v>
      </c>
      <c r="AG660" s="1" t="s">
        <v>204</v>
      </c>
      <c r="AH660" s="1" t="s">
        <v>7861</v>
      </c>
      <c r="AI660" s="1" t="s">
        <v>665</v>
      </c>
      <c r="AJ660" s="1" t="s">
        <v>805</v>
      </c>
      <c r="AL660" s="1">
        <v>5</v>
      </c>
      <c r="AM660" s="1">
        <v>2</v>
      </c>
      <c r="AN660" s="1">
        <v>2</v>
      </c>
      <c r="AO660" s="1">
        <v>0</v>
      </c>
      <c r="AP660" s="1" t="s">
        <v>210</v>
      </c>
      <c r="AQ660" s="1">
        <v>1</v>
      </c>
      <c r="AR660" s="1" t="s">
        <v>210</v>
      </c>
      <c r="AS660" s="1" t="s">
        <v>204</v>
      </c>
      <c r="AT660" s="1" t="s">
        <v>211</v>
      </c>
      <c r="AU660" s="1">
        <v>2</v>
      </c>
      <c r="AW660" s="1" t="s">
        <v>204</v>
      </c>
      <c r="AX660" s="1" t="s">
        <v>212</v>
      </c>
      <c r="AZ660" s="1">
        <v>3071.38</v>
      </c>
      <c r="BA660" s="1">
        <v>2013</v>
      </c>
      <c r="BE660" s="1">
        <v>1286</v>
      </c>
      <c r="BF660" s="1">
        <v>1</v>
      </c>
      <c r="BG660" s="1">
        <v>0</v>
      </c>
      <c r="BL660" s="1">
        <v>158</v>
      </c>
      <c r="BM660" s="1" t="s">
        <v>413</v>
      </c>
      <c r="BN660" s="1" t="s">
        <v>213</v>
      </c>
      <c r="BO660" s="1">
        <v>0</v>
      </c>
      <c r="BP660" s="1" t="s">
        <v>204</v>
      </c>
      <c r="BR660" s="1" t="str">
        <f>"0326202009"</f>
        <v>0326202009</v>
      </c>
      <c r="BT660" s="1" t="s">
        <v>7862</v>
      </c>
      <c r="BX660" s="1">
        <v>300</v>
      </c>
      <c r="BY660" s="1">
        <v>300</v>
      </c>
      <c r="BZ660" s="1">
        <v>300</v>
      </c>
      <c r="CB660" s="1" t="str">
        <f t="shared" ref="CB660:CC660" si="513">""</f>
        <v/>
      </c>
      <c r="CC660" s="1" t="str">
        <f t="shared" si="513"/>
        <v/>
      </c>
      <c r="CG660" s="1" t="s">
        <v>5353</v>
      </c>
      <c r="CH660" s="1" t="s">
        <v>219</v>
      </c>
      <c r="CK660" s="1" t="s">
        <v>437</v>
      </c>
      <c r="CL660" s="1" t="s">
        <v>219</v>
      </c>
      <c r="CO660" s="1" t="s">
        <v>378</v>
      </c>
      <c r="CP660" s="1" t="s">
        <v>219</v>
      </c>
      <c r="CS660" s="1" t="s">
        <v>318</v>
      </c>
      <c r="CT660" s="1" t="s">
        <v>219</v>
      </c>
      <c r="CX660" s="1" t="s">
        <v>224</v>
      </c>
      <c r="DB660" s="1" t="s">
        <v>224</v>
      </c>
      <c r="DE660" s="1" t="s">
        <v>2935</v>
      </c>
      <c r="DF660" s="1" t="s">
        <v>219</v>
      </c>
      <c r="DJ660" s="1" t="s">
        <v>224</v>
      </c>
      <c r="DS660" s="1" t="s">
        <v>230</v>
      </c>
      <c r="DW660" s="1" t="s">
        <v>230</v>
      </c>
      <c r="EA660" s="1" t="s">
        <v>230</v>
      </c>
      <c r="EE660" s="1" t="s">
        <v>230</v>
      </c>
      <c r="EI660" s="1" t="s">
        <v>230</v>
      </c>
      <c r="EL660" s="1" t="s">
        <v>670</v>
      </c>
      <c r="EM660" s="1" t="s">
        <v>319</v>
      </c>
      <c r="EN660" s="1" t="s">
        <v>282</v>
      </c>
      <c r="EO660" s="1" t="s">
        <v>234</v>
      </c>
      <c r="ER660" s="1" t="s">
        <v>210</v>
      </c>
      <c r="EW660" s="1" t="s">
        <v>347</v>
      </c>
      <c r="EZ660" s="1" t="s">
        <v>287</v>
      </c>
      <c r="FD660" s="1" t="s">
        <v>1649</v>
      </c>
      <c r="FE660" s="1" t="s">
        <v>496</v>
      </c>
      <c r="FF660" s="1" t="s">
        <v>248</v>
      </c>
      <c r="FH660" s="1" t="s">
        <v>825</v>
      </c>
      <c r="FL660" s="1" t="s">
        <v>358</v>
      </c>
      <c r="FM660" s="1" t="s">
        <v>252</v>
      </c>
      <c r="FN660" s="1" t="s">
        <v>213</v>
      </c>
      <c r="FO660" s="1" t="s">
        <v>213</v>
      </c>
      <c r="FQ660" s="1" t="s">
        <v>673</v>
      </c>
      <c r="FR660" s="1" t="s">
        <v>210</v>
      </c>
      <c r="FS660" s="1" t="s">
        <v>2541</v>
      </c>
      <c r="FT660" s="1" t="s">
        <v>2609</v>
      </c>
      <c r="FU660" s="1" t="s">
        <v>204</v>
      </c>
      <c r="FW660" s="1" t="s">
        <v>4399</v>
      </c>
      <c r="FX660" s="1">
        <v>8698</v>
      </c>
      <c r="FY660" s="1" t="s">
        <v>4400</v>
      </c>
      <c r="FZ660" s="1" t="s">
        <v>4401</v>
      </c>
      <c r="GA660" s="1">
        <v>85273</v>
      </c>
      <c r="GB660" s="1" t="s">
        <v>4400</v>
      </c>
      <c r="GE660" s="1" t="s">
        <v>210</v>
      </c>
      <c r="GI660" s="1" t="s">
        <v>213</v>
      </c>
      <c r="GJ660" s="1" t="s">
        <v>260</v>
      </c>
      <c r="GK660" s="1" t="s">
        <v>210</v>
      </c>
      <c r="GL660" s="2">
        <v>42104</v>
      </c>
      <c r="GM660" s="1" t="s">
        <v>7863</v>
      </c>
    </row>
    <row r="661" spans="1:195">
      <c r="A661" s="1">
        <v>209000</v>
      </c>
      <c r="B661" s="1" t="s">
        <v>195</v>
      </c>
      <c r="C661" s="1" t="str">
        <f>"08808346"</f>
        <v>08808346</v>
      </c>
      <c r="D661" s="1" t="s">
        <v>196</v>
      </c>
      <c r="F661" s="1" t="str">
        <f>"108"</f>
        <v>108</v>
      </c>
      <c r="G661" s="2">
        <v>42006</v>
      </c>
      <c r="H661" s="1">
        <v>224900</v>
      </c>
      <c r="I661" s="1">
        <v>224900</v>
      </c>
      <c r="J661" s="1">
        <v>209000</v>
      </c>
      <c r="K661" s="2">
        <v>42006</v>
      </c>
      <c r="L661" s="1">
        <v>271</v>
      </c>
      <c r="M661" s="2">
        <v>42059</v>
      </c>
      <c r="N661" s="1">
        <v>54</v>
      </c>
      <c r="O661" s="2">
        <v>42059</v>
      </c>
      <c r="P661" s="1">
        <v>24007</v>
      </c>
      <c r="Q661" s="1" t="s">
        <v>302</v>
      </c>
      <c r="R661" s="2">
        <v>42088</v>
      </c>
      <c r="S661" s="1">
        <v>232960</v>
      </c>
      <c r="U661" s="1">
        <v>125</v>
      </c>
      <c r="V661" s="1" t="s">
        <v>828</v>
      </c>
      <c r="W661" s="1" t="s">
        <v>264</v>
      </c>
      <c r="X661" s="1">
        <v>202</v>
      </c>
      <c r="Y661" s="1">
        <v>80</v>
      </c>
      <c r="Z661" s="1" t="s">
        <v>249</v>
      </c>
      <c r="AA661" s="1" t="s">
        <v>829</v>
      </c>
      <c r="AB661" s="1">
        <v>60108</v>
      </c>
      <c r="AE661" s="1" t="s">
        <v>7864</v>
      </c>
      <c r="AF661" s="1">
        <v>2008</v>
      </c>
      <c r="AG661" s="1" t="s">
        <v>204</v>
      </c>
      <c r="AH661" s="1" t="s">
        <v>269</v>
      </c>
      <c r="AI661" s="1" t="s">
        <v>206</v>
      </c>
      <c r="AJ661" s="1" t="s">
        <v>269</v>
      </c>
      <c r="AL661" s="1">
        <v>5</v>
      </c>
      <c r="AM661" s="1">
        <v>2</v>
      </c>
      <c r="AN661" s="1">
        <v>2</v>
      </c>
      <c r="AO661" s="1">
        <v>0</v>
      </c>
      <c r="AP661" s="1" t="s">
        <v>209</v>
      </c>
      <c r="AR661" s="1" t="s">
        <v>210</v>
      </c>
      <c r="AS661" s="1" t="s">
        <v>204</v>
      </c>
      <c r="AT661" s="1" t="s">
        <v>375</v>
      </c>
      <c r="AU661" s="1">
        <v>1</v>
      </c>
      <c r="AV661" s="1">
        <v>1</v>
      </c>
      <c r="AW661" s="1" t="s">
        <v>204</v>
      </c>
      <c r="AX661" s="1" t="s">
        <v>270</v>
      </c>
      <c r="AZ661" s="1">
        <v>1623.66</v>
      </c>
      <c r="BA661" s="1">
        <v>2013</v>
      </c>
      <c r="BE661" s="1">
        <v>1463</v>
      </c>
      <c r="BF661" s="1">
        <v>2</v>
      </c>
      <c r="BG661" s="1">
        <v>0</v>
      </c>
      <c r="BL661" s="1">
        <v>187</v>
      </c>
      <c r="BM661" s="1" t="s">
        <v>204</v>
      </c>
      <c r="BN661" s="1" t="s">
        <v>213</v>
      </c>
      <c r="BO661" s="1">
        <v>999</v>
      </c>
      <c r="BP661" s="1" t="s">
        <v>204</v>
      </c>
      <c r="BR661" s="1" t="str">
        <f>"0214120095"</f>
        <v>0214120095</v>
      </c>
      <c r="BT661" s="1" t="s">
        <v>7865</v>
      </c>
      <c r="BX661" s="1">
        <v>13</v>
      </c>
      <c r="BY661" s="1">
        <v>13</v>
      </c>
      <c r="BZ661" s="1">
        <v>108</v>
      </c>
      <c r="CB661" s="1" t="str">
        <f t="shared" ref="CB661:CC661" si="514">""</f>
        <v/>
      </c>
      <c r="CC661" s="1" t="str">
        <f t="shared" si="514"/>
        <v/>
      </c>
      <c r="CG661" s="1" t="s">
        <v>2747</v>
      </c>
      <c r="CH661" s="1" t="s">
        <v>219</v>
      </c>
      <c r="CK661" s="1" t="s">
        <v>437</v>
      </c>
      <c r="CL661" s="1" t="s">
        <v>219</v>
      </c>
      <c r="CO661" s="1" t="s">
        <v>629</v>
      </c>
      <c r="CP661" s="1" t="s">
        <v>219</v>
      </c>
      <c r="CS661" s="1" t="s">
        <v>408</v>
      </c>
      <c r="CT661" s="1" t="s">
        <v>219</v>
      </c>
      <c r="CX661" s="1" t="s">
        <v>224</v>
      </c>
      <c r="DB661" s="1" t="s">
        <v>224</v>
      </c>
      <c r="DE661" s="1" t="s">
        <v>318</v>
      </c>
      <c r="DF661" s="1" t="s">
        <v>219</v>
      </c>
      <c r="DJ661" s="1" t="s">
        <v>224</v>
      </c>
      <c r="DS661" s="1" t="s">
        <v>230</v>
      </c>
      <c r="DW661" s="1" t="s">
        <v>230</v>
      </c>
      <c r="EA661" s="1" t="s">
        <v>230</v>
      </c>
      <c r="EE661" s="1" t="s">
        <v>230</v>
      </c>
      <c r="EI661" s="1" t="s">
        <v>230</v>
      </c>
      <c r="EL661" s="1" t="s">
        <v>491</v>
      </c>
      <c r="EM661" s="1" t="s">
        <v>319</v>
      </c>
      <c r="EN661" s="1" t="s">
        <v>282</v>
      </c>
      <c r="EO661" s="1" t="s">
        <v>234</v>
      </c>
      <c r="ER661" s="1" t="s">
        <v>210</v>
      </c>
      <c r="EW661" s="1" t="s">
        <v>7866</v>
      </c>
      <c r="EZ661" s="1" t="s">
        <v>287</v>
      </c>
      <c r="FD661" s="1" t="s">
        <v>495</v>
      </c>
      <c r="FE661" s="1" t="s">
        <v>247</v>
      </c>
      <c r="FF661" s="1" t="s">
        <v>248</v>
      </c>
      <c r="FH661" s="1" t="s">
        <v>249</v>
      </c>
      <c r="FL661" s="1" t="s">
        <v>414</v>
      </c>
      <c r="FM661" s="1" t="s">
        <v>252</v>
      </c>
      <c r="FN661" s="1" t="s">
        <v>213</v>
      </c>
      <c r="FO661" s="1" t="s">
        <v>213</v>
      </c>
      <c r="FQ661" s="1" t="s">
        <v>849</v>
      </c>
      <c r="FR661" s="1" t="s">
        <v>210</v>
      </c>
      <c r="FS661" s="1" t="s">
        <v>7867</v>
      </c>
      <c r="FT661" s="1" t="s">
        <v>7868</v>
      </c>
      <c r="FU661" s="1" t="s">
        <v>213</v>
      </c>
      <c r="FW661" s="1" t="s">
        <v>852</v>
      </c>
      <c r="FX661" s="1">
        <v>22250</v>
      </c>
      <c r="FY661" s="1" t="s">
        <v>853</v>
      </c>
      <c r="FZ661" s="1" t="s">
        <v>854</v>
      </c>
      <c r="GA661" s="1">
        <v>242148</v>
      </c>
      <c r="GE661" s="1" t="s">
        <v>480</v>
      </c>
      <c r="GI661" s="1" t="s">
        <v>213</v>
      </c>
      <c r="GJ661" s="1" t="s">
        <v>260</v>
      </c>
      <c r="GK661" s="1" t="s">
        <v>210</v>
      </c>
      <c r="GL661" s="2">
        <v>42088</v>
      </c>
      <c r="GM661" s="1" t="s">
        <v>7869</v>
      </c>
    </row>
    <row r="662" spans="1:195">
      <c r="A662" s="1">
        <v>196000</v>
      </c>
      <c r="B662" s="1" t="s">
        <v>195</v>
      </c>
      <c r="C662" s="1" t="str">
        <f>"08809153"</f>
        <v>08809153</v>
      </c>
      <c r="D662" s="1" t="s">
        <v>196</v>
      </c>
      <c r="F662" s="1" t="str">
        <f>"143"</f>
        <v>143</v>
      </c>
      <c r="G662" s="2">
        <v>42008</v>
      </c>
      <c r="H662" s="1">
        <v>199999</v>
      </c>
      <c r="I662" s="1">
        <v>199999</v>
      </c>
      <c r="J662" s="1">
        <v>196000</v>
      </c>
      <c r="K662" s="2">
        <v>42008</v>
      </c>
      <c r="L662" s="1">
        <v>9</v>
      </c>
      <c r="M662" s="2">
        <v>42016</v>
      </c>
      <c r="N662" s="1">
        <v>9</v>
      </c>
      <c r="O662" s="2">
        <v>42016</v>
      </c>
      <c r="P662" s="1">
        <v>25042</v>
      </c>
      <c r="Q662" s="1" t="s">
        <v>197</v>
      </c>
      <c r="R662" s="2">
        <v>42048</v>
      </c>
      <c r="S662" s="1">
        <v>236850</v>
      </c>
      <c r="U662" s="1">
        <v>401</v>
      </c>
      <c r="V662" s="1" t="s">
        <v>7870</v>
      </c>
      <c r="W662" s="1" t="s">
        <v>1056</v>
      </c>
      <c r="X662" s="1">
        <v>201</v>
      </c>
      <c r="Y662" s="1">
        <v>5</v>
      </c>
      <c r="Z662" s="1" t="s">
        <v>249</v>
      </c>
      <c r="AA662" s="1" t="s">
        <v>7871</v>
      </c>
      <c r="AB662" s="1">
        <v>60143</v>
      </c>
      <c r="AE662" s="1" t="s">
        <v>7872</v>
      </c>
      <c r="AF662" s="1">
        <v>2010</v>
      </c>
      <c r="AG662" s="1" t="s">
        <v>204</v>
      </c>
      <c r="AH662" s="1" t="s">
        <v>7873</v>
      </c>
      <c r="AI662" s="1" t="s">
        <v>206</v>
      </c>
      <c r="AJ662" s="1" t="s">
        <v>1233</v>
      </c>
      <c r="AK662" s="1" t="s">
        <v>7874</v>
      </c>
      <c r="AL662" s="1">
        <v>5</v>
      </c>
      <c r="AM662" s="1">
        <v>2</v>
      </c>
      <c r="AN662" s="1">
        <v>2</v>
      </c>
      <c r="AO662" s="1">
        <v>0</v>
      </c>
      <c r="AP662" s="1" t="s">
        <v>209</v>
      </c>
      <c r="AQ662" s="1">
        <v>1</v>
      </c>
      <c r="AR662" s="1" t="s">
        <v>210</v>
      </c>
      <c r="AS662" s="1" t="s">
        <v>204</v>
      </c>
      <c r="AT662" s="1" t="s">
        <v>375</v>
      </c>
      <c r="AU662" s="1">
        <v>1</v>
      </c>
      <c r="AV662" s="1">
        <v>1</v>
      </c>
      <c r="AW662" s="1" t="s">
        <v>204</v>
      </c>
      <c r="AX662" s="1" t="s">
        <v>270</v>
      </c>
      <c r="AZ662" s="1">
        <v>5683</v>
      </c>
      <c r="BA662" s="1">
        <v>2013</v>
      </c>
      <c r="BB662" s="1" t="s">
        <v>210</v>
      </c>
      <c r="BE662" s="1">
        <v>1580</v>
      </c>
      <c r="BF662" s="1">
        <v>2</v>
      </c>
      <c r="BG662" s="1">
        <v>0</v>
      </c>
      <c r="BL662" s="1">
        <v>225</v>
      </c>
      <c r="BM662" s="1" t="s">
        <v>204</v>
      </c>
      <c r="BN662" s="1" t="s">
        <v>213</v>
      </c>
      <c r="BO662" s="1">
        <v>30</v>
      </c>
      <c r="BP662" s="1" t="s">
        <v>204</v>
      </c>
      <c r="BR662" s="1" t="str">
        <f>"0305105002"</f>
        <v>0305105002</v>
      </c>
      <c r="BT662" s="1" t="s">
        <v>7875</v>
      </c>
      <c r="BU662" s="1" t="s">
        <v>7876</v>
      </c>
      <c r="BV662" s="1" t="s">
        <v>7877</v>
      </c>
      <c r="BW662" s="1" t="s">
        <v>275</v>
      </c>
      <c r="BX662" s="1">
        <v>10</v>
      </c>
      <c r="BY662" s="1">
        <v>10</v>
      </c>
      <c r="BZ662" s="1">
        <v>108</v>
      </c>
      <c r="CB662" s="1" t="str">
        <f>"7"</f>
        <v>7</v>
      </c>
      <c r="CC662" s="1" t="str">
        <f>"0"</f>
        <v>0</v>
      </c>
      <c r="CD662" s="1">
        <v>19</v>
      </c>
      <c r="CE662" s="1">
        <v>0</v>
      </c>
      <c r="CG662" s="1" t="s">
        <v>2669</v>
      </c>
      <c r="CH662" s="1" t="s">
        <v>277</v>
      </c>
      <c r="CI662" s="1" t="s">
        <v>438</v>
      </c>
      <c r="CK662" s="1" t="s">
        <v>1267</v>
      </c>
      <c r="CL662" s="1" t="s">
        <v>277</v>
      </c>
      <c r="CM662" s="1" t="s">
        <v>220</v>
      </c>
      <c r="CO662" s="1" t="s">
        <v>461</v>
      </c>
      <c r="CP662" s="1" t="s">
        <v>277</v>
      </c>
      <c r="CQ662" s="1" t="s">
        <v>438</v>
      </c>
      <c r="CS662" s="1" t="s">
        <v>461</v>
      </c>
      <c r="CT662" s="1" t="s">
        <v>277</v>
      </c>
      <c r="CU662" s="1" t="s">
        <v>220</v>
      </c>
      <c r="CX662" s="1" t="s">
        <v>224</v>
      </c>
      <c r="DB662" s="1" t="s">
        <v>224</v>
      </c>
      <c r="DE662" s="1" t="s">
        <v>437</v>
      </c>
      <c r="DF662" s="1" t="s">
        <v>277</v>
      </c>
      <c r="DG662" s="1" t="s">
        <v>438</v>
      </c>
      <c r="DJ662" s="1" t="s">
        <v>224</v>
      </c>
      <c r="DM662" s="1" t="s">
        <v>1770</v>
      </c>
      <c r="DN662" s="1" t="s">
        <v>838</v>
      </c>
      <c r="DR662" s="1" t="s">
        <v>1571</v>
      </c>
      <c r="DS662" s="1" t="s">
        <v>277</v>
      </c>
      <c r="DT662" s="1" t="s">
        <v>226</v>
      </c>
      <c r="DV662" s="1" t="s">
        <v>4604</v>
      </c>
      <c r="DW662" s="1" t="s">
        <v>277</v>
      </c>
      <c r="EA662" s="1" t="s">
        <v>230</v>
      </c>
      <c r="EE662" s="1" t="s">
        <v>230</v>
      </c>
      <c r="EI662" s="1" t="s">
        <v>230</v>
      </c>
      <c r="EL662" s="1" t="s">
        <v>1549</v>
      </c>
      <c r="EM662" s="1" t="s">
        <v>730</v>
      </c>
      <c r="EN662" s="1" t="s">
        <v>282</v>
      </c>
      <c r="EO662" s="1" t="s">
        <v>234</v>
      </c>
      <c r="EP662" s="1" t="s">
        <v>7878</v>
      </c>
      <c r="EQ662" s="1" t="s">
        <v>236</v>
      </c>
      <c r="ER662" s="1" t="s">
        <v>210</v>
      </c>
      <c r="ES662" s="1" t="s">
        <v>1791</v>
      </c>
      <c r="ET662" s="1" t="s">
        <v>238</v>
      </c>
      <c r="EV662" s="1" t="s">
        <v>240</v>
      </c>
      <c r="EW662" s="1" t="s">
        <v>7879</v>
      </c>
      <c r="EY662" s="1" t="s">
        <v>242</v>
      </c>
      <c r="EZ662" s="1" t="s">
        <v>7880</v>
      </c>
      <c r="FA662" s="1" t="s">
        <v>1754</v>
      </c>
      <c r="FB662" s="1" t="s">
        <v>734</v>
      </c>
      <c r="FD662" s="1" t="s">
        <v>1649</v>
      </c>
      <c r="FE662" s="1" t="s">
        <v>847</v>
      </c>
      <c r="FF662" s="1" t="s">
        <v>248</v>
      </c>
      <c r="FH662" s="1" t="s">
        <v>249</v>
      </c>
      <c r="FI662" s="1" t="s">
        <v>473</v>
      </c>
      <c r="FJ662" s="1" t="s">
        <v>197</v>
      </c>
      <c r="FL662" s="1" t="s">
        <v>358</v>
      </c>
      <c r="FM662" s="1" t="s">
        <v>252</v>
      </c>
      <c r="FN662" s="1" t="s">
        <v>213</v>
      </c>
      <c r="FO662" s="1" t="s">
        <v>213</v>
      </c>
      <c r="FQ662" s="1" t="s">
        <v>2004</v>
      </c>
      <c r="FR662" s="1" t="s">
        <v>210</v>
      </c>
      <c r="FS662" s="1" t="s">
        <v>7881</v>
      </c>
      <c r="FT662" s="1" t="s">
        <v>675</v>
      </c>
      <c r="FU662" s="1" t="s">
        <v>204</v>
      </c>
      <c r="FW662" s="1" t="s">
        <v>7882</v>
      </c>
      <c r="FX662" s="1">
        <v>4088</v>
      </c>
      <c r="FY662" s="1" t="s">
        <v>5980</v>
      </c>
      <c r="FZ662" s="1" t="s">
        <v>7883</v>
      </c>
      <c r="GA662" s="1">
        <v>30391</v>
      </c>
      <c r="GB662" s="1" t="s">
        <v>7884</v>
      </c>
      <c r="GE662" s="1" t="s">
        <v>210</v>
      </c>
      <c r="GH662" s="1" t="s">
        <v>589</v>
      </c>
      <c r="GI662" s="1" t="s">
        <v>213</v>
      </c>
      <c r="GJ662" s="1" t="s">
        <v>260</v>
      </c>
      <c r="GK662" s="1" t="s">
        <v>210</v>
      </c>
      <c r="GL662" s="2">
        <v>42051</v>
      </c>
    </row>
    <row r="663" spans="1:195">
      <c r="A663" s="1">
        <v>122500</v>
      </c>
      <c r="B663" s="1" t="s">
        <v>195</v>
      </c>
      <c r="C663" s="1" t="str">
        <f>"08804008"</f>
        <v>08804008</v>
      </c>
      <c r="D663" s="1" t="s">
        <v>196</v>
      </c>
      <c r="F663" s="1" t="str">
        <f>"8064"</f>
        <v>8064</v>
      </c>
      <c r="G663" s="2">
        <v>41991</v>
      </c>
      <c r="H663" s="1">
        <v>129105</v>
      </c>
      <c r="I663" s="1">
        <v>124905</v>
      </c>
      <c r="J663" s="1">
        <v>122500</v>
      </c>
      <c r="K663" s="2">
        <v>41991</v>
      </c>
      <c r="L663" s="1">
        <v>64</v>
      </c>
      <c r="M663" s="2">
        <v>42054</v>
      </c>
      <c r="N663" s="1">
        <v>64</v>
      </c>
      <c r="O663" s="2">
        <v>42054</v>
      </c>
      <c r="P663" s="1">
        <v>40335</v>
      </c>
      <c r="Q663" s="1" t="s">
        <v>197</v>
      </c>
      <c r="R663" s="2">
        <v>42118</v>
      </c>
      <c r="S663" s="1">
        <v>866454</v>
      </c>
      <c r="T663" s="1">
        <v>3000</v>
      </c>
      <c r="U663" s="1">
        <v>6248</v>
      </c>
      <c r="V663" s="1" t="s">
        <v>7885</v>
      </c>
      <c r="W663" s="1" t="s">
        <v>1056</v>
      </c>
      <c r="X663" s="1" t="s">
        <v>399</v>
      </c>
      <c r="Y663" s="1">
        <v>21</v>
      </c>
      <c r="Z663" s="1" t="s">
        <v>249</v>
      </c>
      <c r="AA663" s="1" t="s">
        <v>400</v>
      </c>
      <c r="AB663" s="1">
        <v>60638</v>
      </c>
      <c r="AE663" s="1" t="s">
        <v>7886</v>
      </c>
      <c r="AF663" s="1">
        <v>1999</v>
      </c>
      <c r="AG663" s="1" t="s">
        <v>204</v>
      </c>
      <c r="AH663" s="1" t="s">
        <v>403</v>
      </c>
      <c r="AI663" s="1" t="s">
        <v>310</v>
      </c>
      <c r="AJ663" s="1" t="s">
        <v>683</v>
      </c>
      <c r="AL663" s="1">
        <v>5</v>
      </c>
      <c r="AM663" s="1">
        <v>2</v>
      </c>
      <c r="AN663" s="1">
        <v>2</v>
      </c>
      <c r="AO663" s="1">
        <v>0</v>
      </c>
      <c r="AP663" s="1" t="s">
        <v>209</v>
      </c>
      <c r="AR663" s="1" t="s">
        <v>210</v>
      </c>
      <c r="AS663" s="1" t="s">
        <v>204</v>
      </c>
      <c r="AT663" s="1" t="s">
        <v>211</v>
      </c>
      <c r="AU663" s="1">
        <v>1</v>
      </c>
      <c r="AW663" s="1" t="s">
        <v>204</v>
      </c>
      <c r="AX663" s="1" t="s">
        <v>212</v>
      </c>
      <c r="AZ663" s="1">
        <v>1643.92</v>
      </c>
      <c r="BA663" s="1">
        <v>2013</v>
      </c>
      <c r="BB663" s="1" t="s">
        <v>405</v>
      </c>
      <c r="BE663" s="1">
        <v>1200</v>
      </c>
      <c r="BF663" s="1">
        <v>4</v>
      </c>
      <c r="BG663" s="1">
        <v>30</v>
      </c>
      <c r="BJ663" s="1">
        <v>100</v>
      </c>
      <c r="BL663" s="1">
        <v>230</v>
      </c>
      <c r="BM663" s="1" t="s">
        <v>204</v>
      </c>
      <c r="BN663" s="1" t="s">
        <v>213</v>
      </c>
      <c r="BO663" s="1">
        <v>60</v>
      </c>
      <c r="BP663" s="1" t="s">
        <v>204</v>
      </c>
      <c r="BR663" s="1" t="str">
        <f>"19183120521006"</f>
        <v>19183120521006</v>
      </c>
      <c r="BT663" s="1" t="s">
        <v>7887</v>
      </c>
      <c r="BX663" s="1">
        <v>299</v>
      </c>
      <c r="BY663" s="1">
        <v>299</v>
      </c>
      <c r="BZ663" s="1">
        <v>299</v>
      </c>
      <c r="CB663" s="1" t="str">
        <f t="shared" ref="CB663:CC663" si="515">"0"</f>
        <v>0</v>
      </c>
      <c r="CC663" s="1" t="str">
        <f t="shared" si="515"/>
        <v>0</v>
      </c>
      <c r="CD663" s="1">
        <v>7000</v>
      </c>
      <c r="CE663" s="1">
        <v>6248</v>
      </c>
      <c r="CG663" s="1" t="s">
        <v>538</v>
      </c>
      <c r="CH663" s="1" t="s">
        <v>219</v>
      </c>
      <c r="CI663" s="1" t="s">
        <v>229</v>
      </c>
      <c r="CK663" s="1" t="s">
        <v>344</v>
      </c>
      <c r="CL663" s="1" t="s">
        <v>219</v>
      </c>
      <c r="CM663" s="1" t="s">
        <v>229</v>
      </c>
      <c r="CO663" s="1" t="s">
        <v>379</v>
      </c>
      <c r="CP663" s="1" t="s">
        <v>219</v>
      </c>
      <c r="CQ663" s="1" t="s">
        <v>229</v>
      </c>
      <c r="CS663" s="1" t="s">
        <v>317</v>
      </c>
      <c r="CT663" s="1" t="s">
        <v>219</v>
      </c>
      <c r="CU663" s="1" t="s">
        <v>229</v>
      </c>
      <c r="CX663" s="1" t="s">
        <v>224</v>
      </c>
      <c r="DB663" s="1" t="s">
        <v>224</v>
      </c>
      <c r="DE663" s="1" t="s">
        <v>465</v>
      </c>
      <c r="DF663" s="1" t="s">
        <v>219</v>
      </c>
      <c r="DG663" s="1" t="s">
        <v>342</v>
      </c>
      <c r="DJ663" s="1" t="s">
        <v>224</v>
      </c>
      <c r="DS663" s="1" t="s">
        <v>230</v>
      </c>
      <c r="DW663" s="1" t="s">
        <v>230</v>
      </c>
      <c r="EA663" s="1" t="s">
        <v>230</v>
      </c>
      <c r="EE663" s="1" t="s">
        <v>230</v>
      </c>
      <c r="EI663" s="1" t="s">
        <v>230</v>
      </c>
      <c r="EL663" s="1" t="s">
        <v>466</v>
      </c>
      <c r="EM663" s="1" t="s">
        <v>730</v>
      </c>
      <c r="EN663" s="1" t="s">
        <v>282</v>
      </c>
      <c r="EO663" s="1" t="s">
        <v>234</v>
      </c>
      <c r="EQ663" s="1" t="s">
        <v>492</v>
      </c>
      <c r="ER663" s="1" t="s">
        <v>210</v>
      </c>
      <c r="ES663" s="1" t="s">
        <v>322</v>
      </c>
      <c r="ET663" s="1" t="s">
        <v>1752</v>
      </c>
      <c r="EV663" s="1" t="s">
        <v>240</v>
      </c>
      <c r="EW663" s="1" t="s">
        <v>7888</v>
      </c>
      <c r="EZ663" s="1" t="s">
        <v>287</v>
      </c>
      <c r="FB663" s="1" t="s">
        <v>289</v>
      </c>
      <c r="FD663" s="1" t="s">
        <v>290</v>
      </c>
      <c r="FE663" s="1" t="s">
        <v>247</v>
      </c>
      <c r="FF663" s="1" t="s">
        <v>387</v>
      </c>
      <c r="FH663" s="1" t="s">
        <v>249</v>
      </c>
      <c r="FI663" s="1" t="s">
        <v>848</v>
      </c>
      <c r="FL663" s="1" t="s">
        <v>358</v>
      </c>
      <c r="FM663" s="1" t="s">
        <v>252</v>
      </c>
      <c r="FN663" s="1" t="s">
        <v>213</v>
      </c>
      <c r="FO663" s="1" t="s">
        <v>213</v>
      </c>
      <c r="FQ663" s="1" t="s">
        <v>2091</v>
      </c>
      <c r="FR663" s="1" t="s">
        <v>210</v>
      </c>
      <c r="FS663" s="1" t="s">
        <v>7889</v>
      </c>
      <c r="FT663" s="1" t="s">
        <v>520</v>
      </c>
      <c r="FU663" s="1" t="s">
        <v>204</v>
      </c>
      <c r="FW663" s="1" t="s">
        <v>7890</v>
      </c>
      <c r="FX663" s="1">
        <v>23465</v>
      </c>
      <c r="FY663" s="1" t="s">
        <v>7891</v>
      </c>
      <c r="FZ663" s="1" t="s">
        <v>7892</v>
      </c>
      <c r="GA663" s="1">
        <v>223407</v>
      </c>
      <c r="GB663" s="1" t="s">
        <v>7893</v>
      </c>
      <c r="GE663" s="1" t="s">
        <v>210</v>
      </c>
      <c r="GH663" s="1" t="s">
        <v>421</v>
      </c>
      <c r="GI663" s="1" t="s">
        <v>213</v>
      </c>
      <c r="GJ663" s="1" t="s">
        <v>260</v>
      </c>
      <c r="GK663" s="1" t="s">
        <v>210</v>
      </c>
      <c r="GL663" s="2">
        <v>42124</v>
      </c>
      <c r="GM663" s="1" t="s">
        <v>7894</v>
      </c>
    </row>
    <row r="664" spans="1:195">
      <c r="A664" s="1">
        <v>20900</v>
      </c>
      <c r="B664" s="1" t="s">
        <v>195</v>
      </c>
      <c r="C664" s="1" t="str">
        <f>"08805986"</f>
        <v>08805986</v>
      </c>
      <c r="D664" s="1" t="s">
        <v>196</v>
      </c>
      <c r="F664" s="1" t="str">
        <f>"8065"</f>
        <v>8065</v>
      </c>
      <c r="G664" s="2">
        <v>41997</v>
      </c>
      <c r="H664" s="1">
        <v>19900</v>
      </c>
      <c r="I664" s="1">
        <v>19900</v>
      </c>
      <c r="J664" s="1">
        <v>20900</v>
      </c>
      <c r="K664" s="2">
        <v>41997</v>
      </c>
      <c r="L664" s="1">
        <v>92</v>
      </c>
      <c r="M664" s="2">
        <v>42088</v>
      </c>
      <c r="N664" s="1">
        <v>92</v>
      </c>
      <c r="O664" s="2">
        <v>42088</v>
      </c>
      <c r="P664" s="1">
        <v>12619</v>
      </c>
      <c r="Q664" s="1" t="s">
        <v>302</v>
      </c>
      <c r="R664" s="2">
        <v>42111</v>
      </c>
      <c r="S664" s="1">
        <v>187613</v>
      </c>
      <c r="U664" s="1">
        <v>4261</v>
      </c>
      <c r="V664" s="1" t="s">
        <v>4012</v>
      </c>
      <c r="W664" s="1" t="s">
        <v>725</v>
      </c>
      <c r="X664" s="1">
        <v>102</v>
      </c>
      <c r="Y664" s="1">
        <v>6</v>
      </c>
      <c r="Z664" s="1" t="s">
        <v>200</v>
      </c>
      <c r="AA664" s="1" t="s">
        <v>400</v>
      </c>
      <c r="AB664" s="1">
        <v>60652</v>
      </c>
      <c r="AE664" s="1" t="s">
        <v>7895</v>
      </c>
      <c r="AF664" s="1">
        <v>1970</v>
      </c>
      <c r="AG664" s="1" t="s">
        <v>213</v>
      </c>
      <c r="AH664" s="1" t="s">
        <v>403</v>
      </c>
      <c r="AI664" s="1" t="s">
        <v>310</v>
      </c>
      <c r="AJ664" s="1" t="s">
        <v>683</v>
      </c>
      <c r="AL664" s="1">
        <v>5</v>
      </c>
      <c r="AM664" s="1">
        <v>2</v>
      </c>
      <c r="AN664" s="1">
        <v>2</v>
      </c>
      <c r="AO664" s="1">
        <v>0</v>
      </c>
      <c r="AP664" s="1" t="s">
        <v>209</v>
      </c>
      <c r="AR664" s="1" t="s">
        <v>210</v>
      </c>
      <c r="AS664" s="1" t="s">
        <v>204</v>
      </c>
      <c r="AT664" s="1" t="s">
        <v>271</v>
      </c>
      <c r="AV664" s="1">
        <v>1</v>
      </c>
      <c r="AW664" s="1" t="s">
        <v>204</v>
      </c>
      <c r="AX664" s="1" t="s">
        <v>212</v>
      </c>
      <c r="AZ664" s="1">
        <v>524</v>
      </c>
      <c r="BA664" s="1">
        <v>2012</v>
      </c>
      <c r="BB664" s="1" t="s">
        <v>405</v>
      </c>
      <c r="BE664" s="1">
        <v>900</v>
      </c>
      <c r="BF664" s="1">
        <v>1</v>
      </c>
      <c r="BG664" s="1">
        <v>0</v>
      </c>
      <c r="BL664" s="1">
        <v>299</v>
      </c>
      <c r="BM664" s="1" t="s">
        <v>204</v>
      </c>
      <c r="BN664" s="1" t="s">
        <v>213</v>
      </c>
      <c r="BO664" s="1">
        <v>20</v>
      </c>
      <c r="BP664" s="1" t="s">
        <v>204</v>
      </c>
      <c r="BR664" s="1" t="str">
        <f>"19274010381307"</f>
        <v>19274010381307</v>
      </c>
      <c r="BT664" s="1" t="s">
        <v>7896</v>
      </c>
      <c r="BX664" s="1">
        <v>299</v>
      </c>
      <c r="BY664" s="1">
        <v>299</v>
      </c>
      <c r="BZ664" s="1">
        <v>299</v>
      </c>
      <c r="CB664" s="1" t="str">
        <f t="shared" ref="CB664:CC664" si="516">"0"</f>
        <v>0</v>
      </c>
      <c r="CC664" s="1" t="str">
        <f t="shared" si="516"/>
        <v>0</v>
      </c>
      <c r="CD664" s="1">
        <v>4261</v>
      </c>
      <c r="CE664" s="1">
        <v>7600</v>
      </c>
      <c r="CG664" s="1" t="s">
        <v>1788</v>
      </c>
      <c r="CH664" s="1" t="s">
        <v>219</v>
      </c>
      <c r="CK664" s="1" t="s">
        <v>315</v>
      </c>
      <c r="CL664" s="1" t="s">
        <v>219</v>
      </c>
      <c r="CO664" s="1" t="s">
        <v>380</v>
      </c>
      <c r="CP664" s="1" t="s">
        <v>219</v>
      </c>
      <c r="CS664" s="1" t="s">
        <v>379</v>
      </c>
      <c r="CT664" s="1" t="s">
        <v>219</v>
      </c>
      <c r="CX664" s="1" t="s">
        <v>224</v>
      </c>
      <c r="DB664" s="1" t="s">
        <v>224</v>
      </c>
      <c r="DE664" s="1" t="s">
        <v>516</v>
      </c>
      <c r="DF664" s="1" t="s">
        <v>219</v>
      </c>
      <c r="DJ664" s="1" t="s">
        <v>224</v>
      </c>
      <c r="DS664" s="1" t="s">
        <v>230</v>
      </c>
      <c r="DW664" s="1" t="s">
        <v>230</v>
      </c>
      <c r="EA664" s="1" t="s">
        <v>230</v>
      </c>
      <c r="EE664" s="1" t="s">
        <v>230</v>
      </c>
      <c r="EI664" s="1" t="s">
        <v>230</v>
      </c>
      <c r="EL664" s="1" t="s">
        <v>605</v>
      </c>
      <c r="EM664" s="1" t="s">
        <v>232</v>
      </c>
      <c r="EN664" s="1" t="s">
        <v>233</v>
      </c>
      <c r="EO664" s="1" t="s">
        <v>234</v>
      </c>
      <c r="ER664" s="1" t="s">
        <v>210</v>
      </c>
      <c r="EV664" s="1" t="s">
        <v>240</v>
      </c>
      <c r="EW664" s="1" t="s">
        <v>7897</v>
      </c>
      <c r="EZ664" s="1" t="s">
        <v>287</v>
      </c>
      <c r="FB664" s="1" t="s">
        <v>244</v>
      </c>
      <c r="FD664" s="1" t="s">
        <v>888</v>
      </c>
      <c r="FE664" s="1" t="s">
        <v>247</v>
      </c>
      <c r="FF664" s="1" t="s">
        <v>248</v>
      </c>
      <c r="FH664" s="1" t="s">
        <v>249</v>
      </c>
      <c r="FK664" s="1" t="s">
        <v>891</v>
      </c>
      <c r="FL664" s="1" t="s">
        <v>292</v>
      </c>
      <c r="FM664" s="1" t="s">
        <v>252</v>
      </c>
      <c r="FN664" s="1" t="s">
        <v>213</v>
      </c>
      <c r="FO664" s="1" t="s">
        <v>213</v>
      </c>
      <c r="FQ664" s="1" t="s">
        <v>7898</v>
      </c>
      <c r="FR664" s="1" t="s">
        <v>210</v>
      </c>
      <c r="FS664" s="1" t="s">
        <v>7290</v>
      </c>
      <c r="FT664" s="1" t="s">
        <v>7899</v>
      </c>
      <c r="FU664" s="1" t="s">
        <v>204</v>
      </c>
      <c r="FW664" s="1" t="s">
        <v>7900</v>
      </c>
      <c r="FX664" s="1">
        <v>12925</v>
      </c>
      <c r="FY664" s="1" t="s">
        <v>7901</v>
      </c>
      <c r="FZ664" s="1" t="s">
        <v>7902</v>
      </c>
      <c r="GA664" s="1">
        <v>127387</v>
      </c>
      <c r="GB664" s="1" t="s">
        <v>7901</v>
      </c>
      <c r="GC664" s="1">
        <v>101789</v>
      </c>
      <c r="GE664" s="1" t="s">
        <v>210</v>
      </c>
      <c r="GH664" s="1" t="s">
        <v>589</v>
      </c>
      <c r="GI664" s="1" t="s">
        <v>213</v>
      </c>
      <c r="GJ664" s="1" t="s">
        <v>260</v>
      </c>
      <c r="GK664" s="1" t="s">
        <v>210</v>
      </c>
      <c r="GL664" s="2">
        <v>42111</v>
      </c>
      <c r="GM664" s="1" t="s">
        <v>7903</v>
      </c>
    </row>
    <row r="665" spans="1:195">
      <c r="A665" s="1">
        <v>135000</v>
      </c>
      <c r="B665" s="1" t="s">
        <v>195</v>
      </c>
      <c r="C665" s="1" t="str">
        <f>"08810284"</f>
        <v>08810284</v>
      </c>
      <c r="D665" s="1" t="s">
        <v>196</v>
      </c>
      <c r="F665" s="1" t="str">
        <f>"30"</f>
        <v>30</v>
      </c>
      <c r="G665" s="2">
        <v>42009</v>
      </c>
      <c r="H665" s="1">
        <v>135000</v>
      </c>
      <c r="I665" s="1">
        <v>135000</v>
      </c>
      <c r="J665" s="1">
        <v>135000</v>
      </c>
      <c r="K665" s="2">
        <v>42009</v>
      </c>
      <c r="L665" s="1">
        <v>6</v>
      </c>
      <c r="M665" s="2">
        <v>42014</v>
      </c>
      <c r="N665" s="1">
        <v>6</v>
      </c>
      <c r="O665" s="2">
        <v>42014</v>
      </c>
      <c r="P665" s="1">
        <v>25752</v>
      </c>
      <c r="Q665" s="1" t="s">
        <v>197</v>
      </c>
      <c r="R665" s="2">
        <v>42062</v>
      </c>
      <c r="S665" s="1">
        <v>16381</v>
      </c>
      <c r="U665" s="1">
        <v>381</v>
      </c>
      <c r="V665" s="1" t="s">
        <v>7904</v>
      </c>
      <c r="W665" s="1" t="s">
        <v>264</v>
      </c>
      <c r="Y665" s="1">
        <v>4</v>
      </c>
      <c r="Z665" s="1" t="s">
        <v>370</v>
      </c>
      <c r="AA665" s="1" t="s">
        <v>1628</v>
      </c>
      <c r="AB665" s="1">
        <v>60030</v>
      </c>
      <c r="AD665" s="1" t="s">
        <v>7905</v>
      </c>
      <c r="AE665" s="1" t="s">
        <v>7906</v>
      </c>
      <c r="AF665" s="1">
        <v>2002</v>
      </c>
      <c r="AG665" s="1" t="s">
        <v>204</v>
      </c>
      <c r="AH665" s="1" t="s">
        <v>1630</v>
      </c>
      <c r="AI665" s="1" t="s">
        <v>509</v>
      </c>
      <c r="AJ665" s="1" t="s">
        <v>1263</v>
      </c>
      <c r="AK665" s="1" t="s">
        <v>7907</v>
      </c>
      <c r="AL665" s="1">
        <v>6</v>
      </c>
      <c r="AM665" s="1">
        <v>2</v>
      </c>
      <c r="AN665" s="1">
        <v>2</v>
      </c>
      <c r="AO665" s="1">
        <v>1</v>
      </c>
      <c r="AP665" s="1" t="s">
        <v>209</v>
      </c>
      <c r="AQ665" s="1">
        <v>1</v>
      </c>
      <c r="AR665" s="1" t="s">
        <v>210</v>
      </c>
      <c r="AS665" s="1" t="s">
        <v>204</v>
      </c>
      <c r="AT665" s="1" t="s">
        <v>211</v>
      </c>
      <c r="AU665" s="1">
        <v>2</v>
      </c>
      <c r="AW665" s="1" t="s">
        <v>213</v>
      </c>
      <c r="AX665" s="1" t="s">
        <v>212</v>
      </c>
      <c r="AZ665" s="1">
        <v>4885.8599999999997</v>
      </c>
      <c r="BA665" s="1">
        <v>2013</v>
      </c>
      <c r="BB665" s="1" t="s">
        <v>405</v>
      </c>
      <c r="BE665" s="1">
        <v>1674</v>
      </c>
      <c r="BF665" s="1">
        <v>1</v>
      </c>
      <c r="BG665" s="1">
        <v>1</v>
      </c>
      <c r="BL665" s="1">
        <v>229</v>
      </c>
      <c r="BM665" s="1" t="s">
        <v>413</v>
      </c>
      <c r="BN665" s="1" t="s">
        <v>213</v>
      </c>
      <c r="BO665" s="1">
        <v>75</v>
      </c>
      <c r="BP665" s="1" t="s">
        <v>204</v>
      </c>
      <c r="BR665" s="1" t="str">
        <f>"06282110320000"</f>
        <v>06282110320000</v>
      </c>
      <c r="BT665" s="1" t="s">
        <v>7908</v>
      </c>
      <c r="BV665" s="1" t="s">
        <v>1842</v>
      </c>
      <c r="BW665" s="1" t="s">
        <v>1843</v>
      </c>
      <c r="BX665" s="1">
        <v>46</v>
      </c>
      <c r="BY665" s="1">
        <v>46</v>
      </c>
      <c r="BZ665" s="1">
        <v>127</v>
      </c>
      <c r="CB665" s="1" t="str">
        <f t="shared" ref="CB665:CC665" si="517">""</f>
        <v/>
      </c>
      <c r="CC665" s="1" t="str">
        <f t="shared" si="517"/>
        <v/>
      </c>
      <c r="CF665" s="1" t="s">
        <v>7909</v>
      </c>
      <c r="CG665" s="1" t="s">
        <v>7425</v>
      </c>
      <c r="CH665" s="1" t="s">
        <v>219</v>
      </c>
      <c r="CI665" s="1" t="s">
        <v>220</v>
      </c>
      <c r="CJ665" s="1" t="s">
        <v>252</v>
      </c>
      <c r="CK665" s="1" t="s">
        <v>757</v>
      </c>
      <c r="CL665" s="1" t="s">
        <v>277</v>
      </c>
      <c r="CM665" s="1" t="s">
        <v>220</v>
      </c>
      <c r="CN665" s="1" t="s">
        <v>210</v>
      </c>
      <c r="CO665" s="1" t="s">
        <v>1046</v>
      </c>
      <c r="CP665" s="1" t="s">
        <v>219</v>
      </c>
      <c r="CQ665" s="1" t="s">
        <v>220</v>
      </c>
      <c r="CR665" s="1" t="s">
        <v>252</v>
      </c>
      <c r="CS665" s="1" t="s">
        <v>379</v>
      </c>
      <c r="CT665" s="1" t="s">
        <v>277</v>
      </c>
      <c r="CU665" s="1" t="s">
        <v>220</v>
      </c>
      <c r="CV665" s="1" t="s">
        <v>210</v>
      </c>
      <c r="CX665" s="1" t="s">
        <v>224</v>
      </c>
      <c r="DB665" s="1" t="s">
        <v>224</v>
      </c>
      <c r="DE665" s="1" t="s">
        <v>317</v>
      </c>
      <c r="DF665" s="1" t="s">
        <v>219</v>
      </c>
      <c r="DG665" s="1" t="s">
        <v>229</v>
      </c>
      <c r="DH665" s="1" t="s">
        <v>252</v>
      </c>
      <c r="DJ665" s="1" t="s">
        <v>224</v>
      </c>
      <c r="DM665" s="1" t="s">
        <v>709</v>
      </c>
      <c r="DN665" s="1" t="s">
        <v>464</v>
      </c>
      <c r="DR665" s="1" t="s">
        <v>3126</v>
      </c>
      <c r="DS665" s="1" t="s">
        <v>219</v>
      </c>
      <c r="DT665" s="1" t="s">
        <v>226</v>
      </c>
      <c r="DU665" s="1" t="s">
        <v>252</v>
      </c>
      <c r="DV665" s="1" t="s">
        <v>378</v>
      </c>
      <c r="DW665" s="1" t="s">
        <v>277</v>
      </c>
      <c r="DX665" s="1" t="s">
        <v>220</v>
      </c>
      <c r="DY665" s="1" t="s">
        <v>252</v>
      </c>
      <c r="EA665" s="1" t="s">
        <v>230</v>
      </c>
      <c r="EE665" s="1" t="s">
        <v>230</v>
      </c>
      <c r="EI665" s="1" t="s">
        <v>230</v>
      </c>
      <c r="EL665" s="1" t="s">
        <v>466</v>
      </c>
      <c r="EM665" s="1" t="s">
        <v>319</v>
      </c>
      <c r="EN665" s="1" t="s">
        <v>282</v>
      </c>
      <c r="EO665" s="1" t="s">
        <v>840</v>
      </c>
      <c r="EP665" s="1" t="s">
        <v>7910</v>
      </c>
      <c r="EQ665" s="1" t="s">
        <v>236</v>
      </c>
      <c r="ER665" s="1" t="s">
        <v>210</v>
      </c>
      <c r="ES665" s="1" t="s">
        <v>493</v>
      </c>
      <c r="ET665" s="1" t="s">
        <v>1161</v>
      </c>
      <c r="EU665" s="1" t="s">
        <v>7911</v>
      </c>
      <c r="EV665" s="1" t="s">
        <v>324</v>
      </c>
      <c r="EW665" s="1" t="s">
        <v>1804</v>
      </c>
      <c r="EY665" s="1" t="s">
        <v>242</v>
      </c>
      <c r="EZ665" s="1" t="s">
        <v>2549</v>
      </c>
      <c r="FA665" s="1" t="s">
        <v>714</v>
      </c>
      <c r="FB665" s="1" t="s">
        <v>7912</v>
      </c>
      <c r="FC665" s="1" t="s">
        <v>3646</v>
      </c>
      <c r="FD665" s="1" t="s">
        <v>246</v>
      </c>
      <c r="FE665" s="1" t="s">
        <v>472</v>
      </c>
      <c r="FF665" s="1" t="s">
        <v>387</v>
      </c>
      <c r="FG665" s="1" t="s">
        <v>292</v>
      </c>
      <c r="FH665" s="1" t="s">
        <v>550</v>
      </c>
      <c r="FI665" s="1" t="s">
        <v>473</v>
      </c>
      <c r="FJ665" s="1" t="s">
        <v>1472</v>
      </c>
      <c r="FL665" s="1" t="s">
        <v>358</v>
      </c>
      <c r="FM665" s="1" t="s">
        <v>252</v>
      </c>
      <c r="FN665" s="1" t="s">
        <v>213</v>
      </c>
      <c r="FO665" s="1" t="s">
        <v>213</v>
      </c>
      <c r="FQ665" s="1" t="s">
        <v>1286</v>
      </c>
      <c r="FR665" s="1" t="s">
        <v>652</v>
      </c>
      <c r="FS665" s="1" t="s">
        <v>7913</v>
      </c>
      <c r="FT665" s="1" t="s">
        <v>520</v>
      </c>
      <c r="FU665" s="1" t="s">
        <v>204</v>
      </c>
      <c r="FW665" s="1" t="s">
        <v>256</v>
      </c>
      <c r="FX665" s="1">
        <v>2648</v>
      </c>
      <c r="FY665" s="1" t="s">
        <v>1022</v>
      </c>
      <c r="FZ665" s="1" t="s">
        <v>7914</v>
      </c>
      <c r="GA665" s="1">
        <v>18414</v>
      </c>
      <c r="GB665" s="1" t="s">
        <v>7915</v>
      </c>
      <c r="GC665" s="1">
        <v>21233</v>
      </c>
      <c r="GE665" s="1" t="s">
        <v>1379</v>
      </c>
      <c r="GH665" s="1" t="s">
        <v>230</v>
      </c>
      <c r="GI665" s="1" t="s">
        <v>213</v>
      </c>
      <c r="GJ665" s="1" t="s">
        <v>260</v>
      </c>
      <c r="GK665" s="1" t="s">
        <v>210</v>
      </c>
      <c r="GL665" s="2">
        <v>42062</v>
      </c>
      <c r="GM665" s="1" t="s">
        <v>7916</v>
      </c>
    </row>
    <row r="666" spans="1:195">
      <c r="A666" s="1">
        <v>169000</v>
      </c>
      <c r="B666" s="1" t="s">
        <v>195</v>
      </c>
      <c r="C666" s="1" t="str">
        <f>"08821993"</f>
        <v>08821993</v>
      </c>
      <c r="D666" s="1" t="s">
        <v>196</v>
      </c>
      <c r="F666" s="1" t="str">
        <f>"187"</f>
        <v>187</v>
      </c>
      <c r="G666" s="2">
        <v>42026</v>
      </c>
      <c r="H666" s="1">
        <v>164000</v>
      </c>
      <c r="I666" s="1">
        <v>164000</v>
      </c>
      <c r="J666" s="1">
        <v>169000</v>
      </c>
      <c r="K666" s="2">
        <v>42026</v>
      </c>
      <c r="L666" s="1">
        <v>6</v>
      </c>
      <c r="M666" s="2">
        <v>42031</v>
      </c>
      <c r="N666" s="1">
        <v>6</v>
      </c>
      <c r="O666" s="2">
        <v>42031</v>
      </c>
      <c r="P666" s="1">
        <v>25088</v>
      </c>
      <c r="Q666" s="1" t="s">
        <v>197</v>
      </c>
      <c r="R666" s="2">
        <v>42076</v>
      </c>
      <c r="S666" s="1">
        <v>256862</v>
      </c>
      <c r="U666" s="1">
        <v>1037</v>
      </c>
      <c r="V666" s="1" t="s">
        <v>7917</v>
      </c>
      <c r="W666" s="1" t="s">
        <v>304</v>
      </c>
      <c r="Y666" s="1">
        <v>4</v>
      </c>
      <c r="Z666" s="1" t="s">
        <v>370</v>
      </c>
      <c r="AA666" s="1" t="s">
        <v>964</v>
      </c>
      <c r="AB666" s="1">
        <v>60189</v>
      </c>
      <c r="AE666" s="1" t="s">
        <v>7918</v>
      </c>
      <c r="AF666" s="1">
        <v>1978</v>
      </c>
      <c r="AG666" s="1" t="s">
        <v>204</v>
      </c>
      <c r="AH666" s="1" t="s">
        <v>967</v>
      </c>
      <c r="AI666" s="1" t="s">
        <v>206</v>
      </c>
      <c r="AJ666" s="1" t="s">
        <v>207</v>
      </c>
      <c r="AK666" s="1" t="s">
        <v>3149</v>
      </c>
      <c r="AL666" s="1">
        <v>6</v>
      </c>
      <c r="AM666" s="1">
        <v>2</v>
      </c>
      <c r="AN666" s="1">
        <v>1</v>
      </c>
      <c r="AO666" s="1">
        <v>1</v>
      </c>
      <c r="AP666" s="1" t="s">
        <v>210</v>
      </c>
      <c r="AQ666" s="1">
        <v>1</v>
      </c>
      <c r="AR666" s="1" t="s">
        <v>209</v>
      </c>
      <c r="AS666" s="1" t="s">
        <v>204</v>
      </c>
      <c r="AT666" s="1" t="s">
        <v>211</v>
      </c>
      <c r="AU666" s="1">
        <v>1</v>
      </c>
      <c r="AW666" s="1" t="s">
        <v>204</v>
      </c>
      <c r="AX666" s="1" t="s">
        <v>212</v>
      </c>
      <c r="AZ666" s="1">
        <v>3603</v>
      </c>
      <c r="BA666" s="1">
        <v>2013</v>
      </c>
      <c r="BE666" s="1">
        <v>1160</v>
      </c>
      <c r="BF666" s="1">
        <v>1</v>
      </c>
      <c r="BG666" s="1">
        <v>0</v>
      </c>
      <c r="BL666" s="1">
        <v>165</v>
      </c>
      <c r="BM666" s="1" t="s">
        <v>204</v>
      </c>
      <c r="BN666" s="1" t="s">
        <v>213</v>
      </c>
      <c r="BO666" s="1">
        <v>999</v>
      </c>
      <c r="BP666" s="1" t="s">
        <v>204</v>
      </c>
      <c r="BR666" s="1" t="str">
        <f>"0522320020"</f>
        <v>0522320020</v>
      </c>
      <c r="BT666" s="1" t="s">
        <v>7919</v>
      </c>
      <c r="BX666" s="1">
        <v>89</v>
      </c>
      <c r="BY666" s="1">
        <v>89</v>
      </c>
      <c r="BZ666" s="1">
        <v>87</v>
      </c>
      <c r="CB666" s="1" t="str">
        <f t="shared" ref="CB666:CC666" si="518">""</f>
        <v/>
      </c>
      <c r="CC666" s="1" t="str">
        <f t="shared" si="518"/>
        <v/>
      </c>
      <c r="CG666" s="1" t="s">
        <v>538</v>
      </c>
      <c r="CH666" s="1" t="s">
        <v>219</v>
      </c>
      <c r="CI666" s="1" t="s">
        <v>438</v>
      </c>
      <c r="CK666" s="1" t="s">
        <v>278</v>
      </c>
      <c r="CL666" s="1" t="s">
        <v>277</v>
      </c>
      <c r="CM666" s="1" t="s">
        <v>220</v>
      </c>
      <c r="CO666" s="1" t="s">
        <v>821</v>
      </c>
      <c r="CP666" s="1" t="s">
        <v>219</v>
      </c>
      <c r="CQ666" s="1" t="s">
        <v>438</v>
      </c>
      <c r="CS666" s="1" t="s">
        <v>378</v>
      </c>
      <c r="CT666" s="1" t="s">
        <v>277</v>
      </c>
      <c r="CU666" s="1" t="s">
        <v>220</v>
      </c>
      <c r="CX666" s="1" t="s">
        <v>224</v>
      </c>
      <c r="DB666" s="1" t="s">
        <v>224</v>
      </c>
      <c r="DE666" s="1" t="s">
        <v>489</v>
      </c>
      <c r="DF666" s="1" t="s">
        <v>219</v>
      </c>
      <c r="DG666" s="1" t="s">
        <v>226</v>
      </c>
      <c r="DJ666" s="1" t="s">
        <v>224</v>
      </c>
      <c r="DM666" s="1" t="s">
        <v>934</v>
      </c>
      <c r="DR666" s="1" t="s">
        <v>908</v>
      </c>
      <c r="DS666" s="1" t="s">
        <v>822</v>
      </c>
      <c r="DT666" s="1" t="s">
        <v>220</v>
      </c>
      <c r="DW666" s="1" t="s">
        <v>230</v>
      </c>
      <c r="EA666" s="1" t="s">
        <v>230</v>
      </c>
      <c r="EE666" s="1" t="s">
        <v>230</v>
      </c>
      <c r="EI666" s="1" t="s">
        <v>230</v>
      </c>
      <c r="EL666" s="1" t="s">
        <v>231</v>
      </c>
      <c r="EM666" s="1" t="s">
        <v>232</v>
      </c>
      <c r="EN666" s="1" t="s">
        <v>282</v>
      </c>
      <c r="EO666" s="1" t="s">
        <v>1020</v>
      </c>
      <c r="EP666" s="1" t="s">
        <v>1489</v>
      </c>
      <c r="EQ666" s="1" t="s">
        <v>1094</v>
      </c>
      <c r="ER666" s="1" t="s">
        <v>351</v>
      </c>
      <c r="EV666" s="1" t="s">
        <v>352</v>
      </c>
      <c r="EW666" s="1" t="s">
        <v>887</v>
      </c>
      <c r="EZ666" s="1" t="s">
        <v>934</v>
      </c>
      <c r="FA666" s="1" t="s">
        <v>5059</v>
      </c>
      <c r="FD666" s="1" t="s">
        <v>246</v>
      </c>
      <c r="FE666" s="1" t="s">
        <v>651</v>
      </c>
      <c r="FF666" s="1" t="s">
        <v>248</v>
      </c>
      <c r="FG666" s="1" t="s">
        <v>871</v>
      </c>
      <c r="FH666" s="1" t="s">
        <v>550</v>
      </c>
      <c r="FL666" s="1" t="s">
        <v>358</v>
      </c>
      <c r="FM666" s="1" t="s">
        <v>252</v>
      </c>
      <c r="FN666" s="1" t="s">
        <v>213</v>
      </c>
      <c r="FO666" s="1" t="s">
        <v>213</v>
      </c>
      <c r="FQ666" s="1" t="s">
        <v>7920</v>
      </c>
      <c r="FR666" s="1" t="s">
        <v>210</v>
      </c>
      <c r="FS666" s="1" t="s">
        <v>7921</v>
      </c>
      <c r="FT666" s="1" t="s">
        <v>295</v>
      </c>
      <c r="FU666" s="1" t="s">
        <v>204</v>
      </c>
      <c r="FW666" s="1" t="s">
        <v>585</v>
      </c>
      <c r="FX666" s="1">
        <v>25003</v>
      </c>
      <c r="FY666" s="1" t="s">
        <v>1330</v>
      </c>
      <c r="FZ666" s="1" t="s">
        <v>7922</v>
      </c>
      <c r="GA666" s="1">
        <v>216886</v>
      </c>
      <c r="GB666" s="1" t="s">
        <v>7923</v>
      </c>
      <c r="GE666" s="1" t="s">
        <v>210</v>
      </c>
      <c r="GI666" s="1" t="s">
        <v>213</v>
      </c>
      <c r="GJ666" s="1" t="s">
        <v>260</v>
      </c>
      <c r="GK666" s="1" t="s">
        <v>210</v>
      </c>
      <c r="GL666" s="2">
        <v>42076</v>
      </c>
      <c r="GM666" s="1" t="s">
        <v>7924</v>
      </c>
    </row>
    <row r="667" spans="1:195">
      <c r="A667" s="1">
        <v>90000</v>
      </c>
      <c r="B667" s="1" t="s">
        <v>195</v>
      </c>
      <c r="C667" s="1" t="str">
        <f>"08816213"</f>
        <v>08816213</v>
      </c>
      <c r="D667" s="1" t="s">
        <v>196</v>
      </c>
      <c r="F667" s="1" t="str">
        <f>"107"</f>
        <v>107</v>
      </c>
      <c r="G667" s="2">
        <v>42018</v>
      </c>
      <c r="H667" s="1">
        <v>95000</v>
      </c>
      <c r="I667" s="1">
        <v>95000</v>
      </c>
      <c r="J667" s="1">
        <v>90000</v>
      </c>
      <c r="K667" s="2">
        <v>42018</v>
      </c>
      <c r="L667" s="1">
        <v>10</v>
      </c>
      <c r="M667" s="2">
        <v>42027</v>
      </c>
      <c r="N667" s="1">
        <v>10</v>
      </c>
      <c r="O667" s="2">
        <v>42027</v>
      </c>
      <c r="P667" s="1">
        <v>8969</v>
      </c>
      <c r="Q667" s="1" t="s">
        <v>302</v>
      </c>
      <c r="R667" s="2">
        <v>42065</v>
      </c>
      <c r="S667" s="1">
        <v>29046</v>
      </c>
      <c r="U667" s="1">
        <v>40</v>
      </c>
      <c r="V667" s="1" t="s">
        <v>6070</v>
      </c>
      <c r="W667" s="1" t="s">
        <v>504</v>
      </c>
      <c r="X667" s="1" t="s">
        <v>4627</v>
      </c>
      <c r="Y667" s="1">
        <v>4</v>
      </c>
      <c r="Z667" s="1" t="s">
        <v>249</v>
      </c>
      <c r="AA667" s="1" t="s">
        <v>1211</v>
      </c>
      <c r="AB667" s="1">
        <v>60107</v>
      </c>
      <c r="AD667" s="1" t="s">
        <v>5883</v>
      </c>
      <c r="AE667" s="1" t="s">
        <v>7925</v>
      </c>
      <c r="AF667" s="1">
        <v>1987</v>
      </c>
      <c r="AG667" s="1" t="s">
        <v>204</v>
      </c>
      <c r="AH667" s="1" t="s">
        <v>1214</v>
      </c>
      <c r="AI667" s="1" t="s">
        <v>310</v>
      </c>
      <c r="AJ667" s="1" t="s">
        <v>1717</v>
      </c>
      <c r="AK667" s="1" t="s">
        <v>1460</v>
      </c>
      <c r="AL667" s="1">
        <v>5</v>
      </c>
      <c r="AM667" s="1">
        <v>2</v>
      </c>
      <c r="AN667" s="1">
        <v>2</v>
      </c>
      <c r="AO667" s="1">
        <v>0</v>
      </c>
      <c r="AP667" s="1" t="s">
        <v>209</v>
      </c>
      <c r="AR667" s="1" t="s">
        <v>210</v>
      </c>
      <c r="AS667" s="1" t="s">
        <v>204</v>
      </c>
      <c r="AT667" s="1" t="s">
        <v>211</v>
      </c>
      <c r="AU667" s="1">
        <v>1</v>
      </c>
      <c r="AW667" s="1" t="s">
        <v>204</v>
      </c>
      <c r="AX667" s="1" t="s">
        <v>1813</v>
      </c>
      <c r="AZ667" s="1">
        <v>1908.54</v>
      </c>
      <c r="BA667" s="1">
        <v>2013</v>
      </c>
      <c r="BE667" s="1">
        <v>1000</v>
      </c>
      <c r="BF667" s="1">
        <v>2</v>
      </c>
      <c r="BG667" s="1">
        <v>14</v>
      </c>
      <c r="BL667" s="1">
        <v>282</v>
      </c>
      <c r="BM667" s="1" t="s">
        <v>204</v>
      </c>
      <c r="BN667" s="1" t="s">
        <v>213</v>
      </c>
      <c r="BO667" s="1">
        <v>20</v>
      </c>
      <c r="BP667" s="1" t="s">
        <v>204</v>
      </c>
      <c r="BR667" s="1" t="str">
        <f>"06144250010000"</f>
        <v>06144250010000</v>
      </c>
      <c r="BT667" s="1" t="s">
        <v>7926</v>
      </c>
      <c r="BU667" s="1" t="s">
        <v>5886</v>
      </c>
      <c r="BV667" s="1" t="s">
        <v>3557</v>
      </c>
      <c r="BW667" s="1" t="s">
        <v>1217</v>
      </c>
      <c r="BX667" s="1">
        <v>46</v>
      </c>
      <c r="BY667" s="1">
        <v>46</v>
      </c>
      <c r="BZ667" s="1">
        <v>46</v>
      </c>
      <c r="CB667" s="1" t="str">
        <f>"11"</f>
        <v>11</v>
      </c>
      <c r="CC667" s="1" t="str">
        <f>"0"</f>
        <v>0</v>
      </c>
      <c r="CD667" s="1">
        <v>28</v>
      </c>
      <c r="CE667" s="1">
        <v>0</v>
      </c>
      <c r="CG667" s="1" t="s">
        <v>228</v>
      </c>
      <c r="CH667" s="1" t="s">
        <v>277</v>
      </c>
      <c r="CI667" s="1" t="s">
        <v>220</v>
      </c>
      <c r="CK667" s="1" t="s">
        <v>757</v>
      </c>
      <c r="CL667" s="1" t="s">
        <v>277</v>
      </c>
      <c r="CM667" s="1" t="s">
        <v>220</v>
      </c>
      <c r="CO667" s="1" t="s">
        <v>629</v>
      </c>
      <c r="CP667" s="1" t="s">
        <v>277</v>
      </c>
      <c r="CQ667" s="1" t="s">
        <v>220</v>
      </c>
      <c r="CS667" s="1" t="s">
        <v>757</v>
      </c>
      <c r="CT667" s="1" t="s">
        <v>277</v>
      </c>
      <c r="CU667" s="1" t="s">
        <v>220</v>
      </c>
      <c r="CX667" s="1" t="s">
        <v>224</v>
      </c>
      <c r="DB667" s="1" t="s">
        <v>224</v>
      </c>
      <c r="DE667" s="1" t="s">
        <v>516</v>
      </c>
      <c r="DF667" s="1" t="s">
        <v>277</v>
      </c>
      <c r="DG667" s="1" t="s">
        <v>342</v>
      </c>
      <c r="DJ667" s="1" t="s">
        <v>224</v>
      </c>
      <c r="DS667" s="1" t="s">
        <v>230</v>
      </c>
      <c r="DW667" s="1" t="s">
        <v>230</v>
      </c>
      <c r="EA667" s="1" t="s">
        <v>230</v>
      </c>
      <c r="EE667" s="1" t="s">
        <v>230</v>
      </c>
      <c r="EI667" s="1" t="s">
        <v>230</v>
      </c>
      <c r="EL667" s="1" t="s">
        <v>542</v>
      </c>
      <c r="EM667" s="1" t="s">
        <v>232</v>
      </c>
      <c r="EN667" s="1" t="s">
        <v>282</v>
      </c>
      <c r="EO667" s="1" t="s">
        <v>234</v>
      </c>
      <c r="EP667" s="1" t="s">
        <v>7910</v>
      </c>
      <c r="EQ667" s="1" t="s">
        <v>350</v>
      </c>
      <c r="ER667" s="1" t="s">
        <v>210</v>
      </c>
      <c r="ES667" s="1" t="s">
        <v>545</v>
      </c>
      <c r="EV667" s="1" t="s">
        <v>240</v>
      </c>
      <c r="EW667" s="1" t="s">
        <v>937</v>
      </c>
      <c r="EY667" s="1" t="s">
        <v>242</v>
      </c>
      <c r="EZ667" s="1" t="s">
        <v>287</v>
      </c>
      <c r="FB667" s="1" t="s">
        <v>7927</v>
      </c>
      <c r="FC667" s="1" t="s">
        <v>735</v>
      </c>
      <c r="FD667" s="1" t="s">
        <v>3472</v>
      </c>
      <c r="FE667" s="1" t="s">
        <v>496</v>
      </c>
      <c r="FF667" s="1" t="s">
        <v>248</v>
      </c>
      <c r="FH667" s="1" t="s">
        <v>249</v>
      </c>
      <c r="FJ667" s="1" t="s">
        <v>1472</v>
      </c>
      <c r="FL667" s="1" t="s">
        <v>358</v>
      </c>
      <c r="FM667" s="1" t="s">
        <v>252</v>
      </c>
      <c r="FN667" s="1" t="s">
        <v>213</v>
      </c>
      <c r="FO667" s="1" t="s">
        <v>213</v>
      </c>
      <c r="FQ667" s="1" t="s">
        <v>3977</v>
      </c>
      <c r="FR667" s="1" t="s">
        <v>210</v>
      </c>
      <c r="FS667" s="1" t="s">
        <v>4238</v>
      </c>
      <c r="FT667" s="1" t="s">
        <v>362</v>
      </c>
      <c r="FU667" s="1" t="s">
        <v>204</v>
      </c>
      <c r="FW667" s="1" t="s">
        <v>1475</v>
      </c>
      <c r="FX667" s="1">
        <v>23265</v>
      </c>
      <c r="FY667" s="1" t="s">
        <v>1476</v>
      </c>
      <c r="FZ667" s="1" t="s">
        <v>4239</v>
      </c>
      <c r="GA667" s="1">
        <v>232733</v>
      </c>
      <c r="GB667" s="1" t="s">
        <v>4240</v>
      </c>
      <c r="GD667" s="1" t="s">
        <v>4241</v>
      </c>
      <c r="GE667" s="1" t="s">
        <v>335</v>
      </c>
      <c r="GH667" s="1" t="s">
        <v>230</v>
      </c>
      <c r="GI667" s="1" t="s">
        <v>204</v>
      </c>
      <c r="GJ667" s="1" t="s">
        <v>260</v>
      </c>
      <c r="GK667" s="1" t="s">
        <v>210</v>
      </c>
      <c r="GL667" s="2">
        <v>42066</v>
      </c>
      <c r="GM667" s="1" t="s">
        <v>7928</v>
      </c>
    </row>
    <row r="668" spans="1:195">
      <c r="A668" s="1">
        <v>105000</v>
      </c>
      <c r="B668" s="1" t="s">
        <v>195</v>
      </c>
      <c r="C668" s="1" t="str">
        <f>"08803866"</f>
        <v>08803866</v>
      </c>
      <c r="D668" s="1" t="s">
        <v>196</v>
      </c>
      <c r="F668" s="1" t="str">
        <f>"123"</f>
        <v>123</v>
      </c>
      <c r="G668" s="2">
        <v>41991</v>
      </c>
      <c r="H668" s="1">
        <v>109900</v>
      </c>
      <c r="I668" s="1">
        <v>109900</v>
      </c>
      <c r="J668" s="1">
        <v>105000</v>
      </c>
      <c r="K668" s="2">
        <v>41991</v>
      </c>
      <c r="L668" s="1">
        <v>30</v>
      </c>
      <c r="M668" s="2">
        <v>42020</v>
      </c>
      <c r="N668" s="1">
        <v>30</v>
      </c>
      <c r="O668" s="2">
        <v>42020</v>
      </c>
      <c r="P668" s="1">
        <v>8340</v>
      </c>
      <c r="Q668" s="1" t="s">
        <v>302</v>
      </c>
      <c r="R668" s="2">
        <v>42069</v>
      </c>
      <c r="S668" s="1">
        <v>87416</v>
      </c>
      <c r="U668" s="1">
        <v>1303</v>
      </c>
      <c r="V668" s="1" t="s">
        <v>2731</v>
      </c>
      <c r="W668" s="1" t="s">
        <v>449</v>
      </c>
      <c r="X668" s="1">
        <v>1303</v>
      </c>
      <c r="Y668" s="1">
        <v>6</v>
      </c>
      <c r="Z668" s="1" t="s">
        <v>370</v>
      </c>
      <c r="AA668" s="1" t="s">
        <v>1173</v>
      </c>
      <c r="AB668" s="1">
        <v>60120</v>
      </c>
      <c r="AD668" s="1" t="s">
        <v>5744</v>
      </c>
      <c r="AE668" s="1" t="s">
        <v>7929</v>
      </c>
      <c r="AF668" s="1">
        <v>1999</v>
      </c>
      <c r="AG668" s="1" t="s">
        <v>204</v>
      </c>
      <c r="AH668" s="1" t="s">
        <v>339</v>
      </c>
      <c r="AI668" s="1" t="s">
        <v>310</v>
      </c>
      <c r="AJ668" s="1" t="s">
        <v>374</v>
      </c>
      <c r="AK668" s="1" t="s">
        <v>7930</v>
      </c>
      <c r="AL668" s="1">
        <v>5</v>
      </c>
      <c r="AM668" s="1">
        <v>2</v>
      </c>
      <c r="AN668" s="1">
        <v>1</v>
      </c>
      <c r="AO668" s="1">
        <v>0</v>
      </c>
      <c r="AP668" s="1" t="s">
        <v>667</v>
      </c>
      <c r="AQ668" s="1">
        <v>0</v>
      </c>
      <c r="AR668" s="1" t="s">
        <v>210</v>
      </c>
      <c r="AS668" s="1" t="s">
        <v>204</v>
      </c>
      <c r="AT668" s="1" t="s">
        <v>211</v>
      </c>
      <c r="AU668" s="1">
        <v>1</v>
      </c>
      <c r="AW668" s="1" t="s">
        <v>204</v>
      </c>
      <c r="AX668" s="1" t="s">
        <v>212</v>
      </c>
      <c r="AZ668" s="5">
        <v>1672.34</v>
      </c>
      <c r="BA668" s="1">
        <v>2013</v>
      </c>
      <c r="BB668" s="1" t="s">
        <v>405</v>
      </c>
      <c r="BE668" s="1">
        <v>1000</v>
      </c>
      <c r="BF668" s="1">
        <v>2</v>
      </c>
      <c r="BG668" s="1">
        <v>0</v>
      </c>
      <c r="BL668" s="1">
        <v>143</v>
      </c>
      <c r="BM668" s="1" t="s">
        <v>204</v>
      </c>
      <c r="BN668" s="1" t="s">
        <v>213</v>
      </c>
      <c r="BO668" s="1">
        <v>999</v>
      </c>
      <c r="BP668" s="1" t="s">
        <v>204</v>
      </c>
      <c r="BR668" s="1" t="str">
        <f>"06062080081157"</f>
        <v>06062080081157</v>
      </c>
      <c r="BT668" s="1" t="s">
        <v>7931</v>
      </c>
      <c r="BX668" s="1">
        <v>46</v>
      </c>
      <c r="BY668" s="1">
        <v>46</v>
      </c>
      <c r="BZ668" s="1">
        <v>46</v>
      </c>
      <c r="CB668" s="1" t="str">
        <f t="shared" ref="CB668:CC668" si="519">""</f>
        <v/>
      </c>
      <c r="CC668" s="1" t="str">
        <f t="shared" si="519"/>
        <v/>
      </c>
      <c r="CG668" s="1" t="s">
        <v>1737</v>
      </c>
      <c r="CH668" s="1" t="s">
        <v>219</v>
      </c>
      <c r="CI668" s="1" t="s">
        <v>220</v>
      </c>
      <c r="CJ668" s="1" t="s">
        <v>210</v>
      </c>
      <c r="CK668" s="1" t="s">
        <v>539</v>
      </c>
      <c r="CL668" s="1" t="s">
        <v>219</v>
      </c>
      <c r="CM668" s="1" t="s">
        <v>220</v>
      </c>
      <c r="CN668" s="1" t="s">
        <v>252</v>
      </c>
      <c r="CO668" s="1" t="s">
        <v>317</v>
      </c>
      <c r="CP668" s="1" t="s">
        <v>219</v>
      </c>
      <c r="CQ668" s="1" t="s">
        <v>220</v>
      </c>
      <c r="CR668" s="1" t="s">
        <v>252</v>
      </c>
      <c r="CS668" s="1" t="s">
        <v>318</v>
      </c>
      <c r="CT668" s="1" t="s">
        <v>219</v>
      </c>
      <c r="CU668" s="1" t="s">
        <v>220</v>
      </c>
      <c r="CV668" s="1" t="s">
        <v>252</v>
      </c>
      <c r="CX668" s="1" t="s">
        <v>224</v>
      </c>
      <c r="DB668" s="1" t="s">
        <v>224</v>
      </c>
      <c r="DE668" s="1" t="s">
        <v>7932</v>
      </c>
      <c r="DF668" s="1" t="s">
        <v>219</v>
      </c>
      <c r="DG668" s="1" t="s">
        <v>342</v>
      </c>
      <c r="DH668" s="1" t="s">
        <v>210</v>
      </c>
      <c r="DJ668" s="1" t="s">
        <v>224</v>
      </c>
      <c r="DM668" s="1" t="s">
        <v>3011</v>
      </c>
      <c r="DR668" s="1" t="s">
        <v>410</v>
      </c>
      <c r="DS668" s="1" t="s">
        <v>219</v>
      </c>
      <c r="DT668" s="1" t="s">
        <v>342</v>
      </c>
      <c r="DU668" s="1" t="s">
        <v>210</v>
      </c>
      <c r="DW668" s="1" t="s">
        <v>230</v>
      </c>
      <c r="EA668" s="1" t="s">
        <v>230</v>
      </c>
      <c r="EE668" s="1" t="s">
        <v>230</v>
      </c>
      <c r="EI668" s="1" t="s">
        <v>230</v>
      </c>
      <c r="EL668" s="1" t="s">
        <v>466</v>
      </c>
      <c r="EM668" s="1" t="s">
        <v>319</v>
      </c>
      <c r="EN668" s="1" t="s">
        <v>282</v>
      </c>
      <c r="EO668" s="1" t="s">
        <v>234</v>
      </c>
      <c r="EP668" s="1" t="s">
        <v>650</v>
      </c>
      <c r="EQ668" s="1" t="s">
        <v>284</v>
      </c>
      <c r="ER668" s="1" t="s">
        <v>210</v>
      </c>
      <c r="ES668" s="1" t="s">
        <v>824</v>
      </c>
      <c r="EU668" s="1" t="s">
        <v>1110</v>
      </c>
      <c r="EV668" s="1" t="s">
        <v>240</v>
      </c>
      <c r="EW668" s="1" t="s">
        <v>4410</v>
      </c>
      <c r="EY668" s="1" t="s">
        <v>790</v>
      </c>
      <c r="EZ668" s="1" t="s">
        <v>3011</v>
      </c>
      <c r="FA668" s="1" t="s">
        <v>672</v>
      </c>
      <c r="FB668" s="1" t="s">
        <v>289</v>
      </c>
      <c r="FC668" s="1" t="s">
        <v>245</v>
      </c>
      <c r="FD668" s="1" t="s">
        <v>495</v>
      </c>
      <c r="FE668" s="1" t="s">
        <v>975</v>
      </c>
      <c r="FF668" s="1" t="s">
        <v>4927</v>
      </c>
      <c r="FH668" s="1" t="s">
        <v>249</v>
      </c>
      <c r="FI668" s="1" t="s">
        <v>473</v>
      </c>
      <c r="FJ668" s="1" t="s">
        <v>1251</v>
      </c>
      <c r="FL668" s="1" t="s">
        <v>358</v>
      </c>
      <c r="FM668" s="1" t="s">
        <v>252</v>
      </c>
      <c r="FN668" s="1" t="s">
        <v>213</v>
      </c>
      <c r="FO668" s="1" t="s">
        <v>204</v>
      </c>
      <c r="FQ668" s="1" t="s">
        <v>4853</v>
      </c>
      <c r="FR668" s="1" t="s">
        <v>210</v>
      </c>
      <c r="FS668" s="1" t="s">
        <v>7933</v>
      </c>
      <c r="FT668" s="1" t="s">
        <v>7934</v>
      </c>
      <c r="FU668" s="1" t="s">
        <v>204</v>
      </c>
      <c r="FW668" s="1" t="s">
        <v>813</v>
      </c>
      <c r="FX668" s="1">
        <v>771</v>
      </c>
      <c r="FY668" s="1" t="s">
        <v>5306</v>
      </c>
      <c r="FZ668" s="1" t="s">
        <v>7935</v>
      </c>
      <c r="GA668" s="1">
        <v>8548</v>
      </c>
      <c r="GB668" s="1" t="s">
        <v>7936</v>
      </c>
      <c r="GC668" s="1">
        <v>706</v>
      </c>
      <c r="GE668" s="1" t="s">
        <v>210</v>
      </c>
      <c r="GI668" s="1" t="s">
        <v>213</v>
      </c>
      <c r="GJ668" s="1" t="s">
        <v>260</v>
      </c>
      <c r="GK668" s="1" t="s">
        <v>210</v>
      </c>
      <c r="GL668" s="2">
        <v>42069</v>
      </c>
      <c r="GM668" s="1" t="s">
        <v>7937</v>
      </c>
    </row>
    <row r="669" spans="1:195">
      <c r="A669" s="1">
        <v>119000</v>
      </c>
      <c r="B669" s="1" t="s">
        <v>195</v>
      </c>
      <c r="C669" s="1" t="str">
        <f>"08803615"</f>
        <v>08803615</v>
      </c>
      <c r="D669" s="1" t="s">
        <v>196</v>
      </c>
      <c r="F669" s="1" t="str">
        <f>"8041"</f>
        <v>8041</v>
      </c>
      <c r="G669" s="2">
        <v>41990</v>
      </c>
      <c r="H669" s="1">
        <v>118000</v>
      </c>
      <c r="I669" s="1">
        <v>104500</v>
      </c>
      <c r="J669" s="1">
        <v>119000</v>
      </c>
      <c r="K669" s="2">
        <v>41990</v>
      </c>
      <c r="L669" s="1">
        <v>72</v>
      </c>
      <c r="M669" s="2">
        <v>42061</v>
      </c>
      <c r="N669" s="1">
        <v>72</v>
      </c>
      <c r="O669" s="2">
        <v>42061</v>
      </c>
      <c r="P669" s="1">
        <v>18235</v>
      </c>
      <c r="Q669" s="1" t="s">
        <v>302</v>
      </c>
      <c r="R669" s="2">
        <v>42083</v>
      </c>
      <c r="S669" s="1">
        <v>144354</v>
      </c>
      <c r="U669" s="1">
        <v>1451</v>
      </c>
      <c r="V669" s="1" t="s">
        <v>5725</v>
      </c>
      <c r="W669" s="1" t="s">
        <v>725</v>
      </c>
      <c r="X669" s="1" t="s">
        <v>7938</v>
      </c>
      <c r="Y669" s="1">
        <v>540</v>
      </c>
      <c r="Z669" s="1" t="s">
        <v>249</v>
      </c>
      <c r="AA669" s="1" t="s">
        <v>400</v>
      </c>
      <c r="AB669" s="1">
        <v>60615</v>
      </c>
      <c r="AC669" s="1">
        <v>5408</v>
      </c>
      <c r="AD669" s="1" t="s">
        <v>7939</v>
      </c>
      <c r="AE669" s="1" t="s">
        <v>7940</v>
      </c>
      <c r="AF669" s="1">
        <v>1965</v>
      </c>
      <c r="AG669" s="1" t="s">
        <v>213</v>
      </c>
      <c r="AH669" s="1" t="s">
        <v>403</v>
      </c>
      <c r="AI669" s="1" t="s">
        <v>310</v>
      </c>
      <c r="AJ669" s="1" t="s">
        <v>562</v>
      </c>
      <c r="AK669" s="1" t="s">
        <v>270</v>
      </c>
      <c r="AL669" s="1">
        <v>5</v>
      </c>
      <c r="AM669" s="1">
        <v>2</v>
      </c>
      <c r="AN669" s="1">
        <v>2</v>
      </c>
      <c r="AO669" s="1">
        <v>0</v>
      </c>
      <c r="AP669" s="1" t="s">
        <v>209</v>
      </c>
      <c r="AR669" s="1" t="s">
        <v>210</v>
      </c>
      <c r="AS669" s="1" t="s">
        <v>204</v>
      </c>
      <c r="AT669" s="1" t="s">
        <v>211</v>
      </c>
      <c r="AU669" s="1">
        <v>1</v>
      </c>
      <c r="AW669" s="1" t="s">
        <v>204</v>
      </c>
      <c r="AX669" s="1" t="s">
        <v>212</v>
      </c>
      <c r="AZ669" s="1">
        <v>1524</v>
      </c>
      <c r="BA669" s="1">
        <v>2013</v>
      </c>
      <c r="BB669" s="1" t="s">
        <v>405</v>
      </c>
      <c r="BE669" s="1">
        <v>0</v>
      </c>
      <c r="BF669" s="1">
        <v>6</v>
      </c>
      <c r="BG669" s="1">
        <v>30</v>
      </c>
      <c r="BJ669" s="1">
        <v>80</v>
      </c>
      <c r="BK669" s="1" t="s">
        <v>7941</v>
      </c>
      <c r="BL669" s="1">
        <v>668</v>
      </c>
      <c r="BM669" s="1" t="s">
        <v>204</v>
      </c>
      <c r="BN669" s="1" t="s">
        <v>213</v>
      </c>
      <c r="BO669" s="1">
        <v>50</v>
      </c>
      <c r="BP669" s="1" t="s">
        <v>204</v>
      </c>
      <c r="BR669" s="1" t="str">
        <f>"20142020761172"</f>
        <v>20142020761172</v>
      </c>
      <c r="BT669" s="1" t="s">
        <v>7942</v>
      </c>
      <c r="BX669" s="1">
        <v>299</v>
      </c>
      <c r="BY669" s="1">
        <v>299</v>
      </c>
      <c r="BZ669" s="1">
        <v>299</v>
      </c>
      <c r="CB669" s="1" t="str">
        <f t="shared" ref="CB669:CB670" si="520">"0"</f>
        <v>0</v>
      </c>
      <c r="CC669" s="1" t="str">
        <f>"1400"</f>
        <v>1400</v>
      </c>
      <c r="CD669" s="1">
        <v>0</v>
      </c>
      <c r="CE669" s="1">
        <v>5500</v>
      </c>
      <c r="CG669" s="1" t="s">
        <v>1200</v>
      </c>
      <c r="CH669" s="1" t="s">
        <v>219</v>
      </c>
      <c r="CI669" s="1" t="s">
        <v>220</v>
      </c>
      <c r="CK669" s="1" t="s">
        <v>465</v>
      </c>
      <c r="CL669" s="1" t="s">
        <v>219</v>
      </c>
      <c r="CM669" s="1" t="s">
        <v>220</v>
      </c>
      <c r="CO669" s="1" t="s">
        <v>629</v>
      </c>
      <c r="CP669" s="1" t="s">
        <v>219</v>
      </c>
      <c r="CQ669" s="1" t="s">
        <v>220</v>
      </c>
      <c r="CS669" s="1" t="s">
        <v>1046</v>
      </c>
      <c r="CT669" s="1" t="s">
        <v>219</v>
      </c>
      <c r="CU669" s="1" t="s">
        <v>220</v>
      </c>
      <c r="CX669" s="1" t="s">
        <v>224</v>
      </c>
      <c r="DB669" s="1" t="s">
        <v>224</v>
      </c>
      <c r="DE669" s="1" t="s">
        <v>316</v>
      </c>
      <c r="DF669" s="1" t="s">
        <v>219</v>
      </c>
      <c r="DG669" s="1" t="s">
        <v>342</v>
      </c>
      <c r="DH669" s="1" t="s">
        <v>210</v>
      </c>
      <c r="DJ669" s="1" t="s">
        <v>224</v>
      </c>
      <c r="DL669" s="1" t="s">
        <v>210</v>
      </c>
      <c r="DS669" s="1" t="s">
        <v>230</v>
      </c>
      <c r="DW669" s="1" t="s">
        <v>230</v>
      </c>
      <c r="EA669" s="1" t="s">
        <v>230</v>
      </c>
      <c r="EE669" s="1" t="s">
        <v>230</v>
      </c>
      <c r="EI669" s="1" t="s">
        <v>230</v>
      </c>
      <c r="EL669" s="1" t="s">
        <v>605</v>
      </c>
      <c r="EM669" s="1" t="s">
        <v>319</v>
      </c>
      <c r="EN669" s="1" t="s">
        <v>233</v>
      </c>
      <c r="EO669" s="1" t="s">
        <v>234</v>
      </c>
      <c r="EP669" s="1" t="s">
        <v>7943</v>
      </c>
      <c r="EQ669" s="1" t="s">
        <v>2994</v>
      </c>
      <c r="ER669" s="1" t="s">
        <v>210</v>
      </c>
      <c r="ES669" s="1" t="s">
        <v>545</v>
      </c>
      <c r="EV669" s="1" t="s">
        <v>240</v>
      </c>
      <c r="EW669" s="1" t="s">
        <v>7944</v>
      </c>
      <c r="EY669" s="1" t="s">
        <v>242</v>
      </c>
      <c r="EZ669" s="1" t="s">
        <v>287</v>
      </c>
      <c r="FA669" s="1" t="s">
        <v>1427</v>
      </c>
      <c r="FB669" s="1" t="s">
        <v>244</v>
      </c>
      <c r="FC669" s="1" t="s">
        <v>548</v>
      </c>
      <c r="FD669" s="1" t="s">
        <v>246</v>
      </c>
      <c r="FE669" s="1" t="s">
        <v>6104</v>
      </c>
      <c r="FF669" s="1" t="s">
        <v>248</v>
      </c>
      <c r="FH669" s="1" t="s">
        <v>249</v>
      </c>
      <c r="FL669" s="1" t="s">
        <v>292</v>
      </c>
      <c r="FM669" s="1" t="s">
        <v>252</v>
      </c>
      <c r="FN669" s="1" t="s">
        <v>213</v>
      </c>
      <c r="FO669" s="1" t="s">
        <v>213</v>
      </c>
      <c r="FQ669" s="1" t="s">
        <v>2253</v>
      </c>
      <c r="FR669" s="1" t="s">
        <v>210</v>
      </c>
      <c r="FS669" s="1" t="s">
        <v>7945</v>
      </c>
      <c r="FT669" s="1" t="s">
        <v>295</v>
      </c>
      <c r="FU669" s="1" t="s">
        <v>204</v>
      </c>
      <c r="FW669" s="1" t="s">
        <v>7946</v>
      </c>
      <c r="FX669" s="1">
        <v>85700</v>
      </c>
      <c r="FY669" s="1" t="s">
        <v>7947</v>
      </c>
      <c r="FZ669" s="1" t="s">
        <v>7948</v>
      </c>
      <c r="GA669" s="1">
        <v>141996</v>
      </c>
      <c r="GB669" s="1" t="s">
        <v>7949</v>
      </c>
      <c r="GE669" s="1" t="s">
        <v>2504</v>
      </c>
      <c r="GH669" s="1" t="s">
        <v>800</v>
      </c>
      <c r="GI669" s="1" t="s">
        <v>213</v>
      </c>
      <c r="GJ669" s="1" t="s">
        <v>260</v>
      </c>
      <c r="GK669" s="1" t="s">
        <v>210</v>
      </c>
      <c r="GL669" s="2">
        <v>42085</v>
      </c>
      <c r="GM669" s="1" t="s">
        <v>7950</v>
      </c>
    </row>
    <row r="670" spans="1:195">
      <c r="A670" s="1">
        <v>112100</v>
      </c>
      <c r="B670" s="1" t="s">
        <v>195</v>
      </c>
      <c r="C670" s="1" t="str">
        <f>"08804178"</f>
        <v>08804178</v>
      </c>
      <c r="D670" s="1" t="s">
        <v>196</v>
      </c>
      <c r="F670" s="1" t="str">
        <f>"507"</f>
        <v>507</v>
      </c>
      <c r="G670" s="2">
        <v>41991</v>
      </c>
      <c r="H670" s="1">
        <v>119700</v>
      </c>
      <c r="I670" s="1">
        <v>107700</v>
      </c>
      <c r="J670" s="1">
        <v>112100</v>
      </c>
      <c r="K670" s="2">
        <v>41989</v>
      </c>
      <c r="L670" s="1">
        <v>310</v>
      </c>
      <c r="M670" s="2">
        <v>42074</v>
      </c>
      <c r="N670" s="1">
        <v>86</v>
      </c>
      <c r="O670" s="2">
        <v>42074</v>
      </c>
      <c r="P670" s="1">
        <v>23076</v>
      </c>
      <c r="Q670" s="1" t="s">
        <v>197</v>
      </c>
      <c r="R670" s="2">
        <v>42104</v>
      </c>
      <c r="S670" s="1">
        <v>236101</v>
      </c>
      <c r="U670" s="1">
        <v>2335</v>
      </c>
      <c r="V670" s="1" t="s">
        <v>3630</v>
      </c>
      <c r="W670" s="1" t="s">
        <v>264</v>
      </c>
      <c r="X670" s="1">
        <v>2285</v>
      </c>
      <c r="Y670" s="1">
        <v>6</v>
      </c>
      <c r="Z670" s="1" t="s">
        <v>249</v>
      </c>
      <c r="AA670" s="1" t="s">
        <v>1123</v>
      </c>
      <c r="AB670" s="1">
        <v>60503</v>
      </c>
      <c r="AD670" s="1" t="s">
        <v>7951</v>
      </c>
      <c r="AE670" s="1" t="s">
        <v>7952</v>
      </c>
      <c r="AF670" s="1">
        <v>2001</v>
      </c>
      <c r="AG670" s="1" t="s">
        <v>204</v>
      </c>
      <c r="AH670" s="1" t="s">
        <v>1126</v>
      </c>
      <c r="AI670" s="1" t="s">
        <v>1800</v>
      </c>
      <c r="AJ670" s="1" t="s">
        <v>1801</v>
      </c>
      <c r="AL670" s="1">
        <v>6</v>
      </c>
      <c r="AM670" s="1">
        <v>2</v>
      </c>
      <c r="AN670" s="1">
        <v>2</v>
      </c>
      <c r="AO670" s="1">
        <v>1</v>
      </c>
      <c r="AP670" s="1" t="s">
        <v>209</v>
      </c>
      <c r="AR670" s="1" t="s">
        <v>1421</v>
      </c>
      <c r="AS670" s="1" t="s">
        <v>204</v>
      </c>
      <c r="AT670" s="1" t="s">
        <v>211</v>
      </c>
      <c r="AU670" s="1">
        <v>2</v>
      </c>
      <c r="AW670" s="1" t="s">
        <v>204</v>
      </c>
      <c r="AX670" s="1" t="s">
        <v>212</v>
      </c>
      <c r="AZ670" s="1">
        <v>5433.46</v>
      </c>
      <c r="BA670" s="1">
        <v>2012</v>
      </c>
      <c r="BB670" s="1" t="s">
        <v>210</v>
      </c>
      <c r="BE670" s="1">
        <v>1350</v>
      </c>
      <c r="BF670" s="1">
        <v>1</v>
      </c>
      <c r="BG670" s="1">
        <v>0</v>
      </c>
      <c r="BL670" s="1">
        <v>204</v>
      </c>
      <c r="BM670" s="1" t="s">
        <v>413</v>
      </c>
      <c r="BN670" s="1" t="s">
        <v>213</v>
      </c>
      <c r="BO670" s="1">
        <v>20</v>
      </c>
      <c r="BP670" s="1" t="s">
        <v>204</v>
      </c>
      <c r="BR670" s="1" t="str">
        <f>"01063041003000"</f>
        <v>01063041003000</v>
      </c>
      <c r="BT670" s="1" t="s">
        <v>7953</v>
      </c>
      <c r="BU670" s="1" t="s">
        <v>7954</v>
      </c>
      <c r="BV670" s="1" t="s">
        <v>7954</v>
      </c>
      <c r="BW670" s="1" t="s">
        <v>1401</v>
      </c>
      <c r="BX670" s="1">
        <v>308</v>
      </c>
      <c r="BY670" s="1">
        <v>308</v>
      </c>
      <c r="BZ670" s="1">
        <v>308</v>
      </c>
      <c r="CB670" s="1" t="str">
        <f t="shared" si="520"/>
        <v>0</v>
      </c>
      <c r="CC670" s="1" t="str">
        <f>"0"</f>
        <v>0</v>
      </c>
      <c r="CD670" s="1">
        <v>32</v>
      </c>
      <c r="CE670" s="1">
        <v>11</v>
      </c>
      <c r="CG670" s="1" t="s">
        <v>757</v>
      </c>
      <c r="CH670" s="1" t="s">
        <v>277</v>
      </c>
      <c r="CI670" s="1" t="s">
        <v>220</v>
      </c>
      <c r="CK670" s="1" t="s">
        <v>221</v>
      </c>
      <c r="CL670" s="1" t="s">
        <v>784</v>
      </c>
      <c r="CM670" s="1" t="s">
        <v>220</v>
      </c>
      <c r="CO670" s="1" t="s">
        <v>379</v>
      </c>
      <c r="CP670" s="1" t="s">
        <v>277</v>
      </c>
      <c r="CQ670" s="1" t="s">
        <v>220</v>
      </c>
      <c r="CS670" s="1" t="s">
        <v>602</v>
      </c>
      <c r="CT670" s="1" t="s">
        <v>784</v>
      </c>
      <c r="CU670" s="1" t="s">
        <v>220</v>
      </c>
      <c r="CX670" s="1" t="s">
        <v>224</v>
      </c>
      <c r="DB670" s="1" t="s">
        <v>224</v>
      </c>
      <c r="DE670" s="1" t="s">
        <v>461</v>
      </c>
      <c r="DF670" s="1" t="s">
        <v>277</v>
      </c>
      <c r="DG670" s="1" t="s">
        <v>347</v>
      </c>
      <c r="DI670" s="1" t="s">
        <v>221</v>
      </c>
      <c r="DJ670" s="1" t="s">
        <v>822</v>
      </c>
      <c r="DK670" s="1" t="s">
        <v>220</v>
      </c>
      <c r="DS670" s="1" t="s">
        <v>230</v>
      </c>
      <c r="DW670" s="1" t="s">
        <v>230</v>
      </c>
      <c r="EA670" s="1" t="s">
        <v>230</v>
      </c>
      <c r="EE670" s="1" t="s">
        <v>230</v>
      </c>
      <c r="EI670" s="1" t="s">
        <v>230</v>
      </c>
      <c r="EL670" s="1" t="s">
        <v>466</v>
      </c>
      <c r="EM670" s="1" t="s">
        <v>319</v>
      </c>
      <c r="EN670" s="1" t="s">
        <v>282</v>
      </c>
      <c r="EO670" s="1" t="s">
        <v>234</v>
      </c>
      <c r="EP670" s="1" t="s">
        <v>650</v>
      </c>
      <c r="EQ670" s="1" t="s">
        <v>468</v>
      </c>
      <c r="ER670" s="1" t="s">
        <v>544</v>
      </c>
      <c r="ES670" s="1" t="s">
        <v>322</v>
      </c>
      <c r="ET670" s="1" t="s">
        <v>842</v>
      </c>
      <c r="EU670" s="1" t="s">
        <v>239</v>
      </c>
      <c r="EV670" s="1" t="s">
        <v>324</v>
      </c>
      <c r="EW670" s="1" t="s">
        <v>353</v>
      </c>
      <c r="EY670" s="1" t="s">
        <v>790</v>
      </c>
      <c r="EZ670" s="1" t="s">
        <v>287</v>
      </c>
      <c r="FB670" s="1" t="s">
        <v>289</v>
      </c>
      <c r="FC670" s="1" t="s">
        <v>1362</v>
      </c>
      <c r="FD670" s="1" t="s">
        <v>246</v>
      </c>
      <c r="FE670" s="1" t="s">
        <v>355</v>
      </c>
      <c r="FF670" s="1" t="s">
        <v>248</v>
      </c>
      <c r="FH670" s="1" t="s">
        <v>7955</v>
      </c>
      <c r="FI670" s="1" t="s">
        <v>473</v>
      </c>
      <c r="FL670" s="1" t="s">
        <v>358</v>
      </c>
      <c r="FM670" s="1" t="s">
        <v>252</v>
      </c>
      <c r="FN670" s="1" t="s">
        <v>213</v>
      </c>
      <c r="FO670" s="1" t="s">
        <v>213</v>
      </c>
      <c r="FQ670" s="1" t="s">
        <v>849</v>
      </c>
      <c r="FR670" s="1" t="s">
        <v>210</v>
      </c>
      <c r="FS670" s="1" t="s">
        <v>1575</v>
      </c>
      <c r="FT670" s="1" t="s">
        <v>7956</v>
      </c>
      <c r="FU670" s="1" t="s">
        <v>204</v>
      </c>
      <c r="FW670" s="1" t="s">
        <v>915</v>
      </c>
      <c r="FX670" s="1">
        <v>23076</v>
      </c>
      <c r="FY670" s="1" t="s">
        <v>1909</v>
      </c>
      <c r="FZ670" s="1" t="s">
        <v>7957</v>
      </c>
      <c r="GA670" s="1">
        <v>255553</v>
      </c>
      <c r="GB670" s="1" t="s">
        <v>7958</v>
      </c>
      <c r="GE670" s="1" t="s">
        <v>1333</v>
      </c>
      <c r="GI670" s="1" t="s">
        <v>213</v>
      </c>
      <c r="GJ670" s="1" t="s">
        <v>260</v>
      </c>
      <c r="GK670" s="1" t="s">
        <v>210</v>
      </c>
      <c r="GL670" s="2">
        <v>42105</v>
      </c>
      <c r="GM670" s="1" t="s">
        <v>7959</v>
      </c>
    </row>
    <row r="671" spans="1:195">
      <c r="A671" s="1">
        <v>70500</v>
      </c>
      <c r="B671" s="1" t="s">
        <v>195</v>
      </c>
      <c r="C671" s="1" t="str">
        <f>"08805076"</f>
        <v>08805076</v>
      </c>
      <c r="D671" s="1" t="s">
        <v>196</v>
      </c>
      <c r="F671" s="1" t="str">
        <f>"517"</f>
        <v>517</v>
      </c>
      <c r="G671" s="2">
        <v>41995</v>
      </c>
      <c r="H671" s="1">
        <v>72500</v>
      </c>
      <c r="I671" s="1">
        <v>72500</v>
      </c>
      <c r="J671" s="1">
        <v>70500</v>
      </c>
      <c r="K671" s="2">
        <v>41995</v>
      </c>
      <c r="L671" s="1">
        <v>130</v>
      </c>
      <c r="M671" s="2">
        <v>42027</v>
      </c>
      <c r="N671" s="1">
        <v>33</v>
      </c>
      <c r="O671" s="2">
        <v>42027</v>
      </c>
      <c r="P671" s="1">
        <v>20179</v>
      </c>
      <c r="Q671" s="1" t="s">
        <v>197</v>
      </c>
      <c r="R671" s="2">
        <v>42061</v>
      </c>
      <c r="S671" s="1">
        <v>213291</v>
      </c>
      <c r="U671" s="1">
        <v>2222</v>
      </c>
      <c r="V671" s="1" t="s">
        <v>7960</v>
      </c>
      <c r="W671" s="1" t="s">
        <v>264</v>
      </c>
      <c r="X671" s="1">
        <v>23</v>
      </c>
      <c r="Y671" s="1">
        <v>18</v>
      </c>
      <c r="Z671" s="1" t="s">
        <v>249</v>
      </c>
      <c r="AA671" s="1" t="s">
        <v>2850</v>
      </c>
      <c r="AB671" s="1">
        <v>60517</v>
      </c>
      <c r="AD671" s="1" t="s">
        <v>7961</v>
      </c>
      <c r="AE671" s="1" t="s">
        <v>7962</v>
      </c>
      <c r="AF671" s="1">
        <v>1978</v>
      </c>
      <c r="AG671" s="1" t="s">
        <v>204</v>
      </c>
      <c r="AH671" s="1" t="s">
        <v>2853</v>
      </c>
      <c r="AI671" s="1" t="s">
        <v>206</v>
      </c>
      <c r="AJ671" s="1" t="s">
        <v>925</v>
      </c>
      <c r="AL671" s="1">
        <v>5</v>
      </c>
      <c r="AM671" s="1">
        <v>2</v>
      </c>
      <c r="AN671" s="1">
        <v>1</v>
      </c>
      <c r="AO671" s="1">
        <v>0</v>
      </c>
      <c r="AP671" s="1" t="s">
        <v>210</v>
      </c>
      <c r="AQ671" s="1">
        <v>0</v>
      </c>
      <c r="AR671" s="1" t="s">
        <v>210</v>
      </c>
      <c r="AS671" s="1" t="s">
        <v>204</v>
      </c>
      <c r="AT671" s="1" t="s">
        <v>271</v>
      </c>
      <c r="AV671" s="1">
        <v>2</v>
      </c>
      <c r="AW671" s="1" t="s">
        <v>204</v>
      </c>
      <c r="AX671" s="1">
        <v>937</v>
      </c>
      <c r="AZ671" s="1">
        <v>1376</v>
      </c>
      <c r="BA671" s="1">
        <v>2013</v>
      </c>
      <c r="BB671" s="1" t="s">
        <v>405</v>
      </c>
      <c r="BE671" s="1">
        <v>937</v>
      </c>
      <c r="BF671" s="1">
        <v>3</v>
      </c>
      <c r="BG671" s="1">
        <v>0</v>
      </c>
      <c r="BL671" s="1">
        <v>346</v>
      </c>
      <c r="BM671" s="1" t="s">
        <v>204</v>
      </c>
      <c r="BN671" s="1" t="s">
        <v>213</v>
      </c>
      <c r="BO671" s="1">
        <v>0</v>
      </c>
      <c r="BP671" s="1" t="s">
        <v>204</v>
      </c>
      <c r="BR671" s="1" t="str">
        <f>"0825416015"</f>
        <v>0825416015</v>
      </c>
      <c r="BT671" s="1" t="s">
        <v>7963</v>
      </c>
      <c r="BU671" s="1" t="s">
        <v>2855</v>
      </c>
      <c r="BV671" s="1" t="s">
        <v>2856</v>
      </c>
      <c r="BW671" s="1" t="s">
        <v>3099</v>
      </c>
      <c r="BX671" s="1">
        <v>68</v>
      </c>
      <c r="BY671" s="1">
        <v>68</v>
      </c>
      <c r="BZ671" s="1">
        <v>99</v>
      </c>
      <c r="CB671" s="1" t="str">
        <f t="shared" ref="CB671:CC671" si="521">""</f>
        <v/>
      </c>
      <c r="CC671" s="1" t="str">
        <f t="shared" si="521"/>
        <v/>
      </c>
      <c r="CG671" s="1" t="s">
        <v>861</v>
      </c>
      <c r="CH671" s="1" t="s">
        <v>219</v>
      </c>
      <c r="CI671" s="1" t="s">
        <v>229</v>
      </c>
      <c r="CJ671" s="1" t="s">
        <v>463</v>
      </c>
      <c r="CK671" s="1" t="s">
        <v>461</v>
      </c>
      <c r="CL671" s="1" t="s">
        <v>219</v>
      </c>
      <c r="CM671" s="1" t="s">
        <v>220</v>
      </c>
      <c r="CN671" s="1" t="s">
        <v>343</v>
      </c>
      <c r="CO671" s="1" t="s">
        <v>516</v>
      </c>
      <c r="CP671" s="1" t="s">
        <v>219</v>
      </c>
      <c r="CQ671" s="1" t="s">
        <v>229</v>
      </c>
      <c r="CR671" s="1" t="s">
        <v>343</v>
      </c>
      <c r="CS671" s="1" t="s">
        <v>346</v>
      </c>
      <c r="CT671" s="1" t="s">
        <v>219</v>
      </c>
      <c r="CU671" s="1" t="s">
        <v>220</v>
      </c>
      <c r="CV671" s="1" t="s">
        <v>343</v>
      </c>
      <c r="CX671" s="1" t="s">
        <v>224</v>
      </c>
      <c r="DB671" s="1" t="s">
        <v>224</v>
      </c>
      <c r="DE671" s="1" t="s">
        <v>2031</v>
      </c>
      <c r="DF671" s="1" t="s">
        <v>219</v>
      </c>
      <c r="DG671" s="1" t="s">
        <v>229</v>
      </c>
      <c r="DH671" s="1" t="s">
        <v>210</v>
      </c>
      <c r="DJ671" s="1" t="s">
        <v>224</v>
      </c>
      <c r="DS671" s="1" t="s">
        <v>230</v>
      </c>
      <c r="DW671" s="1" t="s">
        <v>230</v>
      </c>
      <c r="EA671" s="1" t="s">
        <v>230</v>
      </c>
      <c r="EE671" s="1" t="s">
        <v>230</v>
      </c>
      <c r="EI671" s="1" t="s">
        <v>230</v>
      </c>
      <c r="EL671" s="1" t="s">
        <v>231</v>
      </c>
      <c r="EM671" s="1" t="s">
        <v>232</v>
      </c>
      <c r="EN671" s="1" t="s">
        <v>282</v>
      </c>
      <c r="EO671" s="1" t="s">
        <v>234</v>
      </c>
      <c r="EQ671" s="1" t="s">
        <v>953</v>
      </c>
      <c r="ER671" s="1" t="s">
        <v>210</v>
      </c>
      <c r="ES671" s="1" t="s">
        <v>545</v>
      </c>
      <c r="EV671" s="1" t="s">
        <v>352</v>
      </c>
      <c r="EW671" s="1" t="s">
        <v>844</v>
      </c>
      <c r="EY671" s="1" t="s">
        <v>242</v>
      </c>
      <c r="EZ671" s="1" t="s">
        <v>287</v>
      </c>
      <c r="FA671" s="1" t="s">
        <v>2723</v>
      </c>
      <c r="FD671" s="1" t="s">
        <v>246</v>
      </c>
      <c r="FE671" s="1" t="s">
        <v>651</v>
      </c>
      <c r="FF671" s="1" t="s">
        <v>248</v>
      </c>
      <c r="FH671" s="1" t="s">
        <v>249</v>
      </c>
      <c r="FL671" s="1" t="s">
        <v>414</v>
      </c>
      <c r="FM671" s="1" t="s">
        <v>252</v>
      </c>
      <c r="FN671" s="1" t="s">
        <v>213</v>
      </c>
      <c r="FO671" s="1" t="s">
        <v>213</v>
      </c>
      <c r="FQ671" s="1" t="s">
        <v>569</v>
      </c>
      <c r="FR671" s="1" t="s">
        <v>210</v>
      </c>
      <c r="FS671" s="1" t="s">
        <v>7964</v>
      </c>
      <c r="FT671" s="1" t="s">
        <v>362</v>
      </c>
      <c r="FU671" s="1" t="s">
        <v>204</v>
      </c>
      <c r="FW671" s="1" t="s">
        <v>1559</v>
      </c>
      <c r="FX671" s="1">
        <v>25083</v>
      </c>
      <c r="FY671" s="1" t="s">
        <v>4110</v>
      </c>
      <c r="FZ671" s="1" t="s">
        <v>7965</v>
      </c>
      <c r="GA671" s="1">
        <v>227336</v>
      </c>
      <c r="GB671" s="1" t="s">
        <v>7966</v>
      </c>
      <c r="GD671" s="1" t="s">
        <v>7967</v>
      </c>
      <c r="GE671" s="1" t="s">
        <v>210</v>
      </c>
      <c r="GI671" s="1" t="s">
        <v>213</v>
      </c>
      <c r="GJ671" s="1" t="s">
        <v>260</v>
      </c>
      <c r="GK671" s="1" t="s">
        <v>210</v>
      </c>
      <c r="GL671" s="2">
        <v>42061</v>
      </c>
      <c r="GM671" s="1" t="s">
        <v>7968</v>
      </c>
    </row>
    <row r="672" spans="1:195">
      <c r="A672" s="1">
        <v>85950</v>
      </c>
      <c r="B672" s="1" t="s">
        <v>195</v>
      </c>
      <c r="C672" s="1" t="str">
        <f>"08818739"</f>
        <v>08818739</v>
      </c>
      <c r="D672" s="1" t="s">
        <v>196</v>
      </c>
      <c r="F672" s="1" t="str">
        <f>"555"</f>
        <v>555</v>
      </c>
      <c r="G672" s="2">
        <v>42022</v>
      </c>
      <c r="H672" s="1">
        <v>87900</v>
      </c>
      <c r="I672" s="1">
        <v>87900</v>
      </c>
      <c r="J672" s="1">
        <v>85950</v>
      </c>
      <c r="K672" s="2">
        <v>42022</v>
      </c>
      <c r="L672" s="1">
        <v>12</v>
      </c>
      <c r="M672" s="2">
        <v>42033</v>
      </c>
      <c r="N672" s="1">
        <v>12</v>
      </c>
      <c r="O672" s="2">
        <v>42033</v>
      </c>
      <c r="P672" s="1">
        <v>25088</v>
      </c>
      <c r="Q672" s="1" t="s">
        <v>197</v>
      </c>
      <c r="R672" s="2">
        <v>42073</v>
      </c>
      <c r="S672" s="1">
        <v>231259</v>
      </c>
      <c r="U672" s="1" t="s">
        <v>7969</v>
      </c>
      <c r="V672" s="1" t="s">
        <v>4143</v>
      </c>
      <c r="W672" s="1" t="s">
        <v>264</v>
      </c>
      <c r="X672" s="1" t="s">
        <v>1000</v>
      </c>
      <c r="Y672" s="1">
        <v>8</v>
      </c>
      <c r="Z672" s="1" t="s">
        <v>249</v>
      </c>
      <c r="AA672" s="1" t="s">
        <v>984</v>
      </c>
      <c r="AB672" s="1">
        <v>60555</v>
      </c>
      <c r="AD672" s="1" t="s">
        <v>4628</v>
      </c>
      <c r="AE672" s="1" t="s">
        <v>7970</v>
      </c>
      <c r="AF672" s="1">
        <v>1977</v>
      </c>
      <c r="AG672" s="1" t="s">
        <v>213</v>
      </c>
      <c r="AH672" s="1" t="s">
        <v>986</v>
      </c>
      <c r="AI672" s="1" t="s">
        <v>206</v>
      </c>
      <c r="AJ672" s="1" t="s">
        <v>987</v>
      </c>
      <c r="AK672" s="1" t="s">
        <v>4519</v>
      </c>
      <c r="AL672" s="1">
        <v>5</v>
      </c>
      <c r="AM672" s="1">
        <v>2</v>
      </c>
      <c r="AN672" s="1">
        <v>1</v>
      </c>
      <c r="AO672" s="1">
        <v>0</v>
      </c>
      <c r="AP672" s="1" t="s">
        <v>209</v>
      </c>
      <c r="AQ672" s="1">
        <v>1</v>
      </c>
      <c r="AR672" s="1" t="s">
        <v>210</v>
      </c>
      <c r="AS672" s="1" t="s">
        <v>204</v>
      </c>
      <c r="AT672" s="1" t="s">
        <v>211</v>
      </c>
      <c r="AU672" s="1">
        <v>1</v>
      </c>
      <c r="AW672" s="1" t="s">
        <v>204</v>
      </c>
      <c r="AX672" s="1" t="s">
        <v>7971</v>
      </c>
      <c r="AZ672" s="1">
        <v>1277.1400000000001</v>
      </c>
      <c r="BA672" s="1">
        <v>2013</v>
      </c>
      <c r="BB672" s="1" t="s">
        <v>2694</v>
      </c>
      <c r="BE672" s="1">
        <v>1024</v>
      </c>
      <c r="BF672" s="1">
        <v>1</v>
      </c>
      <c r="BG672" s="1">
        <v>0</v>
      </c>
      <c r="BL672" s="1">
        <v>256</v>
      </c>
      <c r="BM672" s="1" t="s">
        <v>204</v>
      </c>
      <c r="BN672" s="1" t="s">
        <v>213</v>
      </c>
      <c r="BO672" s="1">
        <v>0</v>
      </c>
      <c r="BP672" s="1" t="s">
        <v>204</v>
      </c>
      <c r="BR672" s="1" t="str">
        <f>"0427414081"</f>
        <v>0427414081</v>
      </c>
      <c r="BT672" s="1" t="s">
        <v>7972</v>
      </c>
      <c r="BU672" s="1" t="s">
        <v>989</v>
      </c>
      <c r="BV672" s="1" t="s">
        <v>990</v>
      </c>
      <c r="BW672" s="1" t="s">
        <v>971</v>
      </c>
      <c r="BX672" s="1">
        <v>200</v>
      </c>
      <c r="BY672" s="1">
        <v>200</v>
      </c>
      <c r="BZ672" s="1">
        <v>200</v>
      </c>
      <c r="CB672" s="1" t="str">
        <f t="shared" ref="CB672:CC672" si="522">""</f>
        <v/>
      </c>
      <c r="CC672" s="1" t="str">
        <f t="shared" si="522"/>
        <v/>
      </c>
      <c r="CG672" s="1" t="s">
        <v>437</v>
      </c>
      <c r="CH672" s="1" t="s">
        <v>219</v>
      </c>
      <c r="CI672" s="1" t="s">
        <v>220</v>
      </c>
      <c r="CJ672" s="1" t="s">
        <v>343</v>
      </c>
      <c r="CK672" s="1" t="s">
        <v>437</v>
      </c>
      <c r="CL672" s="1" t="s">
        <v>219</v>
      </c>
      <c r="CM672" s="1" t="s">
        <v>220</v>
      </c>
      <c r="CN672" s="1" t="s">
        <v>343</v>
      </c>
      <c r="CO672" s="1" t="s">
        <v>316</v>
      </c>
      <c r="CP672" s="1" t="s">
        <v>219</v>
      </c>
      <c r="CQ672" s="1" t="s">
        <v>220</v>
      </c>
      <c r="CR672" s="1" t="s">
        <v>210</v>
      </c>
      <c r="CS672" s="1" t="s">
        <v>378</v>
      </c>
      <c r="CT672" s="1" t="s">
        <v>219</v>
      </c>
      <c r="CU672" s="1" t="s">
        <v>220</v>
      </c>
      <c r="CV672" s="1" t="s">
        <v>343</v>
      </c>
      <c r="CX672" s="1" t="s">
        <v>224</v>
      </c>
      <c r="DB672" s="1" t="s">
        <v>224</v>
      </c>
      <c r="DE672" s="1" t="s">
        <v>758</v>
      </c>
      <c r="DF672" s="1" t="s">
        <v>219</v>
      </c>
      <c r="DG672" s="1" t="s">
        <v>342</v>
      </c>
      <c r="DH672" s="1" t="s">
        <v>343</v>
      </c>
      <c r="DJ672" s="1" t="s">
        <v>224</v>
      </c>
      <c r="DS672" s="1" t="s">
        <v>230</v>
      </c>
      <c r="DW672" s="1" t="s">
        <v>230</v>
      </c>
      <c r="EA672" s="1" t="s">
        <v>230</v>
      </c>
      <c r="EE672" s="1" t="s">
        <v>230</v>
      </c>
      <c r="EI672" s="1" t="s">
        <v>230</v>
      </c>
      <c r="EL672" s="1" t="s">
        <v>231</v>
      </c>
      <c r="EM672" s="1" t="s">
        <v>232</v>
      </c>
      <c r="EN672" s="1" t="s">
        <v>282</v>
      </c>
      <c r="EO672" s="1" t="s">
        <v>7973</v>
      </c>
      <c r="EP672" s="1" t="s">
        <v>7974</v>
      </c>
      <c r="EQ672" s="1" t="s">
        <v>1094</v>
      </c>
      <c r="ER672" s="1" t="s">
        <v>210</v>
      </c>
      <c r="ES672" s="1" t="s">
        <v>824</v>
      </c>
      <c r="EU672" s="1" t="s">
        <v>610</v>
      </c>
      <c r="EV672" s="1" t="s">
        <v>240</v>
      </c>
      <c r="EW672" s="1" t="s">
        <v>7975</v>
      </c>
      <c r="EY672" s="1" t="s">
        <v>242</v>
      </c>
      <c r="EZ672" s="1" t="s">
        <v>287</v>
      </c>
      <c r="FB672" s="1" t="s">
        <v>289</v>
      </c>
      <c r="FD672" s="1" t="s">
        <v>246</v>
      </c>
      <c r="FE672" s="1" t="s">
        <v>549</v>
      </c>
      <c r="FF672" s="1" t="s">
        <v>248</v>
      </c>
      <c r="FG672" s="1" t="s">
        <v>912</v>
      </c>
      <c r="FH672" s="1" t="s">
        <v>7976</v>
      </c>
      <c r="FI672" s="1" t="s">
        <v>3300</v>
      </c>
      <c r="FJ672" s="1" t="s">
        <v>197</v>
      </c>
      <c r="FL672" s="1" t="s">
        <v>414</v>
      </c>
      <c r="FM672" s="1" t="s">
        <v>252</v>
      </c>
      <c r="FN672" s="1" t="s">
        <v>213</v>
      </c>
      <c r="FO672" s="1" t="s">
        <v>204</v>
      </c>
      <c r="FQ672" s="1" t="s">
        <v>913</v>
      </c>
      <c r="FR672" s="1" t="s">
        <v>210</v>
      </c>
      <c r="FS672" s="1" t="s">
        <v>7977</v>
      </c>
      <c r="FT672" s="1" t="s">
        <v>295</v>
      </c>
      <c r="FU672" s="1" t="s">
        <v>204</v>
      </c>
      <c r="FW672" s="1" t="s">
        <v>943</v>
      </c>
      <c r="FX672" s="1">
        <v>23120</v>
      </c>
      <c r="FY672" s="1" t="s">
        <v>944</v>
      </c>
      <c r="FZ672" s="1" t="s">
        <v>7978</v>
      </c>
      <c r="GA672" s="1">
        <v>239531</v>
      </c>
      <c r="GD672" s="1" t="s">
        <v>7979</v>
      </c>
      <c r="GE672" s="1" t="s">
        <v>210</v>
      </c>
      <c r="GI672" s="1" t="s">
        <v>213</v>
      </c>
      <c r="GJ672" s="1" t="s">
        <v>260</v>
      </c>
      <c r="GK672" s="1" t="s">
        <v>210</v>
      </c>
      <c r="GL672" s="2">
        <v>42073</v>
      </c>
      <c r="GM672" s="1" t="s">
        <v>7980</v>
      </c>
    </row>
    <row r="673" spans="1:195">
      <c r="A673" s="1">
        <v>228900</v>
      </c>
      <c r="B673" s="1" t="s">
        <v>195</v>
      </c>
      <c r="C673" s="1" t="str">
        <f>"08804338"</f>
        <v>08804338</v>
      </c>
      <c r="D673" s="1" t="s">
        <v>196</v>
      </c>
      <c r="F673" s="1" t="str">
        <f>"507"</f>
        <v>507</v>
      </c>
      <c r="G673" s="2">
        <v>41992</v>
      </c>
      <c r="H673" s="1">
        <v>229900</v>
      </c>
      <c r="I673" s="1">
        <v>229900</v>
      </c>
      <c r="J673" s="1">
        <v>228900</v>
      </c>
      <c r="K673" s="2">
        <v>41992</v>
      </c>
      <c r="L673" s="1">
        <v>89</v>
      </c>
      <c r="M673" s="2">
        <v>42080</v>
      </c>
      <c r="N673" s="1">
        <v>89</v>
      </c>
      <c r="O673" s="2">
        <v>42080</v>
      </c>
      <c r="P673" s="1">
        <v>23030</v>
      </c>
      <c r="Q673" s="1" t="s">
        <v>197</v>
      </c>
      <c r="R673" s="2">
        <v>42136</v>
      </c>
      <c r="S673" s="1">
        <v>227706</v>
      </c>
      <c r="U673" s="1">
        <v>4119</v>
      </c>
      <c r="V673" s="1" t="s">
        <v>7981</v>
      </c>
      <c r="W673" s="1" t="s">
        <v>504</v>
      </c>
      <c r="Y673" s="1">
        <v>4</v>
      </c>
      <c r="Z673" s="1" t="s">
        <v>249</v>
      </c>
      <c r="AA673" s="1" t="s">
        <v>1123</v>
      </c>
      <c r="AB673" s="1">
        <v>60504</v>
      </c>
      <c r="AD673" s="1" t="s">
        <v>1863</v>
      </c>
      <c r="AE673" s="1" t="s">
        <v>7982</v>
      </c>
      <c r="AF673" s="1">
        <v>2006</v>
      </c>
      <c r="AG673" s="1" t="s">
        <v>204</v>
      </c>
      <c r="AH673" s="1" t="s">
        <v>1126</v>
      </c>
      <c r="AI673" s="1" t="s">
        <v>206</v>
      </c>
      <c r="AJ673" s="1" t="s">
        <v>924</v>
      </c>
      <c r="AL673" s="1">
        <v>8</v>
      </c>
      <c r="AM673" s="1">
        <v>2</v>
      </c>
      <c r="AN673" s="1">
        <v>2</v>
      </c>
      <c r="AO673" s="1">
        <v>1</v>
      </c>
      <c r="AP673" s="1" t="s">
        <v>209</v>
      </c>
      <c r="AR673" s="1" t="s">
        <v>1421</v>
      </c>
      <c r="AS673" s="1" t="s">
        <v>204</v>
      </c>
      <c r="AT673" s="1" t="s">
        <v>211</v>
      </c>
      <c r="AU673" s="1">
        <v>2</v>
      </c>
      <c r="AW673" s="1" t="s">
        <v>204</v>
      </c>
      <c r="AX673" s="1" t="s">
        <v>212</v>
      </c>
      <c r="AZ673" s="1">
        <v>5393</v>
      </c>
      <c r="BA673" s="1">
        <v>2013</v>
      </c>
      <c r="BE673" s="1">
        <v>1598</v>
      </c>
      <c r="BF673" s="1">
        <v>1</v>
      </c>
      <c r="BG673" s="1">
        <v>0</v>
      </c>
      <c r="BL673" s="1">
        <v>172</v>
      </c>
      <c r="BM673" s="1" t="s">
        <v>204</v>
      </c>
      <c r="BN673" s="1" t="s">
        <v>213</v>
      </c>
      <c r="BO673" s="1">
        <v>999</v>
      </c>
      <c r="BP673" s="1" t="s">
        <v>204</v>
      </c>
      <c r="BR673" s="1" t="str">
        <f>"0721211163"</f>
        <v>0721211163</v>
      </c>
      <c r="BT673" s="1" t="s">
        <v>7983</v>
      </c>
      <c r="BU673" s="1" t="s">
        <v>7984</v>
      </c>
      <c r="BV673" s="1" t="s">
        <v>1248</v>
      </c>
      <c r="BW673" s="1" t="s">
        <v>1131</v>
      </c>
      <c r="BX673" s="1">
        <v>204</v>
      </c>
      <c r="BY673" s="1">
        <v>204</v>
      </c>
      <c r="BZ673" s="1">
        <v>204</v>
      </c>
      <c r="CB673" s="1" t="str">
        <f t="shared" ref="CB673:CC673" si="523">"0"</f>
        <v>0</v>
      </c>
      <c r="CC673" s="1" t="str">
        <f t="shared" si="523"/>
        <v>0</v>
      </c>
      <c r="CD673" s="1">
        <v>30</v>
      </c>
      <c r="CE673" s="1">
        <v>7</v>
      </c>
      <c r="CG673" s="1" t="s">
        <v>729</v>
      </c>
      <c r="CH673" s="1" t="s">
        <v>219</v>
      </c>
      <c r="CI673" s="1" t="s">
        <v>220</v>
      </c>
      <c r="CJ673" s="1" t="s">
        <v>252</v>
      </c>
      <c r="CK673" s="1" t="s">
        <v>228</v>
      </c>
      <c r="CL673" s="1" t="s">
        <v>277</v>
      </c>
      <c r="CM673" s="1" t="s">
        <v>220</v>
      </c>
      <c r="CN673" s="1" t="s">
        <v>252</v>
      </c>
      <c r="CO673" s="1" t="s">
        <v>318</v>
      </c>
      <c r="CP673" s="1" t="s">
        <v>219</v>
      </c>
      <c r="CQ673" s="1" t="s">
        <v>438</v>
      </c>
      <c r="CR673" s="1" t="s">
        <v>252</v>
      </c>
      <c r="CS673" s="1" t="s">
        <v>346</v>
      </c>
      <c r="CT673" s="1" t="s">
        <v>277</v>
      </c>
      <c r="CU673" s="1" t="s">
        <v>220</v>
      </c>
      <c r="CV673" s="1" t="s">
        <v>252</v>
      </c>
      <c r="CW673" s="1" t="s">
        <v>837</v>
      </c>
      <c r="CX673" s="1" t="s">
        <v>43</v>
      </c>
      <c r="CY673" s="1" t="s">
        <v>220</v>
      </c>
      <c r="CZ673" s="1" t="s">
        <v>252</v>
      </c>
      <c r="DB673" s="1" t="s">
        <v>224</v>
      </c>
      <c r="DE673" s="1" t="s">
        <v>318</v>
      </c>
      <c r="DF673" s="1" t="s">
        <v>219</v>
      </c>
      <c r="DG673" s="1" t="s">
        <v>438</v>
      </c>
      <c r="DI673" s="1" t="s">
        <v>379</v>
      </c>
      <c r="DJ673" s="1" t="s">
        <v>219</v>
      </c>
      <c r="DK673" s="1" t="s">
        <v>438</v>
      </c>
      <c r="DL673" s="1" t="s">
        <v>252</v>
      </c>
      <c r="DM673" s="1" t="s">
        <v>464</v>
      </c>
      <c r="DR673" s="1" t="s">
        <v>379</v>
      </c>
      <c r="DS673" s="1" t="s">
        <v>277</v>
      </c>
      <c r="DT673" s="1" t="s">
        <v>220</v>
      </c>
      <c r="DU673" s="1" t="s">
        <v>252</v>
      </c>
      <c r="DW673" s="1" t="s">
        <v>230</v>
      </c>
      <c r="EA673" s="1" t="s">
        <v>230</v>
      </c>
      <c r="EE673" s="1" t="s">
        <v>230</v>
      </c>
      <c r="EI673" s="1" t="s">
        <v>230</v>
      </c>
      <c r="EL673" s="1" t="s">
        <v>491</v>
      </c>
      <c r="EM673" s="1" t="s">
        <v>319</v>
      </c>
      <c r="EN673" s="1" t="s">
        <v>282</v>
      </c>
      <c r="EO673" s="1" t="s">
        <v>234</v>
      </c>
      <c r="EP673" s="1" t="s">
        <v>650</v>
      </c>
      <c r="EQ673" s="1" t="s">
        <v>2188</v>
      </c>
      <c r="ER673" s="1" t="s">
        <v>544</v>
      </c>
      <c r="ES673" s="1" t="s">
        <v>1868</v>
      </c>
      <c r="ET673" s="1" t="s">
        <v>866</v>
      </c>
      <c r="EU673" s="1" t="s">
        <v>7985</v>
      </c>
      <c r="EW673" s="1" t="s">
        <v>887</v>
      </c>
      <c r="EZ673" s="1" t="s">
        <v>464</v>
      </c>
      <c r="FA673" s="1" t="s">
        <v>1270</v>
      </c>
      <c r="FD673" s="1" t="s">
        <v>246</v>
      </c>
      <c r="FE673" s="1" t="s">
        <v>472</v>
      </c>
      <c r="FF673" s="1" t="s">
        <v>248</v>
      </c>
      <c r="FH673" s="1" t="s">
        <v>1428</v>
      </c>
      <c r="FI673" s="1" t="s">
        <v>473</v>
      </c>
      <c r="FL673" s="1" t="s">
        <v>358</v>
      </c>
      <c r="FM673" s="1" t="s">
        <v>252</v>
      </c>
      <c r="FN673" s="1" t="s">
        <v>213</v>
      </c>
      <c r="FO673" s="1" t="s">
        <v>213</v>
      </c>
      <c r="FQ673" s="1" t="s">
        <v>1300</v>
      </c>
      <c r="FR673" s="1" t="s">
        <v>210</v>
      </c>
      <c r="FS673" s="1" t="s">
        <v>6550</v>
      </c>
      <c r="FT673" s="1" t="s">
        <v>1182</v>
      </c>
      <c r="FU673" s="1" t="s">
        <v>204</v>
      </c>
      <c r="FW673" s="1" t="s">
        <v>5648</v>
      </c>
      <c r="FX673" s="1">
        <v>23099</v>
      </c>
      <c r="FY673" s="1" t="s">
        <v>5649</v>
      </c>
      <c r="FZ673" s="1" t="s">
        <v>6551</v>
      </c>
      <c r="GA673" s="1">
        <v>217574</v>
      </c>
      <c r="GB673" s="1" t="s">
        <v>6552</v>
      </c>
      <c r="GE673" s="1" t="s">
        <v>480</v>
      </c>
      <c r="GI673" s="1" t="s">
        <v>213</v>
      </c>
      <c r="GJ673" s="1" t="s">
        <v>260</v>
      </c>
      <c r="GK673" s="1" t="s">
        <v>210</v>
      </c>
      <c r="GL673" s="2">
        <v>42137</v>
      </c>
    </row>
    <row r="674" spans="1:195">
      <c r="A674" s="1">
        <v>16158</v>
      </c>
      <c r="B674" s="1" t="s">
        <v>195</v>
      </c>
      <c r="C674" s="1" t="str">
        <f>"08807727"</f>
        <v>08807727</v>
      </c>
      <c r="D674" s="1" t="s">
        <v>196</v>
      </c>
      <c r="F674" s="1" t="str">
        <f>"8065"</f>
        <v>8065</v>
      </c>
      <c r="G674" s="2">
        <v>42004</v>
      </c>
      <c r="H674" s="1">
        <v>16630</v>
      </c>
      <c r="I674" s="1">
        <v>16630</v>
      </c>
      <c r="J674" s="1">
        <v>16158</v>
      </c>
      <c r="K674" s="2">
        <v>42003</v>
      </c>
      <c r="L674" s="1">
        <v>97</v>
      </c>
      <c r="M674" s="2">
        <v>42016</v>
      </c>
      <c r="N674" s="1">
        <v>14</v>
      </c>
      <c r="O674" s="2">
        <v>42016</v>
      </c>
      <c r="P674" s="1">
        <v>60119</v>
      </c>
      <c r="Q674" s="1" t="s">
        <v>302</v>
      </c>
      <c r="R674" s="2">
        <v>42055</v>
      </c>
      <c r="S674" s="1">
        <v>243211</v>
      </c>
      <c r="U674" s="1">
        <v>4281</v>
      </c>
      <c r="V674" s="1" t="s">
        <v>4012</v>
      </c>
      <c r="W674" s="1" t="s">
        <v>725</v>
      </c>
      <c r="X674" s="1">
        <v>302</v>
      </c>
      <c r="Y674" s="1">
        <v>320</v>
      </c>
      <c r="Z674" s="1" t="s">
        <v>249</v>
      </c>
      <c r="AA674" s="1" t="s">
        <v>400</v>
      </c>
      <c r="AB674" s="1">
        <v>60652</v>
      </c>
      <c r="AE674" s="1" t="s">
        <v>7986</v>
      </c>
      <c r="AF674" s="1">
        <v>1968</v>
      </c>
      <c r="AG674" s="1" t="s">
        <v>213</v>
      </c>
      <c r="AH674" s="1" t="s">
        <v>403</v>
      </c>
      <c r="AI674" s="1" t="s">
        <v>310</v>
      </c>
      <c r="AJ674" s="1" t="s">
        <v>683</v>
      </c>
      <c r="AK674" s="1" t="s">
        <v>7987</v>
      </c>
      <c r="AL674" s="1">
        <v>5</v>
      </c>
      <c r="AM674" s="1">
        <v>2</v>
      </c>
      <c r="AN674" s="1">
        <v>1</v>
      </c>
      <c r="AO674" s="1">
        <v>1</v>
      </c>
      <c r="AP674" s="1" t="s">
        <v>210</v>
      </c>
      <c r="AR674" s="1" t="s">
        <v>210</v>
      </c>
      <c r="AS674" s="1" t="s">
        <v>204</v>
      </c>
      <c r="AT674" s="1" t="s">
        <v>271</v>
      </c>
      <c r="AV674" s="1">
        <v>2</v>
      </c>
      <c r="AW674" s="1" t="s">
        <v>204</v>
      </c>
      <c r="AX674" s="1" t="s">
        <v>212</v>
      </c>
      <c r="AZ674" s="1">
        <v>436</v>
      </c>
      <c r="BA674" s="1">
        <v>2013</v>
      </c>
      <c r="BB674" s="1" t="s">
        <v>405</v>
      </c>
      <c r="BE674" s="1">
        <v>800</v>
      </c>
      <c r="BF674" s="1">
        <v>3</v>
      </c>
      <c r="BG674" s="1">
        <v>3</v>
      </c>
      <c r="BK674" s="1">
        <v>100</v>
      </c>
      <c r="BL674" s="1">
        <v>280</v>
      </c>
      <c r="BM674" s="1" t="s">
        <v>204</v>
      </c>
      <c r="BN674" s="1" t="s">
        <v>213</v>
      </c>
      <c r="BO674" s="1">
        <v>0</v>
      </c>
      <c r="BP674" s="1" t="s">
        <v>204</v>
      </c>
      <c r="BR674" s="1" t="str">
        <f>"19274010381258"</f>
        <v>19274010381258</v>
      </c>
      <c r="BT674" s="1" t="s">
        <v>7988</v>
      </c>
      <c r="BW674" s="1" t="s">
        <v>7989</v>
      </c>
      <c r="BX674" s="1">
        <v>299</v>
      </c>
      <c r="BY674" s="1">
        <v>299</v>
      </c>
      <c r="BZ674" s="1">
        <v>299</v>
      </c>
      <c r="CB674" s="1" t="str">
        <f t="shared" ref="CB674:CC674" si="524">"0"</f>
        <v>0</v>
      </c>
      <c r="CC674" s="1" t="str">
        <f t="shared" si="524"/>
        <v>0</v>
      </c>
      <c r="CD674" s="1">
        <v>4281</v>
      </c>
      <c r="CE674" s="1">
        <v>7600</v>
      </c>
      <c r="CG674" s="1" t="s">
        <v>1155</v>
      </c>
      <c r="CH674" s="1" t="s">
        <v>219</v>
      </c>
      <c r="CI674" s="1" t="s">
        <v>220</v>
      </c>
      <c r="CJ674" s="1" t="s">
        <v>210</v>
      </c>
      <c r="CK674" s="1" t="s">
        <v>1788</v>
      </c>
      <c r="CL674" s="1" t="s">
        <v>219</v>
      </c>
      <c r="CM674" s="1" t="s">
        <v>220</v>
      </c>
      <c r="CN674" s="1" t="s">
        <v>210</v>
      </c>
      <c r="CO674" s="1" t="s">
        <v>465</v>
      </c>
      <c r="CP674" s="1" t="s">
        <v>784</v>
      </c>
      <c r="CQ674" s="1" t="s">
        <v>220</v>
      </c>
      <c r="CR674" s="1" t="s">
        <v>210</v>
      </c>
      <c r="CS674" s="1" t="s">
        <v>1854</v>
      </c>
      <c r="CT674" s="1" t="s">
        <v>219</v>
      </c>
      <c r="CU674" s="1" t="s">
        <v>220</v>
      </c>
      <c r="CV674" s="1" t="s">
        <v>210</v>
      </c>
      <c r="CX674" s="1" t="s">
        <v>224</v>
      </c>
      <c r="DB674" s="1" t="s">
        <v>224</v>
      </c>
      <c r="DE674" s="1" t="s">
        <v>1855</v>
      </c>
      <c r="DF674" s="1" t="s">
        <v>219</v>
      </c>
      <c r="DG674" s="1" t="s">
        <v>342</v>
      </c>
      <c r="DH674" s="1" t="s">
        <v>210</v>
      </c>
      <c r="DJ674" s="1" t="s">
        <v>224</v>
      </c>
      <c r="DS674" s="1" t="s">
        <v>230</v>
      </c>
      <c r="DW674" s="1" t="s">
        <v>230</v>
      </c>
      <c r="EA674" s="1" t="s">
        <v>230</v>
      </c>
      <c r="EE674" s="1" t="s">
        <v>230</v>
      </c>
      <c r="EI674" s="1" t="s">
        <v>230</v>
      </c>
      <c r="EL674" s="1" t="s">
        <v>605</v>
      </c>
      <c r="EM674" s="1" t="s">
        <v>730</v>
      </c>
      <c r="EN674" s="1" t="s">
        <v>1158</v>
      </c>
      <c r="EO674" s="1" t="s">
        <v>234</v>
      </c>
      <c r="EP674" s="1" t="s">
        <v>7990</v>
      </c>
      <c r="ER674" s="1" t="s">
        <v>210</v>
      </c>
      <c r="EU674" s="1" t="s">
        <v>712</v>
      </c>
      <c r="EV674" s="1" t="s">
        <v>324</v>
      </c>
      <c r="EW674" s="1" t="s">
        <v>2699</v>
      </c>
      <c r="EY674" s="1" t="s">
        <v>7991</v>
      </c>
      <c r="EZ674" s="1" t="s">
        <v>287</v>
      </c>
      <c r="FA674" s="1" t="s">
        <v>672</v>
      </c>
      <c r="FB674" s="1" t="s">
        <v>1755</v>
      </c>
      <c r="FC674" s="1" t="s">
        <v>7992</v>
      </c>
      <c r="FD674" s="1" t="s">
        <v>246</v>
      </c>
      <c r="FE674" s="1" t="s">
        <v>247</v>
      </c>
      <c r="FF674" s="1" t="s">
        <v>387</v>
      </c>
      <c r="FH674" s="1" t="s">
        <v>249</v>
      </c>
      <c r="FJ674" s="1" t="s">
        <v>197</v>
      </c>
      <c r="FK674" s="1" t="s">
        <v>1757</v>
      </c>
      <c r="FL674" s="1" t="s">
        <v>7993</v>
      </c>
      <c r="FM674" s="1" t="s">
        <v>252</v>
      </c>
      <c r="FN674" s="1" t="s">
        <v>213</v>
      </c>
      <c r="FO674" s="1" t="s">
        <v>213</v>
      </c>
      <c r="FQ674" s="1" t="s">
        <v>7994</v>
      </c>
      <c r="FR674" s="1" t="s">
        <v>210</v>
      </c>
      <c r="FS674" s="1" t="s">
        <v>7995</v>
      </c>
      <c r="FT674" s="1" t="s">
        <v>255</v>
      </c>
      <c r="FU674" s="1" t="s">
        <v>204</v>
      </c>
      <c r="FW674" s="1" t="s">
        <v>915</v>
      </c>
      <c r="FX674" s="1">
        <v>60119</v>
      </c>
      <c r="FY674" s="1" t="s">
        <v>7996</v>
      </c>
      <c r="FZ674" s="1" t="s">
        <v>7997</v>
      </c>
      <c r="GA674" s="1">
        <v>603032</v>
      </c>
      <c r="GB674" s="1" t="s">
        <v>7998</v>
      </c>
      <c r="GD674" s="1" t="s">
        <v>7999</v>
      </c>
      <c r="GE674" s="1" t="s">
        <v>658</v>
      </c>
      <c r="GH674" s="1" t="s">
        <v>589</v>
      </c>
      <c r="GI674" s="1" t="s">
        <v>204</v>
      </c>
      <c r="GJ674" s="1" t="s">
        <v>260</v>
      </c>
      <c r="GK674" s="1" t="s">
        <v>210</v>
      </c>
      <c r="GL674" s="2">
        <v>42056</v>
      </c>
      <c r="GM674" s="1" t="s">
        <v>8000</v>
      </c>
    </row>
    <row r="675" spans="1:195">
      <c r="A675" s="1">
        <v>356900</v>
      </c>
      <c r="B675" s="1" t="s">
        <v>195</v>
      </c>
      <c r="C675" s="1" t="str">
        <f>"08810797"</f>
        <v>08810797</v>
      </c>
      <c r="D675" s="1" t="s">
        <v>196</v>
      </c>
      <c r="F675" s="1" t="str">
        <f>"531"</f>
        <v>531</v>
      </c>
      <c r="G675" s="2">
        <v>42010</v>
      </c>
      <c r="H675" s="1">
        <v>364900</v>
      </c>
      <c r="I675" s="1">
        <v>364900</v>
      </c>
      <c r="J675" s="1">
        <v>356900</v>
      </c>
      <c r="K675" s="2">
        <v>42010</v>
      </c>
      <c r="L675" s="1">
        <v>243</v>
      </c>
      <c r="M675" s="2">
        <v>42065</v>
      </c>
      <c r="N675" s="1">
        <v>56</v>
      </c>
      <c r="O675" s="2">
        <v>42065</v>
      </c>
      <c r="P675" s="1">
        <v>22205</v>
      </c>
      <c r="Q675" s="1" t="s">
        <v>302</v>
      </c>
      <c r="R675" s="2">
        <v>42115</v>
      </c>
      <c r="S675" s="1">
        <v>215656</v>
      </c>
      <c r="U675" s="1">
        <v>6265</v>
      </c>
      <c r="V675" s="1" t="s">
        <v>8001</v>
      </c>
      <c r="W675" s="1" t="s">
        <v>504</v>
      </c>
      <c r="X675" s="1" t="s">
        <v>483</v>
      </c>
      <c r="Y675" s="1">
        <v>5</v>
      </c>
      <c r="Z675" s="1" t="s">
        <v>370</v>
      </c>
      <c r="AA675" s="1" t="s">
        <v>2326</v>
      </c>
      <c r="AB675" s="1">
        <v>60525</v>
      </c>
      <c r="AD675" s="1" t="s">
        <v>8002</v>
      </c>
      <c r="AE675" s="1" t="s">
        <v>8003</v>
      </c>
      <c r="AF675" s="1">
        <v>1998</v>
      </c>
      <c r="AG675" s="1" t="s">
        <v>204</v>
      </c>
      <c r="AH675" s="1" t="s">
        <v>2329</v>
      </c>
      <c r="AI675" s="1" t="s">
        <v>310</v>
      </c>
      <c r="AJ675" s="1" t="s">
        <v>702</v>
      </c>
      <c r="AK675" s="1" t="s">
        <v>8004</v>
      </c>
      <c r="AL675" s="1">
        <v>8</v>
      </c>
      <c r="AM675" s="1">
        <v>2</v>
      </c>
      <c r="AN675" s="1">
        <v>2</v>
      </c>
      <c r="AO675" s="1">
        <v>1</v>
      </c>
      <c r="AP675" s="1" t="s">
        <v>209</v>
      </c>
      <c r="AQ675" s="1">
        <v>1</v>
      </c>
      <c r="AR675" s="1" t="s">
        <v>209</v>
      </c>
      <c r="AS675" s="1" t="s">
        <v>204</v>
      </c>
      <c r="AT675" s="1" t="s">
        <v>211</v>
      </c>
      <c r="AU675" s="1">
        <v>2</v>
      </c>
      <c r="AW675" s="1" t="s">
        <v>204</v>
      </c>
      <c r="AX675" s="1" t="s">
        <v>212</v>
      </c>
      <c r="AZ675" s="6">
        <v>7168</v>
      </c>
      <c r="BA675" s="1">
        <v>2013</v>
      </c>
      <c r="BB675" s="1" t="s">
        <v>599</v>
      </c>
      <c r="BE675" s="1">
        <v>2000</v>
      </c>
      <c r="BF675" s="1">
        <v>1</v>
      </c>
      <c r="BG675" s="1">
        <v>0</v>
      </c>
      <c r="BL675" s="1">
        <v>325</v>
      </c>
      <c r="BM675" s="1" t="s">
        <v>204</v>
      </c>
      <c r="BN675" s="1" t="s">
        <v>213</v>
      </c>
      <c r="BO675" s="1">
        <v>0</v>
      </c>
      <c r="BP675" s="1" t="s">
        <v>204</v>
      </c>
      <c r="BR675" s="1" t="str">
        <f>"18173111150000"</f>
        <v>18173111150000</v>
      </c>
      <c r="BT675" s="1" t="s">
        <v>8005</v>
      </c>
      <c r="BU675" s="1" t="s">
        <v>2495</v>
      </c>
      <c r="BV675" s="1" t="s">
        <v>2496</v>
      </c>
      <c r="BW675" s="1" t="s">
        <v>706</v>
      </c>
      <c r="BX675" s="1">
        <v>106</v>
      </c>
      <c r="BY675" s="1">
        <v>106</v>
      </c>
      <c r="BZ675" s="1">
        <v>204</v>
      </c>
      <c r="CB675" s="1" t="str">
        <f t="shared" ref="CB675:CC675" si="525">"0"</f>
        <v>0</v>
      </c>
      <c r="CC675" s="1" t="str">
        <f t="shared" si="525"/>
        <v>0</v>
      </c>
      <c r="CD675" s="1">
        <v>13</v>
      </c>
      <c r="CE675" s="1">
        <v>6</v>
      </c>
      <c r="CG675" s="1" t="s">
        <v>1045</v>
      </c>
      <c r="CH675" s="1" t="s">
        <v>219</v>
      </c>
      <c r="CI675" s="1" t="s">
        <v>438</v>
      </c>
      <c r="CK675" s="1" t="s">
        <v>1155</v>
      </c>
      <c r="CL675" s="1" t="s">
        <v>277</v>
      </c>
      <c r="CM675" s="1" t="s">
        <v>220</v>
      </c>
      <c r="CO675" s="1" t="s">
        <v>729</v>
      </c>
      <c r="CP675" s="1" t="s">
        <v>219</v>
      </c>
      <c r="CQ675" s="1" t="s">
        <v>438</v>
      </c>
      <c r="CS675" s="1" t="s">
        <v>932</v>
      </c>
      <c r="CT675" s="1" t="s">
        <v>277</v>
      </c>
      <c r="CU675" s="1" t="s">
        <v>220</v>
      </c>
      <c r="CX675" s="1" t="s">
        <v>224</v>
      </c>
      <c r="DB675" s="1" t="s">
        <v>224</v>
      </c>
      <c r="DE675" s="1" t="s">
        <v>317</v>
      </c>
      <c r="DF675" s="1" t="s">
        <v>219</v>
      </c>
      <c r="DG675" s="1" t="s">
        <v>438</v>
      </c>
      <c r="DI675" s="1" t="s">
        <v>378</v>
      </c>
      <c r="DJ675" s="1" t="s">
        <v>219</v>
      </c>
      <c r="DK675" s="1" t="s">
        <v>438</v>
      </c>
      <c r="DM675" s="1" t="s">
        <v>1548</v>
      </c>
      <c r="DN675" s="1" t="s">
        <v>464</v>
      </c>
      <c r="DR675" s="1" t="s">
        <v>409</v>
      </c>
      <c r="DS675" s="1" t="s">
        <v>219</v>
      </c>
      <c r="DT675" s="1" t="s">
        <v>438</v>
      </c>
      <c r="DV675" s="1" t="s">
        <v>885</v>
      </c>
      <c r="DW675" s="1" t="s">
        <v>277</v>
      </c>
      <c r="DX675" s="1" t="s">
        <v>220</v>
      </c>
      <c r="EA675" s="1" t="s">
        <v>230</v>
      </c>
      <c r="EE675" s="1" t="s">
        <v>230</v>
      </c>
      <c r="EI675" s="1" t="s">
        <v>230</v>
      </c>
      <c r="EL675" s="1" t="s">
        <v>670</v>
      </c>
      <c r="EM675" s="1" t="s">
        <v>730</v>
      </c>
      <c r="EN675" s="1" t="s">
        <v>282</v>
      </c>
      <c r="EO675" s="1" t="s">
        <v>840</v>
      </c>
      <c r="EP675" s="1" t="s">
        <v>1268</v>
      </c>
      <c r="EQ675" s="1" t="s">
        <v>236</v>
      </c>
      <c r="ER675" s="1" t="s">
        <v>1249</v>
      </c>
      <c r="ES675" s="1" t="s">
        <v>3932</v>
      </c>
      <c r="ET675" s="1" t="s">
        <v>238</v>
      </c>
      <c r="EU675" s="1" t="s">
        <v>7712</v>
      </c>
      <c r="EV675" s="1" t="s">
        <v>240</v>
      </c>
      <c r="EW675" s="1" t="s">
        <v>887</v>
      </c>
      <c r="EY675" s="1" t="s">
        <v>2455</v>
      </c>
      <c r="EZ675" s="1" t="s">
        <v>3544</v>
      </c>
      <c r="FA675" s="1" t="s">
        <v>8006</v>
      </c>
      <c r="FB675" s="1" t="s">
        <v>289</v>
      </c>
      <c r="FC675" s="1" t="s">
        <v>1405</v>
      </c>
      <c r="FD675" s="1" t="s">
        <v>246</v>
      </c>
      <c r="FE675" s="1" t="s">
        <v>549</v>
      </c>
      <c r="FF675" s="1" t="s">
        <v>248</v>
      </c>
      <c r="FG675" s="1" t="s">
        <v>8007</v>
      </c>
      <c r="FH675" s="1" t="s">
        <v>550</v>
      </c>
      <c r="FI675" s="1" t="s">
        <v>473</v>
      </c>
      <c r="FJ675" s="1" t="s">
        <v>197</v>
      </c>
      <c r="FL675" s="1" t="s">
        <v>1826</v>
      </c>
      <c r="FM675" s="1" t="s">
        <v>252</v>
      </c>
      <c r="FN675" s="1" t="s">
        <v>213</v>
      </c>
      <c r="FO675" s="1" t="s">
        <v>213</v>
      </c>
      <c r="FQ675" s="1" t="s">
        <v>793</v>
      </c>
      <c r="FR675" s="1" t="s">
        <v>210</v>
      </c>
      <c r="FS675" s="1" t="s">
        <v>1709</v>
      </c>
      <c r="FT675" s="1" t="s">
        <v>362</v>
      </c>
      <c r="FU675" s="1" t="s">
        <v>204</v>
      </c>
      <c r="FW675" s="1" t="s">
        <v>915</v>
      </c>
      <c r="FX675" s="1">
        <v>22049</v>
      </c>
      <c r="FY675" s="1" t="s">
        <v>4731</v>
      </c>
      <c r="FZ675" s="1" t="s">
        <v>8008</v>
      </c>
      <c r="GA675" s="1">
        <v>221428</v>
      </c>
      <c r="GB675" s="1" t="s">
        <v>8009</v>
      </c>
      <c r="GC675" s="1">
        <v>224157</v>
      </c>
      <c r="GE675" s="1" t="s">
        <v>1764</v>
      </c>
      <c r="GI675" s="1" t="s">
        <v>213</v>
      </c>
      <c r="GJ675" s="1" t="s">
        <v>260</v>
      </c>
      <c r="GK675" s="1" t="s">
        <v>210</v>
      </c>
      <c r="GL675" s="2">
        <v>42115</v>
      </c>
      <c r="GM675" s="1" t="s">
        <v>8010</v>
      </c>
    </row>
    <row r="676" spans="1:195">
      <c r="A676" s="1">
        <v>90000</v>
      </c>
      <c r="B676" s="1" t="s">
        <v>195</v>
      </c>
      <c r="C676" s="1" t="str">
        <f>"08810291"</f>
        <v>08810291</v>
      </c>
      <c r="D676" s="1" t="s">
        <v>196</v>
      </c>
      <c r="F676" s="1" t="str">
        <f>"20"</f>
        <v>20</v>
      </c>
      <c r="G676" s="2">
        <v>42009</v>
      </c>
      <c r="H676" s="1">
        <v>82000</v>
      </c>
      <c r="I676" s="1">
        <v>90000</v>
      </c>
      <c r="J676" s="1">
        <v>90000</v>
      </c>
      <c r="K676" s="2">
        <v>42009</v>
      </c>
      <c r="L676" s="1">
        <v>51</v>
      </c>
      <c r="M676" s="2">
        <v>42059</v>
      </c>
      <c r="N676" s="1">
        <v>51</v>
      </c>
      <c r="O676" s="2">
        <v>42059</v>
      </c>
      <c r="P676" s="1">
        <v>1886</v>
      </c>
      <c r="Q676" s="1" t="s">
        <v>197</v>
      </c>
      <c r="R676" s="2">
        <v>42135</v>
      </c>
      <c r="S676" s="1">
        <v>12410</v>
      </c>
      <c r="U676" s="1">
        <v>475</v>
      </c>
      <c r="V676" s="1" t="s">
        <v>8011</v>
      </c>
      <c r="W676" s="1" t="s">
        <v>264</v>
      </c>
      <c r="X676" s="1">
        <v>475</v>
      </c>
      <c r="Y676" s="1">
        <v>3</v>
      </c>
      <c r="Z676" s="1" t="s">
        <v>200</v>
      </c>
      <c r="AA676" s="1" t="s">
        <v>592</v>
      </c>
      <c r="AB676" s="1">
        <v>60020</v>
      </c>
      <c r="AD676" s="1" t="s">
        <v>8012</v>
      </c>
      <c r="AE676" s="1" t="s">
        <v>8013</v>
      </c>
      <c r="AF676" s="1">
        <v>2004</v>
      </c>
      <c r="AG676" s="1" t="s">
        <v>204</v>
      </c>
      <c r="AH676" s="1" t="s">
        <v>595</v>
      </c>
      <c r="AI676" s="1" t="s">
        <v>509</v>
      </c>
      <c r="AJ676" s="1" t="s">
        <v>1016</v>
      </c>
      <c r="AK676" s="1" t="s">
        <v>8014</v>
      </c>
      <c r="AL676" s="1">
        <v>6</v>
      </c>
      <c r="AM676" s="1">
        <v>2</v>
      </c>
      <c r="AN676" s="1">
        <v>2</v>
      </c>
      <c r="AO676" s="1">
        <v>0</v>
      </c>
      <c r="AP676" s="1" t="s">
        <v>209</v>
      </c>
      <c r="AQ676" s="1">
        <v>1</v>
      </c>
      <c r="AR676" s="1" t="s">
        <v>210</v>
      </c>
      <c r="AS676" s="1" t="s">
        <v>204</v>
      </c>
      <c r="AT676" s="1" t="s">
        <v>211</v>
      </c>
      <c r="AU676" s="1">
        <v>1</v>
      </c>
      <c r="AW676" s="1" t="s">
        <v>204</v>
      </c>
      <c r="AX676" s="1" t="s">
        <v>579</v>
      </c>
      <c r="AZ676" s="1">
        <v>2545</v>
      </c>
      <c r="BA676" s="1">
        <v>2013</v>
      </c>
      <c r="BB676" s="1" t="s">
        <v>405</v>
      </c>
      <c r="BE676" s="1">
        <v>1293</v>
      </c>
      <c r="BF676" s="1">
        <v>2</v>
      </c>
      <c r="BG676" s="1">
        <v>0</v>
      </c>
      <c r="BL676" s="1">
        <v>156</v>
      </c>
      <c r="BM676" s="1" t="s">
        <v>204</v>
      </c>
      <c r="BN676" s="1" t="s">
        <v>213</v>
      </c>
      <c r="BO676" s="1">
        <v>0</v>
      </c>
      <c r="BP676" s="1" t="s">
        <v>204</v>
      </c>
      <c r="BR676" s="1" t="str">
        <f>"05231180330000"</f>
        <v>05231180330000</v>
      </c>
      <c r="BT676" s="1" t="s">
        <v>8015</v>
      </c>
      <c r="BU676" s="1" t="s">
        <v>6153</v>
      </c>
      <c r="BV676" s="1" t="s">
        <v>6488</v>
      </c>
      <c r="BW676" s="1" t="s">
        <v>2264</v>
      </c>
      <c r="BX676" s="1">
        <v>38</v>
      </c>
      <c r="BY676" s="1">
        <v>38</v>
      </c>
      <c r="BZ676" s="1">
        <v>124</v>
      </c>
      <c r="CB676" s="1" t="str">
        <f>"34"</f>
        <v>34</v>
      </c>
      <c r="CC676" s="1" t="str">
        <f>"0"</f>
        <v>0</v>
      </c>
      <c r="CD676" s="1">
        <v>26</v>
      </c>
      <c r="CE676" s="1">
        <v>0</v>
      </c>
      <c r="CG676" s="1" t="s">
        <v>932</v>
      </c>
      <c r="CH676" s="1" t="s">
        <v>277</v>
      </c>
      <c r="CI676" s="1" t="s">
        <v>220</v>
      </c>
      <c r="CK676" s="1" t="s">
        <v>1358</v>
      </c>
      <c r="CL676" s="1" t="s">
        <v>277</v>
      </c>
      <c r="CM676" s="1" t="s">
        <v>220</v>
      </c>
      <c r="CO676" s="1" t="s">
        <v>379</v>
      </c>
      <c r="CP676" s="1" t="s">
        <v>277</v>
      </c>
      <c r="CQ676" s="1" t="s">
        <v>220</v>
      </c>
      <c r="CS676" s="1" t="s">
        <v>378</v>
      </c>
      <c r="CT676" s="1" t="s">
        <v>277</v>
      </c>
      <c r="CU676" s="1" t="s">
        <v>220</v>
      </c>
      <c r="CX676" s="1" t="s">
        <v>224</v>
      </c>
      <c r="DB676" s="1" t="s">
        <v>224</v>
      </c>
      <c r="DE676" s="1" t="s">
        <v>821</v>
      </c>
      <c r="DF676" s="1" t="s">
        <v>277</v>
      </c>
      <c r="DG676" s="1" t="s">
        <v>226</v>
      </c>
      <c r="DJ676" s="1" t="s">
        <v>224</v>
      </c>
      <c r="DM676" s="1" t="s">
        <v>381</v>
      </c>
      <c r="DN676" s="1" t="s">
        <v>709</v>
      </c>
      <c r="DR676" s="1" t="s">
        <v>2277</v>
      </c>
      <c r="DS676" s="1" t="s">
        <v>277</v>
      </c>
      <c r="DT676" s="1" t="s">
        <v>220</v>
      </c>
      <c r="DV676" s="1" t="s">
        <v>1313</v>
      </c>
      <c r="DW676" s="1" t="s">
        <v>219</v>
      </c>
      <c r="DX676" s="1" t="s">
        <v>342</v>
      </c>
      <c r="EA676" s="1" t="s">
        <v>230</v>
      </c>
      <c r="EE676" s="1" t="s">
        <v>230</v>
      </c>
      <c r="EI676" s="1" t="s">
        <v>230</v>
      </c>
      <c r="EL676" s="1" t="s">
        <v>466</v>
      </c>
      <c r="EM676" s="1" t="s">
        <v>319</v>
      </c>
      <c r="EN676" s="1" t="s">
        <v>282</v>
      </c>
      <c r="EO676" s="1" t="s">
        <v>234</v>
      </c>
      <c r="EP676" s="1" t="s">
        <v>8016</v>
      </c>
      <c r="EQ676" s="1" t="s">
        <v>8017</v>
      </c>
      <c r="ER676" s="1" t="s">
        <v>210</v>
      </c>
      <c r="ES676" s="1" t="s">
        <v>1160</v>
      </c>
      <c r="EU676" s="1" t="s">
        <v>8018</v>
      </c>
      <c r="EW676" s="1" t="s">
        <v>210</v>
      </c>
      <c r="EY676" s="1" t="s">
        <v>242</v>
      </c>
      <c r="EZ676" s="1" t="s">
        <v>8019</v>
      </c>
      <c r="FA676" s="1" t="s">
        <v>4411</v>
      </c>
      <c r="FB676" s="1" t="s">
        <v>289</v>
      </c>
      <c r="FD676" s="1" t="s">
        <v>246</v>
      </c>
      <c r="FE676" s="1" t="s">
        <v>975</v>
      </c>
      <c r="FF676" s="1" t="s">
        <v>248</v>
      </c>
      <c r="FG676" s="1" t="s">
        <v>2060</v>
      </c>
      <c r="FH676" s="1" t="s">
        <v>249</v>
      </c>
      <c r="FI676" s="1" t="s">
        <v>357</v>
      </c>
      <c r="FL676" s="1" t="s">
        <v>358</v>
      </c>
      <c r="FM676" s="1" t="s">
        <v>252</v>
      </c>
      <c r="FN676" s="1" t="s">
        <v>213</v>
      </c>
      <c r="FO676" s="1" t="s">
        <v>204</v>
      </c>
      <c r="FQ676" s="1" t="s">
        <v>253</v>
      </c>
      <c r="FR676" s="1" t="s">
        <v>360</v>
      </c>
      <c r="FS676" s="1" t="s">
        <v>8020</v>
      </c>
      <c r="FT676" s="1" t="s">
        <v>362</v>
      </c>
      <c r="FU676" s="1" t="s">
        <v>204</v>
      </c>
      <c r="FW676" s="1" t="s">
        <v>8021</v>
      </c>
      <c r="FX676" s="1">
        <v>5539</v>
      </c>
      <c r="FY676" s="1" t="s">
        <v>8022</v>
      </c>
      <c r="FZ676" s="1" t="s">
        <v>8023</v>
      </c>
      <c r="GA676" s="1">
        <v>53888</v>
      </c>
      <c r="GB676" s="1" t="s">
        <v>8024</v>
      </c>
      <c r="GE676" s="1" t="s">
        <v>480</v>
      </c>
      <c r="GI676" s="1" t="s">
        <v>213</v>
      </c>
      <c r="GJ676" s="1" t="s">
        <v>260</v>
      </c>
      <c r="GK676" s="1" t="s">
        <v>210</v>
      </c>
      <c r="GL676" s="2">
        <v>42135</v>
      </c>
      <c r="GM676" s="1" t="s">
        <v>8025</v>
      </c>
    </row>
    <row r="677" spans="1:195">
      <c r="A677" s="1">
        <v>170000</v>
      </c>
      <c r="B677" s="1" t="s">
        <v>195</v>
      </c>
      <c r="C677" s="1" t="str">
        <f>"08821207"</f>
        <v>08821207</v>
      </c>
      <c r="D677" s="1" t="s">
        <v>196</v>
      </c>
      <c r="F677" s="1" t="str">
        <f>"562"</f>
        <v>562</v>
      </c>
      <c r="G677" s="2">
        <v>42025</v>
      </c>
      <c r="H677" s="1">
        <v>170000</v>
      </c>
      <c r="I677" s="1">
        <v>170000</v>
      </c>
      <c r="J677" s="1">
        <v>170000</v>
      </c>
      <c r="K677" s="2">
        <v>42025</v>
      </c>
      <c r="L677" s="1">
        <v>6</v>
      </c>
      <c r="M677" s="2">
        <v>42030</v>
      </c>
      <c r="N677" s="1">
        <v>6</v>
      </c>
      <c r="O677" s="2">
        <v>42030</v>
      </c>
      <c r="P677" s="1">
        <v>60342</v>
      </c>
      <c r="Q677" s="1" t="s">
        <v>197</v>
      </c>
      <c r="R677" s="2">
        <v>42083</v>
      </c>
      <c r="S677" s="1">
        <v>601692</v>
      </c>
      <c r="U677" s="1">
        <v>7917</v>
      </c>
      <c r="V677" s="1" t="s">
        <v>8026</v>
      </c>
      <c r="W677" s="1" t="s">
        <v>449</v>
      </c>
      <c r="X677" s="1" t="s">
        <v>1688</v>
      </c>
      <c r="Y677" s="1">
        <v>4</v>
      </c>
      <c r="Z677" s="1" t="s">
        <v>249</v>
      </c>
      <c r="AA677" s="1" t="s">
        <v>899</v>
      </c>
      <c r="AB677" s="1">
        <v>60561</v>
      </c>
      <c r="AD677" s="1" t="s">
        <v>7851</v>
      </c>
      <c r="AE677" s="1" t="s">
        <v>8027</v>
      </c>
      <c r="AF677" s="1">
        <v>1985</v>
      </c>
      <c r="AG677" s="1" t="s">
        <v>204</v>
      </c>
      <c r="AH677" s="1" t="s">
        <v>902</v>
      </c>
      <c r="AI677" s="1" t="s">
        <v>206</v>
      </c>
      <c r="AJ677" s="1" t="s">
        <v>903</v>
      </c>
      <c r="AL677" s="1">
        <v>5</v>
      </c>
      <c r="AM677" s="1">
        <v>2</v>
      </c>
      <c r="AN677" s="1">
        <v>1</v>
      </c>
      <c r="AO677" s="1">
        <v>1</v>
      </c>
      <c r="AP677" s="1" t="s">
        <v>667</v>
      </c>
      <c r="AQ677" s="1">
        <v>1</v>
      </c>
      <c r="AR677" s="1" t="s">
        <v>210</v>
      </c>
      <c r="AT677" s="1" t="s">
        <v>211</v>
      </c>
      <c r="AU677" s="1">
        <v>1</v>
      </c>
      <c r="AW677" s="1" t="s">
        <v>204</v>
      </c>
      <c r="AX677" s="1" t="s">
        <v>212</v>
      </c>
      <c r="AZ677" s="1">
        <v>2812</v>
      </c>
      <c r="BA677" s="1">
        <v>2013</v>
      </c>
      <c r="BB677" s="1" t="s">
        <v>405</v>
      </c>
      <c r="BE677" s="1">
        <v>1161</v>
      </c>
      <c r="BF677" s="1">
        <v>1</v>
      </c>
      <c r="BG677" s="1">
        <v>0</v>
      </c>
      <c r="BL677" s="1">
        <v>168</v>
      </c>
      <c r="BM677" s="1" t="s">
        <v>204</v>
      </c>
      <c r="BN677" s="1" t="s">
        <v>213</v>
      </c>
      <c r="BO677" s="1">
        <v>25</v>
      </c>
      <c r="BP677" s="1" t="s">
        <v>204</v>
      </c>
      <c r="BR677" s="1" t="str">
        <f>"0933115079"</f>
        <v>0933115079</v>
      </c>
      <c r="BT677" s="1" t="s">
        <v>8028</v>
      </c>
      <c r="BU677" s="1" t="s">
        <v>3998</v>
      </c>
      <c r="BV677" s="1" t="s">
        <v>3999</v>
      </c>
      <c r="BW677" s="1" t="s">
        <v>3099</v>
      </c>
      <c r="BX677" s="1">
        <v>66</v>
      </c>
      <c r="BY677" s="1">
        <v>66</v>
      </c>
      <c r="BZ677" s="1">
        <v>99</v>
      </c>
      <c r="CB677" s="1" t="str">
        <f t="shared" ref="CB677:CC677" si="526">"0"</f>
        <v>0</v>
      </c>
      <c r="CC677" s="1" t="str">
        <f t="shared" si="526"/>
        <v>0</v>
      </c>
      <c r="CD677" s="1">
        <v>18</v>
      </c>
      <c r="CE677" s="1">
        <v>9</v>
      </c>
      <c r="CG677" s="1" t="s">
        <v>315</v>
      </c>
      <c r="CH677" s="1" t="s">
        <v>219</v>
      </c>
      <c r="CI677" s="1" t="s">
        <v>229</v>
      </c>
      <c r="CK677" s="1" t="s">
        <v>908</v>
      </c>
      <c r="CL677" s="1" t="s">
        <v>277</v>
      </c>
      <c r="CM677" s="1" t="s">
        <v>220</v>
      </c>
      <c r="CO677" s="1" t="s">
        <v>318</v>
      </c>
      <c r="CP677" s="1" t="s">
        <v>219</v>
      </c>
      <c r="CQ677" s="1" t="s">
        <v>229</v>
      </c>
      <c r="CS677" s="1" t="s">
        <v>1297</v>
      </c>
      <c r="CT677" s="1" t="s">
        <v>277</v>
      </c>
      <c r="CU677" s="1" t="s">
        <v>220</v>
      </c>
      <c r="CX677" s="1" t="s">
        <v>224</v>
      </c>
      <c r="DB677" s="1" t="s">
        <v>224</v>
      </c>
      <c r="DE677" s="1" t="s">
        <v>348</v>
      </c>
      <c r="DF677" s="1" t="s">
        <v>219</v>
      </c>
      <c r="DG677" s="1" t="s">
        <v>229</v>
      </c>
      <c r="DJ677" s="1" t="s">
        <v>224</v>
      </c>
      <c r="DM677" s="1" t="s">
        <v>3011</v>
      </c>
      <c r="DR677" s="1" t="s">
        <v>7192</v>
      </c>
      <c r="DS677" s="1" t="s">
        <v>219</v>
      </c>
      <c r="DT677" s="1" t="s">
        <v>342</v>
      </c>
      <c r="DW677" s="1" t="s">
        <v>230</v>
      </c>
      <c r="EA677" s="1" t="s">
        <v>230</v>
      </c>
      <c r="EE677" s="1" t="s">
        <v>230</v>
      </c>
      <c r="EI677" s="1" t="s">
        <v>230</v>
      </c>
      <c r="EL677" s="1" t="s">
        <v>542</v>
      </c>
      <c r="EM677" s="1" t="s">
        <v>232</v>
      </c>
      <c r="EN677" s="1" t="s">
        <v>282</v>
      </c>
      <c r="EO677" s="1" t="s">
        <v>234</v>
      </c>
      <c r="EP677" s="1" t="s">
        <v>650</v>
      </c>
      <c r="EQ677" s="1" t="s">
        <v>1094</v>
      </c>
      <c r="ER677" s="1" t="s">
        <v>210</v>
      </c>
      <c r="ES677" s="1" t="s">
        <v>322</v>
      </c>
      <c r="EU677" s="1" t="s">
        <v>239</v>
      </c>
      <c r="EV677" s="1" t="s">
        <v>352</v>
      </c>
      <c r="EW677" s="1" t="s">
        <v>887</v>
      </c>
      <c r="EY677" s="1" t="s">
        <v>242</v>
      </c>
      <c r="EZ677" s="1" t="s">
        <v>3011</v>
      </c>
      <c r="FA677" s="1" t="s">
        <v>6559</v>
      </c>
      <c r="FB677" s="1" t="s">
        <v>289</v>
      </c>
      <c r="FC677" s="1" t="s">
        <v>326</v>
      </c>
      <c r="FD677" s="1" t="s">
        <v>888</v>
      </c>
      <c r="FE677" s="1" t="s">
        <v>247</v>
      </c>
      <c r="FF677" s="1" t="s">
        <v>248</v>
      </c>
      <c r="FG677" s="1" t="s">
        <v>1271</v>
      </c>
      <c r="FH677" s="1" t="s">
        <v>249</v>
      </c>
      <c r="FI677" s="1" t="s">
        <v>473</v>
      </c>
      <c r="FL677" s="1" t="s">
        <v>358</v>
      </c>
      <c r="FM677" s="1" t="s">
        <v>252</v>
      </c>
      <c r="FN677" s="1" t="s">
        <v>213</v>
      </c>
      <c r="FO677" s="1" t="s">
        <v>213</v>
      </c>
      <c r="FQ677" s="1" t="s">
        <v>913</v>
      </c>
      <c r="FR677" s="1" t="s">
        <v>210</v>
      </c>
      <c r="FS677" s="1" t="s">
        <v>8029</v>
      </c>
      <c r="FT677" s="1" t="s">
        <v>295</v>
      </c>
      <c r="FU677" s="1" t="s">
        <v>204</v>
      </c>
      <c r="FW677" s="1" t="s">
        <v>915</v>
      </c>
      <c r="FX677" s="1">
        <v>22205</v>
      </c>
      <c r="FY677" s="1" t="s">
        <v>2484</v>
      </c>
      <c r="FZ677" s="1" t="s">
        <v>8030</v>
      </c>
      <c r="GA677" s="1">
        <v>231626</v>
      </c>
      <c r="GB677" s="1" t="s">
        <v>8031</v>
      </c>
      <c r="GE677" s="1" t="s">
        <v>335</v>
      </c>
      <c r="GI677" s="1" t="s">
        <v>213</v>
      </c>
      <c r="GJ677" s="1" t="s">
        <v>260</v>
      </c>
      <c r="GK677" s="1" t="s">
        <v>210</v>
      </c>
      <c r="GL677" s="2">
        <v>42083</v>
      </c>
      <c r="GM677" s="1" t="s">
        <v>8032</v>
      </c>
    </row>
    <row r="678" spans="1:195">
      <c r="A678" s="1">
        <v>76500</v>
      </c>
      <c r="B678" s="1" t="s">
        <v>195</v>
      </c>
      <c r="C678" s="1" t="str">
        <f>"08807732"</f>
        <v>08807732</v>
      </c>
      <c r="D678" s="1" t="s">
        <v>196</v>
      </c>
      <c r="F678" s="1" t="str">
        <f>"160"</f>
        <v>160</v>
      </c>
      <c r="G678" s="2">
        <v>42004</v>
      </c>
      <c r="H678" s="1">
        <v>84900</v>
      </c>
      <c r="I678" s="1">
        <v>84900</v>
      </c>
      <c r="J678" s="1">
        <v>76500</v>
      </c>
      <c r="K678" s="2">
        <v>42004</v>
      </c>
      <c r="L678" s="1">
        <v>50</v>
      </c>
      <c r="M678" s="2">
        <v>42053</v>
      </c>
      <c r="N678" s="1">
        <v>50</v>
      </c>
      <c r="O678" s="2">
        <v>42053</v>
      </c>
      <c r="P678" s="1">
        <v>85478</v>
      </c>
      <c r="Q678" s="1" t="s">
        <v>302</v>
      </c>
      <c r="R678" s="2">
        <v>42061</v>
      </c>
      <c r="S678" s="1">
        <v>871164</v>
      </c>
      <c r="U678" s="1">
        <v>1743</v>
      </c>
      <c r="V678" s="1" t="s">
        <v>8033</v>
      </c>
      <c r="W678" s="1" t="s">
        <v>425</v>
      </c>
      <c r="Y678" s="1">
        <v>2</v>
      </c>
      <c r="Z678" s="1" t="s">
        <v>200</v>
      </c>
      <c r="AA678" s="1" t="s">
        <v>426</v>
      </c>
      <c r="AB678" s="1">
        <v>60160</v>
      </c>
      <c r="AE678" s="1" t="s">
        <v>8034</v>
      </c>
      <c r="AF678" s="1">
        <v>1945</v>
      </c>
      <c r="AG678" s="1" t="s">
        <v>213</v>
      </c>
      <c r="AH678" s="1" t="s">
        <v>428</v>
      </c>
      <c r="AI678" s="1" t="s">
        <v>310</v>
      </c>
      <c r="AJ678" s="1" t="s">
        <v>429</v>
      </c>
      <c r="AL678" s="1">
        <v>6</v>
      </c>
      <c r="AM678" s="1">
        <v>2</v>
      </c>
      <c r="AN678" s="1">
        <v>1</v>
      </c>
      <c r="AO678" s="1">
        <v>0</v>
      </c>
      <c r="AP678" s="1" t="s">
        <v>210</v>
      </c>
      <c r="AQ678" s="1">
        <v>1</v>
      </c>
      <c r="AR678" s="1" t="s">
        <v>209</v>
      </c>
      <c r="AS678" s="1" t="s">
        <v>204</v>
      </c>
      <c r="AT678" s="1" t="s">
        <v>211</v>
      </c>
      <c r="AU678" s="1">
        <v>2</v>
      </c>
      <c r="AW678" s="1" t="s">
        <v>204</v>
      </c>
      <c r="AX678" s="1" t="s">
        <v>8035</v>
      </c>
      <c r="AZ678" s="1">
        <v>3002.38</v>
      </c>
      <c r="BA678" s="1">
        <v>2012</v>
      </c>
      <c r="BE678" s="1">
        <v>0</v>
      </c>
      <c r="BF678" s="1">
        <v>1</v>
      </c>
      <c r="BG678" s="1">
        <v>0</v>
      </c>
      <c r="BL678" s="1">
        <v>0</v>
      </c>
      <c r="BM678" s="1" t="s">
        <v>204</v>
      </c>
      <c r="BN678" s="1" t="s">
        <v>213</v>
      </c>
      <c r="BO678" s="1">
        <v>50</v>
      </c>
      <c r="BP678" s="1" t="s">
        <v>204</v>
      </c>
      <c r="BR678" s="1" t="str">
        <f>"15031120380000"</f>
        <v>15031120380000</v>
      </c>
      <c r="BT678" s="1" t="s">
        <v>8036</v>
      </c>
      <c r="BX678" s="1">
        <v>89</v>
      </c>
      <c r="BY678" s="1">
        <v>89</v>
      </c>
      <c r="BZ678" s="1">
        <v>209</v>
      </c>
      <c r="CB678" s="1" t="str">
        <f t="shared" ref="CB678:CC678" si="527">""</f>
        <v/>
      </c>
      <c r="CC678" s="1" t="str">
        <f t="shared" si="527"/>
        <v/>
      </c>
      <c r="CG678" s="1" t="s">
        <v>1045</v>
      </c>
      <c r="CH678" s="1" t="s">
        <v>219</v>
      </c>
      <c r="CK678" s="1" t="s">
        <v>344</v>
      </c>
      <c r="CL678" s="1" t="s">
        <v>277</v>
      </c>
      <c r="CO678" s="1" t="s">
        <v>281</v>
      </c>
      <c r="CP678" s="1" t="s">
        <v>219</v>
      </c>
      <c r="CS678" s="1" t="s">
        <v>379</v>
      </c>
      <c r="CT678" s="1" t="s">
        <v>277</v>
      </c>
      <c r="CX678" s="1" t="s">
        <v>224</v>
      </c>
      <c r="DB678" s="1" t="s">
        <v>224</v>
      </c>
      <c r="DE678" s="1" t="s">
        <v>409</v>
      </c>
      <c r="DF678" s="1" t="s">
        <v>219</v>
      </c>
      <c r="DI678" s="1" t="s">
        <v>346</v>
      </c>
      <c r="DJ678" s="1" t="s">
        <v>219</v>
      </c>
      <c r="DS678" s="1" t="s">
        <v>230</v>
      </c>
      <c r="DW678" s="1" t="s">
        <v>230</v>
      </c>
      <c r="EA678" s="1" t="s">
        <v>230</v>
      </c>
      <c r="EE678" s="1" t="s">
        <v>230</v>
      </c>
      <c r="EI678" s="1" t="s">
        <v>230</v>
      </c>
      <c r="EL678" s="1" t="s">
        <v>3717</v>
      </c>
      <c r="EM678" s="1" t="s">
        <v>232</v>
      </c>
      <c r="EN678" s="1" t="s">
        <v>282</v>
      </c>
      <c r="EO678" s="1" t="s">
        <v>234</v>
      </c>
      <c r="ER678" s="1" t="s">
        <v>1249</v>
      </c>
      <c r="EW678" s="1" t="s">
        <v>210</v>
      </c>
      <c r="EZ678" s="1" t="s">
        <v>287</v>
      </c>
      <c r="FD678" s="1" t="s">
        <v>246</v>
      </c>
      <c r="FE678" s="1" t="s">
        <v>247</v>
      </c>
      <c r="FF678" s="1" t="s">
        <v>248</v>
      </c>
      <c r="FH678" s="1" t="s">
        <v>550</v>
      </c>
      <c r="FL678" s="1" t="s">
        <v>358</v>
      </c>
      <c r="FM678" s="1" t="s">
        <v>252</v>
      </c>
      <c r="FN678" s="1" t="s">
        <v>213</v>
      </c>
      <c r="FO678" s="1" t="s">
        <v>213</v>
      </c>
      <c r="FQ678" s="1" t="s">
        <v>673</v>
      </c>
      <c r="FR678" s="1" t="s">
        <v>210</v>
      </c>
      <c r="FS678" s="1" t="s">
        <v>2753</v>
      </c>
      <c r="FT678" s="1" t="s">
        <v>255</v>
      </c>
      <c r="FU678" s="1" t="s">
        <v>204</v>
      </c>
      <c r="FW678" s="1" t="s">
        <v>1303</v>
      </c>
      <c r="FX678" s="1">
        <v>24072</v>
      </c>
      <c r="FY678" s="1" t="s">
        <v>1304</v>
      </c>
      <c r="FZ678" s="1" t="s">
        <v>1305</v>
      </c>
      <c r="GA678" s="1">
        <v>222267</v>
      </c>
      <c r="GB678" s="1" t="s">
        <v>1304</v>
      </c>
      <c r="GC678" s="1">
        <v>235600</v>
      </c>
      <c r="GD678" s="1" t="s">
        <v>2754</v>
      </c>
      <c r="GE678" s="1" t="s">
        <v>210</v>
      </c>
      <c r="GH678" s="1" t="s">
        <v>230</v>
      </c>
      <c r="GI678" s="1" t="s">
        <v>204</v>
      </c>
      <c r="GJ678" s="1" t="s">
        <v>260</v>
      </c>
      <c r="GK678" s="1" t="s">
        <v>210</v>
      </c>
      <c r="GL678" s="2">
        <v>42062</v>
      </c>
      <c r="GM678" s="1" t="s">
        <v>8037</v>
      </c>
    </row>
    <row r="679" spans="1:195">
      <c r="A679" s="1">
        <v>169500</v>
      </c>
      <c r="B679" s="1" t="s">
        <v>195</v>
      </c>
      <c r="C679" s="1" t="str">
        <f>"08815389"</f>
        <v>08815389</v>
      </c>
      <c r="D679" s="1" t="s">
        <v>196</v>
      </c>
      <c r="F679" s="1" t="str">
        <f>"634"</f>
        <v>634</v>
      </c>
      <c r="G679" s="2">
        <v>42017</v>
      </c>
      <c r="H679" s="1">
        <v>179900</v>
      </c>
      <c r="I679" s="1">
        <v>179900</v>
      </c>
      <c r="J679" s="1">
        <v>169500</v>
      </c>
      <c r="K679" s="2">
        <v>42014</v>
      </c>
      <c r="L679" s="1">
        <v>98</v>
      </c>
      <c r="M679" s="2">
        <v>42034</v>
      </c>
      <c r="N679" s="1">
        <v>21</v>
      </c>
      <c r="O679" s="2">
        <v>42034</v>
      </c>
      <c r="P679" s="1">
        <v>24042</v>
      </c>
      <c r="Q679" s="1" t="s">
        <v>197</v>
      </c>
      <c r="R679" s="2">
        <v>42075</v>
      </c>
      <c r="S679" s="1">
        <v>243503</v>
      </c>
      <c r="U679" s="1">
        <v>8540</v>
      </c>
      <c r="V679" s="1" t="s">
        <v>5509</v>
      </c>
      <c r="W679" s="1" t="s">
        <v>425</v>
      </c>
      <c r="X679" s="1">
        <v>204</v>
      </c>
      <c r="Y679" s="1">
        <v>61</v>
      </c>
      <c r="Z679" s="1" t="s">
        <v>249</v>
      </c>
      <c r="AA679" s="1" t="s">
        <v>3197</v>
      </c>
      <c r="AB679" s="1">
        <v>60706</v>
      </c>
      <c r="AE679" s="1" t="s">
        <v>8038</v>
      </c>
      <c r="AF679" s="1">
        <v>1994</v>
      </c>
      <c r="AG679" s="1" t="s">
        <v>204</v>
      </c>
      <c r="AH679" s="1" t="s">
        <v>3199</v>
      </c>
      <c r="AI679" s="1" t="s">
        <v>310</v>
      </c>
      <c r="AJ679" s="1" t="s">
        <v>3200</v>
      </c>
      <c r="AL679" s="1">
        <v>5</v>
      </c>
      <c r="AM679" s="1">
        <v>2</v>
      </c>
      <c r="AN679" s="1">
        <v>2</v>
      </c>
      <c r="AO679" s="1">
        <v>0</v>
      </c>
      <c r="AP679" s="1" t="s">
        <v>209</v>
      </c>
      <c r="AR679" s="1" t="s">
        <v>210</v>
      </c>
      <c r="AS679" s="1" t="s">
        <v>204</v>
      </c>
      <c r="AT679" s="1" t="s">
        <v>211</v>
      </c>
      <c r="AU679" s="1">
        <v>61</v>
      </c>
      <c r="AW679" s="1" t="s">
        <v>204</v>
      </c>
      <c r="AX679" s="1" t="s">
        <v>270</v>
      </c>
      <c r="AZ679" s="1">
        <v>3700</v>
      </c>
      <c r="BA679" s="1">
        <v>2013</v>
      </c>
      <c r="BB679" s="1" t="s">
        <v>210</v>
      </c>
      <c r="BE679" s="1">
        <v>1400</v>
      </c>
      <c r="BF679" s="1">
        <v>2</v>
      </c>
      <c r="BG679" s="1">
        <v>30</v>
      </c>
      <c r="BJ679" s="1">
        <v>100</v>
      </c>
      <c r="BL679" s="1">
        <v>309</v>
      </c>
      <c r="BM679" s="1" t="s">
        <v>413</v>
      </c>
      <c r="BN679" s="1" t="s">
        <v>204</v>
      </c>
      <c r="BP679" s="1" t="s">
        <v>204</v>
      </c>
      <c r="BR679" s="1" t="str">
        <f>"12111021111004"</f>
        <v>12111021111004</v>
      </c>
      <c r="BT679" s="1" t="s">
        <v>8039</v>
      </c>
      <c r="BX679" s="1">
        <v>79</v>
      </c>
      <c r="BY679" s="1">
        <v>79</v>
      </c>
      <c r="BZ679" s="1">
        <v>207</v>
      </c>
      <c r="CB679" s="1" t="str">
        <f>"5200"</f>
        <v>5200</v>
      </c>
      <c r="CC679" s="1" t="str">
        <f>""</f>
        <v/>
      </c>
      <c r="CD679" s="1">
        <v>8540</v>
      </c>
      <c r="CG679" s="1" t="s">
        <v>1155</v>
      </c>
      <c r="CH679" s="1" t="s">
        <v>219</v>
      </c>
      <c r="CI679" s="1" t="s">
        <v>220</v>
      </c>
      <c r="CK679" s="1" t="s">
        <v>437</v>
      </c>
      <c r="CL679" s="1" t="s">
        <v>219</v>
      </c>
      <c r="CM679" s="1" t="s">
        <v>220</v>
      </c>
      <c r="CO679" s="1" t="s">
        <v>837</v>
      </c>
      <c r="CP679" s="1" t="s">
        <v>219</v>
      </c>
      <c r="CQ679" s="1" t="s">
        <v>220</v>
      </c>
      <c r="CS679" s="1" t="s">
        <v>223</v>
      </c>
      <c r="CT679" s="1" t="s">
        <v>219</v>
      </c>
      <c r="CU679" s="1" t="s">
        <v>220</v>
      </c>
      <c r="CX679" s="1" t="s">
        <v>224</v>
      </c>
      <c r="DB679" s="1" t="s">
        <v>224</v>
      </c>
      <c r="DE679" s="1" t="s">
        <v>379</v>
      </c>
      <c r="DF679" s="1" t="s">
        <v>219</v>
      </c>
      <c r="DG679" s="1" t="s">
        <v>342</v>
      </c>
      <c r="DJ679" s="1" t="s">
        <v>224</v>
      </c>
      <c r="DM679" s="1" t="s">
        <v>838</v>
      </c>
      <c r="DR679" s="1" t="s">
        <v>8040</v>
      </c>
      <c r="DS679" s="1" t="s">
        <v>219</v>
      </c>
      <c r="DW679" s="1" t="s">
        <v>230</v>
      </c>
      <c r="EA679" s="1" t="s">
        <v>230</v>
      </c>
      <c r="EE679" s="1" t="s">
        <v>230</v>
      </c>
      <c r="EI679" s="1" t="s">
        <v>230</v>
      </c>
      <c r="EL679" s="1" t="s">
        <v>382</v>
      </c>
      <c r="EM679" s="1" t="s">
        <v>730</v>
      </c>
      <c r="EN679" s="1" t="s">
        <v>282</v>
      </c>
      <c r="EO679" s="1" t="s">
        <v>234</v>
      </c>
      <c r="EP679" s="1" t="s">
        <v>8041</v>
      </c>
      <c r="EQ679" s="1" t="s">
        <v>1109</v>
      </c>
      <c r="ER679" s="1" t="s">
        <v>210</v>
      </c>
      <c r="ES679" s="1" t="s">
        <v>322</v>
      </c>
      <c r="EV679" s="1" t="s">
        <v>240</v>
      </c>
      <c r="EW679" s="1" t="s">
        <v>2765</v>
      </c>
      <c r="EZ679" s="1" t="s">
        <v>838</v>
      </c>
      <c r="FB679" s="1" t="s">
        <v>7912</v>
      </c>
      <c r="FC679" s="1" t="s">
        <v>2690</v>
      </c>
      <c r="FD679" s="1" t="s">
        <v>1112</v>
      </c>
      <c r="FE679" s="1" t="s">
        <v>247</v>
      </c>
      <c r="FF679" s="1" t="s">
        <v>248</v>
      </c>
      <c r="FH679" s="1" t="s">
        <v>249</v>
      </c>
      <c r="FL679" s="1" t="s">
        <v>414</v>
      </c>
      <c r="FM679" s="1" t="s">
        <v>252</v>
      </c>
      <c r="FN679" s="1" t="s">
        <v>213</v>
      </c>
      <c r="FO679" s="1" t="s">
        <v>213</v>
      </c>
      <c r="FQ679" s="1" t="s">
        <v>8042</v>
      </c>
      <c r="FR679" s="1" t="s">
        <v>210</v>
      </c>
      <c r="FS679" s="1" t="s">
        <v>8043</v>
      </c>
      <c r="FT679" s="1" t="s">
        <v>295</v>
      </c>
      <c r="FU679" s="1" t="s">
        <v>204</v>
      </c>
      <c r="FW679" s="1" t="s">
        <v>8044</v>
      </c>
      <c r="FX679" s="1">
        <v>25658</v>
      </c>
      <c r="FY679" s="1" t="s">
        <v>8045</v>
      </c>
      <c r="FZ679" s="1" t="s">
        <v>8046</v>
      </c>
      <c r="GA679" s="1">
        <v>240001</v>
      </c>
      <c r="GB679" s="1" t="s">
        <v>8047</v>
      </c>
      <c r="GE679" s="1" t="s">
        <v>335</v>
      </c>
      <c r="GH679" s="1" t="s">
        <v>589</v>
      </c>
      <c r="GI679" s="1" t="s">
        <v>213</v>
      </c>
      <c r="GJ679" s="1" t="s">
        <v>300</v>
      </c>
      <c r="GK679" s="1" t="s">
        <v>210</v>
      </c>
      <c r="GL679" s="2">
        <v>42076</v>
      </c>
      <c r="GM679" s="1" t="s">
        <v>8048</v>
      </c>
    </row>
    <row r="680" spans="1:195">
      <c r="A680" s="1">
        <v>150000</v>
      </c>
      <c r="B680" s="1" t="s">
        <v>195</v>
      </c>
      <c r="C680" s="1" t="str">
        <f>"08812352"</f>
        <v>08812352</v>
      </c>
      <c r="D680" s="1" t="s">
        <v>196</v>
      </c>
      <c r="F680" s="1" t="str">
        <f>"148"</f>
        <v>148</v>
      </c>
      <c r="G680" s="2">
        <v>42012</v>
      </c>
      <c r="H680" s="1">
        <v>159900</v>
      </c>
      <c r="I680" s="1">
        <v>159900</v>
      </c>
      <c r="J680" s="1">
        <v>150000</v>
      </c>
      <c r="K680" s="2">
        <v>42012</v>
      </c>
      <c r="L680" s="1">
        <v>11</v>
      </c>
      <c r="M680" s="2">
        <v>42022</v>
      </c>
      <c r="N680" s="1">
        <v>11</v>
      </c>
      <c r="O680" s="2">
        <v>42022</v>
      </c>
      <c r="P680" s="1">
        <v>24309</v>
      </c>
      <c r="Q680" s="1" t="s">
        <v>302</v>
      </c>
      <c r="R680" s="2">
        <v>42041</v>
      </c>
      <c r="S680" s="1">
        <v>237075</v>
      </c>
      <c r="U680" s="1">
        <v>212</v>
      </c>
      <c r="V680" s="1" t="s">
        <v>8049</v>
      </c>
      <c r="W680" s="1" t="s">
        <v>1056</v>
      </c>
      <c r="X680" s="1">
        <v>211</v>
      </c>
      <c r="Y680" s="1">
        <v>48</v>
      </c>
      <c r="Z680" s="1" t="s">
        <v>2811</v>
      </c>
      <c r="AA680" s="1" t="s">
        <v>1927</v>
      </c>
      <c r="AB680" s="1">
        <v>60148</v>
      </c>
      <c r="AE680" s="1" t="s">
        <v>8050</v>
      </c>
      <c r="AF680" s="1">
        <v>1991</v>
      </c>
      <c r="AG680" s="1" t="s">
        <v>204</v>
      </c>
      <c r="AH680" s="1" t="s">
        <v>1930</v>
      </c>
      <c r="AI680" s="1" t="s">
        <v>206</v>
      </c>
      <c r="AJ680" s="1" t="s">
        <v>1608</v>
      </c>
      <c r="AL680" s="1">
        <v>5</v>
      </c>
      <c r="AM680" s="1">
        <v>2</v>
      </c>
      <c r="AN680" s="1">
        <v>2</v>
      </c>
      <c r="AO680" s="1">
        <v>0</v>
      </c>
      <c r="AP680" s="1" t="s">
        <v>209</v>
      </c>
      <c r="AR680" s="1" t="s">
        <v>210</v>
      </c>
      <c r="AS680" s="1" t="s">
        <v>204</v>
      </c>
      <c r="AT680" s="1" t="s">
        <v>211</v>
      </c>
      <c r="AU680" s="1">
        <v>1</v>
      </c>
      <c r="AW680" s="1" t="s">
        <v>204</v>
      </c>
      <c r="AX680" s="1" t="s">
        <v>212</v>
      </c>
      <c r="AZ680" s="1">
        <v>3494</v>
      </c>
      <c r="BA680" s="1">
        <v>2013</v>
      </c>
      <c r="BE680" s="1">
        <v>1192</v>
      </c>
      <c r="BF680" s="1">
        <v>2</v>
      </c>
      <c r="BG680" s="1">
        <v>30</v>
      </c>
      <c r="BL680" s="1">
        <v>293</v>
      </c>
      <c r="BM680" s="1" t="s">
        <v>204</v>
      </c>
      <c r="BN680" s="1" t="s">
        <v>213</v>
      </c>
      <c r="BO680" s="1">
        <v>20</v>
      </c>
      <c r="BP680" s="1" t="s">
        <v>204</v>
      </c>
      <c r="BR680" s="1" t="str">
        <f>"0607223023"</f>
        <v>0607223023</v>
      </c>
      <c r="BT680" s="1" t="s">
        <v>8051</v>
      </c>
      <c r="BU680" s="1" t="s">
        <v>215</v>
      </c>
      <c r="BV680" s="1" t="s">
        <v>1934</v>
      </c>
      <c r="BW680" s="1" t="s">
        <v>1935</v>
      </c>
      <c r="BX680" s="1">
        <v>44</v>
      </c>
      <c r="BY680" s="1">
        <v>44</v>
      </c>
      <c r="BZ680" s="1">
        <v>87</v>
      </c>
      <c r="CB680" s="1" t="str">
        <f t="shared" ref="CB680:CC680" si="528">""</f>
        <v/>
      </c>
      <c r="CC680" s="1" t="str">
        <f t="shared" si="528"/>
        <v/>
      </c>
      <c r="CG680" s="1" t="s">
        <v>218</v>
      </c>
      <c r="CH680" s="1" t="s">
        <v>219</v>
      </c>
      <c r="CI680" s="1" t="s">
        <v>229</v>
      </c>
      <c r="CJ680" s="1" t="s">
        <v>463</v>
      </c>
      <c r="CK680" s="1" t="s">
        <v>344</v>
      </c>
      <c r="CL680" s="1" t="s">
        <v>219</v>
      </c>
      <c r="CM680" s="1" t="s">
        <v>229</v>
      </c>
      <c r="CN680" s="1" t="s">
        <v>343</v>
      </c>
      <c r="CO680" s="1" t="s">
        <v>837</v>
      </c>
      <c r="CP680" s="1" t="s">
        <v>219</v>
      </c>
      <c r="CQ680" s="1" t="s">
        <v>229</v>
      </c>
      <c r="CR680" s="1" t="s">
        <v>210</v>
      </c>
      <c r="CS680" s="1" t="s">
        <v>1297</v>
      </c>
      <c r="CT680" s="1" t="s">
        <v>219</v>
      </c>
      <c r="CU680" s="1" t="s">
        <v>229</v>
      </c>
      <c r="CV680" s="1" t="s">
        <v>343</v>
      </c>
      <c r="CX680" s="1" t="s">
        <v>224</v>
      </c>
      <c r="DB680" s="1" t="s">
        <v>224</v>
      </c>
      <c r="DE680" s="1" t="s">
        <v>951</v>
      </c>
      <c r="DF680" s="1" t="s">
        <v>219</v>
      </c>
      <c r="DG680" s="1" t="s">
        <v>229</v>
      </c>
      <c r="DH680" s="1" t="s">
        <v>210</v>
      </c>
      <c r="DJ680" s="1" t="s">
        <v>224</v>
      </c>
      <c r="DM680" s="1" t="s">
        <v>838</v>
      </c>
      <c r="DR680" s="1" t="s">
        <v>2670</v>
      </c>
      <c r="DS680" s="1" t="s">
        <v>219</v>
      </c>
      <c r="DW680" s="1" t="s">
        <v>230</v>
      </c>
      <c r="EA680" s="1" t="s">
        <v>230</v>
      </c>
      <c r="EE680" s="1" t="s">
        <v>230</v>
      </c>
      <c r="EI680" s="1" t="s">
        <v>230</v>
      </c>
      <c r="EL680" s="1" t="s">
        <v>382</v>
      </c>
      <c r="EM680" s="1" t="s">
        <v>232</v>
      </c>
      <c r="EN680" s="1" t="s">
        <v>282</v>
      </c>
      <c r="EO680" s="1" t="s">
        <v>234</v>
      </c>
      <c r="EQ680" s="1" t="s">
        <v>468</v>
      </c>
      <c r="ER680" s="1" t="s">
        <v>210</v>
      </c>
      <c r="ES680" s="1" t="s">
        <v>322</v>
      </c>
      <c r="EV680" s="1" t="s">
        <v>324</v>
      </c>
      <c r="EW680" s="1" t="s">
        <v>1821</v>
      </c>
      <c r="EZ680" s="1" t="s">
        <v>838</v>
      </c>
      <c r="FA680" s="1" t="s">
        <v>5302</v>
      </c>
      <c r="FB680" s="1" t="s">
        <v>289</v>
      </c>
      <c r="FD680" s="1" t="s">
        <v>495</v>
      </c>
      <c r="FE680" s="1" t="s">
        <v>247</v>
      </c>
      <c r="FF680" s="1" t="s">
        <v>248</v>
      </c>
      <c r="FH680" s="1" t="s">
        <v>249</v>
      </c>
      <c r="FL680" s="1" t="s">
        <v>358</v>
      </c>
      <c r="FM680" s="1" t="s">
        <v>252</v>
      </c>
      <c r="FN680" s="1" t="s">
        <v>213</v>
      </c>
      <c r="FO680" s="1" t="s">
        <v>213</v>
      </c>
      <c r="FQ680" s="1" t="s">
        <v>793</v>
      </c>
      <c r="FR680" s="1" t="s">
        <v>210</v>
      </c>
      <c r="FS680" s="1" t="s">
        <v>8052</v>
      </c>
      <c r="FT680" s="1" t="s">
        <v>362</v>
      </c>
      <c r="FU680" s="1" t="s">
        <v>204</v>
      </c>
      <c r="FW680" s="1" t="s">
        <v>915</v>
      </c>
      <c r="FX680" s="1">
        <v>24071</v>
      </c>
      <c r="FY680" s="1" t="s">
        <v>2208</v>
      </c>
      <c r="FZ680" s="1" t="s">
        <v>8053</v>
      </c>
      <c r="GA680" s="1">
        <v>245237</v>
      </c>
      <c r="GB680" s="1" t="s">
        <v>8054</v>
      </c>
      <c r="GE680" s="1" t="s">
        <v>210</v>
      </c>
      <c r="GH680" s="1" t="s">
        <v>589</v>
      </c>
      <c r="GI680" s="1" t="s">
        <v>213</v>
      </c>
      <c r="GJ680" s="1" t="s">
        <v>260</v>
      </c>
      <c r="GK680" s="1" t="s">
        <v>210</v>
      </c>
      <c r="GL680" s="2">
        <v>42041</v>
      </c>
      <c r="GM680" s="1" t="s">
        <v>8055</v>
      </c>
    </row>
    <row r="681" spans="1:195">
      <c r="A681" s="1">
        <v>115000</v>
      </c>
      <c r="B681" s="1" t="s">
        <v>195</v>
      </c>
      <c r="C681" s="1" t="str">
        <f>"08805741"</f>
        <v>08805741</v>
      </c>
      <c r="D681" s="1" t="s">
        <v>196</v>
      </c>
      <c r="F681" s="1" t="str">
        <f>"538"</f>
        <v>538</v>
      </c>
      <c r="G681" s="2">
        <v>41996</v>
      </c>
      <c r="H681" s="1">
        <v>125000</v>
      </c>
      <c r="I681" s="1">
        <v>125000</v>
      </c>
      <c r="J681" s="1">
        <v>115000</v>
      </c>
      <c r="K681" s="2">
        <v>41996</v>
      </c>
      <c r="L681" s="1">
        <v>26</v>
      </c>
      <c r="M681" s="2">
        <v>42021</v>
      </c>
      <c r="N681" s="1">
        <v>26</v>
      </c>
      <c r="O681" s="2">
        <v>42021</v>
      </c>
      <c r="P681" s="1">
        <v>22375</v>
      </c>
      <c r="Q681" s="1" t="s">
        <v>197</v>
      </c>
      <c r="R681" s="2">
        <v>42068</v>
      </c>
      <c r="S681" s="1">
        <v>232281</v>
      </c>
      <c r="U681" s="1">
        <v>65</v>
      </c>
      <c r="V681" s="1" t="s">
        <v>8056</v>
      </c>
      <c r="W681" s="1" t="s">
        <v>264</v>
      </c>
      <c r="Y681" s="1">
        <v>12</v>
      </c>
      <c r="Z681" s="1" t="s">
        <v>370</v>
      </c>
      <c r="AA681" s="1" t="s">
        <v>450</v>
      </c>
      <c r="AB681" s="1">
        <v>60538</v>
      </c>
      <c r="AD681" s="1" t="s">
        <v>8057</v>
      </c>
      <c r="AE681" s="1" t="s">
        <v>8058</v>
      </c>
      <c r="AF681" s="1">
        <v>1978</v>
      </c>
      <c r="AG681" s="1" t="s">
        <v>204</v>
      </c>
      <c r="AH681" s="1" t="s">
        <v>452</v>
      </c>
      <c r="AI681" s="1" t="s">
        <v>453</v>
      </c>
      <c r="AJ681" s="1" t="s">
        <v>1397</v>
      </c>
      <c r="AL681" s="1">
        <v>7</v>
      </c>
      <c r="AM681" s="1">
        <v>2</v>
      </c>
      <c r="AN681" s="1">
        <v>3</v>
      </c>
      <c r="AO681" s="1">
        <v>0</v>
      </c>
      <c r="AP681" s="1" t="s">
        <v>209</v>
      </c>
      <c r="AQ681" s="1">
        <v>0</v>
      </c>
      <c r="AR681" s="1" t="s">
        <v>209</v>
      </c>
      <c r="AS681" s="1" t="s">
        <v>213</v>
      </c>
      <c r="AT681" s="1" t="s">
        <v>375</v>
      </c>
      <c r="AU681" s="1">
        <v>2</v>
      </c>
      <c r="AV681" s="1">
        <v>1</v>
      </c>
      <c r="AW681" s="1" t="s">
        <v>204</v>
      </c>
      <c r="AX681" s="1" t="s">
        <v>212</v>
      </c>
      <c r="AZ681" s="1">
        <v>3311</v>
      </c>
      <c r="BA681" s="1">
        <v>2013</v>
      </c>
      <c r="BB681" s="1" t="s">
        <v>599</v>
      </c>
      <c r="BE681" s="1">
        <v>1380</v>
      </c>
      <c r="BF681" s="1">
        <v>1</v>
      </c>
      <c r="BG681" s="1">
        <v>10</v>
      </c>
      <c r="BJ681" s="1">
        <v>100</v>
      </c>
      <c r="BL681" s="1">
        <v>190</v>
      </c>
      <c r="BM681" s="1" t="s">
        <v>204</v>
      </c>
      <c r="BN681" s="1" t="s">
        <v>213</v>
      </c>
      <c r="BO681" s="1" t="s">
        <v>432</v>
      </c>
      <c r="BP681" s="1" t="s">
        <v>204</v>
      </c>
      <c r="BR681" s="1" t="str">
        <f>"0305452023"</f>
        <v>0305452023</v>
      </c>
      <c r="BT681" s="1" t="s">
        <v>8059</v>
      </c>
      <c r="BX681" s="1">
        <v>308</v>
      </c>
      <c r="BY681" s="1">
        <v>308</v>
      </c>
      <c r="BZ681" s="1">
        <v>308</v>
      </c>
      <c r="CB681" s="1" t="str">
        <f t="shared" ref="CB681:CC681" si="529">""</f>
        <v/>
      </c>
      <c r="CC681" s="1" t="str">
        <f t="shared" si="529"/>
        <v/>
      </c>
      <c r="CG681" s="1" t="s">
        <v>581</v>
      </c>
      <c r="CH681" s="1" t="s">
        <v>219</v>
      </c>
      <c r="CI681" s="1" t="s">
        <v>220</v>
      </c>
      <c r="CJ681" s="1" t="s">
        <v>252</v>
      </c>
      <c r="CK681" s="1" t="s">
        <v>315</v>
      </c>
      <c r="CL681" s="1" t="s">
        <v>219</v>
      </c>
      <c r="CM681" s="1" t="s">
        <v>220</v>
      </c>
      <c r="CN681" s="1" t="s">
        <v>252</v>
      </c>
      <c r="CO681" s="1" t="s">
        <v>1854</v>
      </c>
      <c r="CP681" s="1" t="s">
        <v>219</v>
      </c>
      <c r="CQ681" s="1" t="s">
        <v>220</v>
      </c>
      <c r="CR681" s="1" t="s">
        <v>252</v>
      </c>
      <c r="CS681" s="1" t="s">
        <v>465</v>
      </c>
      <c r="CT681" s="1" t="s">
        <v>219</v>
      </c>
      <c r="CU681" s="1" t="s">
        <v>220</v>
      </c>
      <c r="CV681" s="1" t="s">
        <v>252</v>
      </c>
      <c r="CX681" s="1" t="s">
        <v>224</v>
      </c>
      <c r="DB681" s="1" t="s">
        <v>224</v>
      </c>
      <c r="DE681" s="1" t="s">
        <v>837</v>
      </c>
      <c r="DF681" s="1" t="s">
        <v>219</v>
      </c>
      <c r="DG681" s="1" t="s">
        <v>342</v>
      </c>
      <c r="DH681" s="1" t="s">
        <v>210</v>
      </c>
      <c r="DI681" s="1" t="s">
        <v>8060</v>
      </c>
      <c r="DJ681" s="1" t="s">
        <v>822</v>
      </c>
      <c r="DK681" s="1" t="s">
        <v>220</v>
      </c>
      <c r="DL681" s="1" t="s">
        <v>210</v>
      </c>
      <c r="DM681" s="1" t="s">
        <v>411</v>
      </c>
      <c r="DR681" s="1" t="s">
        <v>786</v>
      </c>
      <c r="DS681" s="1" t="s">
        <v>822</v>
      </c>
      <c r="DT681" s="1" t="s">
        <v>220</v>
      </c>
      <c r="DU681" s="1" t="s">
        <v>252</v>
      </c>
      <c r="DW681" s="1" t="s">
        <v>230</v>
      </c>
      <c r="EA681" s="1" t="s">
        <v>230</v>
      </c>
      <c r="EE681" s="1" t="s">
        <v>230</v>
      </c>
      <c r="EI681" s="1" t="s">
        <v>230</v>
      </c>
      <c r="EL681" s="1" t="s">
        <v>231</v>
      </c>
      <c r="EM681" s="1" t="s">
        <v>319</v>
      </c>
      <c r="EN681" s="1" t="s">
        <v>282</v>
      </c>
      <c r="EO681" s="1" t="s">
        <v>234</v>
      </c>
      <c r="EP681" s="1" t="s">
        <v>543</v>
      </c>
      <c r="EQ681" s="1" t="s">
        <v>1094</v>
      </c>
      <c r="ER681" s="1" t="s">
        <v>823</v>
      </c>
      <c r="EU681" s="1" t="s">
        <v>239</v>
      </c>
      <c r="EW681" s="1" t="s">
        <v>887</v>
      </c>
      <c r="EY681" s="1" t="s">
        <v>790</v>
      </c>
      <c r="EZ681" s="1" t="s">
        <v>411</v>
      </c>
      <c r="FB681" s="1" t="s">
        <v>734</v>
      </c>
      <c r="FC681" s="1" t="s">
        <v>1386</v>
      </c>
      <c r="FD681" s="1" t="s">
        <v>246</v>
      </c>
      <c r="FE681" s="1" t="s">
        <v>355</v>
      </c>
      <c r="FF681" s="1" t="s">
        <v>248</v>
      </c>
      <c r="FH681" s="1" t="s">
        <v>825</v>
      </c>
      <c r="FJ681" s="1" t="s">
        <v>197</v>
      </c>
      <c r="FK681" s="1" t="s">
        <v>891</v>
      </c>
      <c r="FL681" s="1" t="s">
        <v>414</v>
      </c>
      <c r="FM681" s="1" t="s">
        <v>252</v>
      </c>
      <c r="FN681" s="1" t="s">
        <v>213</v>
      </c>
      <c r="FO681" s="1" t="s">
        <v>213</v>
      </c>
      <c r="FQ681" s="1" t="s">
        <v>8061</v>
      </c>
      <c r="FR681" s="1" t="s">
        <v>210</v>
      </c>
      <c r="FS681" s="1" t="s">
        <v>8062</v>
      </c>
      <c r="FT681" s="1" t="s">
        <v>1588</v>
      </c>
      <c r="FU681" s="1" t="s">
        <v>204</v>
      </c>
      <c r="FW681" s="1" t="s">
        <v>2144</v>
      </c>
      <c r="FX681" s="1">
        <v>23300</v>
      </c>
      <c r="FY681" s="1" t="s">
        <v>8063</v>
      </c>
      <c r="FZ681" s="1" t="s">
        <v>8064</v>
      </c>
      <c r="GA681" s="1">
        <v>232304</v>
      </c>
      <c r="GB681" s="1" t="s">
        <v>8063</v>
      </c>
      <c r="GD681" s="1" t="s">
        <v>8065</v>
      </c>
      <c r="GE681" s="1" t="s">
        <v>623</v>
      </c>
      <c r="GI681" s="1" t="s">
        <v>213</v>
      </c>
      <c r="GJ681" s="1" t="s">
        <v>260</v>
      </c>
      <c r="GK681" s="1" t="s">
        <v>210</v>
      </c>
      <c r="GL681" s="2">
        <v>42069</v>
      </c>
      <c r="GM681" s="1" t="s">
        <v>8066</v>
      </c>
    </row>
    <row r="682" spans="1:195">
      <c r="A682" s="1">
        <v>83000</v>
      </c>
      <c r="B682" s="1" t="s">
        <v>195</v>
      </c>
      <c r="C682" s="1" t="str">
        <f>"08804815"</f>
        <v>08804815</v>
      </c>
      <c r="D682" s="1" t="s">
        <v>196</v>
      </c>
      <c r="F682" s="1" t="str">
        <f>"191"</f>
        <v>191</v>
      </c>
      <c r="G682" s="2">
        <v>41993</v>
      </c>
      <c r="H682" s="1">
        <v>85000</v>
      </c>
      <c r="I682" s="1">
        <v>85000</v>
      </c>
      <c r="J682" s="1">
        <v>83000</v>
      </c>
      <c r="K682" s="2">
        <v>41993</v>
      </c>
      <c r="L682" s="1">
        <v>6</v>
      </c>
      <c r="M682" s="2">
        <v>41998</v>
      </c>
      <c r="N682" s="1">
        <v>6</v>
      </c>
      <c r="O682" s="2">
        <v>41998</v>
      </c>
      <c r="P682" s="1">
        <v>24007</v>
      </c>
      <c r="Q682" s="1" t="s">
        <v>197</v>
      </c>
      <c r="R682" s="2">
        <v>42062</v>
      </c>
      <c r="S682" s="1">
        <v>241613</v>
      </c>
      <c r="U682" s="1">
        <v>465</v>
      </c>
      <c r="V682" s="1" t="s">
        <v>8067</v>
      </c>
      <c r="W682" s="1" t="s">
        <v>264</v>
      </c>
      <c r="X682" s="1">
        <v>1001</v>
      </c>
      <c r="Y682" s="1">
        <v>134</v>
      </c>
      <c r="Z682" s="1" t="s">
        <v>249</v>
      </c>
      <c r="AA682" s="1" t="s">
        <v>1966</v>
      </c>
      <c r="AB682" s="1">
        <v>60191</v>
      </c>
      <c r="AD682" s="1" t="s">
        <v>8068</v>
      </c>
      <c r="AE682" s="1" t="s">
        <v>8069</v>
      </c>
      <c r="AF682" s="1">
        <v>1974</v>
      </c>
      <c r="AG682" s="1" t="s">
        <v>213</v>
      </c>
      <c r="AH682" s="1" t="s">
        <v>1969</v>
      </c>
      <c r="AI682" s="1" t="s">
        <v>206</v>
      </c>
      <c r="AJ682" s="1" t="s">
        <v>1233</v>
      </c>
      <c r="AL682" s="1">
        <v>5</v>
      </c>
      <c r="AM682" s="1">
        <v>2</v>
      </c>
      <c r="AN682" s="1">
        <v>2</v>
      </c>
      <c r="AO682" s="1">
        <v>0</v>
      </c>
      <c r="AP682" s="1" t="s">
        <v>209</v>
      </c>
      <c r="AQ682" s="1">
        <v>0</v>
      </c>
      <c r="AR682" s="1" t="s">
        <v>210</v>
      </c>
      <c r="AT682" s="1" t="s">
        <v>211</v>
      </c>
      <c r="AU682" s="1">
        <v>2</v>
      </c>
      <c r="AW682" s="1" t="s">
        <v>204</v>
      </c>
      <c r="AX682" s="1" t="s">
        <v>212</v>
      </c>
      <c r="AZ682" s="1">
        <v>2413</v>
      </c>
      <c r="BA682" s="1">
        <v>2013</v>
      </c>
      <c r="BB682" s="1" t="s">
        <v>405</v>
      </c>
      <c r="BE682" s="1">
        <v>1300</v>
      </c>
      <c r="BF682" s="1">
        <v>10</v>
      </c>
      <c r="BG682" s="1">
        <v>30</v>
      </c>
      <c r="BJ682" s="1">
        <v>100</v>
      </c>
      <c r="BL682" s="1">
        <v>404</v>
      </c>
      <c r="BM682" s="1" t="s">
        <v>204</v>
      </c>
      <c r="BN682" s="1" t="s">
        <v>213</v>
      </c>
      <c r="BP682" s="1" t="s">
        <v>204</v>
      </c>
      <c r="BR682" s="1" t="str">
        <f>"0321113085"</f>
        <v>0321113085</v>
      </c>
      <c r="BT682" s="1" t="s">
        <v>8070</v>
      </c>
      <c r="BU682" s="1" t="s">
        <v>2719</v>
      </c>
      <c r="BV682" s="1" t="s">
        <v>2720</v>
      </c>
      <c r="BW682" s="1" t="s">
        <v>2721</v>
      </c>
      <c r="BX682" s="1">
        <v>4</v>
      </c>
      <c r="BY682" s="1">
        <v>4</v>
      </c>
      <c r="BZ682" s="1">
        <v>88</v>
      </c>
      <c r="CB682" s="1" t="str">
        <f>"14"</f>
        <v>14</v>
      </c>
      <c r="CC682" s="1" t="str">
        <f>"0"</f>
        <v>0</v>
      </c>
      <c r="CD682" s="1">
        <v>18</v>
      </c>
      <c r="CE682" s="1">
        <v>0</v>
      </c>
      <c r="CG682" s="1" t="s">
        <v>1357</v>
      </c>
      <c r="CH682" s="1" t="s">
        <v>219</v>
      </c>
      <c r="CI682" s="1" t="s">
        <v>220</v>
      </c>
      <c r="CJ682" s="1" t="s">
        <v>210</v>
      </c>
      <c r="CK682" s="1" t="s">
        <v>515</v>
      </c>
      <c r="CL682" s="1" t="s">
        <v>219</v>
      </c>
      <c r="CM682" s="1" t="s">
        <v>220</v>
      </c>
      <c r="CN682" s="1" t="s">
        <v>210</v>
      </c>
      <c r="CO682" s="1" t="s">
        <v>378</v>
      </c>
      <c r="CP682" s="1" t="s">
        <v>219</v>
      </c>
      <c r="CQ682" s="1" t="s">
        <v>220</v>
      </c>
      <c r="CR682" s="1" t="s">
        <v>210</v>
      </c>
      <c r="CS682" s="1" t="s">
        <v>378</v>
      </c>
      <c r="CT682" s="1" t="s">
        <v>219</v>
      </c>
      <c r="CU682" s="1" t="s">
        <v>220</v>
      </c>
      <c r="CV682" s="1" t="s">
        <v>210</v>
      </c>
      <c r="CX682" s="1" t="s">
        <v>224</v>
      </c>
      <c r="DB682" s="1" t="s">
        <v>224</v>
      </c>
      <c r="DE682" s="1" t="s">
        <v>346</v>
      </c>
      <c r="DF682" s="1" t="s">
        <v>219</v>
      </c>
      <c r="DG682" s="1" t="s">
        <v>226</v>
      </c>
      <c r="DH682" s="1" t="s">
        <v>210</v>
      </c>
      <c r="DJ682" s="1" t="s">
        <v>224</v>
      </c>
      <c r="DS682" s="1" t="s">
        <v>230</v>
      </c>
      <c r="DW682" s="1" t="s">
        <v>230</v>
      </c>
      <c r="EA682" s="1" t="s">
        <v>230</v>
      </c>
      <c r="EE682" s="1" t="s">
        <v>230</v>
      </c>
      <c r="EI682" s="1" t="s">
        <v>230</v>
      </c>
      <c r="EL682" s="1" t="s">
        <v>231</v>
      </c>
      <c r="EM682" s="1" t="s">
        <v>319</v>
      </c>
      <c r="EN682" s="1" t="s">
        <v>282</v>
      </c>
      <c r="EO682" s="1" t="s">
        <v>234</v>
      </c>
      <c r="EP682" s="1" t="s">
        <v>8071</v>
      </c>
      <c r="ER682" s="1" t="s">
        <v>210</v>
      </c>
      <c r="EU682" s="1" t="s">
        <v>8072</v>
      </c>
      <c r="EV682" s="1" t="s">
        <v>324</v>
      </c>
      <c r="EW682" s="1" t="s">
        <v>8073</v>
      </c>
      <c r="EY682" s="1" t="s">
        <v>790</v>
      </c>
      <c r="EZ682" s="1" t="s">
        <v>287</v>
      </c>
      <c r="FB682" s="1" t="s">
        <v>244</v>
      </c>
      <c r="FC682" s="1" t="s">
        <v>633</v>
      </c>
      <c r="FD682" s="1" t="s">
        <v>8074</v>
      </c>
      <c r="FE682" s="1" t="s">
        <v>6051</v>
      </c>
      <c r="FF682" s="1" t="s">
        <v>248</v>
      </c>
      <c r="FH682" s="1" t="s">
        <v>8075</v>
      </c>
      <c r="FI682" s="1" t="s">
        <v>848</v>
      </c>
      <c r="FJ682" s="1" t="s">
        <v>1472</v>
      </c>
      <c r="FL682" s="1" t="s">
        <v>292</v>
      </c>
      <c r="FM682" s="1" t="s">
        <v>252</v>
      </c>
      <c r="FN682" s="1" t="s">
        <v>213</v>
      </c>
      <c r="FO682" s="1" t="s">
        <v>213</v>
      </c>
      <c r="FQ682" s="1" t="s">
        <v>8076</v>
      </c>
      <c r="FR682" s="1" t="s">
        <v>210</v>
      </c>
      <c r="FS682" s="1" t="s">
        <v>8077</v>
      </c>
      <c r="FT682" s="1" t="s">
        <v>295</v>
      </c>
      <c r="FU682" s="1" t="s">
        <v>204</v>
      </c>
      <c r="FW682" s="1" t="s">
        <v>2019</v>
      </c>
      <c r="FX682" s="1">
        <v>24007</v>
      </c>
      <c r="FY682" s="1" t="s">
        <v>2020</v>
      </c>
      <c r="FZ682" s="1" t="s">
        <v>8078</v>
      </c>
      <c r="GA682" s="1">
        <v>245609</v>
      </c>
      <c r="GB682" s="1" t="s">
        <v>8079</v>
      </c>
      <c r="GE682" s="1" t="s">
        <v>1256</v>
      </c>
      <c r="GH682" s="1" t="s">
        <v>589</v>
      </c>
      <c r="GI682" s="1" t="s">
        <v>213</v>
      </c>
      <c r="GJ682" s="1" t="s">
        <v>260</v>
      </c>
      <c r="GK682" s="1" t="s">
        <v>210</v>
      </c>
      <c r="GL682" s="2">
        <v>42062</v>
      </c>
      <c r="GM682" s="1" t="s">
        <v>8080</v>
      </c>
    </row>
    <row r="683" spans="1:195">
      <c r="A683" s="1">
        <v>160000</v>
      </c>
      <c r="B683" s="1" t="s">
        <v>195</v>
      </c>
      <c r="C683" s="1" t="str">
        <f>"08804119"</f>
        <v>08804119</v>
      </c>
      <c r="D683" s="1" t="s">
        <v>196</v>
      </c>
      <c r="F683" s="1" t="str">
        <f>"134"</f>
        <v>134</v>
      </c>
      <c r="G683" s="2">
        <v>41991</v>
      </c>
      <c r="H683" s="1">
        <v>160000</v>
      </c>
      <c r="I683" s="1">
        <v>160000</v>
      </c>
      <c r="J683" s="1">
        <v>160000</v>
      </c>
      <c r="K683" s="2">
        <v>41991</v>
      </c>
      <c r="L683" s="1">
        <v>133</v>
      </c>
      <c r="M683" s="2">
        <v>42032</v>
      </c>
      <c r="N683" s="1">
        <v>42</v>
      </c>
      <c r="O683" s="2">
        <v>42032</v>
      </c>
      <c r="P683" s="1">
        <v>8079</v>
      </c>
      <c r="Q683" s="1" t="s">
        <v>197</v>
      </c>
      <c r="R683" s="2">
        <v>42081</v>
      </c>
      <c r="S683" s="1">
        <v>241902</v>
      </c>
      <c r="U683" s="1">
        <v>2309</v>
      </c>
      <c r="V683" s="1" t="s">
        <v>8081</v>
      </c>
      <c r="W683" s="1" t="s">
        <v>264</v>
      </c>
      <c r="X683" s="1">
        <v>2309</v>
      </c>
      <c r="Y683" s="1">
        <v>4</v>
      </c>
      <c r="Z683" s="1" t="s">
        <v>249</v>
      </c>
      <c r="AA683" s="1" t="s">
        <v>661</v>
      </c>
      <c r="AB683" s="1">
        <v>60134</v>
      </c>
      <c r="AE683" s="1" t="s">
        <v>8082</v>
      </c>
      <c r="AF683" s="1">
        <v>2002</v>
      </c>
      <c r="AG683" s="1" t="s">
        <v>204</v>
      </c>
      <c r="AH683" s="1" t="s">
        <v>664</v>
      </c>
      <c r="AI683" s="1" t="s">
        <v>665</v>
      </c>
      <c r="AJ683" s="1" t="s">
        <v>664</v>
      </c>
      <c r="AL683" s="1">
        <v>6</v>
      </c>
      <c r="AM683" s="1">
        <v>2</v>
      </c>
      <c r="AN683" s="1">
        <v>1</v>
      </c>
      <c r="AO683" s="1">
        <v>1</v>
      </c>
      <c r="AP683" s="1" t="s">
        <v>667</v>
      </c>
      <c r="AR683" s="1" t="s">
        <v>210</v>
      </c>
      <c r="AS683" s="1" t="s">
        <v>204</v>
      </c>
      <c r="AT683" s="1" t="s">
        <v>211</v>
      </c>
      <c r="AU683" s="1">
        <v>2</v>
      </c>
      <c r="AW683" s="1" t="s">
        <v>204</v>
      </c>
      <c r="AX683" s="1" t="s">
        <v>212</v>
      </c>
      <c r="AZ683" s="1">
        <v>6098.44</v>
      </c>
      <c r="BA683" s="1">
        <v>2013</v>
      </c>
      <c r="BE683" s="1">
        <v>1366</v>
      </c>
      <c r="BF683" s="1">
        <v>1</v>
      </c>
      <c r="BG683" s="1">
        <v>0</v>
      </c>
      <c r="BL683" s="1">
        <v>188</v>
      </c>
      <c r="BM683" s="1" t="s">
        <v>213</v>
      </c>
      <c r="BN683" s="1" t="s">
        <v>213</v>
      </c>
      <c r="BO683" s="1" t="s">
        <v>402</v>
      </c>
      <c r="BP683" s="1" t="s">
        <v>204</v>
      </c>
      <c r="BR683" s="1" t="str">
        <f>"1204102172"</f>
        <v>1204102172</v>
      </c>
      <c r="BT683" s="1" t="s">
        <v>8083</v>
      </c>
      <c r="BX683" s="1">
        <v>304</v>
      </c>
      <c r="BY683" s="1">
        <v>304</v>
      </c>
      <c r="BZ683" s="1">
        <v>304</v>
      </c>
      <c r="CB683" s="1" t="str">
        <f t="shared" ref="CB683:CC683" si="530">""</f>
        <v/>
      </c>
      <c r="CC683" s="1" t="str">
        <f t="shared" si="530"/>
        <v/>
      </c>
      <c r="CG683" s="1" t="s">
        <v>318</v>
      </c>
      <c r="CH683" s="1" t="s">
        <v>219</v>
      </c>
      <c r="CI683" s="1" t="s">
        <v>229</v>
      </c>
      <c r="CK683" s="1" t="s">
        <v>437</v>
      </c>
      <c r="CL683" s="1" t="s">
        <v>277</v>
      </c>
      <c r="CM683" s="1" t="s">
        <v>229</v>
      </c>
      <c r="CO683" s="1" t="s">
        <v>409</v>
      </c>
      <c r="CP683" s="1" t="s">
        <v>219</v>
      </c>
      <c r="CQ683" s="1" t="s">
        <v>229</v>
      </c>
      <c r="CS683" s="1" t="s">
        <v>951</v>
      </c>
      <c r="CT683" s="1" t="s">
        <v>277</v>
      </c>
      <c r="CU683" s="1" t="s">
        <v>229</v>
      </c>
      <c r="CX683" s="1" t="s">
        <v>224</v>
      </c>
      <c r="DB683" s="1" t="s">
        <v>224</v>
      </c>
      <c r="DE683" s="1" t="s">
        <v>786</v>
      </c>
      <c r="DF683" s="1" t="s">
        <v>219</v>
      </c>
      <c r="DG683" s="1" t="s">
        <v>229</v>
      </c>
      <c r="DJ683" s="1" t="s">
        <v>224</v>
      </c>
      <c r="DM683" s="1" t="s">
        <v>464</v>
      </c>
      <c r="DN683" s="1" t="s">
        <v>1771</v>
      </c>
      <c r="DR683" s="1" t="s">
        <v>564</v>
      </c>
      <c r="DS683" s="1" t="s">
        <v>277</v>
      </c>
      <c r="DT683" s="1" t="s">
        <v>220</v>
      </c>
      <c r="DV683" s="1" t="s">
        <v>2308</v>
      </c>
      <c r="DW683" s="1" t="s">
        <v>277</v>
      </c>
      <c r="DX683" s="1" t="s">
        <v>229</v>
      </c>
      <c r="EA683" s="1" t="s">
        <v>230</v>
      </c>
      <c r="EE683" s="1" t="s">
        <v>230</v>
      </c>
      <c r="EI683" s="1" t="s">
        <v>230</v>
      </c>
      <c r="EL683" s="1" t="s">
        <v>466</v>
      </c>
      <c r="EM683" s="1" t="s">
        <v>319</v>
      </c>
      <c r="EN683" s="1" t="s">
        <v>282</v>
      </c>
      <c r="EO683" s="1" t="s">
        <v>234</v>
      </c>
      <c r="EP683" s="1" t="s">
        <v>1268</v>
      </c>
      <c r="ER683" s="1" t="s">
        <v>210</v>
      </c>
      <c r="ES683" s="1" t="s">
        <v>1868</v>
      </c>
      <c r="ET683" s="1" t="s">
        <v>842</v>
      </c>
      <c r="EW683" s="1" t="s">
        <v>8084</v>
      </c>
      <c r="EZ683" s="1" t="s">
        <v>4451</v>
      </c>
      <c r="FD683" s="1" t="s">
        <v>246</v>
      </c>
      <c r="FE683" s="1" t="s">
        <v>975</v>
      </c>
      <c r="FF683" s="1" t="s">
        <v>248</v>
      </c>
      <c r="FH683" s="1" t="s">
        <v>249</v>
      </c>
      <c r="FL683" s="1" t="s">
        <v>358</v>
      </c>
      <c r="FM683" s="1" t="s">
        <v>252</v>
      </c>
      <c r="FN683" s="1" t="s">
        <v>213</v>
      </c>
      <c r="FO683" s="1" t="s">
        <v>213</v>
      </c>
      <c r="FQ683" s="1" t="s">
        <v>689</v>
      </c>
      <c r="FR683" s="1" t="s">
        <v>210</v>
      </c>
      <c r="FS683" s="1" t="s">
        <v>3448</v>
      </c>
      <c r="FT683" s="1" t="s">
        <v>584</v>
      </c>
      <c r="FU683" s="1" t="s">
        <v>204</v>
      </c>
      <c r="FW683" s="1" t="s">
        <v>3449</v>
      </c>
      <c r="FX683" s="1">
        <v>605</v>
      </c>
      <c r="FY683" s="1" t="s">
        <v>3450</v>
      </c>
      <c r="FZ683" s="1" t="s">
        <v>3451</v>
      </c>
      <c r="GA683" s="1">
        <v>170</v>
      </c>
      <c r="GB683" s="1" t="s">
        <v>3450</v>
      </c>
      <c r="GD683" s="1" t="s">
        <v>3452</v>
      </c>
      <c r="GE683" s="1" t="s">
        <v>210</v>
      </c>
      <c r="GI683" s="1" t="s">
        <v>213</v>
      </c>
      <c r="GJ683" s="1" t="s">
        <v>260</v>
      </c>
      <c r="GK683" s="1" t="s">
        <v>210</v>
      </c>
      <c r="GL683" s="2">
        <v>42082</v>
      </c>
      <c r="GM683" s="1" t="s">
        <v>8085</v>
      </c>
    </row>
    <row r="684" spans="1:195">
      <c r="A684" s="1">
        <v>85000</v>
      </c>
      <c r="B684" s="1" t="s">
        <v>195</v>
      </c>
      <c r="C684" s="1" t="str">
        <f>"08804367"</f>
        <v>08804367</v>
      </c>
      <c r="D684" s="1" t="s">
        <v>196</v>
      </c>
      <c r="F684" s="1" t="str">
        <f>"148"</f>
        <v>148</v>
      </c>
      <c r="G684" s="2">
        <v>41992</v>
      </c>
      <c r="H684" s="1">
        <v>79000</v>
      </c>
      <c r="I684" s="1">
        <v>79000</v>
      </c>
      <c r="J684" s="1">
        <v>85000</v>
      </c>
      <c r="K684" s="2">
        <v>41991</v>
      </c>
      <c r="L684" s="1">
        <v>70</v>
      </c>
      <c r="M684" s="2">
        <v>42060</v>
      </c>
      <c r="N684" s="1">
        <v>70</v>
      </c>
      <c r="O684" s="2">
        <v>42060</v>
      </c>
      <c r="P684" s="1">
        <v>25792</v>
      </c>
      <c r="Q684" s="1" t="s">
        <v>197</v>
      </c>
      <c r="R684" s="2">
        <v>42145</v>
      </c>
      <c r="S684" s="1">
        <v>222669</v>
      </c>
      <c r="U684" s="1">
        <v>1331</v>
      </c>
      <c r="V684" s="1" t="s">
        <v>2226</v>
      </c>
      <c r="W684" s="1" t="s">
        <v>1056</v>
      </c>
      <c r="X684" s="1">
        <v>112</v>
      </c>
      <c r="Y684" s="1">
        <v>84</v>
      </c>
      <c r="Z684" s="1" t="s">
        <v>249</v>
      </c>
      <c r="AA684" s="1" t="s">
        <v>1927</v>
      </c>
      <c r="AB684" s="1">
        <v>60148</v>
      </c>
      <c r="AD684" s="1" t="s">
        <v>2227</v>
      </c>
      <c r="AE684" s="1" t="s">
        <v>8086</v>
      </c>
      <c r="AF684" s="1">
        <v>1973</v>
      </c>
      <c r="AG684" s="1" t="s">
        <v>213</v>
      </c>
      <c r="AH684" s="1" t="s">
        <v>1930</v>
      </c>
      <c r="AI684" s="1" t="s">
        <v>206</v>
      </c>
      <c r="AJ684" s="1" t="s">
        <v>1608</v>
      </c>
      <c r="AK684" s="1" t="s">
        <v>8087</v>
      </c>
      <c r="AL684" s="1">
        <v>5</v>
      </c>
      <c r="AM684" s="1">
        <v>2</v>
      </c>
      <c r="AN684" s="1">
        <v>1</v>
      </c>
      <c r="AO684" s="1">
        <v>1</v>
      </c>
      <c r="AP684" s="1" t="s">
        <v>210</v>
      </c>
      <c r="AR684" s="1" t="s">
        <v>210</v>
      </c>
      <c r="AS684" s="1" t="s">
        <v>204</v>
      </c>
      <c r="AT684" s="1" t="s">
        <v>271</v>
      </c>
      <c r="AV684" s="1">
        <v>2</v>
      </c>
      <c r="AW684" s="1" t="s">
        <v>204</v>
      </c>
      <c r="AX684" s="1" t="s">
        <v>212</v>
      </c>
      <c r="AZ684" s="1">
        <v>1201</v>
      </c>
      <c r="BA684" s="1">
        <v>2013</v>
      </c>
      <c r="BB684" s="1" t="s">
        <v>405</v>
      </c>
      <c r="BE684" s="1">
        <v>0</v>
      </c>
      <c r="BF684" s="1">
        <v>1</v>
      </c>
      <c r="BG684" s="1">
        <v>0</v>
      </c>
      <c r="BL684" s="1">
        <v>388</v>
      </c>
      <c r="BM684" s="1" t="s">
        <v>204</v>
      </c>
      <c r="BN684" s="1" t="s">
        <v>213</v>
      </c>
      <c r="BO684" s="1">
        <v>25</v>
      </c>
      <c r="BP684" s="1" t="s">
        <v>204</v>
      </c>
      <c r="BR684" s="1" t="str">
        <f>"0619215012"</f>
        <v>0619215012</v>
      </c>
      <c r="BT684" s="1" t="s">
        <v>8088</v>
      </c>
      <c r="BX684" s="1">
        <v>44</v>
      </c>
      <c r="BY684" s="1">
        <v>44</v>
      </c>
      <c r="BZ684" s="1">
        <v>87</v>
      </c>
      <c r="CB684" s="1" t="str">
        <f t="shared" ref="CB684:CC684" si="531">"0"</f>
        <v>0</v>
      </c>
      <c r="CC684" s="1" t="str">
        <f t="shared" si="531"/>
        <v>0</v>
      </c>
      <c r="CD684" s="1">
        <v>20</v>
      </c>
      <c r="CE684" s="1">
        <v>1</v>
      </c>
      <c r="CG684" s="1" t="s">
        <v>8089</v>
      </c>
      <c r="CH684" s="1" t="s">
        <v>219</v>
      </c>
      <c r="CK684" s="1" t="s">
        <v>437</v>
      </c>
      <c r="CL684" s="1" t="s">
        <v>219</v>
      </c>
      <c r="CO684" s="1" t="s">
        <v>380</v>
      </c>
      <c r="CP684" s="1" t="s">
        <v>219</v>
      </c>
      <c r="CS684" s="1" t="s">
        <v>602</v>
      </c>
      <c r="CT684" s="1" t="s">
        <v>219</v>
      </c>
      <c r="CX684" s="1" t="s">
        <v>224</v>
      </c>
      <c r="DB684" s="1" t="s">
        <v>224</v>
      </c>
      <c r="DE684" s="1" t="s">
        <v>1854</v>
      </c>
      <c r="DF684" s="1" t="s">
        <v>219</v>
      </c>
      <c r="DJ684" s="1" t="s">
        <v>224</v>
      </c>
      <c r="DS684" s="1" t="s">
        <v>230</v>
      </c>
      <c r="DW684" s="1" t="s">
        <v>230</v>
      </c>
      <c r="EA684" s="1" t="s">
        <v>230</v>
      </c>
      <c r="EE684" s="1" t="s">
        <v>230</v>
      </c>
      <c r="EI684" s="1" t="s">
        <v>230</v>
      </c>
      <c r="EL684" s="1" t="s">
        <v>605</v>
      </c>
      <c r="EM684" s="1" t="s">
        <v>319</v>
      </c>
      <c r="EN684" s="1" t="s">
        <v>233</v>
      </c>
      <c r="EO684" s="1" t="s">
        <v>234</v>
      </c>
      <c r="ER684" s="1" t="s">
        <v>210</v>
      </c>
      <c r="EW684" s="1" t="s">
        <v>8090</v>
      </c>
      <c r="EZ684" s="1" t="s">
        <v>287</v>
      </c>
      <c r="FD684" s="1" t="s">
        <v>246</v>
      </c>
      <c r="FE684" s="1" t="s">
        <v>247</v>
      </c>
      <c r="FF684" s="1" t="s">
        <v>248</v>
      </c>
      <c r="FH684" s="1" t="s">
        <v>249</v>
      </c>
      <c r="FK684" s="1" t="s">
        <v>6240</v>
      </c>
      <c r="FL684" s="1" t="s">
        <v>6699</v>
      </c>
      <c r="FM684" s="1" t="s">
        <v>252</v>
      </c>
      <c r="FN684" s="1" t="s">
        <v>213</v>
      </c>
      <c r="FO684" s="1" t="s">
        <v>213</v>
      </c>
      <c r="FQ684" s="1" t="s">
        <v>673</v>
      </c>
      <c r="FR684" s="1" t="s">
        <v>210</v>
      </c>
      <c r="FS684" s="1" t="s">
        <v>2753</v>
      </c>
      <c r="FT684" s="1" t="s">
        <v>255</v>
      </c>
      <c r="FU684" s="1" t="s">
        <v>204</v>
      </c>
      <c r="FW684" s="1" t="s">
        <v>1303</v>
      </c>
      <c r="FX684" s="1">
        <v>24072</v>
      </c>
      <c r="FY684" s="1" t="s">
        <v>1304</v>
      </c>
      <c r="FZ684" s="1" t="s">
        <v>1305</v>
      </c>
      <c r="GA684" s="1">
        <v>222267</v>
      </c>
      <c r="GB684" s="1" t="s">
        <v>1304</v>
      </c>
      <c r="GC684" s="1">
        <v>235600</v>
      </c>
      <c r="GD684" s="1" t="s">
        <v>2754</v>
      </c>
      <c r="GE684" s="1" t="s">
        <v>480</v>
      </c>
      <c r="GH684" s="1" t="s">
        <v>421</v>
      </c>
      <c r="GI684" s="1" t="s">
        <v>204</v>
      </c>
      <c r="GJ684" s="1" t="s">
        <v>260</v>
      </c>
      <c r="GK684" s="1" t="s">
        <v>210</v>
      </c>
      <c r="GL684" s="2">
        <v>42145</v>
      </c>
      <c r="GM684" s="1" t="s">
        <v>8091</v>
      </c>
    </row>
    <row r="685" spans="1:195">
      <c r="A685" s="1">
        <v>128000</v>
      </c>
      <c r="B685" s="1" t="s">
        <v>195</v>
      </c>
      <c r="C685" s="1" t="str">
        <f>"08804750"</f>
        <v>08804750</v>
      </c>
      <c r="D685" s="1" t="s">
        <v>196</v>
      </c>
      <c r="F685" s="1" t="str">
        <f>"507"</f>
        <v>507</v>
      </c>
      <c r="G685" s="2">
        <v>41993</v>
      </c>
      <c r="H685" s="1">
        <v>134900</v>
      </c>
      <c r="I685" s="1">
        <v>134900</v>
      </c>
      <c r="J685" s="1">
        <v>128000</v>
      </c>
      <c r="K685" s="2">
        <v>41992</v>
      </c>
      <c r="L685" s="1">
        <v>33</v>
      </c>
      <c r="M685" s="2">
        <v>42024</v>
      </c>
      <c r="N685" s="1">
        <v>33</v>
      </c>
      <c r="O685" s="2">
        <v>42024</v>
      </c>
      <c r="P685" s="1">
        <v>23076</v>
      </c>
      <c r="Q685" s="1" t="s">
        <v>423</v>
      </c>
      <c r="R685" s="2">
        <v>42062</v>
      </c>
      <c r="S685" s="1">
        <v>237891</v>
      </c>
      <c r="U685" s="1">
        <v>2264</v>
      </c>
      <c r="V685" s="1" t="s">
        <v>8092</v>
      </c>
      <c r="W685" s="1" t="s">
        <v>449</v>
      </c>
      <c r="X685" s="1">
        <v>2264</v>
      </c>
      <c r="Y685" s="1">
        <v>6</v>
      </c>
      <c r="Z685" s="1" t="s">
        <v>249</v>
      </c>
      <c r="AA685" s="1" t="s">
        <v>1123</v>
      </c>
      <c r="AB685" s="1">
        <v>60503</v>
      </c>
      <c r="AE685" s="1" t="s">
        <v>8093</v>
      </c>
      <c r="AF685" s="1">
        <v>2003</v>
      </c>
      <c r="AG685" s="1" t="s">
        <v>204</v>
      </c>
      <c r="AH685" s="1" t="s">
        <v>1126</v>
      </c>
      <c r="AI685" s="1" t="s">
        <v>1800</v>
      </c>
      <c r="AJ685" s="1" t="s">
        <v>1801</v>
      </c>
      <c r="AL685" s="1">
        <v>6</v>
      </c>
      <c r="AM685" s="1">
        <v>2</v>
      </c>
      <c r="AN685" s="1">
        <v>2</v>
      </c>
      <c r="AO685" s="1">
        <v>1</v>
      </c>
      <c r="AP685" s="1" t="s">
        <v>209</v>
      </c>
      <c r="AR685" s="1" t="s">
        <v>210</v>
      </c>
      <c r="AS685" s="1" t="s">
        <v>204</v>
      </c>
      <c r="AT685" s="1" t="s">
        <v>211</v>
      </c>
      <c r="AU685" s="1">
        <v>2</v>
      </c>
      <c r="AW685" s="1" t="s">
        <v>204</v>
      </c>
      <c r="AX685" s="1" t="s">
        <v>212</v>
      </c>
      <c r="AZ685" s="1">
        <v>4352.18</v>
      </c>
      <c r="BA685" s="1">
        <v>2013</v>
      </c>
      <c r="BB685" s="1" t="s">
        <v>405</v>
      </c>
      <c r="BE685" s="1">
        <v>0</v>
      </c>
      <c r="BF685" s="1">
        <v>1</v>
      </c>
      <c r="BG685" s="1">
        <v>0</v>
      </c>
      <c r="BL685" s="1">
        <v>145</v>
      </c>
      <c r="BM685" s="1" t="s">
        <v>204</v>
      </c>
      <c r="BN685" s="1" t="s">
        <v>213</v>
      </c>
      <c r="BO685" s="1">
        <v>999</v>
      </c>
      <c r="BP685" s="1" t="s">
        <v>204</v>
      </c>
      <c r="BR685" s="1" t="str">
        <f>"10641401210040"</f>
        <v>10641401210040</v>
      </c>
      <c r="BT685" s="1" t="s">
        <v>8094</v>
      </c>
      <c r="BX685" s="1">
        <v>308</v>
      </c>
      <c r="BY685" s="1">
        <v>308</v>
      </c>
      <c r="BZ685" s="1">
        <v>308</v>
      </c>
      <c r="CB685" s="1" t="str">
        <f t="shared" ref="CB685:CC685" si="532">""</f>
        <v/>
      </c>
      <c r="CC685" s="1" t="str">
        <f t="shared" si="532"/>
        <v/>
      </c>
      <c r="CG685" s="1" t="s">
        <v>221</v>
      </c>
      <c r="CH685" s="1" t="s">
        <v>219</v>
      </c>
      <c r="CI685" s="1" t="s">
        <v>438</v>
      </c>
      <c r="CK685" s="1" t="s">
        <v>437</v>
      </c>
      <c r="CL685" s="1" t="s">
        <v>277</v>
      </c>
      <c r="CM685" s="1" t="s">
        <v>220</v>
      </c>
      <c r="CO685" s="1" t="s">
        <v>837</v>
      </c>
      <c r="CP685" s="1" t="s">
        <v>219</v>
      </c>
      <c r="CQ685" s="1" t="s">
        <v>438</v>
      </c>
      <c r="CS685" s="1" t="s">
        <v>379</v>
      </c>
      <c r="CT685" s="1" t="s">
        <v>277</v>
      </c>
      <c r="CU685" s="1" t="s">
        <v>220</v>
      </c>
      <c r="CX685" s="1" t="s">
        <v>224</v>
      </c>
      <c r="DB685" s="1" t="s">
        <v>224</v>
      </c>
      <c r="DE685" s="1" t="s">
        <v>316</v>
      </c>
      <c r="DF685" s="1" t="s">
        <v>219</v>
      </c>
      <c r="DG685" s="1" t="s">
        <v>226</v>
      </c>
      <c r="DJ685" s="1" t="s">
        <v>224</v>
      </c>
      <c r="DM685" s="1" t="s">
        <v>464</v>
      </c>
      <c r="DR685" s="1" t="s">
        <v>3071</v>
      </c>
      <c r="DS685" s="1" t="s">
        <v>277</v>
      </c>
      <c r="DT685" s="1" t="s">
        <v>220</v>
      </c>
      <c r="DW685" s="1" t="s">
        <v>230</v>
      </c>
      <c r="EA685" s="1" t="s">
        <v>230</v>
      </c>
      <c r="EE685" s="1" t="s">
        <v>230</v>
      </c>
      <c r="EI685" s="1" t="s">
        <v>230</v>
      </c>
      <c r="EL685" s="1" t="s">
        <v>466</v>
      </c>
      <c r="EM685" s="1" t="s">
        <v>319</v>
      </c>
      <c r="EN685" s="1" t="s">
        <v>282</v>
      </c>
      <c r="EO685" s="1" t="s">
        <v>234</v>
      </c>
      <c r="EQ685" s="1" t="s">
        <v>236</v>
      </c>
      <c r="ER685" s="1" t="s">
        <v>210</v>
      </c>
      <c r="ES685" s="1" t="s">
        <v>1552</v>
      </c>
      <c r="EV685" s="1" t="s">
        <v>324</v>
      </c>
      <c r="EW685" s="1" t="s">
        <v>1804</v>
      </c>
      <c r="EZ685" s="1" t="s">
        <v>464</v>
      </c>
      <c r="FA685" s="1" t="s">
        <v>1270</v>
      </c>
      <c r="FD685" s="1" t="s">
        <v>246</v>
      </c>
      <c r="FE685" s="1" t="s">
        <v>870</v>
      </c>
      <c r="FF685" s="1" t="s">
        <v>248</v>
      </c>
      <c r="FH685" s="1" t="s">
        <v>249</v>
      </c>
      <c r="FI685" s="1" t="s">
        <v>357</v>
      </c>
      <c r="FL685" s="1" t="s">
        <v>414</v>
      </c>
      <c r="FM685" s="1" t="s">
        <v>252</v>
      </c>
      <c r="FN685" s="1" t="s">
        <v>213</v>
      </c>
      <c r="FO685" s="1" t="s">
        <v>213</v>
      </c>
      <c r="FQ685" s="1" t="s">
        <v>2004</v>
      </c>
      <c r="FR685" s="1" t="s">
        <v>210</v>
      </c>
      <c r="FS685" s="1" t="s">
        <v>8095</v>
      </c>
      <c r="FT685" s="1" t="s">
        <v>255</v>
      </c>
      <c r="FU685" s="1" t="s">
        <v>204</v>
      </c>
      <c r="FW685" s="1" t="s">
        <v>6570</v>
      </c>
      <c r="FX685" s="1">
        <v>23290</v>
      </c>
      <c r="FY685" s="1" t="s">
        <v>6571</v>
      </c>
      <c r="FZ685" s="1" t="s">
        <v>6572</v>
      </c>
      <c r="GA685" s="1">
        <v>233019</v>
      </c>
      <c r="GB685" s="1" t="s">
        <v>6573</v>
      </c>
      <c r="GC685" s="1">
        <v>229883</v>
      </c>
      <c r="GD685" s="1" t="s">
        <v>8096</v>
      </c>
      <c r="GE685" s="1" t="s">
        <v>210</v>
      </c>
      <c r="GI685" s="1" t="s">
        <v>213</v>
      </c>
      <c r="GJ685" s="1" t="s">
        <v>260</v>
      </c>
      <c r="GK685" s="1" t="s">
        <v>210</v>
      </c>
      <c r="GL685" s="2">
        <v>42066</v>
      </c>
      <c r="GM685" s="1" t="s">
        <v>8097</v>
      </c>
    </row>
    <row r="686" spans="1:195">
      <c r="A686" s="1">
        <v>64900</v>
      </c>
      <c r="B686" s="1" t="s">
        <v>195</v>
      </c>
      <c r="C686" s="1" t="str">
        <f>"08804070"</f>
        <v>08804070</v>
      </c>
      <c r="D686" s="1" t="s">
        <v>196</v>
      </c>
      <c r="F686" s="1" t="str">
        <f>"635"</f>
        <v>635</v>
      </c>
      <c r="G686" s="2">
        <v>41991</v>
      </c>
      <c r="H686" s="1">
        <v>74900</v>
      </c>
      <c r="I686" s="1">
        <v>74900</v>
      </c>
      <c r="J686" s="1">
        <v>64900</v>
      </c>
      <c r="K686" s="2">
        <v>41991</v>
      </c>
      <c r="L686" s="1">
        <v>128</v>
      </c>
      <c r="M686" s="2">
        <v>42017</v>
      </c>
      <c r="N686" s="1">
        <v>27</v>
      </c>
      <c r="O686" s="2">
        <v>42017</v>
      </c>
      <c r="P686" s="1">
        <v>85240</v>
      </c>
      <c r="Q686" s="1" t="s">
        <v>302</v>
      </c>
      <c r="R686" s="2">
        <v>42059</v>
      </c>
      <c r="S686" s="1">
        <v>165816</v>
      </c>
      <c r="U686" s="1">
        <v>2445</v>
      </c>
      <c r="V686" s="1" t="s">
        <v>8098</v>
      </c>
      <c r="W686" s="1" t="s">
        <v>425</v>
      </c>
      <c r="X686" s="1" t="s">
        <v>4923</v>
      </c>
      <c r="Y686" s="1">
        <v>6</v>
      </c>
      <c r="Z686" s="1" t="s">
        <v>249</v>
      </c>
      <c r="AA686" s="1" t="s">
        <v>2377</v>
      </c>
      <c r="AB686" s="1">
        <v>60707</v>
      </c>
      <c r="AE686" s="1" t="s">
        <v>8099</v>
      </c>
      <c r="AF686" s="1">
        <v>1969</v>
      </c>
      <c r="AG686" s="1" t="s">
        <v>213</v>
      </c>
      <c r="AH686" s="1" t="s">
        <v>5686</v>
      </c>
      <c r="AI686" s="1" t="s">
        <v>310</v>
      </c>
      <c r="AJ686" s="1" t="s">
        <v>311</v>
      </c>
      <c r="AL686" s="1">
        <v>5</v>
      </c>
      <c r="AM686" s="1">
        <v>2</v>
      </c>
      <c r="AN686" s="1">
        <v>1</v>
      </c>
      <c r="AO686" s="1">
        <v>0</v>
      </c>
      <c r="AP686" s="1" t="s">
        <v>210</v>
      </c>
      <c r="AR686" s="1" t="s">
        <v>210</v>
      </c>
      <c r="AT686" s="1" t="s">
        <v>271</v>
      </c>
      <c r="AV686" s="1">
        <v>1</v>
      </c>
      <c r="AW686" s="1" t="s">
        <v>204</v>
      </c>
      <c r="AX686" s="1" t="s">
        <v>212</v>
      </c>
      <c r="AZ686" s="1">
        <v>2067</v>
      </c>
      <c r="BA686" s="1">
        <v>2012</v>
      </c>
      <c r="BE686" s="1">
        <v>0</v>
      </c>
      <c r="BF686" s="1">
        <v>3</v>
      </c>
      <c r="BG686" s="1">
        <v>0</v>
      </c>
      <c r="BL686" s="1">
        <v>235</v>
      </c>
      <c r="BM686" s="1" t="s">
        <v>204</v>
      </c>
      <c r="BN686" s="1" t="s">
        <v>204</v>
      </c>
      <c r="BP686" s="1" t="s">
        <v>204</v>
      </c>
      <c r="BR686" s="1" t="str">
        <f>"12253290531006"</f>
        <v>12253290531006</v>
      </c>
      <c r="BT686" s="1" t="s">
        <v>8100</v>
      </c>
      <c r="BU686" s="1" t="s">
        <v>928</v>
      </c>
      <c r="BV686" s="1" t="s">
        <v>8101</v>
      </c>
      <c r="BW686" s="1" t="s">
        <v>8102</v>
      </c>
      <c r="BX686" s="1">
        <v>401</v>
      </c>
      <c r="BY686" s="1">
        <v>401</v>
      </c>
      <c r="BZ686" s="1">
        <v>401</v>
      </c>
      <c r="CB686" s="1" t="str">
        <f>"2445"</f>
        <v>2445</v>
      </c>
      <c r="CC686" s="1" t="str">
        <f t="shared" ref="CC686:CC687" si="533">"0"</f>
        <v>0</v>
      </c>
      <c r="CD686" s="1">
        <v>7800</v>
      </c>
      <c r="CE686" s="1">
        <v>0</v>
      </c>
      <c r="CG686" s="1" t="s">
        <v>885</v>
      </c>
      <c r="CH686" s="1" t="s">
        <v>219</v>
      </c>
      <c r="CI686" s="1" t="s">
        <v>438</v>
      </c>
      <c r="CK686" s="1" t="s">
        <v>465</v>
      </c>
      <c r="CL686" s="1" t="s">
        <v>219</v>
      </c>
      <c r="CM686" s="1" t="s">
        <v>438</v>
      </c>
      <c r="CO686" s="1" t="s">
        <v>629</v>
      </c>
      <c r="CP686" s="1" t="s">
        <v>219</v>
      </c>
      <c r="CQ686" s="1" t="s">
        <v>438</v>
      </c>
      <c r="CS686" s="1" t="s">
        <v>318</v>
      </c>
      <c r="CT686" s="1" t="s">
        <v>219</v>
      </c>
      <c r="CU686" s="1" t="s">
        <v>438</v>
      </c>
      <c r="CX686" s="1" t="s">
        <v>224</v>
      </c>
      <c r="DB686" s="1" t="s">
        <v>224</v>
      </c>
      <c r="DE686" s="1" t="s">
        <v>318</v>
      </c>
      <c r="DF686" s="1" t="s">
        <v>219</v>
      </c>
      <c r="DG686" s="1" t="s">
        <v>226</v>
      </c>
      <c r="DJ686" s="1" t="s">
        <v>224</v>
      </c>
      <c r="DS686" s="1" t="s">
        <v>230</v>
      </c>
      <c r="DW686" s="1" t="s">
        <v>230</v>
      </c>
      <c r="EA686" s="1" t="s">
        <v>230</v>
      </c>
      <c r="EE686" s="1" t="s">
        <v>230</v>
      </c>
      <c r="EI686" s="1" t="s">
        <v>230</v>
      </c>
      <c r="EL686" s="1" t="s">
        <v>605</v>
      </c>
      <c r="EM686" s="1" t="s">
        <v>232</v>
      </c>
      <c r="EN686" s="1" t="s">
        <v>731</v>
      </c>
      <c r="EO686" s="1" t="s">
        <v>234</v>
      </c>
      <c r="EP686" s="1" t="s">
        <v>543</v>
      </c>
      <c r="ER686" s="1" t="s">
        <v>210</v>
      </c>
      <c r="ES686" s="1" t="s">
        <v>322</v>
      </c>
      <c r="ET686" s="1" t="s">
        <v>1752</v>
      </c>
      <c r="EV686" s="1" t="s">
        <v>240</v>
      </c>
      <c r="EW686" s="1" t="s">
        <v>937</v>
      </c>
      <c r="EZ686" s="1" t="s">
        <v>287</v>
      </c>
      <c r="FD686" s="1" t="s">
        <v>1112</v>
      </c>
      <c r="FE686" s="1" t="s">
        <v>247</v>
      </c>
      <c r="FF686" s="1" t="s">
        <v>248</v>
      </c>
      <c r="FH686" s="1" t="s">
        <v>249</v>
      </c>
      <c r="FK686" s="1" t="s">
        <v>291</v>
      </c>
      <c r="FL686" s="1" t="s">
        <v>1164</v>
      </c>
      <c r="FM686" s="1" t="s">
        <v>252</v>
      </c>
      <c r="FN686" s="1" t="s">
        <v>213</v>
      </c>
      <c r="FO686" s="1" t="s">
        <v>213</v>
      </c>
      <c r="FQ686" s="1" t="s">
        <v>673</v>
      </c>
      <c r="FR686" s="1" t="s">
        <v>210</v>
      </c>
      <c r="FS686" s="1" t="s">
        <v>5033</v>
      </c>
      <c r="FT686" s="1" t="s">
        <v>295</v>
      </c>
      <c r="FU686" s="1" t="s">
        <v>204</v>
      </c>
      <c r="FW686" s="1" t="s">
        <v>5034</v>
      </c>
      <c r="FX686" s="1">
        <v>3906</v>
      </c>
      <c r="FY686" s="1" t="s">
        <v>739</v>
      </c>
      <c r="FZ686" s="1" t="s">
        <v>5035</v>
      </c>
      <c r="GA686" s="1">
        <v>33715</v>
      </c>
      <c r="GB686" s="1" t="s">
        <v>5036</v>
      </c>
      <c r="GE686" s="1" t="s">
        <v>210</v>
      </c>
      <c r="GH686" s="1" t="s">
        <v>230</v>
      </c>
      <c r="GI686" s="1" t="s">
        <v>213</v>
      </c>
      <c r="GJ686" s="1" t="s">
        <v>260</v>
      </c>
      <c r="GK686" s="1" t="s">
        <v>210</v>
      </c>
      <c r="GL686" s="2">
        <v>42059</v>
      </c>
      <c r="GM686" s="1" t="s">
        <v>8103</v>
      </c>
    </row>
    <row r="687" spans="1:195">
      <c r="A687" s="1">
        <v>205000</v>
      </c>
      <c r="B687" s="1" t="s">
        <v>195</v>
      </c>
      <c r="C687" s="1" t="str">
        <f>"08804195"</f>
        <v>08804195</v>
      </c>
      <c r="D687" s="1" t="s">
        <v>196</v>
      </c>
      <c r="F687" s="1" t="str">
        <f>"174"</f>
        <v>174</v>
      </c>
      <c r="G687" s="2">
        <v>41991</v>
      </c>
      <c r="H687" s="1">
        <v>209000</v>
      </c>
      <c r="I687" s="1">
        <v>209000</v>
      </c>
      <c r="J687" s="1">
        <v>205000</v>
      </c>
      <c r="K687" s="2">
        <v>41991</v>
      </c>
      <c r="L687" s="1">
        <v>20</v>
      </c>
      <c r="M687" s="2">
        <v>42010</v>
      </c>
      <c r="N687" s="1">
        <v>20</v>
      </c>
      <c r="O687" s="2">
        <v>42010</v>
      </c>
      <c r="P687" s="1">
        <v>8666</v>
      </c>
      <c r="Q687" s="1" t="s">
        <v>302</v>
      </c>
      <c r="R687" s="2">
        <v>42034</v>
      </c>
      <c r="S687" s="1">
        <v>81676</v>
      </c>
      <c r="U687" s="1">
        <v>4038</v>
      </c>
      <c r="V687" s="1" t="s">
        <v>8104</v>
      </c>
      <c r="W687" s="1" t="s">
        <v>304</v>
      </c>
      <c r="Y687" s="1">
        <v>4</v>
      </c>
      <c r="Z687" s="1" t="s">
        <v>370</v>
      </c>
      <c r="AA687" s="1" t="s">
        <v>879</v>
      </c>
      <c r="AB687" s="1">
        <v>60174</v>
      </c>
      <c r="AE687" s="1" t="s">
        <v>8105</v>
      </c>
      <c r="AF687" s="1">
        <v>2002</v>
      </c>
      <c r="AG687" s="1" t="s">
        <v>204</v>
      </c>
      <c r="AH687" s="1" t="s">
        <v>883</v>
      </c>
      <c r="AI687" s="1" t="s">
        <v>206</v>
      </c>
      <c r="AJ687" s="1" t="s">
        <v>2654</v>
      </c>
      <c r="AK687" s="1" t="s">
        <v>1088</v>
      </c>
      <c r="AL687" s="1">
        <v>5</v>
      </c>
      <c r="AM687" s="1">
        <v>2</v>
      </c>
      <c r="AN687" s="1">
        <v>2</v>
      </c>
      <c r="AO687" s="1">
        <v>1</v>
      </c>
      <c r="AP687" s="1" t="s">
        <v>209</v>
      </c>
      <c r="AR687" s="1" t="s">
        <v>210</v>
      </c>
      <c r="AS687" s="1" t="s">
        <v>204</v>
      </c>
      <c r="AT687" s="1" t="s">
        <v>211</v>
      </c>
      <c r="AU687" s="1">
        <v>2</v>
      </c>
      <c r="AW687" s="1" t="s">
        <v>204</v>
      </c>
      <c r="AX687" s="1" t="s">
        <v>8106</v>
      </c>
      <c r="AZ687" s="1">
        <v>6165</v>
      </c>
      <c r="BA687" s="1">
        <v>2013</v>
      </c>
      <c r="BB687" s="1" t="s">
        <v>405</v>
      </c>
      <c r="BE687" s="1">
        <v>1672</v>
      </c>
      <c r="BF687" s="1">
        <v>1</v>
      </c>
      <c r="BG687" s="1">
        <v>0</v>
      </c>
      <c r="BL687" s="1">
        <v>175</v>
      </c>
      <c r="BM687" s="1" t="s">
        <v>204</v>
      </c>
      <c r="BN687" s="1" t="s">
        <v>213</v>
      </c>
      <c r="BO687" s="1">
        <v>0</v>
      </c>
      <c r="BP687" s="1" t="s">
        <v>204</v>
      </c>
      <c r="BR687" s="1" t="str">
        <f>"0130106013"</f>
        <v>0130106013</v>
      </c>
      <c r="BT687" s="1" t="s">
        <v>8107</v>
      </c>
      <c r="BX687" s="1">
        <v>303</v>
      </c>
      <c r="BY687" s="1">
        <v>303</v>
      </c>
      <c r="BZ687" s="1">
        <v>303</v>
      </c>
      <c r="CB687" s="1" t="str">
        <f>"4"</f>
        <v>4</v>
      </c>
      <c r="CC687" s="1" t="str">
        <f t="shared" si="533"/>
        <v>0</v>
      </c>
      <c r="CD687" s="1">
        <v>32</v>
      </c>
      <c r="CE687" s="1">
        <v>0</v>
      </c>
      <c r="CG687" s="1" t="s">
        <v>3684</v>
      </c>
      <c r="CH687" s="1" t="s">
        <v>219</v>
      </c>
      <c r="CI687" s="1" t="s">
        <v>220</v>
      </c>
      <c r="CK687" s="1" t="s">
        <v>538</v>
      </c>
      <c r="CL687" s="1" t="s">
        <v>219</v>
      </c>
      <c r="CM687" s="1" t="s">
        <v>220</v>
      </c>
      <c r="CO687" s="1" t="s">
        <v>629</v>
      </c>
      <c r="CP687" s="1" t="s">
        <v>219</v>
      </c>
      <c r="CQ687" s="1" t="s">
        <v>220</v>
      </c>
      <c r="CS687" s="1" t="s">
        <v>344</v>
      </c>
      <c r="CT687" s="1" t="s">
        <v>219</v>
      </c>
      <c r="CU687" s="1" t="s">
        <v>220</v>
      </c>
      <c r="CX687" s="1" t="s">
        <v>224</v>
      </c>
      <c r="DB687" s="1" t="s">
        <v>224</v>
      </c>
      <c r="DE687" s="1" t="s">
        <v>8108</v>
      </c>
      <c r="DF687" s="1" t="s">
        <v>219</v>
      </c>
      <c r="DG687" s="1" t="s">
        <v>342</v>
      </c>
      <c r="DJ687" s="1" t="s">
        <v>224</v>
      </c>
      <c r="DS687" s="1" t="s">
        <v>230</v>
      </c>
      <c r="DW687" s="1" t="s">
        <v>230</v>
      </c>
      <c r="EA687" s="1" t="s">
        <v>230</v>
      </c>
      <c r="EE687" s="1" t="s">
        <v>230</v>
      </c>
      <c r="EI687" s="1" t="s">
        <v>230</v>
      </c>
      <c r="EL687" s="1" t="s">
        <v>466</v>
      </c>
      <c r="EM687" s="1" t="s">
        <v>319</v>
      </c>
      <c r="EN687" s="1" t="s">
        <v>282</v>
      </c>
      <c r="EO687" s="1" t="s">
        <v>234</v>
      </c>
      <c r="EQ687" s="1" t="s">
        <v>492</v>
      </c>
      <c r="ER687" s="1" t="s">
        <v>210</v>
      </c>
      <c r="ES687" s="1" t="s">
        <v>824</v>
      </c>
      <c r="ET687" s="1" t="s">
        <v>866</v>
      </c>
      <c r="EU687" s="1" t="s">
        <v>1820</v>
      </c>
      <c r="EV687" s="1" t="s">
        <v>240</v>
      </c>
      <c r="EW687" s="1" t="s">
        <v>1250</v>
      </c>
      <c r="EY687" s="1" t="s">
        <v>242</v>
      </c>
      <c r="EZ687" s="1" t="s">
        <v>287</v>
      </c>
      <c r="FD687" s="1" t="s">
        <v>246</v>
      </c>
      <c r="FE687" s="1" t="s">
        <v>247</v>
      </c>
      <c r="FF687" s="1" t="s">
        <v>3103</v>
      </c>
      <c r="FH687" s="1" t="s">
        <v>825</v>
      </c>
      <c r="FI687" s="1" t="s">
        <v>357</v>
      </c>
      <c r="FL687" s="1" t="s">
        <v>358</v>
      </c>
      <c r="FM687" s="1" t="s">
        <v>252</v>
      </c>
      <c r="FN687" s="1" t="s">
        <v>213</v>
      </c>
      <c r="FO687" s="1" t="s">
        <v>213</v>
      </c>
      <c r="FQ687" s="1" t="s">
        <v>793</v>
      </c>
      <c r="FR687" s="1" t="s">
        <v>210</v>
      </c>
      <c r="FS687" s="1" t="s">
        <v>8109</v>
      </c>
      <c r="FT687" s="1" t="s">
        <v>1182</v>
      </c>
      <c r="FU687" s="1" t="s">
        <v>204</v>
      </c>
      <c r="FW687" s="1" t="s">
        <v>915</v>
      </c>
      <c r="FX687" s="1">
        <v>23591</v>
      </c>
      <c r="FY687" s="1" t="s">
        <v>1710</v>
      </c>
      <c r="FZ687" s="1" t="s">
        <v>8110</v>
      </c>
      <c r="GA687" s="1">
        <v>230482</v>
      </c>
      <c r="GB687" s="1" t="s">
        <v>8111</v>
      </c>
      <c r="GD687" s="1" t="s">
        <v>8112</v>
      </c>
      <c r="GE687" s="1" t="s">
        <v>210</v>
      </c>
      <c r="GI687" s="1" t="s">
        <v>213</v>
      </c>
      <c r="GJ687" s="1" t="s">
        <v>260</v>
      </c>
      <c r="GK687" s="1" t="s">
        <v>210</v>
      </c>
      <c r="GL687" s="2">
        <v>42036</v>
      </c>
      <c r="GM687" s="1" t="s">
        <v>8113</v>
      </c>
    </row>
    <row r="688" spans="1:195">
      <c r="A688" s="1">
        <v>221000</v>
      </c>
      <c r="B688" s="1" t="s">
        <v>195</v>
      </c>
      <c r="C688" s="1" t="str">
        <f>"08807101"</f>
        <v>08807101</v>
      </c>
      <c r="D688" s="1" t="s">
        <v>196</v>
      </c>
      <c r="F688" s="1" t="str">
        <f>"525"</f>
        <v>525</v>
      </c>
      <c r="G688" s="2">
        <v>42002</v>
      </c>
      <c r="H688" s="1">
        <v>229500</v>
      </c>
      <c r="I688" s="1">
        <v>229500</v>
      </c>
      <c r="J688" s="1">
        <v>221000</v>
      </c>
      <c r="K688" s="2">
        <v>42002</v>
      </c>
      <c r="L688" s="1">
        <v>84</v>
      </c>
      <c r="M688" s="2">
        <v>42020</v>
      </c>
      <c r="N688" s="1">
        <v>19</v>
      </c>
      <c r="O688" s="2">
        <v>42020</v>
      </c>
      <c r="P688" s="1">
        <v>22049</v>
      </c>
      <c r="Q688" s="1" t="s">
        <v>197</v>
      </c>
      <c r="R688" s="2">
        <v>42083</v>
      </c>
      <c r="S688" s="1">
        <v>218415</v>
      </c>
      <c r="T688" s="1">
        <v>4000</v>
      </c>
      <c r="U688" s="1">
        <v>534</v>
      </c>
      <c r="V688" s="1" t="s">
        <v>8114</v>
      </c>
      <c r="W688" s="1" t="s">
        <v>504</v>
      </c>
      <c r="X688" s="1" t="s">
        <v>483</v>
      </c>
      <c r="Y688" s="1">
        <v>4</v>
      </c>
      <c r="Z688" s="1" t="s">
        <v>249</v>
      </c>
      <c r="AA688" s="1" t="s">
        <v>1148</v>
      </c>
      <c r="AB688" s="1">
        <v>60525</v>
      </c>
      <c r="AE688" s="1" t="s">
        <v>8115</v>
      </c>
      <c r="AF688" s="1">
        <v>1985</v>
      </c>
      <c r="AG688" s="1" t="s">
        <v>204</v>
      </c>
      <c r="AH688" s="1" t="s">
        <v>1150</v>
      </c>
      <c r="AI688" s="1" t="s">
        <v>310</v>
      </c>
      <c r="AJ688" s="1" t="s">
        <v>702</v>
      </c>
      <c r="AK688" s="1" t="s">
        <v>483</v>
      </c>
      <c r="AL688" s="1">
        <v>5</v>
      </c>
      <c r="AM688" s="1">
        <v>2</v>
      </c>
      <c r="AN688" s="1">
        <v>2</v>
      </c>
      <c r="AO688" s="1">
        <v>0</v>
      </c>
      <c r="AP688" s="1" t="s">
        <v>209</v>
      </c>
      <c r="AQ688" s="1">
        <v>1</v>
      </c>
      <c r="AR688" s="1" t="s">
        <v>210</v>
      </c>
      <c r="AT688" s="1" t="s">
        <v>211</v>
      </c>
      <c r="AU688" s="1">
        <v>1</v>
      </c>
      <c r="AW688" s="1" t="s">
        <v>204</v>
      </c>
      <c r="AX688" s="1" t="s">
        <v>3542</v>
      </c>
      <c r="AZ688" s="1">
        <v>2764</v>
      </c>
      <c r="BA688" s="1">
        <v>2013</v>
      </c>
      <c r="BB688" s="1" t="s">
        <v>599</v>
      </c>
      <c r="BE688" s="1">
        <v>0</v>
      </c>
      <c r="BF688" s="1">
        <v>2</v>
      </c>
      <c r="BG688" s="1">
        <v>30</v>
      </c>
      <c r="BJ688" s="1">
        <v>100</v>
      </c>
      <c r="BK688" s="1">
        <v>100</v>
      </c>
      <c r="BL688" s="1">
        <v>274</v>
      </c>
      <c r="BM688" s="1" t="s">
        <v>204</v>
      </c>
      <c r="BN688" s="1" t="s">
        <v>213</v>
      </c>
      <c r="BO688" s="1">
        <v>25</v>
      </c>
      <c r="BP688" s="1" t="s">
        <v>204</v>
      </c>
      <c r="BR688" s="1" t="str">
        <f>"18082000741016"</f>
        <v>18082000741016</v>
      </c>
      <c r="BT688" s="1" t="s">
        <v>8116</v>
      </c>
      <c r="BU688" s="1" t="s">
        <v>1153</v>
      </c>
      <c r="BV688" s="1" t="s">
        <v>1154</v>
      </c>
      <c r="BW688" s="1" t="s">
        <v>706</v>
      </c>
      <c r="BX688" s="1">
        <v>102</v>
      </c>
      <c r="BY688" s="1">
        <v>102</v>
      </c>
      <c r="BZ688" s="1">
        <v>204</v>
      </c>
      <c r="CB688" s="1" t="str">
        <f t="shared" ref="CB688:CC688" si="534">"0"</f>
        <v>0</v>
      </c>
      <c r="CC688" s="1" t="str">
        <f t="shared" si="534"/>
        <v>0</v>
      </c>
      <c r="CD688" s="1">
        <v>13</v>
      </c>
      <c r="CE688" s="1">
        <v>5</v>
      </c>
      <c r="CG688" s="1" t="s">
        <v>6248</v>
      </c>
      <c r="CH688" s="1" t="s">
        <v>277</v>
      </c>
      <c r="CI688" s="1" t="s">
        <v>220</v>
      </c>
      <c r="CK688" s="1" t="s">
        <v>315</v>
      </c>
      <c r="CL688" s="1" t="s">
        <v>277</v>
      </c>
      <c r="CM688" s="1" t="s">
        <v>220</v>
      </c>
      <c r="CO688" s="1" t="s">
        <v>465</v>
      </c>
      <c r="CP688" s="1" t="s">
        <v>277</v>
      </c>
      <c r="CQ688" s="1" t="s">
        <v>220</v>
      </c>
      <c r="CR688" s="1" t="s">
        <v>210</v>
      </c>
      <c r="CS688" s="1" t="s">
        <v>602</v>
      </c>
      <c r="CT688" s="1" t="s">
        <v>277</v>
      </c>
      <c r="CU688" s="1" t="s">
        <v>220</v>
      </c>
      <c r="CX688" s="1" t="s">
        <v>224</v>
      </c>
      <c r="DB688" s="1" t="s">
        <v>224</v>
      </c>
      <c r="DE688" s="1" t="s">
        <v>564</v>
      </c>
      <c r="DF688" s="1" t="s">
        <v>277</v>
      </c>
      <c r="DG688" s="1" t="s">
        <v>226</v>
      </c>
      <c r="DJ688" s="1" t="s">
        <v>224</v>
      </c>
      <c r="DM688" s="1" t="s">
        <v>1770</v>
      </c>
      <c r="DR688" s="1" t="s">
        <v>3492</v>
      </c>
      <c r="DS688" s="1" t="s">
        <v>277</v>
      </c>
      <c r="DW688" s="1" t="s">
        <v>230</v>
      </c>
      <c r="EA688" s="1" t="s">
        <v>230</v>
      </c>
      <c r="EE688" s="1" t="s">
        <v>230</v>
      </c>
      <c r="EI688" s="1" t="s">
        <v>230</v>
      </c>
      <c r="EL688" s="1" t="s">
        <v>542</v>
      </c>
      <c r="EM688" s="1" t="s">
        <v>232</v>
      </c>
      <c r="EN688" s="1" t="s">
        <v>282</v>
      </c>
      <c r="EO688" s="1" t="s">
        <v>1020</v>
      </c>
      <c r="EP688" s="1" t="s">
        <v>4949</v>
      </c>
      <c r="EQ688" s="1" t="s">
        <v>236</v>
      </c>
      <c r="ER688" s="1" t="s">
        <v>210</v>
      </c>
      <c r="ES688" s="1" t="s">
        <v>824</v>
      </c>
      <c r="EU688" s="1" t="s">
        <v>239</v>
      </c>
      <c r="EV688" s="1" t="s">
        <v>324</v>
      </c>
      <c r="EW688" s="1" t="s">
        <v>937</v>
      </c>
      <c r="EY688" s="1" t="s">
        <v>242</v>
      </c>
      <c r="EZ688" s="1" t="s">
        <v>1770</v>
      </c>
      <c r="FA688" s="1" t="s">
        <v>288</v>
      </c>
      <c r="FB688" s="1" t="s">
        <v>289</v>
      </c>
      <c r="FC688" s="1" t="s">
        <v>1386</v>
      </c>
      <c r="FD688" s="1" t="s">
        <v>290</v>
      </c>
      <c r="FE688" s="1" t="s">
        <v>247</v>
      </c>
      <c r="FF688" s="1" t="s">
        <v>248</v>
      </c>
      <c r="FG688" s="1" t="s">
        <v>8117</v>
      </c>
      <c r="FH688" s="1" t="s">
        <v>249</v>
      </c>
      <c r="FI688" s="1" t="s">
        <v>357</v>
      </c>
      <c r="FL688" s="1" t="s">
        <v>292</v>
      </c>
      <c r="FM688" s="1" t="s">
        <v>252</v>
      </c>
      <c r="FN688" s="1" t="s">
        <v>213</v>
      </c>
      <c r="FO688" s="1" t="s">
        <v>213</v>
      </c>
      <c r="FQ688" s="1" t="s">
        <v>8118</v>
      </c>
      <c r="FR688" s="1" t="s">
        <v>210</v>
      </c>
      <c r="FS688" s="1" t="s">
        <v>8119</v>
      </c>
      <c r="FT688" s="1" t="s">
        <v>362</v>
      </c>
      <c r="FU688" s="1" t="s">
        <v>204</v>
      </c>
      <c r="FW688" s="1" t="s">
        <v>585</v>
      </c>
      <c r="FX688" s="1">
        <v>23610</v>
      </c>
      <c r="FY688" s="1" t="s">
        <v>1166</v>
      </c>
      <c r="FZ688" s="1" t="s">
        <v>8120</v>
      </c>
      <c r="GA688" s="1">
        <v>240257</v>
      </c>
      <c r="GB688" s="1" t="s">
        <v>8121</v>
      </c>
      <c r="GE688" s="1" t="s">
        <v>1256</v>
      </c>
      <c r="GI688" s="1" t="s">
        <v>213</v>
      </c>
      <c r="GJ688" s="1" t="s">
        <v>260</v>
      </c>
      <c r="GK688" s="1" t="s">
        <v>261</v>
      </c>
      <c r="GL688" s="2">
        <v>42086</v>
      </c>
      <c r="GM688" s="1" t="s">
        <v>8122</v>
      </c>
    </row>
    <row r="689" spans="1:195">
      <c r="A689" s="1">
        <v>83000</v>
      </c>
      <c r="B689" s="1" t="s">
        <v>195</v>
      </c>
      <c r="C689" s="1" t="str">
        <f>"08805114"</f>
        <v>08805114</v>
      </c>
      <c r="D689" s="1" t="s">
        <v>196</v>
      </c>
      <c r="F689" s="1" t="str">
        <f>"540"</f>
        <v>540</v>
      </c>
      <c r="G689" s="2">
        <v>41995</v>
      </c>
      <c r="H689" s="1">
        <v>85000</v>
      </c>
      <c r="I689" s="1">
        <v>85000</v>
      </c>
      <c r="J689" s="1">
        <v>83000</v>
      </c>
      <c r="K689" s="2">
        <v>41995</v>
      </c>
      <c r="L689" s="1">
        <v>25</v>
      </c>
      <c r="M689" s="2">
        <v>42019</v>
      </c>
      <c r="N689" s="1">
        <v>25</v>
      </c>
      <c r="O689" s="2">
        <v>42019</v>
      </c>
      <c r="P689" s="1">
        <v>23099</v>
      </c>
      <c r="Q689" s="1" t="s">
        <v>302</v>
      </c>
      <c r="R689" s="2">
        <v>42047</v>
      </c>
      <c r="S689" s="1">
        <v>212307</v>
      </c>
      <c r="U689" s="1">
        <v>111</v>
      </c>
      <c r="V689" s="1" t="s">
        <v>8123</v>
      </c>
      <c r="W689" s="1" t="s">
        <v>264</v>
      </c>
      <c r="X689" s="1" t="s">
        <v>8124</v>
      </c>
      <c r="Y689" s="1">
        <v>6</v>
      </c>
      <c r="Z689" s="1" t="s">
        <v>249</v>
      </c>
      <c r="AA689" s="1" t="s">
        <v>921</v>
      </c>
      <c r="AB689" s="1">
        <v>60540</v>
      </c>
      <c r="AE689" s="1" t="s">
        <v>8125</v>
      </c>
      <c r="AF689" s="1">
        <v>1980</v>
      </c>
      <c r="AG689" s="1" t="s">
        <v>204</v>
      </c>
      <c r="AH689" s="1" t="s">
        <v>924</v>
      </c>
      <c r="AI689" s="1" t="s">
        <v>206</v>
      </c>
      <c r="AJ689" s="1" t="s">
        <v>925</v>
      </c>
      <c r="AL689" s="1">
        <v>5</v>
      </c>
      <c r="AM689" s="1">
        <v>2</v>
      </c>
      <c r="AN689" s="1">
        <v>2</v>
      </c>
      <c r="AO689" s="1">
        <v>0</v>
      </c>
      <c r="AP689" s="1" t="s">
        <v>209</v>
      </c>
      <c r="AQ689" s="1">
        <v>1</v>
      </c>
      <c r="AR689" s="1" t="s">
        <v>210</v>
      </c>
      <c r="AS689" s="1" t="s">
        <v>204</v>
      </c>
      <c r="AT689" s="1" t="s">
        <v>211</v>
      </c>
      <c r="AU689" s="1">
        <v>1</v>
      </c>
      <c r="AW689" s="1" t="s">
        <v>204</v>
      </c>
      <c r="AX689" s="1" t="s">
        <v>212</v>
      </c>
      <c r="AZ689" s="1">
        <v>2914</v>
      </c>
      <c r="BA689" s="1">
        <v>2013</v>
      </c>
      <c r="BE689" s="1">
        <v>1014</v>
      </c>
      <c r="BF689" s="1">
        <v>1</v>
      </c>
      <c r="BG689" s="1">
        <v>0</v>
      </c>
      <c r="BL689" s="1">
        <v>245</v>
      </c>
      <c r="BM689" s="1" t="s">
        <v>204</v>
      </c>
      <c r="BN689" s="1" t="s">
        <v>213</v>
      </c>
      <c r="BO689" s="1">
        <v>0</v>
      </c>
      <c r="BP689" s="1" t="s">
        <v>204</v>
      </c>
      <c r="BR689" s="1" t="str">
        <f>"0817315016"</f>
        <v>0817315016</v>
      </c>
      <c r="BT689" s="1" t="s">
        <v>8126</v>
      </c>
      <c r="BX689" s="1">
        <v>203</v>
      </c>
      <c r="BY689" s="1">
        <v>203</v>
      </c>
      <c r="BZ689" s="1">
        <v>203</v>
      </c>
      <c r="CB689" s="1" t="str">
        <f t="shared" ref="CB689:CC689" si="535">"0"</f>
        <v>0</v>
      </c>
      <c r="CC689" s="1" t="str">
        <f t="shared" si="535"/>
        <v>0</v>
      </c>
      <c r="CD689" s="1">
        <v>25</v>
      </c>
      <c r="CE689" s="1">
        <v>6</v>
      </c>
      <c r="CG689" s="1" t="s">
        <v>729</v>
      </c>
      <c r="CH689" s="1" t="s">
        <v>219</v>
      </c>
      <c r="CI689" s="1" t="s">
        <v>220</v>
      </c>
      <c r="CK689" s="1" t="s">
        <v>317</v>
      </c>
      <c r="CL689" s="1" t="s">
        <v>219</v>
      </c>
      <c r="CM689" s="1" t="s">
        <v>220</v>
      </c>
      <c r="CO689" s="1" t="s">
        <v>1046</v>
      </c>
      <c r="CP689" s="1" t="s">
        <v>219</v>
      </c>
      <c r="CQ689" s="1" t="s">
        <v>220</v>
      </c>
      <c r="CS689" s="1" t="s">
        <v>1046</v>
      </c>
      <c r="CT689" s="1" t="s">
        <v>219</v>
      </c>
      <c r="CU689" s="1" t="s">
        <v>220</v>
      </c>
      <c r="CX689" s="1" t="s">
        <v>224</v>
      </c>
      <c r="DB689" s="1" t="s">
        <v>224</v>
      </c>
      <c r="DE689" s="1" t="s">
        <v>602</v>
      </c>
      <c r="DF689" s="1" t="s">
        <v>219</v>
      </c>
      <c r="DG689" s="1" t="s">
        <v>226</v>
      </c>
      <c r="DJ689" s="1" t="s">
        <v>224</v>
      </c>
      <c r="DS689" s="1" t="s">
        <v>230</v>
      </c>
      <c r="DW689" s="1" t="s">
        <v>230</v>
      </c>
      <c r="EA689" s="1" t="s">
        <v>230</v>
      </c>
      <c r="EE689" s="1" t="s">
        <v>230</v>
      </c>
      <c r="EI689" s="1" t="s">
        <v>230</v>
      </c>
      <c r="EL689" s="1" t="s">
        <v>231</v>
      </c>
      <c r="EM689" s="1" t="s">
        <v>232</v>
      </c>
      <c r="EN689" s="1" t="s">
        <v>282</v>
      </c>
      <c r="EO689" s="1" t="s">
        <v>234</v>
      </c>
      <c r="EQ689" s="1" t="s">
        <v>492</v>
      </c>
      <c r="ER689" s="1" t="s">
        <v>210</v>
      </c>
      <c r="EW689" s="1" t="s">
        <v>937</v>
      </c>
      <c r="EZ689" s="1" t="s">
        <v>287</v>
      </c>
      <c r="FD689" s="1" t="s">
        <v>495</v>
      </c>
      <c r="FE689" s="1" t="s">
        <v>549</v>
      </c>
      <c r="FF689" s="1" t="s">
        <v>248</v>
      </c>
      <c r="FH689" s="1" t="s">
        <v>249</v>
      </c>
      <c r="FL689" s="1" t="s">
        <v>414</v>
      </c>
      <c r="FM689" s="1" t="s">
        <v>252</v>
      </c>
      <c r="FN689" s="1" t="s">
        <v>213</v>
      </c>
      <c r="FO689" s="1" t="s">
        <v>213</v>
      </c>
      <c r="FQ689" s="1" t="s">
        <v>8127</v>
      </c>
      <c r="FR689" s="1" t="s">
        <v>210</v>
      </c>
      <c r="FS689" s="1" t="s">
        <v>8128</v>
      </c>
      <c r="FT689" s="1" t="s">
        <v>295</v>
      </c>
      <c r="FU689" s="1" t="s">
        <v>204</v>
      </c>
      <c r="FW689" s="1" t="s">
        <v>1097</v>
      </c>
      <c r="FX689" s="1">
        <v>8094</v>
      </c>
      <c r="FY689" s="1" t="s">
        <v>1829</v>
      </c>
      <c r="FZ689" s="1" t="s">
        <v>8129</v>
      </c>
      <c r="GA689" s="1">
        <v>81985</v>
      </c>
      <c r="GB689" s="1" t="s">
        <v>8130</v>
      </c>
      <c r="GE689" s="1" t="s">
        <v>210</v>
      </c>
      <c r="GI689" s="1" t="s">
        <v>213</v>
      </c>
      <c r="GJ689" s="1" t="s">
        <v>260</v>
      </c>
      <c r="GK689" s="1" t="s">
        <v>210</v>
      </c>
      <c r="GL689" s="2">
        <v>42052</v>
      </c>
      <c r="GM689" s="1" t="s">
        <v>8131</v>
      </c>
    </row>
    <row r="690" spans="1:195">
      <c r="A690" s="1">
        <v>100000</v>
      </c>
      <c r="B690" s="1" t="s">
        <v>195</v>
      </c>
      <c r="C690" s="1" t="str">
        <f>"08807123"</f>
        <v>08807123</v>
      </c>
      <c r="D690" s="1" t="s">
        <v>196</v>
      </c>
      <c r="F690" s="1" t="str">
        <f>"517"</f>
        <v>517</v>
      </c>
      <c r="G690" s="2">
        <v>42003</v>
      </c>
      <c r="H690" s="1">
        <v>104900</v>
      </c>
      <c r="I690" s="1">
        <v>99999</v>
      </c>
      <c r="J690" s="1">
        <v>100000</v>
      </c>
      <c r="K690" s="2">
        <v>42003</v>
      </c>
      <c r="L690" s="1">
        <v>122</v>
      </c>
      <c r="M690" s="2">
        <v>42040</v>
      </c>
      <c r="N690" s="1">
        <v>38</v>
      </c>
      <c r="O690" s="2">
        <v>42040</v>
      </c>
      <c r="P690" s="1">
        <v>10646</v>
      </c>
      <c r="Q690" s="1" t="s">
        <v>197</v>
      </c>
      <c r="R690" s="2">
        <v>42081</v>
      </c>
      <c r="S690" s="1">
        <v>111145</v>
      </c>
      <c r="U690" s="1">
        <v>2144</v>
      </c>
      <c r="V690" s="1" t="s">
        <v>5193</v>
      </c>
      <c r="W690" s="1" t="s">
        <v>264</v>
      </c>
      <c r="X690" s="1">
        <v>2144</v>
      </c>
      <c r="Y690" s="1">
        <v>8</v>
      </c>
      <c r="Z690" s="1" t="s">
        <v>249</v>
      </c>
      <c r="AA690" s="1" t="s">
        <v>2850</v>
      </c>
      <c r="AB690" s="1">
        <v>60517</v>
      </c>
      <c r="AE690" s="1" t="s">
        <v>8132</v>
      </c>
      <c r="AF690" s="1">
        <v>1977</v>
      </c>
      <c r="AG690" s="1" t="s">
        <v>213</v>
      </c>
      <c r="AH690" s="1" t="s">
        <v>2853</v>
      </c>
      <c r="AI690" s="1" t="s">
        <v>206</v>
      </c>
      <c r="AJ690" s="1" t="s">
        <v>925</v>
      </c>
      <c r="AK690" s="1" t="s">
        <v>3149</v>
      </c>
      <c r="AL690" s="1">
        <v>5</v>
      </c>
      <c r="AM690" s="1">
        <v>2</v>
      </c>
      <c r="AN690" s="1">
        <v>1</v>
      </c>
      <c r="AO690" s="1">
        <v>2</v>
      </c>
      <c r="AP690" s="1" t="s">
        <v>209</v>
      </c>
      <c r="AQ690" s="1">
        <v>0</v>
      </c>
      <c r="AR690" s="1" t="s">
        <v>210</v>
      </c>
      <c r="AS690" s="1" t="s">
        <v>204</v>
      </c>
      <c r="AT690" s="1" t="s">
        <v>271</v>
      </c>
      <c r="AV690" s="1">
        <v>2</v>
      </c>
      <c r="AW690" s="1" t="s">
        <v>204</v>
      </c>
      <c r="AX690" s="1" t="s">
        <v>212</v>
      </c>
      <c r="AZ690" s="1">
        <v>1971</v>
      </c>
      <c r="BA690" s="1">
        <v>2013</v>
      </c>
      <c r="BB690" s="1" t="s">
        <v>210</v>
      </c>
      <c r="BE690" s="1">
        <v>1218</v>
      </c>
      <c r="BF690" s="1">
        <v>1</v>
      </c>
      <c r="BG690" s="1">
        <v>0</v>
      </c>
      <c r="BJ690" s="1">
        <v>90</v>
      </c>
      <c r="BK690" s="1">
        <v>100</v>
      </c>
      <c r="BL690" s="1">
        <v>311</v>
      </c>
      <c r="BM690" s="1" t="s">
        <v>204</v>
      </c>
      <c r="BN690" s="1" t="s">
        <v>213</v>
      </c>
      <c r="BO690" s="1">
        <v>999</v>
      </c>
      <c r="BP690" s="1" t="s">
        <v>204</v>
      </c>
      <c r="BR690" s="1" t="str">
        <f>"0825419036"</f>
        <v>0825419036</v>
      </c>
      <c r="BT690" s="1" t="s">
        <v>8133</v>
      </c>
      <c r="BX690" s="1">
        <v>68</v>
      </c>
      <c r="BY690" s="1">
        <v>68</v>
      </c>
      <c r="BZ690" s="1">
        <v>99</v>
      </c>
      <c r="CB690" s="1" t="str">
        <f t="shared" ref="CB690:CC690" si="536">"0"</f>
        <v>0</v>
      </c>
      <c r="CC690" s="1" t="str">
        <f t="shared" si="536"/>
        <v>0</v>
      </c>
      <c r="CD690" s="1">
        <v>21</v>
      </c>
      <c r="CE690" s="1">
        <v>8</v>
      </c>
      <c r="CG690" s="1" t="s">
        <v>2747</v>
      </c>
      <c r="CH690" s="1" t="s">
        <v>219</v>
      </c>
      <c r="CI690" s="1" t="s">
        <v>229</v>
      </c>
      <c r="CK690" s="1" t="s">
        <v>1178</v>
      </c>
      <c r="CL690" s="1" t="s">
        <v>277</v>
      </c>
      <c r="CM690" s="1" t="s">
        <v>220</v>
      </c>
      <c r="CO690" s="1" t="s">
        <v>630</v>
      </c>
      <c r="CP690" s="1" t="s">
        <v>219</v>
      </c>
      <c r="CQ690" s="1" t="s">
        <v>226</v>
      </c>
      <c r="CS690" s="1" t="s">
        <v>1358</v>
      </c>
      <c r="CT690" s="1" t="s">
        <v>277</v>
      </c>
      <c r="CU690" s="1" t="s">
        <v>220</v>
      </c>
      <c r="CX690" s="1" t="s">
        <v>224</v>
      </c>
      <c r="DB690" s="1" t="s">
        <v>224</v>
      </c>
      <c r="DE690" s="1" t="s">
        <v>1297</v>
      </c>
      <c r="DF690" s="1" t="s">
        <v>219</v>
      </c>
      <c r="DG690" s="1" t="s">
        <v>226</v>
      </c>
      <c r="DJ690" s="1" t="s">
        <v>224</v>
      </c>
      <c r="DS690" s="1" t="s">
        <v>230</v>
      </c>
      <c r="DW690" s="1" t="s">
        <v>230</v>
      </c>
      <c r="EA690" s="1" t="s">
        <v>230</v>
      </c>
      <c r="EE690" s="1" t="s">
        <v>230</v>
      </c>
      <c r="EI690" s="1" t="s">
        <v>230</v>
      </c>
      <c r="EL690" s="1" t="s">
        <v>231</v>
      </c>
      <c r="EM690" s="1" t="s">
        <v>232</v>
      </c>
      <c r="EN690" s="1" t="s">
        <v>282</v>
      </c>
      <c r="EO690" s="1" t="s">
        <v>234</v>
      </c>
      <c r="EP690" s="1" t="s">
        <v>8134</v>
      </c>
      <c r="EQ690" s="1" t="s">
        <v>8135</v>
      </c>
      <c r="ER690" s="1" t="s">
        <v>210</v>
      </c>
      <c r="ES690" s="1" t="s">
        <v>493</v>
      </c>
      <c r="EV690" s="1" t="s">
        <v>324</v>
      </c>
      <c r="EW690" s="1" t="s">
        <v>8136</v>
      </c>
      <c r="EY690" s="1" t="s">
        <v>2644</v>
      </c>
      <c r="EZ690" s="1" t="s">
        <v>287</v>
      </c>
      <c r="FA690" s="1" t="s">
        <v>471</v>
      </c>
      <c r="FB690" s="1" t="s">
        <v>244</v>
      </c>
      <c r="FD690" s="1" t="s">
        <v>246</v>
      </c>
      <c r="FE690" s="1" t="s">
        <v>247</v>
      </c>
      <c r="FF690" s="1" t="s">
        <v>248</v>
      </c>
      <c r="FH690" s="1" t="s">
        <v>550</v>
      </c>
      <c r="FK690" s="1" t="s">
        <v>291</v>
      </c>
      <c r="FL690" s="1" t="s">
        <v>292</v>
      </c>
      <c r="FM690" s="1" t="s">
        <v>252</v>
      </c>
      <c r="FN690" s="1" t="s">
        <v>213</v>
      </c>
      <c r="FO690" s="1" t="s">
        <v>213</v>
      </c>
      <c r="FQ690" s="1" t="s">
        <v>8137</v>
      </c>
      <c r="FR690" s="1" t="s">
        <v>210</v>
      </c>
      <c r="FS690" s="1" t="s">
        <v>8138</v>
      </c>
      <c r="FT690" s="1" t="s">
        <v>295</v>
      </c>
      <c r="FU690" s="1" t="s">
        <v>204</v>
      </c>
      <c r="FW690" s="1" t="s">
        <v>8139</v>
      </c>
      <c r="FX690" s="1">
        <v>24832</v>
      </c>
      <c r="FY690" s="1" t="s">
        <v>8140</v>
      </c>
      <c r="FZ690" s="1" t="s">
        <v>8141</v>
      </c>
      <c r="GA690" s="1">
        <v>227913</v>
      </c>
      <c r="GB690" s="1" t="s">
        <v>8140</v>
      </c>
      <c r="GE690" s="1" t="s">
        <v>210</v>
      </c>
      <c r="GI690" s="1" t="s">
        <v>204</v>
      </c>
      <c r="GJ690" s="1" t="s">
        <v>260</v>
      </c>
      <c r="GK690" s="1" t="s">
        <v>210</v>
      </c>
      <c r="GL690" s="2">
        <v>42081</v>
      </c>
      <c r="GM690" s="1" t="s">
        <v>8142</v>
      </c>
    </row>
    <row r="691" spans="1:195">
      <c r="A691" s="1">
        <v>172000</v>
      </c>
      <c r="B691" s="1" t="s">
        <v>195</v>
      </c>
      <c r="C691" s="1" t="str">
        <f>"08812479"</f>
        <v>08812479</v>
      </c>
      <c r="D691" s="1" t="s">
        <v>196</v>
      </c>
      <c r="F691" s="1" t="str">
        <f>"540"</f>
        <v>540</v>
      </c>
      <c r="G691" s="2">
        <v>42012</v>
      </c>
      <c r="H691" s="1">
        <v>184900</v>
      </c>
      <c r="I691" s="1">
        <v>179900</v>
      </c>
      <c r="J691" s="1">
        <v>172000</v>
      </c>
      <c r="K691" s="2">
        <v>42012</v>
      </c>
      <c r="L691" s="1">
        <v>42</v>
      </c>
      <c r="M691" s="2">
        <v>42053</v>
      </c>
      <c r="N691" s="1">
        <v>42</v>
      </c>
      <c r="O691" s="2">
        <v>42053</v>
      </c>
      <c r="P691" s="1">
        <v>23306</v>
      </c>
      <c r="Q691" s="1" t="s">
        <v>197</v>
      </c>
      <c r="R691" s="2">
        <v>42093</v>
      </c>
      <c r="S691" s="1">
        <v>234182</v>
      </c>
      <c r="U691" s="1">
        <v>1222</v>
      </c>
      <c r="V691" s="1" t="s">
        <v>8143</v>
      </c>
      <c r="W691" s="1" t="s">
        <v>504</v>
      </c>
      <c r="Y691" s="1">
        <v>8</v>
      </c>
      <c r="Z691" s="1" t="s">
        <v>249</v>
      </c>
      <c r="AA691" s="1" t="s">
        <v>921</v>
      </c>
      <c r="AB691" s="1">
        <v>60540</v>
      </c>
      <c r="AD691" s="1" t="s">
        <v>3984</v>
      </c>
      <c r="AE691" s="1" t="s">
        <v>8144</v>
      </c>
      <c r="AF691" s="1">
        <v>1993</v>
      </c>
      <c r="AG691" s="1" t="s">
        <v>204</v>
      </c>
      <c r="AH691" s="1" t="s">
        <v>924</v>
      </c>
      <c r="AI691" s="1" t="s">
        <v>206</v>
      </c>
      <c r="AJ691" s="1" t="s">
        <v>924</v>
      </c>
      <c r="AL691" s="1">
        <v>4</v>
      </c>
      <c r="AM691" s="1">
        <v>2</v>
      </c>
      <c r="AN691" s="1">
        <v>2</v>
      </c>
      <c r="AO691" s="1">
        <v>1</v>
      </c>
      <c r="AP691" s="1" t="s">
        <v>209</v>
      </c>
      <c r="AQ691" s="1">
        <v>1</v>
      </c>
      <c r="AR691" s="1" t="s">
        <v>210</v>
      </c>
      <c r="AS691" s="1" t="s">
        <v>204</v>
      </c>
      <c r="AT691" s="1" t="s">
        <v>211</v>
      </c>
      <c r="AU691" s="1">
        <v>1</v>
      </c>
      <c r="AW691" s="1" t="s">
        <v>204</v>
      </c>
      <c r="AX691" s="1" t="s">
        <v>212</v>
      </c>
      <c r="AZ691" s="1">
        <v>3931</v>
      </c>
      <c r="BA691" s="1">
        <v>2013</v>
      </c>
      <c r="BB691" s="1" t="s">
        <v>405</v>
      </c>
      <c r="BE691" s="1">
        <v>1434</v>
      </c>
      <c r="BF691" s="1">
        <v>1</v>
      </c>
      <c r="BG691" s="1">
        <v>30</v>
      </c>
      <c r="BL691" s="1">
        <v>269</v>
      </c>
      <c r="BM691" s="1" t="s">
        <v>413</v>
      </c>
      <c r="BN691" s="1" t="s">
        <v>213</v>
      </c>
      <c r="BO691" s="1">
        <v>999</v>
      </c>
      <c r="BP691" s="1" t="s">
        <v>204</v>
      </c>
      <c r="BR691" s="1" t="str">
        <f>"0726212036"</f>
        <v>0726212036</v>
      </c>
      <c r="BT691" s="1" t="s">
        <v>8145</v>
      </c>
      <c r="BU691" s="1" t="s">
        <v>3988</v>
      </c>
      <c r="BV691" s="1" t="s">
        <v>1248</v>
      </c>
      <c r="BW691" s="1" t="s">
        <v>1131</v>
      </c>
      <c r="BX691" s="1">
        <v>204</v>
      </c>
      <c r="BY691" s="1">
        <v>204</v>
      </c>
      <c r="BZ691" s="1">
        <v>204</v>
      </c>
      <c r="CB691" s="1" t="str">
        <f t="shared" ref="CB691:CC691" si="537">"0"</f>
        <v>0</v>
      </c>
      <c r="CC691" s="1" t="str">
        <f t="shared" si="537"/>
        <v>0</v>
      </c>
      <c r="CD691" s="1">
        <v>28</v>
      </c>
      <c r="CE691" s="1">
        <v>8</v>
      </c>
      <c r="CG691" s="1" t="s">
        <v>885</v>
      </c>
      <c r="CH691" s="1" t="s">
        <v>219</v>
      </c>
      <c r="CI691" s="1" t="s">
        <v>229</v>
      </c>
      <c r="CK691" s="1" t="s">
        <v>1788</v>
      </c>
      <c r="CL691" s="1" t="s">
        <v>277</v>
      </c>
      <c r="CM691" s="1" t="s">
        <v>220</v>
      </c>
      <c r="CP691" s="1" t="s">
        <v>224</v>
      </c>
      <c r="CS691" s="1" t="s">
        <v>1788</v>
      </c>
      <c r="CT691" s="1" t="s">
        <v>277</v>
      </c>
      <c r="CU691" s="1" t="s">
        <v>220</v>
      </c>
      <c r="CX691" s="1" t="s">
        <v>224</v>
      </c>
      <c r="DB691" s="1" t="s">
        <v>224</v>
      </c>
      <c r="DE691" s="1" t="s">
        <v>8146</v>
      </c>
      <c r="DF691" s="1" t="s">
        <v>219</v>
      </c>
      <c r="DG691" s="1" t="s">
        <v>229</v>
      </c>
      <c r="DJ691" s="1" t="s">
        <v>224</v>
      </c>
      <c r="DS691" s="1" t="s">
        <v>230</v>
      </c>
      <c r="DW691" s="1" t="s">
        <v>230</v>
      </c>
      <c r="EA691" s="1" t="s">
        <v>230</v>
      </c>
      <c r="EE691" s="1" t="s">
        <v>230</v>
      </c>
      <c r="EI691" s="1" t="s">
        <v>230</v>
      </c>
      <c r="EL691" s="1" t="s">
        <v>382</v>
      </c>
      <c r="EM691" s="1" t="s">
        <v>232</v>
      </c>
      <c r="EN691" s="1" t="s">
        <v>282</v>
      </c>
      <c r="EO691" s="1" t="s">
        <v>840</v>
      </c>
      <c r="EP691" s="1" t="s">
        <v>650</v>
      </c>
      <c r="EQ691" s="1" t="s">
        <v>284</v>
      </c>
      <c r="ER691" s="1" t="s">
        <v>210</v>
      </c>
      <c r="ES691" s="1" t="s">
        <v>1160</v>
      </c>
      <c r="ET691" s="1" t="s">
        <v>238</v>
      </c>
      <c r="EU691" s="1" t="s">
        <v>610</v>
      </c>
      <c r="EV691" s="1" t="s">
        <v>240</v>
      </c>
      <c r="EW691" s="1" t="s">
        <v>353</v>
      </c>
      <c r="EY691" s="1" t="s">
        <v>242</v>
      </c>
      <c r="EZ691" s="1" t="s">
        <v>287</v>
      </c>
      <c r="FA691" s="1" t="s">
        <v>1554</v>
      </c>
      <c r="FB691" s="1" t="s">
        <v>289</v>
      </c>
      <c r="FC691" s="1" t="s">
        <v>1362</v>
      </c>
      <c r="FD691" s="1" t="s">
        <v>246</v>
      </c>
      <c r="FE691" s="1" t="s">
        <v>247</v>
      </c>
      <c r="FF691" s="1" t="s">
        <v>248</v>
      </c>
      <c r="FG691" s="1" t="s">
        <v>7724</v>
      </c>
      <c r="FH691" s="1" t="s">
        <v>550</v>
      </c>
      <c r="FI691" s="1" t="s">
        <v>473</v>
      </c>
      <c r="FJ691" s="1" t="s">
        <v>518</v>
      </c>
      <c r="FL691" s="1" t="s">
        <v>358</v>
      </c>
      <c r="FM691" s="1" t="s">
        <v>252</v>
      </c>
      <c r="FN691" s="1" t="s">
        <v>213</v>
      </c>
      <c r="FO691" s="1" t="s">
        <v>213</v>
      </c>
      <c r="FQ691" s="1" t="s">
        <v>673</v>
      </c>
      <c r="FR691" s="1" t="s">
        <v>652</v>
      </c>
      <c r="FS691" s="1" t="s">
        <v>8147</v>
      </c>
      <c r="FT691" s="1" t="s">
        <v>295</v>
      </c>
      <c r="FU691" s="1" t="s">
        <v>204</v>
      </c>
      <c r="FW691" s="1" t="s">
        <v>1857</v>
      </c>
      <c r="FX691" s="1">
        <v>22993</v>
      </c>
      <c r="FY691" s="1" t="s">
        <v>1858</v>
      </c>
      <c r="FZ691" s="1" t="s">
        <v>8148</v>
      </c>
      <c r="GA691" s="1">
        <v>235152</v>
      </c>
      <c r="GB691" s="1" t="s">
        <v>8149</v>
      </c>
      <c r="GC691" s="1">
        <v>241601</v>
      </c>
      <c r="GE691" s="1" t="s">
        <v>335</v>
      </c>
      <c r="GI691" s="1" t="s">
        <v>213</v>
      </c>
      <c r="GJ691" s="1" t="s">
        <v>260</v>
      </c>
      <c r="GK691" s="1" t="s">
        <v>210</v>
      </c>
      <c r="GL691" s="2">
        <v>42093</v>
      </c>
      <c r="GM691" s="1" t="s">
        <v>8150</v>
      </c>
    </row>
    <row r="692" spans="1:195">
      <c r="A692" s="1">
        <v>152500</v>
      </c>
      <c r="B692" s="1" t="s">
        <v>195</v>
      </c>
      <c r="C692" s="1" t="str">
        <f>"08804592"</f>
        <v>08804592</v>
      </c>
      <c r="D692" s="1" t="s">
        <v>196</v>
      </c>
      <c r="F692" s="1" t="str">
        <f>"123"</f>
        <v>123</v>
      </c>
      <c r="G692" s="2">
        <v>41992</v>
      </c>
      <c r="H692" s="1">
        <v>156900</v>
      </c>
      <c r="I692" s="1">
        <v>156900</v>
      </c>
      <c r="J692" s="1">
        <v>152500</v>
      </c>
      <c r="K692" s="2">
        <v>41992</v>
      </c>
      <c r="L692" s="1">
        <v>34</v>
      </c>
      <c r="M692" s="2">
        <v>42025</v>
      </c>
      <c r="N692" s="1">
        <v>34</v>
      </c>
      <c r="O692" s="2">
        <v>42025</v>
      </c>
      <c r="P692" s="1">
        <v>7630</v>
      </c>
      <c r="Q692" s="1" t="s">
        <v>197</v>
      </c>
      <c r="R692" s="2">
        <v>42072</v>
      </c>
      <c r="S692" s="1">
        <v>77073</v>
      </c>
      <c r="U692" s="1">
        <v>1170</v>
      </c>
      <c r="V692" s="1" t="s">
        <v>8151</v>
      </c>
      <c r="W692" s="1" t="s">
        <v>1056</v>
      </c>
      <c r="Y692" s="1">
        <v>2</v>
      </c>
      <c r="Z692" s="1" t="s">
        <v>249</v>
      </c>
      <c r="AA692" s="1" t="s">
        <v>1173</v>
      </c>
      <c r="AB692" s="1">
        <v>60120</v>
      </c>
      <c r="AD692" s="1" t="s">
        <v>3601</v>
      </c>
      <c r="AE692" s="1" t="s">
        <v>8152</v>
      </c>
      <c r="AF692" s="1">
        <v>1992</v>
      </c>
      <c r="AG692" s="1" t="s">
        <v>204</v>
      </c>
      <c r="AH692" s="1" t="s">
        <v>1175</v>
      </c>
      <c r="AI692" s="1" t="s">
        <v>310</v>
      </c>
      <c r="AJ692" s="1" t="s">
        <v>374</v>
      </c>
      <c r="AK692" s="1" t="s">
        <v>4389</v>
      </c>
      <c r="AL692" s="1">
        <v>7</v>
      </c>
      <c r="AM692" s="1">
        <v>2</v>
      </c>
      <c r="AN692" s="1">
        <v>2</v>
      </c>
      <c r="AO692" s="1">
        <v>1</v>
      </c>
      <c r="AP692" s="1" t="s">
        <v>209</v>
      </c>
      <c r="AQ692" s="1">
        <v>1</v>
      </c>
      <c r="AR692" s="1" t="s">
        <v>210</v>
      </c>
      <c r="AS692" s="1" t="s">
        <v>204</v>
      </c>
      <c r="AT692" s="1" t="s">
        <v>211</v>
      </c>
      <c r="AU692" s="1">
        <v>2</v>
      </c>
      <c r="AW692" s="1" t="s">
        <v>213</v>
      </c>
      <c r="AX692" s="1" t="s">
        <v>212</v>
      </c>
      <c r="AZ692" s="1">
        <v>3487.13</v>
      </c>
      <c r="BA692" s="1">
        <v>2012</v>
      </c>
      <c r="BB692" s="1" t="s">
        <v>2694</v>
      </c>
      <c r="BE692" s="1">
        <v>1662</v>
      </c>
      <c r="BF692" s="1">
        <v>1</v>
      </c>
      <c r="BG692" s="1">
        <v>14</v>
      </c>
      <c r="BJ692" s="1">
        <v>90</v>
      </c>
      <c r="BL692" s="1">
        <v>240</v>
      </c>
      <c r="BM692" s="1" t="s">
        <v>204</v>
      </c>
      <c r="BN692" s="1" t="s">
        <v>213</v>
      </c>
      <c r="BO692" s="1">
        <v>99</v>
      </c>
      <c r="BP692" s="1" t="s">
        <v>204</v>
      </c>
      <c r="BR692" s="1" t="str">
        <f>"06074090930000"</f>
        <v>06074090930000</v>
      </c>
      <c r="BT692" s="1" t="s">
        <v>8153</v>
      </c>
      <c r="BU692" s="1" t="s">
        <v>8154</v>
      </c>
      <c r="BV692" s="1" t="s">
        <v>3604</v>
      </c>
      <c r="BW692" s="1" t="s">
        <v>2058</v>
      </c>
      <c r="BX692" s="1">
        <v>46</v>
      </c>
      <c r="BY692" s="1">
        <v>46</v>
      </c>
      <c r="BZ692" s="1">
        <v>46</v>
      </c>
      <c r="CB692" s="1" t="str">
        <f t="shared" ref="CB692:CC692" si="538">""</f>
        <v/>
      </c>
      <c r="CC692" s="1" t="str">
        <f t="shared" si="538"/>
        <v/>
      </c>
      <c r="CG692" s="1" t="s">
        <v>729</v>
      </c>
      <c r="CH692" s="1" t="s">
        <v>219</v>
      </c>
      <c r="CI692" s="1" t="s">
        <v>229</v>
      </c>
      <c r="CK692" s="1" t="s">
        <v>757</v>
      </c>
      <c r="CL692" s="1" t="s">
        <v>277</v>
      </c>
      <c r="CM692" s="1" t="s">
        <v>229</v>
      </c>
      <c r="CO692" s="1" t="s">
        <v>1046</v>
      </c>
      <c r="CP692" s="1" t="s">
        <v>219</v>
      </c>
      <c r="CQ692" s="1" t="s">
        <v>229</v>
      </c>
      <c r="CS692" s="1" t="s">
        <v>318</v>
      </c>
      <c r="CT692" s="1" t="s">
        <v>277</v>
      </c>
      <c r="CU692" s="1" t="s">
        <v>229</v>
      </c>
      <c r="CX692" s="1" t="s">
        <v>224</v>
      </c>
      <c r="DB692" s="1" t="s">
        <v>224</v>
      </c>
      <c r="DE692" s="1" t="s">
        <v>1046</v>
      </c>
      <c r="DF692" s="1" t="s">
        <v>219</v>
      </c>
      <c r="DG692" s="1" t="s">
        <v>226</v>
      </c>
      <c r="DI692" s="1" t="s">
        <v>972</v>
      </c>
      <c r="DJ692" s="1" t="s">
        <v>219</v>
      </c>
      <c r="DK692" s="1" t="s">
        <v>229</v>
      </c>
      <c r="DM692" s="1" t="s">
        <v>464</v>
      </c>
      <c r="DR692" s="1" t="s">
        <v>346</v>
      </c>
      <c r="DS692" s="1" t="s">
        <v>277</v>
      </c>
      <c r="DT692" s="1" t="s">
        <v>229</v>
      </c>
      <c r="DW692" s="1" t="s">
        <v>230</v>
      </c>
      <c r="EA692" s="1" t="s">
        <v>230</v>
      </c>
      <c r="EE692" s="1" t="s">
        <v>230</v>
      </c>
      <c r="EI692" s="1" t="s">
        <v>230</v>
      </c>
      <c r="EL692" s="1" t="s">
        <v>382</v>
      </c>
      <c r="EM692" s="1" t="s">
        <v>319</v>
      </c>
      <c r="EN692" s="1" t="s">
        <v>282</v>
      </c>
      <c r="EO692" s="1" t="s">
        <v>840</v>
      </c>
      <c r="EQ692" s="1" t="s">
        <v>5876</v>
      </c>
      <c r="ER692" s="1" t="s">
        <v>383</v>
      </c>
      <c r="ES692" s="1" t="s">
        <v>322</v>
      </c>
      <c r="ET692" s="1" t="s">
        <v>323</v>
      </c>
      <c r="EV692" s="1" t="s">
        <v>240</v>
      </c>
      <c r="EW692" s="1" t="s">
        <v>4410</v>
      </c>
      <c r="EY692" s="1" t="s">
        <v>441</v>
      </c>
      <c r="EZ692" s="1" t="s">
        <v>464</v>
      </c>
      <c r="FB692" s="1" t="s">
        <v>4027</v>
      </c>
      <c r="FC692" s="1" t="s">
        <v>548</v>
      </c>
      <c r="FD692" s="1" t="s">
        <v>246</v>
      </c>
      <c r="FE692" s="1" t="s">
        <v>975</v>
      </c>
      <c r="FF692" s="1" t="s">
        <v>248</v>
      </c>
      <c r="FG692" s="1" t="s">
        <v>912</v>
      </c>
      <c r="FH692" s="1" t="s">
        <v>442</v>
      </c>
      <c r="FI692" s="1" t="s">
        <v>473</v>
      </c>
      <c r="FL692" s="1" t="s">
        <v>414</v>
      </c>
      <c r="FM692" s="1" t="s">
        <v>252</v>
      </c>
      <c r="FN692" s="1" t="s">
        <v>213</v>
      </c>
      <c r="FO692" s="1" t="s">
        <v>213</v>
      </c>
      <c r="FQ692" s="1" t="s">
        <v>8155</v>
      </c>
      <c r="FR692" s="1" t="s">
        <v>652</v>
      </c>
      <c r="FS692" s="1" t="s">
        <v>8156</v>
      </c>
      <c r="FT692" s="1" t="s">
        <v>520</v>
      </c>
      <c r="FU692" s="1" t="s">
        <v>204</v>
      </c>
      <c r="FW692" s="1" t="s">
        <v>1898</v>
      </c>
      <c r="FX692" s="1">
        <v>23030</v>
      </c>
      <c r="FY692" s="1" t="s">
        <v>1899</v>
      </c>
      <c r="FZ692" s="1" t="s">
        <v>8157</v>
      </c>
      <c r="GA692" s="1">
        <v>232400</v>
      </c>
      <c r="GB692" s="1" t="s">
        <v>8158</v>
      </c>
      <c r="GD692" s="1" t="s">
        <v>8159</v>
      </c>
      <c r="GE692" s="1" t="s">
        <v>335</v>
      </c>
      <c r="GI692" s="1" t="s">
        <v>213</v>
      </c>
      <c r="GJ692" s="1" t="s">
        <v>300</v>
      </c>
      <c r="GK692" s="1" t="s">
        <v>210</v>
      </c>
      <c r="GL692" s="2">
        <v>42072</v>
      </c>
      <c r="GM692" s="1" t="s">
        <v>8160</v>
      </c>
    </row>
    <row r="693" spans="1:195">
      <c r="A693" s="1">
        <v>95000</v>
      </c>
      <c r="B693" s="1" t="s">
        <v>195</v>
      </c>
      <c r="C693" s="1" t="str">
        <f>"08806473"</f>
        <v>08806473</v>
      </c>
      <c r="D693" s="1" t="s">
        <v>196</v>
      </c>
      <c r="F693" s="1" t="str">
        <f>"527"</f>
        <v>527</v>
      </c>
      <c r="G693" s="2">
        <v>42000</v>
      </c>
      <c r="H693" s="1">
        <v>99900</v>
      </c>
      <c r="I693" s="1">
        <v>89900</v>
      </c>
      <c r="J693" s="1">
        <v>95000</v>
      </c>
      <c r="K693" s="2">
        <v>42000</v>
      </c>
      <c r="L693" s="1">
        <v>20</v>
      </c>
      <c r="M693" s="2">
        <v>42019</v>
      </c>
      <c r="N693" s="1">
        <v>20</v>
      </c>
      <c r="O693" s="2">
        <v>42019</v>
      </c>
      <c r="P693" s="1">
        <v>17299</v>
      </c>
      <c r="Q693" s="1" t="s">
        <v>302</v>
      </c>
      <c r="R693" s="2">
        <v>42087</v>
      </c>
      <c r="S693" s="1">
        <v>181623</v>
      </c>
      <c r="U693" s="1">
        <v>6700</v>
      </c>
      <c r="V693" s="1" t="s">
        <v>8161</v>
      </c>
      <c r="W693" s="1" t="s">
        <v>425</v>
      </c>
      <c r="X693" s="1">
        <v>212</v>
      </c>
      <c r="Y693" s="1">
        <v>124</v>
      </c>
      <c r="Z693" s="1" t="s">
        <v>249</v>
      </c>
      <c r="AA693" s="1" t="s">
        <v>5962</v>
      </c>
      <c r="AB693" s="1">
        <v>60525</v>
      </c>
      <c r="AD693" s="1" t="s">
        <v>8162</v>
      </c>
      <c r="AE693" s="1" t="s">
        <v>8163</v>
      </c>
      <c r="AF693" s="1">
        <v>1968</v>
      </c>
      <c r="AG693" s="1" t="s">
        <v>213</v>
      </c>
      <c r="AH693" s="1" t="s">
        <v>5964</v>
      </c>
      <c r="AI693" s="1" t="s">
        <v>310</v>
      </c>
      <c r="AJ693" s="1" t="s">
        <v>702</v>
      </c>
      <c r="AL693" s="1">
        <v>5</v>
      </c>
      <c r="AM693" s="1">
        <v>2</v>
      </c>
      <c r="AN693" s="1">
        <v>2</v>
      </c>
      <c r="AO693" s="1">
        <v>0</v>
      </c>
      <c r="AP693" s="1" t="s">
        <v>209</v>
      </c>
      <c r="AR693" s="1" t="s">
        <v>210</v>
      </c>
      <c r="AS693" s="1" t="s">
        <v>204</v>
      </c>
      <c r="AT693" s="1" t="s">
        <v>271</v>
      </c>
      <c r="AV693" s="1">
        <v>2</v>
      </c>
      <c r="AW693" s="1" t="s">
        <v>204</v>
      </c>
      <c r="AX693" s="1" t="s">
        <v>212</v>
      </c>
      <c r="AZ693" s="1">
        <v>2800</v>
      </c>
      <c r="BA693" s="1">
        <v>2012</v>
      </c>
      <c r="BB693" s="1" t="s">
        <v>405</v>
      </c>
      <c r="BE693" s="1">
        <v>900</v>
      </c>
      <c r="BF693" s="1">
        <v>1</v>
      </c>
      <c r="BG693" s="1">
        <v>30</v>
      </c>
      <c r="BL693" s="1">
        <v>293</v>
      </c>
      <c r="BM693" s="1" t="s">
        <v>413</v>
      </c>
      <c r="BN693" s="1" t="s">
        <v>213</v>
      </c>
      <c r="BP693" s="1" t="s">
        <v>204</v>
      </c>
      <c r="BR693" s="1" t="str">
        <f>"18202010000000"</f>
        <v>18202010000000</v>
      </c>
      <c r="BT693" s="1" t="s">
        <v>8164</v>
      </c>
      <c r="BU693" s="1" t="s">
        <v>8165</v>
      </c>
      <c r="BV693" s="1" t="s">
        <v>8166</v>
      </c>
      <c r="BW693" s="1" t="s">
        <v>706</v>
      </c>
      <c r="BX693" s="1">
        <v>105</v>
      </c>
      <c r="BY693" s="1">
        <v>105</v>
      </c>
      <c r="BZ693" s="1">
        <v>204</v>
      </c>
      <c r="CB693" s="1" t="str">
        <f t="shared" ref="CB693:CC693" si="539">""</f>
        <v/>
      </c>
      <c r="CC693" s="1" t="str">
        <f t="shared" si="539"/>
        <v/>
      </c>
      <c r="CG693" s="1" t="s">
        <v>861</v>
      </c>
      <c r="CH693" s="1" t="s">
        <v>219</v>
      </c>
      <c r="CI693" s="1" t="s">
        <v>220</v>
      </c>
      <c r="CJ693" s="1" t="s">
        <v>343</v>
      </c>
      <c r="CK693" s="1" t="s">
        <v>1045</v>
      </c>
      <c r="CL693" s="1" t="s">
        <v>219</v>
      </c>
      <c r="CM693" s="1" t="s">
        <v>220</v>
      </c>
      <c r="CN693" s="1" t="s">
        <v>343</v>
      </c>
      <c r="CO693" s="1" t="s">
        <v>437</v>
      </c>
      <c r="CP693" s="1" t="s">
        <v>219</v>
      </c>
      <c r="CQ693" s="1" t="s">
        <v>220</v>
      </c>
      <c r="CS693" s="1" t="s">
        <v>465</v>
      </c>
      <c r="CT693" s="1" t="s">
        <v>219</v>
      </c>
      <c r="CX693" s="1" t="s">
        <v>224</v>
      </c>
      <c r="DB693" s="1" t="s">
        <v>224</v>
      </c>
      <c r="DE693" s="1" t="s">
        <v>2031</v>
      </c>
      <c r="DF693" s="1" t="s">
        <v>219</v>
      </c>
      <c r="DJ693" s="1" t="s">
        <v>224</v>
      </c>
      <c r="DS693" s="1" t="s">
        <v>230</v>
      </c>
      <c r="DW693" s="1" t="s">
        <v>230</v>
      </c>
      <c r="EA693" s="1" t="s">
        <v>230</v>
      </c>
      <c r="EE693" s="1" t="s">
        <v>230</v>
      </c>
      <c r="EI693" s="1" t="s">
        <v>230</v>
      </c>
      <c r="EL693" s="1" t="s">
        <v>605</v>
      </c>
      <c r="EM693" s="1" t="s">
        <v>232</v>
      </c>
      <c r="EN693" s="1" t="s">
        <v>282</v>
      </c>
      <c r="EO693" s="1" t="s">
        <v>234</v>
      </c>
      <c r="EP693" s="1" t="s">
        <v>8167</v>
      </c>
      <c r="EQ693" s="1" t="s">
        <v>1109</v>
      </c>
      <c r="ER693" s="1" t="s">
        <v>210</v>
      </c>
      <c r="EW693" s="1" t="s">
        <v>4607</v>
      </c>
      <c r="EZ693" s="1" t="s">
        <v>287</v>
      </c>
      <c r="FB693" s="1" t="s">
        <v>289</v>
      </c>
      <c r="FD693" s="1" t="s">
        <v>736</v>
      </c>
      <c r="FE693" s="1" t="s">
        <v>247</v>
      </c>
      <c r="FF693" s="1" t="s">
        <v>248</v>
      </c>
      <c r="FH693" s="1" t="s">
        <v>249</v>
      </c>
      <c r="FL693" s="1" t="s">
        <v>292</v>
      </c>
      <c r="FM693" s="1" t="s">
        <v>252</v>
      </c>
      <c r="FN693" s="1" t="s">
        <v>213</v>
      </c>
      <c r="FO693" s="1" t="s">
        <v>213</v>
      </c>
      <c r="FQ693" s="1" t="s">
        <v>1699</v>
      </c>
      <c r="FR693" s="1" t="s">
        <v>360</v>
      </c>
      <c r="FS693" s="1" t="s">
        <v>8168</v>
      </c>
      <c r="FT693" s="1" t="s">
        <v>8169</v>
      </c>
      <c r="FU693" s="1" t="s">
        <v>204</v>
      </c>
      <c r="FW693" s="1" t="s">
        <v>1702</v>
      </c>
      <c r="FX693" s="1">
        <v>17299</v>
      </c>
      <c r="FY693" s="1" t="s">
        <v>1703</v>
      </c>
      <c r="FZ693" s="1" t="s">
        <v>1704</v>
      </c>
      <c r="GA693" s="1">
        <v>181780</v>
      </c>
      <c r="GB693" s="1" t="s">
        <v>1705</v>
      </c>
      <c r="GE693" s="1" t="s">
        <v>210</v>
      </c>
      <c r="GH693" s="1" t="s">
        <v>421</v>
      </c>
      <c r="GI693" s="1" t="s">
        <v>213</v>
      </c>
      <c r="GJ693" s="1" t="s">
        <v>260</v>
      </c>
      <c r="GK693" s="1" t="s">
        <v>261</v>
      </c>
      <c r="GL693" s="2">
        <v>42088</v>
      </c>
      <c r="GM693" s="1" t="s">
        <v>397</v>
      </c>
    </row>
    <row r="694" spans="1:195">
      <c r="A694" s="1">
        <v>194000</v>
      </c>
      <c r="B694" s="1" t="s">
        <v>195</v>
      </c>
      <c r="C694" s="1" t="str">
        <f>"08807757"</f>
        <v>08807757</v>
      </c>
      <c r="D694" s="1" t="s">
        <v>196</v>
      </c>
      <c r="F694" s="1" t="str">
        <f>"148"</f>
        <v>148</v>
      </c>
      <c r="G694" s="2">
        <v>42004</v>
      </c>
      <c r="H694" s="1">
        <v>199000</v>
      </c>
      <c r="I694" s="1">
        <v>199000</v>
      </c>
      <c r="J694" s="1">
        <v>194000</v>
      </c>
      <c r="K694" s="2">
        <v>42004</v>
      </c>
      <c r="L694" s="1">
        <v>20</v>
      </c>
      <c r="M694" s="2">
        <v>42023</v>
      </c>
      <c r="N694" s="1">
        <v>20</v>
      </c>
      <c r="O694" s="2">
        <v>42023</v>
      </c>
      <c r="P694" s="1">
        <v>79883</v>
      </c>
      <c r="Q694" s="1" t="s">
        <v>197</v>
      </c>
      <c r="R694" s="2">
        <v>42061</v>
      </c>
      <c r="S694" s="1">
        <v>703832</v>
      </c>
      <c r="U694" s="1">
        <v>173</v>
      </c>
      <c r="V694" s="1" t="s">
        <v>8170</v>
      </c>
      <c r="W694" s="1" t="s">
        <v>264</v>
      </c>
      <c r="Y694" s="1">
        <v>8</v>
      </c>
      <c r="Z694" s="1" t="s">
        <v>370</v>
      </c>
      <c r="AA694" s="1" t="s">
        <v>1927</v>
      </c>
      <c r="AB694" s="1">
        <v>60148</v>
      </c>
      <c r="AD694" s="1" t="s">
        <v>4500</v>
      </c>
      <c r="AE694" s="1" t="s">
        <v>8171</v>
      </c>
      <c r="AF694" s="1">
        <v>1995</v>
      </c>
      <c r="AG694" s="1" t="s">
        <v>204</v>
      </c>
      <c r="AH694" s="1" t="s">
        <v>1930</v>
      </c>
      <c r="AI694" s="1" t="s">
        <v>206</v>
      </c>
      <c r="AJ694" s="1" t="s">
        <v>1608</v>
      </c>
      <c r="AL694" s="1">
        <v>5</v>
      </c>
      <c r="AM694" s="1">
        <v>2</v>
      </c>
      <c r="AN694" s="1">
        <v>2</v>
      </c>
      <c r="AO694" s="1">
        <v>1</v>
      </c>
      <c r="AP694" s="1" t="s">
        <v>209</v>
      </c>
      <c r="AQ694" s="1">
        <v>1</v>
      </c>
      <c r="AR694" s="1" t="s">
        <v>209</v>
      </c>
      <c r="AS694" s="1" t="s">
        <v>204</v>
      </c>
      <c r="AT694" s="1" t="s">
        <v>211</v>
      </c>
      <c r="AU694" s="1">
        <v>1</v>
      </c>
      <c r="AW694" s="1" t="s">
        <v>204</v>
      </c>
      <c r="AX694" s="1" t="s">
        <v>212</v>
      </c>
      <c r="AZ694" s="1">
        <v>4731</v>
      </c>
      <c r="BA694" s="1">
        <v>2013</v>
      </c>
      <c r="BB694" s="1" t="s">
        <v>405</v>
      </c>
      <c r="BE694" s="1">
        <v>1585</v>
      </c>
      <c r="BF694" s="1">
        <v>1</v>
      </c>
      <c r="BG694" s="1">
        <v>30</v>
      </c>
      <c r="BL694" s="1">
        <v>244</v>
      </c>
      <c r="BM694" s="1" t="s">
        <v>204</v>
      </c>
      <c r="BN694" s="1" t="s">
        <v>213</v>
      </c>
      <c r="BO694" s="1">
        <v>0</v>
      </c>
      <c r="BP694" s="1" t="s">
        <v>204</v>
      </c>
      <c r="BR694" s="1" t="str">
        <f>"0630207257"</f>
        <v>0630207257</v>
      </c>
      <c r="BT694" s="1" t="s">
        <v>8172</v>
      </c>
      <c r="BX694" s="1">
        <v>44</v>
      </c>
      <c r="BY694" s="1">
        <v>44</v>
      </c>
      <c r="BZ694" s="1">
        <v>87</v>
      </c>
      <c r="CB694" s="1" t="str">
        <f t="shared" ref="CB694:CC694" si="540">""</f>
        <v/>
      </c>
      <c r="CC694" s="1" t="str">
        <f t="shared" si="540"/>
        <v/>
      </c>
      <c r="CG694" s="1" t="s">
        <v>7317</v>
      </c>
      <c r="CH694" s="1" t="s">
        <v>219</v>
      </c>
      <c r="CI694" s="1" t="s">
        <v>220</v>
      </c>
      <c r="CJ694" s="1" t="s">
        <v>463</v>
      </c>
      <c r="CK694" s="1" t="s">
        <v>221</v>
      </c>
      <c r="CL694" s="1" t="s">
        <v>277</v>
      </c>
      <c r="CM694" s="1" t="s">
        <v>220</v>
      </c>
      <c r="CN694" s="1" t="s">
        <v>343</v>
      </c>
      <c r="CP694" s="1" t="s">
        <v>224</v>
      </c>
      <c r="CS694" s="1" t="s">
        <v>539</v>
      </c>
      <c r="CT694" s="1" t="s">
        <v>277</v>
      </c>
      <c r="CU694" s="1" t="s">
        <v>220</v>
      </c>
      <c r="CV694" s="1" t="s">
        <v>343</v>
      </c>
      <c r="CX694" s="1" t="s">
        <v>224</v>
      </c>
      <c r="DB694" s="1" t="s">
        <v>224</v>
      </c>
      <c r="DE694" s="1" t="s">
        <v>461</v>
      </c>
      <c r="DF694" s="1" t="s">
        <v>219</v>
      </c>
      <c r="DG694" s="1" t="s">
        <v>342</v>
      </c>
      <c r="DH694" s="1" t="s">
        <v>210</v>
      </c>
      <c r="DJ694" s="1" t="s">
        <v>224</v>
      </c>
      <c r="DM694" s="1" t="s">
        <v>464</v>
      </c>
      <c r="DR694" s="1" t="s">
        <v>318</v>
      </c>
      <c r="DS694" s="1" t="s">
        <v>277</v>
      </c>
      <c r="DT694" s="1" t="s">
        <v>220</v>
      </c>
      <c r="DW694" s="1" t="s">
        <v>230</v>
      </c>
      <c r="EA694" s="1" t="s">
        <v>230</v>
      </c>
      <c r="EE694" s="1" t="s">
        <v>230</v>
      </c>
      <c r="EI694" s="1" t="s">
        <v>230</v>
      </c>
      <c r="EL694" s="1" t="s">
        <v>670</v>
      </c>
      <c r="EM694" s="1" t="s">
        <v>232</v>
      </c>
      <c r="EN694" s="1" t="s">
        <v>282</v>
      </c>
      <c r="EO694" s="1" t="s">
        <v>234</v>
      </c>
      <c r="EQ694" s="1" t="s">
        <v>4356</v>
      </c>
      <c r="ER694" s="1" t="s">
        <v>1249</v>
      </c>
      <c r="ES694" s="1" t="s">
        <v>493</v>
      </c>
      <c r="EW694" s="1" t="s">
        <v>1804</v>
      </c>
      <c r="EY694" s="1" t="s">
        <v>790</v>
      </c>
      <c r="EZ694" s="1" t="s">
        <v>464</v>
      </c>
      <c r="FC694" s="1" t="s">
        <v>1362</v>
      </c>
      <c r="FD694" s="1" t="s">
        <v>495</v>
      </c>
      <c r="FE694" s="1" t="s">
        <v>975</v>
      </c>
      <c r="FF694" s="1" t="s">
        <v>387</v>
      </c>
      <c r="FG694" s="1" t="s">
        <v>2406</v>
      </c>
      <c r="FH694" s="1" t="s">
        <v>550</v>
      </c>
      <c r="FI694" s="1" t="s">
        <v>473</v>
      </c>
      <c r="FL694" s="1" t="s">
        <v>414</v>
      </c>
      <c r="FM694" s="1" t="s">
        <v>252</v>
      </c>
      <c r="FN694" s="1" t="s">
        <v>213</v>
      </c>
      <c r="FO694" s="1" t="s">
        <v>213</v>
      </c>
      <c r="FQ694" s="1" t="s">
        <v>7855</v>
      </c>
      <c r="FR694" s="1" t="s">
        <v>210</v>
      </c>
      <c r="FS694" s="1" t="s">
        <v>8173</v>
      </c>
      <c r="FT694" s="1" t="s">
        <v>295</v>
      </c>
      <c r="FU694" s="1" t="s">
        <v>204</v>
      </c>
      <c r="FW694" s="1" t="s">
        <v>585</v>
      </c>
      <c r="FX694" s="1">
        <v>60021</v>
      </c>
      <c r="FY694" s="1" t="s">
        <v>2502</v>
      </c>
      <c r="FZ694" s="1" t="s">
        <v>8174</v>
      </c>
      <c r="GA694" s="1">
        <v>602224</v>
      </c>
      <c r="GB694" s="1" t="s">
        <v>8175</v>
      </c>
      <c r="GE694" s="1" t="s">
        <v>776</v>
      </c>
      <c r="GI694" s="1" t="s">
        <v>213</v>
      </c>
      <c r="GJ694" s="1" t="s">
        <v>260</v>
      </c>
      <c r="GK694" s="1" t="s">
        <v>210</v>
      </c>
      <c r="GL694" s="2">
        <v>42061</v>
      </c>
    </row>
    <row r="695" spans="1:195">
      <c r="A695" s="1">
        <v>64900</v>
      </c>
      <c r="B695" s="1" t="s">
        <v>195</v>
      </c>
      <c r="C695" s="1" t="str">
        <f>"08806779"</f>
        <v>08806779</v>
      </c>
      <c r="D695" s="1" t="s">
        <v>196</v>
      </c>
      <c r="F695" s="1" t="str">
        <f>"8039"</f>
        <v>8039</v>
      </c>
      <c r="G695" s="2">
        <v>42002</v>
      </c>
      <c r="H695" s="1">
        <v>77900</v>
      </c>
      <c r="I695" s="1">
        <v>64900</v>
      </c>
      <c r="J695" s="1">
        <v>64900</v>
      </c>
      <c r="K695" s="2">
        <v>42002</v>
      </c>
      <c r="L695" s="1">
        <v>72</v>
      </c>
      <c r="M695" s="2">
        <v>42073</v>
      </c>
      <c r="N695" s="1">
        <v>72</v>
      </c>
      <c r="O695" s="2">
        <v>42073</v>
      </c>
      <c r="P695" s="1">
        <v>25103</v>
      </c>
      <c r="Q695" s="1" t="s">
        <v>197</v>
      </c>
      <c r="R695" s="2">
        <v>42123</v>
      </c>
      <c r="S695" s="1">
        <v>607520</v>
      </c>
      <c r="T695" s="1">
        <v>1298</v>
      </c>
      <c r="U695" s="1">
        <v>5000</v>
      </c>
      <c r="V695" s="1" t="s">
        <v>8176</v>
      </c>
      <c r="W695" s="1" t="s">
        <v>425</v>
      </c>
      <c r="X695" s="1" t="s">
        <v>8177</v>
      </c>
      <c r="Y695" s="1">
        <v>77</v>
      </c>
      <c r="Z695" s="1" t="s">
        <v>200</v>
      </c>
      <c r="AA695" s="1" t="s">
        <v>400</v>
      </c>
      <c r="AB695" s="1">
        <v>60615</v>
      </c>
      <c r="AE695" s="1" t="s">
        <v>8178</v>
      </c>
      <c r="AF695" s="1">
        <v>1935</v>
      </c>
      <c r="AG695" s="1" t="s">
        <v>213</v>
      </c>
      <c r="AH695" s="1" t="s">
        <v>403</v>
      </c>
      <c r="AI695" s="1" t="s">
        <v>310</v>
      </c>
      <c r="AJ695" s="1" t="s">
        <v>683</v>
      </c>
      <c r="AL695" s="1">
        <v>5</v>
      </c>
      <c r="AM695" s="1">
        <v>2</v>
      </c>
      <c r="AN695" s="1">
        <v>2</v>
      </c>
      <c r="AO695" s="1">
        <v>0</v>
      </c>
      <c r="AP695" s="1" t="s">
        <v>210</v>
      </c>
      <c r="AR695" s="1" t="s">
        <v>210</v>
      </c>
      <c r="AS695" s="1" t="s">
        <v>204</v>
      </c>
      <c r="AT695" s="1" t="s">
        <v>210</v>
      </c>
      <c r="AW695" s="1" t="s">
        <v>204</v>
      </c>
      <c r="AX695" s="1" t="s">
        <v>212</v>
      </c>
      <c r="AZ695" s="1">
        <v>1117.24</v>
      </c>
      <c r="BA695" s="1">
        <v>2013</v>
      </c>
      <c r="BE695" s="1">
        <v>0</v>
      </c>
      <c r="BF695" s="1">
        <v>8</v>
      </c>
      <c r="BG695" s="1">
        <v>7</v>
      </c>
      <c r="BL695" s="1">
        <v>772</v>
      </c>
      <c r="BM695" s="1" t="s">
        <v>413</v>
      </c>
      <c r="BN695" s="1" t="s">
        <v>213</v>
      </c>
      <c r="BO695" s="1">
        <v>0</v>
      </c>
      <c r="BP695" s="1" t="s">
        <v>204</v>
      </c>
      <c r="BR695" s="1" t="str">
        <f>"20121010241064"</f>
        <v>20121010241064</v>
      </c>
      <c r="BT695" s="1" t="s">
        <v>8179</v>
      </c>
      <c r="BX695" s="1">
        <v>299</v>
      </c>
      <c r="BY695" s="1">
        <v>299</v>
      </c>
      <c r="BZ695" s="1">
        <v>299</v>
      </c>
      <c r="CB695" s="1" t="str">
        <f t="shared" ref="CB695:CB696" si="541">"0"</f>
        <v>0</v>
      </c>
      <c r="CC695" s="1" t="str">
        <f>"1650"</f>
        <v>1650</v>
      </c>
      <c r="CD695" s="1">
        <v>0</v>
      </c>
      <c r="CE695" s="1">
        <v>5000</v>
      </c>
      <c r="CG695" s="1" t="s">
        <v>3071</v>
      </c>
      <c r="CH695" s="1" t="s">
        <v>219</v>
      </c>
      <c r="CK695" s="1" t="s">
        <v>3656</v>
      </c>
      <c r="CL695" s="1" t="s">
        <v>219</v>
      </c>
      <c r="CO695" s="1" t="s">
        <v>1177</v>
      </c>
      <c r="CP695" s="1" t="s">
        <v>219</v>
      </c>
      <c r="CS695" s="1" t="s">
        <v>3100</v>
      </c>
      <c r="CT695" s="1" t="s">
        <v>219</v>
      </c>
      <c r="CX695" s="1" t="s">
        <v>224</v>
      </c>
      <c r="DB695" s="1" t="s">
        <v>224</v>
      </c>
      <c r="DE695" s="1" t="s">
        <v>408</v>
      </c>
      <c r="DF695" s="1" t="s">
        <v>219</v>
      </c>
      <c r="DJ695" s="1" t="s">
        <v>224</v>
      </c>
      <c r="DS695" s="1" t="s">
        <v>230</v>
      </c>
      <c r="DW695" s="1" t="s">
        <v>230</v>
      </c>
      <c r="EA695" s="1" t="s">
        <v>230</v>
      </c>
      <c r="EE695" s="1" t="s">
        <v>230</v>
      </c>
      <c r="EI695" s="1" t="s">
        <v>230</v>
      </c>
      <c r="EL695" s="1" t="s">
        <v>440</v>
      </c>
      <c r="EM695" s="1" t="s">
        <v>319</v>
      </c>
      <c r="EN695" s="1" t="s">
        <v>210</v>
      </c>
      <c r="EO695" s="1" t="s">
        <v>234</v>
      </c>
      <c r="ER695" s="1" t="s">
        <v>210</v>
      </c>
      <c r="EW695" s="1" t="s">
        <v>8180</v>
      </c>
      <c r="EZ695" s="1" t="s">
        <v>287</v>
      </c>
      <c r="FD695" s="1" t="s">
        <v>246</v>
      </c>
      <c r="FE695" s="1" t="s">
        <v>247</v>
      </c>
      <c r="FF695" s="1" t="s">
        <v>248</v>
      </c>
      <c r="FH695" s="1" t="s">
        <v>249</v>
      </c>
      <c r="FL695" s="1" t="s">
        <v>1907</v>
      </c>
      <c r="FM695" s="1" t="s">
        <v>252</v>
      </c>
      <c r="FN695" s="1" t="s">
        <v>213</v>
      </c>
      <c r="FO695" s="1" t="s">
        <v>213</v>
      </c>
      <c r="FQ695" s="1" t="s">
        <v>689</v>
      </c>
      <c r="FR695" s="1" t="s">
        <v>210</v>
      </c>
      <c r="FS695" s="1" t="s">
        <v>1709</v>
      </c>
      <c r="FT695" s="1" t="s">
        <v>1828</v>
      </c>
      <c r="FU695" s="1" t="s">
        <v>204</v>
      </c>
      <c r="FW695" s="1" t="s">
        <v>6737</v>
      </c>
      <c r="FX695" s="1">
        <v>10646</v>
      </c>
      <c r="FY695" s="1" t="s">
        <v>6738</v>
      </c>
      <c r="FZ695" s="1" t="s">
        <v>8181</v>
      </c>
      <c r="GA695" s="1">
        <v>166674</v>
      </c>
      <c r="GB695" s="1" t="s">
        <v>8182</v>
      </c>
      <c r="GC695" s="1">
        <v>130124</v>
      </c>
      <c r="GE695" s="1" t="s">
        <v>210</v>
      </c>
      <c r="GH695" s="1" t="s">
        <v>421</v>
      </c>
      <c r="GI695" s="1" t="s">
        <v>213</v>
      </c>
      <c r="GJ695" s="1" t="s">
        <v>260</v>
      </c>
      <c r="GK695" s="1" t="s">
        <v>210</v>
      </c>
      <c r="GL695" s="2">
        <v>42124</v>
      </c>
      <c r="GM695" s="1" t="s">
        <v>8183</v>
      </c>
    </row>
    <row r="696" spans="1:195">
      <c r="A696" s="1">
        <v>25500</v>
      </c>
      <c r="B696" s="1" t="s">
        <v>195</v>
      </c>
      <c r="C696" s="1" t="str">
        <f>"08807432"</f>
        <v>08807432</v>
      </c>
      <c r="D696" s="1" t="s">
        <v>196</v>
      </c>
      <c r="F696" s="1" t="str">
        <f>"8042"</f>
        <v>8042</v>
      </c>
      <c r="G696" s="2">
        <v>42003</v>
      </c>
      <c r="H696" s="1">
        <v>31900</v>
      </c>
      <c r="I696" s="1">
        <v>24900</v>
      </c>
      <c r="J696" s="1">
        <v>25500</v>
      </c>
      <c r="K696" s="2">
        <v>42003</v>
      </c>
      <c r="L696" s="1">
        <v>51</v>
      </c>
      <c r="M696" s="2">
        <v>42053</v>
      </c>
      <c r="N696" s="1">
        <v>51</v>
      </c>
      <c r="O696" s="2">
        <v>42053</v>
      </c>
      <c r="P696" s="1">
        <v>84792</v>
      </c>
      <c r="Q696" s="1" t="s">
        <v>302</v>
      </c>
      <c r="R696" s="2">
        <v>42069</v>
      </c>
      <c r="S696" s="1">
        <v>141533</v>
      </c>
      <c r="U696" s="1" t="s">
        <v>8184</v>
      </c>
      <c r="V696" s="1" t="s">
        <v>8185</v>
      </c>
      <c r="W696" s="1" t="s">
        <v>1056</v>
      </c>
      <c r="X696" s="1" t="s">
        <v>2518</v>
      </c>
      <c r="Y696" s="1">
        <v>6</v>
      </c>
      <c r="Z696" s="1" t="s">
        <v>249</v>
      </c>
      <c r="AA696" s="1" t="s">
        <v>400</v>
      </c>
      <c r="AB696" s="1">
        <v>60649</v>
      </c>
      <c r="AE696" s="1" t="s">
        <v>8186</v>
      </c>
      <c r="AF696" s="1">
        <v>1920</v>
      </c>
      <c r="AG696" s="1" t="s">
        <v>213</v>
      </c>
      <c r="AH696" s="1" t="s">
        <v>403</v>
      </c>
      <c r="AI696" s="1" t="s">
        <v>310</v>
      </c>
      <c r="AJ696" s="1" t="s">
        <v>562</v>
      </c>
      <c r="AL696" s="1">
        <v>5</v>
      </c>
      <c r="AM696" s="1">
        <v>2</v>
      </c>
      <c r="AN696" s="1">
        <v>1</v>
      </c>
      <c r="AO696" s="1">
        <v>1</v>
      </c>
      <c r="AP696" s="1" t="s">
        <v>210</v>
      </c>
      <c r="AR696" s="1" t="s">
        <v>210</v>
      </c>
      <c r="AS696" s="1" t="s">
        <v>204</v>
      </c>
      <c r="AT696" s="1" t="s">
        <v>271</v>
      </c>
      <c r="AV696" s="1">
        <v>1</v>
      </c>
      <c r="AW696" s="1" t="s">
        <v>204</v>
      </c>
      <c r="AX696" s="1" t="s">
        <v>212</v>
      </c>
      <c r="AZ696" s="1">
        <v>1552</v>
      </c>
      <c r="BA696" s="1">
        <v>2012</v>
      </c>
      <c r="BE696" s="1">
        <v>1010</v>
      </c>
      <c r="BF696" s="1">
        <v>2</v>
      </c>
      <c r="BG696" s="1">
        <v>0</v>
      </c>
      <c r="BL696" s="1">
        <v>175</v>
      </c>
      <c r="BM696" s="1" t="s">
        <v>204</v>
      </c>
      <c r="BN696" s="1" t="s">
        <v>204</v>
      </c>
      <c r="BP696" s="1" t="s">
        <v>204</v>
      </c>
      <c r="BR696" s="1" t="str">
        <f>"20232200341002"</f>
        <v>20232200341002</v>
      </c>
      <c r="BT696" s="1" t="s">
        <v>8187</v>
      </c>
      <c r="BX696" s="1">
        <v>299</v>
      </c>
      <c r="BY696" s="1">
        <v>299</v>
      </c>
      <c r="BZ696" s="1">
        <v>299</v>
      </c>
      <c r="CB696" s="1" t="str">
        <f t="shared" si="541"/>
        <v>0</v>
      </c>
      <c r="CC696" s="1" t="str">
        <f>"1446"</f>
        <v>1446</v>
      </c>
      <c r="CD696" s="1">
        <v>0</v>
      </c>
      <c r="CE696" s="1">
        <v>6500</v>
      </c>
      <c r="CG696" s="1" t="s">
        <v>3716</v>
      </c>
      <c r="CH696" s="1" t="s">
        <v>219</v>
      </c>
      <c r="CK696" s="1" t="s">
        <v>1107</v>
      </c>
      <c r="CL696" s="1" t="s">
        <v>219</v>
      </c>
      <c r="CO696" s="1" t="s">
        <v>408</v>
      </c>
      <c r="CP696" s="1" t="s">
        <v>219</v>
      </c>
      <c r="CS696" s="1" t="s">
        <v>1107</v>
      </c>
      <c r="CT696" s="1" t="s">
        <v>219</v>
      </c>
      <c r="CX696" s="1" t="s">
        <v>224</v>
      </c>
      <c r="DB696" s="1" t="s">
        <v>224</v>
      </c>
      <c r="DE696" s="1" t="s">
        <v>786</v>
      </c>
      <c r="DF696" s="1" t="s">
        <v>219</v>
      </c>
      <c r="DJ696" s="1" t="s">
        <v>224</v>
      </c>
      <c r="DS696" s="1" t="s">
        <v>230</v>
      </c>
      <c r="DW696" s="1" t="s">
        <v>230</v>
      </c>
      <c r="EA696" s="1" t="s">
        <v>230</v>
      </c>
      <c r="EE696" s="1" t="s">
        <v>230</v>
      </c>
      <c r="EI696" s="1" t="s">
        <v>230</v>
      </c>
      <c r="EL696" s="1" t="s">
        <v>2521</v>
      </c>
      <c r="EM696" s="1" t="s">
        <v>232</v>
      </c>
      <c r="EN696" s="1" t="s">
        <v>210</v>
      </c>
      <c r="EO696" s="1" t="s">
        <v>5573</v>
      </c>
      <c r="ER696" s="1" t="s">
        <v>210</v>
      </c>
      <c r="EW696" s="1" t="s">
        <v>8188</v>
      </c>
      <c r="EZ696" s="1" t="s">
        <v>287</v>
      </c>
      <c r="FD696" s="1" t="s">
        <v>1112</v>
      </c>
      <c r="FE696" s="1" t="s">
        <v>247</v>
      </c>
      <c r="FF696" s="1" t="s">
        <v>248</v>
      </c>
      <c r="FH696" s="1" t="s">
        <v>249</v>
      </c>
      <c r="FJ696" s="1" t="s">
        <v>2046</v>
      </c>
      <c r="FK696" s="1" t="s">
        <v>291</v>
      </c>
      <c r="FL696" s="1" t="s">
        <v>414</v>
      </c>
      <c r="FM696" s="1" t="s">
        <v>252</v>
      </c>
      <c r="FN696" s="1" t="s">
        <v>213</v>
      </c>
      <c r="FO696" s="1" t="s">
        <v>213</v>
      </c>
      <c r="FQ696" s="1" t="s">
        <v>8189</v>
      </c>
      <c r="FR696" s="1" t="s">
        <v>210</v>
      </c>
      <c r="FS696" s="1" t="s">
        <v>8190</v>
      </c>
      <c r="FT696" s="1" t="s">
        <v>8191</v>
      </c>
      <c r="FU696" s="1" t="s">
        <v>204</v>
      </c>
      <c r="FW696" s="1" t="s">
        <v>8192</v>
      </c>
      <c r="FX696" s="1">
        <v>18080</v>
      </c>
      <c r="FY696" s="1" t="s">
        <v>8193</v>
      </c>
      <c r="FZ696" s="1" t="s">
        <v>8194</v>
      </c>
      <c r="GA696" s="1">
        <v>105837</v>
      </c>
      <c r="GB696" s="1" t="s">
        <v>8193</v>
      </c>
      <c r="GE696" s="1" t="s">
        <v>210</v>
      </c>
      <c r="GH696" s="1" t="s">
        <v>800</v>
      </c>
      <c r="GI696" s="1" t="s">
        <v>213</v>
      </c>
      <c r="GJ696" s="1" t="s">
        <v>260</v>
      </c>
      <c r="GK696" s="1" t="s">
        <v>210</v>
      </c>
      <c r="GL696" s="2">
        <v>42072</v>
      </c>
      <c r="GM696" s="1" t="s">
        <v>8195</v>
      </c>
    </row>
    <row r="697" spans="1:195">
      <c r="A697" s="1">
        <v>151000</v>
      </c>
      <c r="B697" s="1" t="s">
        <v>195</v>
      </c>
      <c r="C697" s="1" t="str">
        <f>"08810744"</f>
        <v>08810744</v>
      </c>
      <c r="D697" s="1" t="s">
        <v>196</v>
      </c>
      <c r="F697" s="1" t="str">
        <f>"139"</f>
        <v>139</v>
      </c>
      <c r="G697" s="2">
        <v>42010</v>
      </c>
      <c r="H697" s="1">
        <v>169900</v>
      </c>
      <c r="I697" s="1">
        <v>164900</v>
      </c>
      <c r="J697" s="1">
        <v>151000</v>
      </c>
      <c r="K697" s="2">
        <v>42010</v>
      </c>
      <c r="L697" s="1">
        <v>14</v>
      </c>
      <c r="M697" s="2">
        <v>42023</v>
      </c>
      <c r="N697" s="1">
        <v>14</v>
      </c>
      <c r="O697" s="2">
        <v>42023</v>
      </c>
      <c r="P697" s="1">
        <v>23076</v>
      </c>
      <c r="Q697" s="1" t="s">
        <v>197</v>
      </c>
      <c r="R697" s="2">
        <v>42073</v>
      </c>
      <c r="S697" s="1">
        <v>233450</v>
      </c>
      <c r="U697" s="1">
        <v>89</v>
      </c>
      <c r="V697" s="1" t="s">
        <v>8196</v>
      </c>
      <c r="W697" s="1" t="s">
        <v>264</v>
      </c>
      <c r="Y697" s="1">
        <v>2</v>
      </c>
      <c r="Z697" s="1" t="s">
        <v>200</v>
      </c>
      <c r="AA697" s="1" t="s">
        <v>1732</v>
      </c>
      <c r="AB697" s="1">
        <v>60139</v>
      </c>
      <c r="AE697" s="1" t="s">
        <v>8197</v>
      </c>
      <c r="AF697" s="1">
        <v>1976</v>
      </c>
      <c r="AG697" s="1" t="s">
        <v>213</v>
      </c>
      <c r="AH697" s="1" t="s">
        <v>1735</v>
      </c>
      <c r="AI697" s="1" t="s">
        <v>206</v>
      </c>
      <c r="AJ697" s="1" t="s">
        <v>269</v>
      </c>
      <c r="AL697" s="1">
        <v>6</v>
      </c>
      <c r="AM697" s="1">
        <v>2</v>
      </c>
      <c r="AN697" s="1">
        <v>2</v>
      </c>
      <c r="AO697" s="1">
        <v>0</v>
      </c>
      <c r="AP697" s="1" t="s">
        <v>210</v>
      </c>
      <c r="AR697" s="1" t="s">
        <v>209</v>
      </c>
      <c r="AS697" s="1" t="s">
        <v>213</v>
      </c>
      <c r="AT697" s="1" t="s">
        <v>211</v>
      </c>
      <c r="AU697" s="1">
        <v>1</v>
      </c>
      <c r="AW697" s="1" t="s">
        <v>204</v>
      </c>
      <c r="AX697" s="1" t="s">
        <v>1813</v>
      </c>
      <c r="AZ697" s="1">
        <v>3827</v>
      </c>
      <c r="BA697" s="1">
        <v>2013</v>
      </c>
      <c r="BE697" s="1">
        <v>1765</v>
      </c>
      <c r="BF697" s="1">
        <v>1</v>
      </c>
      <c r="BG697" s="1">
        <v>0</v>
      </c>
      <c r="BL697" s="1">
        <v>0</v>
      </c>
      <c r="BM697" s="1" t="s">
        <v>204</v>
      </c>
      <c r="BN697" s="1" t="s">
        <v>213</v>
      </c>
      <c r="BO697" s="1">
        <v>999</v>
      </c>
      <c r="BP697" s="1" t="s">
        <v>204</v>
      </c>
      <c r="BR697" s="1" t="str">
        <f>"0228412093"</f>
        <v>0228412093</v>
      </c>
      <c r="BT697" s="1" t="s">
        <v>8198</v>
      </c>
      <c r="BX697" s="1">
        <v>16</v>
      </c>
      <c r="BY697" s="1">
        <v>16</v>
      </c>
      <c r="BZ697" s="1">
        <v>87</v>
      </c>
      <c r="CB697" s="1" t="str">
        <f t="shared" ref="CB697:CC697" si="542">""</f>
        <v/>
      </c>
      <c r="CC697" s="1" t="str">
        <f t="shared" si="542"/>
        <v/>
      </c>
      <c r="CG697" s="1" t="s">
        <v>228</v>
      </c>
      <c r="CH697" s="1" t="s">
        <v>219</v>
      </c>
      <c r="CI697" s="1" t="s">
        <v>438</v>
      </c>
      <c r="CK697" s="1" t="s">
        <v>437</v>
      </c>
      <c r="CL697" s="1" t="s">
        <v>219</v>
      </c>
      <c r="CM697" s="1" t="s">
        <v>220</v>
      </c>
      <c r="CP697" s="1" t="s">
        <v>224</v>
      </c>
      <c r="CS697" s="1" t="s">
        <v>539</v>
      </c>
      <c r="CT697" s="1" t="s">
        <v>219</v>
      </c>
      <c r="CU697" s="1" t="s">
        <v>220</v>
      </c>
      <c r="CW697" s="1" t="s">
        <v>378</v>
      </c>
      <c r="CX697" s="1" t="s">
        <v>43</v>
      </c>
      <c r="CY697" s="1" t="s">
        <v>220</v>
      </c>
      <c r="DB697" s="1" t="s">
        <v>224</v>
      </c>
      <c r="DE697" s="1" t="s">
        <v>757</v>
      </c>
      <c r="DF697" s="1" t="s">
        <v>219</v>
      </c>
      <c r="DG697" s="1" t="s">
        <v>226</v>
      </c>
      <c r="DI697" s="1" t="s">
        <v>6499</v>
      </c>
      <c r="DJ697" s="1" t="s">
        <v>43</v>
      </c>
      <c r="DK697" s="1" t="s">
        <v>220</v>
      </c>
      <c r="DM697" s="1" t="s">
        <v>1614</v>
      </c>
      <c r="DR697" s="1" t="s">
        <v>346</v>
      </c>
      <c r="DS697" s="1" t="s">
        <v>43</v>
      </c>
      <c r="DT697" s="1" t="s">
        <v>220</v>
      </c>
      <c r="DW697" s="1" t="s">
        <v>230</v>
      </c>
      <c r="EA697" s="1" t="s">
        <v>230</v>
      </c>
      <c r="EE697" s="1" t="s">
        <v>230</v>
      </c>
      <c r="EI697" s="1" t="s">
        <v>230</v>
      </c>
      <c r="EL697" s="1" t="s">
        <v>231</v>
      </c>
      <c r="EM697" s="1" t="s">
        <v>319</v>
      </c>
      <c r="EN697" s="1" t="s">
        <v>282</v>
      </c>
      <c r="EO697" s="1" t="s">
        <v>234</v>
      </c>
      <c r="ER697" s="1" t="s">
        <v>544</v>
      </c>
      <c r="EW697" s="1" t="s">
        <v>210</v>
      </c>
      <c r="EZ697" s="1" t="s">
        <v>1614</v>
      </c>
      <c r="FD697" s="1" t="s">
        <v>246</v>
      </c>
      <c r="FE697" s="1" t="s">
        <v>472</v>
      </c>
      <c r="FF697" s="1" t="s">
        <v>248</v>
      </c>
      <c r="FH697" s="1" t="s">
        <v>442</v>
      </c>
      <c r="FL697" s="1" t="s">
        <v>414</v>
      </c>
      <c r="FM697" s="1" t="s">
        <v>252</v>
      </c>
      <c r="FN697" s="1" t="s">
        <v>213</v>
      </c>
      <c r="FO697" s="1" t="s">
        <v>213</v>
      </c>
      <c r="FQ697" s="1" t="s">
        <v>2091</v>
      </c>
      <c r="FR697" s="1" t="s">
        <v>210</v>
      </c>
      <c r="FS697" s="1" t="s">
        <v>8199</v>
      </c>
      <c r="FT697" s="1" t="s">
        <v>295</v>
      </c>
      <c r="FU697" s="1" t="s">
        <v>213</v>
      </c>
      <c r="FW697" s="1" t="s">
        <v>8200</v>
      </c>
      <c r="FX697" s="1">
        <v>24223</v>
      </c>
      <c r="FY697" s="1" t="s">
        <v>8201</v>
      </c>
      <c r="FZ697" s="1" t="s">
        <v>8202</v>
      </c>
      <c r="GA697" s="1">
        <v>219862</v>
      </c>
      <c r="GE697" s="1" t="s">
        <v>210</v>
      </c>
      <c r="GH697" s="1" t="s">
        <v>589</v>
      </c>
      <c r="GI697" s="1" t="s">
        <v>213</v>
      </c>
      <c r="GJ697" s="1" t="s">
        <v>260</v>
      </c>
      <c r="GK697" s="1" t="s">
        <v>210</v>
      </c>
      <c r="GL697" s="2">
        <v>42074</v>
      </c>
      <c r="GM697" s="1" t="s">
        <v>8203</v>
      </c>
    </row>
    <row r="698" spans="1:195">
      <c r="A698" s="1">
        <v>270000</v>
      </c>
      <c r="B698" s="1" t="s">
        <v>195</v>
      </c>
      <c r="C698" s="1" t="str">
        <f>"08806097"</f>
        <v>08806097</v>
      </c>
      <c r="D698" s="1" t="s">
        <v>196</v>
      </c>
      <c r="F698" s="1" t="str">
        <f>"137"</f>
        <v>137</v>
      </c>
      <c r="G698" s="2">
        <v>41999</v>
      </c>
      <c r="H698" s="1">
        <v>294000</v>
      </c>
      <c r="I698" s="1">
        <v>294000</v>
      </c>
      <c r="J698" s="1">
        <v>270000</v>
      </c>
      <c r="K698" s="2">
        <v>41999</v>
      </c>
      <c r="L698" s="1">
        <v>172</v>
      </c>
      <c r="M698" s="2">
        <v>42012</v>
      </c>
      <c r="N698" s="1">
        <v>14</v>
      </c>
      <c r="O698" s="2">
        <v>42012</v>
      </c>
      <c r="P698" s="1">
        <v>25083</v>
      </c>
      <c r="Q698" s="1" t="s">
        <v>197</v>
      </c>
      <c r="R698" s="2">
        <v>42114</v>
      </c>
      <c r="S698" s="1">
        <v>259146</v>
      </c>
      <c r="U698" s="1">
        <v>136</v>
      </c>
      <c r="V698" s="1" t="s">
        <v>3768</v>
      </c>
      <c r="W698" s="1" t="s">
        <v>304</v>
      </c>
      <c r="X698" s="1">
        <v>136</v>
      </c>
      <c r="Y698" s="1">
        <v>4</v>
      </c>
      <c r="Z698" s="1" t="s">
        <v>370</v>
      </c>
      <c r="AA698" s="1" t="s">
        <v>201</v>
      </c>
      <c r="AB698" s="1">
        <v>60137</v>
      </c>
      <c r="AD698" s="1" t="s">
        <v>8204</v>
      </c>
      <c r="AE698" s="1" t="s">
        <v>8205</v>
      </c>
      <c r="AF698" s="1">
        <v>1999</v>
      </c>
      <c r="AG698" s="1" t="s">
        <v>204</v>
      </c>
      <c r="AH698" s="1" t="s">
        <v>205</v>
      </c>
      <c r="AI698" s="1" t="s">
        <v>206</v>
      </c>
      <c r="AJ698" s="1" t="s">
        <v>207</v>
      </c>
      <c r="AL698" s="1">
        <v>6</v>
      </c>
      <c r="AM698" s="1">
        <v>2</v>
      </c>
      <c r="AN698" s="1">
        <v>3</v>
      </c>
      <c r="AO698" s="1">
        <v>1</v>
      </c>
      <c r="AP698" s="1" t="s">
        <v>209</v>
      </c>
      <c r="AQ698" s="1">
        <v>1</v>
      </c>
      <c r="AR698" s="1" t="s">
        <v>4448</v>
      </c>
      <c r="AS698" s="1" t="s">
        <v>213</v>
      </c>
      <c r="AT698" s="1" t="s">
        <v>211</v>
      </c>
      <c r="AU698" s="1">
        <v>2</v>
      </c>
      <c r="AW698" s="1" t="s">
        <v>204</v>
      </c>
      <c r="AX698" s="1" t="s">
        <v>3542</v>
      </c>
      <c r="AZ698" s="1">
        <v>6422.02</v>
      </c>
      <c r="BA698" s="1">
        <v>2013</v>
      </c>
      <c r="BB698" s="1" t="s">
        <v>405</v>
      </c>
      <c r="BE698" s="1">
        <v>1461</v>
      </c>
      <c r="BF698" s="1">
        <v>1</v>
      </c>
      <c r="BG698" s="1">
        <v>0</v>
      </c>
      <c r="BL698" s="1">
        <v>218</v>
      </c>
      <c r="BM698" s="1" t="s">
        <v>204</v>
      </c>
      <c r="BN698" s="1" t="s">
        <v>213</v>
      </c>
      <c r="BO698" s="1">
        <v>0</v>
      </c>
      <c r="BP698" s="1" t="s">
        <v>204</v>
      </c>
      <c r="BR698" s="1" t="str">
        <f>"0513333149"</f>
        <v>0513333149</v>
      </c>
      <c r="BT698" s="1" t="s">
        <v>8206</v>
      </c>
      <c r="BU698" s="1" t="s">
        <v>8207</v>
      </c>
      <c r="BV698" s="1" t="s">
        <v>216</v>
      </c>
      <c r="BW698" s="1" t="s">
        <v>217</v>
      </c>
      <c r="BX698" s="1">
        <v>89</v>
      </c>
      <c r="BY698" s="1">
        <v>89</v>
      </c>
      <c r="BZ698" s="1">
        <v>87</v>
      </c>
      <c r="CB698" s="1" t="str">
        <f t="shared" ref="CB698:CC698" si="543">""</f>
        <v/>
      </c>
      <c r="CC698" s="1" t="str">
        <f t="shared" si="543"/>
        <v/>
      </c>
      <c r="CD698" s="1">
        <v>21</v>
      </c>
      <c r="CG698" s="1" t="s">
        <v>315</v>
      </c>
      <c r="CH698" s="1" t="s">
        <v>219</v>
      </c>
      <c r="CI698" s="1" t="s">
        <v>438</v>
      </c>
      <c r="CJ698" s="1" t="s">
        <v>463</v>
      </c>
      <c r="CK698" s="1" t="s">
        <v>729</v>
      </c>
      <c r="CL698" s="1" t="s">
        <v>277</v>
      </c>
      <c r="CM698" s="1" t="s">
        <v>220</v>
      </c>
      <c r="CN698" s="1" t="s">
        <v>909</v>
      </c>
      <c r="CO698" s="1" t="s">
        <v>379</v>
      </c>
      <c r="CP698" s="1" t="s">
        <v>219</v>
      </c>
      <c r="CQ698" s="1" t="s">
        <v>438</v>
      </c>
      <c r="CR698" s="1" t="s">
        <v>463</v>
      </c>
      <c r="CS698" s="1" t="s">
        <v>932</v>
      </c>
      <c r="CT698" s="1" t="s">
        <v>277</v>
      </c>
      <c r="CU698" s="1" t="s">
        <v>220</v>
      </c>
      <c r="CV698" s="1" t="s">
        <v>909</v>
      </c>
      <c r="CX698" s="1" t="s">
        <v>224</v>
      </c>
      <c r="DB698" s="1" t="s">
        <v>224</v>
      </c>
      <c r="DE698" s="1" t="s">
        <v>1403</v>
      </c>
      <c r="DF698" s="1" t="s">
        <v>219</v>
      </c>
      <c r="DG698" s="1" t="s">
        <v>438</v>
      </c>
      <c r="DH698" s="1" t="s">
        <v>210</v>
      </c>
      <c r="DJ698" s="1" t="s">
        <v>224</v>
      </c>
      <c r="DM698" s="1" t="s">
        <v>464</v>
      </c>
      <c r="DR698" s="1" t="s">
        <v>344</v>
      </c>
      <c r="DS698" s="1" t="s">
        <v>277</v>
      </c>
      <c r="DT698" s="1" t="s">
        <v>220</v>
      </c>
      <c r="DU698" s="1" t="s">
        <v>210</v>
      </c>
      <c r="DW698" s="1" t="s">
        <v>230</v>
      </c>
      <c r="EA698" s="1" t="s">
        <v>230</v>
      </c>
      <c r="EE698" s="1" t="s">
        <v>230</v>
      </c>
      <c r="EI698" s="1" t="s">
        <v>230</v>
      </c>
      <c r="EL698" s="1" t="s">
        <v>466</v>
      </c>
      <c r="EM698" s="1" t="s">
        <v>232</v>
      </c>
      <c r="EN698" s="1" t="s">
        <v>282</v>
      </c>
      <c r="EO698" s="1" t="s">
        <v>234</v>
      </c>
      <c r="EP698" s="1" t="s">
        <v>650</v>
      </c>
      <c r="EQ698" s="1" t="s">
        <v>8208</v>
      </c>
      <c r="ER698" s="1" t="s">
        <v>544</v>
      </c>
      <c r="ES698" s="1" t="s">
        <v>608</v>
      </c>
      <c r="ET698" s="1" t="s">
        <v>323</v>
      </c>
      <c r="EU698" s="1" t="s">
        <v>5043</v>
      </c>
      <c r="EV698" s="1" t="s">
        <v>324</v>
      </c>
      <c r="EW698" s="1" t="s">
        <v>353</v>
      </c>
      <c r="EY698" s="1" t="s">
        <v>242</v>
      </c>
      <c r="EZ698" s="1" t="s">
        <v>464</v>
      </c>
      <c r="FA698" s="1" t="s">
        <v>938</v>
      </c>
      <c r="FD698" s="1" t="s">
        <v>246</v>
      </c>
      <c r="FE698" s="1" t="s">
        <v>386</v>
      </c>
      <c r="FF698" s="1" t="s">
        <v>248</v>
      </c>
      <c r="FG698" s="1" t="s">
        <v>871</v>
      </c>
      <c r="FH698" s="1" t="s">
        <v>550</v>
      </c>
      <c r="FI698" s="1" t="s">
        <v>357</v>
      </c>
      <c r="FL698" s="1" t="s">
        <v>358</v>
      </c>
      <c r="FM698" s="1" t="s">
        <v>252</v>
      </c>
      <c r="FN698" s="1" t="s">
        <v>213</v>
      </c>
      <c r="FO698" s="1" t="s">
        <v>213</v>
      </c>
      <c r="FQ698" s="1" t="s">
        <v>8209</v>
      </c>
      <c r="FR698" s="1" t="s">
        <v>210</v>
      </c>
      <c r="FS698" s="1" t="s">
        <v>8210</v>
      </c>
      <c r="FT698" s="1" t="s">
        <v>8211</v>
      </c>
      <c r="FU698" s="1" t="s">
        <v>204</v>
      </c>
      <c r="FW698" s="1" t="s">
        <v>3495</v>
      </c>
      <c r="FX698" s="1">
        <v>22145</v>
      </c>
      <c r="FY698" s="1" t="s">
        <v>3496</v>
      </c>
      <c r="FZ698" s="1" t="s">
        <v>8212</v>
      </c>
      <c r="GA698" s="1">
        <v>224358</v>
      </c>
      <c r="GB698" s="1" t="s">
        <v>8213</v>
      </c>
      <c r="GE698" s="1" t="s">
        <v>210</v>
      </c>
      <c r="GI698" s="1" t="s">
        <v>213</v>
      </c>
      <c r="GJ698" s="1" t="s">
        <v>260</v>
      </c>
      <c r="GK698" s="1" t="s">
        <v>210</v>
      </c>
      <c r="GL698" s="2">
        <v>42115</v>
      </c>
    </row>
    <row r="699" spans="1:195">
      <c r="A699" s="1">
        <v>59900</v>
      </c>
      <c r="B699" s="1" t="s">
        <v>195</v>
      </c>
      <c r="C699" s="1" t="str">
        <f>"08807016"</f>
        <v>08807016</v>
      </c>
      <c r="D699" s="1" t="s">
        <v>196</v>
      </c>
      <c r="F699" s="1" t="str">
        <f>"103"</f>
        <v>103</v>
      </c>
      <c r="G699" s="2">
        <v>42002</v>
      </c>
      <c r="H699" s="1">
        <v>59900</v>
      </c>
      <c r="I699" s="1">
        <v>59900</v>
      </c>
      <c r="J699" s="1">
        <v>59900</v>
      </c>
      <c r="K699" s="2">
        <v>42002</v>
      </c>
      <c r="L699" s="1">
        <v>17</v>
      </c>
      <c r="M699" s="2">
        <v>42018</v>
      </c>
      <c r="N699" s="1">
        <v>17</v>
      </c>
      <c r="O699" s="2">
        <v>42018</v>
      </c>
      <c r="P699" s="1">
        <v>24229</v>
      </c>
      <c r="Q699" s="1" t="s">
        <v>302</v>
      </c>
      <c r="R699" s="2">
        <v>42044</v>
      </c>
      <c r="S699" s="1">
        <v>245442</v>
      </c>
      <c r="U699" s="1">
        <v>7546</v>
      </c>
      <c r="V699" s="1" t="s">
        <v>8214</v>
      </c>
      <c r="W699" s="1" t="s">
        <v>504</v>
      </c>
      <c r="X699" s="1">
        <v>1</v>
      </c>
      <c r="Y699" s="1">
        <v>3</v>
      </c>
      <c r="Z699" s="1" t="s">
        <v>370</v>
      </c>
      <c r="AA699" s="1" t="s">
        <v>337</v>
      </c>
      <c r="AB699" s="1">
        <v>60133</v>
      </c>
      <c r="AE699" s="1" t="s">
        <v>8215</v>
      </c>
      <c r="AF699" s="1">
        <v>1976</v>
      </c>
      <c r="AG699" s="1" t="s">
        <v>213</v>
      </c>
      <c r="AH699" s="1" t="s">
        <v>339</v>
      </c>
      <c r="AI699" s="1" t="s">
        <v>310</v>
      </c>
      <c r="AJ699" s="1" t="s">
        <v>1717</v>
      </c>
      <c r="AL699" s="1">
        <v>5</v>
      </c>
      <c r="AM699" s="1">
        <v>2</v>
      </c>
      <c r="AN699" s="1">
        <v>1</v>
      </c>
      <c r="AO699" s="1">
        <v>0</v>
      </c>
      <c r="AP699" s="1" t="s">
        <v>667</v>
      </c>
      <c r="AR699" s="1" t="s">
        <v>210</v>
      </c>
      <c r="AS699" s="1" t="s">
        <v>204</v>
      </c>
      <c r="AT699" s="1" t="s">
        <v>211</v>
      </c>
      <c r="AU699" s="1">
        <v>1</v>
      </c>
      <c r="AW699" s="1" t="s">
        <v>204</v>
      </c>
      <c r="AX699" s="1" t="s">
        <v>212</v>
      </c>
      <c r="AZ699" s="1">
        <v>2132.54</v>
      </c>
      <c r="BA699" s="1">
        <v>2012</v>
      </c>
      <c r="BE699" s="1">
        <v>1000</v>
      </c>
      <c r="BF699" s="1">
        <v>1</v>
      </c>
      <c r="BG699" s="1">
        <v>0</v>
      </c>
      <c r="BL699" s="1">
        <v>213</v>
      </c>
      <c r="BM699" s="1" t="s">
        <v>204</v>
      </c>
      <c r="BN699" s="1" t="s">
        <v>213</v>
      </c>
      <c r="BO699" s="1">
        <v>50</v>
      </c>
      <c r="BP699" s="1" t="s">
        <v>204</v>
      </c>
      <c r="BR699" s="1" t="str">
        <f>"07303000231022"</f>
        <v>07303000231022</v>
      </c>
      <c r="BT699" s="1" t="s">
        <v>8216</v>
      </c>
      <c r="BX699" s="1">
        <v>54</v>
      </c>
      <c r="BY699" s="1">
        <v>54</v>
      </c>
      <c r="BZ699" s="1">
        <v>211</v>
      </c>
      <c r="CB699" s="1" t="str">
        <f t="shared" ref="CB699:CC699" si="544">""</f>
        <v/>
      </c>
      <c r="CC699" s="1" t="str">
        <f t="shared" si="544"/>
        <v/>
      </c>
      <c r="CG699" s="1" t="s">
        <v>1995</v>
      </c>
      <c r="CH699" s="1" t="s">
        <v>219</v>
      </c>
      <c r="CK699" s="1" t="s">
        <v>315</v>
      </c>
      <c r="CL699" s="1" t="s">
        <v>219</v>
      </c>
      <c r="CO699" s="1" t="s">
        <v>345</v>
      </c>
      <c r="CP699" s="1" t="s">
        <v>219</v>
      </c>
      <c r="CS699" s="1" t="s">
        <v>837</v>
      </c>
      <c r="CT699" s="1" t="s">
        <v>219</v>
      </c>
      <c r="CX699" s="1" t="s">
        <v>224</v>
      </c>
      <c r="DB699" s="1" t="s">
        <v>224</v>
      </c>
      <c r="DE699" s="1" t="s">
        <v>407</v>
      </c>
      <c r="DF699" s="1" t="s">
        <v>219</v>
      </c>
      <c r="DJ699" s="1" t="s">
        <v>224</v>
      </c>
      <c r="DS699" s="1" t="s">
        <v>230</v>
      </c>
      <c r="DW699" s="1" t="s">
        <v>230</v>
      </c>
      <c r="EA699" s="1" t="s">
        <v>230</v>
      </c>
      <c r="EE699" s="1" t="s">
        <v>230</v>
      </c>
      <c r="EI699" s="1" t="s">
        <v>230</v>
      </c>
      <c r="EL699" s="1" t="s">
        <v>231</v>
      </c>
      <c r="EM699" s="1" t="s">
        <v>319</v>
      </c>
      <c r="EN699" s="1" t="s">
        <v>282</v>
      </c>
      <c r="EO699" s="1" t="s">
        <v>234</v>
      </c>
      <c r="ER699" s="1" t="s">
        <v>210</v>
      </c>
      <c r="EW699" s="1" t="s">
        <v>867</v>
      </c>
      <c r="EZ699" s="1" t="s">
        <v>287</v>
      </c>
      <c r="FD699" s="1" t="s">
        <v>246</v>
      </c>
      <c r="FE699" s="1" t="s">
        <v>1031</v>
      </c>
      <c r="FF699" s="1" t="s">
        <v>248</v>
      </c>
      <c r="FH699" s="1" t="s">
        <v>249</v>
      </c>
      <c r="FL699" s="1" t="s">
        <v>358</v>
      </c>
      <c r="FM699" s="1" t="s">
        <v>252</v>
      </c>
      <c r="FN699" s="1" t="s">
        <v>213</v>
      </c>
      <c r="FO699" s="1" t="s">
        <v>213</v>
      </c>
      <c r="FQ699" s="1" t="s">
        <v>1300</v>
      </c>
      <c r="FR699" s="1" t="s">
        <v>210</v>
      </c>
      <c r="FS699" s="1" t="s">
        <v>1827</v>
      </c>
      <c r="FT699" s="1" t="s">
        <v>1828</v>
      </c>
      <c r="FU699" s="1" t="s">
        <v>204</v>
      </c>
      <c r="FW699" s="1" t="s">
        <v>1097</v>
      </c>
      <c r="FX699" s="1">
        <v>8094</v>
      </c>
      <c r="FY699" s="1" t="s">
        <v>1829</v>
      </c>
      <c r="FZ699" s="1" t="s">
        <v>1830</v>
      </c>
      <c r="GA699" s="1">
        <v>28736</v>
      </c>
      <c r="GB699" s="1" t="s">
        <v>1831</v>
      </c>
      <c r="GE699" s="1" t="s">
        <v>210</v>
      </c>
      <c r="GI699" s="1" t="s">
        <v>204</v>
      </c>
      <c r="GJ699" s="1" t="s">
        <v>260</v>
      </c>
      <c r="GK699" s="1" t="s">
        <v>210</v>
      </c>
      <c r="GL699" s="2">
        <v>42045</v>
      </c>
      <c r="GM699" s="1" t="s">
        <v>8217</v>
      </c>
    </row>
    <row r="700" spans="1:195">
      <c r="A700" s="1">
        <v>150000</v>
      </c>
      <c r="B700" s="1" t="s">
        <v>195</v>
      </c>
      <c r="C700" s="1" t="str">
        <f>"08805044"</f>
        <v>08805044</v>
      </c>
      <c r="D700" s="1" t="s">
        <v>196</v>
      </c>
      <c r="F700" s="1" t="str">
        <f>"177"</f>
        <v>177</v>
      </c>
      <c r="G700" s="2">
        <v>41995</v>
      </c>
      <c r="H700" s="1">
        <v>154000</v>
      </c>
      <c r="I700" s="1">
        <v>154000</v>
      </c>
      <c r="J700" s="1">
        <v>150000</v>
      </c>
      <c r="K700" s="2">
        <v>41994</v>
      </c>
      <c r="L700" s="1">
        <v>39</v>
      </c>
      <c r="M700" s="2">
        <v>42032</v>
      </c>
      <c r="N700" s="1">
        <v>39</v>
      </c>
      <c r="O700" s="2">
        <v>42032</v>
      </c>
      <c r="P700" s="1">
        <v>5153</v>
      </c>
      <c r="Q700" s="1" t="s">
        <v>197</v>
      </c>
      <c r="R700" s="2">
        <v>42059</v>
      </c>
      <c r="S700" s="1">
        <v>51610</v>
      </c>
      <c r="U700" s="1">
        <v>257</v>
      </c>
      <c r="V700" s="1" t="s">
        <v>8218</v>
      </c>
      <c r="W700" s="1" t="s">
        <v>264</v>
      </c>
      <c r="X700" s="1" t="s">
        <v>527</v>
      </c>
      <c r="Y700" s="1">
        <v>4</v>
      </c>
      <c r="Z700" s="1" t="s">
        <v>370</v>
      </c>
      <c r="AA700" s="1" t="s">
        <v>1461</v>
      </c>
      <c r="AB700" s="1">
        <v>60177</v>
      </c>
      <c r="AD700" s="1" t="s">
        <v>3259</v>
      </c>
      <c r="AE700" s="1" t="s">
        <v>8219</v>
      </c>
      <c r="AF700" s="1">
        <v>2001</v>
      </c>
      <c r="AG700" s="1" t="s">
        <v>204</v>
      </c>
      <c r="AH700" s="1" t="s">
        <v>1464</v>
      </c>
      <c r="AI700" s="1" t="s">
        <v>665</v>
      </c>
      <c r="AJ700" s="1" t="s">
        <v>883</v>
      </c>
      <c r="AL700" s="1">
        <v>5</v>
      </c>
      <c r="AM700" s="1">
        <v>2</v>
      </c>
      <c r="AN700" s="1">
        <v>2</v>
      </c>
      <c r="AO700" s="1">
        <v>0</v>
      </c>
      <c r="AP700" s="1" t="s">
        <v>209</v>
      </c>
      <c r="AQ700" s="1">
        <v>0</v>
      </c>
      <c r="AR700" s="1" t="s">
        <v>210</v>
      </c>
      <c r="AS700" s="1" t="s">
        <v>204</v>
      </c>
      <c r="AT700" s="1" t="s">
        <v>211</v>
      </c>
      <c r="AU700" s="1">
        <v>2</v>
      </c>
      <c r="AW700" s="1" t="s">
        <v>204</v>
      </c>
      <c r="AX700" s="1" t="s">
        <v>212</v>
      </c>
      <c r="AZ700" s="1">
        <v>3019.64</v>
      </c>
      <c r="BA700" s="1">
        <v>2013</v>
      </c>
      <c r="BB700" s="1" t="s">
        <v>2694</v>
      </c>
      <c r="BE700" s="1">
        <v>1235</v>
      </c>
      <c r="BF700" s="1">
        <v>1</v>
      </c>
      <c r="BG700" s="1">
        <v>0</v>
      </c>
      <c r="BL700" s="1">
        <v>145</v>
      </c>
      <c r="BM700" s="1" t="s">
        <v>204</v>
      </c>
      <c r="BN700" s="1" t="s">
        <v>213</v>
      </c>
      <c r="BO700" s="1" t="s">
        <v>8220</v>
      </c>
      <c r="BP700" s="1" t="s">
        <v>204</v>
      </c>
      <c r="BR700" s="1" t="str">
        <f>"0632402077"</f>
        <v>0632402077</v>
      </c>
      <c r="BT700" s="1" t="s">
        <v>8221</v>
      </c>
      <c r="BU700" s="1" t="s">
        <v>8222</v>
      </c>
      <c r="BV700" s="1" t="s">
        <v>2118</v>
      </c>
      <c r="BW700" s="1" t="s">
        <v>4719</v>
      </c>
      <c r="BX700" s="1">
        <v>303</v>
      </c>
      <c r="BY700" s="1">
        <v>303</v>
      </c>
      <c r="BZ700" s="1">
        <v>303</v>
      </c>
      <c r="CB700" s="1" t="str">
        <f t="shared" ref="CB700:CC700" si="545">""</f>
        <v/>
      </c>
      <c r="CC700" s="1" t="str">
        <f t="shared" si="545"/>
        <v/>
      </c>
      <c r="CG700" s="1" t="s">
        <v>669</v>
      </c>
      <c r="CH700" s="1" t="s">
        <v>219</v>
      </c>
      <c r="CI700" s="1" t="s">
        <v>438</v>
      </c>
      <c r="CJ700" s="1" t="s">
        <v>252</v>
      </c>
      <c r="CK700" s="1" t="s">
        <v>932</v>
      </c>
      <c r="CL700" s="1" t="s">
        <v>219</v>
      </c>
      <c r="CM700" s="1" t="s">
        <v>438</v>
      </c>
      <c r="CN700" s="1" t="s">
        <v>252</v>
      </c>
      <c r="CO700" s="1" t="s">
        <v>786</v>
      </c>
      <c r="CP700" s="1" t="s">
        <v>219</v>
      </c>
      <c r="CQ700" s="1" t="s">
        <v>438</v>
      </c>
      <c r="CR700" s="1" t="s">
        <v>252</v>
      </c>
      <c r="CS700" s="1" t="s">
        <v>346</v>
      </c>
      <c r="CT700" s="1" t="s">
        <v>219</v>
      </c>
      <c r="CU700" s="1" t="s">
        <v>438</v>
      </c>
      <c r="CV700" s="1" t="s">
        <v>252</v>
      </c>
      <c r="CX700" s="1" t="s">
        <v>224</v>
      </c>
      <c r="DB700" s="1" t="s">
        <v>224</v>
      </c>
      <c r="DE700" s="1" t="s">
        <v>221</v>
      </c>
      <c r="DF700" s="1" t="s">
        <v>219</v>
      </c>
      <c r="DG700" s="1" t="s">
        <v>438</v>
      </c>
      <c r="DH700" s="1" t="s">
        <v>210</v>
      </c>
      <c r="DJ700" s="1" t="s">
        <v>224</v>
      </c>
      <c r="DS700" s="1" t="s">
        <v>230</v>
      </c>
      <c r="DW700" s="1" t="s">
        <v>230</v>
      </c>
      <c r="EA700" s="1" t="s">
        <v>230</v>
      </c>
      <c r="EE700" s="1" t="s">
        <v>230</v>
      </c>
      <c r="EI700" s="1" t="s">
        <v>230</v>
      </c>
      <c r="EL700" s="1" t="s">
        <v>466</v>
      </c>
      <c r="EM700" s="1" t="s">
        <v>319</v>
      </c>
      <c r="EN700" s="1" t="s">
        <v>282</v>
      </c>
      <c r="EO700" s="1" t="s">
        <v>234</v>
      </c>
      <c r="EP700" s="1" t="s">
        <v>8223</v>
      </c>
      <c r="EQ700" s="1" t="s">
        <v>236</v>
      </c>
      <c r="ER700" s="1" t="s">
        <v>210</v>
      </c>
      <c r="ES700" s="1" t="s">
        <v>1552</v>
      </c>
      <c r="EW700" s="1" t="s">
        <v>6377</v>
      </c>
      <c r="EZ700" s="1" t="s">
        <v>287</v>
      </c>
      <c r="FA700" s="1" t="s">
        <v>1072</v>
      </c>
      <c r="FD700" s="1" t="s">
        <v>246</v>
      </c>
      <c r="FE700" s="1" t="s">
        <v>386</v>
      </c>
      <c r="FF700" s="1" t="s">
        <v>248</v>
      </c>
      <c r="FH700" s="1" t="s">
        <v>825</v>
      </c>
      <c r="FL700" s="1" t="s">
        <v>414</v>
      </c>
      <c r="FM700" s="1" t="s">
        <v>252</v>
      </c>
      <c r="FN700" s="1" t="s">
        <v>213</v>
      </c>
      <c r="FO700" s="1" t="s">
        <v>213</v>
      </c>
      <c r="FQ700" s="1" t="s">
        <v>913</v>
      </c>
      <c r="FR700" s="1" t="s">
        <v>210</v>
      </c>
      <c r="FS700" s="1" t="s">
        <v>8224</v>
      </c>
      <c r="FT700" s="1" t="s">
        <v>295</v>
      </c>
      <c r="FU700" s="1" t="s">
        <v>204</v>
      </c>
      <c r="FW700" s="1" t="s">
        <v>915</v>
      </c>
      <c r="FX700" s="1">
        <v>23591</v>
      </c>
      <c r="FY700" s="1" t="s">
        <v>1710</v>
      </c>
      <c r="FZ700" s="1" t="s">
        <v>3697</v>
      </c>
      <c r="GA700" s="1">
        <v>230500</v>
      </c>
      <c r="GB700" s="1" t="s">
        <v>3698</v>
      </c>
      <c r="GC700" s="1">
        <v>238299</v>
      </c>
      <c r="GD700" s="1" t="s">
        <v>8225</v>
      </c>
      <c r="GE700" s="1" t="s">
        <v>480</v>
      </c>
      <c r="GI700" s="1" t="s">
        <v>213</v>
      </c>
      <c r="GJ700" s="1" t="s">
        <v>260</v>
      </c>
      <c r="GK700" s="1" t="s">
        <v>210</v>
      </c>
      <c r="GL700" s="2">
        <v>42060</v>
      </c>
      <c r="GM700" s="1" t="s">
        <v>8226</v>
      </c>
    </row>
    <row r="701" spans="1:195">
      <c r="A701" s="1">
        <v>181000</v>
      </c>
      <c r="B701" s="1" t="s">
        <v>195</v>
      </c>
      <c r="C701" s="1" t="str">
        <f>"08806962"</f>
        <v>08806962</v>
      </c>
      <c r="D701" s="1" t="s">
        <v>196</v>
      </c>
      <c r="F701" s="1" t="str">
        <f>"104"</f>
        <v>104</v>
      </c>
      <c r="G701" s="2">
        <v>42002</v>
      </c>
      <c r="H701" s="1">
        <v>209900</v>
      </c>
      <c r="I701" s="1">
        <v>179900</v>
      </c>
      <c r="J701" s="1">
        <v>181000</v>
      </c>
      <c r="K701" s="2">
        <v>42002</v>
      </c>
      <c r="L701" s="1">
        <v>71</v>
      </c>
      <c r="M701" s="2">
        <v>42072</v>
      </c>
      <c r="N701" s="1">
        <v>71</v>
      </c>
      <c r="O701" s="2">
        <v>42072</v>
      </c>
      <c r="P701" s="1">
        <v>23312</v>
      </c>
      <c r="Q701" s="1" t="s">
        <v>197</v>
      </c>
      <c r="R701" s="2">
        <v>42121</v>
      </c>
      <c r="S701" s="1">
        <v>215959</v>
      </c>
      <c r="U701" s="1">
        <v>1334</v>
      </c>
      <c r="V701" s="1" t="s">
        <v>8227</v>
      </c>
      <c r="W701" s="1" t="s">
        <v>504</v>
      </c>
      <c r="X701" s="1">
        <v>1334</v>
      </c>
      <c r="Y701" s="1">
        <v>4</v>
      </c>
      <c r="Z701" s="1" t="s">
        <v>370</v>
      </c>
      <c r="AA701" s="1" t="s">
        <v>371</v>
      </c>
      <c r="AB701" s="1">
        <v>60103</v>
      </c>
      <c r="AD701" s="1" t="s">
        <v>6932</v>
      </c>
      <c r="AE701" s="1" t="s">
        <v>8228</v>
      </c>
      <c r="AF701" s="1">
        <v>1998</v>
      </c>
      <c r="AG701" s="1" t="s">
        <v>204</v>
      </c>
      <c r="AH701" s="1" t="s">
        <v>373</v>
      </c>
      <c r="AI701" s="1" t="s">
        <v>206</v>
      </c>
      <c r="AJ701" s="1" t="s">
        <v>2654</v>
      </c>
      <c r="AK701" s="1" t="s">
        <v>8229</v>
      </c>
      <c r="AL701" s="1">
        <v>6</v>
      </c>
      <c r="AM701" s="1">
        <v>2</v>
      </c>
      <c r="AN701" s="1">
        <v>2</v>
      </c>
      <c r="AO701" s="1">
        <v>1</v>
      </c>
      <c r="AP701" s="1" t="s">
        <v>209</v>
      </c>
      <c r="AR701" s="1" t="s">
        <v>209</v>
      </c>
      <c r="AS701" s="1" t="s">
        <v>204</v>
      </c>
      <c r="AT701" s="1" t="s">
        <v>211</v>
      </c>
      <c r="AU701" s="1">
        <v>2</v>
      </c>
      <c r="AW701" s="1" t="s">
        <v>204</v>
      </c>
      <c r="AX701" s="1" t="s">
        <v>212</v>
      </c>
      <c r="AZ701" s="1">
        <v>7295</v>
      </c>
      <c r="BA701" s="1">
        <v>2013</v>
      </c>
      <c r="BB701" s="1" t="s">
        <v>405</v>
      </c>
      <c r="BE701" s="1">
        <v>0</v>
      </c>
      <c r="BF701" s="1">
        <v>1</v>
      </c>
      <c r="BG701" s="1">
        <v>30</v>
      </c>
      <c r="BL701" s="1">
        <v>253</v>
      </c>
      <c r="BM701" s="1" t="s">
        <v>204</v>
      </c>
      <c r="BN701" s="1" t="s">
        <v>213</v>
      </c>
      <c r="BO701" s="1">
        <v>50</v>
      </c>
      <c r="BP701" s="1" t="s">
        <v>204</v>
      </c>
      <c r="BR701" s="1" t="str">
        <f>"0116217028"</f>
        <v>0116217028</v>
      </c>
      <c r="BT701" s="1" t="s">
        <v>8230</v>
      </c>
      <c r="BU701" s="1" t="s">
        <v>8231</v>
      </c>
      <c r="BV701" s="1" t="s">
        <v>1467</v>
      </c>
      <c r="BW701" s="1" t="s">
        <v>1468</v>
      </c>
      <c r="BX701" s="1">
        <v>46</v>
      </c>
      <c r="BY701" s="1">
        <v>46</v>
      </c>
      <c r="BZ701" s="1">
        <v>46</v>
      </c>
      <c r="CB701" s="1" t="str">
        <f>"5"</f>
        <v>5</v>
      </c>
      <c r="CC701" s="1" t="str">
        <f>"0"</f>
        <v>0</v>
      </c>
      <c r="CD701" s="1">
        <v>30</v>
      </c>
      <c r="CE701" s="1">
        <v>0</v>
      </c>
      <c r="CG701" s="1" t="s">
        <v>344</v>
      </c>
      <c r="CH701" s="1" t="s">
        <v>219</v>
      </c>
      <c r="CI701" s="1" t="s">
        <v>220</v>
      </c>
      <c r="CK701" s="1" t="s">
        <v>669</v>
      </c>
      <c r="CL701" s="1" t="s">
        <v>277</v>
      </c>
      <c r="CM701" s="1" t="s">
        <v>220</v>
      </c>
      <c r="CO701" s="1" t="s">
        <v>346</v>
      </c>
      <c r="CP701" s="1" t="s">
        <v>219</v>
      </c>
      <c r="CQ701" s="1" t="s">
        <v>220</v>
      </c>
      <c r="CS701" s="1" t="s">
        <v>346</v>
      </c>
      <c r="CT701" s="1" t="s">
        <v>277</v>
      </c>
      <c r="CU701" s="1" t="s">
        <v>220</v>
      </c>
      <c r="CX701" s="1" t="s">
        <v>224</v>
      </c>
      <c r="DB701" s="1" t="s">
        <v>224</v>
      </c>
      <c r="DE701" s="1" t="s">
        <v>223</v>
      </c>
      <c r="DF701" s="1" t="s">
        <v>219</v>
      </c>
      <c r="DG701" s="1" t="s">
        <v>438</v>
      </c>
      <c r="DI701" s="1" t="s">
        <v>278</v>
      </c>
      <c r="DJ701" s="1" t="s">
        <v>219</v>
      </c>
      <c r="DK701" s="1" t="s">
        <v>220</v>
      </c>
      <c r="DS701" s="1" t="s">
        <v>230</v>
      </c>
      <c r="DW701" s="1" t="s">
        <v>230</v>
      </c>
      <c r="EA701" s="1" t="s">
        <v>230</v>
      </c>
      <c r="EE701" s="1" t="s">
        <v>230</v>
      </c>
      <c r="EI701" s="1" t="s">
        <v>230</v>
      </c>
      <c r="EL701" s="1" t="s">
        <v>670</v>
      </c>
      <c r="EM701" s="1" t="s">
        <v>319</v>
      </c>
      <c r="EN701" s="1" t="s">
        <v>282</v>
      </c>
      <c r="EO701" s="1" t="s">
        <v>1020</v>
      </c>
      <c r="EP701" s="1" t="s">
        <v>543</v>
      </c>
      <c r="ER701" s="1" t="s">
        <v>1249</v>
      </c>
      <c r="ET701" s="1" t="s">
        <v>238</v>
      </c>
      <c r="EU701" s="1" t="s">
        <v>239</v>
      </c>
      <c r="EW701" s="1" t="s">
        <v>8232</v>
      </c>
      <c r="EY701" s="1" t="s">
        <v>242</v>
      </c>
      <c r="EZ701" s="1" t="s">
        <v>287</v>
      </c>
      <c r="FA701" s="1" t="s">
        <v>869</v>
      </c>
      <c r="FD701" s="1" t="s">
        <v>246</v>
      </c>
      <c r="FE701" s="1" t="s">
        <v>247</v>
      </c>
      <c r="FF701" s="1" t="s">
        <v>248</v>
      </c>
      <c r="FH701" s="1" t="s">
        <v>550</v>
      </c>
      <c r="FL701" s="1" t="s">
        <v>358</v>
      </c>
      <c r="FM701" s="1" t="s">
        <v>252</v>
      </c>
      <c r="FN701" s="1" t="s">
        <v>213</v>
      </c>
      <c r="FO701" s="1" t="s">
        <v>213</v>
      </c>
      <c r="FQ701" s="1" t="s">
        <v>1300</v>
      </c>
      <c r="FR701" s="1" t="s">
        <v>210</v>
      </c>
      <c r="FS701" s="1" t="s">
        <v>8233</v>
      </c>
      <c r="FT701" s="1" t="s">
        <v>8234</v>
      </c>
      <c r="FU701" s="1" t="s">
        <v>204</v>
      </c>
      <c r="FW701" s="1" t="s">
        <v>1097</v>
      </c>
      <c r="FX701" s="1">
        <v>8094</v>
      </c>
      <c r="FY701" s="1" t="s">
        <v>1829</v>
      </c>
      <c r="FZ701" s="1" t="s">
        <v>1830</v>
      </c>
      <c r="GA701" s="1">
        <v>28736</v>
      </c>
      <c r="GB701" s="1" t="s">
        <v>1831</v>
      </c>
      <c r="GE701" s="1" t="s">
        <v>210</v>
      </c>
      <c r="GI701" s="1" t="s">
        <v>204</v>
      </c>
      <c r="GJ701" s="1" t="s">
        <v>260</v>
      </c>
      <c r="GK701" s="1" t="s">
        <v>210</v>
      </c>
      <c r="GL701" s="2">
        <v>42121</v>
      </c>
      <c r="GM701" s="1" t="s">
        <v>8235</v>
      </c>
    </row>
    <row r="702" spans="1:195">
      <c r="A702" s="1">
        <v>98500</v>
      </c>
      <c r="B702" s="1" t="s">
        <v>195</v>
      </c>
      <c r="C702" s="1" t="str">
        <f>"08807854"</f>
        <v>08807854</v>
      </c>
      <c r="D702" s="1" t="s">
        <v>196</v>
      </c>
      <c r="F702" s="1" t="str">
        <f>"540"</f>
        <v>540</v>
      </c>
      <c r="G702" s="2">
        <v>42004</v>
      </c>
      <c r="H702" s="1">
        <v>99900</v>
      </c>
      <c r="I702" s="1">
        <v>99900</v>
      </c>
      <c r="J702" s="1">
        <v>98500</v>
      </c>
      <c r="K702" s="2">
        <v>42004</v>
      </c>
      <c r="L702" s="1">
        <v>178</v>
      </c>
      <c r="M702" s="2">
        <v>42058</v>
      </c>
      <c r="N702" s="1">
        <v>55</v>
      </c>
      <c r="O702" s="2">
        <v>42058</v>
      </c>
      <c r="P702" s="1">
        <v>84467</v>
      </c>
      <c r="Q702" s="1" t="s">
        <v>197</v>
      </c>
      <c r="R702" s="2">
        <v>42118</v>
      </c>
      <c r="S702" s="1">
        <v>173622</v>
      </c>
      <c r="T702" s="1">
        <v>3000</v>
      </c>
      <c r="U702" s="1">
        <v>520</v>
      </c>
      <c r="V702" s="1" t="s">
        <v>8236</v>
      </c>
      <c r="W702" s="1" t="s">
        <v>504</v>
      </c>
      <c r="X702" s="1">
        <v>306</v>
      </c>
      <c r="Y702" s="1">
        <v>30</v>
      </c>
      <c r="Z702" s="1" t="s">
        <v>249</v>
      </c>
      <c r="AA702" s="1" t="s">
        <v>921</v>
      </c>
      <c r="AB702" s="1">
        <v>60563</v>
      </c>
      <c r="AD702" s="1" t="s">
        <v>4658</v>
      </c>
      <c r="AE702" s="1" t="s">
        <v>8237</v>
      </c>
      <c r="AF702" s="1">
        <v>1979</v>
      </c>
      <c r="AG702" s="1" t="s">
        <v>204</v>
      </c>
      <c r="AH702" s="1" t="s">
        <v>924</v>
      </c>
      <c r="AI702" s="1" t="s">
        <v>206</v>
      </c>
      <c r="AJ702" s="1" t="s">
        <v>924</v>
      </c>
      <c r="AL702" s="1">
        <v>5</v>
      </c>
      <c r="AM702" s="1">
        <v>2</v>
      </c>
      <c r="AN702" s="1">
        <v>2</v>
      </c>
      <c r="AO702" s="1">
        <v>0</v>
      </c>
      <c r="AP702" s="1" t="s">
        <v>209</v>
      </c>
      <c r="AR702" s="1" t="s">
        <v>210</v>
      </c>
      <c r="AS702" s="1" t="s">
        <v>204</v>
      </c>
      <c r="AT702" s="1" t="s">
        <v>271</v>
      </c>
      <c r="AV702" s="1">
        <v>2</v>
      </c>
      <c r="AW702" s="1" t="s">
        <v>204</v>
      </c>
      <c r="AX702" s="1" t="s">
        <v>212</v>
      </c>
      <c r="AZ702" s="1">
        <v>1745</v>
      </c>
      <c r="BA702" s="1">
        <v>2013</v>
      </c>
      <c r="BB702" s="1" t="s">
        <v>405</v>
      </c>
      <c r="BE702" s="1">
        <v>1100</v>
      </c>
      <c r="BF702" s="1">
        <v>3</v>
      </c>
      <c r="BG702" s="1">
        <v>0</v>
      </c>
      <c r="BJ702" s="1">
        <v>100</v>
      </c>
      <c r="BL702" s="1">
        <v>334</v>
      </c>
      <c r="BM702" s="1" t="s">
        <v>204</v>
      </c>
      <c r="BN702" s="1" t="s">
        <v>213</v>
      </c>
      <c r="BO702" s="1">
        <v>20</v>
      </c>
      <c r="BP702" s="1" t="s">
        <v>204</v>
      </c>
      <c r="BR702" s="1" t="str">
        <f>"0712426029"</f>
        <v>0712426029</v>
      </c>
      <c r="BT702" s="1" t="s">
        <v>8238</v>
      </c>
      <c r="BU702" s="1" t="s">
        <v>2823</v>
      </c>
      <c r="BW702" s="1" t="s">
        <v>2825</v>
      </c>
      <c r="BX702" s="1">
        <v>203</v>
      </c>
      <c r="BY702" s="1">
        <v>203</v>
      </c>
      <c r="BZ702" s="1">
        <v>203</v>
      </c>
      <c r="CB702" s="1" t="str">
        <f t="shared" ref="CB702:CC702" si="546">""</f>
        <v/>
      </c>
      <c r="CC702" s="1" t="str">
        <f t="shared" si="546"/>
        <v/>
      </c>
      <c r="CG702" s="1" t="s">
        <v>1936</v>
      </c>
      <c r="CH702" s="1" t="s">
        <v>219</v>
      </c>
      <c r="CI702" s="1" t="s">
        <v>220</v>
      </c>
      <c r="CJ702" s="1" t="s">
        <v>343</v>
      </c>
      <c r="CK702" s="1" t="s">
        <v>581</v>
      </c>
      <c r="CL702" s="1" t="s">
        <v>219</v>
      </c>
      <c r="CM702" s="1" t="s">
        <v>220</v>
      </c>
      <c r="CN702" s="1" t="s">
        <v>343</v>
      </c>
      <c r="CO702" s="1" t="s">
        <v>318</v>
      </c>
      <c r="CP702" s="1" t="s">
        <v>219</v>
      </c>
      <c r="CQ702" s="1" t="s">
        <v>220</v>
      </c>
      <c r="CR702" s="1" t="s">
        <v>210</v>
      </c>
      <c r="CS702" s="1" t="s">
        <v>539</v>
      </c>
      <c r="CT702" s="1" t="s">
        <v>219</v>
      </c>
      <c r="CU702" s="1" t="s">
        <v>220</v>
      </c>
      <c r="CV702" s="1" t="s">
        <v>343</v>
      </c>
      <c r="CX702" s="1" t="s">
        <v>224</v>
      </c>
      <c r="DB702" s="1" t="s">
        <v>224</v>
      </c>
      <c r="DE702" s="1" t="s">
        <v>951</v>
      </c>
      <c r="DF702" s="1" t="s">
        <v>219</v>
      </c>
      <c r="DG702" s="1" t="s">
        <v>342</v>
      </c>
      <c r="DH702" s="1" t="s">
        <v>210</v>
      </c>
      <c r="DJ702" s="1" t="s">
        <v>224</v>
      </c>
      <c r="DS702" s="1" t="s">
        <v>230</v>
      </c>
      <c r="DW702" s="1" t="s">
        <v>230</v>
      </c>
      <c r="EA702" s="1" t="s">
        <v>230</v>
      </c>
      <c r="EE702" s="1" t="s">
        <v>230</v>
      </c>
      <c r="EI702" s="1" t="s">
        <v>230</v>
      </c>
      <c r="EL702" s="1" t="s">
        <v>231</v>
      </c>
      <c r="EM702" s="1" t="s">
        <v>232</v>
      </c>
      <c r="EN702" s="1" t="s">
        <v>233</v>
      </c>
      <c r="EO702" s="1" t="s">
        <v>840</v>
      </c>
      <c r="EP702" s="1" t="s">
        <v>8239</v>
      </c>
      <c r="EQ702" s="1" t="s">
        <v>350</v>
      </c>
      <c r="ER702" s="1" t="s">
        <v>210</v>
      </c>
      <c r="ES702" s="1" t="s">
        <v>1160</v>
      </c>
      <c r="EU702" s="1" t="s">
        <v>239</v>
      </c>
      <c r="EV702" s="1" t="s">
        <v>1999</v>
      </c>
      <c r="EW702" s="1" t="s">
        <v>8240</v>
      </c>
      <c r="EY702" s="1" t="s">
        <v>790</v>
      </c>
      <c r="EZ702" s="1" t="s">
        <v>287</v>
      </c>
      <c r="FB702" s="1" t="s">
        <v>244</v>
      </c>
      <c r="FC702" s="1" t="s">
        <v>326</v>
      </c>
      <c r="FD702" s="1" t="s">
        <v>888</v>
      </c>
      <c r="FE702" s="1" t="s">
        <v>247</v>
      </c>
      <c r="FF702" s="1" t="s">
        <v>248</v>
      </c>
      <c r="FH702" s="1" t="s">
        <v>249</v>
      </c>
      <c r="FJ702" s="1" t="s">
        <v>197</v>
      </c>
      <c r="FL702" s="1" t="s">
        <v>292</v>
      </c>
      <c r="FM702" s="1" t="s">
        <v>252</v>
      </c>
      <c r="FN702" s="1" t="s">
        <v>213</v>
      </c>
      <c r="FO702" s="1" t="s">
        <v>213</v>
      </c>
      <c r="FQ702" s="1" t="s">
        <v>5657</v>
      </c>
      <c r="FR702" s="1" t="s">
        <v>210</v>
      </c>
      <c r="FS702" s="1" t="s">
        <v>8241</v>
      </c>
      <c r="FT702" s="1" t="s">
        <v>362</v>
      </c>
      <c r="FU702" s="1" t="s">
        <v>204</v>
      </c>
      <c r="FW702" s="1" t="s">
        <v>8242</v>
      </c>
      <c r="FX702" s="1">
        <v>21682</v>
      </c>
      <c r="FY702" s="1" t="s">
        <v>8243</v>
      </c>
      <c r="FZ702" s="1" t="s">
        <v>8244</v>
      </c>
      <c r="GA702" s="1">
        <v>258061</v>
      </c>
      <c r="GB702" s="1" t="s">
        <v>8245</v>
      </c>
      <c r="GE702" s="1" t="s">
        <v>210</v>
      </c>
      <c r="GI702" s="1" t="s">
        <v>213</v>
      </c>
      <c r="GJ702" s="1" t="s">
        <v>260</v>
      </c>
      <c r="GK702" s="1" t="s">
        <v>210</v>
      </c>
      <c r="GL702" s="2">
        <v>42128</v>
      </c>
      <c r="GM702" s="1" t="s">
        <v>8246</v>
      </c>
    </row>
    <row r="703" spans="1:195">
      <c r="A703" s="1">
        <v>274000</v>
      </c>
      <c r="B703" s="1" t="s">
        <v>195</v>
      </c>
      <c r="C703" s="1" t="str">
        <f>"08807455"</f>
        <v>08807455</v>
      </c>
      <c r="D703" s="1" t="s">
        <v>196</v>
      </c>
      <c r="F703" s="1" t="str">
        <f>"188"</f>
        <v>188</v>
      </c>
      <c r="G703" s="2">
        <v>42003</v>
      </c>
      <c r="H703" s="1">
        <v>282990</v>
      </c>
      <c r="I703" s="1">
        <v>282990</v>
      </c>
      <c r="J703" s="1">
        <v>274000</v>
      </c>
      <c r="K703" s="2">
        <v>42003</v>
      </c>
      <c r="L703" s="1">
        <v>53</v>
      </c>
      <c r="M703" s="2">
        <v>42055</v>
      </c>
      <c r="N703" s="1">
        <v>53</v>
      </c>
      <c r="O703" s="2">
        <v>42055</v>
      </c>
      <c r="P703" s="1">
        <v>25309</v>
      </c>
      <c r="Q703" s="1" t="s">
        <v>197</v>
      </c>
      <c r="R703" s="2">
        <v>42082</v>
      </c>
      <c r="S703" s="1">
        <v>256719</v>
      </c>
      <c r="U703" s="1">
        <v>307</v>
      </c>
      <c r="V703" s="1" t="s">
        <v>8247</v>
      </c>
      <c r="W703" s="1" t="s">
        <v>264</v>
      </c>
      <c r="Y703" s="1">
        <v>5</v>
      </c>
      <c r="Z703" s="1" t="s">
        <v>370</v>
      </c>
      <c r="AA703" s="1" t="s">
        <v>1084</v>
      </c>
      <c r="AB703" s="1">
        <v>60188</v>
      </c>
      <c r="AD703" s="1" t="s">
        <v>5169</v>
      </c>
      <c r="AE703" s="1" t="s">
        <v>5170</v>
      </c>
      <c r="AF703" s="1">
        <v>2014</v>
      </c>
      <c r="AG703" s="1" t="s">
        <v>204</v>
      </c>
      <c r="AH703" s="1" t="s">
        <v>1087</v>
      </c>
      <c r="AI703" s="1" t="s">
        <v>206</v>
      </c>
      <c r="AJ703" s="1" t="s">
        <v>269</v>
      </c>
      <c r="AK703" s="1" t="s">
        <v>8248</v>
      </c>
      <c r="AL703" s="1">
        <v>5</v>
      </c>
      <c r="AM703" s="1">
        <v>2</v>
      </c>
      <c r="AN703" s="1">
        <v>2</v>
      </c>
      <c r="AO703" s="1">
        <v>1</v>
      </c>
      <c r="AP703" s="1" t="s">
        <v>209</v>
      </c>
      <c r="AR703" s="1" t="s">
        <v>210</v>
      </c>
      <c r="AS703" s="1" t="s">
        <v>204</v>
      </c>
      <c r="AT703" s="1" t="s">
        <v>211</v>
      </c>
      <c r="AU703" s="1">
        <v>2</v>
      </c>
      <c r="AW703" s="1" t="s">
        <v>204</v>
      </c>
      <c r="AX703" s="1" t="s">
        <v>212</v>
      </c>
      <c r="AZ703" s="1" t="s">
        <v>751</v>
      </c>
      <c r="BA703" s="1">
        <v>2013</v>
      </c>
      <c r="BB703" s="1" t="s">
        <v>210</v>
      </c>
      <c r="BE703" s="1">
        <v>1865</v>
      </c>
      <c r="BF703" s="1">
        <v>1</v>
      </c>
      <c r="BG703" s="1">
        <v>0</v>
      </c>
      <c r="BL703" s="1">
        <v>130</v>
      </c>
      <c r="BM703" s="1" t="s">
        <v>204</v>
      </c>
      <c r="BN703" s="1" t="s">
        <v>213</v>
      </c>
      <c r="BO703" s="1">
        <v>0</v>
      </c>
      <c r="BP703" s="1" t="s">
        <v>213</v>
      </c>
      <c r="BQ703" s="2">
        <v>42020</v>
      </c>
      <c r="BR703" s="1" t="str">
        <f>"0232307084"</f>
        <v>0232307084</v>
      </c>
      <c r="BT703" s="1" t="s">
        <v>8249</v>
      </c>
      <c r="BU703" s="1" t="s">
        <v>4776</v>
      </c>
      <c r="BV703" s="1" t="s">
        <v>1502</v>
      </c>
      <c r="BW703" s="1" t="s">
        <v>1092</v>
      </c>
      <c r="BX703" s="1">
        <v>93</v>
      </c>
      <c r="BY703" s="1">
        <v>93</v>
      </c>
      <c r="BZ703" s="1">
        <v>87</v>
      </c>
      <c r="CB703" s="1" t="str">
        <f>"2"</f>
        <v>2</v>
      </c>
      <c r="CC703" s="1" t="str">
        <f t="shared" ref="CC703:CC704" si="547">"0"</f>
        <v>0</v>
      </c>
      <c r="CD703" s="1">
        <v>25</v>
      </c>
      <c r="CE703" s="1">
        <v>0</v>
      </c>
      <c r="CH703" s="1" t="s">
        <v>224</v>
      </c>
      <c r="CK703" s="1" t="s">
        <v>377</v>
      </c>
      <c r="CL703" s="1" t="s">
        <v>277</v>
      </c>
      <c r="CM703" s="1" t="s">
        <v>220</v>
      </c>
      <c r="CP703" s="1" t="s">
        <v>224</v>
      </c>
      <c r="CS703" s="1" t="s">
        <v>2170</v>
      </c>
      <c r="CT703" s="1" t="s">
        <v>277</v>
      </c>
      <c r="CU703" s="1" t="s">
        <v>220</v>
      </c>
      <c r="CX703" s="1" t="s">
        <v>224</v>
      </c>
      <c r="DB703" s="1" t="s">
        <v>224</v>
      </c>
      <c r="DE703" s="1" t="s">
        <v>1297</v>
      </c>
      <c r="DF703" s="1" t="s">
        <v>219</v>
      </c>
      <c r="DG703" s="1" t="s">
        <v>438</v>
      </c>
      <c r="DJ703" s="1" t="s">
        <v>224</v>
      </c>
      <c r="DM703" s="1" t="s">
        <v>381</v>
      </c>
      <c r="DO703" s="1" t="s">
        <v>1676</v>
      </c>
      <c r="DR703" s="1" t="s">
        <v>1297</v>
      </c>
      <c r="DS703" s="1" t="s">
        <v>219</v>
      </c>
      <c r="DT703" s="1" t="s">
        <v>438</v>
      </c>
      <c r="DW703" s="1" t="s">
        <v>230</v>
      </c>
      <c r="DZ703" s="1" t="s">
        <v>377</v>
      </c>
      <c r="EA703" s="1" t="s">
        <v>219</v>
      </c>
      <c r="EB703" s="1" t="s">
        <v>438</v>
      </c>
      <c r="EE703" s="1" t="s">
        <v>230</v>
      </c>
      <c r="EI703" s="1" t="s">
        <v>230</v>
      </c>
      <c r="EL703" s="1" t="s">
        <v>760</v>
      </c>
      <c r="EM703" s="1" t="s">
        <v>319</v>
      </c>
      <c r="EN703" s="1" t="s">
        <v>282</v>
      </c>
      <c r="EO703" s="1" t="s">
        <v>234</v>
      </c>
      <c r="EQ703" s="1" t="s">
        <v>3849</v>
      </c>
      <c r="ER703" s="1" t="s">
        <v>210</v>
      </c>
      <c r="ES703" s="1" t="s">
        <v>3850</v>
      </c>
      <c r="EU703" s="1" t="s">
        <v>239</v>
      </c>
      <c r="EW703" s="1" t="s">
        <v>867</v>
      </c>
      <c r="EY703" s="1" t="s">
        <v>790</v>
      </c>
      <c r="EZ703" s="1" t="s">
        <v>5173</v>
      </c>
      <c r="FA703" s="1" t="s">
        <v>1270</v>
      </c>
      <c r="FD703" s="1" t="s">
        <v>246</v>
      </c>
      <c r="FE703" s="1" t="s">
        <v>355</v>
      </c>
      <c r="FF703" s="1" t="s">
        <v>248</v>
      </c>
      <c r="FH703" s="1" t="s">
        <v>550</v>
      </c>
      <c r="FJ703" s="1" t="s">
        <v>518</v>
      </c>
      <c r="FL703" s="1" t="s">
        <v>358</v>
      </c>
      <c r="FM703" s="1" t="s">
        <v>252</v>
      </c>
      <c r="FN703" s="1" t="s">
        <v>213</v>
      </c>
      <c r="FO703" s="1" t="s">
        <v>213</v>
      </c>
      <c r="FQ703" s="1" t="s">
        <v>3853</v>
      </c>
      <c r="FR703" s="1" t="s">
        <v>210</v>
      </c>
      <c r="FS703" s="1" t="s">
        <v>8250</v>
      </c>
      <c r="FT703" s="1" t="s">
        <v>3855</v>
      </c>
      <c r="FU703" s="1" t="s">
        <v>204</v>
      </c>
      <c r="FV703" s="1" t="s">
        <v>4779</v>
      </c>
      <c r="FW703" s="1" t="s">
        <v>3857</v>
      </c>
      <c r="FX703" s="1">
        <v>23223</v>
      </c>
      <c r="FY703" s="1" t="s">
        <v>3858</v>
      </c>
      <c r="FZ703" s="1" t="s">
        <v>3859</v>
      </c>
      <c r="GA703" s="1">
        <v>236300</v>
      </c>
      <c r="GC703" s="1">
        <v>210778</v>
      </c>
      <c r="GE703" s="1" t="s">
        <v>480</v>
      </c>
      <c r="GI703" s="1" t="s">
        <v>204</v>
      </c>
      <c r="GJ703" s="1" t="s">
        <v>300</v>
      </c>
      <c r="GK703" s="1" t="s">
        <v>210</v>
      </c>
      <c r="GL703" s="2">
        <v>42082</v>
      </c>
      <c r="GM703" s="1" t="s">
        <v>8251</v>
      </c>
    </row>
    <row r="704" spans="1:195">
      <c r="A704" s="1">
        <v>174000</v>
      </c>
      <c r="B704" s="1" t="s">
        <v>195</v>
      </c>
      <c r="C704" s="1" t="str">
        <f>"08806905"</f>
        <v>08806905</v>
      </c>
      <c r="D704" s="1" t="s">
        <v>196</v>
      </c>
      <c r="F704" s="1" t="str">
        <f>"104"</f>
        <v>104</v>
      </c>
      <c r="G704" s="2">
        <v>42002</v>
      </c>
      <c r="H704" s="1">
        <v>209900</v>
      </c>
      <c r="I704" s="1">
        <v>174900</v>
      </c>
      <c r="J704" s="1">
        <v>174000</v>
      </c>
      <c r="K704" s="2">
        <v>42002</v>
      </c>
      <c r="L704" s="1">
        <v>81</v>
      </c>
      <c r="M704" s="2">
        <v>42082</v>
      </c>
      <c r="N704" s="1">
        <v>81</v>
      </c>
      <c r="O704" s="2">
        <v>42082</v>
      </c>
      <c r="P704" s="1">
        <v>28</v>
      </c>
      <c r="Q704" s="1" t="s">
        <v>302</v>
      </c>
      <c r="R704" s="2">
        <v>42114</v>
      </c>
      <c r="S704" s="1">
        <v>7816</v>
      </c>
      <c r="U704" s="1">
        <v>378</v>
      </c>
      <c r="V704" s="1" t="s">
        <v>8252</v>
      </c>
      <c r="W704" s="1" t="s">
        <v>504</v>
      </c>
      <c r="Y704" s="1">
        <v>6</v>
      </c>
      <c r="Z704" s="1" t="s">
        <v>200</v>
      </c>
      <c r="AA704" s="1" t="s">
        <v>371</v>
      </c>
      <c r="AB704" s="1">
        <v>60103</v>
      </c>
      <c r="AD704" s="1" t="s">
        <v>8253</v>
      </c>
      <c r="AE704" s="1" t="s">
        <v>8254</v>
      </c>
      <c r="AF704" s="1">
        <v>2005</v>
      </c>
      <c r="AG704" s="1" t="s">
        <v>204</v>
      </c>
      <c r="AH704" s="1" t="s">
        <v>373</v>
      </c>
      <c r="AI704" s="1" t="s">
        <v>310</v>
      </c>
      <c r="AJ704" s="1" t="s">
        <v>374</v>
      </c>
      <c r="AL704" s="1">
        <v>6</v>
      </c>
      <c r="AM704" s="1">
        <v>2</v>
      </c>
      <c r="AN704" s="1">
        <v>2</v>
      </c>
      <c r="AO704" s="1">
        <v>1</v>
      </c>
      <c r="AP704" s="1" t="s">
        <v>209</v>
      </c>
      <c r="AR704" s="1" t="s">
        <v>2165</v>
      </c>
      <c r="AS704" s="1" t="s">
        <v>204</v>
      </c>
      <c r="AT704" s="1" t="s">
        <v>211</v>
      </c>
      <c r="AU704" s="1">
        <v>2</v>
      </c>
      <c r="AW704" s="1" t="s">
        <v>204</v>
      </c>
      <c r="AX704" s="1" t="s">
        <v>212</v>
      </c>
      <c r="AZ704" s="1">
        <v>5864.33</v>
      </c>
      <c r="BA704" s="1">
        <v>2013</v>
      </c>
      <c r="BE704" s="1">
        <v>1376</v>
      </c>
      <c r="BF704" s="1">
        <v>1</v>
      </c>
      <c r="BG704" s="1">
        <v>0</v>
      </c>
      <c r="BL704" s="1">
        <v>120</v>
      </c>
      <c r="BM704" s="1" t="s">
        <v>413</v>
      </c>
      <c r="BN704" s="1" t="s">
        <v>213</v>
      </c>
      <c r="BO704" s="1">
        <v>999</v>
      </c>
      <c r="BP704" s="1" t="s">
        <v>204</v>
      </c>
      <c r="BR704" s="1" t="str">
        <f>"06353210730000"</f>
        <v>06353210730000</v>
      </c>
      <c r="BT704" s="1" t="s">
        <v>8255</v>
      </c>
      <c r="BU704" s="1" t="s">
        <v>1815</v>
      </c>
      <c r="BV704" s="1" t="s">
        <v>1816</v>
      </c>
      <c r="BW704" s="1" t="s">
        <v>1468</v>
      </c>
      <c r="BX704" s="1">
        <v>46</v>
      </c>
      <c r="BY704" s="1">
        <v>46</v>
      </c>
      <c r="BZ704" s="1">
        <v>46</v>
      </c>
      <c r="CB704" s="1" t="str">
        <f>"9"</f>
        <v>9</v>
      </c>
      <c r="CC704" s="1" t="str">
        <f t="shared" si="547"/>
        <v>0</v>
      </c>
      <c r="CD704" s="1">
        <v>29</v>
      </c>
      <c r="CE704" s="1">
        <v>0</v>
      </c>
      <c r="CG704" s="1" t="s">
        <v>461</v>
      </c>
      <c r="CH704" s="1" t="s">
        <v>219</v>
      </c>
      <c r="CK704" s="1" t="s">
        <v>757</v>
      </c>
      <c r="CL704" s="1" t="s">
        <v>277</v>
      </c>
      <c r="CO704" s="1" t="s">
        <v>836</v>
      </c>
      <c r="CP704" s="1" t="s">
        <v>219</v>
      </c>
      <c r="CS704" s="1" t="s">
        <v>602</v>
      </c>
      <c r="CT704" s="1" t="s">
        <v>277</v>
      </c>
      <c r="CX704" s="1" t="s">
        <v>224</v>
      </c>
      <c r="DB704" s="1" t="s">
        <v>224</v>
      </c>
      <c r="DE704" s="1" t="s">
        <v>1598</v>
      </c>
      <c r="DF704" s="1" t="s">
        <v>219</v>
      </c>
      <c r="DI704" s="1" t="s">
        <v>836</v>
      </c>
      <c r="DJ704" s="1" t="s">
        <v>822</v>
      </c>
      <c r="DS704" s="1" t="s">
        <v>230</v>
      </c>
      <c r="DW704" s="1" t="s">
        <v>230</v>
      </c>
      <c r="EA704" s="1" t="s">
        <v>230</v>
      </c>
      <c r="EE704" s="1" t="s">
        <v>230</v>
      </c>
      <c r="EI704" s="1" t="s">
        <v>230</v>
      </c>
      <c r="EL704" s="1" t="s">
        <v>491</v>
      </c>
      <c r="EM704" s="1" t="s">
        <v>319</v>
      </c>
      <c r="EN704" s="1" t="s">
        <v>282</v>
      </c>
      <c r="EO704" s="1" t="s">
        <v>234</v>
      </c>
      <c r="EP704" s="1" t="s">
        <v>650</v>
      </c>
      <c r="ER704" s="1" t="s">
        <v>544</v>
      </c>
      <c r="ES704" s="1" t="s">
        <v>4840</v>
      </c>
      <c r="EW704" s="1" t="s">
        <v>353</v>
      </c>
      <c r="EZ704" s="1" t="s">
        <v>287</v>
      </c>
      <c r="FD704" s="1" t="s">
        <v>246</v>
      </c>
      <c r="FE704" s="1" t="s">
        <v>247</v>
      </c>
      <c r="FF704" s="1" t="s">
        <v>248</v>
      </c>
      <c r="FH704" s="1" t="s">
        <v>1428</v>
      </c>
      <c r="FI704" s="1" t="s">
        <v>473</v>
      </c>
      <c r="FL704" s="1" t="s">
        <v>358</v>
      </c>
      <c r="FM704" s="1" t="s">
        <v>252</v>
      </c>
      <c r="FN704" s="1" t="s">
        <v>213</v>
      </c>
      <c r="FO704" s="1" t="s">
        <v>213</v>
      </c>
      <c r="FQ704" s="1" t="s">
        <v>689</v>
      </c>
      <c r="FR704" s="1" t="s">
        <v>210</v>
      </c>
      <c r="FS704" s="1" t="s">
        <v>8256</v>
      </c>
      <c r="FT704" s="1" t="s">
        <v>1828</v>
      </c>
      <c r="FU704" s="1" t="s">
        <v>204</v>
      </c>
      <c r="FW704" s="1" t="s">
        <v>8257</v>
      </c>
      <c r="FX704" s="1">
        <v>16339</v>
      </c>
      <c r="FY704" s="1" t="s">
        <v>8258</v>
      </c>
      <c r="FZ704" s="1" t="s">
        <v>8259</v>
      </c>
      <c r="GA704" s="1">
        <v>165879</v>
      </c>
      <c r="GB704" s="1" t="s">
        <v>8258</v>
      </c>
      <c r="GC704" s="1">
        <v>106496</v>
      </c>
      <c r="GE704" s="1" t="s">
        <v>210</v>
      </c>
      <c r="GI704" s="1" t="s">
        <v>204</v>
      </c>
      <c r="GJ704" s="1" t="s">
        <v>260</v>
      </c>
      <c r="GK704" s="1" t="s">
        <v>210</v>
      </c>
      <c r="GL704" s="2">
        <v>42114</v>
      </c>
      <c r="GM704" s="1" t="s">
        <v>8260</v>
      </c>
    </row>
    <row r="705" spans="1:195">
      <c r="A705" s="1">
        <v>113000</v>
      </c>
      <c r="B705" s="1" t="s">
        <v>195</v>
      </c>
      <c r="C705" s="1" t="str">
        <f>"08808511"</f>
        <v>08808511</v>
      </c>
      <c r="D705" s="1" t="s">
        <v>196</v>
      </c>
      <c r="F705" s="1" t="str">
        <f>"87"</f>
        <v>87</v>
      </c>
      <c r="G705" s="2">
        <v>42006</v>
      </c>
      <c r="H705" s="1">
        <v>120000</v>
      </c>
      <c r="I705" s="1">
        <v>108000</v>
      </c>
      <c r="J705" s="1">
        <v>113000</v>
      </c>
      <c r="K705" s="2">
        <v>42006</v>
      </c>
      <c r="L705" s="1">
        <v>81</v>
      </c>
      <c r="M705" s="2">
        <v>42086</v>
      </c>
      <c r="N705" s="1">
        <v>81</v>
      </c>
      <c r="O705" s="2">
        <v>42086</v>
      </c>
      <c r="P705" s="1">
        <v>92033</v>
      </c>
      <c r="Q705" s="1" t="s">
        <v>197</v>
      </c>
      <c r="R705" s="2">
        <v>42137</v>
      </c>
      <c r="S705" s="1">
        <v>15160</v>
      </c>
      <c r="T705" s="1">
        <v>3000</v>
      </c>
      <c r="U705" s="1">
        <v>39196</v>
      </c>
      <c r="V705" s="1" t="s">
        <v>2530</v>
      </c>
      <c r="W705" s="1" t="s">
        <v>504</v>
      </c>
      <c r="Y705" s="1">
        <v>2</v>
      </c>
      <c r="Z705" s="1" t="s">
        <v>370</v>
      </c>
      <c r="AA705" s="1" t="s">
        <v>4385</v>
      </c>
      <c r="AB705" s="1">
        <v>60083</v>
      </c>
      <c r="AE705" s="1" t="s">
        <v>8261</v>
      </c>
      <c r="AF705" s="1">
        <v>2003</v>
      </c>
      <c r="AG705" s="1" t="s">
        <v>204</v>
      </c>
      <c r="AH705" s="1" t="s">
        <v>4388</v>
      </c>
      <c r="AI705" s="1" t="s">
        <v>509</v>
      </c>
      <c r="AJ705" s="1" t="s">
        <v>4389</v>
      </c>
      <c r="AL705" s="1">
        <v>5</v>
      </c>
      <c r="AM705" s="1">
        <v>2</v>
      </c>
      <c r="AN705" s="1">
        <v>2</v>
      </c>
      <c r="AO705" s="1">
        <v>1</v>
      </c>
      <c r="AP705" s="1" t="s">
        <v>209</v>
      </c>
      <c r="AR705" s="1" t="s">
        <v>210</v>
      </c>
      <c r="AS705" s="1" t="s">
        <v>204</v>
      </c>
      <c r="AT705" s="1" t="s">
        <v>211</v>
      </c>
      <c r="AU705" s="1">
        <v>2</v>
      </c>
      <c r="AW705" s="1" t="s">
        <v>204</v>
      </c>
      <c r="AX705" s="1" t="s">
        <v>8262</v>
      </c>
      <c r="AZ705" s="1">
        <v>4317.47</v>
      </c>
      <c r="BA705" s="1">
        <v>2013</v>
      </c>
      <c r="BE705" s="1">
        <v>1537</v>
      </c>
      <c r="BF705" s="1">
        <v>1</v>
      </c>
      <c r="BG705" s="1">
        <v>0</v>
      </c>
      <c r="BL705" s="1">
        <v>150</v>
      </c>
      <c r="BM705" s="1" t="s">
        <v>413</v>
      </c>
      <c r="BN705" s="1" t="s">
        <v>213</v>
      </c>
      <c r="BO705" s="1">
        <v>0</v>
      </c>
      <c r="BP705" s="1" t="s">
        <v>204</v>
      </c>
      <c r="BR705" s="1" t="str">
        <f>"04303060640000"</f>
        <v>04303060640000</v>
      </c>
      <c r="BT705" s="1" t="s">
        <v>8263</v>
      </c>
      <c r="BX705" s="1">
        <v>3</v>
      </c>
      <c r="BY705" s="1">
        <v>3</v>
      </c>
      <c r="BZ705" s="1">
        <v>126</v>
      </c>
      <c r="CB705" s="1" t="str">
        <f t="shared" ref="CB705:CC705" si="548">""</f>
        <v/>
      </c>
      <c r="CC705" s="1" t="str">
        <f t="shared" si="548"/>
        <v/>
      </c>
      <c r="CG705" s="1" t="s">
        <v>1045</v>
      </c>
      <c r="CH705" s="1" t="s">
        <v>219</v>
      </c>
      <c r="CK705" s="1" t="s">
        <v>581</v>
      </c>
      <c r="CL705" s="1" t="s">
        <v>277</v>
      </c>
      <c r="CO705" s="1" t="s">
        <v>379</v>
      </c>
      <c r="CP705" s="1" t="s">
        <v>219</v>
      </c>
      <c r="CS705" s="1" t="s">
        <v>757</v>
      </c>
      <c r="CT705" s="1" t="s">
        <v>277</v>
      </c>
      <c r="CX705" s="1" t="s">
        <v>224</v>
      </c>
      <c r="DB705" s="1" t="s">
        <v>224</v>
      </c>
      <c r="DE705" s="1" t="s">
        <v>1358</v>
      </c>
      <c r="DF705" s="1" t="s">
        <v>219</v>
      </c>
      <c r="DJ705" s="1" t="s">
        <v>224</v>
      </c>
      <c r="DS705" s="1" t="s">
        <v>230</v>
      </c>
      <c r="DW705" s="1" t="s">
        <v>230</v>
      </c>
      <c r="EA705" s="1" t="s">
        <v>230</v>
      </c>
      <c r="EE705" s="1" t="s">
        <v>230</v>
      </c>
      <c r="EI705" s="1" t="s">
        <v>230</v>
      </c>
      <c r="EL705" s="1" t="s">
        <v>466</v>
      </c>
      <c r="EM705" s="1" t="s">
        <v>319</v>
      </c>
      <c r="EN705" s="1" t="s">
        <v>282</v>
      </c>
      <c r="EO705" s="1" t="s">
        <v>234</v>
      </c>
      <c r="ER705" s="1" t="s">
        <v>210</v>
      </c>
      <c r="EW705" s="1" t="s">
        <v>347</v>
      </c>
      <c r="EZ705" s="1" t="s">
        <v>287</v>
      </c>
      <c r="FD705" s="1" t="s">
        <v>1649</v>
      </c>
      <c r="FE705" s="1" t="s">
        <v>496</v>
      </c>
      <c r="FF705" s="1" t="s">
        <v>248</v>
      </c>
      <c r="FH705" s="1" t="s">
        <v>442</v>
      </c>
      <c r="FL705" s="1" t="s">
        <v>358</v>
      </c>
      <c r="FM705" s="1" t="s">
        <v>252</v>
      </c>
      <c r="FN705" s="1" t="s">
        <v>213</v>
      </c>
      <c r="FO705" s="1" t="s">
        <v>213</v>
      </c>
      <c r="FQ705" s="1" t="s">
        <v>689</v>
      </c>
      <c r="FR705" s="1" t="s">
        <v>210</v>
      </c>
      <c r="FS705" s="1" t="s">
        <v>2541</v>
      </c>
      <c r="FT705" s="1" t="s">
        <v>654</v>
      </c>
      <c r="FU705" s="1" t="s">
        <v>204</v>
      </c>
      <c r="FW705" s="1" t="s">
        <v>4399</v>
      </c>
      <c r="FX705" s="1">
        <v>8698</v>
      </c>
      <c r="FY705" s="1" t="s">
        <v>4400</v>
      </c>
      <c r="FZ705" s="1" t="s">
        <v>4401</v>
      </c>
      <c r="GA705" s="1">
        <v>85273</v>
      </c>
      <c r="GB705" s="1" t="s">
        <v>4400</v>
      </c>
      <c r="GE705" s="1" t="s">
        <v>210</v>
      </c>
      <c r="GH705" s="1" t="s">
        <v>230</v>
      </c>
      <c r="GI705" s="1" t="s">
        <v>213</v>
      </c>
      <c r="GJ705" s="1" t="s">
        <v>260</v>
      </c>
      <c r="GK705" s="1" t="s">
        <v>210</v>
      </c>
      <c r="GL705" s="2">
        <v>42138</v>
      </c>
      <c r="GM705" s="1" t="s">
        <v>8264</v>
      </c>
    </row>
    <row r="706" spans="1:195">
      <c r="A706" s="1">
        <v>44000</v>
      </c>
      <c r="B706" s="1" t="s">
        <v>195</v>
      </c>
      <c r="C706" s="1" t="str">
        <f>"08807532"</f>
        <v>08807532</v>
      </c>
      <c r="D706" s="1" t="s">
        <v>196</v>
      </c>
      <c r="F706" s="1" t="str">
        <f>"517"</f>
        <v>517</v>
      </c>
      <c r="G706" s="2">
        <v>42003</v>
      </c>
      <c r="H706" s="1">
        <v>39900</v>
      </c>
      <c r="I706" s="1">
        <v>39900</v>
      </c>
      <c r="J706" s="1">
        <v>44000</v>
      </c>
      <c r="K706" s="2">
        <v>42002</v>
      </c>
      <c r="L706" s="1">
        <v>53</v>
      </c>
      <c r="M706" s="2">
        <v>42054</v>
      </c>
      <c r="N706" s="1">
        <v>53</v>
      </c>
      <c r="O706" s="2">
        <v>42054</v>
      </c>
      <c r="P706" s="1">
        <v>25226</v>
      </c>
      <c r="Q706" s="1" t="s">
        <v>302</v>
      </c>
      <c r="R706" s="2">
        <v>42069</v>
      </c>
      <c r="S706" s="1">
        <v>239677</v>
      </c>
      <c r="U706" s="1">
        <v>2210</v>
      </c>
      <c r="V706" s="1" t="s">
        <v>7960</v>
      </c>
      <c r="W706" s="1" t="s">
        <v>264</v>
      </c>
      <c r="X706" s="1">
        <v>5</v>
      </c>
      <c r="Y706" s="1">
        <v>18</v>
      </c>
      <c r="Z706" s="1" t="s">
        <v>249</v>
      </c>
      <c r="AA706" s="1" t="s">
        <v>2850</v>
      </c>
      <c r="AB706" s="1">
        <v>60517</v>
      </c>
      <c r="AE706" s="1" t="s">
        <v>8265</v>
      </c>
      <c r="AF706" s="1">
        <v>1979</v>
      </c>
      <c r="AG706" s="1" t="s">
        <v>204</v>
      </c>
      <c r="AH706" s="1" t="s">
        <v>2853</v>
      </c>
      <c r="AI706" s="1" t="s">
        <v>206</v>
      </c>
      <c r="AJ706" s="1" t="s">
        <v>925</v>
      </c>
      <c r="AL706" s="1">
        <v>5</v>
      </c>
      <c r="AM706" s="1">
        <v>2</v>
      </c>
      <c r="AN706" s="1">
        <v>1</v>
      </c>
      <c r="AO706" s="1">
        <v>0</v>
      </c>
      <c r="AP706" s="1" t="s">
        <v>210</v>
      </c>
      <c r="AR706" s="1" t="s">
        <v>210</v>
      </c>
      <c r="AS706" s="1" t="s">
        <v>204</v>
      </c>
      <c r="AT706" s="1" t="s">
        <v>210</v>
      </c>
      <c r="AW706" s="1" t="s">
        <v>204</v>
      </c>
      <c r="AX706" s="1" t="s">
        <v>212</v>
      </c>
      <c r="AZ706" s="1">
        <v>825</v>
      </c>
      <c r="BA706" s="1">
        <v>2013</v>
      </c>
      <c r="BE706" s="1">
        <v>937</v>
      </c>
      <c r="BF706" s="1">
        <v>1</v>
      </c>
      <c r="BG706" s="1">
        <v>10</v>
      </c>
      <c r="BL706" s="1">
        <v>323</v>
      </c>
      <c r="BM706" s="1" t="s">
        <v>204</v>
      </c>
      <c r="BN706" s="1" t="s">
        <v>213</v>
      </c>
      <c r="BO706" s="1">
        <v>999</v>
      </c>
      <c r="BP706" s="1" t="s">
        <v>204</v>
      </c>
      <c r="BR706" s="1" t="str">
        <f>"0825421059"</f>
        <v>0825421059</v>
      </c>
      <c r="BT706" s="1" t="s">
        <v>8266</v>
      </c>
      <c r="BX706" s="1">
        <v>68</v>
      </c>
      <c r="BY706" s="1">
        <v>68</v>
      </c>
      <c r="BZ706" s="1">
        <v>99</v>
      </c>
      <c r="CB706" s="1" t="str">
        <f t="shared" ref="CB706:CC706" si="549">""</f>
        <v/>
      </c>
      <c r="CC706" s="1" t="str">
        <f t="shared" si="549"/>
        <v/>
      </c>
      <c r="CG706" s="1" t="s">
        <v>861</v>
      </c>
      <c r="CH706" s="1" t="s">
        <v>219</v>
      </c>
      <c r="CK706" s="1" t="s">
        <v>932</v>
      </c>
      <c r="CL706" s="1" t="s">
        <v>219</v>
      </c>
      <c r="CO706" s="1" t="s">
        <v>516</v>
      </c>
      <c r="CP706" s="1" t="s">
        <v>219</v>
      </c>
      <c r="CS706" s="1" t="s">
        <v>465</v>
      </c>
      <c r="CT706" s="1" t="s">
        <v>219</v>
      </c>
      <c r="CX706" s="1" t="s">
        <v>224</v>
      </c>
      <c r="DB706" s="1" t="s">
        <v>224</v>
      </c>
      <c r="DE706" s="1" t="s">
        <v>2031</v>
      </c>
      <c r="DF706" s="1" t="s">
        <v>219</v>
      </c>
      <c r="DJ706" s="1" t="s">
        <v>224</v>
      </c>
      <c r="DS706" s="1" t="s">
        <v>230</v>
      </c>
      <c r="DW706" s="1" t="s">
        <v>230</v>
      </c>
      <c r="EA706" s="1" t="s">
        <v>230</v>
      </c>
      <c r="EE706" s="1" t="s">
        <v>230</v>
      </c>
      <c r="EI706" s="1" t="s">
        <v>230</v>
      </c>
      <c r="EL706" s="1" t="s">
        <v>231</v>
      </c>
      <c r="EM706" s="1" t="s">
        <v>319</v>
      </c>
      <c r="EN706" s="1" t="s">
        <v>4764</v>
      </c>
      <c r="EO706" s="1" t="s">
        <v>234</v>
      </c>
      <c r="ER706" s="1" t="s">
        <v>210</v>
      </c>
      <c r="EW706" s="1" t="s">
        <v>8267</v>
      </c>
      <c r="EZ706" s="1" t="s">
        <v>287</v>
      </c>
      <c r="FD706" s="1" t="s">
        <v>246</v>
      </c>
      <c r="FE706" s="1" t="s">
        <v>247</v>
      </c>
      <c r="FF706" s="1" t="s">
        <v>248</v>
      </c>
      <c r="FH706" s="1" t="s">
        <v>249</v>
      </c>
      <c r="FL706" s="1" t="s">
        <v>358</v>
      </c>
      <c r="FM706" s="1" t="s">
        <v>252</v>
      </c>
      <c r="FN706" s="1" t="s">
        <v>213</v>
      </c>
      <c r="FO706" s="1" t="s">
        <v>213</v>
      </c>
      <c r="FQ706" s="1" t="s">
        <v>689</v>
      </c>
      <c r="FR706" s="1" t="s">
        <v>210</v>
      </c>
      <c r="FS706" s="1" t="s">
        <v>3516</v>
      </c>
      <c r="FT706" s="1" t="s">
        <v>255</v>
      </c>
      <c r="FU706" s="1" t="s">
        <v>204</v>
      </c>
      <c r="FW706" s="1" t="s">
        <v>3517</v>
      </c>
      <c r="FX706" s="1">
        <v>20114</v>
      </c>
      <c r="FY706" s="1" t="s">
        <v>3518</v>
      </c>
      <c r="FZ706" s="1" t="s">
        <v>3519</v>
      </c>
      <c r="GA706" s="1">
        <v>216033</v>
      </c>
      <c r="GB706" s="1" t="s">
        <v>3520</v>
      </c>
      <c r="GD706" s="1" t="s">
        <v>3521</v>
      </c>
      <c r="GE706" s="1" t="s">
        <v>210</v>
      </c>
      <c r="GI706" s="1" t="s">
        <v>213</v>
      </c>
      <c r="GJ706" s="1" t="s">
        <v>260</v>
      </c>
      <c r="GK706" s="1" t="s">
        <v>261</v>
      </c>
      <c r="GL706" s="2">
        <v>42072</v>
      </c>
      <c r="GM706" s="1" t="s">
        <v>8268</v>
      </c>
    </row>
    <row r="707" spans="1:195">
      <c r="A707" s="1">
        <v>122000</v>
      </c>
      <c r="B707" s="1" t="s">
        <v>195</v>
      </c>
      <c r="C707" s="1" t="str">
        <f>"08808809"</f>
        <v>08808809</v>
      </c>
      <c r="D707" s="1" t="s">
        <v>196</v>
      </c>
      <c r="F707" s="1" t="str">
        <f>"10"</f>
        <v>10</v>
      </c>
      <c r="G707" s="2">
        <v>42007</v>
      </c>
      <c r="H707" s="1">
        <v>129900</v>
      </c>
      <c r="I707" s="1">
        <v>129900</v>
      </c>
      <c r="J707" s="1">
        <v>122000</v>
      </c>
      <c r="K707" s="2">
        <v>42007</v>
      </c>
      <c r="L707" s="1">
        <v>7</v>
      </c>
      <c r="M707" s="2">
        <v>42013</v>
      </c>
      <c r="N707" s="1">
        <v>7</v>
      </c>
      <c r="O707" s="2">
        <v>42013</v>
      </c>
      <c r="P707" s="1">
        <v>8815</v>
      </c>
      <c r="Q707" s="1" t="s">
        <v>302</v>
      </c>
      <c r="R707" s="2">
        <v>42033</v>
      </c>
      <c r="S707" s="1">
        <v>923541</v>
      </c>
      <c r="U707" s="1">
        <v>345</v>
      </c>
      <c r="V707" s="1" t="s">
        <v>8269</v>
      </c>
      <c r="W707" s="1" t="s">
        <v>1056</v>
      </c>
      <c r="X707" s="1" t="s">
        <v>527</v>
      </c>
      <c r="Y707" s="1">
        <v>4</v>
      </c>
      <c r="Z707" s="1" t="s">
        <v>200</v>
      </c>
      <c r="AA707" s="1" t="s">
        <v>1985</v>
      </c>
      <c r="AB707" s="1">
        <v>60010</v>
      </c>
      <c r="AD707" s="1" t="s">
        <v>7204</v>
      </c>
      <c r="AE707" s="1" t="s">
        <v>8270</v>
      </c>
      <c r="AF707" s="1">
        <v>1977</v>
      </c>
      <c r="AG707" s="1" t="s">
        <v>213</v>
      </c>
      <c r="AH707" s="1" t="s">
        <v>1988</v>
      </c>
      <c r="AI707" s="1" t="s">
        <v>509</v>
      </c>
      <c r="AJ707" s="1" t="s">
        <v>1989</v>
      </c>
      <c r="AK707" s="1" t="s">
        <v>6290</v>
      </c>
      <c r="AL707" s="1">
        <v>5</v>
      </c>
      <c r="AM707" s="1">
        <v>2</v>
      </c>
      <c r="AN707" s="1">
        <v>2</v>
      </c>
      <c r="AO707" s="1">
        <v>0</v>
      </c>
      <c r="AP707" s="1" t="s">
        <v>209</v>
      </c>
      <c r="AQ707" s="1">
        <v>1</v>
      </c>
      <c r="AR707" s="1" t="s">
        <v>210</v>
      </c>
      <c r="AS707" s="1" t="s">
        <v>204</v>
      </c>
      <c r="AT707" s="1" t="s">
        <v>211</v>
      </c>
      <c r="AU707" s="1">
        <v>1</v>
      </c>
      <c r="AW707" s="1" t="s">
        <v>213</v>
      </c>
      <c r="AX707" s="1" t="s">
        <v>212</v>
      </c>
      <c r="AZ707" s="5">
        <v>3440.9</v>
      </c>
      <c r="BA707" s="1">
        <v>2013</v>
      </c>
      <c r="BB707" s="1" t="s">
        <v>405</v>
      </c>
      <c r="BE707" s="1">
        <v>1346</v>
      </c>
      <c r="BF707" s="1">
        <v>2</v>
      </c>
      <c r="BG707" s="1">
        <v>30</v>
      </c>
      <c r="BJ707" s="1">
        <v>95</v>
      </c>
      <c r="BL707" s="1">
        <v>424</v>
      </c>
      <c r="BM707" s="1" t="s">
        <v>213</v>
      </c>
      <c r="BN707" s="1" t="s">
        <v>213</v>
      </c>
      <c r="BO707" s="1">
        <v>50</v>
      </c>
      <c r="BP707" s="1" t="s">
        <v>204</v>
      </c>
      <c r="BR707" s="1" t="str">
        <f>"13114000950000"</f>
        <v>13114000950000</v>
      </c>
      <c r="BT707" s="1" t="s">
        <v>8271</v>
      </c>
      <c r="BU707" s="1" t="s">
        <v>1992</v>
      </c>
      <c r="BV707" s="1" t="s">
        <v>1993</v>
      </c>
      <c r="BW707" s="1" t="s">
        <v>1994</v>
      </c>
      <c r="BX707" s="1">
        <v>220</v>
      </c>
      <c r="BY707" s="1">
        <v>220</v>
      </c>
      <c r="BZ707" s="1">
        <v>220</v>
      </c>
      <c r="CB707" s="1" t="str">
        <f>"24"</f>
        <v>24</v>
      </c>
      <c r="CC707" s="1" t="str">
        <f t="shared" ref="CC707:CC708" si="550">"0"</f>
        <v>0</v>
      </c>
      <c r="CD707" s="1">
        <v>26</v>
      </c>
      <c r="CE707" s="1">
        <v>0</v>
      </c>
      <c r="CG707" s="1" t="s">
        <v>1803</v>
      </c>
      <c r="CH707" s="1" t="s">
        <v>277</v>
      </c>
      <c r="CI707" s="1" t="s">
        <v>220</v>
      </c>
      <c r="CJ707" s="1" t="s">
        <v>343</v>
      </c>
      <c r="CK707" s="1" t="s">
        <v>1045</v>
      </c>
      <c r="CL707" s="1" t="s">
        <v>277</v>
      </c>
      <c r="CM707" s="1" t="s">
        <v>220</v>
      </c>
      <c r="CO707" s="1" t="s">
        <v>317</v>
      </c>
      <c r="CP707" s="1" t="s">
        <v>277</v>
      </c>
      <c r="CQ707" s="1" t="s">
        <v>220</v>
      </c>
      <c r="CS707" s="1" t="s">
        <v>461</v>
      </c>
      <c r="CT707" s="1" t="s">
        <v>277</v>
      </c>
      <c r="CU707" s="1" t="s">
        <v>220</v>
      </c>
      <c r="CX707" s="1" t="s">
        <v>224</v>
      </c>
      <c r="DB707" s="1" t="s">
        <v>224</v>
      </c>
      <c r="DE707" s="1" t="s">
        <v>1454</v>
      </c>
      <c r="DF707" s="1" t="s">
        <v>277</v>
      </c>
      <c r="DG707" s="1" t="s">
        <v>220</v>
      </c>
      <c r="DJ707" s="1" t="s">
        <v>224</v>
      </c>
      <c r="DS707" s="1" t="s">
        <v>230</v>
      </c>
      <c r="DW707" s="1" t="s">
        <v>230</v>
      </c>
      <c r="EA707" s="1" t="s">
        <v>230</v>
      </c>
      <c r="EE707" s="1" t="s">
        <v>230</v>
      </c>
      <c r="EI707" s="1" t="s">
        <v>230</v>
      </c>
      <c r="EL707" s="1" t="s">
        <v>231</v>
      </c>
      <c r="EM707" s="1" t="s">
        <v>761</v>
      </c>
      <c r="EN707" s="1" t="s">
        <v>282</v>
      </c>
      <c r="EO707" s="1" t="s">
        <v>840</v>
      </c>
      <c r="EP707" s="1" t="s">
        <v>8272</v>
      </c>
      <c r="EQ707" s="1" t="s">
        <v>1094</v>
      </c>
      <c r="ER707" s="1" t="s">
        <v>210</v>
      </c>
      <c r="EU707" s="1" t="s">
        <v>7601</v>
      </c>
      <c r="EV707" s="1" t="s">
        <v>240</v>
      </c>
      <c r="EW707" s="1" t="s">
        <v>8273</v>
      </c>
      <c r="EZ707" s="1" t="s">
        <v>287</v>
      </c>
      <c r="FA707" s="1" t="s">
        <v>1427</v>
      </c>
      <c r="FB707" s="1" t="s">
        <v>244</v>
      </c>
      <c r="FD707" s="1" t="s">
        <v>385</v>
      </c>
      <c r="FE707" s="1" t="s">
        <v>889</v>
      </c>
      <c r="FF707" s="1" t="s">
        <v>248</v>
      </c>
      <c r="FH707" s="1" t="s">
        <v>249</v>
      </c>
      <c r="FJ707" s="1" t="s">
        <v>1179</v>
      </c>
      <c r="FL707" s="1" t="s">
        <v>1073</v>
      </c>
      <c r="FM707" s="1" t="s">
        <v>252</v>
      </c>
      <c r="FN707" s="1" t="s">
        <v>213</v>
      </c>
      <c r="FO707" s="1" t="s">
        <v>213</v>
      </c>
      <c r="FQ707" s="1" t="s">
        <v>8274</v>
      </c>
      <c r="FR707" s="1" t="s">
        <v>210</v>
      </c>
      <c r="FS707" s="1" t="s">
        <v>4325</v>
      </c>
      <c r="FT707" s="1" t="s">
        <v>295</v>
      </c>
      <c r="FU707" s="1" t="s">
        <v>204</v>
      </c>
      <c r="FW707" s="1" t="s">
        <v>8275</v>
      </c>
      <c r="FX707" s="1">
        <v>7480</v>
      </c>
      <c r="FY707" s="1" t="s">
        <v>8276</v>
      </c>
      <c r="FZ707" s="1" t="s">
        <v>8277</v>
      </c>
      <c r="GA707" s="1">
        <v>70383</v>
      </c>
      <c r="GB707" s="1" t="s">
        <v>8278</v>
      </c>
      <c r="GD707" s="1" t="s">
        <v>8279</v>
      </c>
      <c r="GE707" s="1" t="s">
        <v>480</v>
      </c>
      <c r="GI707" s="1" t="s">
        <v>213</v>
      </c>
      <c r="GJ707" s="1" t="s">
        <v>260</v>
      </c>
      <c r="GK707" s="1" t="s">
        <v>210</v>
      </c>
      <c r="GL707" s="2">
        <v>42033</v>
      </c>
      <c r="GM707" s="1" t="s">
        <v>8280</v>
      </c>
    </row>
    <row r="708" spans="1:195">
      <c r="A708" s="1">
        <v>140000</v>
      </c>
      <c r="B708" s="1" t="s">
        <v>195</v>
      </c>
      <c r="C708" s="1" t="str">
        <f>"08807476"</f>
        <v>08807476</v>
      </c>
      <c r="D708" s="1" t="s">
        <v>196</v>
      </c>
      <c r="F708" s="1" t="str">
        <f>"60"</f>
        <v>60</v>
      </c>
      <c r="G708" s="2">
        <v>42003</v>
      </c>
      <c r="H708" s="1">
        <v>146500</v>
      </c>
      <c r="I708" s="1">
        <v>146500</v>
      </c>
      <c r="J708" s="1">
        <v>140000</v>
      </c>
      <c r="K708" s="2">
        <v>42003</v>
      </c>
      <c r="L708" s="1">
        <v>73</v>
      </c>
      <c r="M708" s="2">
        <v>42075</v>
      </c>
      <c r="N708" s="1">
        <v>73</v>
      </c>
      <c r="O708" s="2">
        <v>42075</v>
      </c>
      <c r="P708" s="1">
        <v>22029</v>
      </c>
      <c r="Q708" s="1" t="s">
        <v>302</v>
      </c>
      <c r="R708" s="2">
        <v>42108</v>
      </c>
      <c r="S708" s="1">
        <v>81576</v>
      </c>
      <c r="T708" s="1">
        <v>500</v>
      </c>
      <c r="U708" s="1">
        <v>1369</v>
      </c>
      <c r="V708" s="1" t="s">
        <v>8281</v>
      </c>
      <c r="W708" s="1" t="s">
        <v>264</v>
      </c>
      <c r="Y708" s="1">
        <v>8</v>
      </c>
      <c r="Z708" s="1" t="s">
        <v>370</v>
      </c>
      <c r="AA708" s="1" t="s">
        <v>1689</v>
      </c>
      <c r="AB708" s="1">
        <v>60060</v>
      </c>
      <c r="AD708" s="1" t="s">
        <v>7840</v>
      </c>
      <c r="AE708" s="1" t="s">
        <v>8282</v>
      </c>
      <c r="AF708" s="1">
        <v>1994</v>
      </c>
      <c r="AG708" s="1" t="s">
        <v>204</v>
      </c>
      <c r="AH708" s="1" t="s">
        <v>1692</v>
      </c>
      <c r="AI708" s="1" t="s">
        <v>509</v>
      </c>
      <c r="AJ708" s="1" t="s">
        <v>510</v>
      </c>
      <c r="AK708" s="1" t="s">
        <v>8283</v>
      </c>
      <c r="AL708" s="1">
        <v>6</v>
      </c>
      <c r="AM708" s="1">
        <v>2</v>
      </c>
      <c r="AN708" s="1">
        <v>2</v>
      </c>
      <c r="AO708" s="1">
        <v>1</v>
      </c>
      <c r="AP708" s="1" t="s">
        <v>209</v>
      </c>
      <c r="AQ708" s="1">
        <v>1</v>
      </c>
      <c r="AR708" s="1" t="s">
        <v>210</v>
      </c>
      <c r="AS708" s="1" t="s">
        <v>204</v>
      </c>
      <c r="AT708" s="1" t="s">
        <v>211</v>
      </c>
      <c r="AU708" s="1">
        <v>1</v>
      </c>
      <c r="AW708" s="1" t="s">
        <v>204</v>
      </c>
      <c r="AX708" s="1" t="s">
        <v>212</v>
      </c>
      <c r="AZ708" s="1">
        <v>4826.05</v>
      </c>
      <c r="BA708" s="1">
        <v>2013</v>
      </c>
      <c r="BB708" s="1" t="s">
        <v>405</v>
      </c>
      <c r="BE708" s="1">
        <v>1332</v>
      </c>
      <c r="BF708" s="1">
        <v>1</v>
      </c>
      <c r="BG708" s="1">
        <v>0</v>
      </c>
      <c r="BL708" s="1">
        <v>186</v>
      </c>
      <c r="BM708" s="1" t="s">
        <v>204</v>
      </c>
      <c r="BN708" s="1" t="s">
        <v>213</v>
      </c>
      <c r="BO708" s="1">
        <v>60</v>
      </c>
      <c r="BP708" s="1" t="s">
        <v>204</v>
      </c>
      <c r="BR708" s="1" t="str">
        <f>"15051070340000"</f>
        <v>15051070340000</v>
      </c>
      <c r="BT708" s="1" t="s">
        <v>8284</v>
      </c>
      <c r="BU708" s="1" t="s">
        <v>1879</v>
      </c>
      <c r="BV708" s="1" t="s">
        <v>1880</v>
      </c>
      <c r="BW708" s="1" t="s">
        <v>5840</v>
      </c>
      <c r="BX708" s="1">
        <v>73</v>
      </c>
      <c r="BY708" s="1">
        <v>73</v>
      </c>
      <c r="BZ708" s="1">
        <v>120</v>
      </c>
      <c r="CB708" s="1" t="str">
        <f>"25"</f>
        <v>25</v>
      </c>
      <c r="CC708" s="1" t="str">
        <f t="shared" si="550"/>
        <v>0</v>
      </c>
      <c r="CD708" s="1">
        <v>17</v>
      </c>
      <c r="CE708" s="1">
        <v>0</v>
      </c>
      <c r="CG708" s="1" t="s">
        <v>2560</v>
      </c>
      <c r="CH708" s="1" t="s">
        <v>219</v>
      </c>
      <c r="CI708" s="1" t="s">
        <v>438</v>
      </c>
      <c r="CK708" s="1" t="s">
        <v>280</v>
      </c>
      <c r="CL708" s="1" t="s">
        <v>277</v>
      </c>
      <c r="CM708" s="1" t="s">
        <v>438</v>
      </c>
      <c r="CO708" s="1" t="s">
        <v>629</v>
      </c>
      <c r="CP708" s="1" t="s">
        <v>219</v>
      </c>
      <c r="CQ708" s="1" t="s">
        <v>438</v>
      </c>
      <c r="CS708" s="1" t="s">
        <v>836</v>
      </c>
      <c r="CT708" s="1" t="s">
        <v>277</v>
      </c>
      <c r="CU708" s="1" t="s">
        <v>438</v>
      </c>
      <c r="CV708" s="1" t="s">
        <v>252</v>
      </c>
      <c r="CX708" s="1" t="s">
        <v>224</v>
      </c>
      <c r="DB708" s="1" t="s">
        <v>224</v>
      </c>
      <c r="DE708" s="1" t="s">
        <v>4999</v>
      </c>
      <c r="DF708" s="1" t="s">
        <v>219</v>
      </c>
      <c r="DG708" s="1" t="s">
        <v>342</v>
      </c>
      <c r="DH708" s="1" t="s">
        <v>343</v>
      </c>
      <c r="DJ708" s="1" t="s">
        <v>224</v>
      </c>
      <c r="DM708" s="1" t="s">
        <v>381</v>
      </c>
      <c r="DR708" s="1" t="s">
        <v>345</v>
      </c>
      <c r="DS708" s="1" t="s">
        <v>219</v>
      </c>
      <c r="DT708" s="1" t="s">
        <v>342</v>
      </c>
      <c r="DU708" s="1" t="s">
        <v>343</v>
      </c>
      <c r="DW708" s="1" t="s">
        <v>230</v>
      </c>
      <c r="EA708" s="1" t="s">
        <v>230</v>
      </c>
      <c r="EE708" s="1" t="s">
        <v>230</v>
      </c>
      <c r="EI708" s="1" t="s">
        <v>230</v>
      </c>
      <c r="EL708" s="1" t="s">
        <v>382</v>
      </c>
      <c r="EM708" s="1" t="s">
        <v>319</v>
      </c>
      <c r="EN708" s="1" t="s">
        <v>282</v>
      </c>
      <c r="EO708" s="1" t="s">
        <v>234</v>
      </c>
      <c r="EP708" s="1" t="s">
        <v>1268</v>
      </c>
      <c r="EQ708" s="1" t="s">
        <v>236</v>
      </c>
      <c r="ER708" s="1" t="s">
        <v>383</v>
      </c>
      <c r="ES708" s="1" t="s">
        <v>3932</v>
      </c>
      <c r="EU708" s="1" t="s">
        <v>712</v>
      </c>
      <c r="EV708" s="1" t="s">
        <v>240</v>
      </c>
      <c r="EW708" s="1" t="s">
        <v>887</v>
      </c>
      <c r="EY708" s="1" t="s">
        <v>2455</v>
      </c>
      <c r="EZ708" s="1" t="s">
        <v>381</v>
      </c>
      <c r="FA708" s="1" t="s">
        <v>3624</v>
      </c>
      <c r="FB708" s="1" t="s">
        <v>1505</v>
      </c>
      <c r="FC708" s="1" t="s">
        <v>1555</v>
      </c>
      <c r="FD708" s="1" t="s">
        <v>246</v>
      </c>
      <c r="FE708" s="1" t="s">
        <v>472</v>
      </c>
      <c r="FF708" s="1" t="s">
        <v>248</v>
      </c>
      <c r="FG708" s="1" t="s">
        <v>1204</v>
      </c>
      <c r="FH708" s="1" t="s">
        <v>550</v>
      </c>
      <c r="FI708" s="1" t="s">
        <v>473</v>
      </c>
      <c r="FJ708" s="1" t="s">
        <v>197</v>
      </c>
      <c r="FL708" s="1" t="s">
        <v>358</v>
      </c>
      <c r="FM708" s="1" t="s">
        <v>252</v>
      </c>
      <c r="FN708" s="1" t="s">
        <v>213</v>
      </c>
      <c r="FO708" s="1" t="s">
        <v>213</v>
      </c>
      <c r="FQ708" s="1" t="s">
        <v>293</v>
      </c>
      <c r="FR708" s="1" t="s">
        <v>210</v>
      </c>
      <c r="FS708" s="1" t="s">
        <v>8285</v>
      </c>
      <c r="FT708" s="1" t="s">
        <v>1778</v>
      </c>
      <c r="FU708" s="1" t="s">
        <v>204</v>
      </c>
      <c r="FV708" s="1" t="s">
        <v>8286</v>
      </c>
      <c r="FW708" s="1" t="s">
        <v>256</v>
      </c>
      <c r="FX708" s="1">
        <v>2648</v>
      </c>
      <c r="FY708" s="1" t="s">
        <v>1022</v>
      </c>
      <c r="FZ708" s="1" t="s">
        <v>8287</v>
      </c>
      <c r="GA708" s="1">
        <v>12481</v>
      </c>
      <c r="GB708" s="1" t="s">
        <v>8288</v>
      </c>
      <c r="GD708" s="1" t="s">
        <v>8289</v>
      </c>
      <c r="GE708" s="1" t="s">
        <v>1226</v>
      </c>
      <c r="GI708" s="1" t="s">
        <v>213</v>
      </c>
      <c r="GJ708" s="1" t="s">
        <v>260</v>
      </c>
      <c r="GK708" s="1" t="s">
        <v>210</v>
      </c>
      <c r="GL708" s="2">
        <v>42109</v>
      </c>
      <c r="GM708" s="1" t="s">
        <v>8290</v>
      </c>
    </row>
    <row r="709" spans="1:195">
      <c r="A709" s="1">
        <v>151000</v>
      </c>
      <c r="B709" s="1" t="s">
        <v>195</v>
      </c>
      <c r="C709" s="1" t="str">
        <f>"08807358"</f>
        <v>08807358</v>
      </c>
      <c r="D709" s="1" t="s">
        <v>196</v>
      </c>
      <c r="F709" s="1" t="str">
        <f>"507"</f>
        <v>507</v>
      </c>
      <c r="G709" s="2">
        <v>42003</v>
      </c>
      <c r="H709" s="1">
        <v>168900</v>
      </c>
      <c r="I709" s="1">
        <v>159000</v>
      </c>
      <c r="J709" s="1">
        <v>151000</v>
      </c>
      <c r="K709" s="2">
        <v>42001</v>
      </c>
      <c r="L709" s="1">
        <v>61</v>
      </c>
      <c r="M709" s="2">
        <v>42061</v>
      </c>
      <c r="N709" s="1">
        <v>61</v>
      </c>
      <c r="O709" s="2">
        <v>42061</v>
      </c>
      <c r="P709" s="1">
        <v>21777</v>
      </c>
      <c r="Q709" s="1" t="s">
        <v>423</v>
      </c>
      <c r="R709" s="2">
        <v>42123</v>
      </c>
      <c r="S709" s="1">
        <v>215509</v>
      </c>
      <c r="T709" s="1">
        <v>4200</v>
      </c>
      <c r="U709" s="1">
        <v>2327</v>
      </c>
      <c r="V709" s="1" t="s">
        <v>900</v>
      </c>
      <c r="W709" s="1" t="s">
        <v>264</v>
      </c>
      <c r="Y709" s="1">
        <v>8</v>
      </c>
      <c r="Z709" s="1" t="s">
        <v>370</v>
      </c>
      <c r="AA709" s="1" t="s">
        <v>1123</v>
      </c>
      <c r="AB709" s="1">
        <v>60502</v>
      </c>
      <c r="AD709" s="1" t="s">
        <v>1122</v>
      </c>
      <c r="AE709" s="1" t="s">
        <v>8291</v>
      </c>
      <c r="AF709" s="1">
        <v>1999</v>
      </c>
      <c r="AG709" s="1" t="s">
        <v>204</v>
      </c>
      <c r="AH709" s="1" t="s">
        <v>1126</v>
      </c>
      <c r="AI709" s="1" t="s">
        <v>206</v>
      </c>
      <c r="AJ709" s="1" t="s">
        <v>924</v>
      </c>
      <c r="AK709" s="1" t="s">
        <v>5824</v>
      </c>
      <c r="AL709" s="1">
        <v>8</v>
      </c>
      <c r="AM709" s="1">
        <v>2</v>
      </c>
      <c r="AN709" s="1">
        <v>2</v>
      </c>
      <c r="AO709" s="1">
        <v>1</v>
      </c>
      <c r="AP709" s="1" t="s">
        <v>209</v>
      </c>
      <c r="AQ709" s="1">
        <v>0</v>
      </c>
      <c r="AR709" s="1" t="s">
        <v>210</v>
      </c>
      <c r="AS709" s="1" t="s">
        <v>204</v>
      </c>
      <c r="AT709" s="1" t="s">
        <v>211</v>
      </c>
      <c r="AU709" s="1">
        <v>2</v>
      </c>
      <c r="AW709" s="1" t="s">
        <v>204</v>
      </c>
      <c r="AX709" s="1" t="s">
        <v>212</v>
      </c>
      <c r="AZ709" s="1">
        <v>3619.58</v>
      </c>
      <c r="BA709" s="1">
        <v>2013</v>
      </c>
      <c r="BE709" s="1">
        <v>1658</v>
      </c>
      <c r="BF709" s="1">
        <v>1</v>
      </c>
      <c r="BG709" s="1">
        <v>0</v>
      </c>
      <c r="BL709" s="1">
        <v>212</v>
      </c>
      <c r="BM709" s="1" t="s">
        <v>204</v>
      </c>
      <c r="BN709" s="1" t="s">
        <v>213</v>
      </c>
      <c r="BO709" s="1">
        <v>0</v>
      </c>
      <c r="BP709" s="1" t="s">
        <v>204</v>
      </c>
      <c r="BR709" s="1" t="str">
        <f>"0719104008"</f>
        <v>0719104008</v>
      </c>
      <c r="BT709" s="1" t="s">
        <v>8292</v>
      </c>
      <c r="BX709" s="1">
        <v>204</v>
      </c>
      <c r="BY709" s="1">
        <v>204</v>
      </c>
      <c r="BZ709" s="1">
        <v>204</v>
      </c>
      <c r="CB709" s="1" t="str">
        <f t="shared" ref="CB709:CC709" si="551">"0"</f>
        <v>0</v>
      </c>
      <c r="CC709" s="1" t="str">
        <f t="shared" si="551"/>
        <v>0</v>
      </c>
      <c r="CD709" s="1">
        <v>32</v>
      </c>
      <c r="CE709" s="1">
        <v>7</v>
      </c>
      <c r="CG709" s="1" t="s">
        <v>461</v>
      </c>
      <c r="CH709" s="1" t="s">
        <v>219</v>
      </c>
      <c r="CK709" s="1" t="s">
        <v>885</v>
      </c>
      <c r="CL709" s="1" t="s">
        <v>277</v>
      </c>
      <c r="CO709" s="1" t="s">
        <v>409</v>
      </c>
      <c r="CP709" s="1" t="s">
        <v>219</v>
      </c>
      <c r="CS709" s="1" t="s">
        <v>318</v>
      </c>
      <c r="CT709" s="1" t="s">
        <v>277</v>
      </c>
      <c r="CX709" s="1" t="s">
        <v>224</v>
      </c>
      <c r="DB709" s="1" t="s">
        <v>224</v>
      </c>
      <c r="DE709" s="1" t="s">
        <v>1046</v>
      </c>
      <c r="DF709" s="1" t="s">
        <v>219</v>
      </c>
      <c r="DI709" s="1" t="s">
        <v>932</v>
      </c>
      <c r="DJ709" s="1" t="s">
        <v>219</v>
      </c>
      <c r="DM709" s="1" t="s">
        <v>381</v>
      </c>
      <c r="DN709" s="1" t="s">
        <v>464</v>
      </c>
      <c r="DR709" s="1" t="s">
        <v>2031</v>
      </c>
      <c r="DS709" s="1" t="s">
        <v>219</v>
      </c>
      <c r="DV709" s="1" t="s">
        <v>318</v>
      </c>
      <c r="DW709" s="1" t="s">
        <v>277</v>
      </c>
      <c r="EA709" s="1" t="s">
        <v>230</v>
      </c>
      <c r="EE709" s="1" t="s">
        <v>230</v>
      </c>
      <c r="EI709" s="1" t="s">
        <v>230</v>
      </c>
      <c r="EL709" s="1" t="s">
        <v>466</v>
      </c>
      <c r="EM709" s="1" t="s">
        <v>232</v>
      </c>
      <c r="EN709" s="1" t="s">
        <v>282</v>
      </c>
      <c r="EO709" s="1" t="s">
        <v>1020</v>
      </c>
      <c r="ER709" s="1" t="s">
        <v>210</v>
      </c>
      <c r="EW709" s="1" t="s">
        <v>867</v>
      </c>
      <c r="EZ709" s="1" t="s">
        <v>4284</v>
      </c>
      <c r="FD709" s="1" t="s">
        <v>246</v>
      </c>
      <c r="FE709" s="1" t="s">
        <v>472</v>
      </c>
      <c r="FF709" s="1" t="s">
        <v>248</v>
      </c>
      <c r="FH709" s="1" t="s">
        <v>550</v>
      </c>
      <c r="FL709" s="1" t="s">
        <v>358</v>
      </c>
      <c r="FM709" s="1" t="s">
        <v>252</v>
      </c>
      <c r="FN709" s="1" t="s">
        <v>213</v>
      </c>
      <c r="FO709" s="1" t="s">
        <v>213</v>
      </c>
      <c r="FQ709" s="1" t="s">
        <v>689</v>
      </c>
      <c r="FR709" s="1" t="s">
        <v>210</v>
      </c>
      <c r="FS709" s="1" t="s">
        <v>2541</v>
      </c>
      <c r="FT709" s="1" t="s">
        <v>1828</v>
      </c>
      <c r="FU709" s="1" t="s">
        <v>204</v>
      </c>
      <c r="FW709" s="1" t="s">
        <v>813</v>
      </c>
      <c r="FX709" s="1">
        <v>23286</v>
      </c>
      <c r="FY709" s="1" t="s">
        <v>4315</v>
      </c>
      <c r="FZ709" s="1" t="s">
        <v>4316</v>
      </c>
      <c r="GA709" s="1">
        <v>223647</v>
      </c>
      <c r="GB709" s="1" t="s">
        <v>4317</v>
      </c>
      <c r="GC709" s="1">
        <v>230243</v>
      </c>
      <c r="GE709" s="1" t="s">
        <v>210</v>
      </c>
      <c r="GI709" s="1" t="s">
        <v>213</v>
      </c>
      <c r="GJ709" s="1" t="s">
        <v>260</v>
      </c>
      <c r="GK709" s="1" t="s">
        <v>210</v>
      </c>
      <c r="GL709" s="2">
        <v>42124</v>
      </c>
      <c r="GM709" s="1" t="s">
        <v>4847</v>
      </c>
    </row>
    <row r="710" spans="1:195">
      <c r="A710" s="1">
        <v>55000</v>
      </c>
      <c r="B710" s="1" t="s">
        <v>195</v>
      </c>
      <c r="C710" s="1" t="str">
        <f>"08847527"</f>
        <v>08847527</v>
      </c>
      <c r="D710" s="1" t="s">
        <v>196</v>
      </c>
      <c r="F710" s="1" t="str">
        <f>"107"</f>
        <v>107</v>
      </c>
      <c r="G710" s="2">
        <v>42062</v>
      </c>
      <c r="H710" s="1">
        <v>60000</v>
      </c>
      <c r="I710" s="1">
        <v>60000</v>
      </c>
      <c r="J710" s="1">
        <v>55000</v>
      </c>
      <c r="K710" s="2">
        <v>42062</v>
      </c>
      <c r="L710" s="1">
        <v>27</v>
      </c>
      <c r="M710" s="2">
        <v>42088</v>
      </c>
      <c r="N710" s="1">
        <v>27</v>
      </c>
      <c r="O710" s="2">
        <v>42088</v>
      </c>
      <c r="P710" s="1">
        <v>6485</v>
      </c>
      <c r="Q710" s="1" t="s">
        <v>302</v>
      </c>
      <c r="R710" s="2">
        <v>42122</v>
      </c>
      <c r="S710" s="1">
        <v>63192</v>
      </c>
      <c r="U710" s="1">
        <v>3153</v>
      </c>
      <c r="V710" s="1" t="s">
        <v>8293</v>
      </c>
      <c r="W710" s="1" t="s">
        <v>304</v>
      </c>
      <c r="X710" s="1">
        <v>3153</v>
      </c>
      <c r="Y710" s="1">
        <v>6</v>
      </c>
      <c r="Z710" s="1" t="s">
        <v>370</v>
      </c>
      <c r="AA710" s="1" t="s">
        <v>1211</v>
      </c>
      <c r="AB710" s="1">
        <v>60107</v>
      </c>
      <c r="AC710" s="1">
        <v>2919</v>
      </c>
      <c r="AD710" s="1" t="s">
        <v>5383</v>
      </c>
      <c r="AE710" s="1" t="s">
        <v>8294</v>
      </c>
      <c r="AF710" s="1">
        <v>1970</v>
      </c>
      <c r="AG710" s="1" t="s">
        <v>213</v>
      </c>
      <c r="AH710" s="1" t="s">
        <v>1214</v>
      </c>
      <c r="AI710" s="1" t="s">
        <v>310</v>
      </c>
      <c r="AJ710" s="1" t="s">
        <v>374</v>
      </c>
      <c r="AK710" s="1" t="s">
        <v>8295</v>
      </c>
      <c r="AL710" s="1">
        <v>5</v>
      </c>
      <c r="AM710" s="1">
        <v>2</v>
      </c>
      <c r="AN710" s="1">
        <v>1</v>
      </c>
      <c r="AO710" s="1">
        <v>1</v>
      </c>
      <c r="AP710" s="1" t="s">
        <v>210</v>
      </c>
      <c r="AR710" s="1" t="s">
        <v>209</v>
      </c>
      <c r="AS710" s="1" t="s">
        <v>204</v>
      </c>
      <c r="AT710" s="1" t="s">
        <v>271</v>
      </c>
      <c r="AV710" s="1">
        <v>2</v>
      </c>
      <c r="AW710" s="1" t="s">
        <v>204</v>
      </c>
      <c r="AX710" s="1" t="s">
        <v>8296</v>
      </c>
      <c r="AZ710" s="1">
        <v>4554.1400000000003</v>
      </c>
      <c r="BA710" s="1">
        <v>2013</v>
      </c>
      <c r="BE710" s="1">
        <v>885</v>
      </c>
      <c r="BF710" s="1">
        <v>1</v>
      </c>
      <c r="BG710" s="1">
        <v>1</v>
      </c>
      <c r="BL710" s="1">
        <v>190</v>
      </c>
      <c r="BM710" s="1" t="s">
        <v>204</v>
      </c>
      <c r="BN710" s="1" t="s">
        <v>213</v>
      </c>
      <c r="BO710" s="1">
        <v>999</v>
      </c>
      <c r="BP710" s="1" t="s">
        <v>204</v>
      </c>
      <c r="BR710" s="1" t="str">
        <f>"06263190030000"</f>
        <v>06263190030000</v>
      </c>
      <c r="BT710" s="1" t="s">
        <v>8297</v>
      </c>
      <c r="BX710" s="1">
        <v>46</v>
      </c>
      <c r="BY710" s="1">
        <v>46</v>
      </c>
      <c r="BZ710" s="1">
        <v>46</v>
      </c>
      <c r="CB710" s="1" t="str">
        <f t="shared" ref="CB710:CC710" si="552">""</f>
        <v/>
      </c>
      <c r="CC710" s="1" t="str">
        <f t="shared" si="552"/>
        <v/>
      </c>
      <c r="CG710" s="1" t="s">
        <v>3808</v>
      </c>
      <c r="CH710" s="1" t="s">
        <v>219</v>
      </c>
      <c r="CK710" s="1" t="s">
        <v>465</v>
      </c>
      <c r="CL710" s="1" t="s">
        <v>277</v>
      </c>
      <c r="CO710" s="1" t="s">
        <v>516</v>
      </c>
      <c r="CP710" s="1" t="s">
        <v>219</v>
      </c>
      <c r="CS710" s="1" t="s">
        <v>379</v>
      </c>
      <c r="CT710" s="1" t="s">
        <v>277</v>
      </c>
      <c r="CX710" s="1" t="s">
        <v>224</v>
      </c>
      <c r="DB710" s="1" t="s">
        <v>224</v>
      </c>
      <c r="DE710" s="1" t="s">
        <v>516</v>
      </c>
      <c r="DF710" s="1" t="s">
        <v>219</v>
      </c>
      <c r="DJ710" s="1" t="s">
        <v>224</v>
      </c>
      <c r="DS710" s="1" t="s">
        <v>230</v>
      </c>
      <c r="DW710" s="1" t="s">
        <v>230</v>
      </c>
      <c r="EA710" s="1" t="s">
        <v>230</v>
      </c>
      <c r="EE710" s="1" t="s">
        <v>230</v>
      </c>
      <c r="EI710" s="1" t="s">
        <v>230</v>
      </c>
      <c r="EL710" s="1" t="s">
        <v>605</v>
      </c>
      <c r="EM710" s="1" t="s">
        <v>232</v>
      </c>
      <c r="EN710" s="1" t="s">
        <v>210</v>
      </c>
      <c r="EO710" s="1" t="s">
        <v>840</v>
      </c>
      <c r="ER710" s="1" t="s">
        <v>1249</v>
      </c>
      <c r="EW710" s="1" t="s">
        <v>3255</v>
      </c>
      <c r="EY710" s="1" t="s">
        <v>790</v>
      </c>
      <c r="EZ710" s="1" t="s">
        <v>287</v>
      </c>
      <c r="FD710" s="1" t="s">
        <v>290</v>
      </c>
      <c r="FE710" s="1" t="s">
        <v>386</v>
      </c>
      <c r="FF710" s="1" t="s">
        <v>8298</v>
      </c>
      <c r="FH710" s="1" t="s">
        <v>550</v>
      </c>
      <c r="FK710" s="1" t="s">
        <v>291</v>
      </c>
      <c r="FL710" s="1" t="s">
        <v>358</v>
      </c>
      <c r="FM710" s="1" t="s">
        <v>252</v>
      </c>
      <c r="FN710" s="1" t="s">
        <v>213</v>
      </c>
      <c r="FO710" s="1" t="s">
        <v>213</v>
      </c>
      <c r="FQ710" s="1" t="s">
        <v>8299</v>
      </c>
      <c r="FR710" s="1" t="s">
        <v>8300</v>
      </c>
      <c r="FS710" s="1" t="s">
        <v>8301</v>
      </c>
      <c r="FT710" s="1" t="s">
        <v>8302</v>
      </c>
      <c r="FU710" s="1" t="s">
        <v>204</v>
      </c>
      <c r="FW710" s="1" t="s">
        <v>585</v>
      </c>
      <c r="FX710" s="1">
        <v>6485</v>
      </c>
      <c r="FY710" s="1" t="s">
        <v>8303</v>
      </c>
      <c r="FZ710" s="1" t="s">
        <v>8304</v>
      </c>
      <c r="GA710" s="1">
        <v>63192</v>
      </c>
      <c r="GB710" s="1" t="s">
        <v>8305</v>
      </c>
      <c r="GE710" s="1" t="s">
        <v>210</v>
      </c>
      <c r="GI710" s="1" t="s">
        <v>213</v>
      </c>
      <c r="GJ710" s="1" t="s">
        <v>300</v>
      </c>
      <c r="GK710" s="1" t="s">
        <v>210</v>
      </c>
      <c r="GL710" s="2">
        <v>42122</v>
      </c>
      <c r="GM710" s="1" t="s">
        <v>8306</v>
      </c>
    </row>
    <row r="711" spans="1:195">
      <c r="A711" s="1">
        <v>205000</v>
      </c>
      <c r="B711" s="1" t="s">
        <v>195</v>
      </c>
      <c r="C711" s="1" t="str">
        <f>"08823046"</f>
        <v>08823046</v>
      </c>
      <c r="D711" s="1" t="s">
        <v>196</v>
      </c>
      <c r="F711" s="1" t="str">
        <f>"139"</f>
        <v>139</v>
      </c>
      <c r="G711" s="2">
        <v>42027</v>
      </c>
      <c r="H711" s="1">
        <v>225000</v>
      </c>
      <c r="I711" s="1">
        <v>225000</v>
      </c>
      <c r="J711" s="1">
        <v>205000</v>
      </c>
      <c r="K711" s="2">
        <v>42027</v>
      </c>
      <c r="L711" s="1">
        <v>16</v>
      </c>
      <c r="M711" s="2">
        <v>42042</v>
      </c>
      <c r="N711" s="1">
        <v>16</v>
      </c>
      <c r="O711" s="2">
        <v>42042</v>
      </c>
      <c r="P711" s="1">
        <v>4459</v>
      </c>
      <c r="Q711" s="1" t="s">
        <v>197</v>
      </c>
      <c r="R711" s="2">
        <v>42083</v>
      </c>
      <c r="S711" s="1">
        <v>38572</v>
      </c>
      <c r="U711" s="1">
        <v>366</v>
      </c>
      <c r="V711" s="1" t="s">
        <v>8307</v>
      </c>
      <c r="W711" s="1" t="s">
        <v>449</v>
      </c>
      <c r="Y711" s="1">
        <v>4</v>
      </c>
      <c r="Z711" s="1" t="s">
        <v>370</v>
      </c>
      <c r="AA711" s="1" t="s">
        <v>1732</v>
      </c>
      <c r="AB711" s="1">
        <v>60139</v>
      </c>
      <c r="AD711" s="1" t="s">
        <v>8308</v>
      </c>
      <c r="AE711" s="1" t="s">
        <v>8309</v>
      </c>
      <c r="AF711" s="1">
        <v>2002</v>
      </c>
      <c r="AG711" s="1" t="s">
        <v>204</v>
      </c>
      <c r="AH711" s="1" t="s">
        <v>1735</v>
      </c>
      <c r="AI711" s="1" t="s">
        <v>206</v>
      </c>
      <c r="AJ711" s="1" t="s">
        <v>207</v>
      </c>
      <c r="AL711" s="1">
        <v>7</v>
      </c>
      <c r="AM711" s="1">
        <v>2</v>
      </c>
      <c r="AN711" s="1">
        <v>2</v>
      </c>
      <c r="AO711" s="1">
        <v>1</v>
      </c>
      <c r="AP711" s="1" t="s">
        <v>209</v>
      </c>
      <c r="AR711" s="1" t="s">
        <v>210</v>
      </c>
      <c r="AS711" s="1" t="s">
        <v>204</v>
      </c>
      <c r="AT711" s="1" t="s">
        <v>211</v>
      </c>
      <c r="AU711" s="1">
        <v>2</v>
      </c>
      <c r="AW711" s="1" t="s">
        <v>204</v>
      </c>
      <c r="AX711" s="1" t="s">
        <v>212</v>
      </c>
      <c r="AZ711" s="1">
        <v>7043</v>
      </c>
      <c r="BA711" s="1">
        <v>2013</v>
      </c>
      <c r="BB711" s="1" t="s">
        <v>405</v>
      </c>
      <c r="BE711" s="1">
        <v>1776</v>
      </c>
      <c r="BF711" s="1">
        <v>1</v>
      </c>
      <c r="BG711" s="1">
        <v>0</v>
      </c>
      <c r="BL711" s="1">
        <v>235</v>
      </c>
      <c r="BM711" s="1" t="s">
        <v>204</v>
      </c>
      <c r="BN711" s="1" t="s">
        <v>213</v>
      </c>
      <c r="BO711" s="1">
        <v>999</v>
      </c>
      <c r="BP711" s="1" t="s">
        <v>204</v>
      </c>
      <c r="BR711" s="1" t="str">
        <f>"0503213033"</f>
        <v>0503213033</v>
      </c>
      <c r="BT711" s="1" t="s">
        <v>8310</v>
      </c>
      <c r="BU711" s="1" t="s">
        <v>2167</v>
      </c>
      <c r="BV711" s="1" t="s">
        <v>2168</v>
      </c>
      <c r="BW711" s="1" t="s">
        <v>2169</v>
      </c>
      <c r="BX711" s="1">
        <v>41</v>
      </c>
      <c r="BY711" s="1">
        <v>41</v>
      </c>
      <c r="BZ711" s="1">
        <v>87</v>
      </c>
      <c r="CB711" s="1" t="str">
        <f t="shared" ref="CB711:CC711" si="553">""</f>
        <v/>
      </c>
      <c r="CC711" s="1" t="str">
        <f t="shared" si="553"/>
        <v/>
      </c>
      <c r="CG711" s="1" t="s">
        <v>729</v>
      </c>
      <c r="CH711" s="1" t="s">
        <v>219</v>
      </c>
      <c r="CI711" s="1" t="s">
        <v>220</v>
      </c>
      <c r="CK711" s="1" t="s">
        <v>228</v>
      </c>
      <c r="CL711" s="1" t="s">
        <v>277</v>
      </c>
      <c r="CM711" s="1" t="s">
        <v>220</v>
      </c>
      <c r="CO711" s="1" t="s">
        <v>972</v>
      </c>
      <c r="CP711" s="1" t="s">
        <v>219</v>
      </c>
      <c r="CQ711" s="1" t="s">
        <v>220</v>
      </c>
      <c r="CS711" s="1" t="s">
        <v>379</v>
      </c>
      <c r="CT711" s="1" t="s">
        <v>277</v>
      </c>
      <c r="CU711" s="1" t="s">
        <v>220</v>
      </c>
      <c r="CX711" s="1" t="s">
        <v>224</v>
      </c>
      <c r="DB711" s="1" t="s">
        <v>224</v>
      </c>
      <c r="DE711" s="1" t="s">
        <v>972</v>
      </c>
      <c r="DF711" s="1" t="s">
        <v>219</v>
      </c>
      <c r="DG711" s="1" t="s">
        <v>226</v>
      </c>
      <c r="DI711" s="1" t="s">
        <v>1533</v>
      </c>
      <c r="DJ711" s="1" t="s">
        <v>219</v>
      </c>
      <c r="DK711" s="1" t="s">
        <v>220</v>
      </c>
      <c r="DM711" s="1" t="s">
        <v>464</v>
      </c>
      <c r="DR711" s="1" t="s">
        <v>1358</v>
      </c>
      <c r="DS711" s="1" t="s">
        <v>277</v>
      </c>
      <c r="DT711" s="1" t="s">
        <v>220</v>
      </c>
      <c r="DW711" s="1" t="s">
        <v>230</v>
      </c>
      <c r="EA711" s="1" t="s">
        <v>230</v>
      </c>
      <c r="EE711" s="1" t="s">
        <v>230</v>
      </c>
      <c r="EI711" s="1" t="s">
        <v>230</v>
      </c>
      <c r="EL711" s="1" t="s">
        <v>466</v>
      </c>
      <c r="EM711" s="1" t="s">
        <v>232</v>
      </c>
      <c r="EN711" s="1" t="s">
        <v>282</v>
      </c>
      <c r="EO711" s="1" t="s">
        <v>234</v>
      </c>
      <c r="EQ711" s="1" t="s">
        <v>236</v>
      </c>
      <c r="ER711" s="1" t="s">
        <v>383</v>
      </c>
      <c r="EW711" s="1" t="s">
        <v>353</v>
      </c>
      <c r="EZ711" s="1" t="s">
        <v>464</v>
      </c>
      <c r="FA711" s="1" t="s">
        <v>471</v>
      </c>
      <c r="FD711" s="1" t="s">
        <v>246</v>
      </c>
      <c r="FE711" s="1" t="s">
        <v>247</v>
      </c>
      <c r="FF711" s="1" t="s">
        <v>248</v>
      </c>
      <c r="FH711" s="1" t="s">
        <v>550</v>
      </c>
      <c r="FL711" s="1" t="s">
        <v>414</v>
      </c>
      <c r="FM711" s="1" t="s">
        <v>252</v>
      </c>
      <c r="FN711" s="1" t="s">
        <v>213</v>
      </c>
      <c r="FO711" s="1" t="s">
        <v>213</v>
      </c>
      <c r="FQ711" s="1" t="s">
        <v>2004</v>
      </c>
      <c r="FR711" s="1" t="s">
        <v>210</v>
      </c>
      <c r="FS711" s="1" t="s">
        <v>8311</v>
      </c>
      <c r="FT711" s="1" t="s">
        <v>8312</v>
      </c>
      <c r="FU711" s="1" t="s">
        <v>204</v>
      </c>
      <c r="FW711" s="1" t="s">
        <v>585</v>
      </c>
      <c r="FX711" s="1">
        <v>8002</v>
      </c>
      <c r="FY711" s="1" t="s">
        <v>586</v>
      </c>
      <c r="FZ711" s="1" t="s">
        <v>8313</v>
      </c>
      <c r="GA711" s="1">
        <v>87490</v>
      </c>
      <c r="GB711" s="1" t="s">
        <v>8314</v>
      </c>
      <c r="GE711" s="1" t="s">
        <v>776</v>
      </c>
      <c r="GI711" s="1" t="s">
        <v>204</v>
      </c>
      <c r="GJ711" s="1" t="s">
        <v>260</v>
      </c>
      <c r="GK711" s="1" t="s">
        <v>210</v>
      </c>
      <c r="GL711" s="2">
        <v>42086</v>
      </c>
    </row>
    <row r="712" spans="1:195">
      <c r="A712" s="1">
        <v>63000</v>
      </c>
      <c r="B712" s="1" t="s">
        <v>195</v>
      </c>
      <c r="C712" s="1" t="str">
        <f>"08811093"</f>
        <v>08811093</v>
      </c>
      <c r="D712" s="1" t="s">
        <v>196</v>
      </c>
      <c r="F712" s="1" t="str">
        <f>"555"</f>
        <v>555</v>
      </c>
      <c r="G712" s="2">
        <v>42010</v>
      </c>
      <c r="H712" s="1">
        <v>132000</v>
      </c>
      <c r="I712" s="1">
        <v>84480</v>
      </c>
      <c r="J712" s="1">
        <v>63000</v>
      </c>
      <c r="K712" s="2">
        <v>42009</v>
      </c>
      <c r="L712" s="1">
        <v>166</v>
      </c>
      <c r="M712" s="2">
        <v>42083</v>
      </c>
      <c r="N712" s="1">
        <v>75</v>
      </c>
      <c r="O712" s="2">
        <v>42083</v>
      </c>
      <c r="P712" s="1">
        <v>8096</v>
      </c>
      <c r="Q712" s="1" t="s">
        <v>302</v>
      </c>
      <c r="R712" s="2">
        <v>42125</v>
      </c>
      <c r="S712" s="1">
        <v>82997</v>
      </c>
      <c r="U712" s="1" t="s">
        <v>8315</v>
      </c>
      <c r="V712" s="1" t="s">
        <v>5433</v>
      </c>
      <c r="W712" s="1" t="s">
        <v>504</v>
      </c>
      <c r="X712" s="1">
        <v>648</v>
      </c>
      <c r="Y712" s="1">
        <v>4</v>
      </c>
      <c r="Z712" s="1" t="s">
        <v>370</v>
      </c>
      <c r="AA712" s="1" t="s">
        <v>984</v>
      </c>
      <c r="AB712" s="1">
        <v>60555</v>
      </c>
      <c r="AD712" s="1" t="s">
        <v>4628</v>
      </c>
      <c r="AE712" s="1" t="s">
        <v>8316</v>
      </c>
      <c r="AF712" s="1">
        <v>1974</v>
      </c>
      <c r="AG712" s="1" t="s">
        <v>213</v>
      </c>
      <c r="AH712" s="1" t="s">
        <v>986</v>
      </c>
      <c r="AI712" s="1" t="s">
        <v>206</v>
      </c>
      <c r="AJ712" s="1" t="s">
        <v>987</v>
      </c>
      <c r="AK712" s="1" t="s">
        <v>8317</v>
      </c>
      <c r="AL712" s="1">
        <v>6</v>
      </c>
      <c r="AM712" s="1">
        <v>2</v>
      </c>
      <c r="AN712" s="1">
        <v>1</v>
      </c>
      <c r="AO712" s="1">
        <v>1</v>
      </c>
      <c r="AP712" s="1" t="s">
        <v>210</v>
      </c>
      <c r="AQ712" s="1">
        <v>1</v>
      </c>
      <c r="AR712" s="1" t="s">
        <v>209</v>
      </c>
      <c r="AS712" s="1" t="s">
        <v>213</v>
      </c>
      <c r="AT712" s="1" t="s">
        <v>211</v>
      </c>
      <c r="AU712" s="1">
        <v>1</v>
      </c>
      <c r="AW712" s="1" t="s">
        <v>204</v>
      </c>
      <c r="AX712" s="1" t="s">
        <v>212</v>
      </c>
      <c r="AZ712" s="1">
        <v>3371</v>
      </c>
      <c r="BA712" s="1">
        <v>2013</v>
      </c>
      <c r="BE712" s="1">
        <v>1356</v>
      </c>
      <c r="BF712" s="1">
        <v>1</v>
      </c>
      <c r="BG712" s="1">
        <v>14</v>
      </c>
      <c r="BL712" s="1">
        <v>265</v>
      </c>
      <c r="BM712" s="1" t="s">
        <v>413</v>
      </c>
      <c r="BN712" s="1" t="s">
        <v>213</v>
      </c>
      <c r="BO712" s="1">
        <v>999</v>
      </c>
      <c r="BP712" s="1" t="s">
        <v>204</v>
      </c>
      <c r="BR712" s="1" t="str">
        <f>"0427413048"</f>
        <v>0427413048</v>
      </c>
      <c r="BT712" s="1" t="s">
        <v>8318</v>
      </c>
      <c r="BU712" s="1" t="s">
        <v>989</v>
      </c>
      <c r="BV712" s="1" t="s">
        <v>990</v>
      </c>
      <c r="BW712" s="1" t="s">
        <v>971</v>
      </c>
      <c r="BX712" s="1">
        <v>200</v>
      </c>
      <c r="BY712" s="1">
        <v>200</v>
      </c>
      <c r="BZ712" s="1">
        <v>200</v>
      </c>
      <c r="CB712" s="1" t="str">
        <f t="shared" ref="CB712:CC712" si="554">""</f>
        <v/>
      </c>
      <c r="CC712" s="1" t="str">
        <f t="shared" si="554"/>
        <v/>
      </c>
      <c r="CD712" s="1">
        <v>29</v>
      </c>
      <c r="CE712" s="1">
        <v>2</v>
      </c>
      <c r="CG712" s="1" t="s">
        <v>648</v>
      </c>
      <c r="CH712" s="1" t="s">
        <v>219</v>
      </c>
      <c r="CI712" s="1" t="s">
        <v>220</v>
      </c>
      <c r="CK712" s="1" t="s">
        <v>2122</v>
      </c>
      <c r="CL712" s="1" t="s">
        <v>219</v>
      </c>
      <c r="CM712" s="1" t="s">
        <v>220</v>
      </c>
      <c r="CO712" s="1" t="s">
        <v>951</v>
      </c>
      <c r="CP712" s="1" t="s">
        <v>219</v>
      </c>
      <c r="CQ712" s="1" t="s">
        <v>220</v>
      </c>
      <c r="CS712" s="1" t="s">
        <v>1046</v>
      </c>
      <c r="CT712" s="1" t="s">
        <v>822</v>
      </c>
      <c r="CU712" s="1" t="s">
        <v>220</v>
      </c>
      <c r="CX712" s="1" t="s">
        <v>224</v>
      </c>
      <c r="DB712" s="1" t="s">
        <v>224</v>
      </c>
      <c r="DE712" s="1" t="s">
        <v>465</v>
      </c>
      <c r="DF712" s="1" t="s">
        <v>219</v>
      </c>
      <c r="DG712" s="1" t="s">
        <v>438</v>
      </c>
      <c r="DI712" s="1" t="s">
        <v>538</v>
      </c>
      <c r="DJ712" s="1" t="s">
        <v>43</v>
      </c>
      <c r="DK712" s="1" t="s">
        <v>220</v>
      </c>
      <c r="DM712" s="1" t="s">
        <v>8319</v>
      </c>
      <c r="DR712" s="1" t="s">
        <v>2511</v>
      </c>
      <c r="DS712" s="1" t="s">
        <v>43</v>
      </c>
      <c r="DT712" s="1" t="s">
        <v>220</v>
      </c>
      <c r="DW712" s="1" t="s">
        <v>230</v>
      </c>
      <c r="EA712" s="1" t="s">
        <v>230</v>
      </c>
      <c r="EE712" s="1" t="s">
        <v>230</v>
      </c>
      <c r="EI712" s="1" t="s">
        <v>230</v>
      </c>
      <c r="EL712" s="1" t="s">
        <v>605</v>
      </c>
      <c r="EM712" s="1" t="s">
        <v>319</v>
      </c>
      <c r="EN712" s="1" t="s">
        <v>282</v>
      </c>
      <c r="EO712" s="1" t="s">
        <v>234</v>
      </c>
      <c r="ER712" s="1" t="s">
        <v>8320</v>
      </c>
      <c r="EU712" s="1" t="s">
        <v>239</v>
      </c>
      <c r="EV712" s="1" t="s">
        <v>240</v>
      </c>
      <c r="EW712" s="1" t="s">
        <v>1617</v>
      </c>
      <c r="EZ712" s="1" t="s">
        <v>8319</v>
      </c>
      <c r="FB712" s="1" t="s">
        <v>289</v>
      </c>
      <c r="FD712" s="1" t="s">
        <v>246</v>
      </c>
      <c r="FE712" s="1" t="s">
        <v>496</v>
      </c>
      <c r="FF712" s="1" t="s">
        <v>248</v>
      </c>
      <c r="FG712" s="1" t="s">
        <v>939</v>
      </c>
      <c r="FH712" s="1" t="s">
        <v>388</v>
      </c>
      <c r="FL712" s="1" t="s">
        <v>358</v>
      </c>
      <c r="FM712" s="1" t="s">
        <v>252</v>
      </c>
      <c r="FN712" s="1" t="s">
        <v>213</v>
      </c>
      <c r="FO712" s="1" t="s">
        <v>213</v>
      </c>
      <c r="FQ712" s="1" t="s">
        <v>582</v>
      </c>
      <c r="FR712" s="1" t="s">
        <v>210</v>
      </c>
      <c r="FS712" s="1" t="s">
        <v>8321</v>
      </c>
      <c r="FT712" s="1" t="s">
        <v>654</v>
      </c>
      <c r="FU712" s="1" t="s">
        <v>204</v>
      </c>
      <c r="FW712" s="1" t="s">
        <v>3015</v>
      </c>
      <c r="FX712" s="1">
        <v>24199</v>
      </c>
      <c r="FY712" s="1" t="s">
        <v>3016</v>
      </c>
      <c r="FZ712" s="1" t="s">
        <v>3017</v>
      </c>
      <c r="GA712" s="1">
        <v>235607</v>
      </c>
      <c r="GB712" s="1" t="s">
        <v>3018</v>
      </c>
      <c r="GC712" s="1">
        <v>237175</v>
      </c>
      <c r="GE712" s="1" t="s">
        <v>335</v>
      </c>
      <c r="GI712" s="1" t="s">
        <v>213</v>
      </c>
      <c r="GJ712" s="1" t="s">
        <v>260</v>
      </c>
      <c r="GK712" s="1" t="s">
        <v>210</v>
      </c>
      <c r="GL712" s="2">
        <v>42131</v>
      </c>
      <c r="GM712" s="1" t="s">
        <v>8322</v>
      </c>
    </row>
    <row r="713" spans="1:195">
      <c r="A713" s="1">
        <v>112000</v>
      </c>
      <c r="B713" s="1" t="s">
        <v>195</v>
      </c>
      <c r="C713" s="1" t="str">
        <f>"08814939"</f>
        <v>08814939</v>
      </c>
      <c r="D713" s="1" t="s">
        <v>196</v>
      </c>
      <c r="F713" s="1" t="str">
        <f>"30"</f>
        <v>30</v>
      </c>
      <c r="G713" s="2">
        <v>42016</v>
      </c>
      <c r="H713" s="1">
        <v>124900</v>
      </c>
      <c r="I713" s="1">
        <v>119000</v>
      </c>
      <c r="J713" s="1">
        <v>112000</v>
      </c>
      <c r="K713" s="2">
        <v>42016</v>
      </c>
      <c r="L713" s="1">
        <v>43</v>
      </c>
      <c r="M713" s="2">
        <v>42058</v>
      </c>
      <c r="N713" s="1">
        <v>43</v>
      </c>
      <c r="O713" s="2">
        <v>42058</v>
      </c>
      <c r="P713" s="1">
        <v>22980</v>
      </c>
      <c r="Q713" s="1" t="s">
        <v>197</v>
      </c>
      <c r="R713" s="2">
        <v>42121</v>
      </c>
      <c r="S713" s="1">
        <v>217346</v>
      </c>
      <c r="U713" s="1">
        <v>1439</v>
      </c>
      <c r="V713" s="1" t="s">
        <v>8323</v>
      </c>
      <c r="W713" s="1" t="s">
        <v>304</v>
      </c>
      <c r="Y713" s="1">
        <v>6</v>
      </c>
      <c r="Z713" s="1" t="s">
        <v>370</v>
      </c>
      <c r="AA713" s="1" t="s">
        <v>1834</v>
      </c>
      <c r="AB713" s="1">
        <v>60030</v>
      </c>
      <c r="AD713" s="1" t="s">
        <v>7173</v>
      </c>
      <c r="AE713" s="1" t="s">
        <v>8324</v>
      </c>
      <c r="AF713" s="1">
        <v>1997</v>
      </c>
      <c r="AG713" s="1" t="s">
        <v>204</v>
      </c>
      <c r="AH713" s="1" t="s">
        <v>1837</v>
      </c>
      <c r="AI713" s="1" t="s">
        <v>509</v>
      </c>
      <c r="AJ713" s="1" t="s">
        <v>1263</v>
      </c>
      <c r="AL713" s="1">
        <v>5</v>
      </c>
      <c r="AM713" s="1">
        <v>2</v>
      </c>
      <c r="AN713" s="1">
        <v>2</v>
      </c>
      <c r="AO713" s="1">
        <v>1</v>
      </c>
      <c r="AP713" s="1" t="s">
        <v>209</v>
      </c>
      <c r="AR713" s="1" t="s">
        <v>210</v>
      </c>
      <c r="AT713" s="1" t="s">
        <v>211</v>
      </c>
      <c r="AU713" s="1">
        <v>1</v>
      </c>
      <c r="AW713" s="1" t="s">
        <v>204</v>
      </c>
      <c r="AX713" s="1" t="s">
        <v>212</v>
      </c>
      <c r="AZ713" s="1">
        <v>2801.45</v>
      </c>
      <c r="BA713" s="1">
        <v>2013</v>
      </c>
      <c r="BE713" s="1">
        <v>1423</v>
      </c>
      <c r="BF713" s="1">
        <v>1</v>
      </c>
      <c r="BG713" s="1">
        <v>0</v>
      </c>
      <c r="BL713" s="1">
        <v>128</v>
      </c>
      <c r="BM713" s="1" t="s">
        <v>204</v>
      </c>
      <c r="BN713" s="1" t="s">
        <v>213</v>
      </c>
      <c r="BO713" s="1">
        <v>999</v>
      </c>
      <c r="BP713" s="1" t="s">
        <v>204</v>
      </c>
      <c r="BR713" s="1" t="str">
        <f>"06222100660000"</f>
        <v>06222100660000</v>
      </c>
      <c r="BT713" s="1" t="s">
        <v>8325</v>
      </c>
      <c r="BX713" s="1">
        <v>46</v>
      </c>
      <c r="BY713" s="1">
        <v>46</v>
      </c>
      <c r="BZ713" s="1">
        <v>127</v>
      </c>
      <c r="CB713" s="1" t="str">
        <f t="shared" ref="CB713:CC713" si="555">""</f>
        <v/>
      </c>
      <c r="CC713" s="1" t="str">
        <f t="shared" si="555"/>
        <v/>
      </c>
      <c r="CG713" s="1" t="s">
        <v>315</v>
      </c>
      <c r="CH713" s="1" t="s">
        <v>219</v>
      </c>
      <c r="CI713" s="1" t="s">
        <v>229</v>
      </c>
      <c r="CK713" s="1" t="s">
        <v>437</v>
      </c>
      <c r="CL713" s="1" t="s">
        <v>277</v>
      </c>
      <c r="CM713" s="1" t="s">
        <v>220</v>
      </c>
      <c r="CO713" s="1" t="s">
        <v>630</v>
      </c>
      <c r="CP713" s="1" t="s">
        <v>219</v>
      </c>
      <c r="CQ713" s="1" t="s">
        <v>229</v>
      </c>
      <c r="CS713" s="1" t="s">
        <v>379</v>
      </c>
      <c r="CT713" s="1" t="s">
        <v>277</v>
      </c>
      <c r="CU713" s="1" t="s">
        <v>220</v>
      </c>
      <c r="CX713" s="1" t="s">
        <v>224</v>
      </c>
      <c r="DB713" s="1" t="s">
        <v>224</v>
      </c>
      <c r="DE713" s="1" t="s">
        <v>378</v>
      </c>
      <c r="DF713" s="1" t="s">
        <v>219</v>
      </c>
      <c r="DG713" s="1" t="s">
        <v>226</v>
      </c>
      <c r="DJ713" s="1" t="s">
        <v>224</v>
      </c>
      <c r="DS713" s="1" t="s">
        <v>230</v>
      </c>
      <c r="DW713" s="1" t="s">
        <v>230</v>
      </c>
      <c r="EA713" s="1" t="s">
        <v>230</v>
      </c>
      <c r="EE713" s="1" t="s">
        <v>230</v>
      </c>
      <c r="EI713" s="1" t="s">
        <v>230</v>
      </c>
      <c r="EL713" s="1" t="s">
        <v>670</v>
      </c>
      <c r="EM713" s="1" t="s">
        <v>319</v>
      </c>
      <c r="EN713" s="1" t="s">
        <v>282</v>
      </c>
      <c r="EO713" s="1" t="s">
        <v>234</v>
      </c>
      <c r="EP713" s="1" t="s">
        <v>936</v>
      </c>
      <c r="EQ713" s="1" t="s">
        <v>8326</v>
      </c>
      <c r="ER713" s="1" t="s">
        <v>383</v>
      </c>
      <c r="ES713" s="1" t="s">
        <v>824</v>
      </c>
      <c r="EU713" s="1" t="s">
        <v>1202</v>
      </c>
      <c r="EV713" s="1" t="s">
        <v>240</v>
      </c>
      <c r="EW713" s="1" t="s">
        <v>353</v>
      </c>
      <c r="EZ713" s="1" t="s">
        <v>287</v>
      </c>
      <c r="FA713" s="1" t="s">
        <v>471</v>
      </c>
      <c r="FD713" s="1" t="s">
        <v>246</v>
      </c>
      <c r="FE713" s="1" t="s">
        <v>975</v>
      </c>
      <c r="FF713" s="1" t="s">
        <v>248</v>
      </c>
      <c r="FH713" s="1" t="s">
        <v>550</v>
      </c>
      <c r="FL713" s="1" t="s">
        <v>358</v>
      </c>
      <c r="FM713" s="1" t="s">
        <v>252</v>
      </c>
      <c r="FN713" s="1" t="s">
        <v>213</v>
      </c>
      <c r="FO713" s="1" t="s">
        <v>213</v>
      </c>
      <c r="FQ713" s="1" t="s">
        <v>253</v>
      </c>
      <c r="FR713" s="1" t="s">
        <v>210</v>
      </c>
      <c r="FS713" s="1" t="s">
        <v>8327</v>
      </c>
      <c r="FT713" s="1" t="s">
        <v>255</v>
      </c>
      <c r="FU713" s="1" t="s">
        <v>204</v>
      </c>
      <c r="FW713" s="1" t="s">
        <v>2590</v>
      </c>
      <c r="FX713" s="1">
        <v>2644</v>
      </c>
      <c r="FY713" s="1" t="s">
        <v>2591</v>
      </c>
      <c r="FZ713" s="1" t="s">
        <v>6492</v>
      </c>
      <c r="GA713" s="1">
        <v>18736</v>
      </c>
      <c r="GB713" s="1" t="s">
        <v>6493</v>
      </c>
      <c r="GE713" s="1" t="s">
        <v>1333</v>
      </c>
      <c r="GI713" s="1" t="s">
        <v>213</v>
      </c>
      <c r="GJ713" s="1" t="s">
        <v>260</v>
      </c>
      <c r="GK713" s="1" t="s">
        <v>261</v>
      </c>
      <c r="GL713" s="2">
        <v>42123</v>
      </c>
    </row>
    <row r="714" spans="1:195">
      <c r="A714" s="1">
        <v>145000</v>
      </c>
      <c r="B714" s="1" t="s">
        <v>195</v>
      </c>
      <c r="C714" s="1" t="str">
        <f>"08813539"</f>
        <v>08813539</v>
      </c>
      <c r="D714" s="1" t="s">
        <v>196</v>
      </c>
      <c r="F714" s="1" t="str">
        <f>"61"</f>
        <v>61</v>
      </c>
      <c r="G714" s="2">
        <v>42013</v>
      </c>
      <c r="H714" s="1">
        <v>149000</v>
      </c>
      <c r="I714" s="1">
        <v>149000</v>
      </c>
      <c r="J714" s="1">
        <v>145000</v>
      </c>
      <c r="K714" s="2">
        <v>42013</v>
      </c>
      <c r="L714" s="1">
        <v>3</v>
      </c>
      <c r="M714" s="2">
        <v>42015</v>
      </c>
      <c r="N714" s="1">
        <v>3</v>
      </c>
      <c r="O714" s="2">
        <v>42015</v>
      </c>
      <c r="P714" s="1">
        <v>3460</v>
      </c>
      <c r="Q714" s="1" t="s">
        <v>302</v>
      </c>
      <c r="R714" s="2">
        <v>42061</v>
      </c>
      <c r="S714" s="1">
        <v>35222</v>
      </c>
      <c r="U714" s="1">
        <v>90</v>
      </c>
      <c r="V714" s="1" t="s">
        <v>5523</v>
      </c>
      <c r="W714" s="1" t="s">
        <v>264</v>
      </c>
      <c r="Y714" s="1">
        <v>4</v>
      </c>
      <c r="Z714" s="1" t="s">
        <v>370</v>
      </c>
      <c r="AA714" s="1" t="s">
        <v>505</v>
      </c>
      <c r="AB714" s="1">
        <v>60061</v>
      </c>
      <c r="AD714" s="1" t="s">
        <v>2353</v>
      </c>
      <c r="AE714" s="1" t="s">
        <v>8328</v>
      </c>
      <c r="AF714" s="1">
        <v>1986</v>
      </c>
      <c r="AG714" s="1" t="s">
        <v>204</v>
      </c>
      <c r="AH714" s="1" t="s">
        <v>508</v>
      </c>
      <c r="AI714" s="1" t="s">
        <v>509</v>
      </c>
      <c r="AJ714" s="1" t="s">
        <v>510</v>
      </c>
      <c r="AK714" s="1" t="s">
        <v>4519</v>
      </c>
      <c r="AL714" s="1">
        <v>6</v>
      </c>
      <c r="AM714" s="1">
        <v>2</v>
      </c>
      <c r="AN714" s="1">
        <v>1</v>
      </c>
      <c r="AO714" s="1">
        <v>2</v>
      </c>
      <c r="AP714" s="1" t="s">
        <v>210</v>
      </c>
      <c r="AR714" s="1" t="s">
        <v>210</v>
      </c>
      <c r="AS714" s="1" t="s">
        <v>204</v>
      </c>
      <c r="AT714" s="1" t="s">
        <v>211</v>
      </c>
      <c r="AU714" s="1">
        <v>1</v>
      </c>
      <c r="AW714" s="1" t="s">
        <v>204</v>
      </c>
      <c r="AX714" s="1" t="s">
        <v>212</v>
      </c>
      <c r="AZ714" s="1">
        <v>3115.89</v>
      </c>
      <c r="BA714" s="1">
        <v>2013</v>
      </c>
      <c r="BE714" s="1">
        <v>0</v>
      </c>
      <c r="BF714" s="1">
        <v>1</v>
      </c>
      <c r="BG714" s="1">
        <v>30</v>
      </c>
      <c r="BL714" s="1">
        <v>266</v>
      </c>
      <c r="BM714" s="1" t="s">
        <v>204</v>
      </c>
      <c r="BN714" s="1" t="s">
        <v>213</v>
      </c>
      <c r="BP714" s="1" t="s">
        <v>204</v>
      </c>
      <c r="BR714" s="1" t="str">
        <f>"15054291670000"</f>
        <v>15054291670000</v>
      </c>
      <c r="BT714" s="1" t="s">
        <v>8329</v>
      </c>
      <c r="BW714" s="1" t="s">
        <v>514</v>
      </c>
      <c r="BX714" s="1">
        <v>73</v>
      </c>
      <c r="BY714" s="1">
        <v>73</v>
      </c>
      <c r="BZ714" s="1">
        <v>128</v>
      </c>
      <c r="CB714" s="1" t="str">
        <f t="shared" ref="CB714:CC714" si="556">""</f>
        <v/>
      </c>
      <c r="CC714" s="1" t="str">
        <f t="shared" si="556"/>
        <v/>
      </c>
      <c r="CG714" s="1" t="s">
        <v>885</v>
      </c>
      <c r="CH714" s="1" t="s">
        <v>219</v>
      </c>
      <c r="CI714" s="1" t="s">
        <v>220</v>
      </c>
      <c r="CK714" s="1" t="s">
        <v>539</v>
      </c>
      <c r="CL714" s="1" t="s">
        <v>277</v>
      </c>
      <c r="CM714" s="1" t="s">
        <v>220</v>
      </c>
      <c r="CO714" s="1" t="s">
        <v>516</v>
      </c>
      <c r="CP714" s="1" t="s">
        <v>219</v>
      </c>
      <c r="CQ714" s="1" t="s">
        <v>220</v>
      </c>
      <c r="CS714" s="1" t="s">
        <v>379</v>
      </c>
      <c r="CT714" s="1" t="s">
        <v>277</v>
      </c>
      <c r="CU714" s="1" t="s">
        <v>220</v>
      </c>
      <c r="CX714" s="1" t="s">
        <v>224</v>
      </c>
      <c r="DB714" s="1" t="s">
        <v>224</v>
      </c>
      <c r="DE714" s="1" t="s">
        <v>516</v>
      </c>
      <c r="DF714" s="1" t="s">
        <v>219</v>
      </c>
      <c r="DG714" s="1" t="s">
        <v>342</v>
      </c>
      <c r="DI714" s="1" t="s">
        <v>314</v>
      </c>
      <c r="DJ714" s="1" t="s">
        <v>822</v>
      </c>
      <c r="DK714" s="1" t="s">
        <v>220</v>
      </c>
      <c r="DS714" s="1" t="s">
        <v>230</v>
      </c>
      <c r="DW714" s="1" t="s">
        <v>230</v>
      </c>
      <c r="EA714" s="1" t="s">
        <v>230</v>
      </c>
      <c r="EE714" s="1" t="s">
        <v>230</v>
      </c>
      <c r="EI714" s="1" t="s">
        <v>230</v>
      </c>
      <c r="EL714" s="1" t="s">
        <v>542</v>
      </c>
      <c r="EM714" s="1" t="s">
        <v>232</v>
      </c>
      <c r="EN714" s="1" t="s">
        <v>282</v>
      </c>
      <c r="EO714" s="1" t="s">
        <v>234</v>
      </c>
      <c r="EP714" s="1" t="s">
        <v>8330</v>
      </c>
      <c r="EQ714" s="1" t="s">
        <v>1094</v>
      </c>
      <c r="ER714" s="1" t="s">
        <v>210</v>
      </c>
      <c r="ES714" s="1" t="s">
        <v>545</v>
      </c>
      <c r="EV714" s="1" t="s">
        <v>352</v>
      </c>
      <c r="EW714" s="1" t="s">
        <v>991</v>
      </c>
      <c r="EZ714" s="1" t="s">
        <v>287</v>
      </c>
      <c r="FA714" s="1" t="s">
        <v>471</v>
      </c>
      <c r="FD714" s="1" t="s">
        <v>736</v>
      </c>
      <c r="FE714" s="1" t="s">
        <v>975</v>
      </c>
      <c r="FF714" s="1" t="s">
        <v>248</v>
      </c>
      <c r="FH714" s="1" t="s">
        <v>550</v>
      </c>
      <c r="FI714" s="1" t="s">
        <v>473</v>
      </c>
      <c r="FL714" s="1" t="s">
        <v>358</v>
      </c>
      <c r="FM714" s="1" t="s">
        <v>252</v>
      </c>
      <c r="FN714" s="1" t="s">
        <v>213</v>
      </c>
      <c r="FO714" s="1" t="s">
        <v>213</v>
      </c>
      <c r="FQ714" s="1" t="s">
        <v>2004</v>
      </c>
      <c r="FR714" s="1" t="s">
        <v>210</v>
      </c>
      <c r="FS714" s="1" t="s">
        <v>8331</v>
      </c>
      <c r="FT714" s="1" t="s">
        <v>295</v>
      </c>
      <c r="FU714" s="1" t="s">
        <v>204</v>
      </c>
      <c r="FW714" s="1" t="s">
        <v>8332</v>
      </c>
      <c r="FX714" s="1">
        <v>8103</v>
      </c>
      <c r="FY714" s="1" t="s">
        <v>8333</v>
      </c>
      <c r="FZ714" s="1" t="s">
        <v>8334</v>
      </c>
      <c r="GA714" s="1">
        <v>80959</v>
      </c>
      <c r="GB714" s="1" t="s">
        <v>8335</v>
      </c>
      <c r="GD714" s="1" t="s">
        <v>8336</v>
      </c>
      <c r="GE714" s="1" t="s">
        <v>480</v>
      </c>
      <c r="GI714" s="1" t="s">
        <v>213</v>
      </c>
      <c r="GJ714" s="1" t="s">
        <v>260</v>
      </c>
      <c r="GK714" s="1" t="s">
        <v>210</v>
      </c>
      <c r="GL714" s="2">
        <v>42062</v>
      </c>
    </row>
    <row r="715" spans="1:195">
      <c r="A715" s="1">
        <v>130000</v>
      </c>
      <c r="B715" s="1" t="s">
        <v>195</v>
      </c>
      <c r="C715" s="1" t="str">
        <f>"08811564"</f>
        <v>08811564</v>
      </c>
      <c r="D715" s="1" t="s">
        <v>196</v>
      </c>
      <c r="F715" s="1" t="str">
        <f>"543"</f>
        <v>543</v>
      </c>
      <c r="G715" s="2">
        <v>42011</v>
      </c>
      <c r="H715" s="1">
        <v>139900</v>
      </c>
      <c r="I715" s="1">
        <v>135900</v>
      </c>
      <c r="J715" s="1">
        <v>130000</v>
      </c>
      <c r="K715" s="2">
        <v>42011</v>
      </c>
      <c r="L715" s="1">
        <v>291</v>
      </c>
      <c r="M715" s="2">
        <v>42100</v>
      </c>
      <c r="N715" s="1">
        <v>90</v>
      </c>
      <c r="O715" s="2">
        <v>42100</v>
      </c>
      <c r="P715" s="1">
        <v>26032</v>
      </c>
      <c r="Q715" s="1" t="s">
        <v>197</v>
      </c>
      <c r="R715" s="2">
        <v>42131</v>
      </c>
      <c r="S715" s="1">
        <v>213700</v>
      </c>
      <c r="U715" s="1">
        <v>354</v>
      </c>
      <c r="V715" s="1" t="s">
        <v>8337</v>
      </c>
      <c r="W715" s="1" t="s">
        <v>504</v>
      </c>
      <c r="X715" s="1">
        <v>354</v>
      </c>
      <c r="Y715" s="1">
        <v>4</v>
      </c>
      <c r="Z715" s="1" t="s">
        <v>370</v>
      </c>
      <c r="AA715" s="1" t="s">
        <v>2639</v>
      </c>
      <c r="AB715" s="1">
        <v>60543</v>
      </c>
      <c r="AD715" s="1" t="s">
        <v>5927</v>
      </c>
      <c r="AE715" s="1" t="s">
        <v>8338</v>
      </c>
      <c r="AF715" s="1">
        <v>1995</v>
      </c>
      <c r="AG715" s="1" t="s">
        <v>204</v>
      </c>
      <c r="AH715" s="1" t="s">
        <v>1397</v>
      </c>
      <c r="AI715" s="1" t="s">
        <v>453</v>
      </c>
      <c r="AJ715" s="1" t="s">
        <v>1397</v>
      </c>
      <c r="AK715" s="1" t="s">
        <v>5926</v>
      </c>
      <c r="AL715" s="1">
        <v>5</v>
      </c>
      <c r="AM715" s="1">
        <v>2</v>
      </c>
      <c r="AN715" s="1">
        <v>2</v>
      </c>
      <c r="AO715" s="1">
        <v>0</v>
      </c>
      <c r="AP715" s="1" t="s">
        <v>209</v>
      </c>
      <c r="AR715" s="1" t="s">
        <v>210</v>
      </c>
      <c r="AS715" s="1" t="s">
        <v>204</v>
      </c>
      <c r="AT715" s="1" t="s">
        <v>211</v>
      </c>
      <c r="AU715" s="1">
        <v>2</v>
      </c>
      <c r="AW715" s="1" t="s">
        <v>204</v>
      </c>
      <c r="AX715" s="1" t="s">
        <v>212</v>
      </c>
      <c r="AZ715" s="5">
        <v>3003.12</v>
      </c>
      <c r="BA715" s="1">
        <v>2013</v>
      </c>
      <c r="BB715" s="1" t="s">
        <v>3996</v>
      </c>
      <c r="BE715" s="1">
        <v>1557</v>
      </c>
      <c r="BF715" s="1">
        <v>2</v>
      </c>
      <c r="BG715" s="1">
        <v>14</v>
      </c>
      <c r="BL715" s="1">
        <v>183</v>
      </c>
      <c r="BM715" s="1" t="s">
        <v>204</v>
      </c>
      <c r="BN715" s="1" t="s">
        <v>213</v>
      </c>
      <c r="BO715" s="1" t="s">
        <v>230</v>
      </c>
      <c r="BP715" s="1" t="s">
        <v>204</v>
      </c>
      <c r="BR715" s="1" t="str">
        <f>"0309433015"</f>
        <v>0309433015</v>
      </c>
      <c r="BT715" s="1" t="s">
        <v>8339</v>
      </c>
      <c r="BU715" s="1" t="s">
        <v>7588</v>
      </c>
      <c r="BV715" s="1" t="s">
        <v>2574</v>
      </c>
      <c r="BW715" s="1" t="s">
        <v>460</v>
      </c>
      <c r="BX715" s="1">
        <v>308</v>
      </c>
      <c r="BY715" s="1">
        <v>308</v>
      </c>
      <c r="BZ715" s="1">
        <v>308</v>
      </c>
      <c r="CB715" s="1" t="str">
        <f t="shared" ref="CB715:CC715" si="557">""</f>
        <v/>
      </c>
      <c r="CC715" s="1" t="str">
        <f t="shared" si="557"/>
        <v/>
      </c>
      <c r="CG715" s="1" t="s">
        <v>931</v>
      </c>
      <c r="CH715" s="1" t="s">
        <v>219</v>
      </c>
      <c r="CI715" s="1" t="s">
        <v>220</v>
      </c>
      <c r="CK715" s="1" t="s">
        <v>315</v>
      </c>
      <c r="CL715" s="1" t="s">
        <v>219</v>
      </c>
      <c r="CM715" s="1" t="s">
        <v>220</v>
      </c>
      <c r="CO715" s="1" t="s">
        <v>317</v>
      </c>
      <c r="CP715" s="1" t="s">
        <v>219</v>
      </c>
      <c r="CQ715" s="1" t="s">
        <v>220</v>
      </c>
      <c r="CS715" s="1" t="s">
        <v>346</v>
      </c>
      <c r="CT715" s="1" t="s">
        <v>219</v>
      </c>
      <c r="CX715" s="1" t="s">
        <v>224</v>
      </c>
      <c r="DB715" s="1" t="s">
        <v>224</v>
      </c>
      <c r="DE715" s="1" t="s">
        <v>1570</v>
      </c>
      <c r="DF715" s="1" t="s">
        <v>219</v>
      </c>
      <c r="DG715" s="1" t="s">
        <v>229</v>
      </c>
      <c r="DJ715" s="1" t="s">
        <v>224</v>
      </c>
      <c r="DM715" s="1" t="s">
        <v>709</v>
      </c>
      <c r="DR715" s="1" t="s">
        <v>2031</v>
      </c>
      <c r="DS715" s="1" t="s">
        <v>822</v>
      </c>
      <c r="DT715" s="1" t="s">
        <v>229</v>
      </c>
      <c r="DW715" s="1" t="s">
        <v>230</v>
      </c>
      <c r="EA715" s="1" t="s">
        <v>230</v>
      </c>
      <c r="EE715" s="1" t="s">
        <v>230</v>
      </c>
      <c r="EI715" s="1" t="s">
        <v>230</v>
      </c>
      <c r="EL715" s="1" t="s">
        <v>670</v>
      </c>
      <c r="EM715" s="1" t="s">
        <v>319</v>
      </c>
      <c r="EN715" s="1" t="s">
        <v>282</v>
      </c>
      <c r="EO715" s="1" t="s">
        <v>840</v>
      </c>
      <c r="EP715" s="1" t="s">
        <v>650</v>
      </c>
      <c r="EQ715" s="1" t="s">
        <v>236</v>
      </c>
      <c r="ER715" s="1" t="s">
        <v>210</v>
      </c>
      <c r="ES715" s="1" t="s">
        <v>824</v>
      </c>
      <c r="EU715" s="1" t="s">
        <v>8340</v>
      </c>
      <c r="EV715" s="1" t="s">
        <v>240</v>
      </c>
      <c r="EW715" s="1" t="s">
        <v>353</v>
      </c>
      <c r="EY715" s="1" t="s">
        <v>242</v>
      </c>
      <c r="EZ715" s="1" t="s">
        <v>709</v>
      </c>
      <c r="FA715" s="1" t="s">
        <v>1270</v>
      </c>
      <c r="FB715" s="1" t="s">
        <v>289</v>
      </c>
      <c r="FC715" s="1" t="s">
        <v>326</v>
      </c>
      <c r="FD715" s="1" t="s">
        <v>495</v>
      </c>
      <c r="FE715" s="1" t="s">
        <v>355</v>
      </c>
      <c r="FF715" s="1" t="s">
        <v>248</v>
      </c>
      <c r="FH715" s="1" t="s">
        <v>890</v>
      </c>
      <c r="FI715" s="1" t="s">
        <v>473</v>
      </c>
      <c r="FL715" s="1" t="s">
        <v>358</v>
      </c>
      <c r="FM715" s="1" t="s">
        <v>252</v>
      </c>
      <c r="FN715" s="1" t="s">
        <v>213</v>
      </c>
      <c r="FO715" s="1" t="s">
        <v>213</v>
      </c>
      <c r="FQ715" s="1" t="s">
        <v>8341</v>
      </c>
      <c r="FR715" s="1" t="s">
        <v>210</v>
      </c>
      <c r="FS715" s="1" t="s">
        <v>8342</v>
      </c>
      <c r="FT715" s="1" t="s">
        <v>1139</v>
      </c>
      <c r="FU715" s="1" t="s">
        <v>204</v>
      </c>
      <c r="FW715" s="1" t="s">
        <v>8343</v>
      </c>
      <c r="FX715" s="1">
        <v>30401</v>
      </c>
      <c r="FY715" s="1" t="s">
        <v>8344</v>
      </c>
      <c r="FZ715" s="1" t="s">
        <v>8345</v>
      </c>
      <c r="GA715" s="1">
        <v>304023</v>
      </c>
      <c r="GB715" s="1" t="s">
        <v>8346</v>
      </c>
      <c r="GE715" s="1" t="s">
        <v>480</v>
      </c>
      <c r="GI715" s="1" t="s">
        <v>213</v>
      </c>
      <c r="GJ715" s="1" t="s">
        <v>260</v>
      </c>
      <c r="GK715" s="1" t="s">
        <v>210</v>
      </c>
      <c r="GL715" s="2">
        <v>42132</v>
      </c>
    </row>
    <row r="716" spans="1:195">
      <c r="A716" s="1">
        <v>101500</v>
      </c>
      <c r="B716" s="1" t="s">
        <v>195</v>
      </c>
      <c r="C716" s="1" t="str">
        <f>"08811904"</f>
        <v>08811904</v>
      </c>
      <c r="D716" s="1" t="s">
        <v>196</v>
      </c>
      <c r="F716" s="1" t="str">
        <f>"61"</f>
        <v>61</v>
      </c>
      <c r="G716" s="2">
        <v>42011</v>
      </c>
      <c r="H716" s="1">
        <v>109900</v>
      </c>
      <c r="I716" s="1">
        <v>109900</v>
      </c>
      <c r="J716" s="1">
        <v>101500</v>
      </c>
      <c r="K716" s="2">
        <v>42011</v>
      </c>
      <c r="L716" s="1">
        <v>10</v>
      </c>
      <c r="M716" s="2">
        <v>42020</v>
      </c>
      <c r="N716" s="1">
        <v>10</v>
      </c>
      <c r="O716" s="2">
        <v>42020</v>
      </c>
      <c r="P716" s="1">
        <v>3460</v>
      </c>
      <c r="Q716" s="1" t="s">
        <v>302</v>
      </c>
      <c r="R716" s="2">
        <v>42034</v>
      </c>
      <c r="S716" s="1">
        <v>36442</v>
      </c>
      <c r="U716" s="1">
        <v>2</v>
      </c>
      <c r="V716" s="1" t="s">
        <v>8347</v>
      </c>
      <c r="W716" s="1" t="s">
        <v>504</v>
      </c>
      <c r="X716" s="1">
        <v>11</v>
      </c>
      <c r="Y716" s="1">
        <v>6</v>
      </c>
      <c r="Z716" s="1" t="s">
        <v>249</v>
      </c>
      <c r="AA716" s="1" t="s">
        <v>505</v>
      </c>
      <c r="AB716" s="1">
        <v>60061</v>
      </c>
      <c r="AE716" s="1" t="s">
        <v>8348</v>
      </c>
      <c r="AF716" s="1" t="s">
        <v>402</v>
      </c>
      <c r="AG716" s="1" t="s">
        <v>213</v>
      </c>
      <c r="AH716" s="1" t="s">
        <v>508</v>
      </c>
      <c r="AI716" s="1" t="s">
        <v>509</v>
      </c>
      <c r="AJ716" s="1" t="s">
        <v>1693</v>
      </c>
      <c r="AL716" s="1">
        <v>5</v>
      </c>
      <c r="AM716" s="1">
        <v>2</v>
      </c>
      <c r="AN716" s="1">
        <v>1</v>
      </c>
      <c r="AO716" s="1">
        <v>1</v>
      </c>
      <c r="AP716" s="1" t="s">
        <v>210</v>
      </c>
      <c r="AR716" s="1" t="s">
        <v>210</v>
      </c>
      <c r="AS716" s="1" t="s">
        <v>204</v>
      </c>
      <c r="AT716" s="1" t="s">
        <v>271</v>
      </c>
      <c r="AV716" s="1">
        <v>2</v>
      </c>
      <c r="AW716" s="1" t="s">
        <v>204</v>
      </c>
      <c r="AX716" s="1" t="s">
        <v>270</v>
      </c>
      <c r="AZ716" s="1">
        <v>2428</v>
      </c>
      <c r="BA716" s="1">
        <v>2013</v>
      </c>
      <c r="BE716" s="1">
        <v>0</v>
      </c>
      <c r="BF716" s="1">
        <v>2</v>
      </c>
      <c r="BG716" s="1">
        <v>0</v>
      </c>
      <c r="BL716" s="1">
        <v>282</v>
      </c>
      <c r="BM716" s="1" t="s">
        <v>413</v>
      </c>
      <c r="BN716" s="1" t="s">
        <v>213</v>
      </c>
      <c r="BO716" s="1">
        <v>25</v>
      </c>
      <c r="BP716" s="1" t="s">
        <v>204</v>
      </c>
      <c r="BR716" s="1" t="str">
        <f>"11324090850000"</f>
        <v>11324090850000</v>
      </c>
      <c r="BT716" s="1" t="s">
        <v>8349</v>
      </c>
      <c r="BX716" s="1">
        <v>73</v>
      </c>
      <c r="BY716" s="1">
        <v>73</v>
      </c>
      <c r="BZ716" s="1">
        <v>128</v>
      </c>
      <c r="CB716" s="1" t="str">
        <f t="shared" ref="CB716:CC716" si="558">""</f>
        <v/>
      </c>
      <c r="CC716" s="1" t="str">
        <f t="shared" si="558"/>
        <v/>
      </c>
      <c r="CG716" s="1" t="s">
        <v>1615</v>
      </c>
      <c r="CH716" s="1" t="s">
        <v>277</v>
      </c>
      <c r="CK716" s="1" t="s">
        <v>344</v>
      </c>
      <c r="CL716" s="1" t="s">
        <v>277</v>
      </c>
      <c r="CO716" s="1" t="s">
        <v>629</v>
      </c>
      <c r="CP716" s="1" t="s">
        <v>277</v>
      </c>
      <c r="CS716" s="1" t="s">
        <v>346</v>
      </c>
      <c r="CT716" s="1" t="s">
        <v>277</v>
      </c>
      <c r="CX716" s="1" t="s">
        <v>224</v>
      </c>
      <c r="DB716" s="1" t="s">
        <v>224</v>
      </c>
      <c r="DE716" s="1" t="s">
        <v>346</v>
      </c>
      <c r="DF716" s="1" t="s">
        <v>277</v>
      </c>
      <c r="DJ716" s="1" t="s">
        <v>224</v>
      </c>
      <c r="DS716" s="1" t="s">
        <v>230</v>
      </c>
      <c r="DW716" s="1" t="s">
        <v>230</v>
      </c>
      <c r="EA716" s="1" t="s">
        <v>230</v>
      </c>
      <c r="EE716" s="1" t="s">
        <v>230</v>
      </c>
      <c r="EI716" s="1" t="s">
        <v>230</v>
      </c>
      <c r="EL716" s="1" t="s">
        <v>231</v>
      </c>
      <c r="EM716" s="1" t="s">
        <v>319</v>
      </c>
      <c r="EN716" s="1" t="s">
        <v>731</v>
      </c>
      <c r="EO716" s="1" t="s">
        <v>234</v>
      </c>
      <c r="ER716" s="1" t="s">
        <v>210</v>
      </c>
      <c r="EW716" s="1" t="s">
        <v>8350</v>
      </c>
      <c r="EZ716" s="1" t="s">
        <v>287</v>
      </c>
      <c r="FD716" s="1" t="s">
        <v>385</v>
      </c>
      <c r="FE716" s="1" t="s">
        <v>651</v>
      </c>
      <c r="FF716" s="1" t="s">
        <v>248</v>
      </c>
      <c r="FH716" s="1" t="s">
        <v>249</v>
      </c>
      <c r="FL716" s="1" t="s">
        <v>2370</v>
      </c>
      <c r="FM716" s="1" t="s">
        <v>252</v>
      </c>
      <c r="FN716" s="1" t="s">
        <v>213</v>
      </c>
      <c r="FO716" s="1" t="s">
        <v>213</v>
      </c>
      <c r="FQ716" s="1" t="s">
        <v>3545</v>
      </c>
      <c r="FR716" s="1" t="s">
        <v>210</v>
      </c>
      <c r="FS716" s="1" t="s">
        <v>8351</v>
      </c>
      <c r="FT716" s="1" t="s">
        <v>362</v>
      </c>
      <c r="FU716" s="1" t="s">
        <v>204</v>
      </c>
      <c r="FW716" s="1" t="s">
        <v>719</v>
      </c>
      <c r="FX716" s="1">
        <v>22029</v>
      </c>
      <c r="FY716" s="1" t="s">
        <v>720</v>
      </c>
      <c r="FZ716" s="1" t="s">
        <v>8352</v>
      </c>
      <c r="GA716" s="1">
        <v>18723</v>
      </c>
      <c r="GB716" s="1" t="s">
        <v>8353</v>
      </c>
      <c r="GE716" s="1" t="s">
        <v>210</v>
      </c>
      <c r="GI716" s="1" t="s">
        <v>204</v>
      </c>
      <c r="GJ716" s="1" t="s">
        <v>260</v>
      </c>
      <c r="GK716" s="1" t="s">
        <v>210</v>
      </c>
      <c r="GL716" s="2">
        <v>42035</v>
      </c>
      <c r="GM716" s="1" t="s">
        <v>8354</v>
      </c>
    </row>
    <row r="717" spans="1:195">
      <c r="A717" s="1">
        <v>110500</v>
      </c>
      <c r="B717" s="1" t="s">
        <v>195</v>
      </c>
      <c r="C717" s="1" t="str">
        <f>"08813048"</f>
        <v>08813048</v>
      </c>
      <c r="D717" s="1" t="s">
        <v>196</v>
      </c>
      <c r="F717" s="1" t="str">
        <f>"516"</f>
        <v>516</v>
      </c>
      <c r="G717" s="2">
        <v>42013</v>
      </c>
      <c r="H717" s="1">
        <v>115900</v>
      </c>
      <c r="I717" s="1">
        <v>112500</v>
      </c>
      <c r="J717" s="1">
        <v>110500</v>
      </c>
      <c r="K717" s="2">
        <v>42012</v>
      </c>
      <c r="L717" s="1">
        <v>34</v>
      </c>
      <c r="M717" s="2">
        <v>42045</v>
      </c>
      <c r="N717" s="1">
        <v>34</v>
      </c>
      <c r="O717" s="2">
        <v>42045</v>
      </c>
      <c r="P717" s="1">
        <v>14856</v>
      </c>
      <c r="Q717" s="1" t="s">
        <v>197</v>
      </c>
      <c r="R717" s="2">
        <v>42109</v>
      </c>
      <c r="S717" s="1">
        <v>130424</v>
      </c>
      <c r="U717" s="1">
        <v>6143</v>
      </c>
      <c r="V717" s="1" t="s">
        <v>5239</v>
      </c>
      <c r="W717" s="1" t="s">
        <v>1056</v>
      </c>
      <c r="X717" s="1">
        <v>308</v>
      </c>
      <c r="Y717" s="1">
        <v>6</v>
      </c>
      <c r="Z717" s="1" t="s">
        <v>249</v>
      </c>
      <c r="AA717" s="1" t="s">
        <v>1417</v>
      </c>
      <c r="AB717" s="1">
        <v>60527</v>
      </c>
      <c r="AD717" s="1" t="s">
        <v>6300</v>
      </c>
      <c r="AE717" s="1" t="s">
        <v>8355</v>
      </c>
      <c r="AF717" s="1">
        <v>1976</v>
      </c>
      <c r="AG717" s="1" t="s">
        <v>213</v>
      </c>
      <c r="AH717" s="1" t="s">
        <v>1419</v>
      </c>
      <c r="AI717" s="1" t="s">
        <v>206</v>
      </c>
      <c r="AJ717" s="1" t="s">
        <v>903</v>
      </c>
      <c r="AL717" s="1">
        <v>5</v>
      </c>
      <c r="AM717" s="1">
        <v>2</v>
      </c>
      <c r="AN717" s="1">
        <v>2</v>
      </c>
      <c r="AO717" s="1">
        <v>0</v>
      </c>
      <c r="AP717" s="1" t="s">
        <v>209</v>
      </c>
      <c r="AQ717" s="1">
        <v>1</v>
      </c>
      <c r="AR717" s="1" t="s">
        <v>210</v>
      </c>
      <c r="AS717" s="1" t="s">
        <v>204</v>
      </c>
      <c r="AT717" s="1" t="s">
        <v>271</v>
      </c>
      <c r="AV717" s="1">
        <v>1</v>
      </c>
      <c r="AW717" s="1" t="s">
        <v>204</v>
      </c>
      <c r="AX717" s="1" t="s">
        <v>212</v>
      </c>
      <c r="AZ717" s="1">
        <v>1690</v>
      </c>
      <c r="BA717" s="1">
        <v>2013</v>
      </c>
      <c r="BE717" s="1">
        <v>830</v>
      </c>
      <c r="BF717" s="1">
        <v>3</v>
      </c>
      <c r="BG717" s="1">
        <v>0</v>
      </c>
      <c r="BL717" s="1">
        <v>325</v>
      </c>
      <c r="BM717" s="1" t="s">
        <v>204</v>
      </c>
      <c r="BN717" s="1" t="s">
        <v>213</v>
      </c>
      <c r="BO717" s="1">
        <v>999</v>
      </c>
      <c r="BP717" s="1" t="s">
        <v>204</v>
      </c>
      <c r="BR717" s="1" t="str">
        <f>"0914303136"</f>
        <v>0914303136</v>
      </c>
      <c r="BT717" s="1" t="s">
        <v>8356</v>
      </c>
      <c r="BU717" s="1" t="s">
        <v>2980</v>
      </c>
      <c r="BV717" s="1" t="s">
        <v>2981</v>
      </c>
      <c r="BW717" s="1" t="s">
        <v>1546</v>
      </c>
      <c r="BX717" s="1">
        <v>60</v>
      </c>
      <c r="BY717" s="1">
        <v>60</v>
      </c>
      <c r="BZ717" s="1">
        <v>86</v>
      </c>
      <c r="CB717" s="1" t="str">
        <f t="shared" ref="CB717:CC717" si="559">""</f>
        <v/>
      </c>
      <c r="CC717" s="1" t="str">
        <f t="shared" si="559"/>
        <v/>
      </c>
      <c r="CG717" s="1" t="s">
        <v>2121</v>
      </c>
      <c r="CH717" s="1" t="s">
        <v>219</v>
      </c>
      <c r="CI717" s="1" t="s">
        <v>220</v>
      </c>
      <c r="CK717" s="1" t="s">
        <v>539</v>
      </c>
      <c r="CL717" s="1" t="s">
        <v>219</v>
      </c>
      <c r="CM717" s="1" t="s">
        <v>220</v>
      </c>
      <c r="CO717" s="1" t="s">
        <v>630</v>
      </c>
      <c r="CP717" s="1" t="s">
        <v>219</v>
      </c>
      <c r="CQ717" s="1" t="s">
        <v>220</v>
      </c>
      <c r="CS717" s="1" t="s">
        <v>346</v>
      </c>
      <c r="CT717" s="1" t="s">
        <v>219</v>
      </c>
      <c r="CU717" s="1" t="s">
        <v>220</v>
      </c>
      <c r="CX717" s="1" t="s">
        <v>224</v>
      </c>
      <c r="DB717" s="1" t="s">
        <v>224</v>
      </c>
      <c r="DE717" s="1" t="s">
        <v>3284</v>
      </c>
      <c r="DF717" s="1" t="s">
        <v>219</v>
      </c>
      <c r="DG717" s="1" t="s">
        <v>226</v>
      </c>
      <c r="DJ717" s="1" t="s">
        <v>224</v>
      </c>
      <c r="DS717" s="1" t="s">
        <v>230</v>
      </c>
      <c r="DW717" s="1" t="s">
        <v>230</v>
      </c>
      <c r="EA717" s="1" t="s">
        <v>230</v>
      </c>
      <c r="EE717" s="1" t="s">
        <v>230</v>
      </c>
      <c r="EI717" s="1" t="s">
        <v>230</v>
      </c>
      <c r="EL717" s="1" t="s">
        <v>231</v>
      </c>
      <c r="EM717" s="1" t="s">
        <v>319</v>
      </c>
      <c r="EN717" s="1" t="s">
        <v>282</v>
      </c>
      <c r="EO717" s="1" t="s">
        <v>234</v>
      </c>
      <c r="EP717" s="1" t="s">
        <v>8357</v>
      </c>
      <c r="EQ717" s="1" t="s">
        <v>953</v>
      </c>
      <c r="ER717" s="1" t="s">
        <v>210</v>
      </c>
      <c r="EU717" s="1" t="s">
        <v>1573</v>
      </c>
      <c r="EW717" s="1" t="s">
        <v>8358</v>
      </c>
      <c r="EZ717" s="1" t="s">
        <v>287</v>
      </c>
      <c r="FA717" s="1" t="s">
        <v>288</v>
      </c>
      <c r="FD717" s="1" t="s">
        <v>736</v>
      </c>
      <c r="FE717" s="1" t="s">
        <v>549</v>
      </c>
      <c r="FF717" s="1" t="s">
        <v>248</v>
      </c>
      <c r="FG717" s="1" t="s">
        <v>939</v>
      </c>
      <c r="FH717" s="1" t="s">
        <v>249</v>
      </c>
      <c r="FL717" s="1" t="s">
        <v>414</v>
      </c>
      <c r="FM717" s="1" t="s">
        <v>252</v>
      </c>
      <c r="FN717" s="1" t="s">
        <v>213</v>
      </c>
      <c r="FO717" s="1" t="s">
        <v>213</v>
      </c>
      <c r="FQ717" s="1" t="s">
        <v>8359</v>
      </c>
      <c r="FR717" s="1" t="s">
        <v>210</v>
      </c>
      <c r="FS717" s="1" t="s">
        <v>8360</v>
      </c>
      <c r="FT717" s="1" t="s">
        <v>295</v>
      </c>
      <c r="FU717" s="1" t="s">
        <v>204</v>
      </c>
      <c r="FW717" s="1" t="s">
        <v>8361</v>
      </c>
      <c r="FX717" s="1">
        <v>15358</v>
      </c>
      <c r="FY717" s="1" t="s">
        <v>8362</v>
      </c>
      <c r="FZ717" s="1" t="s">
        <v>8363</v>
      </c>
      <c r="GA717" s="1">
        <v>114479</v>
      </c>
      <c r="GB717" s="1" t="s">
        <v>8362</v>
      </c>
      <c r="GE717" s="1" t="s">
        <v>210</v>
      </c>
      <c r="GI717" s="1" t="s">
        <v>204</v>
      </c>
      <c r="GJ717" s="1" t="s">
        <v>300</v>
      </c>
      <c r="GK717" s="1" t="s">
        <v>210</v>
      </c>
      <c r="GL717" s="2">
        <v>42110</v>
      </c>
      <c r="GM717" s="1" t="s">
        <v>8364</v>
      </c>
    </row>
    <row r="718" spans="1:195">
      <c r="A718" s="1">
        <v>265660</v>
      </c>
      <c r="B718" s="1" t="s">
        <v>195</v>
      </c>
      <c r="C718" s="1" t="str">
        <f>"08806759"</f>
        <v>08806759</v>
      </c>
      <c r="D718" s="1" t="s">
        <v>196</v>
      </c>
      <c r="F718" s="1" t="str">
        <f>"540"</f>
        <v>540</v>
      </c>
      <c r="G718" s="2">
        <v>42002</v>
      </c>
      <c r="H718" s="1">
        <v>268660</v>
      </c>
      <c r="I718" s="1">
        <v>268660</v>
      </c>
      <c r="J718" s="1">
        <v>265660</v>
      </c>
      <c r="K718" s="2">
        <v>42002</v>
      </c>
      <c r="L718" s="1">
        <v>21</v>
      </c>
      <c r="M718" s="2">
        <v>42022</v>
      </c>
      <c r="N718" s="1">
        <v>21</v>
      </c>
      <c r="O718" s="2">
        <v>42022</v>
      </c>
      <c r="P718" s="1" t="s">
        <v>1039</v>
      </c>
      <c r="Q718" s="1" t="s">
        <v>197</v>
      </c>
      <c r="R718" s="2">
        <v>42083</v>
      </c>
      <c r="S718" s="1">
        <v>99999</v>
      </c>
      <c r="U718" s="1">
        <v>2863</v>
      </c>
      <c r="V718" s="1" t="s">
        <v>8365</v>
      </c>
      <c r="W718" s="1" t="s">
        <v>504</v>
      </c>
      <c r="Y718" s="1">
        <v>6</v>
      </c>
      <c r="Z718" s="1" t="s">
        <v>370</v>
      </c>
      <c r="AA718" s="1" t="s">
        <v>921</v>
      </c>
      <c r="AB718" s="1">
        <v>60540</v>
      </c>
      <c r="AD718" s="1" t="s">
        <v>3844</v>
      </c>
      <c r="AE718" s="1" t="s">
        <v>8366</v>
      </c>
      <c r="AF718" s="1">
        <v>2014</v>
      </c>
      <c r="AG718" s="1" t="s">
        <v>204</v>
      </c>
      <c r="AH718" s="1" t="s">
        <v>924</v>
      </c>
      <c r="AI718" s="1" t="s">
        <v>206</v>
      </c>
      <c r="AJ718" s="1" t="s">
        <v>924</v>
      </c>
      <c r="AK718" s="1" t="s">
        <v>8367</v>
      </c>
      <c r="AL718" s="1">
        <v>5</v>
      </c>
      <c r="AM718" s="1">
        <v>2</v>
      </c>
      <c r="AN718" s="1">
        <v>2</v>
      </c>
      <c r="AO718" s="1">
        <v>1</v>
      </c>
      <c r="AP718" s="1" t="s">
        <v>209</v>
      </c>
      <c r="AR718" s="1" t="s">
        <v>210</v>
      </c>
      <c r="AS718" s="1" t="s">
        <v>204</v>
      </c>
      <c r="AT718" s="1" t="s">
        <v>211</v>
      </c>
      <c r="AU718" s="1">
        <v>2</v>
      </c>
      <c r="AW718" s="1" t="s">
        <v>204</v>
      </c>
      <c r="AX718" s="1" t="s">
        <v>212</v>
      </c>
      <c r="AZ718" s="1" t="s">
        <v>751</v>
      </c>
      <c r="BA718" s="1">
        <v>2013</v>
      </c>
      <c r="BE718" s="1">
        <v>1555</v>
      </c>
      <c r="BF718" s="1">
        <v>2</v>
      </c>
      <c r="BG718" s="1">
        <v>0</v>
      </c>
      <c r="BL718" s="1">
        <v>215</v>
      </c>
      <c r="BM718" s="1" t="s">
        <v>204</v>
      </c>
      <c r="BN718" s="1" t="s">
        <v>213</v>
      </c>
      <c r="BO718" s="1">
        <v>0</v>
      </c>
      <c r="BP718" s="1" t="s">
        <v>213</v>
      </c>
      <c r="BQ718" s="2">
        <v>42005</v>
      </c>
      <c r="BR718" s="1" t="str">
        <f>"0727104038"</f>
        <v>0727104038</v>
      </c>
      <c r="BT718" s="1" t="s">
        <v>8368</v>
      </c>
      <c r="BU718" s="1" t="s">
        <v>2087</v>
      </c>
      <c r="BV718" s="1" t="s">
        <v>1248</v>
      </c>
      <c r="BW718" s="1" t="s">
        <v>1131</v>
      </c>
      <c r="BX718" s="1">
        <v>204</v>
      </c>
      <c r="BY718" s="1">
        <v>204</v>
      </c>
      <c r="BZ718" s="1">
        <v>204</v>
      </c>
      <c r="CB718" s="1" t="str">
        <f t="shared" ref="CB718:CC718" si="560">"0"</f>
        <v>0</v>
      </c>
      <c r="CC718" s="1" t="str">
        <f t="shared" si="560"/>
        <v>0</v>
      </c>
      <c r="CD718" s="1">
        <v>29</v>
      </c>
      <c r="CE718" s="1">
        <v>8</v>
      </c>
      <c r="CH718" s="1" t="s">
        <v>224</v>
      </c>
      <c r="CK718" s="1" t="s">
        <v>885</v>
      </c>
      <c r="CL718" s="1" t="s">
        <v>277</v>
      </c>
      <c r="CM718" s="1" t="s">
        <v>220</v>
      </c>
      <c r="CP718" s="1" t="s">
        <v>224</v>
      </c>
      <c r="CS718" s="1" t="s">
        <v>757</v>
      </c>
      <c r="CT718" s="1" t="s">
        <v>277</v>
      </c>
      <c r="CU718" s="1" t="s">
        <v>220</v>
      </c>
      <c r="CX718" s="1" t="s">
        <v>224</v>
      </c>
      <c r="DB718" s="1" t="s">
        <v>224</v>
      </c>
      <c r="DE718" s="1" t="s">
        <v>539</v>
      </c>
      <c r="DF718" s="1" t="s">
        <v>219</v>
      </c>
      <c r="DG718" s="1" t="s">
        <v>347</v>
      </c>
      <c r="DJ718" s="1" t="s">
        <v>224</v>
      </c>
      <c r="DM718" s="1" t="s">
        <v>3011</v>
      </c>
      <c r="DN718" s="1" t="s">
        <v>1676</v>
      </c>
      <c r="DO718" s="1" t="s">
        <v>1548</v>
      </c>
      <c r="DR718" s="1" t="s">
        <v>6407</v>
      </c>
      <c r="DS718" s="1" t="s">
        <v>219</v>
      </c>
      <c r="DT718" s="1" t="s">
        <v>342</v>
      </c>
      <c r="DV718" s="1" t="s">
        <v>729</v>
      </c>
      <c r="DW718" s="1" t="s">
        <v>219</v>
      </c>
      <c r="DX718" s="1" t="s">
        <v>347</v>
      </c>
      <c r="DZ718" s="1" t="s">
        <v>2231</v>
      </c>
      <c r="EA718" s="1" t="s">
        <v>219</v>
      </c>
      <c r="EB718" s="1" t="s">
        <v>347</v>
      </c>
      <c r="EE718" s="1" t="s">
        <v>230</v>
      </c>
      <c r="EI718" s="1" t="s">
        <v>230</v>
      </c>
      <c r="EL718" s="1" t="s">
        <v>1455</v>
      </c>
      <c r="EM718" s="1" t="s">
        <v>232</v>
      </c>
      <c r="EN718" s="1" t="s">
        <v>282</v>
      </c>
      <c r="EO718" s="1" t="s">
        <v>234</v>
      </c>
      <c r="EQ718" s="1" t="s">
        <v>8369</v>
      </c>
      <c r="ER718" s="1" t="s">
        <v>210</v>
      </c>
      <c r="ES718" s="1" t="s">
        <v>322</v>
      </c>
      <c r="ET718" s="1" t="s">
        <v>842</v>
      </c>
      <c r="EU718" s="1" t="s">
        <v>239</v>
      </c>
      <c r="EW718" s="1" t="s">
        <v>3851</v>
      </c>
      <c r="EY718" s="1" t="s">
        <v>790</v>
      </c>
      <c r="EZ718" s="1" t="s">
        <v>8370</v>
      </c>
      <c r="FA718" s="1" t="s">
        <v>1270</v>
      </c>
      <c r="FB718" s="1" t="s">
        <v>289</v>
      </c>
      <c r="FD718" s="1" t="s">
        <v>246</v>
      </c>
      <c r="FE718" s="1" t="s">
        <v>975</v>
      </c>
      <c r="FF718" s="1" t="s">
        <v>387</v>
      </c>
      <c r="FH718" s="1" t="s">
        <v>550</v>
      </c>
      <c r="FJ718" s="1" t="s">
        <v>518</v>
      </c>
      <c r="FL718" s="1" t="s">
        <v>358</v>
      </c>
      <c r="FM718" s="1" t="s">
        <v>252</v>
      </c>
      <c r="FN718" s="1" t="s">
        <v>213</v>
      </c>
      <c r="FO718" s="1" t="s">
        <v>213</v>
      </c>
      <c r="FQ718" s="1" t="s">
        <v>3853</v>
      </c>
      <c r="FR718" s="1" t="s">
        <v>210</v>
      </c>
      <c r="FS718" s="1" t="s">
        <v>8371</v>
      </c>
      <c r="FT718" s="1" t="s">
        <v>3855</v>
      </c>
      <c r="FU718" s="1" t="s">
        <v>204</v>
      </c>
      <c r="FV718" s="1" t="s">
        <v>6996</v>
      </c>
      <c r="FW718" s="1" t="s">
        <v>3857</v>
      </c>
      <c r="FX718" s="1">
        <v>23223</v>
      </c>
      <c r="FY718" s="1" t="s">
        <v>3858</v>
      </c>
      <c r="FZ718" s="1" t="s">
        <v>3859</v>
      </c>
      <c r="GA718" s="1">
        <v>236300</v>
      </c>
      <c r="GC718" s="1">
        <v>210778</v>
      </c>
      <c r="GE718" s="1" t="s">
        <v>335</v>
      </c>
      <c r="GI718" s="1" t="s">
        <v>204</v>
      </c>
      <c r="GJ718" s="1" t="s">
        <v>300</v>
      </c>
      <c r="GK718" s="1" t="s">
        <v>210</v>
      </c>
      <c r="GL718" s="2">
        <v>42083</v>
      </c>
      <c r="GM718" s="1" t="s">
        <v>8372</v>
      </c>
    </row>
    <row r="719" spans="1:195">
      <c r="A719" s="1">
        <v>29000</v>
      </c>
      <c r="B719" s="1" t="s">
        <v>195</v>
      </c>
      <c r="C719" s="1" t="str">
        <f>"08811994"</f>
        <v>08811994</v>
      </c>
      <c r="D719" s="1" t="s">
        <v>196</v>
      </c>
      <c r="F719" s="1" t="str">
        <f>"8043"</f>
        <v>8043</v>
      </c>
      <c r="G719" s="2">
        <v>42012</v>
      </c>
      <c r="H719" s="1">
        <v>27900</v>
      </c>
      <c r="I719" s="1">
        <v>27900</v>
      </c>
      <c r="J719" s="1">
        <v>29000</v>
      </c>
      <c r="K719" s="2">
        <v>42010</v>
      </c>
      <c r="L719" s="1">
        <v>108</v>
      </c>
      <c r="M719" s="2">
        <v>42117</v>
      </c>
      <c r="N719" s="1">
        <v>108</v>
      </c>
      <c r="O719" s="2">
        <v>42117</v>
      </c>
      <c r="P719" s="1">
        <v>22994</v>
      </c>
      <c r="Q719" s="1" t="s">
        <v>302</v>
      </c>
      <c r="R719" s="2">
        <v>42139</v>
      </c>
      <c r="S719" s="1">
        <v>235814</v>
      </c>
      <c r="U719" s="1">
        <v>2772</v>
      </c>
      <c r="V719" s="1" t="s">
        <v>8373</v>
      </c>
      <c r="W719" s="1" t="s">
        <v>725</v>
      </c>
      <c r="X719" s="1" t="s">
        <v>8374</v>
      </c>
      <c r="Y719" s="1">
        <v>84</v>
      </c>
      <c r="Z719" s="1" t="s">
        <v>370</v>
      </c>
      <c r="AA719" s="1" t="s">
        <v>400</v>
      </c>
      <c r="AB719" s="1">
        <v>60649</v>
      </c>
      <c r="AE719" s="1" t="s">
        <v>8375</v>
      </c>
      <c r="AF719" s="1">
        <v>1975</v>
      </c>
      <c r="AG719" s="1" t="s">
        <v>213</v>
      </c>
      <c r="AH719" s="1" t="s">
        <v>403</v>
      </c>
      <c r="AI719" s="1" t="s">
        <v>310</v>
      </c>
      <c r="AJ719" s="1" t="s">
        <v>562</v>
      </c>
      <c r="AL719" s="1">
        <v>5</v>
      </c>
      <c r="AM719" s="1">
        <v>2</v>
      </c>
      <c r="AN719" s="1">
        <v>2</v>
      </c>
      <c r="AO719" s="1">
        <v>0</v>
      </c>
      <c r="AP719" s="1" t="s">
        <v>210</v>
      </c>
      <c r="AR719" s="1" t="s">
        <v>210</v>
      </c>
      <c r="AS719" s="1" t="s">
        <v>204</v>
      </c>
      <c r="AT719" s="1" t="s">
        <v>271</v>
      </c>
      <c r="AV719" s="1">
        <v>1</v>
      </c>
      <c r="AW719" s="1" t="s">
        <v>213</v>
      </c>
      <c r="AX719" s="1" t="s">
        <v>212</v>
      </c>
      <c r="AZ719" s="1">
        <v>1407.32</v>
      </c>
      <c r="BA719" s="1">
        <v>2013</v>
      </c>
      <c r="BB719" s="1" t="s">
        <v>210</v>
      </c>
      <c r="BE719" s="1">
        <v>1200</v>
      </c>
      <c r="BF719" s="1">
        <v>2</v>
      </c>
      <c r="BG719" s="1">
        <v>15</v>
      </c>
      <c r="BL719" s="1">
        <v>360</v>
      </c>
      <c r="BM719" s="1" t="s">
        <v>413</v>
      </c>
      <c r="BN719" s="1" t="s">
        <v>204</v>
      </c>
      <c r="BP719" s="1" t="s">
        <v>204</v>
      </c>
      <c r="BR719" s="1" t="str">
        <f>"21301230211051"</f>
        <v>21301230211051</v>
      </c>
      <c r="BT719" s="1" t="s">
        <v>8376</v>
      </c>
      <c r="BX719" s="1">
        <v>299</v>
      </c>
      <c r="BY719" s="1">
        <v>299</v>
      </c>
      <c r="BZ719" s="1">
        <v>299</v>
      </c>
      <c r="CB719" s="1" t="str">
        <f>"0"</f>
        <v>0</v>
      </c>
      <c r="CC719" s="1" t="str">
        <f>"2772"</f>
        <v>2772</v>
      </c>
      <c r="CD719" s="1">
        <v>0</v>
      </c>
      <c r="CE719" s="1">
        <v>7500</v>
      </c>
      <c r="CG719" s="1" t="s">
        <v>581</v>
      </c>
      <c r="CH719" s="1" t="s">
        <v>219</v>
      </c>
      <c r="CI719" s="1" t="s">
        <v>220</v>
      </c>
      <c r="CK719" s="1" t="s">
        <v>757</v>
      </c>
      <c r="CL719" s="1" t="s">
        <v>277</v>
      </c>
      <c r="CO719" s="1" t="s">
        <v>318</v>
      </c>
      <c r="CP719" s="1" t="s">
        <v>219</v>
      </c>
      <c r="CS719" s="1" t="s">
        <v>378</v>
      </c>
      <c r="CT719" s="1" t="s">
        <v>277</v>
      </c>
      <c r="CX719" s="1" t="s">
        <v>224</v>
      </c>
      <c r="DB719" s="1" t="s">
        <v>224</v>
      </c>
      <c r="DE719" s="1" t="s">
        <v>346</v>
      </c>
      <c r="DF719" s="1" t="s">
        <v>219</v>
      </c>
      <c r="DJ719" s="1" t="s">
        <v>224</v>
      </c>
      <c r="DS719" s="1" t="s">
        <v>230</v>
      </c>
      <c r="DW719" s="1" t="s">
        <v>230</v>
      </c>
      <c r="EA719" s="1" t="s">
        <v>230</v>
      </c>
      <c r="EE719" s="1" t="s">
        <v>230</v>
      </c>
      <c r="EI719" s="1" t="s">
        <v>230</v>
      </c>
      <c r="EL719" s="1" t="s">
        <v>231</v>
      </c>
      <c r="EM719" s="1" t="s">
        <v>232</v>
      </c>
      <c r="EN719" s="1" t="s">
        <v>731</v>
      </c>
      <c r="EO719" s="1" t="s">
        <v>234</v>
      </c>
      <c r="ER719" s="1" t="s">
        <v>210</v>
      </c>
      <c r="EW719" s="1" t="s">
        <v>7879</v>
      </c>
      <c r="EZ719" s="1" t="s">
        <v>287</v>
      </c>
      <c r="FB719" s="1" t="s">
        <v>1505</v>
      </c>
      <c r="FD719" s="1" t="s">
        <v>1112</v>
      </c>
      <c r="FE719" s="1" t="s">
        <v>247</v>
      </c>
      <c r="FF719" s="1" t="s">
        <v>248</v>
      </c>
      <c r="FH719" s="1" t="s">
        <v>249</v>
      </c>
      <c r="FL719" s="1" t="s">
        <v>292</v>
      </c>
      <c r="FM719" s="1" t="s">
        <v>252</v>
      </c>
      <c r="FN719" s="1" t="s">
        <v>213</v>
      </c>
      <c r="FO719" s="1" t="s">
        <v>213</v>
      </c>
      <c r="FQ719" s="1" t="s">
        <v>582</v>
      </c>
      <c r="FR719" s="1" t="s">
        <v>210</v>
      </c>
      <c r="FS719" s="1" t="s">
        <v>8377</v>
      </c>
      <c r="FT719" s="1" t="s">
        <v>584</v>
      </c>
      <c r="FU719" s="1" t="s">
        <v>204</v>
      </c>
      <c r="FW719" s="1" t="s">
        <v>7498</v>
      </c>
      <c r="FX719" s="1">
        <v>22994</v>
      </c>
      <c r="FY719" s="1" t="s">
        <v>7499</v>
      </c>
      <c r="FZ719" s="1" t="s">
        <v>7500</v>
      </c>
      <c r="GA719" s="1">
        <v>502340</v>
      </c>
      <c r="GB719" s="1" t="s">
        <v>7501</v>
      </c>
      <c r="GE719" s="1" t="s">
        <v>210</v>
      </c>
      <c r="GH719" s="1" t="s">
        <v>800</v>
      </c>
      <c r="GI719" s="1" t="s">
        <v>213</v>
      </c>
      <c r="GJ719" s="1" t="s">
        <v>260</v>
      </c>
      <c r="GK719" s="1" t="s">
        <v>210</v>
      </c>
      <c r="GL719" s="2">
        <v>42140</v>
      </c>
      <c r="GM719" s="1" t="s">
        <v>8378</v>
      </c>
    </row>
    <row r="720" spans="1:195">
      <c r="A720" s="1">
        <v>128000</v>
      </c>
      <c r="B720" s="1" t="s">
        <v>195</v>
      </c>
      <c r="C720" s="1" t="str">
        <f>"08812588"</f>
        <v>08812588</v>
      </c>
      <c r="D720" s="1" t="s">
        <v>196</v>
      </c>
      <c r="F720" s="1" t="str">
        <f>"73"</f>
        <v>73</v>
      </c>
      <c r="G720" s="2">
        <v>42012</v>
      </c>
      <c r="H720" s="1">
        <v>129900</v>
      </c>
      <c r="I720" s="1">
        <v>129900</v>
      </c>
      <c r="J720" s="1">
        <v>128000</v>
      </c>
      <c r="K720" s="2">
        <v>42012</v>
      </c>
      <c r="L720" s="1">
        <v>12</v>
      </c>
      <c r="M720" s="2">
        <v>42023</v>
      </c>
      <c r="N720" s="1">
        <v>12</v>
      </c>
      <c r="O720" s="2">
        <v>42023</v>
      </c>
      <c r="P720" s="1">
        <v>1886</v>
      </c>
      <c r="Q720" s="1" t="s">
        <v>302</v>
      </c>
      <c r="R720" s="2">
        <v>42045</v>
      </c>
      <c r="S720" s="1">
        <v>240702</v>
      </c>
      <c r="U720" s="1">
        <v>1524</v>
      </c>
      <c r="V720" s="1" t="s">
        <v>8323</v>
      </c>
      <c r="W720" s="1" t="s">
        <v>504</v>
      </c>
      <c r="Y720" s="1">
        <v>4</v>
      </c>
      <c r="Z720" s="1" t="s">
        <v>370</v>
      </c>
      <c r="AA720" s="1" t="s">
        <v>1259</v>
      </c>
      <c r="AB720" s="1">
        <v>60073</v>
      </c>
      <c r="AD720" s="1" t="s">
        <v>8379</v>
      </c>
      <c r="AE720" s="1" t="s">
        <v>8380</v>
      </c>
      <c r="AF720" s="1">
        <v>2004</v>
      </c>
      <c r="AG720" s="1" t="s">
        <v>204</v>
      </c>
      <c r="AH720" s="1" t="s">
        <v>1262</v>
      </c>
      <c r="AI720" s="1" t="s">
        <v>509</v>
      </c>
      <c r="AJ720" s="1" t="s">
        <v>1263</v>
      </c>
      <c r="AL720" s="1">
        <v>5</v>
      </c>
      <c r="AM720" s="1">
        <v>2</v>
      </c>
      <c r="AN720" s="1">
        <v>2</v>
      </c>
      <c r="AO720" s="1">
        <v>1</v>
      </c>
      <c r="AP720" s="1" t="s">
        <v>209</v>
      </c>
      <c r="AR720" s="1" t="s">
        <v>209</v>
      </c>
      <c r="AS720" s="1" t="s">
        <v>204</v>
      </c>
      <c r="AT720" s="1" t="s">
        <v>211</v>
      </c>
      <c r="AU720" s="1">
        <v>2</v>
      </c>
      <c r="AW720" s="1" t="s">
        <v>213</v>
      </c>
      <c r="AX720" s="1" t="s">
        <v>212</v>
      </c>
      <c r="AZ720" s="1">
        <v>5156.55</v>
      </c>
      <c r="BA720" s="1">
        <v>2013</v>
      </c>
      <c r="BE720" s="1">
        <v>1608</v>
      </c>
      <c r="BF720" s="1">
        <v>1</v>
      </c>
      <c r="BG720" s="1">
        <v>0</v>
      </c>
      <c r="BL720" s="1">
        <v>195</v>
      </c>
      <c r="BM720" s="1" t="s">
        <v>204</v>
      </c>
      <c r="BN720" s="1" t="s">
        <v>213</v>
      </c>
      <c r="BO720" s="1">
        <v>0</v>
      </c>
      <c r="BP720" s="1" t="s">
        <v>204</v>
      </c>
      <c r="BR720" s="1" t="str">
        <f>"06193040350000"</f>
        <v>06193040350000</v>
      </c>
      <c r="BT720" s="1" t="s">
        <v>8381</v>
      </c>
      <c r="BX720" s="1">
        <v>116</v>
      </c>
      <c r="BY720" s="1">
        <v>116</v>
      </c>
      <c r="BZ720" s="1">
        <v>116</v>
      </c>
      <c r="CB720" s="1" t="str">
        <f>"34"</f>
        <v>34</v>
      </c>
      <c r="CC720" s="1" t="str">
        <f>"0"</f>
        <v>0</v>
      </c>
      <c r="CD720" s="1">
        <v>24</v>
      </c>
      <c r="CE720" s="1">
        <v>0</v>
      </c>
      <c r="CG720" s="1" t="s">
        <v>461</v>
      </c>
      <c r="CH720" s="1" t="s">
        <v>219</v>
      </c>
      <c r="CI720" s="1" t="s">
        <v>220</v>
      </c>
      <c r="CK720" s="1" t="s">
        <v>932</v>
      </c>
      <c r="CL720" s="1" t="s">
        <v>277</v>
      </c>
      <c r="CM720" s="1" t="s">
        <v>220</v>
      </c>
      <c r="CO720" s="1" t="s">
        <v>317</v>
      </c>
      <c r="CP720" s="1" t="s">
        <v>219</v>
      </c>
      <c r="CQ720" s="1" t="s">
        <v>438</v>
      </c>
      <c r="CS720" s="1" t="s">
        <v>379</v>
      </c>
      <c r="CT720" s="1" t="s">
        <v>277</v>
      </c>
      <c r="CU720" s="1" t="s">
        <v>220</v>
      </c>
      <c r="CX720" s="1" t="s">
        <v>224</v>
      </c>
      <c r="DB720" s="1" t="s">
        <v>224</v>
      </c>
      <c r="DE720" s="1" t="s">
        <v>317</v>
      </c>
      <c r="DF720" s="1" t="s">
        <v>219</v>
      </c>
      <c r="DG720" s="1" t="s">
        <v>438</v>
      </c>
      <c r="DJ720" s="1" t="s">
        <v>224</v>
      </c>
      <c r="DS720" s="1" t="s">
        <v>230</v>
      </c>
      <c r="DW720" s="1" t="s">
        <v>230</v>
      </c>
      <c r="EA720" s="1" t="s">
        <v>230</v>
      </c>
      <c r="EE720" s="1" t="s">
        <v>230</v>
      </c>
      <c r="EI720" s="1" t="s">
        <v>230</v>
      </c>
      <c r="EL720" s="1" t="s">
        <v>466</v>
      </c>
      <c r="EM720" s="1" t="s">
        <v>319</v>
      </c>
      <c r="EN720" s="1" t="s">
        <v>282</v>
      </c>
      <c r="EO720" s="1" t="s">
        <v>234</v>
      </c>
      <c r="EQ720" s="1" t="s">
        <v>953</v>
      </c>
      <c r="ER720" s="1" t="s">
        <v>1249</v>
      </c>
      <c r="ET720" s="1" t="s">
        <v>866</v>
      </c>
      <c r="EW720" s="1" t="s">
        <v>353</v>
      </c>
      <c r="EZ720" s="1" t="s">
        <v>287</v>
      </c>
      <c r="FD720" s="1" t="s">
        <v>246</v>
      </c>
      <c r="FE720" s="1" t="s">
        <v>1031</v>
      </c>
      <c r="FF720" s="1" t="s">
        <v>248</v>
      </c>
      <c r="FH720" s="1" t="s">
        <v>550</v>
      </c>
      <c r="FJ720" s="1" t="s">
        <v>1472</v>
      </c>
      <c r="FL720" s="1" t="s">
        <v>358</v>
      </c>
      <c r="FM720" s="1" t="s">
        <v>252</v>
      </c>
      <c r="FN720" s="1" t="s">
        <v>213</v>
      </c>
      <c r="FO720" s="1" t="s">
        <v>213</v>
      </c>
      <c r="FQ720" s="1" t="s">
        <v>8382</v>
      </c>
      <c r="FR720" s="1" t="s">
        <v>210</v>
      </c>
      <c r="FS720" s="1" t="s">
        <v>583</v>
      </c>
      <c r="FT720" s="1" t="s">
        <v>520</v>
      </c>
      <c r="FU720" s="1" t="s">
        <v>204</v>
      </c>
      <c r="FW720" s="1" t="s">
        <v>585</v>
      </c>
      <c r="FX720" s="1">
        <v>2050</v>
      </c>
      <c r="FY720" s="1" t="s">
        <v>4207</v>
      </c>
      <c r="FZ720" s="1" t="s">
        <v>5766</v>
      </c>
      <c r="GA720" s="1">
        <v>18950</v>
      </c>
      <c r="GB720" s="1" t="s">
        <v>5767</v>
      </c>
      <c r="GD720" s="1" t="s">
        <v>5768</v>
      </c>
      <c r="GE720" s="1" t="s">
        <v>210</v>
      </c>
      <c r="GH720" s="1" t="s">
        <v>589</v>
      </c>
      <c r="GI720" s="1" t="s">
        <v>213</v>
      </c>
      <c r="GJ720" s="1" t="s">
        <v>260</v>
      </c>
      <c r="GK720" s="1" t="s">
        <v>210</v>
      </c>
      <c r="GL720" s="2">
        <v>42046</v>
      </c>
      <c r="GM720" s="1" t="s">
        <v>8383</v>
      </c>
    </row>
    <row r="721" spans="1:195">
      <c r="A721" s="1">
        <v>140000</v>
      </c>
      <c r="B721" s="1" t="s">
        <v>195</v>
      </c>
      <c r="C721" s="1" t="str">
        <f>"08810118"</f>
        <v>08810118</v>
      </c>
      <c r="D721" s="1" t="s">
        <v>196</v>
      </c>
      <c r="F721" s="1" t="str">
        <f>"107"</f>
        <v>107</v>
      </c>
      <c r="G721" s="2">
        <v>42009</v>
      </c>
      <c r="H721" s="1">
        <v>147000</v>
      </c>
      <c r="I721" s="1">
        <v>147000</v>
      </c>
      <c r="J721" s="1">
        <v>140000</v>
      </c>
      <c r="K721" s="2">
        <v>42009</v>
      </c>
      <c r="L721" s="1">
        <v>34</v>
      </c>
      <c r="M721" s="2">
        <v>42042</v>
      </c>
      <c r="N721" s="1">
        <v>34</v>
      </c>
      <c r="O721" s="2">
        <v>42042</v>
      </c>
      <c r="P721" s="1">
        <v>604</v>
      </c>
      <c r="Q721" s="1" t="s">
        <v>302</v>
      </c>
      <c r="R721" s="2">
        <v>42076</v>
      </c>
      <c r="S721" s="1">
        <v>611</v>
      </c>
      <c r="U721" s="1">
        <v>29</v>
      </c>
      <c r="V721" s="1" t="s">
        <v>8384</v>
      </c>
      <c r="W721" s="1" t="s">
        <v>304</v>
      </c>
      <c r="X721" s="1" t="s">
        <v>527</v>
      </c>
      <c r="Y721" s="1">
        <v>8</v>
      </c>
      <c r="Z721" s="1" t="s">
        <v>370</v>
      </c>
      <c r="AA721" s="1" t="s">
        <v>1211</v>
      </c>
      <c r="AB721" s="1">
        <v>60107</v>
      </c>
      <c r="AD721" s="1" t="s">
        <v>3552</v>
      </c>
      <c r="AE721" s="1" t="s">
        <v>8385</v>
      </c>
      <c r="AF721" s="1">
        <v>1995</v>
      </c>
      <c r="AG721" s="1" t="s">
        <v>204</v>
      </c>
      <c r="AH721" s="1" t="s">
        <v>1214</v>
      </c>
      <c r="AI721" s="1" t="s">
        <v>310</v>
      </c>
      <c r="AJ721" s="1" t="s">
        <v>374</v>
      </c>
      <c r="AK721" s="1" t="s">
        <v>8386</v>
      </c>
      <c r="AL721" s="1">
        <v>5</v>
      </c>
      <c r="AM721" s="1">
        <v>2</v>
      </c>
      <c r="AN721" s="1">
        <v>1</v>
      </c>
      <c r="AO721" s="1">
        <v>1</v>
      </c>
      <c r="AP721" s="1" t="s">
        <v>455</v>
      </c>
      <c r="AR721" s="1" t="s">
        <v>210</v>
      </c>
      <c r="AS721" s="1" t="s">
        <v>204</v>
      </c>
      <c r="AT721" s="1" t="s">
        <v>211</v>
      </c>
      <c r="AU721" s="1">
        <v>1</v>
      </c>
      <c r="AW721" s="1" t="s">
        <v>204</v>
      </c>
      <c r="AX721" s="1" t="s">
        <v>212</v>
      </c>
      <c r="AZ721" s="1">
        <v>1820.04</v>
      </c>
      <c r="BA721" s="1">
        <v>2013</v>
      </c>
      <c r="BB721" s="1" t="s">
        <v>405</v>
      </c>
      <c r="BE721" s="1">
        <v>1211</v>
      </c>
      <c r="BF721" s="1">
        <v>1</v>
      </c>
      <c r="BG721" s="1">
        <v>0</v>
      </c>
      <c r="BL721" s="1">
        <v>226</v>
      </c>
      <c r="BM721" s="1" t="s">
        <v>204</v>
      </c>
      <c r="BN721" s="1" t="s">
        <v>213</v>
      </c>
      <c r="BO721" s="1" t="s">
        <v>432</v>
      </c>
      <c r="BP721" s="1" t="s">
        <v>204</v>
      </c>
      <c r="BR721" s="1" t="str">
        <f>"06223030361099"</f>
        <v>06223030361099</v>
      </c>
      <c r="BT721" s="1" t="s">
        <v>8387</v>
      </c>
      <c r="BU721" s="1" t="s">
        <v>3556</v>
      </c>
      <c r="BV721" s="1" t="s">
        <v>3557</v>
      </c>
      <c r="BW721" s="1" t="s">
        <v>1217</v>
      </c>
      <c r="BX721" s="1">
        <v>46</v>
      </c>
      <c r="BY721" s="1">
        <v>46</v>
      </c>
      <c r="BZ721" s="1">
        <v>46</v>
      </c>
      <c r="CB721" s="1" t="str">
        <f t="shared" ref="CB721:CC721" si="561">""</f>
        <v/>
      </c>
      <c r="CC721" s="1" t="str">
        <f t="shared" si="561"/>
        <v/>
      </c>
      <c r="CG721" s="1" t="s">
        <v>1570</v>
      </c>
      <c r="CH721" s="1" t="s">
        <v>219</v>
      </c>
      <c r="CI721" s="1" t="s">
        <v>229</v>
      </c>
      <c r="CJ721" s="1" t="s">
        <v>343</v>
      </c>
      <c r="CK721" s="1" t="s">
        <v>932</v>
      </c>
      <c r="CL721" s="1" t="s">
        <v>219</v>
      </c>
      <c r="CM721" s="1" t="s">
        <v>220</v>
      </c>
      <c r="CN721" s="1" t="s">
        <v>343</v>
      </c>
      <c r="CO721" s="1" t="s">
        <v>461</v>
      </c>
      <c r="CP721" s="1" t="s">
        <v>219</v>
      </c>
      <c r="CQ721" s="1" t="s">
        <v>229</v>
      </c>
      <c r="CR721" s="1" t="s">
        <v>210</v>
      </c>
      <c r="CS721" s="1" t="s">
        <v>837</v>
      </c>
      <c r="CT721" s="1" t="s">
        <v>219</v>
      </c>
      <c r="CU721" s="1" t="s">
        <v>220</v>
      </c>
      <c r="CV721" s="1" t="s">
        <v>343</v>
      </c>
      <c r="CX721" s="1" t="s">
        <v>224</v>
      </c>
      <c r="DB721" s="1" t="s">
        <v>224</v>
      </c>
      <c r="DE721" s="1" t="s">
        <v>346</v>
      </c>
      <c r="DF721" s="1" t="s">
        <v>219</v>
      </c>
      <c r="DG721" s="1" t="s">
        <v>226</v>
      </c>
      <c r="DH721" s="1" t="s">
        <v>210</v>
      </c>
      <c r="DJ721" s="1" t="s">
        <v>224</v>
      </c>
      <c r="DS721" s="1" t="s">
        <v>230</v>
      </c>
      <c r="DW721" s="1" t="s">
        <v>230</v>
      </c>
      <c r="EA721" s="1" t="s">
        <v>230</v>
      </c>
      <c r="EE721" s="1" t="s">
        <v>230</v>
      </c>
      <c r="EI721" s="1" t="s">
        <v>230</v>
      </c>
      <c r="EL721" s="1" t="s">
        <v>670</v>
      </c>
      <c r="EM721" s="1" t="s">
        <v>319</v>
      </c>
      <c r="EN721" s="1" t="s">
        <v>282</v>
      </c>
      <c r="EO721" s="1" t="s">
        <v>234</v>
      </c>
      <c r="EP721" s="1" t="s">
        <v>8388</v>
      </c>
      <c r="EQ721" s="1" t="s">
        <v>1094</v>
      </c>
      <c r="ER721" s="1" t="s">
        <v>383</v>
      </c>
      <c r="ES721" s="1" t="s">
        <v>493</v>
      </c>
      <c r="EU721" s="1" t="s">
        <v>1202</v>
      </c>
      <c r="EV721" s="1" t="s">
        <v>324</v>
      </c>
      <c r="EW721" s="1" t="s">
        <v>937</v>
      </c>
      <c r="EY721" s="1" t="s">
        <v>242</v>
      </c>
      <c r="EZ721" s="1" t="s">
        <v>287</v>
      </c>
      <c r="FA721" s="1" t="s">
        <v>714</v>
      </c>
      <c r="FB721" s="1" t="s">
        <v>289</v>
      </c>
      <c r="FC721" s="1" t="s">
        <v>633</v>
      </c>
      <c r="FD721" s="1" t="s">
        <v>246</v>
      </c>
      <c r="FE721" s="1" t="s">
        <v>975</v>
      </c>
      <c r="FF721" s="1" t="s">
        <v>387</v>
      </c>
      <c r="FH721" s="1" t="s">
        <v>825</v>
      </c>
      <c r="FI721" s="1" t="s">
        <v>473</v>
      </c>
      <c r="FJ721" s="1" t="s">
        <v>197</v>
      </c>
      <c r="FL721" s="1" t="s">
        <v>358</v>
      </c>
      <c r="FM721" s="1" t="s">
        <v>252</v>
      </c>
      <c r="FN721" s="1" t="s">
        <v>213</v>
      </c>
      <c r="FO721" s="1" t="s">
        <v>213</v>
      </c>
      <c r="FQ721" s="1" t="s">
        <v>359</v>
      </c>
      <c r="FR721" s="1" t="s">
        <v>652</v>
      </c>
      <c r="FS721" s="1" t="s">
        <v>8389</v>
      </c>
      <c r="FT721" s="1" t="s">
        <v>255</v>
      </c>
      <c r="FU721" s="1" t="s">
        <v>204</v>
      </c>
      <c r="FW721" s="1" t="s">
        <v>2726</v>
      </c>
      <c r="FX721" s="1">
        <v>1109</v>
      </c>
      <c r="FY721" s="1" t="s">
        <v>2727</v>
      </c>
      <c r="FZ721" s="1" t="s">
        <v>8390</v>
      </c>
      <c r="GA721" s="1">
        <v>80480</v>
      </c>
      <c r="GB721" s="1" t="s">
        <v>8391</v>
      </c>
      <c r="GE721" s="1" t="s">
        <v>480</v>
      </c>
      <c r="GI721" s="1" t="s">
        <v>213</v>
      </c>
      <c r="GJ721" s="1" t="s">
        <v>260</v>
      </c>
      <c r="GK721" s="1" t="s">
        <v>261</v>
      </c>
      <c r="GL721" s="2">
        <v>42076</v>
      </c>
      <c r="GM721" s="1" t="s">
        <v>8392</v>
      </c>
    </row>
    <row r="722" spans="1:195">
      <c r="A722" s="1">
        <v>261000</v>
      </c>
      <c r="B722" s="1" t="s">
        <v>195</v>
      </c>
      <c r="C722" s="1" t="str">
        <f>"08811111"</f>
        <v>08811111</v>
      </c>
      <c r="D722" s="1" t="s">
        <v>196</v>
      </c>
      <c r="F722" s="1" t="str">
        <f>"532"</f>
        <v>532</v>
      </c>
      <c r="G722" s="2">
        <v>42010</v>
      </c>
      <c r="H722" s="1">
        <v>277900</v>
      </c>
      <c r="I722" s="1">
        <v>277900</v>
      </c>
      <c r="J722" s="1">
        <v>261000</v>
      </c>
      <c r="K722" s="2">
        <v>42010</v>
      </c>
      <c r="L722" s="1">
        <v>90</v>
      </c>
      <c r="M722" s="2">
        <v>42099</v>
      </c>
      <c r="N722" s="1">
        <v>90</v>
      </c>
      <c r="O722" s="2">
        <v>42099</v>
      </c>
      <c r="P722" s="1">
        <v>22029</v>
      </c>
      <c r="Q722" s="1" t="s">
        <v>197</v>
      </c>
      <c r="R722" s="2">
        <v>42139</v>
      </c>
      <c r="S722" s="1">
        <v>240235</v>
      </c>
      <c r="U722" s="1">
        <v>6035</v>
      </c>
      <c r="V722" s="1" t="s">
        <v>3186</v>
      </c>
      <c r="W722" s="1" t="s">
        <v>264</v>
      </c>
      <c r="Y722" s="1">
        <v>8</v>
      </c>
      <c r="Z722" s="1" t="s">
        <v>370</v>
      </c>
      <c r="AA722" s="1" t="s">
        <v>1566</v>
      </c>
      <c r="AB722" s="1">
        <v>60532</v>
      </c>
      <c r="AD722" s="1" t="s">
        <v>5263</v>
      </c>
      <c r="AE722" s="1" t="s">
        <v>8393</v>
      </c>
      <c r="AF722" s="1">
        <v>2001</v>
      </c>
      <c r="AG722" s="1" t="s">
        <v>204</v>
      </c>
      <c r="AH722" s="1" t="s">
        <v>925</v>
      </c>
      <c r="AI722" s="1" t="s">
        <v>206</v>
      </c>
      <c r="AJ722" s="1" t="s">
        <v>925</v>
      </c>
      <c r="AL722" s="1">
        <v>6</v>
      </c>
      <c r="AM722" s="1">
        <v>2</v>
      </c>
      <c r="AN722" s="1">
        <v>2</v>
      </c>
      <c r="AO722" s="1">
        <v>2</v>
      </c>
      <c r="AP722" s="1" t="s">
        <v>209</v>
      </c>
      <c r="AQ722" s="1">
        <v>1</v>
      </c>
      <c r="AR722" s="1" t="s">
        <v>209</v>
      </c>
      <c r="AS722" s="1" t="s">
        <v>213</v>
      </c>
      <c r="AT722" s="1" t="s">
        <v>211</v>
      </c>
      <c r="AU722" s="1">
        <v>2</v>
      </c>
      <c r="AW722" s="1" t="s">
        <v>204</v>
      </c>
      <c r="AX722" s="1" t="s">
        <v>8394</v>
      </c>
      <c r="AZ722" s="1">
        <v>6663</v>
      </c>
      <c r="BA722" s="1">
        <v>2013</v>
      </c>
      <c r="BB722" s="1" t="s">
        <v>405</v>
      </c>
      <c r="BE722" s="1">
        <v>0</v>
      </c>
      <c r="BF722" s="1">
        <v>1</v>
      </c>
      <c r="BG722" s="1">
        <v>0</v>
      </c>
      <c r="BL722" s="1">
        <v>212</v>
      </c>
      <c r="BM722" s="1" t="s">
        <v>204</v>
      </c>
      <c r="BN722" s="1" t="s">
        <v>213</v>
      </c>
      <c r="BO722" s="1">
        <v>999</v>
      </c>
      <c r="BP722" s="1" t="s">
        <v>204</v>
      </c>
      <c r="BR722" s="1" t="str">
        <f>"0815409028"</f>
        <v>0815409028</v>
      </c>
      <c r="BT722" s="1" t="s">
        <v>8395</v>
      </c>
      <c r="BU722" s="1" t="s">
        <v>3190</v>
      </c>
      <c r="BV722" s="1" t="s">
        <v>2856</v>
      </c>
      <c r="BW722" s="1" t="s">
        <v>2762</v>
      </c>
      <c r="BX722" s="1">
        <v>68</v>
      </c>
      <c r="BY722" s="1">
        <v>68</v>
      </c>
      <c r="BZ722" s="1">
        <v>99</v>
      </c>
      <c r="CB722" s="1" t="str">
        <f t="shared" ref="CB722:CC722" si="562">"0"</f>
        <v>0</v>
      </c>
      <c r="CC722" s="1" t="str">
        <f t="shared" si="562"/>
        <v>0</v>
      </c>
      <c r="CD722" s="1">
        <v>23</v>
      </c>
      <c r="CE722" s="1">
        <v>6</v>
      </c>
      <c r="CG722" s="1" t="s">
        <v>4070</v>
      </c>
      <c r="CH722" s="1" t="s">
        <v>219</v>
      </c>
      <c r="CI722" s="1" t="s">
        <v>438</v>
      </c>
      <c r="CJ722" s="1" t="s">
        <v>463</v>
      </c>
      <c r="CK722" s="1" t="s">
        <v>539</v>
      </c>
      <c r="CL722" s="1" t="s">
        <v>784</v>
      </c>
      <c r="CM722" s="1" t="s">
        <v>438</v>
      </c>
      <c r="CN722" s="1" t="s">
        <v>463</v>
      </c>
      <c r="CO722" s="1" t="s">
        <v>465</v>
      </c>
      <c r="CP722" s="1" t="s">
        <v>219</v>
      </c>
      <c r="CQ722" s="1" t="s">
        <v>438</v>
      </c>
      <c r="CR722" s="1" t="s">
        <v>343</v>
      </c>
      <c r="CS722" s="1" t="s">
        <v>317</v>
      </c>
      <c r="CT722" s="1" t="s">
        <v>784</v>
      </c>
      <c r="CU722" s="1" t="s">
        <v>438</v>
      </c>
      <c r="CV722" s="1" t="s">
        <v>463</v>
      </c>
      <c r="CX722" s="1" t="s">
        <v>224</v>
      </c>
      <c r="DB722" s="1" t="s">
        <v>224</v>
      </c>
      <c r="DE722" s="1" t="s">
        <v>346</v>
      </c>
      <c r="DF722" s="1" t="s">
        <v>219</v>
      </c>
      <c r="DG722" s="1" t="s">
        <v>438</v>
      </c>
      <c r="DH722" s="1" t="s">
        <v>210</v>
      </c>
      <c r="DI722" s="1" t="s">
        <v>344</v>
      </c>
      <c r="DJ722" s="1" t="s">
        <v>822</v>
      </c>
      <c r="DK722" s="1" t="s">
        <v>220</v>
      </c>
      <c r="DS722" s="1" t="s">
        <v>230</v>
      </c>
      <c r="DW722" s="1" t="s">
        <v>230</v>
      </c>
      <c r="EA722" s="1" t="s">
        <v>230</v>
      </c>
      <c r="EE722" s="1" t="s">
        <v>230</v>
      </c>
      <c r="EI722" s="1" t="s">
        <v>230</v>
      </c>
      <c r="EL722" s="1" t="s">
        <v>466</v>
      </c>
      <c r="EM722" s="1" t="s">
        <v>730</v>
      </c>
      <c r="EN722" s="1" t="s">
        <v>282</v>
      </c>
      <c r="EO722" s="1" t="s">
        <v>234</v>
      </c>
      <c r="EP722" s="1" t="s">
        <v>650</v>
      </c>
      <c r="EQ722" s="1" t="s">
        <v>671</v>
      </c>
      <c r="ER722" s="1" t="s">
        <v>8396</v>
      </c>
      <c r="ET722" s="1" t="s">
        <v>1752</v>
      </c>
      <c r="EU722" s="1" t="s">
        <v>712</v>
      </c>
      <c r="EV722" s="1" t="s">
        <v>324</v>
      </c>
      <c r="EW722" s="1" t="s">
        <v>353</v>
      </c>
      <c r="EY722" s="1" t="s">
        <v>242</v>
      </c>
      <c r="EZ722" s="1" t="s">
        <v>287</v>
      </c>
      <c r="FA722" s="1" t="s">
        <v>3837</v>
      </c>
      <c r="FB722" s="1" t="s">
        <v>289</v>
      </c>
      <c r="FD722" s="1" t="s">
        <v>246</v>
      </c>
      <c r="FE722" s="1" t="s">
        <v>247</v>
      </c>
      <c r="FF722" s="1" t="s">
        <v>248</v>
      </c>
      <c r="FG722" s="1" t="s">
        <v>912</v>
      </c>
      <c r="FH722" s="1" t="s">
        <v>1428</v>
      </c>
      <c r="FI722" s="1" t="s">
        <v>473</v>
      </c>
      <c r="FL722" s="1" t="s">
        <v>358</v>
      </c>
      <c r="FM722" s="1" t="s">
        <v>252</v>
      </c>
      <c r="FN722" s="1" t="s">
        <v>213</v>
      </c>
      <c r="FO722" s="1" t="s">
        <v>213</v>
      </c>
      <c r="FQ722" s="1" t="s">
        <v>329</v>
      </c>
      <c r="FR722" s="1" t="s">
        <v>210</v>
      </c>
      <c r="FS722" s="1" t="s">
        <v>8397</v>
      </c>
      <c r="FT722" s="1" t="s">
        <v>295</v>
      </c>
      <c r="FU722" s="1" t="s">
        <v>204</v>
      </c>
      <c r="FW722" s="1" t="s">
        <v>5648</v>
      </c>
      <c r="FX722" s="1">
        <v>23099</v>
      </c>
      <c r="FY722" s="1" t="s">
        <v>5649</v>
      </c>
      <c r="FZ722" s="1" t="s">
        <v>8398</v>
      </c>
      <c r="GA722" s="1">
        <v>231079</v>
      </c>
      <c r="GB722" s="1" t="s">
        <v>8399</v>
      </c>
      <c r="GE722" s="1" t="s">
        <v>335</v>
      </c>
      <c r="GI722" s="1" t="s">
        <v>213</v>
      </c>
      <c r="GJ722" s="1" t="s">
        <v>260</v>
      </c>
      <c r="GK722" s="1" t="s">
        <v>261</v>
      </c>
      <c r="GL722" s="2">
        <v>42140</v>
      </c>
    </row>
    <row r="723" spans="1:195">
      <c r="A723" s="1">
        <v>122000</v>
      </c>
      <c r="B723" s="1" t="s">
        <v>195</v>
      </c>
      <c r="C723" s="1" t="str">
        <f>"08814542"</f>
        <v>08814542</v>
      </c>
      <c r="D723" s="1" t="s">
        <v>196</v>
      </c>
      <c r="F723" s="1" t="str">
        <f t="shared" ref="F723:F724" si="563">"107"</f>
        <v>107</v>
      </c>
      <c r="G723" s="2">
        <v>42016</v>
      </c>
      <c r="H723" s="1">
        <v>134900</v>
      </c>
      <c r="I723" s="1">
        <v>124900</v>
      </c>
      <c r="J723" s="1">
        <v>122000</v>
      </c>
      <c r="K723" s="2">
        <v>42016</v>
      </c>
      <c r="L723" s="1">
        <v>36</v>
      </c>
      <c r="M723" s="2">
        <v>42051</v>
      </c>
      <c r="N723" s="1">
        <v>36</v>
      </c>
      <c r="O723" s="2">
        <v>42051</v>
      </c>
      <c r="P723" s="1">
        <v>23813</v>
      </c>
      <c r="Q723" s="1" t="s">
        <v>197</v>
      </c>
      <c r="R723" s="2">
        <v>42083</v>
      </c>
      <c r="S723" s="1">
        <v>259372</v>
      </c>
      <c r="T723" s="1">
        <v>1000</v>
      </c>
      <c r="U723" s="1">
        <v>241</v>
      </c>
      <c r="V723" s="1" t="s">
        <v>8400</v>
      </c>
      <c r="W723" s="1" t="s">
        <v>449</v>
      </c>
      <c r="Y723" s="1">
        <v>4</v>
      </c>
      <c r="Z723" s="1" t="s">
        <v>370</v>
      </c>
      <c r="AA723" s="1" t="s">
        <v>1211</v>
      </c>
      <c r="AB723" s="1">
        <v>60107</v>
      </c>
      <c r="AD723" s="1" t="s">
        <v>8401</v>
      </c>
      <c r="AE723" s="1" t="s">
        <v>8402</v>
      </c>
      <c r="AF723" s="1">
        <v>1983</v>
      </c>
      <c r="AG723" s="1" t="s">
        <v>204</v>
      </c>
      <c r="AH723" s="1" t="s">
        <v>1214</v>
      </c>
      <c r="AI723" s="1" t="s">
        <v>310</v>
      </c>
      <c r="AJ723" s="1" t="s">
        <v>374</v>
      </c>
      <c r="AL723" s="1">
        <v>5</v>
      </c>
      <c r="AM723" s="1">
        <v>2</v>
      </c>
      <c r="AN723" s="1">
        <v>1</v>
      </c>
      <c r="AO723" s="1">
        <v>1</v>
      </c>
      <c r="AP723" s="1" t="s">
        <v>667</v>
      </c>
      <c r="AQ723" s="1">
        <v>1</v>
      </c>
      <c r="AR723" s="1" t="s">
        <v>210</v>
      </c>
      <c r="AS723" s="1" t="s">
        <v>204</v>
      </c>
      <c r="AT723" s="1" t="s">
        <v>375</v>
      </c>
      <c r="AU723" s="1">
        <v>1</v>
      </c>
      <c r="AV723" s="1">
        <v>1</v>
      </c>
      <c r="AW723" s="1" t="s">
        <v>204</v>
      </c>
      <c r="AX723" s="1" t="s">
        <v>212</v>
      </c>
      <c r="AZ723" s="1">
        <v>2984.45</v>
      </c>
      <c r="BA723" s="1">
        <v>2013</v>
      </c>
      <c r="BB723" s="1" t="s">
        <v>405</v>
      </c>
      <c r="BE723" s="1">
        <v>1200</v>
      </c>
      <c r="BF723" s="1">
        <v>1</v>
      </c>
      <c r="BG723" s="1">
        <v>0</v>
      </c>
      <c r="BL723" s="1">
        <v>130</v>
      </c>
      <c r="BM723" s="1" t="s">
        <v>204</v>
      </c>
      <c r="BN723" s="1" t="s">
        <v>213</v>
      </c>
      <c r="BO723" s="1">
        <v>999</v>
      </c>
      <c r="BP723" s="1" t="s">
        <v>204</v>
      </c>
      <c r="BR723" s="1" t="str">
        <f>"06241130330000"</f>
        <v>06241130330000</v>
      </c>
      <c r="BT723" s="1" t="s">
        <v>8403</v>
      </c>
      <c r="BX723" s="1">
        <v>46</v>
      </c>
      <c r="BY723" s="1">
        <v>46</v>
      </c>
      <c r="BZ723" s="1">
        <v>46</v>
      </c>
      <c r="CB723" s="1" t="str">
        <f t="shared" ref="CB723:CC723" si="564">""</f>
        <v/>
      </c>
      <c r="CC723" s="1" t="str">
        <f t="shared" si="564"/>
        <v/>
      </c>
      <c r="CG723" s="1" t="s">
        <v>538</v>
      </c>
      <c r="CH723" s="1" t="s">
        <v>219</v>
      </c>
      <c r="CI723" s="1" t="s">
        <v>438</v>
      </c>
      <c r="CJ723" s="1" t="s">
        <v>343</v>
      </c>
      <c r="CK723" s="1" t="s">
        <v>315</v>
      </c>
      <c r="CL723" s="1" t="s">
        <v>277</v>
      </c>
      <c r="CM723" s="1" t="s">
        <v>229</v>
      </c>
      <c r="CN723" s="1" t="s">
        <v>343</v>
      </c>
      <c r="CO723" s="1" t="s">
        <v>316</v>
      </c>
      <c r="CP723" s="1" t="s">
        <v>219</v>
      </c>
      <c r="CQ723" s="1" t="s">
        <v>438</v>
      </c>
      <c r="CR723" s="1" t="s">
        <v>463</v>
      </c>
      <c r="CS723" s="1" t="s">
        <v>1297</v>
      </c>
      <c r="CT723" s="1" t="s">
        <v>277</v>
      </c>
      <c r="CU723" s="1" t="s">
        <v>220</v>
      </c>
      <c r="CV723" s="1" t="s">
        <v>463</v>
      </c>
      <c r="CX723" s="1" t="s">
        <v>224</v>
      </c>
      <c r="DB723" s="1" t="s">
        <v>224</v>
      </c>
      <c r="DE723" s="1" t="s">
        <v>316</v>
      </c>
      <c r="DF723" s="1" t="s">
        <v>219</v>
      </c>
      <c r="DG723" s="1" t="s">
        <v>226</v>
      </c>
      <c r="DH723" s="1" t="s">
        <v>210</v>
      </c>
      <c r="DJ723" s="1" t="s">
        <v>224</v>
      </c>
      <c r="DM723" s="1" t="s">
        <v>1771</v>
      </c>
      <c r="DN723" s="1" t="s">
        <v>838</v>
      </c>
      <c r="DR723" s="1" t="s">
        <v>5717</v>
      </c>
      <c r="DS723" s="1" t="s">
        <v>277</v>
      </c>
      <c r="DV723" s="1" t="s">
        <v>3492</v>
      </c>
      <c r="DW723" s="1" t="s">
        <v>277</v>
      </c>
      <c r="EA723" s="1" t="s">
        <v>230</v>
      </c>
      <c r="EE723" s="1" t="s">
        <v>230</v>
      </c>
      <c r="EI723" s="1" t="s">
        <v>230</v>
      </c>
      <c r="EL723" s="1" t="s">
        <v>231</v>
      </c>
      <c r="EM723" s="1" t="s">
        <v>232</v>
      </c>
      <c r="EN723" s="1" t="s">
        <v>282</v>
      </c>
      <c r="EO723" s="1" t="s">
        <v>840</v>
      </c>
      <c r="EQ723" s="1" t="s">
        <v>492</v>
      </c>
      <c r="ER723" s="1" t="s">
        <v>210</v>
      </c>
      <c r="ES723" s="1" t="s">
        <v>545</v>
      </c>
      <c r="EV723" s="1" t="s">
        <v>240</v>
      </c>
      <c r="EW723" s="1" t="s">
        <v>1250</v>
      </c>
      <c r="EZ723" s="1" t="s">
        <v>1941</v>
      </c>
      <c r="FD723" s="1" t="s">
        <v>246</v>
      </c>
      <c r="FE723" s="1" t="s">
        <v>472</v>
      </c>
      <c r="FF723" s="1" t="s">
        <v>248</v>
      </c>
      <c r="FG723" s="1" t="s">
        <v>939</v>
      </c>
      <c r="FH723" s="1" t="s">
        <v>550</v>
      </c>
      <c r="FL723" s="1" t="s">
        <v>358</v>
      </c>
      <c r="FM723" s="1" t="s">
        <v>252</v>
      </c>
      <c r="FN723" s="1" t="s">
        <v>213</v>
      </c>
      <c r="FO723" s="1" t="s">
        <v>213</v>
      </c>
      <c r="FQ723" s="1" t="s">
        <v>8404</v>
      </c>
      <c r="FR723" s="1" t="s">
        <v>210</v>
      </c>
      <c r="FS723" s="1" t="s">
        <v>8405</v>
      </c>
      <c r="FT723" s="1" t="s">
        <v>295</v>
      </c>
      <c r="FU723" s="1" t="s">
        <v>213</v>
      </c>
      <c r="FW723" s="1" t="s">
        <v>1652</v>
      </c>
      <c r="FX723" s="1">
        <v>85382</v>
      </c>
      <c r="FY723" s="1" t="s">
        <v>8406</v>
      </c>
      <c r="FZ723" s="1" t="s">
        <v>8407</v>
      </c>
      <c r="GA723" s="1">
        <v>877740</v>
      </c>
      <c r="GB723" s="1" t="s">
        <v>8408</v>
      </c>
      <c r="GE723" s="1" t="s">
        <v>210</v>
      </c>
      <c r="GI723" s="1" t="s">
        <v>213</v>
      </c>
      <c r="GJ723" s="1" t="s">
        <v>260</v>
      </c>
      <c r="GK723" s="1" t="s">
        <v>210</v>
      </c>
      <c r="GL723" s="2">
        <v>42086</v>
      </c>
      <c r="GM723" s="1" t="s">
        <v>8409</v>
      </c>
    </row>
    <row r="724" spans="1:195">
      <c r="A724" s="1">
        <v>71500</v>
      </c>
      <c r="B724" s="1" t="s">
        <v>195</v>
      </c>
      <c r="C724" s="1" t="str">
        <f>"08812465"</f>
        <v>08812465</v>
      </c>
      <c r="D724" s="1" t="s">
        <v>196</v>
      </c>
      <c r="F724" s="1" t="str">
        <f t="shared" si="563"/>
        <v>107</v>
      </c>
      <c r="G724" s="2">
        <v>42012</v>
      </c>
      <c r="H724" s="1">
        <v>73500</v>
      </c>
      <c r="I724" s="1">
        <v>73500</v>
      </c>
      <c r="J724" s="1">
        <v>71500</v>
      </c>
      <c r="K724" s="2">
        <v>42012</v>
      </c>
      <c r="L724" s="1">
        <v>49</v>
      </c>
      <c r="M724" s="2">
        <v>42060</v>
      </c>
      <c r="N724" s="1">
        <v>49</v>
      </c>
      <c r="O724" s="2">
        <v>42060</v>
      </c>
      <c r="P724" s="1">
        <v>25494</v>
      </c>
      <c r="Q724" s="1" t="s">
        <v>302</v>
      </c>
      <c r="R724" s="2">
        <v>42076</v>
      </c>
      <c r="S724" s="1">
        <v>239954</v>
      </c>
      <c r="U724" s="1">
        <v>557</v>
      </c>
      <c r="V724" s="1" t="s">
        <v>8410</v>
      </c>
      <c r="W724" s="1" t="s">
        <v>504</v>
      </c>
      <c r="X724" s="1" t="s">
        <v>527</v>
      </c>
      <c r="Y724" s="1">
        <v>8</v>
      </c>
      <c r="Z724" s="1" t="s">
        <v>370</v>
      </c>
      <c r="AA724" s="1" t="s">
        <v>1211</v>
      </c>
      <c r="AB724" s="1">
        <v>60107</v>
      </c>
      <c r="AE724" s="1" t="s">
        <v>8411</v>
      </c>
      <c r="AF724" s="1">
        <v>1987</v>
      </c>
      <c r="AG724" s="1" t="s">
        <v>204</v>
      </c>
      <c r="AH724" s="1" t="s">
        <v>1214</v>
      </c>
      <c r="AI724" s="1" t="s">
        <v>310</v>
      </c>
      <c r="AJ724" s="1" t="s">
        <v>374</v>
      </c>
      <c r="AL724" s="1">
        <v>4</v>
      </c>
      <c r="AM724" s="1">
        <v>2</v>
      </c>
      <c r="AN724" s="1">
        <v>1</v>
      </c>
      <c r="AO724" s="1">
        <v>0</v>
      </c>
      <c r="AP724" s="1" t="s">
        <v>667</v>
      </c>
      <c r="AR724" s="1" t="s">
        <v>210</v>
      </c>
      <c r="AS724" s="1" t="s">
        <v>204</v>
      </c>
      <c r="AT724" s="1" t="s">
        <v>211</v>
      </c>
      <c r="AU724" s="1">
        <v>1</v>
      </c>
      <c r="AW724" s="1" t="s">
        <v>204</v>
      </c>
      <c r="AX724" s="1" t="s">
        <v>212</v>
      </c>
      <c r="AZ724" s="1">
        <v>1857.91</v>
      </c>
      <c r="BA724" s="1">
        <v>2012</v>
      </c>
      <c r="BE724" s="1">
        <v>1000</v>
      </c>
      <c r="BF724" s="1">
        <v>1</v>
      </c>
      <c r="BG724" s="1">
        <v>0</v>
      </c>
      <c r="BL724" s="1">
        <v>228</v>
      </c>
      <c r="BM724" s="1" t="s">
        <v>204</v>
      </c>
      <c r="BN724" s="1" t="s">
        <v>213</v>
      </c>
      <c r="BO724" s="1">
        <v>50</v>
      </c>
      <c r="BP724" s="1" t="s">
        <v>204</v>
      </c>
      <c r="BR724" s="1" t="str">
        <f>"06144280151224"</f>
        <v>06144280151224</v>
      </c>
      <c r="BT724" s="1" t="s">
        <v>8412</v>
      </c>
      <c r="BX724" s="1">
        <v>46</v>
      </c>
      <c r="BY724" s="1">
        <v>46</v>
      </c>
      <c r="BZ724" s="1">
        <v>46</v>
      </c>
      <c r="CB724" s="1" t="str">
        <f t="shared" ref="CB724:CC724" si="565">""</f>
        <v/>
      </c>
      <c r="CC724" s="1" t="str">
        <f t="shared" si="565"/>
        <v/>
      </c>
      <c r="CG724" s="1" t="s">
        <v>228</v>
      </c>
      <c r="CH724" s="1" t="s">
        <v>219</v>
      </c>
      <c r="CK724" s="1" t="s">
        <v>757</v>
      </c>
      <c r="CL724" s="1" t="s">
        <v>219</v>
      </c>
      <c r="CP724" s="1" t="s">
        <v>224</v>
      </c>
      <c r="CS724" s="1" t="s">
        <v>539</v>
      </c>
      <c r="CT724" s="1" t="s">
        <v>219</v>
      </c>
      <c r="CX724" s="1" t="s">
        <v>224</v>
      </c>
      <c r="DB724" s="1" t="s">
        <v>224</v>
      </c>
      <c r="DE724" s="1" t="s">
        <v>1571</v>
      </c>
      <c r="DF724" s="1" t="s">
        <v>219</v>
      </c>
      <c r="DJ724" s="1" t="s">
        <v>224</v>
      </c>
      <c r="DS724" s="1" t="s">
        <v>230</v>
      </c>
      <c r="DW724" s="1" t="s">
        <v>230</v>
      </c>
      <c r="EA724" s="1" t="s">
        <v>230</v>
      </c>
      <c r="EE724" s="1" t="s">
        <v>230</v>
      </c>
      <c r="EI724" s="1" t="s">
        <v>230</v>
      </c>
      <c r="EL724" s="1" t="s">
        <v>542</v>
      </c>
      <c r="EM724" s="1" t="s">
        <v>319</v>
      </c>
      <c r="EN724" s="1" t="s">
        <v>282</v>
      </c>
      <c r="EO724" s="1" t="s">
        <v>234</v>
      </c>
      <c r="ER724" s="1" t="s">
        <v>210</v>
      </c>
      <c r="EW724" s="1" t="s">
        <v>3851</v>
      </c>
      <c r="EZ724" s="1" t="s">
        <v>287</v>
      </c>
      <c r="FD724" s="1" t="s">
        <v>495</v>
      </c>
      <c r="FE724" s="1" t="s">
        <v>472</v>
      </c>
      <c r="FF724" s="1" t="s">
        <v>248</v>
      </c>
      <c r="FH724" s="1" t="s">
        <v>249</v>
      </c>
      <c r="FL724" s="1" t="s">
        <v>210</v>
      </c>
      <c r="FM724" s="1" t="s">
        <v>252</v>
      </c>
      <c r="FN724" s="1" t="s">
        <v>213</v>
      </c>
      <c r="FO724" s="1" t="s">
        <v>213</v>
      </c>
      <c r="FQ724" s="1" t="s">
        <v>1300</v>
      </c>
      <c r="FR724" s="1" t="s">
        <v>210</v>
      </c>
      <c r="FS724" s="1" t="s">
        <v>6640</v>
      </c>
      <c r="FT724" s="1" t="s">
        <v>1828</v>
      </c>
      <c r="FU724" s="1" t="s">
        <v>204</v>
      </c>
      <c r="FW724" s="1" t="s">
        <v>1097</v>
      </c>
      <c r="FX724" s="1">
        <v>8094</v>
      </c>
      <c r="FY724" s="1" t="s">
        <v>1829</v>
      </c>
      <c r="FZ724" s="1" t="s">
        <v>1830</v>
      </c>
      <c r="GA724" s="1">
        <v>28736</v>
      </c>
      <c r="GB724" s="1" t="s">
        <v>1831</v>
      </c>
      <c r="GE724" s="1" t="s">
        <v>210</v>
      </c>
      <c r="GH724" s="1" t="s">
        <v>800</v>
      </c>
      <c r="GI724" s="1" t="s">
        <v>204</v>
      </c>
      <c r="GJ724" s="1" t="s">
        <v>260</v>
      </c>
      <c r="GK724" s="1" t="s">
        <v>210</v>
      </c>
      <c r="GL724" s="2">
        <v>42076</v>
      </c>
      <c r="GM724" s="1" t="s">
        <v>8413</v>
      </c>
    </row>
    <row r="725" spans="1:195">
      <c r="A725" s="1">
        <v>18000</v>
      </c>
      <c r="B725" s="1" t="s">
        <v>195</v>
      </c>
      <c r="C725" s="1" t="str">
        <f>"08815438"</f>
        <v>08815438</v>
      </c>
      <c r="D725" s="1" t="s">
        <v>196</v>
      </c>
      <c r="F725" s="1" t="str">
        <f>"8040"</f>
        <v>8040</v>
      </c>
      <c r="G725" s="2">
        <v>42017</v>
      </c>
      <c r="H725" s="1">
        <v>29999</v>
      </c>
      <c r="I725" s="1">
        <v>19900</v>
      </c>
      <c r="J725" s="1">
        <v>18000</v>
      </c>
      <c r="K725" s="2">
        <v>42017</v>
      </c>
      <c r="L725" s="1">
        <v>60</v>
      </c>
      <c r="M725" s="2">
        <v>42076</v>
      </c>
      <c r="N725" s="1">
        <v>60</v>
      </c>
      <c r="O725" s="2">
        <v>42076</v>
      </c>
      <c r="P725" s="1">
        <v>21445</v>
      </c>
      <c r="Q725" s="1" t="s">
        <v>302</v>
      </c>
      <c r="R725" s="2">
        <v>42118</v>
      </c>
      <c r="S725" s="1">
        <v>219725</v>
      </c>
      <c r="U725" s="1">
        <v>5738</v>
      </c>
      <c r="V725" s="1" t="s">
        <v>8414</v>
      </c>
      <c r="W725" s="1" t="s">
        <v>264</v>
      </c>
      <c r="X725" s="1">
        <v>3</v>
      </c>
      <c r="Y725" s="1">
        <v>40</v>
      </c>
      <c r="Z725" s="1" t="s">
        <v>200</v>
      </c>
      <c r="AA725" s="1" t="s">
        <v>400</v>
      </c>
      <c r="AB725" s="1">
        <v>60637</v>
      </c>
      <c r="AE725" s="1" t="s">
        <v>8415</v>
      </c>
      <c r="AF725" s="1" t="s">
        <v>402</v>
      </c>
      <c r="AG725" s="1" t="s">
        <v>213</v>
      </c>
      <c r="AH725" s="1" t="s">
        <v>403</v>
      </c>
      <c r="AI725" s="1" t="s">
        <v>310</v>
      </c>
      <c r="AJ725" s="1" t="s">
        <v>562</v>
      </c>
      <c r="AL725" s="1">
        <v>5</v>
      </c>
      <c r="AM725" s="1">
        <v>2</v>
      </c>
      <c r="AN725" s="1">
        <v>1</v>
      </c>
      <c r="AO725" s="1">
        <v>0</v>
      </c>
      <c r="AP725" s="1" t="s">
        <v>210</v>
      </c>
      <c r="AR725" s="1" t="s">
        <v>210</v>
      </c>
      <c r="AS725" s="1" t="s">
        <v>204</v>
      </c>
      <c r="AT725" s="1" t="s">
        <v>271</v>
      </c>
      <c r="AV725" s="1">
        <v>1</v>
      </c>
      <c r="AW725" s="1" t="s">
        <v>204</v>
      </c>
      <c r="AX725" s="1" t="s">
        <v>8416</v>
      </c>
      <c r="AZ725" s="1">
        <v>1019.33</v>
      </c>
      <c r="BA725" s="1">
        <v>2013</v>
      </c>
      <c r="BE725" s="1">
        <v>1100</v>
      </c>
      <c r="BF725" s="1">
        <v>3</v>
      </c>
      <c r="BG725" s="1">
        <v>30</v>
      </c>
      <c r="BL725" s="1">
        <v>359</v>
      </c>
      <c r="BM725" s="1" t="s">
        <v>204</v>
      </c>
      <c r="BN725" s="1" t="s">
        <v>213</v>
      </c>
      <c r="BO725" s="1">
        <v>999</v>
      </c>
      <c r="BP725" s="1" t="s">
        <v>204</v>
      </c>
      <c r="BR725" s="1" t="str">
        <f>"20151180221026"</f>
        <v>20151180221026</v>
      </c>
      <c r="BT725" s="1" t="s">
        <v>8417</v>
      </c>
      <c r="BX725" s="1">
        <v>299</v>
      </c>
      <c r="BY725" s="1">
        <v>299</v>
      </c>
      <c r="BZ725" s="1">
        <v>299</v>
      </c>
      <c r="CB725" s="1" t="str">
        <f>"0"</f>
        <v>0</v>
      </c>
      <c r="CC725" s="1" t="str">
        <f>"400"</f>
        <v>400</v>
      </c>
      <c r="CD725" s="1">
        <v>0</v>
      </c>
      <c r="CE725" s="1">
        <v>5738</v>
      </c>
      <c r="CG725" s="1" t="s">
        <v>280</v>
      </c>
      <c r="CH725" s="1" t="s">
        <v>219</v>
      </c>
      <c r="CK725" s="1" t="s">
        <v>2122</v>
      </c>
      <c r="CL725" s="1" t="s">
        <v>219</v>
      </c>
      <c r="CO725" s="1" t="s">
        <v>1469</v>
      </c>
      <c r="CP725" s="1" t="s">
        <v>219</v>
      </c>
      <c r="CS725" s="1" t="s">
        <v>378</v>
      </c>
      <c r="CT725" s="1" t="s">
        <v>219</v>
      </c>
      <c r="CX725" s="1" t="s">
        <v>224</v>
      </c>
      <c r="DB725" s="1" t="s">
        <v>224</v>
      </c>
      <c r="DE725" s="1" t="s">
        <v>3319</v>
      </c>
      <c r="DF725" s="1" t="s">
        <v>219</v>
      </c>
      <c r="DJ725" s="1" t="s">
        <v>224</v>
      </c>
      <c r="DS725" s="1" t="s">
        <v>230</v>
      </c>
      <c r="DW725" s="1" t="s">
        <v>230</v>
      </c>
      <c r="EA725" s="1" t="s">
        <v>230</v>
      </c>
      <c r="EE725" s="1" t="s">
        <v>230</v>
      </c>
      <c r="EI725" s="1" t="s">
        <v>230</v>
      </c>
      <c r="EL725" s="1" t="s">
        <v>413</v>
      </c>
      <c r="EM725" s="1" t="s">
        <v>232</v>
      </c>
      <c r="EN725" s="1" t="s">
        <v>282</v>
      </c>
      <c r="EO725" s="1" t="s">
        <v>7973</v>
      </c>
      <c r="ER725" s="1" t="s">
        <v>210</v>
      </c>
      <c r="EW725" s="1" t="s">
        <v>8418</v>
      </c>
      <c r="EZ725" s="1" t="s">
        <v>287</v>
      </c>
      <c r="FD725" s="1" t="s">
        <v>246</v>
      </c>
      <c r="FE725" s="1" t="s">
        <v>247</v>
      </c>
      <c r="FF725" s="1" t="s">
        <v>3103</v>
      </c>
      <c r="FH725" s="1" t="s">
        <v>249</v>
      </c>
      <c r="FK725" s="1" t="s">
        <v>291</v>
      </c>
      <c r="FL725" s="1" t="s">
        <v>810</v>
      </c>
      <c r="FM725" s="1" t="s">
        <v>252</v>
      </c>
      <c r="FN725" s="1" t="s">
        <v>213</v>
      </c>
      <c r="FO725" s="1" t="s">
        <v>213</v>
      </c>
      <c r="FQ725" s="1" t="s">
        <v>582</v>
      </c>
      <c r="FR725" s="1" t="s">
        <v>210</v>
      </c>
      <c r="FS725" s="1" t="s">
        <v>4124</v>
      </c>
      <c r="FT725" s="1" t="s">
        <v>255</v>
      </c>
      <c r="FU725" s="1" t="s">
        <v>204</v>
      </c>
      <c r="FW725" s="1" t="s">
        <v>8419</v>
      </c>
      <c r="FX725" s="1">
        <v>12119</v>
      </c>
      <c r="FY725" s="1" t="s">
        <v>8420</v>
      </c>
      <c r="FZ725" s="1" t="s">
        <v>8421</v>
      </c>
      <c r="GA725" s="1">
        <v>116161</v>
      </c>
      <c r="GB725" s="1" t="s">
        <v>8420</v>
      </c>
      <c r="GD725" s="1" t="s">
        <v>8422</v>
      </c>
      <c r="GE725" s="1" t="s">
        <v>210</v>
      </c>
      <c r="GH725" s="1" t="s">
        <v>421</v>
      </c>
      <c r="GI725" s="1" t="s">
        <v>213</v>
      </c>
      <c r="GJ725" s="1" t="s">
        <v>260</v>
      </c>
      <c r="GK725" s="1" t="s">
        <v>210</v>
      </c>
      <c r="GL725" s="2">
        <v>42118</v>
      </c>
      <c r="GM725" s="1" t="s">
        <v>8423</v>
      </c>
    </row>
    <row r="726" spans="1:195">
      <c r="A726" s="1">
        <v>260000</v>
      </c>
      <c r="B726" s="1" t="s">
        <v>195</v>
      </c>
      <c r="C726" s="1" t="str">
        <f>"08812208"</f>
        <v>08812208</v>
      </c>
      <c r="D726" s="1" t="s">
        <v>196</v>
      </c>
      <c r="F726" s="1" t="str">
        <f>"656"</f>
        <v>656</v>
      </c>
      <c r="G726" s="2">
        <v>42012</v>
      </c>
      <c r="H726" s="1">
        <v>274000</v>
      </c>
      <c r="I726" s="1">
        <v>274000</v>
      </c>
      <c r="J726" s="1">
        <v>260000</v>
      </c>
      <c r="K726" s="2">
        <v>42012</v>
      </c>
      <c r="L726" s="1">
        <v>280</v>
      </c>
      <c r="M726" s="2">
        <v>42023</v>
      </c>
      <c r="N726" s="1">
        <v>12</v>
      </c>
      <c r="O726" s="2">
        <v>42023</v>
      </c>
      <c r="P726" s="1">
        <v>18148</v>
      </c>
      <c r="Q726" s="1" t="s">
        <v>197</v>
      </c>
      <c r="R726" s="2">
        <v>42129</v>
      </c>
      <c r="S726" s="1">
        <v>109658</v>
      </c>
      <c r="U726" s="1">
        <v>4833</v>
      </c>
      <c r="V726" s="1" t="s">
        <v>6221</v>
      </c>
      <c r="W726" s="1" t="s">
        <v>425</v>
      </c>
      <c r="X726" s="1">
        <v>201</v>
      </c>
      <c r="Y726" s="1">
        <v>90</v>
      </c>
      <c r="Z726" s="1" t="s">
        <v>249</v>
      </c>
      <c r="AA726" s="1" t="s">
        <v>6222</v>
      </c>
      <c r="AB726" s="1">
        <v>60706</v>
      </c>
      <c r="AE726" s="1" t="s">
        <v>8424</v>
      </c>
      <c r="AF726" s="1">
        <v>2007</v>
      </c>
      <c r="AG726" s="1" t="s">
        <v>204</v>
      </c>
      <c r="AH726" s="1" t="s">
        <v>6224</v>
      </c>
      <c r="AI726" s="1" t="s">
        <v>310</v>
      </c>
      <c r="AJ726" s="1" t="s">
        <v>3200</v>
      </c>
      <c r="AL726" s="1">
        <v>5</v>
      </c>
      <c r="AM726" s="1">
        <v>2</v>
      </c>
      <c r="AN726" s="1">
        <v>2</v>
      </c>
      <c r="AO726" s="1">
        <v>0</v>
      </c>
      <c r="AP726" s="1" t="s">
        <v>209</v>
      </c>
      <c r="AR726" s="1" t="s">
        <v>210</v>
      </c>
      <c r="AS726" s="1" t="s">
        <v>204</v>
      </c>
      <c r="AT726" s="1" t="s">
        <v>211</v>
      </c>
      <c r="AU726" s="1">
        <v>2</v>
      </c>
      <c r="AW726" s="1" t="s">
        <v>204</v>
      </c>
      <c r="AX726" s="1" t="s">
        <v>212</v>
      </c>
      <c r="AZ726" s="1">
        <v>4334</v>
      </c>
      <c r="BA726" s="1">
        <v>2012</v>
      </c>
      <c r="BB726" s="1" t="s">
        <v>405</v>
      </c>
      <c r="BE726" s="1">
        <v>1364</v>
      </c>
      <c r="BF726" s="1">
        <v>2</v>
      </c>
      <c r="BG726" s="1">
        <v>30</v>
      </c>
      <c r="BJ726" s="1">
        <v>10</v>
      </c>
      <c r="BL726" s="1">
        <v>270</v>
      </c>
      <c r="BM726" s="1" t="s">
        <v>204</v>
      </c>
      <c r="BN726" s="1" t="s">
        <v>213</v>
      </c>
      <c r="BO726" s="1">
        <v>50</v>
      </c>
      <c r="BP726" s="1" t="s">
        <v>204</v>
      </c>
      <c r="BR726" s="1" t="str">
        <f>"12124250091091"</f>
        <v>12124250091091</v>
      </c>
      <c r="BT726" s="1" t="s">
        <v>8425</v>
      </c>
      <c r="BU726" s="1" t="s">
        <v>8426</v>
      </c>
      <c r="BV726" s="1" t="s">
        <v>8426</v>
      </c>
      <c r="BW726" s="1" t="s">
        <v>8427</v>
      </c>
      <c r="BX726" s="1">
        <v>79</v>
      </c>
      <c r="BY726" s="1">
        <v>79</v>
      </c>
      <c r="BZ726" s="1">
        <v>207</v>
      </c>
      <c r="CB726" s="1" t="str">
        <f t="shared" ref="CB726:CC726" si="566">""</f>
        <v/>
      </c>
      <c r="CC726" s="1" t="str">
        <f t="shared" si="566"/>
        <v/>
      </c>
      <c r="CG726" s="1" t="s">
        <v>461</v>
      </c>
      <c r="CH726" s="1" t="s">
        <v>219</v>
      </c>
      <c r="CI726" s="1" t="s">
        <v>438</v>
      </c>
      <c r="CJ726" s="1" t="s">
        <v>252</v>
      </c>
      <c r="CK726" s="1" t="s">
        <v>669</v>
      </c>
      <c r="CL726" s="1" t="s">
        <v>219</v>
      </c>
      <c r="CM726" s="1" t="s">
        <v>220</v>
      </c>
      <c r="CN726" s="1" t="s">
        <v>252</v>
      </c>
      <c r="CO726" s="1" t="s">
        <v>379</v>
      </c>
      <c r="CP726" s="1" t="s">
        <v>219</v>
      </c>
      <c r="CQ726" s="1" t="s">
        <v>438</v>
      </c>
      <c r="CR726" s="1" t="s">
        <v>252</v>
      </c>
      <c r="CS726" s="1" t="s">
        <v>1046</v>
      </c>
      <c r="CT726" s="1" t="s">
        <v>219</v>
      </c>
      <c r="CU726" s="1" t="s">
        <v>220</v>
      </c>
      <c r="CV726" s="1" t="s">
        <v>252</v>
      </c>
      <c r="CX726" s="1" t="s">
        <v>224</v>
      </c>
      <c r="DB726" s="1" t="s">
        <v>224</v>
      </c>
      <c r="DE726" s="1" t="s">
        <v>379</v>
      </c>
      <c r="DF726" s="1" t="s">
        <v>219</v>
      </c>
      <c r="DG726" s="1" t="s">
        <v>438</v>
      </c>
      <c r="DH726" s="1" t="s">
        <v>252</v>
      </c>
      <c r="DJ726" s="1" t="s">
        <v>224</v>
      </c>
      <c r="DS726" s="1" t="s">
        <v>230</v>
      </c>
      <c r="DW726" s="1" t="s">
        <v>230</v>
      </c>
      <c r="EA726" s="1" t="s">
        <v>230</v>
      </c>
      <c r="EE726" s="1" t="s">
        <v>230</v>
      </c>
      <c r="EI726" s="1" t="s">
        <v>230</v>
      </c>
      <c r="EL726" s="1" t="s">
        <v>491</v>
      </c>
      <c r="EM726" s="1" t="s">
        <v>232</v>
      </c>
      <c r="EN726" s="1" t="s">
        <v>282</v>
      </c>
      <c r="EO726" s="1" t="s">
        <v>234</v>
      </c>
      <c r="EQ726" s="1" t="s">
        <v>492</v>
      </c>
      <c r="ER726" s="1" t="s">
        <v>210</v>
      </c>
      <c r="ES726" s="1" t="s">
        <v>469</v>
      </c>
      <c r="ET726" s="1" t="s">
        <v>1752</v>
      </c>
      <c r="EV726" s="1" t="s">
        <v>240</v>
      </c>
      <c r="EW726" s="1" t="s">
        <v>8428</v>
      </c>
      <c r="EZ726" s="1" t="s">
        <v>287</v>
      </c>
      <c r="FB726" s="1" t="s">
        <v>289</v>
      </c>
      <c r="FD726" s="1" t="s">
        <v>246</v>
      </c>
      <c r="FE726" s="1" t="s">
        <v>247</v>
      </c>
      <c r="FF726" s="1" t="s">
        <v>248</v>
      </c>
      <c r="FH726" s="1" t="s">
        <v>249</v>
      </c>
      <c r="FI726" s="1" t="s">
        <v>250</v>
      </c>
      <c r="FL726" s="1" t="s">
        <v>358</v>
      </c>
      <c r="FM726" s="1" t="s">
        <v>252</v>
      </c>
      <c r="FN726" s="1" t="s">
        <v>213</v>
      </c>
      <c r="FO726" s="1" t="s">
        <v>213</v>
      </c>
      <c r="FQ726" s="1" t="s">
        <v>8429</v>
      </c>
      <c r="FR726" s="1" t="s">
        <v>210</v>
      </c>
      <c r="FS726" s="1" t="s">
        <v>8430</v>
      </c>
      <c r="FT726" s="1" t="s">
        <v>8431</v>
      </c>
      <c r="FU726" s="1" t="s">
        <v>204</v>
      </c>
      <c r="FW726" s="1" t="s">
        <v>363</v>
      </c>
      <c r="FX726" s="1">
        <v>8970</v>
      </c>
      <c r="FY726" s="1" t="s">
        <v>364</v>
      </c>
      <c r="FZ726" s="1" t="s">
        <v>8432</v>
      </c>
      <c r="GA726" s="1">
        <v>81745</v>
      </c>
      <c r="GB726" s="1" t="s">
        <v>8433</v>
      </c>
      <c r="GE726" s="1" t="s">
        <v>1333</v>
      </c>
      <c r="GH726" s="1" t="s">
        <v>230</v>
      </c>
      <c r="GI726" s="1" t="s">
        <v>213</v>
      </c>
      <c r="GJ726" s="1" t="s">
        <v>260</v>
      </c>
      <c r="GK726" s="1" t="s">
        <v>261</v>
      </c>
      <c r="GL726" s="2">
        <v>42130</v>
      </c>
      <c r="GM726" s="1" t="s">
        <v>8434</v>
      </c>
    </row>
    <row r="727" spans="1:195">
      <c r="A727" s="1">
        <v>85360</v>
      </c>
      <c r="B727" s="1" t="s">
        <v>195</v>
      </c>
      <c r="C727" s="1" t="str">
        <f>"08810927"</f>
        <v>08810927</v>
      </c>
      <c r="D727" s="1" t="s">
        <v>196</v>
      </c>
      <c r="F727" s="1" t="str">
        <f>"542"</f>
        <v>542</v>
      </c>
      <c r="G727" s="2">
        <v>42010</v>
      </c>
      <c r="H727" s="1">
        <v>99900</v>
      </c>
      <c r="I727" s="1">
        <v>87900</v>
      </c>
      <c r="J727" s="1">
        <v>85360</v>
      </c>
      <c r="K727" s="2">
        <v>42010</v>
      </c>
      <c r="L727" s="1">
        <v>519</v>
      </c>
      <c r="M727" s="2">
        <v>42040</v>
      </c>
      <c r="N727" s="1">
        <v>31</v>
      </c>
      <c r="O727" s="2">
        <v>42040</v>
      </c>
      <c r="P727" s="1">
        <v>10646</v>
      </c>
      <c r="Q727" s="1" t="s">
        <v>302</v>
      </c>
      <c r="R727" s="2">
        <v>42093</v>
      </c>
      <c r="S727" s="1">
        <v>111145</v>
      </c>
      <c r="U727" s="1">
        <v>605</v>
      </c>
      <c r="V727" s="1" t="s">
        <v>6070</v>
      </c>
      <c r="W727" s="1" t="s">
        <v>449</v>
      </c>
      <c r="Y727" s="1">
        <v>6</v>
      </c>
      <c r="Z727" s="1" t="s">
        <v>249</v>
      </c>
      <c r="AA727" s="1" t="s">
        <v>6071</v>
      </c>
      <c r="AB727" s="1">
        <v>60542</v>
      </c>
      <c r="AD727" s="1" t="s">
        <v>6072</v>
      </c>
      <c r="AE727" s="1" t="s">
        <v>8435</v>
      </c>
      <c r="AF727" s="1">
        <v>1995</v>
      </c>
      <c r="AG727" s="1" t="s">
        <v>204</v>
      </c>
      <c r="AH727" s="1" t="s">
        <v>1126</v>
      </c>
      <c r="AI727" s="1" t="s">
        <v>665</v>
      </c>
      <c r="AJ727" s="1" t="s">
        <v>1126</v>
      </c>
      <c r="AL727" s="1">
        <v>4</v>
      </c>
      <c r="AM727" s="1">
        <v>2</v>
      </c>
      <c r="AN727" s="1">
        <v>1</v>
      </c>
      <c r="AO727" s="1">
        <v>1</v>
      </c>
      <c r="AP727" s="1" t="s">
        <v>667</v>
      </c>
      <c r="AR727" s="1" t="s">
        <v>210</v>
      </c>
      <c r="AS727" s="1" t="s">
        <v>204</v>
      </c>
      <c r="AT727" s="1" t="s">
        <v>211</v>
      </c>
      <c r="AU727" s="1">
        <v>2</v>
      </c>
      <c r="AW727" s="1" t="s">
        <v>204</v>
      </c>
      <c r="AX727" s="1" t="s">
        <v>212</v>
      </c>
      <c r="AZ727" s="1">
        <v>2627.88</v>
      </c>
      <c r="BA727" s="1">
        <v>2013</v>
      </c>
      <c r="BB727" s="1" t="s">
        <v>405</v>
      </c>
      <c r="BE727" s="1">
        <v>936</v>
      </c>
      <c r="BF727" s="1">
        <v>1</v>
      </c>
      <c r="BG727" s="1">
        <v>30</v>
      </c>
      <c r="BL727" s="1">
        <v>136</v>
      </c>
      <c r="BM727" s="1" t="s">
        <v>413</v>
      </c>
      <c r="BN727" s="1" t="s">
        <v>213</v>
      </c>
      <c r="BO727" s="1" t="s">
        <v>402</v>
      </c>
      <c r="BP727" s="1" t="s">
        <v>204</v>
      </c>
      <c r="BR727" s="1" t="str">
        <f>"1505177049"</f>
        <v>1505177049</v>
      </c>
      <c r="BT727" s="1" t="s">
        <v>8436</v>
      </c>
      <c r="BX727" s="1">
        <v>129</v>
      </c>
      <c r="BY727" s="1">
        <v>129</v>
      </c>
      <c r="BZ727" s="1">
        <v>129</v>
      </c>
      <c r="CB727" s="1" t="str">
        <f t="shared" ref="CB727:CC727" si="567">""</f>
        <v/>
      </c>
      <c r="CC727" s="1" t="str">
        <f t="shared" si="567"/>
        <v/>
      </c>
      <c r="CG727" s="1" t="s">
        <v>1358</v>
      </c>
      <c r="CH727" s="1" t="s">
        <v>219</v>
      </c>
      <c r="CI727" s="1" t="s">
        <v>220</v>
      </c>
      <c r="CK727" s="1" t="s">
        <v>461</v>
      </c>
      <c r="CL727" s="1" t="s">
        <v>277</v>
      </c>
      <c r="CM727" s="1" t="s">
        <v>220</v>
      </c>
      <c r="CP727" s="1" t="s">
        <v>224</v>
      </c>
      <c r="CS727" s="1" t="s">
        <v>318</v>
      </c>
      <c r="CT727" s="1" t="s">
        <v>277</v>
      </c>
      <c r="CU727" s="1" t="s">
        <v>220</v>
      </c>
      <c r="CX727" s="1" t="s">
        <v>224</v>
      </c>
      <c r="DB727" s="1" t="s">
        <v>224</v>
      </c>
      <c r="DE727" s="1" t="s">
        <v>315</v>
      </c>
      <c r="DF727" s="1" t="s">
        <v>219</v>
      </c>
      <c r="DG727" s="1" t="s">
        <v>342</v>
      </c>
      <c r="DJ727" s="1" t="s">
        <v>224</v>
      </c>
      <c r="DS727" s="1" t="s">
        <v>230</v>
      </c>
      <c r="DW727" s="1" t="s">
        <v>230</v>
      </c>
      <c r="EA727" s="1" t="s">
        <v>230</v>
      </c>
      <c r="EE727" s="1" t="s">
        <v>230</v>
      </c>
      <c r="EI727" s="1" t="s">
        <v>230</v>
      </c>
      <c r="EL727" s="1" t="s">
        <v>670</v>
      </c>
      <c r="EM727" s="1" t="s">
        <v>319</v>
      </c>
      <c r="EN727" s="1" t="s">
        <v>282</v>
      </c>
      <c r="EO727" s="1" t="s">
        <v>840</v>
      </c>
      <c r="EP727" s="1" t="s">
        <v>650</v>
      </c>
      <c r="ER727" s="1" t="s">
        <v>210</v>
      </c>
      <c r="ES727" s="1" t="s">
        <v>824</v>
      </c>
      <c r="EU727" s="1" t="s">
        <v>239</v>
      </c>
      <c r="EW727" s="1" t="s">
        <v>353</v>
      </c>
      <c r="EY727" s="1" t="s">
        <v>242</v>
      </c>
      <c r="EZ727" s="1" t="s">
        <v>287</v>
      </c>
      <c r="FD727" s="1" t="s">
        <v>246</v>
      </c>
      <c r="FE727" s="1" t="s">
        <v>355</v>
      </c>
      <c r="FF727" s="1" t="s">
        <v>248</v>
      </c>
      <c r="FH727" s="1" t="s">
        <v>550</v>
      </c>
      <c r="FL727" s="1" t="s">
        <v>358</v>
      </c>
      <c r="FM727" s="1" t="s">
        <v>252</v>
      </c>
      <c r="FN727" s="1" t="s">
        <v>213</v>
      </c>
      <c r="FO727" s="1" t="s">
        <v>213</v>
      </c>
      <c r="FQ727" s="1" t="s">
        <v>689</v>
      </c>
      <c r="FR727" s="1" t="s">
        <v>210</v>
      </c>
      <c r="FS727" s="1" t="s">
        <v>3448</v>
      </c>
      <c r="FT727" s="1" t="s">
        <v>584</v>
      </c>
      <c r="FU727" s="1" t="s">
        <v>204</v>
      </c>
      <c r="FW727" s="1" t="s">
        <v>3449</v>
      </c>
      <c r="FX727" s="1">
        <v>605</v>
      </c>
      <c r="FY727" s="1" t="s">
        <v>3450</v>
      </c>
      <c r="FZ727" s="1" t="s">
        <v>3451</v>
      </c>
      <c r="GA727" s="1">
        <v>170</v>
      </c>
      <c r="GB727" s="1" t="s">
        <v>3450</v>
      </c>
      <c r="GD727" s="1" t="s">
        <v>3452</v>
      </c>
      <c r="GE727" s="1" t="s">
        <v>210</v>
      </c>
      <c r="GH727" s="1" t="s">
        <v>800</v>
      </c>
      <c r="GI727" s="1" t="s">
        <v>213</v>
      </c>
      <c r="GJ727" s="1" t="s">
        <v>260</v>
      </c>
      <c r="GK727" s="1" t="s">
        <v>210</v>
      </c>
      <c r="GL727" s="2">
        <v>42094</v>
      </c>
      <c r="GM727" s="1" t="s">
        <v>8437</v>
      </c>
    </row>
    <row r="728" spans="1:195">
      <c r="A728" s="1">
        <v>140000</v>
      </c>
      <c r="B728" s="1" t="s">
        <v>195</v>
      </c>
      <c r="C728" s="1" t="str">
        <f>"08809170"</f>
        <v>08809170</v>
      </c>
      <c r="D728" s="1" t="s">
        <v>196</v>
      </c>
      <c r="F728" s="1" t="str">
        <f>"507"</f>
        <v>507</v>
      </c>
      <c r="G728" s="2">
        <v>42008</v>
      </c>
      <c r="H728" s="1">
        <v>144900</v>
      </c>
      <c r="I728" s="1">
        <v>144900</v>
      </c>
      <c r="J728" s="1">
        <v>140000</v>
      </c>
      <c r="K728" s="2">
        <v>42008</v>
      </c>
      <c r="L728" s="1">
        <v>215</v>
      </c>
      <c r="M728" s="2">
        <v>42079</v>
      </c>
      <c r="N728" s="1">
        <v>72</v>
      </c>
      <c r="O728" s="2">
        <v>42079</v>
      </c>
      <c r="P728" s="1">
        <v>23099</v>
      </c>
      <c r="Q728" s="1" t="s">
        <v>197</v>
      </c>
      <c r="R728" s="2">
        <v>42117</v>
      </c>
      <c r="S728" s="1">
        <v>217574</v>
      </c>
      <c r="U728" s="1">
        <v>746</v>
      </c>
      <c r="V728" s="1" t="s">
        <v>8438</v>
      </c>
      <c r="W728" s="1" t="s">
        <v>1056</v>
      </c>
      <c r="X728" s="1">
        <v>746</v>
      </c>
      <c r="Y728" s="1">
        <v>8</v>
      </c>
      <c r="Z728" s="1" t="s">
        <v>249</v>
      </c>
      <c r="AA728" s="1" t="s">
        <v>1123</v>
      </c>
      <c r="AB728" s="1">
        <v>60502</v>
      </c>
      <c r="AD728" s="1" t="s">
        <v>900</v>
      </c>
      <c r="AE728" s="1" t="s">
        <v>8439</v>
      </c>
      <c r="AF728" s="1">
        <v>2001</v>
      </c>
      <c r="AG728" s="1" t="s">
        <v>204</v>
      </c>
      <c r="AH728" s="1" t="s">
        <v>1126</v>
      </c>
      <c r="AI728" s="1" t="s">
        <v>206</v>
      </c>
      <c r="AJ728" s="1" t="s">
        <v>924</v>
      </c>
      <c r="AK728" s="1" t="s">
        <v>1127</v>
      </c>
      <c r="AL728" s="1">
        <v>7</v>
      </c>
      <c r="AM728" s="1">
        <v>2</v>
      </c>
      <c r="AN728" s="1">
        <v>2</v>
      </c>
      <c r="AO728" s="1">
        <v>1</v>
      </c>
      <c r="AP728" s="1" t="s">
        <v>209</v>
      </c>
      <c r="AQ728" s="1">
        <v>0</v>
      </c>
      <c r="AR728" s="1" t="s">
        <v>210</v>
      </c>
      <c r="AT728" s="1" t="s">
        <v>211</v>
      </c>
      <c r="AU728" s="1">
        <v>2</v>
      </c>
      <c r="AW728" s="1" t="s">
        <v>204</v>
      </c>
      <c r="AX728" s="1" t="s">
        <v>212</v>
      </c>
      <c r="AZ728" s="1">
        <v>3863.3</v>
      </c>
      <c r="BA728" s="1">
        <v>2013</v>
      </c>
      <c r="BB728" s="1" t="s">
        <v>405</v>
      </c>
      <c r="BC728" s="1">
        <v>0</v>
      </c>
      <c r="BD728" s="1">
        <v>0</v>
      </c>
      <c r="BE728" s="1">
        <v>1404</v>
      </c>
      <c r="BF728" s="1">
        <v>1</v>
      </c>
      <c r="BG728" s="1">
        <v>0</v>
      </c>
      <c r="BL728" s="1">
        <v>185</v>
      </c>
      <c r="BM728" s="1" t="s">
        <v>204</v>
      </c>
      <c r="BN728" s="1" t="s">
        <v>213</v>
      </c>
      <c r="BO728" s="1">
        <v>0</v>
      </c>
      <c r="BP728" s="1" t="s">
        <v>204</v>
      </c>
      <c r="BR728" s="1" t="str">
        <f>"0719104245"</f>
        <v>0719104245</v>
      </c>
      <c r="BT728" s="1" t="s">
        <v>8440</v>
      </c>
      <c r="BU728" s="1" t="s">
        <v>1129</v>
      </c>
      <c r="BV728" s="1" t="s">
        <v>1130</v>
      </c>
      <c r="BW728" s="1" t="s">
        <v>1131</v>
      </c>
      <c r="BX728" s="1">
        <v>204</v>
      </c>
      <c r="BY728" s="1">
        <v>204</v>
      </c>
      <c r="BZ728" s="1">
        <v>204</v>
      </c>
      <c r="CB728" s="1" t="str">
        <f t="shared" ref="CB728:CC728" si="568">"0"</f>
        <v>0</v>
      </c>
      <c r="CC728" s="1" t="str">
        <f t="shared" si="568"/>
        <v>0</v>
      </c>
      <c r="CD728" s="1">
        <v>32</v>
      </c>
      <c r="CE728" s="1">
        <v>6</v>
      </c>
      <c r="CG728" s="1" t="s">
        <v>221</v>
      </c>
      <c r="CH728" s="1" t="s">
        <v>219</v>
      </c>
      <c r="CI728" s="1" t="s">
        <v>220</v>
      </c>
      <c r="CJ728" s="1" t="s">
        <v>343</v>
      </c>
      <c r="CK728" s="1" t="s">
        <v>932</v>
      </c>
      <c r="CL728" s="1" t="s">
        <v>277</v>
      </c>
      <c r="CM728" s="1" t="s">
        <v>220</v>
      </c>
      <c r="CN728" s="1" t="s">
        <v>343</v>
      </c>
      <c r="CO728" s="1" t="s">
        <v>1534</v>
      </c>
      <c r="CP728" s="1" t="s">
        <v>219</v>
      </c>
      <c r="CQ728" s="1" t="s">
        <v>220</v>
      </c>
      <c r="CS728" s="1" t="s">
        <v>1046</v>
      </c>
      <c r="CT728" s="1" t="s">
        <v>277</v>
      </c>
      <c r="CU728" s="1" t="s">
        <v>220</v>
      </c>
      <c r="CV728" s="1" t="s">
        <v>343</v>
      </c>
      <c r="CX728" s="1" t="s">
        <v>224</v>
      </c>
      <c r="DB728" s="1" t="s">
        <v>224</v>
      </c>
      <c r="DE728" s="1" t="s">
        <v>5519</v>
      </c>
      <c r="DF728" s="1" t="s">
        <v>219</v>
      </c>
      <c r="DG728" s="1" t="s">
        <v>438</v>
      </c>
      <c r="DH728" s="1" t="s">
        <v>343</v>
      </c>
      <c r="DJ728" s="1" t="s">
        <v>224</v>
      </c>
      <c r="DM728" s="1" t="s">
        <v>1548</v>
      </c>
      <c r="DN728" s="1" t="s">
        <v>3592</v>
      </c>
      <c r="DR728" s="1" t="s">
        <v>2031</v>
      </c>
      <c r="DS728" s="1" t="s">
        <v>219</v>
      </c>
      <c r="DT728" s="1" t="s">
        <v>438</v>
      </c>
      <c r="DU728" s="1" t="s">
        <v>343</v>
      </c>
      <c r="DV728" s="1" t="s">
        <v>516</v>
      </c>
      <c r="DW728" s="1" t="s">
        <v>277</v>
      </c>
      <c r="DX728" s="1" t="s">
        <v>220</v>
      </c>
      <c r="DY728" s="1" t="s">
        <v>343</v>
      </c>
      <c r="EA728" s="1" t="s">
        <v>230</v>
      </c>
      <c r="EE728" s="1" t="s">
        <v>230</v>
      </c>
      <c r="EI728" s="1" t="s">
        <v>230</v>
      </c>
      <c r="EL728" s="1" t="s">
        <v>466</v>
      </c>
      <c r="EM728" s="1" t="s">
        <v>319</v>
      </c>
      <c r="EN728" s="1" t="s">
        <v>282</v>
      </c>
      <c r="EO728" s="1" t="s">
        <v>234</v>
      </c>
      <c r="EQ728" s="1" t="s">
        <v>953</v>
      </c>
      <c r="ER728" s="1" t="s">
        <v>1069</v>
      </c>
      <c r="ES728" s="1" t="s">
        <v>824</v>
      </c>
      <c r="ET728" s="1" t="s">
        <v>842</v>
      </c>
      <c r="EU728" s="1" t="s">
        <v>239</v>
      </c>
      <c r="EV728" s="1" t="s">
        <v>240</v>
      </c>
      <c r="EW728" s="1" t="s">
        <v>937</v>
      </c>
      <c r="EZ728" s="1" t="s">
        <v>8441</v>
      </c>
      <c r="FA728" s="1" t="s">
        <v>471</v>
      </c>
      <c r="FB728" s="1" t="s">
        <v>289</v>
      </c>
      <c r="FC728" s="1" t="s">
        <v>326</v>
      </c>
      <c r="FD728" s="1" t="s">
        <v>246</v>
      </c>
      <c r="FE728" s="1" t="s">
        <v>472</v>
      </c>
      <c r="FF728" s="1" t="s">
        <v>248</v>
      </c>
      <c r="FH728" s="1" t="s">
        <v>550</v>
      </c>
      <c r="FI728" s="1" t="s">
        <v>250</v>
      </c>
      <c r="FL728" s="1" t="s">
        <v>358</v>
      </c>
      <c r="FM728" s="1" t="s">
        <v>252</v>
      </c>
      <c r="FN728" s="1" t="s">
        <v>213</v>
      </c>
      <c r="FO728" s="1" t="s">
        <v>213</v>
      </c>
      <c r="FQ728" s="1" t="s">
        <v>1896</v>
      </c>
      <c r="FR728" s="1" t="s">
        <v>210</v>
      </c>
      <c r="FS728" s="1" t="s">
        <v>8442</v>
      </c>
      <c r="FT728" s="1" t="s">
        <v>295</v>
      </c>
      <c r="FU728" s="1" t="s">
        <v>204</v>
      </c>
      <c r="FW728" s="1" t="s">
        <v>585</v>
      </c>
      <c r="FX728" s="1">
        <v>23156</v>
      </c>
      <c r="FY728" s="1" t="s">
        <v>1253</v>
      </c>
      <c r="FZ728" s="1" t="s">
        <v>8443</v>
      </c>
      <c r="GA728" s="1">
        <v>231114</v>
      </c>
      <c r="GB728" s="1" t="s">
        <v>8444</v>
      </c>
      <c r="GE728" s="1" t="s">
        <v>210</v>
      </c>
      <c r="GI728" s="1" t="s">
        <v>213</v>
      </c>
      <c r="GJ728" s="1" t="s">
        <v>260</v>
      </c>
      <c r="GK728" s="1" t="s">
        <v>210</v>
      </c>
      <c r="GL728" s="2">
        <v>42117</v>
      </c>
      <c r="GM728" s="1" t="s">
        <v>8445</v>
      </c>
    </row>
    <row r="729" spans="1:195">
      <c r="A729" s="1">
        <v>169900</v>
      </c>
      <c r="B729" s="1" t="s">
        <v>195</v>
      </c>
      <c r="C729" s="1" t="str">
        <f>"08807762"</f>
        <v>08807762</v>
      </c>
      <c r="D729" s="1" t="s">
        <v>196</v>
      </c>
      <c r="F729" s="1" t="str">
        <f>"118"</f>
        <v>118</v>
      </c>
      <c r="G729" s="2">
        <v>42004</v>
      </c>
      <c r="H729" s="1">
        <v>176900</v>
      </c>
      <c r="I729" s="1">
        <v>176900</v>
      </c>
      <c r="J729" s="1">
        <v>169900</v>
      </c>
      <c r="K729" s="2">
        <v>42004</v>
      </c>
      <c r="L729" s="1">
        <v>99</v>
      </c>
      <c r="M729" s="2">
        <v>42102</v>
      </c>
      <c r="N729" s="1">
        <v>99</v>
      </c>
      <c r="O729" s="2">
        <v>42102</v>
      </c>
      <c r="P729" s="1">
        <v>30</v>
      </c>
      <c r="Q729" s="1" t="s">
        <v>302</v>
      </c>
      <c r="R729" s="2">
        <v>42128</v>
      </c>
      <c r="S729" s="1">
        <v>1034</v>
      </c>
      <c r="U729" s="1">
        <v>2555</v>
      </c>
      <c r="V729" s="1" t="s">
        <v>8446</v>
      </c>
      <c r="W729" s="1" t="s">
        <v>264</v>
      </c>
      <c r="X729" s="1">
        <v>2555</v>
      </c>
      <c r="Y729" s="1">
        <v>4</v>
      </c>
      <c r="Z729" s="1" t="s">
        <v>370</v>
      </c>
      <c r="AA729" s="1" t="s">
        <v>8447</v>
      </c>
      <c r="AB729" s="1">
        <v>60118</v>
      </c>
      <c r="AD729" s="1" t="s">
        <v>8448</v>
      </c>
      <c r="AE729" s="1" t="s">
        <v>8449</v>
      </c>
      <c r="AF729" s="1">
        <v>2003</v>
      </c>
      <c r="AG729" s="1" t="s">
        <v>204</v>
      </c>
      <c r="AH729" s="1" t="s">
        <v>8450</v>
      </c>
      <c r="AI729" s="1" t="s">
        <v>665</v>
      </c>
      <c r="AJ729" s="1" t="s">
        <v>805</v>
      </c>
      <c r="AK729" s="1" t="s">
        <v>8451</v>
      </c>
      <c r="AL729" s="1">
        <v>6</v>
      </c>
      <c r="AM729" s="1">
        <v>2</v>
      </c>
      <c r="AN729" s="1">
        <v>2</v>
      </c>
      <c r="AO729" s="1">
        <v>0</v>
      </c>
      <c r="AP729" s="1" t="s">
        <v>209</v>
      </c>
      <c r="AQ729" s="1">
        <v>1</v>
      </c>
      <c r="AR729" s="1" t="s">
        <v>210</v>
      </c>
      <c r="AS729" s="1" t="s">
        <v>204</v>
      </c>
      <c r="AT729" s="1" t="s">
        <v>211</v>
      </c>
      <c r="AU729" s="1">
        <v>2</v>
      </c>
      <c r="AW729" s="1" t="s">
        <v>204</v>
      </c>
      <c r="AX729" s="1" t="s">
        <v>212</v>
      </c>
      <c r="AZ729" s="1">
        <v>4833.32</v>
      </c>
      <c r="BA729" s="1">
        <v>2013</v>
      </c>
      <c r="BB729" s="1" t="s">
        <v>210</v>
      </c>
      <c r="BE729" s="1">
        <v>1356</v>
      </c>
      <c r="BF729" s="1">
        <v>1</v>
      </c>
      <c r="BG729" s="1">
        <v>0</v>
      </c>
      <c r="BL729" s="1">
        <v>196</v>
      </c>
      <c r="BM729" s="1" t="s">
        <v>204</v>
      </c>
      <c r="BN729" s="1" t="s">
        <v>213</v>
      </c>
      <c r="BO729" s="1">
        <v>999</v>
      </c>
      <c r="BP729" s="1" t="s">
        <v>204</v>
      </c>
      <c r="BR729" s="1" t="str">
        <f>"0317480015"</f>
        <v>0317480015</v>
      </c>
      <c r="BT729" s="1" t="s">
        <v>8452</v>
      </c>
      <c r="BU729" s="1" t="s">
        <v>2666</v>
      </c>
      <c r="BV729" s="1" t="s">
        <v>2667</v>
      </c>
      <c r="BW729" s="1" t="s">
        <v>2668</v>
      </c>
      <c r="BX729" s="1">
        <v>300</v>
      </c>
      <c r="BY729" s="1">
        <v>300</v>
      </c>
      <c r="BZ729" s="1">
        <v>300</v>
      </c>
      <c r="CB729" s="1" t="str">
        <f>"16"</f>
        <v>16</v>
      </c>
      <c r="CC729" s="1" t="str">
        <f>"0"</f>
        <v>0</v>
      </c>
      <c r="CD729" s="1">
        <v>35</v>
      </c>
      <c r="CE729" s="1">
        <v>0</v>
      </c>
      <c r="CG729" s="1" t="s">
        <v>1004</v>
      </c>
      <c r="CH729" s="1" t="s">
        <v>219</v>
      </c>
      <c r="CI729" s="1" t="s">
        <v>220</v>
      </c>
      <c r="CJ729" s="1" t="s">
        <v>252</v>
      </c>
      <c r="CK729" s="1" t="s">
        <v>315</v>
      </c>
      <c r="CL729" s="1" t="s">
        <v>219</v>
      </c>
      <c r="CM729" s="1" t="s">
        <v>220</v>
      </c>
      <c r="CN729" s="1" t="s">
        <v>252</v>
      </c>
      <c r="CO729" s="1" t="s">
        <v>2071</v>
      </c>
      <c r="CP729" s="1" t="s">
        <v>219</v>
      </c>
      <c r="CQ729" s="1" t="s">
        <v>220</v>
      </c>
      <c r="CR729" s="1" t="s">
        <v>252</v>
      </c>
      <c r="CS729" s="1" t="s">
        <v>465</v>
      </c>
      <c r="CT729" s="1" t="s">
        <v>219</v>
      </c>
      <c r="CU729" s="1" t="s">
        <v>220</v>
      </c>
      <c r="CV729" s="1" t="s">
        <v>252</v>
      </c>
      <c r="CX729" s="1" t="s">
        <v>224</v>
      </c>
      <c r="DB729" s="1" t="s">
        <v>224</v>
      </c>
      <c r="DE729" s="1" t="s">
        <v>2982</v>
      </c>
      <c r="DF729" s="1" t="s">
        <v>219</v>
      </c>
      <c r="DG729" s="1" t="s">
        <v>342</v>
      </c>
      <c r="DH729" s="1" t="s">
        <v>252</v>
      </c>
      <c r="DJ729" s="1" t="s">
        <v>224</v>
      </c>
      <c r="DM729" s="1" t="s">
        <v>381</v>
      </c>
      <c r="DN729" s="1" t="s">
        <v>8453</v>
      </c>
      <c r="DR729" s="1" t="s">
        <v>409</v>
      </c>
      <c r="DS729" s="1" t="s">
        <v>219</v>
      </c>
      <c r="DT729" s="1" t="s">
        <v>342</v>
      </c>
      <c r="DU729" s="1" t="s">
        <v>252</v>
      </c>
      <c r="DV729" s="1" t="s">
        <v>3657</v>
      </c>
      <c r="DW729" s="1" t="s">
        <v>219</v>
      </c>
      <c r="DX729" s="1" t="s">
        <v>347</v>
      </c>
      <c r="DY729" s="1" t="s">
        <v>252</v>
      </c>
      <c r="EA729" s="1" t="s">
        <v>230</v>
      </c>
      <c r="EE729" s="1" t="s">
        <v>230</v>
      </c>
      <c r="EI729" s="1" t="s">
        <v>230</v>
      </c>
      <c r="EL729" s="1" t="s">
        <v>466</v>
      </c>
      <c r="EM729" s="1" t="s">
        <v>319</v>
      </c>
      <c r="EN729" s="1" t="s">
        <v>282</v>
      </c>
      <c r="EO729" s="1" t="s">
        <v>234</v>
      </c>
      <c r="EP729" s="1" t="s">
        <v>650</v>
      </c>
      <c r="EQ729" s="1" t="s">
        <v>8454</v>
      </c>
      <c r="ER729" s="1" t="s">
        <v>210</v>
      </c>
      <c r="ES729" s="1" t="s">
        <v>824</v>
      </c>
      <c r="ET729" s="1" t="s">
        <v>1161</v>
      </c>
      <c r="EU729" s="1" t="s">
        <v>239</v>
      </c>
      <c r="EV729" s="1" t="s">
        <v>324</v>
      </c>
      <c r="EW729" s="1" t="s">
        <v>353</v>
      </c>
      <c r="EY729" s="1" t="s">
        <v>790</v>
      </c>
      <c r="EZ729" s="1" t="s">
        <v>8455</v>
      </c>
      <c r="FA729" s="1" t="s">
        <v>8456</v>
      </c>
      <c r="FB729" s="1" t="s">
        <v>289</v>
      </c>
      <c r="FC729" s="1" t="s">
        <v>326</v>
      </c>
      <c r="FD729" s="1" t="s">
        <v>246</v>
      </c>
      <c r="FE729" s="1" t="s">
        <v>2858</v>
      </c>
      <c r="FF729" s="1" t="s">
        <v>248</v>
      </c>
      <c r="FG729" s="1" t="s">
        <v>912</v>
      </c>
      <c r="FH729" s="1" t="s">
        <v>3013</v>
      </c>
      <c r="FI729" s="1" t="s">
        <v>473</v>
      </c>
      <c r="FJ729" s="1" t="s">
        <v>518</v>
      </c>
      <c r="FL729" s="1" t="s">
        <v>358</v>
      </c>
      <c r="FM729" s="1" t="s">
        <v>252</v>
      </c>
      <c r="FN729" s="1" t="s">
        <v>213</v>
      </c>
      <c r="FO729" s="1" t="s">
        <v>213</v>
      </c>
      <c r="FQ729" s="1" t="s">
        <v>2091</v>
      </c>
      <c r="FR729" s="1" t="s">
        <v>652</v>
      </c>
      <c r="FS729" s="1" t="s">
        <v>8457</v>
      </c>
      <c r="FT729" s="1" t="s">
        <v>8458</v>
      </c>
      <c r="FU729" s="1" t="s">
        <v>204</v>
      </c>
      <c r="FW729" s="1" t="s">
        <v>3291</v>
      </c>
      <c r="FX729" s="1">
        <v>7450</v>
      </c>
      <c r="FY729" s="1" t="s">
        <v>3292</v>
      </c>
      <c r="FZ729" s="1" t="s">
        <v>8459</v>
      </c>
      <c r="GA729" s="1">
        <v>1256</v>
      </c>
      <c r="GB729" s="1" t="s">
        <v>8460</v>
      </c>
      <c r="GD729" s="1" t="s">
        <v>8461</v>
      </c>
      <c r="GE729" s="1" t="s">
        <v>480</v>
      </c>
      <c r="GI729" s="1" t="s">
        <v>213</v>
      </c>
      <c r="GJ729" s="1" t="s">
        <v>260</v>
      </c>
      <c r="GK729" s="1" t="s">
        <v>210</v>
      </c>
      <c r="GL729" s="2">
        <v>42128</v>
      </c>
      <c r="GM729" s="1" t="s">
        <v>8462</v>
      </c>
    </row>
    <row r="730" spans="1:195">
      <c r="A730" s="1">
        <v>33000</v>
      </c>
      <c r="B730" s="1" t="s">
        <v>195</v>
      </c>
      <c r="C730" s="1" t="str">
        <f>"08814959"</f>
        <v>08814959</v>
      </c>
      <c r="D730" s="1" t="s">
        <v>196</v>
      </c>
      <c r="F730" s="1" t="str">
        <f>"8040"</f>
        <v>8040</v>
      </c>
      <c r="G730" s="2">
        <v>42016</v>
      </c>
      <c r="H730" s="1">
        <v>34980</v>
      </c>
      <c r="I730" s="1">
        <v>34980</v>
      </c>
      <c r="J730" s="1">
        <v>33000</v>
      </c>
      <c r="K730" s="2">
        <v>42016</v>
      </c>
      <c r="L730" s="1">
        <v>23</v>
      </c>
      <c r="M730" s="2">
        <v>42038</v>
      </c>
      <c r="N730" s="1">
        <v>23</v>
      </c>
      <c r="O730" s="2">
        <v>42038</v>
      </c>
      <c r="P730" s="1">
        <v>24093</v>
      </c>
      <c r="Q730" s="1" t="s">
        <v>302</v>
      </c>
      <c r="R730" s="2">
        <v>42068</v>
      </c>
      <c r="S730" s="1">
        <v>231395</v>
      </c>
      <c r="U730" s="1">
        <v>5630</v>
      </c>
      <c r="V730" s="1" t="s">
        <v>7295</v>
      </c>
      <c r="W730" s="1" t="s">
        <v>425</v>
      </c>
      <c r="X730" s="1">
        <v>1</v>
      </c>
      <c r="Y730" s="1">
        <v>12</v>
      </c>
      <c r="Z730" s="1" t="s">
        <v>370</v>
      </c>
      <c r="AA730" s="1" t="s">
        <v>400</v>
      </c>
      <c r="AB730" s="1">
        <v>60637</v>
      </c>
      <c r="AE730" s="1" t="s">
        <v>8463</v>
      </c>
      <c r="AF730" s="1" t="s">
        <v>402</v>
      </c>
      <c r="AG730" s="1" t="s">
        <v>213</v>
      </c>
      <c r="AH730" s="1" t="s">
        <v>403</v>
      </c>
      <c r="AI730" s="1" t="s">
        <v>310</v>
      </c>
      <c r="AJ730" s="1" t="s">
        <v>562</v>
      </c>
      <c r="AL730" s="1">
        <v>5</v>
      </c>
      <c r="AM730" s="1">
        <v>2</v>
      </c>
      <c r="AN730" s="1">
        <v>2</v>
      </c>
      <c r="AO730" s="1">
        <v>0</v>
      </c>
      <c r="AP730" s="1" t="s">
        <v>209</v>
      </c>
      <c r="AR730" s="1" t="s">
        <v>210</v>
      </c>
      <c r="AS730" s="1" t="s">
        <v>204</v>
      </c>
      <c r="AT730" s="1" t="s">
        <v>210</v>
      </c>
      <c r="AW730" s="1" t="s">
        <v>204</v>
      </c>
      <c r="AX730" s="1" t="s">
        <v>212</v>
      </c>
      <c r="AZ730" s="1">
        <v>2262.9699999999998</v>
      </c>
      <c r="BA730" s="1">
        <v>2012</v>
      </c>
      <c r="BB730" s="1" t="s">
        <v>210</v>
      </c>
      <c r="BE730" s="1">
        <v>1200</v>
      </c>
      <c r="BF730" s="1">
        <v>1</v>
      </c>
      <c r="BG730" s="1">
        <v>0</v>
      </c>
      <c r="BL730" s="1">
        <v>240</v>
      </c>
      <c r="BM730" s="1" t="s">
        <v>213</v>
      </c>
      <c r="BN730" s="1" t="s">
        <v>204</v>
      </c>
      <c r="BP730" s="1" t="s">
        <v>204</v>
      </c>
      <c r="BR730" s="1" t="str">
        <f>"20151100311002"</f>
        <v>20151100311002</v>
      </c>
      <c r="BT730" s="1" t="s">
        <v>8464</v>
      </c>
      <c r="BX730" s="1">
        <v>299</v>
      </c>
      <c r="BY730" s="1">
        <v>299</v>
      </c>
      <c r="BZ730" s="1">
        <v>299</v>
      </c>
      <c r="CB730" s="1" t="str">
        <f>"0"</f>
        <v>0</v>
      </c>
      <c r="CC730" s="1" t="str">
        <f>"200"</f>
        <v>200</v>
      </c>
      <c r="CD730" s="1">
        <v>0</v>
      </c>
      <c r="CE730" s="1">
        <v>5630</v>
      </c>
      <c r="CG730" s="1" t="s">
        <v>5191</v>
      </c>
      <c r="CH730" s="1" t="s">
        <v>219</v>
      </c>
      <c r="CK730" s="1" t="s">
        <v>932</v>
      </c>
      <c r="CL730" s="1" t="s">
        <v>219</v>
      </c>
      <c r="CO730" s="1" t="s">
        <v>629</v>
      </c>
      <c r="CP730" s="1" t="s">
        <v>219</v>
      </c>
      <c r="CS730" s="1" t="s">
        <v>932</v>
      </c>
      <c r="CT730" s="1" t="s">
        <v>219</v>
      </c>
      <c r="CX730" s="1" t="s">
        <v>224</v>
      </c>
      <c r="DB730" s="1" t="s">
        <v>224</v>
      </c>
      <c r="DE730" s="1" t="s">
        <v>1469</v>
      </c>
      <c r="DF730" s="1" t="s">
        <v>219</v>
      </c>
      <c r="DJ730" s="1" t="s">
        <v>224</v>
      </c>
      <c r="DS730" s="1" t="s">
        <v>230</v>
      </c>
      <c r="DW730" s="1" t="s">
        <v>230</v>
      </c>
      <c r="EA730" s="1" t="s">
        <v>230</v>
      </c>
      <c r="EE730" s="1" t="s">
        <v>230</v>
      </c>
      <c r="EI730" s="1" t="s">
        <v>230</v>
      </c>
      <c r="EL730" s="1" t="s">
        <v>2521</v>
      </c>
      <c r="EM730" s="1" t="s">
        <v>232</v>
      </c>
      <c r="EN730" s="1" t="s">
        <v>282</v>
      </c>
      <c r="EO730" s="1" t="s">
        <v>234</v>
      </c>
      <c r="ER730" s="1" t="s">
        <v>210</v>
      </c>
      <c r="EV730" s="1" t="s">
        <v>240</v>
      </c>
      <c r="EW730" s="1" t="s">
        <v>3073</v>
      </c>
      <c r="EZ730" s="1" t="s">
        <v>287</v>
      </c>
      <c r="FD730" s="1" t="s">
        <v>1112</v>
      </c>
      <c r="FE730" s="1" t="s">
        <v>247</v>
      </c>
      <c r="FF730" s="1" t="s">
        <v>248</v>
      </c>
      <c r="FH730" s="1" t="s">
        <v>249</v>
      </c>
      <c r="FL730" s="1" t="s">
        <v>358</v>
      </c>
      <c r="FM730" s="1" t="s">
        <v>252</v>
      </c>
      <c r="FN730" s="1" t="s">
        <v>213</v>
      </c>
      <c r="FO730" s="1" t="s">
        <v>213</v>
      </c>
      <c r="FQ730" s="1" t="s">
        <v>8465</v>
      </c>
      <c r="FR730" s="1" t="s">
        <v>210</v>
      </c>
      <c r="FS730" s="1" t="s">
        <v>8466</v>
      </c>
      <c r="FT730" s="1" t="s">
        <v>362</v>
      </c>
      <c r="FU730" s="1" t="s">
        <v>204</v>
      </c>
      <c r="FW730" s="1" t="s">
        <v>2563</v>
      </c>
      <c r="FX730" s="1">
        <v>24093</v>
      </c>
      <c r="FY730" s="1" t="s">
        <v>2564</v>
      </c>
      <c r="FZ730" s="1" t="s">
        <v>8467</v>
      </c>
      <c r="GA730" s="1">
        <v>231395</v>
      </c>
      <c r="GB730" s="1" t="s">
        <v>8468</v>
      </c>
      <c r="GE730" s="1" t="s">
        <v>210</v>
      </c>
      <c r="GH730" s="1" t="s">
        <v>421</v>
      </c>
      <c r="GI730" s="1" t="s">
        <v>204</v>
      </c>
      <c r="GJ730" s="1" t="s">
        <v>260</v>
      </c>
      <c r="GK730" s="1" t="s">
        <v>210</v>
      </c>
      <c r="GL730" s="2">
        <v>42070</v>
      </c>
      <c r="GM730" s="1" t="s">
        <v>8469</v>
      </c>
    </row>
    <row r="731" spans="1:195">
      <c r="A731" s="1">
        <v>110500</v>
      </c>
      <c r="B731" s="1" t="s">
        <v>195</v>
      </c>
      <c r="C731" s="1" t="str">
        <f>"08818304"</f>
        <v>08818304</v>
      </c>
      <c r="D731" s="1" t="s">
        <v>196</v>
      </c>
      <c r="F731" s="1" t="str">
        <f>"30"</f>
        <v>30</v>
      </c>
      <c r="G731" s="2">
        <v>42020</v>
      </c>
      <c r="H731" s="1">
        <v>112900</v>
      </c>
      <c r="I731" s="1">
        <v>112900</v>
      </c>
      <c r="J731" s="1">
        <v>110500</v>
      </c>
      <c r="K731" s="2">
        <v>42020</v>
      </c>
      <c r="L731" s="1">
        <v>6</v>
      </c>
      <c r="M731" s="2">
        <v>42025</v>
      </c>
      <c r="N731" s="1">
        <v>6</v>
      </c>
      <c r="O731" s="2">
        <v>42025</v>
      </c>
      <c r="P731" s="1">
        <v>8707</v>
      </c>
      <c r="Q731" s="1" t="s">
        <v>197</v>
      </c>
      <c r="R731" s="2">
        <v>42061</v>
      </c>
      <c r="S731" s="1">
        <v>29333</v>
      </c>
      <c r="U731" s="1">
        <v>39</v>
      </c>
      <c r="V731" s="1" t="s">
        <v>8470</v>
      </c>
      <c r="W731" s="1" t="s">
        <v>264</v>
      </c>
      <c r="X731" s="1">
        <v>39</v>
      </c>
      <c r="Y731" s="1">
        <v>5</v>
      </c>
      <c r="Z731" s="1" t="s">
        <v>200</v>
      </c>
      <c r="AA731" s="1" t="s">
        <v>1628</v>
      </c>
      <c r="AB731" s="1">
        <v>60073</v>
      </c>
      <c r="AD731" s="1" t="s">
        <v>5610</v>
      </c>
      <c r="AE731" s="1" t="s">
        <v>8471</v>
      </c>
      <c r="AF731" s="1">
        <v>2002</v>
      </c>
      <c r="AG731" s="1" t="s">
        <v>204</v>
      </c>
      <c r="AH731" s="1" t="s">
        <v>1630</v>
      </c>
      <c r="AI731" s="1" t="s">
        <v>509</v>
      </c>
      <c r="AJ731" s="1" t="s">
        <v>1263</v>
      </c>
      <c r="AK731" s="1" t="s">
        <v>5612</v>
      </c>
      <c r="AL731" s="1">
        <v>8</v>
      </c>
      <c r="AM731" s="1">
        <v>2</v>
      </c>
      <c r="AN731" s="1">
        <v>1</v>
      </c>
      <c r="AO731" s="1">
        <v>1</v>
      </c>
      <c r="AP731" s="1" t="s">
        <v>455</v>
      </c>
      <c r="AQ731" s="1">
        <v>1</v>
      </c>
      <c r="AR731" s="1" t="s">
        <v>2165</v>
      </c>
      <c r="AS731" s="1" t="s">
        <v>204</v>
      </c>
      <c r="AT731" s="1" t="s">
        <v>211</v>
      </c>
      <c r="AU731" s="1">
        <v>2</v>
      </c>
      <c r="AW731" s="1" t="s">
        <v>204</v>
      </c>
      <c r="AX731" s="1" t="s">
        <v>212</v>
      </c>
      <c r="AZ731" s="1">
        <v>3614</v>
      </c>
      <c r="BA731" s="1">
        <v>2013</v>
      </c>
      <c r="BB731" s="1" t="s">
        <v>405</v>
      </c>
      <c r="BE731" s="1">
        <v>1792</v>
      </c>
      <c r="BF731" s="1">
        <v>1</v>
      </c>
      <c r="BG731" s="1">
        <v>0</v>
      </c>
      <c r="BL731" s="1">
        <v>209</v>
      </c>
      <c r="BM731" s="1" t="s">
        <v>204</v>
      </c>
      <c r="BN731" s="1" t="s">
        <v>213</v>
      </c>
      <c r="BO731" s="1">
        <v>35</v>
      </c>
      <c r="BP731" s="1" t="s">
        <v>204</v>
      </c>
      <c r="BR731" s="1" t="str">
        <f>"06282060660000"</f>
        <v>06282060660000</v>
      </c>
      <c r="BT731" s="1" t="s">
        <v>8472</v>
      </c>
      <c r="BU731" s="1" t="s">
        <v>5614</v>
      </c>
      <c r="BV731" s="1" t="s">
        <v>4025</v>
      </c>
      <c r="BW731" s="1" t="s">
        <v>4026</v>
      </c>
      <c r="BX731" s="1">
        <v>116</v>
      </c>
      <c r="BY731" s="1">
        <v>116</v>
      </c>
      <c r="BZ731" s="1">
        <v>116</v>
      </c>
      <c r="CB731" s="1" t="str">
        <f>"33"</f>
        <v>33</v>
      </c>
      <c r="CC731" s="1" t="str">
        <f>"0"</f>
        <v>0</v>
      </c>
      <c r="CD731" s="1">
        <v>22</v>
      </c>
      <c r="CE731" s="1">
        <v>0</v>
      </c>
      <c r="CG731" s="1" t="s">
        <v>601</v>
      </c>
      <c r="CH731" s="1" t="s">
        <v>219</v>
      </c>
      <c r="CI731" s="1" t="s">
        <v>229</v>
      </c>
      <c r="CJ731" s="1" t="s">
        <v>2449</v>
      </c>
      <c r="CK731" s="1" t="s">
        <v>538</v>
      </c>
      <c r="CL731" s="1" t="s">
        <v>277</v>
      </c>
      <c r="CM731" s="1" t="s">
        <v>220</v>
      </c>
      <c r="CN731" s="1" t="s">
        <v>2449</v>
      </c>
      <c r="CO731" s="1" t="s">
        <v>540</v>
      </c>
      <c r="CP731" s="1" t="s">
        <v>219</v>
      </c>
      <c r="CQ731" s="1" t="s">
        <v>229</v>
      </c>
      <c r="CS731" s="1" t="s">
        <v>346</v>
      </c>
      <c r="CT731" s="1" t="s">
        <v>277</v>
      </c>
      <c r="CU731" s="1" t="s">
        <v>220</v>
      </c>
      <c r="CV731" s="1" t="s">
        <v>2449</v>
      </c>
      <c r="CX731" s="1" t="s">
        <v>224</v>
      </c>
      <c r="DB731" s="1" t="s">
        <v>224</v>
      </c>
      <c r="DE731" s="1" t="s">
        <v>317</v>
      </c>
      <c r="DF731" s="1" t="s">
        <v>219</v>
      </c>
      <c r="DG731" s="1" t="s">
        <v>438</v>
      </c>
      <c r="DH731" s="1" t="s">
        <v>343</v>
      </c>
      <c r="DI731" s="1" t="s">
        <v>221</v>
      </c>
      <c r="DJ731" s="1" t="s">
        <v>822</v>
      </c>
      <c r="DK731" s="1" t="s">
        <v>220</v>
      </c>
      <c r="DL731" s="1" t="s">
        <v>343</v>
      </c>
      <c r="DM731" s="1" t="s">
        <v>464</v>
      </c>
      <c r="DN731" s="1" t="s">
        <v>381</v>
      </c>
      <c r="DO731" s="1" t="s">
        <v>709</v>
      </c>
      <c r="DR731" s="1" t="s">
        <v>687</v>
      </c>
      <c r="DS731" s="1" t="s">
        <v>277</v>
      </c>
      <c r="DT731" s="1" t="s">
        <v>220</v>
      </c>
      <c r="DU731" s="1" t="s">
        <v>439</v>
      </c>
      <c r="DV731" s="1" t="s">
        <v>2104</v>
      </c>
      <c r="DW731" s="1" t="s">
        <v>219</v>
      </c>
      <c r="DX731" s="1" t="s">
        <v>438</v>
      </c>
      <c r="DY731" s="1" t="s">
        <v>343</v>
      </c>
      <c r="DZ731" s="1" t="s">
        <v>2451</v>
      </c>
      <c r="EA731" s="1" t="s">
        <v>219</v>
      </c>
      <c r="EB731" s="1" t="s">
        <v>226</v>
      </c>
      <c r="EE731" s="1" t="s">
        <v>230</v>
      </c>
      <c r="EI731" s="1" t="s">
        <v>230</v>
      </c>
      <c r="EL731" s="1" t="s">
        <v>466</v>
      </c>
      <c r="EM731" s="1" t="s">
        <v>319</v>
      </c>
      <c r="EN731" s="1" t="s">
        <v>282</v>
      </c>
      <c r="EO731" s="1" t="s">
        <v>234</v>
      </c>
      <c r="EP731" s="1" t="s">
        <v>650</v>
      </c>
      <c r="EQ731" s="1" t="s">
        <v>1094</v>
      </c>
      <c r="ER731" s="1" t="s">
        <v>544</v>
      </c>
      <c r="ES731" s="1" t="s">
        <v>4840</v>
      </c>
      <c r="ET731" s="1" t="s">
        <v>238</v>
      </c>
      <c r="EU731" s="1" t="s">
        <v>8473</v>
      </c>
      <c r="EV731" s="1" t="s">
        <v>324</v>
      </c>
      <c r="EW731" s="1" t="s">
        <v>937</v>
      </c>
      <c r="EZ731" s="1" t="s">
        <v>868</v>
      </c>
      <c r="FA731" s="1" t="s">
        <v>1270</v>
      </c>
      <c r="FB731" s="1" t="s">
        <v>289</v>
      </c>
      <c r="FD731" s="1" t="s">
        <v>246</v>
      </c>
      <c r="FE731" s="1" t="s">
        <v>975</v>
      </c>
      <c r="FF731" s="1" t="s">
        <v>387</v>
      </c>
      <c r="FG731" s="1" t="s">
        <v>8474</v>
      </c>
      <c r="FH731" s="1" t="s">
        <v>249</v>
      </c>
      <c r="FI731" s="1" t="s">
        <v>473</v>
      </c>
      <c r="FJ731" s="1" t="s">
        <v>197</v>
      </c>
      <c r="FL731" s="1" t="s">
        <v>358</v>
      </c>
      <c r="FM731" s="1" t="s">
        <v>252</v>
      </c>
      <c r="FN731" s="1" t="s">
        <v>213</v>
      </c>
      <c r="FO731" s="1" t="s">
        <v>213</v>
      </c>
      <c r="FQ731" s="1" t="s">
        <v>8475</v>
      </c>
      <c r="FR731" s="1" t="s">
        <v>652</v>
      </c>
      <c r="FS731" s="1" t="s">
        <v>8476</v>
      </c>
      <c r="FT731" s="1" t="s">
        <v>362</v>
      </c>
      <c r="FU731" s="1" t="s">
        <v>204</v>
      </c>
      <c r="FW731" s="1" t="s">
        <v>4125</v>
      </c>
      <c r="FX731" s="1">
        <v>8073</v>
      </c>
      <c r="FY731" s="1" t="s">
        <v>4126</v>
      </c>
      <c r="FZ731" s="1" t="s">
        <v>8477</v>
      </c>
      <c r="GA731" s="1">
        <v>82503</v>
      </c>
      <c r="GB731" s="1" t="s">
        <v>8478</v>
      </c>
      <c r="GE731" s="1" t="s">
        <v>480</v>
      </c>
      <c r="GH731" s="1" t="s">
        <v>589</v>
      </c>
      <c r="GI731" s="1" t="s">
        <v>213</v>
      </c>
      <c r="GJ731" s="1" t="s">
        <v>260</v>
      </c>
      <c r="GK731" s="1" t="s">
        <v>210</v>
      </c>
      <c r="GL731" s="2">
        <v>42061</v>
      </c>
      <c r="GM731" s="1" t="s">
        <v>8479</v>
      </c>
    </row>
    <row r="732" spans="1:195">
      <c r="A732" s="1">
        <v>46000</v>
      </c>
      <c r="B732" s="1" t="s">
        <v>195</v>
      </c>
      <c r="C732" s="1" t="str">
        <f>"08809821"</f>
        <v>08809821</v>
      </c>
      <c r="D732" s="1" t="s">
        <v>196</v>
      </c>
      <c r="F732" s="1" t="str">
        <f>"8066"</f>
        <v>8066</v>
      </c>
      <c r="G732" s="2">
        <v>42009</v>
      </c>
      <c r="H732" s="1">
        <v>48900</v>
      </c>
      <c r="I732" s="1">
        <v>48900</v>
      </c>
      <c r="J732" s="1">
        <v>46000</v>
      </c>
      <c r="K732" s="2">
        <v>42009</v>
      </c>
      <c r="L732" s="1">
        <v>181</v>
      </c>
      <c r="M732" s="2">
        <v>42033</v>
      </c>
      <c r="N732" s="1">
        <v>25</v>
      </c>
      <c r="O732" s="2">
        <v>42033</v>
      </c>
      <c r="P732" s="1">
        <v>12555</v>
      </c>
      <c r="Q732" s="1" t="s">
        <v>302</v>
      </c>
      <c r="R732" s="2">
        <v>42048</v>
      </c>
      <c r="S732" s="1">
        <v>126892</v>
      </c>
      <c r="U732" s="1">
        <v>3442</v>
      </c>
      <c r="V732" s="1" t="s">
        <v>5916</v>
      </c>
      <c r="W732" s="1" t="s">
        <v>1056</v>
      </c>
      <c r="X732" s="1" t="s">
        <v>2798</v>
      </c>
      <c r="Y732" s="1">
        <v>6</v>
      </c>
      <c r="Z732" s="1" t="s">
        <v>200</v>
      </c>
      <c r="AA732" s="1" t="s">
        <v>400</v>
      </c>
      <c r="AB732" s="1">
        <v>60629</v>
      </c>
      <c r="AE732" s="1" t="s">
        <v>8480</v>
      </c>
      <c r="AF732" s="1" t="s">
        <v>402</v>
      </c>
      <c r="AG732" s="1" t="s">
        <v>213</v>
      </c>
      <c r="AH732" s="1" t="s">
        <v>403</v>
      </c>
      <c r="AI732" s="1" t="s">
        <v>310</v>
      </c>
      <c r="AJ732" s="1" t="s">
        <v>683</v>
      </c>
      <c r="AK732" s="1" t="s">
        <v>8481</v>
      </c>
      <c r="AL732" s="1">
        <v>5</v>
      </c>
      <c r="AM732" s="1">
        <v>2</v>
      </c>
      <c r="AN732" s="1">
        <v>1</v>
      </c>
      <c r="AO732" s="1">
        <v>0</v>
      </c>
      <c r="AP732" s="1" t="s">
        <v>210</v>
      </c>
      <c r="AR732" s="1" t="s">
        <v>1421</v>
      </c>
      <c r="AS732" s="1" t="s">
        <v>204</v>
      </c>
      <c r="AT732" s="1" t="s">
        <v>211</v>
      </c>
      <c r="AU732" s="1">
        <v>1</v>
      </c>
      <c r="AW732" s="1" t="s">
        <v>204</v>
      </c>
      <c r="AX732" s="1" t="s">
        <v>3387</v>
      </c>
      <c r="AZ732" s="1">
        <v>1215</v>
      </c>
      <c r="BA732" s="1">
        <v>2013</v>
      </c>
      <c r="BB732" s="1" t="s">
        <v>210</v>
      </c>
      <c r="BE732" s="1">
        <v>1000</v>
      </c>
      <c r="BF732" s="1">
        <v>3</v>
      </c>
      <c r="BG732" s="1">
        <v>2</v>
      </c>
      <c r="BJ732" s="1">
        <v>80</v>
      </c>
      <c r="BK732" s="7">
        <v>42010</v>
      </c>
      <c r="BL732" s="1">
        <v>155</v>
      </c>
      <c r="BM732" s="1" t="s">
        <v>413</v>
      </c>
      <c r="BN732" s="1" t="s">
        <v>213</v>
      </c>
      <c r="BO732" s="1">
        <v>60</v>
      </c>
      <c r="BP732" s="1" t="s">
        <v>204</v>
      </c>
      <c r="BR732" s="1" t="str">
        <f>"19232290401006"</f>
        <v>19232290401006</v>
      </c>
      <c r="BT732" s="1" t="s">
        <v>8482</v>
      </c>
      <c r="BX732" s="1">
        <v>299</v>
      </c>
      <c r="BY732" s="1">
        <v>299</v>
      </c>
      <c r="BZ732" s="1">
        <v>299</v>
      </c>
      <c r="CB732" s="1" t="str">
        <f t="shared" ref="CB732:CC732" si="569">"0"</f>
        <v>0</v>
      </c>
      <c r="CC732" s="1" t="str">
        <f t="shared" si="569"/>
        <v>0</v>
      </c>
      <c r="CD732" s="1">
        <v>3442</v>
      </c>
      <c r="CE732" s="1">
        <v>6700</v>
      </c>
      <c r="CG732" s="1" t="s">
        <v>1155</v>
      </c>
      <c r="CH732" s="1" t="s">
        <v>784</v>
      </c>
      <c r="CI732" s="1" t="s">
        <v>438</v>
      </c>
      <c r="CJ732" s="1" t="s">
        <v>210</v>
      </c>
      <c r="CK732" s="1" t="s">
        <v>1358</v>
      </c>
      <c r="CL732" s="1" t="s">
        <v>784</v>
      </c>
      <c r="CM732" s="1" t="s">
        <v>438</v>
      </c>
      <c r="CN732" s="1" t="s">
        <v>210</v>
      </c>
      <c r="CO732" s="1" t="s">
        <v>344</v>
      </c>
      <c r="CP732" s="1" t="s">
        <v>784</v>
      </c>
      <c r="CQ732" s="1" t="s">
        <v>438</v>
      </c>
      <c r="CR732" s="1" t="s">
        <v>210</v>
      </c>
      <c r="CS732" s="1" t="s">
        <v>465</v>
      </c>
      <c r="CT732" s="1" t="s">
        <v>784</v>
      </c>
      <c r="CU732" s="1" t="s">
        <v>438</v>
      </c>
      <c r="CX732" s="1" t="s">
        <v>224</v>
      </c>
      <c r="DB732" s="1" t="s">
        <v>224</v>
      </c>
      <c r="DE732" s="1" t="s">
        <v>757</v>
      </c>
      <c r="DF732" s="1" t="s">
        <v>784</v>
      </c>
      <c r="DG732" s="1" t="s">
        <v>226</v>
      </c>
      <c r="DH732" s="1" t="s">
        <v>210</v>
      </c>
      <c r="DJ732" s="1" t="s">
        <v>224</v>
      </c>
      <c r="DS732" s="1" t="s">
        <v>230</v>
      </c>
      <c r="DW732" s="1" t="s">
        <v>230</v>
      </c>
      <c r="EA732" s="1" t="s">
        <v>230</v>
      </c>
      <c r="EE732" s="1" t="s">
        <v>230</v>
      </c>
      <c r="EI732" s="1" t="s">
        <v>230</v>
      </c>
      <c r="EL732" s="1" t="s">
        <v>413</v>
      </c>
      <c r="EM732" s="1" t="s">
        <v>232</v>
      </c>
      <c r="EN732" s="1" t="s">
        <v>282</v>
      </c>
      <c r="EO732" s="1" t="s">
        <v>234</v>
      </c>
      <c r="EP732" s="1" t="s">
        <v>4830</v>
      </c>
      <c r="ER732" s="1" t="s">
        <v>347</v>
      </c>
      <c r="EU732" s="1" t="s">
        <v>1517</v>
      </c>
      <c r="EV732" s="1" t="s">
        <v>324</v>
      </c>
      <c r="EW732" s="1" t="s">
        <v>937</v>
      </c>
      <c r="EY732" s="1" t="s">
        <v>242</v>
      </c>
      <c r="EZ732" s="1" t="s">
        <v>287</v>
      </c>
      <c r="FB732" s="1" t="s">
        <v>289</v>
      </c>
      <c r="FC732" s="1" t="s">
        <v>548</v>
      </c>
      <c r="FD732" s="1" t="s">
        <v>246</v>
      </c>
      <c r="FE732" s="1" t="s">
        <v>247</v>
      </c>
      <c r="FF732" s="1" t="s">
        <v>248</v>
      </c>
      <c r="FH732" s="1" t="s">
        <v>249</v>
      </c>
      <c r="FL732" s="1" t="s">
        <v>358</v>
      </c>
      <c r="FM732" s="1" t="s">
        <v>252</v>
      </c>
      <c r="FN732" s="1" t="s">
        <v>213</v>
      </c>
      <c r="FO732" s="1" t="s">
        <v>213</v>
      </c>
      <c r="FQ732" s="1" t="s">
        <v>293</v>
      </c>
      <c r="FR732" s="1" t="s">
        <v>210</v>
      </c>
      <c r="FS732" s="1" t="s">
        <v>8483</v>
      </c>
      <c r="FT732" s="1" t="s">
        <v>5439</v>
      </c>
      <c r="FU732" s="1" t="s">
        <v>204</v>
      </c>
      <c r="FW732" s="1" t="s">
        <v>8484</v>
      </c>
      <c r="FX732" s="1">
        <v>8965</v>
      </c>
      <c r="FY732" s="1" t="s">
        <v>8485</v>
      </c>
      <c r="FZ732" s="1" t="s">
        <v>8486</v>
      </c>
      <c r="GA732" s="1">
        <v>83186</v>
      </c>
      <c r="GB732" s="1" t="s">
        <v>8487</v>
      </c>
      <c r="GE732" s="1" t="s">
        <v>210</v>
      </c>
      <c r="GH732" s="1" t="s">
        <v>589</v>
      </c>
      <c r="GI732" s="1" t="s">
        <v>213</v>
      </c>
      <c r="GJ732" s="1" t="s">
        <v>260</v>
      </c>
      <c r="GK732" s="1" t="s">
        <v>261</v>
      </c>
      <c r="GL732" s="2">
        <v>42048</v>
      </c>
      <c r="GM732" s="1" t="s">
        <v>8488</v>
      </c>
    </row>
    <row r="733" spans="1:195">
      <c r="A733" s="1">
        <v>126700</v>
      </c>
      <c r="B733" s="1" t="s">
        <v>195</v>
      </c>
      <c r="C733" s="1" t="str">
        <f>"08812817"</f>
        <v>08812817</v>
      </c>
      <c r="D733" s="1" t="s">
        <v>196</v>
      </c>
      <c r="F733" s="1" t="str">
        <f>"140"</f>
        <v>140</v>
      </c>
      <c r="G733" s="2">
        <v>42013</v>
      </c>
      <c r="H733" s="1">
        <v>131500</v>
      </c>
      <c r="I733" s="1">
        <v>131500</v>
      </c>
      <c r="J733" s="1">
        <v>126700</v>
      </c>
      <c r="K733" s="2">
        <v>42012</v>
      </c>
      <c r="L733" s="1">
        <v>222</v>
      </c>
      <c r="M733" s="2">
        <v>42076</v>
      </c>
      <c r="N733" s="1">
        <v>65</v>
      </c>
      <c r="O733" s="2">
        <v>42076</v>
      </c>
      <c r="P733" s="1">
        <v>7480</v>
      </c>
      <c r="Q733" s="1" t="s">
        <v>197</v>
      </c>
      <c r="R733" s="2">
        <v>42146</v>
      </c>
      <c r="S733" s="1">
        <v>77462</v>
      </c>
      <c r="T733" s="1">
        <v>3700</v>
      </c>
      <c r="U733" s="1">
        <v>1675</v>
      </c>
      <c r="V733" s="1" t="s">
        <v>8489</v>
      </c>
      <c r="W733" s="1" t="s">
        <v>504</v>
      </c>
      <c r="Y733" s="1">
        <v>6</v>
      </c>
      <c r="Z733" s="1" t="s">
        <v>200</v>
      </c>
      <c r="AA733" s="1" t="s">
        <v>744</v>
      </c>
      <c r="AB733" s="1">
        <v>60140</v>
      </c>
      <c r="AD733" s="1" t="s">
        <v>8490</v>
      </c>
      <c r="AE733" s="1" t="s">
        <v>8491</v>
      </c>
      <c r="AF733" s="1">
        <v>2013</v>
      </c>
      <c r="AG733" s="1" t="s">
        <v>204</v>
      </c>
      <c r="AH733" s="1" t="s">
        <v>747</v>
      </c>
      <c r="AI733" s="1" t="s">
        <v>665</v>
      </c>
      <c r="AJ733" s="1" t="s">
        <v>748</v>
      </c>
      <c r="AK733" s="1" t="s">
        <v>8492</v>
      </c>
      <c r="AL733" s="1">
        <v>8</v>
      </c>
      <c r="AM733" s="1">
        <v>2</v>
      </c>
      <c r="AN733" s="1">
        <v>2</v>
      </c>
      <c r="AO733" s="1">
        <v>1</v>
      </c>
      <c r="AP733" s="1" t="s">
        <v>209</v>
      </c>
      <c r="AR733" s="1" t="s">
        <v>1421</v>
      </c>
      <c r="AS733" s="1" t="s">
        <v>204</v>
      </c>
      <c r="AT733" s="1" t="s">
        <v>211</v>
      </c>
      <c r="AU733" s="1">
        <v>2</v>
      </c>
      <c r="AW733" s="1" t="s">
        <v>204</v>
      </c>
      <c r="AX733" s="1" t="s">
        <v>212</v>
      </c>
      <c r="AZ733" s="1">
        <v>1285</v>
      </c>
      <c r="BA733" s="1">
        <v>2013</v>
      </c>
      <c r="BE733" s="1">
        <v>1728</v>
      </c>
      <c r="BF733" s="1">
        <v>1</v>
      </c>
      <c r="BG733" s="1">
        <v>0</v>
      </c>
      <c r="BL733" s="1">
        <v>193</v>
      </c>
      <c r="BM733" s="1" t="s">
        <v>213</v>
      </c>
      <c r="BN733" s="1" t="s">
        <v>213</v>
      </c>
      <c r="BO733" s="1">
        <v>999</v>
      </c>
      <c r="BP733" s="1" t="s">
        <v>204</v>
      </c>
      <c r="BR733" s="1" t="str">
        <f>"0229377021"</f>
        <v>0229377021</v>
      </c>
      <c r="BT733" s="1" t="s">
        <v>8493</v>
      </c>
      <c r="BX733" s="1">
        <v>300</v>
      </c>
      <c r="BY733" s="1">
        <v>300</v>
      </c>
      <c r="BZ733" s="1">
        <v>300</v>
      </c>
      <c r="CB733" s="1" t="str">
        <f t="shared" ref="CB733:CC733" si="570">""</f>
        <v/>
      </c>
      <c r="CC733" s="1" t="str">
        <f t="shared" si="570"/>
        <v/>
      </c>
      <c r="CG733" s="1" t="s">
        <v>278</v>
      </c>
      <c r="CH733" s="1" t="s">
        <v>219</v>
      </c>
      <c r="CI733" s="1" t="s">
        <v>220</v>
      </c>
      <c r="CJ733" s="1" t="s">
        <v>343</v>
      </c>
      <c r="CK733" s="1" t="s">
        <v>885</v>
      </c>
      <c r="CL733" s="1" t="s">
        <v>277</v>
      </c>
      <c r="CM733" s="1" t="s">
        <v>220</v>
      </c>
      <c r="CN733" s="1" t="s">
        <v>343</v>
      </c>
      <c r="CO733" s="1" t="s">
        <v>465</v>
      </c>
      <c r="CP733" s="1" t="s">
        <v>219</v>
      </c>
      <c r="CQ733" s="1" t="s">
        <v>220</v>
      </c>
      <c r="CR733" s="1" t="s">
        <v>210</v>
      </c>
      <c r="CS733" s="1" t="s">
        <v>346</v>
      </c>
      <c r="CT733" s="1" t="s">
        <v>277</v>
      </c>
      <c r="CU733" s="1" t="s">
        <v>220</v>
      </c>
      <c r="CV733" s="1" t="s">
        <v>343</v>
      </c>
      <c r="CX733" s="1" t="s">
        <v>224</v>
      </c>
      <c r="DB733" s="1" t="s">
        <v>224</v>
      </c>
      <c r="DE733" s="1" t="s">
        <v>757</v>
      </c>
      <c r="DF733" s="1" t="s">
        <v>219</v>
      </c>
      <c r="DG733" s="1" t="s">
        <v>229</v>
      </c>
      <c r="DH733" s="1" t="s">
        <v>343</v>
      </c>
      <c r="DJ733" s="1" t="s">
        <v>224</v>
      </c>
      <c r="DM733" s="1" t="s">
        <v>381</v>
      </c>
      <c r="DN733" s="1" t="s">
        <v>464</v>
      </c>
      <c r="DO733" s="1" t="s">
        <v>411</v>
      </c>
      <c r="DR733" s="1" t="s">
        <v>380</v>
      </c>
      <c r="DS733" s="1" t="s">
        <v>219</v>
      </c>
      <c r="DT733" s="1" t="s">
        <v>229</v>
      </c>
      <c r="DV733" s="1" t="s">
        <v>409</v>
      </c>
      <c r="DW733" s="1" t="s">
        <v>277</v>
      </c>
      <c r="DX733" s="1" t="s">
        <v>220</v>
      </c>
      <c r="DY733" s="1" t="s">
        <v>343</v>
      </c>
      <c r="DZ733" s="1" t="s">
        <v>1469</v>
      </c>
      <c r="EA733" s="1" t="s">
        <v>822</v>
      </c>
      <c r="EB733" s="1" t="s">
        <v>220</v>
      </c>
      <c r="EC733" s="1" t="s">
        <v>343</v>
      </c>
      <c r="EE733" s="1" t="s">
        <v>230</v>
      </c>
      <c r="EI733" s="1" t="s">
        <v>230</v>
      </c>
      <c r="EL733" s="1" t="s">
        <v>1549</v>
      </c>
      <c r="EM733" s="1" t="s">
        <v>319</v>
      </c>
      <c r="EN733" s="1" t="s">
        <v>282</v>
      </c>
      <c r="EO733" s="1" t="s">
        <v>234</v>
      </c>
      <c r="EQ733" s="1" t="s">
        <v>2188</v>
      </c>
      <c r="ER733" s="1" t="s">
        <v>544</v>
      </c>
      <c r="ES733" s="1" t="s">
        <v>322</v>
      </c>
      <c r="EW733" s="1" t="s">
        <v>3255</v>
      </c>
      <c r="EZ733" s="1" t="s">
        <v>8494</v>
      </c>
      <c r="FD733" s="1" t="s">
        <v>246</v>
      </c>
      <c r="FE733" s="1" t="s">
        <v>975</v>
      </c>
      <c r="FF733" s="1" t="s">
        <v>248</v>
      </c>
      <c r="FH733" s="1" t="s">
        <v>1428</v>
      </c>
      <c r="FI733" s="1" t="s">
        <v>357</v>
      </c>
      <c r="FL733" s="1" t="s">
        <v>358</v>
      </c>
      <c r="FM733" s="1" t="s">
        <v>252</v>
      </c>
      <c r="FN733" s="1" t="s">
        <v>213</v>
      </c>
      <c r="FO733" s="1" t="s">
        <v>213</v>
      </c>
      <c r="FQ733" s="1" t="s">
        <v>8495</v>
      </c>
      <c r="FR733" s="1" t="s">
        <v>210</v>
      </c>
      <c r="FS733" s="1" t="s">
        <v>8496</v>
      </c>
      <c r="FT733" s="1" t="s">
        <v>1139</v>
      </c>
      <c r="FU733" s="1" t="s">
        <v>204</v>
      </c>
      <c r="FV733" s="1" t="s">
        <v>8497</v>
      </c>
      <c r="FW733" s="1" t="s">
        <v>554</v>
      </c>
      <c r="FX733" s="1">
        <v>5040</v>
      </c>
      <c r="FY733" s="1" t="s">
        <v>2611</v>
      </c>
      <c r="FZ733" s="1" t="s">
        <v>2612</v>
      </c>
      <c r="GA733" s="1">
        <v>54861</v>
      </c>
      <c r="GB733" s="1" t="s">
        <v>2613</v>
      </c>
      <c r="GD733" s="1" t="s">
        <v>2610</v>
      </c>
      <c r="GE733" s="1" t="s">
        <v>210</v>
      </c>
      <c r="GI733" s="1" t="s">
        <v>213</v>
      </c>
      <c r="GJ733" s="1" t="s">
        <v>260</v>
      </c>
      <c r="GK733" s="1" t="s">
        <v>210</v>
      </c>
      <c r="GL733" s="2">
        <v>42146</v>
      </c>
    </row>
    <row r="734" spans="1:195">
      <c r="A734" s="1">
        <v>89000</v>
      </c>
      <c r="B734" s="1" t="s">
        <v>195</v>
      </c>
      <c r="C734" s="1" t="str">
        <f>"08812872"</f>
        <v>08812872</v>
      </c>
      <c r="D734" s="1" t="s">
        <v>196</v>
      </c>
      <c r="F734" s="1" t="str">
        <f>"545"</f>
        <v>545</v>
      </c>
      <c r="G734" s="2">
        <v>42013</v>
      </c>
      <c r="H734" s="1">
        <v>115000</v>
      </c>
      <c r="I734" s="1">
        <v>112000</v>
      </c>
      <c r="J734" s="1">
        <v>89000</v>
      </c>
      <c r="K734" s="2">
        <v>42013</v>
      </c>
      <c r="L734" s="1">
        <v>44</v>
      </c>
      <c r="M734" s="2">
        <v>42056</v>
      </c>
      <c r="N734" s="1">
        <v>44</v>
      </c>
      <c r="O734" s="2">
        <v>42056</v>
      </c>
      <c r="P734" s="1">
        <v>24695</v>
      </c>
      <c r="Q734" s="1" t="s">
        <v>302</v>
      </c>
      <c r="R734" s="2">
        <v>42062</v>
      </c>
      <c r="S734" s="1">
        <v>234453</v>
      </c>
      <c r="U734" s="1">
        <v>3926</v>
      </c>
      <c r="V734" s="1" t="s">
        <v>8498</v>
      </c>
      <c r="W734" s="1" t="s">
        <v>725</v>
      </c>
      <c r="Y734" s="1">
        <v>4</v>
      </c>
      <c r="Z734" s="1" t="s">
        <v>370</v>
      </c>
      <c r="AA734" s="1" t="s">
        <v>1335</v>
      </c>
      <c r="AB734" s="1">
        <v>60545</v>
      </c>
      <c r="AD734" s="1" t="s">
        <v>8499</v>
      </c>
      <c r="AE734" s="1" t="s">
        <v>8500</v>
      </c>
      <c r="AF734" s="1">
        <v>2008</v>
      </c>
      <c r="AG734" s="1" t="s">
        <v>204</v>
      </c>
      <c r="AH734" s="1" t="s">
        <v>1338</v>
      </c>
      <c r="AI734" s="1" t="s">
        <v>453</v>
      </c>
      <c r="AJ734" s="1" t="s">
        <v>1339</v>
      </c>
      <c r="AL734" s="1">
        <v>6</v>
      </c>
      <c r="AM734" s="1">
        <v>2</v>
      </c>
      <c r="AN734" s="1">
        <v>2</v>
      </c>
      <c r="AO734" s="1">
        <v>1</v>
      </c>
      <c r="AP734" s="1" t="s">
        <v>209</v>
      </c>
      <c r="AQ734" s="1">
        <v>1</v>
      </c>
      <c r="AR734" s="1" t="s">
        <v>210</v>
      </c>
      <c r="AS734" s="1" t="s">
        <v>204</v>
      </c>
      <c r="AT734" s="1" t="s">
        <v>211</v>
      </c>
      <c r="AU734" s="1">
        <v>2</v>
      </c>
      <c r="AW734" s="1" t="s">
        <v>204</v>
      </c>
      <c r="AX734" s="1" t="s">
        <v>212</v>
      </c>
      <c r="AZ734" s="1">
        <v>3483.14</v>
      </c>
      <c r="BA734" s="1">
        <v>2012</v>
      </c>
      <c r="BE734" s="1">
        <v>1310</v>
      </c>
      <c r="BF734" s="1">
        <v>1</v>
      </c>
      <c r="BG734" s="1">
        <v>0</v>
      </c>
      <c r="BL734" s="1">
        <v>35</v>
      </c>
      <c r="BM734" s="1" t="s">
        <v>213</v>
      </c>
      <c r="BN734" s="1" t="s">
        <v>213</v>
      </c>
      <c r="BO734" s="1">
        <v>999</v>
      </c>
      <c r="BP734" s="1" t="s">
        <v>204</v>
      </c>
      <c r="BR734" s="1" t="str">
        <f>"0125204021"</f>
        <v>0125204021</v>
      </c>
      <c r="BT734" s="1" t="s">
        <v>8501</v>
      </c>
      <c r="BU734" s="1" t="s">
        <v>8502</v>
      </c>
      <c r="BV734" s="1" t="s">
        <v>8503</v>
      </c>
      <c r="BW734" s="1" t="s">
        <v>8504</v>
      </c>
      <c r="BX734" s="1">
        <v>88</v>
      </c>
      <c r="BY734" s="1">
        <v>88</v>
      </c>
      <c r="BZ734" s="1">
        <v>88</v>
      </c>
      <c r="CB734" s="1" t="str">
        <f t="shared" ref="CB734:CC734" si="571">""</f>
        <v/>
      </c>
      <c r="CC734" s="1" t="str">
        <f t="shared" si="571"/>
        <v/>
      </c>
      <c r="CG734" s="1" t="s">
        <v>2307</v>
      </c>
      <c r="CH734" s="1" t="s">
        <v>219</v>
      </c>
      <c r="CI734" s="1" t="s">
        <v>220</v>
      </c>
      <c r="CJ734" s="1" t="s">
        <v>439</v>
      </c>
      <c r="CK734" s="1" t="s">
        <v>757</v>
      </c>
      <c r="CL734" s="1" t="s">
        <v>277</v>
      </c>
      <c r="CM734" s="1" t="s">
        <v>220</v>
      </c>
      <c r="CN734" s="1" t="s">
        <v>343</v>
      </c>
      <c r="CO734" s="1" t="s">
        <v>951</v>
      </c>
      <c r="CP734" s="1" t="s">
        <v>219</v>
      </c>
      <c r="CQ734" s="1" t="s">
        <v>220</v>
      </c>
      <c r="CR734" s="1" t="s">
        <v>439</v>
      </c>
      <c r="CS734" s="1" t="s">
        <v>318</v>
      </c>
      <c r="CT734" s="1" t="s">
        <v>277</v>
      </c>
      <c r="CU734" s="1" t="s">
        <v>220</v>
      </c>
      <c r="CV734" s="1" t="s">
        <v>343</v>
      </c>
      <c r="CX734" s="1" t="s">
        <v>224</v>
      </c>
      <c r="DB734" s="1" t="s">
        <v>224</v>
      </c>
      <c r="DE734" s="1" t="s">
        <v>278</v>
      </c>
      <c r="DF734" s="1" t="s">
        <v>219</v>
      </c>
      <c r="DG734" s="1" t="s">
        <v>438</v>
      </c>
      <c r="DJ734" s="1" t="s">
        <v>224</v>
      </c>
      <c r="DM734" s="1" t="s">
        <v>464</v>
      </c>
      <c r="DR734" s="1" t="s">
        <v>1297</v>
      </c>
      <c r="DS734" s="1" t="s">
        <v>277</v>
      </c>
      <c r="DT734" s="1" t="s">
        <v>220</v>
      </c>
      <c r="DU734" s="1" t="s">
        <v>343</v>
      </c>
      <c r="DW734" s="1" t="s">
        <v>230</v>
      </c>
      <c r="EA734" s="1" t="s">
        <v>230</v>
      </c>
      <c r="EE734" s="1" t="s">
        <v>230</v>
      </c>
      <c r="EI734" s="1" t="s">
        <v>230</v>
      </c>
      <c r="EL734" s="1" t="s">
        <v>491</v>
      </c>
      <c r="EM734" s="1" t="s">
        <v>319</v>
      </c>
      <c r="EN734" s="1" t="s">
        <v>282</v>
      </c>
      <c r="EO734" s="1" t="s">
        <v>234</v>
      </c>
      <c r="EP734" s="1" t="s">
        <v>8505</v>
      </c>
      <c r="EQ734" s="1" t="s">
        <v>2188</v>
      </c>
      <c r="ER734" s="1" t="s">
        <v>210</v>
      </c>
      <c r="ES734" s="1" t="s">
        <v>608</v>
      </c>
      <c r="ET734" s="1" t="s">
        <v>866</v>
      </c>
      <c r="EV734" s="1" t="s">
        <v>324</v>
      </c>
      <c r="EW734" s="1" t="s">
        <v>7533</v>
      </c>
      <c r="EZ734" s="1" t="s">
        <v>464</v>
      </c>
      <c r="FD734" s="1" t="s">
        <v>246</v>
      </c>
      <c r="FE734" s="1" t="s">
        <v>975</v>
      </c>
      <c r="FF734" s="1" t="s">
        <v>248</v>
      </c>
      <c r="FG734" s="1" t="s">
        <v>2406</v>
      </c>
      <c r="FH734" s="1" t="s">
        <v>550</v>
      </c>
      <c r="FI734" s="1" t="s">
        <v>473</v>
      </c>
      <c r="FJ734" s="1" t="s">
        <v>2046</v>
      </c>
      <c r="FL734" s="1" t="s">
        <v>358</v>
      </c>
      <c r="FM734" s="1" t="s">
        <v>252</v>
      </c>
      <c r="FN734" s="1" t="s">
        <v>213</v>
      </c>
      <c r="FO734" s="1" t="s">
        <v>213</v>
      </c>
      <c r="FQ734" s="1" t="s">
        <v>8506</v>
      </c>
      <c r="FR734" s="1" t="s">
        <v>210</v>
      </c>
      <c r="FS734" s="1" t="s">
        <v>8507</v>
      </c>
      <c r="FT734" s="1" t="s">
        <v>362</v>
      </c>
      <c r="FU734" s="1" t="s">
        <v>204</v>
      </c>
      <c r="FW734" s="1" t="s">
        <v>3546</v>
      </c>
      <c r="FX734" s="1">
        <v>24695</v>
      </c>
      <c r="FY734" s="1" t="s">
        <v>3547</v>
      </c>
      <c r="FZ734" s="1" t="s">
        <v>8508</v>
      </c>
      <c r="GA734" s="1">
        <v>234453</v>
      </c>
      <c r="GB734" s="1" t="s">
        <v>3547</v>
      </c>
      <c r="GD734" s="1" t="s">
        <v>8509</v>
      </c>
      <c r="GE734" s="1" t="s">
        <v>210</v>
      </c>
      <c r="GI734" s="1" t="s">
        <v>213</v>
      </c>
      <c r="GJ734" s="1" t="s">
        <v>260</v>
      </c>
      <c r="GK734" s="1" t="s">
        <v>210</v>
      </c>
      <c r="GL734" s="2">
        <v>42063</v>
      </c>
      <c r="GM734" s="1" t="s">
        <v>8510</v>
      </c>
    </row>
    <row r="735" spans="1:195">
      <c r="A735" s="1">
        <v>276500</v>
      </c>
      <c r="B735" s="1" t="s">
        <v>195</v>
      </c>
      <c r="C735" s="1" t="str">
        <f>"08817693"</f>
        <v>08817693</v>
      </c>
      <c r="D735" s="1" t="s">
        <v>196</v>
      </c>
      <c r="F735" s="1" t="str">
        <f>"562"</f>
        <v>562</v>
      </c>
      <c r="G735" s="2">
        <v>42020</v>
      </c>
      <c r="H735" s="1">
        <v>309900</v>
      </c>
      <c r="I735" s="1">
        <v>299900</v>
      </c>
      <c r="J735" s="1">
        <v>276500</v>
      </c>
      <c r="K735" s="2">
        <v>42020</v>
      </c>
      <c r="L735" s="1">
        <v>18</v>
      </c>
      <c r="M735" s="2">
        <v>42037</v>
      </c>
      <c r="N735" s="1">
        <v>18</v>
      </c>
      <c r="O735" s="2">
        <v>42037</v>
      </c>
      <c r="P735" s="1">
        <v>24728</v>
      </c>
      <c r="Q735" s="1" t="s">
        <v>197</v>
      </c>
      <c r="R735" s="2">
        <v>42066</v>
      </c>
      <c r="S735" s="1">
        <v>237066</v>
      </c>
      <c r="U735" s="1">
        <v>1009</v>
      </c>
      <c r="V735" s="1" t="s">
        <v>8511</v>
      </c>
      <c r="W735" s="1" t="s">
        <v>304</v>
      </c>
      <c r="X735" s="1">
        <v>1009</v>
      </c>
      <c r="Y735" s="1">
        <v>4</v>
      </c>
      <c r="Z735" s="1" t="s">
        <v>370</v>
      </c>
      <c r="AA735" s="1" t="s">
        <v>899</v>
      </c>
      <c r="AB735" s="1">
        <v>60561</v>
      </c>
      <c r="AD735" s="1" t="s">
        <v>8512</v>
      </c>
      <c r="AE735" s="1" t="s">
        <v>8513</v>
      </c>
      <c r="AF735" s="1">
        <v>1987</v>
      </c>
      <c r="AG735" s="1" t="s">
        <v>204</v>
      </c>
      <c r="AH735" s="1" t="s">
        <v>902</v>
      </c>
      <c r="AI735" s="1" t="s">
        <v>206</v>
      </c>
      <c r="AJ735" s="1" t="s">
        <v>903</v>
      </c>
      <c r="AK735" s="1" t="s">
        <v>8514</v>
      </c>
      <c r="AL735" s="1">
        <v>7</v>
      </c>
      <c r="AM735" s="1">
        <v>2</v>
      </c>
      <c r="AN735" s="1">
        <v>2</v>
      </c>
      <c r="AO735" s="1">
        <v>0</v>
      </c>
      <c r="AP735" s="1" t="s">
        <v>209</v>
      </c>
      <c r="AQ735" s="1">
        <v>1</v>
      </c>
      <c r="AR735" s="1" t="s">
        <v>210</v>
      </c>
      <c r="AS735" s="1" t="s">
        <v>204</v>
      </c>
      <c r="AT735" s="1" t="s">
        <v>211</v>
      </c>
      <c r="AU735" s="1">
        <v>1</v>
      </c>
      <c r="AW735" s="1" t="s">
        <v>204</v>
      </c>
      <c r="AX735" s="1" t="s">
        <v>212</v>
      </c>
      <c r="AZ735" s="1">
        <v>5570</v>
      </c>
      <c r="BA735" s="1">
        <v>2013</v>
      </c>
      <c r="BB735" s="1" t="s">
        <v>405</v>
      </c>
      <c r="BE735" s="1">
        <v>2335</v>
      </c>
      <c r="BF735" s="1">
        <v>2</v>
      </c>
      <c r="BG735" s="1">
        <v>30</v>
      </c>
      <c r="BL735" s="1">
        <v>360</v>
      </c>
      <c r="BM735" s="1" t="s">
        <v>204</v>
      </c>
      <c r="BN735" s="1" t="s">
        <v>213</v>
      </c>
      <c r="BO735" s="1">
        <v>50</v>
      </c>
      <c r="BP735" s="1" t="s">
        <v>204</v>
      </c>
      <c r="BR735" s="1" t="str">
        <f>"0922301093"</f>
        <v>0922301093</v>
      </c>
      <c r="BT735" s="1" t="s">
        <v>8515</v>
      </c>
      <c r="BU735" s="1" t="s">
        <v>4521</v>
      </c>
      <c r="BV735" s="1" t="s">
        <v>3098</v>
      </c>
      <c r="BW735" s="1" t="s">
        <v>907</v>
      </c>
      <c r="BX735" s="1">
        <v>61</v>
      </c>
      <c r="BY735" s="1">
        <v>61</v>
      </c>
      <c r="BZ735" s="1">
        <v>86</v>
      </c>
      <c r="CB735" s="1" t="str">
        <f t="shared" ref="CB735:CC735" si="572">""</f>
        <v/>
      </c>
      <c r="CC735" s="1" t="str">
        <f t="shared" si="572"/>
        <v/>
      </c>
      <c r="CG735" s="1" t="s">
        <v>276</v>
      </c>
      <c r="CH735" s="1" t="s">
        <v>277</v>
      </c>
      <c r="CI735" s="1" t="s">
        <v>438</v>
      </c>
      <c r="CJ735" s="1" t="s">
        <v>1199</v>
      </c>
      <c r="CK735" s="1" t="s">
        <v>1155</v>
      </c>
      <c r="CL735" s="1" t="s">
        <v>277</v>
      </c>
      <c r="CM735" s="1" t="s">
        <v>438</v>
      </c>
      <c r="CN735" s="1" t="s">
        <v>1199</v>
      </c>
      <c r="CO735" s="1" t="s">
        <v>1133</v>
      </c>
      <c r="CP735" s="1" t="s">
        <v>277</v>
      </c>
      <c r="CQ735" s="1" t="s">
        <v>438</v>
      </c>
      <c r="CR735" s="1" t="s">
        <v>1199</v>
      </c>
      <c r="CS735" s="1" t="s">
        <v>932</v>
      </c>
      <c r="CT735" s="1" t="s">
        <v>277</v>
      </c>
      <c r="CU735" s="1" t="s">
        <v>438</v>
      </c>
      <c r="CV735" s="1" t="s">
        <v>1199</v>
      </c>
      <c r="CX735" s="1" t="s">
        <v>224</v>
      </c>
      <c r="DB735" s="1" t="s">
        <v>224</v>
      </c>
      <c r="DE735" s="1" t="s">
        <v>758</v>
      </c>
      <c r="DF735" s="1" t="s">
        <v>277</v>
      </c>
      <c r="DG735" s="1" t="s">
        <v>438</v>
      </c>
      <c r="DH735" s="1" t="s">
        <v>439</v>
      </c>
      <c r="DI735" s="1" t="s">
        <v>8516</v>
      </c>
      <c r="DJ735" s="1" t="s">
        <v>277</v>
      </c>
      <c r="DK735" s="1" t="s">
        <v>438</v>
      </c>
      <c r="DL735" s="1" t="s">
        <v>1199</v>
      </c>
      <c r="DM735" s="1" t="s">
        <v>1548</v>
      </c>
      <c r="DN735" s="1" t="s">
        <v>1359</v>
      </c>
      <c r="DR735" s="1" t="s">
        <v>379</v>
      </c>
      <c r="DS735" s="1" t="s">
        <v>277</v>
      </c>
      <c r="DT735" s="1" t="s">
        <v>438</v>
      </c>
      <c r="DU735" s="1" t="s">
        <v>1199</v>
      </c>
      <c r="DV735" s="1" t="s">
        <v>2031</v>
      </c>
      <c r="DW735" s="1" t="s">
        <v>277</v>
      </c>
      <c r="DX735" s="1" t="s">
        <v>438</v>
      </c>
      <c r="DY735" s="1" t="s">
        <v>210</v>
      </c>
      <c r="EA735" s="1" t="s">
        <v>230</v>
      </c>
      <c r="EE735" s="1" t="s">
        <v>230</v>
      </c>
      <c r="EI735" s="1" t="s">
        <v>230</v>
      </c>
      <c r="EL735" s="1" t="s">
        <v>542</v>
      </c>
      <c r="EM735" s="1" t="s">
        <v>730</v>
      </c>
      <c r="EN735" s="1" t="s">
        <v>282</v>
      </c>
      <c r="EO735" s="1" t="s">
        <v>840</v>
      </c>
      <c r="EP735" s="1" t="s">
        <v>1489</v>
      </c>
      <c r="EQ735" s="1" t="s">
        <v>953</v>
      </c>
      <c r="ER735" s="1" t="s">
        <v>210</v>
      </c>
      <c r="ES735" s="1" t="s">
        <v>824</v>
      </c>
      <c r="ET735" s="1" t="s">
        <v>8517</v>
      </c>
      <c r="EU735" s="1" t="s">
        <v>4524</v>
      </c>
      <c r="EV735" s="1" t="s">
        <v>324</v>
      </c>
      <c r="EW735" s="1" t="s">
        <v>353</v>
      </c>
      <c r="EY735" s="1" t="s">
        <v>242</v>
      </c>
      <c r="EZ735" s="1" t="s">
        <v>8518</v>
      </c>
      <c r="FA735" s="1" t="s">
        <v>3624</v>
      </c>
      <c r="FB735" s="1" t="s">
        <v>289</v>
      </c>
      <c r="FD735" s="1" t="s">
        <v>246</v>
      </c>
      <c r="FE735" s="1" t="s">
        <v>4525</v>
      </c>
      <c r="FF735" s="1" t="s">
        <v>3103</v>
      </c>
      <c r="FG735" s="1" t="s">
        <v>1204</v>
      </c>
      <c r="FH735" s="1" t="s">
        <v>1387</v>
      </c>
      <c r="FI735" s="1" t="s">
        <v>473</v>
      </c>
      <c r="FL735" s="1" t="s">
        <v>358</v>
      </c>
      <c r="FM735" s="1" t="s">
        <v>252</v>
      </c>
      <c r="FN735" s="1" t="s">
        <v>213</v>
      </c>
      <c r="FO735" s="1" t="s">
        <v>213</v>
      </c>
      <c r="FQ735" s="1" t="s">
        <v>793</v>
      </c>
      <c r="FR735" s="1" t="s">
        <v>210</v>
      </c>
      <c r="FS735" s="1" t="s">
        <v>8519</v>
      </c>
      <c r="FT735" s="1" t="s">
        <v>295</v>
      </c>
      <c r="FU735" s="1" t="s">
        <v>204</v>
      </c>
      <c r="FV735" s="1" t="s">
        <v>8520</v>
      </c>
      <c r="FW735" s="1" t="s">
        <v>915</v>
      </c>
      <c r="FX735" s="1">
        <v>24042</v>
      </c>
      <c r="FY735" s="1" t="s">
        <v>8521</v>
      </c>
      <c r="FZ735" s="1" t="s">
        <v>8522</v>
      </c>
      <c r="GA735" s="1">
        <v>245362</v>
      </c>
      <c r="GB735" s="1" t="s">
        <v>8523</v>
      </c>
      <c r="GE735" s="1" t="s">
        <v>480</v>
      </c>
      <c r="GI735" s="1" t="s">
        <v>213</v>
      </c>
      <c r="GJ735" s="1" t="s">
        <v>260</v>
      </c>
      <c r="GK735" s="1" t="s">
        <v>4920</v>
      </c>
      <c r="GL735" s="2">
        <v>42067</v>
      </c>
      <c r="GM735" s="1" t="s">
        <v>8524</v>
      </c>
    </row>
    <row r="736" spans="1:195">
      <c r="A736" s="1">
        <v>410000</v>
      </c>
      <c r="B736" s="1" t="s">
        <v>195</v>
      </c>
      <c r="C736" s="1" t="str">
        <f>"08811983"</f>
        <v>08811983</v>
      </c>
      <c r="D736" s="1" t="s">
        <v>196</v>
      </c>
      <c r="F736" s="1" t="str">
        <f>"137"</f>
        <v>137</v>
      </c>
      <c r="G736" s="2">
        <v>42012</v>
      </c>
      <c r="H736" s="1">
        <v>424900</v>
      </c>
      <c r="I736" s="1">
        <v>424900</v>
      </c>
      <c r="J736" s="1">
        <v>410000</v>
      </c>
      <c r="K736" s="2">
        <v>42012</v>
      </c>
      <c r="L736" s="1">
        <v>250</v>
      </c>
      <c r="M736" s="2">
        <v>42031</v>
      </c>
      <c r="N736" s="1">
        <v>20</v>
      </c>
      <c r="O736" s="2">
        <v>42031</v>
      </c>
      <c r="P736" s="1">
        <v>25200</v>
      </c>
      <c r="Q736" s="1" t="s">
        <v>197</v>
      </c>
      <c r="R736" s="2">
        <v>42066</v>
      </c>
      <c r="S736" s="1">
        <v>215197</v>
      </c>
      <c r="U736" s="1">
        <v>83</v>
      </c>
      <c r="V736" s="1" t="s">
        <v>2831</v>
      </c>
      <c r="W736" s="1" t="s">
        <v>304</v>
      </c>
      <c r="Y736" s="1">
        <v>4</v>
      </c>
      <c r="Z736" s="1" t="s">
        <v>370</v>
      </c>
      <c r="AA736" s="1" t="s">
        <v>201</v>
      </c>
      <c r="AB736" s="1">
        <v>60137</v>
      </c>
      <c r="AE736" s="1" t="s">
        <v>8525</v>
      </c>
      <c r="AF736" s="1">
        <v>2007</v>
      </c>
      <c r="AG736" s="1" t="s">
        <v>204</v>
      </c>
      <c r="AH736" s="1" t="s">
        <v>205</v>
      </c>
      <c r="AI736" s="1" t="s">
        <v>206</v>
      </c>
      <c r="AJ736" s="1" t="s">
        <v>207</v>
      </c>
      <c r="AL736" s="1">
        <v>6</v>
      </c>
      <c r="AM736" s="1">
        <v>2</v>
      </c>
      <c r="AN736" s="1">
        <v>2</v>
      </c>
      <c r="AO736" s="1">
        <v>1</v>
      </c>
      <c r="AP736" s="1" t="s">
        <v>209</v>
      </c>
      <c r="AQ736" s="1">
        <v>1</v>
      </c>
      <c r="AR736" s="1" t="s">
        <v>209</v>
      </c>
      <c r="AS736" s="1" t="s">
        <v>204</v>
      </c>
      <c r="AT736" s="1" t="s">
        <v>211</v>
      </c>
      <c r="AU736" s="1">
        <v>2</v>
      </c>
      <c r="AW736" s="1" t="s">
        <v>204</v>
      </c>
      <c r="AX736" s="1" t="s">
        <v>212</v>
      </c>
      <c r="AZ736" s="1">
        <v>9910</v>
      </c>
      <c r="BA736" s="1">
        <v>2013</v>
      </c>
      <c r="BB736" s="1" t="s">
        <v>405</v>
      </c>
      <c r="BE736" s="1">
        <v>2072</v>
      </c>
      <c r="BF736" s="1">
        <v>1</v>
      </c>
      <c r="BG736" s="1">
        <v>0</v>
      </c>
      <c r="BL736" s="1">
        <v>303</v>
      </c>
      <c r="BM736" s="1" t="s">
        <v>204</v>
      </c>
      <c r="BN736" s="1" t="s">
        <v>213</v>
      </c>
      <c r="BO736" s="1">
        <v>40</v>
      </c>
      <c r="BP736" s="1" t="s">
        <v>204</v>
      </c>
      <c r="BR736" s="1" t="str">
        <f>"0523214038"</f>
        <v>0523214038</v>
      </c>
      <c r="BT736" s="1" t="s">
        <v>8526</v>
      </c>
      <c r="BU736" s="1" t="s">
        <v>215</v>
      </c>
      <c r="BV736" s="1" t="s">
        <v>216</v>
      </c>
      <c r="BW736" s="1" t="s">
        <v>217</v>
      </c>
      <c r="BX736" s="1">
        <v>89</v>
      </c>
      <c r="BY736" s="1">
        <v>89</v>
      </c>
      <c r="BZ736" s="1">
        <v>87</v>
      </c>
      <c r="CB736" s="1" t="str">
        <f t="shared" ref="CB736:CC736" si="573">"0"</f>
        <v>0</v>
      </c>
      <c r="CC736" s="1" t="str">
        <f t="shared" si="573"/>
        <v>0</v>
      </c>
      <c r="CD736" s="1">
        <v>22</v>
      </c>
      <c r="CE736" s="1">
        <v>0</v>
      </c>
      <c r="CG736" s="1" t="s">
        <v>8527</v>
      </c>
      <c r="CH736" s="1" t="s">
        <v>219</v>
      </c>
      <c r="CI736" s="1" t="s">
        <v>438</v>
      </c>
      <c r="CJ736" s="1" t="s">
        <v>439</v>
      </c>
      <c r="CK736" s="1" t="s">
        <v>228</v>
      </c>
      <c r="CL736" s="1" t="s">
        <v>277</v>
      </c>
      <c r="CM736" s="1" t="s">
        <v>220</v>
      </c>
      <c r="CN736" s="1" t="s">
        <v>343</v>
      </c>
      <c r="CO736" s="1" t="s">
        <v>465</v>
      </c>
      <c r="CP736" s="1" t="s">
        <v>219</v>
      </c>
      <c r="CQ736" s="1" t="s">
        <v>438</v>
      </c>
      <c r="CR736" s="1" t="s">
        <v>343</v>
      </c>
      <c r="CS736" s="1" t="s">
        <v>538</v>
      </c>
      <c r="CT736" s="1" t="s">
        <v>277</v>
      </c>
      <c r="CU736" s="1" t="s">
        <v>220</v>
      </c>
      <c r="CV736" s="1" t="s">
        <v>343</v>
      </c>
      <c r="CX736" s="1" t="s">
        <v>224</v>
      </c>
      <c r="DB736" s="1" t="s">
        <v>224</v>
      </c>
      <c r="DE736" s="1" t="s">
        <v>757</v>
      </c>
      <c r="DF736" s="1" t="s">
        <v>219</v>
      </c>
      <c r="DG736" s="1" t="s">
        <v>438</v>
      </c>
      <c r="DH736" s="1" t="s">
        <v>210</v>
      </c>
      <c r="DJ736" s="1" t="s">
        <v>224</v>
      </c>
      <c r="DM736" s="1" t="s">
        <v>464</v>
      </c>
      <c r="DR736" s="1" t="s">
        <v>602</v>
      </c>
      <c r="DS736" s="1" t="s">
        <v>277</v>
      </c>
      <c r="DT736" s="1" t="s">
        <v>220</v>
      </c>
      <c r="DU736" s="1" t="s">
        <v>343</v>
      </c>
      <c r="DW736" s="1" t="s">
        <v>230</v>
      </c>
      <c r="EA736" s="1" t="s">
        <v>230</v>
      </c>
      <c r="EE736" s="1" t="s">
        <v>230</v>
      </c>
      <c r="EI736" s="1" t="s">
        <v>230</v>
      </c>
      <c r="EL736" s="1" t="s">
        <v>491</v>
      </c>
      <c r="EM736" s="1" t="s">
        <v>232</v>
      </c>
      <c r="EN736" s="1" t="s">
        <v>282</v>
      </c>
      <c r="EO736" s="1" t="s">
        <v>840</v>
      </c>
      <c r="EP736" s="1" t="s">
        <v>650</v>
      </c>
      <c r="EQ736" s="1" t="s">
        <v>8528</v>
      </c>
      <c r="ER736" s="1" t="s">
        <v>2453</v>
      </c>
      <c r="ES736" s="1" t="s">
        <v>608</v>
      </c>
      <c r="ET736" s="1" t="s">
        <v>1201</v>
      </c>
      <c r="EU736" s="1" t="s">
        <v>8529</v>
      </c>
      <c r="EV736" s="1" t="s">
        <v>324</v>
      </c>
      <c r="EW736" s="1" t="s">
        <v>353</v>
      </c>
      <c r="EZ736" s="1" t="s">
        <v>464</v>
      </c>
      <c r="FA736" s="1" t="s">
        <v>8530</v>
      </c>
      <c r="FB736" s="1" t="s">
        <v>289</v>
      </c>
      <c r="FC736" s="1" t="s">
        <v>1405</v>
      </c>
      <c r="FD736" s="1" t="s">
        <v>495</v>
      </c>
      <c r="FE736" s="1" t="s">
        <v>8531</v>
      </c>
      <c r="FF736" s="1" t="s">
        <v>248</v>
      </c>
      <c r="FG736" s="1" t="s">
        <v>871</v>
      </c>
      <c r="FH736" s="1" t="s">
        <v>550</v>
      </c>
      <c r="FI736" s="1" t="s">
        <v>473</v>
      </c>
      <c r="FL736" s="1" t="s">
        <v>358</v>
      </c>
      <c r="FM736" s="1" t="s">
        <v>252</v>
      </c>
      <c r="FN736" s="1" t="s">
        <v>213</v>
      </c>
      <c r="FO736" s="1" t="s">
        <v>213</v>
      </c>
      <c r="FQ736" s="1" t="s">
        <v>1441</v>
      </c>
      <c r="FR736" s="1" t="s">
        <v>210</v>
      </c>
      <c r="FS736" s="1" t="s">
        <v>8532</v>
      </c>
      <c r="FT736" s="1" t="s">
        <v>362</v>
      </c>
      <c r="FU736" s="1" t="s">
        <v>204</v>
      </c>
      <c r="FW736" s="1" t="s">
        <v>1742</v>
      </c>
      <c r="FX736" s="1">
        <v>25401</v>
      </c>
      <c r="FY736" s="1" t="s">
        <v>1743</v>
      </c>
      <c r="FZ736" s="1" t="s">
        <v>8533</v>
      </c>
      <c r="GA736" s="1">
        <v>258049</v>
      </c>
      <c r="GB736" s="1" t="s">
        <v>8534</v>
      </c>
      <c r="GD736" s="1" t="s">
        <v>8535</v>
      </c>
      <c r="GE736" s="1" t="s">
        <v>210</v>
      </c>
      <c r="GI736" s="1" t="s">
        <v>213</v>
      </c>
      <c r="GJ736" s="1" t="s">
        <v>260</v>
      </c>
      <c r="GK736" s="1" t="s">
        <v>210</v>
      </c>
      <c r="GL736" s="2">
        <v>42066</v>
      </c>
    </row>
    <row r="737" spans="1:195">
      <c r="A737" s="1">
        <v>144000</v>
      </c>
      <c r="B737" s="1" t="s">
        <v>195</v>
      </c>
      <c r="C737" s="1" t="str">
        <f>"08810979"</f>
        <v>08810979</v>
      </c>
      <c r="D737" s="1" t="s">
        <v>196</v>
      </c>
      <c r="F737" s="1" t="str">
        <f>"139"</f>
        <v>139</v>
      </c>
      <c r="G737" s="2">
        <v>42010</v>
      </c>
      <c r="H737" s="1">
        <v>155000</v>
      </c>
      <c r="I737" s="1">
        <v>155000</v>
      </c>
      <c r="J737" s="1">
        <v>144000</v>
      </c>
      <c r="K737" s="2">
        <v>42010</v>
      </c>
      <c r="L737" s="1">
        <v>24</v>
      </c>
      <c r="M737" s="2">
        <v>42033</v>
      </c>
      <c r="N737" s="1">
        <v>24</v>
      </c>
      <c r="O737" s="2">
        <v>42033</v>
      </c>
      <c r="P737" s="1">
        <v>24229</v>
      </c>
      <c r="Q737" s="1" t="s">
        <v>302</v>
      </c>
      <c r="R737" s="2">
        <v>42065</v>
      </c>
      <c r="S737" s="1">
        <v>242753</v>
      </c>
      <c r="U737" s="1">
        <v>1432</v>
      </c>
      <c r="V737" s="1" t="s">
        <v>8536</v>
      </c>
      <c r="W737" s="1" t="s">
        <v>264</v>
      </c>
      <c r="X737" s="1">
        <v>1432</v>
      </c>
      <c r="Y737" s="1">
        <v>3</v>
      </c>
      <c r="Z737" s="1" t="s">
        <v>370</v>
      </c>
      <c r="AA737" s="1" t="s">
        <v>1732</v>
      </c>
      <c r="AB737" s="1">
        <v>60139</v>
      </c>
      <c r="AE737" s="1" t="s">
        <v>8537</v>
      </c>
      <c r="AF737" s="1">
        <v>1987</v>
      </c>
      <c r="AG737" s="1" t="s">
        <v>204</v>
      </c>
      <c r="AH737" s="1" t="s">
        <v>1735</v>
      </c>
      <c r="AI737" s="1" t="s">
        <v>206</v>
      </c>
      <c r="AJ737" s="1" t="s">
        <v>269</v>
      </c>
      <c r="AK737" s="1" t="s">
        <v>8538</v>
      </c>
      <c r="AL737" s="1">
        <v>5</v>
      </c>
      <c r="AM737" s="1">
        <v>2</v>
      </c>
      <c r="AN737" s="1">
        <v>2</v>
      </c>
      <c r="AO737" s="1">
        <v>1</v>
      </c>
      <c r="AP737" s="1" t="s">
        <v>209</v>
      </c>
      <c r="AQ737" s="1">
        <v>1</v>
      </c>
      <c r="AR737" s="1" t="s">
        <v>210</v>
      </c>
      <c r="AT737" s="1" t="s">
        <v>211</v>
      </c>
      <c r="AU737" s="1">
        <v>1</v>
      </c>
      <c r="AW737" s="1" t="s">
        <v>204</v>
      </c>
      <c r="AX737" s="1" t="s">
        <v>212</v>
      </c>
      <c r="AZ737" s="1">
        <v>4473</v>
      </c>
      <c r="BA737" s="1">
        <v>2013</v>
      </c>
      <c r="BB737" s="1" t="s">
        <v>405</v>
      </c>
      <c r="BC737" s="1">
        <v>0</v>
      </c>
      <c r="BD737" s="1">
        <v>0</v>
      </c>
      <c r="BE737" s="1">
        <v>1248</v>
      </c>
      <c r="BF737" s="1">
        <v>1</v>
      </c>
      <c r="BG737" s="1">
        <v>0</v>
      </c>
      <c r="BL737" s="1">
        <v>195</v>
      </c>
      <c r="BM737" s="1" t="s">
        <v>204</v>
      </c>
      <c r="BN737" s="1" t="s">
        <v>213</v>
      </c>
      <c r="BO737" s="1">
        <v>999</v>
      </c>
      <c r="BP737" s="1" t="s">
        <v>204</v>
      </c>
      <c r="BR737" s="1" t="str">
        <f>"0233204044"</f>
        <v>0233204044</v>
      </c>
      <c r="BT737" s="1" t="s">
        <v>8539</v>
      </c>
      <c r="BU737" s="1" t="s">
        <v>7513</v>
      </c>
      <c r="BV737" s="1" t="s">
        <v>3645</v>
      </c>
      <c r="BW737" s="1" t="s">
        <v>1092</v>
      </c>
      <c r="BX737" s="1">
        <v>16</v>
      </c>
      <c r="BY737" s="1">
        <v>16</v>
      </c>
      <c r="BZ737" s="1">
        <v>87</v>
      </c>
      <c r="CB737" s="1" t="str">
        <f>"2"</f>
        <v>2</v>
      </c>
      <c r="CC737" s="1" t="str">
        <f>"0"</f>
        <v>0</v>
      </c>
      <c r="CD737" s="1">
        <v>24</v>
      </c>
      <c r="CE737" s="1">
        <v>0</v>
      </c>
      <c r="CG737" s="1" t="s">
        <v>2042</v>
      </c>
      <c r="CH737" s="1" t="s">
        <v>219</v>
      </c>
      <c r="CI737" s="1" t="s">
        <v>220</v>
      </c>
      <c r="CJ737" s="1" t="s">
        <v>252</v>
      </c>
      <c r="CK737" s="1" t="s">
        <v>757</v>
      </c>
      <c r="CL737" s="1" t="s">
        <v>277</v>
      </c>
      <c r="CM737" s="1" t="s">
        <v>220</v>
      </c>
      <c r="CN737" s="1" t="s">
        <v>252</v>
      </c>
      <c r="CO737" s="1" t="s">
        <v>629</v>
      </c>
      <c r="CP737" s="1" t="s">
        <v>219</v>
      </c>
      <c r="CQ737" s="1" t="s">
        <v>220</v>
      </c>
      <c r="CS737" s="1" t="s">
        <v>465</v>
      </c>
      <c r="CT737" s="1" t="s">
        <v>277</v>
      </c>
      <c r="CU737" s="1" t="s">
        <v>220</v>
      </c>
      <c r="CV737" s="1" t="s">
        <v>252</v>
      </c>
      <c r="CX737" s="1" t="s">
        <v>224</v>
      </c>
      <c r="DB737" s="1" t="s">
        <v>224</v>
      </c>
      <c r="DE737" s="1" t="s">
        <v>821</v>
      </c>
      <c r="DF737" s="1" t="s">
        <v>219</v>
      </c>
      <c r="DG737" s="1" t="s">
        <v>226</v>
      </c>
      <c r="DJ737" s="1" t="s">
        <v>224</v>
      </c>
      <c r="DS737" s="1" t="s">
        <v>230</v>
      </c>
      <c r="DW737" s="1" t="s">
        <v>230</v>
      </c>
      <c r="EA737" s="1" t="s">
        <v>230</v>
      </c>
      <c r="EE737" s="1" t="s">
        <v>230</v>
      </c>
      <c r="EI737" s="1" t="s">
        <v>230</v>
      </c>
      <c r="EL737" s="1" t="s">
        <v>542</v>
      </c>
      <c r="EM737" s="1" t="s">
        <v>232</v>
      </c>
      <c r="EN737" s="1" t="s">
        <v>282</v>
      </c>
      <c r="EO737" s="1" t="s">
        <v>234</v>
      </c>
      <c r="EP737" s="1" t="s">
        <v>2983</v>
      </c>
      <c r="EQ737" s="1" t="s">
        <v>1094</v>
      </c>
      <c r="ER737" s="1" t="s">
        <v>383</v>
      </c>
      <c r="ES737" s="1" t="s">
        <v>954</v>
      </c>
      <c r="EU737" s="1" t="s">
        <v>3377</v>
      </c>
      <c r="EV737" s="1" t="s">
        <v>240</v>
      </c>
      <c r="EW737" s="1" t="s">
        <v>7369</v>
      </c>
      <c r="EY737" s="1" t="s">
        <v>242</v>
      </c>
      <c r="EZ737" s="1" t="s">
        <v>287</v>
      </c>
      <c r="FB737" s="1" t="s">
        <v>289</v>
      </c>
      <c r="FC737" s="1" t="s">
        <v>1405</v>
      </c>
      <c r="FD737" s="1" t="s">
        <v>246</v>
      </c>
      <c r="FE737" s="1" t="s">
        <v>247</v>
      </c>
      <c r="FF737" s="1" t="s">
        <v>248</v>
      </c>
      <c r="FG737" s="1" t="s">
        <v>2739</v>
      </c>
      <c r="FH737" s="1" t="s">
        <v>550</v>
      </c>
      <c r="FI737" s="1" t="s">
        <v>473</v>
      </c>
      <c r="FL737" s="1" t="s">
        <v>358</v>
      </c>
      <c r="FM737" s="1" t="s">
        <v>252</v>
      </c>
      <c r="FN737" s="1" t="s">
        <v>213</v>
      </c>
      <c r="FO737" s="1" t="s">
        <v>213</v>
      </c>
      <c r="FQ737" s="1" t="s">
        <v>2870</v>
      </c>
      <c r="FR737" s="1" t="s">
        <v>210</v>
      </c>
      <c r="FS737" s="1" t="s">
        <v>8540</v>
      </c>
      <c r="FT737" s="1" t="s">
        <v>691</v>
      </c>
      <c r="FU737" s="1" t="s">
        <v>204</v>
      </c>
      <c r="FV737" s="1" t="s">
        <v>8541</v>
      </c>
      <c r="FW737" s="1" t="s">
        <v>8542</v>
      </c>
      <c r="FX737" s="1">
        <v>61075</v>
      </c>
      <c r="FY737" s="1" t="s">
        <v>8543</v>
      </c>
      <c r="FZ737" s="1" t="s">
        <v>8544</v>
      </c>
      <c r="GA737" s="1">
        <v>601905</v>
      </c>
      <c r="GB737" s="1" t="s">
        <v>8545</v>
      </c>
      <c r="GC737" s="1">
        <v>226380</v>
      </c>
      <c r="GD737" s="1" t="s">
        <v>8546</v>
      </c>
      <c r="GE737" s="1" t="s">
        <v>480</v>
      </c>
      <c r="GI737" s="1" t="s">
        <v>213</v>
      </c>
      <c r="GJ737" s="1" t="s">
        <v>300</v>
      </c>
      <c r="GK737" s="1" t="s">
        <v>210</v>
      </c>
      <c r="GL737" s="2">
        <v>42087</v>
      </c>
      <c r="GM737" s="1" t="s">
        <v>8547</v>
      </c>
    </row>
    <row r="738" spans="1:195">
      <c r="A738" s="1">
        <v>123000</v>
      </c>
      <c r="B738" s="1" t="s">
        <v>195</v>
      </c>
      <c r="C738" s="1" t="str">
        <f>"08807871"</f>
        <v>08807871</v>
      </c>
      <c r="D738" s="1" t="s">
        <v>196</v>
      </c>
      <c r="F738" s="1" t="str">
        <f>"178"</f>
        <v>178</v>
      </c>
      <c r="G738" s="2">
        <v>42004</v>
      </c>
      <c r="H738" s="1">
        <v>139900</v>
      </c>
      <c r="I738" s="1">
        <v>129900</v>
      </c>
      <c r="J738" s="1">
        <v>123000</v>
      </c>
      <c r="K738" s="2">
        <v>42004</v>
      </c>
      <c r="L738" s="1">
        <v>52</v>
      </c>
      <c r="M738" s="2">
        <v>42055</v>
      </c>
      <c r="N738" s="1">
        <v>52</v>
      </c>
      <c r="O738" s="2">
        <v>42055</v>
      </c>
      <c r="P738" s="1">
        <v>23156</v>
      </c>
      <c r="Q738" s="1" t="s">
        <v>423</v>
      </c>
      <c r="R738" s="2">
        <v>42104</v>
      </c>
      <c r="S738" s="1">
        <v>230165</v>
      </c>
      <c r="T738" s="1">
        <v>3690</v>
      </c>
      <c r="U738" s="1">
        <v>1125</v>
      </c>
      <c r="V738" s="1" t="s">
        <v>8548</v>
      </c>
      <c r="W738" s="1" t="s">
        <v>264</v>
      </c>
      <c r="Y738" s="1">
        <v>7</v>
      </c>
      <c r="Z738" s="1" t="s">
        <v>370</v>
      </c>
      <c r="AA738" s="1" t="s">
        <v>3334</v>
      </c>
      <c r="AB738" s="1">
        <v>60178</v>
      </c>
      <c r="AE738" s="1" t="s">
        <v>8549</v>
      </c>
      <c r="AF738" s="1">
        <v>2003</v>
      </c>
      <c r="AG738" s="1" t="s">
        <v>204</v>
      </c>
      <c r="AH738" s="1" t="s">
        <v>3336</v>
      </c>
      <c r="AI738" s="1" t="s">
        <v>2246</v>
      </c>
      <c r="AJ738" s="1" t="s">
        <v>3336</v>
      </c>
      <c r="AL738" s="1">
        <v>6</v>
      </c>
      <c r="AM738" s="1">
        <v>2</v>
      </c>
      <c r="AN738" s="1">
        <v>2</v>
      </c>
      <c r="AO738" s="1">
        <v>1</v>
      </c>
      <c r="AP738" s="1" t="s">
        <v>209</v>
      </c>
      <c r="AR738" s="1" t="s">
        <v>209</v>
      </c>
      <c r="AS738" s="1" t="s">
        <v>204</v>
      </c>
      <c r="AT738" s="1" t="s">
        <v>211</v>
      </c>
      <c r="AU738" s="1">
        <v>2</v>
      </c>
      <c r="AW738" s="1" t="s">
        <v>204</v>
      </c>
      <c r="AX738" s="1" t="s">
        <v>8550</v>
      </c>
      <c r="AZ738" s="1">
        <v>3747</v>
      </c>
      <c r="BA738" s="1">
        <v>2013</v>
      </c>
      <c r="BE738" s="1">
        <v>1747</v>
      </c>
      <c r="BF738" s="1">
        <v>1</v>
      </c>
      <c r="BG738" s="1">
        <v>0</v>
      </c>
      <c r="BL738" s="1">
        <v>80</v>
      </c>
      <c r="BM738" s="1" t="s">
        <v>204</v>
      </c>
      <c r="BN738" s="1" t="s">
        <v>213</v>
      </c>
      <c r="BO738" s="1">
        <v>0</v>
      </c>
      <c r="BP738" s="1" t="s">
        <v>204</v>
      </c>
      <c r="BR738" s="1" t="str">
        <f>"0628301079"</f>
        <v>0628301079</v>
      </c>
      <c r="BT738" s="1" t="s">
        <v>8551</v>
      </c>
      <c r="BX738" s="1">
        <v>427</v>
      </c>
      <c r="BY738" s="1">
        <v>427</v>
      </c>
      <c r="BZ738" s="1">
        <v>427</v>
      </c>
      <c r="CB738" s="1" t="str">
        <f t="shared" ref="CB738:CC738" si="574">""</f>
        <v/>
      </c>
      <c r="CC738" s="1" t="str">
        <f t="shared" si="574"/>
        <v/>
      </c>
      <c r="CG738" s="1" t="s">
        <v>1177</v>
      </c>
      <c r="CH738" s="1" t="s">
        <v>219</v>
      </c>
      <c r="CK738" s="1" t="s">
        <v>1995</v>
      </c>
      <c r="CL738" s="1" t="s">
        <v>277</v>
      </c>
      <c r="CO738" s="1" t="s">
        <v>1854</v>
      </c>
      <c r="CP738" s="1" t="s">
        <v>219</v>
      </c>
      <c r="CS738" s="1" t="s">
        <v>2122</v>
      </c>
      <c r="CT738" s="1" t="s">
        <v>277</v>
      </c>
      <c r="CX738" s="1" t="s">
        <v>224</v>
      </c>
      <c r="DB738" s="1" t="s">
        <v>224</v>
      </c>
      <c r="DE738" s="1" t="s">
        <v>7355</v>
      </c>
      <c r="DF738" s="1" t="s">
        <v>219</v>
      </c>
      <c r="DJ738" s="1" t="s">
        <v>224</v>
      </c>
      <c r="DM738" s="1" t="s">
        <v>464</v>
      </c>
      <c r="DR738" s="1" t="s">
        <v>407</v>
      </c>
      <c r="DS738" s="1" t="s">
        <v>277</v>
      </c>
      <c r="DW738" s="1" t="s">
        <v>230</v>
      </c>
      <c r="EA738" s="1" t="s">
        <v>230</v>
      </c>
      <c r="EE738" s="1" t="s">
        <v>230</v>
      </c>
      <c r="EI738" s="1" t="s">
        <v>230</v>
      </c>
      <c r="EL738" s="1" t="s">
        <v>466</v>
      </c>
      <c r="EM738" s="1" t="s">
        <v>319</v>
      </c>
      <c r="EN738" s="1" t="s">
        <v>282</v>
      </c>
      <c r="EO738" s="1" t="s">
        <v>234</v>
      </c>
      <c r="ER738" s="1" t="s">
        <v>351</v>
      </c>
      <c r="EW738" s="1" t="s">
        <v>547</v>
      </c>
      <c r="EZ738" s="1" t="s">
        <v>464</v>
      </c>
      <c r="FD738" s="1" t="s">
        <v>246</v>
      </c>
      <c r="FE738" s="1" t="s">
        <v>496</v>
      </c>
      <c r="FF738" s="1" t="s">
        <v>248</v>
      </c>
      <c r="FH738" s="1" t="s">
        <v>550</v>
      </c>
      <c r="FL738" s="1" t="s">
        <v>358</v>
      </c>
      <c r="FM738" s="1" t="s">
        <v>252</v>
      </c>
      <c r="FN738" s="1" t="s">
        <v>213</v>
      </c>
      <c r="FO738" s="1" t="s">
        <v>213</v>
      </c>
      <c r="FQ738" s="1" t="s">
        <v>673</v>
      </c>
      <c r="FR738" s="1" t="s">
        <v>210</v>
      </c>
      <c r="FS738" s="1" t="s">
        <v>8552</v>
      </c>
      <c r="FT738" s="1" t="s">
        <v>2609</v>
      </c>
      <c r="FU738" s="1" t="s">
        <v>204</v>
      </c>
      <c r="FW738" s="1" t="s">
        <v>3343</v>
      </c>
      <c r="FX738" s="1">
        <v>93084</v>
      </c>
      <c r="FY738" s="1" t="s">
        <v>3344</v>
      </c>
      <c r="FZ738" s="1" t="s">
        <v>8553</v>
      </c>
      <c r="GA738" s="1">
        <v>930228</v>
      </c>
      <c r="GB738" s="1" t="s">
        <v>8554</v>
      </c>
      <c r="GE738" s="1" t="s">
        <v>210</v>
      </c>
      <c r="GI738" s="1" t="s">
        <v>213</v>
      </c>
      <c r="GJ738" s="1" t="s">
        <v>260</v>
      </c>
      <c r="GK738" s="1" t="s">
        <v>210</v>
      </c>
      <c r="GL738" s="2">
        <v>42105</v>
      </c>
      <c r="GM738" s="1" t="s">
        <v>8555</v>
      </c>
    </row>
    <row r="739" spans="1:195">
      <c r="A739" s="1">
        <v>170000</v>
      </c>
      <c r="B739" s="1" t="s">
        <v>195</v>
      </c>
      <c r="C739" s="1" t="str">
        <f>"08815500"</f>
        <v>08815500</v>
      </c>
      <c r="D739" s="1" t="s">
        <v>196</v>
      </c>
      <c r="F739" s="1" t="str">
        <f>"188"</f>
        <v>188</v>
      </c>
      <c r="G739" s="2">
        <v>42017</v>
      </c>
      <c r="H739" s="1">
        <v>179900</v>
      </c>
      <c r="I739" s="1">
        <v>179900</v>
      </c>
      <c r="J739" s="1">
        <v>170000</v>
      </c>
      <c r="K739" s="2">
        <v>42017</v>
      </c>
      <c r="L739" s="1">
        <v>24</v>
      </c>
      <c r="M739" s="2">
        <v>42040</v>
      </c>
      <c r="N739" s="1">
        <v>24</v>
      </c>
      <c r="O739" s="2">
        <v>42040</v>
      </c>
      <c r="P739" s="1">
        <v>25808</v>
      </c>
      <c r="Q739" s="1" t="s">
        <v>197</v>
      </c>
      <c r="R739" s="2">
        <v>42088</v>
      </c>
      <c r="S739" s="1">
        <v>218656</v>
      </c>
      <c r="U739" s="1">
        <v>271</v>
      </c>
      <c r="V739" s="1" t="s">
        <v>8556</v>
      </c>
      <c r="W739" s="1" t="s">
        <v>264</v>
      </c>
      <c r="Y739" s="1">
        <v>4</v>
      </c>
      <c r="Z739" s="1" t="s">
        <v>249</v>
      </c>
      <c r="AA739" s="1" t="s">
        <v>1084</v>
      </c>
      <c r="AB739" s="1">
        <v>60188</v>
      </c>
      <c r="AD739" s="1" t="s">
        <v>8557</v>
      </c>
      <c r="AE739" s="1" t="s">
        <v>8558</v>
      </c>
      <c r="AF739" s="1">
        <v>1991</v>
      </c>
      <c r="AG739" s="1" t="s">
        <v>204</v>
      </c>
      <c r="AH739" s="1" t="s">
        <v>1087</v>
      </c>
      <c r="AI739" s="1" t="s">
        <v>206</v>
      </c>
      <c r="AJ739" s="1" t="s">
        <v>269</v>
      </c>
      <c r="AL739" s="1">
        <v>6</v>
      </c>
      <c r="AM739" s="1">
        <v>2</v>
      </c>
      <c r="AN739" s="1">
        <v>2</v>
      </c>
      <c r="AO739" s="1">
        <v>1</v>
      </c>
      <c r="AP739" s="1" t="s">
        <v>209</v>
      </c>
      <c r="AQ739" s="1">
        <v>1</v>
      </c>
      <c r="AR739" s="1" t="s">
        <v>209</v>
      </c>
      <c r="AS739" s="1" t="s">
        <v>204</v>
      </c>
      <c r="AT739" s="1" t="s">
        <v>211</v>
      </c>
      <c r="AU739" s="1">
        <v>1</v>
      </c>
      <c r="AW739" s="1" t="s">
        <v>204</v>
      </c>
      <c r="AX739" s="1" t="s">
        <v>212</v>
      </c>
      <c r="AZ739" s="1">
        <v>4325</v>
      </c>
      <c r="BA739" s="1">
        <v>2013</v>
      </c>
      <c r="BB739" s="1" t="s">
        <v>405</v>
      </c>
      <c r="BE739" s="1">
        <v>1488</v>
      </c>
      <c r="BF739" s="1">
        <v>1</v>
      </c>
      <c r="BG739" s="1">
        <v>0</v>
      </c>
      <c r="BL739" s="1">
        <v>204</v>
      </c>
      <c r="BM739" s="1" t="s">
        <v>413</v>
      </c>
      <c r="BN739" s="1" t="s">
        <v>213</v>
      </c>
      <c r="BO739" s="1" t="s">
        <v>2932</v>
      </c>
      <c r="BP739" s="1" t="s">
        <v>204</v>
      </c>
      <c r="BR739" s="1" t="str">
        <f>"0229123063"</f>
        <v>0229123063</v>
      </c>
      <c r="BT739" s="1" t="s">
        <v>8559</v>
      </c>
      <c r="BU739" s="1" t="s">
        <v>1501</v>
      </c>
      <c r="BV739" s="1" t="s">
        <v>1502</v>
      </c>
      <c r="BW739" s="1" t="s">
        <v>1092</v>
      </c>
      <c r="BX739" s="1">
        <v>93</v>
      </c>
      <c r="BY739" s="1">
        <v>93</v>
      </c>
      <c r="BZ739" s="1">
        <v>87</v>
      </c>
      <c r="CB739" s="1" t="str">
        <f t="shared" ref="CB739:CC739" si="575">""</f>
        <v/>
      </c>
      <c r="CC739" s="1" t="str">
        <f t="shared" si="575"/>
        <v/>
      </c>
      <c r="CG739" s="1" t="s">
        <v>3684</v>
      </c>
      <c r="CH739" s="1" t="s">
        <v>219</v>
      </c>
      <c r="CI739" s="1" t="s">
        <v>438</v>
      </c>
      <c r="CK739" s="1" t="s">
        <v>708</v>
      </c>
      <c r="CL739" s="1" t="s">
        <v>277</v>
      </c>
      <c r="CM739" s="1" t="s">
        <v>220</v>
      </c>
      <c r="CO739" s="1" t="s">
        <v>379</v>
      </c>
      <c r="CP739" s="1" t="s">
        <v>219</v>
      </c>
      <c r="CQ739" s="1" t="s">
        <v>438</v>
      </c>
      <c r="CS739" s="1" t="s">
        <v>378</v>
      </c>
      <c r="CT739" s="1" t="s">
        <v>277</v>
      </c>
      <c r="CU739" s="1" t="s">
        <v>220</v>
      </c>
      <c r="CX739" s="1" t="s">
        <v>224</v>
      </c>
      <c r="DB739" s="1" t="s">
        <v>224</v>
      </c>
      <c r="DE739" s="1" t="s">
        <v>223</v>
      </c>
      <c r="DF739" s="1" t="s">
        <v>219</v>
      </c>
      <c r="DG739" s="1" t="s">
        <v>438</v>
      </c>
      <c r="DJ739" s="1" t="s">
        <v>224</v>
      </c>
      <c r="DM739" s="1" t="s">
        <v>934</v>
      </c>
      <c r="DN739" s="1" t="s">
        <v>1614</v>
      </c>
      <c r="DR739" s="1" t="s">
        <v>2925</v>
      </c>
      <c r="DS739" s="1" t="s">
        <v>43</v>
      </c>
      <c r="DT739" s="1" t="s">
        <v>226</v>
      </c>
      <c r="DV739" s="1" t="s">
        <v>317</v>
      </c>
      <c r="DW739" s="1" t="s">
        <v>43</v>
      </c>
      <c r="DX739" s="1" t="s">
        <v>347</v>
      </c>
      <c r="EA739" s="1" t="s">
        <v>230</v>
      </c>
      <c r="EE739" s="1" t="s">
        <v>230</v>
      </c>
      <c r="EI739" s="1" t="s">
        <v>230</v>
      </c>
      <c r="EL739" s="1" t="s">
        <v>382</v>
      </c>
      <c r="EM739" s="1" t="s">
        <v>232</v>
      </c>
      <c r="EN739" s="1" t="s">
        <v>282</v>
      </c>
      <c r="EO739" s="1" t="s">
        <v>234</v>
      </c>
      <c r="EP739" s="1" t="s">
        <v>650</v>
      </c>
      <c r="EQ739" s="1" t="s">
        <v>492</v>
      </c>
      <c r="ER739" s="1" t="s">
        <v>544</v>
      </c>
      <c r="EW739" s="1" t="s">
        <v>887</v>
      </c>
      <c r="EY739" s="1" t="s">
        <v>242</v>
      </c>
      <c r="EZ739" s="1" t="s">
        <v>3811</v>
      </c>
      <c r="FD739" s="1" t="s">
        <v>246</v>
      </c>
      <c r="FE739" s="1" t="s">
        <v>975</v>
      </c>
      <c r="FF739" s="1" t="s">
        <v>248</v>
      </c>
      <c r="FG739" s="1" t="s">
        <v>292</v>
      </c>
      <c r="FH739" s="1" t="s">
        <v>550</v>
      </c>
      <c r="FI739" s="1" t="s">
        <v>473</v>
      </c>
      <c r="FJ739" s="1" t="s">
        <v>197</v>
      </c>
      <c r="FL739" s="1" t="s">
        <v>358</v>
      </c>
      <c r="FM739" s="1" t="s">
        <v>252</v>
      </c>
      <c r="FN739" s="1" t="s">
        <v>213</v>
      </c>
      <c r="FO739" s="1" t="s">
        <v>213</v>
      </c>
      <c r="FQ739" s="1" t="s">
        <v>329</v>
      </c>
      <c r="FR739" s="1" t="s">
        <v>210</v>
      </c>
      <c r="FS739" s="1" t="s">
        <v>8560</v>
      </c>
      <c r="FT739" s="1" t="s">
        <v>255</v>
      </c>
      <c r="FU739" s="1" t="s">
        <v>204</v>
      </c>
      <c r="FV739" s="1" t="s">
        <v>8561</v>
      </c>
      <c r="FW739" s="1" t="s">
        <v>1097</v>
      </c>
      <c r="FX739" s="1">
        <v>25005</v>
      </c>
      <c r="FY739" s="1" t="s">
        <v>1098</v>
      </c>
      <c r="FZ739" s="1" t="s">
        <v>1099</v>
      </c>
      <c r="GA739" s="1">
        <v>254114</v>
      </c>
      <c r="GB739" s="1" t="s">
        <v>1100</v>
      </c>
      <c r="GC739" s="1">
        <v>253729</v>
      </c>
      <c r="GD739" s="1" t="s">
        <v>8562</v>
      </c>
      <c r="GE739" s="1" t="s">
        <v>210</v>
      </c>
      <c r="GI739" s="1" t="s">
        <v>213</v>
      </c>
      <c r="GJ739" s="1" t="s">
        <v>260</v>
      </c>
      <c r="GK739" s="1" t="s">
        <v>210</v>
      </c>
      <c r="GL739" s="2">
        <v>42089</v>
      </c>
    </row>
    <row r="740" spans="1:195">
      <c r="A740" s="1">
        <v>186500</v>
      </c>
      <c r="B740" s="1" t="s">
        <v>195</v>
      </c>
      <c r="C740" s="1" t="str">
        <f>"08814244"</f>
        <v>08814244</v>
      </c>
      <c r="D740" s="1" t="s">
        <v>196</v>
      </c>
      <c r="F740" s="1" t="str">
        <f>"148"</f>
        <v>148</v>
      </c>
      <c r="G740" s="2">
        <v>42016</v>
      </c>
      <c r="H740" s="1">
        <v>209900</v>
      </c>
      <c r="I740" s="1">
        <v>209900</v>
      </c>
      <c r="J740" s="1">
        <v>186500</v>
      </c>
      <c r="K740" s="2">
        <v>42016</v>
      </c>
      <c r="L740" s="1">
        <v>19</v>
      </c>
      <c r="M740" s="2">
        <v>42034</v>
      </c>
      <c r="N740" s="1">
        <v>19</v>
      </c>
      <c r="O740" s="2">
        <v>42034</v>
      </c>
      <c r="P740" s="1">
        <v>25563</v>
      </c>
      <c r="Q740" s="1" t="s">
        <v>197</v>
      </c>
      <c r="R740" s="2">
        <v>42090</v>
      </c>
      <c r="S740" s="1">
        <v>923188</v>
      </c>
      <c r="U740" s="1">
        <v>878</v>
      </c>
      <c r="V740" s="1" t="s">
        <v>2631</v>
      </c>
      <c r="W740" s="1" t="s">
        <v>425</v>
      </c>
      <c r="Y740" s="1">
        <v>6</v>
      </c>
      <c r="Z740" s="1" t="s">
        <v>370</v>
      </c>
      <c r="AA740" s="1" t="s">
        <v>1927</v>
      </c>
      <c r="AB740" s="1">
        <v>60148</v>
      </c>
      <c r="AD740" s="1" t="s">
        <v>8563</v>
      </c>
      <c r="AE740" s="1" t="s">
        <v>8564</v>
      </c>
      <c r="AF740" s="1">
        <v>1992</v>
      </c>
      <c r="AG740" s="1" t="s">
        <v>204</v>
      </c>
      <c r="AH740" s="1" t="s">
        <v>1930</v>
      </c>
      <c r="AI740" s="1" t="s">
        <v>206</v>
      </c>
      <c r="AJ740" s="1" t="s">
        <v>1608</v>
      </c>
      <c r="AK740" s="1" t="s">
        <v>8565</v>
      </c>
      <c r="AL740" s="1">
        <v>5</v>
      </c>
      <c r="AM740" s="1">
        <v>2</v>
      </c>
      <c r="AN740" s="1">
        <v>2</v>
      </c>
      <c r="AO740" s="1">
        <v>1</v>
      </c>
      <c r="AP740" s="1" t="s">
        <v>209</v>
      </c>
      <c r="AR740" s="1" t="s">
        <v>210</v>
      </c>
      <c r="AT740" s="1" t="s">
        <v>211</v>
      </c>
      <c r="AU740" s="1">
        <v>1</v>
      </c>
      <c r="AW740" s="1" t="s">
        <v>204</v>
      </c>
      <c r="AX740" s="1" t="s">
        <v>212</v>
      </c>
      <c r="AZ740" s="1">
        <v>3815</v>
      </c>
      <c r="BA740" s="1">
        <v>2013</v>
      </c>
      <c r="BB740" s="1" t="s">
        <v>405</v>
      </c>
      <c r="BE740" s="1">
        <v>1079</v>
      </c>
      <c r="BF740" s="1">
        <v>1</v>
      </c>
      <c r="BG740" s="1">
        <v>30</v>
      </c>
      <c r="BL740" s="1">
        <v>172</v>
      </c>
      <c r="BM740" s="1" t="s">
        <v>204</v>
      </c>
      <c r="BN740" s="1" t="s">
        <v>213</v>
      </c>
      <c r="BO740" s="1">
        <v>0</v>
      </c>
      <c r="BP740" s="1" t="s">
        <v>204</v>
      </c>
      <c r="BR740" s="1" t="str">
        <f>"0616119074"</f>
        <v>0616119074</v>
      </c>
      <c r="BT740" s="1" t="s">
        <v>8566</v>
      </c>
      <c r="BU740" s="1" t="s">
        <v>8567</v>
      </c>
      <c r="BV740" s="1" t="s">
        <v>2200</v>
      </c>
      <c r="BW740" s="1" t="s">
        <v>2201</v>
      </c>
      <c r="BX740" s="1">
        <v>45</v>
      </c>
      <c r="BY740" s="1">
        <v>45</v>
      </c>
      <c r="BZ740" s="1">
        <v>88</v>
      </c>
      <c r="CB740" s="1" t="str">
        <f t="shared" ref="CB740:CC740" si="576">""</f>
        <v/>
      </c>
      <c r="CC740" s="1" t="str">
        <f t="shared" si="576"/>
        <v/>
      </c>
      <c r="CG740" s="1" t="s">
        <v>4891</v>
      </c>
      <c r="CH740" s="1" t="s">
        <v>219</v>
      </c>
      <c r="CI740" s="1" t="s">
        <v>229</v>
      </c>
      <c r="CJ740" s="1" t="s">
        <v>463</v>
      </c>
      <c r="CK740" s="1" t="s">
        <v>1995</v>
      </c>
      <c r="CL740" s="1" t="s">
        <v>277</v>
      </c>
      <c r="CM740" s="1" t="s">
        <v>220</v>
      </c>
      <c r="CN740" s="1" t="s">
        <v>909</v>
      </c>
      <c r="CO740" s="1" t="s">
        <v>629</v>
      </c>
      <c r="CP740" s="1" t="s">
        <v>219</v>
      </c>
      <c r="CQ740" s="1" t="s">
        <v>229</v>
      </c>
      <c r="CS740" s="1" t="s">
        <v>1046</v>
      </c>
      <c r="CT740" s="1" t="s">
        <v>277</v>
      </c>
      <c r="CU740" s="1" t="s">
        <v>220</v>
      </c>
      <c r="CV740" s="1" t="s">
        <v>343</v>
      </c>
      <c r="CX740" s="1" t="s">
        <v>224</v>
      </c>
      <c r="DB740" s="1" t="s">
        <v>224</v>
      </c>
      <c r="DE740" s="1" t="s">
        <v>2356</v>
      </c>
      <c r="DF740" s="1" t="s">
        <v>219</v>
      </c>
      <c r="DG740" s="1" t="s">
        <v>342</v>
      </c>
      <c r="DJ740" s="1" t="s">
        <v>224</v>
      </c>
      <c r="DS740" s="1" t="s">
        <v>230</v>
      </c>
      <c r="DW740" s="1" t="s">
        <v>230</v>
      </c>
      <c r="EA740" s="1" t="s">
        <v>230</v>
      </c>
      <c r="EE740" s="1" t="s">
        <v>230</v>
      </c>
      <c r="EI740" s="1" t="s">
        <v>230</v>
      </c>
      <c r="EL740" s="1" t="s">
        <v>382</v>
      </c>
      <c r="EM740" s="1" t="s">
        <v>232</v>
      </c>
      <c r="EN740" s="1" t="s">
        <v>282</v>
      </c>
      <c r="EO740" s="1" t="s">
        <v>234</v>
      </c>
      <c r="EQ740" s="1" t="s">
        <v>2188</v>
      </c>
      <c r="ER740" s="1" t="s">
        <v>383</v>
      </c>
      <c r="ES740" s="1" t="s">
        <v>8568</v>
      </c>
      <c r="EV740" s="1" t="s">
        <v>240</v>
      </c>
      <c r="EW740" s="1" t="s">
        <v>887</v>
      </c>
      <c r="EY740" s="1" t="s">
        <v>441</v>
      </c>
      <c r="EZ740" s="1" t="s">
        <v>287</v>
      </c>
      <c r="FA740" s="1" t="s">
        <v>1072</v>
      </c>
      <c r="FC740" s="1" t="s">
        <v>1386</v>
      </c>
      <c r="FD740" s="1" t="s">
        <v>246</v>
      </c>
      <c r="FE740" s="1" t="s">
        <v>975</v>
      </c>
      <c r="FF740" s="1" t="s">
        <v>248</v>
      </c>
      <c r="FH740" s="1" t="s">
        <v>550</v>
      </c>
      <c r="FI740" s="1" t="s">
        <v>473</v>
      </c>
      <c r="FL740" s="1" t="s">
        <v>358</v>
      </c>
      <c r="FM740" s="1" t="s">
        <v>252</v>
      </c>
      <c r="FN740" s="1" t="s">
        <v>213</v>
      </c>
      <c r="FO740" s="1" t="s">
        <v>204</v>
      </c>
      <c r="FQ740" s="1" t="s">
        <v>293</v>
      </c>
      <c r="FR740" s="1" t="s">
        <v>210</v>
      </c>
      <c r="FS740" s="1" t="s">
        <v>8569</v>
      </c>
      <c r="FT740" s="1" t="s">
        <v>295</v>
      </c>
      <c r="FU740" s="1" t="s">
        <v>204</v>
      </c>
      <c r="FW740" s="1" t="s">
        <v>3328</v>
      </c>
      <c r="FX740" s="1">
        <v>24330</v>
      </c>
      <c r="FY740" s="1" t="s">
        <v>3329</v>
      </c>
      <c r="FZ740" s="1" t="s">
        <v>8570</v>
      </c>
      <c r="GA740" s="1">
        <v>230544</v>
      </c>
      <c r="GB740" s="1" t="s">
        <v>8571</v>
      </c>
      <c r="GE740" s="1" t="s">
        <v>480</v>
      </c>
      <c r="GH740" s="1" t="s">
        <v>421</v>
      </c>
      <c r="GI740" s="1" t="s">
        <v>213</v>
      </c>
      <c r="GJ740" s="1" t="s">
        <v>260</v>
      </c>
      <c r="GK740" s="1" t="s">
        <v>210</v>
      </c>
      <c r="GL740" s="2">
        <v>42090</v>
      </c>
      <c r="GM740" s="1" t="s">
        <v>8572</v>
      </c>
    </row>
    <row r="741" spans="1:195">
      <c r="A741" s="1">
        <v>10700</v>
      </c>
      <c r="B741" s="1" t="s">
        <v>195</v>
      </c>
      <c r="C741" s="1" t="str">
        <f>"08812157"</f>
        <v>08812157</v>
      </c>
      <c r="D741" s="1" t="s">
        <v>196</v>
      </c>
      <c r="F741" s="1" t="str">
        <f>"8046"</f>
        <v>8046</v>
      </c>
      <c r="G741" s="2">
        <v>42012</v>
      </c>
      <c r="H741" s="1">
        <v>11000</v>
      </c>
      <c r="I741" s="1">
        <v>11000</v>
      </c>
      <c r="J741" s="1">
        <v>10700</v>
      </c>
      <c r="K741" s="2">
        <v>42012</v>
      </c>
      <c r="L741" s="1">
        <v>41</v>
      </c>
      <c r="M741" s="2">
        <v>42052</v>
      </c>
      <c r="N741" s="1">
        <v>41</v>
      </c>
      <c r="O741" s="2">
        <v>42052</v>
      </c>
      <c r="P741" s="1">
        <v>10646</v>
      </c>
      <c r="Q741" s="1" t="s">
        <v>302</v>
      </c>
      <c r="R741" s="2">
        <v>42086</v>
      </c>
      <c r="S741" s="1">
        <v>106602</v>
      </c>
      <c r="U741" s="1">
        <v>3258</v>
      </c>
      <c r="V741" s="1" t="s">
        <v>8573</v>
      </c>
      <c r="W741" s="1" t="s">
        <v>725</v>
      </c>
      <c r="X741" s="1" t="s">
        <v>2010</v>
      </c>
      <c r="Y741" s="1">
        <v>15</v>
      </c>
      <c r="Z741" s="1" t="s">
        <v>249</v>
      </c>
      <c r="AA741" s="1" t="s">
        <v>400</v>
      </c>
      <c r="AB741" s="1">
        <v>60617</v>
      </c>
      <c r="AE741" s="1" t="s">
        <v>8574</v>
      </c>
      <c r="AF741" s="1">
        <v>1967</v>
      </c>
      <c r="AG741" s="1" t="s">
        <v>213</v>
      </c>
      <c r="AH741" s="1" t="s">
        <v>403</v>
      </c>
      <c r="AI741" s="1" t="s">
        <v>310</v>
      </c>
      <c r="AJ741" s="1" t="s">
        <v>562</v>
      </c>
      <c r="AL741" s="1">
        <v>4</v>
      </c>
      <c r="AM741" s="1">
        <v>2</v>
      </c>
      <c r="AN741" s="1">
        <v>1</v>
      </c>
      <c r="AO741" s="1">
        <v>0</v>
      </c>
      <c r="AP741" s="1" t="s">
        <v>210</v>
      </c>
      <c r="AR741" s="1" t="s">
        <v>210</v>
      </c>
      <c r="AS741" s="1" t="s">
        <v>204</v>
      </c>
      <c r="AT741" s="1" t="s">
        <v>210</v>
      </c>
      <c r="AW741" s="1" t="s">
        <v>204</v>
      </c>
      <c r="AX741" s="1" t="s">
        <v>212</v>
      </c>
      <c r="AZ741" s="1">
        <v>37.25</v>
      </c>
      <c r="BA741" s="1">
        <v>2013</v>
      </c>
      <c r="BB741" s="1" t="s">
        <v>405</v>
      </c>
      <c r="BE741" s="1">
        <v>700</v>
      </c>
      <c r="BF741" s="1">
        <v>1</v>
      </c>
      <c r="BG741" s="1">
        <v>0</v>
      </c>
      <c r="BL741" s="1">
        <v>170</v>
      </c>
      <c r="BM741" s="1" t="s">
        <v>204</v>
      </c>
      <c r="BN741" s="1" t="s">
        <v>213</v>
      </c>
      <c r="BO741" s="1">
        <v>50</v>
      </c>
      <c r="BP741" s="1" t="s">
        <v>204</v>
      </c>
      <c r="BR741" s="1" t="str">
        <f>"26051080501001"</f>
        <v>26051080501001</v>
      </c>
      <c r="BT741" s="1" t="s">
        <v>8575</v>
      </c>
      <c r="BX741" s="1">
        <v>299</v>
      </c>
      <c r="BY741" s="1">
        <v>299</v>
      </c>
      <c r="BZ741" s="1">
        <v>299</v>
      </c>
      <c r="CB741" s="1" t="str">
        <f>"0"</f>
        <v>0</v>
      </c>
      <c r="CC741" s="1" t="str">
        <f>"3258"</f>
        <v>3258</v>
      </c>
      <c r="CD741" s="1">
        <v>0</v>
      </c>
      <c r="CE741" s="1">
        <v>9100</v>
      </c>
      <c r="CG741" s="1" t="s">
        <v>437</v>
      </c>
      <c r="CH741" s="1" t="s">
        <v>219</v>
      </c>
      <c r="CK741" s="1" t="s">
        <v>318</v>
      </c>
      <c r="CL741" s="1" t="s">
        <v>219</v>
      </c>
      <c r="CP741" s="1" t="s">
        <v>224</v>
      </c>
      <c r="CS741" s="1" t="s">
        <v>409</v>
      </c>
      <c r="CT741" s="1" t="s">
        <v>219</v>
      </c>
      <c r="CX741" s="1" t="s">
        <v>224</v>
      </c>
      <c r="DB741" s="1" t="s">
        <v>224</v>
      </c>
      <c r="DE741" s="1" t="s">
        <v>409</v>
      </c>
      <c r="DF741" s="1" t="s">
        <v>219</v>
      </c>
      <c r="DJ741" s="1" t="s">
        <v>224</v>
      </c>
      <c r="DS741" s="1" t="s">
        <v>230</v>
      </c>
      <c r="DW741" s="1" t="s">
        <v>230</v>
      </c>
      <c r="EA741" s="1" t="s">
        <v>230</v>
      </c>
      <c r="EE741" s="1" t="s">
        <v>230</v>
      </c>
      <c r="EI741" s="1" t="s">
        <v>230</v>
      </c>
      <c r="EL741" s="1" t="s">
        <v>605</v>
      </c>
      <c r="EM741" s="1" t="s">
        <v>232</v>
      </c>
      <c r="EN741" s="1" t="s">
        <v>210</v>
      </c>
      <c r="EO741" s="1" t="s">
        <v>234</v>
      </c>
      <c r="ER741" s="1" t="s">
        <v>210</v>
      </c>
      <c r="EW741" s="1" t="s">
        <v>8576</v>
      </c>
      <c r="EZ741" s="1" t="s">
        <v>287</v>
      </c>
      <c r="FB741" s="1" t="s">
        <v>734</v>
      </c>
      <c r="FD741" s="1" t="s">
        <v>385</v>
      </c>
      <c r="FE741" s="1" t="s">
        <v>247</v>
      </c>
      <c r="FF741" s="1" t="s">
        <v>248</v>
      </c>
      <c r="FH741" s="1" t="s">
        <v>716</v>
      </c>
      <c r="FL741" s="1" t="s">
        <v>414</v>
      </c>
      <c r="FM741" s="1" t="s">
        <v>252</v>
      </c>
      <c r="FN741" s="1" t="s">
        <v>213</v>
      </c>
      <c r="FO741" s="1" t="s">
        <v>213</v>
      </c>
      <c r="FQ741" s="1" t="s">
        <v>8577</v>
      </c>
      <c r="FR741" s="1" t="s">
        <v>210</v>
      </c>
      <c r="FS741" s="1" t="s">
        <v>8578</v>
      </c>
      <c r="FT741" s="1" t="s">
        <v>584</v>
      </c>
      <c r="FU741" s="1" t="s">
        <v>204</v>
      </c>
      <c r="FW741" s="1" t="s">
        <v>8579</v>
      </c>
      <c r="FX741" s="1">
        <v>16734</v>
      </c>
      <c r="FY741" s="1" t="s">
        <v>8580</v>
      </c>
      <c r="FZ741" s="1" t="s">
        <v>8581</v>
      </c>
      <c r="GA741" s="1">
        <v>111741</v>
      </c>
      <c r="GB741" s="1" t="s">
        <v>8582</v>
      </c>
      <c r="GE741" s="1" t="s">
        <v>210</v>
      </c>
      <c r="GH741" s="1" t="s">
        <v>800</v>
      </c>
      <c r="GI741" s="1" t="s">
        <v>213</v>
      </c>
      <c r="GJ741" s="1" t="s">
        <v>260</v>
      </c>
      <c r="GK741" s="1" t="s">
        <v>210</v>
      </c>
      <c r="GL741" s="2">
        <v>42086</v>
      </c>
      <c r="GM741" s="1" t="s">
        <v>8583</v>
      </c>
    </row>
    <row r="742" spans="1:195">
      <c r="A742" s="1">
        <v>118000</v>
      </c>
      <c r="B742" s="1" t="s">
        <v>195</v>
      </c>
      <c r="C742" s="1" t="str">
        <f>"08811845"</f>
        <v>08811845</v>
      </c>
      <c r="D742" s="1" t="s">
        <v>196</v>
      </c>
      <c r="F742" s="1" t="str">
        <f>"73"</f>
        <v>73</v>
      </c>
      <c r="G742" s="2">
        <v>42011</v>
      </c>
      <c r="H742" s="1">
        <v>127000</v>
      </c>
      <c r="I742" s="1">
        <v>127000</v>
      </c>
      <c r="J742" s="1">
        <v>118000</v>
      </c>
      <c r="K742" s="2">
        <v>42011</v>
      </c>
      <c r="L742" s="1">
        <v>164</v>
      </c>
      <c r="M742" s="2">
        <v>42054</v>
      </c>
      <c r="N742" s="1">
        <v>44</v>
      </c>
      <c r="O742" s="2">
        <v>42054</v>
      </c>
      <c r="P742" s="1">
        <v>2644</v>
      </c>
      <c r="Q742" s="1" t="s">
        <v>197</v>
      </c>
      <c r="R742" s="2">
        <v>42095</v>
      </c>
      <c r="S742" s="1">
        <v>18736</v>
      </c>
      <c r="U742" s="1">
        <v>770</v>
      </c>
      <c r="V742" s="1" t="s">
        <v>8584</v>
      </c>
      <c r="W742" s="1" t="s">
        <v>504</v>
      </c>
      <c r="X742" s="1">
        <v>770</v>
      </c>
      <c r="Y742" s="1">
        <v>2</v>
      </c>
      <c r="Z742" s="1" t="s">
        <v>370</v>
      </c>
      <c r="AA742" s="1" t="s">
        <v>1259</v>
      </c>
      <c r="AB742" s="1">
        <v>60073</v>
      </c>
      <c r="AD742" s="1" t="s">
        <v>2732</v>
      </c>
      <c r="AE742" s="1" t="s">
        <v>8585</v>
      </c>
      <c r="AF742" s="1">
        <v>2002</v>
      </c>
      <c r="AG742" s="1" t="s">
        <v>204</v>
      </c>
      <c r="AH742" s="1" t="s">
        <v>1262</v>
      </c>
      <c r="AI742" s="1" t="s">
        <v>509</v>
      </c>
      <c r="AJ742" s="1" t="s">
        <v>1263</v>
      </c>
      <c r="AL742" s="1">
        <v>6</v>
      </c>
      <c r="AM742" s="1">
        <v>2</v>
      </c>
      <c r="AN742" s="1">
        <v>2</v>
      </c>
      <c r="AO742" s="1">
        <v>0</v>
      </c>
      <c r="AP742" s="1" t="s">
        <v>209</v>
      </c>
      <c r="AR742" s="1" t="s">
        <v>210</v>
      </c>
      <c r="AS742" s="1" t="s">
        <v>204</v>
      </c>
      <c r="AT742" s="1" t="s">
        <v>211</v>
      </c>
      <c r="AU742" s="1">
        <v>2</v>
      </c>
      <c r="AW742" s="1" t="s">
        <v>204</v>
      </c>
      <c r="AX742" s="1" t="s">
        <v>8586</v>
      </c>
      <c r="AZ742" s="1">
        <v>4157.4399999999996</v>
      </c>
      <c r="BA742" s="1">
        <v>2013</v>
      </c>
      <c r="BB742" s="1" t="s">
        <v>599</v>
      </c>
      <c r="BE742" s="1">
        <v>1048</v>
      </c>
      <c r="BF742" s="1">
        <v>1</v>
      </c>
      <c r="BG742" s="1">
        <v>0</v>
      </c>
      <c r="BL742" s="1">
        <v>61</v>
      </c>
      <c r="BM742" s="1" t="s">
        <v>204</v>
      </c>
      <c r="BN742" s="1" t="s">
        <v>213</v>
      </c>
      <c r="BO742" s="1">
        <v>999</v>
      </c>
      <c r="BP742" s="1" t="s">
        <v>204</v>
      </c>
      <c r="BR742" s="1" t="str">
        <f>"06324080460000"</f>
        <v>06324080460000</v>
      </c>
      <c r="BT742" s="1" t="s">
        <v>8587</v>
      </c>
      <c r="BU742" s="1" t="s">
        <v>2736</v>
      </c>
      <c r="BV742" s="1" t="s">
        <v>1842</v>
      </c>
      <c r="BW742" s="1" t="s">
        <v>2737</v>
      </c>
      <c r="BX742" s="1">
        <v>46</v>
      </c>
      <c r="BY742" s="1">
        <v>46</v>
      </c>
      <c r="BZ742" s="1">
        <v>127</v>
      </c>
      <c r="CB742" s="1" t="str">
        <f>"32"</f>
        <v>32</v>
      </c>
      <c r="CC742" s="1" t="str">
        <f>"0"</f>
        <v>0</v>
      </c>
      <c r="CD742" s="1">
        <v>23</v>
      </c>
      <c r="CE742" s="1">
        <v>0</v>
      </c>
      <c r="CG742" s="1" t="s">
        <v>3035</v>
      </c>
      <c r="CH742" s="1" t="s">
        <v>219</v>
      </c>
      <c r="CI742" s="1" t="s">
        <v>220</v>
      </c>
      <c r="CK742" s="1" t="s">
        <v>228</v>
      </c>
      <c r="CL742" s="1" t="s">
        <v>219</v>
      </c>
      <c r="CM742" s="1" t="s">
        <v>220</v>
      </c>
      <c r="CO742" s="1" t="s">
        <v>629</v>
      </c>
      <c r="CP742" s="1" t="s">
        <v>219</v>
      </c>
      <c r="CS742" s="1" t="s">
        <v>346</v>
      </c>
      <c r="CT742" s="1" t="s">
        <v>219</v>
      </c>
      <c r="CU742" s="1" t="s">
        <v>220</v>
      </c>
      <c r="CX742" s="1" t="s">
        <v>224</v>
      </c>
      <c r="DB742" s="1" t="s">
        <v>224</v>
      </c>
      <c r="DE742" s="1" t="s">
        <v>602</v>
      </c>
      <c r="DF742" s="1" t="s">
        <v>219</v>
      </c>
      <c r="DG742" s="1" t="s">
        <v>226</v>
      </c>
      <c r="DJ742" s="1" t="s">
        <v>224</v>
      </c>
      <c r="DM742" s="1" t="s">
        <v>4083</v>
      </c>
      <c r="DR742" s="1" t="s">
        <v>836</v>
      </c>
      <c r="DS742" s="1" t="s">
        <v>219</v>
      </c>
      <c r="DW742" s="1" t="s">
        <v>230</v>
      </c>
      <c r="EA742" s="1" t="s">
        <v>230</v>
      </c>
      <c r="EE742" s="1" t="s">
        <v>230</v>
      </c>
      <c r="EI742" s="1" t="s">
        <v>230</v>
      </c>
      <c r="EL742" s="1" t="s">
        <v>466</v>
      </c>
      <c r="EM742" s="1" t="s">
        <v>319</v>
      </c>
      <c r="EN742" s="1" t="s">
        <v>282</v>
      </c>
      <c r="EO742" s="1" t="s">
        <v>234</v>
      </c>
      <c r="EP742" s="1" t="s">
        <v>1268</v>
      </c>
      <c r="EQ742" s="1" t="s">
        <v>236</v>
      </c>
      <c r="ER742" s="1" t="s">
        <v>383</v>
      </c>
      <c r="ES742" s="1" t="s">
        <v>3932</v>
      </c>
      <c r="ET742" s="1" t="s">
        <v>323</v>
      </c>
      <c r="EU742" s="1" t="s">
        <v>1491</v>
      </c>
      <c r="EV742" s="1" t="s">
        <v>240</v>
      </c>
      <c r="EW742" s="1" t="s">
        <v>347</v>
      </c>
      <c r="EY742" s="1" t="s">
        <v>242</v>
      </c>
      <c r="EZ742" s="1" t="s">
        <v>4083</v>
      </c>
      <c r="FA742" s="1" t="s">
        <v>1270</v>
      </c>
      <c r="FC742" s="1" t="s">
        <v>1386</v>
      </c>
      <c r="FD742" s="1" t="s">
        <v>246</v>
      </c>
      <c r="FE742" s="1" t="s">
        <v>472</v>
      </c>
      <c r="FF742" s="1" t="s">
        <v>248</v>
      </c>
      <c r="FH742" s="1" t="s">
        <v>442</v>
      </c>
      <c r="FI742" s="1" t="s">
        <v>5459</v>
      </c>
      <c r="FJ742" s="1" t="s">
        <v>518</v>
      </c>
      <c r="FL742" s="1" t="s">
        <v>358</v>
      </c>
      <c r="FM742" s="1" t="s">
        <v>252</v>
      </c>
      <c r="FN742" s="1" t="s">
        <v>213</v>
      </c>
      <c r="FO742" s="1" t="s">
        <v>213</v>
      </c>
      <c r="FQ742" s="1" t="s">
        <v>359</v>
      </c>
      <c r="FR742" s="1" t="s">
        <v>210</v>
      </c>
      <c r="FS742" s="1" t="s">
        <v>6018</v>
      </c>
      <c r="FT742" s="1" t="s">
        <v>8588</v>
      </c>
      <c r="FU742" s="1" t="s">
        <v>204</v>
      </c>
      <c r="FW742" s="1" t="s">
        <v>1637</v>
      </c>
      <c r="FX742" s="1">
        <v>2626</v>
      </c>
      <c r="FY742" s="1" t="s">
        <v>1638</v>
      </c>
      <c r="FZ742" s="1" t="s">
        <v>7124</v>
      </c>
      <c r="GA742" s="1">
        <v>89063</v>
      </c>
      <c r="GB742" s="1" t="s">
        <v>7125</v>
      </c>
      <c r="GE742" s="1" t="s">
        <v>1256</v>
      </c>
      <c r="GH742" s="1" t="s">
        <v>421</v>
      </c>
      <c r="GI742" s="1" t="s">
        <v>213</v>
      </c>
      <c r="GJ742" s="1" t="s">
        <v>260</v>
      </c>
      <c r="GK742" s="1" t="s">
        <v>261</v>
      </c>
      <c r="GL742" s="2">
        <v>42097</v>
      </c>
      <c r="GM742" s="1" t="s">
        <v>8589</v>
      </c>
    </row>
    <row r="743" spans="1:195">
      <c r="A743" s="1">
        <v>110000</v>
      </c>
      <c r="B743" s="1" t="s">
        <v>195</v>
      </c>
      <c r="C743" s="1" t="str">
        <f>"08815539"</f>
        <v>08815539</v>
      </c>
      <c r="D743" s="1" t="s">
        <v>196</v>
      </c>
      <c r="F743" s="1" t="str">
        <f>"513"</f>
        <v>513</v>
      </c>
      <c r="G743" s="2">
        <v>42017</v>
      </c>
      <c r="H743" s="1">
        <v>112500</v>
      </c>
      <c r="I743" s="1">
        <v>112500</v>
      </c>
      <c r="J743" s="1">
        <v>110000</v>
      </c>
      <c r="K743" s="2">
        <v>42017</v>
      </c>
      <c r="L743" s="1">
        <v>151</v>
      </c>
      <c r="M743" s="2">
        <v>42037</v>
      </c>
      <c r="N743" s="1">
        <v>21</v>
      </c>
      <c r="O743" s="2">
        <v>42037</v>
      </c>
      <c r="P743" s="1">
        <v>22592</v>
      </c>
      <c r="Q743" s="1" t="s">
        <v>423</v>
      </c>
      <c r="R743" s="2">
        <v>42081</v>
      </c>
      <c r="S743" s="1">
        <v>228693</v>
      </c>
      <c r="U743" s="1">
        <v>3727</v>
      </c>
      <c r="V743" s="1" t="s">
        <v>8590</v>
      </c>
      <c r="W743" s="1" t="s">
        <v>425</v>
      </c>
      <c r="Y743" s="1">
        <v>6</v>
      </c>
      <c r="Z743" s="1" t="s">
        <v>200</v>
      </c>
      <c r="AA743" s="1" t="s">
        <v>644</v>
      </c>
      <c r="AB743" s="1">
        <v>60513</v>
      </c>
      <c r="AE743" s="1" t="s">
        <v>8591</v>
      </c>
      <c r="AF743" s="1">
        <v>1956</v>
      </c>
      <c r="AG743" s="1" t="s">
        <v>213</v>
      </c>
      <c r="AH743" s="1" t="s">
        <v>646</v>
      </c>
      <c r="AI743" s="1" t="s">
        <v>310</v>
      </c>
      <c r="AJ743" s="1" t="s">
        <v>429</v>
      </c>
      <c r="AL743" s="1">
        <v>5</v>
      </c>
      <c r="AM743" s="1">
        <v>2</v>
      </c>
      <c r="AN743" s="1">
        <v>1</v>
      </c>
      <c r="AO743" s="1">
        <v>0</v>
      </c>
      <c r="AP743" s="1" t="s">
        <v>210</v>
      </c>
      <c r="AR743" s="1" t="s">
        <v>210</v>
      </c>
      <c r="AS743" s="1" t="s">
        <v>204</v>
      </c>
      <c r="AT743" s="1" t="s">
        <v>271</v>
      </c>
      <c r="AV743" s="1">
        <v>2</v>
      </c>
      <c r="AW743" s="1" t="s">
        <v>204</v>
      </c>
      <c r="AX743" s="1" t="s">
        <v>8592</v>
      </c>
      <c r="AZ743" s="1">
        <v>4978.49</v>
      </c>
      <c r="BA743" s="1">
        <v>2013</v>
      </c>
      <c r="BB743" s="1" t="s">
        <v>210</v>
      </c>
      <c r="BE743" s="1">
        <v>0</v>
      </c>
      <c r="BF743" s="1">
        <v>1</v>
      </c>
      <c r="BG743" s="1">
        <v>0</v>
      </c>
      <c r="BL743" s="1">
        <v>0</v>
      </c>
      <c r="BM743" s="1" t="s">
        <v>204</v>
      </c>
      <c r="BN743" s="1" t="s">
        <v>213</v>
      </c>
      <c r="BO743" s="1">
        <v>999</v>
      </c>
      <c r="BP743" s="1" t="s">
        <v>204</v>
      </c>
      <c r="BR743" s="1" t="str">
        <f>"15344150340000"</f>
        <v>15344150340000</v>
      </c>
      <c r="BT743" s="1" t="s">
        <v>8593</v>
      </c>
      <c r="BU743" s="1" t="s">
        <v>8594</v>
      </c>
      <c r="BV743" s="1" t="s">
        <v>8595</v>
      </c>
      <c r="BW743" s="1" t="s">
        <v>3912</v>
      </c>
      <c r="BX743" s="1">
        <v>95</v>
      </c>
      <c r="BY743" s="1">
        <v>95</v>
      </c>
      <c r="BZ743" s="1">
        <v>208</v>
      </c>
      <c r="CB743" s="1" t="str">
        <f t="shared" ref="CB743:CC743" si="577">""</f>
        <v/>
      </c>
      <c r="CC743" s="1" t="str">
        <f t="shared" si="577"/>
        <v/>
      </c>
      <c r="CG743" s="1" t="s">
        <v>669</v>
      </c>
      <c r="CH743" s="1" t="s">
        <v>219</v>
      </c>
      <c r="CI743" s="1" t="s">
        <v>220</v>
      </c>
      <c r="CK743" s="1" t="s">
        <v>2138</v>
      </c>
      <c r="CL743" s="1" t="s">
        <v>277</v>
      </c>
      <c r="CM743" s="1" t="s">
        <v>438</v>
      </c>
      <c r="CO743" s="1" t="s">
        <v>3034</v>
      </c>
      <c r="CP743" s="1" t="s">
        <v>219</v>
      </c>
      <c r="CQ743" s="1" t="s">
        <v>229</v>
      </c>
      <c r="CS743" s="1" t="s">
        <v>409</v>
      </c>
      <c r="CT743" s="1" t="s">
        <v>277</v>
      </c>
      <c r="CU743" s="1" t="s">
        <v>220</v>
      </c>
      <c r="CX743" s="1" t="s">
        <v>224</v>
      </c>
      <c r="DB743" s="1" t="s">
        <v>224</v>
      </c>
      <c r="DE743" s="1" t="s">
        <v>2104</v>
      </c>
      <c r="DF743" s="1" t="s">
        <v>219</v>
      </c>
      <c r="DG743" s="1" t="s">
        <v>229</v>
      </c>
      <c r="DJ743" s="1" t="s">
        <v>224</v>
      </c>
      <c r="DS743" s="1" t="s">
        <v>230</v>
      </c>
      <c r="DW743" s="1" t="s">
        <v>230</v>
      </c>
      <c r="EA743" s="1" t="s">
        <v>230</v>
      </c>
      <c r="EE743" s="1" t="s">
        <v>230</v>
      </c>
      <c r="EI743" s="1" t="s">
        <v>230</v>
      </c>
      <c r="EL743" s="1" t="s">
        <v>649</v>
      </c>
      <c r="EM743" s="1" t="s">
        <v>232</v>
      </c>
      <c r="EN743" s="1" t="s">
        <v>282</v>
      </c>
      <c r="EO743" s="1" t="s">
        <v>234</v>
      </c>
      <c r="EQ743" s="1" t="s">
        <v>468</v>
      </c>
      <c r="ER743" s="1" t="s">
        <v>383</v>
      </c>
      <c r="EU743" s="1" t="s">
        <v>8596</v>
      </c>
      <c r="EW743" s="1" t="s">
        <v>210</v>
      </c>
      <c r="EY743" s="1" t="s">
        <v>242</v>
      </c>
      <c r="EZ743" s="1" t="s">
        <v>287</v>
      </c>
      <c r="FA743" s="1" t="s">
        <v>471</v>
      </c>
      <c r="FC743" s="1" t="s">
        <v>1405</v>
      </c>
      <c r="FD743" s="1" t="s">
        <v>246</v>
      </c>
      <c r="FE743" s="1" t="s">
        <v>386</v>
      </c>
      <c r="FF743" s="1" t="s">
        <v>248</v>
      </c>
      <c r="FH743" s="1" t="s">
        <v>550</v>
      </c>
      <c r="FL743" s="1" t="s">
        <v>414</v>
      </c>
      <c r="FM743" s="1" t="s">
        <v>252</v>
      </c>
      <c r="FN743" s="1" t="s">
        <v>213</v>
      </c>
      <c r="FO743" s="1" t="s">
        <v>213</v>
      </c>
      <c r="FQ743" s="1" t="s">
        <v>1599</v>
      </c>
      <c r="FR743" s="1" t="s">
        <v>210</v>
      </c>
      <c r="FS743" s="1" t="s">
        <v>8597</v>
      </c>
      <c r="FT743" s="1" t="s">
        <v>8598</v>
      </c>
      <c r="FU743" s="1" t="s">
        <v>213</v>
      </c>
      <c r="FW743" s="1" t="s">
        <v>8599</v>
      </c>
      <c r="FX743" s="1">
        <v>22375</v>
      </c>
      <c r="FY743" s="1" t="s">
        <v>8600</v>
      </c>
      <c r="FZ743" s="1" t="s">
        <v>8601</v>
      </c>
      <c r="GA743" s="1">
        <v>222265</v>
      </c>
      <c r="GB743" s="1" t="s">
        <v>8602</v>
      </c>
      <c r="GE743" s="1" t="s">
        <v>1333</v>
      </c>
      <c r="GI743" s="1" t="s">
        <v>204</v>
      </c>
      <c r="GJ743" s="1" t="s">
        <v>260</v>
      </c>
      <c r="GK743" s="1" t="s">
        <v>210</v>
      </c>
      <c r="GL743" s="2">
        <v>42081</v>
      </c>
      <c r="GM743" s="1" t="s">
        <v>8603</v>
      </c>
    </row>
    <row r="744" spans="1:195">
      <c r="A744" s="1">
        <v>91214</v>
      </c>
      <c r="B744" s="1" t="s">
        <v>195</v>
      </c>
      <c r="C744" s="1" t="str">
        <f>"08815070"</f>
        <v>08815070</v>
      </c>
      <c r="D744" s="1" t="s">
        <v>196</v>
      </c>
      <c r="F744" s="1" t="str">
        <f>"538"</f>
        <v>538</v>
      </c>
      <c r="G744" s="2">
        <v>42017</v>
      </c>
      <c r="H744" s="1">
        <v>118800</v>
      </c>
      <c r="I744" s="1">
        <v>101700</v>
      </c>
      <c r="J744" s="1">
        <v>91214</v>
      </c>
      <c r="K744" s="2">
        <v>42017</v>
      </c>
      <c r="L744" s="1">
        <v>80</v>
      </c>
      <c r="M744" s="2">
        <v>42096</v>
      </c>
      <c r="N744" s="1">
        <v>80</v>
      </c>
      <c r="O744" s="2">
        <v>42096</v>
      </c>
      <c r="P744" s="1">
        <v>25879</v>
      </c>
      <c r="Q744" s="1" t="s">
        <v>302</v>
      </c>
      <c r="R744" s="2">
        <v>42136</v>
      </c>
      <c r="S744" s="1">
        <v>237676</v>
      </c>
      <c r="U744" s="1">
        <v>1924</v>
      </c>
      <c r="V744" s="1" t="s">
        <v>8604</v>
      </c>
      <c r="W744" s="1" t="s">
        <v>779</v>
      </c>
      <c r="X744" s="1">
        <v>1924</v>
      </c>
      <c r="Y744" s="1">
        <v>6</v>
      </c>
      <c r="Z744" s="1" t="s">
        <v>249</v>
      </c>
      <c r="AA744" s="1" t="s">
        <v>450</v>
      </c>
      <c r="AB744" s="1">
        <v>60538</v>
      </c>
      <c r="AD744" s="1" t="s">
        <v>8605</v>
      </c>
      <c r="AE744" s="1" t="s">
        <v>8606</v>
      </c>
      <c r="AF744" s="1">
        <v>1999</v>
      </c>
      <c r="AG744" s="1" t="s">
        <v>204</v>
      </c>
      <c r="AH744" s="1" t="s">
        <v>452</v>
      </c>
      <c r="AI744" s="1" t="s">
        <v>453</v>
      </c>
      <c r="AJ744" s="1" t="s">
        <v>1397</v>
      </c>
      <c r="AL744" s="1">
        <v>5</v>
      </c>
      <c r="AM744" s="1">
        <v>2</v>
      </c>
      <c r="AN744" s="1">
        <v>1</v>
      </c>
      <c r="AO744" s="1">
        <v>1</v>
      </c>
      <c r="AP744" s="1" t="s">
        <v>210</v>
      </c>
      <c r="AQ744" s="1">
        <v>1</v>
      </c>
      <c r="AR744" s="1" t="s">
        <v>210</v>
      </c>
      <c r="AT744" s="1" t="s">
        <v>211</v>
      </c>
      <c r="AU744" s="1">
        <v>2</v>
      </c>
      <c r="AW744" s="1" t="s">
        <v>204</v>
      </c>
      <c r="AX744" s="1" t="s">
        <v>212</v>
      </c>
      <c r="AZ744" s="1">
        <v>4106</v>
      </c>
      <c r="BA744" s="1">
        <v>2012</v>
      </c>
      <c r="BE744" s="1">
        <v>1434</v>
      </c>
      <c r="BF744" s="1">
        <v>1</v>
      </c>
      <c r="BG744" s="1">
        <v>0</v>
      </c>
      <c r="BL744" s="1">
        <v>89</v>
      </c>
      <c r="BM744" s="1" t="s">
        <v>413</v>
      </c>
      <c r="BN744" s="1" t="s">
        <v>204</v>
      </c>
      <c r="BP744" s="1" t="s">
        <v>204</v>
      </c>
      <c r="BR744" s="1" t="str">
        <f>"0304227063"</f>
        <v>0304227063</v>
      </c>
      <c r="BT744" s="1" t="s">
        <v>3770</v>
      </c>
      <c r="BX744" s="1">
        <v>308</v>
      </c>
      <c r="BY744" s="1">
        <v>308</v>
      </c>
      <c r="BZ744" s="1">
        <v>308</v>
      </c>
      <c r="CB744" s="1" t="str">
        <f t="shared" ref="CB744:CC744" si="578">"0"</f>
        <v>0</v>
      </c>
      <c r="CC744" s="1" t="str">
        <f t="shared" si="578"/>
        <v>0</v>
      </c>
      <c r="CD744" s="1">
        <v>36</v>
      </c>
      <c r="CE744" s="1">
        <v>10</v>
      </c>
      <c r="CG744" s="1" t="s">
        <v>2747</v>
      </c>
      <c r="CH744" s="1" t="s">
        <v>219</v>
      </c>
      <c r="CK744" s="1" t="s">
        <v>3083</v>
      </c>
      <c r="CL744" s="1" t="s">
        <v>277</v>
      </c>
      <c r="CO744" s="1" t="s">
        <v>2138</v>
      </c>
      <c r="CP744" s="1" t="s">
        <v>219</v>
      </c>
      <c r="CS744" s="1" t="s">
        <v>408</v>
      </c>
      <c r="CT744" s="1" t="s">
        <v>219</v>
      </c>
      <c r="CX744" s="1" t="s">
        <v>224</v>
      </c>
      <c r="DB744" s="1" t="s">
        <v>224</v>
      </c>
      <c r="DE744" s="1" t="s">
        <v>951</v>
      </c>
      <c r="DF744" s="1" t="s">
        <v>219</v>
      </c>
      <c r="DJ744" s="1" t="s">
        <v>224</v>
      </c>
      <c r="DS744" s="1" t="s">
        <v>230</v>
      </c>
      <c r="DW744" s="1" t="s">
        <v>230</v>
      </c>
      <c r="EA744" s="1" t="s">
        <v>230</v>
      </c>
      <c r="EE744" s="1" t="s">
        <v>230</v>
      </c>
      <c r="EI744" s="1" t="s">
        <v>230</v>
      </c>
      <c r="EL744" s="1" t="s">
        <v>670</v>
      </c>
      <c r="EM744" s="1" t="s">
        <v>319</v>
      </c>
      <c r="EN744" s="1" t="s">
        <v>282</v>
      </c>
      <c r="EO744" s="1" t="s">
        <v>234</v>
      </c>
      <c r="ER744" s="1" t="s">
        <v>210</v>
      </c>
      <c r="EW744" s="1" t="s">
        <v>347</v>
      </c>
      <c r="EZ744" s="1" t="s">
        <v>287</v>
      </c>
      <c r="FD744" s="1" t="s">
        <v>1112</v>
      </c>
      <c r="FE744" s="1" t="s">
        <v>2074</v>
      </c>
      <c r="FF744" s="1" t="s">
        <v>248</v>
      </c>
      <c r="FH744" s="1" t="s">
        <v>249</v>
      </c>
      <c r="FJ744" s="1" t="s">
        <v>1472</v>
      </c>
      <c r="FL744" s="1" t="s">
        <v>358</v>
      </c>
      <c r="FM744" s="1" t="s">
        <v>252</v>
      </c>
      <c r="FN744" s="1" t="s">
        <v>213</v>
      </c>
      <c r="FO744" s="1" t="s">
        <v>213</v>
      </c>
      <c r="FQ744" s="1" t="s">
        <v>582</v>
      </c>
      <c r="FR744" s="1" t="s">
        <v>210</v>
      </c>
      <c r="FS744" s="1" t="s">
        <v>3772</v>
      </c>
      <c r="FT744" s="1" t="s">
        <v>8607</v>
      </c>
      <c r="FU744" s="1" t="s">
        <v>204</v>
      </c>
      <c r="FW744" s="1" t="s">
        <v>3774</v>
      </c>
      <c r="FX744" s="1">
        <v>1984</v>
      </c>
      <c r="FY744" s="1" t="s">
        <v>3775</v>
      </c>
      <c r="FZ744" s="1" t="s">
        <v>3776</v>
      </c>
      <c r="GA744" s="1">
        <v>922950</v>
      </c>
      <c r="GE744" s="1" t="s">
        <v>210</v>
      </c>
      <c r="GI744" s="1" t="s">
        <v>204</v>
      </c>
      <c r="GJ744" s="1" t="s">
        <v>260</v>
      </c>
      <c r="GK744" s="1" t="s">
        <v>210</v>
      </c>
      <c r="GL744" s="2">
        <v>42138</v>
      </c>
      <c r="GM744" s="1" t="s">
        <v>6038</v>
      </c>
    </row>
    <row r="745" spans="1:195">
      <c r="A745" s="1">
        <v>76500</v>
      </c>
      <c r="B745" s="1" t="s">
        <v>195</v>
      </c>
      <c r="C745" s="1" t="str">
        <f>"08817123"</f>
        <v>08817123</v>
      </c>
      <c r="D745" s="1" t="s">
        <v>196</v>
      </c>
      <c r="F745" s="1" t="str">
        <f>"517"</f>
        <v>517</v>
      </c>
      <c r="G745" s="2">
        <v>42019</v>
      </c>
      <c r="H745" s="1">
        <v>79000</v>
      </c>
      <c r="I745" s="1">
        <v>79000</v>
      </c>
      <c r="J745" s="1">
        <v>76500</v>
      </c>
      <c r="K745" s="2">
        <v>42019</v>
      </c>
      <c r="L745" s="1">
        <v>33</v>
      </c>
      <c r="M745" s="2">
        <v>42051</v>
      </c>
      <c r="N745" s="1">
        <v>33</v>
      </c>
      <c r="O745" s="2">
        <v>42051</v>
      </c>
      <c r="P745" s="1">
        <v>60021</v>
      </c>
      <c r="Q745" s="1" t="s">
        <v>197</v>
      </c>
      <c r="R745" s="2">
        <v>42102</v>
      </c>
      <c r="S745" s="1">
        <v>243187</v>
      </c>
      <c r="U745" s="1">
        <v>8319</v>
      </c>
      <c r="V745" s="1" t="s">
        <v>8608</v>
      </c>
      <c r="W745" s="1" t="s">
        <v>264</v>
      </c>
      <c r="X745" s="1">
        <v>402</v>
      </c>
      <c r="Y745" s="1">
        <v>4</v>
      </c>
      <c r="Z745" s="1" t="s">
        <v>249</v>
      </c>
      <c r="AA745" s="1" t="s">
        <v>2850</v>
      </c>
      <c r="AB745" s="1">
        <v>60517</v>
      </c>
      <c r="AC745" s="1">
        <v>4566</v>
      </c>
      <c r="AD745" s="1" t="s">
        <v>8609</v>
      </c>
      <c r="AE745" s="1" t="s">
        <v>8610</v>
      </c>
      <c r="AF745" s="1">
        <v>1984</v>
      </c>
      <c r="AG745" s="1" t="s">
        <v>204</v>
      </c>
      <c r="AH745" s="1" t="s">
        <v>2853</v>
      </c>
      <c r="AI745" s="1" t="s">
        <v>206</v>
      </c>
      <c r="AJ745" s="1" t="s">
        <v>925</v>
      </c>
      <c r="AL745" s="1">
        <v>5</v>
      </c>
      <c r="AM745" s="1">
        <v>2</v>
      </c>
      <c r="AN745" s="1">
        <v>1</v>
      </c>
      <c r="AO745" s="1">
        <v>0</v>
      </c>
      <c r="AP745" s="1" t="s">
        <v>667</v>
      </c>
      <c r="AR745" s="1" t="s">
        <v>210</v>
      </c>
      <c r="AS745" s="1" t="s">
        <v>204</v>
      </c>
      <c r="AT745" s="1" t="s">
        <v>211</v>
      </c>
      <c r="AU745" s="1">
        <v>1</v>
      </c>
      <c r="AW745" s="1" t="s">
        <v>204</v>
      </c>
      <c r="AX745" s="1" t="s">
        <v>8611</v>
      </c>
      <c r="AZ745" s="1">
        <v>1940</v>
      </c>
      <c r="BA745" s="1">
        <v>2013</v>
      </c>
      <c r="BB745" s="1" t="s">
        <v>599</v>
      </c>
      <c r="BE745" s="1">
        <v>0</v>
      </c>
      <c r="BF745" s="1">
        <v>1</v>
      </c>
      <c r="BG745" s="1">
        <v>0</v>
      </c>
      <c r="BL745" s="1">
        <v>295</v>
      </c>
      <c r="BM745" s="1" t="s">
        <v>204</v>
      </c>
      <c r="BN745" s="1" t="s">
        <v>213</v>
      </c>
      <c r="BO745" s="1">
        <v>40</v>
      </c>
      <c r="BP745" s="1" t="s">
        <v>204</v>
      </c>
      <c r="BR745" s="1" t="str">
        <f>"0836316074"</f>
        <v>0836316074</v>
      </c>
      <c r="BT745" s="1" t="s">
        <v>8612</v>
      </c>
      <c r="BX745" s="1">
        <v>68</v>
      </c>
      <c r="BY745" s="1">
        <v>68</v>
      </c>
      <c r="BZ745" s="1">
        <v>99</v>
      </c>
      <c r="CB745" s="1" t="str">
        <f t="shared" ref="CB745:CC745" si="579">""</f>
        <v/>
      </c>
      <c r="CC745" s="1" t="str">
        <f t="shared" si="579"/>
        <v/>
      </c>
      <c r="CG745" s="1" t="s">
        <v>1357</v>
      </c>
      <c r="CH745" s="1" t="s">
        <v>219</v>
      </c>
      <c r="CI745" s="1" t="s">
        <v>220</v>
      </c>
      <c r="CJ745" s="1" t="s">
        <v>343</v>
      </c>
      <c r="CK745" s="1" t="s">
        <v>317</v>
      </c>
      <c r="CL745" s="1" t="s">
        <v>219</v>
      </c>
      <c r="CM745" s="1" t="s">
        <v>220</v>
      </c>
      <c r="CN745" s="1" t="s">
        <v>343</v>
      </c>
      <c r="CO745" s="1" t="s">
        <v>629</v>
      </c>
      <c r="CP745" s="1" t="s">
        <v>219</v>
      </c>
      <c r="CQ745" s="1" t="s">
        <v>220</v>
      </c>
      <c r="CS745" s="1" t="s">
        <v>346</v>
      </c>
      <c r="CT745" s="1" t="s">
        <v>219</v>
      </c>
      <c r="CU745" s="1" t="s">
        <v>220</v>
      </c>
      <c r="CV745" s="1" t="s">
        <v>343</v>
      </c>
      <c r="CX745" s="1" t="s">
        <v>224</v>
      </c>
      <c r="DB745" s="1" t="s">
        <v>224</v>
      </c>
      <c r="DE745" s="1" t="s">
        <v>1297</v>
      </c>
      <c r="DF745" s="1" t="s">
        <v>219</v>
      </c>
      <c r="DG745" s="1" t="s">
        <v>342</v>
      </c>
      <c r="DH745" s="1" t="s">
        <v>343</v>
      </c>
      <c r="DJ745" s="1" t="s">
        <v>224</v>
      </c>
      <c r="DS745" s="1" t="s">
        <v>230</v>
      </c>
      <c r="DW745" s="1" t="s">
        <v>230</v>
      </c>
      <c r="EA745" s="1" t="s">
        <v>230</v>
      </c>
      <c r="EE745" s="1" t="s">
        <v>230</v>
      </c>
      <c r="EI745" s="1" t="s">
        <v>230</v>
      </c>
      <c r="EL745" s="1" t="s">
        <v>231</v>
      </c>
      <c r="EM745" s="1" t="s">
        <v>232</v>
      </c>
      <c r="EN745" s="1" t="s">
        <v>1158</v>
      </c>
      <c r="EO745" s="1" t="s">
        <v>234</v>
      </c>
      <c r="EQ745" s="1" t="s">
        <v>468</v>
      </c>
      <c r="ER745" s="1" t="s">
        <v>210</v>
      </c>
      <c r="ES745" s="1" t="s">
        <v>322</v>
      </c>
      <c r="EU745" s="1" t="s">
        <v>239</v>
      </c>
      <c r="EV745" s="1" t="s">
        <v>240</v>
      </c>
      <c r="EW745" s="1" t="s">
        <v>937</v>
      </c>
      <c r="EY745" s="1" t="s">
        <v>242</v>
      </c>
      <c r="EZ745" s="1" t="s">
        <v>287</v>
      </c>
      <c r="FA745" s="1" t="s">
        <v>243</v>
      </c>
      <c r="FD745" s="1" t="s">
        <v>290</v>
      </c>
      <c r="FE745" s="1" t="s">
        <v>975</v>
      </c>
      <c r="FF745" s="1" t="s">
        <v>248</v>
      </c>
      <c r="FH745" s="1" t="s">
        <v>249</v>
      </c>
      <c r="FI745" s="1" t="s">
        <v>473</v>
      </c>
      <c r="FJ745" s="1" t="s">
        <v>518</v>
      </c>
      <c r="FL745" s="1" t="s">
        <v>328</v>
      </c>
      <c r="FM745" s="1" t="s">
        <v>252</v>
      </c>
      <c r="FN745" s="1" t="s">
        <v>213</v>
      </c>
      <c r="FO745" s="1" t="s">
        <v>213</v>
      </c>
      <c r="FQ745" s="1" t="s">
        <v>293</v>
      </c>
      <c r="FR745" s="1" t="s">
        <v>210</v>
      </c>
      <c r="FS745" s="1" t="s">
        <v>8613</v>
      </c>
      <c r="FT745" s="1" t="s">
        <v>295</v>
      </c>
      <c r="FU745" s="1" t="s">
        <v>204</v>
      </c>
      <c r="FW745" s="1" t="s">
        <v>2144</v>
      </c>
      <c r="FX745" s="1">
        <v>23163</v>
      </c>
      <c r="FY745" s="1" t="s">
        <v>2145</v>
      </c>
      <c r="FZ745" s="1" t="s">
        <v>8614</v>
      </c>
      <c r="GA745" s="1">
        <v>256847</v>
      </c>
      <c r="GB745" s="1" t="s">
        <v>8615</v>
      </c>
      <c r="GC745" s="1">
        <v>222714</v>
      </c>
      <c r="GE745" s="1" t="s">
        <v>480</v>
      </c>
      <c r="GI745" s="1" t="s">
        <v>213</v>
      </c>
      <c r="GJ745" s="1" t="s">
        <v>260</v>
      </c>
      <c r="GK745" s="1" t="s">
        <v>210</v>
      </c>
      <c r="GL745" s="2">
        <v>42103</v>
      </c>
      <c r="GM745" s="1" t="s">
        <v>8616</v>
      </c>
    </row>
    <row r="746" spans="1:195">
      <c r="A746" s="1">
        <v>135000</v>
      </c>
      <c r="B746" s="1" t="s">
        <v>195</v>
      </c>
      <c r="C746" s="1" t="str">
        <f>"08812734"</f>
        <v>08812734</v>
      </c>
      <c r="D746" s="1" t="s">
        <v>196</v>
      </c>
      <c r="F746" s="1" t="str">
        <f>"140"</f>
        <v>140</v>
      </c>
      <c r="G746" s="2">
        <v>42012</v>
      </c>
      <c r="H746" s="1">
        <v>139500</v>
      </c>
      <c r="I746" s="1">
        <v>139500</v>
      </c>
      <c r="J746" s="1">
        <v>135000</v>
      </c>
      <c r="K746" s="2">
        <v>42012</v>
      </c>
      <c r="L746" s="1">
        <v>13</v>
      </c>
      <c r="M746" s="2">
        <v>42024</v>
      </c>
      <c r="N746" s="1">
        <v>13</v>
      </c>
      <c r="O746" s="2">
        <v>42024</v>
      </c>
      <c r="P746" s="1">
        <v>662</v>
      </c>
      <c r="Q746" s="1" t="s">
        <v>302</v>
      </c>
      <c r="R746" s="2">
        <v>42087</v>
      </c>
      <c r="S746" s="1">
        <v>27</v>
      </c>
      <c r="U746" s="1">
        <v>2623</v>
      </c>
      <c r="V746" s="1" t="s">
        <v>8617</v>
      </c>
      <c r="W746" s="1" t="s">
        <v>725</v>
      </c>
      <c r="Y746" s="1">
        <v>2</v>
      </c>
      <c r="Z746" s="1" t="s">
        <v>370</v>
      </c>
      <c r="AA746" s="1" t="s">
        <v>1658</v>
      </c>
      <c r="AB746" s="1">
        <v>60140</v>
      </c>
      <c r="AD746" s="1" t="s">
        <v>8618</v>
      </c>
      <c r="AE746" s="1" t="s">
        <v>8619</v>
      </c>
      <c r="AF746" s="1">
        <v>2008</v>
      </c>
      <c r="AG746" s="1" t="s">
        <v>204</v>
      </c>
      <c r="AH746" s="1" t="s">
        <v>1660</v>
      </c>
      <c r="AI746" s="1" t="s">
        <v>665</v>
      </c>
      <c r="AJ746" s="1" t="s">
        <v>748</v>
      </c>
      <c r="AL746" s="1">
        <v>6</v>
      </c>
      <c r="AM746" s="1">
        <v>2</v>
      </c>
      <c r="AN746" s="1">
        <v>2</v>
      </c>
      <c r="AO746" s="1">
        <v>1</v>
      </c>
      <c r="AP746" s="1" t="s">
        <v>209</v>
      </c>
      <c r="AR746" s="1" t="s">
        <v>210</v>
      </c>
      <c r="AS746" s="1" t="s">
        <v>204</v>
      </c>
      <c r="AT746" s="1" t="s">
        <v>211</v>
      </c>
      <c r="AU746" s="1">
        <v>1</v>
      </c>
      <c r="AW746" s="1" t="s">
        <v>204</v>
      </c>
      <c r="AX746" s="1" t="s">
        <v>8620</v>
      </c>
      <c r="AZ746" s="1">
        <v>2646</v>
      </c>
      <c r="BA746" s="1">
        <v>2013</v>
      </c>
      <c r="BB746" s="1" t="s">
        <v>405</v>
      </c>
      <c r="BE746" s="1">
        <v>1386</v>
      </c>
      <c r="BF746" s="1">
        <v>1</v>
      </c>
      <c r="BG746" s="1">
        <v>0</v>
      </c>
      <c r="BL746" s="1">
        <v>104</v>
      </c>
      <c r="BM746" s="1" t="s">
        <v>204</v>
      </c>
      <c r="BN746" s="1" t="s">
        <v>213</v>
      </c>
      <c r="BO746" s="1">
        <v>999</v>
      </c>
      <c r="BP746" s="1" t="s">
        <v>204</v>
      </c>
      <c r="BR746" s="1" t="str">
        <f>"0207355054"</f>
        <v>0207355054</v>
      </c>
      <c r="BT746" s="1" t="s">
        <v>8621</v>
      </c>
      <c r="BU746" s="1" t="s">
        <v>753</v>
      </c>
      <c r="BV746" s="1" t="s">
        <v>754</v>
      </c>
      <c r="BW746" s="1" t="s">
        <v>755</v>
      </c>
      <c r="BX746" s="1">
        <v>300</v>
      </c>
      <c r="BY746" s="1">
        <v>300</v>
      </c>
      <c r="BZ746" s="1">
        <v>300</v>
      </c>
      <c r="CB746" s="1" t="str">
        <f t="shared" ref="CB746:CC746" si="580">""</f>
        <v/>
      </c>
      <c r="CC746" s="1" t="str">
        <f t="shared" si="580"/>
        <v/>
      </c>
      <c r="CG746" s="1" t="s">
        <v>461</v>
      </c>
      <c r="CH746" s="1" t="s">
        <v>219</v>
      </c>
      <c r="CI746" s="1" t="s">
        <v>220</v>
      </c>
      <c r="CJ746" s="1" t="s">
        <v>252</v>
      </c>
      <c r="CK746" s="1" t="s">
        <v>861</v>
      </c>
      <c r="CL746" s="1" t="s">
        <v>277</v>
      </c>
      <c r="CM746" s="1" t="s">
        <v>220</v>
      </c>
      <c r="CN746" s="1" t="s">
        <v>252</v>
      </c>
      <c r="CO746" s="1" t="s">
        <v>317</v>
      </c>
      <c r="CP746" s="1" t="s">
        <v>219</v>
      </c>
      <c r="CQ746" s="1" t="s">
        <v>220</v>
      </c>
      <c r="CR746" s="1" t="s">
        <v>252</v>
      </c>
      <c r="CS746" s="1" t="s">
        <v>346</v>
      </c>
      <c r="CT746" s="1" t="s">
        <v>277</v>
      </c>
      <c r="CU746" s="1" t="s">
        <v>220</v>
      </c>
      <c r="CV746" s="1" t="s">
        <v>252</v>
      </c>
      <c r="CX746" s="1" t="s">
        <v>224</v>
      </c>
      <c r="DB746" s="1" t="s">
        <v>224</v>
      </c>
      <c r="DE746" s="1" t="s">
        <v>346</v>
      </c>
      <c r="DF746" s="1" t="s">
        <v>219</v>
      </c>
      <c r="DG746" s="1" t="s">
        <v>226</v>
      </c>
      <c r="DH746" s="1" t="s">
        <v>252</v>
      </c>
      <c r="DJ746" s="1" t="s">
        <v>224</v>
      </c>
      <c r="DM746" s="1" t="s">
        <v>464</v>
      </c>
      <c r="DR746" s="1" t="s">
        <v>346</v>
      </c>
      <c r="DS746" s="1" t="s">
        <v>277</v>
      </c>
      <c r="DT746" s="1" t="s">
        <v>220</v>
      </c>
      <c r="DW746" s="1" t="s">
        <v>230</v>
      </c>
      <c r="EA746" s="1" t="s">
        <v>230</v>
      </c>
      <c r="EE746" s="1" t="s">
        <v>230</v>
      </c>
      <c r="EI746" s="1" t="s">
        <v>230</v>
      </c>
      <c r="EL746" s="1" t="s">
        <v>491</v>
      </c>
      <c r="EM746" s="1" t="s">
        <v>319</v>
      </c>
      <c r="EN746" s="1" t="s">
        <v>282</v>
      </c>
      <c r="EO746" s="1" t="s">
        <v>234</v>
      </c>
      <c r="EP746" s="1" t="s">
        <v>8330</v>
      </c>
      <c r="EQ746" s="1" t="s">
        <v>492</v>
      </c>
      <c r="ER746" s="1" t="s">
        <v>210</v>
      </c>
      <c r="ES746" s="1" t="s">
        <v>322</v>
      </c>
      <c r="EW746" s="1" t="s">
        <v>1662</v>
      </c>
      <c r="EY746" s="1" t="s">
        <v>242</v>
      </c>
      <c r="EZ746" s="1" t="s">
        <v>464</v>
      </c>
      <c r="FA746" s="1" t="s">
        <v>8622</v>
      </c>
      <c r="FD746" s="1" t="s">
        <v>246</v>
      </c>
      <c r="FE746" s="1" t="s">
        <v>472</v>
      </c>
      <c r="FF746" s="1" t="s">
        <v>248</v>
      </c>
      <c r="FH746" s="1" t="s">
        <v>442</v>
      </c>
      <c r="FI746" s="1" t="s">
        <v>473</v>
      </c>
      <c r="FL746" s="1" t="s">
        <v>358</v>
      </c>
      <c r="FM746" s="1" t="s">
        <v>252</v>
      </c>
      <c r="FN746" s="1" t="s">
        <v>213</v>
      </c>
      <c r="FO746" s="1" t="s">
        <v>213</v>
      </c>
      <c r="FQ746" s="1" t="s">
        <v>8623</v>
      </c>
      <c r="FR746" s="1" t="s">
        <v>210</v>
      </c>
      <c r="FS746" s="1" t="s">
        <v>8624</v>
      </c>
      <c r="FT746" s="1" t="s">
        <v>295</v>
      </c>
      <c r="FU746" s="1" t="s">
        <v>204</v>
      </c>
      <c r="FW746" s="1" t="s">
        <v>8625</v>
      </c>
      <c r="FX746" s="1">
        <v>37</v>
      </c>
      <c r="FY746" s="1" t="s">
        <v>8626</v>
      </c>
      <c r="FZ746" s="1" t="s">
        <v>8627</v>
      </c>
      <c r="GA746" s="1">
        <v>7683</v>
      </c>
      <c r="GB746" s="1" t="s">
        <v>8628</v>
      </c>
      <c r="GC746" s="1">
        <v>8360</v>
      </c>
      <c r="GE746" s="1" t="s">
        <v>776</v>
      </c>
      <c r="GI746" s="1" t="s">
        <v>213</v>
      </c>
      <c r="GJ746" s="1" t="s">
        <v>260</v>
      </c>
      <c r="GK746" s="1" t="s">
        <v>210</v>
      </c>
      <c r="GL746" s="2">
        <v>42088</v>
      </c>
      <c r="GM746" s="1" t="s">
        <v>8629</v>
      </c>
    </row>
    <row r="747" spans="1:195">
      <c r="A747" s="1">
        <v>80500</v>
      </c>
      <c r="B747" s="1" t="s">
        <v>195</v>
      </c>
      <c r="C747" s="1" t="str">
        <f>"08813708"</f>
        <v>08813708</v>
      </c>
      <c r="D747" s="1" t="s">
        <v>196</v>
      </c>
      <c r="F747" s="1" t="str">
        <f>"525"</f>
        <v>525</v>
      </c>
      <c r="G747" s="2">
        <v>42014</v>
      </c>
      <c r="H747" s="1">
        <v>80500</v>
      </c>
      <c r="I747" s="1">
        <v>80500</v>
      </c>
      <c r="J747" s="1">
        <v>80500</v>
      </c>
      <c r="K747" s="2">
        <v>42013</v>
      </c>
      <c r="L747" s="1">
        <v>229</v>
      </c>
      <c r="M747" s="2">
        <v>42038</v>
      </c>
      <c r="N747" s="1">
        <v>26</v>
      </c>
      <c r="O747" s="2">
        <v>42038</v>
      </c>
      <c r="P747" s="1">
        <v>25649</v>
      </c>
      <c r="Q747" s="1" t="s">
        <v>197</v>
      </c>
      <c r="R747" s="2">
        <v>42065</v>
      </c>
      <c r="S747" s="1">
        <v>228354</v>
      </c>
      <c r="U747" s="1">
        <v>301</v>
      </c>
      <c r="V747" s="1" t="s">
        <v>8630</v>
      </c>
      <c r="W747" s="1" t="s">
        <v>425</v>
      </c>
      <c r="X747" s="1" t="s">
        <v>2798</v>
      </c>
      <c r="Y747" s="1">
        <v>6</v>
      </c>
      <c r="Z747" s="1" t="s">
        <v>249</v>
      </c>
      <c r="AA747" s="1" t="s">
        <v>1148</v>
      </c>
      <c r="AB747" s="1">
        <v>60525</v>
      </c>
      <c r="AE747" s="1" t="s">
        <v>8631</v>
      </c>
      <c r="AF747" s="1">
        <v>1968</v>
      </c>
      <c r="AG747" s="1" t="s">
        <v>213</v>
      </c>
      <c r="AH747" s="1" t="s">
        <v>1150</v>
      </c>
      <c r="AI747" s="1" t="s">
        <v>310</v>
      </c>
      <c r="AJ747" s="1" t="s">
        <v>702</v>
      </c>
      <c r="AL747" s="1">
        <v>4</v>
      </c>
      <c r="AM747" s="1">
        <v>2</v>
      </c>
      <c r="AN747" s="1">
        <v>1</v>
      </c>
      <c r="AO747" s="1">
        <v>0</v>
      </c>
      <c r="AP747" s="1" t="s">
        <v>210</v>
      </c>
      <c r="AR747" s="1" t="s">
        <v>210</v>
      </c>
      <c r="AS747" s="1" t="s">
        <v>204</v>
      </c>
      <c r="AT747" s="1" t="s">
        <v>271</v>
      </c>
      <c r="AV747" s="1">
        <v>2</v>
      </c>
      <c r="AW747" s="1" t="s">
        <v>204</v>
      </c>
      <c r="AX747" s="1" t="s">
        <v>212</v>
      </c>
      <c r="AZ747" s="1">
        <v>2403</v>
      </c>
      <c r="BA747" s="1">
        <v>2012</v>
      </c>
      <c r="BB747" s="1" t="s">
        <v>210</v>
      </c>
      <c r="BE747" s="1">
        <v>0</v>
      </c>
      <c r="BF747" s="1">
        <v>3</v>
      </c>
      <c r="BG747" s="1">
        <v>30</v>
      </c>
      <c r="BL747" s="1">
        <v>180</v>
      </c>
      <c r="BM747" s="1" t="s">
        <v>204</v>
      </c>
      <c r="BN747" s="1" t="s">
        <v>213</v>
      </c>
      <c r="BO747" s="1">
        <v>0</v>
      </c>
      <c r="BP747" s="1" t="s">
        <v>204</v>
      </c>
      <c r="BR747" s="1" t="str">
        <f>"18044180421006"</f>
        <v>18044180421006</v>
      </c>
      <c r="BT747" s="1" t="s">
        <v>8632</v>
      </c>
      <c r="BU747" s="1" t="s">
        <v>1153</v>
      </c>
      <c r="BV747" s="1" t="s">
        <v>1154</v>
      </c>
      <c r="BW747" s="1" t="s">
        <v>706</v>
      </c>
      <c r="BX747" s="1">
        <v>102</v>
      </c>
      <c r="BY747" s="1">
        <v>102</v>
      </c>
      <c r="BZ747" s="1">
        <v>204</v>
      </c>
      <c r="CB747" s="1" t="str">
        <f t="shared" ref="CB747:CC747" si="581">"0"</f>
        <v>0</v>
      </c>
      <c r="CC747" s="1" t="str">
        <f t="shared" si="581"/>
        <v>0</v>
      </c>
      <c r="CD747" s="1">
        <v>12</v>
      </c>
      <c r="CE747" s="1">
        <v>4</v>
      </c>
      <c r="CG747" s="1" t="s">
        <v>3035</v>
      </c>
      <c r="CH747" s="1" t="s">
        <v>219</v>
      </c>
      <c r="CI747" s="1" t="s">
        <v>438</v>
      </c>
      <c r="CJ747" s="1" t="s">
        <v>210</v>
      </c>
      <c r="CK747" s="1" t="s">
        <v>344</v>
      </c>
      <c r="CL747" s="1" t="s">
        <v>219</v>
      </c>
      <c r="CM747" s="1" t="s">
        <v>438</v>
      </c>
      <c r="CN747" s="1" t="s">
        <v>210</v>
      </c>
      <c r="CP747" s="1" t="s">
        <v>224</v>
      </c>
      <c r="CS747" s="1" t="s">
        <v>317</v>
      </c>
      <c r="CT747" s="1" t="s">
        <v>219</v>
      </c>
      <c r="CU747" s="1" t="s">
        <v>438</v>
      </c>
      <c r="CV747" s="1" t="s">
        <v>210</v>
      </c>
      <c r="CX747" s="1" t="s">
        <v>224</v>
      </c>
      <c r="DB747" s="1" t="s">
        <v>224</v>
      </c>
      <c r="DE747" s="1" t="s">
        <v>581</v>
      </c>
      <c r="DF747" s="1" t="s">
        <v>219</v>
      </c>
      <c r="DG747" s="1" t="s">
        <v>226</v>
      </c>
      <c r="DH747" s="1" t="s">
        <v>210</v>
      </c>
      <c r="DJ747" s="1" t="s">
        <v>224</v>
      </c>
      <c r="DS747" s="1" t="s">
        <v>230</v>
      </c>
      <c r="DW747" s="1" t="s">
        <v>230</v>
      </c>
      <c r="EA747" s="1" t="s">
        <v>230</v>
      </c>
      <c r="EE747" s="1" t="s">
        <v>230</v>
      </c>
      <c r="EI747" s="1" t="s">
        <v>230</v>
      </c>
      <c r="EL747" s="1" t="s">
        <v>605</v>
      </c>
      <c r="EM747" s="1" t="s">
        <v>232</v>
      </c>
      <c r="EN747" s="1" t="s">
        <v>1158</v>
      </c>
      <c r="EO747" s="1" t="s">
        <v>234</v>
      </c>
      <c r="EQ747" s="1" t="s">
        <v>350</v>
      </c>
      <c r="ER747" s="1" t="s">
        <v>210</v>
      </c>
      <c r="EW747" s="1" t="s">
        <v>5284</v>
      </c>
      <c r="EY747" s="1" t="s">
        <v>790</v>
      </c>
      <c r="EZ747" s="1" t="s">
        <v>287</v>
      </c>
      <c r="FA747" s="1" t="s">
        <v>8633</v>
      </c>
      <c r="FD747" s="1" t="s">
        <v>290</v>
      </c>
      <c r="FE747" s="1" t="s">
        <v>247</v>
      </c>
      <c r="FF747" s="1" t="s">
        <v>248</v>
      </c>
      <c r="FH747" s="1" t="s">
        <v>249</v>
      </c>
      <c r="FK747" s="1" t="s">
        <v>291</v>
      </c>
      <c r="FL747" s="1" t="s">
        <v>358</v>
      </c>
      <c r="FM747" s="1" t="s">
        <v>252</v>
      </c>
      <c r="FN747" s="1" t="s">
        <v>213</v>
      </c>
      <c r="FO747" s="1" t="s">
        <v>213</v>
      </c>
      <c r="FQ747" s="1" t="s">
        <v>1300</v>
      </c>
      <c r="FR747" s="1" t="s">
        <v>210</v>
      </c>
      <c r="FS747" s="1" t="s">
        <v>8634</v>
      </c>
      <c r="FT747" s="1" t="s">
        <v>1828</v>
      </c>
      <c r="FU747" s="1" t="s">
        <v>204</v>
      </c>
      <c r="FW747" s="1" t="s">
        <v>8635</v>
      </c>
      <c r="FX747" s="1">
        <v>84131</v>
      </c>
      <c r="FY747" s="1" t="s">
        <v>8636</v>
      </c>
      <c r="FZ747" s="1" t="s">
        <v>8637</v>
      </c>
      <c r="GA747" s="1">
        <v>171466</v>
      </c>
      <c r="GB747" s="1" t="s">
        <v>8636</v>
      </c>
      <c r="GE747" s="1" t="s">
        <v>210</v>
      </c>
      <c r="GI747" s="1" t="s">
        <v>213</v>
      </c>
      <c r="GJ747" s="1" t="s">
        <v>260</v>
      </c>
      <c r="GK747" s="1" t="s">
        <v>210</v>
      </c>
      <c r="GL747" s="2">
        <v>42068</v>
      </c>
      <c r="GM747" s="1" t="s">
        <v>8638</v>
      </c>
    </row>
    <row r="748" spans="1:195">
      <c r="A748" s="1">
        <v>201000</v>
      </c>
      <c r="B748" s="1" t="s">
        <v>195</v>
      </c>
      <c r="C748" s="1" t="str">
        <f>"08816681"</f>
        <v>08816681</v>
      </c>
      <c r="D748" s="1" t="s">
        <v>196</v>
      </c>
      <c r="F748" s="1" t="str">
        <f>"31"</f>
        <v>31</v>
      </c>
      <c r="G748" s="2">
        <v>42019</v>
      </c>
      <c r="H748" s="1">
        <v>220000</v>
      </c>
      <c r="I748" s="1">
        <v>220000</v>
      </c>
      <c r="J748" s="1">
        <v>201000</v>
      </c>
      <c r="K748" s="2">
        <v>42018</v>
      </c>
      <c r="L748" s="1">
        <v>12</v>
      </c>
      <c r="M748" s="2">
        <v>42029</v>
      </c>
      <c r="N748" s="1">
        <v>12</v>
      </c>
      <c r="O748" s="2">
        <v>42029</v>
      </c>
      <c r="P748" s="1">
        <v>2050</v>
      </c>
      <c r="Q748" s="1" t="s">
        <v>197</v>
      </c>
      <c r="R748" s="2">
        <v>42074</v>
      </c>
      <c r="S748" s="1">
        <v>14938</v>
      </c>
      <c r="U748" s="1">
        <v>294</v>
      </c>
      <c r="V748" s="1" t="s">
        <v>8639</v>
      </c>
      <c r="W748" s="1" t="s">
        <v>304</v>
      </c>
      <c r="Y748" s="1">
        <v>4</v>
      </c>
      <c r="Z748" s="1" t="s">
        <v>370</v>
      </c>
      <c r="AA748" s="1" t="s">
        <v>1057</v>
      </c>
      <c r="AB748" s="1">
        <v>60031</v>
      </c>
      <c r="AD748" s="1" t="s">
        <v>8640</v>
      </c>
      <c r="AE748" s="1" t="s">
        <v>8641</v>
      </c>
      <c r="AF748" s="1">
        <v>2004</v>
      </c>
      <c r="AG748" s="1" t="s">
        <v>204</v>
      </c>
      <c r="AH748" s="1" t="s">
        <v>1060</v>
      </c>
      <c r="AI748" s="1" t="s">
        <v>509</v>
      </c>
      <c r="AJ748" s="1" t="s">
        <v>1061</v>
      </c>
      <c r="AL748" s="1">
        <v>6</v>
      </c>
      <c r="AM748" s="1">
        <v>2</v>
      </c>
      <c r="AN748" s="1">
        <v>2</v>
      </c>
      <c r="AO748" s="1">
        <v>1</v>
      </c>
      <c r="AP748" s="1" t="s">
        <v>209</v>
      </c>
      <c r="AR748" s="1" t="s">
        <v>209</v>
      </c>
      <c r="AS748" s="1" t="s">
        <v>204</v>
      </c>
      <c r="AT748" s="1" t="s">
        <v>211</v>
      </c>
      <c r="AU748" s="1">
        <v>2</v>
      </c>
      <c r="AW748" s="1" t="s">
        <v>204</v>
      </c>
      <c r="AX748" s="1" t="s">
        <v>8642</v>
      </c>
      <c r="AZ748" s="1">
        <v>7464.37</v>
      </c>
      <c r="BA748" s="1">
        <v>2013</v>
      </c>
      <c r="BB748" s="1" t="s">
        <v>405</v>
      </c>
      <c r="BE748" s="1">
        <v>1987</v>
      </c>
      <c r="BF748" s="1">
        <v>1</v>
      </c>
      <c r="BG748" s="1">
        <v>0</v>
      </c>
      <c r="BL748" s="1">
        <v>146</v>
      </c>
      <c r="BM748" s="1" t="s">
        <v>204</v>
      </c>
      <c r="BN748" s="1" t="s">
        <v>213</v>
      </c>
      <c r="BO748" s="1">
        <v>999</v>
      </c>
      <c r="BP748" s="1" t="s">
        <v>204</v>
      </c>
      <c r="BR748" s="1" t="str">
        <f>"07243060250000"</f>
        <v>07243060250000</v>
      </c>
      <c r="BT748" s="1" t="s">
        <v>8643</v>
      </c>
      <c r="BU748" s="1" t="s">
        <v>3376</v>
      </c>
      <c r="BV748" s="1" t="s">
        <v>3070</v>
      </c>
      <c r="BW748" s="1" t="s">
        <v>1066</v>
      </c>
      <c r="BX748" s="1">
        <v>56</v>
      </c>
      <c r="BY748" s="1">
        <v>56</v>
      </c>
      <c r="BZ748" s="1">
        <v>121</v>
      </c>
      <c r="CB748" s="1" t="str">
        <f t="shared" ref="CB748:CC748" si="582">""</f>
        <v/>
      </c>
      <c r="CC748" s="1" t="str">
        <f t="shared" si="582"/>
        <v/>
      </c>
      <c r="CG748" s="1" t="s">
        <v>1737</v>
      </c>
      <c r="CH748" s="1" t="s">
        <v>219</v>
      </c>
      <c r="CI748" s="1" t="s">
        <v>220</v>
      </c>
      <c r="CJ748" s="1" t="s">
        <v>439</v>
      </c>
      <c r="CK748" s="1" t="s">
        <v>601</v>
      </c>
      <c r="CL748" s="1" t="s">
        <v>277</v>
      </c>
      <c r="CM748" s="1" t="s">
        <v>220</v>
      </c>
      <c r="CN748" s="1" t="s">
        <v>439</v>
      </c>
      <c r="CO748" s="1" t="s">
        <v>318</v>
      </c>
      <c r="CP748" s="1" t="s">
        <v>219</v>
      </c>
      <c r="CQ748" s="1" t="s">
        <v>438</v>
      </c>
      <c r="CR748" s="1" t="s">
        <v>210</v>
      </c>
      <c r="CS748" s="1" t="s">
        <v>346</v>
      </c>
      <c r="CT748" s="1" t="s">
        <v>277</v>
      </c>
      <c r="CU748" s="1" t="s">
        <v>220</v>
      </c>
      <c r="CV748" s="1" t="s">
        <v>439</v>
      </c>
      <c r="CX748" s="1" t="s">
        <v>224</v>
      </c>
      <c r="DB748" s="1" t="s">
        <v>224</v>
      </c>
      <c r="DE748" s="1" t="s">
        <v>972</v>
      </c>
      <c r="DF748" s="1" t="s">
        <v>219</v>
      </c>
      <c r="DG748" s="1" t="s">
        <v>438</v>
      </c>
      <c r="DH748" s="1" t="s">
        <v>210</v>
      </c>
      <c r="DJ748" s="1" t="s">
        <v>224</v>
      </c>
      <c r="DM748" s="1" t="s">
        <v>464</v>
      </c>
      <c r="DR748" s="1" t="s">
        <v>318</v>
      </c>
      <c r="DS748" s="1" t="s">
        <v>277</v>
      </c>
      <c r="DT748" s="1" t="s">
        <v>220</v>
      </c>
      <c r="DU748" s="1" t="s">
        <v>439</v>
      </c>
      <c r="DW748" s="1" t="s">
        <v>230</v>
      </c>
      <c r="EA748" s="1" t="s">
        <v>230</v>
      </c>
      <c r="EE748" s="1" t="s">
        <v>230</v>
      </c>
      <c r="EI748" s="1" t="s">
        <v>230</v>
      </c>
      <c r="EL748" s="1" t="s">
        <v>466</v>
      </c>
      <c r="EM748" s="1" t="s">
        <v>232</v>
      </c>
      <c r="EN748" s="1" t="s">
        <v>282</v>
      </c>
      <c r="EO748" s="1" t="s">
        <v>234</v>
      </c>
      <c r="EP748" s="1" t="s">
        <v>283</v>
      </c>
      <c r="EQ748" s="1" t="s">
        <v>8644</v>
      </c>
      <c r="ER748" s="1" t="s">
        <v>1249</v>
      </c>
      <c r="ES748" s="1" t="s">
        <v>824</v>
      </c>
      <c r="ET748" s="1" t="s">
        <v>842</v>
      </c>
      <c r="EU748" s="1" t="s">
        <v>610</v>
      </c>
      <c r="EV748" s="1" t="s">
        <v>324</v>
      </c>
      <c r="EW748" s="1" t="s">
        <v>8645</v>
      </c>
      <c r="EY748" s="1" t="s">
        <v>2455</v>
      </c>
      <c r="EZ748" s="1" t="s">
        <v>464</v>
      </c>
      <c r="FA748" s="1" t="s">
        <v>869</v>
      </c>
      <c r="FB748" s="1" t="s">
        <v>734</v>
      </c>
      <c r="FC748" s="1" t="s">
        <v>1386</v>
      </c>
      <c r="FD748" s="1" t="s">
        <v>246</v>
      </c>
      <c r="FE748" s="1" t="s">
        <v>3771</v>
      </c>
      <c r="FF748" s="1" t="s">
        <v>248</v>
      </c>
      <c r="FH748" s="1" t="s">
        <v>550</v>
      </c>
      <c r="FI748" s="1" t="s">
        <v>473</v>
      </c>
      <c r="FL748" s="1" t="s">
        <v>358</v>
      </c>
      <c r="FM748" s="1" t="s">
        <v>252</v>
      </c>
      <c r="FN748" s="1" t="s">
        <v>213</v>
      </c>
      <c r="FO748" s="1" t="s">
        <v>213</v>
      </c>
      <c r="FQ748" s="1" t="s">
        <v>8646</v>
      </c>
      <c r="FR748" s="1" t="s">
        <v>210</v>
      </c>
      <c r="FS748" s="1" t="s">
        <v>8647</v>
      </c>
      <c r="FT748" s="1" t="s">
        <v>675</v>
      </c>
      <c r="FU748" s="1" t="s">
        <v>204</v>
      </c>
      <c r="FW748" s="1" t="s">
        <v>8648</v>
      </c>
      <c r="FX748" s="1">
        <v>25211</v>
      </c>
      <c r="FY748" s="1" t="s">
        <v>8649</v>
      </c>
      <c r="FZ748" s="1" t="s">
        <v>8650</v>
      </c>
      <c r="GA748" s="1">
        <v>26732</v>
      </c>
      <c r="GB748" s="1" t="s">
        <v>8651</v>
      </c>
      <c r="GC748" s="1">
        <v>21207</v>
      </c>
      <c r="GD748" s="1" t="s">
        <v>8652</v>
      </c>
      <c r="GE748" s="1" t="s">
        <v>480</v>
      </c>
      <c r="GI748" s="1" t="s">
        <v>213</v>
      </c>
      <c r="GJ748" s="1" t="s">
        <v>260</v>
      </c>
      <c r="GK748" s="1" t="s">
        <v>210</v>
      </c>
      <c r="GL748" s="2">
        <v>42076</v>
      </c>
      <c r="GM748" s="1" t="s">
        <v>8653</v>
      </c>
    </row>
    <row r="749" spans="1:195">
      <c r="A749" s="1">
        <v>92700</v>
      </c>
      <c r="B749" s="1" t="s">
        <v>195</v>
      </c>
      <c r="C749" s="1" t="str">
        <f>"08808715"</f>
        <v>08808715</v>
      </c>
      <c r="D749" s="1" t="s">
        <v>196</v>
      </c>
      <c r="F749" s="1" t="str">
        <f>"61"</f>
        <v>61</v>
      </c>
      <c r="G749" s="2">
        <v>42006</v>
      </c>
      <c r="H749" s="1">
        <v>92700</v>
      </c>
      <c r="I749" s="1">
        <v>92700</v>
      </c>
      <c r="J749" s="1">
        <v>92700</v>
      </c>
      <c r="K749" s="2">
        <v>42006</v>
      </c>
      <c r="L749" s="1">
        <v>19</v>
      </c>
      <c r="M749" s="2">
        <v>42024</v>
      </c>
      <c r="N749" s="1">
        <v>19</v>
      </c>
      <c r="O749" s="2">
        <v>42024</v>
      </c>
      <c r="P749" s="1">
        <v>2644</v>
      </c>
      <c r="Q749" s="1" t="s">
        <v>302</v>
      </c>
      <c r="R749" s="2">
        <v>42124</v>
      </c>
      <c r="S749" s="1">
        <v>18736</v>
      </c>
      <c r="U749" s="1">
        <v>202</v>
      </c>
      <c r="V749" s="1" t="s">
        <v>8654</v>
      </c>
      <c r="W749" s="1" t="s">
        <v>3006</v>
      </c>
      <c r="Y749" s="1">
        <v>4</v>
      </c>
      <c r="Z749" s="1" t="s">
        <v>200</v>
      </c>
      <c r="AA749" s="1" t="s">
        <v>505</v>
      </c>
      <c r="AB749" s="1">
        <v>60061</v>
      </c>
      <c r="AD749" s="1" t="s">
        <v>8655</v>
      </c>
      <c r="AE749" s="1" t="s">
        <v>8656</v>
      </c>
      <c r="AF749" s="1">
        <v>1978</v>
      </c>
      <c r="AG749" s="1" t="s">
        <v>204</v>
      </c>
      <c r="AH749" s="1" t="s">
        <v>508</v>
      </c>
      <c r="AI749" s="1" t="s">
        <v>509</v>
      </c>
      <c r="AJ749" s="1" t="s">
        <v>510</v>
      </c>
      <c r="AK749" s="1" t="s">
        <v>8657</v>
      </c>
      <c r="AL749" s="1">
        <v>5</v>
      </c>
      <c r="AM749" s="1">
        <v>2</v>
      </c>
      <c r="AN749" s="1">
        <v>1</v>
      </c>
      <c r="AO749" s="1">
        <v>1</v>
      </c>
      <c r="AP749" s="1" t="s">
        <v>210</v>
      </c>
      <c r="AQ749" s="1">
        <v>0</v>
      </c>
      <c r="AR749" s="1" t="s">
        <v>210</v>
      </c>
      <c r="AS749" s="1" t="s">
        <v>204</v>
      </c>
      <c r="AT749" s="1" t="s">
        <v>211</v>
      </c>
      <c r="AU749" s="1">
        <v>1</v>
      </c>
      <c r="AW749" s="1" t="s">
        <v>204</v>
      </c>
      <c r="AX749" s="1" t="s">
        <v>579</v>
      </c>
      <c r="AZ749" s="1">
        <v>2455.94</v>
      </c>
      <c r="BA749" s="1">
        <v>2013</v>
      </c>
      <c r="BC749" s="1">
        <v>0</v>
      </c>
      <c r="BD749" s="1">
        <v>2015</v>
      </c>
      <c r="BE749" s="1">
        <v>1012</v>
      </c>
      <c r="BF749" s="1">
        <v>1</v>
      </c>
      <c r="BG749" s="1">
        <v>0</v>
      </c>
      <c r="BJ749" s="1">
        <v>100</v>
      </c>
      <c r="BL749" s="1">
        <v>196</v>
      </c>
      <c r="BM749" s="1" t="s">
        <v>204</v>
      </c>
      <c r="BN749" s="1" t="s">
        <v>213</v>
      </c>
      <c r="BO749" s="1">
        <v>0</v>
      </c>
      <c r="BP749" s="1" t="s">
        <v>204</v>
      </c>
      <c r="BR749" s="1" t="str">
        <f>"15054090340000"</f>
        <v>15054090340000</v>
      </c>
      <c r="BT749" s="1" t="s">
        <v>8658</v>
      </c>
      <c r="BU749" s="1" t="s">
        <v>512</v>
      </c>
      <c r="BV749" s="1" t="s">
        <v>513</v>
      </c>
      <c r="BW749" s="1" t="s">
        <v>514</v>
      </c>
      <c r="BX749" s="1">
        <v>73</v>
      </c>
      <c r="BY749" s="1">
        <v>73</v>
      </c>
      <c r="BZ749" s="1">
        <v>128</v>
      </c>
      <c r="CB749" s="1" t="str">
        <f>"25"</f>
        <v>25</v>
      </c>
      <c r="CC749" s="1" t="str">
        <f t="shared" ref="CC749:CC750" si="583">"0"</f>
        <v>0</v>
      </c>
      <c r="CD749" s="1">
        <v>17</v>
      </c>
      <c r="CE749" s="1">
        <v>0</v>
      </c>
      <c r="CG749" s="1" t="s">
        <v>515</v>
      </c>
      <c r="CH749" s="1" t="s">
        <v>219</v>
      </c>
      <c r="CK749" s="1" t="s">
        <v>437</v>
      </c>
      <c r="CL749" s="1" t="s">
        <v>277</v>
      </c>
      <c r="CO749" s="1" t="s">
        <v>516</v>
      </c>
      <c r="CP749" s="1" t="s">
        <v>219</v>
      </c>
      <c r="CS749" s="1" t="s">
        <v>346</v>
      </c>
      <c r="CT749" s="1" t="s">
        <v>277</v>
      </c>
      <c r="CX749" s="1" t="s">
        <v>224</v>
      </c>
      <c r="DB749" s="1" t="s">
        <v>224</v>
      </c>
      <c r="DE749" s="1" t="s">
        <v>516</v>
      </c>
      <c r="DF749" s="1" t="s">
        <v>219</v>
      </c>
      <c r="DJ749" s="1" t="s">
        <v>224</v>
      </c>
      <c r="DS749" s="1" t="s">
        <v>230</v>
      </c>
      <c r="DW749" s="1" t="s">
        <v>230</v>
      </c>
      <c r="EA749" s="1" t="s">
        <v>230</v>
      </c>
      <c r="EE749" s="1" t="s">
        <v>230</v>
      </c>
      <c r="EI749" s="1" t="s">
        <v>230</v>
      </c>
      <c r="EL749" s="1" t="s">
        <v>231</v>
      </c>
      <c r="EM749" s="1" t="s">
        <v>319</v>
      </c>
      <c r="EN749" s="1" t="s">
        <v>282</v>
      </c>
      <c r="EO749" s="1" t="s">
        <v>234</v>
      </c>
      <c r="EP749" s="1" t="s">
        <v>8659</v>
      </c>
      <c r="ER749" s="1" t="s">
        <v>1069</v>
      </c>
      <c r="EU749" s="1" t="s">
        <v>239</v>
      </c>
      <c r="EV749" s="1" t="s">
        <v>324</v>
      </c>
      <c r="EW749" s="1" t="s">
        <v>517</v>
      </c>
      <c r="EY749" s="1" t="s">
        <v>441</v>
      </c>
      <c r="EZ749" s="1" t="s">
        <v>287</v>
      </c>
      <c r="FB749" s="1" t="s">
        <v>289</v>
      </c>
      <c r="FD749" s="1" t="s">
        <v>246</v>
      </c>
      <c r="FE749" s="1" t="s">
        <v>870</v>
      </c>
      <c r="FF749" s="1" t="s">
        <v>248</v>
      </c>
      <c r="FH749" s="1" t="s">
        <v>356</v>
      </c>
      <c r="FL749" s="1" t="s">
        <v>358</v>
      </c>
      <c r="FM749" s="1" t="s">
        <v>252</v>
      </c>
      <c r="FN749" s="1" t="s">
        <v>213</v>
      </c>
      <c r="FO749" s="1" t="s">
        <v>213</v>
      </c>
      <c r="FQ749" s="1" t="s">
        <v>582</v>
      </c>
      <c r="FR749" s="1" t="s">
        <v>210</v>
      </c>
      <c r="FS749" s="1" t="s">
        <v>8660</v>
      </c>
      <c r="FT749" s="1" t="s">
        <v>654</v>
      </c>
      <c r="FU749" s="1" t="s">
        <v>204</v>
      </c>
      <c r="FW749" s="1" t="s">
        <v>5082</v>
      </c>
      <c r="FX749" s="1">
        <v>1989</v>
      </c>
      <c r="FY749" s="1" t="s">
        <v>5083</v>
      </c>
      <c r="FZ749" s="1" t="s">
        <v>5084</v>
      </c>
      <c r="GA749" s="1">
        <v>81066</v>
      </c>
      <c r="GB749" s="1" t="s">
        <v>5083</v>
      </c>
      <c r="GC749" s="1">
        <v>86352</v>
      </c>
      <c r="GD749" s="1" t="s">
        <v>8661</v>
      </c>
      <c r="GE749" s="1" t="s">
        <v>480</v>
      </c>
      <c r="GI749" s="1" t="s">
        <v>204</v>
      </c>
      <c r="GJ749" s="1" t="s">
        <v>260</v>
      </c>
      <c r="GK749" s="1" t="s">
        <v>210</v>
      </c>
      <c r="GL749" s="2">
        <v>42125</v>
      </c>
      <c r="GM749" s="1" t="s">
        <v>8662</v>
      </c>
    </row>
    <row r="750" spans="1:195">
      <c r="A750" s="1">
        <v>145000</v>
      </c>
      <c r="B750" s="1" t="s">
        <v>195</v>
      </c>
      <c r="C750" s="1" t="str">
        <f>"08809570"</f>
        <v>08809570</v>
      </c>
      <c r="D750" s="1" t="s">
        <v>196</v>
      </c>
      <c r="F750" s="1" t="str">
        <f>"191"</f>
        <v>191</v>
      </c>
      <c r="G750" s="2">
        <v>42009</v>
      </c>
      <c r="H750" s="1">
        <v>154900</v>
      </c>
      <c r="I750" s="1">
        <v>154900</v>
      </c>
      <c r="J750" s="1">
        <v>145000</v>
      </c>
      <c r="K750" s="2">
        <v>42009</v>
      </c>
      <c r="L750" s="1">
        <v>158</v>
      </c>
      <c r="M750" s="2">
        <v>42027</v>
      </c>
      <c r="N750" s="1">
        <v>19</v>
      </c>
      <c r="O750" s="2">
        <v>42027</v>
      </c>
      <c r="P750" s="1">
        <v>24090</v>
      </c>
      <c r="Q750" s="1" t="s">
        <v>197</v>
      </c>
      <c r="R750" s="2">
        <v>42102</v>
      </c>
      <c r="S750" s="1">
        <v>237729</v>
      </c>
      <c r="U750" s="1">
        <v>440</v>
      </c>
      <c r="V750" s="1" t="s">
        <v>8663</v>
      </c>
      <c r="W750" s="1" t="s">
        <v>425</v>
      </c>
      <c r="X750" s="1">
        <v>202</v>
      </c>
      <c r="Y750" s="1">
        <v>48</v>
      </c>
      <c r="Z750" s="1" t="s">
        <v>370</v>
      </c>
      <c r="AA750" s="1" t="s">
        <v>1966</v>
      </c>
      <c r="AB750" s="1">
        <v>60191</v>
      </c>
      <c r="AE750" s="1" t="s">
        <v>8664</v>
      </c>
      <c r="AF750" s="1">
        <v>1992</v>
      </c>
      <c r="AG750" s="1" t="s">
        <v>204</v>
      </c>
      <c r="AH750" s="1" t="s">
        <v>1233</v>
      </c>
      <c r="AI750" s="1" t="s">
        <v>206</v>
      </c>
      <c r="AJ750" s="1" t="s">
        <v>1233</v>
      </c>
      <c r="AL750" s="1">
        <v>5</v>
      </c>
      <c r="AM750" s="1">
        <v>2</v>
      </c>
      <c r="AN750" s="1">
        <v>2</v>
      </c>
      <c r="AO750" s="1">
        <v>0</v>
      </c>
      <c r="AP750" s="1" t="s">
        <v>209</v>
      </c>
      <c r="AR750" s="1" t="s">
        <v>210</v>
      </c>
      <c r="AT750" s="1" t="s">
        <v>375</v>
      </c>
      <c r="AU750" s="1">
        <v>1</v>
      </c>
      <c r="AV750" s="1">
        <v>2</v>
      </c>
      <c r="AW750" s="1" t="s">
        <v>204</v>
      </c>
      <c r="AX750" s="1" t="s">
        <v>212</v>
      </c>
      <c r="AZ750" s="1">
        <v>3551</v>
      </c>
      <c r="BA750" s="1">
        <v>2013</v>
      </c>
      <c r="BB750" s="1" t="s">
        <v>405</v>
      </c>
      <c r="BE750" s="1">
        <v>1300</v>
      </c>
      <c r="BF750" s="1">
        <v>2</v>
      </c>
      <c r="BG750" s="1">
        <v>0</v>
      </c>
      <c r="BL750" s="1">
        <v>190</v>
      </c>
      <c r="BM750" s="1" t="s">
        <v>204</v>
      </c>
      <c r="BN750" s="1" t="s">
        <v>213</v>
      </c>
      <c r="BO750" s="1">
        <v>20</v>
      </c>
      <c r="BP750" s="1" t="s">
        <v>204</v>
      </c>
      <c r="BR750" s="1" t="str">
        <f>"0315420014"</f>
        <v>0315420014</v>
      </c>
      <c r="BT750" s="1" t="s">
        <v>8665</v>
      </c>
      <c r="BU750" s="1" t="s">
        <v>8666</v>
      </c>
      <c r="BV750" s="1" t="s">
        <v>6840</v>
      </c>
      <c r="BW750" s="1" t="s">
        <v>1973</v>
      </c>
      <c r="BX750" s="1">
        <v>2</v>
      </c>
      <c r="BY750" s="1">
        <v>2</v>
      </c>
      <c r="BZ750" s="1">
        <v>100</v>
      </c>
      <c r="CB750" s="1" t="str">
        <f>"5"</f>
        <v>5</v>
      </c>
      <c r="CC750" s="1" t="str">
        <f t="shared" si="583"/>
        <v>0</v>
      </c>
      <c r="CD750" s="1">
        <v>17</v>
      </c>
      <c r="CE750" s="1">
        <v>0</v>
      </c>
      <c r="CG750" s="1" t="s">
        <v>908</v>
      </c>
      <c r="CH750" s="1" t="s">
        <v>277</v>
      </c>
      <c r="CI750" s="1" t="s">
        <v>438</v>
      </c>
      <c r="CJ750" s="1" t="s">
        <v>252</v>
      </c>
      <c r="CK750" s="1" t="s">
        <v>437</v>
      </c>
      <c r="CL750" s="1" t="s">
        <v>277</v>
      </c>
      <c r="CM750" s="1" t="s">
        <v>438</v>
      </c>
      <c r="CN750" s="1" t="s">
        <v>252</v>
      </c>
      <c r="CO750" s="1" t="s">
        <v>346</v>
      </c>
      <c r="CP750" s="1" t="s">
        <v>277</v>
      </c>
      <c r="CQ750" s="1" t="s">
        <v>438</v>
      </c>
      <c r="CR750" s="1" t="s">
        <v>210</v>
      </c>
      <c r="CS750" s="1" t="s">
        <v>1358</v>
      </c>
      <c r="CT750" s="1" t="s">
        <v>277</v>
      </c>
      <c r="CU750" s="1" t="s">
        <v>438</v>
      </c>
      <c r="CV750" s="1" t="s">
        <v>252</v>
      </c>
      <c r="CX750" s="1" t="s">
        <v>224</v>
      </c>
      <c r="DB750" s="1" t="s">
        <v>224</v>
      </c>
      <c r="DE750" s="1" t="s">
        <v>409</v>
      </c>
      <c r="DF750" s="1" t="s">
        <v>277</v>
      </c>
      <c r="DG750" s="1" t="s">
        <v>226</v>
      </c>
      <c r="DH750" s="1" t="s">
        <v>210</v>
      </c>
      <c r="DJ750" s="1" t="s">
        <v>224</v>
      </c>
      <c r="DS750" s="1" t="s">
        <v>230</v>
      </c>
      <c r="DW750" s="1" t="s">
        <v>230</v>
      </c>
      <c r="EA750" s="1" t="s">
        <v>230</v>
      </c>
      <c r="EE750" s="1" t="s">
        <v>230</v>
      </c>
      <c r="EI750" s="1" t="s">
        <v>230</v>
      </c>
      <c r="EL750" s="1" t="s">
        <v>382</v>
      </c>
      <c r="EM750" s="1" t="s">
        <v>232</v>
      </c>
      <c r="EN750" s="1" t="s">
        <v>282</v>
      </c>
      <c r="EO750" s="1" t="s">
        <v>234</v>
      </c>
      <c r="EP750" s="1" t="s">
        <v>2497</v>
      </c>
      <c r="EQ750" s="1" t="s">
        <v>492</v>
      </c>
      <c r="ER750" s="1" t="s">
        <v>210</v>
      </c>
      <c r="ES750" s="1" t="s">
        <v>322</v>
      </c>
      <c r="EV750" s="1" t="s">
        <v>324</v>
      </c>
      <c r="EW750" s="1" t="s">
        <v>937</v>
      </c>
      <c r="EZ750" s="1" t="s">
        <v>287</v>
      </c>
      <c r="FD750" s="1" t="s">
        <v>246</v>
      </c>
      <c r="FE750" s="1" t="s">
        <v>247</v>
      </c>
      <c r="FF750" s="1" t="s">
        <v>248</v>
      </c>
      <c r="FH750" s="1" t="s">
        <v>249</v>
      </c>
      <c r="FI750" s="1" t="s">
        <v>250</v>
      </c>
      <c r="FK750" s="1" t="s">
        <v>891</v>
      </c>
      <c r="FL750" s="1" t="s">
        <v>358</v>
      </c>
      <c r="FM750" s="1" t="s">
        <v>252</v>
      </c>
      <c r="FN750" s="1" t="s">
        <v>213</v>
      </c>
      <c r="FO750" s="1" t="s">
        <v>213</v>
      </c>
      <c r="FQ750" s="1" t="s">
        <v>8667</v>
      </c>
      <c r="FR750" s="1" t="s">
        <v>210</v>
      </c>
      <c r="FS750" s="1" t="s">
        <v>8668</v>
      </c>
      <c r="FT750" s="1" t="s">
        <v>295</v>
      </c>
      <c r="FU750" s="1" t="s">
        <v>204</v>
      </c>
      <c r="FW750" s="1" t="s">
        <v>7006</v>
      </c>
      <c r="FX750" s="1">
        <v>12664</v>
      </c>
      <c r="FY750" s="1" t="s">
        <v>7007</v>
      </c>
      <c r="FZ750" s="1" t="s">
        <v>8669</v>
      </c>
      <c r="GA750" s="1">
        <v>170062</v>
      </c>
      <c r="GB750" s="1" t="s">
        <v>8670</v>
      </c>
      <c r="GE750" s="1" t="s">
        <v>210</v>
      </c>
      <c r="GH750" s="1" t="s">
        <v>800</v>
      </c>
      <c r="GI750" s="1" t="s">
        <v>213</v>
      </c>
      <c r="GJ750" s="1" t="s">
        <v>260</v>
      </c>
      <c r="GK750" s="1" t="s">
        <v>210</v>
      </c>
      <c r="GL750" s="2">
        <v>42102</v>
      </c>
      <c r="GM750" s="1" t="s">
        <v>8671</v>
      </c>
    </row>
    <row r="751" spans="1:195">
      <c r="A751" s="1">
        <v>136000</v>
      </c>
      <c r="B751" s="1" t="s">
        <v>195</v>
      </c>
      <c r="C751" s="1" t="str">
        <f>"08807614"</f>
        <v>08807614</v>
      </c>
      <c r="D751" s="1" t="s">
        <v>196</v>
      </c>
      <c r="F751" s="1" t="str">
        <f>"540"</f>
        <v>540</v>
      </c>
      <c r="G751" s="2">
        <v>42004</v>
      </c>
      <c r="H751" s="1">
        <v>143000</v>
      </c>
      <c r="I751" s="1">
        <v>143000</v>
      </c>
      <c r="J751" s="1">
        <v>136000</v>
      </c>
      <c r="K751" s="2">
        <v>42003</v>
      </c>
      <c r="L751" s="1">
        <v>8</v>
      </c>
      <c r="M751" s="2">
        <v>42010</v>
      </c>
      <c r="N751" s="1">
        <v>8</v>
      </c>
      <c r="O751" s="2">
        <v>42010</v>
      </c>
      <c r="P751" s="1">
        <v>14090</v>
      </c>
      <c r="Q751" s="1" t="s">
        <v>197</v>
      </c>
      <c r="R751" s="2">
        <v>42055</v>
      </c>
      <c r="S751" s="1">
        <v>186146</v>
      </c>
      <c r="U751" s="1">
        <v>39</v>
      </c>
      <c r="V751" s="1" t="s">
        <v>7788</v>
      </c>
      <c r="W751" s="1" t="s">
        <v>1056</v>
      </c>
      <c r="X751" s="1">
        <v>131</v>
      </c>
      <c r="Y751" s="1">
        <v>16</v>
      </c>
      <c r="Z751" s="1" t="s">
        <v>249</v>
      </c>
      <c r="AA751" s="1" t="s">
        <v>921</v>
      </c>
      <c r="AB751" s="1">
        <v>60565</v>
      </c>
      <c r="AD751" s="1" t="s">
        <v>7789</v>
      </c>
      <c r="AE751" s="1" t="s">
        <v>8672</v>
      </c>
      <c r="AF751" s="1">
        <v>1991</v>
      </c>
      <c r="AG751" s="1" t="s">
        <v>204</v>
      </c>
      <c r="AH751" s="1" t="s">
        <v>924</v>
      </c>
      <c r="AI751" s="1" t="s">
        <v>206</v>
      </c>
      <c r="AJ751" s="1" t="s">
        <v>925</v>
      </c>
      <c r="AL751" s="1">
        <v>5</v>
      </c>
      <c r="AM751" s="1">
        <v>2</v>
      </c>
      <c r="AN751" s="1">
        <v>1</v>
      </c>
      <c r="AO751" s="1">
        <v>1</v>
      </c>
      <c r="AP751" s="1" t="s">
        <v>210</v>
      </c>
      <c r="AQ751" s="1">
        <v>1</v>
      </c>
      <c r="AR751" s="1" t="s">
        <v>210</v>
      </c>
      <c r="AS751" s="1" t="s">
        <v>204</v>
      </c>
      <c r="AT751" s="1" t="s">
        <v>271</v>
      </c>
      <c r="AV751" s="1">
        <v>2</v>
      </c>
      <c r="AW751" s="1" t="s">
        <v>204</v>
      </c>
      <c r="AX751" s="1" t="s">
        <v>212</v>
      </c>
      <c r="AZ751" s="1">
        <v>2762</v>
      </c>
      <c r="BA751" s="1">
        <v>2013</v>
      </c>
      <c r="BE751" s="1">
        <v>1185</v>
      </c>
      <c r="BF751" s="1">
        <v>1</v>
      </c>
      <c r="BG751" s="1">
        <v>0</v>
      </c>
      <c r="BL751" s="1">
        <v>309</v>
      </c>
      <c r="BM751" s="1" t="s">
        <v>204</v>
      </c>
      <c r="BN751" s="1" t="s">
        <v>213</v>
      </c>
      <c r="BO751" s="1">
        <v>40</v>
      </c>
      <c r="BP751" s="1" t="s">
        <v>204</v>
      </c>
      <c r="BR751" s="1" t="str">
        <f>"0831419118"</f>
        <v>0831419118</v>
      </c>
      <c r="BT751" s="1" t="s">
        <v>8673</v>
      </c>
      <c r="BU751" s="1" t="s">
        <v>1892</v>
      </c>
      <c r="BV751" s="1" t="s">
        <v>929</v>
      </c>
      <c r="BW751" s="1" t="s">
        <v>930</v>
      </c>
      <c r="BX751" s="1">
        <v>203</v>
      </c>
      <c r="BY751" s="1">
        <v>203</v>
      </c>
      <c r="BZ751" s="1">
        <v>203</v>
      </c>
      <c r="CB751" s="1" t="str">
        <f t="shared" ref="CB751:CC751" si="584">"0"</f>
        <v>0</v>
      </c>
      <c r="CC751" s="1" t="str">
        <f t="shared" si="584"/>
        <v>0</v>
      </c>
      <c r="CD751" s="1">
        <v>26</v>
      </c>
      <c r="CE751" s="1">
        <v>9</v>
      </c>
      <c r="CG751" s="1" t="s">
        <v>669</v>
      </c>
      <c r="CH751" s="1" t="s">
        <v>219</v>
      </c>
      <c r="CI751" s="1" t="s">
        <v>438</v>
      </c>
      <c r="CK751" s="1" t="s">
        <v>932</v>
      </c>
      <c r="CL751" s="1" t="s">
        <v>277</v>
      </c>
      <c r="CM751" s="1" t="s">
        <v>220</v>
      </c>
      <c r="CO751" s="1" t="s">
        <v>316</v>
      </c>
      <c r="CP751" s="1" t="s">
        <v>219</v>
      </c>
      <c r="CQ751" s="1" t="s">
        <v>438</v>
      </c>
      <c r="CS751" s="1" t="s">
        <v>317</v>
      </c>
      <c r="CT751" s="1" t="s">
        <v>277</v>
      </c>
      <c r="CU751" s="1" t="s">
        <v>220</v>
      </c>
      <c r="CX751" s="1" t="s">
        <v>224</v>
      </c>
      <c r="DB751" s="1" t="s">
        <v>224</v>
      </c>
      <c r="DE751" s="1" t="s">
        <v>409</v>
      </c>
      <c r="DF751" s="1" t="s">
        <v>219</v>
      </c>
      <c r="DG751" s="1" t="s">
        <v>438</v>
      </c>
      <c r="DJ751" s="1" t="s">
        <v>224</v>
      </c>
      <c r="DS751" s="1" t="s">
        <v>230</v>
      </c>
      <c r="DW751" s="1" t="s">
        <v>230</v>
      </c>
      <c r="EA751" s="1" t="s">
        <v>230</v>
      </c>
      <c r="EE751" s="1" t="s">
        <v>230</v>
      </c>
      <c r="EI751" s="1" t="s">
        <v>230</v>
      </c>
      <c r="EL751" s="1" t="s">
        <v>382</v>
      </c>
      <c r="EM751" s="1" t="s">
        <v>232</v>
      </c>
      <c r="EN751" s="1" t="s">
        <v>282</v>
      </c>
      <c r="EO751" s="1" t="s">
        <v>234</v>
      </c>
      <c r="EP751" s="1" t="s">
        <v>7792</v>
      </c>
      <c r="EQ751" s="1" t="s">
        <v>2188</v>
      </c>
      <c r="ER751" s="1" t="s">
        <v>210</v>
      </c>
      <c r="ET751" s="1" t="s">
        <v>238</v>
      </c>
      <c r="EV751" s="1" t="s">
        <v>324</v>
      </c>
      <c r="EW751" s="1" t="s">
        <v>8674</v>
      </c>
      <c r="EZ751" s="1" t="s">
        <v>287</v>
      </c>
      <c r="FB751" s="1" t="s">
        <v>289</v>
      </c>
      <c r="FD751" s="1" t="s">
        <v>385</v>
      </c>
      <c r="FE751" s="1" t="s">
        <v>549</v>
      </c>
      <c r="FF751" s="1" t="s">
        <v>248</v>
      </c>
      <c r="FG751" s="1" t="s">
        <v>2406</v>
      </c>
      <c r="FH751" s="1" t="s">
        <v>550</v>
      </c>
      <c r="FK751" s="1" t="s">
        <v>291</v>
      </c>
      <c r="FL751" s="1" t="s">
        <v>358</v>
      </c>
      <c r="FM751" s="1" t="s">
        <v>252</v>
      </c>
      <c r="FN751" s="1" t="s">
        <v>213</v>
      </c>
      <c r="FO751" s="1" t="s">
        <v>213</v>
      </c>
      <c r="FQ751" s="1" t="s">
        <v>8675</v>
      </c>
      <c r="FR751" s="1" t="s">
        <v>210</v>
      </c>
      <c r="FS751" s="1" t="s">
        <v>8676</v>
      </c>
      <c r="FT751" s="1" t="s">
        <v>691</v>
      </c>
      <c r="FU751" s="1" t="s">
        <v>204</v>
      </c>
      <c r="FW751" s="1" t="s">
        <v>2179</v>
      </c>
      <c r="FX751" s="1">
        <v>22039</v>
      </c>
      <c r="FY751" s="1" t="s">
        <v>2180</v>
      </c>
      <c r="FZ751" s="1" t="s">
        <v>8677</v>
      </c>
      <c r="GA751" s="1">
        <v>256901</v>
      </c>
      <c r="GB751" s="1" t="s">
        <v>8678</v>
      </c>
      <c r="GE751" s="1" t="s">
        <v>480</v>
      </c>
      <c r="GI751" s="1" t="s">
        <v>213</v>
      </c>
      <c r="GJ751" s="1" t="s">
        <v>260</v>
      </c>
      <c r="GK751" s="1" t="s">
        <v>210</v>
      </c>
      <c r="GL751" s="2">
        <v>42072</v>
      </c>
      <c r="GM751" s="1" t="s">
        <v>8679</v>
      </c>
    </row>
    <row r="752" spans="1:195">
      <c r="A752" s="1">
        <v>129900</v>
      </c>
      <c r="B752" s="1" t="s">
        <v>195</v>
      </c>
      <c r="C752" s="1" t="str">
        <f>"08808218"</f>
        <v>08808218</v>
      </c>
      <c r="D752" s="1" t="s">
        <v>196</v>
      </c>
      <c r="F752" s="1" t="str">
        <f>"126"</f>
        <v>126</v>
      </c>
      <c r="G752" s="2">
        <v>42006</v>
      </c>
      <c r="H752" s="1">
        <v>129900</v>
      </c>
      <c r="I752" s="1">
        <v>129900</v>
      </c>
      <c r="J752" s="1">
        <v>129900</v>
      </c>
      <c r="K752" s="2">
        <v>42006</v>
      </c>
      <c r="L752" s="1">
        <v>4</v>
      </c>
      <c r="M752" s="2">
        <v>42009</v>
      </c>
      <c r="N752" s="1">
        <v>4</v>
      </c>
      <c r="O752" s="2">
        <v>42009</v>
      </c>
      <c r="P752" s="1">
        <v>1109</v>
      </c>
      <c r="Q752" s="1" t="s">
        <v>302</v>
      </c>
      <c r="R752" s="2">
        <v>42041</v>
      </c>
      <c r="S752" s="1">
        <v>923550</v>
      </c>
      <c r="U752" s="1">
        <v>110</v>
      </c>
      <c r="V752" s="1" t="s">
        <v>8680</v>
      </c>
      <c r="W752" s="1" t="s">
        <v>1056</v>
      </c>
      <c r="X752" s="1" t="s">
        <v>8681</v>
      </c>
      <c r="Y752" s="1">
        <v>66</v>
      </c>
      <c r="Z752" s="1" t="s">
        <v>200</v>
      </c>
      <c r="AA752" s="1" t="s">
        <v>3169</v>
      </c>
      <c r="AB752" s="1">
        <v>60126</v>
      </c>
      <c r="AE752" s="1" t="s">
        <v>8682</v>
      </c>
      <c r="AF752" s="1">
        <v>1966</v>
      </c>
      <c r="AG752" s="1" t="s">
        <v>213</v>
      </c>
      <c r="AH752" s="1" t="s">
        <v>3172</v>
      </c>
      <c r="AI752" s="1" t="s">
        <v>206</v>
      </c>
      <c r="AJ752" s="1" t="s">
        <v>1608</v>
      </c>
      <c r="AL752" s="1">
        <v>5</v>
      </c>
      <c r="AM752" s="1">
        <v>2</v>
      </c>
      <c r="AN752" s="1">
        <v>2</v>
      </c>
      <c r="AO752" s="1">
        <v>0</v>
      </c>
      <c r="AP752" s="1" t="s">
        <v>209</v>
      </c>
      <c r="AR752" s="1" t="s">
        <v>210</v>
      </c>
      <c r="AT752" s="1" t="s">
        <v>271</v>
      </c>
      <c r="AV752" s="1">
        <v>1</v>
      </c>
      <c r="AW752" s="1" t="s">
        <v>204</v>
      </c>
      <c r="AX752" s="1" t="s">
        <v>8683</v>
      </c>
      <c r="AZ752" s="1">
        <v>1920</v>
      </c>
      <c r="BA752" s="1">
        <v>2013</v>
      </c>
      <c r="BB752" s="1" t="s">
        <v>8684</v>
      </c>
      <c r="BE752" s="1">
        <v>1000</v>
      </c>
      <c r="BF752" s="1">
        <v>3</v>
      </c>
      <c r="BG752" s="1">
        <v>0</v>
      </c>
      <c r="BL752" s="1">
        <v>318</v>
      </c>
      <c r="BM752" s="1" t="s">
        <v>204</v>
      </c>
      <c r="BN752" s="1" t="s">
        <v>204</v>
      </c>
      <c r="BP752" s="1" t="s">
        <v>204</v>
      </c>
      <c r="BR752" s="1" t="str">
        <f>"0614415070"</f>
        <v>0614415070</v>
      </c>
      <c r="BT752" s="1" t="s">
        <v>8685</v>
      </c>
      <c r="BU752" s="1" t="s">
        <v>3822</v>
      </c>
      <c r="BV752" s="1" t="s">
        <v>3315</v>
      </c>
      <c r="BW752" s="1" t="s">
        <v>2201</v>
      </c>
      <c r="BX752" s="1">
        <v>48</v>
      </c>
      <c r="BY752" s="1">
        <v>48</v>
      </c>
      <c r="BZ752" s="1">
        <v>88</v>
      </c>
      <c r="CB752" s="1" t="str">
        <f t="shared" ref="CB752:CC752" si="585">""</f>
        <v/>
      </c>
      <c r="CC752" s="1" t="str">
        <f t="shared" si="585"/>
        <v/>
      </c>
      <c r="CG752" s="1" t="s">
        <v>885</v>
      </c>
      <c r="CH752" s="1" t="s">
        <v>219</v>
      </c>
      <c r="CI752" s="1" t="s">
        <v>220</v>
      </c>
      <c r="CJ752" s="1" t="s">
        <v>252</v>
      </c>
      <c r="CK752" s="1" t="s">
        <v>221</v>
      </c>
      <c r="CL752" s="1" t="s">
        <v>219</v>
      </c>
      <c r="CM752" s="1" t="s">
        <v>220</v>
      </c>
      <c r="CO752" s="1" t="s">
        <v>348</v>
      </c>
      <c r="CP752" s="1" t="s">
        <v>219</v>
      </c>
      <c r="CQ752" s="1" t="s">
        <v>220</v>
      </c>
      <c r="CS752" s="1" t="s">
        <v>1358</v>
      </c>
      <c r="CT752" s="1" t="s">
        <v>219</v>
      </c>
      <c r="CU752" s="1" t="s">
        <v>220</v>
      </c>
      <c r="CX752" s="1" t="s">
        <v>224</v>
      </c>
      <c r="DB752" s="1" t="s">
        <v>224</v>
      </c>
      <c r="DE752" s="1" t="s">
        <v>2031</v>
      </c>
      <c r="DF752" s="1" t="s">
        <v>219</v>
      </c>
      <c r="DG752" s="1" t="s">
        <v>566</v>
      </c>
      <c r="DJ752" s="1" t="s">
        <v>224</v>
      </c>
      <c r="DS752" s="1" t="s">
        <v>230</v>
      </c>
      <c r="DW752" s="1" t="s">
        <v>230</v>
      </c>
      <c r="EA752" s="1" t="s">
        <v>230</v>
      </c>
      <c r="EE752" s="1" t="s">
        <v>230</v>
      </c>
      <c r="EI752" s="1" t="s">
        <v>230</v>
      </c>
      <c r="EL752" s="1" t="s">
        <v>605</v>
      </c>
      <c r="EM752" s="1" t="s">
        <v>232</v>
      </c>
      <c r="EN752" s="1" t="s">
        <v>282</v>
      </c>
      <c r="EO752" s="1" t="s">
        <v>234</v>
      </c>
      <c r="ER752" s="1" t="s">
        <v>210</v>
      </c>
      <c r="EW752" s="1" t="s">
        <v>8686</v>
      </c>
      <c r="EZ752" s="1" t="s">
        <v>287</v>
      </c>
      <c r="FD752" s="1" t="s">
        <v>1112</v>
      </c>
      <c r="FE752" s="1" t="s">
        <v>247</v>
      </c>
      <c r="FF752" s="1" t="s">
        <v>248</v>
      </c>
      <c r="FH752" s="1" t="s">
        <v>249</v>
      </c>
      <c r="FL752" s="1" t="s">
        <v>414</v>
      </c>
      <c r="FM752" s="1" t="s">
        <v>252</v>
      </c>
      <c r="FN752" s="1" t="s">
        <v>213</v>
      </c>
      <c r="FO752" s="1" t="s">
        <v>213</v>
      </c>
      <c r="FQ752" s="1" t="s">
        <v>329</v>
      </c>
      <c r="FR752" s="1" t="s">
        <v>210</v>
      </c>
      <c r="FS752" s="1" t="s">
        <v>8687</v>
      </c>
      <c r="FT752" s="1" t="s">
        <v>362</v>
      </c>
      <c r="FU752" s="1" t="s">
        <v>213</v>
      </c>
      <c r="FW752" s="1" t="s">
        <v>3328</v>
      </c>
      <c r="FX752" s="1">
        <v>24330</v>
      </c>
      <c r="FY752" s="1" t="s">
        <v>3329</v>
      </c>
      <c r="FZ752" s="1" t="s">
        <v>8688</v>
      </c>
      <c r="GA752" s="1">
        <v>244834</v>
      </c>
      <c r="GB752" s="1" t="s">
        <v>8689</v>
      </c>
      <c r="GE752" s="1" t="s">
        <v>210</v>
      </c>
      <c r="GH752" s="1" t="s">
        <v>589</v>
      </c>
      <c r="GI752" s="1" t="s">
        <v>213</v>
      </c>
      <c r="GJ752" s="1" t="s">
        <v>260</v>
      </c>
      <c r="GK752" s="1" t="s">
        <v>210</v>
      </c>
      <c r="GL752" s="2">
        <v>42042</v>
      </c>
    </row>
    <row r="753" spans="1:195">
      <c r="A753" s="1">
        <v>135000</v>
      </c>
      <c r="B753" s="1" t="s">
        <v>195</v>
      </c>
      <c r="C753" s="1" t="str">
        <f>"08808038"</f>
        <v>08808038</v>
      </c>
      <c r="D753" s="1" t="s">
        <v>196</v>
      </c>
      <c r="F753" s="1" t="str">
        <f>"513"</f>
        <v>513</v>
      </c>
      <c r="G753" s="2">
        <v>42005</v>
      </c>
      <c r="H753" s="1">
        <v>149900</v>
      </c>
      <c r="I753" s="1">
        <v>139900</v>
      </c>
      <c r="J753" s="1">
        <v>135000</v>
      </c>
      <c r="K753" s="2">
        <v>42004</v>
      </c>
      <c r="L753" s="1">
        <v>36</v>
      </c>
      <c r="M753" s="2">
        <v>42039</v>
      </c>
      <c r="N753" s="1">
        <v>36</v>
      </c>
      <c r="O753" s="2">
        <v>42039</v>
      </c>
      <c r="P753" s="1">
        <v>16636</v>
      </c>
      <c r="Q753" s="1" t="s">
        <v>197</v>
      </c>
      <c r="R753" s="2">
        <v>42102</v>
      </c>
      <c r="S753" s="1">
        <v>159202</v>
      </c>
      <c r="T753" s="1">
        <v>6000</v>
      </c>
      <c r="U753" s="1">
        <v>3828</v>
      </c>
      <c r="V753" s="1" t="s">
        <v>2051</v>
      </c>
      <c r="W753" s="1" t="s">
        <v>425</v>
      </c>
      <c r="Y753" s="1">
        <v>1</v>
      </c>
      <c r="Z753" s="1" t="s">
        <v>200</v>
      </c>
      <c r="AA753" s="1" t="s">
        <v>644</v>
      </c>
      <c r="AB753" s="1">
        <v>60513</v>
      </c>
      <c r="AE753" s="1" t="s">
        <v>8690</v>
      </c>
      <c r="AF753" s="1">
        <v>1945</v>
      </c>
      <c r="AG753" s="1" t="s">
        <v>213</v>
      </c>
      <c r="AH753" s="1" t="s">
        <v>646</v>
      </c>
      <c r="AI753" s="1" t="s">
        <v>310</v>
      </c>
      <c r="AJ753" s="1" t="s">
        <v>429</v>
      </c>
      <c r="AL753" s="1">
        <v>6</v>
      </c>
      <c r="AM753" s="1">
        <v>2</v>
      </c>
      <c r="AN753" s="1">
        <v>1</v>
      </c>
      <c r="AO753" s="1">
        <v>0</v>
      </c>
      <c r="AP753" s="1" t="s">
        <v>210</v>
      </c>
      <c r="AR753" s="1" t="s">
        <v>209</v>
      </c>
      <c r="AS753" s="1" t="s">
        <v>204</v>
      </c>
      <c r="AT753" s="1" t="s">
        <v>211</v>
      </c>
      <c r="AU753" s="1">
        <v>1</v>
      </c>
      <c r="AW753" s="1" t="s">
        <v>204</v>
      </c>
      <c r="AX753" s="1">
        <v>4625</v>
      </c>
      <c r="AZ753" s="1">
        <v>850.08</v>
      </c>
      <c r="BA753" s="1">
        <v>2013</v>
      </c>
      <c r="BB753" s="1" t="s">
        <v>8691</v>
      </c>
      <c r="BE753" s="1">
        <v>1000</v>
      </c>
      <c r="BF753" s="1">
        <v>1</v>
      </c>
      <c r="BG753" s="1">
        <v>0</v>
      </c>
      <c r="BL753" s="1">
        <v>0</v>
      </c>
      <c r="BM753" s="1" t="s">
        <v>413</v>
      </c>
      <c r="BN753" s="1" t="s">
        <v>213</v>
      </c>
      <c r="BO753" s="1">
        <v>0</v>
      </c>
      <c r="BP753" s="1" t="s">
        <v>204</v>
      </c>
      <c r="BR753" s="1" t="str">
        <f>"15344330420000"</f>
        <v>15344330420000</v>
      </c>
      <c r="BT753" s="1" t="s">
        <v>8692</v>
      </c>
      <c r="BX753" s="1">
        <v>96</v>
      </c>
      <c r="BY753" s="1">
        <v>96</v>
      </c>
      <c r="BZ753" s="1">
        <v>208</v>
      </c>
      <c r="CB753" s="1" t="str">
        <f t="shared" ref="CB753:CC753" si="586">""</f>
        <v/>
      </c>
      <c r="CC753" s="1" t="str">
        <f t="shared" si="586"/>
        <v/>
      </c>
      <c r="CG753" s="1" t="s">
        <v>437</v>
      </c>
      <c r="CH753" s="1" t="s">
        <v>219</v>
      </c>
      <c r="CI753" s="1" t="s">
        <v>220</v>
      </c>
      <c r="CK753" s="1" t="s">
        <v>437</v>
      </c>
      <c r="CL753" s="1" t="s">
        <v>277</v>
      </c>
      <c r="CM753" s="1" t="s">
        <v>438</v>
      </c>
      <c r="CO753" s="1" t="s">
        <v>409</v>
      </c>
      <c r="CP753" s="1" t="s">
        <v>219</v>
      </c>
      <c r="CQ753" s="1" t="s">
        <v>220</v>
      </c>
      <c r="CS753" s="1" t="s">
        <v>346</v>
      </c>
      <c r="CT753" s="1" t="s">
        <v>277</v>
      </c>
      <c r="CU753" s="1" t="s">
        <v>438</v>
      </c>
      <c r="CX753" s="1" t="s">
        <v>224</v>
      </c>
      <c r="DB753" s="1" t="s">
        <v>224</v>
      </c>
      <c r="DE753" s="1" t="s">
        <v>1571</v>
      </c>
      <c r="DF753" s="1" t="s">
        <v>219</v>
      </c>
      <c r="DG753" s="1" t="s">
        <v>342</v>
      </c>
      <c r="DJ753" s="1" t="s">
        <v>224</v>
      </c>
      <c r="DM753" s="1" t="s">
        <v>227</v>
      </c>
      <c r="DR753" s="1" t="s">
        <v>318</v>
      </c>
      <c r="DS753" s="1" t="s">
        <v>43</v>
      </c>
      <c r="DW753" s="1" t="s">
        <v>230</v>
      </c>
      <c r="EA753" s="1" t="s">
        <v>230</v>
      </c>
      <c r="EE753" s="1" t="s">
        <v>230</v>
      </c>
      <c r="EI753" s="1" t="s">
        <v>230</v>
      </c>
      <c r="EL753" s="1" t="s">
        <v>3717</v>
      </c>
      <c r="EM753" s="1" t="s">
        <v>319</v>
      </c>
      <c r="EN753" s="1" t="s">
        <v>282</v>
      </c>
      <c r="EO753" s="1" t="s">
        <v>234</v>
      </c>
      <c r="ER753" s="1" t="s">
        <v>351</v>
      </c>
      <c r="EW753" s="1" t="s">
        <v>210</v>
      </c>
      <c r="EZ753" s="1" t="s">
        <v>227</v>
      </c>
      <c r="FD753" s="1" t="s">
        <v>246</v>
      </c>
      <c r="FE753" s="1" t="s">
        <v>247</v>
      </c>
      <c r="FF753" s="1" t="s">
        <v>387</v>
      </c>
      <c r="FH753" s="1" t="s">
        <v>550</v>
      </c>
      <c r="FL753" s="1" t="s">
        <v>358</v>
      </c>
      <c r="FM753" s="1" t="s">
        <v>252</v>
      </c>
      <c r="FN753" s="1" t="s">
        <v>213</v>
      </c>
      <c r="FO753" s="1" t="s">
        <v>213</v>
      </c>
      <c r="FQ753" s="1" t="s">
        <v>3164</v>
      </c>
      <c r="FR753" s="1" t="s">
        <v>210</v>
      </c>
      <c r="FS753" s="1" t="s">
        <v>8693</v>
      </c>
      <c r="FT753" s="1" t="s">
        <v>295</v>
      </c>
      <c r="FU753" s="1" t="s">
        <v>213</v>
      </c>
      <c r="FW753" s="1" t="s">
        <v>3517</v>
      </c>
      <c r="FX753" s="1">
        <v>20114</v>
      </c>
      <c r="FY753" s="1" t="s">
        <v>3518</v>
      </c>
      <c r="FZ753" s="1" t="s">
        <v>8694</v>
      </c>
      <c r="GA753" s="1">
        <v>240301</v>
      </c>
      <c r="GE753" s="1" t="s">
        <v>1379</v>
      </c>
      <c r="GI753" s="1" t="s">
        <v>213</v>
      </c>
      <c r="GJ753" s="1" t="s">
        <v>260</v>
      </c>
      <c r="GK753" s="1" t="s">
        <v>261</v>
      </c>
      <c r="GL753" s="2">
        <v>42104</v>
      </c>
      <c r="GM753" s="1" t="s">
        <v>8695</v>
      </c>
    </row>
    <row r="754" spans="1:195">
      <c r="A754" s="1">
        <v>165000</v>
      </c>
      <c r="B754" s="1" t="s">
        <v>195</v>
      </c>
      <c r="C754" s="1" t="str">
        <f>"08809626"</f>
        <v>08809626</v>
      </c>
      <c r="D754" s="1" t="s">
        <v>196</v>
      </c>
      <c r="F754" s="1" t="str">
        <f>"139"</f>
        <v>139</v>
      </c>
      <c r="G754" s="2">
        <v>42009</v>
      </c>
      <c r="H754" s="1">
        <v>175000</v>
      </c>
      <c r="I754" s="1">
        <v>174900</v>
      </c>
      <c r="J754" s="1">
        <v>165000</v>
      </c>
      <c r="K754" s="2">
        <v>42009</v>
      </c>
      <c r="L754" s="1">
        <v>112</v>
      </c>
      <c r="M754" s="2">
        <v>42056</v>
      </c>
      <c r="N754" s="1">
        <v>48</v>
      </c>
      <c r="O754" s="2">
        <v>42056</v>
      </c>
      <c r="P754" s="1">
        <v>23099</v>
      </c>
      <c r="Q754" s="1" t="s">
        <v>197</v>
      </c>
      <c r="R754" s="2">
        <v>42090</v>
      </c>
      <c r="S754" s="1">
        <v>256407</v>
      </c>
      <c r="U754" s="1">
        <v>57</v>
      </c>
      <c r="V754" s="1" t="s">
        <v>6460</v>
      </c>
      <c r="W754" s="1" t="s">
        <v>304</v>
      </c>
      <c r="Y754" s="1">
        <v>8</v>
      </c>
      <c r="Z754" s="1" t="s">
        <v>370</v>
      </c>
      <c r="AA754" s="1" t="s">
        <v>1732</v>
      </c>
      <c r="AB754" s="1">
        <v>60139</v>
      </c>
      <c r="AD754" s="1" t="s">
        <v>8696</v>
      </c>
      <c r="AE754" s="1" t="s">
        <v>8697</v>
      </c>
      <c r="AF754" s="1">
        <v>1987</v>
      </c>
      <c r="AG754" s="1" t="s">
        <v>204</v>
      </c>
      <c r="AH754" s="1" t="s">
        <v>1735</v>
      </c>
      <c r="AI754" s="1" t="s">
        <v>206</v>
      </c>
      <c r="AJ754" s="1" t="s">
        <v>269</v>
      </c>
      <c r="AL754" s="1">
        <v>6</v>
      </c>
      <c r="AM754" s="1">
        <v>2</v>
      </c>
      <c r="AN754" s="1">
        <v>2</v>
      </c>
      <c r="AO754" s="1">
        <v>1</v>
      </c>
      <c r="AP754" s="1" t="s">
        <v>209</v>
      </c>
      <c r="AQ754" s="1">
        <v>1</v>
      </c>
      <c r="AR754" s="1" t="s">
        <v>210</v>
      </c>
      <c r="AS754" s="1" t="s">
        <v>204</v>
      </c>
      <c r="AT754" s="1" t="s">
        <v>211</v>
      </c>
      <c r="AU754" s="1">
        <v>1</v>
      </c>
      <c r="AW754" s="1" t="s">
        <v>204</v>
      </c>
      <c r="AX754" s="1" t="s">
        <v>8698</v>
      </c>
      <c r="AZ754" s="6">
        <v>5074</v>
      </c>
      <c r="BA754" s="1">
        <v>2013</v>
      </c>
      <c r="BE754" s="1">
        <v>1332</v>
      </c>
      <c r="BF754" s="1">
        <v>1</v>
      </c>
      <c r="BG754" s="1">
        <v>0</v>
      </c>
      <c r="BL754" s="1">
        <v>198</v>
      </c>
      <c r="BM754" s="1" t="s">
        <v>204</v>
      </c>
      <c r="BN754" s="1" t="s">
        <v>213</v>
      </c>
      <c r="BO754" s="1">
        <v>999</v>
      </c>
      <c r="BP754" s="1" t="s">
        <v>204</v>
      </c>
      <c r="BR754" s="1" t="str">
        <f>"0233204115"</f>
        <v>0233204115</v>
      </c>
      <c r="BT754" s="1" t="s">
        <v>8699</v>
      </c>
      <c r="BU754" s="1" t="s">
        <v>6319</v>
      </c>
      <c r="BV754" s="1" t="s">
        <v>3645</v>
      </c>
      <c r="BX754" s="1">
        <v>16</v>
      </c>
      <c r="BY754" s="1">
        <v>16</v>
      </c>
      <c r="BZ754" s="1">
        <v>87</v>
      </c>
      <c r="CB754" s="1" t="str">
        <f t="shared" ref="CB754:CC754" si="587">""</f>
        <v/>
      </c>
      <c r="CC754" s="1" t="str">
        <f t="shared" si="587"/>
        <v/>
      </c>
      <c r="CG754" s="1" t="s">
        <v>315</v>
      </c>
      <c r="CH754" s="1" t="s">
        <v>219</v>
      </c>
      <c r="CI754" s="1" t="s">
        <v>220</v>
      </c>
      <c r="CK754" s="1" t="s">
        <v>317</v>
      </c>
      <c r="CL754" s="1" t="s">
        <v>277</v>
      </c>
      <c r="CM754" s="1" t="s">
        <v>220</v>
      </c>
      <c r="CO754" s="1" t="s">
        <v>318</v>
      </c>
      <c r="CP754" s="1" t="s">
        <v>219</v>
      </c>
      <c r="CQ754" s="1" t="s">
        <v>220</v>
      </c>
      <c r="CS754" s="1" t="s">
        <v>465</v>
      </c>
      <c r="CT754" s="1" t="s">
        <v>277</v>
      </c>
      <c r="CU754" s="1" t="s">
        <v>220</v>
      </c>
      <c r="CX754" s="1" t="s">
        <v>224</v>
      </c>
      <c r="DB754" s="1" t="s">
        <v>224</v>
      </c>
      <c r="DE754" s="1" t="s">
        <v>465</v>
      </c>
      <c r="DF754" s="1" t="s">
        <v>219</v>
      </c>
      <c r="DG754" s="1" t="s">
        <v>226</v>
      </c>
      <c r="DJ754" s="1" t="s">
        <v>224</v>
      </c>
      <c r="DM754" s="1" t="s">
        <v>464</v>
      </c>
      <c r="DR754" s="1" t="s">
        <v>346</v>
      </c>
      <c r="DS754" s="1" t="s">
        <v>277</v>
      </c>
      <c r="DT754" s="1" t="s">
        <v>220</v>
      </c>
      <c r="DW754" s="1" t="s">
        <v>230</v>
      </c>
      <c r="EA754" s="1" t="s">
        <v>230</v>
      </c>
      <c r="EE754" s="1" t="s">
        <v>230</v>
      </c>
      <c r="EI754" s="1" t="s">
        <v>230</v>
      </c>
      <c r="EL754" s="1" t="s">
        <v>542</v>
      </c>
      <c r="EM754" s="1" t="s">
        <v>232</v>
      </c>
      <c r="EN754" s="1" t="s">
        <v>282</v>
      </c>
      <c r="EO754" s="1" t="s">
        <v>234</v>
      </c>
      <c r="EQ754" s="1" t="s">
        <v>1094</v>
      </c>
      <c r="ER754" s="1" t="s">
        <v>383</v>
      </c>
      <c r="ES754" s="1" t="s">
        <v>322</v>
      </c>
      <c r="EV754" s="1" t="s">
        <v>324</v>
      </c>
      <c r="EW754" s="1" t="s">
        <v>1679</v>
      </c>
      <c r="EZ754" s="1" t="s">
        <v>464</v>
      </c>
      <c r="FD754" s="1" t="s">
        <v>246</v>
      </c>
      <c r="FE754" s="1" t="s">
        <v>975</v>
      </c>
      <c r="FF754" s="1" t="s">
        <v>248</v>
      </c>
      <c r="FG754" s="1" t="s">
        <v>2406</v>
      </c>
      <c r="FH754" s="1" t="s">
        <v>550</v>
      </c>
      <c r="FI754" s="1" t="s">
        <v>357</v>
      </c>
      <c r="FL754" s="1" t="s">
        <v>358</v>
      </c>
      <c r="FM754" s="1" t="s">
        <v>252</v>
      </c>
      <c r="FN754" s="1" t="s">
        <v>213</v>
      </c>
      <c r="FO754" s="1" t="s">
        <v>213</v>
      </c>
      <c r="FQ754" s="1" t="s">
        <v>8700</v>
      </c>
      <c r="FR754" s="1" t="s">
        <v>210</v>
      </c>
      <c r="FS754" s="1" t="s">
        <v>8701</v>
      </c>
      <c r="FT754" s="1" t="s">
        <v>675</v>
      </c>
      <c r="FU754" s="1" t="s">
        <v>204</v>
      </c>
      <c r="FW754" s="1" t="s">
        <v>5648</v>
      </c>
      <c r="FX754" s="1">
        <v>23099</v>
      </c>
      <c r="FY754" s="1" t="s">
        <v>5649</v>
      </c>
      <c r="FZ754" s="1" t="s">
        <v>8702</v>
      </c>
      <c r="GA754" s="1">
        <v>256407</v>
      </c>
      <c r="GB754" s="1" t="s">
        <v>8703</v>
      </c>
      <c r="GE754" s="1" t="s">
        <v>480</v>
      </c>
      <c r="GI754" s="1" t="s">
        <v>213</v>
      </c>
      <c r="GJ754" s="1" t="s">
        <v>260</v>
      </c>
      <c r="GK754" s="1" t="s">
        <v>261</v>
      </c>
      <c r="GL754" s="2">
        <v>42090</v>
      </c>
    </row>
    <row r="755" spans="1:195">
      <c r="A755" s="1">
        <v>133200</v>
      </c>
      <c r="B755" s="1" t="s">
        <v>195</v>
      </c>
      <c r="C755" s="1" t="str">
        <f>"08810441"</f>
        <v>08810441</v>
      </c>
      <c r="D755" s="1" t="s">
        <v>196</v>
      </c>
      <c r="F755" s="1" t="str">
        <f>"137"</f>
        <v>137</v>
      </c>
      <c r="G755" s="2">
        <v>42010</v>
      </c>
      <c r="H755" s="1">
        <v>136900</v>
      </c>
      <c r="I755" s="1">
        <v>136900</v>
      </c>
      <c r="J755" s="1">
        <v>133200</v>
      </c>
      <c r="K755" s="2">
        <v>42010</v>
      </c>
      <c r="L755" s="1">
        <v>17</v>
      </c>
      <c r="M755" s="2">
        <v>42026</v>
      </c>
      <c r="N755" s="1">
        <v>17</v>
      </c>
      <c r="O755" s="2">
        <v>42026</v>
      </c>
      <c r="P755" s="1">
        <v>24213</v>
      </c>
      <c r="Q755" s="1" t="s">
        <v>197</v>
      </c>
      <c r="R755" s="2">
        <v>42073</v>
      </c>
      <c r="S755" s="1">
        <v>225665</v>
      </c>
      <c r="U755" s="1">
        <v>363</v>
      </c>
      <c r="V755" s="1" t="s">
        <v>8704</v>
      </c>
      <c r="W755" s="1" t="s">
        <v>504</v>
      </c>
      <c r="X755" s="1">
        <v>4</v>
      </c>
      <c r="Y755" s="1">
        <v>4</v>
      </c>
      <c r="Z755" s="1" t="s">
        <v>249</v>
      </c>
      <c r="AA755" s="1" t="s">
        <v>201</v>
      </c>
      <c r="AB755" s="1">
        <v>60137</v>
      </c>
      <c r="AD755" s="1" t="s">
        <v>8705</v>
      </c>
      <c r="AE755" s="1" t="s">
        <v>8706</v>
      </c>
      <c r="AF755" s="1">
        <v>1983</v>
      </c>
      <c r="AG755" s="1" t="s">
        <v>204</v>
      </c>
      <c r="AH755" s="1" t="s">
        <v>205</v>
      </c>
      <c r="AI755" s="1" t="s">
        <v>206</v>
      </c>
      <c r="AJ755" s="1" t="s">
        <v>207</v>
      </c>
      <c r="AL755" s="1">
        <v>4</v>
      </c>
      <c r="AM755" s="1">
        <v>2</v>
      </c>
      <c r="AN755" s="1">
        <v>1</v>
      </c>
      <c r="AO755" s="1">
        <v>0</v>
      </c>
      <c r="AP755" s="1" t="s">
        <v>210</v>
      </c>
      <c r="AR755" s="1" t="s">
        <v>210</v>
      </c>
      <c r="AS755" s="1" t="s">
        <v>204</v>
      </c>
      <c r="AT755" s="1" t="s">
        <v>211</v>
      </c>
      <c r="AU755" s="1">
        <v>1</v>
      </c>
      <c r="AW755" s="1" t="s">
        <v>204</v>
      </c>
      <c r="AX755" s="1" t="s">
        <v>212</v>
      </c>
      <c r="AZ755" s="1">
        <v>3167</v>
      </c>
      <c r="BA755" s="1">
        <v>2013</v>
      </c>
      <c r="BB755" s="1" t="s">
        <v>405</v>
      </c>
      <c r="BE755" s="1">
        <v>958</v>
      </c>
      <c r="BF755" s="1">
        <v>2</v>
      </c>
      <c r="BG755" s="1">
        <v>0</v>
      </c>
      <c r="BL755" s="1">
        <v>227</v>
      </c>
      <c r="BM755" s="1" t="s">
        <v>204</v>
      </c>
      <c r="BN755" s="1" t="s">
        <v>213</v>
      </c>
      <c r="BO755" s="1">
        <v>999</v>
      </c>
      <c r="BP755" s="1" t="s">
        <v>204</v>
      </c>
      <c r="BR755" s="1" t="str">
        <f>"0522422048"</f>
        <v>0522422048</v>
      </c>
      <c r="BT755" s="1" t="s">
        <v>8707</v>
      </c>
      <c r="BU755" s="1" t="s">
        <v>7734</v>
      </c>
      <c r="BV755" s="1" t="s">
        <v>216</v>
      </c>
      <c r="BW755" s="1" t="s">
        <v>217</v>
      </c>
      <c r="BX755" s="1">
        <v>89</v>
      </c>
      <c r="BY755" s="1">
        <v>89</v>
      </c>
      <c r="BZ755" s="1">
        <v>87</v>
      </c>
      <c r="CB755" s="1" t="str">
        <f t="shared" ref="CB755:CC755" si="588">""</f>
        <v/>
      </c>
      <c r="CC755" s="1" t="str">
        <f t="shared" si="588"/>
        <v/>
      </c>
      <c r="CG755" s="1" t="s">
        <v>8708</v>
      </c>
      <c r="CH755" s="1" t="s">
        <v>277</v>
      </c>
      <c r="CI755" s="1" t="s">
        <v>220</v>
      </c>
      <c r="CJ755" s="1" t="s">
        <v>252</v>
      </c>
      <c r="CK755" s="1" t="s">
        <v>539</v>
      </c>
      <c r="CL755" s="1" t="s">
        <v>277</v>
      </c>
      <c r="CM755" s="1" t="s">
        <v>220</v>
      </c>
      <c r="CN755" s="1" t="s">
        <v>252</v>
      </c>
      <c r="CP755" s="1" t="s">
        <v>224</v>
      </c>
      <c r="CS755" s="1" t="s">
        <v>318</v>
      </c>
      <c r="CT755" s="1" t="s">
        <v>277</v>
      </c>
      <c r="CU755" s="1" t="s">
        <v>220</v>
      </c>
      <c r="CV755" s="1" t="s">
        <v>252</v>
      </c>
      <c r="CX755" s="1" t="s">
        <v>224</v>
      </c>
      <c r="DB755" s="1" t="s">
        <v>224</v>
      </c>
      <c r="DE755" s="1" t="s">
        <v>316</v>
      </c>
      <c r="DF755" s="1" t="s">
        <v>277</v>
      </c>
      <c r="DG755" s="1" t="s">
        <v>226</v>
      </c>
      <c r="DJ755" s="1" t="s">
        <v>224</v>
      </c>
      <c r="DS755" s="1" t="s">
        <v>230</v>
      </c>
      <c r="DW755" s="1" t="s">
        <v>230</v>
      </c>
      <c r="EA755" s="1" t="s">
        <v>230</v>
      </c>
      <c r="EE755" s="1" t="s">
        <v>230</v>
      </c>
      <c r="EI755" s="1" t="s">
        <v>230</v>
      </c>
      <c r="EL755" s="1" t="s">
        <v>231</v>
      </c>
      <c r="EM755" s="1" t="s">
        <v>232</v>
      </c>
      <c r="EN755" s="1" t="s">
        <v>282</v>
      </c>
      <c r="EO755" s="1" t="s">
        <v>234</v>
      </c>
      <c r="EP755" s="1" t="s">
        <v>936</v>
      </c>
      <c r="EQ755" s="1" t="s">
        <v>2188</v>
      </c>
      <c r="ER755" s="1" t="s">
        <v>210</v>
      </c>
      <c r="ES755" s="1" t="s">
        <v>1552</v>
      </c>
      <c r="ET755" s="1" t="s">
        <v>842</v>
      </c>
      <c r="EU755" s="1" t="s">
        <v>1894</v>
      </c>
      <c r="EV755" s="1" t="s">
        <v>240</v>
      </c>
      <c r="EW755" s="1" t="s">
        <v>286</v>
      </c>
      <c r="EY755" s="1" t="s">
        <v>242</v>
      </c>
      <c r="EZ755" s="1" t="s">
        <v>287</v>
      </c>
      <c r="FA755" s="1" t="s">
        <v>471</v>
      </c>
      <c r="FB755" s="1" t="s">
        <v>289</v>
      </c>
      <c r="FD755" s="1" t="s">
        <v>495</v>
      </c>
      <c r="FE755" s="1" t="s">
        <v>8709</v>
      </c>
      <c r="FF755" s="1" t="s">
        <v>248</v>
      </c>
      <c r="FH755" s="1" t="s">
        <v>249</v>
      </c>
      <c r="FI755" s="1" t="s">
        <v>473</v>
      </c>
      <c r="FJ755" s="1" t="s">
        <v>197</v>
      </c>
      <c r="FL755" s="1" t="s">
        <v>358</v>
      </c>
      <c r="FM755" s="1" t="s">
        <v>252</v>
      </c>
      <c r="FN755" s="1" t="s">
        <v>213</v>
      </c>
      <c r="FO755" s="1" t="s">
        <v>213</v>
      </c>
      <c r="FQ755" s="1" t="s">
        <v>615</v>
      </c>
      <c r="FR755" s="1" t="s">
        <v>210</v>
      </c>
      <c r="FS755" s="1" t="s">
        <v>8710</v>
      </c>
      <c r="FT755" s="1" t="s">
        <v>8711</v>
      </c>
      <c r="FU755" s="1" t="s">
        <v>204</v>
      </c>
      <c r="FW755" s="1" t="s">
        <v>8712</v>
      </c>
      <c r="FX755" s="1">
        <v>24213</v>
      </c>
      <c r="FY755" s="1" t="s">
        <v>8713</v>
      </c>
      <c r="FZ755" s="1" t="s">
        <v>8714</v>
      </c>
      <c r="GA755" s="1">
        <v>244776</v>
      </c>
      <c r="GB755" s="1" t="s">
        <v>8715</v>
      </c>
      <c r="GE755" s="1" t="s">
        <v>210</v>
      </c>
      <c r="GI755" s="1" t="s">
        <v>213</v>
      </c>
      <c r="GJ755" s="1" t="s">
        <v>260</v>
      </c>
      <c r="GK755" s="1" t="s">
        <v>210</v>
      </c>
      <c r="GL755" s="2">
        <v>42073</v>
      </c>
      <c r="GM755" s="1" t="s">
        <v>8716</v>
      </c>
    </row>
    <row r="756" spans="1:195">
      <c r="A756" s="1">
        <v>257500</v>
      </c>
      <c r="B756" s="1" t="s">
        <v>195</v>
      </c>
      <c r="C756" s="1" t="str">
        <f>"08813361"</f>
        <v>08813361</v>
      </c>
      <c r="D756" s="1" t="s">
        <v>196</v>
      </c>
      <c r="F756" s="1" t="str">
        <f>"174"</f>
        <v>174</v>
      </c>
      <c r="G756" s="2">
        <v>42013</v>
      </c>
      <c r="H756" s="1">
        <v>265000</v>
      </c>
      <c r="I756" s="1">
        <v>265000</v>
      </c>
      <c r="J756" s="1">
        <v>257500</v>
      </c>
      <c r="K756" s="2">
        <v>42013</v>
      </c>
      <c r="L756" s="1">
        <v>17</v>
      </c>
      <c r="M756" s="2">
        <v>42029</v>
      </c>
      <c r="N756" s="1">
        <v>17</v>
      </c>
      <c r="O756" s="2">
        <v>42029</v>
      </c>
      <c r="P756" s="1">
        <v>23591</v>
      </c>
      <c r="Q756" s="1" t="s">
        <v>423</v>
      </c>
      <c r="R756" s="2">
        <v>42090</v>
      </c>
      <c r="S756" s="1">
        <v>236485</v>
      </c>
      <c r="U756" s="1">
        <v>3731</v>
      </c>
      <c r="V756" s="1" t="s">
        <v>8717</v>
      </c>
      <c r="W756" s="1" t="s">
        <v>504</v>
      </c>
      <c r="Y756" s="1">
        <v>6</v>
      </c>
      <c r="Z756" s="1" t="s">
        <v>370</v>
      </c>
      <c r="AA756" s="1" t="s">
        <v>879</v>
      </c>
      <c r="AB756" s="1">
        <v>60174</v>
      </c>
      <c r="AD756" s="1" t="s">
        <v>8718</v>
      </c>
      <c r="AE756" s="1" t="s">
        <v>8719</v>
      </c>
      <c r="AF756" s="1">
        <v>1998</v>
      </c>
      <c r="AG756" s="1" t="s">
        <v>204</v>
      </c>
      <c r="AH756" s="1" t="s">
        <v>883</v>
      </c>
      <c r="AI756" s="1" t="s">
        <v>665</v>
      </c>
      <c r="AJ756" s="1" t="s">
        <v>883</v>
      </c>
      <c r="AL756" s="1">
        <v>7</v>
      </c>
      <c r="AM756" s="1">
        <v>2</v>
      </c>
      <c r="AN756" s="1">
        <v>2</v>
      </c>
      <c r="AO756" s="1">
        <v>1</v>
      </c>
      <c r="AP756" s="1" t="s">
        <v>209</v>
      </c>
      <c r="AQ756" s="1">
        <v>1</v>
      </c>
      <c r="AR756" s="1" t="s">
        <v>209</v>
      </c>
      <c r="AS756" s="1" t="s">
        <v>204</v>
      </c>
      <c r="AT756" s="1" t="s">
        <v>211</v>
      </c>
      <c r="AU756" s="1">
        <v>2</v>
      </c>
      <c r="AW756" s="1" t="s">
        <v>204</v>
      </c>
      <c r="AX756" s="1" t="s">
        <v>8720</v>
      </c>
      <c r="AZ756" s="1">
        <v>7030.56</v>
      </c>
      <c r="BA756" s="1">
        <v>2013</v>
      </c>
      <c r="BB756" s="1" t="s">
        <v>405</v>
      </c>
      <c r="BE756" s="1">
        <v>1784</v>
      </c>
      <c r="BF756" s="1">
        <v>1</v>
      </c>
      <c r="BG756" s="1">
        <v>0</v>
      </c>
      <c r="BL756" s="1">
        <v>189</v>
      </c>
      <c r="BM756" s="1" t="s">
        <v>204</v>
      </c>
      <c r="BN756" s="1" t="s">
        <v>213</v>
      </c>
      <c r="BO756" s="1">
        <v>999</v>
      </c>
      <c r="BP756" s="1" t="s">
        <v>204</v>
      </c>
      <c r="BR756" s="1" t="str">
        <f>"0924478107"</f>
        <v>0924478107</v>
      </c>
      <c r="BT756" s="1" t="s">
        <v>8721</v>
      </c>
      <c r="BU756" s="1" t="s">
        <v>8722</v>
      </c>
      <c r="BV756" s="1" t="s">
        <v>2118</v>
      </c>
      <c r="BW756" s="1" t="s">
        <v>2119</v>
      </c>
      <c r="BX756" s="1">
        <v>303</v>
      </c>
      <c r="BY756" s="1">
        <v>303</v>
      </c>
      <c r="BZ756" s="1">
        <v>303</v>
      </c>
      <c r="CB756" s="1" t="str">
        <f t="shared" ref="CB756:CC756" si="589">""</f>
        <v/>
      </c>
      <c r="CC756" s="1" t="str">
        <f t="shared" si="589"/>
        <v/>
      </c>
      <c r="CG756" s="1" t="s">
        <v>932</v>
      </c>
      <c r="CH756" s="1" t="s">
        <v>219</v>
      </c>
      <c r="CI756" s="1" t="s">
        <v>220</v>
      </c>
      <c r="CJ756" s="1" t="s">
        <v>343</v>
      </c>
      <c r="CK756" s="1" t="s">
        <v>729</v>
      </c>
      <c r="CL756" s="1" t="s">
        <v>277</v>
      </c>
      <c r="CM756" s="1" t="s">
        <v>220</v>
      </c>
      <c r="CN756" s="1" t="s">
        <v>343</v>
      </c>
      <c r="CO756" s="1" t="s">
        <v>465</v>
      </c>
      <c r="CP756" s="1" t="s">
        <v>219</v>
      </c>
      <c r="CQ756" s="1" t="s">
        <v>438</v>
      </c>
      <c r="CS756" s="1" t="s">
        <v>465</v>
      </c>
      <c r="CT756" s="1" t="s">
        <v>277</v>
      </c>
      <c r="CU756" s="1" t="s">
        <v>220</v>
      </c>
      <c r="CV756" s="1" t="s">
        <v>343</v>
      </c>
      <c r="CX756" s="1" t="s">
        <v>224</v>
      </c>
      <c r="DB756" s="1" t="s">
        <v>224</v>
      </c>
      <c r="DE756" s="1" t="s">
        <v>344</v>
      </c>
      <c r="DF756" s="1" t="s">
        <v>219</v>
      </c>
      <c r="DG756" s="1" t="s">
        <v>438</v>
      </c>
      <c r="DJ756" s="1" t="s">
        <v>224</v>
      </c>
      <c r="DM756" s="1" t="s">
        <v>7771</v>
      </c>
      <c r="DN756" s="1" t="s">
        <v>464</v>
      </c>
      <c r="DO756" s="1" t="s">
        <v>709</v>
      </c>
      <c r="DR756" s="1" t="s">
        <v>409</v>
      </c>
      <c r="DS756" s="1" t="s">
        <v>219</v>
      </c>
      <c r="DT756" s="1" t="s">
        <v>438</v>
      </c>
      <c r="DU756" s="1" t="s">
        <v>343</v>
      </c>
      <c r="DV756" s="1" t="s">
        <v>1612</v>
      </c>
      <c r="DW756" s="1" t="s">
        <v>277</v>
      </c>
      <c r="DX756" s="1" t="s">
        <v>220</v>
      </c>
      <c r="DY756" s="1" t="s">
        <v>343</v>
      </c>
      <c r="DZ756" s="1" t="s">
        <v>6343</v>
      </c>
      <c r="EA756" s="1" t="s">
        <v>219</v>
      </c>
      <c r="EB756" s="1" t="s">
        <v>438</v>
      </c>
      <c r="EC756" s="1" t="s">
        <v>463</v>
      </c>
      <c r="EE756" s="1" t="s">
        <v>230</v>
      </c>
      <c r="EI756" s="1" t="s">
        <v>230</v>
      </c>
      <c r="EL756" s="1" t="s">
        <v>670</v>
      </c>
      <c r="EM756" s="1" t="s">
        <v>319</v>
      </c>
      <c r="EN756" s="1" t="s">
        <v>282</v>
      </c>
      <c r="EO756" s="1" t="s">
        <v>234</v>
      </c>
      <c r="EQ756" s="1" t="s">
        <v>2188</v>
      </c>
      <c r="ER756" s="1" t="s">
        <v>1249</v>
      </c>
      <c r="ES756" s="1" t="s">
        <v>493</v>
      </c>
      <c r="ET756" s="1" t="s">
        <v>842</v>
      </c>
      <c r="EU756" s="1" t="s">
        <v>610</v>
      </c>
      <c r="EV756" s="1" t="s">
        <v>324</v>
      </c>
      <c r="EW756" s="1" t="s">
        <v>867</v>
      </c>
      <c r="EY756" s="1" t="s">
        <v>242</v>
      </c>
      <c r="EZ756" s="1" t="s">
        <v>8723</v>
      </c>
      <c r="FA756" s="1" t="s">
        <v>2622</v>
      </c>
      <c r="FC756" s="1" t="s">
        <v>1362</v>
      </c>
      <c r="FD756" s="1" t="s">
        <v>246</v>
      </c>
      <c r="FE756" s="1" t="s">
        <v>549</v>
      </c>
      <c r="FF756" s="1" t="s">
        <v>248</v>
      </c>
      <c r="FG756" s="1" t="s">
        <v>912</v>
      </c>
      <c r="FH756" s="1" t="s">
        <v>550</v>
      </c>
      <c r="FI756" s="1" t="s">
        <v>473</v>
      </c>
      <c r="FL756" s="1" t="s">
        <v>358</v>
      </c>
      <c r="FM756" s="1" t="s">
        <v>252</v>
      </c>
      <c r="FN756" s="1" t="s">
        <v>213</v>
      </c>
      <c r="FO756" s="1" t="s">
        <v>213</v>
      </c>
      <c r="FQ756" s="1" t="s">
        <v>8724</v>
      </c>
      <c r="FR756" s="1" t="s">
        <v>411</v>
      </c>
      <c r="FS756" s="1" t="s">
        <v>8725</v>
      </c>
      <c r="FT756" s="1" t="s">
        <v>362</v>
      </c>
      <c r="FU756" s="1" t="s">
        <v>204</v>
      </c>
      <c r="FW756" s="1" t="s">
        <v>585</v>
      </c>
      <c r="FX756" s="1">
        <v>10013</v>
      </c>
      <c r="FY756" s="1" t="s">
        <v>1979</v>
      </c>
      <c r="FZ756" s="1" t="s">
        <v>8726</v>
      </c>
      <c r="GA756" s="1">
        <v>176348</v>
      </c>
      <c r="GB756" s="1" t="s">
        <v>8727</v>
      </c>
      <c r="GE756" s="1" t="s">
        <v>210</v>
      </c>
      <c r="GI756" s="1" t="s">
        <v>213</v>
      </c>
      <c r="GJ756" s="1" t="s">
        <v>260</v>
      </c>
      <c r="GK756" s="1" t="s">
        <v>210</v>
      </c>
      <c r="GL756" s="2">
        <v>42090</v>
      </c>
    </row>
    <row r="757" spans="1:195">
      <c r="A757" s="1">
        <v>99000</v>
      </c>
      <c r="B757" s="1" t="s">
        <v>195</v>
      </c>
      <c r="C757" s="1" t="str">
        <f>"08808320"</f>
        <v>08808320</v>
      </c>
      <c r="D757" s="1" t="s">
        <v>196</v>
      </c>
      <c r="F757" s="1" t="str">
        <f>"560"</f>
        <v>560</v>
      </c>
      <c r="G757" s="2">
        <v>42006</v>
      </c>
      <c r="H757" s="1">
        <v>105000</v>
      </c>
      <c r="I757" s="1">
        <v>105000</v>
      </c>
      <c r="J757" s="1">
        <v>99000</v>
      </c>
      <c r="K757" s="2">
        <v>42006</v>
      </c>
      <c r="L757" s="1">
        <v>48</v>
      </c>
      <c r="M757" s="2">
        <v>42053</v>
      </c>
      <c r="N757" s="1">
        <v>48</v>
      </c>
      <c r="O757" s="2">
        <v>42053</v>
      </c>
      <c r="P757" s="1">
        <v>24695</v>
      </c>
      <c r="Q757" s="1" t="s">
        <v>423</v>
      </c>
      <c r="R757" s="2">
        <v>42083</v>
      </c>
      <c r="S757" s="1">
        <v>243420</v>
      </c>
      <c r="U757" s="1">
        <v>1528</v>
      </c>
      <c r="V757" s="1" t="s">
        <v>2677</v>
      </c>
      <c r="W757" s="1" t="s">
        <v>526</v>
      </c>
      <c r="Y757" s="1">
        <v>4</v>
      </c>
      <c r="Z757" s="1" t="s">
        <v>370</v>
      </c>
      <c r="AA757" s="1" t="s">
        <v>484</v>
      </c>
      <c r="AB757" s="1">
        <v>60560</v>
      </c>
      <c r="AE757" s="1" t="s">
        <v>8728</v>
      </c>
      <c r="AF757" s="1">
        <v>1995</v>
      </c>
      <c r="AG757" s="1" t="s">
        <v>204</v>
      </c>
      <c r="AH757" s="1" t="s">
        <v>487</v>
      </c>
      <c r="AI757" s="1" t="s">
        <v>453</v>
      </c>
      <c r="AJ757" s="1" t="s">
        <v>454</v>
      </c>
      <c r="AL757" s="1">
        <v>4</v>
      </c>
      <c r="AM757" s="1">
        <v>2</v>
      </c>
      <c r="AN757" s="1">
        <v>2</v>
      </c>
      <c r="AO757" s="1">
        <v>1</v>
      </c>
      <c r="AP757" s="1" t="s">
        <v>209</v>
      </c>
      <c r="AR757" s="1" t="s">
        <v>210</v>
      </c>
      <c r="AS757" s="1" t="s">
        <v>204</v>
      </c>
      <c r="AT757" s="1" t="s">
        <v>211</v>
      </c>
      <c r="AU757" s="1">
        <v>1</v>
      </c>
      <c r="AW757" s="1" t="s">
        <v>204</v>
      </c>
      <c r="AX757" s="1" t="s">
        <v>212</v>
      </c>
      <c r="AZ757" s="1">
        <v>2407.6</v>
      </c>
      <c r="BA757" s="1">
        <v>2013</v>
      </c>
      <c r="BE757" s="1">
        <v>1280</v>
      </c>
      <c r="BF757" s="1">
        <v>1</v>
      </c>
      <c r="BG757" s="1">
        <v>0</v>
      </c>
      <c r="BL757" s="1">
        <v>110</v>
      </c>
      <c r="BM757" s="1" t="s">
        <v>204</v>
      </c>
      <c r="BN757" s="1" t="s">
        <v>213</v>
      </c>
      <c r="BO757" s="1">
        <v>0</v>
      </c>
      <c r="BP757" s="1" t="s">
        <v>204</v>
      </c>
      <c r="BR757" s="1" t="str">
        <f>"0230104012"</f>
        <v>0230104012</v>
      </c>
      <c r="BT757" s="1" t="s">
        <v>8729</v>
      </c>
      <c r="BX757" s="1">
        <v>115</v>
      </c>
      <c r="BY757" s="1">
        <v>115</v>
      </c>
      <c r="BZ757" s="1">
        <v>115</v>
      </c>
      <c r="CB757" s="1" t="str">
        <f t="shared" ref="CB757:CC757" si="590">""</f>
        <v/>
      </c>
      <c r="CC757" s="1" t="str">
        <f t="shared" si="590"/>
        <v/>
      </c>
      <c r="CG757" s="1" t="s">
        <v>2511</v>
      </c>
      <c r="CH757" s="1" t="s">
        <v>219</v>
      </c>
      <c r="CI757" s="1" t="s">
        <v>220</v>
      </c>
      <c r="CJ757" s="1" t="s">
        <v>343</v>
      </c>
      <c r="CK757" s="1" t="s">
        <v>757</v>
      </c>
      <c r="CL757" s="1" t="s">
        <v>277</v>
      </c>
      <c r="CM757" s="1" t="s">
        <v>220</v>
      </c>
      <c r="CN757" s="1" t="s">
        <v>343</v>
      </c>
      <c r="CP757" s="1" t="s">
        <v>224</v>
      </c>
      <c r="CS757" s="1" t="s">
        <v>465</v>
      </c>
      <c r="CT757" s="1" t="s">
        <v>277</v>
      </c>
      <c r="CU757" s="1" t="s">
        <v>220</v>
      </c>
      <c r="CV757" s="1" t="s">
        <v>343</v>
      </c>
      <c r="CX757" s="1" t="s">
        <v>224</v>
      </c>
      <c r="DB757" s="1" t="s">
        <v>224</v>
      </c>
      <c r="DE757" s="1" t="s">
        <v>758</v>
      </c>
      <c r="DF757" s="1" t="s">
        <v>219</v>
      </c>
      <c r="DG757" s="1" t="s">
        <v>229</v>
      </c>
      <c r="DH757" s="1" t="s">
        <v>210</v>
      </c>
      <c r="DJ757" s="1" t="s">
        <v>224</v>
      </c>
      <c r="DS757" s="1" t="s">
        <v>230</v>
      </c>
      <c r="DW757" s="1" t="s">
        <v>230</v>
      </c>
      <c r="EA757" s="1" t="s">
        <v>230</v>
      </c>
      <c r="EE757" s="1" t="s">
        <v>230</v>
      </c>
      <c r="EI757" s="1" t="s">
        <v>230</v>
      </c>
      <c r="EL757" s="1" t="s">
        <v>670</v>
      </c>
      <c r="EM757" s="1" t="s">
        <v>319</v>
      </c>
      <c r="EN757" s="1" t="s">
        <v>282</v>
      </c>
      <c r="EO757" s="1" t="s">
        <v>234</v>
      </c>
      <c r="ER757" s="1" t="s">
        <v>210</v>
      </c>
      <c r="EW757" s="1" t="s">
        <v>887</v>
      </c>
      <c r="EZ757" s="1" t="s">
        <v>287</v>
      </c>
      <c r="FD757" s="1" t="s">
        <v>246</v>
      </c>
      <c r="FE757" s="1" t="s">
        <v>472</v>
      </c>
      <c r="FF757" s="1" t="s">
        <v>248</v>
      </c>
      <c r="FH757" s="1" t="s">
        <v>550</v>
      </c>
      <c r="FI757" s="1" t="s">
        <v>473</v>
      </c>
      <c r="FL757" s="1" t="s">
        <v>414</v>
      </c>
      <c r="FM757" s="1" t="s">
        <v>252</v>
      </c>
      <c r="FN757" s="1" t="s">
        <v>213</v>
      </c>
      <c r="FO757" s="1" t="s">
        <v>213</v>
      </c>
      <c r="FQ757" s="1" t="s">
        <v>8730</v>
      </c>
      <c r="FR757" s="1" t="s">
        <v>652</v>
      </c>
      <c r="FS757" s="1" t="s">
        <v>4787</v>
      </c>
      <c r="FT757" s="1" t="s">
        <v>295</v>
      </c>
      <c r="FU757" s="1" t="s">
        <v>204</v>
      </c>
      <c r="FW757" s="1" t="s">
        <v>8731</v>
      </c>
      <c r="FX757" s="1">
        <v>24504</v>
      </c>
      <c r="FY757" s="1" t="s">
        <v>8732</v>
      </c>
      <c r="FZ757" s="1" t="s">
        <v>8733</v>
      </c>
      <c r="GA757" s="1">
        <v>236067</v>
      </c>
      <c r="GB757" s="1" t="s">
        <v>8734</v>
      </c>
      <c r="GE757" s="1" t="s">
        <v>480</v>
      </c>
      <c r="GI757" s="1" t="s">
        <v>213</v>
      </c>
      <c r="GJ757" s="1" t="s">
        <v>260</v>
      </c>
      <c r="GK757" s="1" t="s">
        <v>210</v>
      </c>
      <c r="GL757" s="2">
        <v>42088</v>
      </c>
    </row>
    <row r="758" spans="1:195">
      <c r="A758" s="1">
        <v>57996</v>
      </c>
      <c r="B758" s="1" t="s">
        <v>195</v>
      </c>
      <c r="C758" s="1" t="str">
        <f>"08809418"</f>
        <v>08809418</v>
      </c>
      <c r="D758" s="1" t="s">
        <v>196</v>
      </c>
      <c r="F758" s="1" t="str">
        <f>"73"</f>
        <v>73</v>
      </c>
      <c r="G758" s="2">
        <v>42009</v>
      </c>
      <c r="H758" s="1">
        <v>59996</v>
      </c>
      <c r="I758" s="1">
        <v>59996</v>
      </c>
      <c r="J758" s="1">
        <v>57996</v>
      </c>
      <c r="K758" s="2">
        <v>42009</v>
      </c>
      <c r="L758" s="1">
        <v>10</v>
      </c>
      <c r="M758" s="2">
        <v>42018</v>
      </c>
      <c r="N758" s="1">
        <v>10</v>
      </c>
      <c r="O758" s="2">
        <v>42018</v>
      </c>
      <c r="P758" s="1">
        <v>2648</v>
      </c>
      <c r="Q758" s="1" t="s">
        <v>302</v>
      </c>
      <c r="R758" s="2">
        <v>42032</v>
      </c>
      <c r="S758" s="1">
        <v>18093</v>
      </c>
      <c r="U758" s="1">
        <v>337</v>
      </c>
      <c r="V758" s="1" t="s">
        <v>8735</v>
      </c>
      <c r="W758" s="1" t="s">
        <v>504</v>
      </c>
      <c r="Y758" s="1">
        <v>4</v>
      </c>
      <c r="Z758" s="1" t="s">
        <v>200</v>
      </c>
      <c r="AA758" s="1" t="s">
        <v>1027</v>
      </c>
      <c r="AB758" s="1">
        <v>60073</v>
      </c>
      <c r="AE758" s="1" t="s">
        <v>8736</v>
      </c>
      <c r="AF758" s="1" t="s">
        <v>402</v>
      </c>
      <c r="AG758" s="1" t="s">
        <v>204</v>
      </c>
      <c r="AH758" s="1" t="s">
        <v>1029</v>
      </c>
      <c r="AI758" s="1" t="s">
        <v>509</v>
      </c>
      <c r="AJ758" s="1" t="s">
        <v>1263</v>
      </c>
      <c r="AL758" s="1">
        <v>4</v>
      </c>
      <c r="AM758" s="1">
        <v>2</v>
      </c>
      <c r="AN758" s="1">
        <v>1</v>
      </c>
      <c r="AO758" s="1">
        <v>1</v>
      </c>
      <c r="AP758" s="1" t="s">
        <v>210</v>
      </c>
      <c r="AQ758" s="1">
        <v>1</v>
      </c>
      <c r="AR758" s="1" t="s">
        <v>210</v>
      </c>
      <c r="AT758" s="1" t="s">
        <v>211</v>
      </c>
      <c r="AU758" s="1">
        <v>1</v>
      </c>
      <c r="AW758" s="1" t="s">
        <v>204</v>
      </c>
      <c r="AX758" s="1" t="s">
        <v>8737</v>
      </c>
      <c r="AZ758" s="1">
        <v>2035.2</v>
      </c>
      <c r="BA758" s="1">
        <v>2013</v>
      </c>
      <c r="BB758" s="1" t="s">
        <v>210</v>
      </c>
      <c r="BE758" s="1">
        <v>0</v>
      </c>
      <c r="BF758" s="1">
        <v>1</v>
      </c>
      <c r="BG758" s="1">
        <v>21</v>
      </c>
      <c r="BL758" s="1">
        <v>210</v>
      </c>
      <c r="BM758" s="1" t="s">
        <v>413</v>
      </c>
      <c r="BN758" s="1" t="s">
        <v>213</v>
      </c>
      <c r="BO758" s="1">
        <v>150</v>
      </c>
      <c r="BP758" s="1" t="s">
        <v>204</v>
      </c>
      <c r="BR758" s="1" t="str">
        <f>"06172010060000"</f>
        <v>06172010060000</v>
      </c>
      <c r="BT758" s="1" t="s">
        <v>8738</v>
      </c>
      <c r="BX758" s="1">
        <v>116</v>
      </c>
      <c r="BY758" s="1">
        <v>116</v>
      </c>
      <c r="BZ758" s="1">
        <v>116</v>
      </c>
      <c r="CB758" s="1" t="str">
        <f>"35"</f>
        <v>35</v>
      </c>
      <c r="CC758" s="1" t="str">
        <f>"0"</f>
        <v>0</v>
      </c>
      <c r="CD758" s="1">
        <v>23</v>
      </c>
      <c r="CE758" s="1">
        <v>0</v>
      </c>
      <c r="CG758" s="1" t="s">
        <v>2511</v>
      </c>
      <c r="CH758" s="1" t="s">
        <v>219</v>
      </c>
      <c r="CI758" s="1" t="s">
        <v>229</v>
      </c>
      <c r="CK758" s="1" t="s">
        <v>461</v>
      </c>
      <c r="CL758" s="1" t="s">
        <v>277</v>
      </c>
      <c r="CM758" s="1" t="s">
        <v>229</v>
      </c>
      <c r="CP758" s="1" t="s">
        <v>224</v>
      </c>
      <c r="CS758" s="1" t="s">
        <v>379</v>
      </c>
      <c r="CT758" s="1" t="s">
        <v>277</v>
      </c>
      <c r="CU758" s="1" t="s">
        <v>229</v>
      </c>
      <c r="CX758" s="1" t="s">
        <v>224</v>
      </c>
      <c r="DB758" s="1" t="s">
        <v>224</v>
      </c>
      <c r="DE758" s="1" t="s">
        <v>346</v>
      </c>
      <c r="DF758" s="1" t="s">
        <v>219</v>
      </c>
      <c r="DG758" s="1" t="s">
        <v>226</v>
      </c>
      <c r="DJ758" s="1" t="s">
        <v>224</v>
      </c>
      <c r="DS758" s="1" t="s">
        <v>230</v>
      </c>
      <c r="DW758" s="1" t="s">
        <v>230</v>
      </c>
      <c r="EA758" s="1" t="s">
        <v>230</v>
      </c>
      <c r="EE758" s="1" t="s">
        <v>230</v>
      </c>
      <c r="EI758" s="1" t="s">
        <v>230</v>
      </c>
      <c r="EL758" s="1" t="s">
        <v>382</v>
      </c>
      <c r="EM758" s="1" t="s">
        <v>319</v>
      </c>
      <c r="EN758" s="1" t="s">
        <v>282</v>
      </c>
      <c r="EO758" s="1" t="s">
        <v>234</v>
      </c>
      <c r="EQ758" s="1" t="s">
        <v>236</v>
      </c>
      <c r="ER758" s="1" t="s">
        <v>210</v>
      </c>
      <c r="EW758" s="1" t="s">
        <v>8739</v>
      </c>
      <c r="EZ758" s="1" t="s">
        <v>287</v>
      </c>
      <c r="FD758" s="1" t="s">
        <v>2252</v>
      </c>
      <c r="FE758" s="1" t="s">
        <v>472</v>
      </c>
      <c r="FF758" s="1" t="s">
        <v>248</v>
      </c>
      <c r="FH758" s="1" t="s">
        <v>550</v>
      </c>
      <c r="FL758" s="1" t="s">
        <v>358</v>
      </c>
      <c r="FM758" s="1" t="s">
        <v>252</v>
      </c>
      <c r="FN758" s="1" t="s">
        <v>213</v>
      </c>
      <c r="FO758" s="1" t="s">
        <v>213</v>
      </c>
      <c r="FQ758" s="1" t="s">
        <v>8740</v>
      </c>
      <c r="FR758" s="1" t="s">
        <v>210</v>
      </c>
      <c r="FS758" s="1" t="s">
        <v>8741</v>
      </c>
      <c r="FT758" s="1" t="s">
        <v>295</v>
      </c>
      <c r="FU758" s="1" t="s">
        <v>213</v>
      </c>
      <c r="FW758" s="1" t="s">
        <v>8742</v>
      </c>
      <c r="FX758" s="1">
        <v>1448</v>
      </c>
      <c r="FY758" s="1" t="s">
        <v>8743</v>
      </c>
      <c r="FZ758" s="1" t="s">
        <v>8744</v>
      </c>
      <c r="GA758" s="1">
        <v>86505</v>
      </c>
      <c r="GB758" s="1" t="s">
        <v>8745</v>
      </c>
      <c r="GD758" s="1" t="s">
        <v>8746</v>
      </c>
      <c r="GE758" s="1" t="s">
        <v>210</v>
      </c>
      <c r="GI758" s="1" t="s">
        <v>213</v>
      </c>
      <c r="GJ758" s="1" t="s">
        <v>260</v>
      </c>
      <c r="GK758" s="1" t="s">
        <v>210</v>
      </c>
      <c r="GL758" s="2">
        <v>42033</v>
      </c>
      <c r="GM758" s="1" t="s">
        <v>8747</v>
      </c>
    </row>
    <row r="759" spans="1:195">
      <c r="A759" s="1">
        <v>107000</v>
      </c>
      <c r="B759" s="1" t="s">
        <v>195</v>
      </c>
      <c r="C759" s="1" t="str">
        <f>"08815299"</f>
        <v>08815299</v>
      </c>
      <c r="D759" s="1" t="s">
        <v>196</v>
      </c>
      <c r="F759" s="1" t="str">
        <f>"515"</f>
        <v>515</v>
      </c>
      <c r="G759" s="2">
        <v>42017</v>
      </c>
      <c r="H759" s="1">
        <v>112900</v>
      </c>
      <c r="I759" s="1">
        <v>112500</v>
      </c>
      <c r="J759" s="1">
        <v>107000</v>
      </c>
      <c r="K759" s="2">
        <v>42017</v>
      </c>
      <c r="L759" s="1">
        <v>144</v>
      </c>
      <c r="M759" s="2">
        <v>42051</v>
      </c>
      <c r="N759" s="1">
        <v>35</v>
      </c>
      <c r="O759" s="2">
        <v>42051</v>
      </c>
      <c r="P759" s="1">
        <v>20199</v>
      </c>
      <c r="Q759" s="1" t="s">
        <v>197</v>
      </c>
      <c r="R759" s="2">
        <v>42089</v>
      </c>
      <c r="S759" s="1">
        <v>213133</v>
      </c>
      <c r="U759" s="1">
        <v>7930</v>
      </c>
      <c r="V759" s="1" t="s">
        <v>8748</v>
      </c>
      <c r="W759" s="1" t="s">
        <v>504</v>
      </c>
      <c r="X759" s="1">
        <v>107</v>
      </c>
      <c r="Y759" s="1">
        <v>20</v>
      </c>
      <c r="Z759" s="1" t="s">
        <v>249</v>
      </c>
      <c r="AA759" s="1" t="s">
        <v>1294</v>
      </c>
      <c r="AB759" s="1">
        <v>60516</v>
      </c>
      <c r="AD759" s="1" t="s">
        <v>6040</v>
      </c>
      <c r="AE759" s="1" t="s">
        <v>8749</v>
      </c>
      <c r="AF759" s="1">
        <v>1969</v>
      </c>
      <c r="AG759" s="1" t="s">
        <v>213</v>
      </c>
      <c r="AH759" s="1" t="s">
        <v>882</v>
      </c>
      <c r="AI759" s="1" t="s">
        <v>206</v>
      </c>
      <c r="AJ759" s="1" t="s">
        <v>903</v>
      </c>
      <c r="AL759" s="1">
        <v>5</v>
      </c>
      <c r="AM759" s="1">
        <v>2</v>
      </c>
      <c r="AN759" s="1">
        <v>1</v>
      </c>
      <c r="AO759" s="1">
        <v>1</v>
      </c>
      <c r="AP759" s="1" t="s">
        <v>1234</v>
      </c>
      <c r="AR759" s="1" t="s">
        <v>210</v>
      </c>
      <c r="AT759" s="1" t="s">
        <v>211</v>
      </c>
      <c r="AU759" s="1">
        <v>1</v>
      </c>
      <c r="AW759" s="1" t="s">
        <v>204</v>
      </c>
      <c r="AX759" s="1" t="s">
        <v>212</v>
      </c>
      <c r="AZ759" s="1">
        <v>1506</v>
      </c>
      <c r="BA759" s="1">
        <v>2013</v>
      </c>
      <c r="BB759" s="1" t="s">
        <v>405</v>
      </c>
      <c r="BE759" s="1">
        <v>1058</v>
      </c>
      <c r="BF759" s="1">
        <v>1</v>
      </c>
      <c r="BG759" s="1">
        <v>30</v>
      </c>
      <c r="BL759" s="1">
        <v>318</v>
      </c>
      <c r="BM759" s="1" t="s">
        <v>204</v>
      </c>
      <c r="BN759" s="1" t="s">
        <v>213</v>
      </c>
      <c r="BP759" s="1" t="s">
        <v>204</v>
      </c>
      <c r="BR759" s="1" t="str">
        <f>"0932209004"</f>
        <v>0932209004</v>
      </c>
      <c r="BT759" s="1" t="s">
        <v>8750</v>
      </c>
      <c r="BU759" s="1" t="s">
        <v>3998</v>
      </c>
      <c r="BV759" s="1" t="s">
        <v>3999</v>
      </c>
      <c r="BW759" s="1" t="s">
        <v>3099</v>
      </c>
      <c r="BX759" s="1">
        <v>66</v>
      </c>
      <c r="BY759" s="1">
        <v>66</v>
      </c>
      <c r="BZ759" s="1">
        <v>99</v>
      </c>
      <c r="CB759" s="1" t="str">
        <f t="shared" ref="CB759:CC759" si="591">""</f>
        <v/>
      </c>
      <c r="CC759" s="1" t="str">
        <f t="shared" si="591"/>
        <v/>
      </c>
      <c r="CG759" s="1" t="s">
        <v>218</v>
      </c>
      <c r="CH759" s="1" t="s">
        <v>219</v>
      </c>
      <c r="CI759" s="1" t="s">
        <v>438</v>
      </c>
      <c r="CJ759" s="1" t="s">
        <v>343</v>
      </c>
      <c r="CK759" s="1" t="s">
        <v>437</v>
      </c>
      <c r="CL759" s="1" t="s">
        <v>219</v>
      </c>
      <c r="CM759" s="1" t="s">
        <v>438</v>
      </c>
      <c r="CN759" s="1" t="s">
        <v>343</v>
      </c>
      <c r="CO759" s="1" t="s">
        <v>516</v>
      </c>
      <c r="CP759" s="1" t="s">
        <v>219</v>
      </c>
      <c r="CQ759" s="1" t="s">
        <v>438</v>
      </c>
      <c r="CR759" s="1" t="s">
        <v>210</v>
      </c>
      <c r="CS759" s="1" t="s">
        <v>1358</v>
      </c>
      <c r="CT759" s="1" t="s">
        <v>219</v>
      </c>
      <c r="CU759" s="1" t="s">
        <v>220</v>
      </c>
      <c r="CV759" s="1" t="s">
        <v>343</v>
      </c>
      <c r="CX759" s="1" t="s">
        <v>224</v>
      </c>
      <c r="DB759" s="1" t="s">
        <v>224</v>
      </c>
      <c r="DE759" s="1" t="s">
        <v>2308</v>
      </c>
      <c r="DF759" s="1" t="s">
        <v>219</v>
      </c>
      <c r="DG759" s="1" t="s">
        <v>438</v>
      </c>
      <c r="DH759" s="1" t="s">
        <v>210</v>
      </c>
      <c r="DJ759" s="1" t="s">
        <v>224</v>
      </c>
      <c r="DS759" s="1" t="s">
        <v>230</v>
      </c>
      <c r="DW759" s="1" t="s">
        <v>230</v>
      </c>
      <c r="EA759" s="1" t="s">
        <v>230</v>
      </c>
      <c r="EE759" s="1" t="s">
        <v>230</v>
      </c>
      <c r="EI759" s="1" t="s">
        <v>230</v>
      </c>
      <c r="EL759" s="1" t="s">
        <v>605</v>
      </c>
      <c r="EM759" s="1" t="s">
        <v>232</v>
      </c>
      <c r="EN759" s="1" t="s">
        <v>731</v>
      </c>
      <c r="EO759" s="1" t="s">
        <v>234</v>
      </c>
      <c r="EQ759" s="1" t="s">
        <v>4356</v>
      </c>
      <c r="ER759" s="1" t="s">
        <v>210</v>
      </c>
      <c r="ES759" s="1" t="s">
        <v>545</v>
      </c>
      <c r="EV759" s="1" t="s">
        <v>352</v>
      </c>
      <c r="EW759" s="1" t="s">
        <v>733</v>
      </c>
      <c r="EZ759" s="1" t="s">
        <v>287</v>
      </c>
      <c r="FD759" s="1" t="s">
        <v>736</v>
      </c>
      <c r="FE759" s="1" t="s">
        <v>247</v>
      </c>
      <c r="FF759" s="1" t="s">
        <v>248</v>
      </c>
      <c r="FH759" s="1" t="s">
        <v>249</v>
      </c>
      <c r="FL759" s="1" t="s">
        <v>328</v>
      </c>
      <c r="FM759" s="1" t="s">
        <v>252</v>
      </c>
      <c r="FN759" s="1" t="s">
        <v>213</v>
      </c>
      <c r="FO759" s="1" t="s">
        <v>213</v>
      </c>
      <c r="FQ759" s="1" t="s">
        <v>849</v>
      </c>
      <c r="FR759" s="1" t="s">
        <v>210</v>
      </c>
      <c r="FS759" s="1" t="s">
        <v>8751</v>
      </c>
      <c r="FT759" s="1" t="s">
        <v>255</v>
      </c>
      <c r="FU759" s="1" t="s">
        <v>213</v>
      </c>
      <c r="FW759" s="1" t="s">
        <v>8752</v>
      </c>
      <c r="FX759" s="1">
        <v>23658</v>
      </c>
      <c r="FY759" s="1" t="s">
        <v>8753</v>
      </c>
      <c r="FZ759" s="1" t="s">
        <v>8754</v>
      </c>
      <c r="GA759" s="1">
        <v>223380</v>
      </c>
      <c r="GB759" s="1" t="s">
        <v>8753</v>
      </c>
      <c r="GE759" s="1" t="s">
        <v>210</v>
      </c>
      <c r="GI759" s="1" t="s">
        <v>204</v>
      </c>
      <c r="GJ759" s="1" t="s">
        <v>260</v>
      </c>
      <c r="GK759" s="1" t="s">
        <v>210</v>
      </c>
      <c r="GL759" s="2">
        <v>42090</v>
      </c>
      <c r="GM759" s="1" t="s">
        <v>8755</v>
      </c>
    </row>
    <row r="760" spans="1:195">
      <c r="A760" s="1">
        <v>127000</v>
      </c>
      <c r="B760" s="1" t="s">
        <v>195</v>
      </c>
      <c r="C760" s="1" t="str">
        <f>"08813949"</f>
        <v>08813949</v>
      </c>
      <c r="D760" s="1" t="s">
        <v>196</v>
      </c>
      <c r="F760" s="1" t="str">
        <f>"73"</f>
        <v>73</v>
      </c>
      <c r="G760" s="2">
        <v>42015</v>
      </c>
      <c r="H760" s="1">
        <v>145000</v>
      </c>
      <c r="I760" s="1">
        <v>130000</v>
      </c>
      <c r="J760" s="1">
        <v>127000</v>
      </c>
      <c r="K760" s="2">
        <v>42015</v>
      </c>
      <c r="L760" s="1">
        <v>49</v>
      </c>
      <c r="M760" s="2">
        <v>42063</v>
      </c>
      <c r="N760" s="1">
        <v>49</v>
      </c>
      <c r="O760" s="2">
        <v>42063</v>
      </c>
      <c r="P760" s="1">
        <v>2700</v>
      </c>
      <c r="Q760" s="1" t="s">
        <v>197</v>
      </c>
      <c r="R760" s="2">
        <v>42123</v>
      </c>
      <c r="S760" s="1">
        <v>12114</v>
      </c>
      <c r="U760" s="1">
        <v>362</v>
      </c>
      <c r="V760" s="1" t="s">
        <v>8756</v>
      </c>
      <c r="W760" s="1" t="s">
        <v>449</v>
      </c>
      <c r="Y760" s="1">
        <v>4</v>
      </c>
      <c r="Z760" s="1" t="s">
        <v>370</v>
      </c>
      <c r="AA760" s="1" t="s">
        <v>1259</v>
      </c>
      <c r="AB760" s="1">
        <v>60073</v>
      </c>
      <c r="AD760" s="1" t="s">
        <v>8379</v>
      </c>
      <c r="AE760" s="1" t="s">
        <v>8757</v>
      </c>
      <c r="AF760" s="1">
        <v>2003</v>
      </c>
      <c r="AG760" s="1" t="s">
        <v>204</v>
      </c>
      <c r="AH760" s="1" t="s">
        <v>1262</v>
      </c>
      <c r="AI760" s="1" t="s">
        <v>509</v>
      </c>
      <c r="AJ760" s="1" t="s">
        <v>1016</v>
      </c>
      <c r="AL760" s="1">
        <v>6</v>
      </c>
      <c r="AM760" s="1">
        <v>2</v>
      </c>
      <c r="AN760" s="1">
        <v>2</v>
      </c>
      <c r="AO760" s="1">
        <v>1</v>
      </c>
      <c r="AP760" s="1" t="s">
        <v>209</v>
      </c>
      <c r="AR760" s="1" t="s">
        <v>210</v>
      </c>
      <c r="AS760" s="1" t="s">
        <v>204</v>
      </c>
      <c r="AT760" s="1" t="s">
        <v>211</v>
      </c>
      <c r="AU760" s="1">
        <v>2</v>
      </c>
      <c r="AW760" s="1" t="s">
        <v>204</v>
      </c>
      <c r="AX760" s="1" t="s">
        <v>212</v>
      </c>
      <c r="AZ760" s="1">
        <v>3339</v>
      </c>
      <c r="BA760" s="1">
        <v>2013</v>
      </c>
      <c r="BB760" s="1" t="s">
        <v>405</v>
      </c>
      <c r="BE760" s="1">
        <v>1662</v>
      </c>
      <c r="BF760" s="1">
        <v>1</v>
      </c>
      <c r="BG760" s="1">
        <v>0</v>
      </c>
      <c r="BL760" s="1">
        <v>204</v>
      </c>
      <c r="BM760" s="1" t="s">
        <v>204</v>
      </c>
      <c r="BN760" s="1" t="s">
        <v>213</v>
      </c>
      <c r="BO760" s="1">
        <v>0</v>
      </c>
      <c r="BP760" s="1" t="s">
        <v>204</v>
      </c>
      <c r="BR760" s="1" t="str">
        <f>"05251170240000"</f>
        <v>05251170240000</v>
      </c>
      <c r="BT760" s="1" t="s">
        <v>8758</v>
      </c>
      <c r="BU760" s="1" t="s">
        <v>6153</v>
      </c>
      <c r="BV760" s="1" t="s">
        <v>6488</v>
      </c>
      <c r="BX760" s="1">
        <v>38</v>
      </c>
      <c r="BY760" s="1">
        <v>38</v>
      </c>
      <c r="BZ760" s="1">
        <v>124</v>
      </c>
      <c r="CB760" s="1" t="str">
        <f t="shared" ref="CB760:CC760" si="592">""</f>
        <v/>
      </c>
      <c r="CC760" s="1" t="str">
        <f t="shared" si="592"/>
        <v/>
      </c>
      <c r="CG760" s="1" t="s">
        <v>1402</v>
      </c>
      <c r="CH760" s="1" t="s">
        <v>219</v>
      </c>
      <c r="CI760" s="1" t="s">
        <v>220</v>
      </c>
      <c r="CJ760" s="1" t="s">
        <v>343</v>
      </c>
      <c r="CK760" s="1" t="s">
        <v>1403</v>
      </c>
      <c r="CL760" s="1" t="s">
        <v>277</v>
      </c>
      <c r="CM760" s="1" t="s">
        <v>220</v>
      </c>
      <c r="CN760" s="1" t="s">
        <v>343</v>
      </c>
      <c r="CO760" s="1" t="s">
        <v>1358</v>
      </c>
      <c r="CP760" s="1" t="s">
        <v>219</v>
      </c>
      <c r="CQ760" s="1" t="s">
        <v>220</v>
      </c>
      <c r="CR760" s="1" t="s">
        <v>210</v>
      </c>
      <c r="CS760" s="1" t="s">
        <v>1469</v>
      </c>
      <c r="CT760" s="1" t="s">
        <v>277</v>
      </c>
      <c r="CU760" s="1" t="s">
        <v>220</v>
      </c>
      <c r="CV760" s="1" t="s">
        <v>210</v>
      </c>
      <c r="CX760" s="1" t="s">
        <v>224</v>
      </c>
      <c r="DB760" s="1" t="s">
        <v>224</v>
      </c>
      <c r="DE760" s="1" t="s">
        <v>2982</v>
      </c>
      <c r="DF760" s="1" t="s">
        <v>219</v>
      </c>
      <c r="DG760" s="1" t="s">
        <v>438</v>
      </c>
      <c r="DH760" s="1" t="s">
        <v>210</v>
      </c>
      <c r="DJ760" s="1" t="s">
        <v>224</v>
      </c>
      <c r="DM760" s="1" t="s">
        <v>464</v>
      </c>
      <c r="DR760" s="1" t="s">
        <v>836</v>
      </c>
      <c r="DS760" s="1" t="s">
        <v>277</v>
      </c>
      <c r="DT760" s="1" t="s">
        <v>220</v>
      </c>
      <c r="DW760" s="1" t="s">
        <v>230</v>
      </c>
      <c r="EA760" s="1" t="s">
        <v>230</v>
      </c>
      <c r="EE760" s="1" t="s">
        <v>230</v>
      </c>
      <c r="EI760" s="1" t="s">
        <v>230</v>
      </c>
      <c r="EL760" s="1" t="s">
        <v>466</v>
      </c>
      <c r="EM760" s="1" t="s">
        <v>319</v>
      </c>
      <c r="EN760" s="1" t="s">
        <v>282</v>
      </c>
      <c r="EO760" s="1" t="s">
        <v>234</v>
      </c>
      <c r="EP760" s="1" t="s">
        <v>5615</v>
      </c>
      <c r="EQ760" s="1" t="s">
        <v>2188</v>
      </c>
      <c r="ER760" s="1" t="s">
        <v>383</v>
      </c>
      <c r="ES760" s="1" t="s">
        <v>3932</v>
      </c>
      <c r="ET760" s="1" t="s">
        <v>323</v>
      </c>
      <c r="EU760" s="1" t="s">
        <v>5594</v>
      </c>
      <c r="EV760" s="1" t="s">
        <v>324</v>
      </c>
      <c r="EW760" s="1" t="s">
        <v>353</v>
      </c>
      <c r="EZ760" s="1" t="s">
        <v>464</v>
      </c>
      <c r="FD760" s="1" t="s">
        <v>246</v>
      </c>
      <c r="FE760" s="1" t="s">
        <v>472</v>
      </c>
      <c r="FF760" s="1" t="s">
        <v>248</v>
      </c>
      <c r="FH760" s="1" t="s">
        <v>550</v>
      </c>
      <c r="FJ760" s="1" t="s">
        <v>197</v>
      </c>
      <c r="FL760" s="1" t="s">
        <v>358</v>
      </c>
      <c r="FM760" s="1" t="s">
        <v>252</v>
      </c>
      <c r="FN760" s="1" t="s">
        <v>213</v>
      </c>
      <c r="FO760" s="1" t="s">
        <v>213</v>
      </c>
      <c r="FQ760" s="1" t="s">
        <v>8759</v>
      </c>
      <c r="FR760" s="1" t="s">
        <v>210</v>
      </c>
      <c r="FS760" s="1" t="s">
        <v>8760</v>
      </c>
      <c r="FT760" s="1" t="s">
        <v>255</v>
      </c>
      <c r="FU760" s="1" t="s">
        <v>204</v>
      </c>
      <c r="FW760" s="1" t="s">
        <v>3132</v>
      </c>
      <c r="FX760" s="1">
        <v>8666</v>
      </c>
      <c r="FY760" s="1" t="s">
        <v>3133</v>
      </c>
      <c r="FZ760" s="1" t="s">
        <v>8761</v>
      </c>
      <c r="GA760" s="1">
        <v>89041</v>
      </c>
      <c r="GB760" s="1" t="s">
        <v>8762</v>
      </c>
      <c r="GE760" s="1" t="s">
        <v>1256</v>
      </c>
      <c r="GH760" s="1" t="s">
        <v>230</v>
      </c>
      <c r="GI760" s="1" t="s">
        <v>213</v>
      </c>
      <c r="GJ760" s="1" t="s">
        <v>260</v>
      </c>
      <c r="GK760" s="1" t="s">
        <v>210</v>
      </c>
      <c r="GL760" s="2">
        <v>42125</v>
      </c>
      <c r="GM760" s="1" t="s">
        <v>8763</v>
      </c>
    </row>
    <row r="761" spans="1:195">
      <c r="A761" s="1">
        <v>115000</v>
      </c>
      <c r="B761" s="1" t="s">
        <v>195</v>
      </c>
      <c r="C761" s="1" t="str">
        <f>"08814107"</f>
        <v>08814107</v>
      </c>
      <c r="D761" s="1" t="s">
        <v>196</v>
      </c>
      <c r="F761" s="1" t="str">
        <f>"8064"</f>
        <v>8064</v>
      </c>
      <c r="G761" s="2">
        <v>42016</v>
      </c>
      <c r="H761" s="1">
        <v>117900</v>
      </c>
      <c r="I761" s="1">
        <v>117900</v>
      </c>
      <c r="J761" s="1">
        <v>115000</v>
      </c>
      <c r="K761" s="2">
        <v>42013</v>
      </c>
      <c r="L761" s="1">
        <v>29</v>
      </c>
      <c r="M761" s="2">
        <v>42041</v>
      </c>
      <c r="N761" s="1">
        <v>29</v>
      </c>
      <c r="O761" s="2">
        <v>42041</v>
      </c>
      <c r="P761" s="1">
        <v>61153</v>
      </c>
      <c r="Q761" s="1" t="s">
        <v>197</v>
      </c>
      <c r="R761" s="2">
        <v>42086</v>
      </c>
      <c r="S761" s="1">
        <v>226034</v>
      </c>
      <c r="T761" s="1">
        <v>2000</v>
      </c>
      <c r="U761" s="1">
        <v>6455</v>
      </c>
      <c r="V761" s="1" t="s">
        <v>8764</v>
      </c>
      <c r="W761" s="1" t="s">
        <v>425</v>
      </c>
      <c r="X761" s="1" t="s">
        <v>2151</v>
      </c>
      <c r="Y761" s="1">
        <v>10</v>
      </c>
      <c r="Z761" s="1" t="s">
        <v>249</v>
      </c>
      <c r="AA761" s="1" t="s">
        <v>400</v>
      </c>
      <c r="AB761" s="1">
        <v>60638</v>
      </c>
      <c r="AE761" s="1" t="s">
        <v>8765</v>
      </c>
      <c r="AF761" s="1">
        <v>2004</v>
      </c>
      <c r="AG761" s="1" t="s">
        <v>204</v>
      </c>
      <c r="AH761" s="1" t="s">
        <v>403</v>
      </c>
      <c r="AI761" s="1" t="s">
        <v>310</v>
      </c>
      <c r="AJ761" s="1" t="s">
        <v>683</v>
      </c>
      <c r="AL761" s="1">
        <v>5</v>
      </c>
      <c r="AM761" s="1">
        <v>2</v>
      </c>
      <c r="AN761" s="1">
        <v>2</v>
      </c>
      <c r="AO761" s="1">
        <v>0</v>
      </c>
      <c r="AP761" s="1" t="s">
        <v>209</v>
      </c>
      <c r="AR761" s="1" t="s">
        <v>210</v>
      </c>
      <c r="AS761" s="1" t="s">
        <v>204</v>
      </c>
      <c r="AT761" s="1" t="s">
        <v>211</v>
      </c>
      <c r="AU761" s="1">
        <v>1</v>
      </c>
      <c r="AW761" s="1" t="s">
        <v>204</v>
      </c>
      <c r="AX761" s="1" t="s">
        <v>212</v>
      </c>
      <c r="AZ761" s="1">
        <v>1330</v>
      </c>
      <c r="BA761" s="1">
        <v>2013</v>
      </c>
      <c r="BB761" s="1" t="s">
        <v>405</v>
      </c>
      <c r="BE761" s="1">
        <v>800</v>
      </c>
      <c r="BF761" s="1">
        <v>2</v>
      </c>
      <c r="BG761" s="1">
        <v>15</v>
      </c>
      <c r="BL761" s="1">
        <v>165</v>
      </c>
      <c r="BM761" s="1" t="s">
        <v>204</v>
      </c>
      <c r="BN761" s="1" t="s">
        <v>213</v>
      </c>
      <c r="BO761" s="1">
        <v>30</v>
      </c>
      <c r="BP761" s="1" t="s">
        <v>204</v>
      </c>
      <c r="BR761" s="1" t="str">
        <f>"19192130161008"</f>
        <v>19192130161008</v>
      </c>
      <c r="BT761" s="1" t="s">
        <v>8766</v>
      </c>
      <c r="BX761" s="1">
        <v>299</v>
      </c>
      <c r="BY761" s="1">
        <v>299</v>
      </c>
      <c r="BZ761" s="1">
        <v>299</v>
      </c>
      <c r="CB761" s="1" t="str">
        <f t="shared" ref="CB761:CC761" si="593">"0"</f>
        <v>0</v>
      </c>
      <c r="CC761" s="1" t="str">
        <f t="shared" si="593"/>
        <v>0</v>
      </c>
      <c r="CD761" s="1">
        <v>6700</v>
      </c>
      <c r="CE761" s="1">
        <v>6455</v>
      </c>
      <c r="CG761" s="1" t="s">
        <v>1178</v>
      </c>
      <c r="CH761" s="1" t="s">
        <v>277</v>
      </c>
      <c r="CK761" s="1" t="s">
        <v>278</v>
      </c>
      <c r="CL761" s="1" t="s">
        <v>277</v>
      </c>
      <c r="CO761" s="1" t="s">
        <v>1571</v>
      </c>
      <c r="CP761" s="1" t="s">
        <v>277</v>
      </c>
      <c r="CS761" s="1" t="s">
        <v>1297</v>
      </c>
      <c r="CT761" s="1" t="s">
        <v>277</v>
      </c>
      <c r="CX761" s="1" t="s">
        <v>224</v>
      </c>
      <c r="DB761" s="1" t="s">
        <v>224</v>
      </c>
      <c r="DE761" s="1" t="s">
        <v>465</v>
      </c>
      <c r="DF761" s="1" t="s">
        <v>277</v>
      </c>
      <c r="DJ761" s="1" t="s">
        <v>224</v>
      </c>
      <c r="DM761" s="1" t="s">
        <v>8767</v>
      </c>
      <c r="DR761" s="1" t="s">
        <v>3126</v>
      </c>
      <c r="DS761" s="1" t="s">
        <v>277</v>
      </c>
      <c r="DW761" s="1" t="s">
        <v>230</v>
      </c>
      <c r="EA761" s="1" t="s">
        <v>230</v>
      </c>
      <c r="EE761" s="1" t="s">
        <v>230</v>
      </c>
      <c r="EI761" s="1" t="s">
        <v>230</v>
      </c>
      <c r="EL761" s="1" t="s">
        <v>466</v>
      </c>
      <c r="EM761" s="1" t="s">
        <v>730</v>
      </c>
      <c r="EN761" s="1" t="s">
        <v>282</v>
      </c>
      <c r="EO761" s="1" t="s">
        <v>234</v>
      </c>
      <c r="ER761" s="1" t="s">
        <v>210</v>
      </c>
      <c r="EW761" s="1" t="s">
        <v>5888</v>
      </c>
      <c r="EZ761" s="1" t="s">
        <v>8767</v>
      </c>
      <c r="FB761" s="1" t="s">
        <v>289</v>
      </c>
      <c r="FC761" s="1" t="s">
        <v>633</v>
      </c>
      <c r="FD761" s="1" t="s">
        <v>888</v>
      </c>
      <c r="FE761" s="1" t="s">
        <v>247</v>
      </c>
      <c r="FF761" s="1" t="s">
        <v>248</v>
      </c>
      <c r="FH761" s="1" t="s">
        <v>249</v>
      </c>
      <c r="FL761" s="1" t="s">
        <v>358</v>
      </c>
      <c r="FM761" s="1" t="s">
        <v>252</v>
      </c>
      <c r="FN761" s="1" t="s">
        <v>213</v>
      </c>
      <c r="FO761" s="1" t="s">
        <v>213</v>
      </c>
      <c r="FQ761" s="1" t="s">
        <v>582</v>
      </c>
      <c r="FR761" s="1" t="s">
        <v>210</v>
      </c>
      <c r="FS761" s="1" t="s">
        <v>552</v>
      </c>
      <c r="FT761" s="1" t="s">
        <v>584</v>
      </c>
      <c r="FU761" s="1" t="s">
        <v>204</v>
      </c>
      <c r="FW761" s="1" t="s">
        <v>8768</v>
      </c>
      <c r="FX761" s="1">
        <v>15920</v>
      </c>
      <c r="FY761" s="1" t="s">
        <v>8769</v>
      </c>
      <c r="FZ761" s="1" t="s">
        <v>8770</v>
      </c>
      <c r="GA761" s="1">
        <v>125398</v>
      </c>
      <c r="GB761" s="1" t="s">
        <v>8769</v>
      </c>
      <c r="GE761" s="1" t="s">
        <v>210</v>
      </c>
      <c r="GH761" s="1" t="s">
        <v>421</v>
      </c>
      <c r="GI761" s="1" t="s">
        <v>204</v>
      </c>
      <c r="GJ761" s="1" t="s">
        <v>260</v>
      </c>
      <c r="GK761" s="1" t="s">
        <v>210</v>
      </c>
      <c r="GL761" s="2">
        <v>42087</v>
      </c>
      <c r="GM761" s="1" t="s">
        <v>8771</v>
      </c>
    </row>
    <row r="762" spans="1:195">
      <c r="A762" s="1">
        <v>61000</v>
      </c>
      <c r="B762" s="1" t="s">
        <v>195</v>
      </c>
      <c r="C762" s="1" t="str">
        <f>"08844747"</f>
        <v>08844747</v>
      </c>
      <c r="D762" s="1" t="s">
        <v>196</v>
      </c>
      <c r="F762" s="1" t="str">
        <f>"103"</f>
        <v>103</v>
      </c>
      <c r="G762" s="2">
        <v>42058</v>
      </c>
      <c r="H762" s="1">
        <v>66000</v>
      </c>
      <c r="I762" s="1">
        <v>66000</v>
      </c>
      <c r="J762" s="1">
        <v>61000</v>
      </c>
      <c r="K762" s="2">
        <v>42058</v>
      </c>
      <c r="L762" s="1">
        <v>29</v>
      </c>
      <c r="M762" s="2">
        <v>42086</v>
      </c>
      <c r="N762" s="1">
        <v>29</v>
      </c>
      <c r="O762" s="2">
        <v>42086</v>
      </c>
      <c r="P762" s="1">
        <v>8340</v>
      </c>
      <c r="Q762" s="1" t="s">
        <v>302</v>
      </c>
      <c r="R762" s="2">
        <v>42131</v>
      </c>
      <c r="S762" s="1">
        <v>87416</v>
      </c>
      <c r="U762" s="1">
        <v>1302</v>
      </c>
      <c r="V762" s="1" t="s">
        <v>8772</v>
      </c>
      <c r="W762" s="1" t="s">
        <v>264</v>
      </c>
      <c r="X762" s="1" t="s">
        <v>527</v>
      </c>
      <c r="Y762" s="1">
        <v>6</v>
      </c>
      <c r="Z762" s="1" t="s">
        <v>370</v>
      </c>
      <c r="AA762" s="1" t="s">
        <v>337</v>
      </c>
      <c r="AB762" s="1">
        <v>60133</v>
      </c>
      <c r="AD762" s="1" t="s">
        <v>8773</v>
      </c>
      <c r="AE762" s="1" t="s">
        <v>8774</v>
      </c>
      <c r="AF762" s="1">
        <v>1972</v>
      </c>
      <c r="AG762" s="1" t="s">
        <v>213</v>
      </c>
      <c r="AH762" s="1" t="s">
        <v>339</v>
      </c>
      <c r="AI762" s="1" t="s">
        <v>310</v>
      </c>
      <c r="AJ762" s="1" t="s">
        <v>1717</v>
      </c>
      <c r="AK762" s="1" t="s">
        <v>1088</v>
      </c>
      <c r="AL762" s="1">
        <v>5</v>
      </c>
      <c r="AM762" s="1">
        <v>2</v>
      </c>
      <c r="AN762" s="1">
        <v>1</v>
      </c>
      <c r="AO762" s="1">
        <v>0</v>
      </c>
      <c r="AP762" s="1" t="s">
        <v>210</v>
      </c>
      <c r="AR762" s="1" t="s">
        <v>210</v>
      </c>
      <c r="AS762" s="1" t="s">
        <v>204</v>
      </c>
      <c r="AT762" s="1" t="s">
        <v>211</v>
      </c>
      <c r="AU762" s="1">
        <v>1</v>
      </c>
      <c r="AW762" s="1" t="s">
        <v>204</v>
      </c>
      <c r="AX762" s="1" t="s">
        <v>212</v>
      </c>
      <c r="AZ762" s="1">
        <v>1386.35</v>
      </c>
      <c r="BA762" s="1">
        <v>2013</v>
      </c>
      <c r="BB762" s="1" t="s">
        <v>210</v>
      </c>
      <c r="BE762" s="1">
        <v>728</v>
      </c>
      <c r="BF762" s="1">
        <v>1</v>
      </c>
      <c r="BG762" s="1">
        <v>30</v>
      </c>
      <c r="BL762" s="1">
        <v>200</v>
      </c>
      <c r="BM762" s="1" t="s">
        <v>204</v>
      </c>
      <c r="BN762" s="1" t="s">
        <v>213</v>
      </c>
      <c r="BO762" s="1">
        <v>999</v>
      </c>
      <c r="BP762" s="1" t="s">
        <v>204</v>
      </c>
      <c r="BR762" s="1" t="str">
        <f>"07303020021067"</f>
        <v>07303020021067</v>
      </c>
      <c r="BT762" s="1" t="s">
        <v>8775</v>
      </c>
      <c r="BU762" s="1" t="s">
        <v>1720</v>
      </c>
      <c r="BV762" s="1" t="s">
        <v>1721</v>
      </c>
      <c r="BW762" s="1" t="s">
        <v>2030</v>
      </c>
      <c r="BX762" s="1">
        <v>54</v>
      </c>
      <c r="BY762" s="1">
        <v>54</v>
      </c>
      <c r="BZ762" s="1">
        <v>211</v>
      </c>
      <c r="CB762" s="1" t="str">
        <f>"9"</f>
        <v>9</v>
      </c>
      <c r="CC762" s="1" t="str">
        <f>"0"</f>
        <v>0</v>
      </c>
      <c r="CD762" s="1">
        <v>26</v>
      </c>
      <c r="CE762" s="1">
        <v>0</v>
      </c>
      <c r="CG762" s="1" t="s">
        <v>669</v>
      </c>
      <c r="CH762" s="1" t="s">
        <v>219</v>
      </c>
      <c r="CI762" s="1" t="s">
        <v>220</v>
      </c>
      <c r="CK762" s="1" t="s">
        <v>1046</v>
      </c>
      <c r="CL762" s="1" t="s">
        <v>219</v>
      </c>
      <c r="CM762" s="1" t="s">
        <v>220</v>
      </c>
      <c r="CO762" s="1" t="s">
        <v>629</v>
      </c>
      <c r="CP762" s="1" t="s">
        <v>219</v>
      </c>
      <c r="CS762" s="1" t="s">
        <v>346</v>
      </c>
      <c r="CT762" s="1" t="s">
        <v>219</v>
      </c>
      <c r="CU762" s="1" t="s">
        <v>220</v>
      </c>
      <c r="CX762" s="1" t="s">
        <v>224</v>
      </c>
      <c r="DB762" s="1" t="s">
        <v>224</v>
      </c>
      <c r="DE762" s="1" t="s">
        <v>346</v>
      </c>
      <c r="DF762" s="1" t="s">
        <v>219</v>
      </c>
      <c r="DG762" s="1" t="s">
        <v>342</v>
      </c>
      <c r="DJ762" s="1" t="s">
        <v>224</v>
      </c>
      <c r="DS762" s="1" t="s">
        <v>230</v>
      </c>
      <c r="DW762" s="1" t="s">
        <v>230</v>
      </c>
      <c r="EA762" s="1" t="s">
        <v>230</v>
      </c>
      <c r="EE762" s="1" t="s">
        <v>230</v>
      </c>
      <c r="EI762" s="1" t="s">
        <v>230</v>
      </c>
      <c r="EL762" s="1" t="s">
        <v>605</v>
      </c>
      <c r="EM762" s="1" t="s">
        <v>232</v>
      </c>
      <c r="EN762" s="1" t="s">
        <v>282</v>
      </c>
      <c r="EO762" s="1" t="s">
        <v>234</v>
      </c>
      <c r="EP762" s="1" t="s">
        <v>650</v>
      </c>
      <c r="EQ762" s="1" t="s">
        <v>2994</v>
      </c>
      <c r="ER762" s="1" t="s">
        <v>210</v>
      </c>
      <c r="ES762" s="1" t="s">
        <v>322</v>
      </c>
      <c r="EU762" s="1" t="s">
        <v>239</v>
      </c>
      <c r="EV762" s="1" t="s">
        <v>240</v>
      </c>
      <c r="EW762" s="1" t="s">
        <v>384</v>
      </c>
      <c r="EY762" s="1" t="s">
        <v>790</v>
      </c>
      <c r="EZ762" s="1" t="s">
        <v>287</v>
      </c>
      <c r="FA762" s="1" t="s">
        <v>1072</v>
      </c>
      <c r="FB762" s="1" t="s">
        <v>289</v>
      </c>
      <c r="FC762" s="1" t="s">
        <v>633</v>
      </c>
      <c r="FD762" s="1" t="s">
        <v>246</v>
      </c>
      <c r="FE762" s="1" t="s">
        <v>247</v>
      </c>
      <c r="FF762" s="1" t="s">
        <v>6618</v>
      </c>
      <c r="FH762" s="1" t="s">
        <v>3013</v>
      </c>
      <c r="FL762" s="1" t="s">
        <v>358</v>
      </c>
      <c r="FM762" s="1" t="s">
        <v>252</v>
      </c>
      <c r="FN762" s="1" t="s">
        <v>213</v>
      </c>
      <c r="FO762" s="1" t="s">
        <v>213</v>
      </c>
      <c r="FQ762" s="1" t="s">
        <v>8776</v>
      </c>
      <c r="FR762" s="1" t="s">
        <v>8300</v>
      </c>
      <c r="FS762" s="1" t="s">
        <v>8301</v>
      </c>
      <c r="FT762" s="1" t="s">
        <v>8777</v>
      </c>
      <c r="FU762" s="1" t="s">
        <v>204</v>
      </c>
      <c r="FW762" s="1" t="s">
        <v>585</v>
      </c>
      <c r="FX762" s="1">
        <v>6485</v>
      </c>
      <c r="FY762" s="1" t="s">
        <v>8303</v>
      </c>
      <c r="FZ762" s="1" t="s">
        <v>8304</v>
      </c>
      <c r="GA762" s="1">
        <v>63192</v>
      </c>
      <c r="GB762" s="1" t="s">
        <v>8305</v>
      </c>
      <c r="GE762" s="1" t="s">
        <v>2504</v>
      </c>
      <c r="GI762" s="1" t="s">
        <v>213</v>
      </c>
      <c r="GJ762" s="1" t="s">
        <v>260</v>
      </c>
      <c r="GK762" s="1" t="s">
        <v>210</v>
      </c>
      <c r="GL762" s="2">
        <v>42131</v>
      </c>
      <c r="GM762" s="1" t="s">
        <v>8778</v>
      </c>
    </row>
    <row r="763" spans="1:195">
      <c r="A763" s="1">
        <v>208900</v>
      </c>
      <c r="B763" s="1" t="s">
        <v>195</v>
      </c>
      <c r="C763" s="1" t="str">
        <f>"08808523"</f>
        <v>08808523</v>
      </c>
      <c r="D763" s="1" t="s">
        <v>196</v>
      </c>
      <c r="F763" s="1" t="str">
        <f>"108"</f>
        <v>108</v>
      </c>
      <c r="G763" s="2">
        <v>42006</v>
      </c>
      <c r="H763" s="1">
        <v>208900</v>
      </c>
      <c r="I763" s="1">
        <v>208900</v>
      </c>
      <c r="J763" s="1">
        <v>208900</v>
      </c>
      <c r="K763" s="2">
        <v>42006</v>
      </c>
      <c r="L763" s="1">
        <v>9</v>
      </c>
      <c r="M763" s="2">
        <v>42006</v>
      </c>
      <c r="N763" s="1">
        <v>1</v>
      </c>
      <c r="O763" s="2">
        <v>42006</v>
      </c>
      <c r="P763" s="1">
        <v>22250</v>
      </c>
      <c r="Q763" s="1" t="s">
        <v>1393</v>
      </c>
      <c r="R763" s="2">
        <v>42024</v>
      </c>
      <c r="S763" s="1">
        <v>223251</v>
      </c>
      <c r="U763" s="1">
        <v>125</v>
      </c>
      <c r="V763" s="1" t="s">
        <v>828</v>
      </c>
      <c r="W763" s="1" t="s">
        <v>264</v>
      </c>
      <c r="X763" s="1">
        <v>502</v>
      </c>
      <c r="Y763" s="1">
        <v>80</v>
      </c>
      <c r="Z763" s="1" t="s">
        <v>249</v>
      </c>
      <c r="AA763" s="1" t="s">
        <v>829</v>
      </c>
      <c r="AB763" s="1">
        <v>60108</v>
      </c>
      <c r="AE763" s="1" t="s">
        <v>7864</v>
      </c>
      <c r="AF763" s="1">
        <v>2008</v>
      </c>
      <c r="AG763" s="1" t="s">
        <v>204</v>
      </c>
      <c r="AH763" s="1" t="s">
        <v>269</v>
      </c>
      <c r="AI763" s="1" t="s">
        <v>206</v>
      </c>
      <c r="AJ763" s="1" t="s">
        <v>269</v>
      </c>
      <c r="AL763" s="1">
        <v>5</v>
      </c>
      <c r="AM763" s="1">
        <v>2</v>
      </c>
      <c r="AN763" s="1">
        <v>2</v>
      </c>
      <c r="AO763" s="1">
        <v>0</v>
      </c>
      <c r="AP763" s="1" t="s">
        <v>209</v>
      </c>
      <c r="AR763" s="1" t="s">
        <v>210</v>
      </c>
      <c r="AS763" s="1" t="s">
        <v>204</v>
      </c>
      <c r="AT763" s="1" t="s">
        <v>375</v>
      </c>
      <c r="AU763" s="1">
        <v>1</v>
      </c>
      <c r="AV763" s="1">
        <v>1</v>
      </c>
      <c r="AW763" s="1" t="s">
        <v>204</v>
      </c>
      <c r="AX763" s="1" t="s">
        <v>270</v>
      </c>
      <c r="AZ763" s="1">
        <v>3039.96</v>
      </c>
      <c r="BA763" s="1">
        <v>2013</v>
      </c>
      <c r="BE763" s="1">
        <v>1463</v>
      </c>
      <c r="BF763" s="1">
        <v>3</v>
      </c>
      <c r="BG763" s="1">
        <v>0</v>
      </c>
      <c r="BL763" s="1">
        <v>193</v>
      </c>
      <c r="BM763" s="1" t="s">
        <v>204</v>
      </c>
      <c r="BN763" s="1" t="s">
        <v>213</v>
      </c>
      <c r="BO763" s="1">
        <v>999</v>
      </c>
      <c r="BP763" s="1" t="s">
        <v>204</v>
      </c>
      <c r="BR763" s="1" t="str">
        <f>"0214120095"</f>
        <v>0214120095</v>
      </c>
      <c r="BT763" s="1" t="s">
        <v>8779</v>
      </c>
      <c r="BX763" s="1">
        <v>13</v>
      </c>
      <c r="BY763" s="1">
        <v>13</v>
      </c>
      <c r="BZ763" s="1">
        <v>108</v>
      </c>
      <c r="CB763" s="1" t="str">
        <f t="shared" ref="CB763:CC763" si="594">""</f>
        <v/>
      </c>
      <c r="CC763" s="1" t="str">
        <f t="shared" si="594"/>
        <v/>
      </c>
      <c r="CG763" s="1" t="s">
        <v>2747</v>
      </c>
      <c r="CH763" s="1" t="s">
        <v>219</v>
      </c>
      <c r="CK763" s="1" t="s">
        <v>437</v>
      </c>
      <c r="CL763" s="1" t="s">
        <v>219</v>
      </c>
      <c r="CO763" s="1" t="s">
        <v>629</v>
      </c>
      <c r="CP763" s="1" t="s">
        <v>219</v>
      </c>
      <c r="CS763" s="1" t="s">
        <v>408</v>
      </c>
      <c r="CT763" s="1" t="s">
        <v>219</v>
      </c>
      <c r="CX763" s="1" t="s">
        <v>224</v>
      </c>
      <c r="DB763" s="1" t="s">
        <v>224</v>
      </c>
      <c r="DE763" s="1" t="s">
        <v>318</v>
      </c>
      <c r="DF763" s="1" t="s">
        <v>219</v>
      </c>
      <c r="DJ763" s="1" t="s">
        <v>224</v>
      </c>
      <c r="DS763" s="1" t="s">
        <v>230</v>
      </c>
      <c r="DW763" s="1" t="s">
        <v>230</v>
      </c>
      <c r="EA763" s="1" t="s">
        <v>230</v>
      </c>
      <c r="EE763" s="1" t="s">
        <v>230</v>
      </c>
      <c r="EI763" s="1" t="s">
        <v>230</v>
      </c>
      <c r="EL763" s="1" t="s">
        <v>491</v>
      </c>
      <c r="EM763" s="1" t="s">
        <v>319</v>
      </c>
      <c r="EN763" s="1" t="s">
        <v>282</v>
      </c>
      <c r="EO763" s="1" t="s">
        <v>234</v>
      </c>
      <c r="ER763" s="1" t="s">
        <v>210</v>
      </c>
      <c r="EW763" s="1" t="s">
        <v>7866</v>
      </c>
      <c r="EZ763" s="1" t="s">
        <v>287</v>
      </c>
      <c r="FD763" s="1" t="s">
        <v>495</v>
      </c>
      <c r="FE763" s="1" t="s">
        <v>247</v>
      </c>
      <c r="FF763" s="1" t="s">
        <v>248</v>
      </c>
      <c r="FH763" s="1" t="s">
        <v>249</v>
      </c>
      <c r="FL763" s="1" t="s">
        <v>414</v>
      </c>
      <c r="FM763" s="1" t="s">
        <v>252</v>
      </c>
      <c r="FN763" s="1" t="s">
        <v>213</v>
      </c>
      <c r="FO763" s="1" t="s">
        <v>213</v>
      </c>
      <c r="FQ763" s="1" t="s">
        <v>849</v>
      </c>
      <c r="FR763" s="1" t="s">
        <v>210</v>
      </c>
      <c r="FS763" s="1" t="s">
        <v>8780</v>
      </c>
      <c r="FT763" s="1" t="s">
        <v>7868</v>
      </c>
      <c r="FU763" s="1" t="s">
        <v>213</v>
      </c>
      <c r="FW763" s="1" t="s">
        <v>852</v>
      </c>
      <c r="FX763" s="1">
        <v>22250</v>
      </c>
      <c r="FY763" s="1" t="s">
        <v>853</v>
      </c>
      <c r="FZ763" s="1" t="s">
        <v>854</v>
      </c>
      <c r="GA763" s="1">
        <v>242148</v>
      </c>
      <c r="GE763" s="1" t="s">
        <v>480</v>
      </c>
      <c r="GI763" s="1" t="s">
        <v>213</v>
      </c>
      <c r="GJ763" s="1" t="s">
        <v>260</v>
      </c>
      <c r="GK763" s="1" t="s">
        <v>210</v>
      </c>
      <c r="GL763" s="2">
        <v>42025</v>
      </c>
      <c r="GM763" s="1" t="s">
        <v>8781</v>
      </c>
    </row>
    <row r="764" spans="1:195">
      <c r="A764" s="1">
        <v>45000</v>
      </c>
      <c r="B764" s="1" t="s">
        <v>195</v>
      </c>
      <c r="C764" s="1" t="str">
        <f>"08816086"</f>
        <v>08816086</v>
      </c>
      <c r="D764" s="1" t="s">
        <v>196</v>
      </c>
      <c r="F764" s="1" t="str">
        <f t="shared" ref="F764:F765" si="595">"515"</f>
        <v>515</v>
      </c>
      <c r="G764" s="2">
        <v>42018</v>
      </c>
      <c r="H764" s="1">
        <v>45000</v>
      </c>
      <c r="I764" s="1">
        <v>45000</v>
      </c>
      <c r="J764" s="1">
        <v>45000</v>
      </c>
      <c r="K764" s="2">
        <v>42017</v>
      </c>
      <c r="L764" s="1">
        <v>18</v>
      </c>
      <c r="M764" s="2">
        <v>42034</v>
      </c>
      <c r="N764" s="1">
        <v>18</v>
      </c>
      <c r="O764" s="2">
        <v>42034</v>
      </c>
      <c r="P764" s="1">
        <v>16636</v>
      </c>
      <c r="Q764" s="1" t="s">
        <v>302</v>
      </c>
      <c r="R764" s="2">
        <v>42072</v>
      </c>
      <c r="S764" s="1">
        <v>184033</v>
      </c>
      <c r="U764" s="1">
        <v>2800</v>
      </c>
      <c r="V764" s="1" t="s">
        <v>3963</v>
      </c>
      <c r="W764" s="1" t="s">
        <v>425</v>
      </c>
      <c r="X764" s="1" t="s">
        <v>8782</v>
      </c>
      <c r="Y764" s="1">
        <v>108</v>
      </c>
      <c r="Z764" s="1" t="s">
        <v>249</v>
      </c>
      <c r="AA764" s="1" t="s">
        <v>1294</v>
      </c>
      <c r="AB764" s="1">
        <v>60515</v>
      </c>
      <c r="AE764" s="1" t="s">
        <v>8783</v>
      </c>
      <c r="AF764" s="1">
        <v>1966</v>
      </c>
      <c r="AG764" s="1" t="s">
        <v>213</v>
      </c>
      <c r="AH764" s="1" t="s">
        <v>903</v>
      </c>
      <c r="AI764" s="1" t="s">
        <v>206</v>
      </c>
      <c r="AJ764" s="1" t="s">
        <v>925</v>
      </c>
      <c r="AL764" s="1">
        <v>5</v>
      </c>
      <c r="AM764" s="1">
        <v>2</v>
      </c>
      <c r="AN764" s="1">
        <v>1</v>
      </c>
      <c r="AO764" s="1">
        <v>0</v>
      </c>
      <c r="AP764" s="1" t="s">
        <v>210</v>
      </c>
      <c r="AR764" s="1" t="s">
        <v>210</v>
      </c>
      <c r="AS764" s="1" t="s">
        <v>204</v>
      </c>
      <c r="AT764" s="1" t="s">
        <v>271</v>
      </c>
      <c r="AV764" s="1">
        <v>2</v>
      </c>
      <c r="AW764" s="1" t="s">
        <v>204</v>
      </c>
      <c r="AX764" s="1" t="s">
        <v>212</v>
      </c>
      <c r="AZ764" s="1">
        <v>862</v>
      </c>
      <c r="BA764" s="1">
        <v>2013</v>
      </c>
      <c r="BE764" s="1">
        <v>0</v>
      </c>
      <c r="BF764" s="1">
        <v>1</v>
      </c>
      <c r="BG764" s="1">
        <v>0</v>
      </c>
      <c r="BL764" s="1">
        <v>171</v>
      </c>
      <c r="BM764" s="1" t="s">
        <v>204</v>
      </c>
      <c r="BN764" s="1" t="s">
        <v>204</v>
      </c>
      <c r="BP764" s="1" t="s">
        <v>204</v>
      </c>
      <c r="BR764" s="1" t="str">
        <f>"0814207026"</f>
        <v>0814207026</v>
      </c>
      <c r="BT764" s="1" t="s">
        <v>8784</v>
      </c>
      <c r="BX764" s="1">
        <v>202</v>
      </c>
      <c r="BY764" s="1">
        <v>202</v>
      </c>
      <c r="BZ764" s="1">
        <v>202</v>
      </c>
      <c r="CB764" s="1" t="str">
        <f t="shared" ref="CB764:CC764" si="596">""</f>
        <v/>
      </c>
      <c r="CC764" s="1" t="str">
        <f t="shared" si="596"/>
        <v/>
      </c>
      <c r="CG764" s="1" t="s">
        <v>278</v>
      </c>
      <c r="CH764" s="1" t="s">
        <v>219</v>
      </c>
      <c r="CK764" s="1" t="s">
        <v>1297</v>
      </c>
      <c r="CL764" s="1" t="s">
        <v>219</v>
      </c>
      <c r="CO764" s="1" t="s">
        <v>951</v>
      </c>
      <c r="CP764" s="1" t="s">
        <v>219</v>
      </c>
      <c r="CS764" s="1" t="s">
        <v>1297</v>
      </c>
      <c r="CT764" s="1" t="s">
        <v>219</v>
      </c>
      <c r="CX764" s="1" t="s">
        <v>224</v>
      </c>
      <c r="DB764" s="1" t="s">
        <v>224</v>
      </c>
      <c r="DE764" s="1" t="s">
        <v>2308</v>
      </c>
      <c r="DF764" s="1" t="s">
        <v>219</v>
      </c>
      <c r="DJ764" s="1" t="s">
        <v>224</v>
      </c>
      <c r="DS764" s="1" t="s">
        <v>230</v>
      </c>
      <c r="DW764" s="1" t="s">
        <v>230</v>
      </c>
      <c r="EA764" s="1" t="s">
        <v>230</v>
      </c>
      <c r="EE764" s="1" t="s">
        <v>230</v>
      </c>
      <c r="EI764" s="1" t="s">
        <v>230</v>
      </c>
      <c r="EL764" s="1" t="s">
        <v>605</v>
      </c>
      <c r="EM764" s="1" t="s">
        <v>319</v>
      </c>
      <c r="EN764" s="1" t="s">
        <v>282</v>
      </c>
      <c r="EO764" s="1" t="s">
        <v>234</v>
      </c>
      <c r="ER764" s="1" t="s">
        <v>210</v>
      </c>
      <c r="EW764" s="1" t="s">
        <v>8785</v>
      </c>
      <c r="EZ764" s="1" t="s">
        <v>287</v>
      </c>
      <c r="FD764" s="1" t="s">
        <v>1112</v>
      </c>
      <c r="FE764" s="1" t="s">
        <v>247</v>
      </c>
      <c r="FF764" s="1" t="s">
        <v>248</v>
      </c>
      <c r="FH764" s="1" t="s">
        <v>249</v>
      </c>
      <c r="FL764" s="1" t="s">
        <v>1073</v>
      </c>
      <c r="FM764" s="1" t="s">
        <v>252</v>
      </c>
      <c r="FN764" s="1" t="s">
        <v>213</v>
      </c>
      <c r="FO764" s="1" t="s">
        <v>213</v>
      </c>
      <c r="FQ764" s="1" t="s">
        <v>673</v>
      </c>
      <c r="FR764" s="1" t="s">
        <v>210</v>
      </c>
      <c r="FS764" s="1" t="s">
        <v>8786</v>
      </c>
      <c r="FT764" s="1" t="s">
        <v>255</v>
      </c>
      <c r="FU764" s="1" t="s">
        <v>204</v>
      </c>
      <c r="FW764" s="1" t="s">
        <v>1303</v>
      </c>
      <c r="FX764" s="1">
        <v>24072</v>
      </c>
      <c r="FY764" s="1" t="s">
        <v>1304</v>
      </c>
      <c r="FZ764" s="1" t="s">
        <v>5472</v>
      </c>
      <c r="GA764" s="1">
        <v>235600</v>
      </c>
      <c r="GB764" s="1" t="s">
        <v>1304</v>
      </c>
      <c r="GC764" s="1">
        <v>222267</v>
      </c>
      <c r="GD764" s="1" t="s">
        <v>2754</v>
      </c>
      <c r="GE764" s="1" t="s">
        <v>210</v>
      </c>
      <c r="GI764" s="1" t="s">
        <v>204</v>
      </c>
      <c r="GJ764" s="1" t="s">
        <v>260</v>
      </c>
      <c r="GK764" s="1" t="s">
        <v>210</v>
      </c>
      <c r="GL764" s="2">
        <v>42072</v>
      </c>
      <c r="GM764" s="1" t="s">
        <v>8787</v>
      </c>
    </row>
    <row r="765" spans="1:195">
      <c r="A765" s="1">
        <v>325000</v>
      </c>
      <c r="B765" s="1" t="s">
        <v>195</v>
      </c>
      <c r="C765" s="1" t="str">
        <f>"08864021"</f>
        <v>08864021</v>
      </c>
      <c r="D765" s="1" t="s">
        <v>196</v>
      </c>
      <c r="F765" s="1" t="str">
        <f t="shared" si="595"/>
        <v>515</v>
      </c>
      <c r="G765" s="2">
        <v>42080</v>
      </c>
      <c r="H765" s="1">
        <v>339900</v>
      </c>
      <c r="I765" s="1">
        <v>339900</v>
      </c>
      <c r="J765" s="1">
        <v>325000</v>
      </c>
      <c r="K765" s="2">
        <v>42080</v>
      </c>
      <c r="L765" s="1">
        <v>22</v>
      </c>
      <c r="M765" s="2">
        <v>42101</v>
      </c>
      <c r="N765" s="1">
        <v>22</v>
      </c>
      <c r="O765" s="2">
        <v>42101</v>
      </c>
      <c r="P765" s="1">
        <v>22205</v>
      </c>
      <c r="Q765" s="1" t="s">
        <v>423</v>
      </c>
      <c r="R765" s="2">
        <v>42128</v>
      </c>
      <c r="S765" s="1">
        <v>243719</v>
      </c>
      <c r="U765" s="1">
        <v>965</v>
      </c>
      <c r="V765" s="1" t="s">
        <v>8788</v>
      </c>
      <c r="W765" s="1" t="s">
        <v>725</v>
      </c>
      <c r="X765" s="1">
        <v>207</v>
      </c>
      <c r="Y765" s="1">
        <v>48</v>
      </c>
      <c r="Z765" s="1" t="s">
        <v>249</v>
      </c>
      <c r="AA765" s="1" t="s">
        <v>1294</v>
      </c>
      <c r="AB765" s="1">
        <v>60515</v>
      </c>
      <c r="AD765" s="1" t="s">
        <v>8789</v>
      </c>
      <c r="AE765" s="1" t="s">
        <v>8790</v>
      </c>
      <c r="AF765" s="1">
        <v>2004</v>
      </c>
      <c r="AG765" s="1" t="s">
        <v>204</v>
      </c>
      <c r="AH765" s="1" t="s">
        <v>903</v>
      </c>
      <c r="AI765" s="1" t="s">
        <v>206</v>
      </c>
      <c r="AJ765" s="1" t="s">
        <v>903</v>
      </c>
      <c r="AL765" s="1">
        <v>5</v>
      </c>
      <c r="AM765" s="1">
        <v>2</v>
      </c>
      <c r="AN765" s="1">
        <v>2</v>
      </c>
      <c r="AO765" s="1">
        <v>0</v>
      </c>
      <c r="AP765" s="1" t="s">
        <v>209</v>
      </c>
      <c r="AQ765" s="1">
        <v>1</v>
      </c>
      <c r="AR765" s="1" t="s">
        <v>210</v>
      </c>
      <c r="AS765" s="1" t="s">
        <v>204</v>
      </c>
      <c r="AT765" s="1" t="s">
        <v>211</v>
      </c>
      <c r="AU765" s="1">
        <v>2</v>
      </c>
      <c r="AW765" s="1" t="s">
        <v>204</v>
      </c>
      <c r="AX765" s="1" t="s">
        <v>212</v>
      </c>
      <c r="AZ765" s="5">
        <v>7289.92</v>
      </c>
      <c r="BA765" s="1">
        <v>2014</v>
      </c>
      <c r="BB765" s="1" t="s">
        <v>405</v>
      </c>
      <c r="BE765" s="1">
        <v>1627</v>
      </c>
      <c r="BF765" s="1">
        <v>2</v>
      </c>
      <c r="BG765" s="1">
        <v>0</v>
      </c>
      <c r="BL765" s="1">
        <v>432</v>
      </c>
      <c r="BM765" s="1" t="s">
        <v>204</v>
      </c>
      <c r="BN765" s="1" t="s">
        <v>213</v>
      </c>
      <c r="BO765" s="1">
        <v>25</v>
      </c>
      <c r="BP765" s="1" t="s">
        <v>204</v>
      </c>
      <c r="BR765" s="1" t="str">
        <f>"0908134014"</f>
        <v>0908134014</v>
      </c>
      <c r="BT765" s="1" t="s">
        <v>8791</v>
      </c>
      <c r="BU765" s="1" t="s">
        <v>7354</v>
      </c>
      <c r="BV765" s="1" t="s">
        <v>2761</v>
      </c>
      <c r="BW765" s="1" t="s">
        <v>2762</v>
      </c>
      <c r="BX765" s="1">
        <v>58</v>
      </c>
      <c r="BY765" s="1">
        <v>58</v>
      </c>
      <c r="BZ765" s="1">
        <v>99</v>
      </c>
      <c r="CB765" s="1" t="str">
        <f t="shared" ref="CB765:CC765" si="597">"0"</f>
        <v>0</v>
      </c>
      <c r="CC765" s="1" t="str">
        <f t="shared" si="597"/>
        <v>0</v>
      </c>
      <c r="CD765" s="1">
        <v>19</v>
      </c>
      <c r="CE765" s="1">
        <v>5</v>
      </c>
      <c r="CG765" s="1" t="s">
        <v>6531</v>
      </c>
      <c r="CH765" s="1" t="s">
        <v>219</v>
      </c>
      <c r="CI765" s="1" t="s">
        <v>438</v>
      </c>
      <c r="CK765" s="1" t="s">
        <v>538</v>
      </c>
      <c r="CL765" s="1" t="s">
        <v>219</v>
      </c>
      <c r="CM765" s="1" t="s">
        <v>438</v>
      </c>
      <c r="CO765" s="1" t="s">
        <v>348</v>
      </c>
      <c r="CP765" s="1" t="s">
        <v>219</v>
      </c>
      <c r="CQ765" s="1" t="s">
        <v>438</v>
      </c>
      <c r="CR765" s="1" t="s">
        <v>210</v>
      </c>
      <c r="CS765" s="1" t="s">
        <v>757</v>
      </c>
      <c r="CT765" s="1" t="s">
        <v>219</v>
      </c>
      <c r="CU765" s="1" t="s">
        <v>220</v>
      </c>
      <c r="CX765" s="1" t="s">
        <v>224</v>
      </c>
      <c r="DB765" s="1" t="s">
        <v>224</v>
      </c>
      <c r="DE765" s="1" t="s">
        <v>4999</v>
      </c>
      <c r="DF765" s="1" t="s">
        <v>219</v>
      </c>
      <c r="DG765" s="1" t="s">
        <v>438</v>
      </c>
      <c r="DH765" s="1" t="s">
        <v>210</v>
      </c>
      <c r="DJ765" s="1" t="s">
        <v>224</v>
      </c>
      <c r="DM765" s="1" t="s">
        <v>6767</v>
      </c>
      <c r="DR765" s="1" t="s">
        <v>8792</v>
      </c>
      <c r="DS765" s="1" t="s">
        <v>219</v>
      </c>
      <c r="DW765" s="1" t="s">
        <v>230</v>
      </c>
      <c r="EA765" s="1" t="s">
        <v>230</v>
      </c>
      <c r="EE765" s="1" t="s">
        <v>230</v>
      </c>
      <c r="EI765" s="1" t="s">
        <v>230</v>
      </c>
      <c r="EL765" s="1" t="s">
        <v>466</v>
      </c>
      <c r="EM765" s="1" t="s">
        <v>232</v>
      </c>
      <c r="EN765" s="1" t="s">
        <v>282</v>
      </c>
      <c r="EO765" s="1" t="s">
        <v>234</v>
      </c>
      <c r="EP765" s="1" t="s">
        <v>2497</v>
      </c>
      <c r="EQ765" s="1" t="s">
        <v>236</v>
      </c>
      <c r="ER765" s="1" t="s">
        <v>210</v>
      </c>
      <c r="ET765" s="1" t="s">
        <v>238</v>
      </c>
      <c r="EU765" s="1" t="s">
        <v>239</v>
      </c>
      <c r="EV765" s="1" t="s">
        <v>324</v>
      </c>
      <c r="EW765" s="1" t="s">
        <v>286</v>
      </c>
      <c r="EY765" s="1" t="s">
        <v>242</v>
      </c>
      <c r="EZ765" s="1" t="s">
        <v>6767</v>
      </c>
      <c r="FA765" s="1" t="s">
        <v>3915</v>
      </c>
      <c r="FB765" s="1" t="s">
        <v>289</v>
      </c>
      <c r="FC765" s="1" t="s">
        <v>548</v>
      </c>
      <c r="FD765" s="1" t="s">
        <v>290</v>
      </c>
      <c r="FE765" s="1" t="s">
        <v>247</v>
      </c>
      <c r="FF765" s="1" t="s">
        <v>248</v>
      </c>
      <c r="FG765" s="1" t="s">
        <v>912</v>
      </c>
      <c r="FH765" s="1" t="s">
        <v>249</v>
      </c>
      <c r="FI765" s="1" t="s">
        <v>848</v>
      </c>
      <c r="FL765" s="1" t="s">
        <v>358</v>
      </c>
      <c r="FM765" s="1" t="s">
        <v>252</v>
      </c>
      <c r="FN765" s="1" t="s">
        <v>213</v>
      </c>
      <c r="FO765" s="1" t="s">
        <v>213</v>
      </c>
      <c r="FQ765" s="1" t="s">
        <v>6668</v>
      </c>
      <c r="FR765" s="1" t="s">
        <v>210</v>
      </c>
      <c r="FS765" s="1" t="s">
        <v>8793</v>
      </c>
      <c r="FT765" s="1" t="s">
        <v>295</v>
      </c>
      <c r="FU765" s="1" t="s">
        <v>204</v>
      </c>
      <c r="FW765" s="1" t="s">
        <v>8794</v>
      </c>
      <c r="FX765" s="1">
        <v>22944</v>
      </c>
      <c r="FY765" s="1" t="s">
        <v>8795</v>
      </c>
      <c r="FZ765" s="1" t="s">
        <v>8796</v>
      </c>
      <c r="GA765" s="1">
        <v>227564</v>
      </c>
      <c r="GB765" s="1" t="s">
        <v>8797</v>
      </c>
      <c r="GC765" s="1">
        <v>240650</v>
      </c>
      <c r="GE765" s="1" t="s">
        <v>1333</v>
      </c>
      <c r="GI765" s="1" t="s">
        <v>213</v>
      </c>
      <c r="GJ765" s="1" t="s">
        <v>260</v>
      </c>
      <c r="GK765" s="1" t="s">
        <v>210</v>
      </c>
      <c r="GL765" s="2">
        <v>42128</v>
      </c>
      <c r="GM765" s="1" t="s">
        <v>8798</v>
      </c>
    </row>
    <row r="766" spans="1:195">
      <c r="A766" s="1">
        <v>410000</v>
      </c>
      <c r="B766" s="1" t="s">
        <v>195</v>
      </c>
      <c r="C766" s="1" t="str">
        <f>"08828098"</f>
        <v>08828098</v>
      </c>
      <c r="D766" s="1" t="s">
        <v>196</v>
      </c>
      <c r="F766" s="1" t="str">
        <f>"126"</f>
        <v>126</v>
      </c>
      <c r="G766" s="2">
        <v>42035</v>
      </c>
      <c r="H766" s="1">
        <v>419000</v>
      </c>
      <c r="I766" s="1">
        <v>419000</v>
      </c>
      <c r="J766" s="1">
        <v>410000</v>
      </c>
      <c r="K766" s="2">
        <v>42033</v>
      </c>
      <c r="L766" s="1">
        <v>12</v>
      </c>
      <c r="M766" s="2">
        <v>42044</v>
      </c>
      <c r="N766" s="1">
        <v>12</v>
      </c>
      <c r="O766" s="2">
        <v>42044</v>
      </c>
      <c r="P766" s="1">
        <v>24330</v>
      </c>
      <c r="Q766" s="1" t="s">
        <v>197</v>
      </c>
      <c r="R766" s="2">
        <v>42075</v>
      </c>
      <c r="S766" s="1">
        <v>243368</v>
      </c>
      <c r="U766" s="1">
        <v>131</v>
      </c>
      <c r="V766" s="1" t="s">
        <v>8799</v>
      </c>
      <c r="W766" s="1" t="s">
        <v>725</v>
      </c>
      <c r="X766" s="1">
        <v>505</v>
      </c>
      <c r="Y766" s="1">
        <v>56</v>
      </c>
      <c r="Z766" s="1" t="s">
        <v>200</v>
      </c>
      <c r="AA766" s="1" t="s">
        <v>3169</v>
      </c>
      <c r="AB766" s="1">
        <v>60126</v>
      </c>
      <c r="AD766" s="1" t="s">
        <v>8800</v>
      </c>
      <c r="AE766" s="1" t="s">
        <v>8801</v>
      </c>
      <c r="AF766" s="1">
        <v>2002</v>
      </c>
      <c r="AG766" s="1" t="s">
        <v>204</v>
      </c>
      <c r="AH766" s="1" t="s">
        <v>3172</v>
      </c>
      <c r="AI766" s="1" t="s">
        <v>206</v>
      </c>
      <c r="AJ766" s="1" t="s">
        <v>1608</v>
      </c>
      <c r="AL766" s="1">
        <v>6</v>
      </c>
      <c r="AM766" s="1">
        <v>2</v>
      </c>
      <c r="AN766" s="1">
        <v>2</v>
      </c>
      <c r="AO766" s="1">
        <v>0</v>
      </c>
      <c r="AP766" s="1" t="s">
        <v>209</v>
      </c>
      <c r="AQ766" s="1">
        <v>1</v>
      </c>
      <c r="AR766" s="1" t="s">
        <v>210</v>
      </c>
      <c r="AT766" s="1" t="s">
        <v>211</v>
      </c>
      <c r="AU766" s="1">
        <v>2</v>
      </c>
      <c r="AW766" s="1" t="s">
        <v>204</v>
      </c>
      <c r="AX766" s="1" t="s">
        <v>212</v>
      </c>
      <c r="AZ766" s="1">
        <v>8419</v>
      </c>
      <c r="BA766" s="1">
        <v>2013</v>
      </c>
      <c r="BB766" s="1" t="s">
        <v>405</v>
      </c>
      <c r="BE766" s="1">
        <v>2004</v>
      </c>
      <c r="BF766" s="1">
        <v>5</v>
      </c>
      <c r="BG766" s="1">
        <v>30</v>
      </c>
      <c r="BL766" s="1">
        <v>631</v>
      </c>
      <c r="BM766" s="1" t="s">
        <v>204</v>
      </c>
      <c r="BN766" s="1" t="s">
        <v>213</v>
      </c>
      <c r="BO766" s="1">
        <v>50</v>
      </c>
      <c r="BP766" s="1" t="s">
        <v>204</v>
      </c>
      <c r="BR766" s="1" t="str">
        <f>"0602236071"</f>
        <v>0602236071</v>
      </c>
      <c r="BT766" s="1" t="s">
        <v>8802</v>
      </c>
      <c r="BU766" s="1" t="s">
        <v>3174</v>
      </c>
      <c r="BV766" s="1" t="s">
        <v>3175</v>
      </c>
      <c r="BX766" s="1">
        <v>205</v>
      </c>
      <c r="BY766" s="1">
        <v>205</v>
      </c>
      <c r="BZ766" s="1">
        <v>205</v>
      </c>
      <c r="CB766" s="1" t="str">
        <f t="shared" ref="CB766:CC766" si="598">""</f>
        <v/>
      </c>
      <c r="CC766" s="1" t="str">
        <f t="shared" si="598"/>
        <v/>
      </c>
      <c r="CG766" s="1" t="s">
        <v>628</v>
      </c>
      <c r="CH766" s="1" t="s">
        <v>219</v>
      </c>
      <c r="CI766" s="1" t="s">
        <v>229</v>
      </c>
      <c r="CK766" s="1" t="s">
        <v>377</v>
      </c>
      <c r="CL766" s="1" t="s">
        <v>219</v>
      </c>
      <c r="CM766" s="1" t="s">
        <v>229</v>
      </c>
      <c r="CO766" s="1" t="s">
        <v>1297</v>
      </c>
      <c r="CP766" s="1" t="s">
        <v>219</v>
      </c>
      <c r="CQ766" s="1" t="s">
        <v>229</v>
      </c>
      <c r="CS766" s="1" t="s">
        <v>1046</v>
      </c>
      <c r="CT766" s="1" t="s">
        <v>219</v>
      </c>
      <c r="CU766" s="1" t="s">
        <v>229</v>
      </c>
      <c r="CX766" s="1" t="s">
        <v>224</v>
      </c>
      <c r="DB766" s="1" t="s">
        <v>224</v>
      </c>
      <c r="DE766" s="1" t="s">
        <v>223</v>
      </c>
      <c r="DF766" s="1" t="s">
        <v>219</v>
      </c>
      <c r="DG766" s="1" t="s">
        <v>220</v>
      </c>
      <c r="DI766" s="1" t="s">
        <v>3035</v>
      </c>
      <c r="DJ766" s="1" t="s">
        <v>219</v>
      </c>
      <c r="DK766" s="1" t="s">
        <v>229</v>
      </c>
      <c r="DS766" s="1" t="s">
        <v>230</v>
      </c>
      <c r="DW766" s="1" t="s">
        <v>230</v>
      </c>
      <c r="EA766" s="1" t="s">
        <v>230</v>
      </c>
      <c r="EE766" s="1" t="s">
        <v>230</v>
      </c>
      <c r="EI766" s="1" t="s">
        <v>230</v>
      </c>
      <c r="EL766" s="1" t="s">
        <v>466</v>
      </c>
      <c r="EM766" s="1" t="s">
        <v>232</v>
      </c>
      <c r="EN766" s="1" t="s">
        <v>282</v>
      </c>
      <c r="EO766" s="1" t="s">
        <v>234</v>
      </c>
      <c r="EP766" s="1" t="s">
        <v>8803</v>
      </c>
      <c r="EQ766" s="1" t="s">
        <v>1819</v>
      </c>
      <c r="ER766" s="1" t="s">
        <v>210</v>
      </c>
      <c r="ES766" s="1" t="s">
        <v>1552</v>
      </c>
      <c r="ET766" s="1" t="s">
        <v>323</v>
      </c>
      <c r="EU766" s="1" t="s">
        <v>1820</v>
      </c>
      <c r="EV766" s="1" t="s">
        <v>324</v>
      </c>
      <c r="EW766" s="1" t="s">
        <v>8804</v>
      </c>
      <c r="EY766" s="1" t="s">
        <v>242</v>
      </c>
      <c r="EZ766" s="1" t="s">
        <v>287</v>
      </c>
      <c r="FC766" s="1" t="s">
        <v>1386</v>
      </c>
      <c r="FD766" s="1" t="s">
        <v>246</v>
      </c>
      <c r="FE766" s="1" t="s">
        <v>247</v>
      </c>
      <c r="FF766" s="1" t="s">
        <v>248</v>
      </c>
      <c r="FH766" s="1" t="s">
        <v>249</v>
      </c>
      <c r="FI766" s="1" t="s">
        <v>250</v>
      </c>
      <c r="FL766" s="1" t="s">
        <v>414</v>
      </c>
      <c r="FM766" s="1" t="s">
        <v>252</v>
      </c>
      <c r="FN766" s="1" t="s">
        <v>213</v>
      </c>
      <c r="FO766" s="1" t="s">
        <v>213</v>
      </c>
      <c r="FQ766" s="1" t="s">
        <v>329</v>
      </c>
      <c r="FR766" s="1" t="s">
        <v>210</v>
      </c>
      <c r="FS766" s="1" t="s">
        <v>8805</v>
      </c>
      <c r="FT766" s="1" t="s">
        <v>295</v>
      </c>
      <c r="FU766" s="1" t="s">
        <v>204</v>
      </c>
      <c r="FW766" s="1" t="s">
        <v>3328</v>
      </c>
      <c r="FX766" s="1">
        <v>24330</v>
      </c>
      <c r="FY766" s="1" t="s">
        <v>3329</v>
      </c>
      <c r="FZ766" s="1" t="s">
        <v>8806</v>
      </c>
      <c r="GA766" s="1">
        <v>243368</v>
      </c>
      <c r="GB766" s="1" t="s">
        <v>8807</v>
      </c>
      <c r="GE766" s="1" t="s">
        <v>1333</v>
      </c>
      <c r="GH766" s="1" t="s">
        <v>589</v>
      </c>
      <c r="GI766" s="1" t="s">
        <v>213</v>
      </c>
      <c r="GJ766" s="1" t="s">
        <v>260</v>
      </c>
      <c r="GK766" s="1" t="s">
        <v>210</v>
      </c>
      <c r="GL766" s="2">
        <v>42075</v>
      </c>
      <c r="GM766" s="1" t="s">
        <v>8808</v>
      </c>
    </row>
    <row r="767" spans="1:195">
      <c r="A767" s="1">
        <v>70000</v>
      </c>
      <c r="B767" s="1" t="s">
        <v>195</v>
      </c>
      <c r="C767" s="1" t="str">
        <f>"08811515"</f>
        <v>08811515</v>
      </c>
      <c r="D767" s="1" t="s">
        <v>196</v>
      </c>
      <c r="F767" s="1" t="str">
        <f>"123"</f>
        <v>123</v>
      </c>
      <c r="G767" s="2">
        <v>42011</v>
      </c>
      <c r="H767" s="1">
        <v>75000</v>
      </c>
      <c r="I767" s="1">
        <v>75000</v>
      </c>
      <c r="J767" s="1">
        <v>70000</v>
      </c>
      <c r="K767" s="2">
        <v>42011</v>
      </c>
      <c r="L767" s="1">
        <v>9</v>
      </c>
      <c r="M767" s="2">
        <v>42019</v>
      </c>
      <c r="N767" s="1">
        <v>9</v>
      </c>
      <c r="O767" s="2">
        <v>42019</v>
      </c>
      <c r="P767" s="1">
        <v>212</v>
      </c>
      <c r="Q767" s="1" t="s">
        <v>302</v>
      </c>
      <c r="R767" s="2">
        <v>42031</v>
      </c>
      <c r="S767" s="1">
        <v>77682</v>
      </c>
      <c r="U767" s="1">
        <v>2362</v>
      </c>
      <c r="V767" s="1" t="s">
        <v>82</v>
      </c>
      <c r="W767" s="1" t="s">
        <v>725</v>
      </c>
      <c r="X767" s="1" t="s">
        <v>3349</v>
      </c>
      <c r="Y767" s="1">
        <v>6</v>
      </c>
      <c r="Z767" s="1" t="s">
        <v>249</v>
      </c>
      <c r="AA767" s="1" t="s">
        <v>1173</v>
      </c>
      <c r="AB767" s="1">
        <v>60123</v>
      </c>
      <c r="AE767" s="1" t="s">
        <v>8809</v>
      </c>
      <c r="AF767" s="1">
        <v>1991</v>
      </c>
      <c r="AG767" s="1" t="s">
        <v>204</v>
      </c>
      <c r="AH767" s="1" t="s">
        <v>1175</v>
      </c>
      <c r="AI767" s="1" t="s">
        <v>665</v>
      </c>
      <c r="AJ767" s="1" t="s">
        <v>1175</v>
      </c>
      <c r="AK767" s="1" t="s">
        <v>8810</v>
      </c>
      <c r="AL767" s="1">
        <v>5</v>
      </c>
      <c r="AM767" s="1">
        <v>2</v>
      </c>
      <c r="AN767" s="1">
        <v>1</v>
      </c>
      <c r="AO767" s="1">
        <v>0</v>
      </c>
      <c r="AP767" s="1" t="s">
        <v>210</v>
      </c>
      <c r="AQ767" s="1">
        <v>1</v>
      </c>
      <c r="AR767" s="1" t="s">
        <v>210</v>
      </c>
      <c r="AS767" s="1" t="s">
        <v>204</v>
      </c>
      <c r="AT767" s="1" t="s">
        <v>375</v>
      </c>
      <c r="AU767" s="1">
        <v>1</v>
      </c>
      <c r="AV767" s="1">
        <v>1</v>
      </c>
      <c r="AW767" s="1" t="s">
        <v>204</v>
      </c>
      <c r="AX767" s="1" t="s">
        <v>212</v>
      </c>
      <c r="AZ767" s="1">
        <v>2488.44</v>
      </c>
      <c r="BA767" s="1">
        <v>2013</v>
      </c>
      <c r="BB767" s="1" t="s">
        <v>210</v>
      </c>
      <c r="BE767" s="1">
        <v>1178</v>
      </c>
      <c r="BF767" s="1">
        <v>3</v>
      </c>
      <c r="BG767" s="1">
        <v>0</v>
      </c>
      <c r="BL767" s="1">
        <v>75</v>
      </c>
      <c r="BM767" s="1" t="s">
        <v>204</v>
      </c>
      <c r="BN767" s="1" t="s">
        <v>213</v>
      </c>
      <c r="BO767" s="1">
        <v>999</v>
      </c>
      <c r="BP767" s="1" t="s">
        <v>204</v>
      </c>
      <c r="BR767" s="1" t="str">
        <f>"0621101018"</f>
        <v>0621101018</v>
      </c>
      <c r="BT767" s="1" t="s">
        <v>8811</v>
      </c>
      <c r="BU767" s="1" t="s">
        <v>1486</v>
      </c>
      <c r="BV767" s="1" t="s">
        <v>3283</v>
      </c>
      <c r="BW767" s="1" t="s">
        <v>1488</v>
      </c>
      <c r="BX767" s="1">
        <v>46</v>
      </c>
      <c r="BY767" s="1">
        <v>46</v>
      </c>
      <c r="BZ767" s="1">
        <v>46</v>
      </c>
      <c r="CB767" s="1" t="str">
        <f t="shared" ref="CB767:CC767" si="599">""</f>
        <v/>
      </c>
      <c r="CC767" s="1" t="str">
        <f t="shared" si="599"/>
        <v/>
      </c>
      <c r="CG767" s="1" t="s">
        <v>228</v>
      </c>
      <c r="CH767" s="1" t="s">
        <v>784</v>
      </c>
      <c r="CI767" s="1" t="s">
        <v>220</v>
      </c>
      <c r="CK767" s="1" t="s">
        <v>1267</v>
      </c>
      <c r="CL767" s="1" t="s">
        <v>784</v>
      </c>
      <c r="CM767" s="1" t="s">
        <v>220</v>
      </c>
      <c r="CO767" s="1" t="s">
        <v>2138</v>
      </c>
      <c r="CP767" s="1" t="s">
        <v>784</v>
      </c>
      <c r="CQ767" s="1" t="s">
        <v>220</v>
      </c>
      <c r="CS767" s="1" t="s">
        <v>1046</v>
      </c>
      <c r="CT767" s="1" t="s">
        <v>784</v>
      </c>
      <c r="CU767" s="1" t="s">
        <v>220</v>
      </c>
      <c r="CX767" s="1" t="s">
        <v>224</v>
      </c>
      <c r="DB767" s="1" t="s">
        <v>224</v>
      </c>
      <c r="DE767" s="1" t="s">
        <v>951</v>
      </c>
      <c r="DF767" s="1" t="s">
        <v>784</v>
      </c>
      <c r="DG767" s="1" t="s">
        <v>342</v>
      </c>
      <c r="DH767" s="1" t="s">
        <v>210</v>
      </c>
      <c r="DJ767" s="1" t="s">
        <v>224</v>
      </c>
      <c r="DS767" s="1" t="s">
        <v>230</v>
      </c>
      <c r="DW767" s="1" t="s">
        <v>230</v>
      </c>
      <c r="EA767" s="1" t="s">
        <v>230</v>
      </c>
      <c r="EE767" s="1" t="s">
        <v>230</v>
      </c>
      <c r="EI767" s="1" t="s">
        <v>230</v>
      </c>
      <c r="EL767" s="1" t="s">
        <v>382</v>
      </c>
      <c r="EM767" s="1" t="s">
        <v>319</v>
      </c>
      <c r="EN767" s="1" t="s">
        <v>282</v>
      </c>
      <c r="EO767" s="1" t="s">
        <v>234</v>
      </c>
      <c r="EP767" s="1" t="s">
        <v>650</v>
      </c>
      <c r="EQ767" s="1" t="s">
        <v>236</v>
      </c>
      <c r="ER767" s="1" t="s">
        <v>210</v>
      </c>
      <c r="ES767" s="1" t="s">
        <v>1552</v>
      </c>
      <c r="EV767" s="1" t="s">
        <v>352</v>
      </c>
      <c r="EW767" s="1" t="s">
        <v>8645</v>
      </c>
      <c r="EY767" s="1" t="s">
        <v>242</v>
      </c>
      <c r="EZ767" s="1" t="s">
        <v>287</v>
      </c>
      <c r="FA767" s="1" t="s">
        <v>672</v>
      </c>
      <c r="FB767" s="1" t="s">
        <v>289</v>
      </c>
      <c r="FD767" s="1" t="s">
        <v>495</v>
      </c>
      <c r="FE767" s="1" t="s">
        <v>247</v>
      </c>
      <c r="FF767" s="1" t="s">
        <v>248</v>
      </c>
      <c r="FG767" s="1" t="s">
        <v>1204</v>
      </c>
      <c r="FH767" s="1" t="s">
        <v>249</v>
      </c>
      <c r="FI767" s="1" t="s">
        <v>473</v>
      </c>
      <c r="FK767" s="1" t="s">
        <v>291</v>
      </c>
      <c r="FL767" s="1" t="s">
        <v>358</v>
      </c>
      <c r="FM767" s="1" t="s">
        <v>252</v>
      </c>
      <c r="FN767" s="1" t="s">
        <v>213</v>
      </c>
      <c r="FO767" s="1" t="s">
        <v>213</v>
      </c>
      <c r="FQ767" s="1" t="s">
        <v>8812</v>
      </c>
      <c r="FR767" s="1" t="s">
        <v>210</v>
      </c>
      <c r="FS767" s="1" t="s">
        <v>8813</v>
      </c>
      <c r="FT767" s="1" t="s">
        <v>1182</v>
      </c>
      <c r="FU767" s="1" t="s">
        <v>204</v>
      </c>
      <c r="FW767" s="1" t="s">
        <v>8814</v>
      </c>
      <c r="FX767" s="1">
        <v>372</v>
      </c>
      <c r="FY767" s="1" t="s">
        <v>8815</v>
      </c>
      <c r="FZ767" s="1" t="s">
        <v>8816</v>
      </c>
      <c r="GA767" s="1">
        <v>8755</v>
      </c>
      <c r="GB767" s="1" t="s">
        <v>8817</v>
      </c>
      <c r="GE767" s="1" t="s">
        <v>480</v>
      </c>
      <c r="GI767" s="1" t="s">
        <v>213</v>
      </c>
      <c r="GJ767" s="1" t="s">
        <v>260</v>
      </c>
      <c r="GK767" s="1" t="s">
        <v>210</v>
      </c>
      <c r="GL767" s="2">
        <v>42037</v>
      </c>
    </row>
    <row r="768" spans="1:195">
      <c r="A768" s="1">
        <v>123000</v>
      </c>
      <c r="B768" s="1" t="s">
        <v>195</v>
      </c>
      <c r="C768" s="1" t="str">
        <f>"08811139"</f>
        <v>08811139</v>
      </c>
      <c r="D768" s="1" t="s">
        <v>196</v>
      </c>
      <c r="F768" s="1" t="str">
        <f>"538"</f>
        <v>538</v>
      </c>
      <c r="G768" s="2">
        <v>42010</v>
      </c>
      <c r="H768" s="1">
        <v>137500</v>
      </c>
      <c r="I768" s="1">
        <v>129900</v>
      </c>
      <c r="J768" s="1">
        <v>123000</v>
      </c>
      <c r="K768" s="2">
        <v>42010</v>
      </c>
      <c r="L768" s="1">
        <v>33</v>
      </c>
      <c r="M768" s="2">
        <v>42042</v>
      </c>
      <c r="N768" s="1">
        <v>33</v>
      </c>
      <c r="O768" s="2">
        <v>42042</v>
      </c>
      <c r="P768" s="1">
        <v>23196</v>
      </c>
      <c r="Q768" s="1" t="s">
        <v>197</v>
      </c>
      <c r="R768" s="2">
        <v>42069</v>
      </c>
      <c r="S768" s="1">
        <v>242014</v>
      </c>
      <c r="U768" s="1">
        <v>2917</v>
      </c>
      <c r="V768" s="1" t="s">
        <v>3897</v>
      </c>
      <c r="W768" s="1" t="s">
        <v>504</v>
      </c>
      <c r="X768" s="1">
        <v>2917</v>
      </c>
      <c r="Y768" s="1">
        <v>2</v>
      </c>
      <c r="Z768" s="1" t="s">
        <v>200</v>
      </c>
      <c r="AA768" s="1" t="s">
        <v>450</v>
      </c>
      <c r="AB768" s="1">
        <v>60538</v>
      </c>
      <c r="AD768" s="1" t="s">
        <v>8818</v>
      </c>
      <c r="AE768" s="1" t="s">
        <v>8819</v>
      </c>
      <c r="AF768" s="1">
        <v>2005</v>
      </c>
      <c r="AG768" s="1" t="s">
        <v>204</v>
      </c>
      <c r="AH768" s="1" t="s">
        <v>452</v>
      </c>
      <c r="AI768" s="1" t="s">
        <v>453</v>
      </c>
      <c r="AJ768" s="1" t="s">
        <v>454</v>
      </c>
      <c r="AK768" s="1" t="s">
        <v>430</v>
      </c>
      <c r="AL768" s="1">
        <v>5</v>
      </c>
      <c r="AM768" s="1">
        <v>2</v>
      </c>
      <c r="AN768" s="1">
        <v>1</v>
      </c>
      <c r="AO768" s="1">
        <v>1</v>
      </c>
      <c r="AP768" s="1" t="s">
        <v>667</v>
      </c>
      <c r="AQ768" s="1">
        <v>0</v>
      </c>
      <c r="AR768" s="1" t="s">
        <v>210</v>
      </c>
      <c r="AS768" s="1" t="s">
        <v>204</v>
      </c>
      <c r="AT768" s="1" t="s">
        <v>211</v>
      </c>
      <c r="AU768" s="1">
        <v>2</v>
      </c>
      <c r="AW768" s="1" t="s">
        <v>204</v>
      </c>
      <c r="AX768" s="1" t="s">
        <v>8820</v>
      </c>
      <c r="AZ768" s="1">
        <v>3917</v>
      </c>
      <c r="BA768" s="1">
        <v>2012</v>
      </c>
      <c r="BB768" s="1" t="s">
        <v>210</v>
      </c>
      <c r="BE768" s="1">
        <v>1600</v>
      </c>
      <c r="BF768" s="1">
        <v>1</v>
      </c>
      <c r="BG768" s="1">
        <v>0</v>
      </c>
      <c r="BK768" s="1">
        <v>0</v>
      </c>
      <c r="BL768" s="1">
        <v>0</v>
      </c>
      <c r="BM768" s="1" t="s">
        <v>204</v>
      </c>
      <c r="BN768" s="1" t="s">
        <v>213</v>
      </c>
      <c r="BO768" s="1">
        <v>999</v>
      </c>
      <c r="BP768" s="1" t="s">
        <v>204</v>
      </c>
      <c r="BR768" s="1" t="str">
        <f>"0202329026"</f>
        <v>0202329026</v>
      </c>
      <c r="BT768" s="1" t="s">
        <v>8821</v>
      </c>
      <c r="BU768" s="1" t="s">
        <v>458</v>
      </c>
      <c r="BV768" s="1" t="s">
        <v>2574</v>
      </c>
      <c r="BW768" s="1" t="s">
        <v>460</v>
      </c>
      <c r="BX768" s="1">
        <v>308</v>
      </c>
      <c r="BY768" s="1">
        <v>308</v>
      </c>
      <c r="BZ768" s="1">
        <v>308</v>
      </c>
      <c r="CB768" s="1" t="str">
        <f>"0"</f>
        <v>0</v>
      </c>
      <c r="CC768" s="1" t="str">
        <f>"10"</f>
        <v>10</v>
      </c>
      <c r="CD768" s="1">
        <v>39</v>
      </c>
      <c r="CE768" s="1">
        <v>10</v>
      </c>
      <c r="CG768" s="1" t="s">
        <v>602</v>
      </c>
      <c r="CH768" s="1" t="s">
        <v>219</v>
      </c>
      <c r="CI768" s="1" t="s">
        <v>220</v>
      </c>
      <c r="CK768" s="1" t="s">
        <v>1200</v>
      </c>
      <c r="CL768" s="1" t="s">
        <v>277</v>
      </c>
      <c r="CM768" s="1" t="s">
        <v>220</v>
      </c>
      <c r="CO768" s="1" t="s">
        <v>1297</v>
      </c>
      <c r="CP768" s="1" t="s">
        <v>219</v>
      </c>
      <c r="CQ768" s="1" t="s">
        <v>220</v>
      </c>
      <c r="CS768" s="1" t="s">
        <v>378</v>
      </c>
      <c r="CT768" s="1" t="s">
        <v>277</v>
      </c>
      <c r="CU768" s="1" t="s">
        <v>220</v>
      </c>
      <c r="CX768" s="1" t="s">
        <v>224</v>
      </c>
      <c r="DB768" s="1" t="s">
        <v>224</v>
      </c>
      <c r="DE768" s="1" t="s">
        <v>6531</v>
      </c>
      <c r="DF768" s="1" t="s">
        <v>219</v>
      </c>
      <c r="DG768" s="1" t="s">
        <v>342</v>
      </c>
      <c r="DJ768" s="1" t="s">
        <v>224</v>
      </c>
      <c r="DS768" s="1" t="s">
        <v>230</v>
      </c>
      <c r="DW768" s="1" t="s">
        <v>230</v>
      </c>
      <c r="EA768" s="1" t="s">
        <v>230</v>
      </c>
      <c r="EE768" s="1" t="s">
        <v>230</v>
      </c>
      <c r="EI768" s="1" t="s">
        <v>230</v>
      </c>
      <c r="EL768" s="1" t="s">
        <v>491</v>
      </c>
      <c r="EM768" s="1" t="s">
        <v>319</v>
      </c>
      <c r="EN768" s="1" t="s">
        <v>282</v>
      </c>
      <c r="EO768" s="1" t="s">
        <v>840</v>
      </c>
      <c r="EP768" s="1" t="s">
        <v>3782</v>
      </c>
      <c r="EQ768" s="1" t="s">
        <v>1109</v>
      </c>
      <c r="ER768" s="1" t="s">
        <v>210</v>
      </c>
      <c r="ES768" s="1" t="s">
        <v>824</v>
      </c>
      <c r="EV768" s="1" t="s">
        <v>240</v>
      </c>
      <c r="EW768" s="1" t="s">
        <v>210</v>
      </c>
      <c r="EY768" s="1" t="s">
        <v>242</v>
      </c>
      <c r="EZ768" s="1" t="s">
        <v>287</v>
      </c>
      <c r="FA768" s="1" t="s">
        <v>1427</v>
      </c>
      <c r="FB768" s="1" t="s">
        <v>734</v>
      </c>
      <c r="FD768" s="1" t="s">
        <v>246</v>
      </c>
      <c r="FE768" s="1" t="s">
        <v>472</v>
      </c>
      <c r="FF768" s="1" t="s">
        <v>248</v>
      </c>
      <c r="FH768" s="1" t="s">
        <v>442</v>
      </c>
      <c r="FI768" s="1" t="s">
        <v>2889</v>
      </c>
      <c r="FL768" s="1" t="s">
        <v>358</v>
      </c>
      <c r="FM768" s="1" t="s">
        <v>769</v>
      </c>
      <c r="FN768" s="1" t="s">
        <v>213</v>
      </c>
      <c r="FO768" s="1" t="s">
        <v>213</v>
      </c>
      <c r="FQ768" s="1" t="s">
        <v>1896</v>
      </c>
      <c r="FR768" s="1" t="s">
        <v>210</v>
      </c>
      <c r="FS768" s="1" t="s">
        <v>8822</v>
      </c>
      <c r="FT768" s="1" t="s">
        <v>255</v>
      </c>
      <c r="FU768" s="1" t="s">
        <v>204</v>
      </c>
      <c r="FW768" s="1" t="s">
        <v>1898</v>
      </c>
      <c r="FX768" s="1">
        <v>23030</v>
      </c>
      <c r="FY768" s="1" t="s">
        <v>1899</v>
      </c>
      <c r="FZ768" s="1" t="s">
        <v>8823</v>
      </c>
      <c r="GA768" s="1">
        <v>232978</v>
      </c>
      <c r="GB768" s="1" t="s">
        <v>8824</v>
      </c>
      <c r="GE768" s="1" t="s">
        <v>210</v>
      </c>
      <c r="GI768" s="1" t="s">
        <v>213</v>
      </c>
      <c r="GJ768" s="1" t="s">
        <v>260</v>
      </c>
      <c r="GK768" s="1" t="s">
        <v>261</v>
      </c>
      <c r="GL768" s="2">
        <v>42069</v>
      </c>
    </row>
    <row r="769" spans="1:195">
      <c r="A769" s="1">
        <v>232500</v>
      </c>
      <c r="B769" s="1" t="s">
        <v>195</v>
      </c>
      <c r="C769" s="1" t="str">
        <f>"08811243"</f>
        <v>08811243</v>
      </c>
      <c r="D769" s="1" t="s">
        <v>196</v>
      </c>
      <c r="F769" s="1" t="str">
        <f>"562"</f>
        <v>562</v>
      </c>
      <c r="G769" s="2">
        <v>42011</v>
      </c>
      <c r="H769" s="1">
        <v>235000</v>
      </c>
      <c r="I769" s="1">
        <v>232500</v>
      </c>
      <c r="J769" s="1">
        <v>232500</v>
      </c>
      <c r="K769" s="2">
        <v>42011</v>
      </c>
      <c r="L769" s="1">
        <v>200</v>
      </c>
      <c r="M769" s="2">
        <v>42118</v>
      </c>
      <c r="N769" s="1">
        <v>108</v>
      </c>
      <c r="O769" s="2">
        <v>42118</v>
      </c>
      <c r="P769" s="1">
        <v>20001</v>
      </c>
      <c r="Q769" s="1" t="s">
        <v>197</v>
      </c>
      <c r="R769" s="2">
        <v>42139</v>
      </c>
      <c r="S769" s="1">
        <v>217833</v>
      </c>
      <c r="U769" s="1">
        <v>1168</v>
      </c>
      <c r="V769" s="1" t="s">
        <v>4516</v>
      </c>
      <c r="W769" s="1" t="s">
        <v>304</v>
      </c>
      <c r="X769" s="1">
        <v>1168</v>
      </c>
      <c r="Y769" s="1">
        <v>2</v>
      </c>
      <c r="Z769" s="1" t="s">
        <v>249</v>
      </c>
      <c r="AA769" s="1" t="s">
        <v>899</v>
      </c>
      <c r="AB769" s="1">
        <v>60561</v>
      </c>
      <c r="AD769" s="1" t="s">
        <v>4517</v>
      </c>
      <c r="AE769" s="1" t="s">
        <v>8825</v>
      </c>
      <c r="AF769" s="1">
        <v>1989</v>
      </c>
      <c r="AG769" s="1" t="s">
        <v>204</v>
      </c>
      <c r="AH769" s="1" t="s">
        <v>902</v>
      </c>
      <c r="AI769" s="1" t="s">
        <v>206</v>
      </c>
      <c r="AJ769" s="1" t="s">
        <v>903</v>
      </c>
      <c r="AL769" s="1">
        <v>7</v>
      </c>
      <c r="AM769" s="1">
        <v>2</v>
      </c>
      <c r="AN769" s="1">
        <v>2</v>
      </c>
      <c r="AO769" s="1">
        <v>0</v>
      </c>
      <c r="AP769" s="1" t="s">
        <v>209</v>
      </c>
      <c r="AQ769" s="1">
        <v>1</v>
      </c>
      <c r="AR769" s="1" t="s">
        <v>210</v>
      </c>
      <c r="AS769" s="1" t="s">
        <v>204</v>
      </c>
      <c r="AT769" s="1" t="s">
        <v>211</v>
      </c>
      <c r="AU769" s="1">
        <v>1</v>
      </c>
      <c r="AW769" s="1" t="s">
        <v>204</v>
      </c>
      <c r="AX769" s="1" t="s">
        <v>212</v>
      </c>
      <c r="AZ769" s="1">
        <v>4960</v>
      </c>
      <c r="BA769" s="1">
        <v>2013</v>
      </c>
      <c r="BB769" s="1" t="s">
        <v>405</v>
      </c>
      <c r="BE769" s="1">
        <v>1860</v>
      </c>
      <c r="BF769" s="1">
        <v>2</v>
      </c>
      <c r="BG769" s="1">
        <v>30</v>
      </c>
      <c r="BJ769" s="1">
        <v>100</v>
      </c>
      <c r="BL769" s="1">
        <v>329</v>
      </c>
      <c r="BM769" s="1" t="s">
        <v>204</v>
      </c>
      <c r="BN769" s="1" t="s">
        <v>213</v>
      </c>
      <c r="BO769" s="1">
        <v>999</v>
      </c>
      <c r="BP769" s="1" t="s">
        <v>204</v>
      </c>
      <c r="BR769" s="1" t="str">
        <f>"0922318097"</f>
        <v>0922318097</v>
      </c>
      <c r="BT769" s="1" t="s">
        <v>8826</v>
      </c>
      <c r="BU769" s="1" t="s">
        <v>4521</v>
      </c>
      <c r="BV769" s="1" t="s">
        <v>3098</v>
      </c>
      <c r="BW769" s="1" t="s">
        <v>907</v>
      </c>
      <c r="BX769" s="1">
        <v>61</v>
      </c>
      <c r="BY769" s="1">
        <v>61</v>
      </c>
      <c r="BZ769" s="1">
        <v>86</v>
      </c>
      <c r="CB769" s="1" t="str">
        <f t="shared" ref="CB769:CC769" si="600">""</f>
        <v/>
      </c>
      <c r="CC769" s="1" t="str">
        <f t="shared" si="600"/>
        <v/>
      </c>
      <c r="CG769" s="1" t="s">
        <v>218</v>
      </c>
      <c r="CH769" s="1" t="s">
        <v>219</v>
      </c>
      <c r="CI769" s="1" t="s">
        <v>220</v>
      </c>
      <c r="CJ769" s="1" t="s">
        <v>439</v>
      </c>
      <c r="CK769" s="1" t="s">
        <v>1045</v>
      </c>
      <c r="CL769" s="1" t="s">
        <v>219</v>
      </c>
      <c r="CM769" s="1" t="s">
        <v>220</v>
      </c>
      <c r="CN769" s="1" t="s">
        <v>210</v>
      </c>
      <c r="CO769" s="1" t="s">
        <v>380</v>
      </c>
      <c r="CP769" s="1" t="s">
        <v>219</v>
      </c>
      <c r="CQ769" s="1" t="s">
        <v>220</v>
      </c>
      <c r="CR769" s="1" t="s">
        <v>439</v>
      </c>
      <c r="CS769" s="1" t="s">
        <v>757</v>
      </c>
      <c r="CT769" s="1" t="s">
        <v>219</v>
      </c>
      <c r="CU769" s="1" t="s">
        <v>220</v>
      </c>
      <c r="CV769" s="1" t="s">
        <v>439</v>
      </c>
      <c r="CX769" s="1" t="s">
        <v>224</v>
      </c>
      <c r="DB769" s="1" t="s">
        <v>224</v>
      </c>
      <c r="DE769" s="1" t="s">
        <v>1297</v>
      </c>
      <c r="DF769" s="1" t="s">
        <v>219</v>
      </c>
      <c r="DG769" s="1" t="s">
        <v>226</v>
      </c>
      <c r="DH769" s="1" t="s">
        <v>210</v>
      </c>
      <c r="DI769" s="1" t="s">
        <v>314</v>
      </c>
      <c r="DJ769" s="1" t="s">
        <v>219</v>
      </c>
      <c r="DK769" s="1" t="s">
        <v>220</v>
      </c>
      <c r="DL769" s="1" t="s">
        <v>439</v>
      </c>
      <c r="DM769" s="1" t="s">
        <v>1548</v>
      </c>
      <c r="DN769" s="1" t="s">
        <v>838</v>
      </c>
      <c r="DR769" s="1" t="s">
        <v>837</v>
      </c>
      <c r="DS769" s="1" t="s">
        <v>219</v>
      </c>
      <c r="DT769" s="1" t="s">
        <v>226</v>
      </c>
      <c r="DU769" s="1" t="s">
        <v>439</v>
      </c>
      <c r="DV769" s="1" t="s">
        <v>2031</v>
      </c>
      <c r="DW769" s="1" t="s">
        <v>219</v>
      </c>
      <c r="DX769" s="1" t="s">
        <v>347</v>
      </c>
      <c r="DY769" s="1" t="s">
        <v>210</v>
      </c>
      <c r="EA769" s="1" t="s">
        <v>230</v>
      </c>
      <c r="EE769" s="1" t="s">
        <v>230</v>
      </c>
      <c r="EI769" s="1" t="s">
        <v>230</v>
      </c>
      <c r="EL769" s="1" t="s">
        <v>542</v>
      </c>
      <c r="EM769" s="1" t="s">
        <v>232</v>
      </c>
      <c r="EN769" s="1" t="s">
        <v>282</v>
      </c>
      <c r="EO769" s="1" t="s">
        <v>234</v>
      </c>
      <c r="ER769" s="1" t="s">
        <v>210</v>
      </c>
      <c r="ET769" s="1" t="s">
        <v>1201</v>
      </c>
      <c r="EU769" s="1" t="s">
        <v>1894</v>
      </c>
      <c r="EW769" s="1" t="s">
        <v>353</v>
      </c>
      <c r="EY769" s="1" t="s">
        <v>242</v>
      </c>
      <c r="EZ769" s="1" t="s">
        <v>8827</v>
      </c>
      <c r="FD769" s="1" t="s">
        <v>495</v>
      </c>
      <c r="FE769" s="1" t="s">
        <v>4525</v>
      </c>
      <c r="FF769" s="1" t="s">
        <v>248</v>
      </c>
      <c r="FG769" s="1" t="s">
        <v>912</v>
      </c>
      <c r="FH769" s="1" t="s">
        <v>249</v>
      </c>
      <c r="FI769" s="1" t="s">
        <v>473</v>
      </c>
      <c r="FL769" s="1" t="s">
        <v>358</v>
      </c>
      <c r="FM769" s="1" t="s">
        <v>252</v>
      </c>
      <c r="FN769" s="1" t="s">
        <v>213</v>
      </c>
      <c r="FO769" s="1" t="s">
        <v>213</v>
      </c>
      <c r="FQ769" s="1" t="s">
        <v>329</v>
      </c>
      <c r="FR769" s="1" t="s">
        <v>210</v>
      </c>
      <c r="FS769" s="1" t="s">
        <v>8828</v>
      </c>
      <c r="FT769" s="1" t="s">
        <v>295</v>
      </c>
      <c r="FU769" s="1" t="s">
        <v>204</v>
      </c>
      <c r="FW769" s="1" t="s">
        <v>585</v>
      </c>
      <c r="FX769" s="1">
        <v>20001</v>
      </c>
      <c r="FY769" s="1" t="s">
        <v>5002</v>
      </c>
      <c r="FZ769" s="1" t="s">
        <v>8829</v>
      </c>
      <c r="GA769" s="1">
        <v>215336</v>
      </c>
      <c r="GB769" s="1" t="s">
        <v>8830</v>
      </c>
      <c r="GE769" s="1" t="s">
        <v>210</v>
      </c>
      <c r="GI769" s="1" t="s">
        <v>213</v>
      </c>
      <c r="GJ769" s="1" t="s">
        <v>260</v>
      </c>
      <c r="GK769" s="1" t="s">
        <v>210</v>
      </c>
      <c r="GL769" s="2">
        <v>42139</v>
      </c>
      <c r="GM769" s="1" t="s">
        <v>8831</v>
      </c>
    </row>
    <row r="770" spans="1:195">
      <c r="A770" s="1">
        <v>125000</v>
      </c>
      <c r="B770" s="1" t="s">
        <v>195</v>
      </c>
      <c r="C770" s="1" t="str">
        <f>"08816966"</f>
        <v>08816966</v>
      </c>
      <c r="D770" s="1" t="s">
        <v>196</v>
      </c>
      <c r="F770" s="1" t="str">
        <f>"60"</f>
        <v>60</v>
      </c>
      <c r="G770" s="2">
        <v>42019</v>
      </c>
      <c r="H770" s="1">
        <v>127500</v>
      </c>
      <c r="I770" s="1">
        <v>127500</v>
      </c>
      <c r="J770" s="1">
        <v>125000</v>
      </c>
      <c r="K770" s="2">
        <v>42019</v>
      </c>
      <c r="L770" s="1">
        <v>89</v>
      </c>
      <c r="M770" s="2">
        <v>42073</v>
      </c>
      <c r="N770" s="1">
        <v>55</v>
      </c>
      <c r="O770" s="2">
        <v>42073</v>
      </c>
      <c r="P770" s="1">
        <v>1325</v>
      </c>
      <c r="Q770" s="1" t="s">
        <v>197</v>
      </c>
      <c r="R770" s="2">
        <v>42111</v>
      </c>
      <c r="S770" s="1">
        <v>84849</v>
      </c>
      <c r="U770" s="1">
        <v>1605</v>
      </c>
      <c r="V770" s="1" t="s">
        <v>5834</v>
      </c>
      <c r="W770" s="1" t="s">
        <v>304</v>
      </c>
      <c r="Y770" s="1">
        <v>4</v>
      </c>
      <c r="Z770" s="1" t="s">
        <v>200</v>
      </c>
      <c r="AA770" s="1" t="s">
        <v>1689</v>
      </c>
      <c r="AB770" s="1">
        <v>60060</v>
      </c>
      <c r="AE770" s="1" t="s">
        <v>8832</v>
      </c>
      <c r="AF770" s="1">
        <v>1992</v>
      </c>
      <c r="AG770" s="1" t="s">
        <v>204</v>
      </c>
      <c r="AH770" s="1" t="s">
        <v>1692</v>
      </c>
      <c r="AI770" s="1" t="s">
        <v>509</v>
      </c>
      <c r="AJ770" s="1" t="s">
        <v>5836</v>
      </c>
      <c r="AL770" s="1">
        <v>5</v>
      </c>
      <c r="AM770" s="1">
        <v>2</v>
      </c>
      <c r="AN770" s="1">
        <v>2</v>
      </c>
      <c r="AO770" s="1">
        <v>1</v>
      </c>
      <c r="AP770" s="1" t="s">
        <v>209</v>
      </c>
      <c r="AQ770" s="1">
        <v>1</v>
      </c>
      <c r="AR770" s="1" t="s">
        <v>210</v>
      </c>
      <c r="AT770" s="1" t="s">
        <v>211</v>
      </c>
      <c r="AU770" s="1">
        <v>1</v>
      </c>
      <c r="AW770" s="1" t="s">
        <v>204</v>
      </c>
      <c r="AX770" s="1" t="s">
        <v>1581</v>
      </c>
      <c r="AZ770" s="1">
        <v>2716.43</v>
      </c>
      <c r="BA770" s="1">
        <v>2013</v>
      </c>
      <c r="BB770" s="1" t="s">
        <v>405</v>
      </c>
      <c r="BE770" s="1">
        <v>1122</v>
      </c>
      <c r="BF770" s="1">
        <v>1</v>
      </c>
      <c r="BG770" s="1">
        <v>0</v>
      </c>
      <c r="BL770" s="1">
        <v>163</v>
      </c>
      <c r="BM770" s="1" t="s">
        <v>204</v>
      </c>
      <c r="BN770" s="1" t="s">
        <v>213</v>
      </c>
      <c r="BO770" s="1">
        <v>100</v>
      </c>
      <c r="BP770" s="1" t="s">
        <v>204</v>
      </c>
      <c r="BR770" s="1" t="str">
        <f>"10234130970000"</f>
        <v>10234130970000</v>
      </c>
      <c r="BT770" s="1" t="s">
        <v>8833</v>
      </c>
      <c r="BU770" s="1" t="s">
        <v>5838</v>
      </c>
      <c r="BV770" s="1" t="s">
        <v>5839</v>
      </c>
      <c r="BW770" s="1" t="s">
        <v>5840</v>
      </c>
      <c r="BX770" s="1">
        <v>75</v>
      </c>
      <c r="BY770" s="1">
        <v>75</v>
      </c>
      <c r="BZ770" s="1">
        <v>120</v>
      </c>
      <c r="CB770" s="1" t="str">
        <f t="shared" ref="CB770:CC770" si="601">""</f>
        <v/>
      </c>
      <c r="CC770" s="1" t="str">
        <f t="shared" si="601"/>
        <v/>
      </c>
      <c r="CG770" s="1" t="s">
        <v>1200</v>
      </c>
      <c r="CH770" s="1" t="s">
        <v>219</v>
      </c>
      <c r="CI770" s="1" t="s">
        <v>229</v>
      </c>
      <c r="CK770" s="1" t="s">
        <v>539</v>
      </c>
      <c r="CL770" s="1" t="s">
        <v>277</v>
      </c>
      <c r="CM770" s="1" t="s">
        <v>220</v>
      </c>
      <c r="CO770" s="1" t="s">
        <v>629</v>
      </c>
      <c r="CP770" s="1" t="s">
        <v>219</v>
      </c>
      <c r="CS770" s="1" t="s">
        <v>317</v>
      </c>
      <c r="CT770" s="1" t="s">
        <v>277</v>
      </c>
      <c r="CU770" s="1" t="s">
        <v>220</v>
      </c>
      <c r="CX770" s="1" t="s">
        <v>224</v>
      </c>
      <c r="DB770" s="1" t="s">
        <v>224</v>
      </c>
      <c r="DE770" s="1" t="s">
        <v>821</v>
      </c>
      <c r="DF770" s="1" t="s">
        <v>219</v>
      </c>
      <c r="DG770" s="1" t="s">
        <v>226</v>
      </c>
      <c r="DJ770" s="1" t="s">
        <v>224</v>
      </c>
      <c r="DS770" s="1" t="s">
        <v>230</v>
      </c>
      <c r="DW770" s="1" t="s">
        <v>230</v>
      </c>
      <c r="EA770" s="1" t="s">
        <v>230</v>
      </c>
      <c r="EE770" s="1" t="s">
        <v>230</v>
      </c>
      <c r="EI770" s="1" t="s">
        <v>230</v>
      </c>
      <c r="EL770" s="1" t="s">
        <v>382</v>
      </c>
      <c r="EM770" s="1" t="s">
        <v>319</v>
      </c>
      <c r="EN770" s="1" t="s">
        <v>282</v>
      </c>
      <c r="EO770" s="1" t="s">
        <v>234</v>
      </c>
      <c r="EQ770" s="1" t="s">
        <v>2188</v>
      </c>
      <c r="ER770" s="1" t="s">
        <v>210</v>
      </c>
      <c r="ET770" s="1" t="s">
        <v>1161</v>
      </c>
      <c r="EU770" s="1" t="s">
        <v>239</v>
      </c>
      <c r="EV770" s="1" t="s">
        <v>240</v>
      </c>
      <c r="EW770" s="1" t="s">
        <v>937</v>
      </c>
      <c r="EY770" s="1" t="s">
        <v>242</v>
      </c>
      <c r="EZ770" s="1" t="s">
        <v>287</v>
      </c>
      <c r="FA770" s="1" t="s">
        <v>714</v>
      </c>
      <c r="FB770" s="1" t="s">
        <v>289</v>
      </c>
      <c r="FD770" s="1" t="s">
        <v>246</v>
      </c>
      <c r="FE770" s="1" t="s">
        <v>355</v>
      </c>
      <c r="FF770" s="1" t="s">
        <v>248</v>
      </c>
      <c r="FG770" s="1" t="s">
        <v>912</v>
      </c>
      <c r="FH770" s="1" t="s">
        <v>550</v>
      </c>
      <c r="FI770" s="1" t="s">
        <v>473</v>
      </c>
      <c r="FL770" s="1" t="s">
        <v>414</v>
      </c>
      <c r="FM770" s="1" t="s">
        <v>252</v>
      </c>
      <c r="FN770" s="1" t="s">
        <v>213</v>
      </c>
      <c r="FO770" s="1" t="s">
        <v>213</v>
      </c>
      <c r="FQ770" s="1" t="s">
        <v>8834</v>
      </c>
      <c r="FR770" s="1" t="s">
        <v>210</v>
      </c>
      <c r="FS770" s="1" t="s">
        <v>8835</v>
      </c>
      <c r="FT770" s="1" t="s">
        <v>362</v>
      </c>
      <c r="FU770" s="1" t="s">
        <v>204</v>
      </c>
      <c r="FW770" s="1" t="s">
        <v>1077</v>
      </c>
      <c r="FX770" s="1">
        <v>2752</v>
      </c>
      <c r="FY770" s="1" t="s">
        <v>1078</v>
      </c>
      <c r="FZ770" s="1" t="s">
        <v>8836</v>
      </c>
      <c r="GA770" s="1">
        <v>20394</v>
      </c>
      <c r="GB770" s="1" t="s">
        <v>8837</v>
      </c>
      <c r="GE770" s="1" t="s">
        <v>480</v>
      </c>
      <c r="GI770" s="1" t="s">
        <v>213</v>
      </c>
      <c r="GJ770" s="1" t="s">
        <v>260</v>
      </c>
      <c r="GK770" s="1" t="s">
        <v>210</v>
      </c>
      <c r="GL770" s="2">
        <v>42115</v>
      </c>
    </row>
    <row r="771" spans="1:195">
      <c r="A771" s="1">
        <v>74900</v>
      </c>
      <c r="B771" s="1" t="s">
        <v>195</v>
      </c>
      <c r="C771" s="1" t="str">
        <f>"08827105"</f>
        <v>08827105</v>
      </c>
      <c r="D771" s="1" t="s">
        <v>196</v>
      </c>
      <c r="F771" s="1" t="str">
        <f>"107"</f>
        <v>107</v>
      </c>
      <c r="G771" s="2">
        <v>42033</v>
      </c>
      <c r="H771" s="1">
        <v>74900</v>
      </c>
      <c r="I771" s="1">
        <v>74900</v>
      </c>
      <c r="J771" s="1">
        <v>74900</v>
      </c>
      <c r="K771" s="2">
        <v>42033</v>
      </c>
      <c r="L771" s="1">
        <v>9</v>
      </c>
      <c r="M771" s="2">
        <v>42041</v>
      </c>
      <c r="N771" s="1">
        <v>9</v>
      </c>
      <c r="O771" s="2">
        <v>42041</v>
      </c>
      <c r="P771" s="1">
        <v>8969</v>
      </c>
      <c r="Q771" s="1" t="s">
        <v>302</v>
      </c>
      <c r="R771" s="2">
        <v>42062</v>
      </c>
      <c r="S771" s="1">
        <v>29046</v>
      </c>
      <c r="U771" s="1">
        <v>556</v>
      </c>
      <c r="V771" s="1" t="s">
        <v>8410</v>
      </c>
      <c r="W771" s="1" t="s">
        <v>504</v>
      </c>
      <c r="X771" s="1" t="s">
        <v>4806</v>
      </c>
      <c r="Y771" s="1">
        <v>4</v>
      </c>
      <c r="Z771" s="1" t="s">
        <v>370</v>
      </c>
      <c r="AA771" s="1" t="s">
        <v>1211</v>
      </c>
      <c r="AB771" s="1">
        <v>60107</v>
      </c>
      <c r="AD771" s="1" t="s">
        <v>5883</v>
      </c>
      <c r="AE771" s="1" t="s">
        <v>8838</v>
      </c>
      <c r="AF771" s="1">
        <v>1987</v>
      </c>
      <c r="AG771" s="1" t="s">
        <v>204</v>
      </c>
      <c r="AH771" s="1" t="s">
        <v>1214</v>
      </c>
      <c r="AI771" s="1" t="s">
        <v>310</v>
      </c>
      <c r="AJ771" s="1" t="s">
        <v>374</v>
      </c>
      <c r="AL771" s="1">
        <v>4</v>
      </c>
      <c r="AM771" s="1">
        <v>2</v>
      </c>
      <c r="AN771" s="1">
        <v>1</v>
      </c>
      <c r="AO771" s="1">
        <v>0</v>
      </c>
      <c r="AP771" s="1" t="s">
        <v>210</v>
      </c>
      <c r="AR771" s="1" t="s">
        <v>210</v>
      </c>
      <c r="AS771" s="1" t="s">
        <v>204</v>
      </c>
      <c r="AT771" s="1" t="s">
        <v>211</v>
      </c>
      <c r="AU771" s="1">
        <v>1</v>
      </c>
      <c r="AW771" s="1" t="s">
        <v>204</v>
      </c>
      <c r="AX771" s="1" t="s">
        <v>212</v>
      </c>
      <c r="AZ771" s="1">
        <v>647.12</v>
      </c>
      <c r="BA771" s="1">
        <v>2013</v>
      </c>
      <c r="BB771" s="1" t="s">
        <v>210</v>
      </c>
      <c r="BE771" s="1">
        <v>0</v>
      </c>
      <c r="BF771" s="1">
        <v>2</v>
      </c>
      <c r="BG771" s="1">
        <v>3</v>
      </c>
      <c r="BL771" s="1">
        <v>228</v>
      </c>
      <c r="BM771" s="1" t="s">
        <v>413</v>
      </c>
      <c r="BN771" s="1" t="s">
        <v>213</v>
      </c>
      <c r="BO771" s="1">
        <v>0</v>
      </c>
      <c r="BP771" s="1" t="s">
        <v>204</v>
      </c>
      <c r="BR771" s="1" t="str">
        <f>"06144280151222"</f>
        <v>06144280151222</v>
      </c>
      <c r="BT771" s="1" t="s">
        <v>3241</v>
      </c>
      <c r="BX771" s="1">
        <v>46</v>
      </c>
      <c r="BY771" s="1">
        <v>46</v>
      </c>
      <c r="BZ771" s="1">
        <v>46</v>
      </c>
      <c r="CB771" s="1" t="str">
        <f t="shared" ref="CB771:CC771" si="602">""</f>
        <v/>
      </c>
      <c r="CC771" s="1" t="str">
        <f t="shared" si="602"/>
        <v/>
      </c>
      <c r="CG771" s="1" t="s">
        <v>228</v>
      </c>
      <c r="CH771" s="1" t="s">
        <v>277</v>
      </c>
      <c r="CI771" s="1" t="s">
        <v>438</v>
      </c>
      <c r="CK771" s="1" t="s">
        <v>539</v>
      </c>
      <c r="CL771" s="1" t="s">
        <v>277</v>
      </c>
      <c r="CM771" s="1" t="s">
        <v>220</v>
      </c>
      <c r="CP771" s="1" t="s">
        <v>224</v>
      </c>
      <c r="CS771" s="1" t="s">
        <v>461</v>
      </c>
      <c r="CT771" s="1" t="s">
        <v>277</v>
      </c>
      <c r="CU771" s="1" t="s">
        <v>220</v>
      </c>
      <c r="CX771" s="1" t="s">
        <v>224</v>
      </c>
      <c r="DB771" s="1" t="s">
        <v>224</v>
      </c>
      <c r="DE771" s="1" t="s">
        <v>316</v>
      </c>
      <c r="DF771" s="1" t="s">
        <v>277</v>
      </c>
      <c r="DG771" s="1" t="s">
        <v>226</v>
      </c>
      <c r="DJ771" s="1" t="s">
        <v>224</v>
      </c>
      <c r="DM771" s="1" t="s">
        <v>1614</v>
      </c>
      <c r="DR771" s="1" t="s">
        <v>1772</v>
      </c>
      <c r="DS771" s="1" t="s">
        <v>219</v>
      </c>
      <c r="DT771" s="1" t="s">
        <v>347</v>
      </c>
      <c r="DW771" s="1" t="s">
        <v>230</v>
      </c>
      <c r="EA771" s="1" t="s">
        <v>230</v>
      </c>
      <c r="EE771" s="1" t="s">
        <v>230</v>
      </c>
      <c r="EI771" s="1" t="s">
        <v>230</v>
      </c>
      <c r="EL771" s="1" t="s">
        <v>542</v>
      </c>
      <c r="EM771" s="1" t="s">
        <v>232</v>
      </c>
      <c r="EN771" s="1" t="s">
        <v>282</v>
      </c>
      <c r="EO771" s="1" t="s">
        <v>234</v>
      </c>
      <c r="ER771" s="1" t="s">
        <v>210</v>
      </c>
      <c r="EW771" s="1" t="s">
        <v>3614</v>
      </c>
      <c r="EZ771" s="1" t="s">
        <v>1614</v>
      </c>
      <c r="FD771" s="1" t="s">
        <v>246</v>
      </c>
      <c r="FE771" s="1" t="s">
        <v>472</v>
      </c>
      <c r="FF771" s="1" t="s">
        <v>248</v>
      </c>
      <c r="FH771" s="1" t="s">
        <v>388</v>
      </c>
      <c r="FL771" s="1" t="s">
        <v>358</v>
      </c>
      <c r="FM771" s="1" t="s">
        <v>252</v>
      </c>
      <c r="FN771" s="1" t="s">
        <v>213</v>
      </c>
      <c r="FO771" s="1" t="s">
        <v>213</v>
      </c>
      <c r="FQ771" s="1" t="s">
        <v>913</v>
      </c>
      <c r="FR771" s="1" t="s">
        <v>210</v>
      </c>
      <c r="FS771" s="1" t="s">
        <v>3242</v>
      </c>
      <c r="FT771" s="1" t="s">
        <v>295</v>
      </c>
      <c r="FU771" s="1" t="s">
        <v>204</v>
      </c>
      <c r="FW771" s="1" t="s">
        <v>3243</v>
      </c>
      <c r="FX771" s="1">
        <v>604</v>
      </c>
      <c r="FY771" s="1" t="s">
        <v>3244</v>
      </c>
      <c r="FZ771" s="1" t="s">
        <v>3245</v>
      </c>
      <c r="GA771" s="1">
        <v>381</v>
      </c>
      <c r="GB771" s="1" t="s">
        <v>3246</v>
      </c>
      <c r="GC771" s="1">
        <v>1954</v>
      </c>
      <c r="GE771" s="1" t="s">
        <v>210</v>
      </c>
      <c r="GH771" s="1" t="s">
        <v>800</v>
      </c>
      <c r="GI771" s="1" t="s">
        <v>213</v>
      </c>
      <c r="GJ771" s="1" t="s">
        <v>260</v>
      </c>
      <c r="GK771" s="1" t="s">
        <v>210</v>
      </c>
      <c r="GL771" s="2">
        <v>42062</v>
      </c>
      <c r="GM771" s="1" t="s">
        <v>3247</v>
      </c>
    </row>
    <row r="772" spans="1:195">
      <c r="A772" s="1">
        <v>125000</v>
      </c>
      <c r="B772" s="1" t="s">
        <v>195</v>
      </c>
      <c r="C772" s="1" t="str">
        <f>"08812411"</f>
        <v>08812411</v>
      </c>
      <c r="D772" s="1" t="s">
        <v>196</v>
      </c>
      <c r="F772" s="1" t="str">
        <f>"8064"</f>
        <v>8064</v>
      </c>
      <c r="G772" s="2">
        <v>42012</v>
      </c>
      <c r="H772" s="1">
        <v>127900</v>
      </c>
      <c r="I772" s="1">
        <v>127900</v>
      </c>
      <c r="J772" s="1">
        <v>125000</v>
      </c>
      <c r="K772" s="2">
        <v>42012</v>
      </c>
      <c r="L772" s="1">
        <v>119</v>
      </c>
      <c r="M772" s="2">
        <v>42040</v>
      </c>
      <c r="N772" s="1">
        <v>29</v>
      </c>
      <c r="O772" s="2">
        <v>42040</v>
      </c>
      <c r="P772" s="1">
        <v>60119</v>
      </c>
      <c r="Q772" s="1" t="s">
        <v>197</v>
      </c>
      <c r="R772" s="2">
        <v>42101</v>
      </c>
      <c r="S772" s="1">
        <v>243211</v>
      </c>
      <c r="U772" s="1">
        <v>6264</v>
      </c>
      <c r="V772" s="1" t="s">
        <v>7885</v>
      </c>
      <c r="W772" s="1" t="s">
        <v>1056</v>
      </c>
      <c r="X772" s="1" t="s">
        <v>1747</v>
      </c>
      <c r="Y772" s="1">
        <v>23</v>
      </c>
      <c r="Z772" s="1" t="s">
        <v>249</v>
      </c>
      <c r="AA772" s="1" t="s">
        <v>400</v>
      </c>
      <c r="AB772" s="1">
        <v>60638</v>
      </c>
      <c r="AE772" s="1" t="s">
        <v>8839</v>
      </c>
      <c r="AF772" s="1">
        <v>1998</v>
      </c>
      <c r="AG772" s="1" t="s">
        <v>204</v>
      </c>
      <c r="AH772" s="1" t="s">
        <v>403</v>
      </c>
      <c r="AI772" s="1" t="s">
        <v>310</v>
      </c>
      <c r="AJ772" s="1" t="s">
        <v>683</v>
      </c>
      <c r="AL772" s="1">
        <v>5</v>
      </c>
      <c r="AM772" s="1">
        <v>2</v>
      </c>
      <c r="AN772" s="1">
        <v>2</v>
      </c>
      <c r="AO772" s="1">
        <v>0</v>
      </c>
      <c r="AP772" s="1" t="s">
        <v>209</v>
      </c>
      <c r="AQ772" s="1">
        <v>0</v>
      </c>
      <c r="AR772" s="1" t="s">
        <v>210</v>
      </c>
      <c r="AS772" s="1" t="s">
        <v>204</v>
      </c>
      <c r="AT772" s="1" t="s">
        <v>211</v>
      </c>
      <c r="AU772" s="1">
        <v>1</v>
      </c>
      <c r="AW772" s="1" t="s">
        <v>204</v>
      </c>
      <c r="AX772" s="1" t="s">
        <v>212</v>
      </c>
      <c r="AZ772" s="1">
        <v>1894</v>
      </c>
      <c r="BA772" s="1">
        <v>2012</v>
      </c>
      <c r="BB772" s="1" t="s">
        <v>405</v>
      </c>
      <c r="BE772" s="1">
        <v>1000</v>
      </c>
      <c r="BF772" s="1">
        <v>3</v>
      </c>
      <c r="BG772" s="1">
        <v>10</v>
      </c>
      <c r="BL772" s="1">
        <v>265</v>
      </c>
      <c r="BM772" s="1" t="s">
        <v>204</v>
      </c>
      <c r="BN772" s="1" t="s">
        <v>213</v>
      </c>
      <c r="BO772" s="1">
        <v>60</v>
      </c>
      <c r="BP772" s="1" t="s">
        <v>204</v>
      </c>
      <c r="BR772" s="1" t="str">
        <f>"19183120521008"</f>
        <v>19183120521008</v>
      </c>
      <c r="BT772" s="1" t="s">
        <v>8840</v>
      </c>
      <c r="BX772" s="1">
        <v>299</v>
      </c>
      <c r="BY772" s="1">
        <v>299</v>
      </c>
      <c r="BZ772" s="1">
        <v>299</v>
      </c>
      <c r="CB772" s="1" t="str">
        <f t="shared" ref="CB772:CC772" si="603">"0"</f>
        <v>0</v>
      </c>
      <c r="CC772" s="1" t="str">
        <f t="shared" si="603"/>
        <v>0</v>
      </c>
      <c r="CD772" s="1">
        <v>7100</v>
      </c>
      <c r="CE772" s="1">
        <v>6252</v>
      </c>
      <c r="CG772" s="1" t="s">
        <v>708</v>
      </c>
      <c r="CH772" s="1" t="s">
        <v>219</v>
      </c>
      <c r="CI772" s="1" t="s">
        <v>438</v>
      </c>
      <c r="CJ772" s="1" t="s">
        <v>343</v>
      </c>
      <c r="CK772" s="1" t="s">
        <v>378</v>
      </c>
      <c r="CL772" s="1" t="s">
        <v>219</v>
      </c>
      <c r="CM772" s="1" t="s">
        <v>220</v>
      </c>
      <c r="CO772" s="1" t="s">
        <v>318</v>
      </c>
      <c r="CP772" s="1" t="s">
        <v>219</v>
      </c>
      <c r="CQ772" s="1" t="s">
        <v>438</v>
      </c>
      <c r="CS772" s="1" t="s">
        <v>407</v>
      </c>
      <c r="CT772" s="1" t="s">
        <v>219</v>
      </c>
      <c r="CU772" s="1" t="s">
        <v>220</v>
      </c>
      <c r="CX772" s="1" t="s">
        <v>224</v>
      </c>
      <c r="DB772" s="1" t="s">
        <v>224</v>
      </c>
      <c r="DE772" s="1" t="s">
        <v>346</v>
      </c>
      <c r="DF772" s="1" t="s">
        <v>219</v>
      </c>
      <c r="DG772" s="1" t="s">
        <v>226</v>
      </c>
      <c r="DJ772" s="1" t="s">
        <v>224</v>
      </c>
      <c r="DS772" s="1" t="s">
        <v>230</v>
      </c>
      <c r="DW772" s="1" t="s">
        <v>230</v>
      </c>
      <c r="EA772" s="1" t="s">
        <v>230</v>
      </c>
      <c r="EE772" s="1" t="s">
        <v>230</v>
      </c>
      <c r="EI772" s="1" t="s">
        <v>230</v>
      </c>
      <c r="EL772" s="1" t="s">
        <v>670</v>
      </c>
      <c r="EM772" s="1" t="s">
        <v>319</v>
      </c>
      <c r="EN772" s="1" t="s">
        <v>282</v>
      </c>
      <c r="EO772" s="1" t="s">
        <v>234</v>
      </c>
      <c r="EQ772" s="1" t="s">
        <v>492</v>
      </c>
      <c r="ER772" s="1" t="s">
        <v>210</v>
      </c>
      <c r="ES772" s="1" t="s">
        <v>322</v>
      </c>
      <c r="EW772" s="1" t="s">
        <v>286</v>
      </c>
      <c r="EY772" s="1" t="s">
        <v>242</v>
      </c>
      <c r="EZ772" s="1" t="s">
        <v>287</v>
      </c>
      <c r="FB772" s="1" t="s">
        <v>734</v>
      </c>
      <c r="FC772" s="1" t="s">
        <v>1386</v>
      </c>
      <c r="FD772" s="1" t="s">
        <v>246</v>
      </c>
      <c r="FE772" s="1" t="s">
        <v>247</v>
      </c>
      <c r="FF772" s="1" t="s">
        <v>248</v>
      </c>
      <c r="FH772" s="1" t="s">
        <v>249</v>
      </c>
      <c r="FI772" s="1" t="s">
        <v>848</v>
      </c>
      <c r="FL772" s="1" t="s">
        <v>414</v>
      </c>
      <c r="FM772" s="1" t="s">
        <v>252</v>
      </c>
      <c r="FN772" s="1" t="s">
        <v>213</v>
      </c>
      <c r="FO772" s="1" t="s">
        <v>213</v>
      </c>
      <c r="FQ772" s="1" t="s">
        <v>8812</v>
      </c>
      <c r="FR772" s="1" t="s">
        <v>210</v>
      </c>
      <c r="FS772" s="1" t="s">
        <v>8841</v>
      </c>
      <c r="FT772" s="1" t="s">
        <v>295</v>
      </c>
      <c r="FU772" s="1" t="s">
        <v>204</v>
      </c>
      <c r="FW772" s="1" t="s">
        <v>8842</v>
      </c>
      <c r="FX772" s="1">
        <v>15930</v>
      </c>
      <c r="FY772" s="1" t="s">
        <v>8843</v>
      </c>
      <c r="FZ772" s="1" t="s">
        <v>8844</v>
      </c>
      <c r="GA772" s="1">
        <v>109889</v>
      </c>
      <c r="GB772" s="1" t="s">
        <v>8843</v>
      </c>
      <c r="GC772" s="1">
        <v>127716</v>
      </c>
      <c r="GE772" s="1" t="s">
        <v>210</v>
      </c>
      <c r="GH772" s="1" t="s">
        <v>421</v>
      </c>
      <c r="GI772" s="1" t="s">
        <v>204</v>
      </c>
      <c r="GJ772" s="1" t="s">
        <v>260</v>
      </c>
      <c r="GK772" s="1" t="s">
        <v>210</v>
      </c>
      <c r="GL772" s="2">
        <v>42101</v>
      </c>
    </row>
    <row r="773" spans="1:195">
      <c r="A773" s="1">
        <v>159000</v>
      </c>
      <c r="B773" s="1" t="s">
        <v>195</v>
      </c>
      <c r="C773" s="1" t="str">
        <f>"08815911"</f>
        <v>08815911</v>
      </c>
      <c r="D773" s="1" t="s">
        <v>196</v>
      </c>
      <c r="F773" s="1" t="str">
        <f>"84"</f>
        <v>84</v>
      </c>
      <c r="G773" s="2">
        <v>42018</v>
      </c>
      <c r="H773" s="1">
        <v>160000</v>
      </c>
      <c r="I773" s="1">
        <v>160000</v>
      </c>
      <c r="J773" s="1">
        <v>159000</v>
      </c>
      <c r="K773" s="2">
        <v>42018</v>
      </c>
      <c r="L773" s="1">
        <v>7</v>
      </c>
      <c r="M773" s="2">
        <v>42024</v>
      </c>
      <c r="N773" s="1">
        <v>7</v>
      </c>
      <c r="O773" s="2">
        <v>42024</v>
      </c>
      <c r="P773" s="1">
        <v>25752</v>
      </c>
      <c r="Q773" s="1" t="s">
        <v>197</v>
      </c>
      <c r="R773" s="2">
        <v>42088</v>
      </c>
      <c r="S773" s="1">
        <v>16381</v>
      </c>
      <c r="U773" s="1">
        <v>2050</v>
      </c>
      <c r="V773" s="1" t="s">
        <v>8845</v>
      </c>
      <c r="W773" s="1" t="s">
        <v>264</v>
      </c>
      <c r="X773" s="1" t="s">
        <v>527</v>
      </c>
      <c r="Y773" s="1">
        <v>3</v>
      </c>
      <c r="Z773" s="1" t="s">
        <v>249</v>
      </c>
      <c r="AA773" s="1" t="s">
        <v>5871</v>
      </c>
      <c r="AB773" s="1">
        <v>60084</v>
      </c>
      <c r="AD773" s="1" t="s">
        <v>8846</v>
      </c>
      <c r="AE773" s="1" t="s">
        <v>8847</v>
      </c>
      <c r="AF773" s="1">
        <v>2004</v>
      </c>
      <c r="AG773" s="1" t="s">
        <v>204</v>
      </c>
      <c r="AH773" s="1" t="s">
        <v>2599</v>
      </c>
      <c r="AI773" s="1" t="s">
        <v>509</v>
      </c>
      <c r="AJ773" s="1" t="s">
        <v>2599</v>
      </c>
      <c r="AL773" s="1">
        <v>7</v>
      </c>
      <c r="AM773" s="1">
        <v>2</v>
      </c>
      <c r="AN773" s="1">
        <v>2</v>
      </c>
      <c r="AO773" s="1">
        <v>1</v>
      </c>
      <c r="AP773" s="1" t="s">
        <v>209</v>
      </c>
      <c r="AQ773" s="1">
        <v>1</v>
      </c>
      <c r="AR773" s="1" t="s">
        <v>209</v>
      </c>
      <c r="AS773" s="1" t="s">
        <v>204</v>
      </c>
      <c r="AT773" s="1" t="s">
        <v>211</v>
      </c>
      <c r="AU773" s="1">
        <v>2</v>
      </c>
      <c r="AW773" s="1" t="s">
        <v>204</v>
      </c>
      <c r="AX773" s="1" t="s">
        <v>212</v>
      </c>
      <c r="AZ773" s="1">
        <v>4583</v>
      </c>
      <c r="BA773" s="1">
        <v>2013</v>
      </c>
      <c r="BB773" s="1" t="s">
        <v>210</v>
      </c>
      <c r="BE773" s="1">
        <v>1606</v>
      </c>
      <c r="BF773" s="1">
        <v>1</v>
      </c>
      <c r="BG773" s="1">
        <v>0</v>
      </c>
      <c r="BL773" s="1">
        <v>200</v>
      </c>
      <c r="BM773" s="1" t="s">
        <v>204</v>
      </c>
      <c r="BN773" s="1" t="s">
        <v>213</v>
      </c>
      <c r="BO773" s="1">
        <v>0</v>
      </c>
      <c r="BP773" s="1" t="s">
        <v>204</v>
      </c>
      <c r="BR773" s="1" t="str">
        <f>"09134080110000"</f>
        <v>09134080110000</v>
      </c>
      <c r="BT773" s="1" t="s">
        <v>8848</v>
      </c>
      <c r="BU773" s="1" t="s">
        <v>7315</v>
      </c>
      <c r="BV773" s="1" t="s">
        <v>2604</v>
      </c>
      <c r="BW773" s="1" t="s">
        <v>2605</v>
      </c>
      <c r="BX773" s="1">
        <v>118</v>
      </c>
      <c r="BY773" s="1">
        <v>118</v>
      </c>
      <c r="BZ773" s="1">
        <v>118</v>
      </c>
      <c r="CB773" s="1" t="str">
        <f>"29"</f>
        <v>29</v>
      </c>
      <c r="CC773" s="1" t="str">
        <f t="shared" ref="CC773:CC774" si="604">"0"</f>
        <v>0</v>
      </c>
      <c r="CD773" s="1">
        <v>25</v>
      </c>
      <c r="CE773" s="1">
        <v>0</v>
      </c>
      <c r="CG773" s="1" t="s">
        <v>862</v>
      </c>
      <c r="CH773" s="1" t="s">
        <v>219</v>
      </c>
      <c r="CI773" s="1" t="s">
        <v>438</v>
      </c>
      <c r="CJ773" s="1" t="s">
        <v>343</v>
      </c>
      <c r="CK773" s="1" t="s">
        <v>669</v>
      </c>
      <c r="CL773" s="1" t="s">
        <v>277</v>
      </c>
      <c r="CM773" s="1" t="s">
        <v>220</v>
      </c>
      <c r="CN773" s="1" t="s">
        <v>343</v>
      </c>
      <c r="CO773" s="1" t="s">
        <v>346</v>
      </c>
      <c r="CP773" s="1" t="s">
        <v>219</v>
      </c>
      <c r="CQ773" s="1" t="s">
        <v>438</v>
      </c>
      <c r="CR773" s="1" t="s">
        <v>210</v>
      </c>
      <c r="CS773" s="1" t="s">
        <v>465</v>
      </c>
      <c r="CT773" s="1" t="s">
        <v>277</v>
      </c>
      <c r="CU773" s="1" t="s">
        <v>220</v>
      </c>
      <c r="CV773" s="1" t="s">
        <v>210</v>
      </c>
      <c r="CX773" s="1" t="s">
        <v>224</v>
      </c>
      <c r="DB773" s="1" t="s">
        <v>224</v>
      </c>
      <c r="DE773" s="1" t="s">
        <v>951</v>
      </c>
      <c r="DF773" s="1" t="s">
        <v>219</v>
      </c>
      <c r="DG773" s="1" t="s">
        <v>438</v>
      </c>
      <c r="DH773" s="1" t="s">
        <v>210</v>
      </c>
      <c r="DJ773" s="1" t="s">
        <v>224</v>
      </c>
      <c r="DM773" s="1" t="s">
        <v>464</v>
      </c>
      <c r="DN773" s="1" t="s">
        <v>934</v>
      </c>
      <c r="DR773" s="1" t="s">
        <v>223</v>
      </c>
      <c r="DS773" s="1" t="s">
        <v>277</v>
      </c>
      <c r="DT773" s="1" t="s">
        <v>220</v>
      </c>
      <c r="DU773" s="1" t="s">
        <v>343</v>
      </c>
      <c r="DV773" s="1" t="s">
        <v>8849</v>
      </c>
      <c r="DW773" s="1" t="s">
        <v>43</v>
      </c>
      <c r="DY773" s="1" t="s">
        <v>210</v>
      </c>
      <c r="EA773" s="1" t="s">
        <v>230</v>
      </c>
      <c r="EE773" s="1" t="s">
        <v>230</v>
      </c>
      <c r="EI773" s="1" t="s">
        <v>230</v>
      </c>
      <c r="EL773" s="1" t="s">
        <v>466</v>
      </c>
      <c r="EM773" s="1" t="s">
        <v>319</v>
      </c>
      <c r="EN773" s="1" t="s">
        <v>282</v>
      </c>
      <c r="EO773" s="1" t="s">
        <v>234</v>
      </c>
      <c r="EP773" s="1" t="s">
        <v>3012</v>
      </c>
      <c r="EQ773" s="1" t="s">
        <v>236</v>
      </c>
      <c r="ER773" s="1" t="s">
        <v>1249</v>
      </c>
      <c r="ES773" s="1" t="s">
        <v>3932</v>
      </c>
      <c r="ET773" s="1" t="s">
        <v>8850</v>
      </c>
      <c r="EU773" s="1" t="s">
        <v>8851</v>
      </c>
      <c r="EV773" s="1" t="s">
        <v>324</v>
      </c>
      <c r="EW773" s="1" t="s">
        <v>887</v>
      </c>
      <c r="EY773" s="1" t="s">
        <v>441</v>
      </c>
      <c r="EZ773" s="1" t="s">
        <v>3875</v>
      </c>
      <c r="FA773" s="1" t="s">
        <v>7047</v>
      </c>
      <c r="FB773" s="1" t="s">
        <v>289</v>
      </c>
      <c r="FD773" s="1" t="s">
        <v>246</v>
      </c>
      <c r="FE773" s="1" t="s">
        <v>975</v>
      </c>
      <c r="FF773" s="1" t="s">
        <v>248</v>
      </c>
      <c r="FG773" s="1" t="s">
        <v>1204</v>
      </c>
      <c r="FH773" s="1" t="s">
        <v>550</v>
      </c>
      <c r="FI773" s="1" t="s">
        <v>473</v>
      </c>
      <c r="FJ773" s="1" t="s">
        <v>197</v>
      </c>
      <c r="FL773" s="1" t="s">
        <v>358</v>
      </c>
      <c r="FM773" s="1" t="s">
        <v>252</v>
      </c>
      <c r="FN773" s="1" t="s">
        <v>213</v>
      </c>
      <c r="FO773" s="1" t="s">
        <v>213</v>
      </c>
      <c r="FQ773" s="1" t="s">
        <v>8852</v>
      </c>
      <c r="FR773" s="1" t="s">
        <v>210</v>
      </c>
      <c r="FS773" s="1" t="s">
        <v>8853</v>
      </c>
      <c r="FT773" s="1" t="s">
        <v>362</v>
      </c>
      <c r="FU773" s="1" t="s">
        <v>204</v>
      </c>
      <c r="FW773" s="1" t="s">
        <v>915</v>
      </c>
      <c r="FX773" s="1">
        <v>6022</v>
      </c>
      <c r="FY773" s="1" t="s">
        <v>4180</v>
      </c>
      <c r="FZ773" s="1" t="s">
        <v>4181</v>
      </c>
      <c r="GA773" s="1">
        <v>60228</v>
      </c>
      <c r="GB773" s="1" t="s">
        <v>4182</v>
      </c>
      <c r="GE773" s="1" t="s">
        <v>480</v>
      </c>
      <c r="GI773" s="1" t="s">
        <v>213</v>
      </c>
      <c r="GJ773" s="1" t="s">
        <v>260</v>
      </c>
      <c r="GK773" s="1" t="s">
        <v>210</v>
      </c>
      <c r="GL773" s="2">
        <v>42088</v>
      </c>
      <c r="GM773" s="1" t="s">
        <v>8854</v>
      </c>
    </row>
    <row r="774" spans="1:195">
      <c r="A774" s="1">
        <v>200000</v>
      </c>
      <c r="B774" s="1" t="s">
        <v>195</v>
      </c>
      <c r="C774" s="1" t="str">
        <f>"08816294"</f>
        <v>08816294</v>
      </c>
      <c r="D774" s="1" t="s">
        <v>196</v>
      </c>
      <c r="F774" s="1" t="str">
        <f>"126"</f>
        <v>126</v>
      </c>
      <c r="G774" s="2">
        <v>42018</v>
      </c>
      <c r="H774" s="1">
        <v>210000</v>
      </c>
      <c r="I774" s="1">
        <v>210000</v>
      </c>
      <c r="J774" s="1">
        <v>200000</v>
      </c>
      <c r="K774" s="2">
        <v>42018</v>
      </c>
      <c r="L774" s="1">
        <v>54</v>
      </c>
      <c r="M774" s="2">
        <v>42071</v>
      </c>
      <c r="N774" s="1">
        <v>54</v>
      </c>
      <c r="O774" s="2">
        <v>42071</v>
      </c>
      <c r="P774" s="1">
        <v>90140</v>
      </c>
      <c r="Q774" s="1" t="s">
        <v>197</v>
      </c>
      <c r="R774" s="2">
        <v>42124</v>
      </c>
      <c r="S774" s="1">
        <v>901680</v>
      </c>
      <c r="T774" s="1">
        <v>3000</v>
      </c>
      <c r="U774" s="1">
        <v>180</v>
      </c>
      <c r="V774" s="1" t="s">
        <v>2690</v>
      </c>
      <c r="W774" s="1" t="s">
        <v>425</v>
      </c>
      <c r="X774" s="1" t="s">
        <v>4883</v>
      </c>
      <c r="Y774" s="1">
        <v>9</v>
      </c>
      <c r="Z774" s="1" t="s">
        <v>249</v>
      </c>
      <c r="AA774" s="1" t="s">
        <v>3169</v>
      </c>
      <c r="AB774" s="1">
        <v>60126</v>
      </c>
      <c r="AE774" s="1" t="s">
        <v>8855</v>
      </c>
      <c r="AF774" s="1">
        <v>1976</v>
      </c>
      <c r="AG774" s="1" t="s">
        <v>213</v>
      </c>
      <c r="AH774" s="1" t="s">
        <v>3172</v>
      </c>
      <c r="AI774" s="1" t="s">
        <v>206</v>
      </c>
      <c r="AJ774" s="1" t="s">
        <v>1608</v>
      </c>
      <c r="AL774" s="1">
        <v>5</v>
      </c>
      <c r="AM774" s="1">
        <v>2</v>
      </c>
      <c r="AN774" s="1">
        <v>2</v>
      </c>
      <c r="AO774" s="1">
        <v>0</v>
      </c>
      <c r="AP774" s="1" t="s">
        <v>209</v>
      </c>
      <c r="AR774" s="1" t="s">
        <v>4448</v>
      </c>
      <c r="AS774" s="1" t="s">
        <v>204</v>
      </c>
      <c r="AT774" s="1" t="s">
        <v>271</v>
      </c>
      <c r="AV774" s="1">
        <v>2</v>
      </c>
      <c r="AW774" s="1" t="s">
        <v>204</v>
      </c>
      <c r="AX774" s="1" t="s">
        <v>212</v>
      </c>
      <c r="AZ774" s="1">
        <v>1934</v>
      </c>
      <c r="BA774" s="1">
        <v>2013</v>
      </c>
      <c r="BB774" s="1" t="s">
        <v>599</v>
      </c>
      <c r="BE774" s="1">
        <v>1031</v>
      </c>
      <c r="BF774" s="1">
        <v>1</v>
      </c>
      <c r="BG774" s="1">
        <v>14</v>
      </c>
      <c r="BL774" s="1">
        <v>321</v>
      </c>
      <c r="BM774" s="1" t="s">
        <v>213</v>
      </c>
      <c r="BN774" s="1" t="s">
        <v>213</v>
      </c>
      <c r="BO774" s="1">
        <v>99</v>
      </c>
      <c r="BP774" s="1" t="s">
        <v>204</v>
      </c>
      <c r="BR774" s="1" t="str">
        <f>"0601129004"</f>
        <v>0601129004</v>
      </c>
      <c r="BT774" s="1" t="s">
        <v>8856</v>
      </c>
      <c r="BU774" s="1" t="s">
        <v>3174</v>
      </c>
      <c r="BV774" s="1" t="s">
        <v>3175</v>
      </c>
      <c r="BW774" s="1" t="s">
        <v>3176</v>
      </c>
      <c r="BX774" s="1">
        <v>205</v>
      </c>
      <c r="BY774" s="1">
        <v>205</v>
      </c>
      <c r="BZ774" s="1">
        <v>205</v>
      </c>
      <c r="CB774" s="1" t="str">
        <f>"1"</f>
        <v>1</v>
      </c>
      <c r="CC774" s="1" t="str">
        <f t="shared" si="604"/>
        <v>0</v>
      </c>
      <c r="CD774" s="1">
        <v>15</v>
      </c>
      <c r="CE774" s="1">
        <v>0</v>
      </c>
      <c r="CG774" s="1" t="s">
        <v>437</v>
      </c>
      <c r="CH774" s="1" t="s">
        <v>219</v>
      </c>
      <c r="CI774" s="1" t="s">
        <v>438</v>
      </c>
      <c r="CK774" s="1" t="s">
        <v>1178</v>
      </c>
      <c r="CL774" s="1" t="s">
        <v>219</v>
      </c>
      <c r="CM774" s="1" t="s">
        <v>438</v>
      </c>
      <c r="CO774" s="1" t="s">
        <v>409</v>
      </c>
      <c r="CP774" s="1" t="s">
        <v>219</v>
      </c>
      <c r="CQ774" s="1" t="s">
        <v>438</v>
      </c>
      <c r="CS774" s="1" t="s">
        <v>317</v>
      </c>
      <c r="CT774" s="1" t="s">
        <v>219</v>
      </c>
      <c r="CU774" s="1" t="s">
        <v>438</v>
      </c>
      <c r="CX774" s="1" t="s">
        <v>224</v>
      </c>
      <c r="DB774" s="1" t="s">
        <v>224</v>
      </c>
      <c r="DE774" s="1" t="s">
        <v>2031</v>
      </c>
      <c r="DF774" s="1" t="s">
        <v>219</v>
      </c>
      <c r="DG774" s="1" t="s">
        <v>438</v>
      </c>
      <c r="DJ774" s="1" t="s">
        <v>224</v>
      </c>
      <c r="DS774" s="1" t="s">
        <v>230</v>
      </c>
      <c r="DW774" s="1" t="s">
        <v>230</v>
      </c>
      <c r="EA774" s="1" t="s">
        <v>230</v>
      </c>
      <c r="EE774" s="1" t="s">
        <v>230</v>
      </c>
      <c r="EI774" s="1" t="s">
        <v>230</v>
      </c>
      <c r="EL774" s="1" t="s">
        <v>231</v>
      </c>
      <c r="EM774" s="1" t="s">
        <v>232</v>
      </c>
      <c r="EN774" s="1" t="s">
        <v>282</v>
      </c>
      <c r="EO774" s="1" t="s">
        <v>234</v>
      </c>
      <c r="EP774" s="1" t="s">
        <v>650</v>
      </c>
      <c r="EQ774" s="1" t="s">
        <v>492</v>
      </c>
      <c r="ER774" s="1" t="s">
        <v>789</v>
      </c>
      <c r="EW774" s="1" t="s">
        <v>733</v>
      </c>
      <c r="EZ774" s="1" t="s">
        <v>287</v>
      </c>
      <c r="FD774" s="1" t="s">
        <v>246</v>
      </c>
      <c r="FE774" s="1" t="s">
        <v>247</v>
      </c>
      <c r="FF774" s="1" t="s">
        <v>248</v>
      </c>
      <c r="FH774" s="1" t="s">
        <v>249</v>
      </c>
      <c r="FK774" s="1" t="s">
        <v>291</v>
      </c>
      <c r="FL774" s="1" t="s">
        <v>358</v>
      </c>
      <c r="FM774" s="1" t="s">
        <v>252</v>
      </c>
      <c r="FN774" s="1" t="s">
        <v>213</v>
      </c>
      <c r="FO774" s="1" t="s">
        <v>213</v>
      </c>
      <c r="FQ774" s="1" t="s">
        <v>329</v>
      </c>
      <c r="FR774" s="1" t="s">
        <v>210</v>
      </c>
      <c r="FS774" s="1" t="s">
        <v>1429</v>
      </c>
      <c r="FT774" s="1" t="s">
        <v>295</v>
      </c>
      <c r="FU774" s="1" t="s">
        <v>204</v>
      </c>
      <c r="FW774" s="1" t="s">
        <v>3328</v>
      </c>
      <c r="FX774" s="1">
        <v>24330</v>
      </c>
      <c r="FY774" s="1" t="s">
        <v>3329</v>
      </c>
      <c r="FZ774" s="1" t="s">
        <v>8806</v>
      </c>
      <c r="GA774" s="1">
        <v>243368</v>
      </c>
      <c r="GB774" s="1" t="s">
        <v>8807</v>
      </c>
      <c r="GE774" s="1" t="s">
        <v>210</v>
      </c>
      <c r="GH774" s="1" t="s">
        <v>800</v>
      </c>
      <c r="GI774" s="1" t="s">
        <v>213</v>
      </c>
      <c r="GJ774" s="1" t="s">
        <v>260</v>
      </c>
      <c r="GK774" s="1" t="s">
        <v>210</v>
      </c>
      <c r="GL774" s="2">
        <v>42124</v>
      </c>
      <c r="GM774" s="1" t="s">
        <v>8857</v>
      </c>
    </row>
    <row r="775" spans="1:195">
      <c r="A775" s="1">
        <v>285000</v>
      </c>
      <c r="B775" s="1" t="s">
        <v>195</v>
      </c>
      <c r="C775" s="1" t="str">
        <f>"08815728"</f>
        <v>08815728</v>
      </c>
      <c r="D775" s="1" t="s">
        <v>196</v>
      </c>
      <c r="F775" s="1" t="str">
        <f>"540"</f>
        <v>540</v>
      </c>
      <c r="G775" s="2">
        <v>42017</v>
      </c>
      <c r="H775" s="1">
        <v>300000</v>
      </c>
      <c r="I775" s="1">
        <v>300000</v>
      </c>
      <c r="J775" s="1">
        <v>285000</v>
      </c>
      <c r="K775" s="2">
        <v>42017</v>
      </c>
      <c r="L775" s="1">
        <v>292</v>
      </c>
      <c r="M775" s="2">
        <v>42034</v>
      </c>
      <c r="N775" s="1">
        <v>18</v>
      </c>
      <c r="O775" s="2">
        <v>42034</v>
      </c>
      <c r="P775" s="1">
        <v>23099</v>
      </c>
      <c r="Q775" s="1" t="s">
        <v>197</v>
      </c>
      <c r="R775" s="2">
        <v>42062</v>
      </c>
      <c r="S775" s="1">
        <v>219933</v>
      </c>
      <c r="U775" s="1">
        <v>2809</v>
      </c>
      <c r="V775" s="1" t="s">
        <v>8858</v>
      </c>
      <c r="W775" s="1" t="s">
        <v>449</v>
      </c>
      <c r="X775" s="1">
        <v>2809</v>
      </c>
      <c r="Y775" s="1">
        <v>2</v>
      </c>
      <c r="Z775" s="1" t="s">
        <v>249</v>
      </c>
      <c r="AA775" s="1" t="s">
        <v>921</v>
      </c>
      <c r="AB775" s="1">
        <v>60563</v>
      </c>
      <c r="AD775" s="1" t="s">
        <v>5797</v>
      </c>
      <c r="AE775" s="1" t="s">
        <v>8859</v>
      </c>
      <c r="AF775" s="1">
        <v>2005</v>
      </c>
      <c r="AG775" s="1" t="s">
        <v>204</v>
      </c>
      <c r="AH775" s="1" t="s">
        <v>924</v>
      </c>
      <c r="AI775" s="1" t="s">
        <v>206</v>
      </c>
      <c r="AJ775" s="1" t="s">
        <v>924</v>
      </c>
      <c r="AK775" s="1" t="s">
        <v>4055</v>
      </c>
      <c r="AL775" s="1">
        <v>5</v>
      </c>
      <c r="AM775" s="1">
        <v>2</v>
      </c>
      <c r="AN775" s="1">
        <v>2</v>
      </c>
      <c r="AO775" s="1">
        <v>0</v>
      </c>
      <c r="AP775" s="1" t="s">
        <v>209</v>
      </c>
      <c r="AQ775" s="1">
        <v>1</v>
      </c>
      <c r="AR775" s="1" t="s">
        <v>1631</v>
      </c>
      <c r="AS775" s="1" t="s">
        <v>204</v>
      </c>
      <c r="AT775" s="1" t="s">
        <v>211</v>
      </c>
      <c r="AU775" s="1">
        <v>2</v>
      </c>
      <c r="AW775" s="1" t="s">
        <v>204</v>
      </c>
      <c r="AX775" s="1" t="s">
        <v>212</v>
      </c>
      <c r="AZ775" s="1">
        <v>7907</v>
      </c>
      <c r="BA775" s="1">
        <v>2013</v>
      </c>
      <c r="BB775" s="1" t="s">
        <v>405</v>
      </c>
      <c r="BE775" s="1">
        <v>1822</v>
      </c>
      <c r="BF775" s="1">
        <v>1</v>
      </c>
      <c r="BG775" s="1">
        <v>0</v>
      </c>
      <c r="BL775" s="1">
        <v>335</v>
      </c>
      <c r="BM775" s="1" t="s">
        <v>204</v>
      </c>
      <c r="BN775" s="1" t="s">
        <v>213</v>
      </c>
      <c r="BO775" s="1">
        <v>999</v>
      </c>
      <c r="BP775" s="1" t="s">
        <v>204</v>
      </c>
      <c r="BR775" s="1" t="str">
        <f>"0715109024"</f>
        <v>0715109024</v>
      </c>
      <c r="BT775" s="1" t="s">
        <v>8860</v>
      </c>
      <c r="BX775" s="1">
        <v>204</v>
      </c>
      <c r="BY775" s="1">
        <v>204</v>
      </c>
      <c r="BZ775" s="1">
        <v>204</v>
      </c>
      <c r="CB775" s="1" t="str">
        <f t="shared" ref="CB775:CC775" si="605">""</f>
        <v/>
      </c>
      <c r="CC775" s="1" t="str">
        <f t="shared" si="605"/>
        <v/>
      </c>
      <c r="CG775" s="1" t="s">
        <v>8861</v>
      </c>
      <c r="CH775" s="1" t="s">
        <v>219</v>
      </c>
      <c r="CI775" s="1" t="s">
        <v>220</v>
      </c>
      <c r="CJ775" s="1" t="s">
        <v>343</v>
      </c>
      <c r="CK775" s="1" t="s">
        <v>1267</v>
      </c>
      <c r="CL775" s="1" t="s">
        <v>219</v>
      </c>
      <c r="CM775" s="1" t="s">
        <v>220</v>
      </c>
      <c r="CN775" s="1" t="s">
        <v>343</v>
      </c>
      <c r="CP775" s="1" t="s">
        <v>224</v>
      </c>
      <c r="CS775" s="1" t="s">
        <v>1046</v>
      </c>
      <c r="CT775" s="1" t="s">
        <v>219</v>
      </c>
      <c r="CU775" s="1" t="s">
        <v>220</v>
      </c>
      <c r="CV775" s="1" t="s">
        <v>343</v>
      </c>
      <c r="CX775" s="1" t="s">
        <v>224</v>
      </c>
      <c r="DB775" s="1" t="s">
        <v>224</v>
      </c>
      <c r="DE775" s="1" t="s">
        <v>581</v>
      </c>
      <c r="DF775" s="1" t="s">
        <v>219</v>
      </c>
      <c r="DG775" s="1" t="s">
        <v>226</v>
      </c>
      <c r="DH775" s="1" t="s">
        <v>343</v>
      </c>
      <c r="DJ775" s="1" t="s">
        <v>224</v>
      </c>
      <c r="DM775" s="1" t="s">
        <v>1005</v>
      </c>
      <c r="DR775" s="1" t="s">
        <v>346</v>
      </c>
      <c r="DS775" s="1" t="s">
        <v>219</v>
      </c>
      <c r="DT775" s="1" t="s">
        <v>220</v>
      </c>
      <c r="DU775" s="1" t="s">
        <v>343</v>
      </c>
      <c r="DW775" s="1" t="s">
        <v>230</v>
      </c>
      <c r="EA775" s="1" t="s">
        <v>230</v>
      </c>
      <c r="EE775" s="1" t="s">
        <v>230</v>
      </c>
      <c r="EI775" s="1" t="s">
        <v>230</v>
      </c>
      <c r="EL775" s="1" t="s">
        <v>491</v>
      </c>
      <c r="EM775" s="1" t="s">
        <v>232</v>
      </c>
      <c r="EN775" s="1" t="s">
        <v>282</v>
      </c>
      <c r="EO775" s="1" t="s">
        <v>840</v>
      </c>
      <c r="EP775" s="1" t="s">
        <v>5803</v>
      </c>
      <c r="EQ775" s="1" t="s">
        <v>236</v>
      </c>
      <c r="ER775" s="1" t="s">
        <v>8862</v>
      </c>
      <c r="ES775" s="1" t="s">
        <v>824</v>
      </c>
      <c r="ET775" s="1" t="s">
        <v>238</v>
      </c>
      <c r="EU775" s="1" t="s">
        <v>5043</v>
      </c>
      <c r="EW775" s="1" t="s">
        <v>8863</v>
      </c>
      <c r="EZ775" s="1" t="s">
        <v>1005</v>
      </c>
      <c r="FA775" s="1" t="s">
        <v>8864</v>
      </c>
      <c r="FB775" s="1" t="s">
        <v>289</v>
      </c>
      <c r="FD775" s="1" t="s">
        <v>246</v>
      </c>
      <c r="FE775" s="1" t="s">
        <v>247</v>
      </c>
      <c r="FF775" s="1" t="s">
        <v>248</v>
      </c>
      <c r="FG775" s="1" t="s">
        <v>912</v>
      </c>
      <c r="FH775" s="1" t="s">
        <v>5479</v>
      </c>
      <c r="FI775" s="1" t="s">
        <v>357</v>
      </c>
      <c r="FL775" s="1" t="s">
        <v>358</v>
      </c>
      <c r="FM775" s="1" t="s">
        <v>252</v>
      </c>
      <c r="FN775" s="1" t="s">
        <v>213</v>
      </c>
      <c r="FO775" s="1" t="s">
        <v>213</v>
      </c>
      <c r="FQ775" s="1" t="s">
        <v>615</v>
      </c>
      <c r="FR775" s="1" t="s">
        <v>210</v>
      </c>
      <c r="FS775" s="1" t="s">
        <v>8865</v>
      </c>
      <c r="FT775" s="1" t="s">
        <v>520</v>
      </c>
      <c r="FU775" s="1" t="s">
        <v>204</v>
      </c>
      <c r="FW775" s="1" t="s">
        <v>943</v>
      </c>
      <c r="FX775" s="1">
        <v>23120</v>
      </c>
      <c r="FY775" s="1" t="s">
        <v>944</v>
      </c>
      <c r="FZ775" s="1" t="s">
        <v>5274</v>
      </c>
      <c r="GA775" s="1">
        <v>230757</v>
      </c>
      <c r="GB775" s="1" t="s">
        <v>5275</v>
      </c>
      <c r="GC775" s="1">
        <v>236351</v>
      </c>
      <c r="GD775" s="1" t="s">
        <v>8866</v>
      </c>
      <c r="GE775" s="1" t="s">
        <v>623</v>
      </c>
      <c r="GI775" s="1" t="s">
        <v>213</v>
      </c>
      <c r="GJ775" s="1" t="s">
        <v>260</v>
      </c>
      <c r="GK775" s="1" t="s">
        <v>210</v>
      </c>
      <c r="GL775" s="2">
        <v>42063</v>
      </c>
    </row>
    <row r="776" spans="1:195">
      <c r="A776" s="1">
        <v>130000</v>
      </c>
      <c r="B776" s="1" t="s">
        <v>195</v>
      </c>
      <c r="C776" s="1" t="str">
        <f>"08813787"</f>
        <v>08813787</v>
      </c>
      <c r="D776" s="1" t="s">
        <v>196</v>
      </c>
      <c r="F776" s="1" t="str">
        <f>"154"</f>
        <v>154</v>
      </c>
      <c r="G776" s="2">
        <v>42014</v>
      </c>
      <c r="H776" s="1">
        <v>139900</v>
      </c>
      <c r="I776" s="1">
        <v>139900</v>
      </c>
      <c r="J776" s="1">
        <v>130000</v>
      </c>
      <c r="K776" s="2">
        <v>42014</v>
      </c>
      <c r="L776" s="1">
        <v>24</v>
      </c>
      <c r="M776" s="2">
        <v>42037</v>
      </c>
      <c r="N776" s="1">
        <v>24</v>
      </c>
      <c r="O776" s="2">
        <v>42037</v>
      </c>
      <c r="P776" s="1">
        <v>1742</v>
      </c>
      <c r="Q776" s="1" t="s">
        <v>197</v>
      </c>
      <c r="R776" s="2">
        <v>42095</v>
      </c>
      <c r="S776" s="1">
        <v>922932</v>
      </c>
      <c r="U776" s="1">
        <v>10620</v>
      </c>
      <c r="V776" s="1" t="s">
        <v>8867</v>
      </c>
      <c r="W776" s="1" t="s">
        <v>1056</v>
      </c>
      <c r="X776" s="1" t="s">
        <v>2518</v>
      </c>
      <c r="Y776" s="1">
        <v>4</v>
      </c>
      <c r="Z776" s="1" t="s">
        <v>249</v>
      </c>
      <c r="AA776" s="1" t="s">
        <v>1190</v>
      </c>
      <c r="AB776" s="1">
        <v>60154</v>
      </c>
      <c r="AE776" s="1" t="s">
        <v>8868</v>
      </c>
      <c r="AF776" s="1">
        <v>1970</v>
      </c>
      <c r="AG776" s="1" t="s">
        <v>213</v>
      </c>
      <c r="AH776" s="1" t="s">
        <v>1193</v>
      </c>
      <c r="AI776" s="1" t="s">
        <v>310</v>
      </c>
      <c r="AJ776" s="1" t="s">
        <v>429</v>
      </c>
      <c r="AL776" s="1">
        <v>5</v>
      </c>
      <c r="AM776" s="1">
        <v>2</v>
      </c>
      <c r="AN776" s="1">
        <v>2</v>
      </c>
      <c r="AO776" s="1">
        <v>0</v>
      </c>
      <c r="AP776" s="1" t="s">
        <v>209</v>
      </c>
      <c r="AR776" s="1" t="s">
        <v>1631</v>
      </c>
      <c r="AS776" s="1" t="s">
        <v>204</v>
      </c>
      <c r="AT776" s="1" t="s">
        <v>211</v>
      </c>
      <c r="AU776" s="1">
        <v>1</v>
      </c>
      <c r="AW776" s="1" t="s">
        <v>204</v>
      </c>
      <c r="AX776" s="1" t="s">
        <v>212</v>
      </c>
      <c r="AZ776" s="1">
        <v>1286.51</v>
      </c>
      <c r="BA776" s="1">
        <v>2013</v>
      </c>
      <c r="BB776" s="1" t="s">
        <v>3262</v>
      </c>
      <c r="BE776" s="1">
        <v>1200</v>
      </c>
      <c r="BF776" s="1">
        <v>2</v>
      </c>
      <c r="BG776" s="1">
        <v>0</v>
      </c>
      <c r="BJ776" s="1">
        <v>100</v>
      </c>
      <c r="BL776" s="1">
        <v>280</v>
      </c>
      <c r="BM776" s="1" t="s">
        <v>204</v>
      </c>
      <c r="BN776" s="1" t="s">
        <v>213</v>
      </c>
      <c r="BO776" s="1">
        <v>0</v>
      </c>
      <c r="BP776" s="1" t="s">
        <v>204</v>
      </c>
      <c r="BR776" s="1" t="str">
        <f>"15204171501003"</f>
        <v>15204171501003</v>
      </c>
      <c r="BT776" s="1" t="s">
        <v>8869</v>
      </c>
      <c r="BU776" s="1" t="s">
        <v>1198</v>
      </c>
      <c r="BW776" s="1" t="s">
        <v>6173</v>
      </c>
      <c r="BX776" s="1">
        <v>92.5</v>
      </c>
      <c r="BY776" s="1">
        <v>92.5</v>
      </c>
      <c r="BZ776" s="1">
        <v>209</v>
      </c>
      <c r="CB776" s="1" t="str">
        <f t="shared" ref="CB776:CC776" si="606">""</f>
        <v/>
      </c>
      <c r="CC776" s="1" t="str">
        <f t="shared" si="606"/>
        <v/>
      </c>
      <c r="CG776" s="1" t="s">
        <v>601</v>
      </c>
      <c r="CH776" s="1" t="s">
        <v>277</v>
      </c>
      <c r="CI776" s="1" t="s">
        <v>220</v>
      </c>
      <c r="CJ776" s="1" t="s">
        <v>252</v>
      </c>
      <c r="CK776" s="1" t="s">
        <v>344</v>
      </c>
      <c r="CL776" s="1" t="s">
        <v>277</v>
      </c>
      <c r="CM776" s="1" t="s">
        <v>438</v>
      </c>
      <c r="CN776" s="1" t="s">
        <v>252</v>
      </c>
      <c r="CO776" s="1" t="s">
        <v>1297</v>
      </c>
      <c r="CP776" s="1" t="s">
        <v>277</v>
      </c>
      <c r="CQ776" s="1" t="s">
        <v>220</v>
      </c>
      <c r="CR776" s="1" t="s">
        <v>252</v>
      </c>
      <c r="CS776" s="1" t="s">
        <v>602</v>
      </c>
      <c r="CT776" s="1" t="s">
        <v>277</v>
      </c>
      <c r="CU776" s="1" t="s">
        <v>438</v>
      </c>
      <c r="CV776" s="1" t="s">
        <v>252</v>
      </c>
      <c r="CX776" s="1" t="s">
        <v>224</v>
      </c>
      <c r="DB776" s="1" t="s">
        <v>224</v>
      </c>
      <c r="DE776" s="1" t="s">
        <v>1297</v>
      </c>
      <c r="DF776" s="1" t="s">
        <v>277</v>
      </c>
      <c r="DG776" s="1" t="s">
        <v>342</v>
      </c>
      <c r="DH776" s="1" t="s">
        <v>252</v>
      </c>
      <c r="DJ776" s="1" t="s">
        <v>224</v>
      </c>
      <c r="DS776" s="1" t="s">
        <v>230</v>
      </c>
      <c r="DW776" s="1" t="s">
        <v>230</v>
      </c>
      <c r="EA776" s="1" t="s">
        <v>230</v>
      </c>
      <c r="EE776" s="1" t="s">
        <v>230</v>
      </c>
      <c r="EI776" s="1" t="s">
        <v>230</v>
      </c>
      <c r="EL776" s="1" t="s">
        <v>605</v>
      </c>
      <c r="EM776" s="1" t="s">
        <v>232</v>
      </c>
      <c r="EN776" s="1" t="s">
        <v>282</v>
      </c>
      <c r="EO776" s="1" t="s">
        <v>234</v>
      </c>
      <c r="EQ776" s="1" t="s">
        <v>1439</v>
      </c>
      <c r="ER776" s="1" t="s">
        <v>1249</v>
      </c>
      <c r="ES776" s="1" t="s">
        <v>322</v>
      </c>
      <c r="EU776" s="1" t="s">
        <v>712</v>
      </c>
      <c r="EV776" s="1" t="s">
        <v>324</v>
      </c>
      <c r="EW776" s="1" t="s">
        <v>887</v>
      </c>
      <c r="EY776" s="1" t="s">
        <v>790</v>
      </c>
      <c r="EZ776" s="1" t="s">
        <v>287</v>
      </c>
      <c r="FA776" s="1" t="s">
        <v>5697</v>
      </c>
      <c r="FD776" s="1" t="s">
        <v>246</v>
      </c>
      <c r="FE776" s="1" t="s">
        <v>247</v>
      </c>
      <c r="FF776" s="1" t="s">
        <v>248</v>
      </c>
      <c r="FH776" s="1" t="s">
        <v>249</v>
      </c>
      <c r="FI776" s="1" t="s">
        <v>357</v>
      </c>
      <c r="FL776" s="1" t="s">
        <v>358</v>
      </c>
      <c r="FM776" s="1" t="s">
        <v>252</v>
      </c>
      <c r="FN776" s="1" t="s">
        <v>213</v>
      </c>
      <c r="FO776" s="1" t="s">
        <v>213</v>
      </c>
      <c r="FQ776" s="1" t="s">
        <v>793</v>
      </c>
      <c r="FR776" s="1" t="s">
        <v>210</v>
      </c>
      <c r="FS776" s="1" t="s">
        <v>8870</v>
      </c>
      <c r="FT776" s="1" t="s">
        <v>255</v>
      </c>
      <c r="FU776" s="1" t="s">
        <v>204</v>
      </c>
      <c r="FW776" s="1" t="s">
        <v>915</v>
      </c>
      <c r="FX776" s="1">
        <v>22205</v>
      </c>
      <c r="FY776" s="1" t="s">
        <v>2484</v>
      </c>
      <c r="FZ776" s="1" t="s">
        <v>8871</v>
      </c>
      <c r="GA776" s="1">
        <v>226585</v>
      </c>
      <c r="GB776" s="1" t="s">
        <v>8872</v>
      </c>
      <c r="GE776" s="1" t="s">
        <v>1576</v>
      </c>
      <c r="GH776" s="1" t="s">
        <v>589</v>
      </c>
      <c r="GI776" s="1" t="s">
        <v>213</v>
      </c>
      <c r="GJ776" s="1" t="s">
        <v>260</v>
      </c>
      <c r="GK776" s="1" t="s">
        <v>210</v>
      </c>
      <c r="GL776" s="2">
        <v>42097</v>
      </c>
      <c r="GM776" s="1" t="s">
        <v>8873</v>
      </c>
    </row>
    <row r="777" spans="1:195">
      <c r="A777" s="1">
        <v>83000</v>
      </c>
      <c r="B777" s="1" t="s">
        <v>195</v>
      </c>
      <c r="C777" s="1" t="str">
        <f>"08823003"</f>
        <v>08823003</v>
      </c>
      <c r="D777" s="1" t="s">
        <v>196</v>
      </c>
      <c r="F777" s="1" t="str">
        <f>"540"</f>
        <v>540</v>
      </c>
      <c r="G777" s="2">
        <v>42027</v>
      </c>
      <c r="H777" s="1">
        <v>89000</v>
      </c>
      <c r="I777" s="1">
        <v>89000</v>
      </c>
      <c r="J777" s="1">
        <v>83000</v>
      </c>
      <c r="K777" s="2">
        <v>42027</v>
      </c>
      <c r="L777" s="1">
        <v>6</v>
      </c>
      <c r="M777" s="2">
        <v>42032</v>
      </c>
      <c r="N777" s="1">
        <v>6</v>
      </c>
      <c r="O777" s="2">
        <v>42032</v>
      </c>
      <c r="P777" s="1">
        <v>21933</v>
      </c>
      <c r="Q777" s="1" t="s">
        <v>302</v>
      </c>
      <c r="R777" s="2">
        <v>42054</v>
      </c>
      <c r="S777" s="1">
        <v>234246</v>
      </c>
      <c r="U777" s="1">
        <v>218</v>
      </c>
      <c r="V777" s="1" t="s">
        <v>1903</v>
      </c>
      <c r="W777" s="1" t="s">
        <v>1056</v>
      </c>
      <c r="X777" s="1" t="s">
        <v>8874</v>
      </c>
      <c r="Y777" s="1">
        <v>12</v>
      </c>
      <c r="Z777" s="1" t="s">
        <v>249</v>
      </c>
      <c r="AA777" s="1" t="s">
        <v>921</v>
      </c>
      <c r="AB777" s="1">
        <v>60565</v>
      </c>
      <c r="AC777" s="1">
        <v>1458</v>
      </c>
      <c r="AD777" s="1" t="s">
        <v>8875</v>
      </c>
      <c r="AE777" s="1" t="s">
        <v>8876</v>
      </c>
      <c r="AF777" s="1">
        <v>1979</v>
      </c>
      <c r="AG777" s="1" t="s">
        <v>204</v>
      </c>
      <c r="AH777" s="1" t="s">
        <v>924</v>
      </c>
      <c r="AI777" s="1" t="s">
        <v>206</v>
      </c>
      <c r="AJ777" s="1" t="s">
        <v>925</v>
      </c>
      <c r="AL777" s="1">
        <v>5</v>
      </c>
      <c r="AM777" s="1">
        <v>2</v>
      </c>
      <c r="AN777" s="1">
        <v>1</v>
      </c>
      <c r="AO777" s="1">
        <v>1</v>
      </c>
      <c r="AP777" s="1" t="s">
        <v>210</v>
      </c>
      <c r="AR777" s="1" t="s">
        <v>210</v>
      </c>
      <c r="AS777" s="1" t="s">
        <v>204</v>
      </c>
      <c r="AT777" s="1" t="s">
        <v>271</v>
      </c>
      <c r="AV777" s="1">
        <v>1</v>
      </c>
      <c r="AW777" s="1" t="s">
        <v>204</v>
      </c>
      <c r="AX777" s="1" t="s">
        <v>212</v>
      </c>
      <c r="AZ777" s="1">
        <v>1991</v>
      </c>
      <c r="BA777" s="1">
        <v>2013</v>
      </c>
      <c r="BE777" s="1">
        <v>927</v>
      </c>
      <c r="BF777" s="1">
        <v>2</v>
      </c>
      <c r="BG777" s="1">
        <v>15</v>
      </c>
      <c r="BL777" s="1">
        <v>309</v>
      </c>
      <c r="BM777" s="1" t="s">
        <v>413</v>
      </c>
      <c r="BN777" s="1" t="s">
        <v>213</v>
      </c>
      <c r="BO777" s="1">
        <v>0</v>
      </c>
      <c r="BP777" s="1" t="s">
        <v>204</v>
      </c>
      <c r="BR777" s="1" t="str">
        <f>"0832110184"</f>
        <v>0832110184</v>
      </c>
      <c r="BT777" s="1" t="s">
        <v>8877</v>
      </c>
      <c r="BU777" s="1" t="s">
        <v>8878</v>
      </c>
      <c r="BV777" s="1" t="s">
        <v>8879</v>
      </c>
      <c r="BW777" s="1" t="s">
        <v>930</v>
      </c>
      <c r="BX777" s="1">
        <v>203</v>
      </c>
      <c r="BY777" s="1">
        <v>203</v>
      </c>
      <c r="BZ777" s="1">
        <v>203</v>
      </c>
      <c r="CB777" s="1" t="str">
        <f t="shared" ref="CB777:CC777" si="607">"0"</f>
        <v>0</v>
      </c>
      <c r="CC777" s="1" t="str">
        <f t="shared" si="607"/>
        <v>0</v>
      </c>
      <c r="CD777" s="1">
        <v>25</v>
      </c>
      <c r="CE777" s="1">
        <v>8</v>
      </c>
      <c r="CG777" s="1" t="s">
        <v>669</v>
      </c>
      <c r="CH777" s="1" t="s">
        <v>277</v>
      </c>
      <c r="CI777" s="1" t="s">
        <v>220</v>
      </c>
      <c r="CK777" s="1" t="s">
        <v>539</v>
      </c>
      <c r="CL777" s="1" t="s">
        <v>277</v>
      </c>
      <c r="CM777" s="1" t="s">
        <v>220</v>
      </c>
      <c r="CO777" s="1" t="s">
        <v>379</v>
      </c>
      <c r="CP777" s="1" t="s">
        <v>277</v>
      </c>
      <c r="CQ777" s="1" t="s">
        <v>220</v>
      </c>
      <c r="CS777" s="1" t="s">
        <v>379</v>
      </c>
      <c r="CT777" s="1" t="s">
        <v>277</v>
      </c>
      <c r="CU777" s="1" t="s">
        <v>220</v>
      </c>
      <c r="CX777" s="1" t="s">
        <v>224</v>
      </c>
      <c r="DB777" s="1" t="s">
        <v>224</v>
      </c>
      <c r="DE777" s="1" t="s">
        <v>3284</v>
      </c>
      <c r="DF777" s="1" t="s">
        <v>277</v>
      </c>
      <c r="DG777" s="1" t="s">
        <v>229</v>
      </c>
      <c r="DJ777" s="1" t="s">
        <v>224</v>
      </c>
      <c r="DS777" s="1" t="s">
        <v>230</v>
      </c>
      <c r="DW777" s="1" t="s">
        <v>230</v>
      </c>
      <c r="EA777" s="1" t="s">
        <v>230</v>
      </c>
      <c r="EE777" s="1" t="s">
        <v>230</v>
      </c>
      <c r="EI777" s="1" t="s">
        <v>230</v>
      </c>
      <c r="EL777" s="1" t="s">
        <v>231</v>
      </c>
      <c r="EM777" s="1" t="s">
        <v>232</v>
      </c>
      <c r="EN777" s="1" t="s">
        <v>1158</v>
      </c>
      <c r="EO777" s="1" t="s">
        <v>234</v>
      </c>
      <c r="EP777" s="1" t="s">
        <v>8880</v>
      </c>
      <c r="EQ777" s="1" t="s">
        <v>1109</v>
      </c>
      <c r="ER777" s="1" t="s">
        <v>210</v>
      </c>
      <c r="EU777" s="1" t="s">
        <v>712</v>
      </c>
      <c r="EV777" s="1" t="s">
        <v>352</v>
      </c>
      <c r="EW777" s="1" t="s">
        <v>1753</v>
      </c>
      <c r="EZ777" s="1" t="s">
        <v>287</v>
      </c>
      <c r="FA777" s="1" t="s">
        <v>471</v>
      </c>
      <c r="FD777" s="1" t="s">
        <v>495</v>
      </c>
      <c r="FE777" s="1" t="s">
        <v>247</v>
      </c>
      <c r="FF777" s="1" t="s">
        <v>248</v>
      </c>
      <c r="FH777" s="1" t="s">
        <v>249</v>
      </c>
      <c r="FJ777" s="1" t="s">
        <v>197</v>
      </c>
      <c r="FK777" s="1" t="s">
        <v>4663</v>
      </c>
      <c r="FL777" s="1" t="s">
        <v>2370</v>
      </c>
      <c r="FM777" s="1" t="s">
        <v>252</v>
      </c>
      <c r="FN777" s="1" t="s">
        <v>213</v>
      </c>
      <c r="FO777" s="1" t="s">
        <v>213</v>
      </c>
      <c r="FQ777" s="1" t="s">
        <v>8299</v>
      </c>
      <c r="FR777" s="1" t="s">
        <v>210</v>
      </c>
      <c r="FS777" s="1" t="s">
        <v>2753</v>
      </c>
      <c r="FT777" s="1" t="s">
        <v>255</v>
      </c>
      <c r="FU777" s="1" t="s">
        <v>204</v>
      </c>
      <c r="FW777" s="1" t="s">
        <v>1898</v>
      </c>
      <c r="FX777" s="1">
        <v>23030</v>
      </c>
      <c r="FY777" s="1" t="s">
        <v>1899</v>
      </c>
      <c r="FZ777" s="1" t="s">
        <v>1900</v>
      </c>
      <c r="GA777" s="1">
        <v>233664</v>
      </c>
      <c r="GB777" s="1" t="s">
        <v>1901</v>
      </c>
      <c r="GC777" s="1">
        <v>237015</v>
      </c>
      <c r="GE777" s="1" t="s">
        <v>658</v>
      </c>
      <c r="GH777" s="1" t="s">
        <v>800</v>
      </c>
      <c r="GI777" s="1" t="s">
        <v>213</v>
      </c>
      <c r="GJ777" s="1" t="s">
        <v>260</v>
      </c>
      <c r="GK777" s="1" t="s">
        <v>210</v>
      </c>
      <c r="GL777" s="2">
        <v>42054</v>
      </c>
      <c r="GM777" s="1" t="s">
        <v>8881</v>
      </c>
    </row>
    <row r="778" spans="1:195">
      <c r="A778" s="1">
        <v>147500</v>
      </c>
      <c r="B778" s="1" t="s">
        <v>195</v>
      </c>
      <c r="C778" s="1" t="str">
        <f>"08815338"</f>
        <v>08815338</v>
      </c>
      <c r="D778" s="1" t="s">
        <v>196</v>
      </c>
      <c r="F778" s="1" t="str">
        <f>"136"</f>
        <v>136</v>
      </c>
      <c r="G778" s="2">
        <v>42017</v>
      </c>
      <c r="H778" s="1">
        <v>150000</v>
      </c>
      <c r="I778" s="1">
        <v>150000</v>
      </c>
      <c r="J778" s="1">
        <v>147500</v>
      </c>
      <c r="K778" s="2">
        <v>42017</v>
      </c>
      <c r="L778" s="1">
        <v>9</v>
      </c>
      <c r="M778" s="2">
        <v>42025</v>
      </c>
      <c r="N778" s="1">
        <v>9</v>
      </c>
      <c r="O778" s="2">
        <v>42025</v>
      </c>
      <c r="P778" s="1">
        <v>23265</v>
      </c>
      <c r="Q778" s="1" t="s">
        <v>197</v>
      </c>
      <c r="R778" s="2">
        <v>42055</v>
      </c>
      <c r="S778" s="1">
        <v>242724</v>
      </c>
      <c r="U778" s="1">
        <v>177</v>
      </c>
      <c r="V778" s="1" t="s">
        <v>8882</v>
      </c>
      <c r="W778" s="1" t="s">
        <v>725</v>
      </c>
      <c r="X778" s="1">
        <v>177</v>
      </c>
      <c r="Y778" s="1">
        <v>6</v>
      </c>
      <c r="Z778" s="1" t="s">
        <v>370</v>
      </c>
      <c r="AA778" s="1" t="s">
        <v>3680</v>
      </c>
      <c r="AB778" s="1">
        <v>60136</v>
      </c>
      <c r="AD778" s="1" t="s">
        <v>8883</v>
      </c>
      <c r="AE778" s="1" t="s">
        <v>8884</v>
      </c>
      <c r="AF778" s="1">
        <v>2006</v>
      </c>
      <c r="AG778" s="1" t="s">
        <v>204</v>
      </c>
      <c r="AH778" s="1" t="s">
        <v>3682</v>
      </c>
      <c r="AI778" s="1" t="s">
        <v>665</v>
      </c>
      <c r="AJ778" s="1" t="s">
        <v>748</v>
      </c>
      <c r="AK778" s="1" t="s">
        <v>1865</v>
      </c>
      <c r="AL778" s="1">
        <v>8</v>
      </c>
      <c r="AM778" s="1">
        <v>2</v>
      </c>
      <c r="AN778" s="1">
        <v>2</v>
      </c>
      <c r="AO778" s="1">
        <v>1</v>
      </c>
      <c r="AP778" s="1" t="s">
        <v>209</v>
      </c>
      <c r="AR778" s="1" t="s">
        <v>1483</v>
      </c>
      <c r="AS778" s="1" t="s">
        <v>204</v>
      </c>
      <c r="AT778" s="1" t="s">
        <v>211</v>
      </c>
      <c r="AU778" s="1">
        <v>2</v>
      </c>
      <c r="AW778" s="1" t="s">
        <v>204</v>
      </c>
      <c r="AX778" s="1" t="s">
        <v>212</v>
      </c>
      <c r="AZ778" s="1">
        <v>5324.52</v>
      </c>
      <c r="BA778" s="1">
        <v>2013</v>
      </c>
      <c r="BE778" s="1">
        <v>1950</v>
      </c>
      <c r="BF778" s="1">
        <v>1</v>
      </c>
      <c r="BG778" s="1">
        <v>0</v>
      </c>
      <c r="BL778" s="1">
        <v>140</v>
      </c>
      <c r="BM778" s="1" t="s">
        <v>213</v>
      </c>
      <c r="BN778" s="1" t="s">
        <v>213</v>
      </c>
      <c r="BO778" s="1" t="s">
        <v>402</v>
      </c>
      <c r="BP778" s="1" t="s">
        <v>204</v>
      </c>
      <c r="BR778" s="1" t="str">
        <f>"0224151078"</f>
        <v>0224151078</v>
      </c>
      <c r="BT778" s="1" t="s">
        <v>8885</v>
      </c>
      <c r="BU778" s="1" t="s">
        <v>4061</v>
      </c>
      <c r="BV778" s="1" t="s">
        <v>754</v>
      </c>
      <c r="BW778" s="1" t="s">
        <v>755</v>
      </c>
      <c r="BX778" s="1">
        <v>300</v>
      </c>
      <c r="BY778" s="1">
        <v>300</v>
      </c>
      <c r="BZ778" s="1">
        <v>300</v>
      </c>
      <c r="CB778" s="1" t="str">
        <f t="shared" ref="CB778:CC778" si="608">""</f>
        <v/>
      </c>
      <c r="CC778" s="1" t="str">
        <f t="shared" si="608"/>
        <v/>
      </c>
      <c r="CG778" s="1" t="s">
        <v>437</v>
      </c>
      <c r="CH778" s="1" t="s">
        <v>219</v>
      </c>
      <c r="CI778" s="1" t="s">
        <v>438</v>
      </c>
      <c r="CJ778" s="1" t="s">
        <v>343</v>
      </c>
      <c r="CK778" s="1" t="s">
        <v>228</v>
      </c>
      <c r="CL778" s="1" t="s">
        <v>277</v>
      </c>
      <c r="CM778" s="1" t="s">
        <v>220</v>
      </c>
      <c r="CN778" s="1" t="s">
        <v>343</v>
      </c>
      <c r="CP778" s="1" t="s">
        <v>224</v>
      </c>
      <c r="CS778" s="1" t="s">
        <v>346</v>
      </c>
      <c r="CT778" s="1" t="s">
        <v>277</v>
      </c>
      <c r="CU778" s="1" t="s">
        <v>220</v>
      </c>
      <c r="CV778" s="1" t="s">
        <v>343</v>
      </c>
      <c r="CX778" s="1" t="s">
        <v>224</v>
      </c>
      <c r="DB778" s="1" t="s">
        <v>224</v>
      </c>
      <c r="DE778" s="1" t="s">
        <v>465</v>
      </c>
      <c r="DF778" s="1" t="s">
        <v>219</v>
      </c>
      <c r="DG778" s="1" t="s">
        <v>438</v>
      </c>
      <c r="DH778" s="1" t="s">
        <v>463</v>
      </c>
      <c r="DI778" s="1" t="s">
        <v>409</v>
      </c>
      <c r="DJ778" s="1" t="s">
        <v>219</v>
      </c>
      <c r="DK778" s="1" t="s">
        <v>438</v>
      </c>
      <c r="DL778" s="1" t="s">
        <v>343</v>
      </c>
      <c r="DM778" s="1" t="s">
        <v>381</v>
      </c>
      <c r="DN778" s="1" t="s">
        <v>227</v>
      </c>
      <c r="DO778" s="1" t="s">
        <v>464</v>
      </c>
      <c r="DR778" s="1" t="s">
        <v>516</v>
      </c>
      <c r="DS778" s="1" t="s">
        <v>219</v>
      </c>
      <c r="DT778" s="1" t="s">
        <v>438</v>
      </c>
      <c r="DU778" s="1" t="s">
        <v>463</v>
      </c>
      <c r="DV778" s="1" t="s">
        <v>2138</v>
      </c>
      <c r="DW778" s="1" t="s">
        <v>822</v>
      </c>
      <c r="DX778" s="1" t="s">
        <v>1236</v>
      </c>
      <c r="DY778" s="1" t="s">
        <v>463</v>
      </c>
      <c r="DZ778" s="1" t="s">
        <v>409</v>
      </c>
      <c r="EA778" s="1" t="s">
        <v>277</v>
      </c>
      <c r="EB778" s="1" t="s">
        <v>220</v>
      </c>
      <c r="EC778" s="1" t="s">
        <v>343</v>
      </c>
      <c r="EE778" s="1" t="s">
        <v>230</v>
      </c>
      <c r="EI778" s="1" t="s">
        <v>230</v>
      </c>
      <c r="EL778" s="1" t="s">
        <v>491</v>
      </c>
      <c r="EM778" s="1" t="s">
        <v>319</v>
      </c>
      <c r="EN778" s="1" t="s">
        <v>282</v>
      </c>
      <c r="EO778" s="1" t="s">
        <v>234</v>
      </c>
      <c r="EQ778" s="1" t="s">
        <v>1109</v>
      </c>
      <c r="ER778" s="1" t="s">
        <v>544</v>
      </c>
      <c r="ES778" s="1" t="s">
        <v>865</v>
      </c>
      <c r="ET778" s="1" t="s">
        <v>8886</v>
      </c>
      <c r="EU778" s="1" t="s">
        <v>239</v>
      </c>
      <c r="EW778" s="1" t="s">
        <v>3614</v>
      </c>
      <c r="EY778" s="1" t="s">
        <v>242</v>
      </c>
      <c r="EZ778" s="1" t="s">
        <v>8887</v>
      </c>
      <c r="FD778" s="1" t="s">
        <v>246</v>
      </c>
      <c r="FE778" s="1" t="s">
        <v>870</v>
      </c>
      <c r="FF778" s="1" t="s">
        <v>248</v>
      </c>
      <c r="FH778" s="1" t="s">
        <v>249</v>
      </c>
      <c r="FI778" s="1" t="s">
        <v>357</v>
      </c>
      <c r="FL778" s="1" t="s">
        <v>358</v>
      </c>
      <c r="FM778" s="1" t="s">
        <v>252</v>
      </c>
      <c r="FN778" s="1" t="s">
        <v>213</v>
      </c>
      <c r="FO778" s="1" t="s">
        <v>213</v>
      </c>
      <c r="FQ778" s="1" t="s">
        <v>793</v>
      </c>
      <c r="FR778" s="1" t="s">
        <v>210</v>
      </c>
      <c r="FS778" s="1" t="s">
        <v>8888</v>
      </c>
      <c r="FT778" s="1" t="s">
        <v>295</v>
      </c>
      <c r="FU778" s="1" t="s">
        <v>204</v>
      </c>
      <c r="FW778" s="1" t="s">
        <v>585</v>
      </c>
      <c r="FX778" s="1">
        <v>5014</v>
      </c>
      <c r="FY778" s="1" t="s">
        <v>3661</v>
      </c>
      <c r="FZ778" s="1" t="s">
        <v>8889</v>
      </c>
      <c r="GA778" s="1">
        <v>55996</v>
      </c>
      <c r="GB778" s="1" t="s">
        <v>8890</v>
      </c>
      <c r="GE778" s="1" t="s">
        <v>1226</v>
      </c>
      <c r="GI778" s="1" t="s">
        <v>213</v>
      </c>
      <c r="GJ778" s="1" t="s">
        <v>260</v>
      </c>
      <c r="GK778" s="1" t="s">
        <v>210</v>
      </c>
      <c r="GL778" s="2">
        <v>42055</v>
      </c>
      <c r="GM778" s="1" t="s">
        <v>8891</v>
      </c>
    </row>
    <row r="779" spans="1:195">
      <c r="A779" s="1">
        <v>270000</v>
      </c>
      <c r="B779" s="1" t="s">
        <v>195</v>
      </c>
      <c r="C779" s="1" t="str">
        <f>"08814239"</f>
        <v>08814239</v>
      </c>
      <c r="D779" s="1" t="s">
        <v>196</v>
      </c>
      <c r="F779" s="1" t="str">
        <f>"186"</f>
        <v>186</v>
      </c>
      <c r="G779" s="2">
        <v>42016</v>
      </c>
      <c r="H779" s="1">
        <v>290000</v>
      </c>
      <c r="I779" s="1">
        <v>290000</v>
      </c>
      <c r="J779" s="1">
        <v>270000</v>
      </c>
      <c r="K779" s="2">
        <v>42016</v>
      </c>
      <c r="L779" s="1">
        <v>274</v>
      </c>
      <c r="M779" s="2">
        <v>42111</v>
      </c>
      <c r="N779" s="1">
        <v>96</v>
      </c>
      <c r="O779" s="2">
        <v>42111</v>
      </c>
      <c r="P779" s="1">
        <v>24042</v>
      </c>
      <c r="Q779" s="1" t="s">
        <v>302</v>
      </c>
      <c r="R779" s="2">
        <v>42125</v>
      </c>
      <c r="S779" s="1">
        <v>241015</v>
      </c>
      <c r="U779" s="1">
        <v>248</v>
      </c>
      <c r="V779" s="1" t="s">
        <v>2161</v>
      </c>
      <c r="W779" s="1" t="s">
        <v>425</v>
      </c>
      <c r="X779" s="1">
        <v>12</v>
      </c>
      <c r="Y779" s="1">
        <v>5</v>
      </c>
      <c r="Z779" s="1" t="s">
        <v>370</v>
      </c>
      <c r="AA779" s="1" t="s">
        <v>2099</v>
      </c>
      <c r="AB779" s="1">
        <v>60181</v>
      </c>
      <c r="AD779" s="1" t="s">
        <v>8892</v>
      </c>
      <c r="AE779" s="1" t="s">
        <v>8893</v>
      </c>
      <c r="AF779" s="1">
        <v>2006</v>
      </c>
      <c r="AG779" s="1" t="s">
        <v>204</v>
      </c>
      <c r="AH779" s="1" t="s">
        <v>2101</v>
      </c>
      <c r="AI779" s="1" t="s">
        <v>206</v>
      </c>
      <c r="AJ779" s="1" t="s">
        <v>1608</v>
      </c>
      <c r="AK779" s="1" t="s">
        <v>4188</v>
      </c>
      <c r="AL779" s="1">
        <v>6</v>
      </c>
      <c r="AM779" s="1">
        <v>2</v>
      </c>
      <c r="AN779" s="1">
        <v>2</v>
      </c>
      <c r="AO779" s="1">
        <v>2</v>
      </c>
      <c r="AP779" s="1" t="s">
        <v>209</v>
      </c>
      <c r="AQ779" s="1">
        <v>1</v>
      </c>
      <c r="AR779" s="1" t="s">
        <v>1421</v>
      </c>
      <c r="AS779" s="1" t="s">
        <v>213</v>
      </c>
      <c r="AT779" s="1" t="s">
        <v>211</v>
      </c>
      <c r="AU779" s="1">
        <v>2</v>
      </c>
      <c r="AW779" s="1" t="s">
        <v>204</v>
      </c>
      <c r="AX779" s="1" t="s">
        <v>212</v>
      </c>
      <c r="AZ779" s="1">
        <v>5451</v>
      </c>
      <c r="BA779" s="1">
        <v>2013</v>
      </c>
      <c r="BE779" s="1">
        <v>1725</v>
      </c>
      <c r="BF779" s="1">
        <v>1</v>
      </c>
      <c r="BG779" s="1">
        <v>0</v>
      </c>
      <c r="BL779" s="1">
        <v>145</v>
      </c>
      <c r="BM779" s="1" t="s">
        <v>204</v>
      </c>
      <c r="BN779" s="1" t="s">
        <v>213</v>
      </c>
      <c r="BO779" s="1">
        <v>999</v>
      </c>
      <c r="BP779" s="1" t="s">
        <v>204</v>
      </c>
      <c r="BR779" s="1" t="str">
        <f>"0610107125"</f>
        <v>0610107125</v>
      </c>
      <c r="BT779" s="1" t="s">
        <v>8894</v>
      </c>
      <c r="BU779" s="1" t="s">
        <v>8567</v>
      </c>
      <c r="BV779" s="1" t="s">
        <v>2200</v>
      </c>
      <c r="BW779" s="1" t="s">
        <v>2201</v>
      </c>
      <c r="BX779" s="1">
        <v>45</v>
      </c>
      <c r="BY779" s="1">
        <v>45</v>
      </c>
      <c r="BZ779" s="1">
        <v>88</v>
      </c>
      <c r="CB779" s="1" t="str">
        <f t="shared" ref="CB779:CC779" si="609">""</f>
        <v/>
      </c>
      <c r="CC779" s="1" t="str">
        <f t="shared" si="609"/>
        <v/>
      </c>
      <c r="CG779" s="1" t="s">
        <v>1803</v>
      </c>
      <c r="CH779" s="1" t="s">
        <v>219</v>
      </c>
      <c r="CI779" s="1" t="s">
        <v>438</v>
      </c>
      <c r="CJ779" s="1" t="s">
        <v>1199</v>
      </c>
      <c r="CK779" s="1" t="s">
        <v>538</v>
      </c>
      <c r="CL779" s="1" t="s">
        <v>277</v>
      </c>
      <c r="CM779" s="1" t="s">
        <v>220</v>
      </c>
      <c r="CO779" s="1" t="s">
        <v>629</v>
      </c>
      <c r="CP779" s="1" t="s">
        <v>219</v>
      </c>
      <c r="CQ779" s="1" t="s">
        <v>438</v>
      </c>
      <c r="CS779" s="1" t="s">
        <v>379</v>
      </c>
      <c r="CT779" s="1" t="s">
        <v>277</v>
      </c>
      <c r="CU779" s="1" t="s">
        <v>220</v>
      </c>
      <c r="CV779" s="1" t="s">
        <v>1199</v>
      </c>
      <c r="CX779" s="1" t="s">
        <v>224</v>
      </c>
      <c r="DB779" s="1" t="s">
        <v>224</v>
      </c>
      <c r="DE779" s="1" t="s">
        <v>8861</v>
      </c>
      <c r="DF779" s="1" t="s">
        <v>219</v>
      </c>
      <c r="DG779" s="1" t="s">
        <v>438</v>
      </c>
      <c r="DH779" s="1" t="s">
        <v>1199</v>
      </c>
      <c r="DI779" s="1" t="s">
        <v>437</v>
      </c>
      <c r="DJ779" s="1" t="s">
        <v>822</v>
      </c>
      <c r="DK779" s="1" t="s">
        <v>229</v>
      </c>
      <c r="DL779" s="1" t="s">
        <v>1199</v>
      </c>
      <c r="DS779" s="1" t="s">
        <v>230</v>
      </c>
      <c r="DW779" s="1" t="s">
        <v>230</v>
      </c>
      <c r="EA779" s="1" t="s">
        <v>230</v>
      </c>
      <c r="EE779" s="1" t="s">
        <v>230</v>
      </c>
      <c r="EI779" s="1" t="s">
        <v>230</v>
      </c>
      <c r="EL779" s="1" t="s">
        <v>491</v>
      </c>
      <c r="EM779" s="1" t="s">
        <v>232</v>
      </c>
      <c r="EN779" s="1" t="s">
        <v>282</v>
      </c>
      <c r="EO779" s="1" t="s">
        <v>234</v>
      </c>
      <c r="EP779" s="1" t="s">
        <v>650</v>
      </c>
      <c r="EQ779" s="1" t="s">
        <v>236</v>
      </c>
      <c r="ER779" s="1" t="s">
        <v>544</v>
      </c>
      <c r="ES779" s="1" t="s">
        <v>8895</v>
      </c>
      <c r="ET779" s="1" t="s">
        <v>238</v>
      </c>
      <c r="EV779" s="1" t="s">
        <v>240</v>
      </c>
      <c r="EW779" s="1" t="s">
        <v>384</v>
      </c>
      <c r="EY779" s="1" t="s">
        <v>2455</v>
      </c>
      <c r="EZ779" s="1" t="s">
        <v>287</v>
      </c>
      <c r="FA779" s="1" t="s">
        <v>8896</v>
      </c>
      <c r="FB779" s="1" t="s">
        <v>289</v>
      </c>
      <c r="FC779" s="1" t="s">
        <v>548</v>
      </c>
      <c r="FD779" s="1" t="s">
        <v>246</v>
      </c>
      <c r="FE779" s="1" t="s">
        <v>847</v>
      </c>
      <c r="FF779" s="1" t="s">
        <v>248</v>
      </c>
      <c r="FG779" s="1" t="s">
        <v>871</v>
      </c>
      <c r="FH779" s="1" t="s">
        <v>1428</v>
      </c>
      <c r="FI779" s="1" t="s">
        <v>1114</v>
      </c>
      <c r="FL779" s="1" t="s">
        <v>358</v>
      </c>
      <c r="FM779" s="1" t="s">
        <v>252</v>
      </c>
      <c r="FN779" s="1" t="s">
        <v>213</v>
      </c>
      <c r="FO779" s="1" t="s">
        <v>213</v>
      </c>
      <c r="FQ779" s="1" t="s">
        <v>3342</v>
      </c>
      <c r="FR779" s="1" t="s">
        <v>210</v>
      </c>
      <c r="FS779" s="1" t="s">
        <v>8897</v>
      </c>
      <c r="FT779" s="1" t="s">
        <v>8898</v>
      </c>
      <c r="FU779" s="1" t="s">
        <v>204</v>
      </c>
      <c r="FW779" s="1" t="s">
        <v>8712</v>
      </c>
      <c r="FX779" s="1">
        <v>24213</v>
      </c>
      <c r="FY779" s="1" t="s">
        <v>8713</v>
      </c>
      <c r="FZ779" s="1" t="s">
        <v>8899</v>
      </c>
      <c r="GA779" s="1">
        <v>241584</v>
      </c>
      <c r="GB779" s="1" t="s">
        <v>8900</v>
      </c>
      <c r="GE779" s="1" t="s">
        <v>1333</v>
      </c>
      <c r="GH779" s="1" t="s">
        <v>800</v>
      </c>
      <c r="GI779" s="1" t="s">
        <v>213</v>
      </c>
      <c r="GJ779" s="1" t="s">
        <v>260</v>
      </c>
      <c r="GK779" s="1" t="s">
        <v>210</v>
      </c>
      <c r="GL779" s="2">
        <v>42125</v>
      </c>
      <c r="GM779" s="1" t="s">
        <v>8901</v>
      </c>
    </row>
    <row r="780" spans="1:195">
      <c r="A780" s="1">
        <v>170700</v>
      </c>
      <c r="B780" s="1" t="s">
        <v>195</v>
      </c>
      <c r="C780" s="1" t="str">
        <f>"08817568"</f>
        <v>08817568</v>
      </c>
      <c r="D780" s="1" t="s">
        <v>196</v>
      </c>
      <c r="F780" s="1" t="str">
        <f>"115"</f>
        <v>115</v>
      </c>
      <c r="G780" s="2">
        <v>42020</v>
      </c>
      <c r="H780" s="1">
        <v>174900</v>
      </c>
      <c r="I780" s="1">
        <v>174900</v>
      </c>
      <c r="J780" s="1">
        <v>170700</v>
      </c>
      <c r="K780" s="2">
        <v>42020</v>
      </c>
      <c r="L780" s="1">
        <v>800</v>
      </c>
      <c r="M780" s="2">
        <v>42039</v>
      </c>
      <c r="N780" s="1">
        <v>20</v>
      </c>
      <c r="O780" s="2">
        <v>42039</v>
      </c>
      <c r="P780" s="1">
        <v>93084</v>
      </c>
      <c r="Q780" s="1" t="s">
        <v>197</v>
      </c>
      <c r="R780" s="2">
        <v>42075</v>
      </c>
      <c r="S780" s="1">
        <v>930224</v>
      </c>
      <c r="U780" s="1">
        <v>563</v>
      </c>
      <c r="V780" s="1" t="s">
        <v>8902</v>
      </c>
      <c r="W780" s="1" t="s">
        <v>449</v>
      </c>
      <c r="Y780" s="1">
        <v>3</v>
      </c>
      <c r="Z780" s="1" t="s">
        <v>200</v>
      </c>
      <c r="AA780" s="1" t="s">
        <v>2242</v>
      </c>
      <c r="AB780" s="1">
        <v>60115</v>
      </c>
      <c r="AE780" s="1" t="s">
        <v>8903</v>
      </c>
      <c r="AF780" s="1">
        <v>2007</v>
      </c>
      <c r="AG780" s="1" t="s">
        <v>204</v>
      </c>
      <c r="AH780" s="1" t="s">
        <v>2245</v>
      </c>
      <c r="AI780" s="1" t="s">
        <v>2246</v>
      </c>
      <c r="AJ780" s="1" t="s">
        <v>2245</v>
      </c>
      <c r="AL780" s="1">
        <v>5</v>
      </c>
      <c r="AM780" s="1">
        <v>2</v>
      </c>
      <c r="AN780" s="1">
        <v>2</v>
      </c>
      <c r="AO780" s="1">
        <v>0</v>
      </c>
      <c r="AP780" s="1" t="s">
        <v>209</v>
      </c>
      <c r="AQ780" s="1">
        <v>1</v>
      </c>
      <c r="AR780" s="1" t="s">
        <v>1483</v>
      </c>
      <c r="AS780" s="1" t="s">
        <v>204</v>
      </c>
      <c r="AT780" s="1" t="s">
        <v>211</v>
      </c>
      <c r="AU780" s="1">
        <v>2</v>
      </c>
      <c r="AW780" s="1" t="s">
        <v>204</v>
      </c>
      <c r="AX780" s="1" t="s">
        <v>8904</v>
      </c>
      <c r="AZ780" s="1">
        <v>6991.12</v>
      </c>
      <c r="BA780" s="1">
        <v>2013</v>
      </c>
      <c r="BB780" s="1" t="s">
        <v>405</v>
      </c>
      <c r="BE780" s="1">
        <v>1516</v>
      </c>
      <c r="BF780" s="1">
        <v>1</v>
      </c>
      <c r="BG780" s="1">
        <v>0</v>
      </c>
      <c r="BL780" s="1">
        <v>450</v>
      </c>
      <c r="BM780" s="1" t="s">
        <v>204</v>
      </c>
      <c r="BN780" s="1" t="s">
        <v>213</v>
      </c>
      <c r="BO780" s="1">
        <v>999</v>
      </c>
      <c r="BP780" s="1" t="s">
        <v>204</v>
      </c>
      <c r="BR780" s="1" t="str">
        <f>"0802325026"</f>
        <v>0802325026</v>
      </c>
      <c r="BT780" s="1" t="s">
        <v>8905</v>
      </c>
      <c r="BU780" s="1" t="s">
        <v>8906</v>
      </c>
      <c r="BV780" s="1" t="s">
        <v>8907</v>
      </c>
      <c r="BW780" s="1" t="s">
        <v>8908</v>
      </c>
      <c r="BX780" s="1">
        <v>428</v>
      </c>
      <c r="BY780" s="1">
        <v>428</v>
      </c>
      <c r="BZ780" s="1">
        <v>428</v>
      </c>
      <c r="CB780" s="1" t="str">
        <f t="shared" ref="CB780:CC780" si="610">""</f>
        <v/>
      </c>
      <c r="CC780" s="1" t="str">
        <f t="shared" si="610"/>
        <v/>
      </c>
      <c r="CG780" s="1" t="s">
        <v>5997</v>
      </c>
      <c r="CH780" s="1" t="s">
        <v>219</v>
      </c>
      <c r="CI780" s="1" t="s">
        <v>220</v>
      </c>
      <c r="CK780" s="1" t="s">
        <v>1402</v>
      </c>
      <c r="CL780" s="1" t="s">
        <v>219</v>
      </c>
      <c r="CM780" s="1" t="s">
        <v>220</v>
      </c>
      <c r="CP780" s="1" t="s">
        <v>224</v>
      </c>
      <c r="CS780" s="1" t="s">
        <v>3591</v>
      </c>
      <c r="CT780" s="1" t="s">
        <v>219</v>
      </c>
      <c r="CU780" s="1" t="s">
        <v>220</v>
      </c>
      <c r="CX780" s="1" t="s">
        <v>224</v>
      </c>
      <c r="DB780" s="1" t="s">
        <v>224</v>
      </c>
      <c r="DE780" s="1" t="s">
        <v>2122</v>
      </c>
      <c r="DF780" s="1" t="s">
        <v>219</v>
      </c>
      <c r="DG780" s="1" t="s">
        <v>438</v>
      </c>
      <c r="DJ780" s="1" t="s">
        <v>224</v>
      </c>
      <c r="DM780" s="1" t="s">
        <v>381</v>
      </c>
      <c r="DN780" s="1" t="s">
        <v>709</v>
      </c>
      <c r="DO780" s="1" t="s">
        <v>3011</v>
      </c>
      <c r="DP780" s="1" t="s">
        <v>8767</v>
      </c>
      <c r="DR780" s="1" t="s">
        <v>379</v>
      </c>
      <c r="DS780" s="1" t="s">
        <v>219</v>
      </c>
      <c r="DT780" s="1" t="s">
        <v>438</v>
      </c>
      <c r="DV780" s="1" t="s">
        <v>8909</v>
      </c>
      <c r="DW780" s="1" t="s">
        <v>219</v>
      </c>
      <c r="DX780" s="1" t="s">
        <v>226</v>
      </c>
      <c r="DZ780" s="1" t="s">
        <v>1470</v>
      </c>
      <c r="EA780" s="1" t="s">
        <v>219</v>
      </c>
      <c r="EB780" s="1" t="s">
        <v>342</v>
      </c>
      <c r="ED780" s="1" t="s">
        <v>932</v>
      </c>
      <c r="EE780" s="1" t="s">
        <v>219</v>
      </c>
      <c r="EI780" s="1" t="s">
        <v>230</v>
      </c>
      <c r="EL780" s="1" t="s">
        <v>491</v>
      </c>
      <c r="EM780" s="1" t="s">
        <v>319</v>
      </c>
      <c r="EN780" s="1" t="s">
        <v>282</v>
      </c>
      <c r="EO780" s="1" t="s">
        <v>234</v>
      </c>
      <c r="EP780" s="1" t="s">
        <v>650</v>
      </c>
      <c r="EQ780" s="1" t="s">
        <v>2188</v>
      </c>
      <c r="ER780" s="1" t="s">
        <v>2453</v>
      </c>
      <c r="ES780" s="1" t="s">
        <v>4840</v>
      </c>
      <c r="ET780" s="1" t="s">
        <v>323</v>
      </c>
      <c r="EW780" s="1" t="s">
        <v>867</v>
      </c>
      <c r="EZ780" s="1" t="s">
        <v>8910</v>
      </c>
      <c r="FA780" s="1" t="s">
        <v>3837</v>
      </c>
      <c r="FC780" s="1" t="s">
        <v>1386</v>
      </c>
      <c r="FD780" s="1" t="s">
        <v>246</v>
      </c>
      <c r="FE780" s="1" t="s">
        <v>1006</v>
      </c>
      <c r="FF780" s="1" t="s">
        <v>248</v>
      </c>
      <c r="FG780" s="1" t="s">
        <v>2540</v>
      </c>
      <c r="FH780" s="1" t="s">
        <v>825</v>
      </c>
      <c r="FI780" s="1" t="s">
        <v>473</v>
      </c>
      <c r="FL780" s="1" t="s">
        <v>358</v>
      </c>
      <c r="FM780" s="1" t="s">
        <v>252</v>
      </c>
      <c r="FN780" s="1" t="s">
        <v>213</v>
      </c>
      <c r="FO780" s="1" t="s">
        <v>213</v>
      </c>
      <c r="FQ780" s="1" t="s">
        <v>2740</v>
      </c>
      <c r="FR780" s="1" t="s">
        <v>210</v>
      </c>
      <c r="FS780" s="1" t="s">
        <v>8911</v>
      </c>
      <c r="FT780" s="1" t="s">
        <v>362</v>
      </c>
      <c r="FU780" s="1" t="s">
        <v>204</v>
      </c>
      <c r="FW780" s="1" t="s">
        <v>8912</v>
      </c>
      <c r="FX780" s="1">
        <v>302</v>
      </c>
      <c r="FY780" s="1" t="s">
        <v>8913</v>
      </c>
      <c r="FZ780" s="1" t="s">
        <v>8914</v>
      </c>
      <c r="GA780" s="1">
        <v>339</v>
      </c>
      <c r="GB780" s="1" t="s">
        <v>8915</v>
      </c>
      <c r="GD780" s="1" t="s">
        <v>8916</v>
      </c>
      <c r="GE780" s="1" t="s">
        <v>480</v>
      </c>
      <c r="GI780" s="1" t="s">
        <v>204</v>
      </c>
      <c r="GJ780" s="1" t="s">
        <v>260</v>
      </c>
      <c r="GK780" s="1" t="s">
        <v>210</v>
      </c>
      <c r="GL780" s="2">
        <v>42076</v>
      </c>
      <c r="GM780" s="1" t="s">
        <v>8917</v>
      </c>
    </row>
    <row r="781" spans="1:195">
      <c r="A781" s="1">
        <v>158500</v>
      </c>
      <c r="B781" s="1" t="s">
        <v>195</v>
      </c>
      <c r="C781" s="1" t="str">
        <f>"08816573"</f>
        <v>08816573</v>
      </c>
      <c r="D781" s="1" t="s">
        <v>196</v>
      </c>
      <c r="F781" s="1" t="str">
        <f>"187"</f>
        <v>187</v>
      </c>
      <c r="G781" s="2">
        <v>42018</v>
      </c>
      <c r="H781" s="1">
        <v>174900</v>
      </c>
      <c r="I781" s="1">
        <v>164499</v>
      </c>
      <c r="J781" s="1">
        <v>158500</v>
      </c>
      <c r="K781" s="2">
        <v>42018</v>
      </c>
      <c r="L781" s="1">
        <v>54</v>
      </c>
      <c r="M781" s="2">
        <v>42071</v>
      </c>
      <c r="N781" s="1">
        <v>54</v>
      </c>
      <c r="O781" s="2">
        <v>42071</v>
      </c>
      <c r="P781" s="1">
        <v>22039</v>
      </c>
      <c r="Q781" s="1" t="s">
        <v>197</v>
      </c>
      <c r="R781" s="2">
        <v>42115</v>
      </c>
      <c r="S781" s="1">
        <v>241034</v>
      </c>
      <c r="U781" s="1">
        <v>1776</v>
      </c>
      <c r="V781" s="1" t="s">
        <v>8918</v>
      </c>
      <c r="W781" s="1" t="s">
        <v>449</v>
      </c>
      <c r="X781" s="1" t="s">
        <v>1688</v>
      </c>
      <c r="Y781" s="1">
        <v>4</v>
      </c>
      <c r="Z781" s="1" t="s">
        <v>249</v>
      </c>
      <c r="AA781" s="1" t="s">
        <v>964</v>
      </c>
      <c r="AB781" s="1">
        <v>60189</v>
      </c>
      <c r="AD781" s="1" t="s">
        <v>1324</v>
      </c>
      <c r="AE781" s="1" t="s">
        <v>8919</v>
      </c>
      <c r="AF781" s="1">
        <v>1985</v>
      </c>
      <c r="AG781" s="1" t="s">
        <v>204</v>
      </c>
      <c r="AH781" s="1" t="s">
        <v>967</v>
      </c>
      <c r="AI781" s="1" t="s">
        <v>206</v>
      </c>
      <c r="AJ781" s="1" t="s">
        <v>207</v>
      </c>
      <c r="AL781" s="1">
        <v>5</v>
      </c>
      <c r="AM781" s="1">
        <v>2</v>
      </c>
      <c r="AN781" s="1">
        <v>1</v>
      </c>
      <c r="AO781" s="1">
        <v>1</v>
      </c>
      <c r="AP781" s="1" t="s">
        <v>209</v>
      </c>
      <c r="AQ781" s="1">
        <v>1</v>
      </c>
      <c r="AR781" s="1" t="s">
        <v>210</v>
      </c>
      <c r="AS781" s="1" t="s">
        <v>204</v>
      </c>
      <c r="AT781" s="1" t="s">
        <v>211</v>
      </c>
      <c r="AU781" s="1">
        <v>2</v>
      </c>
      <c r="AW781" s="1" t="s">
        <v>204</v>
      </c>
      <c r="AX781" s="1" t="s">
        <v>212</v>
      </c>
      <c r="AZ781" s="1">
        <v>2808</v>
      </c>
      <c r="BA781" s="1">
        <v>2013</v>
      </c>
      <c r="BB781" s="1" t="s">
        <v>599</v>
      </c>
      <c r="BE781" s="1">
        <v>1056</v>
      </c>
      <c r="BF781" s="1">
        <v>1</v>
      </c>
      <c r="BG781" s="1">
        <v>0</v>
      </c>
      <c r="BL781" s="1">
        <v>294</v>
      </c>
      <c r="BM781" s="1" t="s">
        <v>204</v>
      </c>
      <c r="BN781" s="1" t="s">
        <v>213</v>
      </c>
      <c r="BO781" s="1">
        <v>999</v>
      </c>
      <c r="BP781" s="1" t="s">
        <v>204</v>
      </c>
      <c r="BR781" s="1" t="str">
        <f>"0519211166"</f>
        <v>0519211166</v>
      </c>
      <c r="BT781" s="1" t="s">
        <v>8920</v>
      </c>
      <c r="BU781" s="1" t="s">
        <v>1327</v>
      </c>
      <c r="BV781" s="1" t="s">
        <v>970</v>
      </c>
      <c r="BW781" s="1" t="s">
        <v>971</v>
      </c>
      <c r="BX781" s="1">
        <v>200</v>
      </c>
      <c r="BY781" s="1">
        <v>200</v>
      </c>
      <c r="BZ781" s="1">
        <v>200</v>
      </c>
      <c r="CB781" s="1" t="str">
        <f t="shared" ref="CB781:CC781" si="611">""</f>
        <v/>
      </c>
      <c r="CC781" s="1" t="str">
        <f t="shared" si="611"/>
        <v/>
      </c>
      <c r="CG781" s="1" t="s">
        <v>1045</v>
      </c>
      <c r="CH781" s="1" t="s">
        <v>219</v>
      </c>
      <c r="CI781" s="1" t="s">
        <v>220</v>
      </c>
      <c r="CK781" s="1" t="s">
        <v>757</v>
      </c>
      <c r="CL781" s="1" t="s">
        <v>219</v>
      </c>
      <c r="CM781" s="1" t="s">
        <v>220</v>
      </c>
      <c r="CN781" s="1" t="s">
        <v>909</v>
      </c>
      <c r="CO781" s="1" t="s">
        <v>409</v>
      </c>
      <c r="CP781" s="1" t="s">
        <v>219</v>
      </c>
      <c r="CQ781" s="1" t="s">
        <v>220</v>
      </c>
      <c r="CR781" s="1" t="s">
        <v>252</v>
      </c>
      <c r="CS781" s="1" t="s">
        <v>318</v>
      </c>
      <c r="CT781" s="1" t="s">
        <v>219</v>
      </c>
      <c r="CU781" s="1" t="s">
        <v>220</v>
      </c>
      <c r="CV781" s="1" t="s">
        <v>463</v>
      </c>
      <c r="CX781" s="1" t="s">
        <v>224</v>
      </c>
      <c r="DB781" s="1" t="s">
        <v>224</v>
      </c>
      <c r="DE781" s="1" t="s">
        <v>318</v>
      </c>
      <c r="DF781" s="1" t="s">
        <v>219</v>
      </c>
      <c r="DG781" s="1" t="s">
        <v>229</v>
      </c>
      <c r="DJ781" s="1" t="s">
        <v>224</v>
      </c>
      <c r="DS781" s="1" t="s">
        <v>230</v>
      </c>
      <c r="DW781" s="1" t="s">
        <v>230</v>
      </c>
      <c r="EA781" s="1" t="s">
        <v>230</v>
      </c>
      <c r="EE781" s="1" t="s">
        <v>230</v>
      </c>
      <c r="EI781" s="1" t="s">
        <v>230</v>
      </c>
      <c r="EL781" s="1" t="s">
        <v>542</v>
      </c>
      <c r="EM781" s="1" t="s">
        <v>232</v>
      </c>
      <c r="EN781" s="1" t="s">
        <v>282</v>
      </c>
      <c r="EO781" s="1" t="s">
        <v>234</v>
      </c>
      <c r="EP781" s="1" t="s">
        <v>2289</v>
      </c>
      <c r="EQ781" s="1" t="s">
        <v>236</v>
      </c>
      <c r="ER781" s="1" t="s">
        <v>383</v>
      </c>
      <c r="ES781" s="1" t="s">
        <v>824</v>
      </c>
      <c r="EU781" s="1" t="s">
        <v>2548</v>
      </c>
      <c r="EV781" s="1" t="s">
        <v>352</v>
      </c>
      <c r="EW781" s="1" t="s">
        <v>353</v>
      </c>
      <c r="EY781" s="1" t="s">
        <v>242</v>
      </c>
      <c r="EZ781" s="1" t="s">
        <v>287</v>
      </c>
      <c r="FA781" s="1" t="s">
        <v>3462</v>
      </c>
      <c r="FB781" s="1" t="s">
        <v>289</v>
      </c>
      <c r="FC781" s="1" t="s">
        <v>326</v>
      </c>
      <c r="FD781" s="1" t="s">
        <v>246</v>
      </c>
      <c r="FE781" s="1" t="s">
        <v>386</v>
      </c>
      <c r="FF781" s="1" t="s">
        <v>387</v>
      </c>
      <c r="FG781" s="1" t="s">
        <v>871</v>
      </c>
      <c r="FH781" s="1" t="s">
        <v>8921</v>
      </c>
      <c r="FI781" s="1" t="s">
        <v>473</v>
      </c>
      <c r="FL781" s="1" t="s">
        <v>358</v>
      </c>
      <c r="FM781" s="1" t="s">
        <v>252</v>
      </c>
      <c r="FN781" s="1" t="s">
        <v>213</v>
      </c>
      <c r="FO781" s="1" t="s">
        <v>213</v>
      </c>
      <c r="FQ781" s="1" t="s">
        <v>2293</v>
      </c>
      <c r="FR781" s="1" t="s">
        <v>210</v>
      </c>
      <c r="FS781" s="1" t="s">
        <v>8922</v>
      </c>
      <c r="FT781" s="1" t="s">
        <v>8923</v>
      </c>
      <c r="FU781" s="1" t="s">
        <v>204</v>
      </c>
      <c r="FW781" s="1" t="s">
        <v>1559</v>
      </c>
      <c r="FX781" s="1">
        <v>25279</v>
      </c>
      <c r="FY781" s="1" t="s">
        <v>2296</v>
      </c>
      <c r="FZ781" s="1" t="s">
        <v>2297</v>
      </c>
      <c r="GA781" s="1">
        <v>253689</v>
      </c>
      <c r="GB781" s="1" t="s">
        <v>2298</v>
      </c>
      <c r="GD781" s="1" t="s">
        <v>2299</v>
      </c>
      <c r="GE781" s="1" t="s">
        <v>1333</v>
      </c>
      <c r="GI781" s="1" t="s">
        <v>213</v>
      </c>
      <c r="GJ781" s="1" t="s">
        <v>260</v>
      </c>
      <c r="GK781" s="1" t="s">
        <v>210</v>
      </c>
      <c r="GL781" s="2">
        <v>42115</v>
      </c>
      <c r="GM781" s="1" t="s">
        <v>8924</v>
      </c>
    </row>
    <row r="782" spans="1:195">
      <c r="A782" s="1">
        <v>192500</v>
      </c>
      <c r="B782" s="1" t="s">
        <v>195</v>
      </c>
      <c r="C782" s="1" t="str">
        <f>"08817809"</f>
        <v>08817809</v>
      </c>
      <c r="D782" s="1" t="s">
        <v>196</v>
      </c>
      <c r="F782" s="1" t="str">
        <f>"174"</f>
        <v>174</v>
      </c>
      <c r="G782" s="2">
        <v>42020</v>
      </c>
      <c r="H782" s="1">
        <v>205000</v>
      </c>
      <c r="I782" s="1">
        <v>205000</v>
      </c>
      <c r="J782" s="1">
        <v>192500</v>
      </c>
      <c r="K782" s="2">
        <v>42020</v>
      </c>
      <c r="L782" s="1">
        <v>80</v>
      </c>
      <c r="M782" s="2">
        <v>42099</v>
      </c>
      <c r="N782" s="1">
        <v>80</v>
      </c>
      <c r="O782" s="2">
        <v>42099</v>
      </c>
      <c r="P782" s="1">
        <v>25050</v>
      </c>
      <c r="Q782" s="1" t="s">
        <v>197</v>
      </c>
      <c r="R782" s="2">
        <v>42140</v>
      </c>
      <c r="S782" s="1">
        <v>238581</v>
      </c>
      <c r="U782" s="1">
        <v>901</v>
      </c>
      <c r="V782" s="1" t="s">
        <v>8925</v>
      </c>
      <c r="W782" s="1" t="s">
        <v>526</v>
      </c>
      <c r="Y782" s="1">
        <v>6</v>
      </c>
      <c r="Z782" s="1" t="s">
        <v>370</v>
      </c>
      <c r="AA782" s="1" t="s">
        <v>879</v>
      </c>
      <c r="AB782" s="1">
        <v>60174</v>
      </c>
      <c r="AD782" s="1" t="s">
        <v>8926</v>
      </c>
      <c r="AE782" s="1" t="s">
        <v>8927</v>
      </c>
      <c r="AF782" s="1">
        <v>2004</v>
      </c>
      <c r="AG782" s="1" t="s">
        <v>204</v>
      </c>
      <c r="AH782" s="1" t="s">
        <v>883</v>
      </c>
      <c r="AI782" s="1" t="s">
        <v>206</v>
      </c>
      <c r="AJ782" s="1" t="s">
        <v>2654</v>
      </c>
      <c r="AK782" s="1" t="s">
        <v>3642</v>
      </c>
      <c r="AL782" s="1">
        <v>7</v>
      </c>
      <c r="AM782" s="1">
        <v>2</v>
      </c>
      <c r="AN782" s="1">
        <v>2</v>
      </c>
      <c r="AO782" s="1">
        <v>0</v>
      </c>
      <c r="AP782" s="1" t="s">
        <v>209</v>
      </c>
      <c r="AQ782" s="1">
        <v>2</v>
      </c>
      <c r="AR782" s="1" t="s">
        <v>1483</v>
      </c>
      <c r="AS782" s="1" t="s">
        <v>204</v>
      </c>
      <c r="AT782" s="1" t="s">
        <v>211</v>
      </c>
      <c r="AU782" s="1">
        <v>2</v>
      </c>
      <c r="AW782" s="1" t="s">
        <v>204</v>
      </c>
      <c r="AX782" s="1" t="s">
        <v>212</v>
      </c>
      <c r="AZ782" s="1">
        <v>4656</v>
      </c>
      <c r="BA782" s="1">
        <v>2013</v>
      </c>
      <c r="BE782" s="1">
        <v>1400</v>
      </c>
      <c r="BF782" s="1">
        <v>1</v>
      </c>
      <c r="BG782" s="1">
        <v>1</v>
      </c>
      <c r="BL782" s="1">
        <v>250</v>
      </c>
      <c r="BM782" s="1" t="s">
        <v>204</v>
      </c>
      <c r="BN782" s="1" t="s">
        <v>213</v>
      </c>
      <c r="BO782" s="1">
        <v>100</v>
      </c>
      <c r="BP782" s="1" t="s">
        <v>204</v>
      </c>
      <c r="BR782" s="1" t="str">
        <f>"0130103195"</f>
        <v>0130103195</v>
      </c>
      <c r="BT782" s="1" t="s">
        <v>8928</v>
      </c>
      <c r="BX782" s="1">
        <v>303</v>
      </c>
      <c r="BY782" s="1">
        <v>303</v>
      </c>
      <c r="BZ782" s="1">
        <v>303</v>
      </c>
      <c r="CB782" s="1" t="str">
        <f t="shared" ref="CB782:CC782" si="612">""</f>
        <v/>
      </c>
      <c r="CC782" s="1" t="str">
        <f t="shared" si="612"/>
        <v/>
      </c>
      <c r="CG782" s="1" t="s">
        <v>757</v>
      </c>
      <c r="CH782" s="1" t="s">
        <v>219</v>
      </c>
      <c r="CI782" s="1" t="s">
        <v>220</v>
      </c>
      <c r="CK782" s="1" t="s">
        <v>315</v>
      </c>
      <c r="CL782" s="1" t="s">
        <v>219</v>
      </c>
      <c r="CM782" s="1" t="s">
        <v>220</v>
      </c>
      <c r="CO782" s="1" t="s">
        <v>379</v>
      </c>
      <c r="CP782" s="1" t="s">
        <v>219</v>
      </c>
      <c r="CQ782" s="1" t="s">
        <v>220</v>
      </c>
      <c r="CS782" s="1" t="s">
        <v>379</v>
      </c>
      <c r="CT782" s="1" t="s">
        <v>219</v>
      </c>
      <c r="CU782" s="1" t="s">
        <v>220</v>
      </c>
      <c r="CX782" s="1" t="s">
        <v>224</v>
      </c>
      <c r="DB782" s="1" t="s">
        <v>224</v>
      </c>
      <c r="DE782" s="1" t="s">
        <v>317</v>
      </c>
      <c r="DF782" s="1" t="s">
        <v>219</v>
      </c>
      <c r="DG782" s="1" t="s">
        <v>226</v>
      </c>
      <c r="DI782" s="1" t="s">
        <v>8929</v>
      </c>
      <c r="DJ782" s="1" t="s">
        <v>822</v>
      </c>
      <c r="DK782" s="1" t="s">
        <v>220</v>
      </c>
      <c r="DM782" s="1" t="s">
        <v>464</v>
      </c>
      <c r="DR782" s="1" t="s">
        <v>379</v>
      </c>
      <c r="DS782" s="1" t="s">
        <v>219</v>
      </c>
      <c r="DT782" s="1" t="s">
        <v>220</v>
      </c>
      <c r="DW782" s="1" t="s">
        <v>230</v>
      </c>
      <c r="EA782" s="1" t="s">
        <v>230</v>
      </c>
      <c r="EE782" s="1" t="s">
        <v>230</v>
      </c>
      <c r="EI782" s="1" t="s">
        <v>230</v>
      </c>
      <c r="EL782" s="1" t="s">
        <v>466</v>
      </c>
      <c r="EM782" s="1" t="s">
        <v>319</v>
      </c>
      <c r="EN782" s="1" t="s">
        <v>282</v>
      </c>
      <c r="EO782" s="1" t="s">
        <v>234</v>
      </c>
      <c r="EQ782" s="1" t="s">
        <v>1109</v>
      </c>
      <c r="ER782" s="1" t="s">
        <v>544</v>
      </c>
      <c r="ES782" s="1" t="s">
        <v>954</v>
      </c>
      <c r="EV782" s="1" t="s">
        <v>324</v>
      </c>
      <c r="EW782" s="1" t="s">
        <v>8645</v>
      </c>
      <c r="EZ782" s="1" t="s">
        <v>464</v>
      </c>
      <c r="FA782" s="1" t="s">
        <v>8930</v>
      </c>
      <c r="FD782" s="1" t="s">
        <v>246</v>
      </c>
      <c r="FE782" s="1" t="s">
        <v>386</v>
      </c>
      <c r="FF782" s="1" t="s">
        <v>387</v>
      </c>
      <c r="FG782" s="1" t="s">
        <v>871</v>
      </c>
      <c r="FH782" s="1" t="s">
        <v>550</v>
      </c>
      <c r="FL782" s="1" t="s">
        <v>358</v>
      </c>
      <c r="FM782" s="1" t="s">
        <v>252</v>
      </c>
      <c r="FN782" s="1" t="s">
        <v>213</v>
      </c>
      <c r="FO782" s="1" t="s">
        <v>213</v>
      </c>
      <c r="FQ782" s="1" t="s">
        <v>2253</v>
      </c>
      <c r="FR782" s="1" t="s">
        <v>210</v>
      </c>
      <c r="FS782" s="1" t="s">
        <v>1318</v>
      </c>
      <c r="FT782" s="1" t="s">
        <v>8931</v>
      </c>
      <c r="FU782" s="1" t="s">
        <v>204</v>
      </c>
      <c r="FW782" s="1" t="s">
        <v>4721</v>
      </c>
      <c r="FX782" s="1">
        <v>383</v>
      </c>
      <c r="FY782" s="1" t="s">
        <v>4722</v>
      </c>
      <c r="FZ782" s="1" t="s">
        <v>8932</v>
      </c>
      <c r="GA782" s="1">
        <v>8789</v>
      </c>
      <c r="GC782" s="1">
        <v>583</v>
      </c>
      <c r="GD782" s="1" t="s">
        <v>230</v>
      </c>
      <c r="GE782" s="1" t="s">
        <v>480</v>
      </c>
      <c r="GI782" s="1" t="s">
        <v>213</v>
      </c>
      <c r="GJ782" s="1" t="s">
        <v>260</v>
      </c>
      <c r="GK782" s="1" t="s">
        <v>210</v>
      </c>
      <c r="GL782" s="2">
        <v>42141</v>
      </c>
      <c r="GM782" s="1" t="s">
        <v>8933</v>
      </c>
    </row>
    <row r="783" spans="1:195">
      <c r="A783" s="1">
        <v>134000</v>
      </c>
      <c r="B783" s="1" t="s">
        <v>195</v>
      </c>
      <c r="C783" s="1" t="str">
        <f>"08814514"</f>
        <v>08814514</v>
      </c>
      <c r="D783" s="1" t="s">
        <v>196</v>
      </c>
      <c r="F783" s="1" t="str">
        <f>"115"</f>
        <v>115</v>
      </c>
      <c r="G783" s="2">
        <v>42016</v>
      </c>
      <c r="H783" s="1">
        <v>145000</v>
      </c>
      <c r="I783" s="1">
        <v>145000</v>
      </c>
      <c r="J783" s="1">
        <v>134000</v>
      </c>
      <c r="K783" s="2">
        <v>42016</v>
      </c>
      <c r="L783" s="1">
        <v>107</v>
      </c>
      <c r="M783" s="2">
        <v>42122</v>
      </c>
      <c r="N783" s="1">
        <v>107</v>
      </c>
      <c r="O783" s="2">
        <v>42122</v>
      </c>
      <c r="P783" s="1">
        <v>93162</v>
      </c>
      <c r="Q783" s="1" t="s">
        <v>302</v>
      </c>
      <c r="R783" s="2">
        <v>42138</v>
      </c>
      <c r="S783" s="1">
        <v>931530</v>
      </c>
      <c r="U783" s="1">
        <v>1408</v>
      </c>
      <c r="V783" s="1" t="s">
        <v>8563</v>
      </c>
      <c r="W783" s="1" t="s">
        <v>264</v>
      </c>
      <c r="X783" s="1">
        <v>1408</v>
      </c>
      <c r="Y783" s="1">
        <v>2</v>
      </c>
      <c r="Z783" s="1" t="s">
        <v>249</v>
      </c>
      <c r="AA783" s="1" t="s">
        <v>2242</v>
      </c>
      <c r="AB783" s="1">
        <v>60115</v>
      </c>
      <c r="AD783" s="1" t="s">
        <v>3297</v>
      </c>
      <c r="AE783" s="1" t="s">
        <v>8934</v>
      </c>
      <c r="AF783" s="1">
        <v>2004</v>
      </c>
      <c r="AG783" s="1" t="s">
        <v>204</v>
      </c>
      <c r="AH783" s="1" t="s">
        <v>2245</v>
      </c>
      <c r="AI783" s="1" t="s">
        <v>2246</v>
      </c>
      <c r="AJ783" s="1" t="s">
        <v>2245</v>
      </c>
      <c r="AK783" s="1" t="s">
        <v>8935</v>
      </c>
      <c r="AL783" s="1">
        <v>4</v>
      </c>
      <c r="AM783" s="1">
        <v>2</v>
      </c>
      <c r="AN783" s="1">
        <v>2</v>
      </c>
      <c r="AO783" s="1">
        <v>0</v>
      </c>
      <c r="AP783" s="1" t="s">
        <v>209</v>
      </c>
      <c r="AQ783" s="1">
        <v>1</v>
      </c>
      <c r="AR783" s="1" t="s">
        <v>210</v>
      </c>
      <c r="AS783" s="1" t="s">
        <v>204</v>
      </c>
      <c r="AT783" s="1" t="s">
        <v>211</v>
      </c>
      <c r="AU783" s="1">
        <v>2</v>
      </c>
      <c r="AW783" s="1" t="s">
        <v>204</v>
      </c>
      <c r="AX783" s="1" t="s">
        <v>8936</v>
      </c>
      <c r="AZ783" s="1">
        <v>5185.57</v>
      </c>
      <c r="BA783" s="1">
        <v>2013</v>
      </c>
      <c r="BB783" s="1" t="s">
        <v>405</v>
      </c>
      <c r="BE783" s="1">
        <v>1486</v>
      </c>
      <c r="BF783" s="1">
        <v>1</v>
      </c>
      <c r="BG783" s="1">
        <v>0</v>
      </c>
      <c r="BL783" s="1">
        <v>51</v>
      </c>
      <c r="BM783" s="1" t="s">
        <v>204</v>
      </c>
      <c r="BN783" s="1" t="s">
        <v>213</v>
      </c>
      <c r="BP783" s="1" t="s">
        <v>204</v>
      </c>
      <c r="BR783" s="1" t="str">
        <f>"0813326018"</f>
        <v>0813326018</v>
      </c>
      <c r="BT783" s="1" t="s">
        <v>8937</v>
      </c>
      <c r="BX783" s="1">
        <v>428</v>
      </c>
      <c r="BY783" s="1">
        <v>428</v>
      </c>
      <c r="BZ783" s="1">
        <v>428</v>
      </c>
      <c r="CB783" s="1" t="str">
        <f t="shared" ref="CB783:CC783" si="613">""</f>
        <v/>
      </c>
      <c r="CC783" s="1" t="str">
        <f t="shared" si="613"/>
        <v/>
      </c>
      <c r="CG783" s="1" t="s">
        <v>6531</v>
      </c>
      <c r="CH783" s="1" t="s">
        <v>219</v>
      </c>
      <c r="CI783" s="1" t="s">
        <v>220</v>
      </c>
      <c r="CJ783" s="1" t="s">
        <v>343</v>
      </c>
      <c r="CK783" s="1" t="s">
        <v>221</v>
      </c>
      <c r="CL783" s="1" t="s">
        <v>219</v>
      </c>
      <c r="CM783" s="1" t="s">
        <v>220</v>
      </c>
      <c r="CN783" s="1" t="s">
        <v>343</v>
      </c>
      <c r="CP783" s="1" t="s">
        <v>224</v>
      </c>
      <c r="CS783" s="1" t="s">
        <v>317</v>
      </c>
      <c r="CT783" s="1" t="s">
        <v>219</v>
      </c>
      <c r="CU783" s="1" t="s">
        <v>220</v>
      </c>
      <c r="CV783" s="1" t="s">
        <v>343</v>
      </c>
      <c r="CX783" s="1" t="s">
        <v>224</v>
      </c>
      <c r="DB783" s="1" t="s">
        <v>224</v>
      </c>
      <c r="DE783" s="1" t="s">
        <v>3716</v>
      </c>
      <c r="DF783" s="1" t="s">
        <v>219</v>
      </c>
      <c r="DG783" s="1" t="s">
        <v>342</v>
      </c>
      <c r="DH783" s="1" t="s">
        <v>343</v>
      </c>
      <c r="DJ783" s="1" t="s">
        <v>224</v>
      </c>
      <c r="DS783" s="1" t="s">
        <v>230</v>
      </c>
      <c r="DW783" s="1" t="s">
        <v>230</v>
      </c>
      <c r="EA783" s="1" t="s">
        <v>230</v>
      </c>
      <c r="EE783" s="1" t="s">
        <v>230</v>
      </c>
      <c r="EI783" s="1" t="s">
        <v>230</v>
      </c>
      <c r="EL783" s="1" t="s">
        <v>466</v>
      </c>
      <c r="EM783" s="1" t="s">
        <v>319</v>
      </c>
      <c r="EN783" s="1" t="s">
        <v>282</v>
      </c>
      <c r="EO783" s="1" t="s">
        <v>234</v>
      </c>
      <c r="EQ783" s="1" t="s">
        <v>236</v>
      </c>
      <c r="ER783" s="1" t="s">
        <v>210</v>
      </c>
      <c r="ES783" s="1" t="s">
        <v>824</v>
      </c>
      <c r="ET783" s="1" t="s">
        <v>842</v>
      </c>
      <c r="EV783" s="1" t="s">
        <v>240</v>
      </c>
      <c r="EW783" s="1" t="s">
        <v>547</v>
      </c>
      <c r="EY783" s="1" t="s">
        <v>441</v>
      </c>
      <c r="EZ783" s="1" t="s">
        <v>287</v>
      </c>
      <c r="FA783" s="1" t="s">
        <v>1072</v>
      </c>
      <c r="FD783" s="1" t="s">
        <v>246</v>
      </c>
      <c r="FE783" s="1" t="s">
        <v>975</v>
      </c>
      <c r="FF783" s="1" t="s">
        <v>248</v>
      </c>
      <c r="FG783" s="1" t="s">
        <v>2406</v>
      </c>
      <c r="FH783" s="1" t="s">
        <v>442</v>
      </c>
      <c r="FL783" s="1" t="s">
        <v>414</v>
      </c>
      <c r="FM783" s="1" t="s">
        <v>252</v>
      </c>
      <c r="FN783" s="1" t="s">
        <v>213</v>
      </c>
      <c r="FO783" s="1" t="s">
        <v>213</v>
      </c>
      <c r="FQ783" s="1" t="s">
        <v>2091</v>
      </c>
      <c r="FR783" s="1" t="s">
        <v>652</v>
      </c>
      <c r="FS783" s="1" t="s">
        <v>957</v>
      </c>
      <c r="FT783" s="1" t="s">
        <v>8938</v>
      </c>
      <c r="FU783" s="1" t="s">
        <v>204</v>
      </c>
      <c r="FW783" s="1" t="s">
        <v>8939</v>
      </c>
      <c r="FX783" s="1">
        <v>24809</v>
      </c>
      <c r="FY783" s="1" t="s">
        <v>8940</v>
      </c>
      <c r="FZ783" s="1" t="s">
        <v>8941</v>
      </c>
      <c r="GA783" s="1">
        <v>237413</v>
      </c>
      <c r="GB783" s="1" t="s">
        <v>8942</v>
      </c>
      <c r="GD783" s="1" t="s">
        <v>8943</v>
      </c>
      <c r="GE783" s="1" t="s">
        <v>210</v>
      </c>
      <c r="GI783" s="1" t="s">
        <v>213</v>
      </c>
      <c r="GJ783" s="1" t="s">
        <v>260</v>
      </c>
      <c r="GK783" s="1" t="s">
        <v>210</v>
      </c>
      <c r="GL783" s="2">
        <v>42139</v>
      </c>
      <c r="GM783" s="1" t="s">
        <v>8944</v>
      </c>
    </row>
    <row r="784" spans="1:195">
      <c r="A784" s="1">
        <v>209000</v>
      </c>
      <c r="B784" s="1" t="s">
        <v>195</v>
      </c>
      <c r="C784" s="1" t="str">
        <f>"08816633"</f>
        <v>08816633</v>
      </c>
      <c r="D784" s="1" t="s">
        <v>196</v>
      </c>
      <c r="F784" s="1" t="str">
        <f>"540"</f>
        <v>540</v>
      </c>
      <c r="G784" s="2">
        <v>42018</v>
      </c>
      <c r="H784" s="1">
        <v>219900</v>
      </c>
      <c r="I784" s="1">
        <v>219900</v>
      </c>
      <c r="J784" s="1">
        <v>209000</v>
      </c>
      <c r="K784" s="2">
        <v>42018</v>
      </c>
      <c r="L784" s="1">
        <v>39</v>
      </c>
      <c r="M784" s="2">
        <v>42056</v>
      </c>
      <c r="N784" s="1">
        <v>39</v>
      </c>
      <c r="O784" s="2">
        <v>42056</v>
      </c>
      <c r="P784" s="1">
        <v>24695</v>
      </c>
      <c r="Q784" s="1" t="s">
        <v>197</v>
      </c>
      <c r="R784" s="2">
        <v>42095</v>
      </c>
      <c r="S784" s="1">
        <v>233306</v>
      </c>
      <c r="U784" s="1">
        <v>1708</v>
      </c>
      <c r="V784" s="1" t="s">
        <v>8945</v>
      </c>
      <c r="W784" s="1" t="s">
        <v>264</v>
      </c>
      <c r="Y784" s="1">
        <v>5</v>
      </c>
      <c r="Z784" s="1" t="s">
        <v>370</v>
      </c>
      <c r="AA784" s="1" t="s">
        <v>921</v>
      </c>
      <c r="AB784" s="1">
        <v>60565</v>
      </c>
      <c r="AE784" s="1" t="s">
        <v>8946</v>
      </c>
      <c r="AF784" s="1">
        <v>1989</v>
      </c>
      <c r="AG784" s="1" t="s">
        <v>204</v>
      </c>
      <c r="AH784" s="1" t="s">
        <v>924</v>
      </c>
      <c r="AI784" s="1" t="s">
        <v>206</v>
      </c>
      <c r="AJ784" s="1" t="s">
        <v>925</v>
      </c>
      <c r="AL784" s="1">
        <v>5</v>
      </c>
      <c r="AM784" s="1">
        <v>2</v>
      </c>
      <c r="AN784" s="1">
        <v>2</v>
      </c>
      <c r="AO784" s="1">
        <v>0</v>
      </c>
      <c r="AP784" s="1" t="s">
        <v>209</v>
      </c>
      <c r="AQ784" s="1">
        <v>1</v>
      </c>
      <c r="AR784" s="1" t="s">
        <v>209</v>
      </c>
      <c r="AS784" s="1" t="s">
        <v>204</v>
      </c>
      <c r="AT784" s="1" t="s">
        <v>211</v>
      </c>
      <c r="AU784" s="1">
        <v>2</v>
      </c>
      <c r="AW784" s="1" t="s">
        <v>213</v>
      </c>
      <c r="AX784" s="1" t="s">
        <v>212</v>
      </c>
      <c r="AZ784" s="1">
        <v>4075</v>
      </c>
      <c r="BA784" s="1">
        <v>2013</v>
      </c>
      <c r="BB784" s="1" t="s">
        <v>6874</v>
      </c>
      <c r="BE784" s="1">
        <v>1353</v>
      </c>
      <c r="BF784" s="1">
        <v>1</v>
      </c>
      <c r="BG784" s="1">
        <v>0</v>
      </c>
      <c r="BL784" s="1">
        <v>290</v>
      </c>
      <c r="BM784" s="1" t="s">
        <v>204</v>
      </c>
      <c r="BN784" s="1" t="s">
        <v>213</v>
      </c>
      <c r="BO784" s="1">
        <v>0</v>
      </c>
      <c r="BP784" s="1" t="s">
        <v>204</v>
      </c>
      <c r="BR784" s="1" t="str">
        <f>"0832114042"</f>
        <v>0832114042</v>
      </c>
      <c r="BT784" s="1" t="s">
        <v>8947</v>
      </c>
      <c r="BU784" s="1" t="s">
        <v>8878</v>
      </c>
      <c r="BV784" s="1" t="s">
        <v>8879</v>
      </c>
      <c r="BW784" s="1" t="s">
        <v>930</v>
      </c>
      <c r="BX784" s="1">
        <v>203</v>
      </c>
      <c r="BY784" s="1">
        <v>203</v>
      </c>
      <c r="BZ784" s="1">
        <v>203</v>
      </c>
      <c r="CB784" s="1" t="str">
        <f t="shared" ref="CB784:CC784" si="614">""</f>
        <v/>
      </c>
      <c r="CC784" s="1" t="str">
        <f t="shared" si="614"/>
        <v/>
      </c>
      <c r="CG784" s="1" t="s">
        <v>8708</v>
      </c>
      <c r="CH784" s="1" t="s">
        <v>219</v>
      </c>
      <c r="CI784" s="1" t="s">
        <v>220</v>
      </c>
      <c r="CK784" s="1" t="s">
        <v>437</v>
      </c>
      <c r="CL784" s="1" t="s">
        <v>219</v>
      </c>
      <c r="CM784" s="1" t="s">
        <v>220</v>
      </c>
      <c r="CO784" s="1" t="s">
        <v>629</v>
      </c>
      <c r="CP784" s="1" t="s">
        <v>219</v>
      </c>
      <c r="CQ784" s="1" t="s">
        <v>220</v>
      </c>
      <c r="CS784" s="1" t="s">
        <v>1358</v>
      </c>
      <c r="CT784" s="1" t="s">
        <v>219</v>
      </c>
      <c r="CU784" s="1" t="s">
        <v>220</v>
      </c>
      <c r="CX784" s="1" t="s">
        <v>224</v>
      </c>
      <c r="DB784" s="1" t="s">
        <v>224</v>
      </c>
      <c r="DE784" s="1" t="s">
        <v>3363</v>
      </c>
      <c r="DF784" s="1" t="s">
        <v>219</v>
      </c>
      <c r="DG784" s="1" t="s">
        <v>342</v>
      </c>
      <c r="DJ784" s="1" t="s">
        <v>224</v>
      </c>
      <c r="DS784" s="1" t="s">
        <v>230</v>
      </c>
      <c r="DW784" s="1" t="s">
        <v>230</v>
      </c>
      <c r="EA784" s="1" t="s">
        <v>230</v>
      </c>
      <c r="EE784" s="1" t="s">
        <v>230</v>
      </c>
      <c r="EI784" s="1" t="s">
        <v>230</v>
      </c>
      <c r="EL784" s="1" t="s">
        <v>542</v>
      </c>
      <c r="EM784" s="1" t="s">
        <v>232</v>
      </c>
      <c r="EN784" s="1" t="s">
        <v>282</v>
      </c>
      <c r="EO784" s="1" t="s">
        <v>234</v>
      </c>
      <c r="ER784" s="1" t="s">
        <v>544</v>
      </c>
      <c r="ES784" s="1" t="s">
        <v>322</v>
      </c>
      <c r="ET784" s="1" t="s">
        <v>2404</v>
      </c>
      <c r="EV784" s="1" t="s">
        <v>240</v>
      </c>
      <c r="EW784" s="1" t="s">
        <v>353</v>
      </c>
      <c r="EZ784" s="1" t="s">
        <v>287</v>
      </c>
      <c r="FD784" s="1" t="s">
        <v>246</v>
      </c>
      <c r="FE784" s="1" t="s">
        <v>975</v>
      </c>
      <c r="FF784" s="1" t="s">
        <v>248</v>
      </c>
      <c r="FG784" s="1" t="s">
        <v>871</v>
      </c>
      <c r="FH784" s="1" t="s">
        <v>825</v>
      </c>
      <c r="FI784" s="1" t="s">
        <v>473</v>
      </c>
      <c r="FL784" s="1" t="s">
        <v>414</v>
      </c>
      <c r="FM784" s="1" t="s">
        <v>252</v>
      </c>
      <c r="FN784" s="1" t="s">
        <v>213</v>
      </c>
      <c r="FO784" s="1" t="s">
        <v>213</v>
      </c>
      <c r="FQ784" s="1" t="s">
        <v>8948</v>
      </c>
      <c r="FR784" s="1" t="s">
        <v>210</v>
      </c>
      <c r="FS784" s="1" t="s">
        <v>2483</v>
      </c>
      <c r="FT784" s="1" t="s">
        <v>295</v>
      </c>
      <c r="FU784" s="1" t="s">
        <v>204</v>
      </c>
      <c r="FW784" s="1" t="s">
        <v>3546</v>
      </c>
      <c r="FX784" s="1">
        <v>24695</v>
      </c>
      <c r="FY784" s="1" t="s">
        <v>3547</v>
      </c>
      <c r="FZ784" s="1" t="s">
        <v>8949</v>
      </c>
      <c r="GA784" s="1">
        <v>256379</v>
      </c>
      <c r="GB784" s="1" t="s">
        <v>8950</v>
      </c>
      <c r="GD784" s="1" t="s">
        <v>8951</v>
      </c>
      <c r="GE784" s="1" t="s">
        <v>210</v>
      </c>
      <c r="GI784" s="1" t="s">
        <v>213</v>
      </c>
      <c r="GJ784" s="1" t="s">
        <v>260</v>
      </c>
      <c r="GK784" s="1" t="s">
        <v>210</v>
      </c>
      <c r="GL784" s="2">
        <v>42139</v>
      </c>
      <c r="GM784" s="1" t="s">
        <v>8952</v>
      </c>
    </row>
    <row r="785" spans="1:195">
      <c r="A785" s="1">
        <v>75000</v>
      </c>
      <c r="B785" s="1" t="s">
        <v>195</v>
      </c>
      <c r="C785" s="1" t="str">
        <f>"08814770"</f>
        <v>08814770</v>
      </c>
      <c r="D785" s="1" t="s">
        <v>196</v>
      </c>
      <c r="F785" s="1" t="str">
        <f>"507"</f>
        <v>507</v>
      </c>
      <c r="G785" s="2">
        <v>42016</v>
      </c>
      <c r="H785" s="1">
        <v>79000</v>
      </c>
      <c r="I785" s="1">
        <v>79000</v>
      </c>
      <c r="J785" s="1">
        <v>75000</v>
      </c>
      <c r="K785" s="2">
        <v>42016</v>
      </c>
      <c r="L785" s="1">
        <v>3</v>
      </c>
      <c r="M785" s="2">
        <v>42018</v>
      </c>
      <c r="N785" s="1">
        <v>3</v>
      </c>
      <c r="O785" s="2">
        <v>42018</v>
      </c>
      <c r="P785" s="1">
        <v>23177</v>
      </c>
      <c r="Q785" s="1" t="s">
        <v>302</v>
      </c>
      <c r="R785" s="2">
        <v>42095</v>
      </c>
      <c r="S785" s="1">
        <v>238177</v>
      </c>
      <c r="U785" s="1">
        <v>1474</v>
      </c>
      <c r="V785" s="1" t="s">
        <v>8953</v>
      </c>
      <c r="W785" s="1" t="s">
        <v>1056</v>
      </c>
      <c r="X785" s="1">
        <v>1474</v>
      </c>
      <c r="Y785" s="1">
        <v>2</v>
      </c>
      <c r="Z785" s="1" t="s">
        <v>249</v>
      </c>
      <c r="AA785" s="1" t="s">
        <v>1123</v>
      </c>
      <c r="AB785" s="1">
        <v>60505</v>
      </c>
      <c r="AD785" s="1" t="s">
        <v>8954</v>
      </c>
      <c r="AE785" s="1" t="s">
        <v>8955</v>
      </c>
      <c r="AF785" s="1">
        <v>2004</v>
      </c>
      <c r="AG785" s="1" t="s">
        <v>204</v>
      </c>
      <c r="AH785" s="1" t="s">
        <v>1126</v>
      </c>
      <c r="AI785" s="1" t="s">
        <v>665</v>
      </c>
      <c r="AJ785" s="1" t="s">
        <v>1126</v>
      </c>
      <c r="AL785" s="1">
        <v>5</v>
      </c>
      <c r="AM785" s="1">
        <v>2</v>
      </c>
      <c r="AN785" s="1">
        <v>2</v>
      </c>
      <c r="AO785" s="1">
        <v>0</v>
      </c>
      <c r="AP785" s="1" t="s">
        <v>209</v>
      </c>
      <c r="AR785" s="1" t="s">
        <v>210</v>
      </c>
      <c r="AS785" s="1" t="s">
        <v>204</v>
      </c>
      <c r="AT785" s="1" t="s">
        <v>271</v>
      </c>
      <c r="AV785" s="1">
        <v>1</v>
      </c>
      <c r="AW785" s="1" t="s">
        <v>204</v>
      </c>
      <c r="AX785" s="1" t="s">
        <v>212</v>
      </c>
      <c r="AZ785" s="1">
        <v>1563</v>
      </c>
      <c r="BA785" s="1">
        <v>2013</v>
      </c>
      <c r="BB785" s="1" t="s">
        <v>405</v>
      </c>
      <c r="BE785" s="1">
        <v>1150</v>
      </c>
      <c r="BF785" s="1">
        <v>1</v>
      </c>
      <c r="BG785" s="1">
        <v>30</v>
      </c>
      <c r="BL785" s="1">
        <v>160</v>
      </c>
      <c r="BM785" s="1" t="s">
        <v>204</v>
      </c>
      <c r="BN785" s="1" t="s">
        <v>213</v>
      </c>
      <c r="BO785" s="1">
        <v>999</v>
      </c>
      <c r="BP785" s="1" t="s">
        <v>204</v>
      </c>
      <c r="BR785" s="1" t="str">
        <f>"1512326071"</f>
        <v>1512326071</v>
      </c>
      <c r="BT785" s="1" t="s">
        <v>8956</v>
      </c>
      <c r="BX785" s="1">
        <v>131</v>
      </c>
      <c r="BY785" s="1">
        <v>131</v>
      </c>
      <c r="BZ785" s="1">
        <v>131</v>
      </c>
      <c r="CB785" s="1" t="str">
        <f t="shared" ref="CB785:CC785" si="615">"0"</f>
        <v>0</v>
      </c>
      <c r="CC785" s="1" t="str">
        <f t="shared" si="615"/>
        <v>0</v>
      </c>
      <c r="CD785" s="1">
        <v>33</v>
      </c>
      <c r="CE785" s="1">
        <v>5</v>
      </c>
      <c r="CG785" s="1" t="s">
        <v>344</v>
      </c>
      <c r="CH785" s="1" t="s">
        <v>219</v>
      </c>
      <c r="CI785" s="1" t="s">
        <v>220</v>
      </c>
      <c r="CK785" s="1" t="s">
        <v>437</v>
      </c>
      <c r="CL785" s="1" t="s">
        <v>219</v>
      </c>
      <c r="CM785" s="1" t="s">
        <v>220</v>
      </c>
      <c r="CO785" s="1" t="s">
        <v>316</v>
      </c>
      <c r="CP785" s="1" t="s">
        <v>219</v>
      </c>
      <c r="CQ785" s="1" t="s">
        <v>220</v>
      </c>
      <c r="CS785" s="1" t="s">
        <v>932</v>
      </c>
      <c r="CT785" s="1" t="s">
        <v>219</v>
      </c>
      <c r="CU785" s="1" t="s">
        <v>220</v>
      </c>
      <c r="CX785" s="1" t="s">
        <v>224</v>
      </c>
      <c r="DB785" s="1" t="s">
        <v>224</v>
      </c>
      <c r="DE785" s="1" t="s">
        <v>380</v>
      </c>
      <c r="DF785" s="1" t="s">
        <v>219</v>
      </c>
      <c r="DJ785" s="1" t="s">
        <v>224</v>
      </c>
      <c r="DS785" s="1" t="s">
        <v>230</v>
      </c>
      <c r="DW785" s="1" t="s">
        <v>230</v>
      </c>
      <c r="EA785" s="1" t="s">
        <v>230</v>
      </c>
      <c r="EE785" s="1" t="s">
        <v>230</v>
      </c>
      <c r="EI785" s="1" t="s">
        <v>230</v>
      </c>
      <c r="EL785" s="1" t="s">
        <v>466</v>
      </c>
      <c r="EM785" s="1" t="s">
        <v>319</v>
      </c>
      <c r="EN785" s="1" t="s">
        <v>233</v>
      </c>
      <c r="EO785" s="1" t="s">
        <v>234</v>
      </c>
      <c r="ER785" s="1" t="s">
        <v>210</v>
      </c>
      <c r="EW785" s="1" t="s">
        <v>286</v>
      </c>
      <c r="EZ785" s="1" t="s">
        <v>287</v>
      </c>
      <c r="FD785" s="1" t="s">
        <v>246</v>
      </c>
      <c r="FE785" s="1" t="s">
        <v>1031</v>
      </c>
      <c r="FF785" s="1" t="s">
        <v>248</v>
      </c>
      <c r="FH785" s="1" t="s">
        <v>249</v>
      </c>
      <c r="FJ785" s="1" t="s">
        <v>518</v>
      </c>
      <c r="FL785" s="1" t="s">
        <v>292</v>
      </c>
      <c r="FM785" s="1" t="s">
        <v>252</v>
      </c>
      <c r="FN785" s="1" t="s">
        <v>213</v>
      </c>
      <c r="FO785" s="1" t="s">
        <v>213</v>
      </c>
      <c r="FQ785" s="1" t="s">
        <v>8957</v>
      </c>
      <c r="FR785" s="1" t="s">
        <v>360</v>
      </c>
      <c r="FS785" s="1" t="s">
        <v>8958</v>
      </c>
      <c r="FT785" s="1" t="s">
        <v>362</v>
      </c>
      <c r="FU785" s="1" t="s">
        <v>213</v>
      </c>
      <c r="FW785" s="1" t="s">
        <v>1898</v>
      </c>
      <c r="FX785" s="1">
        <v>23030</v>
      </c>
      <c r="FY785" s="1" t="s">
        <v>1899</v>
      </c>
      <c r="FZ785" s="1" t="s">
        <v>5184</v>
      </c>
      <c r="GA785" s="1">
        <v>233292</v>
      </c>
      <c r="GB785" s="1" t="s">
        <v>5185</v>
      </c>
      <c r="GC785" s="1">
        <v>241278</v>
      </c>
      <c r="GE785" s="1" t="s">
        <v>1145</v>
      </c>
      <c r="GI785" s="1" t="s">
        <v>213</v>
      </c>
      <c r="GJ785" s="1" t="s">
        <v>260</v>
      </c>
      <c r="GK785" s="1" t="s">
        <v>210</v>
      </c>
      <c r="GL785" s="2">
        <v>42137</v>
      </c>
      <c r="GM785" s="1" t="s">
        <v>8959</v>
      </c>
    </row>
    <row r="786" spans="1:195">
      <c r="A786" s="1">
        <v>50000</v>
      </c>
      <c r="B786" s="1" t="s">
        <v>195</v>
      </c>
      <c r="C786" s="1" t="str">
        <f>"08814944"</f>
        <v>08814944</v>
      </c>
      <c r="D786" s="1" t="s">
        <v>196</v>
      </c>
      <c r="F786" s="1" t="str">
        <f>"8052"</f>
        <v>8052</v>
      </c>
      <c r="G786" s="2">
        <v>42016</v>
      </c>
      <c r="H786" s="1">
        <v>57750</v>
      </c>
      <c r="I786" s="1">
        <v>49000</v>
      </c>
      <c r="J786" s="1">
        <v>50000</v>
      </c>
      <c r="K786" s="2">
        <v>42016</v>
      </c>
      <c r="L786" s="1">
        <v>81</v>
      </c>
      <c r="M786" s="2">
        <v>42096</v>
      </c>
      <c r="N786" s="1">
        <v>81</v>
      </c>
      <c r="O786" s="2">
        <v>42096</v>
      </c>
      <c r="P786" s="1">
        <v>12139</v>
      </c>
      <c r="Q786" s="1" t="s">
        <v>302</v>
      </c>
      <c r="R786" s="2">
        <v>42123</v>
      </c>
      <c r="S786" s="1">
        <v>124517</v>
      </c>
      <c r="U786" s="1">
        <v>11243</v>
      </c>
      <c r="V786" s="1" t="s">
        <v>8960</v>
      </c>
      <c r="Y786" s="1">
        <v>2</v>
      </c>
      <c r="Z786" s="1" t="s">
        <v>200</v>
      </c>
      <c r="AA786" s="1" t="s">
        <v>400</v>
      </c>
      <c r="AB786" s="1">
        <v>60617</v>
      </c>
      <c r="AE786" s="1" t="s">
        <v>8961</v>
      </c>
      <c r="AF786" s="1">
        <v>1946</v>
      </c>
      <c r="AG786" s="1" t="s">
        <v>213</v>
      </c>
      <c r="AH786" s="1" t="s">
        <v>403</v>
      </c>
      <c r="AI786" s="1" t="s">
        <v>310</v>
      </c>
      <c r="AJ786" s="1" t="s">
        <v>562</v>
      </c>
      <c r="AL786" s="1">
        <v>6</v>
      </c>
      <c r="AM786" s="1">
        <v>2</v>
      </c>
      <c r="AN786" s="1">
        <v>1</v>
      </c>
      <c r="AO786" s="1">
        <v>0</v>
      </c>
      <c r="AP786" s="1" t="s">
        <v>210</v>
      </c>
      <c r="AR786" s="1" t="s">
        <v>209</v>
      </c>
      <c r="AS786" s="1" t="s">
        <v>204</v>
      </c>
      <c r="AT786" s="1" t="s">
        <v>211</v>
      </c>
      <c r="AU786" s="1">
        <v>2</v>
      </c>
      <c r="AW786" s="1" t="s">
        <v>204</v>
      </c>
      <c r="AX786" s="1" t="s">
        <v>8962</v>
      </c>
      <c r="AZ786" s="1">
        <v>1043</v>
      </c>
      <c r="BA786" s="1">
        <v>2012</v>
      </c>
      <c r="BE786" s="1">
        <v>0</v>
      </c>
      <c r="BF786" s="1">
        <v>1</v>
      </c>
      <c r="BG786" s="1">
        <v>0</v>
      </c>
      <c r="BL786" s="1">
        <v>0</v>
      </c>
      <c r="BM786" s="1" t="s">
        <v>413</v>
      </c>
      <c r="BN786" s="1" t="s">
        <v>213</v>
      </c>
      <c r="BO786" s="1">
        <v>0</v>
      </c>
      <c r="BP786" s="1" t="s">
        <v>204</v>
      </c>
      <c r="BR786" s="1" t="str">
        <f>"26173180490000"</f>
        <v>26173180490000</v>
      </c>
      <c r="BT786" s="1" t="s">
        <v>8963</v>
      </c>
      <c r="BX786" s="1">
        <v>299</v>
      </c>
      <c r="BY786" s="1">
        <v>299</v>
      </c>
      <c r="BZ786" s="1">
        <v>299</v>
      </c>
      <c r="CB786" s="1" t="str">
        <f>"0"</f>
        <v>0</v>
      </c>
      <c r="CC786" s="1" t="str">
        <f>"3500"</f>
        <v>3500</v>
      </c>
      <c r="CD786" s="1">
        <v>0</v>
      </c>
      <c r="CE786" s="1">
        <v>11243</v>
      </c>
      <c r="CG786" s="1" t="s">
        <v>437</v>
      </c>
      <c r="CH786" s="1" t="s">
        <v>219</v>
      </c>
      <c r="CI786" s="1" t="s">
        <v>438</v>
      </c>
      <c r="CK786" s="1" t="s">
        <v>465</v>
      </c>
      <c r="CL786" s="1" t="s">
        <v>277</v>
      </c>
      <c r="CM786" s="1" t="s">
        <v>438</v>
      </c>
      <c r="CO786" s="1" t="s">
        <v>5974</v>
      </c>
      <c r="CP786" s="1" t="s">
        <v>219</v>
      </c>
      <c r="CQ786" s="1" t="s">
        <v>438</v>
      </c>
      <c r="CS786" s="1" t="s">
        <v>346</v>
      </c>
      <c r="CT786" s="1" t="s">
        <v>277</v>
      </c>
      <c r="CU786" s="1" t="s">
        <v>438</v>
      </c>
      <c r="CX786" s="1" t="s">
        <v>224</v>
      </c>
      <c r="DB786" s="1" t="s">
        <v>224</v>
      </c>
      <c r="DE786" s="1" t="s">
        <v>380</v>
      </c>
      <c r="DF786" s="1" t="s">
        <v>219</v>
      </c>
      <c r="DG786" s="1" t="s">
        <v>342</v>
      </c>
      <c r="DI786" s="1" t="s">
        <v>378</v>
      </c>
      <c r="DJ786" s="1" t="s">
        <v>43</v>
      </c>
      <c r="DK786" s="1" t="s">
        <v>220</v>
      </c>
      <c r="DS786" s="1" t="s">
        <v>230</v>
      </c>
      <c r="DW786" s="1" t="s">
        <v>230</v>
      </c>
      <c r="EA786" s="1" t="s">
        <v>230</v>
      </c>
      <c r="EE786" s="1" t="s">
        <v>230</v>
      </c>
      <c r="EI786" s="1" t="s">
        <v>230</v>
      </c>
      <c r="EL786" s="1" t="s">
        <v>3717</v>
      </c>
      <c r="EM786" s="1" t="s">
        <v>730</v>
      </c>
      <c r="EN786" s="1" t="s">
        <v>282</v>
      </c>
      <c r="EO786" s="1" t="s">
        <v>234</v>
      </c>
      <c r="ER786" s="1" t="s">
        <v>544</v>
      </c>
      <c r="EV786" s="1" t="s">
        <v>324</v>
      </c>
      <c r="EW786" s="1" t="s">
        <v>210</v>
      </c>
      <c r="EZ786" s="1" t="s">
        <v>287</v>
      </c>
      <c r="FD786" s="1" t="s">
        <v>246</v>
      </c>
      <c r="FE786" s="1" t="s">
        <v>651</v>
      </c>
      <c r="FF786" s="1" t="s">
        <v>248</v>
      </c>
      <c r="FH786" s="1" t="s">
        <v>550</v>
      </c>
      <c r="FL786" s="1" t="s">
        <v>358</v>
      </c>
      <c r="FM786" s="1" t="s">
        <v>252</v>
      </c>
      <c r="FN786" s="1" t="s">
        <v>213</v>
      </c>
      <c r="FO786" s="1" t="s">
        <v>213</v>
      </c>
      <c r="FQ786" s="1" t="s">
        <v>689</v>
      </c>
      <c r="FR786" s="1" t="s">
        <v>210</v>
      </c>
      <c r="FS786" s="1" t="s">
        <v>653</v>
      </c>
      <c r="FT786" s="1" t="s">
        <v>295</v>
      </c>
      <c r="FU786" s="1" t="s">
        <v>204</v>
      </c>
      <c r="FW786" s="1" t="s">
        <v>655</v>
      </c>
      <c r="FX786" s="1">
        <v>10841</v>
      </c>
      <c r="FY786" s="1" t="s">
        <v>656</v>
      </c>
      <c r="FZ786" s="1" t="s">
        <v>657</v>
      </c>
      <c r="GA786" s="1">
        <v>109860</v>
      </c>
      <c r="GB786" s="1" t="s">
        <v>656</v>
      </c>
      <c r="GE786" s="1" t="s">
        <v>210</v>
      </c>
      <c r="GH786" s="1" t="s">
        <v>421</v>
      </c>
      <c r="GI786" s="1" t="s">
        <v>213</v>
      </c>
      <c r="GJ786" s="1" t="s">
        <v>260</v>
      </c>
      <c r="GK786" s="1" t="s">
        <v>210</v>
      </c>
      <c r="GL786" s="2">
        <v>42124</v>
      </c>
      <c r="GM786" s="1" t="s">
        <v>8964</v>
      </c>
    </row>
    <row r="787" spans="1:195">
      <c r="A787" s="1">
        <v>149000</v>
      </c>
      <c r="B787" s="1" t="s">
        <v>195</v>
      </c>
      <c r="C787" s="1" t="str">
        <f>"08817782"</f>
        <v>08817782</v>
      </c>
      <c r="D787" s="1" t="s">
        <v>196</v>
      </c>
      <c r="F787" s="1" t="str">
        <f>"540"</f>
        <v>540</v>
      </c>
      <c r="G787" s="2">
        <v>42020</v>
      </c>
      <c r="H787" s="1">
        <v>175000</v>
      </c>
      <c r="I787" s="1">
        <v>149000</v>
      </c>
      <c r="J787" s="1">
        <v>149000</v>
      </c>
      <c r="K787" s="2">
        <v>42020</v>
      </c>
      <c r="L787" s="1">
        <v>95</v>
      </c>
      <c r="M787" s="2">
        <v>42114</v>
      </c>
      <c r="N787" s="1">
        <v>95</v>
      </c>
      <c r="O787" s="2">
        <v>42114</v>
      </c>
      <c r="P787" s="1">
        <v>23265</v>
      </c>
      <c r="Q787" s="1" t="s">
        <v>197</v>
      </c>
      <c r="R787" s="2">
        <v>42144</v>
      </c>
      <c r="S787" s="1">
        <v>243286</v>
      </c>
      <c r="T787" s="1">
        <v>100</v>
      </c>
      <c r="U787" s="1">
        <v>2435</v>
      </c>
      <c r="V787" s="1" t="s">
        <v>4860</v>
      </c>
      <c r="W787" s="1" t="s">
        <v>264</v>
      </c>
      <c r="X787" s="1">
        <v>103</v>
      </c>
      <c r="Y787" s="1">
        <v>8</v>
      </c>
      <c r="Z787" s="1" t="s">
        <v>249</v>
      </c>
      <c r="AA787" s="1" t="s">
        <v>921</v>
      </c>
      <c r="AB787" s="1">
        <v>60564</v>
      </c>
      <c r="AD787" s="1" t="s">
        <v>2213</v>
      </c>
      <c r="AE787" s="1" t="s">
        <v>8965</v>
      </c>
      <c r="AF787" s="1">
        <v>2000</v>
      </c>
      <c r="AG787" s="1" t="s">
        <v>204</v>
      </c>
      <c r="AH787" s="1" t="s">
        <v>924</v>
      </c>
      <c r="AI787" s="1" t="s">
        <v>1800</v>
      </c>
      <c r="AJ787" s="1" t="s">
        <v>1801</v>
      </c>
      <c r="AL787" s="1">
        <v>5</v>
      </c>
      <c r="AM787" s="1">
        <v>2</v>
      </c>
      <c r="AN787" s="1">
        <v>2</v>
      </c>
      <c r="AO787" s="1">
        <v>0</v>
      </c>
      <c r="AP787" s="1" t="s">
        <v>209</v>
      </c>
      <c r="AR787" s="1" t="s">
        <v>210</v>
      </c>
      <c r="AS787" s="1" t="s">
        <v>204</v>
      </c>
      <c r="AT787" s="1" t="s">
        <v>211</v>
      </c>
      <c r="AU787" s="1">
        <v>1</v>
      </c>
      <c r="AW787" s="1" t="s">
        <v>204</v>
      </c>
      <c r="AX787" s="1" t="s">
        <v>212</v>
      </c>
      <c r="AZ787" s="1">
        <v>3197</v>
      </c>
      <c r="BA787" s="1">
        <v>2012</v>
      </c>
      <c r="BB787" s="1" t="s">
        <v>210</v>
      </c>
      <c r="BE787" s="1">
        <v>1101</v>
      </c>
      <c r="BF787" s="1">
        <v>1</v>
      </c>
      <c r="BG787" s="1">
        <v>0</v>
      </c>
      <c r="BL787" s="1">
        <v>220</v>
      </c>
      <c r="BM787" s="1" t="s">
        <v>204</v>
      </c>
      <c r="BN787" s="1" t="s">
        <v>213</v>
      </c>
      <c r="BO787" s="1">
        <v>100</v>
      </c>
      <c r="BP787" s="1" t="s">
        <v>204</v>
      </c>
      <c r="BR787" s="1" t="str">
        <f>"01031020431003"</f>
        <v>01031020431003</v>
      </c>
      <c r="BT787" s="1" t="s">
        <v>8966</v>
      </c>
      <c r="BU787" s="1" t="s">
        <v>2216</v>
      </c>
      <c r="BV787" s="1" t="s">
        <v>2217</v>
      </c>
      <c r="BW787" s="1" t="s">
        <v>2218</v>
      </c>
      <c r="BX787" s="1">
        <v>204</v>
      </c>
      <c r="BY787" s="1">
        <v>204</v>
      </c>
      <c r="BZ787" s="1">
        <v>204</v>
      </c>
      <c r="CB787" s="1" t="str">
        <f t="shared" ref="CB787:CC787" si="616">""</f>
        <v/>
      </c>
      <c r="CC787" s="1" t="str">
        <f t="shared" si="616"/>
        <v/>
      </c>
      <c r="CG787" s="1" t="s">
        <v>5801</v>
      </c>
      <c r="CH787" s="1" t="s">
        <v>219</v>
      </c>
      <c r="CI787" s="1" t="s">
        <v>229</v>
      </c>
      <c r="CK787" s="1" t="s">
        <v>437</v>
      </c>
      <c r="CL787" s="1" t="s">
        <v>219</v>
      </c>
      <c r="CM787" s="1" t="s">
        <v>220</v>
      </c>
      <c r="CO787" s="1" t="s">
        <v>629</v>
      </c>
      <c r="CP787" s="1" t="s">
        <v>219</v>
      </c>
      <c r="CQ787" s="1" t="s">
        <v>229</v>
      </c>
      <c r="CS787" s="1" t="s">
        <v>318</v>
      </c>
      <c r="CT787" s="1" t="s">
        <v>219</v>
      </c>
      <c r="CU787" s="1" t="s">
        <v>220</v>
      </c>
      <c r="CX787" s="1" t="s">
        <v>224</v>
      </c>
      <c r="DB787" s="1" t="s">
        <v>224</v>
      </c>
      <c r="DE787" s="1" t="s">
        <v>1358</v>
      </c>
      <c r="DF787" s="1" t="s">
        <v>219</v>
      </c>
      <c r="DG787" s="1" t="s">
        <v>226</v>
      </c>
      <c r="DJ787" s="1" t="s">
        <v>224</v>
      </c>
      <c r="DS787" s="1" t="s">
        <v>230</v>
      </c>
      <c r="DW787" s="1" t="s">
        <v>230</v>
      </c>
      <c r="EA787" s="1" t="s">
        <v>230</v>
      </c>
      <c r="EE787" s="1" t="s">
        <v>230</v>
      </c>
      <c r="EI787" s="1" t="s">
        <v>230</v>
      </c>
      <c r="EL787" s="1" t="s">
        <v>466</v>
      </c>
      <c r="EM787" s="1" t="s">
        <v>319</v>
      </c>
      <c r="EN787" s="1" t="s">
        <v>282</v>
      </c>
      <c r="EO787" s="1" t="s">
        <v>234</v>
      </c>
      <c r="ER787" s="1" t="s">
        <v>210</v>
      </c>
      <c r="EW787" s="1" t="s">
        <v>887</v>
      </c>
      <c r="EZ787" s="1" t="s">
        <v>287</v>
      </c>
      <c r="FD787" s="1" t="s">
        <v>246</v>
      </c>
      <c r="FE787" s="1" t="s">
        <v>472</v>
      </c>
      <c r="FF787" s="1" t="s">
        <v>387</v>
      </c>
      <c r="FH787" s="1" t="s">
        <v>249</v>
      </c>
      <c r="FL787" s="1" t="s">
        <v>414</v>
      </c>
      <c r="FM787" s="1" t="s">
        <v>252</v>
      </c>
      <c r="FN787" s="1" t="s">
        <v>213</v>
      </c>
      <c r="FO787" s="1" t="s">
        <v>213</v>
      </c>
      <c r="FQ787" s="1" t="s">
        <v>6124</v>
      </c>
      <c r="FR787" s="1" t="s">
        <v>652</v>
      </c>
      <c r="FS787" s="1" t="s">
        <v>2902</v>
      </c>
      <c r="FT787" s="1" t="s">
        <v>8967</v>
      </c>
      <c r="FU787" s="1" t="s">
        <v>213</v>
      </c>
      <c r="FW787" s="1" t="s">
        <v>3546</v>
      </c>
      <c r="FX787" s="1">
        <v>24695</v>
      </c>
      <c r="FY787" s="1" t="s">
        <v>3547</v>
      </c>
      <c r="FZ787" s="1" t="s">
        <v>8968</v>
      </c>
      <c r="GA787" s="1">
        <v>228623</v>
      </c>
      <c r="GB787" s="1" t="s">
        <v>8969</v>
      </c>
      <c r="GE787" s="1" t="s">
        <v>210</v>
      </c>
      <c r="GI787" s="1" t="s">
        <v>213</v>
      </c>
      <c r="GJ787" s="1" t="s">
        <v>260</v>
      </c>
      <c r="GK787" s="1" t="s">
        <v>210</v>
      </c>
      <c r="GL787" s="2">
        <v>42146</v>
      </c>
      <c r="GM787" s="1" t="s">
        <v>8970</v>
      </c>
    </row>
    <row r="788" spans="1:195">
      <c r="A788" s="1">
        <v>163000</v>
      </c>
      <c r="B788" s="1" t="s">
        <v>195</v>
      </c>
      <c r="C788" s="1" t="str">
        <f>"08813330"</f>
        <v>08813330</v>
      </c>
      <c r="D788" s="1" t="s">
        <v>196</v>
      </c>
      <c r="F788" s="1" t="str">
        <f>"10"</f>
        <v>10</v>
      </c>
      <c r="G788" s="2">
        <v>42013</v>
      </c>
      <c r="H788" s="1">
        <v>138000</v>
      </c>
      <c r="I788" s="1">
        <v>138000</v>
      </c>
      <c r="J788" s="1">
        <v>163000</v>
      </c>
      <c r="K788" s="2">
        <v>42013</v>
      </c>
      <c r="L788" s="1">
        <v>15</v>
      </c>
      <c r="M788" s="2">
        <v>42027</v>
      </c>
      <c r="N788" s="1">
        <v>15</v>
      </c>
      <c r="O788" s="2">
        <v>42027</v>
      </c>
      <c r="P788" s="1">
        <v>6026</v>
      </c>
      <c r="Q788" s="1" t="s">
        <v>302</v>
      </c>
      <c r="R788" s="2">
        <v>42083</v>
      </c>
      <c r="S788" s="1">
        <v>61154</v>
      </c>
      <c r="U788" s="1">
        <v>57</v>
      </c>
      <c r="V788" s="1" t="s">
        <v>8971</v>
      </c>
      <c r="W788" s="1" t="s">
        <v>526</v>
      </c>
      <c r="X788" s="1">
        <v>246</v>
      </c>
      <c r="Y788" s="1">
        <v>4</v>
      </c>
      <c r="Z788" s="1" t="s">
        <v>370</v>
      </c>
      <c r="AA788" s="1" t="s">
        <v>1985</v>
      </c>
      <c r="AB788" s="1">
        <v>60010</v>
      </c>
      <c r="AD788" s="1" t="s">
        <v>1986</v>
      </c>
      <c r="AE788" s="1" t="s">
        <v>8972</v>
      </c>
      <c r="AF788" s="1">
        <v>1977</v>
      </c>
      <c r="AG788" s="1" t="s">
        <v>213</v>
      </c>
      <c r="AH788" s="1" t="s">
        <v>1988</v>
      </c>
      <c r="AI788" s="1" t="s">
        <v>509</v>
      </c>
      <c r="AJ788" s="1" t="s">
        <v>1989</v>
      </c>
      <c r="AK788" s="1" t="s">
        <v>8973</v>
      </c>
      <c r="AL788" s="1">
        <v>6</v>
      </c>
      <c r="AM788" s="1">
        <v>2</v>
      </c>
      <c r="AN788" s="1">
        <v>2</v>
      </c>
      <c r="AO788" s="1">
        <v>1</v>
      </c>
      <c r="AP788" s="1" t="s">
        <v>209</v>
      </c>
      <c r="AQ788" s="1">
        <v>2</v>
      </c>
      <c r="AR788" s="1" t="s">
        <v>1483</v>
      </c>
      <c r="AS788" s="1" t="s">
        <v>213</v>
      </c>
      <c r="AT788" s="1" t="s">
        <v>211</v>
      </c>
      <c r="AU788" s="1">
        <v>2</v>
      </c>
      <c r="AW788" s="1" t="s">
        <v>204</v>
      </c>
      <c r="AX788" s="1" t="s">
        <v>212</v>
      </c>
      <c r="AZ788" s="1">
        <v>6088.12</v>
      </c>
      <c r="BA788" s="1">
        <v>2013</v>
      </c>
      <c r="BE788" s="1">
        <v>1571</v>
      </c>
      <c r="BF788" s="1">
        <v>1</v>
      </c>
      <c r="BG788" s="1">
        <v>30</v>
      </c>
      <c r="BL788" s="1">
        <v>549</v>
      </c>
      <c r="BM788" s="1" t="s">
        <v>213</v>
      </c>
      <c r="BN788" s="1" t="s">
        <v>213</v>
      </c>
      <c r="BO788" s="1" t="s">
        <v>432</v>
      </c>
      <c r="BP788" s="1" t="s">
        <v>204</v>
      </c>
      <c r="BR788" s="1" t="str">
        <f>"13112001300000"</f>
        <v>13112001300000</v>
      </c>
      <c r="BT788" s="1" t="s">
        <v>8974</v>
      </c>
      <c r="BU788" s="1" t="s">
        <v>1992</v>
      </c>
      <c r="BV788" s="1" t="s">
        <v>1993</v>
      </c>
      <c r="BW788" s="1" t="s">
        <v>1994</v>
      </c>
      <c r="BX788" s="1">
        <v>220</v>
      </c>
      <c r="BY788" s="1">
        <v>220</v>
      </c>
      <c r="BZ788" s="1">
        <v>220</v>
      </c>
      <c r="CB788" s="1" t="str">
        <f>"24"</f>
        <v>24</v>
      </c>
      <c r="CC788" s="1" t="str">
        <f>"0"</f>
        <v>0</v>
      </c>
      <c r="CD788" s="1">
        <v>26</v>
      </c>
      <c r="CE788" s="1">
        <v>0</v>
      </c>
      <c r="CG788" s="1" t="s">
        <v>5267</v>
      </c>
      <c r="CH788" s="1" t="s">
        <v>219</v>
      </c>
      <c r="CK788" s="1" t="s">
        <v>8089</v>
      </c>
      <c r="CL788" s="1" t="s">
        <v>219</v>
      </c>
      <c r="CO788" s="1" t="s">
        <v>408</v>
      </c>
      <c r="CP788" s="1" t="s">
        <v>219</v>
      </c>
      <c r="CS788" s="1" t="s">
        <v>757</v>
      </c>
      <c r="CT788" s="1" t="s">
        <v>219</v>
      </c>
      <c r="CX788" s="1" t="s">
        <v>224</v>
      </c>
      <c r="DB788" s="1" t="s">
        <v>224</v>
      </c>
      <c r="DE788" s="1" t="s">
        <v>1358</v>
      </c>
      <c r="DF788" s="1" t="s">
        <v>219</v>
      </c>
      <c r="DJ788" s="1" t="s">
        <v>224</v>
      </c>
      <c r="DM788" s="1" t="s">
        <v>1005</v>
      </c>
      <c r="DR788" s="1" t="s">
        <v>1046</v>
      </c>
      <c r="DS788" s="1" t="s">
        <v>219</v>
      </c>
      <c r="DW788" s="1" t="s">
        <v>230</v>
      </c>
      <c r="EA788" s="1" t="s">
        <v>230</v>
      </c>
      <c r="EE788" s="1" t="s">
        <v>230</v>
      </c>
      <c r="EI788" s="1" t="s">
        <v>230</v>
      </c>
      <c r="EL788" s="1" t="s">
        <v>231</v>
      </c>
      <c r="EM788" s="1" t="s">
        <v>761</v>
      </c>
      <c r="EN788" s="1" t="s">
        <v>282</v>
      </c>
      <c r="EO788" s="1" t="s">
        <v>234</v>
      </c>
      <c r="EP788" s="1" t="s">
        <v>8975</v>
      </c>
      <c r="ER788" s="1" t="s">
        <v>544</v>
      </c>
      <c r="ES788" s="1" t="s">
        <v>824</v>
      </c>
      <c r="EV788" s="1" t="s">
        <v>240</v>
      </c>
      <c r="EW788" s="1" t="s">
        <v>8976</v>
      </c>
      <c r="EY788" s="1" t="s">
        <v>2455</v>
      </c>
      <c r="EZ788" s="1" t="s">
        <v>1005</v>
      </c>
      <c r="FB788" s="1" t="s">
        <v>244</v>
      </c>
      <c r="FD788" s="1" t="s">
        <v>495</v>
      </c>
      <c r="FE788" s="1" t="s">
        <v>889</v>
      </c>
      <c r="FF788" s="1" t="s">
        <v>248</v>
      </c>
      <c r="FH788" s="1" t="s">
        <v>3013</v>
      </c>
      <c r="FL788" s="1" t="s">
        <v>292</v>
      </c>
      <c r="FM788" s="1" t="s">
        <v>252</v>
      </c>
      <c r="FN788" s="1" t="s">
        <v>213</v>
      </c>
      <c r="FO788" s="1" t="s">
        <v>213</v>
      </c>
      <c r="FQ788" s="1" t="s">
        <v>673</v>
      </c>
      <c r="FR788" s="1" t="s">
        <v>210</v>
      </c>
      <c r="FS788" s="1" t="s">
        <v>8977</v>
      </c>
      <c r="FT788" s="1" t="s">
        <v>295</v>
      </c>
      <c r="FU788" s="1" t="s">
        <v>204</v>
      </c>
      <c r="FW788" s="1" t="s">
        <v>1637</v>
      </c>
      <c r="FX788" s="1">
        <v>8055</v>
      </c>
      <c r="FY788" s="1" t="s">
        <v>1728</v>
      </c>
      <c r="FZ788" s="1" t="s">
        <v>2311</v>
      </c>
      <c r="GA788" s="1">
        <v>82542</v>
      </c>
      <c r="GB788" s="1" t="s">
        <v>2312</v>
      </c>
      <c r="GE788" s="1" t="s">
        <v>480</v>
      </c>
      <c r="GI788" s="1" t="s">
        <v>213</v>
      </c>
      <c r="GJ788" s="1" t="s">
        <v>260</v>
      </c>
      <c r="GK788" s="1" t="s">
        <v>210</v>
      </c>
      <c r="GL788" s="2">
        <v>42095</v>
      </c>
      <c r="GM788" s="1" t="s">
        <v>8978</v>
      </c>
    </row>
    <row r="789" spans="1:195">
      <c r="A789" s="1">
        <v>43144</v>
      </c>
      <c r="B789" s="1" t="s">
        <v>195</v>
      </c>
      <c r="C789" s="1" t="str">
        <f>"08815864"</f>
        <v>08815864</v>
      </c>
      <c r="D789" s="1" t="s">
        <v>196</v>
      </c>
      <c r="F789" s="1" t="str">
        <f>"101"</f>
        <v>101</v>
      </c>
      <c r="G789" s="2">
        <v>42018</v>
      </c>
      <c r="H789" s="1">
        <v>53000</v>
      </c>
      <c r="I789" s="1">
        <v>48800</v>
      </c>
      <c r="J789" s="1">
        <v>43144</v>
      </c>
      <c r="K789" s="2">
        <v>42018</v>
      </c>
      <c r="L789" s="1">
        <v>69</v>
      </c>
      <c r="M789" s="2">
        <v>42086</v>
      </c>
      <c r="N789" s="1">
        <v>69</v>
      </c>
      <c r="O789" s="2">
        <v>42086</v>
      </c>
      <c r="P789" s="1">
        <v>24042</v>
      </c>
      <c r="Q789" s="1" t="s">
        <v>302</v>
      </c>
      <c r="R789" s="2">
        <v>42096</v>
      </c>
      <c r="S789" s="1">
        <v>235514</v>
      </c>
      <c r="U789" s="1">
        <v>120</v>
      </c>
      <c r="V789" s="1" t="s">
        <v>8979</v>
      </c>
      <c r="W789" s="1" t="s">
        <v>425</v>
      </c>
      <c r="X789" s="1" t="s">
        <v>8124</v>
      </c>
      <c r="Y789" s="1">
        <v>12</v>
      </c>
      <c r="Z789" s="1" t="s">
        <v>249</v>
      </c>
      <c r="AA789" s="1" t="s">
        <v>2631</v>
      </c>
      <c r="AB789" s="1">
        <v>60101</v>
      </c>
      <c r="AE789" s="1" t="s">
        <v>8980</v>
      </c>
      <c r="AF789" s="1">
        <v>1976</v>
      </c>
      <c r="AG789" s="1" t="s">
        <v>213</v>
      </c>
      <c r="AH789" s="1" t="s">
        <v>1233</v>
      </c>
      <c r="AI789" s="1" t="s">
        <v>206</v>
      </c>
      <c r="AJ789" s="1" t="s">
        <v>1233</v>
      </c>
      <c r="AL789" s="1">
        <v>5</v>
      </c>
      <c r="AM789" s="1">
        <v>2</v>
      </c>
      <c r="AN789" s="1">
        <v>1</v>
      </c>
      <c r="AO789" s="1">
        <v>0</v>
      </c>
      <c r="AP789" s="1" t="s">
        <v>210</v>
      </c>
      <c r="AR789" s="1" t="s">
        <v>210</v>
      </c>
      <c r="AS789" s="1" t="s">
        <v>204</v>
      </c>
      <c r="AT789" s="1" t="s">
        <v>210</v>
      </c>
      <c r="AW789" s="1" t="s">
        <v>204</v>
      </c>
      <c r="AX789" s="1" t="s">
        <v>212</v>
      </c>
      <c r="AZ789" s="1">
        <v>1455</v>
      </c>
      <c r="BA789" s="1">
        <v>2013</v>
      </c>
      <c r="BE789" s="1">
        <v>826</v>
      </c>
      <c r="BF789" s="1">
        <v>1</v>
      </c>
      <c r="BG789" s="1">
        <v>0</v>
      </c>
      <c r="BL789" s="1">
        <v>345</v>
      </c>
      <c r="BM789" s="1" t="s">
        <v>413</v>
      </c>
      <c r="BN789" s="1" t="s">
        <v>204</v>
      </c>
      <c r="BP789" s="1" t="s">
        <v>204</v>
      </c>
      <c r="BR789" s="1" t="str">
        <f>"0329423002"</f>
        <v>0329423002</v>
      </c>
      <c r="BT789" s="1" t="s">
        <v>3770</v>
      </c>
      <c r="BX789" s="1">
        <v>4</v>
      </c>
      <c r="BY789" s="1">
        <v>4</v>
      </c>
      <c r="BZ789" s="1">
        <v>88</v>
      </c>
      <c r="CB789" s="1" t="str">
        <f>"9"</f>
        <v>9</v>
      </c>
      <c r="CC789" s="1" t="str">
        <f>""</f>
        <v/>
      </c>
      <c r="CD789" s="1">
        <v>19</v>
      </c>
      <c r="CG789" s="1" t="s">
        <v>3656</v>
      </c>
      <c r="CH789" s="1" t="s">
        <v>219</v>
      </c>
      <c r="CK789" s="1" t="s">
        <v>757</v>
      </c>
      <c r="CL789" s="1" t="s">
        <v>219</v>
      </c>
      <c r="CP789" s="1" t="s">
        <v>224</v>
      </c>
      <c r="CS789" s="1" t="s">
        <v>437</v>
      </c>
      <c r="CT789" s="1" t="s">
        <v>219</v>
      </c>
      <c r="CX789" s="1" t="s">
        <v>224</v>
      </c>
      <c r="DB789" s="1" t="s">
        <v>224</v>
      </c>
      <c r="DE789" s="1" t="s">
        <v>318</v>
      </c>
      <c r="DF789" s="1" t="s">
        <v>219</v>
      </c>
      <c r="DI789" s="1" t="s">
        <v>3656</v>
      </c>
      <c r="DJ789" s="1" t="s">
        <v>219</v>
      </c>
      <c r="DS789" s="1" t="s">
        <v>230</v>
      </c>
      <c r="DW789" s="1" t="s">
        <v>230</v>
      </c>
      <c r="EA789" s="1" t="s">
        <v>230</v>
      </c>
      <c r="EE789" s="1" t="s">
        <v>230</v>
      </c>
      <c r="EI789" s="1" t="s">
        <v>230</v>
      </c>
      <c r="EL789" s="1" t="s">
        <v>231</v>
      </c>
      <c r="EM789" s="1" t="s">
        <v>730</v>
      </c>
      <c r="EN789" s="1" t="s">
        <v>282</v>
      </c>
      <c r="EO789" s="1" t="s">
        <v>234</v>
      </c>
      <c r="ER789" s="1" t="s">
        <v>210</v>
      </c>
      <c r="EW789" s="1" t="s">
        <v>347</v>
      </c>
      <c r="EZ789" s="1" t="s">
        <v>287</v>
      </c>
      <c r="FD789" s="1" t="s">
        <v>1112</v>
      </c>
      <c r="FE789" s="1" t="s">
        <v>247</v>
      </c>
      <c r="FF789" s="1" t="s">
        <v>248</v>
      </c>
      <c r="FH789" s="1" t="s">
        <v>249</v>
      </c>
      <c r="FJ789" s="1" t="s">
        <v>1472</v>
      </c>
      <c r="FL789" s="1" t="s">
        <v>5090</v>
      </c>
      <c r="FM789" s="1" t="s">
        <v>252</v>
      </c>
      <c r="FN789" s="1" t="s">
        <v>213</v>
      </c>
      <c r="FO789" s="1" t="s">
        <v>213</v>
      </c>
      <c r="FQ789" s="1" t="s">
        <v>582</v>
      </c>
      <c r="FR789" s="1" t="s">
        <v>210</v>
      </c>
      <c r="FS789" s="1" t="s">
        <v>3772</v>
      </c>
      <c r="FT789" s="1" t="s">
        <v>8607</v>
      </c>
      <c r="FU789" s="1" t="s">
        <v>204</v>
      </c>
      <c r="FW789" s="1" t="s">
        <v>3774</v>
      </c>
      <c r="FX789" s="1">
        <v>1984</v>
      </c>
      <c r="FY789" s="1" t="s">
        <v>3775</v>
      </c>
      <c r="FZ789" s="1" t="s">
        <v>3776</v>
      </c>
      <c r="GA789" s="1">
        <v>922950</v>
      </c>
      <c r="GE789" s="1" t="s">
        <v>210</v>
      </c>
      <c r="GH789" s="1" t="s">
        <v>421</v>
      </c>
      <c r="GI789" s="1" t="s">
        <v>204</v>
      </c>
      <c r="GJ789" s="1" t="s">
        <v>260</v>
      </c>
      <c r="GK789" s="1" t="s">
        <v>210</v>
      </c>
      <c r="GL789" s="2">
        <v>42097</v>
      </c>
      <c r="GM789" s="1" t="s">
        <v>6038</v>
      </c>
    </row>
    <row r="790" spans="1:195">
      <c r="A790" s="1">
        <v>117000</v>
      </c>
      <c r="B790" s="1" t="s">
        <v>195</v>
      </c>
      <c r="C790" s="1" t="str">
        <f>"08814616"</f>
        <v>08814616</v>
      </c>
      <c r="D790" s="1" t="s">
        <v>196</v>
      </c>
      <c r="F790" s="1" t="str">
        <f>"110"</f>
        <v>110</v>
      </c>
      <c r="G790" s="2">
        <v>42016</v>
      </c>
      <c r="H790" s="1">
        <v>124900</v>
      </c>
      <c r="I790" s="1">
        <v>124400</v>
      </c>
      <c r="J790" s="1">
        <v>117000</v>
      </c>
      <c r="K790" s="2">
        <v>42015</v>
      </c>
      <c r="L790" s="1">
        <v>53</v>
      </c>
      <c r="M790" s="2">
        <v>42067</v>
      </c>
      <c r="N790" s="1">
        <v>53</v>
      </c>
      <c r="O790" s="2">
        <v>42067</v>
      </c>
      <c r="P790" s="1">
        <v>7661</v>
      </c>
      <c r="Q790" s="1" t="s">
        <v>423</v>
      </c>
      <c r="R790" s="2">
        <v>42096</v>
      </c>
      <c r="S790" s="1">
        <v>7909</v>
      </c>
      <c r="U790" s="1">
        <v>2334</v>
      </c>
      <c r="V790" s="1" t="s">
        <v>8981</v>
      </c>
      <c r="W790" s="1" t="s">
        <v>504</v>
      </c>
      <c r="X790" s="1">
        <v>2334</v>
      </c>
      <c r="Y790" s="1">
        <v>6</v>
      </c>
      <c r="Z790" s="1" t="s">
        <v>200</v>
      </c>
      <c r="AA790" s="1" t="s">
        <v>803</v>
      </c>
      <c r="AB790" s="1">
        <v>60110</v>
      </c>
      <c r="AD790" s="1" t="s">
        <v>8982</v>
      </c>
      <c r="AE790" s="1" t="s">
        <v>8983</v>
      </c>
      <c r="AF790" s="1">
        <v>2003</v>
      </c>
      <c r="AG790" s="1" t="s">
        <v>204</v>
      </c>
      <c r="AH790" s="1" t="s">
        <v>2557</v>
      </c>
      <c r="AI790" s="1" t="s">
        <v>665</v>
      </c>
      <c r="AJ790" s="1" t="s">
        <v>805</v>
      </c>
      <c r="AK790" s="1" t="s">
        <v>6269</v>
      </c>
      <c r="AL790" s="1">
        <v>5</v>
      </c>
      <c r="AM790" s="1">
        <v>2</v>
      </c>
      <c r="AN790" s="1">
        <v>1</v>
      </c>
      <c r="AO790" s="1">
        <v>1</v>
      </c>
      <c r="AP790" s="1" t="s">
        <v>210</v>
      </c>
      <c r="AQ790" s="1">
        <v>0</v>
      </c>
      <c r="AR790" s="1" t="s">
        <v>210</v>
      </c>
      <c r="AS790" s="1" t="s">
        <v>204</v>
      </c>
      <c r="AT790" s="1" t="s">
        <v>211</v>
      </c>
      <c r="AU790" s="1">
        <v>1</v>
      </c>
      <c r="AW790" s="1" t="s">
        <v>204</v>
      </c>
      <c r="AX790" s="1" t="s">
        <v>212</v>
      </c>
      <c r="AZ790" s="1">
        <v>2627.3</v>
      </c>
      <c r="BA790" s="1">
        <v>2013</v>
      </c>
      <c r="BC790" s="1">
        <v>0</v>
      </c>
      <c r="BE790" s="1">
        <v>1148</v>
      </c>
      <c r="BF790" s="1">
        <v>1</v>
      </c>
      <c r="BG790" s="1">
        <v>1</v>
      </c>
      <c r="BL790" s="1">
        <v>104</v>
      </c>
      <c r="BM790" s="1" t="s">
        <v>204</v>
      </c>
      <c r="BN790" s="1" t="s">
        <v>213</v>
      </c>
      <c r="BO790" s="1">
        <v>999</v>
      </c>
      <c r="BP790" s="1" t="s">
        <v>204</v>
      </c>
      <c r="BR790" s="1" t="str">
        <f>"0302428014"</f>
        <v>0302428014</v>
      </c>
      <c r="BT790" s="1" t="s">
        <v>8984</v>
      </c>
      <c r="BU790" s="1" t="s">
        <v>8985</v>
      </c>
      <c r="BV790" s="1" t="s">
        <v>8986</v>
      </c>
      <c r="BW790" s="1" t="s">
        <v>809</v>
      </c>
      <c r="BX790" s="1">
        <v>300</v>
      </c>
      <c r="BY790" s="1">
        <v>300</v>
      </c>
      <c r="BZ790" s="1">
        <v>300</v>
      </c>
      <c r="CB790" s="1" t="str">
        <f>"19"</f>
        <v>19</v>
      </c>
      <c r="CC790" s="1" t="str">
        <f>"0"</f>
        <v>0</v>
      </c>
      <c r="CD790" s="1">
        <v>33</v>
      </c>
      <c r="CE790" s="1">
        <v>0</v>
      </c>
      <c r="CG790" s="1" t="s">
        <v>1045</v>
      </c>
      <c r="CH790" s="1" t="s">
        <v>219</v>
      </c>
      <c r="CI790" s="1" t="s">
        <v>220</v>
      </c>
      <c r="CJ790" s="1" t="s">
        <v>210</v>
      </c>
      <c r="CK790" s="1" t="s">
        <v>437</v>
      </c>
      <c r="CL790" s="1" t="s">
        <v>277</v>
      </c>
      <c r="CM790" s="1" t="s">
        <v>220</v>
      </c>
      <c r="CN790" s="1" t="s">
        <v>210</v>
      </c>
      <c r="CP790" s="1" t="s">
        <v>224</v>
      </c>
      <c r="CS790" s="1" t="s">
        <v>346</v>
      </c>
      <c r="CT790" s="1" t="s">
        <v>277</v>
      </c>
      <c r="CU790" s="1" t="s">
        <v>220</v>
      </c>
      <c r="CV790" s="1" t="s">
        <v>210</v>
      </c>
      <c r="CX790" s="1" t="s">
        <v>224</v>
      </c>
      <c r="DB790" s="1" t="s">
        <v>224</v>
      </c>
      <c r="DE790" s="1" t="s">
        <v>281</v>
      </c>
      <c r="DF790" s="1" t="s">
        <v>219</v>
      </c>
      <c r="DG790" s="1" t="s">
        <v>342</v>
      </c>
      <c r="DH790" s="1" t="s">
        <v>210</v>
      </c>
      <c r="DJ790" s="1" t="s">
        <v>224</v>
      </c>
      <c r="DM790" s="1" t="s">
        <v>464</v>
      </c>
      <c r="DR790" s="1" t="s">
        <v>1571</v>
      </c>
      <c r="DS790" s="1" t="s">
        <v>277</v>
      </c>
      <c r="DT790" s="1" t="s">
        <v>220</v>
      </c>
      <c r="DU790" s="1" t="s">
        <v>210</v>
      </c>
      <c r="DW790" s="1" t="s">
        <v>230</v>
      </c>
      <c r="EA790" s="1" t="s">
        <v>230</v>
      </c>
      <c r="EE790" s="1" t="s">
        <v>230</v>
      </c>
      <c r="EI790" s="1" t="s">
        <v>230</v>
      </c>
      <c r="EL790" s="1" t="s">
        <v>466</v>
      </c>
      <c r="EM790" s="1" t="s">
        <v>319</v>
      </c>
      <c r="EN790" s="1" t="s">
        <v>282</v>
      </c>
      <c r="EO790" s="1" t="s">
        <v>234</v>
      </c>
      <c r="EP790" s="1" t="s">
        <v>8987</v>
      </c>
      <c r="EQ790" s="1" t="s">
        <v>8369</v>
      </c>
      <c r="ER790" s="1" t="s">
        <v>383</v>
      </c>
      <c r="ES790" s="1" t="s">
        <v>322</v>
      </c>
      <c r="EU790" s="1" t="s">
        <v>610</v>
      </c>
      <c r="EW790" s="1" t="s">
        <v>911</v>
      </c>
      <c r="EZ790" s="1" t="s">
        <v>464</v>
      </c>
      <c r="FA790" s="1" t="s">
        <v>8988</v>
      </c>
      <c r="FC790" s="1" t="s">
        <v>548</v>
      </c>
      <c r="FD790" s="1" t="s">
        <v>246</v>
      </c>
      <c r="FE790" s="1" t="s">
        <v>566</v>
      </c>
      <c r="FF790" s="1" t="s">
        <v>248</v>
      </c>
      <c r="FH790" s="1" t="s">
        <v>249</v>
      </c>
      <c r="FL790" s="1" t="s">
        <v>358</v>
      </c>
      <c r="FM790" s="1" t="s">
        <v>252</v>
      </c>
      <c r="FN790" s="1" t="s">
        <v>213</v>
      </c>
      <c r="FO790" s="1" t="s">
        <v>204</v>
      </c>
      <c r="FQ790" s="1" t="s">
        <v>8989</v>
      </c>
      <c r="FR790" s="1" t="s">
        <v>210</v>
      </c>
      <c r="FS790" s="1" t="s">
        <v>4582</v>
      </c>
      <c r="FT790" s="1" t="s">
        <v>295</v>
      </c>
      <c r="FU790" s="1" t="s">
        <v>204</v>
      </c>
      <c r="FW790" s="1" t="s">
        <v>8990</v>
      </c>
      <c r="FX790" s="1">
        <v>327</v>
      </c>
      <c r="FY790" s="1" t="s">
        <v>8991</v>
      </c>
      <c r="FZ790" s="1" t="s">
        <v>8992</v>
      </c>
      <c r="GA790" s="1">
        <v>8649</v>
      </c>
      <c r="GB790" s="1" t="s">
        <v>8993</v>
      </c>
      <c r="GC790" s="1">
        <v>26352</v>
      </c>
      <c r="GE790" s="1" t="s">
        <v>210</v>
      </c>
      <c r="GI790" s="1" t="s">
        <v>213</v>
      </c>
      <c r="GJ790" s="1" t="s">
        <v>260</v>
      </c>
      <c r="GK790" s="1" t="s">
        <v>210</v>
      </c>
      <c r="GL790" s="2">
        <v>42096</v>
      </c>
      <c r="GM790" s="1" t="s">
        <v>8994</v>
      </c>
    </row>
    <row r="791" spans="1:195">
      <c r="A791" s="1">
        <v>96000</v>
      </c>
      <c r="B791" s="1" t="s">
        <v>195</v>
      </c>
      <c r="C791" s="1" t="str">
        <f>"08817576"</f>
        <v>08817576</v>
      </c>
      <c r="D791" s="1" t="s">
        <v>196</v>
      </c>
      <c r="F791" s="1" t="str">
        <f>"123"</f>
        <v>123</v>
      </c>
      <c r="G791" s="2">
        <v>42020</v>
      </c>
      <c r="H791" s="1">
        <v>105000</v>
      </c>
      <c r="I791" s="1">
        <v>105000</v>
      </c>
      <c r="J791" s="1">
        <v>96000</v>
      </c>
      <c r="K791" s="2">
        <v>42020</v>
      </c>
      <c r="L791" s="1">
        <v>62</v>
      </c>
      <c r="M791" s="2">
        <v>42081</v>
      </c>
      <c r="N791" s="1">
        <v>62</v>
      </c>
      <c r="O791" s="2">
        <v>42081</v>
      </c>
      <c r="P791" s="1">
        <v>10272</v>
      </c>
      <c r="Q791" s="1" t="s">
        <v>302</v>
      </c>
      <c r="R791" s="2">
        <v>42102</v>
      </c>
      <c r="S791" s="1">
        <v>174535</v>
      </c>
      <c r="U791" s="1">
        <v>377</v>
      </c>
      <c r="V791" s="1" t="s">
        <v>8269</v>
      </c>
      <c r="W791" s="1" t="s">
        <v>449</v>
      </c>
      <c r="X791" s="1" t="s">
        <v>527</v>
      </c>
      <c r="Y791" s="1">
        <v>4</v>
      </c>
      <c r="Z791" s="1" t="s">
        <v>249</v>
      </c>
      <c r="AA791" s="1" t="s">
        <v>1173</v>
      </c>
      <c r="AB791" s="1">
        <v>60120</v>
      </c>
      <c r="AD791" s="1" t="s">
        <v>8995</v>
      </c>
      <c r="AE791" s="1" t="s">
        <v>8996</v>
      </c>
      <c r="AF791" s="1">
        <v>1997</v>
      </c>
      <c r="AG791" s="1" t="s">
        <v>204</v>
      </c>
      <c r="AH791" s="1" t="s">
        <v>1175</v>
      </c>
      <c r="AI791" s="1" t="s">
        <v>310</v>
      </c>
      <c r="AJ791" s="1" t="s">
        <v>1175</v>
      </c>
      <c r="AL791" s="1">
        <v>5</v>
      </c>
      <c r="AM791" s="1">
        <v>2</v>
      </c>
      <c r="AN791" s="1">
        <v>2</v>
      </c>
      <c r="AO791" s="1">
        <v>0</v>
      </c>
      <c r="AP791" s="1" t="s">
        <v>209</v>
      </c>
      <c r="AR791" s="1" t="s">
        <v>210</v>
      </c>
      <c r="AS791" s="1" t="s">
        <v>204</v>
      </c>
      <c r="AT791" s="1" t="s">
        <v>211</v>
      </c>
      <c r="AU791" s="1">
        <v>1</v>
      </c>
      <c r="AW791" s="1" t="s">
        <v>204</v>
      </c>
      <c r="AX791" s="1" t="s">
        <v>212</v>
      </c>
      <c r="AZ791" s="1">
        <v>2404.85</v>
      </c>
      <c r="BA791" s="1">
        <v>2013</v>
      </c>
      <c r="BB791" s="1" t="s">
        <v>210</v>
      </c>
      <c r="BE791" s="1">
        <v>900</v>
      </c>
      <c r="BF791" s="1">
        <v>1</v>
      </c>
      <c r="BG791" s="1">
        <v>0</v>
      </c>
      <c r="BL791" s="1">
        <v>176</v>
      </c>
      <c r="BM791" s="1" t="s">
        <v>204</v>
      </c>
      <c r="BN791" s="1" t="s">
        <v>213</v>
      </c>
      <c r="BO791" s="1">
        <v>999</v>
      </c>
      <c r="BP791" s="1" t="s">
        <v>204</v>
      </c>
      <c r="BR791" s="1" t="str">
        <f>"06192100201285"</f>
        <v>06192100201285</v>
      </c>
      <c r="BT791" s="1" t="s">
        <v>8997</v>
      </c>
      <c r="BU791" s="1" t="s">
        <v>4423</v>
      </c>
      <c r="BV791" s="1" t="s">
        <v>3604</v>
      </c>
      <c r="BW791" s="1" t="s">
        <v>2058</v>
      </c>
      <c r="BX791" s="1">
        <v>46</v>
      </c>
      <c r="BY791" s="1">
        <v>46</v>
      </c>
      <c r="BZ791" s="1">
        <v>46</v>
      </c>
      <c r="CB791" s="1" t="str">
        <f t="shared" ref="CB791:CC791" si="617">""</f>
        <v/>
      </c>
      <c r="CC791" s="1" t="str">
        <f t="shared" si="617"/>
        <v/>
      </c>
      <c r="CG791" s="1" t="s">
        <v>437</v>
      </c>
      <c r="CH791" s="1" t="s">
        <v>219</v>
      </c>
      <c r="CI791" s="1" t="s">
        <v>220</v>
      </c>
      <c r="CJ791" s="1" t="s">
        <v>463</v>
      </c>
      <c r="CK791" s="1" t="s">
        <v>278</v>
      </c>
      <c r="CL791" s="1" t="s">
        <v>219</v>
      </c>
      <c r="CM791" s="1" t="s">
        <v>220</v>
      </c>
      <c r="CN791" s="1" t="s">
        <v>463</v>
      </c>
      <c r="CO791" s="1" t="s">
        <v>837</v>
      </c>
      <c r="CP791" s="1" t="s">
        <v>219</v>
      </c>
      <c r="CQ791" s="1" t="s">
        <v>220</v>
      </c>
      <c r="CR791" s="1" t="s">
        <v>463</v>
      </c>
      <c r="CS791" s="1" t="s">
        <v>346</v>
      </c>
      <c r="CT791" s="1" t="s">
        <v>219</v>
      </c>
      <c r="CU791" s="1" t="s">
        <v>220</v>
      </c>
      <c r="CV791" s="1" t="s">
        <v>463</v>
      </c>
      <c r="CX791" s="1" t="s">
        <v>224</v>
      </c>
      <c r="DB791" s="1" t="s">
        <v>224</v>
      </c>
      <c r="DE791" s="1" t="s">
        <v>348</v>
      </c>
      <c r="DF791" s="1" t="s">
        <v>219</v>
      </c>
      <c r="DG791" s="1" t="s">
        <v>229</v>
      </c>
      <c r="DH791" s="1" t="s">
        <v>210</v>
      </c>
      <c r="DJ791" s="1" t="s">
        <v>224</v>
      </c>
      <c r="DS791" s="1" t="s">
        <v>230</v>
      </c>
      <c r="DW791" s="1" t="s">
        <v>230</v>
      </c>
      <c r="EA791" s="1" t="s">
        <v>230</v>
      </c>
      <c r="EE791" s="1" t="s">
        <v>230</v>
      </c>
      <c r="EI791" s="1" t="s">
        <v>230</v>
      </c>
      <c r="EL791" s="1" t="s">
        <v>670</v>
      </c>
      <c r="EM791" s="1" t="s">
        <v>319</v>
      </c>
      <c r="EN791" s="1" t="s">
        <v>282</v>
      </c>
      <c r="EO791" s="1" t="s">
        <v>234</v>
      </c>
      <c r="EQ791" s="1" t="s">
        <v>8998</v>
      </c>
      <c r="ER791" s="1" t="s">
        <v>210</v>
      </c>
      <c r="EU791" s="1" t="s">
        <v>1573</v>
      </c>
      <c r="EW791" s="1" t="s">
        <v>887</v>
      </c>
      <c r="EZ791" s="1" t="s">
        <v>287</v>
      </c>
      <c r="FD791" s="1" t="s">
        <v>246</v>
      </c>
      <c r="FE791" s="1" t="s">
        <v>975</v>
      </c>
      <c r="FF791" s="1" t="s">
        <v>387</v>
      </c>
      <c r="FH791" s="1" t="s">
        <v>249</v>
      </c>
      <c r="FI791" s="1" t="s">
        <v>473</v>
      </c>
      <c r="FJ791" s="1" t="s">
        <v>197</v>
      </c>
      <c r="FL791" s="1" t="s">
        <v>358</v>
      </c>
      <c r="FM791" s="1" t="s">
        <v>252</v>
      </c>
      <c r="FN791" s="1" t="s">
        <v>213</v>
      </c>
      <c r="FO791" s="1" t="s">
        <v>213</v>
      </c>
      <c r="FQ791" s="1" t="s">
        <v>793</v>
      </c>
      <c r="FR791" s="1" t="s">
        <v>210</v>
      </c>
      <c r="FS791" s="1" t="s">
        <v>8999</v>
      </c>
      <c r="FT791" s="1" t="s">
        <v>295</v>
      </c>
      <c r="FU791" s="1" t="s">
        <v>204</v>
      </c>
      <c r="FW791" s="1" t="s">
        <v>813</v>
      </c>
      <c r="FX791" s="1">
        <v>5170</v>
      </c>
      <c r="FY791" s="1" t="s">
        <v>9000</v>
      </c>
      <c r="FZ791" s="1" t="s">
        <v>9001</v>
      </c>
      <c r="GA791" s="1">
        <v>55863</v>
      </c>
      <c r="GB791" s="1" t="s">
        <v>9002</v>
      </c>
      <c r="GC791" s="1">
        <v>55862</v>
      </c>
      <c r="GD791" s="1" t="s">
        <v>9003</v>
      </c>
      <c r="GE791" s="1" t="s">
        <v>480</v>
      </c>
      <c r="GI791" s="1" t="s">
        <v>213</v>
      </c>
      <c r="GJ791" s="1" t="s">
        <v>260</v>
      </c>
      <c r="GK791" s="1" t="s">
        <v>4920</v>
      </c>
      <c r="GL791" s="2">
        <v>42102</v>
      </c>
      <c r="GM791" s="1" t="s">
        <v>9004</v>
      </c>
    </row>
    <row r="792" spans="1:195">
      <c r="A792" s="1">
        <v>109000</v>
      </c>
      <c r="B792" s="1" t="s">
        <v>195</v>
      </c>
      <c r="C792" s="1" t="str">
        <f>"08816871"</f>
        <v>08816871</v>
      </c>
      <c r="D792" s="1" t="s">
        <v>196</v>
      </c>
      <c r="F792" s="1" t="str">
        <f>"540"</f>
        <v>540</v>
      </c>
      <c r="G792" s="2">
        <v>42019</v>
      </c>
      <c r="H792" s="1">
        <v>115000</v>
      </c>
      <c r="I792" s="1">
        <v>115000</v>
      </c>
      <c r="J792" s="1">
        <v>109000</v>
      </c>
      <c r="K792" s="2">
        <v>42017</v>
      </c>
      <c r="L792" s="1">
        <v>65</v>
      </c>
      <c r="M792" s="2">
        <v>42081</v>
      </c>
      <c r="N792" s="1">
        <v>65</v>
      </c>
      <c r="O792" s="2">
        <v>42081</v>
      </c>
      <c r="P792" s="1">
        <v>23156</v>
      </c>
      <c r="Q792" s="1" t="s">
        <v>197</v>
      </c>
      <c r="R792" s="2">
        <v>42139</v>
      </c>
      <c r="S792" s="1">
        <v>229855</v>
      </c>
      <c r="U792" s="1" t="s">
        <v>9005</v>
      </c>
      <c r="V792" s="1" t="s">
        <v>9006</v>
      </c>
      <c r="W792" s="1" t="s">
        <v>264</v>
      </c>
      <c r="X792" s="1" t="s">
        <v>483</v>
      </c>
      <c r="Y792" s="1">
        <v>8</v>
      </c>
      <c r="Z792" s="1" t="s">
        <v>200</v>
      </c>
      <c r="AA792" s="1" t="s">
        <v>921</v>
      </c>
      <c r="AB792" s="1">
        <v>60563</v>
      </c>
      <c r="AD792" s="1" t="s">
        <v>9007</v>
      </c>
      <c r="AE792" s="1" t="s">
        <v>9008</v>
      </c>
      <c r="AF792" s="1">
        <v>1983</v>
      </c>
      <c r="AG792" s="1" t="s">
        <v>204</v>
      </c>
      <c r="AH792" s="1" t="s">
        <v>882</v>
      </c>
      <c r="AI792" s="1" t="s">
        <v>206</v>
      </c>
      <c r="AJ792" s="1" t="s">
        <v>924</v>
      </c>
      <c r="AL792" s="1">
        <v>5</v>
      </c>
      <c r="AM792" s="1">
        <v>2</v>
      </c>
      <c r="AN792" s="1">
        <v>1</v>
      </c>
      <c r="AO792" s="1">
        <v>0</v>
      </c>
      <c r="AP792" s="1" t="s">
        <v>667</v>
      </c>
      <c r="AQ792" s="1">
        <v>1</v>
      </c>
      <c r="AR792" s="1" t="s">
        <v>210</v>
      </c>
      <c r="AS792" s="1" t="s">
        <v>204</v>
      </c>
      <c r="AT792" s="1" t="s">
        <v>211</v>
      </c>
      <c r="AU792" s="1">
        <v>1</v>
      </c>
      <c r="AW792" s="1" t="s">
        <v>204</v>
      </c>
      <c r="AX792" s="1" t="s">
        <v>212</v>
      </c>
      <c r="AZ792" s="1">
        <v>2499.84</v>
      </c>
      <c r="BA792" s="1">
        <v>2013</v>
      </c>
      <c r="BB792" s="1" t="s">
        <v>210</v>
      </c>
      <c r="BE792" s="1">
        <v>1035</v>
      </c>
      <c r="BF792" s="1">
        <v>2</v>
      </c>
      <c r="BG792" s="1">
        <v>0</v>
      </c>
      <c r="BL792" s="1">
        <v>235</v>
      </c>
      <c r="BM792" s="1" t="s">
        <v>204</v>
      </c>
      <c r="BN792" s="1" t="s">
        <v>213</v>
      </c>
      <c r="BO792" s="1">
        <v>999</v>
      </c>
      <c r="BP792" s="1" t="s">
        <v>204</v>
      </c>
      <c r="BR792" s="1" t="str">
        <f>"0709414004"</f>
        <v>0709414004</v>
      </c>
      <c r="BT792" s="1" t="s">
        <v>9009</v>
      </c>
      <c r="BU792" s="1" t="s">
        <v>5426</v>
      </c>
      <c r="BV792" s="1" t="s">
        <v>1248</v>
      </c>
      <c r="BW792" s="1" t="s">
        <v>1312</v>
      </c>
      <c r="BX792" s="1">
        <v>204</v>
      </c>
      <c r="BY792" s="1">
        <v>204</v>
      </c>
      <c r="BZ792" s="1">
        <v>204</v>
      </c>
      <c r="CB792" s="1" t="str">
        <f t="shared" ref="CB792:CC792" si="618">"0"</f>
        <v>0</v>
      </c>
      <c r="CC792" s="1" t="str">
        <f t="shared" si="618"/>
        <v>0</v>
      </c>
      <c r="CD792" s="1">
        <v>30</v>
      </c>
      <c r="CE792" s="1">
        <v>5</v>
      </c>
      <c r="CG792" s="1" t="s">
        <v>1004</v>
      </c>
      <c r="CH792" s="1" t="s">
        <v>277</v>
      </c>
      <c r="CI792" s="1" t="s">
        <v>220</v>
      </c>
      <c r="CJ792" s="1" t="s">
        <v>463</v>
      </c>
      <c r="CK792" s="1" t="s">
        <v>437</v>
      </c>
      <c r="CL792" s="1" t="s">
        <v>277</v>
      </c>
      <c r="CM792" s="1" t="s">
        <v>220</v>
      </c>
      <c r="CN792" s="1" t="s">
        <v>343</v>
      </c>
      <c r="CO792" s="1" t="s">
        <v>409</v>
      </c>
      <c r="CP792" s="1" t="s">
        <v>277</v>
      </c>
      <c r="CQ792" s="1" t="s">
        <v>220</v>
      </c>
      <c r="CR792" s="1" t="s">
        <v>463</v>
      </c>
      <c r="CS792" s="1" t="s">
        <v>1854</v>
      </c>
      <c r="CT792" s="1" t="s">
        <v>277</v>
      </c>
      <c r="CU792" s="1" t="s">
        <v>220</v>
      </c>
      <c r="CV792" s="1" t="s">
        <v>343</v>
      </c>
      <c r="CX792" s="1" t="s">
        <v>224</v>
      </c>
      <c r="DB792" s="1" t="s">
        <v>224</v>
      </c>
      <c r="DE792" s="1" t="s">
        <v>346</v>
      </c>
      <c r="DF792" s="1" t="s">
        <v>277</v>
      </c>
      <c r="DG792" s="1" t="s">
        <v>342</v>
      </c>
      <c r="DJ792" s="1" t="s">
        <v>224</v>
      </c>
      <c r="DN792" s="1" t="s">
        <v>709</v>
      </c>
      <c r="DS792" s="1" t="s">
        <v>230</v>
      </c>
      <c r="DV792" s="1" t="s">
        <v>5717</v>
      </c>
      <c r="DW792" s="1" t="s">
        <v>277</v>
      </c>
      <c r="DX792" s="1" t="s">
        <v>226</v>
      </c>
      <c r="EA792" s="1" t="s">
        <v>230</v>
      </c>
      <c r="EE792" s="1" t="s">
        <v>230</v>
      </c>
      <c r="EI792" s="1" t="s">
        <v>230</v>
      </c>
      <c r="EL792" s="1" t="s">
        <v>231</v>
      </c>
      <c r="EM792" s="1" t="s">
        <v>232</v>
      </c>
      <c r="EN792" s="1" t="s">
        <v>282</v>
      </c>
      <c r="EO792" s="1" t="s">
        <v>840</v>
      </c>
      <c r="EP792" s="1" t="s">
        <v>650</v>
      </c>
      <c r="EQ792" s="1" t="s">
        <v>9010</v>
      </c>
      <c r="ER792" s="1" t="s">
        <v>210</v>
      </c>
      <c r="ES792" s="1" t="s">
        <v>493</v>
      </c>
      <c r="ET792" s="1" t="s">
        <v>842</v>
      </c>
      <c r="EU792" s="1" t="s">
        <v>1202</v>
      </c>
      <c r="EV792" s="1" t="s">
        <v>352</v>
      </c>
      <c r="EW792" s="1" t="s">
        <v>887</v>
      </c>
      <c r="EZ792" s="1" t="s">
        <v>709</v>
      </c>
      <c r="FA792" s="1" t="s">
        <v>672</v>
      </c>
      <c r="FB792" s="1" t="s">
        <v>289</v>
      </c>
      <c r="FD792" s="1" t="s">
        <v>246</v>
      </c>
      <c r="FE792" s="1" t="s">
        <v>247</v>
      </c>
      <c r="FF792" s="1" t="s">
        <v>248</v>
      </c>
      <c r="FG792" s="1" t="s">
        <v>5121</v>
      </c>
      <c r="FH792" s="1" t="s">
        <v>388</v>
      </c>
      <c r="FI792" s="1" t="s">
        <v>473</v>
      </c>
      <c r="FL792" s="1" t="s">
        <v>358</v>
      </c>
      <c r="FM792" s="1" t="s">
        <v>252</v>
      </c>
      <c r="FN792" s="1" t="s">
        <v>213</v>
      </c>
      <c r="FO792" s="1" t="s">
        <v>213</v>
      </c>
      <c r="FQ792" s="1" t="s">
        <v>4123</v>
      </c>
      <c r="FR792" s="1" t="s">
        <v>210</v>
      </c>
      <c r="FS792" s="1" t="s">
        <v>443</v>
      </c>
      <c r="FT792" s="1" t="s">
        <v>295</v>
      </c>
      <c r="FU792" s="1" t="s">
        <v>204</v>
      </c>
      <c r="FW792" s="1" t="s">
        <v>4125</v>
      </c>
      <c r="FX792" s="1">
        <v>8073</v>
      </c>
      <c r="FY792" s="1" t="s">
        <v>4126</v>
      </c>
      <c r="FZ792" s="1" t="s">
        <v>4127</v>
      </c>
      <c r="GA792" s="1">
        <v>83321</v>
      </c>
      <c r="GB792" s="1" t="s">
        <v>4128</v>
      </c>
      <c r="GE792" s="1" t="s">
        <v>1333</v>
      </c>
      <c r="GI792" s="1" t="s">
        <v>213</v>
      </c>
      <c r="GJ792" s="1" t="s">
        <v>260</v>
      </c>
      <c r="GK792" s="1" t="s">
        <v>210</v>
      </c>
      <c r="GL792" s="2">
        <v>42140</v>
      </c>
      <c r="GM792" s="1" t="s">
        <v>9011</v>
      </c>
    </row>
    <row r="793" spans="1:195">
      <c r="A793" s="1">
        <v>112000</v>
      </c>
      <c r="B793" s="1" t="s">
        <v>195</v>
      </c>
      <c r="C793" s="1" t="str">
        <f>"08815775"</f>
        <v>08815775</v>
      </c>
      <c r="D793" s="1" t="s">
        <v>196</v>
      </c>
      <c r="F793" s="1" t="str">
        <f>"110"</f>
        <v>110</v>
      </c>
      <c r="G793" s="2">
        <v>42017</v>
      </c>
      <c r="H793" s="1">
        <v>120000</v>
      </c>
      <c r="I793" s="1">
        <v>120000</v>
      </c>
      <c r="J793" s="1">
        <v>112000</v>
      </c>
      <c r="K793" s="2">
        <v>42017</v>
      </c>
      <c r="L793" s="1">
        <v>134</v>
      </c>
      <c r="M793" s="2">
        <v>42051</v>
      </c>
      <c r="N793" s="1">
        <v>35</v>
      </c>
      <c r="O793" s="2">
        <v>42051</v>
      </c>
      <c r="P793" s="1">
        <v>364</v>
      </c>
      <c r="Q793" s="1" t="s">
        <v>197</v>
      </c>
      <c r="R793" s="2">
        <v>42089</v>
      </c>
      <c r="S793" s="1">
        <v>7964</v>
      </c>
      <c r="T793" s="1">
        <v>2000</v>
      </c>
      <c r="U793" s="1">
        <v>410</v>
      </c>
      <c r="V793" s="1" t="s">
        <v>3308</v>
      </c>
      <c r="W793" s="1" t="s">
        <v>304</v>
      </c>
      <c r="Y793" s="1">
        <v>4</v>
      </c>
      <c r="Z793" s="1" t="s">
        <v>370</v>
      </c>
      <c r="AA793" s="1" t="s">
        <v>803</v>
      </c>
      <c r="AB793" s="1">
        <v>60110</v>
      </c>
      <c r="AE793" s="1" t="s">
        <v>9012</v>
      </c>
      <c r="AF793" s="1">
        <v>1994</v>
      </c>
      <c r="AG793" s="1" t="s">
        <v>204</v>
      </c>
      <c r="AH793" s="1" t="s">
        <v>2557</v>
      </c>
      <c r="AI793" s="1" t="s">
        <v>665</v>
      </c>
      <c r="AJ793" s="1" t="s">
        <v>805</v>
      </c>
      <c r="AK793" s="1" t="s">
        <v>1244</v>
      </c>
      <c r="AL793" s="1">
        <v>5</v>
      </c>
      <c r="AM793" s="1">
        <v>2</v>
      </c>
      <c r="AN793" s="1">
        <v>1</v>
      </c>
      <c r="AO793" s="1">
        <v>1</v>
      </c>
      <c r="AP793" s="1" t="s">
        <v>455</v>
      </c>
      <c r="AQ793" s="1">
        <v>1</v>
      </c>
      <c r="AR793" s="1" t="s">
        <v>210</v>
      </c>
      <c r="AS793" s="1" t="s">
        <v>204</v>
      </c>
      <c r="AT793" s="1" t="s">
        <v>375</v>
      </c>
      <c r="AU793" s="1">
        <v>2</v>
      </c>
      <c r="AV793" s="1">
        <v>6</v>
      </c>
      <c r="AW793" s="1" t="s">
        <v>204</v>
      </c>
      <c r="AX793" s="1" t="s">
        <v>212</v>
      </c>
      <c r="AZ793" s="1">
        <v>3593.76</v>
      </c>
      <c r="BA793" s="1">
        <v>2013</v>
      </c>
      <c r="BB793" s="1" t="s">
        <v>405</v>
      </c>
      <c r="BE793" s="1">
        <v>1336</v>
      </c>
      <c r="BF793" s="1">
        <v>1</v>
      </c>
      <c r="BG793" s="1">
        <v>0</v>
      </c>
      <c r="BL793" s="1">
        <v>125</v>
      </c>
      <c r="BM793" s="1" t="s">
        <v>204</v>
      </c>
      <c r="BN793" s="1" t="s">
        <v>213</v>
      </c>
      <c r="BO793" s="1" t="s">
        <v>432</v>
      </c>
      <c r="BP793" s="1" t="s">
        <v>204</v>
      </c>
      <c r="BR793" s="1" t="str">
        <f>"0316478055"</f>
        <v>0316478055</v>
      </c>
      <c r="BT793" s="1" t="s">
        <v>9013</v>
      </c>
      <c r="BU793" s="1" t="s">
        <v>2666</v>
      </c>
      <c r="BV793" s="1" t="s">
        <v>2667</v>
      </c>
      <c r="BW793" s="1" t="s">
        <v>2668</v>
      </c>
      <c r="BX793" s="1">
        <v>300</v>
      </c>
      <c r="BY793" s="1">
        <v>300</v>
      </c>
      <c r="BZ793" s="1">
        <v>300</v>
      </c>
      <c r="CB793" s="1" t="str">
        <f>"17"</f>
        <v>17</v>
      </c>
      <c r="CC793" s="1" t="str">
        <f>""</f>
        <v/>
      </c>
      <c r="CD793" s="1">
        <v>35</v>
      </c>
      <c r="CG793" s="1" t="s">
        <v>729</v>
      </c>
      <c r="CH793" s="1" t="s">
        <v>219</v>
      </c>
      <c r="CI793" s="1" t="s">
        <v>220</v>
      </c>
      <c r="CJ793" s="1" t="s">
        <v>252</v>
      </c>
      <c r="CK793" s="1" t="s">
        <v>729</v>
      </c>
      <c r="CL793" s="1" t="s">
        <v>277</v>
      </c>
      <c r="CM793" s="1" t="s">
        <v>220</v>
      </c>
      <c r="CN793" s="1" t="s">
        <v>252</v>
      </c>
      <c r="CP793" s="1" t="s">
        <v>224</v>
      </c>
      <c r="CS793" s="1" t="s">
        <v>317</v>
      </c>
      <c r="CT793" s="1" t="s">
        <v>277</v>
      </c>
      <c r="CU793" s="1" t="s">
        <v>220</v>
      </c>
      <c r="CV793" s="1" t="s">
        <v>252</v>
      </c>
      <c r="CX793" s="1" t="s">
        <v>224</v>
      </c>
      <c r="DB793" s="1" t="s">
        <v>224</v>
      </c>
      <c r="DE793" s="1" t="s">
        <v>2138</v>
      </c>
      <c r="DF793" s="1" t="s">
        <v>219</v>
      </c>
      <c r="DG793" s="1" t="s">
        <v>342</v>
      </c>
      <c r="DH793" s="1" t="s">
        <v>252</v>
      </c>
      <c r="DJ793" s="1" t="s">
        <v>224</v>
      </c>
      <c r="DM793" s="1" t="s">
        <v>381</v>
      </c>
      <c r="DR793" s="1" t="s">
        <v>837</v>
      </c>
      <c r="DS793" s="1" t="s">
        <v>219</v>
      </c>
      <c r="DT793" s="1" t="s">
        <v>342</v>
      </c>
      <c r="DU793" s="1" t="s">
        <v>252</v>
      </c>
      <c r="DW793" s="1" t="s">
        <v>230</v>
      </c>
      <c r="EA793" s="1" t="s">
        <v>230</v>
      </c>
      <c r="EE793" s="1" t="s">
        <v>230</v>
      </c>
      <c r="EI793" s="1" t="s">
        <v>230</v>
      </c>
      <c r="EL793" s="1" t="s">
        <v>382</v>
      </c>
      <c r="EM793" s="1" t="s">
        <v>319</v>
      </c>
      <c r="EN793" s="1" t="s">
        <v>282</v>
      </c>
      <c r="EO793" s="1" t="s">
        <v>234</v>
      </c>
      <c r="EP793" s="1" t="s">
        <v>9014</v>
      </c>
      <c r="EQ793" s="1" t="s">
        <v>236</v>
      </c>
      <c r="ER793" s="1" t="s">
        <v>383</v>
      </c>
      <c r="ES793" s="1" t="s">
        <v>4437</v>
      </c>
      <c r="ET793" s="1" t="s">
        <v>842</v>
      </c>
      <c r="EU793" s="1" t="s">
        <v>843</v>
      </c>
      <c r="EW793" s="1" t="s">
        <v>517</v>
      </c>
      <c r="EY793" s="1" t="s">
        <v>790</v>
      </c>
      <c r="EZ793" s="1" t="s">
        <v>381</v>
      </c>
      <c r="FA793" s="1" t="s">
        <v>714</v>
      </c>
      <c r="FB793" s="1" t="s">
        <v>1505</v>
      </c>
      <c r="FC793" s="1" t="s">
        <v>548</v>
      </c>
      <c r="FD793" s="1" t="s">
        <v>495</v>
      </c>
      <c r="FE793" s="1" t="s">
        <v>2623</v>
      </c>
      <c r="FF793" s="1" t="s">
        <v>248</v>
      </c>
      <c r="FG793" s="1" t="s">
        <v>5121</v>
      </c>
      <c r="FH793" s="1" t="s">
        <v>550</v>
      </c>
      <c r="FI793" s="1" t="s">
        <v>473</v>
      </c>
      <c r="FJ793" s="1" t="s">
        <v>1472</v>
      </c>
      <c r="FK793" s="1" t="s">
        <v>768</v>
      </c>
      <c r="FL793" s="1" t="s">
        <v>358</v>
      </c>
      <c r="FM793" s="1" t="s">
        <v>252</v>
      </c>
      <c r="FN793" s="1" t="s">
        <v>213</v>
      </c>
      <c r="FO793" s="1" t="s">
        <v>213</v>
      </c>
      <c r="FQ793" s="1" t="s">
        <v>9015</v>
      </c>
      <c r="FR793" s="1" t="s">
        <v>210</v>
      </c>
      <c r="FS793" s="1" t="s">
        <v>9016</v>
      </c>
      <c r="FT793" s="1" t="s">
        <v>295</v>
      </c>
      <c r="FU793" s="1" t="s">
        <v>204</v>
      </c>
      <c r="FW793" s="1" t="s">
        <v>7024</v>
      </c>
      <c r="FX793" s="1">
        <v>364</v>
      </c>
      <c r="FY793" s="1" t="s">
        <v>7025</v>
      </c>
      <c r="FZ793" s="1" t="s">
        <v>9017</v>
      </c>
      <c r="GA793" s="1">
        <v>7964</v>
      </c>
      <c r="GB793" s="1" t="s">
        <v>9018</v>
      </c>
      <c r="GC793" s="1">
        <v>998</v>
      </c>
      <c r="GD793" s="1" t="s">
        <v>9019</v>
      </c>
      <c r="GE793" s="1" t="s">
        <v>776</v>
      </c>
      <c r="GI793" s="1" t="s">
        <v>213</v>
      </c>
      <c r="GJ793" s="1" t="s">
        <v>260</v>
      </c>
      <c r="GK793" s="1" t="s">
        <v>1413</v>
      </c>
      <c r="GL793" s="2">
        <v>42093</v>
      </c>
      <c r="GM793" s="1" t="s">
        <v>9020</v>
      </c>
    </row>
    <row r="794" spans="1:195">
      <c r="A794" s="1">
        <v>163000</v>
      </c>
      <c r="B794" s="1" t="s">
        <v>195</v>
      </c>
      <c r="C794" s="1" t="str">
        <f>"08818298"</f>
        <v>08818298</v>
      </c>
      <c r="D794" s="1" t="s">
        <v>196</v>
      </c>
      <c r="F794" s="1" t="str">
        <f>"522"</f>
        <v>522</v>
      </c>
      <c r="G794" s="2">
        <v>42020</v>
      </c>
      <c r="H794" s="1">
        <v>189900</v>
      </c>
      <c r="I794" s="1">
        <v>174900</v>
      </c>
      <c r="J794" s="1">
        <v>163000</v>
      </c>
      <c r="K794" s="2">
        <v>42020</v>
      </c>
      <c r="L794" s="1">
        <v>79</v>
      </c>
      <c r="M794" s="2">
        <v>42098</v>
      </c>
      <c r="N794" s="1">
        <v>79</v>
      </c>
      <c r="O794" s="2">
        <v>42098</v>
      </c>
      <c r="P794" s="1">
        <v>93178</v>
      </c>
      <c r="Q794" s="1" t="s">
        <v>302</v>
      </c>
      <c r="R794" s="2">
        <v>42132</v>
      </c>
      <c r="S794" s="1">
        <v>931556</v>
      </c>
      <c r="U794" s="1">
        <v>8098</v>
      </c>
      <c r="V794" s="1" t="s">
        <v>6598</v>
      </c>
      <c r="W794" s="1" t="s">
        <v>425</v>
      </c>
      <c r="X794" s="7">
        <v>42128</v>
      </c>
      <c r="Y794" s="1">
        <v>4</v>
      </c>
      <c r="Z794" s="1" t="s">
        <v>249</v>
      </c>
      <c r="AA794" s="1" t="s">
        <v>698</v>
      </c>
      <c r="AB794" s="1">
        <v>60527</v>
      </c>
      <c r="AD794" s="1" t="s">
        <v>6599</v>
      </c>
      <c r="AE794" s="1" t="s">
        <v>9021</v>
      </c>
      <c r="AF794" s="1">
        <v>1972</v>
      </c>
      <c r="AG794" s="1" t="s">
        <v>213</v>
      </c>
      <c r="AH794" s="1" t="s">
        <v>701</v>
      </c>
      <c r="AI794" s="1" t="s">
        <v>206</v>
      </c>
      <c r="AJ794" s="1" t="s">
        <v>903</v>
      </c>
      <c r="AL794" s="1">
        <v>5</v>
      </c>
      <c r="AM794" s="1">
        <v>2</v>
      </c>
      <c r="AN794" s="1">
        <v>2</v>
      </c>
      <c r="AO794" s="1">
        <v>0</v>
      </c>
      <c r="AP794" s="1" t="s">
        <v>209</v>
      </c>
      <c r="AR794" s="1" t="s">
        <v>210</v>
      </c>
      <c r="AS794" s="1" t="s">
        <v>204</v>
      </c>
      <c r="AT794" s="1" t="s">
        <v>375</v>
      </c>
      <c r="AU794" s="1">
        <v>2</v>
      </c>
      <c r="AV794" s="1">
        <v>2</v>
      </c>
      <c r="AW794" s="1" t="s">
        <v>204</v>
      </c>
      <c r="AX794" s="1" t="s">
        <v>212</v>
      </c>
      <c r="AZ794" s="1">
        <v>2197</v>
      </c>
      <c r="BA794" s="1">
        <v>2013</v>
      </c>
      <c r="BB794" s="1" t="s">
        <v>599</v>
      </c>
      <c r="BE794" s="1">
        <v>1172</v>
      </c>
      <c r="BF794" s="1">
        <v>2</v>
      </c>
      <c r="BG794" s="1">
        <v>30</v>
      </c>
      <c r="BJ794" s="1">
        <v>100</v>
      </c>
      <c r="BL794" s="1">
        <v>365</v>
      </c>
      <c r="BM794" s="1" t="s">
        <v>204</v>
      </c>
      <c r="BN794" s="1" t="s">
        <v>213</v>
      </c>
      <c r="BO794" s="1">
        <v>0</v>
      </c>
      <c r="BP794" s="1" t="s">
        <v>204</v>
      </c>
      <c r="BR794" s="1" t="str">
        <f>"0936209020"</f>
        <v>0936209020</v>
      </c>
      <c r="BT794" s="1" t="s">
        <v>9022</v>
      </c>
      <c r="BU794" s="1" t="s">
        <v>6602</v>
      </c>
      <c r="BV794" s="1" t="s">
        <v>6603</v>
      </c>
      <c r="BW794" s="1" t="s">
        <v>907</v>
      </c>
      <c r="BX794" s="1">
        <v>62</v>
      </c>
      <c r="BY794" s="1">
        <v>62</v>
      </c>
      <c r="BZ794" s="1">
        <v>86</v>
      </c>
      <c r="CB794" s="1" t="str">
        <f t="shared" ref="CB794:CC794" si="619">""</f>
        <v/>
      </c>
      <c r="CC794" s="1" t="str">
        <f t="shared" si="619"/>
        <v/>
      </c>
      <c r="CG794" s="1" t="s">
        <v>5267</v>
      </c>
      <c r="CH794" s="1" t="s">
        <v>277</v>
      </c>
      <c r="CI794" s="1" t="s">
        <v>220</v>
      </c>
      <c r="CJ794" s="1" t="s">
        <v>463</v>
      </c>
      <c r="CK794" s="1" t="s">
        <v>3656</v>
      </c>
      <c r="CL794" s="1" t="s">
        <v>277</v>
      </c>
      <c r="CM794" s="1" t="s">
        <v>220</v>
      </c>
      <c r="CN794" s="1" t="s">
        <v>463</v>
      </c>
      <c r="CO794" s="1" t="s">
        <v>1046</v>
      </c>
      <c r="CP794" s="1" t="s">
        <v>277</v>
      </c>
      <c r="CQ794" s="1" t="s">
        <v>220</v>
      </c>
      <c r="CR794" s="1" t="s">
        <v>463</v>
      </c>
      <c r="CS794" s="1" t="s">
        <v>379</v>
      </c>
      <c r="CT794" s="1" t="s">
        <v>277</v>
      </c>
      <c r="CU794" s="1" t="s">
        <v>220</v>
      </c>
      <c r="CV794" s="1" t="s">
        <v>343</v>
      </c>
      <c r="CX794" s="1" t="s">
        <v>224</v>
      </c>
      <c r="DB794" s="1" t="s">
        <v>224</v>
      </c>
      <c r="DE794" s="1" t="s">
        <v>346</v>
      </c>
      <c r="DF794" s="1" t="s">
        <v>277</v>
      </c>
      <c r="DG794" s="1" t="s">
        <v>342</v>
      </c>
      <c r="DJ794" s="1" t="s">
        <v>224</v>
      </c>
      <c r="DQ794" s="1" t="s">
        <v>1770</v>
      </c>
      <c r="DS794" s="1" t="s">
        <v>230</v>
      </c>
      <c r="DW794" s="1" t="s">
        <v>230</v>
      </c>
      <c r="EA794" s="1" t="s">
        <v>230</v>
      </c>
      <c r="EE794" s="1" t="s">
        <v>230</v>
      </c>
      <c r="EH794" s="1" t="s">
        <v>9023</v>
      </c>
      <c r="EI794" s="1" t="s">
        <v>277</v>
      </c>
      <c r="EJ794" s="1" t="s">
        <v>342</v>
      </c>
      <c r="EL794" s="1" t="s">
        <v>605</v>
      </c>
      <c r="EM794" s="1" t="s">
        <v>232</v>
      </c>
      <c r="EN794" s="1" t="s">
        <v>282</v>
      </c>
      <c r="EO794" s="1" t="s">
        <v>234</v>
      </c>
      <c r="EP794" s="1" t="s">
        <v>9024</v>
      </c>
      <c r="EQ794" s="1" t="s">
        <v>236</v>
      </c>
      <c r="ER794" s="1" t="s">
        <v>210</v>
      </c>
      <c r="ES794" s="1" t="s">
        <v>824</v>
      </c>
      <c r="EV794" s="1" t="s">
        <v>352</v>
      </c>
      <c r="EW794" s="1" t="s">
        <v>991</v>
      </c>
      <c r="EZ794" s="1" t="s">
        <v>1770</v>
      </c>
      <c r="FD794" s="1" t="s">
        <v>246</v>
      </c>
      <c r="FE794" s="1" t="s">
        <v>247</v>
      </c>
      <c r="FF794" s="1" t="s">
        <v>248</v>
      </c>
      <c r="FH794" s="1" t="s">
        <v>249</v>
      </c>
      <c r="FI794" s="1" t="s">
        <v>2889</v>
      </c>
      <c r="FL794" s="1" t="s">
        <v>358</v>
      </c>
      <c r="FM794" s="1" t="s">
        <v>252</v>
      </c>
      <c r="FN794" s="1" t="s">
        <v>213</v>
      </c>
      <c r="FO794" s="1" t="s">
        <v>213</v>
      </c>
      <c r="FQ794" s="1" t="s">
        <v>9025</v>
      </c>
      <c r="FR794" s="1" t="s">
        <v>210</v>
      </c>
      <c r="FS794" s="1" t="s">
        <v>9026</v>
      </c>
      <c r="FT794" s="1" t="s">
        <v>295</v>
      </c>
      <c r="FU794" s="1" t="s">
        <v>204</v>
      </c>
      <c r="FW794" s="1" t="s">
        <v>9027</v>
      </c>
      <c r="FX794" s="1">
        <v>93178</v>
      </c>
      <c r="FY794" s="1" t="s">
        <v>6738</v>
      </c>
      <c r="FZ794" s="1" t="s">
        <v>9028</v>
      </c>
      <c r="GA794" s="1">
        <v>931556</v>
      </c>
      <c r="GE794" s="1" t="s">
        <v>776</v>
      </c>
      <c r="GH794" s="1" t="s">
        <v>421</v>
      </c>
      <c r="GI794" s="1" t="s">
        <v>213</v>
      </c>
      <c r="GJ794" s="1" t="s">
        <v>260</v>
      </c>
      <c r="GK794" s="1" t="s">
        <v>210</v>
      </c>
      <c r="GL794" s="2">
        <v>42134</v>
      </c>
      <c r="GM794" s="1" t="s">
        <v>9029</v>
      </c>
    </row>
    <row r="795" spans="1:195">
      <c r="A795" s="1">
        <v>258500</v>
      </c>
      <c r="B795" s="1" t="s">
        <v>195</v>
      </c>
      <c r="C795" s="1" t="str">
        <f>"08827362"</f>
        <v>08827362</v>
      </c>
      <c r="D795" s="1" t="s">
        <v>196</v>
      </c>
      <c r="F795" s="1" t="str">
        <f>"148"</f>
        <v>148</v>
      </c>
      <c r="G795" s="2">
        <v>42034</v>
      </c>
      <c r="H795" s="1">
        <v>273900</v>
      </c>
      <c r="I795" s="1">
        <v>273900</v>
      </c>
      <c r="J795" s="1">
        <v>258500</v>
      </c>
      <c r="K795" s="2">
        <v>42034</v>
      </c>
      <c r="L795" s="1">
        <v>44</v>
      </c>
      <c r="M795" s="2">
        <v>42077</v>
      </c>
      <c r="N795" s="1">
        <v>44</v>
      </c>
      <c r="O795" s="2">
        <v>42077</v>
      </c>
      <c r="P795" s="1">
        <v>22049</v>
      </c>
      <c r="Q795" s="1" t="s">
        <v>197</v>
      </c>
      <c r="R795" s="2">
        <v>42124</v>
      </c>
      <c r="S795" s="1">
        <v>245330</v>
      </c>
      <c r="U795" s="1">
        <v>615</v>
      </c>
      <c r="V795" s="1" t="s">
        <v>7697</v>
      </c>
      <c r="W795" s="1" t="s">
        <v>504</v>
      </c>
      <c r="X795" s="1">
        <v>615</v>
      </c>
      <c r="Y795" s="1">
        <v>4</v>
      </c>
      <c r="Z795" s="1" t="s">
        <v>370</v>
      </c>
      <c r="AA795" s="1" t="s">
        <v>1927</v>
      </c>
      <c r="AB795" s="1">
        <v>60148</v>
      </c>
      <c r="AD795" s="1" t="s">
        <v>9030</v>
      </c>
      <c r="AE795" s="1" t="s">
        <v>9031</v>
      </c>
      <c r="AF795" s="1">
        <v>1996</v>
      </c>
      <c r="AG795" s="1" t="s">
        <v>204</v>
      </c>
      <c r="AH795" s="1" t="s">
        <v>1930</v>
      </c>
      <c r="AI795" s="1" t="s">
        <v>206</v>
      </c>
      <c r="AJ795" s="1" t="s">
        <v>207</v>
      </c>
      <c r="AK795" s="1" t="s">
        <v>9032</v>
      </c>
      <c r="AL795" s="1">
        <v>10</v>
      </c>
      <c r="AM795" s="1">
        <v>2</v>
      </c>
      <c r="AN795" s="1">
        <v>2</v>
      </c>
      <c r="AO795" s="1">
        <v>1</v>
      </c>
      <c r="AP795" s="1" t="s">
        <v>209</v>
      </c>
      <c r="AQ795" s="1">
        <v>1</v>
      </c>
      <c r="AR795" s="1" t="s">
        <v>209</v>
      </c>
      <c r="AS795" s="1" t="s">
        <v>204</v>
      </c>
      <c r="AT795" s="1" t="s">
        <v>211</v>
      </c>
      <c r="AU795" s="1">
        <v>2</v>
      </c>
      <c r="AW795" s="1" t="s">
        <v>204</v>
      </c>
      <c r="AX795" s="1" t="s">
        <v>212</v>
      </c>
      <c r="AZ795" s="1">
        <v>5915</v>
      </c>
      <c r="BA795" s="1">
        <v>2013</v>
      </c>
      <c r="BB795" s="1" t="s">
        <v>405</v>
      </c>
      <c r="BE795" s="1">
        <v>1965</v>
      </c>
      <c r="BF795" s="1">
        <v>1</v>
      </c>
      <c r="BG795" s="1">
        <v>0</v>
      </c>
      <c r="BL795" s="1">
        <v>360</v>
      </c>
      <c r="BM795" s="1" t="s">
        <v>204</v>
      </c>
      <c r="BN795" s="1" t="s">
        <v>213</v>
      </c>
      <c r="BO795" s="1">
        <v>999</v>
      </c>
      <c r="BP795" s="1" t="s">
        <v>204</v>
      </c>
      <c r="BR795" s="1" t="str">
        <f>"0501411011"</f>
        <v>0501411011</v>
      </c>
      <c r="BT795" s="1" t="s">
        <v>9033</v>
      </c>
      <c r="BU795" s="1" t="s">
        <v>2167</v>
      </c>
      <c r="BV795" s="1" t="s">
        <v>2168</v>
      </c>
      <c r="BW795" s="1" t="s">
        <v>2169</v>
      </c>
      <c r="BX795" s="1">
        <v>41</v>
      </c>
      <c r="BY795" s="1">
        <v>41</v>
      </c>
      <c r="BZ795" s="1">
        <v>87</v>
      </c>
      <c r="CB795" s="1" t="str">
        <f>"1"</f>
        <v>1</v>
      </c>
      <c r="CC795" s="1" t="str">
        <f>"0"</f>
        <v>0</v>
      </c>
      <c r="CD795" s="1">
        <v>21</v>
      </c>
      <c r="CE795" s="1">
        <v>0</v>
      </c>
      <c r="CG795" s="1" t="s">
        <v>228</v>
      </c>
      <c r="CH795" s="1" t="s">
        <v>219</v>
      </c>
      <c r="CI795" s="1" t="s">
        <v>438</v>
      </c>
      <c r="CK795" s="1" t="s">
        <v>1045</v>
      </c>
      <c r="CL795" s="1" t="s">
        <v>277</v>
      </c>
      <c r="CM795" s="1" t="s">
        <v>220</v>
      </c>
      <c r="CO795" s="1" t="s">
        <v>465</v>
      </c>
      <c r="CP795" s="1" t="s">
        <v>219</v>
      </c>
      <c r="CQ795" s="1" t="s">
        <v>438</v>
      </c>
      <c r="CS795" s="1" t="s">
        <v>346</v>
      </c>
      <c r="CT795" s="1" t="s">
        <v>277</v>
      </c>
      <c r="CU795" s="1" t="s">
        <v>220</v>
      </c>
      <c r="CW795" s="1" t="s">
        <v>1533</v>
      </c>
      <c r="CX795" s="1" t="s">
        <v>43</v>
      </c>
      <c r="CY795" s="1" t="s">
        <v>220</v>
      </c>
      <c r="CZ795" s="1" t="s">
        <v>463</v>
      </c>
      <c r="DB795" s="1" t="s">
        <v>224</v>
      </c>
      <c r="DE795" s="1" t="s">
        <v>539</v>
      </c>
      <c r="DF795" s="1" t="s">
        <v>219</v>
      </c>
      <c r="DG795" s="1" t="s">
        <v>438</v>
      </c>
      <c r="DH795" s="1" t="s">
        <v>210</v>
      </c>
      <c r="DI795" s="1" t="s">
        <v>1723</v>
      </c>
      <c r="DJ795" s="1" t="s">
        <v>43</v>
      </c>
      <c r="DK795" s="1" t="s">
        <v>220</v>
      </c>
      <c r="DL795" s="1" t="s">
        <v>210</v>
      </c>
      <c r="DM795" s="1" t="s">
        <v>464</v>
      </c>
      <c r="DN795" s="1" t="s">
        <v>1548</v>
      </c>
      <c r="DO795" s="1" t="s">
        <v>227</v>
      </c>
      <c r="DR795" s="1" t="s">
        <v>346</v>
      </c>
      <c r="DS795" s="1" t="s">
        <v>277</v>
      </c>
      <c r="DT795" s="1" t="s">
        <v>220</v>
      </c>
      <c r="DV795" s="1" t="s">
        <v>318</v>
      </c>
      <c r="DW795" s="1" t="s">
        <v>219</v>
      </c>
      <c r="DX795" s="1" t="s">
        <v>438</v>
      </c>
      <c r="DZ795" s="1" t="s">
        <v>437</v>
      </c>
      <c r="EA795" s="1" t="s">
        <v>43</v>
      </c>
      <c r="EB795" s="1" t="s">
        <v>220</v>
      </c>
      <c r="EC795" s="1" t="s">
        <v>210</v>
      </c>
      <c r="EE795" s="1" t="s">
        <v>230</v>
      </c>
      <c r="EI795" s="1" t="s">
        <v>230</v>
      </c>
      <c r="EL795" s="1" t="s">
        <v>670</v>
      </c>
      <c r="EM795" s="1" t="s">
        <v>319</v>
      </c>
      <c r="EN795" s="1" t="s">
        <v>282</v>
      </c>
      <c r="EO795" s="1" t="s">
        <v>234</v>
      </c>
      <c r="EP795" s="1" t="s">
        <v>9034</v>
      </c>
      <c r="EQ795" s="1" t="s">
        <v>2188</v>
      </c>
      <c r="ER795" s="1" t="s">
        <v>544</v>
      </c>
      <c r="ES795" s="1" t="s">
        <v>1552</v>
      </c>
      <c r="ET795" s="1" t="s">
        <v>238</v>
      </c>
      <c r="EU795" s="1" t="s">
        <v>9035</v>
      </c>
      <c r="EV795" s="1" t="s">
        <v>240</v>
      </c>
      <c r="EW795" s="1" t="s">
        <v>353</v>
      </c>
      <c r="EY795" s="1" t="s">
        <v>242</v>
      </c>
      <c r="EZ795" s="1" t="s">
        <v>9036</v>
      </c>
      <c r="FA795" s="1" t="s">
        <v>9037</v>
      </c>
      <c r="FC795" s="1" t="s">
        <v>326</v>
      </c>
      <c r="FD795" s="1" t="s">
        <v>246</v>
      </c>
      <c r="FE795" s="1" t="s">
        <v>247</v>
      </c>
      <c r="FF795" s="1" t="s">
        <v>248</v>
      </c>
      <c r="FG795" s="1" t="s">
        <v>2406</v>
      </c>
      <c r="FH795" s="1" t="s">
        <v>550</v>
      </c>
      <c r="FI795" s="1" t="s">
        <v>357</v>
      </c>
      <c r="FL795" s="1" t="s">
        <v>358</v>
      </c>
      <c r="FM795" s="1" t="s">
        <v>252</v>
      </c>
      <c r="FN795" s="1" t="s">
        <v>213</v>
      </c>
      <c r="FO795" s="1" t="s">
        <v>213</v>
      </c>
      <c r="FQ795" s="1" t="s">
        <v>8359</v>
      </c>
      <c r="FR795" s="1" t="s">
        <v>210</v>
      </c>
      <c r="FS795" s="1" t="s">
        <v>2483</v>
      </c>
      <c r="FT795" s="1" t="s">
        <v>9038</v>
      </c>
      <c r="FU795" s="1" t="s">
        <v>204</v>
      </c>
      <c r="FW795" s="1" t="s">
        <v>8361</v>
      </c>
      <c r="FX795" s="1">
        <v>15358</v>
      </c>
      <c r="FY795" s="1" t="s">
        <v>8362</v>
      </c>
      <c r="FZ795" s="1" t="s">
        <v>8363</v>
      </c>
      <c r="GA795" s="1">
        <v>114479</v>
      </c>
      <c r="GB795" s="1" t="s">
        <v>8362</v>
      </c>
      <c r="GE795" s="1" t="s">
        <v>210</v>
      </c>
      <c r="GI795" s="1" t="s">
        <v>204</v>
      </c>
      <c r="GJ795" s="1" t="s">
        <v>300</v>
      </c>
      <c r="GK795" s="1" t="s">
        <v>210</v>
      </c>
      <c r="GL795" s="2">
        <v>42132</v>
      </c>
      <c r="GM795" s="1" t="s">
        <v>9039</v>
      </c>
    </row>
    <row r="796" spans="1:195">
      <c r="A796" s="1">
        <v>45000</v>
      </c>
      <c r="B796" s="1" t="s">
        <v>195</v>
      </c>
      <c r="C796" s="1" t="str">
        <f>"08816141"</f>
        <v>08816141</v>
      </c>
      <c r="D796" s="1" t="s">
        <v>196</v>
      </c>
      <c r="F796" s="1" t="str">
        <f>"8042"</f>
        <v>8042</v>
      </c>
      <c r="G796" s="2">
        <v>42018</v>
      </c>
      <c r="H796" s="1">
        <v>44900</v>
      </c>
      <c r="I796" s="1">
        <v>44900</v>
      </c>
      <c r="J796" s="1">
        <v>45000</v>
      </c>
      <c r="K796" s="2">
        <v>42017</v>
      </c>
      <c r="L796" s="1">
        <v>35</v>
      </c>
      <c r="M796" s="2">
        <v>42051</v>
      </c>
      <c r="N796" s="1">
        <v>35</v>
      </c>
      <c r="O796" s="2">
        <v>42051</v>
      </c>
      <c r="P796" s="1">
        <v>25196</v>
      </c>
      <c r="Q796" s="1" t="s">
        <v>302</v>
      </c>
      <c r="R796" s="2">
        <v>42068</v>
      </c>
      <c r="S796" s="1">
        <v>221126</v>
      </c>
      <c r="U796" s="1">
        <v>6617</v>
      </c>
      <c r="V796" s="1" t="s">
        <v>9040</v>
      </c>
      <c r="W796" s="1" t="s">
        <v>425</v>
      </c>
      <c r="X796" s="1" t="s">
        <v>2010</v>
      </c>
      <c r="Y796" s="1">
        <v>8</v>
      </c>
      <c r="Z796" s="1" t="s">
        <v>249</v>
      </c>
      <c r="AA796" s="1" t="s">
        <v>400</v>
      </c>
      <c r="AB796" s="1">
        <v>60637</v>
      </c>
      <c r="AE796" s="1" t="s">
        <v>9041</v>
      </c>
      <c r="AF796" s="1">
        <v>2007</v>
      </c>
      <c r="AG796" s="1" t="s">
        <v>204</v>
      </c>
      <c r="AH796" s="1" t="s">
        <v>403</v>
      </c>
      <c r="AI796" s="1" t="s">
        <v>310</v>
      </c>
      <c r="AJ796" s="1" t="s">
        <v>562</v>
      </c>
      <c r="AL796" s="1">
        <v>4</v>
      </c>
      <c r="AM796" s="1">
        <v>2</v>
      </c>
      <c r="AN796" s="1">
        <v>2</v>
      </c>
      <c r="AO796" s="1">
        <v>0</v>
      </c>
      <c r="AP796" s="1" t="s">
        <v>209</v>
      </c>
      <c r="AR796" s="1" t="s">
        <v>210</v>
      </c>
      <c r="AS796" s="1" t="s">
        <v>204</v>
      </c>
      <c r="AT796" s="1" t="s">
        <v>271</v>
      </c>
      <c r="AV796" s="1">
        <v>1</v>
      </c>
      <c r="AW796" s="1" t="s">
        <v>204</v>
      </c>
      <c r="AX796" s="1" t="s">
        <v>270</v>
      </c>
      <c r="AZ796" s="1">
        <v>1356</v>
      </c>
      <c r="BA796" s="1">
        <v>2013</v>
      </c>
      <c r="BB796" s="1" t="s">
        <v>405</v>
      </c>
      <c r="BE796" s="1">
        <v>0</v>
      </c>
      <c r="BF796" s="1">
        <v>1</v>
      </c>
      <c r="BG796" s="1">
        <v>0</v>
      </c>
      <c r="BL796" s="1">
        <v>200</v>
      </c>
      <c r="BM796" s="1" t="s">
        <v>204</v>
      </c>
      <c r="BN796" s="1" t="s">
        <v>213</v>
      </c>
      <c r="BO796" s="1" t="s">
        <v>432</v>
      </c>
      <c r="BP796" s="1" t="s">
        <v>204</v>
      </c>
      <c r="BR796" s="1" t="str">
        <f>"20232230361001"</f>
        <v>20232230361001</v>
      </c>
      <c r="BT796" s="1" t="s">
        <v>9042</v>
      </c>
      <c r="BX796" s="1">
        <v>299</v>
      </c>
      <c r="BY796" s="1">
        <v>299</v>
      </c>
      <c r="BZ796" s="1">
        <v>299</v>
      </c>
      <c r="CB796" s="1" t="str">
        <f t="shared" ref="CB796:CB799" si="620">"0"</f>
        <v>0</v>
      </c>
      <c r="CC796" s="1" t="str">
        <f>"1300"</f>
        <v>1300</v>
      </c>
      <c r="CD796" s="1">
        <v>0</v>
      </c>
      <c r="CE796" s="1">
        <v>6617</v>
      </c>
      <c r="CG796" s="1" t="s">
        <v>9043</v>
      </c>
      <c r="CH796" s="1" t="s">
        <v>219</v>
      </c>
      <c r="CK796" s="1" t="s">
        <v>462</v>
      </c>
      <c r="CL796" s="1" t="s">
        <v>219</v>
      </c>
      <c r="CP796" s="1" t="s">
        <v>224</v>
      </c>
      <c r="CS796" s="1" t="s">
        <v>1854</v>
      </c>
      <c r="CT796" s="1" t="s">
        <v>219</v>
      </c>
      <c r="CX796" s="1" t="s">
        <v>224</v>
      </c>
      <c r="DB796" s="1" t="s">
        <v>224</v>
      </c>
      <c r="DE796" s="1" t="s">
        <v>2356</v>
      </c>
      <c r="DF796" s="1" t="s">
        <v>219</v>
      </c>
      <c r="DJ796" s="1" t="s">
        <v>224</v>
      </c>
      <c r="DS796" s="1" t="s">
        <v>230</v>
      </c>
      <c r="DW796" s="1" t="s">
        <v>230</v>
      </c>
      <c r="EA796" s="1" t="s">
        <v>230</v>
      </c>
      <c r="EE796" s="1" t="s">
        <v>230</v>
      </c>
      <c r="EI796" s="1" t="s">
        <v>230</v>
      </c>
      <c r="EL796" s="1" t="s">
        <v>491</v>
      </c>
      <c r="EM796" s="1" t="s">
        <v>319</v>
      </c>
      <c r="EN796" s="1" t="s">
        <v>282</v>
      </c>
      <c r="EO796" s="1" t="s">
        <v>234</v>
      </c>
      <c r="ER796" s="1" t="s">
        <v>210</v>
      </c>
      <c r="EW796" s="1" t="s">
        <v>286</v>
      </c>
      <c r="EY796" s="1" t="s">
        <v>242</v>
      </c>
      <c r="EZ796" s="1" t="s">
        <v>287</v>
      </c>
      <c r="FB796" s="1" t="s">
        <v>846</v>
      </c>
      <c r="FD796" s="1" t="s">
        <v>246</v>
      </c>
      <c r="FE796" s="1" t="s">
        <v>247</v>
      </c>
      <c r="FF796" s="1" t="s">
        <v>248</v>
      </c>
      <c r="FH796" s="1" t="s">
        <v>249</v>
      </c>
      <c r="FK796" s="1" t="s">
        <v>291</v>
      </c>
      <c r="FL796" s="1" t="s">
        <v>414</v>
      </c>
      <c r="FM796" s="1" t="s">
        <v>252</v>
      </c>
      <c r="FN796" s="1" t="s">
        <v>213</v>
      </c>
      <c r="FO796" s="1" t="s">
        <v>213</v>
      </c>
      <c r="FQ796" s="1" t="s">
        <v>9044</v>
      </c>
      <c r="FR796" s="1" t="s">
        <v>210</v>
      </c>
      <c r="FS796" s="1" t="s">
        <v>1429</v>
      </c>
      <c r="FT796" s="1" t="s">
        <v>9045</v>
      </c>
      <c r="FU796" s="1" t="s">
        <v>204</v>
      </c>
      <c r="FW796" s="1" t="s">
        <v>9046</v>
      </c>
      <c r="FX796" s="1">
        <v>84674</v>
      </c>
      <c r="FY796" s="1" t="s">
        <v>9047</v>
      </c>
      <c r="FZ796" s="1" t="s">
        <v>9048</v>
      </c>
      <c r="GA796" s="1">
        <v>109817</v>
      </c>
      <c r="GB796" s="1" t="s">
        <v>9049</v>
      </c>
      <c r="GC796" s="1">
        <v>181685</v>
      </c>
      <c r="GE796" s="1" t="s">
        <v>210</v>
      </c>
      <c r="GH796" s="1" t="s">
        <v>421</v>
      </c>
      <c r="GI796" s="1" t="s">
        <v>213</v>
      </c>
      <c r="GJ796" s="1" t="s">
        <v>260</v>
      </c>
      <c r="GK796" s="1" t="s">
        <v>210</v>
      </c>
      <c r="GL796" s="2">
        <v>42069</v>
      </c>
      <c r="GM796" s="1" t="s">
        <v>9050</v>
      </c>
    </row>
    <row r="797" spans="1:195">
      <c r="A797" s="1">
        <v>262800</v>
      </c>
      <c r="B797" s="1" t="s">
        <v>195</v>
      </c>
      <c r="C797" s="1" t="str">
        <f>"08818881"</f>
        <v>08818881</v>
      </c>
      <c r="D797" s="1" t="s">
        <v>196</v>
      </c>
      <c r="F797" s="1" t="str">
        <f t="shared" ref="F797:F798" si="621">"540"</f>
        <v>540</v>
      </c>
      <c r="G797" s="2">
        <v>42022</v>
      </c>
      <c r="H797" s="1">
        <v>268350</v>
      </c>
      <c r="I797" s="1">
        <v>268350</v>
      </c>
      <c r="J797" s="1">
        <v>262800</v>
      </c>
      <c r="K797" s="2">
        <v>42022</v>
      </c>
      <c r="L797" s="1">
        <v>155</v>
      </c>
      <c r="M797" s="2">
        <v>42062</v>
      </c>
      <c r="N797" s="1">
        <v>41</v>
      </c>
      <c r="O797" s="2">
        <v>42062</v>
      </c>
      <c r="P797" s="1" t="s">
        <v>1039</v>
      </c>
      <c r="Q797" s="1" t="s">
        <v>1393</v>
      </c>
      <c r="R797" s="2">
        <v>42121</v>
      </c>
      <c r="S797" s="1">
        <v>99999</v>
      </c>
      <c r="U797" s="1">
        <v>2879</v>
      </c>
      <c r="V797" s="1" t="s">
        <v>9051</v>
      </c>
      <c r="W797" s="1" t="s">
        <v>504</v>
      </c>
      <c r="Y797" s="1">
        <v>6</v>
      </c>
      <c r="Z797" s="1" t="s">
        <v>370</v>
      </c>
      <c r="AA797" s="1" t="s">
        <v>921</v>
      </c>
      <c r="AB797" s="1">
        <v>60540</v>
      </c>
      <c r="AD797" s="1" t="s">
        <v>3844</v>
      </c>
      <c r="AE797" s="1" t="s">
        <v>8366</v>
      </c>
      <c r="AF797" s="1">
        <v>2014</v>
      </c>
      <c r="AG797" s="1" t="s">
        <v>204</v>
      </c>
      <c r="AH797" s="1" t="s">
        <v>924</v>
      </c>
      <c r="AI797" s="1" t="s">
        <v>206</v>
      </c>
      <c r="AJ797" s="1" t="s">
        <v>924</v>
      </c>
      <c r="AK797" s="1" t="s">
        <v>8367</v>
      </c>
      <c r="AL797" s="1">
        <v>5</v>
      </c>
      <c r="AM797" s="1">
        <v>2</v>
      </c>
      <c r="AN797" s="1">
        <v>2</v>
      </c>
      <c r="AO797" s="1">
        <v>1</v>
      </c>
      <c r="AP797" s="1" t="s">
        <v>209</v>
      </c>
      <c r="AR797" s="1" t="s">
        <v>210</v>
      </c>
      <c r="AS797" s="1" t="s">
        <v>204</v>
      </c>
      <c r="AT797" s="1" t="s">
        <v>211</v>
      </c>
      <c r="AU797" s="1">
        <v>2</v>
      </c>
      <c r="AW797" s="1" t="s">
        <v>204</v>
      </c>
      <c r="AX797" s="1" t="s">
        <v>212</v>
      </c>
      <c r="AZ797" s="1" t="s">
        <v>751</v>
      </c>
      <c r="BA797" s="1">
        <v>2013</v>
      </c>
      <c r="BE797" s="1">
        <v>1555</v>
      </c>
      <c r="BF797" s="1">
        <v>2</v>
      </c>
      <c r="BG797" s="1">
        <v>0</v>
      </c>
      <c r="BL797" s="1">
        <v>210</v>
      </c>
      <c r="BM797" s="1" t="s">
        <v>204</v>
      </c>
      <c r="BN797" s="1" t="s">
        <v>213</v>
      </c>
      <c r="BO797" s="1">
        <v>0</v>
      </c>
      <c r="BP797" s="1" t="s">
        <v>213</v>
      </c>
      <c r="BQ797" s="2">
        <v>42109</v>
      </c>
      <c r="BR797" s="1" t="str">
        <f>"0727104038"</f>
        <v>0727104038</v>
      </c>
      <c r="BT797" s="1" t="s">
        <v>9052</v>
      </c>
      <c r="BU797" s="1" t="s">
        <v>2087</v>
      </c>
      <c r="BV797" s="1" t="s">
        <v>1248</v>
      </c>
      <c r="BW797" s="1" t="s">
        <v>1131</v>
      </c>
      <c r="BX797" s="1">
        <v>204</v>
      </c>
      <c r="BY797" s="1">
        <v>204</v>
      </c>
      <c r="BZ797" s="1">
        <v>204</v>
      </c>
      <c r="CB797" s="1" t="str">
        <f t="shared" si="620"/>
        <v>0</v>
      </c>
      <c r="CC797" s="1" t="str">
        <f t="shared" ref="CC797:CC798" si="622">"0"</f>
        <v>0</v>
      </c>
      <c r="CD797" s="1">
        <v>29</v>
      </c>
      <c r="CE797" s="1">
        <v>8</v>
      </c>
      <c r="CH797" s="1" t="s">
        <v>224</v>
      </c>
      <c r="CK797" s="1" t="s">
        <v>885</v>
      </c>
      <c r="CL797" s="1" t="s">
        <v>277</v>
      </c>
      <c r="CM797" s="1" t="s">
        <v>220</v>
      </c>
      <c r="CP797" s="1" t="s">
        <v>224</v>
      </c>
      <c r="CS797" s="1" t="s">
        <v>757</v>
      </c>
      <c r="CT797" s="1" t="s">
        <v>277</v>
      </c>
      <c r="CU797" s="1" t="s">
        <v>220</v>
      </c>
      <c r="CX797" s="1" t="s">
        <v>224</v>
      </c>
      <c r="DB797" s="1" t="s">
        <v>224</v>
      </c>
      <c r="DE797" s="1" t="s">
        <v>539</v>
      </c>
      <c r="DF797" s="1" t="s">
        <v>219</v>
      </c>
      <c r="DJ797" s="1" t="s">
        <v>224</v>
      </c>
      <c r="DM797" s="1" t="s">
        <v>3011</v>
      </c>
      <c r="DN797" s="1" t="s">
        <v>1676</v>
      </c>
      <c r="DO797" s="1" t="s">
        <v>1548</v>
      </c>
      <c r="DR797" s="1" t="s">
        <v>6407</v>
      </c>
      <c r="DS797" s="1" t="s">
        <v>219</v>
      </c>
      <c r="DT797" s="1" t="s">
        <v>342</v>
      </c>
      <c r="DV797" s="1" t="s">
        <v>729</v>
      </c>
      <c r="DW797" s="1" t="s">
        <v>219</v>
      </c>
      <c r="DZ797" s="1" t="s">
        <v>2231</v>
      </c>
      <c r="EA797" s="1" t="s">
        <v>219</v>
      </c>
      <c r="EE797" s="1" t="s">
        <v>230</v>
      </c>
      <c r="EI797" s="1" t="s">
        <v>230</v>
      </c>
      <c r="EL797" s="1" t="s">
        <v>760</v>
      </c>
      <c r="EM797" s="1" t="s">
        <v>232</v>
      </c>
      <c r="EN797" s="1" t="s">
        <v>282</v>
      </c>
      <c r="EO797" s="1" t="s">
        <v>234</v>
      </c>
      <c r="EQ797" s="1" t="s">
        <v>8369</v>
      </c>
      <c r="ER797" s="1" t="s">
        <v>210</v>
      </c>
      <c r="ES797" s="1" t="s">
        <v>322</v>
      </c>
      <c r="ET797" s="1" t="s">
        <v>842</v>
      </c>
      <c r="EU797" s="1" t="s">
        <v>239</v>
      </c>
      <c r="EW797" s="1" t="s">
        <v>3851</v>
      </c>
      <c r="EY797" s="1" t="s">
        <v>441</v>
      </c>
      <c r="EZ797" s="1" t="s">
        <v>8370</v>
      </c>
      <c r="FA797" s="1" t="s">
        <v>1270</v>
      </c>
      <c r="FB797" s="1" t="s">
        <v>289</v>
      </c>
      <c r="FD797" s="1" t="s">
        <v>246</v>
      </c>
      <c r="FE797" s="1" t="s">
        <v>975</v>
      </c>
      <c r="FF797" s="1" t="s">
        <v>248</v>
      </c>
      <c r="FH797" s="1" t="s">
        <v>550</v>
      </c>
      <c r="FJ797" s="1" t="s">
        <v>518</v>
      </c>
      <c r="FL797" s="1" t="s">
        <v>358</v>
      </c>
      <c r="FM797" s="1" t="s">
        <v>252</v>
      </c>
      <c r="FN797" s="1" t="s">
        <v>213</v>
      </c>
      <c r="FO797" s="1" t="s">
        <v>213</v>
      </c>
      <c r="FQ797" s="1" t="s">
        <v>3853</v>
      </c>
      <c r="FR797" s="1" t="s">
        <v>210</v>
      </c>
      <c r="FS797" s="1" t="s">
        <v>9053</v>
      </c>
      <c r="FT797" s="1" t="s">
        <v>3855</v>
      </c>
      <c r="FU797" s="1" t="s">
        <v>204</v>
      </c>
      <c r="FV797" s="1" t="s">
        <v>6996</v>
      </c>
      <c r="FW797" s="1" t="s">
        <v>3857</v>
      </c>
      <c r="FX797" s="1">
        <v>23223</v>
      </c>
      <c r="FY797" s="1" t="s">
        <v>3858</v>
      </c>
      <c r="FZ797" s="1" t="s">
        <v>3859</v>
      </c>
      <c r="GA797" s="1">
        <v>236300</v>
      </c>
      <c r="GC797" s="1">
        <v>210778</v>
      </c>
      <c r="GE797" s="1" t="s">
        <v>335</v>
      </c>
      <c r="GI797" s="1" t="s">
        <v>204</v>
      </c>
      <c r="GJ797" s="1" t="s">
        <v>300</v>
      </c>
      <c r="GK797" s="1" t="s">
        <v>210</v>
      </c>
      <c r="GL797" s="2">
        <v>42122</v>
      </c>
      <c r="GM797" s="1" t="s">
        <v>9054</v>
      </c>
    </row>
    <row r="798" spans="1:195">
      <c r="A798" s="1">
        <v>90000</v>
      </c>
      <c r="B798" s="1" t="s">
        <v>195</v>
      </c>
      <c r="C798" s="1" t="str">
        <f>"08137176"</f>
        <v>08137176</v>
      </c>
      <c r="D798" s="1" t="s">
        <v>196</v>
      </c>
      <c r="F798" s="1" t="str">
        <f t="shared" si="621"/>
        <v>540</v>
      </c>
      <c r="G798" s="2">
        <v>41135</v>
      </c>
      <c r="H798" s="1">
        <v>69900</v>
      </c>
      <c r="I798" s="1">
        <v>69900</v>
      </c>
      <c r="J798" s="1">
        <v>90000</v>
      </c>
      <c r="K798" s="2">
        <v>41134</v>
      </c>
      <c r="L798" s="1">
        <v>477</v>
      </c>
      <c r="M798" s="2">
        <v>41610</v>
      </c>
      <c r="N798" s="1">
        <v>477</v>
      </c>
      <c r="O798" s="2">
        <v>41610</v>
      </c>
      <c r="P798" s="1">
        <v>25196</v>
      </c>
      <c r="Q798" s="1" t="s">
        <v>302</v>
      </c>
      <c r="R798" s="2">
        <v>41999</v>
      </c>
      <c r="S798" s="1">
        <v>239627</v>
      </c>
      <c r="U798" s="1">
        <v>1315</v>
      </c>
      <c r="V798" s="1" t="s">
        <v>9055</v>
      </c>
      <c r="W798" s="1" t="s">
        <v>1056</v>
      </c>
      <c r="X798" s="1" t="s">
        <v>9056</v>
      </c>
      <c r="Y798" s="1">
        <v>12</v>
      </c>
      <c r="Z798" s="1" t="s">
        <v>249</v>
      </c>
      <c r="AA798" s="1" t="s">
        <v>921</v>
      </c>
      <c r="AB798" s="1">
        <v>60565</v>
      </c>
      <c r="AE798" s="1" t="s">
        <v>9057</v>
      </c>
      <c r="AF798" s="1">
        <v>1987</v>
      </c>
      <c r="AG798" s="1" t="s">
        <v>204</v>
      </c>
      <c r="AH798" s="1" t="s">
        <v>924</v>
      </c>
      <c r="AI798" s="1" t="s">
        <v>206</v>
      </c>
      <c r="AJ798" s="1" t="s">
        <v>924</v>
      </c>
      <c r="AL798" s="1">
        <v>5</v>
      </c>
      <c r="AM798" s="1">
        <v>2</v>
      </c>
      <c r="AN798" s="1">
        <v>2</v>
      </c>
      <c r="AO798" s="1">
        <v>0</v>
      </c>
      <c r="AP798" s="1" t="s">
        <v>209</v>
      </c>
      <c r="AR798" s="1" t="s">
        <v>210</v>
      </c>
      <c r="AS798" s="1" t="s">
        <v>204</v>
      </c>
      <c r="AT798" s="1" t="s">
        <v>271</v>
      </c>
      <c r="AV798" s="1">
        <v>1</v>
      </c>
      <c r="AW798" s="1" t="s">
        <v>204</v>
      </c>
      <c r="AX798" s="1" t="s">
        <v>212</v>
      </c>
      <c r="AZ798" s="1">
        <v>1529</v>
      </c>
      <c r="BA798" s="1">
        <v>2013</v>
      </c>
      <c r="BE798" s="1">
        <v>1100</v>
      </c>
      <c r="BF798" s="1">
        <v>3</v>
      </c>
      <c r="BG798" s="1">
        <v>0</v>
      </c>
      <c r="BL798" s="1">
        <v>210</v>
      </c>
      <c r="BM798" s="1" t="s">
        <v>204</v>
      </c>
      <c r="BN798" s="1" t="s">
        <v>213</v>
      </c>
      <c r="BO798" s="1">
        <v>80</v>
      </c>
      <c r="BP798" s="1" t="s">
        <v>204</v>
      </c>
      <c r="BR798" s="1" t="str">
        <f>"0725412108"</f>
        <v>0725412108</v>
      </c>
      <c r="BT798" s="1" t="s">
        <v>9058</v>
      </c>
      <c r="BX798" s="1">
        <v>204</v>
      </c>
      <c r="BY798" s="1">
        <v>204</v>
      </c>
      <c r="BZ798" s="1">
        <v>204</v>
      </c>
      <c r="CB798" s="1" t="str">
        <f t="shared" si="620"/>
        <v>0</v>
      </c>
      <c r="CC798" s="1" t="str">
        <f t="shared" si="622"/>
        <v>0</v>
      </c>
      <c r="CD798" s="1">
        <v>26</v>
      </c>
      <c r="CE798" s="1">
        <v>9</v>
      </c>
      <c r="CG798" s="1" t="s">
        <v>601</v>
      </c>
      <c r="CH798" s="1" t="s">
        <v>219</v>
      </c>
      <c r="CI798" s="1" t="s">
        <v>220</v>
      </c>
      <c r="CK798" s="1" t="s">
        <v>1788</v>
      </c>
      <c r="CL798" s="1" t="s">
        <v>219</v>
      </c>
      <c r="CM798" s="1" t="s">
        <v>220</v>
      </c>
      <c r="CO798" s="1" t="s">
        <v>7142</v>
      </c>
      <c r="CP798" s="1" t="s">
        <v>219</v>
      </c>
      <c r="CQ798" s="1" t="s">
        <v>220</v>
      </c>
      <c r="CS798" s="1" t="s">
        <v>461</v>
      </c>
      <c r="CT798" s="1" t="s">
        <v>219</v>
      </c>
      <c r="CU798" s="1" t="s">
        <v>220</v>
      </c>
      <c r="CX798" s="1" t="s">
        <v>224</v>
      </c>
      <c r="DB798" s="1" t="s">
        <v>224</v>
      </c>
      <c r="DE798" s="1" t="s">
        <v>2031</v>
      </c>
      <c r="DF798" s="1" t="s">
        <v>219</v>
      </c>
      <c r="DG798" s="1" t="s">
        <v>342</v>
      </c>
      <c r="DJ798" s="1" t="s">
        <v>224</v>
      </c>
      <c r="DS798" s="1" t="s">
        <v>230</v>
      </c>
      <c r="DW798" s="1" t="s">
        <v>230</v>
      </c>
      <c r="EA798" s="1" t="s">
        <v>230</v>
      </c>
      <c r="EE798" s="1" t="s">
        <v>230</v>
      </c>
      <c r="EI798" s="1" t="s">
        <v>230</v>
      </c>
      <c r="EL798" s="1" t="s">
        <v>542</v>
      </c>
      <c r="EM798" s="1" t="s">
        <v>319</v>
      </c>
      <c r="EN798" s="1" t="s">
        <v>233</v>
      </c>
      <c r="EO798" s="1" t="s">
        <v>234</v>
      </c>
      <c r="ER798" s="1" t="s">
        <v>210</v>
      </c>
      <c r="EU798" s="1" t="s">
        <v>239</v>
      </c>
      <c r="EV798" s="1" t="s">
        <v>324</v>
      </c>
      <c r="EW798" s="1" t="s">
        <v>9059</v>
      </c>
      <c r="EZ798" s="1" t="s">
        <v>287</v>
      </c>
      <c r="FD798" s="1" t="s">
        <v>290</v>
      </c>
      <c r="FE798" s="1" t="s">
        <v>247</v>
      </c>
      <c r="FF798" s="1" t="s">
        <v>248</v>
      </c>
      <c r="FH798" s="1" t="s">
        <v>249</v>
      </c>
      <c r="FK798" s="1" t="s">
        <v>291</v>
      </c>
      <c r="FL798" s="1" t="s">
        <v>414</v>
      </c>
      <c r="FM798" s="1" t="s">
        <v>252</v>
      </c>
      <c r="FN798" s="1" t="s">
        <v>213</v>
      </c>
      <c r="FO798" s="1" t="s">
        <v>213</v>
      </c>
      <c r="FQ798" s="1" t="s">
        <v>849</v>
      </c>
      <c r="FR798" s="1" t="s">
        <v>360</v>
      </c>
      <c r="FS798" s="1" t="s">
        <v>9060</v>
      </c>
      <c r="FT798" s="1" t="s">
        <v>295</v>
      </c>
      <c r="FU798" s="1" t="s">
        <v>204</v>
      </c>
      <c r="FW798" s="1" t="s">
        <v>1806</v>
      </c>
      <c r="FX798" s="1">
        <v>25196</v>
      </c>
      <c r="FY798" s="1" t="s">
        <v>1807</v>
      </c>
      <c r="FZ798" s="1" t="s">
        <v>1808</v>
      </c>
      <c r="GA798" s="1">
        <v>214545</v>
      </c>
      <c r="GB798" s="1" t="s">
        <v>1807</v>
      </c>
      <c r="GE798" s="1" t="s">
        <v>210</v>
      </c>
      <c r="GI798" s="1" t="s">
        <v>213</v>
      </c>
      <c r="GJ798" s="1" t="s">
        <v>260</v>
      </c>
      <c r="GK798" s="1" t="s">
        <v>210</v>
      </c>
      <c r="GL798" s="2">
        <v>41999</v>
      </c>
      <c r="GM798" s="1" t="s">
        <v>9061</v>
      </c>
    </row>
    <row r="799" spans="1:195">
      <c r="A799" s="1">
        <v>51500</v>
      </c>
      <c r="B799" s="1" t="s">
        <v>195</v>
      </c>
      <c r="C799" s="1" t="str">
        <f>"08507374"</f>
        <v>08507374</v>
      </c>
      <c r="D799" s="1" t="s">
        <v>196</v>
      </c>
      <c r="F799" s="1" t="str">
        <f>"8043"</f>
        <v>8043</v>
      </c>
      <c r="G799" s="2">
        <v>41631</v>
      </c>
      <c r="H799" s="1">
        <v>89900</v>
      </c>
      <c r="I799" s="1">
        <v>54900</v>
      </c>
      <c r="J799" s="1">
        <v>51500</v>
      </c>
      <c r="K799" s="2">
        <v>41631</v>
      </c>
      <c r="L799" s="1">
        <v>676</v>
      </c>
      <c r="M799" s="2">
        <v>41963</v>
      </c>
      <c r="N799" s="1">
        <v>333</v>
      </c>
      <c r="O799" s="2">
        <v>41963</v>
      </c>
      <c r="P799" s="1">
        <v>18235</v>
      </c>
      <c r="Q799" s="1" t="s">
        <v>302</v>
      </c>
      <c r="R799" s="2">
        <v>41992</v>
      </c>
      <c r="S799" s="1">
        <v>187759</v>
      </c>
      <c r="U799" s="1">
        <v>6700</v>
      </c>
      <c r="V799" s="1" t="s">
        <v>9062</v>
      </c>
      <c r="W799" s="1" t="s">
        <v>264</v>
      </c>
      <c r="X799" s="1" t="s">
        <v>9063</v>
      </c>
      <c r="Y799" s="1">
        <v>261</v>
      </c>
      <c r="Z799" s="1" t="s">
        <v>249</v>
      </c>
      <c r="AA799" s="1" t="s">
        <v>400</v>
      </c>
      <c r="AB799" s="1">
        <v>60649</v>
      </c>
      <c r="AE799" s="1" t="s">
        <v>9064</v>
      </c>
      <c r="AF799" s="1">
        <v>1968</v>
      </c>
      <c r="AG799" s="1" t="s">
        <v>213</v>
      </c>
      <c r="AH799" s="1" t="s">
        <v>403</v>
      </c>
      <c r="AI799" s="1" t="s">
        <v>310</v>
      </c>
      <c r="AJ799" s="1" t="s">
        <v>562</v>
      </c>
      <c r="AL799" s="1">
        <v>5</v>
      </c>
      <c r="AM799" s="1">
        <v>2</v>
      </c>
      <c r="AN799" s="1">
        <v>3</v>
      </c>
      <c r="AO799" s="1">
        <v>0</v>
      </c>
      <c r="AP799" s="1" t="s">
        <v>209</v>
      </c>
      <c r="AR799" s="1" t="s">
        <v>210</v>
      </c>
      <c r="AS799" s="1" t="s">
        <v>204</v>
      </c>
      <c r="AT799" s="1" t="s">
        <v>211</v>
      </c>
      <c r="AU799" s="1">
        <v>2</v>
      </c>
      <c r="AW799" s="1" t="s">
        <v>213</v>
      </c>
      <c r="AX799" s="1" t="s">
        <v>212</v>
      </c>
      <c r="AZ799" s="1">
        <v>1355.38</v>
      </c>
      <c r="BA799" s="1">
        <v>2012</v>
      </c>
      <c r="BE799" s="1">
        <v>1672</v>
      </c>
      <c r="BF799" s="1">
        <v>4</v>
      </c>
      <c r="BG799" s="1">
        <v>0</v>
      </c>
      <c r="BL799" s="1">
        <v>980</v>
      </c>
      <c r="BM799" s="1" t="s">
        <v>204</v>
      </c>
      <c r="BN799" s="1" t="s">
        <v>204</v>
      </c>
      <c r="BP799" s="1" t="s">
        <v>204</v>
      </c>
      <c r="BR799" s="1" t="str">
        <f>"20244060261021"</f>
        <v>20244060261021</v>
      </c>
      <c r="BT799" s="1" t="s">
        <v>9065</v>
      </c>
      <c r="BX799" s="1">
        <v>299</v>
      </c>
      <c r="BY799" s="1">
        <v>299</v>
      </c>
      <c r="BZ799" s="1">
        <v>299</v>
      </c>
      <c r="CB799" s="1" t="str">
        <f t="shared" si="620"/>
        <v>0</v>
      </c>
      <c r="CC799" s="1" t="str">
        <f>"2400"</f>
        <v>2400</v>
      </c>
      <c r="CD799" s="1">
        <v>0</v>
      </c>
      <c r="CE799" s="1">
        <v>6700</v>
      </c>
      <c r="CG799" s="1" t="s">
        <v>628</v>
      </c>
      <c r="CH799" s="1" t="s">
        <v>219</v>
      </c>
      <c r="CI799" s="1" t="s">
        <v>220</v>
      </c>
      <c r="CK799" s="1" t="s">
        <v>1178</v>
      </c>
      <c r="CL799" s="1" t="s">
        <v>219</v>
      </c>
      <c r="CM799" s="1" t="s">
        <v>220</v>
      </c>
      <c r="CP799" s="1" t="s">
        <v>224</v>
      </c>
      <c r="CS799" s="1" t="s">
        <v>317</v>
      </c>
      <c r="CT799" s="1" t="s">
        <v>219</v>
      </c>
      <c r="CU799" s="1" t="s">
        <v>220</v>
      </c>
      <c r="CX799" s="1" t="s">
        <v>224</v>
      </c>
      <c r="DB799" s="1" t="s">
        <v>224</v>
      </c>
      <c r="DE799" s="1" t="s">
        <v>380</v>
      </c>
      <c r="DF799" s="1" t="s">
        <v>219</v>
      </c>
      <c r="DG799" s="1" t="s">
        <v>226</v>
      </c>
      <c r="DJ799" s="1" t="s">
        <v>224</v>
      </c>
      <c r="DM799" s="1" t="s">
        <v>5320</v>
      </c>
      <c r="DR799" s="1" t="s">
        <v>2547</v>
      </c>
      <c r="DS799" s="1" t="s">
        <v>219</v>
      </c>
      <c r="DT799" s="1" t="s">
        <v>226</v>
      </c>
      <c r="DW799" s="1" t="s">
        <v>230</v>
      </c>
      <c r="EA799" s="1" t="s">
        <v>230</v>
      </c>
      <c r="EE799" s="1" t="s">
        <v>230</v>
      </c>
      <c r="EI799" s="1" t="s">
        <v>230</v>
      </c>
      <c r="EL799" s="1" t="s">
        <v>605</v>
      </c>
      <c r="EM799" s="1" t="s">
        <v>730</v>
      </c>
      <c r="EN799" s="1" t="s">
        <v>233</v>
      </c>
      <c r="EO799" s="1" t="s">
        <v>234</v>
      </c>
      <c r="ER799" s="1" t="s">
        <v>210</v>
      </c>
      <c r="EW799" s="1" t="s">
        <v>9066</v>
      </c>
      <c r="EZ799" s="1" t="s">
        <v>5320</v>
      </c>
      <c r="FB799" s="1" t="s">
        <v>1755</v>
      </c>
      <c r="FD799" s="1" t="s">
        <v>1112</v>
      </c>
      <c r="FE799" s="1" t="s">
        <v>6952</v>
      </c>
      <c r="FF799" s="1" t="s">
        <v>248</v>
      </c>
      <c r="FH799" s="1" t="s">
        <v>249</v>
      </c>
      <c r="FI799" s="1" t="s">
        <v>357</v>
      </c>
      <c r="FL799" s="1" t="s">
        <v>1907</v>
      </c>
      <c r="FM799" s="1" t="s">
        <v>210</v>
      </c>
      <c r="FN799" s="1" t="s">
        <v>204</v>
      </c>
      <c r="FO799" s="1" t="s">
        <v>204</v>
      </c>
      <c r="FQ799" s="1" t="s">
        <v>673</v>
      </c>
      <c r="FR799" s="1" t="s">
        <v>210</v>
      </c>
      <c r="FS799" s="1" t="s">
        <v>3061</v>
      </c>
      <c r="FT799" s="1" t="s">
        <v>2609</v>
      </c>
      <c r="FU799" s="1" t="s">
        <v>204</v>
      </c>
      <c r="FW799" s="1" t="s">
        <v>9067</v>
      </c>
      <c r="FX799" s="1">
        <v>84036</v>
      </c>
      <c r="FY799" s="1" t="s">
        <v>9068</v>
      </c>
      <c r="FZ799" s="1" t="s">
        <v>9069</v>
      </c>
      <c r="GA799" s="1">
        <v>104172</v>
      </c>
      <c r="GB799" s="1" t="s">
        <v>9068</v>
      </c>
      <c r="GC799" s="1">
        <v>189090</v>
      </c>
      <c r="GE799" s="1" t="s">
        <v>210</v>
      </c>
      <c r="GH799" s="1" t="s">
        <v>421</v>
      </c>
      <c r="GI799" s="1" t="s">
        <v>213</v>
      </c>
      <c r="GJ799" s="1" t="s">
        <v>260</v>
      </c>
      <c r="GK799" s="1" t="s">
        <v>210</v>
      </c>
      <c r="GL799" s="2">
        <v>41993</v>
      </c>
      <c r="GM799" s="1" t="s">
        <v>9070</v>
      </c>
    </row>
    <row r="800" spans="1:195">
      <c r="A800" s="1">
        <v>139000</v>
      </c>
      <c r="B800" s="1" t="s">
        <v>195</v>
      </c>
      <c r="C800" s="1" t="str">
        <f>"08863663"</f>
        <v>08863663</v>
      </c>
      <c r="D800" s="1" t="s">
        <v>196</v>
      </c>
      <c r="F800" s="1" t="str">
        <f>"73"</f>
        <v>73</v>
      </c>
      <c r="G800" s="2">
        <v>42080</v>
      </c>
      <c r="H800" s="1">
        <v>139000</v>
      </c>
      <c r="I800" s="1">
        <v>139000</v>
      </c>
      <c r="J800" s="1">
        <v>139000</v>
      </c>
      <c r="K800" s="2">
        <v>42080</v>
      </c>
      <c r="L800" s="1">
        <v>6</v>
      </c>
      <c r="M800" s="2">
        <v>42085</v>
      </c>
      <c r="N800" s="1">
        <v>6</v>
      </c>
      <c r="O800" s="2">
        <v>42085</v>
      </c>
      <c r="P800" s="1">
        <v>5338</v>
      </c>
      <c r="Q800" s="1" t="s">
        <v>302</v>
      </c>
      <c r="R800" s="2">
        <v>42108</v>
      </c>
      <c r="S800" s="1">
        <v>54023</v>
      </c>
      <c r="U800" s="1">
        <v>107</v>
      </c>
      <c r="V800" s="1" t="s">
        <v>9071</v>
      </c>
      <c r="W800" s="1" t="s">
        <v>264</v>
      </c>
      <c r="Y800" s="1">
        <v>2</v>
      </c>
      <c r="Z800" s="1" t="s">
        <v>200</v>
      </c>
      <c r="AA800" s="1" t="s">
        <v>1259</v>
      </c>
      <c r="AB800" s="1">
        <v>60073</v>
      </c>
      <c r="AD800" s="1" t="s">
        <v>5329</v>
      </c>
      <c r="AE800" s="1" t="s">
        <v>9072</v>
      </c>
      <c r="AF800" s="1">
        <v>2004</v>
      </c>
      <c r="AG800" s="1" t="s">
        <v>204</v>
      </c>
      <c r="AH800" s="1" t="s">
        <v>1262</v>
      </c>
      <c r="AI800" s="1" t="s">
        <v>509</v>
      </c>
      <c r="AJ800" s="1" t="s">
        <v>1263</v>
      </c>
      <c r="AL800" s="1">
        <v>6</v>
      </c>
      <c r="AM800" s="1">
        <v>2</v>
      </c>
      <c r="AN800" s="1">
        <v>2</v>
      </c>
      <c r="AO800" s="1">
        <v>0</v>
      </c>
      <c r="AP800" s="1" t="s">
        <v>209</v>
      </c>
      <c r="AR800" s="1" t="s">
        <v>209</v>
      </c>
      <c r="AS800" s="1" t="s">
        <v>204</v>
      </c>
      <c r="AT800" s="1" t="s">
        <v>211</v>
      </c>
      <c r="AU800" s="1">
        <v>2</v>
      </c>
      <c r="AW800" s="1" t="s">
        <v>204</v>
      </c>
      <c r="AX800" s="1" t="s">
        <v>9073</v>
      </c>
      <c r="AZ800" s="1">
        <v>3543.94</v>
      </c>
      <c r="BA800" s="1">
        <v>2013</v>
      </c>
      <c r="BB800" s="1" t="s">
        <v>599</v>
      </c>
      <c r="BE800" s="1">
        <v>1554</v>
      </c>
      <c r="BF800" s="1">
        <v>1</v>
      </c>
      <c r="BG800" s="1">
        <v>0</v>
      </c>
      <c r="BL800" s="1">
        <v>210</v>
      </c>
      <c r="BM800" s="1" t="s">
        <v>204</v>
      </c>
      <c r="BN800" s="1" t="s">
        <v>213</v>
      </c>
      <c r="BO800" s="1">
        <v>999</v>
      </c>
      <c r="BP800" s="1" t="s">
        <v>204</v>
      </c>
      <c r="BR800" s="1" t="str">
        <f>"06322110450000"</f>
        <v>06322110450000</v>
      </c>
      <c r="BT800" s="1" t="s">
        <v>9074</v>
      </c>
      <c r="BU800" s="1" t="s">
        <v>2736</v>
      </c>
      <c r="BV800" s="1" t="s">
        <v>9075</v>
      </c>
      <c r="BW800" s="1" t="s">
        <v>2737</v>
      </c>
      <c r="BX800" s="1">
        <v>46</v>
      </c>
      <c r="BY800" s="1">
        <v>46</v>
      </c>
      <c r="BZ800" s="1">
        <v>127</v>
      </c>
      <c r="CB800" s="1" t="str">
        <f t="shared" ref="CB800:CC800" si="623">""</f>
        <v/>
      </c>
      <c r="CC800" s="1" t="str">
        <f t="shared" si="623"/>
        <v/>
      </c>
      <c r="CG800" s="1" t="s">
        <v>377</v>
      </c>
      <c r="CH800" s="1" t="s">
        <v>219</v>
      </c>
      <c r="CI800" s="1" t="s">
        <v>229</v>
      </c>
      <c r="CK800" s="1" t="s">
        <v>221</v>
      </c>
      <c r="CL800" s="1" t="s">
        <v>219</v>
      </c>
      <c r="CM800" s="1" t="s">
        <v>229</v>
      </c>
      <c r="CO800" s="1" t="s">
        <v>3872</v>
      </c>
      <c r="CP800" s="1" t="s">
        <v>219</v>
      </c>
      <c r="CQ800" s="1" t="s">
        <v>229</v>
      </c>
      <c r="CS800" s="1" t="s">
        <v>379</v>
      </c>
      <c r="CT800" s="1" t="s">
        <v>219</v>
      </c>
      <c r="CU800" s="1" t="s">
        <v>229</v>
      </c>
      <c r="CX800" s="1" t="s">
        <v>224</v>
      </c>
      <c r="DB800" s="1" t="s">
        <v>224</v>
      </c>
      <c r="DE800" s="1" t="s">
        <v>757</v>
      </c>
      <c r="DF800" s="1" t="s">
        <v>219</v>
      </c>
      <c r="DG800" s="1" t="s">
        <v>342</v>
      </c>
      <c r="DI800" s="1" t="s">
        <v>437</v>
      </c>
      <c r="DJ800" s="1" t="s">
        <v>219</v>
      </c>
      <c r="DK800" s="1" t="s">
        <v>229</v>
      </c>
      <c r="DS800" s="1" t="s">
        <v>230</v>
      </c>
      <c r="DW800" s="1" t="s">
        <v>230</v>
      </c>
      <c r="EA800" s="1" t="s">
        <v>230</v>
      </c>
      <c r="EE800" s="1" t="s">
        <v>230</v>
      </c>
      <c r="EI800" s="1" t="s">
        <v>230</v>
      </c>
      <c r="EL800" s="1" t="s">
        <v>466</v>
      </c>
      <c r="EM800" s="1" t="s">
        <v>232</v>
      </c>
      <c r="EN800" s="1" t="s">
        <v>282</v>
      </c>
      <c r="EO800" s="1" t="s">
        <v>234</v>
      </c>
      <c r="EQ800" s="1" t="s">
        <v>236</v>
      </c>
      <c r="ER800" s="1" t="s">
        <v>1249</v>
      </c>
      <c r="ES800" s="1" t="s">
        <v>322</v>
      </c>
      <c r="EV800" s="1" t="s">
        <v>240</v>
      </c>
      <c r="EW800" s="1" t="s">
        <v>547</v>
      </c>
      <c r="EY800" s="1" t="s">
        <v>242</v>
      </c>
      <c r="EZ800" s="1" t="s">
        <v>287</v>
      </c>
      <c r="FA800" s="1" t="s">
        <v>1427</v>
      </c>
      <c r="FC800" s="1" t="s">
        <v>326</v>
      </c>
      <c r="FD800" s="1" t="s">
        <v>246</v>
      </c>
      <c r="FE800" s="1" t="s">
        <v>975</v>
      </c>
      <c r="FF800" s="1" t="s">
        <v>248</v>
      </c>
      <c r="FH800" s="1" t="s">
        <v>442</v>
      </c>
      <c r="FI800" s="1" t="s">
        <v>473</v>
      </c>
      <c r="FL800" s="1" t="s">
        <v>358</v>
      </c>
      <c r="FM800" s="1" t="s">
        <v>252</v>
      </c>
      <c r="FN800" s="1" t="s">
        <v>213</v>
      </c>
      <c r="FO800" s="1" t="s">
        <v>213</v>
      </c>
      <c r="FQ800" s="1" t="s">
        <v>1758</v>
      </c>
      <c r="FR800" s="1" t="s">
        <v>652</v>
      </c>
      <c r="FS800" s="1" t="s">
        <v>4124</v>
      </c>
      <c r="FT800" s="1" t="s">
        <v>520</v>
      </c>
      <c r="FU800" s="1" t="s">
        <v>204</v>
      </c>
      <c r="FW800" s="1" t="s">
        <v>9076</v>
      </c>
      <c r="FX800" s="1">
        <v>2512</v>
      </c>
      <c r="FY800" s="1" t="s">
        <v>9077</v>
      </c>
      <c r="FZ800" s="1" t="s">
        <v>9078</v>
      </c>
      <c r="GA800" s="1">
        <v>11151</v>
      </c>
      <c r="GB800" s="1" t="s">
        <v>9079</v>
      </c>
      <c r="GD800" s="1" t="s">
        <v>9080</v>
      </c>
      <c r="GE800" s="1" t="s">
        <v>623</v>
      </c>
      <c r="GI800" s="1" t="s">
        <v>213</v>
      </c>
      <c r="GJ800" s="1" t="s">
        <v>260</v>
      </c>
      <c r="GK800" s="1" t="s">
        <v>210</v>
      </c>
      <c r="GL800" s="2">
        <v>42109</v>
      </c>
      <c r="GM800" s="1" t="s">
        <v>9081</v>
      </c>
    </row>
    <row r="801" spans="1:195">
      <c r="A801" s="1">
        <v>33000</v>
      </c>
      <c r="B801" s="1" t="s">
        <v>195</v>
      </c>
      <c r="C801" s="1" t="str">
        <f>"08509931"</f>
        <v>08509931</v>
      </c>
      <c r="D801" s="1" t="s">
        <v>196</v>
      </c>
      <c r="F801" s="1" t="str">
        <f>"188"</f>
        <v>188</v>
      </c>
      <c r="G801" s="2">
        <v>41641</v>
      </c>
      <c r="H801" s="1">
        <v>39900</v>
      </c>
      <c r="I801" s="1">
        <v>27000</v>
      </c>
      <c r="J801" s="1">
        <v>33000</v>
      </c>
      <c r="K801" s="2">
        <v>41638</v>
      </c>
      <c r="L801" s="1">
        <v>341</v>
      </c>
      <c r="M801" s="2">
        <v>41978</v>
      </c>
      <c r="N801" s="1">
        <v>341</v>
      </c>
      <c r="O801" s="2">
        <v>41978</v>
      </c>
      <c r="P801" s="1">
        <v>21944</v>
      </c>
      <c r="Q801" s="1" t="s">
        <v>302</v>
      </c>
      <c r="R801" s="2">
        <v>42012</v>
      </c>
      <c r="S801" s="1">
        <v>256869</v>
      </c>
      <c r="U801" s="1">
        <v>139</v>
      </c>
      <c r="V801" s="1" t="s">
        <v>5141</v>
      </c>
      <c r="W801" s="1" t="s">
        <v>526</v>
      </c>
      <c r="X801" s="1">
        <v>138</v>
      </c>
      <c r="Y801" s="1">
        <v>12</v>
      </c>
      <c r="Z801" s="1" t="s">
        <v>249</v>
      </c>
      <c r="AA801" s="1" t="s">
        <v>1084</v>
      </c>
      <c r="AB801" s="1">
        <v>60188</v>
      </c>
      <c r="AD801" s="1" t="s">
        <v>9082</v>
      </c>
      <c r="AE801" s="1" t="s">
        <v>9083</v>
      </c>
      <c r="AF801" s="1">
        <v>1980</v>
      </c>
      <c r="AG801" s="1" t="s">
        <v>204</v>
      </c>
      <c r="AH801" s="1" t="s">
        <v>1087</v>
      </c>
      <c r="AI801" s="1" t="s">
        <v>206</v>
      </c>
      <c r="AJ801" s="1" t="s">
        <v>269</v>
      </c>
      <c r="AL801" s="1">
        <v>5</v>
      </c>
      <c r="AM801" s="1">
        <v>2</v>
      </c>
      <c r="AN801" s="1">
        <v>1</v>
      </c>
      <c r="AO801" s="1">
        <v>1</v>
      </c>
      <c r="AP801" s="1" t="s">
        <v>1234</v>
      </c>
      <c r="AR801" s="1" t="s">
        <v>210</v>
      </c>
      <c r="AS801" s="1" t="s">
        <v>204</v>
      </c>
      <c r="AT801" s="1" t="s">
        <v>271</v>
      </c>
      <c r="AV801" s="1">
        <v>2</v>
      </c>
      <c r="AW801" s="1" t="s">
        <v>204</v>
      </c>
      <c r="AX801" s="1" t="s">
        <v>212</v>
      </c>
      <c r="AZ801" s="1">
        <v>1323</v>
      </c>
      <c r="BA801" s="1">
        <v>2013</v>
      </c>
      <c r="BE801" s="1">
        <v>900</v>
      </c>
      <c r="BF801" s="1">
        <v>1</v>
      </c>
      <c r="BG801" s="1">
        <v>0</v>
      </c>
      <c r="BL801" s="1">
        <v>265</v>
      </c>
      <c r="BM801" s="1" t="s">
        <v>204</v>
      </c>
      <c r="BN801" s="1" t="s">
        <v>204</v>
      </c>
      <c r="BP801" s="1" t="s">
        <v>204</v>
      </c>
      <c r="BR801" s="1" t="str">
        <f>"0229111147"</f>
        <v>0229111147</v>
      </c>
      <c r="BT801" s="1" t="s">
        <v>9084</v>
      </c>
      <c r="BX801" s="1">
        <v>93</v>
      </c>
      <c r="BY801" s="1">
        <v>93</v>
      </c>
      <c r="BZ801" s="1">
        <v>87</v>
      </c>
      <c r="CB801" s="1" t="str">
        <f>"3"</f>
        <v>3</v>
      </c>
      <c r="CC801" s="1" t="str">
        <f>"0"</f>
        <v>0</v>
      </c>
      <c r="CD801" s="1">
        <v>25</v>
      </c>
      <c r="CE801" s="1">
        <v>0</v>
      </c>
      <c r="CG801" s="1" t="s">
        <v>669</v>
      </c>
      <c r="CH801" s="1" t="s">
        <v>219</v>
      </c>
      <c r="CI801" s="1" t="s">
        <v>220</v>
      </c>
      <c r="CK801" s="1" t="s">
        <v>378</v>
      </c>
      <c r="CL801" s="1" t="s">
        <v>219</v>
      </c>
      <c r="CM801" s="1" t="s">
        <v>220</v>
      </c>
      <c r="CO801" s="1" t="s">
        <v>318</v>
      </c>
      <c r="CP801" s="1" t="s">
        <v>219</v>
      </c>
      <c r="CQ801" s="1" t="s">
        <v>220</v>
      </c>
      <c r="CS801" s="1" t="s">
        <v>379</v>
      </c>
      <c r="CT801" s="1" t="s">
        <v>219</v>
      </c>
      <c r="CU801" s="1" t="s">
        <v>220</v>
      </c>
      <c r="CX801" s="1" t="s">
        <v>224</v>
      </c>
      <c r="DB801" s="1" t="s">
        <v>224</v>
      </c>
      <c r="DE801" s="1" t="s">
        <v>3872</v>
      </c>
      <c r="DF801" s="1" t="s">
        <v>219</v>
      </c>
      <c r="DJ801" s="1" t="s">
        <v>224</v>
      </c>
      <c r="DS801" s="1" t="s">
        <v>230</v>
      </c>
      <c r="DW801" s="1" t="s">
        <v>230</v>
      </c>
      <c r="EA801" s="1" t="s">
        <v>230</v>
      </c>
      <c r="EE801" s="1" t="s">
        <v>230</v>
      </c>
      <c r="EI801" s="1" t="s">
        <v>230</v>
      </c>
      <c r="EL801" s="1" t="s">
        <v>231</v>
      </c>
      <c r="EM801" s="1" t="s">
        <v>730</v>
      </c>
      <c r="EN801" s="1" t="s">
        <v>1158</v>
      </c>
      <c r="EO801" s="1" t="s">
        <v>234</v>
      </c>
      <c r="EP801" s="1" t="s">
        <v>9085</v>
      </c>
      <c r="ER801" s="1" t="s">
        <v>210</v>
      </c>
      <c r="EV801" s="1" t="s">
        <v>240</v>
      </c>
      <c r="EW801" s="1" t="s">
        <v>9086</v>
      </c>
      <c r="EY801" s="1" t="s">
        <v>242</v>
      </c>
      <c r="EZ801" s="1" t="s">
        <v>287</v>
      </c>
      <c r="FC801" s="1" t="s">
        <v>548</v>
      </c>
      <c r="FD801" s="1" t="s">
        <v>1112</v>
      </c>
      <c r="FE801" s="1" t="s">
        <v>247</v>
      </c>
      <c r="FF801" s="1" t="s">
        <v>248</v>
      </c>
      <c r="FH801" s="1" t="s">
        <v>249</v>
      </c>
      <c r="FK801" s="1" t="s">
        <v>291</v>
      </c>
      <c r="FL801" s="1" t="s">
        <v>414</v>
      </c>
      <c r="FM801" s="1" t="s">
        <v>252</v>
      </c>
      <c r="FN801" s="1" t="s">
        <v>213</v>
      </c>
      <c r="FO801" s="1" t="s">
        <v>213</v>
      </c>
      <c r="FQ801" s="1" t="s">
        <v>689</v>
      </c>
      <c r="FR801" s="1" t="s">
        <v>210</v>
      </c>
      <c r="FS801" s="1" t="s">
        <v>9087</v>
      </c>
      <c r="FT801" s="1" t="s">
        <v>1828</v>
      </c>
      <c r="FU801" s="1" t="s">
        <v>204</v>
      </c>
      <c r="FW801" s="1" t="s">
        <v>4481</v>
      </c>
      <c r="FX801" s="1">
        <v>84467</v>
      </c>
      <c r="FY801" s="1" t="s">
        <v>4482</v>
      </c>
      <c r="FZ801" s="1" t="s">
        <v>4483</v>
      </c>
      <c r="GA801" s="1">
        <v>183899</v>
      </c>
      <c r="GD801" s="1" t="s">
        <v>4484</v>
      </c>
      <c r="GE801" s="1" t="s">
        <v>210</v>
      </c>
      <c r="GI801" s="1" t="s">
        <v>213</v>
      </c>
      <c r="GJ801" s="1" t="s">
        <v>260</v>
      </c>
      <c r="GK801" s="1" t="s">
        <v>210</v>
      </c>
      <c r="GL801" s="2">
        <v>42012</v>
      </c>
      <c r="GM801" s="1" t="s">
        <v>9088</v>
      </c>
    </row>
    <row r="802" spans="1:195">
      <c r="A802" s="1">
        <v>28750</v>
      </c>
      <c r="B802" s="1" t="s">
        <v>195</v>
      </c>
      <c r="C802" s="1" t="str">
        <f>"08508599"</f>
        <v>08508599</v>
      </c>
      <c r="D802" s="1" t="s">
        <v>196</v>
      </c>
      <c r="F802" s="1" t="str">
        <f>"2104"</f>
        <v>2104</v>
      </c>
      <c r="G802" s="2">
        <v>41636</v>
      </c>
      <c r="H802" s="1">
        <v>42800</v>
      </c>
      <c r="I802" s="1">
        <v>33000</v>
      </c>
      <c r="J802" s="1">
        <v>28750</v>
      </c>
      <c r="K802" s="2">
        <v>41636</v>
      </c>
      <c r="L802" s="1">
        <v>376</v>
      </c>
      <c r="M802" s="2">
        <v>42011</v>
      </c>
      <c r="N802" s="1">
        <v>376</v>
      </c>
      <c r="O802" s="2">
        <v>42011</v>
      </c>
      <c r="P802" s="1">
        <v>1118</v>
      </c>
      <c r="Q802" s="1" t="s">
        <v>302</v>
      </c>
      <c r="R802" s="2">
        <v>42041</v>
      </c>
      <c r="S802" s="1">
        <v>88102</v>
      </c>
      <c r="U802" s="1">
        <v>3615</v>
      </c>
      <c r="V802" s="1" t="s">
        <v>9089</v>
      </c>
      <c r="W802" s="1" t="s">
        <v>725</v>
      </c>
      <c r="X802" s="1" t="s">
        <v>483</v>
      </c>
      <c r="Y802" s="1">
        <v>4</v>
      </c>
      <c r="Z802" s="1" t="s">
        <v>200</v>
      </c>
      <c r="AA802" s="1" t="s">
        <v>3029</v>
      </c>
      <c r="AB802" s="1">
        <v>60104</v>
      </c>
      <c r="AE802" s="1" t="s">
        <v>9090</v>
      </c>
      <c r="AF802" s="1">
        <v>1951</v>
      </c>
      <c r="AG802" s="1" t="s">
        <v>213</v>
      </c>
      <c r="AH802" s="1" t="s">
        <v>3031</v>
      </c>
      <c r="AI802" s="1" t="s">
        <v>310</v>
      </c>
      <c r="AJ802" s="1" t="s">
        <v>429</v>
      </c>
      <c r="AL802" s="1">
        <v>5</v>
      </c>
      <c r="AM802" s="1">
        <v>2</v>
      </c>
      <c r="AN802" s="1">
        <v>1</v>
      </c>
      <c r="AO802" s="1">
        <v>0</v>
      </c>
      <c r="AP802" s="1" t="s">
        <v>210</v>
      </c>
      <c r="AR802" s="1" t="s">
        <v>209</v>
      </c>
      <c r="AS802" s="1" t="s">
        <v>204</v>
      </c>
      <c r="AT802" s="1" t="s">
        <v>210</v>
      </c>
      <c r="AW802" s="1" t="s">
        <v>204</v>
      </c>
      <c r="AX802" s="1" t="s">
        <v>212</v>
      </c>
      <c r="AZ802" s="1">
        <v>2775.66</v>
      </c>
      <c r="BA802" s="1">
        <v>2012</v>
      </c>
      <c r="BE802" s="1">
        <v>912</v>
      </c>
      <c r="BF802" s="1">
        <v>1</v>
      </c>
      <c r="BG802" s="1">
        <v>0</v>
      </c>
      <c r="BL802" s="1">
        <v>0</v>
      </c>
      <c r="BM802" s="1" t="s">
        <v>413</v>
      </c>
      <c r="BN802" s="1" t="s">
        <v>213</v>
      </c>
      <c r="BO802" s="1">
        <v>0</v>
      </c>
      <c r="BP802" s="1" t="s">
        <v>204</v>
      </c>
      <c r="BR802" s="1" t="str">
        <f>"15161120530000"</f>
        <v>15161120530000</v>
      </c>
      <c r="BT802" s="1" t="s">
        <v>9091</v>
      </c>
      <c r="BX802" s="1">
        <v>88</v>
      </c>
      <c r="BY802" s="1">
        <v>88</v>
      </c>
      <c r="BZ802" s="1">
        <v>88</v>
      </c>
      <c r="CB802" s="1" t="str">
        <f t="shared" ref="CB802:CC802" si="624">""</f>
        <v/>
      </c>
      <c r="CC802" s="1" t="str">
        <f t="shared" si="624"/>
        <v/>
      </c>
      <c r="CG802" s="1" t="s">
        <v>437</v>
      </c>
      <c r="CH802" s="1" t="s">
        <v>219</v>
      </c>
      <c r="CK802" s="1" t="s">
        <v>437</v>
      </c>
      <c r="CL802" s="1" t="s">
        <v>277</v>
      </c>
      <c r="CO802" s="1" t="s">
        <v>630</v>
      </c>
      <c r="CP802" s="1" t="s">
        <v>219</v>
      </c>
      <c r="CS802" s="1" t="s">
        <v>1854</v>
      </c>
      <c r="CT802" s="1" t="s">
        <v>277</v>
      </c>
      <c r="CX802" s="1" t="s">
        <v>224</v>
      </c>
      <c r="DB802" s="1" t="s">
        <v>224</v>
      </c>
      <c r="DE802" s="1" t="s">
        <v>630</v>
      </c>
      <c r="DF802" s="1" t="s">
        <v>219</v>
      </c>
      <c r="DJ802" s="1" t="s">
        <v>224</v>
      </c>
      <c r="DS802" s="1" t="s">
        <v>230</v>
      </c>
      <c r="DW802" s="1" t="s">
        <v>230</v>
      </c>
      <c r="EA802" s="1" t="s">
        <v>230</v>
      </c>
      <c r="EE802" s="1" t="s">
        <v>230</v>
      </c>
      <c r="EI802" s="1" t="s">
        <v>230</v>
      </c>
      <c r="EL802" s="1" t="s">
        <v>3717</v>
      </c>
      <c r="EM802" s="1" t="s">
        <v>319</v>
      </c>
      <c r="EN802" s="1" t="s">
        <v>282</v>
      </c>
      <c r="EO802" s="1" t="s">
        <v>234</v>
      </c>
      <c r="ER802" s="1" t="s">
        <v>351</v>
      </c>
      <c r="EW802" s="1" t="s">
        <v>210</v>
      </c>
      <c r="EZ802" s="1" t="s">
        <v>287</v>
      </c>
      <c r="FD802" s="1" t="s">
        <v>1649</v>
      </c>
      <c r="FE802" s="1" t="s">
        <v>496</v>
      </c>
      <c r="FF802" s="1" t="s">
        <v>248</v>
      </c>
      <c r="FH802" s="1" t="s">
        <v>550</v>
      </c>
      <c r="FL802" s="1" t="s">
        <v>358</v>
      </c>
      <c r="FM802" s="1" t="s">
        <v>252</v>
      </c>
      <c r="FN802" s="1" t="s">
        <v>213</v>
      </c>
      <c r="FO802" s="1" t="s">
        <v>213</v>
      </c>
      <c r="FQ802" s="1" t="s">
        <v>689</v>
      </c>
      <c r="FR802" s="1" t="s">
        <v>210</v>
      </c>
      <c r="FS802" s="1" t="s">
        <v>2541</v>
      </c>
      <c r="FT802" s="1" t="s">
        <v>654</v>
      </c>
      <c r="FU802" s="1" t="s">
        <v>204</v>
      </c>
      <c r="FW802" s="1" t="s">
        <v>4399</v>
      </c>
      <c r="FX802" s="1">
        <v>8698</v>
      </c>
      <c r="FY802" s="1" t="s">
        <v>4400</v>
      </c>
      <c r="FZ802" s="1" t="s">
        <v>4401</v>
      </c>
      <c r="GA802" s="1">
        <v>85273</v>
      </c>
      <c r="GB802" s="1" t="s">
        <v>4400</v>
      </c>
      <c r="GE802" s="1" t="s">
        <v>210</v>
      </c>
      <c r="GI802" s="1" t="s">
        <v>213</v>
      </c>
      <c r="GJ802" s="1" t="s">
        <v>260</v>
      </c>
      <c r="GK802" s="1" t="s">
        <v>210</v>
      </c>
      <c r="GL802" s="2">
        <v>42041</v>
      </c>
      <c r="GM802" s="1" t="s">
        <v>9092</v>
      </c>
    </row>
    <row r="803" spans="1:195">
      <c r="A803" s="1">
        <v>95000</v>
      </c>
      <c r="B803" s="1" t="s">
        <v>195</v>
      </c>
      <c r="C803" s="1" t="str">
        <f>"08511215"</f>
        <v>08511215</v>
      </c>
      <c r="D803" s="1" t="s">
        <v>196</v>
      </c>
      <c r="F803" s="1" t="str">
        <f>"543"</f>
        <v>543</v>
      </c>
      <c r="G803" s="2">
        <v>41643</v>
      </c>
      <c r="H803" s="1">
        <v>117900</v>
      </c>
      <c r="I803" s="1">
        <v>99900</v>
      </c>
      <c r="J803" s="1">
        <v>95000</v>
      </c>
      <c r="K803" s="2">
        <v>41641</v>
      </c>
      <c r="L803" s="1">
        <v>309</v>
      </c>
      <c r="M803" s="2">
        <v>41949</v>
      </c>
      <c r="N803" s="1">
        <v>309</v>
      </c>
      <c r="O803" s="2">
        <v>41949</v>
      </c>
      <c r="P803" s="1">
        <v>22993</v>
      </c>
      <c r="Q803" s="1" t="s">
        <v>302</v>
      </c>
      <c r="R803" s="2">
        <v>41977</v>
      </c>
      <c r="S803" s="1">
        <v>239411</v>
      </c>
      <c r="U803" s="1">
        <v>451</v>
      </c>
      <c r="V803" s="1" t="s">
        <v>3005</v>
      </c>
      <c r="W803" s="1" t="s">
        <v>3006</v>
      </c>
      <c r="X803" s="1">
        <v>1</v>
      </c>
      <c r="Y803" s="1">
        <v>4</v>
      </c>
      <c r="Z803" s="1" t="s">
        <v>249</v>
      </c>
      <c r="AA803" s="1" t="s">
        <v>2639</v>
      </c>
      <c r="AB803" s="1">
        <v>60543</v>
      </c>
      <c r="AD803" s="1" t="s">
        <v>3007</v>
      </c>
      <c r="AE803" s="1" t="s">
        <v>9093</v>
      </c>
      <c r="AF803" s="1">
        <v>2006</v>
      </c>
      <c r="AG803" s="1" t="s">
        <v>204</v>
      </c>
      <c r="AH803" s="1" t="s">
        <v>1397</v>
      </c>
      <c r="AI803" s="1" t="s">
        <v>453</v>
      </c>
      <c r="AJ803" s="1" t="s">
        <v>1397</v>
      </c>
      <c r="AK803" s="1" t="s">
        <v>1310</v>
      </c>
      <c r="AL803" s="1">
        <v>5</v>
      </c>
      <c r="AM803" s="1">
        <v>2</v>
      </c>
      <c r="AN803" s="1">
        <v>1</v>
      </c>
      <c r="AO803" s="1">
        <v>1</v>
      </c>
      <c r="AP803" s="1" t="s">
        <v>209</v>
      </c>
      <c r="AQ803" s="1">
        <v>0</v>
      </c>
      <c r="AR803" s="1" t="s">
        <v>210</v>
      </c>
      <c r="AS803" s="1" t="s">
        <v>204</v>
      </c>
      <c r="AT803" s="1" t="s">
        <v>211</v>
      </c>
      <c r="AU803" s="1">
        <v>2</v>
      </c>
      <c r="AW803" s="1" t="s">
        <v>204</v>
      </c>
      <c r="AX803" s="1" t="s">
        <v>212</v>
      </c>
      <c r="AZ803" s="1">
        <v>4224.24</v>
      </c>
      <c r="BA803" s="1">
        <v>2013</v>
      </c>
      <c r="BB803" s="1" t="s">
        <v>405</v>
      </c>
      <c r="BE803" s="1">
        <v>1153</v>
      </c>
      <c r="BF803" s="1">
        <v>1</v>
      </c>
      <c r="BG803" s="1">
        <v>0</v>
      </c>
      <c r="BL803" s="1">
        <v>125</v>
      </c>
      <c r="BM803" s="1" t="s">
        <v>204</v>
      </c>
      <c r="BN803" s="1" t="s">
        <v>213</v>
      </c>
      <c r="BO803" s="1">
        <v>25</v>
      </c>
      <c r="BP803" s="1" t="s">
        <v>204</v>
      </c>
      <c r="BR803" s="1" t="str">
        <f>"0312480033"</f>
        <v>0312480033</v>
      </c>
      <c r="BT803" s="1" t="s">
        <v>9094</v>
      </c>
      <c r="BU803" s="1" t="s">
        <v>2167</v>
      </c>
      <c r="BV803" s="1" t="s">
        <v>3010</v>
      </c>
      <c r="BW803" s="1" t="s">
        <v>1401</v>
      </c>
      <c r="BX803" s="1">
        <v>308</v>
      </c>
      <c r="BY803" s="1">
        <v>308</v>
      </c>
      <c r="BZ803" s="1">
        <v>308</v>
      </c>
      <c r="CB803" s="1" t="str">
        <f t="shared" ref="CB803:CC803" si="625">"0"</f>
        <v>0</v>
      </c>
      <c r="CC803" s="1" t="str">
        <f t="shared" si="625"/>
        <v>0</v>
      </c>
      <c r="CD803" s="1">
        <v>34</v>
      </c>
      <c r="CE803" s="1">
        <v>10</v>
      </c>
      <c r="CG803" s="1" t="s">
        <v>515</v>
      </c>
      <c r="CH803" s="1" t="s">
        <v>219</v>
      </c>
      <c r="CI803" s="1" t="s">
        <v>220</v>
      </c>
      <c r="CK803" s="1" t="s">
        <v>315</v>
      </c>
      <c r="CL803" s="1" t="s">
        <v>219</v>
      </c>
      <c r="CM803" s="1" t="s">
        <v>220</v>
      </c>
      <c r="CP803" s="1" t="s">
        <v>224</v>
      </c>
      <c r="CS803" s="1" t="s">
        <v>346</v>
      </c>
      <c r="CT803" s="1" t="s">
        <v>219</v>
      </c>
      <c r="CU803" s="1" t="s">
        <v>220</v>
      </c>
      <c r="CX803" s="1" t="s">
        <v>224</v>
      </c>
      <c r="DB803" s="1" t="s">
        <v>224</v>
      </c>
      <c r="DE803" s="1" t="s">
        <v>346</v>
      </c>
      <c r="DF803" s="1" t="s">
        <v>219</v>
      </c>
      <c r="DG803" s="1" t="s">
        <v>342</v>
      </c>
      <c r="DJ803" s="1" t="s">
        <v>224</v>
      </c>
      <c r="DM803" s="1" t="s">
        <v>381</v>
      </c>
      <c r="DR803" s="1" t="s">
        <v>951</v>
      </c>
      <c r="DS803" s="1" t="s">
        <v>219</v>
      </c>
      <c r="DT803" s="1" t="s">
        <v>342</v>
      </c>
      <c r="DW803" s="1" t="s">
        <v>230</v>
      </c>
      <c r="EA803" s="1" t="s">
        <v>230</v>
      </c>
      <c r="EE803" s="1" t="s">
        <v>230</v>
      </c>
      <c r="EI803" s="1" t="s">
        <v>230</v>
      </c>
      <c r="EL803" s="1" t="s">
        <v>491</v>
      </c>
      <c r="EM803" s="1" t="s">
        <v>319</v>
      </c>
      <c r="EN803" s="1" t="s">
        <v>282</v>
      </c>
      <c r="EO803" s="1" t="s">
        <v>234</v>
      </c>
      <c r="EP803" s="1" t="s">
        <v>1268</v>
      </c>
      <c r="ER803" s="1" t="s">
        <v>383</v>
      </c>
      <c r="ES803" s="1" t="s">
        <v>493</v>
      </c>
      <c r="EU803" s="1" t="s">
        <v>239</v>
      </c>
      <c r="EW803" s="1" t="s">
        <v>353</v>
      </c>
      <c r="EY803" s="1" t="s">
        <v>790</v>
      </c>
      <c r="EZ803" s="1" t="s">
        <v>381</v>
      </c>
      <c r="FA803" s="1" t="s">
        <v>4675</v>
      </c>
      <c r="FB803" s="1" t="s">
        <v>289</v>
      </c>
      <c r="FD803" s="1" t="s">
        <v>290</v>
      </c>
      <c r="FE803" s="1" t="s">
        <v>765</v>
      </c>
      <c r="FF803" s="1" t="s">
        <v>248</v>
      </c>
      <c r="FH803" s="1" t="s">
        <v>249</v>
      </c>
      <c r="FJ803" s="1" t="s">
        <v>518</v>
      </c>
      <c r="FL803" s="1" t="s">
        <v>358</v>
      </c>
      <c r="FM803" s="1" t="s">
        <v>252</v>
      </c>
      <c r="FN803" s="1" t="s">
        <v>213</v>
      </c>
      <c r="FO803" s="1" t="s">
        <v>213</v>
      </c>
      <c r="FQ803" s="1" t="s">
        <v>582</v>
      </c>
      <c r="FR803" s="1" t="s">
        <v>360</v>
      </c>
      <c r="FS803" s="1" t="s">
        <v>9095</v>
      </c>
      <c r="FT803" s="1" t="s">
        <v>255</v>
      </c>
      <c r="FU803" s="1" t="s">
        <v>204</v>
      </c>
      <c r="FV803" s="1" t="s">
        <v>9096</v>
      </c>
      <c r="FW803" s="1" t="s">
        <v>1961</v>
      </c>
      <c r="FX803" s="1">
        <v>20150</v>
      </c>
      <c r="FY803" s="1" t="s">
        <v>1962</v>
      </c>
      <c r="FZ803" s="1" t="s">
        <v>1963</v>
      </c>
      <c r="GA803" s="1">
        <v>211012</v>
      </c>
      <c r="GB803" s="1" t="s">
        <v>1964</v>
      </c>
      <c r="GE803" s="1" t="s">
        <v>210</v>
      </c>
      <c r="GI803" s="1" t="s">
        <v>213</v>
      </c>
      <c r="GJ803" s="1" t="s">
        <v>260</v>
      </c>
      <c r="GK803" s="1" t="s">
        <v>261</v>
      </c>
      <c r="GL803" s="2">
        <v>41977</v>
      </c>
      <c r="GM803" s="1" t="s">
        <v>9097</v>
      </c>
    </row>
    <row r="804" spans="1:195">
      <c r="A804" s="1">
        <v>71000</v>
      </c>
      <c r="B804" s="1" t="s">
        <v>195</v>
      </c>
      <c r="C804" s="1" t="str">
        <f>"08515741"</f>
        <v>08515741</v>
      </c>
      <c r="D804" s="1" t="s">
        <v>196</v>
      </c>
      <c r="F804" s="1" t="str">
        <f>"20"</f>
        <v>20</v>
      </c>
      <c r="G804" s="2">
        <v>41652</v>
      </c>
      <c r="H804" s="1">
        <v>72500</v>
      </c>
      <c r="I804" s="1">
        <v>71000</v>
      </c>
      <c r="J804" s="1">
        <v>71000</v>
      </c>
      <c r="K804" s="2">
        <v>41652</v>
      </c>
      <c r="L804" s="1">
        <v>288</v>
      </c>
      <c r="M804" s="2">
        <v>41939</v>
      </c>
      <c r="N804" s="1">
        <v>288</v>
      </c>
      <c r="O804" s="2">
        <v>41939</v>
      </c>
      <c r="P804" s="1">
        <v>2626</v>
      </c>
      <c r="Q804" s="1" t="s">
        <v>197</v>
      </c>
      <c r="R804" s="2">
        <v>42003</v>
      </c>
      <c r="S804" s="1">
        <v>26391</v>
      </c>
      <c r="U804" s="1">
        <v>540</v>
      </c>
      <c r="V804" s="1" t="s">
        <v>6149</v>
      </c>
      <c r="W804" s="1" t="s">
        <v>264</v>
      </c>
      <c r="X804" s="1">
        <v>540</v>
      </c>
      <c r="Y804" s="1">
        <v>4</v>
      </c>
      <c r="Z804" s="1" t="s">
        <v>370</v>
      </c>
      <c r="AA804" s="1" t="s">
        <v>592</v>
      </c>
      <c r="AB804" s="1">
        <v>60020</v>
      </c>
      <c r="AD804" s="1" t="s">
        <v>9098</v>
      </c>
      <c r="AE804" s="1" t="s">
        <v>9099</v>
      </c>
      <c r="AF804" s="1">
        <v>2001</v>
      </c>
      <c r="AG804" s="1" t="s">
        <v>204</v>
      </c>
      <c r="AH804" s="1" t="s">
        <v>595</v>
      </c>
      <c r="AI804" s="1" t="s">
        <v>509</v>
      </c>
      <c r="AJ804" s="1" t="s">
        <v>1016</v>
      </c>
      <c r="AL804" s="1">
        <v>5</v>
      </c>
      <c r="AM804" s="1">
        <v>2</v>
      </c>
      <c r="AN804" s="1">
        <v>1</v>
      </c>
      <c r="AO804" s="1">
        <v>0</v>
      </c>
      <c r="AP804" s="1" t="s">
        <v>667</v>
      </c>
      <c r="AR804" s="1" t="s">
        <v>210</v>
      </c>
      <c r="AS804" s="1" t="s">
        <v>204</v>
      </c>
      <c r="AT804" s="1" t="s">
        <v>211</v>
      </c>
      <c r="AU804" s="1">
        <v>1</v>
      </c>
      <c r="AW804" s="1" t="s">
        <v>204</v>
      </c>
      <c r="AX804" s="1" t="s">
        <v>212</v>
      </c>
      <c r="AZ804" s="1">
        <v>1606.58</v>
      </c>
      <c r="BA804" s="1">
        <v>2012</v>
      </c>
      <c r="BB804" s="1" t="s">
        <v>405</v>
      </c>
      <c r="BE804" s="1">
        <v>1036</v>
      </c>
      <c r="BF804" s="1">
        <v>2</v>
      </c>
      <c r="BG804" s="1">
        <v>0</v>
      </c>
      <c r="BL804" s="1">
        <v>150</v>
      </c>
      <c r="BM804" s="1" t="s">
        <v>204</v>
      </c>
      <c r="BN804" s="1" t="s">
        <v>213</v>
      </c>
      <c r="BO804" s="1">
        <v>999</v>
      </c>
      <c r="BP804" s="1" t="s">
        <v>204</v>
      </c>
      <c r="BR804" s="1" t="str">
        <f>"05151020730000"</f>
        <v>05151020730000</v>
      </c>
      <c r="BT804" s="1" t="s">
        <v>9100</v>
      </c>
      <c r="BU804" s="1" t="s">
        <v>6153</v>
      </c>
      <c r="BV804" s="1" t="s">
        <v>6488</v>
      </c>
      <c r="BW804" s="1" t="s">
        <v>2264</v>
      </c>
      <c r="BX804" s="1">
        <v>38</v>
      </c>
      <c r="BY804" s="1">
        <v>38</v>
      </c>
      <c r="BZ804" s="1">
        <v>124</v>
      </c>
      <c r="CB804" s="1" t="str">
        <f>"36"</f>
        <v>36</v>
      </c>
      <c r="CC804" s="1" t="str">
        <f>"0"</f>
        <v>0</v>
      </c>
      <c r="CD804" s="1">
        <v>27</v>
      </c>
      <c r="CE804" s="1">
        <v>0</v>
      </c>
      <c r="CG804" s="1" t="s">
        <v>4225</v>
      </c>
      <c r="CH804" s="1" t="s">
        <v>277</v>
      </c>
      <c r="CI804" s="1" t="s">
        <v>220</v>
      </c>
      <c r="CK804" s="1" t="s">
        <v>1788</v>
      </c>
      <c r="CL804" s="1" t="s">
        <v>277</v>
      </c>
      <c r="CM804" s="1" t="s">
        <v>220</v>
      </c>
      <c r="CO804" s="1" t="s">
        <v>3318</v>
      </c>
      <c r="CP804" s="1" t="s">
        <v>277</v>
      </c>
      <c r="CQ804" s="1" t="s">
        <v>220</v>
      </c>
      <c r="CS804" s="1" t="s">
        <v>1403</v>
      </c>
      <c r="CT804" s="1" t="s">
        <v>277</v>
      </c>
      <c r="CU804" s="1" t="s">
        <v>220</v>
      </c>
      <c r="CX804" s="1" t="s">
        <v>224</v>
      </c>
      <c r="DB804" s="1" t="s">
        <v>224</v>
      </c>
      <c r="DE804" s="1" t="s">
        <v>4999</v>
      </c>
      <c r="DF804" s="1" t="s">
        <v>277</v>
      </c>
      <c r="DG804" s="1" t="s">
        <v>438</v>
      </c>
      <c r="DJ804" s="1" t="s">
        <v>224</v>
      </c>
      <c r="DS804" s="1" t="s">
        <v>230</v>
      </c>
      <c r="DW804" s="1" t="s">
        <v>230</v>
      </c>
      <c r="EA804" s="1" t="s">
        <v>230</v>
      </c>
      <c r="EE804" s="1" t="s">
        <v>230</v>
      </c>
      <c r="EI804" s="1" t="s">
        <v>230</v>
      </c>
      <c r="EL804" s="1" t="s">
        <v>466</v>
      </c>
      <c r="EM804" s="1" t="s">
        <v>319</v>
      </c>
      <c r="EN804" s="1" t="s">
        <v>282</v>
      </c>
      <c r="EO804" s="1" t="s">
        <v>234</v>
      </c>
      <c r="ER804" s="1" t="s">
        <v>210</v>
      </c>
      <c r="ES804" s="1" t="s">
        <v>493</v>
      </c>
      <c r="ET804" s="1" t="s">
        <v>842</v>
      </c>
      <c r="EV804" s="1" t="s">
        <v>324</v>
      </c>
      <c r="EW804" s="1" t="s">
        <v>8645</v>
      </c>
      <c r="EZ804" s="1" t="s">
        <v>287</v>
      </c>
      <c r="FA804" s="1" t="s">
        <v>5402</v>
      </c>
      <c r="FD804" s="1" t="s">
        <v>246</v>
      </c>
      <c r="FE804" s="1" t="s">
        <v>472</v>
      </c>
      <c r="FF804" s="1" t="s">
        <v>248</v>
      </c>
      <c r="FH804" s="1" t="s">
        <v>249</v>
      </c>
      <c r="FI804" s="1" t="s">
        <v>473</v>
      </c>
      <c r="FL804" s="1" t="s">
        <v>414</v>
      </c>
      <c r="FM804" s="1" t="s">
        <v>252</v>
      </c>
      <c r="FN804" s="1" t="s">
        <v>213</v>
      </c>
      <c r="FO804" s="1" t="s">
        <v>213</v>
      </c>
      <c r="FQ804" s="1" t="s">
        <v>9101</v>
      </c>
      <c r="FR804" s="1" t="s">
        <v>360</v>
      </c>
      <c r="FS804" s="1" t="s">
        <v>9102</v>
      </c>
      <c r="FT804" s="1" t="s">
        <v>2589</v>
      </c>
      <c r="FU804" s="1" t="s">
        <v>204</v>
      </c>
      <c r="FW804" s="1" t="s">
        <v>9103</v>
      </c>
      <c r="FX804" s="1">
        <v>5366</v>
      </c>
      <c r="FY804" s="1" t="s">
        <v>9104</v>
      </c>
      <c r="FZ804" s="1" t="s">
        <v>9105</v>
      </c>
      <c r="GA804" s="1">
        <v>54764</v>
      </c>
      <c r="GB804" s="1" t="s">
        <v>9106</v>
      </c>
      <c r="GE804" s="1" t="s">
        <v>210</v>
      </c>
      <c r="GI804" s="1" t="s">
        <v>213</v>
      </c>
      <c r="GJ804" s="1" t="s">
        <v>260</v>
      </c>
      <c r="GK804" s="1" t="s">
        <v>210</v>
      </c>
      <c r="GL804" s="2">
        <v>42006</v>
      </c>
      <c r="GM804" s="1" t="s">
        <v>397</v>
      </c>
    </row>
    <row r="805" spans="1:195">
      <c r="A805" s="1">
        <v>259990</v>
      </c>
      <c r="B805" s="1" t="s">
        <v>195</v>
      </c>
      <c r="C805" s="1" t="str">
        <f>"08519140"</f>
        <v>08519140</v>
      </c>
      <c r="D805" s="1" t="s">
        <v>196</v>
      </c>
      <c r="F805" s="1" t="str">
        <f>"540"</f>
        <v>540</v>
      </c>
      <c r="G805" s="2">
        <v>41656</v>
      </c>
      <c r="H805" s="1">
        <v>273990</v>
      </c>
      <c r="I805" s="1">
        <v>259990</v>
      </c>
      <c r="J805" s="1">
        <v>259990</v>
      </c>
      <c r="K805" s="2">
        <v>41656</v>
      </c>
      <c r="L805" s="1">
        <v>401</v>
      </c>
      <c r="M805" s="2">
        <v>42056</v>
      </c>
      <c r="N805" s="1">
        <v>401</v>
      </c>
      <c r="O805" s="2">
        <v>42056</v>
      </c>
      <c r="P805" s="1">
        <v>23120</v>
      </c>
      <c r="Q805" s="1" t="s">
        <v>197</v>
      </c>
      <c r="R805" s="2">
        <v>42094</v>
      </c>
      <c r="S805" s="1">
        <v>214831</v>
      </c>
      <c r="U805" s="1">
        <v>2665</v>
      </c>
      <c r="V805" s="1" t="s">
        <v>2652</v>
      </c>
      <c r="W805" s="1" t="s">
        <v>449</v>
      </c>
      <c r="X805" s="1">
        <v>2665</v>
      </c>
      <c r="Y805" s="1">
        <v>3</v>
      </c>
      <c r="Z805" s="1" t="s">
        <v>370</v>
      </c>
      <c r="AA805" s="1" t="s">
        <v>921</v>
      </c>
      <c r="AB805" s="1">
        <v>60564</v>
      </c>
      <c r="AD805" s="1" t="s">
        <v>3249</v>
      </c>
      <c r="AE805" s="1" t="s">
        <v>9107</v>
      </c>
      <c r="AF805" s="1">
        <v>2014</v>
      </c>
      <c r="AG805" s="1" t="s">
        <v>204</v>
      </c>
      <c r="AH805" s="1" t="s">
        <v>924</v>
      </c>
      <c r="AI805" s="1" t="s">
        <v>1800</v>
      </c>
      <c r="AJ805" s="1" t="s">
        <v>1801</v>
      </c>
      <c r="AK805" s="1" t="s">
        <v>9108</v>
      </c>
      <c r="AL805" s="1">
        <v>4</v>
      </c>
      <c r="AM805" s="1">
        <v>2</v>
      </c>
      <c r="AN805" s="1">
        <v>2</v>
      </c>
      <c r="AO805" s="1">
        <v>0</v>
      </c>
      <c r="AP805" s="1" t="s">
        <v>209</v>
      </c>
      <c r="AR805" s="1" t="s">
        <v>210</v>
      </c>
      <c r="AS805" s="1" t="s">
        <v>204</v>
      </c>
      <c r="AT805" s="1" t="s">
        <v>211</v>
      </c>
      <c r="AU805" s="1">
        <v>2</v>
      </c>
      <c r="AW805" s="1" t="s">
        <v>204</v>
      </c>
      <c r="AX805" s="1" t="s">
        <v>9109</v>
      </c>
      <c r="AZ805" s="1" t="s">
        <v>751</v>
      </c>
      <c r="BA805" s="1">
        <v>2012</v>
      </c>
      <c r="BE805" s="1">
        <v>1549</v>
      </c>
      <c r="BF805" s="1">
        <v>1</v>
      </c>
      <c r="BG805" s="1">
        <v>0</v>
      </c>
      <c r="BL805" s="1">
        <v>244</v>
      </c>
      <c r="BM805" s="1" t="s">
        <v>204</v>
      </c>
      <c r="BN805" s="1" t="s">
        <v>213</v>
      </c>
      <c r="BO805" s="1">
        <v>999</v>
      </c>
      <c r="BP805" s="1" t="s">
        <v>213</v>
      </c>
      <c r="BQ805" s="2">
        <v>42063</v>
      </c>
      <c r="BR805" s="1" t="str">
        <f>"01054100390000"</f>
        <v>01054100390000</v>
      </c>
      <c r="BT805" s="1" t="s">
        <v>9110</v>
      </c>
      <c r="BX805" s="1">
        <v>204</v>
      </c>
      <c r="BY805" s="1">
        <v>204</v>
      </c>
      <c r="BZ805" s="1">
        <v>204</v>
      </c>
      <c r="CB805" s="1" t="str">
        <f t="shared" ref="CB805:CC805" si="626">""</f>
        <v/>
      </c>
      <c r="CC805" s="1" t="str">
        <f t="shared" si="626"/>
        <v/>
      </c>
      <c r="CH805" s="1" t="s">
        <v>224</v>
      </c>
      <c r="CK805" s="1" t="s">
        <v>462</v>
      </c>
      <c r="CL805" s="1" t="s">
        <v>219</v>
      </c>
      <c r="CP805" s="1" t="s">
        <v>224</v>
      </c>
      <c r="CS805" s="1" t="s">
        <v>346</v>
      </c>
      <c r="CT805" s="1" t="s">
        <v>219</v>
      </c>
      <c r="CX805" s="1" t="s">
        <v>224</v>
      </c>
      <c r="DB805" s="1" t="s">
        <v>224</v>
      </c>
      <c r="DE805" s="1" t="s">
        <v>885</v>
      </c>
      <c r="DF805" s="1" t="s">
        <v>219</v>
      </c>
      <c r="DG805" s="1" t="s">
        <v>438</v>
      </c>
      <c r="DI805" s="1" t="s">
        <v>9111</v>
      </c>
      <c r="DJ805" s="1" t="s">
        <v>219</v>
      </c>
      <c r="DK805" s="1" t="s">
        <v>438</v>
      </c>
      <c r="DS805" s="1" t="s">
        <v>230</v>
      </c>
      <c r="DW805" s="1" t="s">
        <v>230</v>
      </c>
      <c r="EA805" s="1" t="s">
        <v>230</v>
      </c>
      <c r="EE805" s="1" t="s">
        <v>230</v>
      </c>
      <c r="EI805" s="1" t="s">
        <v>230</v>
      </c>
      <c r="EL805" s="1" t="s">
        <v>760</v>
      </c>
      <c r="EM805" s="1" t="s">
        <v>730</v>
      </c>
      <c r="EN805" s="1" t="s">
        <v>282</v>
      </c>
      <c r="EO805" s="1" t="s">
        <v>1020</v>
      </c>
      <c r="EP805" s="1" t="s">
        <v>9112</v>
      </c>
      <c r="ER805" s="1" t="s">
        <v>383</v>
      </c>
      <c r="EW805" s="1" t="s">
        <v>9113</v>
      </c>
      <c r="EX805" s="1" t="s">
        <v>9114</v>
      </c>
      <c r="EY805" s="1" t="s">
        <v>441</v>
      </c>
      <c r="EZ805" s="1" t="s">
        <v>287</v>
      </c>
      <c r="FD805" s="1" t="s">
        <v>246</v>
      </c>
      <c r="FE805" s="1" t="s">
        <v>765</v>
      </c>
      <c r="FF805" s="1" t="s">
        <v>248</v>
      </c>
      <c r="FH805" s="1" t="s">
        <v>825</v>
      </c>
      <c r="FL805" s="1" t="s">
        <v>358</v>
      </c>
      <c r="FM805" s="1" t="s">
        <v>252</v>
      </c>
      <c r="FN805" s="1" t="s">
        <v>204</v>
      </c>
      <c r="FO805" s="1" t="s">
        <v>204</v>
      </c>
      <c r="FQ805" s="1" t="s">
        <v>582</v>
      </c>
      <c r="FR805" s="1" t="s">
        <v>210</v>
      </c>
      <c r="FS805" s="1" t="s">
        <v>9115</v>
      </c>
      <c r="FT805" s="1" t="s">
        <v>5166</v>
      </c>
      <c r="FU805" s="1" t="s">
        <v>204</v>
      </c>
      <c r="FW805" s="1" t="s">
        <v>772</v>
      </c>
      <c r="FX805" s="1">
        <v>92038</v>
      </c>
      <c r="FY805" s="1" t="s">
        <v>773</v>
      </c>
      <c r="FZ805" s="1" t="s">
        <v>774</v>
      </c>
      <c r="GA805" s="1">
        <v>21137</v>
      </c>
      <c r="GB805" s="1" t="s">
        <v>775</v>
      </c>
      <c r="GE805" s="1" t="s">
        <v>623</v>
      </c>
      <c r="GI805" s="1" t="s">
        <v>204</v>
      </c>
      <c r="GJ805" s="1" t="s">
        <v>260</v>
      </c>
      <c r="GK805" s="1" t="s">
        <v>210</v>
      </c>
      <c r="GL805" s="2">
        <v>42096</v>
      </c>
      <c r="GM805" s="1" t="s">
        <v>9116</v>
      </c>
    </row>
    <row r="806" spans="1:195">
      <c r="A806" s="1">
        <v>80000</v>
      </c>
      <c r="B806" s="1" t="s">
        <v>195</v>
      </c>
      <c r="C806" s="1" t="str">
        <f>"08524359"</f>
        <v>08524359</v>
      </c>
      <c r="D806" s="1" t="s">
        <v>196</v>
      </c>
      <c r="F806" s="1" t="str">
        <f>"119"</f>
        <v>119</v>
      </c>
      <c r="G806" s="2">
        <v>41666</v>
      </c>
      <c r="H806" s="1">
        <v>115000</v>
      </c>
      <c r="I806" s="1">
        <v>75000</v>
      </c>
      <c r="J806" s="1">
        <v>80000</v>
      </c>
      <c r="K806" s="2">
        <v>41666</v>
      </c>
      <c r="L806" s="1">
        <v>389</v>
      </c>
      <c r="M806" s="2">
        <v>42054</v>
      </c>
      <c r="N806" s="1">
        <v>389</v>
      </c>
      <c r="O806" s="2">
        <v>42054</v>
      </c>
      <c r="P806" s="1">
        <v>383</v>
      </c>
      <c r="Q806" s="1" t="s">
        <v>197</v>
      </c>
      <c r="R806" s="2">
        <v>42083</v>
      </c>
      <c r="S806" s="1">
        <v>335</v>
      </c>
      <c r="T806" s="1">
        <v>2000</v>
      </c>
      <c r="U806" s="1">
        <v>200</v>
      </c>
      <c r="V806" s="1" t="s">
        <v>82</v>
      </c>
      <c r="W806" s="1" t="s">
        <v>725</v>
      </c>
      <c r="X806" s="1" t="s">
        <v>2039</v>
      </c>
      <c r="Y806" s="1">
        <v>12</v>
      </c>
      <c r="Z806" s="1" t="s">
        <v>370</v>
      </c>
      <c r="AA806" s="1" t="s">
        <v>9117</v>
      </c>
      <c r="AB806" s="1">
        <v>60119</v>
      </c>
      <c r="AE806" s="1" t="s">
        <v>9118</v>
      </c>
      <c r="AF806" s="1">
        <v>1999</v>
      </c>
      <c r="AG806" s="1" t="s">
        <v>204</v>
      </c>
      <c r="AH806" s="1" t="s">
        <v>9119</v>
      </c>
      <c r="AI806" s="1" t="s">
        <v>665</v>
      </c>
      <c r="AJ806" s="1" t="s">
        <v>2443</v>
      </c>
      <c r="AL806" s="1">
        <v>5</v>
      </c>
      <c r="AM806" s="1">
        <v>2</v>
      </c>
      <c r="AN806" s="1">
        <v>2</v>
      </c>
      <c r="AO806" s="1">
        <v>0</v>
      </c>
      <c r="AP806" s="1" t="s">
        <v>209</v>
      </c>
      <c r="AR806" s="1" t="s">
        <v>210</v>
      </c>
      <c r="AS806" s="1" t="s">
        <v>204</v>
      </c>
      <c r="AT806" s="1" t="s">
        <v>375</v>
      </c>
      <c r="AU806" s="1">
        <v>1</v>
      </c>
      <c r="AV806" s="1">
        <v>1</v>
      </c>
      <c r="AW806" s="1" t="s">
        <v>204</v>
      </c>
      <c r="AX806" s="1" t="s">
        <v>9120</v>
      </c>
      <c r="AZ806" s="1">
        <v>4830</v>
      </c>
      <c r="BA806" s="1">
        <v>2013</v>
      </c>
      <c r="BE806" s="1">
        <v>1484</v>
      </c>
      <c r="BF806" s="1">
        <v>1</v>
      </c>
      <c r="BG806" s="1">
        <v>0</v>
      </c>
      <c r="BL806" s="1">
        <v>95</v>
      </c>
      <c r="BM806" s="1" t="s">
        <v>204</v>
      </c>
      <c r="BN806" s="1" t="s">
        <v>213</v>
      </c>
      <c r="BO806" s="1">
        <v>150</v>
      </c>
      <c r="BP806" s="1" t="s">
        <v>204</v>
      </c>
      <c r="BR806" s="1" t="str">
        <f>"1106284037"</f>
        <v>1106284037</v>
      </c>
      <c r="BT806" s="1" t="s">
        <v>9121</v>
      </c>
      <c r="BX806" s="1">
        <v>302</v>
      </c>
      <c r="BY806" s="1">
        <v>302</v>
      </c>
      <c r="BZ806" s="1">
        <v>302</v>
      </c>
      <c r="CB806" s="1" t="str">
        <f t="shared" ref="CB806:CC806" si="627">""</f>
        <v/>
      </c>
      <c r="CC806" s="1" t="str">
        <f t="shared" si="627"/>
        <v/>
      </c>
      <c r="CG806" s="1" t="s">
        <v>6248</v>
      </c>
      <c r="CH806" s="1" t="s">
        <v>219</v>
      </c>
      <c r="CK806" s="1" t="s">
        <v>932</v>
      </c>
      <c r="CL806" s="1" t="s">
        <v>277</v>
      </c>
      <c r="CO806" s="1" t="s">
        <v>1297</v>
      </c>
      <c r="CP806" s="1" t="s">
        <v>219</v>
      </c>
      <c r="CS806" s="1" t="s">
        <v>669</v>
      </c>
      <c r="CT806" s="1" t="s">
        <v>219</v>
      </c>
      <c r="CX806" s="1" t="s">
        <v>224</v>
      </c>
      <c r="DB806" s="1" t="s">
        <v>224</v>
      </c>
      <c r="DE806" s="1" t="s">
        <v>1046</v>
      </c>
      <c r="DF806" s="1" t="s">
        <v>219</v>
      </c>
      <c r="DJ806" s="1" t="s">
        <v>224</v>
      </c>
      <c r="DS806" s="1" t="s">
        <v>230</v>
      </c>
      <c r="DW806" s="1" t="s">
        <v>230</v>
      </c>
      <c r="EA806" s="1" t="s">
        <v>230</v>
      </c>
      <c r="EE806" s="1" t="s">
        <v>230</v>
      </c>
      <c r="EI806" s="1" t="s">
        <v>230</v>
      </c>
      <c r="EL806" s="1" t="s">
        <v>670</v>
      </c>
      <c r="EM806" s="1" t="s">
        <v>319</v>
      </c>
      <c r="EN806" s="1" t="s">
        <v>282</v>
      </c>
      <c r="EO806" s="1" t="s">
        <v>234</v>
      </c>
      <c r="ER806" s="1" t="s">
        <v>210</v>
      </c>
      <c r="EW806" s="1" t="s">
        <v>210</v>
      </c>
      <c r="EZ806" s="1" t="s">
        <v>287</v>
      </c>
      <c r="FD806" s="1" t="s">
        <v>246</v>
      </c>
      <c r="FE806" s="1" t="s">
        <v>870</v>
      </c>
      <c r="FF806" s="1" t="s">
        <v>248</v>
      </c>
      <c r="FH806" s="1" t="s">
        <v>550</v>
      </c>
      <c r="FI806" s="1" t="s">
        <v>357</v>
      </c>
      <c r="FK806" s="1" t="s">
        <v>291</v>
      </c>
      <c r="FL806" s="1" t="s">
        <v>358</v>
      </c>
      <c r="FM806" s="1" t="s">
        <v>252</v>
      </c>
      <c r="FN806" s="1" t="s">
        <v>213</v>
      </c>
      <c r="FO806" s="1" t="s">
        <v>213</v>
      </c>
      <c r="FQ806" s="1" t="s">
        <v>9122</v>
      </c>
      <c r="FR806" s="1" t="s">
        <v>360</v>
      </c>
      <c r="FS806" s="1" t="s">
        <v>9123</v>
      </c>
      <c r="FT806" s="1" t="s">
        <v>295</v>
      </c>
      <c r="FU806" s="1" t="s">
        <v>204</v>
      </c>
      <c r="FW806" s="1" t="s">
        <v>9124</v>
      </c>
      <c r="FX806" s="1">
        <v>226</v>
      </c>
      <c r="FY806" s="1" t="s">
        <v>9125</v>
      </c>
      <c r="FZ806" s="1" t="s">
        <v>9126</v>
      </c>
      <c r="GA806" s="1">
        <v>8632</v>
      </c>
      <c r="GE806" s="1" t="s">
        <v>210</v>
      </c>
      <c r="GH806" s="1" t="s">
        <v>589</v>
      </c>
      <c r="GI806" s="1" t="s">
        <v>213</v>
      </c>
      <c r="GJ806" s="1" t="s">
        <v>260</v>
      </c>
      <c r="GK806" s="1" t="s">
        <v>210</v>
      </c>
      <c r="GL806" s="2">
        <v>42086</v>
      </c>
      <c r="GM806" s="1" t="s">
        <v>9127</v>
      </c>
    </row>
    <row r="807" spans="1:195">
      <c r="A807" s="1">
        <v>96000</v>
      </c>
      <c r="B807" s="1" t="s">
        <v>195</v>
      </c>
      <c r="C807" s="1" t="str">
        <f>"08517470"</f>
        <v>08517470</v>
      </c>
      <c r="D807" s="1" t="s">
        <v>196</v>
      </c>
      <c r="F807" s="1" t="str">
        <f>"515"</f>
        <v>515</v>
      </c>
      <c r="G807" s="2">
        <v>41654</v>
      </c>
      <c r="H807" s="1">
        <v>100000</v>
      </c>
      <c r="I807" s="1">
        <v>95000</v>
      </c>
      <c r="J807" s="1">
        <v>96000</v>
      </c>
      <c r="K807" s="2">
        <v>41654</v>
      </c>
      <c r="L807" s="1">
        <v>193</v>
      </c>
      <c r="M807" s="2">
        <v>41846</v>
      </c>
      <c r="N807" s="1">
        <v>193</v>
      </c>
      <c r="O807" s="2">
        <v>41846</v>
      </c>
      <c r="P807" s="1">
        <v>72504</v>
      </c>
      <c r="Q807" s="1" t="s">
        <v>302</v>
      </c>
      <c r="R807" s="2">
        <v>41984</v>
      </c>
      <c r="S807" s="1">
        <v>705713</v>
      </c>
      <c r="U807" s="1">
        <v>11</v>
      </c>
      <c r="V807" s="1" t="s">
        <v>9128</v>
      </c>
      <c r="W807" s="1" t="s">
        <v>304</v>
      </c>
      <c r="X807" s="1">
        <v>11</v>
      </c>
      <c r="Y807" s="1">
        <v>12</v>
      </c>
      <c r="Z807" s="1" t="s">
        <v>249</v>
      </c>
      <c r="AA807" s="1" t="s">
        <v>1294</v>
      </c>
      <c r="AB807" s="1">
        <v>60516</v>
      </c>
      <c r="AC807" s="1">
        <v>4068</v>
      </c>
      <c r="AD807" s="1" t="s">
        <v>9129</v>
      </c>
      <c r="AE807" s="1" t="s">
        <v>9130</v>
      </c>
      <c r="AF807" s="1">
        <v>1972</v>
      </c>
      <c r="AG807" s="1" t="s">
        <v>213</v>
      </c>
      <c r="AH807" s="1" t="s">
        <v>882</v>
      </c>
      <c r="AI807" s="1" t="s">
        <v>206</v>
      </c>
      <c r="AJ807" s="1" t="s">
        <v>903</v>
      </c>
      <c r="AK807" s="1" t="s">
        <v>9131</v>
      </c>
      <c r="AL807" s="1">
        <v>5</v>
      </c>
      <c r="AM807" s="1">
        <v>2</v>
      </c>
      <c r="AN807" s="1">
        <v>1</v>
      </c>
      <c r="AO807" s="1">
        <v>1</v>
      </c>
      <c r="AP807" s="1" t="s">
        <v>210</v>
      </c>
      <c r="AR807" s="1" t="s">
        <v>209</v>
      </c>
      <c r="AS807" s="1" t="s">
        <v>204</v>
      </c>
      <c r="AT807" s="1" t="s">
        <v>271</v>
      </c>
      <c r="AV807" s="1">
        <v>2</v>
      </c>
      <c r="AW807" s="1" t="s">
        <v>204</v>
      </c>
      <c r="AX807" s="1" t="s">
        <v>212</v>
      </c>
      <c r="AZ807" s="1">
        <v>2237</v>
      </c>
      <c r="BA807" s="1">
        <v>2013</v>
      </c>
      <c r="BB807" s="1" t="s">
        <v>405</v>
      </c>
      <c r="BE807" s="1">
        <v>0</v>
      </c>
      <c r="BF807" s="1">
        <v>1</v>
      </c>
      <c r="BG807" s="1">
        <v>30</v>
      </c>
      <c r="BL807" s="1">
        <v>250</v>
      </c>
      <c r="BM807" s="1" t="s">
        <v>204</v>
      </c>
      <c r="BN807" s="1" t="s">
        <v>213</v>
      </c>
      <c r="BO807" s="1">
        <v>100</v>
      </c>
      <c r="BP807" s="1" t="s">
        <v>204</v>
      </c>
      <c r="BR807" s="1" t="str">
        <f>"0929218009"</f>
        <v>0929218009</v>
      </c>
      <c r="BT807" s="1" t="s">
        <v>9132</v>
      </c>
      <c r="BX807" s="1">
        <v>61</v>
      </c>
      <c r="BY807" s="1">
        <v>61</v>
      </c>
      <c r="BZ807" s="1">
        <v>99</v>
      </c>
      <c r="CB807" s="1" t="str">
        <f t="shared" ref="CB807:CC807" si="628">"0"</f>
        <v>0</v>
      </c>
      <c r="CC807" s="1" t="str">
        <f t="shared" si="628"/>
        <v>0</v>
      </c>
      <c r="CD807" s="1">
        <v>19</v>
      </c>
      <c r="CE807" s="1">
        <v>8</v>
      </c>
      <c r="CG807" s="1" t="s">
        <v>1178</v>
      </c>
      <c r="CH807" s="1" t="s">
        <v>219</v>
      </c>
      <c r="CI807" s="1" t="s">
        <v>220</v>
      </c>
      <c r="CK807" s="1" t="s">
        <v>315</v>
      </c>
      <c r="CL807" s="1" t="s">
        <v>277</v>
      </c>
      <c r="CM807" s="1" t="s">
        <v>220</v>
      </c>
      <c r="CP807" s="1" t="s">
        <v>224</v>
      </c>
      <c r="CS807" s="1" t="s">
        <v>317</v>
      </c>
      <c r="CT807" s="1" t="s">
        <v>277</v>
      </c>
      <c r="CU807" s="1" t="s">
        <v>220</v>
      </c>
      <c r="CX807" s="1" t="s">
        <v>224</v>
      </c>
      <c r="DB807" s="1" t="s">
        <v>224</v>
      </c>
      <c r="DE807" s="1" t="s">
        <v>9133</v>
      </c>
      <c r="DF807" s="1" t="s">
        <v>219</v>
      </c>
      <c r="DG807" s="1" t="s">
        <v>342</v>
      </c>
      <c r="DI807" s="1" t="s">
        <v>9134</v>
      </c>
      <c r="DJ807" s="1" t="s">
        <v>822</v>
      </c>
      <c r="DK807" s="1" t="s">
        <v>220</v>
      </c>
      <c r="DS807" s="1" t="s">
        <v>230</v>
      </c>
      <c r="DW807" s="1" t="s">
        <v>230</v>
      </c>
      <c r="EA807" s="1" t="s">
        <v>230</v>
      </c>
      <c r="EE807" s="1" t="s">
        <v>230</v>
      </c>
      <c r="EI807" s="1" t="s">
        <v>230</v>
      </c>
      <c r="EL807" s="1" t="s">
        <v>605</v>
      </c>
      <c r="EM807" s="1" t="s">
        <v>232</v>
      </c>
      <c r="EN807" s="1" t="s">
        <v>282</v>
      </c>
      <c r="EO807" s="1" t="s">
        <v>234</v>
      </c>
      <c r="EP807" s="1" t="s">
        <v>1093</v>
      </c>
      <c r="EQ807" s="1" t="s">
        <v>3718</v>
      </c>
      <c r="ER807" s="1" t="s">
        <v>544</v>
      </c>
      <c r="ES807" s="1" t="s">
        <v>322</v>
      </c>
      <c r="EU807" s="1" t="s">
        <v>239</v>
      </c>
      <c r="EW807" s="1" t="s">
        <v>384</v>
      </c>
      <c r="EY807" s="1" t="s">
        <v>242</v>
      </c>
      <c r="EZ807" s="1" t="s">
        <v>287</v>
      </c>
      <c r="FB807" s="1" t="s">
        <v>1505</v>
      </c>
      <c r="FD807" s="1" t="s">
        <v>246</v>
      </c>
      <c r="FE807" s="1" t="s">
        <v>651</v>
      </c>
      <c r="FF807" s="1" t="s">
        <v>248</v>
      </c>
      <c r="FH807" s="1" t="s">
        <v>249</v>
      </c>
      <c r="FJ807" s="1" t="s">
        <v>197</v>
      </c>
      <c r="FK807" s="1" t="s">
        <v>6240</v>
      </c>
      <c r="FL807" s="1" t="s">
        <v>358</v>
      </c>
      <c r="FM807" s="1" t="s">
        <v>252</v>
      </c>
      <c r="FN807" s="1" t="s">
        <v>213</v>
      </c>
      <c r="FO807" s="1" t="s">
        <v>213</v>
      </c>
      <c r="FQ807" s="1" t="s">
        <v>1896</v>
      </c>
      <c r="FR807" s="1" t="s">
        <v>360</v>
      </c>
      <c r="FS807" s="1" t="s">
        <v>9135</v>
      </c>
      <c r="FT807" s="1" t="s">
        <v>295</v>
      </c>
      <c r="FU807" s="1" t="s">
        <v>204</v>
      </c>
      <c r="FW807" s="1" t="s">
        <v>9136</v>
      </c>
      <c r="FX807" s="1">
        <v>60913</v>
      </c>
      <c r="FY807" s="1" t="s">
        <v>9137</v>
      </c>
      <c r="FZ807" s="1" t="s">
        <v>9138</v>
      </c>
      <c r="GA807" s="1">
        <v>241471</v>
      </c>
      <c r="GB807" s="1" t="s">
        <v>9139</v>
      </c>
      <c r="GE807" s="1" t="s">
        <v>210</v>
      </c>
      <c r="GI807" s="1" t="s">
        <v>213</v>
      </c>
      <c r="GJ807" s="1" t="s">
        <v>260</v>
      </c>
      <c r="GK807" s="1" t="s">
        <v>210</v>
      </c>
      <c r="GL807" s="2">
        <v>41984</v>
      </c>
      <c r="GM807" s="1" t="s">
        <v>9140</v>
      </c>
    </row>
    <row r="808" spans="1:195">
      <c r="A808" s="1">
        <v>327500</v>
      </c>
      <c r="B808" s="1" t="s">
        <v>195</v>
      </c>
      <c r="C808" s="1" t="str">
        <f>"08520758"</f>
        <v>08520758</v>
      </c>
      <c r="D808" s="1" t="s">
        <v>196</v>
      </c>
      <c r="F808" s="1" t="str">
        <f>"521"</f>
        <v>521</v>
      </c>
      <c r="G808" s="2">
        <v>41660</v>
      </c>
      <c r="H808" s="1">
        <v>347500</v>
      </c>
      <c r="I808" s="1">
        <v>342500</v>
      </c>
      <c r="J808" s="1">
        <v>327500</v>
      </c>
      <c r="K808" s="2">
        <v>41660</v>
      </c>
      <c r="L808" s="1">
        <v>577</v>
      </c>
      <c r="M808" s="2">
        <v>42058</v>
      </c>
      <c r="N808" s="1">
        <v>399</v>
      </c>
      <c r="O808" s="2">
        <v>42058</v>
      </c>
      <c r="P808" s="1">
        <v>22010</v>
      </c>
      <c r="Q808" s="1" t="s">
        <v>197</v>
      </c>
      <c r="R808" s="2">
        <v>42095</v>
      </c>
      <c r="S808" s="1">
        <v>241535</v>
      </c>
      <c r="U808" s="1">
        <v>429</v>
      </c>
      <c r="V808" s="1" t="s">
        <v>9141</v>
      </c>
      <c r="W808" s="1" t="s">
        <v>264</v>
      </c>
      <c r="Y808" s="1">
        <v>40</v>
      </c>
      <c r="Z808" s="1" t="s">
        <v>200</v>
      </c>
      <c r="AA808" s="1" t="s">
        <v>1538</v>
      </c>
      <c r="AB808" s="1">
        <v>60521</v>
      </c>
      <c r="AC808" s="1">
        <v>4993</v>
      </c>
      <c r="AD808" s="1" t="s">
        <v>9142</v>
      </c>
      <c r="AE808" s="1" t="s">
        <v>9143</v>
      </c>
      <c r="AF808" s="1">
        <v>1991</v>
      </c>
      <c r="AG808" s="1" t="s">
        <v>204</v>
      </c>
      <c r="AH808" s="1" t="s">
        <v>1541</v>
      </c>
      <c r="AI808" s="1" t="s">
        <v>206</v>
      </c>
      <c r="AJ808" s="1" t="s">
        <v>903</v>
      </c>
      <c r="AL808" s="1">
        <v>8</v>
      </c>
      <c r="AM808" s="1">
        <v>2</v>
      </c>
      <c r="AN808" s="1">
        <v>3</v>
      </c>
      <c r="AO808" s="1">
        <v>1</v>
      </c>
      <c r="AP808" s="1" t="s">
        <v>209</v>
      </c>
      <c r="AQ808" s="1">
        <v>2</v>
      </c>
      <c r="AR808" s="1" t="s">
        <v>209</v>
      </c>
      <c r="AS808" s="1" t="s">
        <v>213</v>
      </c>
      <c r="AT808" s="1" t="s">
        <v>211</v>
      </c>
      <c r="AU808" s="1">
        <v>2</v>
      </c>
      <c r="AW808" s="1" t="s">
        <v>204</v>
      </c>
      <c r="AX808" s="1" t="s">
        <v>212</v>
      </c>
      <c r="AZ808" s="1">
        <v>5749</v>
      </c>
      <c r="BA808" s="1">
        <v>2013</v>
      </c>
      <c r="BB808" s="1" t="s">
        <v>405</v>
      </c>
      <c r="BE808" s="1">
        <v>1816</v>
      </c>
      <c r="BF808" s="1">
        <v>1</v>
      </c>
      <c r="BG808" s="1">
        <v>30</v>
      </c>
      <c r="BL808" s="1">
        <v>459</v>
      </c>
      <c r="BM808" s="1" t="s">
        <v>204</v>
      </c>
      <c r="BN808" s="1" t="s">
        <v>213</v>
      </c>
      <c r="BO808" s="1">
        <v>50</v>
      </c>
      <c r="BP808" s="1" t="s">
        <v>204</v>
      </c>
      <c r="BR808" s="1" t="str">
        <f>"0913108027"</f>
        <v>0913108027</v>
      </c>
      <c r="BT808" s="1" t="s">
        <v>9144</v>
      </c>
      <c r="BU808" s="1" t="s">
        <v>1544</v>
      </c>
      <c r="BV808" s="1" t="s">
        <v>1545</v>
      </c>
      <c r="BW808" s="1" t="s">
        <v>1546</v>
      </c>
      <c r="BX808" s="1">
        <v>181</v>
      </c>
      <c r="BY808" s="1">
        <v>181</v>
      </c>
      <c r="BZ808" s="1">
        <v>86</v>
      </c>
      <c r="CB808" s="1" t="str">
        <f t="shared" ref="CB808:CC808" si="629">"0"</f>
        <v>0</v>
      </c>
      <c r="CC808" s="1" t="str">
        <f t="shared" si="629"/>
        <v>0</v>
      </c>
      <c r="CD808" s="1">
        <v>15</v>
      </c>
      <c r="CE808" s="1">
        <v>5</v>
      </c>
      <c r="CG808" s="1" t="s">
        <v>1178</v>
      </c>
      <c r="CH808" s="1" t="s">
        <v>219</v>
      </c>
      <c r="CI808" s="1" t="s">
        <v>220</v>
      </c>
      <c r="CK808" s="1" t="s">
        <v>1132</v>
      </c>
      <c r="CL808" s="1" t="s">
        <v>277</v>
      </c>
      <c r="CM808" s="1" t="s">
        <v>220</v>
      </c>
      <c r="CN808" s="1" t="s">
        <v>343</v>
      </c>
      <c r="CO808" s="1" t="s">
        <v>346</v>
      </c>
      <c r="CP808" s="1" t="s">
        <v>219</v>
      </c>
      <c r="CQ808" s="1" t="s">
        <v>220</v>
      </c>
      <c r="CS808" s="1" t="s">
        <v>278</v>
      </c>
      <c r="CT808" s="1" t="s">
        <v>277</v>
      </c>
      <c r="CU808" s="1" t="s">
        <v>220</v>
      </c>
      <c r="CV808" s="1" t="s">
        <v>343</v>
      </c>
      <c r="CW808" s="1" t="s">
        <v>1403</v>
      </c>
      <c r="CX808" s="1" t="s">
        <v>43</v>
      </c>
      <c r="CY808" s="1" t="s">
        <v>220</v>
      </c>
      <c r="CZ808" s="1" t="s">
        <v>343</v>
      </c>
      <c r="DB808" s="1" t="s">
        <v>224</v>
      </c>
      <c r="DE808" s="1" t="s">
        <v>972</v>
      </c>
      <c r="DF808" s="1" t="s">
        <v>219</v>
      </c>
      <c r="DG808" s="1" t="s">
        <v>438</v>
      </c>
      <c r="DH808" s="1" t="s">
        <v>343</v>
      </c>
      <c r="DI808" s="1" t="s">
        <v>1454</v>
      </c>
      <c r="DJ808" s="1" t="s">
        <v>43</v>
      </c>
      <c r="DK808" s="1" t="s">
        <v>220</v>
      </c>
      <c r="DL808" s="1" t="s">
        <v>439</v>
      </c>
      <c r="DN808" s="1" t="s">
        <v>3592</v>
      </c>
      <c r="DS808" s="1" t="s">
        <v>230</v>
      </c>
      <c r="DV808" s="1" t="s">
        <v>2031</v>
      </c>
      <c r="DW808" s="1" t="s">
        <v>277</v>
      </c>
      <c r="DX808" s="1" t="s">
        <v>220</v>
      </c>
      <c r="DY808" s="1" t="s">
        <v>343</v>
      </c>
      <c r="EA808" s="1" t="s">
        <v>230</v>
      </c>
      <c r="EE808" s="1" t="s">
        <v>230</v>
      </c>
      <c r="EI808" s="1" t="s">
        <v>230</v>
      </c>
      <c r="EL808" s="1" t="s">
        <v>382</v>
      </c>
      <c r="EM808" s="1" t="s">
        <v>232</v>
      </c>
      <c r="EN808" s="1" t="s">
        <v>282</v>
      </c>
      <c r="EO808" s="1" t="s">
        <v>840</v>
      </c>
      <c r="EP808" s="1" t="s">
        <v>650</v>
      </c>
      <c r="EQ808" s="1" t="s">
        <v>236</v>
      </c>
      <c r="ER808" s="1" t="s">
        <v>544</v>
      </c>
      <c r="ES808" s="1" t="s">
        <v>322</v>
      </c>
      <c r="ET808" s="1" t="s">
        <v>1201</v>
      </c>
      <c r="EU808" s="1" t="s">
        <v>1202</v>
      </c>
      <c r="EV808" s="1" t="s">
        <v>240</v>
      </c>
      <c r="EW808" s="1" t="s">
        <v>887</v>
      </c>
      <c r="EY808" s="1" t="s">
        <v>242</v>
      </c>
      <c r="EZ808" s="1" t="s">
        <v>3592</v>
      </c>
      <c r="FA808" s="1" t="s">
        <v>2358</v>
      </c>
      <c r="FB808" s="1" t="s">
        <v>289</v>
      </c>
      <c r="FC808" s="1" t="s">
        <v>1362</v>
      </c>
      <c r="FD808" s="1" t="s">
        <v>246</v>
      </c>
      <c r="FE808" s="1" t="s">
        <v>247</v>
      </c>
      <c r="FF808" s="1" t="s">
        <v>248</v>
      </c>
      <c r="FG808" s="1" t="s">
        <v>2739</v>
      </c>
      <c r="FH808" s="1" t="s">
        <v>550</v>
      </c>
      <c r="FI808" s="1" t="s">
        <v>473</v>
      </c>
      <c r="FL808" s="1" t="s">
        <v>358</v>
      </c>
      <c r="FM808" s="1" t="s">
        <v>252</v>
      </c>
      <c r="FN808" s="1" t="s">
        <v>213</v>
      </c>
      <c r="FO808" s="1" t="s">
        <v>213</v>
      </c>
      <c r="FQ808" s="1" t="s">
        <v>913</v>
      </c>
      <c r="FR808" s="1" t="s">
        <v>210</v>
      </c>
      <c r="FS808" s="1" t="s">
        <v>9145</v>
      </c>
      <c r="FT808" s="1" t="s">
        <v>362</v>
      </c>
      <c r="FU808" s="1" t="s">
        <v>204</v>
      </c>
      <c r="FW808" s="1" t="s">
        <v>915</v>
      </c>
      <c r="FX808" s="1">
        <v>23076</v>
      </c>
      <c r="FY808" s="1" t="s">
        <v>1909</v>
      </c>
      <c r="FZ808" s="1" t="s">
        <v>9146</v>
      </c>
      <c r="GA808" s="1">
        <v>232964</v>
      </c>
      <c r="GB808" s="1" t="s">
        <v>9147</v>
      </c>
      <c r="GC808" s="1">
        <v>222317</v>
      </c>
      <c r="GD808" s="1" t="s">
        <v>9148</v>
      </c>
      <c r="GE808" s="1" t="s">
        <v>658</v>
      </c>
      <c r="GI808" s="1" t="s">
        <v>213</v>
      </c>
      <c r="GJ808" s="1" t="s">
        <v>260</v>
      </c>
      <c r="GK808" s="1" t="s">
        <v>210</v>
      </c>
      <c r="GL808" s="2">
        <v>42095</v>
      </c>
      <c r="GM808" s="1" t="s">
        <v>9149</v>
      </c>
    </row>
    <row r="809" spans="1:195">
      <c r="A809" s="1">
        <v>50000</v>
      </c>
      <c r="B809" s="1" t="s">
        <v>195</v>
      </c>
      <c r="C809" s="1" t="str">
        <f>"08528156"</f>
        <v>08528156</v>
      </c>
      <c r="D809" s="1" t="s">
        <v>196</v>
      </c>
      <c r="F809" s="1" t="str">
        <f>"480"</f>
        <v>480</v>
      </c>
      <c r="G809" s="2">
        <v>41672</v>
      </c>
      <c r="H809" s="1">
        <v>85000</v>
      </c>
      <c r="I809" s="1">
        <v>55000</v>
      </c>
      <c r="J809" s="1">
        <v>50000</v>
      </c>
      <c r="K809" s="2">
        <v>41672</v>
      </c>
      <c r="L809" s="1">
        <v>279</v>
      </c>
      <c r="M809" s="2">
        <v>41950</v>
      </c>
      <c r="N809" s="1">
        <v>279</v>
      </c>
      <c r="O809" s="2">
        <v>41950</v>
      </c>
      <c r="P809" s="1">
        <v>60830</v>
      </c>
      <c r="Q809" s="1" t="s">
        <v>197</v>
      </c>
      <c r="R809" s="2">
        <v>42002</v>
      </c>
      <c r="S809" s="1">
        <v>228457</v>
      </c>
      <c r="U809" s="1">
        <v>125</v>
      </c>
      <c r="V809" s="1" t="s">
        <v>9150</v>
      </c>
      <c r="W809" s="1" t="s">
        <v>304</v>
      </c>
      <c r="X809" s="1" t="s">
        <v>3349</v>
      </c>
      <c r="Y809" s="1">
        <v>6</v>
      </c>
      <c r="Z809" s="1" t="s">
        <v>370</v>
      </c>
      <c r="AA809" s="1" t="s">
        <v>3145</v>
      </c>
      <c r="AB809" s="1">
        <v>60480</v>
      </c>
      <c r="AD809" s="1" t="s">
        <v>9151</v>
      </c>
      <c r="AE809" s="1" t="s">
        <v>9152</v>
      </c>
      <c r="AF809" s="1">
        <v>1990</v>
      </c>
      <c r="AG809" s="1" t="s">
        <v>204</v>
      </c>
      <c r="AH809" s="1" t="s">
        <v>3147</v>
      </c>
      <c r="AI809" s="1" t="s">
        <v>310</v>
      </c>
      <c r="AJ809" s="1" t="s">
        <v>3148</v>
      </c>
      <c r="AL809" s="1">
        <v>4</v>
      </c>
      <c r="AM809" s="1">
        <v>2</v>
      </c>
      <c r="AN809" s="1">
        <v>1</v>
      </c>
      <c r="AO809" s="1">
        <v>1</v>
      </c>
      <c r="AP809" s="1" t="s">
        <v>210</v>
      </c>
      <c r="AR809" s="1" t="s">
        <v>210</v>
      </c>
      <c r="AS809" s="1" t="s">
        <v>204</v>
      </c>
      <c r="AT809" s="1" t="s">
        <v>271</v>
      </c>
      <c r="AV809" s="1">
        <v>2</v>
      </c>
      <c r="AW809" s="1" t="s">
        <v>204</v>
      </c>
      <c r="AX809" s="1" t="s">
        <v>212</v>
      </c>
      <c r="AZ809" s="1">
        <v>3165</v>
      </c>
      <c r="BA809" s="1">
        <v>2013</v>
      </c>
      <c r="BB809" s="1" t="s">
        <v>405</v>
      </c>
      <c r="BE809" s="1">
        <v>1000</v>
      </c>
      <c r="BF809" s="1">
        <v>1</v>
      </c>
      <c r="BG809" s="1">
        <v>30</v>
      </c>
      <c r="BL809" s="1">
        <v>205</v>
      </c>
      <c r="BM809" s="1" t="s">
        <v>204</v>
      </c>
      <c r="BN809" s="1" t="s">
        <v>213</v>
      </c>
      <c r="BO809" s="1">
        <v>999</v>
      </c>
      <c r="BP809" s="1" t="s">
        <v>204</v>
      </c>
      <c r="BR809" s="1" t="str">
        <f>"23052011060000"</f>
        <v>23052011060000</v>
      </c>
      <c r="BT809" s="1" t="s">
        <v>9153</v>
      </c>
      <c r="BU809" s="1" t="s">
        <v>9154</v>
      </c>
      <c r="BV809" s="1" t="s">
        <v>9154</v>
      </c>
      <c r="BW809" s="1" t="s">
        <v>9155</v>
      </c>
      <c r="BX809" s="1">
        <v>108</v>
      </c>
      <c r="BY809" s="1">
        <v>108</v>
      </c>
      <c r="BZ809" s="1">
        <v>230</v>
      </c>
      <c r="CB809" s="1" t="str">
        <f t="shared" ref="CB809:CC809" si="630">""</f>
        <v/>
      </c>
      <c r="CC809" s="1" t="str">
        <f t="shared" si="630"/>
        <v/>
      </c>
      <c r="CD809" s="1">
        <v>13</v>
      </c>
      <c r="CE809" s="1">
        <v>10</v>
      </c>
      <c r="CG809" s="1" t="s">
        <v>581</v>
      </c>
      <c r="CH809" s="1" t="s">
        <v>219</v>
      </c>
      <c r="CI809" s="1" t="s">
        <v>220</v>
      </c>
      <c r="CJ809" s="1" t="s">
        <v>463</v>
      </c>
      <c r="CK809" s="1" t="s">
        <v>581</v>
      </c>
      <c r="CL809" s="1" t="s">
        <v>277</v>
      </c>
      <c r="CM809" s="1" t="s">
        <v>220</v>
      </c>
      <c r="CN809" s="1" t="s">
        <v>463</v>
      </c>
      <c r="CP809" s="1" t="s">
        <v>224</v>
      </c>
      <c r="CS809" s="1" t="s">
        <v>972</v>
      </c>
      <c r="CT809" s="1" t="s">
        <v>277</v>
      </c>
      <c r="CU809" s="1" t="s">
        <v>220</v>
      </c>
      <c r="CV809" s="1" t="s">
        <v>343</v>
      </c>
      <c r="CX809" s="1" t="s">
        <v>224</v>
      </c>
      <c r="DB809" s="1" t="s">
        <v>224</v>
      </c>
      <c r="DE809" s="1" t="s">
        <v>972</v>
      </c>
      <c r="DF809" s="1" t="s">
        <v>219</v>
      </c>
      <c r="DG809" s="1" t="s">
        <v>229</v>
      </c>
      <c r="DH809" s="1" t="s">
        <v>343</v>
      </c>
      <c r="DJ809" s="1" t="s">
        <v>224</v>
      </c>
      <c r="DS809" s="1" t="s">
        <v>230</v>
      </c>
      <c r="DW809" s="1" t="s">
        <v>230</v>
      </c>
      <c r="EA809" s="1" t="s">
        <v>230</v>
      </c>
      <c r="EE809" s="1" t="s">
        <v>230</v>
      </c>
      <c r="EI809" s="1" t="s">
        <v>230</v>
      </c>
      <c r="EL809" s="1" t="s">
        <v>382</v>
      </c>
      <c r="EM809" s="1" t="s">
        <v>232</v>
      </c>
      <c r="EN809" s="1" t="s">
        <v>1158</v>
      </c>
      <c r="EO809" s="1" t="s">
        <v>234</v>
      </c>
      <c r="EP809" s="1" t="s">
        <v>1093</v>
      </c>
      <c r="EQ809" s="1" t="s">
        <v>953</v>
      </c>
      <c r="ER809" s="1" t="s">
        <v>210</v>
      </c>
      <c r="ES809" s="1" t="s">
        <v>322</v>
      </c>
      <c r="EU809" s="1" t="s">
        <v>1894</v>
      </c>
      <c r="EW809" s="1" t="s">
        <v>3152</v>
      </c>
      <c r="EY809" s="1" t="s">
        <v>790</v>
      </c>
      <c r="EZ809" s="1" t="s">
        <v>287</v>
      </c>
      <c r="FA809" s="1" t="s">
        <v>672</v>
      </c>
      <c r="FB809" s="1" t="s">
        <v>289</v>
      </c>
      <c r="FC809" s="1" t="s">
        <v>633</v>
      </c>
      <c r="FD809" s="1" t="s">
        <v>246</v>
      </c>
      <c r="FE809" s="1" t="s">
        <v>975</v>
      </c>
      <c r="FF809" s="1" t="s">
        <v>248</v>
      </c>
      <c r="FH809" s="1" t="s">
        <v>550</v>
      </c>
      <c r="FJ809" s="1" t="s">
        <v>197</v>
      </c>
      <c r="FK809" s="1" t="s">
        <v>2309</v>
      </c>
      <c r="FL809" s="1" t="s">
        <v>292</v>
      </c>
      <c r="FM809" s="1" t="s">
        <v>252</v>
      </c>
      <c r="FN809" s="1" t="s">
        <v>213</v>
      </c>
      <c r="FO809" s="1" t="s">
        <v>204</v>
      </c>
      <c r="FQ809" s="1" t="s">
        <v>4359</v>
      </c>
      <c r="FR809" s="1" t="s">
        <v>360</v>
      </c>
      <c r="FS809" s="1" t="s">
        <v>1709</v>
      </c>
      <c r="FT809" s="1" t="s">
        <v>295</v>
      </c>
      <c r="FU809" s="1" t="s">
        <v>204</v>
      </c>
      <c r="FW809" s="1" t="s">
        <v>9156</v>
      </c>
      <c r="FX809" s="1">
        <v>60830</v>
      </c>
      <c r="FY809" s="1" t="s">
        <v>9157</v>
      </c>
      <c r="FZ809" s="1" t="s">
        <v>9158</v>
      </c>
      <c r="GA809" s="1">
        <v>228457</v>
      </c>
      <c r="GB809" s="1" t="s">
        <v>9159</v>
      </c>
      <c r="GE809" s="1" t="s">
        <v>1226</v>
      </c>
      <c r="GI809" s="1" t="s">
        <v>213</v>
      </c>
      <c r="GJ809" s="1" t="s">
        <v>260</v>
      </c>
      <c r="GK809" s="1" t="s">
        <v>210</v>
      </c>
      <c r="GL809" s="2">
        <v>42002</v>
      </c>
      <c r="GM809" s="2" t="s">
        <v>9160</v>
      </c>
    </row>
    <row r="810" spans="1:195">
      <c r="A810" s="1">
        <v>80000</v>
      </c>
      <c r="B810" s="1" t="s">
        <v>195</v>
      </c>
      <c r="C810" s="1" t="str">
        <f>"08529945"</f>
        <v>08529945</v>
      </c>
      <c r="D810" s="1" t="s">
        <v>196</v>
      </c>
      <c r="F810" s="1" t="str">
        <f>"8072"</f>
        <v>8072</v>
      </c>
      <c r="G810" s="2">
        <v>41674</v>
      </c>
      <c r="H810" s="1">
        <v>99900</v>
      </c>
      <c r="I810" s="1">
        <v>80000</v>
      </c>
      <c r="J810" s="1">
        <v>80000</v>
      </c>
      <c r="K810" s="2">
        <v>41674</v>
      </c>
      <c r="L810" s="1">
        <v>228</v>
      </c>
      <c r="M810" s="2">
        <v>41901</v>
      </c>
      <c r="N810" s="1">
        <v>228</v>
      </c>
      <c r="O810" s="2">
        <v>41901</v>
      </c>
      <c r="P810" s="1">
        <v>60035</v>
      </c>
      <c r="Q810" s="1" t="s">
        <v>302</v>
      </c>
      <c r="R810" s="2">
        <v>42003</v>
      </c>
      <c r="S810" s="1">
        <v>603024</v>
      </c>
      <c r="U810" s="1">
        <v>10651</v>
      </c>
      <c r="V810" s="1" t="s">
        <v>9161</v>
      </c>
      <c r="W810" s="1" t="s">
        <v>425</v>
      </c>
      <c r="X810" s="1" t="s">
        <v>4849</v>
      </c>
      <c r="Y810" s="1">
        <v>12</v>
      </c>
      <c r="Z810" s="1" t="s">
        <v>249</v>
      </c>
      <c r="AA810" s="1" t="s">
        <v>400</v>
      </c>
      <c r="AB810" s="1">
        <v>60655</v>
      </c>
      <c r="AE810" s="1" t="s">
        <v>9162</v>
      </c>
      <c r="AF810" s="1" t="s">
        <v>402</v>
      </c>
      <c r="AG810" s="1" t="s">
        <v>213</v>
      </c>
      <c r="AH810" s="1" t="s">
        <v>403</v>
      </c>
      <c r="AI810" s="1" t="s">
        <v>310</v>
      </c>
      <c r="AJ810" s="1" t="s">
        <v>683</v>
      </c>
      <c r="AL810" s="1">
        <v>4</v>
      </c>
      <c r="AM810" s="1">
        <v>2</v>
      </c>
      <c r="AN810" s="1">
        <v>1</v>
      </c>
      <c r="AO810" s="1">
        <v>0</v>
      </c>
      <c r="AP810" s="1" t="s">
        <v>210</v>
      </c>
      <c r="AQ810" s="1">
        <v>0</v>
      </c>
      <c r="AR810" s="1" t="s">
        <v>1631</v>
      </c>
      <c r="AS810" s="1" t="s">
        <v>204</v>
      </c>
      <c r="AT810" s="1" t="s">
        <v>271</v>
      </c>
      <c r="AV810" s="1">
        <v>1</v>
      </c>
      <c r="AW810" s="1" t="s">
        <v>204</v>
      </c>
      <c r="AX810" s="1" t="s">
        <v>212</v>
      </c>
      <c r="AZ810" s="1">
        <v>2365.16</v>
      </c>
      <c r="BA810" s="1">
        <v>2013</v>
      </c>
      <c r="BB810" s="1" t="s">
        <v>210</v>
      </c>
      <c r="BC810" s="1">
        <v>0</v>
      </c>
      <c r="BE810" s="1">
        <v>800</v>
      </c>
      <c r="BF810" s="1">
        <v>2</v>
      </c>
      <c r="BG810" s="1">
        <v>10</v>
      </c>
      <c r="BL810" s="1">
        <v>201</v>
      </c>
      <c r="BM810" s="1" t="s">
        <v>204</v>
      </c>
      <c r="BN810" s="1" t="s">
        <v>213</v>
      </c>
      <c r="BP810" s="1" t="s">
        <v>204</v>
      </c>
      <c r="BR810" s="1" t="str">
        <f>"24132330541006"</f>
        <v>24132330541006</v>
      </c>
      <c r="BT810" s="1" t="s">
        <v>9163</v>
      </c>
      <c r="BX810" s="1">
        <v>299</v>
      </c>
      <c r="BY810" s="1">
        <v>299</v>
      </c>
      <c r="BZ810" s="1">
        <v>299</v>
      </c>
      <c r="CB810" s="1" t="str">
        <f t="shared" ref="CB810:CC810" si="631">"0"</f>
        <v>0</v>
      </c>
      <c r="CC810" s="1" t="str">
        <f t="shared" si="631"/>
        <v>0</v>
      </c>
      <c r="CD810" s="1">
        <v>2500</v>
      </c>
      <c r="CE810" s="1">
        <v>10700</v>
      </c>
      <c r="CG810" s="1" t="s">
        <v>9164</v>
      </c>
      <c r="CH810" s="1" t="s">
        <v>219</v>
      </c>
      <c r="CI810" s="1" t="s">
        <v>438</v>
      </c>
      <c r="CJ810" s="1" t="s">
        <v>210</v>
      </c>
      <c r="CK810" s="1" t="s">
        <v>1454</v>
      </c>
      <c r="CL810" s="1" t="s">
        <v>219</v>
      </c>
      <c r="CM810" s="1" t="s">
        <v>220</v>
      </c>
      <c r="CN810" s="1" t="s">
        <v>210</v>
      </c>
      <c r="CP810" s="1" t="s">
        <v>224</v>
      </c>
      <c r="CS810" s="1" t="s">
        <v>221</v>
      </c>
      <c r="CT810" s="1" t="s">
        <v>219</v>
      </c>
      <c r="CU810" s="1" t="s">
        <v>438</v>
      </c>
      <c r="CV810" s="1" t="s">
        <v>210</v>
      </c>
      <c r="CX810" s="1" t="s">
        <v>224</v>
      </c>
      <c r="DB810" s="1" t="s">
        <v>224</v>
      </c>
      <c r="DE810" s="1" t="s">
        <v>223</v>
      </c>
      <c r="DF810" s="1" t="s">
        <v>219</v>
      </c>
      <c r="DG810" s="1" t="s">
        <v>226</v>
      </c>
      <c r="DH810" s="1" t="s">
        <v>210</v>
      </c>
      <c r="DJ810" s="1" t="s">
        <v>224</v>
      </c>
      <c r="DS810" s="1" t="s">
        <v>230</v>
      </c>
      <c r="DW810" s="1" t="s">
        <v>230</v>
      </c>
      <c r="EA810" s="1" t="s">
        <v>230</v>
      </c>
      <c r="EE810" s="1" t="s">
        <v>230</v>
      </c>
      <c r="EI810" s="1" t="s">
        <v>230</v>
      </c>
      <c r="EL810" s="1" t="s">
        <v>413</v>
      </c>
      <c r="EM810" s="1" t="s">
        <v>232</v>
      </c>
      <c r="EN810" s="1" t="s">
        <v>282</v>
      </c>
      <c r="EO810" s="1" t="s">
        <v>234</v>
      </c>
      <c r="EP810" s="1" t="s">
        <v>543</v>
      </c>
      <c r="EQ810" s="1" t="s">
        <v>1109</v>
      </c>
      <c r="ER810" s="1" t="s">
        <v>1249</v>
      </c>
      <c r="ES810" s="1" t="s">
        <v>493</v>
      </c>
      <c r="EU810" s="1" t="s">
        <v>239</v>
      </c>
      <c r="EW810" s="1" t="s">
        <v>4163</v>
      </c>
      <c r="EY810" s="1" t="s">
        <v>790</v>
      </c>
      <c r="EZ810" s="1" t="s">
        <v>287</v>
      </c>
      <c r="FB810" s="1" t="s">
        <v>734</v>
      </c>
      <c r="FC810" s="1" t="s">
        <v>633</v>
      </c>
      <c r="FD810" s="1" t="s">
        <v>736</v>
      </c>
      <c r="FE810" s="1" t="s">
        <v>247</v>
      </c>
      <c r="FF810" s="1" t="s">
        <v>3103</v>
      </c>
      <c r="FH810" s="1" t="s">
        <v>249</v>
      </c>
      <c r="FK810" s="1" t="s">
        <v>291</v>
      </c>
      <c r="FL810" s="1" t="s">
        <v>358</v>
      </c>
      <c r="FM810" s="1" t="s">
        <v>252</v>
      </c>
      <c r="FN810" s="1" t="s">
        <v>213</v>
      </c>
      <c r="FO810" s="1" t="s">
        <v>213</v>
      </c>
      <c r="FQ810" s="1" t="s">
        <v>9165</v>
      </c>
      <c r="FR810" s="1" t="s">
        <v>9166</v>
      </c>
      <c r="FS810" s="1" t="s">
        <v>9167</v>
      </c>
      <c r="FT810" s="1" t="s">
        <v>255</v>
      </c>
      <c r="FU810" s="1" t="s">
        <v>204</v>
      </c>
      <c r="FW810" s="1" t="s">
        <v>9168</v>
      </c>
      <c r="FX810" s="1">
        <v>60035</v>
      </c>
      <c r="FY810" s="1" t="s">
        <v>9169</v>
      </c>
      <c r="FZ810" s="1" t="s">
        <v>9170</v>
      </c>
      <c r="GA810" s="1">
        <v>600779</v>
      </c>
      <c r="GB810" s="1" t="s">
        <v>9171</v>
      </c>
      <c r="GC810" s="1">
        <v>225736</v>
      </c>
      <c r="GE810" s="1" t="s">
        <v>210</v>
      </c>
      <c r="GH810" s="1" t="s">
        <v>421</v>
      </c>
      <c r="GI810" s="1" t="s">
        <v>213</v>
      </c>
      <c r="GJ810" s="1" t="s">
        <v>260</v>
      </c>
      <c r="GK810" s="1" t="s">
        <v>210</v>
      </c>
      <c r="GL810" s="2">
        <v>42003</v>
      </c>
      <c r="GM810" s="1" t="s">
        <v>9172</v>
      </c>
    </row>
    <row r="811" spans="1:195">
      <c r="A811" s="1">
        <v>60000</v>
      </c>
      <c r="B811" s="1" t="s">
        <v>195</v>
      </c>
      <c r="C811" s="1" t="str">
        <f>"08534027"</f>
        <v>08534027</v>
      </c>
      <c r="D811" s="1" t="s">
        <v>196</v>
      </c>
      <c r="F811" s="1" t="str">
        <f>"73"</f>
        <v>73</v>
      </c>
      <c r="G811" s="2">
        <v>41680</v>
      </c>
      <c r="H811" s="1">
        <v>99000</v>
      </c>
      <c r="I811" s="1">
        <v>58500</v>
      </c>
      <c r="J811" s="1">
        <v>60000</v>
      </c>
      <c r="K811" s="2">
        <v>41680</v>
      </c>
      <c r="L811" s="1">
        <v>160</v>
      </c>
      <c r="M811" s="2">
        <v>41839</v>
      </c>
      <c r="N811" s="1">
        <v>160</v>
      </c>
      <c r="O811" s="2">
        <v>41839</v>
      </c>
      <c r="P811" s="1">
        <v>4534</v>
      </c>
      <c r="Q811" s="1" t="s">
        <v>302</v>
      </c>
      <c r="R811" s="2">
        <v>41991</v>
      </c>
      <c r="S811" s="1">
        <v>62070</v>
      </c>
      <c r="U811" s="1">
        <v>714</v>
      </c>
      <c r="V811" s="1" t="s">
        <v>9173</v>
      </c>
      <c r="W811" s="1" t="s">
        <v>504</v>
      </c>
      <c r="X811" s="1">
        <v>714</v>
      </c>
      <c r="Y811" s="1">
        <v>5</v>
      </c>
      <c r="Z811" s="1" t="s">
        <v>370</v>
      </c>
      <c r="AA811" s="1" t="s">
        <v>1259</v>
      </c>
      <c r="AB811" s="1">
        <v>60073</v>
      </c>
      <c r="AD811" s="1" t="s">
        <v>2732</v>
      </c>
      <c r="AE811" s="1" t="s">
        <v>9174</v>
      </c>
      <c r="AF811" s="1">
        <v>2003</v>
      </c>
      <c r="AG811" s="1" t="s">
        <v>204</v>
      </c>
      <c r="AH811" s="1" t="s">
        <v>1262</v>
      </c>
      <c r="AI811" s="1" t="s">
        <v>509</v>
      </c>
      <c r="AJ811" s="1" t="s">
        <v>1263</v>
      </c>
      <c r="AK811" s="1" t="s">
        <v>3642</v>
      </c>
      <c r="AL811" s="1">
        <v>7</v>
      </c>
      <c r="AM811" s="1">
        <v>2</v>
      </c>
      <c r="AN811" s="1">
        <v>2</v>
      </c>
      <c r="AO811" s="1">
        <v>0</v>
      </c>
      <c r="AP811" s="1" t="s">
        <v>209</v>
      </c>
      <c r="AQ811" s="1">
        <v>1</v>
      </c>
      <c r="AR811" s="1" t="s">
        <v>1421</v>
      </c>
      <c r="AS811" s="1" t="s">
        <v>204</v>
      </c>
      <c r="AT811" s="1" t="s">
        <v>211</v>
      </c>
      <c r="AU811" s="1">
        <v>2</v>
      </c>
      <c r="AW811" s="1" t="s">
        <v>204</v>
      </c>
      <c r="AX811" s="1" t="s">
        <v>1265</v>
      </c>
      <c r="AZ811" s="1">
        <v>5761</v>
      </c>
      <c r="BA811" s="1">
        <v>2012</v>
      </c>
      <c r="BB811" s="1" t="s">
        <v>405</v>
      </c>
      <c r="BE811" s="1">
        <v>1207</v>
      </c>
      <c r="BF811" s="1">
        <v>1</v>
      </c>
      <c r="BG811" s="1">
        <v>0</v>
      </c>
      <c r="BL811" s="1">
        <v>260</v>
      </c>
      <c r="BM811" s="1" t="s">
        <v>204</v>
      </c>
      <c r="BN811" s="1" t="s">
        <v>213</v>
      </c>
      <c r="BO811" s="1">
        <v>999</v>
      </c>
      <c r="BP811" s="1" t="s">
        <v>204</v>
      </c>
      <c r="BR811" s="1" t="str">
        <f>"63324090010000"</f>
        <v>63324090010000</v>
      </c>
      <c r="BT811" s="1" t="s">
        <v>9175</v>
      </c>
      <c r="BX811" s="1">
        <v>46</v>
      </c>
      <c r="BY811" s="1">
        <v>46</v>
      </c>
      <c r="BZ811" s="1">
        <v>127</v>
      </c>
      <c r="CB811" s="1" t="str">
        <f>"33"</f>
        <v>33</v>
      </c>
      <c r="CC811" s="1" t="str">
        <f>"0"</f>
        <v>0</v>
      </c>
      <c r="CD811" s="1">
        <v>23</v>
      </c>
      <c r="CE811" s="1">
        <v>0</v>
      </c>
      <c r="CF811" s="1" t="s">
        <v>9176</v>
      </c>
      <c r="CG811" s="1" t="s">
        <v>437</v>
      </c>
      <c r="CH811" s="1" t="s">
        <v>219</v>
      </c>
      <c r="CI811" s="1" t="s">
        <v>220</v>
      </c>
      <c r="CK811" s="1" t="s">
        <v>278</v>
      </c>
      <c r="CL811" s="1" t="s">
        <v>219</v>
      </c>
      <c r="CM811" s="1" t="s">
        <v>220</v>
      </c>
      <c r="CN811" s="1" t="s">
        <v>210</v>
      </c>
      <c r="CO811" s="1" t="s">
        <v>379</v>
      </c>
      <c r="CP811" s="1" t="s">
        <v>219</v>
      </c>
      <c r="CQ811" s="1" t="s">
        <v>220</v>
      </c>
      <c r="CS811" s="1" t="s">
        <v>379</v>
      </c>
      <c r="CT811" s="1" t="s">
        <v>219</v>
      </c>
      <c r="CU811" s="1" t="s">
        <v>220</v>
      </c>
      <c r="CV811" s="1" t="s">
        <v>210</v>
      </c>
      <c r="CX811" s="1" t="s">
        <v>224</v>
      </c>
      <c r="DB811" s="1" t="s">
        <v>224</v>
      </c>
      <c r="DE811" s="1" t="s">
        <v>539</v>
      </c>
      <c r="DF811" s="1" t="s">
        <v>219</v>
      </c>
      <c r="DG811" s="1" t="s">
        <v>226</v>
      </c>
      <c r="DI811" s="1" t="s">
        <v>1547</v>
      </c>
      <c r="DJ811" s="1" t="s">
        <v>822</v>
      </c>
      <c r="DK811" s="1" t="s">
        <v>220</v>
      </c>
      <c r="DM811" s="1" t="s">
        <v>464</v>
      </c>
      <c r="DR811" s="1" t="s">
        <v>1297</v>
      </c>
      <c r="DS811" s="1" t="s">
        <v>219</v>
      </c>
      <c r="DT811" s="1" t="s">
        <v>220</v>
      </c>
      <c r="DW811" s="1" t="s">
        <v>230</v>
      </c>
      <c r="EA811" s="1" t="s">
        <v>230</v>
      </c>
      <c r="EE811" s="1" t="s">
        <v>230</v>
      </c>
      <c r="EI811" s="1" t="s">
        <v>230</v>
      </c>
      <c r="EL811" s="1" t="s">
        <v>466</v>
      </c>
      <c r="EM811" s="1" t="s">
        <v>319</v>
      </c>
      <c r="EN811" s="1" t="s">
        <v>282</v>
      </c>
      <c r="EO811" s="1" t="s">
        <v>234</v>
      </c>
      <c r="EP811" s="1" t="s">
        <v>9177</v>
      </c>
      <c r="EQ811" s="1" t="s">
        <v>236</v>
      </c>
      <c r="ER811" s="1" t="s">
        <v>544</v>
      </c>
      <c r="ES811" s="1" t="s">
        <v>824</v>
      </c>
      <c r="EU811" s="1" t="s">
        <v>9178</v>
      </c>
      <c r="EV811" s="1" t="s">
        <v>324</v>
      </c>
      <c r="EW811" s="1" t="s">
        <v>9179</v>
      </c>
      <c r="EY811" s="1" t="s">
        <v>242</v>
      </c>
      <c r="EZ811" s="1" t="s">
        <v>464</v>
      </c>
      <c r="FA811" s="1" t="s">
        <v>672</v>
      </c>
      <c r="FB811" s="1" t="s">
        <v>289</v>
      </c>
      <c r="FC811" s="1" t="s">
        <v>1739</v>
      </c>
      <c r="FD811" s="1" t="s">
        <v>246</v>
      </c>
      <c r="FE811" s="1" t="s">
        <v>870</v>
      </c>
      <c r="FF811" s="1" t="s">
        <v>248</v>
      </c>
      <c r="FG811" s="1" t="s">
        <v>2739</v>
      </c>
      <c r="FH811" s="1" t="s">
        <v>825</v>
      </c>
      <c r="FI811" s="1" t="s">
        <v>473</v>
      </c>
      <c r="FL811" s="1" t="s">
        <v>358</v>
      </c>
      <c r="FM811" s="1" t="s">
        <v>252</v>
      </c>
      <c r="FN811" s="1" t="s">
        <v>213</v>
      </c>
      <c r="FO811" s="1" t="s">
        <v>213</v>
      </c>
      <c r="FQ811" s="1" t="s">
        <v>9180</v>
      </c>
      <c r="FR811" s="1" t="s">
        <v>360</v>
      </c>
      <c r="FS811" s="1" t="s">
        <v>9181</v>
      </c>
      <c r="FT811" s="1" t="s">
        <v>295</v>
      </c>
      <c r="FU811" s="1" t="s">
        <v>204</v>
      </c>
      <c r="FW811" s="1" t="s">
        <v>9182</v>
      </c>
      <c r="FX811" s="1">
        <v>3146</v>
      </c>
      <c r="FY811" s="1" t="s">
        <v>9183</v>
      </c>
      <c r="FZ811" s="1" t="s">
        <v>9184</v>
      </c>
      <c r="GA811" s="1">
        <v>42538</v>
      </c>
      <c r="GE811" s="1" t="s">
        <v>2504</v>
      </c>
      <c r="GH811" s="1" t="s">
        <v>421</v>
      </c>
      <c r="GI811" s="1" t="s">
        <v>213</v>
      </c>
      <c r="GJ811" s="1" t="s">
        <v>260</v>
      </c>
      <c r="GK811" s="1" t="s">
        <v>210</v>
      </c>
      <c r="GL811" s="2">
        <v>41991</v>
      </c>
      <c r="GM811" s="1" t="s">
        <v>397</v>
      </c>
    </row>
    <row r="812" spans="1:195">
      <c r="A812" s="1">
        <v>75000</v>
      </c>
      <c r="B812" s="1" t="s">
        <v>195</v>
      </c>
      <c r="C812" s="1" t="str">
        <f>"08535092"</f>
        <v>08535092</v>
      </c>
      <c r="D812" s="1" t="s">
        <v>196</v>
      </c>
      <c r="F812" s="1" t="str">
        <f>"123"</f>
        <v>123</v>
      </c>
      <c r="G812" s="2">
        <v>41681</v>
      </c>
      <c r="H812" s="1">
        <v>75000</v>
      </c>
      <c r="I812" s="1">
        <v>105000</v>
      </c>
      <c r="J812" s="1">
        <v>75000</v>
      </c>
      <c r="K812" s="2">
        <v>41678</v>
      </c>
      <c r="L812" s="1">
        <v>389</v>
      </c>
      <c r="M812" s="2">
        <v>41895</v>
      </c>
      <c r="N812" s="1">
        <v>218</v>
      </c>
      <c r="O812" s="2">
        <v>41895</v>
      </c>
      <c r="P812" s="1">
        <v>85138</v>
      </c>
      <c r="Q812" s="1" t="s">
        <v>423</v>
      </c>
      <c r="R812" s="2">
        <v>41982</v>
      </c>
      <c r="S812" s="1">
        <v>160585</v>
      </c>
      <c r="U812" s="1">
        <v>2021</v>
      </c>
      <c r="V812" s="1" t="s">
        <v>3277</v>
      </c>
      <c r="W812" s="1" t="s">
        <v>449</v>
      </c>
      <c r="Y812" s="1">
        <v>1</v>
      </c>
      <c r="Z812" s="1" t="s">
        <v>249</v>
      </c>
      <c r="AA812" s="1" t="s">
        <v>1173</v>
      </c>
      <c r="AB812" s="1">
        <v>60123</v>
      </c>
      <c r="AE812" s="1" t="s">
        <v>9185</v>
      </c>
      <c r="AF812" s="1">
        <v>1992</v>
      </c>
      <c r="AG812" s="1" t="s">
        <v>204</v>
      </c>
      <c r="AH812" s="1" t="s">
        <v>1175</v>
      </c>
      <c r="AI812" s="1" t="s">
        <v>665</v>
      </c>
      <c r="AJ812" s="1" t="s">
        <v>1175</v>
      </c>
      <c r="AL812" s="1">
        <v>5</v>
      </c>
      <c r="AM812" s="1">
        <v>2</v>
      </c>
      <c r="AN812" s="1">
        <v>1</v>
      </c>
      <c r="AO812" s="1">
        <v>1</v>
      </c>
      <c r="AP812" s="1" t="s">
        <v>210</v>
      </c>
      <c r="AR812" s="1" t="s">
        <v>210</v>
      </c>
      <c r="AT812" s="1" t="s">
        <v>211</v>
      </c>
      <c r="AU812" s="1">
        <v>1</v>
      </c>
      <c r="AW812" s="1" t="s">
        <v>204</v>
      </c>
      <c r="AX812" s="1" t="s">
        <v>579</v>
      </c>
      <c r="AZ812" s="1">
        <v>2587</v>
      </c>
      <c r="BA812" s="1">
        <v>2013</v>
      </c>
      <c r="BE812" s="1">
        <v>1200</v>
      </c>
      <c r="BF812" s="1">
        <v>1</v>
      </c>
      <c r="BG812" s="1">
        <v>0</v>
      </c>
      <c r="BL812" s="1">
        <v>125</v>
      </c>
      <c r="BM812" s="1" t="s">
        <v>204</v>
      </c>
      <c r="BN812" s="1" t="s">
        <v>204</v>
      </c>
      <c r="BP812" s="1" t="s">
        <v>204</v>
      </c>
      <c r="BR812" s="1" t="str">
        <f>"0628205053"</f>
        <v>0628205053</v>
      </c>
      <c r="BT812" s="1" t="s">
        <v>9186</v>
      </c>
      <c r="BX812" s="1">
        <v>46</v>
      </c>
      <c r="BY812" s="1">
        <v>46</v>
      </c>
      <c r="BZ812" s="1">
        <v>46</v>
      </c>
      <c r="CB812" s="1" t="str">
        <f t="shared" ref="CB812:CC812" si="632">""</f>
        <v/>
      </c>
      <c r="CC812" s="1" t="str">
        <f t="shared" si="632"/>
        <v/>
      </c>
      <c r="CG812" s="1" t="s">
        <v>314</v>
      </c>
      <c r="CH812" s="1" t="s">
        <v>219</v>
      </c>
      <c r="CI812" s="1" t="s">
        <v>229</v>
      </c>
      <c r="CK812" s="1" t="s">
        <v>437</v>
      </c>
      <c r="CL812" s="1" t="s">
        <v>277</v>
      </c>
      <c r="CM812" s="1" t="s">
        <v>220</v>
      </c>
      <c r="CO812" s="1" t="s">
        <v>629</v>
      </c>
      <c r="CP812" s="1" t="s">
        <v>219</v>
      </c>
      <c r="CS812" s="1" t="s">
        <v>1046</v>
      </c>
      <c r="CT812" s="1" t="s">
        <v>277</v>
      </c>
      <c r="CU812" s="1" t="s">
        <v>220</v>
      </c>
      <c r="CX812" s="1" t="s">
        <v>224</v>
      </c>
      <c r="DB812" s="1" t="s">
        <v>224</v>
      </c>
      <c r="DE812" s="1" t="s">
        <v>489</v>
      </c>
      <c r="DF812" s="1" t="s">
        <v>219</v>
      </c>
      <c r="DG812" s="1" t="s">
        <v>229</v>
      </c>
      <c r="DJ812" s="1" t="s">
        <v>224</v>
      </c>
      <c r="DM812" s="1" t="s">
        <v>1359</v>
      </c>
      <c r="DS812" s="1" t="s">
        <v>230</v>
      </c>
      <c r="DW812" s="1" t="s">
        <v>230</v>
      </c>
      <c r="EA812" s="1" t="s">
        <v>230</v>
      </c>
      <c r="EE812" s="1" t="s">
        <v>230</v>
      </c>
      <c r="EI812" s="1" t="s">
        <v>230</v>
      </c>
      <c r="EL812" s="1" t="s">
        <v>382</v>
      </c>
      <c r="EM812" s="1" t="s">
        <v>319</v>
      </c>
      <c r="EN812" s="1" t="s">
        <v>282</v>
      </c>
      <c r="EO812" s="1" t="s">
        <v>234</v>
      </c>
      <c r="ER812" s="1" t="s">
        <v>210</v>
      </c>
      <c r="EW812" s="1" t="s">
        <v>1426</v>
      </c>
      <c r="EZ812" s="1" t="s">
        <v>1359</v>
      </c>
      <c r="FD812" s="1" t="s">
        <v>1112</v>
      </c>
      <c r="FE812" s="1" t="s">
        <v>9187</v>
      </c>
      <c r="FF812" s="1" t="s">
        <v>248</v>
      </c>
      <c r="FH812" s="1" t="s">
        <v>550</v>
      </c>
      <c r="FL812" s="1" t="s">
        <v>358</v>
      </c>
      <c r="FM812" s="1" t="s">
        <v>252</v>
      </c>
      <c r="FN812" s="1" t="s">
        <v>204</v>
      </c>
      <c r="FO812" s="1" t="s">
        <v>204</v>
      </c>
      <c r="FQ812" s="1" t="s">
        <v>1032</v>
      </c>
      <c r="FR812" s="1" t="s">
        <v>360</v>
      </c>
      <c r="FS812" s="1" t="s">
        <v>1374</v>
      </c>
      <c r="FT812" s="1" t="s">
        <v>520</v>
      </c>
      <c r="FU812" s="1" t="s">
        <v>204</v>
      </c>
      <c r="FW812" s="1" t="s">
        <v>9188</v>
      </c>
      <c r="FX812" s="1">
        <v>85138</v>
      </c>
      <c r="FY812" s="1" t="s">
        <v>9189</v>
      </c>
      <c r="FZ812" s="1" t="s">
        <v>9190</v>
      </c>
      <c r="GA812" s="1">
        <v>160585</v>
      </c>
      <c r="GB812" s="1" t="s">
        <v>9191</v>
      </c>
      <c r="GE812" s="1" t="s">
        <v>480</v>
      </c>
      <c r="GI812" s="1" t="s">
        <v>204</v>
      </c>
      <c r="GJ812" s="1" t="s">
        <v>260</v>
      </c>
      <c r="GK812" s="1" t="s">
        <v>210</v>
      </c>
      <c r="GL812" s="2">
        <v>42027</v>
      </c>
      <c r="GM812" s="1" t="s">
        <v>397</v>
      </c>
    </row>
    <row r="813" spans="1:195">
      <c r="A813" s="1">
        <v>239000</v>
      </c>
      <c r="B813" s="1" t="s">
        <v>195</v>
      </c>
      <c r="C813" s="1" t="str">
        <f>"08888378"</f>
        <v>08888378</v>
      </c>
      <c r="D813" s="1" t="s">
        <v>196</v>
      </c>
      <c r="F813" s="1" t="str">
        <f>"104"</f>
        <v>104</v>
      </c>
      <c r="G813" s="2">
        <v>42105</v>
      </c>
      <c r="H813" s="1">
        <v>250000</v>
      </c>
      <c r="I813" s="1">
        <v>250000</v>
      </c>
      <c r="J813" s="1">
        <v>239000</v>
      </c>
      <c r="K813" s="2">
        <v>42105</v>
      </c>
      <c r="L813" s="1">
        <v>8</v>
      </c>
      <c r="M813" s="2">
        <v>42112</v>
      </c>
      <c r="N813" s="1">
        <v>8</v>
      </c>
      <c r="O813" s="2">
        <v>42112</v>
      </c>
      <c r="P813" s="1">
        <v>25215</v>
      </c>
      <c r="Q813" s="1" t="s">
        <v>197</v>
      </c>
      <c r="R813" s="2">
        <v>42142</v>
      </c>
      <c r="S813" s="1">
        <v>253383</v>
      </c>
      <c r="U813" s="1">
        <v>1305</v>
      </c>
      <c r="V813" s="1" t="s">
        <v>9192</v>
      </c>
      <c r="W813" s="1" t="s">
        <v>264</v>
      </c>
      <c r="Y813" s="1">
        <v>4</v>
      </c>
      <c r="Z813" s="1" t="s">
        <v>370</v>
      </c>
      <c r="AA813" s="1" t="s">
        <v>371</v>
      </c>
      <c r="AB813" s="1">
        <v>60103</v>
      </c>
      <c r="AD813" s="1" t="s">
        <v>9193</v>
      </c>
      <c r="AE813" s="1" t="s">
        <v>9194</v>
      </c>
      <c r="AF813" s="1">
        <v>2004</v>
      </c>
      <c r="AG813" s="1" t="s">
        <v>204</v>
      </c>
      <c r="AH813" s="1" t="s">
        <v>373</v>
      </c>
      <c r="AI813" s="1" t="s">
        <v>310</v>
      </c>
      <c r="AJ813" s="1" t="s">
        <v>374</v>
      </c>
      <c r="AK813" s="1" t="s">
        <v>9195</v>
      </c>
      <c r="AL813" s="1">
        <v>8</v>
      </c>
      <c r="AM813" s="1">
        <v>2</v>
      </c>
      <c r="AN813" s="1">
        <v>3</v>
      </c>
      <c r="AO813" s="1">
        <v>1</v>
      </c>
      <c r="AP813" s="1" t="s">
        <v>209</v>
      </c>
      <c r="AR813" s="1" t="s">
        <v>209</v>
      </c>
      <c r="AS813" s="1" t="s">
        <v>204</v>
      </c>
      <c r="AT813" s="1" t="s">
        <v>211</v>
      </c>
      <c r="AU813" s="1">
        <v>2</v>
      </c>
      <c r="AW813" s="1" t="s">
        <v>204</v>
      </c>
      <c r="AX813" s="1" t="s">
        <v>9196</v>
      </c>
      <c r="AZ813" s="1">
        <v>5406.31</v>
      </c>
      <c r="BA813" s="1">
        <v>2013</v>
      </c>
      <c r="BB813" s="1" t="s">
        <v>405</v>
      </c>
      <c r="BE813" s="1">
        <v>1848</v>
      </c>
      <c r="BF813" s="1">
        <v>1</v>
      </c>
      <c r="BG813" s="1">
        <v>0</v>
      </c>
      <c r="BL813" s="1">
        <v>204</v>
      </c>
      <c r="BM813" s="1" t="s">
        <v>204</v>
      </c>
      <c r="BN813" s="1" t="s">
        <v>213</v>
      </c>
      <c r="BO813" s="1">
        <v>999</v>
      </c>
      <c r="BP813" s="1" t="s">
        <v>204</v>
      </c>
      <c r="BR813" s="1" t="str">
        <f>"06283210240000"</f>
        <v>06283210240000</v>
      </c>
      <c r="BT813" s="1" t="s">
        <v>9197</v>
      </c>
      <c r="BU813" s="1" t="s">
        <v>6711</v>
      </c>
      <c r="BV813" s="1" t="s">
        <v>1467</v>
      </c>
      <c r="BW813" s="1" t="s">
        <v>1468</v>
      </c>
      <c r="BX813" s="1">
        <v>46</v>
      </c>
      <c r="BY813" s="1">
        <v>46</v>
      </c>
      <c r="BZ813" s="1">
        <v>46</v>
      </c>
      <c r="CB813" s="1" t="str">
        <f>"9"</f>
        <v>9</v>
      </c>
      <c r="CC813" s="1" t="str">
        <f>""</f>
        <v/>
      </c>
      <c r="CD813" s="1">
        <v>30</v>
      </c>
      <c r="CG813" s="1" t="s">
        <v>437</v>
      </c>
      <c r="CH813" s="1" t="s">
        <v>219</v>
      </c>
      <c r="CI813" s="1" t="s">
        <v>220</v>
      </c>
      <c r="CJ813" s="1" t="s">
        <v>252</v>
      </c>
      <c r="CK813" s="1" t="s">
        <v>228</v>
      </c>
      <c r="CL813" s="1" t="s">
        <v>277</v>
      </c>
      <c r="CM813" s="1" t="s">
        <v>220</v>
      </c>
      <c r="CN813" s="1" t="s">
        <v>252</v>
      </c>
      <c r="CO813" s="1" t="s">
        <v>346</v>
      </c>
      <c r="CP813" s="1" t="s">
        <v>219</v>
      </c>
      <c r="CQ813" s="1" t="s">
        <v>220</v>
      </c>
      <c r="CR813" s="1" t="s">
        <v>252</v>
      </c>
      <c r="CS813" s="1" t="s">
        <v>465</v>
      </c>
      <c r="CT813" s="1" t="s">
        <v>277</v>
      </c>
      <c r="CU813" s="1" t="s">
        <v>220</v>
      </c>
      <c r="CV813" s="1" t="s">
        <v>210</v>
      </c>
      <c r="CX813" s="1" t="s">
        <v>224</v>
      </c>
      <c r="DB813" s="1" t="s">
        <v>224</v>
      </c>
      <c r="DE813" s="1" t="s">
        <v>1046</v>
      </c>
      <c r="DF813" s="1" t="s">
        <v>219</v>
      </c>
      <c r="DG813" s="1" t="s">
        <v>342</v>
      </c>
      <c r="DH813" s="1" t="s">
        <v>210</v>
      </c>
      <c r="DI813" s="1" t="s">
        <v>4082</v>
      </c>
      <c r="DJ813" s="1" t="s">
        <v>43</v>
      </c>
      <c r="DK813" s="1" t="s">
        <v>438</v>
      </c>
      <c r="DL813" s="1" t="s">
        <v>252</v>
      </c>
      <c r="DM813" s="1" t="s">
        <v>381</v>
      </c>
      <c r="DN813" s="1" t="s">
        <v>464</v>
      </c>
      <c r="DR813" s="1" t="s">
        <v>6343</v>
      </c>
      <c r="DS813" s="1" t="s">
        <v>219</v>
      </c>
      <c r="DT813" s="1" t="s">
        <v>342</v>
      </c>
      <c r="DU813" s="1" t="s">
        <v>210</v>
      </c>
      <c r="DV813" s="1" t="s">
        <v>437</v>
      </c>
      <c r="DW813" s="1" t="s">
        <v>277</v>
      </c>
      <c r="DX813" s="1" t="s">
        <v>220</v>
      </c>
      <c r="DY813" s="1" t="s">
        <v>252</v>
      </c>
      <c r="EA813" s="1" t="s">
        <v>230</v>
      </c>
      <c r="EE813" s="1" t="s">
        <v>230</v>
      </c>
      <c r="EI813" s="1" t="s">
        <v>230</v>
      </c>
      <c r="EL813" s="1" t="s">
        <v>466</v>
      </c>
      <c r="EM813" s="1" t="s">
        <v>319</v>
      </c>
      <c r="EN813" s="1" t="s">
        <v>282</v>
      </c>
      <c r="EO813" s="1" t="s">
        <v>234</v>
      </c>
      <c r="EP813" s="1" t="s">
        <v>650</v>
      </c>
      <c r="EQ813" s="1" t="s">
        <v>236</v>
      </c>
      <c r="ER813" s="1" t="s">
        <v>544</v>
      </c>
      <c r="ES813" s="1" t="s">
        <v>322</v>
      </c>
      <c r="ET813" s="1" t="s">
        <v>1201</v>
      </c>
      <c r="EV813" s="1" t="s">
        <v>240</v>
      </c>
      <c r="EW813" s="1" t="s">
        <v>353</v>
      </c>
      <c r="EY813" s="1" t="s">
        <v>242</v>
      </c>
      <c r="EZ813" s="1" t="s">
        <v>4284</v>
      </c>
      <c r="FB813" s="1" t="s">
        <v>289</v>
      </c>
      <c r="FD813" s="1" t="s">
        <v>246</v>
      </c>
      <c r="FE813" s="1" t="s">
        <v>975</v>
      </c>
      <c r="FF813" s="1" t="s">
        <v>248</v>
      </c>
      <c r="FH813" s="1" t="s">
        <v>550</v>
      </c>
      <c r="FI813" s="1" t="s">
        <v>473</v>
      </c>
      <c r="FJ813" s="1" t="s">
        <v>518</v>
      </c>
      <c r="FL813" s="1" t="s">
        <v>358</v>
      </c>
      <c r="FM813" s="1" t="s">
        <v>252</v>
      </c>
      <c r="FN813" s="1" t="s">
        <v>213</v>
      </c>
      <c r="FO813" s="1" t="s">
        <v>213</v>
      </c>
      <c r="FQ813" s="1" t="s">
        <v>1896</v>
      </c>
      <c r="FR813" s="1" t="s">
        <v>210</v>
      </c>
      <c r="FS813" s="1" t="s">
        <v>9198</v>
      </c>
      <c r="FT813" s="1" t="s">
        <v>1182</v>
      </c>
      <c r="FU813" s="1" t="s">
        <v>204</v>
      </c>
      <c r="FV813" s="1" t="s">
        <v>9199</v>
      </c>
      <c r="FW813" s="1" t="s">
        <v>1097</v>
      </c>
      <c r="FX813" s="1">
        <v>25981</v>
      </c>
      <c r="FY813" s="1" t="s">
        <v>9200</v>
      </c>
      <c r="FZ813" s="1" t="s">
        <v>9201</v>
      </c>
      <c r="GA813" s="1">
        <v>252282</v>
      </c>
      <c r="GB813" s="1" t="s">
        <v>9202</v>
      </c>
      <c r="GD813" s="1" t="s">
        <v>9199</v>
      </c>
      <c r="GE813" s="1" t="s">
        <v>480</v>
      </c>
      <c r="GI813" s="1" t="s">
        <v>213</v>
      </c>
      <c r="GJ813" s="1" t="s">
        <v>260</v>
      </c>
      <c r="GK813" s="1" t="s">
        <v>261</v>
      </c>
      <c r="GL813" s="2">
        <v>42143</v>
      </c>
    </row>
    <row r="814" spans="1:195">
      <c r="A814" s="1">
        <v>76000</v>
      </c>
      <c r="B814" s="1" t="s">
        <v>195</v>
      </c>
      <c r="C814" s="1" t="str">
        <f>"08889208"</f>
        <v>08889208</v>
      </c>
      <c r="D814" s="1" t="s">
        <v>196</v>
      </c>
      <c r="F814" s="1" t="str">
        <f>"139"</f>
        <v>139</v>
      </c>
      <c r="G814" s="2">
        <v>42107</v>
      </c>
      <c r="H814" s="1">
        <v>75000</v>
      </c>
      <c r="I814" s="1">
        <v>75000</v>
      </c>
      <c r="J814" s="1">
        <v>76000</v>
      </c>
      <c r="K814" s="2">
        <v>42107</v>
      </c>
      <c r="L814" s="1">
        <v>2</v>
      </c>
      <c r="M814" s="2">
        <v>42108</v>
      </c>
      <c r="N814" s="1">
        <v>2</v>
      </c>
      <c r="O814" s="2">
        <v>42108</v>
      </c>
      <c r="P814" s="1">
        <v>25505</v>
      </c>
      <c r="Q814" s="1" t="s">
        <v>302</v>
      </c>
      <c r="R814" s="2">
        <v>42136</v>
      </c>
      <c r="S814" s="1">
        <v>244918</v>
      </c>
      <c r="U814" s="1">
        <v>184</v>
      </c>
      <c r="V814" s="1" t="s">
        <v>2831</v>
      </c>
      <c r="W814" s="1" t="s">
        <v>264</v>
      </c>
      <c r="X814" s="1">
        <v>101</v>
      </c>
      <c r="Y814" s="1">
        <v>6</v>
      </c>
      <c r="Z814" s="1" t="s">
        <v>200</v>
      </c>
      <c r="AA814" s="1" t="s">
        <v>1732</v>
      </c>
      <c r="AB814" s="1">
        <v>60139</v>
      </c>
      <c r="AD814" s="1" t="s">
        <v>6975</v>
      </c>
      <c r="AE814" s="1" t="s">
        <v>9203</v>
      </c>
      <c r="AF814" s="1">
        <v>1980</v>
      </c>
      <c r="AG814" s="1" t="s">
        <v>204</v>
      </c>
      <c r="AH814" s="1" t="s">
        <v>1735</v>
      </c>
      <c r="AI814" s="1" t="s">
        <v>206</v>
      </c>
      <c r="AJ814" s="1" t="s">
        <v>269</v>
      </c>
      <c r="AL814" s="1">
        <v>5</v>
      </c>
      <c r="AM814" s="1">
        <v>2</v>
      </c>
      <c r="AN814" s="1">
        <v>2</v>
      </c>
      <c r="AO814" s="1">
        <v>0</v>
      </c>
      <c r="AP814" s="1" t="s">
        <v>209</v>
      </c>
      <c r="AR814" s="1" t="s">
        <v>210</v>
      </c>
      <c r="AT814" s="1" t="s">
        <v>211</v>
      </c>
      <c r="AU814" s="1">
        <v>1</v>
      </c>
      <c r="AW814" s="1" t="s">
        <v>204</v>
      </c>
      <c r="AX814" s="1">
        <v>0</v>
      </c>
      <c r="AZ814" s="1">
        <v>1420</v>
      </c>
      <c r="BA814" s="1">
        <v>2013</v>
      </c>
      <c r="BB814" s="1" t="s">
        <v>2694</v>
      </c>
      <c r="BE814" s="1">
        <v>988</v>
      </c>
      <c r="BF814" s="1">
        <v>1</v>
      </c>
      <c r="BG814" s="1">
        <v>0</v>
      </c>
      <c r="BL814" s="1">
        <v>215</v>
      </c>
      <c r="BM814" s="1" t="s">
        <v>204</v>
      </c>
      <c r="BN814" s="1" t="s">
        <v>213</v>
      </c>
      <c r="BO814" s="1">
        <v>25</v>
      </c>
      <c r="BP814" s="1" t="s">
        <v>204</v>
      </c>
      <c r="BR814" s="1" t="str">
        <f>"0222113061"</f>
        <v>0222113061</v>
      </c>
      <c r="BT814" s="1" t="s">
        <v>9204</v>
      </c>
      <c r="BU814" s="1" t="s">
        <v>3570</v>
      </c>
      <c r="BV814" s="1" t="s">
        <v>2015</v>
      </c>
      <c r="BW814" s="1" t="s">
        <v>1935</v>
      </c>
      <c r="BX814" s="1">
        <v>15</v>
      </c>
      <c r="BY814" s="1">
        <v>15</v>
      </c>
      <c r="BZ814" s="1">
        <v>87</v>
      </c>
      <c r="CB814" s="1" t="str">
        <f t="shared" ref="CB814:CC814" si="633">""</f>
        <v/>
      </c>
      <c r="CC814" s="1" t="str">
        <f t="shared" si="633"/>
        <v/>
      </c>
      <c r="CG814" s="1" t="s">
        <v>729</v>
      </c>
      <c r="CH814" s="1" t="s">
        <v>219</v>
      </c>
      <c r="CI814" s="1" t="s">
        <v>220</v>
      </c>
      <c r="CK814" s="1" t="s">
        <v>539</v>
      </c>
      <c r="CL814" s="1" t="s">
        <v>219</v>
      </c>
      <c r="CM814" s="1" t="s">
        <v>220</v>
      </c>
      <c r="CO814" s="1" t="s">
        <v>346</v>
      </c>
      <c r="CP814" s="1" t="s">
        <v>219</v>
      </c>
      <c r="CQ814" s="1" t="s">
        <v>220</v>
      </c>
      <c r="CS814" s="1" t="s">
        <v>465</v>
      </c>
      <c r="CT814" s="1" t="s">
        <v>219</v>
      </c>
      <c r="CU814" s="1" t="s">
        <v>220</v>
      </c>
      <c r="CX814" s="1" t="s">
        <v>224</v>
      </c>
      <c r="DB814" s="1" t="s">
        <v>224</v>
      </c>
      <c r="DE814" s="1" t="s">
        <v>346</v>
      </c>
      <c r="DF814" s="1" t="s">
        <v>219</v>
      </c>
      <c r="DG814" s="1" t="s">
        <v>342</v>
      </c>
      <c r="DJ814" s="1" t="s">
        <v>224</v>
      </c>
      <c r="DS814" s="1" t="s">
        <v>230</v>
      </c>
      <c r="DW814" s="1" t="s">
        <v>230</v>
      </c>
      <c r="EA814" s="1" t="s">
        <v>230</v>
      </c>
      <c r="EE814" s="1" t="s">
        <v>230</v>
      </c>
      <c r="EI814" s="1" t="s">
        <v>230</v>
      </c>
      <c r="EL814" s="1" t="s">
        <v>231</v>
      </c>
      <c r="EM814" s="1" t="s">
        <v>730</v>
      </c>
      <c r="EN814" s="1" t="s">
        <v>731</v>
      </c>
      <c r="EO814" s="1" t="s">
        <v>234</v>
      </c>
      <c r="EP814" s="1" t="s">
        <v>650</v>
      </c>
      <c r="EQ814" s="1" t="s">
        <v>1094</v>
      </c>
      <c r="ER814" s="1" t="s">
        <v>210</v>
      </c>
      <c r="ES814" s="1" t="s">
        <v>322</v>
      </c>
      <c r="EV814" s="1" t="s">
        <v>324</v>
      </c>
      <c r="EW814" s="1" t="s">
        <v>1219</v>
      </c>
      <c r="EY814" s="1" t="s">
        <v>242</v>
      </c>
      <c r="EZ814" s="1" t="s">
        <v>287</v>
      </c>
      <c r="FD814" s="1" t="s">
        <v>246</v>
      </c>
      <c r="FE814" s="1" t="s">
        <v>386</v>
      </c>
      <c r="FF814" s="1" t="s">
        <v>248</v>
      </c>
      <c r="FH814" s="1" t="s">
        <v>249</v>
      </c>
      <c r="FI814" s="1" t="s">
        <v>473</v>
      </c>
      <c r="FJ814" s="1" t="s">
        <v>1251</v>
      </c>
      <c r="FL814" s="1" t="s">
        <v>614</v>
      </c>
      <c r="FM814" s="1" t="s">
        <v>252</v>
      </c>
      <c r="FN814" s="1" t="s">
        <v>213</v>
      </c>
      <c r="FO814" s="1" t="s">
        <v>213</v>
      </c>
      <c r="FQ814" s="1" t="s">
        <v>293</v>
      </c>
      <c r="FR814" s="1" t="s">
        <v>210</v>
      </c>
      <c r="FS814" s="1" t="s">
        <v>9205</v>
      </c>
      <c r="FT814" s="1" t="s">
        <v>9206</v>
      </c>
      <c r="FU814" s="1" t="s">
        <v>204</v>
      </c>
      <c r="FW814" s="1" t="s">
        <v>1097</v>
      </c>
      <c r="FX814" s="1">
        <v>25005</v>
      </c>
      <c r="FY814" s="1" t="s">
        <v>1098</v>
      </c>
      <c r="FZ814" s="1" t="s">
        <v>9207</v>
      </c>
      <c r="GA814" s="1">
        <v>240574</v>
      </c>
      <c r="GB814" s="1" t="s">
        <v>9208</v>
      </c>
      <c r="GC814" s="1">
        <v>243223</v>
      </c>
      <c r="GE814" s="1" t="s">
        <v>480</v>
      </c>
      <c r="GH814" s="1" t="s">
        <v>421</v>
      </c>
      <c r="GI814" s="1" t="s">
        <v>213</v>
      </c>
      <c r="GJ814" s="1" t="s">
        <v>260</v>
      </c>
      <c r="GK814" s="1" t="s">
        <v>261</v>
      </c>
      <c r="GL814" s="2">
        <v>42137</v>
      </c>
      <c r="GM814" s="1" t="s">
        <v>9209</v>
      </c>
    </row>
    <row r="815" spans="1:195">
      <c r="A815" s="1">
        <v>127500</v>
      </c>
      <c r="B815" s="1" t="s">
        <v>195</v>
      </c>
      <c r="C815" s="1" t="str">
        <f>"08889258"</f>
        <v>08889258</v>
      </c>
      <c r="D815" s="1" t="s">
        <v>196</v>
      </c>
      <c r="F815" s="1" t="str">
        <f>"110"</f>
        <v>110</v>
      </c>
      <c r="G815" s="2">
        <v>42107</v>
      </c>
      <c r="H815" s="1">
        <v>134900</v>
      </c>
      <c r="I815" s="1">
        <v>129900</v>
      </c>
      <c r="J815" s="1">
        <v>127500</v>
      </c>
      <c r="K815" s="2">
        <v>42107</v>
      </c>
      <c r="L815" s="1">
        <v>15</v>
      </c>
      <c r="M815" s="2">
        <v>42121</v>
      </c>
      <c r="N815" s="1">
        <v>15</v>
      </c>
      <c r="O815" s="2">
        <v>42121</v>
      </c>
      <c r="P815" s="1">
        <v>8459</v>
      </c>
      <c r="Q815" s="1" t="s">
        <v>302</v>
      </c>
      <c r="R815" s="2">
        <v>42138</v>
      </c>
      <c r="S815" s="1">
        <v>81345</v>
      </c>
      <c r="U815" s="1">
        <v>1489</v>
      </c>
      <c r="V815" s="1" t="s">
        <v>9210</v>
      </c>
      <c r="W815" s="1" t="s">
        <v>504</v>
      </c>
      <c r="X815" s="1">
        <v>1489</v>
      </c>
      <c r="Y815" s="1">
        <v>4</v>
      </c>
      <c r="Z815" s="1" t="s">
        <v>249</v>
      </c>
      <c r="AA815" s="1" t="s">
        <v>803</v>
      </c>
      <c r="AB815" s="1">
        <v>60110</v>
      </c>
      <c r="AD815" s="1" t="s">
        <v>9211</v>
      </c>
      <c r="AE815" s="1" t="s">
        <v>9212</v>
      </c>
      <c r="AF815" s="1">
        <v>1998</v>
      </c>
      <c r="AG815" s="1" t="s">
        <v>204</v>
      </c>
      <c r="AH815" s="1" t="s">
        <v>805</v>
      </c>
      <c r="AI815" s="1" t="s">
        <v>665</v>
      </c>
      <c r="AJ815" s="1" t="s">
        <v>805</v>
      </c>
      <c r="AK815" s="1" t="s">
        <v>9213</v>
      </c>
      <c r="AL815" s="1">
        <v>6</v>
      </c>
      <c r="AM815" s="1">
        <v>2</v>
      </c>
      <c r="AN815" s="1">
        <v>2</v>
      </c>
      <c r="AO815" s="1">
        <v>0</v>
      </c>
      <c r="AP815" s="1" t="s">
        <v>209</v>
      </c>
      <c r="AR815" s="1" t="s">
        <v>210</v>
      </c>
      <c r="AS815" s="1" t="s">
        <v>204</v>
      </c>
      <c r="AT815" s="1" t="s">
        <v>211</v>
      </c>
      <c r="AU815" s="1">
        <v>1</v>
      </c>
      <c r="AW815" s="1" t="s">
        <v>204</v>
      </c>
      <c r="AX815" s="1" t="s">
        <v>212</v>
      </c>
      <c r="AZ815" s="1">
        <v>3459.5</v>
      </c>
      <c r="BA815" s="1">
        <v>2013</v>
      </c>
      <c r="BB815" s="1" t="s">
        <v>405</v>
      </c>
      <c r="BE815" s="1">
        <v>1472</v>
      </c>
      <c r="BF815" s="1">
        <v>2</v>
      </c>
      <c r="BG815" s="1">
        <v>0</v>
      </c>
      <c r="BL815" s="1">
        <v>136</v>
      </c>
      <c r="BM815" s="1" t="s">
        <v>204</v>
      </c>
      <c r="BN815" s="1" t="s">
        <v>213</v>
      </c>
      <c r="BO815" s="1">
        <v>0</v>
      </c>
      <c r="BP815" s="1" t="s">
        <v>204</v>
      </c>
      <c r="BR815" s="1" t="str">
        <f>"0318203073"</f>
        <v>0318203073</v>
      </c>
      <c r="BT815" s="1" t="s">
        <v>9214</v>
      </c>
      <c r="BU815" s="1" t="s">
        <v>9215</v>
      </c>
      <c r="BV815" s="1" t="s">
        <v>8986</v>
      </c>
      <c r="BW815" s="1" t="s">
        <v>2668</v>
      </c>
      <c r="BX815" s="1">
        <v>300</v>
      </c>
      <c r="BY815" s="1">
        <v>300</v>
      </c>
      <c r="BZ815" s="1">
        <v>300</v>
      </c>
      <c r="CB815" s="1" t="str">
        <f>"16"</f>
        <v>16</v>
      </c>
      <c r="CC815" s="1" t="str">
        <f>"0"</f>
        <v>0</v>
      </c>
      <c r="CD815" s="1">
        <v>35</v>
      </c>
      <c r="CE815" s="1">
        <v>0</v>
      </c>
      <c r="CG815" s="1" t="s">
        <v>221</v>
      </c>
      <c r="CH815" s="1" t="s">
        <v>277</v>
      </c>
      <c r="CI815" s="1" t="s">
        <v>220</v>
      </c>
      <c r="CJ815" s="1" t="s">
        <v>343</v>
      </c>
      <c r="CK815" s="1" t="s">
        <v>757</v>
      </c>
      <c r="CL815" s="1" t="s">
        <v>277</v>
      </c>
      <c r="CM815" s="1" t="s">
        <v>220</v>
      </c>
      <c r="CN815" s="1" t="s">
        <v>343</v>
      </c>
      <c r="CO815" s="1" t="s">
        <v>379</v>
      </c>
      <c r="CP815" s="1" t="s">
        <v>277</v>
      </c>
      <c r="CQ815" s="1" t="s">
        <v>220</v>
      </c>
      <c r="CR815" s="1" t="s">
        <v>343</v>
      </c>
      <c r="CS815" s="1" t="s">
        <v>379</v>
      </c>
      <c r="CT815" s="1" t="s">
        <v>277</v>
      </c>
      <c r="CU815" s="1" t="s">
        <v>220</v>
      </c>
      <c r="CV815" s="1" t="s">
        <v>343</v>
      </c>
      <c r="CX815" s="1" t="s">
        <v>224</v>
      </c>
      <c r="DB815" s="1" t="s">
        <v>224</v>
      </c>
      <c r="DE815" s="1" t="s">
        <v>932</v>
      </c>
      <c r="DF815" s="1" t="s">
        <v>277</v>
      </c>
      <c r="DG815" s="1" t="s">
        <v>342</v>
      </c>
      <c r="DH815" s="1" t="s">
        <v>343</v>
      </c>
      <c r="DI815" s="1" t="s">
        <v>378</v>
      </c>
      <c r="DJ815" s="1" t="s">
        <v>277</v>
      </c>
      <c r="DK815" s="1" t="s">
        <v>220</v>
      </c>
      <c r="DL815" s="1" t="s">
        <v>343</v>
      </c>
      <c r="DS815" s="1" t="s">
        <v>230</v>
      </c>
      <c r="DW815" s="1" t="s">
        <v>230</v>
      </c>
      <c r="EA815" s="1" t="s">
        <v>230</v>
      </c>
      <c r="EE815" s="1" t="s">
        <v>230</v>
      </c>
      <c r="EI815" s="1" t="s">
        <v>230</v>
      </c>
      <c r="EL815" s="1" t="s">
        <v>670</v>
      </c>
      <c r="EM815" s="1" t="s">
        <v>319</v>
      </c>
      <c r="EN815" s="1" t="s">
        <v>282</v>
      </c>
      <c r="EO815" s="1" t="s">
        <v>1020</v>
      </c>
      <c r="EP815" s="1" t="s">
        <v>9216</v>
      </c>
      <c r="EQ815" s="1" t="s">
        <v>9217</v>
      </c>
      <c r="ER815" s="1" t="s">
        <v>210</v>
      </c>
      <c r="ES815" s="1" t="s">
        <v>493</v>
      </c>
      <c r="EU815" s="1" t="s">
        <v>239</v>
      </c>
      <c r="EV815" s="1" t="s">
        <v>240</v>
      </c>
      <c r="EW815" s="1" t="s">
        <v>353</v>
      </c>
      <c r="EY815" s="1" t="s">
        <v>242</v>
      </c>
      <c r="EZ815" s="1" t="s">
        <v>287</v>
      </c>
      <c r="FA815" s="1" t="s">
        <v>5405</v>
      </c>
      <c r="FC815" s="1" t="s">
        <v>326</v>
      </c>
      <c r="FD815" s="1" t="s">
        <v>246</v>
      </c>
      <c r="FE815" s="1" t="s">
        <v>355</v>
      </c>
      <c r="FF815" s="1" t="s">
        <v>248</v>
      </c>
      <c r="FH815" s="1" t="s">
        <v>550</v>
      </c>
      <c r="FI815" s="1" t="s">
        <v>473</v>
      </c>
      <c r="FL815" s="1" t="s">
        <v>358</v>
      </c>
      <c r="FM815" s="1" t="s">
        <v>252</v>
      </c>
      <c r="FN815" s="1" t="s">
        <v>213</v>
      </c>
      <c r="FO815" s="1" t="s">
        <v>213</v>
      </c>
      <c r="FQ815" s="1" t="s">
        <v>4216</v>
      </c>
      <c r="FR815" s="1" t="s">
        <v>210</v>
      </c>
      <c r="FS815" s="1" t="s">
        <v>9218</v>
      </c>
      <c r="FT815" s="1" t="s">
        <v>295</v>
      </c>
      <c r="FU815" s="1" t="s">
        <v>204</v>
      </c>
      <c r="FW815" s="1" t="s">
        <v>7048</v>
      </c>
      <c r="FX815" s="1">
        <v>432</v>
      </c>
      <c r="FY815" s="1" t="s">
        <v>7049</v>
      </c>
      <c r="FZ815" s="1" t="s">
        <v>9219</v>
      </c>
      <c r="GA815" s="1">
        <v>70207</v>
      </c>
      <c r="GB815" s="1" t="s">
        <v>9220</v>
      </c>
      <c r="GE815" s="1" t="s">
        <v>210</v>
      </c>
      <c r="GI815" s="1" t="s">
        <v>213</v>
      </c>
      <c r="GJ815" s="1" t="s">
        <v>260</v>
      </c>
      <c r="GK815" s="1" t="s">
        <v>210</v>
      </c>
      <c r="GL815" s="2">
        <v>42138</v>
      </c>
    </row>
    <row r="816" spans="1:195">
      <c r="A816" s="1">
        <v>118000</v>
      </c>
      <c r="B816" s="1" t="s">
        <v>195</v>
      </c>
      <c r="C816" s="1" t="str">
        <f>"08889818"</f>
        <v>08889818</v>
      </c>
      <c r="D816" s="1" t="s">
        <v>196</v>
      </c>
      <c r="F816" s="1" t="str">
        <f>"137"</f>
        <v>137</v>
      </c>
      <c r="G816" s="2">
        <v>42107</v>
      </c>
      <c r="H816" s="1">
        <v>124900</v>
      </c>
      <c r="I816" s="1">
        <v>124900</v>
      </c>
      <c r="J816" s="1">
        <v>118000</v>
      </c>
      <c r="K816" s="2">
        <v>42107</v>
      </c>
      <c r="L816" s="1">
        <v>12</v>
      </c>
      <c r="M816" s="2">
        <v>42118</v>
      </c>
      <c r="N816" s="1">
        <v>12</v>
      </c>
      <c r="O816" s="2">
        <v>42118</v>
      </c>
      <c r="P816" s="1">
        <v>25163</v>
      </c>
      <c r="Q816" s="1" t="s">
        <v>302</v>
      </c>
      <c r="R816" s="2">
        <v>42144</v>
      </c>
      <c r="S816" s="1">
        <v>252911</v>
      </c>
      <c r="U816" s="1">
        <v>421</v>
      </c>
      <c r="V816" s="1" t="s">
        <v>2413</v>
      </c>
      <c r="W816" s="1" t="s">
        <v>449</v>
      </c>
      <c r="X816" s="1" t="s">
        <v>483</v>
      </c>
      <c r="Y816" s="1">
        <v>4</v>
      </c>
      <c r="Z816" s="1" t="s">
        <v>370</v>
      </c>
      <c r="AA816" s="1" t="s">
        <v>201</v>
      </c>
      <c r="AB816" s="1">
        <v>60137</v>
      </c>
      <c r="AD816" s="1" t="s">
        <v>9221</v>
      </c>
      <c r="AE816" s="1" t="s">
        <v>9222</v>
      </c>
      <c r="AF816" s="1">
        <v>1982</v>
      </c>
      <c r="AG816" s="1" t="s">
        <v>204</v>
      </c>
      <c r="AH816" s="1" t="s">
        <v>205</v>
      </c>
      <c r="AI816" s="1" t="s">
        <v>206</v>
      </c>
      <c r="AJ816" s="1" t="s">
        <v>207</v>
      </c>
      <c r="AL816" s="1">
        <v>5</v>
      </c>
      <c r="AM816" s="1">
        <v>2</v>
      </c>
      <c r="AN816" s="1">
        <v>1</v>
      </c>
      <c r="AO816" s="1">
        <v>1</v>
      </c>
      <c r="AP816" s="1" t="s">
        <v>667</v>
      </c>
      <c r="AQ816" s="1">
        <v>0</v>
      </c>
      <c r="AR816" s="1" t="s">
        <v>210</v>
      </c>
      <c r="AS816" s="1" t="s">
        <v>204</v>
      </c>
      <c r="AT816" s="1" t="s">
        <v>211</v>
      </c>
      <c r="AU816" s="1">
        <v>1</v>
      </c>
      <c r="AW816" s="1" t="s">
        <v>204</v>
      </c>
      <c r="AX816" s="1" t="s">
        <v>212</v>
      </c>
      <c r="AZ816" s="1">
        <v>2934</v>
      </c>
      <c r="BA816" s="1">
        <v>2013</v>
      </c>
      <c r="BB816" s="1" t="s">
        <v>210</v>
      </c>
      <c r="BE816" s="1">
        <v>816</v>
      </c>
      <c r="BF816" s="1">
        <v>2</v>
      </c>
      <c r="BG816" s="1">
        <v>0</v>
      </c>
      <c r="BL816" s="1">
        <v>287</v>
      </c>
      <c r="BM816" s="1" t="s">
        <v>204</v>
      </c>
      <c r="BN816" s="1" t="s">
        <v>213</v>
      </c>
      <c r="BO816" s="1">
        <v>999</v>
      </c>
      <c r="BP816" s="1" t="s">
        <v>204</v>
      </c>
      <c r="BR816" s="1" t="str">
        <f>"0522422032"</f>
        <v>0522422032</v>
      </c>
      <c r="BT816" s="1" t="s">
        <v>9223</v>
      </c>
      <c r="BU816" s="1" t="s">
        <v>7734</v>
      </c>
      <c r="BV816" s="1" t="s">
        <v>216</v>
      </c>
      <c r="BW816" s="1" t="s">
        <v>217</v>
      </c>
      <c r="BX816" s="1">
        <v>89</v>
      </c>
      <c r="BY816" s="1">
        <v>89</v>
      </c>
      <c r="BZ816" s="1">
        <v>87</v>
      </c>
      <c r="CB816" s="1" t="str">
        <f t="shared" ref="CB816:CC816" si="634">""</f>
        <v/>
      </c>
      <c r="CC816" s="1" t="str">
        <f t="shared" si="634"/>
        <v/>
      </c>
      <c r="CG816" s="1" t="s">
        <v>1004</v>
      </c>
      <c r="CH816" s="1" t="s">
        <v>277</v>
      </c>
      <c r="CI816" s="1" t="s">
        <v>220</v>
      </c>
      <c r="CK816" s="1" t="s">
        <v>461</v>
      </c>
      <c r="CL816" s="1" t="s">
        <v>277</v>
      </c>
      <c r="CM816" s="1" t="s">
        <v>220</v>
      </c>
      <c r="CO816" s="1" t="s">
        <v>821</v>
      </c>
      <c r="CP816" s="1" t="s">
        <v>277</v>
      </c>
      <c r="CQ816" s="1" t="s">
        <v>220</v>
      </c>
      <c r="CS816" s="1" t="s">
        <v>318</v>
      </c>
      <c r="CT816" s="1" t="s">
        <v>277</v>
      </c>
      <c r="CU816" s="1" t="s">
        <v>220</v>
      </c>
      <c r="CX816" s="1" t="s">
        <v>224</v>
      </c>
      <c r="DB816" s="1" t="s">
        <v>224</v>
      </c>
      <c r="DE816" s="1" t="s">
        <v>2277</v>
      </c>
      <c r="DF816" s="1" t="s">
        <v>277</v>
      </c>
      <c r="DG816" s="1" t="s">
        <v>226</v>
      </c>
      <c r="DJ816" s="1" t="s">
        <v>224</v>
      </c>
      <c r="DM816" s="1" t="s">
        <v>709</v>
      </c>
      <c r="DR816" s="1" t="s">
        <v>9224</v>
      </c>
      <c r="DS816" s="1" t="s">
        <v>277</v>
      </c>
      <c r="DT816" s="1" t="s">
        <v>226</v>
      </c>
      <c r="DW816" s="1" t="s">
        <v>230</v>
      </c>
      <c r="EA816" s="1" t="s">
        <v>230</v>
      </c>
      <c r="EE816" s="1" t="s">
        <v>230</v>
      </c>
      <c r="EI816" s="1" t="s">
        <v>230</v>
      </c>
      <c r="EL816" s="1" t="s">
        <v>231</v>
      </c>
      <c r="EM816" s="1" t="s">
        <v>232</v>
      </c>
      <c r="EN816" s="1" t="s">
        <v>282</v>
      </c>
      <c r="EO816" s="1" t="s">
        <v>234</v>
      </c>
      <c r="EP816" s="1" t="s">
        <v>650</v>
      </c>
      <c r="EQ816" s="1" t="s">
        <v>492</v>
      </c>
      <c r="ER816" s="1" t="s">
        <v>210</v>
      </c>
      <c r="ES816" s="1" t="s">
        <v>824</v>
      </c>
      <c r="EU816" s="1" t="s">
        <v>610</v>
      </c>
      <c r="EV816" s="1" t="s">
        <v>352</v>
      </c>
      <c r="EW816" s="1" t="s">
        <v>937</v>
      </c>
      <c r="EZ816" s="1" t="s">
        <v>709</v>
      </c>
      <c r="FA816" s="1" t="s">
        <v>1270</v>
      </c>
      <c r="FB816" s="1" t="s">
        <v>289</v>
      </c>
      <c r="FD816" s="1" t="s">
        <v>246</v>
      </c>
      <c r="FE816" s="1" t="s">
        <v>247</v>
      </c>
      <c r="FF816" s="1" t="s">
        <v>248</v>
      </c>
      <c r="FH816" s="1" t="s">
        <v>249</v>
      </c>
      <c r="FI816" s="1" t="s">
        <v>473</v>
      </c>
      <c r="FJ816" s="1" t="s">
        <v>197</v>
      </c>
      <c r="FL816" s="1" t="s">
        <v>358</v>
      </c>
      <c r="FM816" s="1" t="s">
        <v>252</v>
      </c>
      <c r="FN816" s="1" t="s">
        <v>213</v>
      </c>
      <c r="FO816" s="1" t="s">
        <v>213</v>
      </c>
      <c r="FQ816" s="1" t="s">
        <v>569</v>
      </c>
      <c r="FR816" s="1" t="s">
        <v>210</v>
      </c>
      <c r="FS816" s="1" t="s">
        <v>9225</v>
      </c>
      <c r="FT816" s="1" t="s">
        <v>255</v>
      </c>
      <c r="FU816" s="1" t="s">
        <v>204</v>
      </c>
      <c r="FV816" s="1" t="s">
        <v>9226</v>
      </c>
      <c r="FW816" s="1" t="s">
        <v>1559</v>
      </c>
      <c r="FX816" s="1">
        <v>25279</v>
      </c>
      <c r="FY816" s="1" t="s">
        <v>2296</v>
      </c>
      <c r="FZ816" s="1" t="s">
        <v>9227</v>
      </c>
      <c r="GA816" s="1">
        <v>259559</v>
      </c>
      <c r="GB816" s="1" t="s">
        <v>9228</v>
      </c>
      <c r="GD816" s="1" t="s">
        <v>9226</v>
      </c>
      <c r="GE816" s="1" t="s">
        <v>658</v>
      </c>
      <c r="GI816" s="1" t="s">
        <v>213</v>
      </c>
      <c r="GJ816" s="1" t="s">
        <v>260</v>
      </c>
      <c r="GK816" s="1" t="s">
        <v>210</v>
      </c>
      <c r="GL816" s="2">
        <v>42144</v>
      </c>
      <c r="GM816" s="1" t="s">
        <v>9229</v>
      </c>
    </row>
    <row r="817" spans="1:195">
      <c r="A817" s="1">
        <v>188000</v>
      </c>
      <c r="B817" s="1" t="s">
        <v>195</v>
      </c>
      <c r="C817" s="1" t="str">
        <f>"08888883"</f>
        <v>08888883</v>
      </c>
      <c r="D817" s="1" t="s">
        <v>196</v>
      </c>
      <c r="F817" s="1" t="str">
        <f>"30"</f>
        <v>30</v>
      </c>
      <c r="G817" s="2">
        <v>42107</v>
      </c>
      <c r="H817" s="1">
        <v>190000</v>
      </c>
      <c r="I817" s="1">
        <v>190000</v>
      </c>
      <c r="J817" s="1">
        <v>188000</v>
      </c>
      <c r="K817" s="2">
        <v>42107</v>
      </c>
      <c r="L817" s="1">
        <v>186</v>
      </c>
      <c r="M817" s="2">
        <v>42107</v>
      </c>
      <c r="N817" s="1">
        <v>1</v>
      </c>
      <c r="O817" s="2">
        <v>42107</v>
      </c>
      <c r="P817" s="1">
        <v>8055</v>
      </c>
      <c r="Q817" s="1" t="s">
        <v>197</v>
      </c>
      <c r="R817" s="2">
        <v>42107</v>
      </c>
      <c r="S817" s="1">
        <v>82542</v>
      </c>
      <c r="U817" s="1">
        <v>2333</v>
      </c>
      <c r="V817" s="1" t="s">
        <v>9230</v>
      </c>
      <c r="W817" s="1" t="s">
        <v>504</v>
      </c>
      <c r="Y817" s="1">
        <v>6</v>
      </c>
      <c r="Z817" s="1" t="s">
        <v>370</v>
      </c>
      <c r="AA817" s="1" t="s">
        <v>1834</v>
      </c>
      <c r="AB817" s="1">
        <v>60030</v>
      </c>
      <c r="AD817" s="1" t="s">
        <v>9231</v>
      </c>
      <c r="AE817" s="1" t="s">
        <v>9232</v>
      </c>
      <c r="AF817" s="1">
        <v>2003</v>
      </c>
      <c r="AG817" s="1" t="s">
        <v>204</v>
      </c>
      <c r="AH817" s="1" t="s">
        <v>1837</v>
      </c>
      <c r="AI817" s="1" t="s">
        <v>509</v>
      </c>
      <c r="AJ817" s="1" t="s">
        <v>1263</v>
      </c>
      <c r="AK817" s="1" t="s">
        <v>1088</v>
      </c>
      <c r="AL817" s="1">
        <v>8</v>
      </c>
      <c r="AM817" s="1">
        <v>2</v>
      </c>
      <c r="AN817" s="1">
        <v>2</v>
      </c>
      <c r="AO817" s="1">
        <v>0</v>
      </c>
      <c r="AP817" s="1" t="s">
        <v>209</v>
      </c>
      <c r="AQ817" s="1">
        <v>0</v>
      </c>
      <c r="AR817" s="1" t="s">
        <v>209</v>
      </c>
      <c r="AS817" s="1" t="s">
        <v>213</v>
      </c>
      <c r="AT817" s="1" t="s">
        <v>211</v>
      </c>
      <c r="AU817" s="1">
        <v>2</v>
      </c>
      <c r="AW817" s="1" t="s">
        <v>204</v>
      </c>
      <c r="AX817" s="1" t="s">
        <v>212</v>
      </c>
      <c r="AZ817" s="1">
        <v>5335.67</v>
      </c>
      <c r="BA817" s="1">
        <v>2013</v>
      </c>
      <c r="BB817" s="1" t="s">
        <v>3262</v>
      </c>
      <c r="BE817" s="1">
        <v>1749</v>
      </c>
      <c r="BF817" s="1">
        <v>1</v>
      </c>
      <c r="BG817" s="1">
        <v>1</v>
      </c>
      <c r="BL817" s="1">
        <v>287</v>
      </c>
      <c r="BM817" s="1" t="s">
        <v>204</v>
      </c>
      <c r="BN817" s="1" t="s">
        <v>213</v>
      </c>
      <c r="BO817" s="1">
        <v>75</v>
      </c>
      <c r="BP817" s="1" t="s">
        <v>204</v>
      </c>
      <c r="BR817" s="1" t="str">
        <f>"06141080060000"</f>
        <v>06141080060000</v>
      </c>
      <c r="BT817" s="1" t="s">
        <v>9233</v>
      </c>
      <c r="BX817" s="1">
        <v>46</v>
      </c>
      <c r="BY817" s="1">
        <v>46</v>
      </c>
      <c r="BZ817" s="1">
        <v>127</v>
      </c>
      <c r="CB817" s="1" t="str">
        <f t="shared" ref="CB817:CC817" si="635">""</f>
        <v/>
      </c>
      <c r="CC817" s="1" t="str">
        <f t="shared" si="635"/>
        <v/>
      </c>
      <c r="CF817" s="1" t="s">
        <v>7909</v>
      </c>
      <c r="CG817" s="1" t="s">
        <v>1267</v>
      </c>
      <c r="CH817" s="1" t="s">
        <v>219</v>
      </c>
      <c r="CI817" s="1" t="s">
        <v>229</v>
      </c>
      <c r="CJ817" s="1" t="s">
        <v>252</v>
      </c>
      <c r="CK817" s="1" t="s">
        <v>932</v>
      </c>
      <c r="CL817" s="1" t="s">
        <v>219</v>
      </c>
      <c r="CM817" s="1" t="s">
        <v>220</v>
      </c>
      <c r="CN817" s="1" t="s">
        <v>252</v>
      </c>
      <c r="CO817" s="1" t="s">
        <v>539</v>
      </c>
      <c r="CP817" s="1" t="s">
        <v>219</v>
      </c>
      <c r="CQ817" s="1" t="s">
        <v>229</v>
      </c>
      <c r="CR817" s="1" t="s">
        <v>252</v>
      </c>
      <c r="CS817" s="1" t="s">
        <v>378</v>
      </c>
      <c r="CT817" s="1" t="s">
        <v>219</v>
      </c>
      <c r="CU817" s="1" t="s">
        <v>220</v>
      </c>
      <c r="CV817" s="1" t="s">
        <v>252</v>
      </c>
      <c r="CW817" s="1" t="s">
        <v>932</v>
      </c>
      <c r="CX817" s="1" t="s">
        <v>43</v>
      </c>
      <c r="CY817" s="1" t="s">
        <v>220</v>
      </c>
      <c r="CZ817" s="1" t="s">
        <v>252</v>
      </c>
      <c r="DB817" s="1" t="s">
        <v>224</v>
      </c>
      <c r="DE817" s="1" t="s">
        <v>379</v>
      </c>
      <c r="DF817" s="1" t="s">
        <v>219</v>
      </c>
      <c r="DG817" s="1" t="s">
        <v>226</v>
      </c>
      <c r="DH817" s="1" t="s">
        <v>210</v>
      </c>
      <c r="DI817" s="1" t="s">
        <v>9234</v>
      </c>
      <c r="DJ817" s="1" t="s">
        <v>43</v>
      </c>
      <c r="DK817" s="1" t="s">
        <v>220</v>
      </c>
      <c r="DL817" s="1" t="s">
        <v>252</v>
      </c>
      <c r="DM817" s="1" t="s">
        <v>381</v>
      </c>
      <c r="DN817" s="1" t="s">
        <v>709</v>
      </c>
      <c r="DR817" s="1" t="s">
        <v>346</v>
      </c>
      <c r="DS817" s="1" t="s">
        <v>219</v>
      </c>
      <c r="DT817" s="1" t="s">
        <v>229</v>
      </c>
      <c r="DU817" s="1" t="s">
        <v>252</v>
      </c>
      <c r="DV817" s="1" t="s">
        <v>9235</v>
      </c>
      <c r="DW817" s="1" t="s">
        <v>219</v>
      </c>
      <c r="DX817" s="1" t="s">
        <v>226</v>
      </c>
      <c r="DY817" s="1" t="s">
        <v>210</v>
      </c>
      <c r="EA817" s="1" t="s">
        <v>230</v>
      </c>
      <c r="EE817" s="1" t="s">
        <v>230</v>
      </c>
      <c r="EI817" s="1" t="s">
        <v>230</v>
      </c>
      <c r="EL817" s="1" t="s">
        <v>466</v>
      </c>
      <c r="EM817" s="1" t="s">
        <v>319</v>
      </c>
      <c r="EN817" s="1" t="s">
        <v>282</v>
      </c>
      <c r="EO817" s="1" t="s">
        <v>840</v>
      </c>
      <c r="EP817" s="1" t="s">
        <v>9236</v>
      </c>
      <c r="EQ817" s="1" t="s">
        <v>236</v>
      </c>
      <c r="ER817" s="1" t="s">
        <v>544</v>
      </c>
      <c r="ES817" s="1" t="s">
        <v>824</v>
      </c>
      <c r="ET817" s="1" t="s">
        <v>842</v>
      </c>
      <c r="EU817" s="1" t="s">
        <v>5043</v>
      </c>
      <c r="EV817" s="1" t="s">
        <v>240</v>
      </c>
      <c r="EW817" s="1" t="s">
        <v>3255</v>
      </c>
      <c r="EY817" s="1" t="s">
        <v>242</v>
      </c>
      <c r="EZ817" s="1" t="s">
        <v>8019</v>
      </c>
      <c r="FA817" s="1" t="s">
        <v>9237</v>
      </c>
      <c r="FB817" s="1" t="s">
        <v>613</v>
      </c>
      <c r="FC817" s="1" t="s">
        <v>1362</v>
      </c>
      <c r="FD817" s="1" t="s">
        <v>246</v>
      </c>
      <c r="FE817" s="1" t="s">
        <v>975</v>
      </c>
      <c r="FF817" s="1" t="s">
        <v>387</v>
      </c>
      <c r="FH817" s="1" t="s">
        <v>825</v>
      </c>
      <c r="FI817" s="1" t="s">
        <v>473</v>
      </c>
      <c r="FJ817" s="1" t="s">
        <v>1620</v>
      </c>
      <c r="FL817" s="1" t="s">
        <v>358</v>
      </c>
      <c r="FM817" s="1" t="s">
        <v>252</v>
      </c>
      <c r="FN817" s="1" t="s">
        <v>213</v>
      </c>
      <c r="FO817" s="1" t="s">
        <v>213</v>
      </c>
      <c r="FQ817" s="1" t="s">
        <v>1286</v>
      </c>
      <c r="FR817" s="1" t="s">
        <v>652</v>
      </c>
      <c r="FS817" s="1" t="s">
        <v>9238</v>
      </c>
      <c r="FT817" s="1" t="s">
        <v>1408</v>
      </c>
      <c r="FU817" s="1" t="s">
        <v>204</v>
      </c>
      <c r="FW817" s="1" t="s">
        <v>256</v>
      </c>
      <c r="FX817" s="1">
        <v>2648</v>
      </c>
      <c r="FY817" s="1" t="s">
        <v>1022</v>
      </c>
      <c r="FZ817" s="1" t="s">
        <v>7914</v>
      </c>
      <c r="GA817" s="1">
        <v>18414</v>
      </c>
      <c r="GB817" s="1" t="s">
        <v>7915</v>
      </c>
      <c r="GC817" s="1">
        <v>21233</v>
      </c>
      <c r="GD817" s="1" t="s">
        <v>9239</v>
      </c>
      <c r="GE817" s="1" t="s">
        <v>9240</v>
      </c>
      <c r="GI817" s="1" t="s">
        <v>213</v>
      </c>
      <c r="GJ817" s="1" t="s">
        <v>260</v>
      </c>
      <c r="GK817" s="1" t="s">
        <v>210</v>
      </c>
      <c r="GL817" s="2">
        <v>42107</v>
      </c>
      <c r="GM817" s="1" t="s">
        <v>9241</v>
      </c>
    </row>
    <row r="818" spans="1:195">
      <c r="A818" s="1">
        <v>229900</v>
      </c>
      <c r="B818" s="1" t="s">
        <v>195</v>
      </c>
      <c r="C818" s="1" t="str">
        <f>"08887881"</f>
        <v>08887881</v>
      </c>
      <c r="D818" s="1" t="s">
        <v>196</v>
      </c>
      <c r="F818" s="1" t="str">
        <f>"507"</f>
        <v>507</v>
      </c>
      <c r="G818" s="2">
        <v>42104</v>
      </c>
      <c r="H818" s="1">
        <v>229900</v>
      </c>
      <c r="I818" s="1">
        <v>229900</v>
      </c>
      <c r="J818" s="1">
        <v>229900</v>
      </c>
      <c r="K818" s="2">
        <v>42104</v>
      </c>
      <c r="L818" s="1">
        <v>4</v>
      </c>
      <c r="M818" s="2">
        <v>42107</v>
      </c>
      <c r="N818" s="1">
        <v>4</v>
      </c>
      <c r="O818" s="2">
        <v>42107</v>
      </c>
      <c r="P818" s="1">
        <v>85175</v>
      </c>
      <c r="Q818" s="1" t="s">
        <v>197</v>
      </c>
      <c r="R818" s="2">
        <v>42142</v>
      </c>
      <c r="S818" s="1">
        <v>154012</v>
      </c>
      <c r="U818" s="1">
        <v>1927</v>
      </c>
      <c r="V818" s="1" t="s">
        <v>9242</v>
      </c>
      <c r="W818" s="1" t="s">
        <v>304</v>
      </c>
      <c r="X818" s="1">
        <v>1927</v>
      </c>
      <c r="Y818" s="1">
        <v>3</v>
      </c>
      <c r="Z818" s="1" t="s">
        <v>370</v>
      </c>
      <c r="AA818" s="1" t="s">
        <v>1123</v>
      </c>
      <c r="AB818" s="1">
        <v>60505</v>
      </c>
      <c r="AE818" s="1" t="s">
        <v>9243</v>
      </c>
      <c r="AF818" s="1">
        <v>1997</v>
      </c>
      <c r="AG818" s="1" t="s">
        <v>204</v>
      </c>
      <c r="AH818" s="1" t="s">
        <v>1126</v>
      </c>
      <c r="AI818" s="1" t="s">
        <v>665</v>
      </c>
      <c r="AJ818" s="1" t="s">
        <v>1126</v>
      </c>
      <c r="AK818" s="1" t="s">
        <v>9244</v>
      </c>
      <c r="AL818" s="1">
        <v>8</v>
      </c>
      <c r="AM818" s="1">
        <v>2</v>
      </c>
      <c r="AN818" s="1">
        <v>2</v>
      </c>
      <c r="AO818" s="1">
        <v>0</v>
      </c>
      <c r="AP818" s="1" t="s">
        <v>209</v>
      </c>
      <c r="AQ818" s="1">
        <v>0</v>
      </c>
      <c r="AR818" s="1" t="s">
        <v>209</v>
      </c>
      <c r="AS818" s="1" t="s">
        <v>204</v>
      </c>
      <c r="AT818" s="1" t="s">
        <v>211</v>
      </c>
      <c r="AU818" s="1">
        <v>2</v>
      </c>
      <c r="AW818" s="1" t="s">
        <v>204</v>
      </c>
      <c r="AX818" s="1" t="s">
        <v>212</v>
      </c>
      <c r="AZ818" s="1">
        <v>5227</v>
      </c>
      <c r="BA818" s="1">
        <v>2014</v>
      </c>
      <c r="BB818" s="1" t="s">
        <v>599</v>
      </c>
      <c r="BE818" s="1">
        <v>1432</v>
      </c>
      <c r="BF818" s="1">
        <v>1</v>
      </c>
      <c r="BG818" s="1">
        <v>30</v>
      </c>
      <c r="BL818" s="1">
        <v>150</v>
      </c>
      <c r="BM818" s="1" t="s">
        <v>204</v>
      </c>
      <c r="BN818" s="1" t="s">
        <v>213</v>
      </c>
      <c r="BO818" s="1" t="s">
        <v>9245</v>
      </c>
      <c r="BP818" s="1" t="s">
        <v>204</v>
      </c>
      <c r="BR818" s="1" t="str">
        <f>"1511128011"</f>
        <v>1511128011</v>
      </c>
      <c r="BT818" s="1" t="s">
        <v>9246</v>
      </c>
      <c r="BX818" s="1">
        <v>131</v>
      </c>
      <c r="BY818" s="1">
        <v>131</v>
      </c>
      <c r="BZ818" s="1">
        <v>131</v>
      </c>
      <c r="CB818" s="1" t="str">
        <f t="shared" ref="CB818:CC818" si="636">""</f>
        <v/>
      </c>
      <c r="CC818" s="1" t="str">
        <f t="shared" si="636"/>
        <v/>
      </c>
      <c r="CD818" s="1">
        <v>34</v>
      </c>
      <c r="CE818" s="1">
        <v>5</v>
      </c>
      <c r="CG818" s="1" t="s">
        <v>3525</v>
      </c>
      <c r="CH818" s="1" t="s">
        <v>219</v>
      </c>
      <c r="CI818" s="1" t="s">
        <v>220</v>
      </c>
      <c r="CJ818" s="1" t="s">
        <v>343</v>
      </c>
      <c r="CK818" s="1" t="s">
        <v>3071</v>
      </c>
      <c r="CL818" s="1" t="s">
        <v>219</v>
      </c>
      <c r="CM818" s="1" t="s">
        <v>220</v>
      </c>
      <c r="CN818" s="1" t="s">
        <v>343</v>
      </c>
      <c r="CP818" s="1" t="s">
        <v>224</v>
      </c>
      <c r="CS818" s="1" t="s">
        <v>2466</v>
      </c>
      <c r="CT818" s="1" t="s">
        <v>219</v>
      </c>
      <c r="CU818" s="1" t="s">
        <v>220</v>
      </c>
      <c r="CV818" s="1" t="s">
        <v>343</v>
      </c>
      <c r="CX818" s="1" t="s">
        <v>224</v>
      </c>
      <c r="DB818" s="1" t="s">
        <v>224</v>
      </c>
      <c r="DE818" s="1" t="s">
        <v>280</v>
      </c>
      <c r="DF818" s="1" t="s">
        <v>219</v>
      </c>
      <c r="DG818" s="1" t="s">
        <v>229</v>
      </c>
      <c r="DH818" s="1" t="s">
        <v>343</v>
      </c>
      <c r="DI818" s="1" t="s">
        <v>9247</v>
      </c>
      <c r="DJ818" s="1" t="s">
        <v>822</v>
      </c>
      <c r="DK818" s="1" t="s">
        <v>220</v>
      </c>
      <c r="DL818" s="1" t="s">
        <v>210</v>
      </c>
      <c r="DM818" s="1" t="s">
        <v>4083</v>
      </c>
      <c r="DN818" s="1" t="s">
        <v>1614</v>
      </c>
      <c r="DO818" s="1" t="s">
        <v>227</v>
      </c>
      <c r="DP818" s="1" t="s">
        <v>1005</v>
      </c>
      <c r="DR818" s="1" t="s">
        <v>836</v>
      </c>
      <c r="DS818" s="1" t="s">
        <v>822</v>
      </c>
      <c r="DT818" s="1" t="s">
        <v>347</v>
      </c>
      <c r="DU818" s="1" t="s">
        <v>210</v>
      </c>
      <c r="DV818" s="1" t="s">
        <v>2104</v>
      </c>
      <c r="DW818" s="1" t="s">
        <v>822</v>
      </c>
      <c r="DX818" s="1" t="s">
        <v>347</v>
      </c>
      <c r="DY818" s="1" t="s">
        <v>210</v>
      </c>
      <c r="DZ818" s="1" t="s">
        <v>1995</v>
      </c>
      <c r="EA818" s="1" t="s">
        <v>822</v>
      </c>
      <c r="EB818" s="1" t="s">
        <v>220</v>
      </c>
      <c r="ED818" s="1" t="s">
        <v>318</v>
      </c>
      <c r="EE818" s="1" t="s">
        <v>219</v>
      </c>
      <c r="EF818" s="1" t="s">
        <v>229</v>
      </c>
      <c r="EG818" s="1" t="s">
        <v>343</v>
      </c>
      <c r="EI818" s="1" t="s">
        <v>230</v>
      </c>
      <c r="EL818" s="1" t="s">
        <v>670</v>
      </c>
      <c r="EM818" s="1" t="s">
        <v>319</v>
      </c>
      <c r="EN818" s="1" t="s">
        <v>282</v>
      </c>
      <c r="EO818" s="1" t="s">
        <v>234</v>
      </c>
      <c r="EQ818" s="1" t="s">
        <v>953</v>
      </c>
      <c r="ER818" s="1" t="s">
        <v>544</v>
      </c>
      <c r="ES818" s="1" t="s">
        <v>493</v>
      </c>
      <c r="EU818" s="1" t="s">
        <v>1110</v>
      </c>
      <c r="EV818" s="1" t="s">
        <v>240</v>
      </c>
      <c r="EW818" s="1" t="s">
        <v>867</v>
      </c>
      <c r="EY818" s="1" t="s">
        <v>242</v>
      </c>
      <c r="EZ818" s="1" t="s">
        <v>9248</v>
      </c>
      <c r="FA818" s="1" t="s">
        <v>9249</v>
      </c>
      <c r="FC818" s="1" t="s">
        <v>633</v>
      </c>
      <c r="FD818" s="1" t="s">
        <v>246</v>
      </c>
      <c r="FE818" s="1" t="s">
        <v>386</v>
      </c>
      <c r="FF818" s="1" t="s">
        <v>248</v>
      </c>
      <c r="FH818" s="1" t="s">
        <v>825</v>
      </c>
      <c r="FI818" s="1" t="s">
        <v>357</v>
      </c>
      <c r="FJ818" s="1" t="s">
        <v>1251</v>
      </c>
      <c r="FL818" s="1" t="s">
        <v>358</v>
      </c>
      <c r="FM818" s="1" t="s">
        <v>252</v>
      </c>
      <c r="FN818" s="1" t="s">
        <v>213</v>
      </c>
      <c r="FO818" s="1" t="s">
        <v>213</v>
      </c>
      <c r="FQ818" s="1" t="s">
        <v>673</v>
      </c>
      <c r="FR818" s="1" t="s">
        <v>652</v>
      </c>
      <c r="FS818" s="1" t="s">
        <v>7290</v>
      </c>
      <c r="FT818" s="1" t="s">
        <v>295</v>
      </c>
      <c r="FU818" s="1" t="s">
        <v>204</v>
      </c>
      <c r="FW818" s="1" t="s">
        <v>2093</v>
      </c>
      <c r="FX818" s="1">
        <v>31580</v>
      </c>
      <c r="FY818" s="1" t="s">
        <v>2094</v>
      </c>
      <c r="FZ818" s="1" t="s">
        <v>9250</v>
      </c>
      <c r="GA818" s="1">
        <v>312211</v>
      </c>
      <c r="GB818" s="1" t="s">
        <v>9251</v>
      </c>
      <c r="GC818" s="1">
        <v>312212</v>
      </c>
      <c r="GD818" s="1" t="s">
        <v>9252</v>
      </c>
      <c r="GE818" s="1" t="s">
        <v>7705</v>
      </c>
      <c r="GI818" s="1" t="s">
        <v>213</v>
      </c>
      <c r="GJ818" s="1" t="s">
        <v>260</v>
      </c>
      <c r="GK818" s="1" t="s">
        <v>1413</v>
      </c>
      <c r="GL818" s="2">
        <v>42142</v>
      </c>
      <c r="GM818" s="1" t="s">
        <v>9253</v>
      </c>
    </row>
    <row r="819" spans="1:195">
      <c r="A819" s="1">
        <v>137500</v>
      </c>
      <c r="B819" s="1" t="s">
        <v>195</v>
      </c>
      <c r="C819" s="1" t="str">
        <f>"08890928"</f>
        <v>08890928</v>
      </c>
      <c r="D819" s="1" t="s">
        <v>196</v>
      </c>
      <c r="F819" s="1" t="str">
        <f>"543"</f>
        <v>543</v>
      </c>
      <c r="G819" s="2">
        <v>42108</v>
      </c>
      <c r="H819" s="1">
        <v>137500</v>
      </c>
      <c r="I819" s="1">
        <v>137500</v>
      </c>
      <c r="J819" s="1">
        <v>137500</v>
      </c>
      <c r="K819" s="2">
        <v>42108</v>
      </c>
      <c r="L819" s="1">
        <v>2</v>
      </c>
      <c r="M819" s="2">
        <v>42109</v>
      </c>
      <c r="N819" s="1">
        <v>2</v>
      </c>
      <c r="O819" s="2">
        <v>42109</v>
      </c>
      <c r="P819" s="1">
        <v>23099</v>
      </c>
      <c r="Q819" s="1" t="s">
        <v>197</v>
      </c>
      <c r="R819" s="2">
        <v>42138</v>
      </c>
      <c r="S819" s="1">
        <v>242291</v>
      </c>
      <c r="U819" s="1">
        <v>140</v>
      </c>
      <c r="V819" s="1" t="s">
        <v>9254</v>
      </c>
      <c r="W819" s="1" t="s">
        <v>264</v>
      </c>
      <c r="Y819" s="1">
        <v>4</v>
      </c>
      <c r="Z819" s="1" t="s">
        <v>249</v>
      </c>
      <c r="AA819" s="1" t="s">
        <v>2639</v>
      </c>
      <c r="AB819" s="1">
        <v>60543</v>
      </c>
      <c r="AD819" s="1" t="s">
        <v>9255</v>
      </c>
      <c r="AE819" s="1" t="s">
        <v>9256</v>
      </c>
      <c r="AF819" s="1">
        <v>2005</v>
      </c>
      <c r="AG819" s="1" t="s">
        <v>204</v>
      </c>
      <c r="AH819" s="1" t="s">
        <v>1397</v>
      </c>
      <c r="AI819" s="1" t="s">
        <v>453</v>
      </c>
      <c r="AJ819" s="1" t="s">
        <v>454</v>
      </c>
      <c r="AK819" s="1" t="s">
        <v>8087</v>
      </c>
      <c r="AL819" s="1">
        <v>6</v>
      </c>
      <c r="AM819" s="1">
        <v>2</v>
      </c>
      <c r="AN819" s="1">
        <v>2</v>
      </c>
      <c r="AO819" s="1">
        <v>1</v>
      </c>
      <c r="AP819" s="1" t="s">
        <v>209</v>
      </c>
      <c r="AR819" s="1" t="s">
        <v>210</v>
      </c>
      <c r="AS819" s="1" t="s">
        <v>204</v>
      </c>
      <c r="AT819" s="1" t="s">
        <v>211</v>
      </c>
      <c r="AU819" s="1">
        <v>2</v>
      </c>
      <c r="AW819" s="1" t="s">
        <v>204</v>
      </c>
      <c r="AX819" s="1" t="s">
        <v>212</v>
      </c>
      <c r="AZ819" s="1">
        <v>5011</v>
      </c>
      <c r="BA819" s="1">
        <v>2013</v>
      </c>
      <c r="BB819" s="1" t="s">
        <v>210</v>
      </c>
      <c r="BE819" s="1">
        <v>1475</v>
      </c>
      <c r="BF819" s="1">
        <v>1</v>
      </c>
      <c r="BG819" s="1">
        <v>0</v>
      </c>
      <c r="BL819" s="1">
        <v>166</v>
      </c>
      <c r="BM819" s="1" t="s">
        <v>204</v>
      </c>
      <c r="BN819" s="1" t="s">
        <v>213</v>
      </c>
      <c r="BO819" s="1">
        <v>999</v>
      </c>
      <c r="BP819" s="1" t="s">
        <v>204</v>
      </c>
      <c r="BR819" s="1" t="str">
        <f>"0201360080"</f>
        <v>0201360080</v>
      </c>
      <c r="BT819" s="1" t="s">
        <v>9257</v>
      </c>
      <c r="BU819" s="1" t="s">
        <v>9258</v>
      </c>
      <c r="BV819" s="1" t="s">
        <v>7954</v>
      </c>
      <c r="BW819" s="1" t="s">
        <v>1401</v>
      </c>
      <c r="BX819" s="1">
        <v>308</v>
      </c>
      <c r="BY819" s="1">
        <v>308</v>
      </c>
      <c r="BZ819" s="1">
        <v>308</v>
      </c>
      <c r="CB819" s="1" t="str">
        <f t="shared" ref="CB819:CC819" si="637">"0"</f>
        <v>0</v>
      </c>
      <c r="CC819" s="1" t="str">
        <f t="shared" si="637"/>
        <v>0</v>
      </c>
      <c r="CD819" s="1">
        <v>0</v>
      </c>
      <c r="CE819" s="1">
        <v>0</v>
      </c>
      <c r="CG819" s="1" t="s">
        <v>602</v>
      </c>
      <c r="CH819" s="1" t="s">
        <v>219</v>
      </c>
      <c r="CI819" s="1" t="s">
        <v>220</v>
      </c>
      <c r="CJ819" s="1" t="s">
        <v>343</v>
      </c>
      <c r="CK819" s="1" t="s">
        <v>538</v>
      </c>
      <c r="CL819" s="1" t="s">
        <v>277</v>
      </c>
      <c r="CM819" s="1" t="s">
        <v>220</v>
      </c>
      <c r="CN819" s="1" t="s">
        <v>343</v>
      </c>
      <c r="CO819" s="1" t="s">
        <v>318</v>
      </c>
      <c r="CP819" s="1" t="s">
        <v>219</v>
      </c>
      <c r="CQ819" s="1" t="s">
        <v>220</v>
      </c>
      <c r="CR819" s="1" t="s">
        <v>343</v>
      </c>
      <c r="CS819" s="1" t="s">
        <v>836</v>
      </c>
      <c r="CT819" s="1" t="s">
        <v>277</v>
      </c>
      <c r="CU819" s="1" t="s">
        <v>220</v>
      </c>
      <c r="CV819" s="1" t="s">
        <v>343</v>
      </c>
      <c r="CX819" s="1" t="s">
        <v>224</v>
      </c>
      <c r="DB819" s="1" t="s">
        <v>224</v>
      </c>
      <c r="DE819" s="1" t="s">
        <v>379</v>
      </c>
      <c r="DF819" s="1" t="s">
        <v>219</v>
      </c>
      <c r="DG819" s="1" t="s">
        <v>229</v>
      </c>
      <c r="DH819" s="1" t="s">
        <v>210</v>
      </c>
      <c r="DJ819" s="1" t="s">
        <v>224</v>
      </c>
      <c r="DN819" s="1" t="s">
        <v>464</v>
      </c>
      <c r="DS819" s="1" t="s">
        <v>230</v>
      </c>
      <c r="DV819" s="1" t="s">
        <v>602</v>
      </c>
      <c r="DW819" s="1" t="s">
        <v>277</v>
      </c>
      <c r="DX819" s="1" t="s">
        <v>220</v>
      </c>
      <c r="DY819" s="1" t="s">
        <v>343</v>
      </c>
      <c r="EA819" s="1" t="s">
        <v>230</v>
      </c>
      <c r="EE819" s="1" t="s">
        <v>230</v>
      </c>
      <c r="EI819" s="1" t="s">
        <v>230</v>
      </c>
      <c r="EL819" s="1" t="s">
        <v>491</v>
      </c>
      <c r="EM819" s="1" t="s">
        <v>319</v>
      </c>
      <c r="EN819" s="1" t="s">
        <v>282</v>
      </c>
      <c r="EO819" s="1" t="s">
        <v>234</v>
      </c>
      <c r="EP819" s="1" t="s">
        <v>936</v>
      </c>
      <c r="EQ819" s="1" t="s">
        <v>1094</v>
      </c>
      <c r="ER819" s="1" t="s">
        <v>210</v>
      </c>
      <c r="ES819" s="1" t="s">
        <v>608</v>
      </c>
      <c r="EV819" s="1" t="s">
        <v>324</v>
      </c>
      <c r="EW819" s="1" t="s">
        <v>1372</v>
      </c>
      <c r="EY819" s="1" t="s">
        <v>242</v>
      </c>
      <c r="EZ819" s="1" t="s">
        <v>464</v>
      </c>
      <c r="FA819" s="1" t="s">
        <v>9259</v>
      </c>
      <c r="FC819" s="1" t="s">
        <v>2470</v>
      </c>
      <c r="FD819" s="1" t="s">
        <v>246</v>
      </c>
      <c r="FE819" s="1" t="s">
        <v>247</v>
      </c>
      <c r="FF819" s="1" t="s">
        <v>248</v>
      </c>
      <c r="FH819" s="1" t="s">
        <v>550</v>
      </c>
      <c r="FI819" s="1" t="s">
        <v>357</v>
      </c>
      <c r="FL819" s="1" t="s">
        <v>358</v>
      </c>
      <c r="FM819" s="1" t="s">
        <v>252</v>
      </c>
      <c r="FN819" s="1" t="s">
        <v>213</v>
      </c>
      <c r="FO819" s="1" t="s">
        <v>213</v>
      </c>
      <c r="FQ819" s="1" t="s">
        <v>2004</v>
      </c>
      <c r="FR819" s="1" t="s">
        <v>210</v>
      </c>
      <c r="FS819" s="1" t="s">
        <v>1709</v>
      </c>
      <c r="FT819" s="1" t="s">
        <v>295</v>
      </c>
      <c r="FU819" s="1" t="s">
        <v>204</v>
      </c>
      <c r="FW819" s="1" t="s">
        <v>9260</v>
      </c>
      <c r="FX819" s="1">
        <v>14090</v>
      </c>
      <c r="FY819" s="1" t="s">
        <v>9261</v>
      </c>
      <c r="FZ819" s="1" t="s">
        <v>9262</v>
      </c>
      <c r="GA819" s="1">
        <v>159738</v>
      </c>
      <c r="GB819" s="1" t="s">
        <v>9263</v>
      </c>
      <c r="GE819" s="1" t="s">
        <v>480</v>
      </c>
      <c r="GI819" s="1" t="s">
        <v>213</v>
      </c>
      <c r="GJ819" s="1" t="s">
        <v>260</v>
      </c>
      <c r="GK819" s="1" t="s">
        <v>210</v>
      </c>
      <c r="GL819" s="2">
        <v>42142</v>
      </c>
      <c r="GM819" s="1" t="s">
        <v>9264</v>
      </c>
    </row>
    <row r="820" spans="1:195">
      <c r="A820" s="1">
        <v>118000</v>
      </c>
      <c r="B820" s="1" t="s">
        <v>195</v>
      </c>
      <c r="C820" s="1" t="str">
        <f>"08889798"</f>
        <v>08889798</v>
      </c>
      <c r="D820" s="1" t="s">
        <v>196</v>
      </c>
      <c r="F820" s="1" t="str">
        <f>"19"</f>
        <v>19</v>
      </c>
      <c r="G820" s="2">
        <v>42107</v>
      </c>
      <c r="H820" s="1">
        <v>129900</v>
      </c>
      <c r="I820" s="1">
        <v>129900</v>
      </c>
      <c r="J820" s="1">
        <v>118000</v>
      </c>
      <c r="K820" s="2">
        <v>42107</v>
      </c>
      <c r="L820" s="1">
        <v>5</v>
      </c>
      <c r="M820" s="2">
        <v>42111</v>
      </c>
      <c r="N820" s="1">
        <v>5</v>
      </c>
      <c r="O820" s="2">
        <v>42111</v>
      </c>
      <c r="P820" s="1">
        <v>2626</v>
      </c>
      <c r="Q820" s="1" t="s">
        <v>302</v>
      </c>
      <c r="R820" s="2">
        <v>42125</v>
      </c>
      <c r="S820" s="1">
        <v>20160</v>
      </c>
      <c r="U820" s="1">
        <v>602</v>
      </c>
      <c r="V820" s="1" t="s">
        <v>9265</v>
      </c>
      <c r="W820" s="1" t="s">
        <v>199</v>
      </c>
      <c r="Y820" s="1">
        <v>4</v>
      </c>
      <c r="Z820" s="1" t="s">
        <v>370</v>
      </c>
      <c r="AA820" s="1" t="s">
        <v>1013</v>
      </c>
      <c r="AB820" s="1">
        <v>60073</v>
      </c>
      <c r="AD820" s="1" t="s">
        <v>2597</v>
      </c>
      <c r="AE820" s="1" t="s">
        <v>9266</v>
      </c>
      <c r="AF820" s="1">
        <v>2007</v>
      </c>
      <c r="AG820" s="1" t="s">
        <v>204</v>
      </c>
      <c r="AH820" s="1" t="s">
        <v>1015</v>
      </c>
      <c r="AI820" s="1" t="s">
        <v>509</v>
      </c>
      <c r="AJ820" s="1" t="s">
        <v>2599</v>
      </c>
      <c r="AK820" s="1" t="s">
        <v>9267</v>
      </c>
      <c r="AL820" s="1">
        <v>7</v>
      </c>
      <c r="AM820" s="1">
        <v>2</v>
      </c>
      <c r="AN820" s="1">
        <v>2</v>
      </c>
      <c r="AO820" s="1">
        <v>1</v>
      </c>
      <c r="AP820" s="1" t="s">
        <v>209</v>
      </c>
      <c r="AR820" s="1" t="s">
        <v>1421</v>
      </c>
      <c r="AS820" s="1" t="s">
        <v>204</v>
      </c>
      <c r="AT820" s="1" t="s">
        <v>211</v>
      </c>
      <c r="AU820" s="1">
        <v>2.5</v>
      </c>
      <c r="AW820" s="1" t="s">
        <v>204</v>
      </c>
      <c r="AX820" s="1" t="s">
        <v>212</v>
      </c>
      <c r="AZ820" s="1">
        <v>3777.23</v>
      </c>
      <c r="BA820" s="1">
        <v>2013</v>
      </c>
      <c r="BB820" s="1" t="s">
        <v>405</v>
      </c>
      <c r="BE820" s="1">
        <v>1980</v>
      </c>
      <c r="BF820" s="1">
        <v>1</v>
      </c>
      <c r="BG820" s="1">
        <v>0</v>
      </c>
      <c r="BL820" s="1">
        <v>134</v>
      </c>
      <c r="BM820" s="1" t="s">
        <v>204</v>
      </c>
      <c r="BN820" s="1" t="s">
        <v>213</v>
      </c>
      <c r="BO820" s="1">
        <v>999</v>
      </c>
      <c r="BP820" s="1" t="s">
        <v>204</v>
      </c>
      <c r="BR820" s="1" t="str">
        <f>"09023010540000"</f>
        <v>09023010540000</v>
      </c>
      <c r="BT820" s="1" t="s">
        <v>9268</v>
      </c>
      <c r="BU820" s="1" t="s">
        <v>2603</v>
      </c>
      <c r="BV820" s="1" t="s">
        <v>2604</v>
      </c>
      <c r="BW820" s="1" t="s">
        <v>2605</v>
      </c>
      <c r="BX820" s="1">
        <v>118</v>
      </c>
      <c r="BY820" s="1">
        <v>118</v>
      </c>
      <c r="BZ820" s="1">
        <v>118</v>
      </c>
      <c r="CB820" s="1" t="str">
        <f>"31"</f>
        <v>31</v>
      </c>
      <c r="CC820" s="1" t="str">
        <f>""</f>
        <v/>
      </c>
      <c r="CD820" s="1">
        <v>26</v>
      </c>
      <c r="CG820" s="1" t="s">
        <v>344</v>
      </c>
      <c r="CH820" s="1" t="s">
        <v>219</v>
      </c>
      <c r="CI820" s="1" t="s">
        <v>220</v>
      </c>
      <c r="CJ820" s="1" t="s">
        <v>252</v>
      </c>
      <c r="CK820" s="1" t="s">
        <v>885</v>
      </c>
      <c r="CL820" s="1" t="s">
        <v>277</v>
      </c>
      <c r="CM820" s="1" t="s">
        <v>220</v>
      </c>
      <c r="CN820" s="1" t="s">
        <v>252</v>
      </c>
      <c r="CO820" s="1" t="s">
        <v>379</v>
      </c>
      <c r="CP820" s="1" t="s">
        <v>219</v>
      </c>
      <c r="CQ820" s="1" t="s">
        <v>220</v>
      </c>
      <c r="CR820" s="1" t="s">
        <v>252</v>
      </c>
      <c r="CS820" s="1" t="s">
        <v>630</v>
      </c>
      <c r="CT820" s="1" t="s">
        <v>277</v>
      </c>
      <c r="CU820" s="1" t="s">
        <v>220</v>
      </c>
      <c r="CV820" s="1" t="s">
        <v>252</v>
      </c>
      <c r="CX820" s="1" t="s">
        <v>224</v>
      </c>
      <c r="DB820" s="1" t="s">
        <v>224</v>
      </c>
      <c r="DE820" s="1" t="s">
        <v>539</v>
      </c>
      <c r="DF820" s="1" t="s">
        <v>219</v>
      </c>
      <c r="DG820" s="1" t="s">
        <v>438</v>
      </c>
      <c r="DH820" s="1" t="s">
        <v>252</v>
      </c>
      <c r="DJ820" s="1" t="s">
        <v>224</v>
      </c>
      <c r="DM820" s="1" t="s">
        <v>464</v>
      </c>
      <c r="DN820" s="1" t="s">
        <v>934</v>
      </c>
      <c r="DR820" s="1" t="s">
        <v>630</v>
      </c>
      <c r="DS820" s="1" t="s">
        <v>277</v>
      </c>
      <c r="DT820" s="1" t="s">
        <v>220</v>
      </c>
      <c r="DU820" s="1" t="s">
        <v>252</v>
      </c>
      <c r="DV820" s="1" t="s">
        <v>378</v>
      </c>
      <c r="DW820" s="1" t="s">
        <v>822</v>
      </c>
      <c r="DX820" s="1" t="s">
        <v>220</v>
      </c>
      <c r="DY820" s="1" t="s">
        <v>252</v>
      </c>
      <c r="EA820" s="1" t="s">
        <v>230</v>
      </c>
      <c r="EE820" s="1" t="s">
        <v>230</v>
      </c>
      <c r="EI820" s="1" t="s">
        <v>230</v>
      </c>
      <c r="EL820" s="1" t="s">
        <v>491</v>
      </c>
      <c r="EM820" s="1" t="s">
        <v>319</v>
      </c>
      <c r="EN820" s="1" t="s">
        <v>282</v>
      </c>
      <c r="EO820" s="1" t="s">
        <v>234</v>
      </c>
      <c r="EP820" s="1" t="s">
        <v>9269</v>
      </c>
      <c r="EQ820" s="1" t="s">
        <v>236</v>
      </c>
      <c r="ER820" s="1" t="s">
        <v>823</v>
      </c>
      <c r="ES820" s="1" t="s">
        <v>954</v>
      </c>
      <c r="EU820" s="1" t="s">
        <v>610</v>
      </c>
      <c r="EV820" s="1" t="s">
        <v>240</v>
      </c>
      <c r="EW820" s="1" t="s">
        <v>353</v>
      </c>
      <c r="EY820" s="1" t="s">
        <v>790</v>
      </c>
      <c r="EZ820" s="1" t="s">
        <v>3875</v>
      </c>
      <c r="FD820" s="1" t="s">
        <v>246</v>
      </c>
      <c r="FE820" s="1" t="s">
        <v>870</v>
      </c>
      <c r="FF820" s="1" t="s">
        <v>248</v>
      </c>
      <c r="FH820" s="1" t="s">
        <v>1428</v>
      </c>
      <c r="FL820" s="1" t="s">
        <v>358</v>
      </c>
      <c r="FM820" s="1" t="s">
        <v>252</v>
      </c>
      <c r="FN820" s="1" t="s">
        <v>213</v>
      </c>
      <c r="FO820" s="1" t="s">
        <v>213</v>
      </c>
      <c r="FQ820" s="1" t="s">
        <v>359</v>
      </c>
      <c r="FR820" s="1" t="s">
        <v>210</v>
      </c>
      <c r="FS820" s="1" t="s">
        <v>5616</v>
      </c>
      <c r="FT820" s="1" t="s">
        <v>295</v>
      </c>
      <c r="FU820" s="1" t="s">
        <v>204</v>
      </c>
      <c r="FW820" s="1" t="s">
        <v>1637</v>
      </c>
      <c r="FX820" s="1">
        <v>8256</v>
      </c>
      <c r="FY820" s="1" t="s">
        <v>5617</v>
      </c>
      <c r="FZ820" s="1" t="s">
        <v>9270</v>
      </c>
      <c r="GA820" s="1">
        <v>86740</v>
      </c>
      <c r="GD820" s="1" t="s">
        <v>9271</v>
      </c>
      <c r="GE820" s="1" t="s">
        <v>1256</v>
      </c>
      <c r="GI820" s="1" t="s">
        <v>213</v>
      </c>
      <c r="GJ820" s="1" t="s">
        <v>260</v>
      </c>
      <c r="GK820" s="1" t="s">
        <v>210</v>
      </c>
      <c r="GL820" s="2">
        <v>42128</v>
      </c>
      <c r="GM820" s="1" t="s">
        <v>9272</v>
      </c>
    </row>
    <row r="821" spans="1:195">
      <c r="A821" s="1">
        <v>120000</v>
      </c>
      <c r="B821" s="1" t="s">
        <v>195</v>
      </c>
      <c r="C821" s="1" t="str">
        <f>"08891394"</f>
        <v>08891394</v>
      </c>
      <c r="D821" s="1" t="s">
        <v>196</v>
      </c>
      <c r="F821" s="1" t="str">
        <f>"107"</f>
        <v>107</v>
      </c>
      <c r="G821" s="2">
        <v>42109</v>
      </c>
      <c r="H821" s="1">
        <v>119900</v>
      </c>
      <c r="I821" s="1">
        <v>119900</v>
      </c>
      <c r="J821" s="1">
        <v>120000</v>
      </c>
      <c r="K821" s="2">
        <v>42109</v>
      </c>
      <c r="L821" s="1">
        <v>2</v>
      </c>
      <c r="M821" s="2">
        <v>42110</v>
      </c>
      <c r="N821" s="1">
        <v>2</v>
      </c>
      <c r="O821" s="2">
        <v>42110</v>
      </c>
      <c r="P821" s="1">
        <v>8079</v>
      </c>
      <c r="Q821" s="1" t="s">
        <v>197</v>
      </c>
      <c r="R821" s="2">
        <v>42150</v>
      </c>
      <c r="S821" s="1">
        <v>81145</v>
      </c>
      <c r="U821" s="1">
        <v>281</v>
      </c>
      <c r="V821" s="1" t="s">
        <v>9273</v>
      </c>
      <c r="W821" s="1" t="s">
        <v>504</v>
      </c>
      <c r="Y821" s="1">
        <v>4</v>
      </c>
      <c r="Z821" s="1" t="s">
        <v>370</v>
      </c>
      <c r="AA821" s="1" t="s">
        <v>1211</v>
      </c>
      <c r="AB821" s="1">
        <v>60107</v>
      </c>
      <c r="AD821" s="1" t="s">
        <v>5137</v>
      </c>
      <c r="AE821" s="1" t="s">
        <v>9274</v>
      </c>
      <c r="AF821" s="1">
        <v>1988</v>
      </c>
      <c r="AG821" s="1" t="s">
        <v>204</v>
      </c>
      <c r="AH821" s="1" t="s">
        <v>1214</v>
      </c>
      <c r="AI821" s="1" t="s">
        <v>310</v>
      </c>
      <c r="AJ821" s="1" t="s">
        <v>1717</v>
      </c>
      <c r="AK821" s="1" t="s">
        <v>9275</v>
      </c>
      <c r="AL821" s="1">
        <v>5</v>
      </c>
      <c r="AM821" s="1">
        <v>2</v>
      </c>
      <c r="AN821" s="1">
        <v>1</v>
      </c>
      <c r="AO821" s="1">
        <v>1</v>
      </c>
      <c r="AP821" s="1" t="s">
        <v>667</v>
      </c>
      <c r="AQ821" s="1">
        <v>1</v>
      </c>
      <c r="AR821" s="1" t="s">
        <v>210</v>
      </c>
      <c r="AS821" s="1" t="s">
        <v>204</v>
      </c>
      <c r="AT821" s="1" t="s">
        <v>211</v>
      </c>
      <c r="AU821" s="1">
        <v>1</v>
      </c>
      <c r="AW821" s="1" t="s">
        <v>204</v>
      </c>
      <c r="AX821" s="1" t="s">
        <v>212</v>
      </c>
      <c r="AZ821" s="1">
        <v>3130</v>
      </c>
      <c r="BA821" s="1">
        <v>2013</v>
      </c>
      <c r="BB821" s="1" t="s">
        <v>405</v>
      </c>
      <c r="BE821" s="1">
        <v>1133</v>
      </c>
      <c r="BF821" s="1">
        <v>1</v>
      </c>
      <c r="BG821" s="1">
        <v>0</v>
      </c>
      <c r="BJ821" s="1">
        <v>75</v>
      </c>
      <c r="BL821" s="1">
        <v>225</v>
      </c>
      <c r="BM821" s="1" t="s">
        <v>204</v>
      </c>
      <c r="BN821" s="1" t="s">
        <v>213</v>
      </c>
      <c r="BO821" s="1">
        <v>999</v>
      </c>
      <c r="BP821" s="1" t="s">
        <v>204</v>
      </c>
      <c r="BR821" s="1" t="str">
        <f>"06244090090000"</f>
        <v>06244090090000</v>
      </c>
      <c r="BT821" s="1" t="s">
        <v>9276</v>
      </c>
      <c r="BX821" s="1">
        <v>46</v>
      </c>
      <c r="BY821" s="1">
        <v>46</v>
      </c>
      <c r="BZ821" s="1">
        <v>46</v>
      </c>
      <c r="CB821" s="1" t="str">
        <f>"10"</f>
        <v>10</v>
      </c>
      <c r="CC821" s="1" t="str">
        <f>"0"</f>
        <v>0</v>
      </c>
      <c r="CD821" s="1">
        <v>27</v>
      </c>
      <c r="CE821" s="1">
        <v>0</v>
      </c>
      <c r="CG821" s="1" t="s">
        <v>538</v>
      </c>
      <c r="CH821" s="1" t="s">
        <v>219</v>
      </c>
      <c r="CI821" s="1" t="s">
        <v>229</v>
      </c>
      <c r="CJ821" s="1" t="s">
        <v>343</v>
      </c>
      <c r="CK821" s="1" t="s">
        <v>1788</v>
      </c>
      <c r="CL821" s="1" t="s">
        <v>277</v>
      </c>
      <c r="CM821" s="1" t="s">
        <v>220</v>
      </c>
      <c r="CO821" s="1" t="s">
        <v>516</v>
      </c>
      <c r="CP821" s="1" t="s">
        <v>219</v>
      </c>
      <c r="CQ821" s="1" t="s">
        <v>229</v>
      </c>
      <c r="CR821" s="1" t="s">
        <v>343</v>
      </c>
      <c r="CS821" s="1" t="s">
        <v>1107</v>
      </c>
      <c r="CT821" s="1" t="s">
        <v>277</v>
      </c>
      <c r="CU821" s="1" t="s">
        <v>229</v>
      </c>
      <c r="CV821" s="1" t="s">
        <v>343</v>
      </c>
      <c r="CX821" s="1" t="s">
        <v>224</v>
      </c>
      <c r="DB821" s="1" t="s">
        <v>224</v>
      </c>
      <c r="DE821" s="1" t="s">
        <v>316</v>
      </c>
      <c r="DF821" s="1" t="s">
        <v>219</v>
      </c>
      <c r="DG821" s="1" t="s">
        <v>226</v>
      </c>
      <c r="DJ821" s="1" t="s">
        <v>224</v>
      </c>
      <c r="DS821" s="1" t="s">
        <v>230</v>
      </c>
      <c r="DW821" s="1" t="s">
        <v>230</v>
      </c>
      <c r="EA821" s="1" t="s">
        <v>230</v>
      </c>
      <c r="EE821" s="1" t="s">
        <v>230</v>
      </c>
      <c r="EI821" s="1" t="s">
        <v>230</v>
      </c>
      <c r="EL821" s="1" t="s">
        <v>542</v>
      </c>
      <c r="EM821" s="1" t="s">
        <v>232</v>
      </c>
      <c r="EN821" s="1" t="s">
        <v>282</v>
      </c>
      <c r="EO821" s="1" t="s">
        <v>234</v>
      </c>
      <c r="EP821" s="1" t="s">
        <v>9277</v>
      </c>
      <c r="EQ821" s="1" t="s">
        <v>1094</v>
      </c>
      <c r="ER821" s="1" t="s">
        <v>210</v>
      </c>
      <c r="EU821" s="1" t="s">
        <v>1110</v>
      </c>
      <c r="EW821" s="1" t="s">
        <v>1698</v>
      </c>
      <c r="EY821" s="1" t="s">
        <v>242</v>
      </c>
      <c r="EZ821" s="1" t="s">
        <v>287</v>
      </c>
      <c r="FA821" s="1" t="s">
        <v>672</v>
      </c>
      <c r="FC821" s="1" t="s">
        <v>548</v>
      </c>
      <c r="FD821" s="1" t="s">
        <v>246</v>
      </c>
      <c r="FE821" s="1" t="s">
        <v>472</v>
      </c>
      <c r="FF821" s="1" t="s">
        <v>248</v>
      </c>
      <c r="FG821" s="1" t="s">
        <v>939</v>
      </c>
      <c r="FH821" s="1" t="s">
        <v>249</v>
      </c>
      <c r="FI821" s="1" t="s">
        <v>473</v>
      </c>
      <c r="FL821" s="1" t="s">
        <v>414</v>
      </c>
      <c r="FM821" s="1" t="s">
        <v>252</v>
      </c>
      <c r="FN821" s="1" t="s">
        <v>213</v>
      </c>
      <c r="FO821" s="1" t="s">
        <v>204</v>
      </c>
      <c r="FQ821" s="1" t="s">
        <v>3164</v>
      </c>
      <c r="FR821" s="1" t="s">
        <v>210</v>
      </c>
      <c r="FS821" s="1" t="s">
        <v>9278</v>
      </c>
      <c r="FT821" s="1" t="s">
        <v>675</v>
      </c>
      <c r="FU821" s="1" t="s">
        <v>204</v>
      </c>
      <c r="FW821" s="1" t="s">
        <v>9279</v>
      </c>
      <c r="FX821" s="1">
        <v>22739</v>
      </c>
      <c r="FY821" s="1" t="s">
        <v>9280</v>
      </c>
      <c r="FZ821" s="1" t="s">
        <v>9281</v>
      </c>
      <c r="GA821" s="1">
        <v>223034</v>
      </c>
      <c r="GB821" s="1" t="s">
        <v>9282</v>
      </c>
      <c r="GD821" s="1" t="s">
        <v>9283</v>
      </c>
      <c r="GE821" s="1" t="s">
        <v>210</v>
      </c>
      <c r="GI821" s="1" t="s">
        <v>204</v>
      </c>
      <c r="GJ821" s="1" t="s">
        <v>260</v>
      </c>
      <c r="GK821" s="1" t="s">
        <v>210</v>
      </c>
      <c r="GL821" s="2">
        <v>42150</v>
      </c>
      <c r="GM821" s="1" t="s">
        <v>9284</v>
      </c>
    </row>
    <row r="822" spans="1:195">
      <c r="A822" s="1">
        <v>120500</v>
      </c>
      <c r="B822" s="1" t="s">
        <v>195</v>
      </c>
      <c r="C822" s="1" t="str">
        <f>"08894551"</f>
        <v>08894551</v>
      </c>
      <c r="D822" s="1" t="s">
        <v>196</v>
      </c>
      <c r="F822" s="1" t="str">
        <f t="shared" ref="F822:F823" si="638">"540"</f>
        <v>540</v>
      </c>
      <c r="G822" s="2">
        <v>42111</v>
      </c>
      <c r="H822" s="1">
        <v>140000</v>
      </c>
      <c r="I822" s="1">
        <v>129900</v>
      </c>
      <c r="J822" s="1">
        <v>120500</v>
      </c>
      <c r="K822" s="2">
        <v>42111</v>
      </c>
      <c r="L822" s="1">
        <v>99</v>
      </c>
      <c r="M822" s="2">
        <v>42140</v>
      </c>
      <c r="N822" s="1">
        <v>30</v>
      </c>
      <c r="O822" s="2">
        <v>42140</v>
      </c>
      <c r="P822" s="1">
        <v>23803</v>
      </c>
      <c r="Q822" s="1" t="s">
        <v>302</v>
      </c>
      <c r="R822" s="2">
        <v>42145</v>
      </c>
      <c r="S822" s="1">
        <v>229793</v>
      </c>
      <c r="U822" s="1">
        <v>1041</v>
      </c>
      <c r="V822" s="1" t="s">
        <v>4657</v>
      </c>
      <c r="W822" s="1" t="s">
        <v>725</v>
      </c>
      <c r="X822" s="1">
        <v>104</v>
      </c>
      <c r="Y822" s="1">
        <v>36</v>
      </c>
      <c r="Z822" s="1" t="s">
        <v>249</v>
      </c>
      <c r="AA822" s="1" t="s">
        <v>921</v>
      </c>
      <c r="AB822" s="1">
        <v>60563</v>
      </c>
      <c r="AD822" s="1" t="s">
        <v>9285</v>
      </c>
      <c r="AE822" s="1" t="s">
        <v>9286</v>
      </c>
      <c r="AF822" s="1">
        <v>1979</v>
      </c>
      <c r="AG822" s="1" t="s">
        <v>204</v>
      </c>
      <c r="AH822" s="1" t="s">
        <v>924</v>
      </c>
      <c r="AI822" s="1" t="s">
        <v>206</v>
      </c>
      <c r="AJ822" s="1" t="s">
        <v>924</v>
      </c>
      <c r="AL822" s="1">
        <v>5</v>
      </c>
      <c r="AM822" s="1">
        <v>2</v>
      </c>
      <c r="AN822" s="1">
        <v>2</v>
      </c>
      <c r="AO822" s="1">
        <v>0</v>
      </c>
      <c r="AP822" s="1" t="s">
        <v>209</v>
      </c>
      <c r="AR822" s="1" t="s">
        <v>210</v>
      </c>
      <c r="AS822" s="1" t="s">
        <v>204</v>
      </c>
      <c r="AT822" s="1" t="s">
        <v>375</v>
      </c>
      <c r="AU822" s="1">
        <v>1</v>
      </c>
      <c r="AV822" s="1">
        <v>2</v>
      </c>
      <c r="AW822" s="1" t="s">
        <v>204</v>
      </c>
      <c r="AX822" s="1" t="s">
        <v>212</v>
      </c>
      <c r="AZ822" s="1">
        <v>1638</v>
      </c>
      <c r="BA822" s="1">
        <v>2013</v>
      </c>
      <c r="BE822" s="1">
        <v>1060</v>
      </c>
      <c r="BF822" s="1">
        <v>1</v>
      </c>
      <c r="BG822" s="1">
        <v>30</v>
      </c>
      <c r="BL822" s="1">
        <v>324</v>
      </c>
      <c r="BM822" s="1" t="s">
        <v>204</v>
      </c>
      <c r="BN822" s="1" t="s">
        <v>213</v>
      </c>
      <c r="BO822" s="1">
        <v>0</v>
      </c>
      <c r="BP822" s="1" t="s">
        <v>204</v>
      </c>
      <c r="BR822" s="1" t="str">
        <f>"0712426095"</f>
        <v>0712426095</v>
      </c>
      <c r="BT822" s="1" t="s">
        <v>9287</v>
      </c>
      <c r="BU822" s="1" t="s">
        <v>2823</v>
      </c>
      <c r="BV822" s="1" t="s">
        <v>2824</v>
      </c>
      <c r="BW822" s="1" t="s">
        <v>2825</v>
      </c>
      <c r="BX822" s="1">
        <v>203</v>
      </c>
      <c r="BY822" s="1">
        <v>203</v>
      </c>
      <c r="BZ822" s="1">
        <v>203</v>
      </c>
      <c r="CB822" s="1" t="str">
        <f t="shared" ref="CB822:CC822" si="639">"0"</f>
        <v>0</v>
      </c>
      <c r="CC822" s="1" t="str">
        <f t="shared" si="639"/>
        <v>0</v>
      </c>
      <c r="CD822" s="1">
        <v>27</v>
      </c>
      <c r="CE822" s="1">
        <v>5</v>
      </c>
      <c r="CG822" s="1" t="s">
        <v>2042</v>
      </c>
      <c r="CH822" s="1" t="s">
        <v>219</v>
      </c>
      <c r="CI822" s="1" t="s">
        <v>229</v>
      </c>
      <c r="CK822" s="1" t="s">
        <v>757</v>
      </c>
      <c r="CL822" s="1" t="s">
        <v>219</v>
      </c>
      <c r="CM822" s="1" t="s">
        <v>229</v>
      </c>
      <c r="CO822" s="1" t="s">
        <v>348</v>
      </c>
      <c r="CP822" s="1" t="s">
        <v>219</v>
      </c>
      <c r="CQ822" s="1" t="s">
        <v>229</v>
      </c>
      <c r="CS822" s="1" t="s">
        <v>317</v>
      </c>
      <c r="CT822" s="1" t="s">
        <v>219</v>
      </c>
      <c r="CU822" s="1" t="s">
        <v>229</v>
      </c>
      <c r="CX822" s="1" t="s">
        <v>224</v>
      </c>
      <c r="DB822" s="1" t="s">
        <v>224</v>
      </c>
      <c r="DE822" s="1" t="s">
        <v>409</v>
      </c>
      <c r="DF822" s="1" t="s">
        <v>219</v>
      </c>
      <c r="DG822" s="1" t="s">
        <v>229</v>
      </c>
      <c r="DJ822" s="1" t="s">
        <v>224</v>
      </c>
      <c r="DS822" s="1" t="s">
        <v>230</v>
      </c>
      <c r="DW822" s="1" t="s">
        <v>230</v>
      </c>
      <c r="EA822" s="1" t="s">
        <v>230</v>
      </c>
      <c r="EE822" s="1" t="s">
        <v>230</v>
      </c>
      <c r="EI822" s="1" t="s">
        <v>230</v>
      </c>
      <c r="EL822" s="1" t="s">
        <v>231</v>
      </c>
      <c r="EM822" s="1" t="s">
        <v>232</v>
      </c>
      <c r="EN822" s="1" t="s">
        <v>233</v>
      </c>
      <c r="EO822" s="1" t="s">
        <v>234</v>
      </c>
      <c r="ER822" s="1" t="s">
        <v>210</v>
      </c>
      <c r="EW822" s="1" t="s">
        <v>2232</v>
      </c>
      <c r="EZ822" s="1" t="s">
        <v>287</v>
      </c>
      <c r="FD822" s="1" t="s">
        <v>246</v>
      </c>
      <c r="FE822" s="1" t="s">
        <v>247</v>
      </c>
      <c r="FF822" s="1" t="s">
        <v>248</v>
      </c>
      <c r="FH822" s="1" t="s">
        <v>249</v>
      </c>
      <c r="FK822" s="1" t="s">
        <v>291</v>
      </c>
      <c r="FL822" s="1" t="s">
        <v>1164</v>
      </c>
      <c r="FM822" s="1" t="s">
        <v>252</v>
      </c>
      <c r="FN822" s="1" t="s">
        <v>213</v>
      </c>
      <c r="FO822" s="1" t="s">
        <v>213</v>
      </c>
      <c r="FQ822" s="1" t="s">
        <v>673</v>
      </c>
      <c r="FR822" s="1" t="s">
        <v>210</v>
      </c>
      <c r="FS822" s="1" t="s">
        <v>9288</v>
      </c>
      <c r="FT822" s="1" t="s">
        <v>362</v>
      </c>
      <c r="FU822" s="1" t="s">
        <v>204</v>
      </c>
      <c r="FW822" s="1" t="s">
        <v>9289</v>
      </c>
      <c r="FX822" s="1">
        <v>22592</v>
      </c>
      <c r="FY822" s="1" t="s">
        <v>9290</v>
      </c>
      <c r="FZ822" s="1" t="s">
        <v>9291</v>
      </c>
      <c r="GA822" s="1">
        <v>232949</v>
      </c>
      <c r="GB822" s="1" t="s">
        <v>9292</v>
      </c>
      <c r="GE822" s="1" t="s">
        <v>210</v>
      </c>
      <c r="GH822" s="1" t="s">
        <v>230</v>
      </c>
      <c r="GI822" s="1" t="s">
        <v>213</v>
      </c>
      <c r="GJ822" s="1" t="s">
        <v>260</v>
      </c>
      <c r="GK822" s="1" t="s">
        <v>210</v>
      </c>
      <c r="GL822" s="2">
        <v>42146</v>
      </c>
    </row>
    <row r="823" spans="1:195">
      <c r="A823" s="1">
        <v>75500</v>
      </c>
      <c r="B823" s="1" t="s">
        <v>195</v>
      </c>
      <c r="C823" s="1" t="str">
        <f>"08896463"</f>
        <v>08896463</v>
      </c>
      <c r="D823" s="1" t="s">
        <v>196</v>
      </c>
      <c r="F823" s="1" t="str">
        <f t="shared" si="638"/>
        <v>540</v>
      </c>
      <c r="G823" s="2">
        <v>42114</v>
      </c>
      <c r="H823" s="1">
        <v>80000</v>
      </c>
      <c r="I823" s="1">
        <v>80000</v>
      </c>
      <c r="J823" s="1">
        <v>75500</v>
      </c>
      <c r="K823" s="2">
        <v>42114</v>
      </c>
      <c r="L823" s="1">
        <v>2</v>
      </c>
      <c r="M823" s="2">
        <v>42115</v>
      </c>
      <c r="N823" s="1">
        <v>2</v>
      </c>
      <c r="O823" s="2">
        <v>42115</v>
      </c>
      <c r="P823" s="1">
        <v>25113</v>
      </c>
      <c r="Q823" s="1" t="s">
        <v>302</v>
      </c>
      <c r="R823" s="2">
        <v>42135</v>
      </c>
      <c r="S823" s="1">
        <v>243083</v>
      </c>
      <c r="T823" s="1">
        <v>1000</v>
      </c>
      <c r="U823" s="1">
        <v>530</v>
      </c>
      <c r="V823" s="1" t="s">
        <v>9293</v>
      </c>
      <c r="W823" s="1" t="s">
        <v>264</v>
      </c>
      <c r="X823" s="1">
        <v>101</v>
      </c>
      <c r="Y823" s="1">
        <v>8</v>
      </c>
      <c r="Z823" s="1" t="s">
        <v>249</v>
      </c>
      <c r="AA823" s="1" t="s">
        <v>921</v>
      </c>
      <c r="AB823" s="1">
        <v>60565</v>
      </c>
      <c r="AE823" s="1" t="s">
        <v>9294</v>
      </c>
      <c r="AF823" s="1">
        <v>1980</v>
      </c>
      <c r="AG823" s="1" t="s">
        <v>204</v>
      </c>
      <c r="AH823" s="1" t="s">
        <v>924</v>
      </c>
      <c r="AI823" s="1" t="s">
        <v>206</v>
      </c>
      <c r="AJ823" s="1" t="s">
        <v>925</v>
      </c>
      <c r="AL823" s="1">
        <v>5</v>
      </c>
      <c r="AM823" s="1">
        <v>2</v>
      </c>
      <c r="AN823" s="1">
        <v>2</v>
      </c>
      <c r="AO823" s="1">
        <v>0</v>
      </c>
      <c r="AP823" s="1" t="s">
        <v>209</v>
      </c>
      <c r="AR823" s="1" t="s">
        <v>210</v>
      </c>
      <c r="AS823" s="1" t="s">
        <v>204</v>
      </c>
      <c r="AT823" s="1" t="s">
        <v>375</v>
      </c>
      <c r="AU823" s="1">
        <v>1</v>
      </c>
      <c r="AV823" s="1">
        <v>2</v>
      </c>
      <c r="AW823" s="1" t="s">
        <v>204</v>
      </c>
      <c r="AX823" s="1" t="s">
        <v>212</v>
      </c>
      <c r="AZ823" s="1">
        <v>929</v>
      </c>
      <c r="BA823" s="1">
        <v>2013</v>
      </c>
      <c r="BB823" s="1" t="s">
        <v>599</v>
      </c>
      <c r="BE823" s="1">
        <v>725</v>
      </c>
      <c r="BF823" s="1">
        <v>2</v>
      </c>
      <c r="BG823" s="1">
        <v>7</v>
      </c>
      <c r="BL823" s="1">
        <v>286</v>
      </c>
      <c r="BM823" s="1" t="s">
        <v>204</v>
      </c>
      <c r="BN823" s="1" t="s">
        <v>213</v>
      </c>
      <c r="BO823" s="1">
        <v>999</v>
      </c>
      <c r="BP823" s="1" t="s">
        <v>204</v>
      </c>
      <c r="BR823" s="1" t="str">
        <f>"0832111113"</f>
        <v>0832111113</v>
      </c>
      <c r="BX823" s="1">
        <v>203</v>
      </c>
      <c r="BY823" s="1">
        <v>203</v>
      </c>
      <c r="BZ823" s="1">
        <v>203</v>
      </c>
      <c r="CB823" s="1" t="str">
        <f t="shared" ref="CB823:CC823" si="640">""</f>
        <v/>
      </c>
      <c r="CC823" s="1" t="str">
        <f t="shared" si="640"/>
        <v/>
      </c>
      <c r="CG823" s="1" t="s">
        <v>669</v>
      </c>
      <c r="CH823" s="1" t="s">
        <v>219</v>
      </c>
      <c r="CI823" s="1" t="s">
        <v>229</v>
      </c>
      <c r="CJ823" s="1" t="s">
        <v>909</v>
      </c>
      <c r="CK823" s="1" t="s">
        <v>581</v>
      </c>
      <c r="CL823" s="1" t="s">
        <v>219</v>
      </c>
      <c r="CM823" s="1" t="s">
        <v>220</v>
      </c>
      <c r="CN823" s="1" t="s">
        <v>210</v>
      </c>
      <c r="CO823" s="1" t="s">
        <v>409</v>
      </c>
      <c r="CP823" s="1" t="s">
        <v>219</v>
      </c>
      <c r="CQ823" s="1" t="s">
        <v>229</v>
      </c>
      <c r="CR823" s="1" t="s">
        <v>210</v>
      </c>
      <c r="CS823" s="1" t="s">
        <v>378</v>
      </c>
      <c r="CT823" s="1" t="s">
        <v>219</v>
      </c>
      <c r="CU823" s="1" t="s">
        <v>229</v>
      </c>
      <c r="CX823" s="1" t="s">
        <v>224</v>
      </c>
      <c r="DB823" s="1" t="s">
        <v>224</v>
      </c>
      <c r="DE823" s="1" t="s">
        <v>4299</v>
      </c>
      <c r="DF823" s="1" t="s">
        <v>219</v>
      </c>
      <c r="DG823" s="1" t="s">
        <v>229</v>
      </c>
      <c r="DH823" s="1" t="s">
        <v>210</v>
      </c>
      <c r="DJ823" s="1" t="s">
        <v>224</v>
      </c>
      <c r="DS823" s="1" t="s">
        <v>230</v>
      </c>
      <c r="DW823" s="1" t="s">
        <v>230</v>
      </c>
      <c r="EA823" s="1" t="s">
        <v>230</v>
      </c>
      <c r="EE823" s="1" t="s">
        <v>230</v>
      </c>
      <c r="EI823" s="1" t="s">
        <v>230</v>
      </c>
      <c r="EL823" s="1" t="s">
        <v>231</v>
      </c>
      <c r="EM823" s="1" t="s">
        <v>232</v>
      </c>
      <c r="EN823" s="1" t="s">
        <v>1158</v>
      </c>
      <c r="EO823" s="1" t="s">
        <v>234</v>
      </c>
      <c r="EQ823" s="1" t="s">
        <v>1109</v>
      </c>
      <c r="ER823" s="1" t="s">
        <v>210</v>
      </c>
      <c r="ES823" s="1" t="s">
        <v>545</v>
      </c>
      <c r="EV823" s="1" t="s">
        <v>240</v>
      </c>
      <c r="EW823" s="1" t="s">
        <v>2765</v>
      </c>
      <c r="EZ823" s="1" t="s">
        <v>287</v>
      </c>
      <c r="FD823" s="1" t="s">
        <v>246</v>
      </c>
      <c r="FE823" s="1" t="s">
        <v>247</v>
      </c>
      <c r="FF823" s="1" t="s">
        <v>248</v>
      </c>
      <c r="FH823" s="1" t="s">
        <v>249</v>
      </c>
      <c r="FK823" s="1" t="s">
        <v>891</v>
      </c>
      <c r="FL823" s="1" t="s">
        <v>414</v>
      </c>
      <c r="FM823" s="1" t="s">
        <v>252</v>
      </c>
      <c r="FN823" s="1" t="s">
        <v>213</v>
      </c>
      <c r="FO823" s="1" t="s">
        <v>204</v>
      </c>
      <c r="FQ823" s="1" t="s">
        <v>9295</v>
      </c>
      <c r="FR823" s="1" t="s">
        <v>210</v>
      </c>
      <c r="FS823" s="1" t="s">
        <v>9296</v>
      </c>
      <c r="FT823" s="1" t="s">
        <v>675</v>
      </c>
      <c r="FU823" s="1" t="s">
        <v>204</v>
      </c>
      <c r="FW823" s="1" t="s">
        <v>813</v>
      </c>
      <c r="FX823" s="1">
        <v>72505</v>
      </c>
      <c r="FY823" s="1" t="s">
        <v>9297</v>
      </c>
      <c r="FZ823" s="1" t="s">
        <v>9298</v>
      </c>
      <c r="GA823" s="1">
        <v>705724</v>
      </c>
      <c r="GB823" s="1" t="s">
        <v>9299</v>
      </c>
      <c r="GE823" s="1" t="s">
        <v>210</v>
      </c>
      <c r="GI823" s="1" t="s">
        <v>213</v>
      </c>
      <c r="GJ823" s="1" t="s">
        <v>260</v>
      </c>
      <c r="GK823" s="1" t="s">
        <v>210</v>
      </c>
      <c r="GL823" s="2">
        <v>42135</v>
      </c>
    </row>
    <row r="824" spans="1:195">
      <c r="A824" s="1">
        <v>41000</v>
      </c>
      <c r="B824" s="1" t="s">
        <v>195</v>
      </c>
      <c r="C824" s="1" t="str">
        <f>"08904251"</f>
        <v>08904251</v>
      </c>
      <c r="D824" s="1" t="s">
        <v>196</v>
      </c>
      <c r="F824" s="1" t="str">
        <f>"507"</f>
        <v>507</v>
      </c>
      <c r="G824" s="2">
        <v>42122</v>
      </c>
      <c r="H824" s="1">
        <v>44900</v>
      </c>
      <c r="I824" s="1">
        <v>44900</v>
      </c>
      <c r="J824" s="1">
        <v>41000</v>
      </c>
      <c r="K824" s="2">
        <v>42122</v>
      </c>
      <c r="L824" s="1">
        <v>3</v>
      </c>
      <c r="M824" s="2">
        <v>42124</v>
      </c>
      <c r="N824" s="1">
        <v>3</v>
      </c>
      <c r="O824" s="2">
        <v>42124</v>
      </c>
      <c r="P824" s="1">
        <v>22029</v>
      </c>
      <c r="Q824" s="1" t="s">
        <v>302</v>
      </c>
      <c r="R824" s="2">
        <v>42146</v>
      </c>
      <c r="S824" s="1">
        <v>243670</v>
      </c>
      <c r="U824" s="1">
        <v>1401</v>
      </c>
      <c r="V824" s="1" t="s">
        <v>9300</v>
      </c>
      <c r="W824" s="1" t="s">
        <v>449</v>
      </c>
      <c r="X824" s="1" t="s">
        <v>1688</v>
      </c>
      <c r="Y824" s="1">
        <v>4</v>
      </c>
      <c r="Z824" s="1" t="s">
        <v>249</v>
      </c>
      <c r="AA824" s="1" t="s">
        <v>1123</v>
      </c>
      <c r="AB824" s="1">
        <v>60506</v>
      </c>
      <c r="AE824" s="1" t="s">
        <v>9301</v>
      </c>
      <c r="AF824" s="1">
        <v>1973</v>
      </c>
      <c r="AG824" s="1" t="s">
        <v>213</v>
      </c>
      <c r="AH824" s="1" t="s">
        <v>1126</v>
      </c>
      <c r="AI824" s="1" t="s">
        <v>665</v>
      </c>
      <c r="AJ824" s="1" t="s">
        <v>1126</v>
      </c>
      <c r="AL824" s="1">
        <v>5</v>
      </c>
      <c r="AM824" s="1">
        <v>2</v>
      </c>
      <c r="AN824" s="1">
        <v>1</v>
      </c>
      <c r="AO824" s="1">
        <v>0</v>
      </c>
      <c r="AP824" s="1" t="s">
        <v>210</v>
      </c>
      <c r="AR824" s="1" t="s">
        <v>210</v>
      </c>
      <c r="AS824" s="1" t="s">
        <v>204</v>
      </c>
      <c r="AT824" s="1" t="s">
        <v>211</v>
      </c>
      <c r="AU824" s="1">
        <v>1</v>
      </c>
      <c r="AW824" s="1" t="s">
        <v>204</v>
      </c>
      <c r="AX824" s="1" t="s">
        <v>212</v>
      </c>
      <c r="AZ824" s="1">
        <v>1005.62</v>
      </c>
      <c r="BA824" s="1">
        <v>2014</v>
      </c>
      <c r="BB824" s="1" t="s">
        <v>210</v>
      </c>
      <c r="BE824" s="1">
        <v>968</v>
      </c>
      <c r="BF824" s="1">
        <v>1</v>
      </c>
      <c r="BG824" s="1">
        <v>10</v>
      </c>
      <c r="BL824" s="1">
        <v>255</v>
      </c>
      <c r="BM824" s="1" t="s">
        <v>204</v>
      </c>
      <c r="BN824" s="1" t="s">
        <v>213</v>
      </c>
      <c r="BO824" s="1">
        <v>999</v>
      </c>
      <c r="BP824" s="1" t="s">
        <v>204</v>
      </c>
      <c r="BR824" s="1" t="str">
        <f>"1517256002"</f>
        <v>1517256002</v>
      </c>
      <c r="BT824" s="1" t="s">
        <v>9302</v>
      </c>
      <c r="BX824" s="1">
        <v>129</v>
      </c>
      <c r="BY824" s="1">
        <v>129</v>
      </c>
      <c r="BZ824" s="1">
        <v>129</v>
      </c>
      <c r="CB824" s="1" t="str">
        <f t="shared" ref="CB824:CC824" si="641">"0"</f>
        <v>0</v>
      </c>
      <c r="CC824" s="1" t="str">
        <f t="shared" si="641"/>
        <v>0</v>
      </c>
      <c r="CD824" s="1">
        <v>37</v>
      </c>
      <c r="CE824" s="1">
        <v>6</v>
      </c>
      <c r="CG824" s="1" t="s">
        <v>581</v>
      </c>
      <c r="CH824" s="1" t="s">
        <v>219</v>
      </c>
      <c r="CI824" s="1" t="s">
        <v>220</v>
      </c>
      <c r="CJ824" s="1" t="s">
        <v>343</v>
      </c>
      <c r="CK824" s="1" t="s">
        <v>564</v>
      </c>
      <c r="CL824" s="1" t="s">
        <v>277</v>
      </c>
      <c r="CM824" s="1" t="s">
        <v>220</v>
      </c>
      <c r="CN824" s="1" t="s">
        <v>343</v>
      </c>
      <c r="CO824" s="1" t="s">
        <v>348</v>
      </c>
      <c r="CP824" s="1" t="s">
        <v>219</v>
      </c>
      <c r="CQ824" s="1" t="s">
        <v>229</v>
      </c>
      <c r="CR824" s="1" t="s">
        <v>210</v>
      </c>
      <c r="CS824" s="1" t="s">
        <v>318</v>
      </c>
      <c r="CT824" s="1" t="s">
        <v>277</v>
      </c>
      <c r="CU824" s="1" t="s">
        <v>220</v>
      </c>
      <c r="CV824" s="1" t="s">
        <v>343</v>
      </c>
      <c r="CX824" s="1" t="s">
        <v>224</v>
      </c>
      <c r="DB824" s="1" t="s">
        <v>224</v>
      </c>
      <c r="DE824" s="1" t="s">
        <v>281</v>
      </c>
      <c r="DF824" s="1" t="s">
        <v>219</v>
      </c>
      <c r="DG824" s="1" t="s">
        <v>229</v>
      </c>
      <c r="DH824" s="1" t="s">
        <v>210</v>
      </c>
      <c r="DJ824" s="1" t="s">
        <v>224</v>
      </c>
      <c r="DS824" s="1" t="s">
        <v>230</v>
      </c>
      <c r="DW824" s="1" t="s">
        <v>230</v>
      </c>
      <c r="EA824" s="1" t="s">
        <v>230</v>
      </c>
      <c r="EE824" s="1" t="s">
        <v>230</v>
      </c>
      <c r="EI824" s="1" t="s">
        <v>230</v>
      </c>
      <c r="EL824" s="1" t="s">
        <v>605</v>
      </c>
      <c r="EM824" s="1" t="s">
        <v>319</v>
      </c>
      <c r="EN824" s="1" t="s">
        <v>282</v>
      </c>
      <c r="EO824" s="1" t="s">
        <v>234</v>
      </c>
      <c r="EP824" s="1" t="s">
        <v>650</v>
      </c>
      <c r="EQ824" s="1" t="s">
        <v>468</v>
      </c>
      <c r="ER824" s="1" t="s">
        <v>210</v>
      </c>
      <c r="ES824" s="1" t="s">
        <v>608</v>
      </c>
      <c r="ET824" s="1" t="s">
        <v>1161</v>
      </c>
      <c r="EU824" s="1" t="s">
        <v>5503</v>
      </c>
      <c r="EW824" s="1" t="s">
        <v>937</v>
      </c>
      <c r="EY824" s="1" t="s">
        <v>242</v>
      </c>
      <c r="EZ824" s="1" t="s">
        <v>287</v>
      </c>
      <c r="FA824" s="1" t="s">
        <v>714</v>
      </c>
      <c r="FB824" s="1" t="s">
        <v>289</v>
      </c>
      <c r="FC824" s="1" t="s">
        <v>633</v>
      </c>
      <c r="FD824" s="1" t="s">
        <v>495</v>
      </c>
      <c r="FE824" s="1" t="s">
        <v>355</v>
      </c>
      <c r="FF824" s="1" t="s">
        <v>248</v>
      </c>
      <c r="FH824" s="1" t="s">
        <v>249</v>
      </c>
      <c r="FI824" s="1" t="s">
        <v>357</v>
      </c>
      <c r="FL824" s="1" t="s">
        <v>358</v>
      </c>
      <c r="FM824" s="1" t="s">
        <v>252</v>
      </c>
      <c r="FN824" s="1" t="s">
        <v>213</v>
      </c>
      <c r="FO824" s="1" t="s">
        <v>213</v>
      </c>
      <c r="FQ824" s="1" t="s">
        <v>9303</v>
      </c>
      <c r="FR824" s="1" t="s">
        <v>652</v>
      </c>
      <c r="FS824" s="1" t="s">
        <v>9304</v>
      </c>
      <c r="FT824" s="1" t="s">
        <v>2589</v>
      </c>
      <c r="FU824" s="1" t="s">
        <v>204</v>
      </c>
      <c r="FW824" s="1" t="s">
        <v>813</v>
      </c>
      <c r="FX824" s="1">
        <v>771</v>
      </c>
      <c r="FY824" s="1" t="s">
        <v>5306</v>
      </c>
      <c r="FZ824" s="1" t="s">
        <v>9305</v>
      </c>
      <c r="GA824" s="1">
        <v>2139</v>
      </c>
      <c r="GB824" s="1" t="s">
        <v>9306</v>
      </c>
      <c r="GD824" s="1" t="s">
        <v>9307</v>
      </c>
      <c r="GE824" s="1" t="s">
        <v>210</v>
      </c>
      <c r="GH824" s="1" t="s">
        <v>230</v>
      </c>
      <c r="GI824" s="1" t="s">
        <v>213</v>
      </c>
      <c r="GJ824" s="1" t="s">
        <v>260</v>
      </c>
      <c r="GK824" s="1" t="s">
        <v>210</v>
      </c>
      <c r="GL824" s="2">
        <v>42146</v>
      </c>
      <c r="GM824" s="1" t="s">
        <v>9308</v>
      </c>
    </row>
    <row r="825" spans="1:195">
      <c r="A825" s="1">
        <v>151000</v>
      </c>
      <c r="B825" s="1" t="s">
        <v>195</v>
      </c>
      <c r="C825" s="1" t="str">
        <f>"08901412"</f>
        <v>08901412</v>
      </c>
      <c r="D825" s="1" t="s">
        <v>196</v>
      </c>
      <c r="F825" s="1" t="str">
        <f>"160"</f>
        <v>160</v>
      </c>
      <c r="G825" s="2">
        <v>42118</v>
      </c>
      <c r="H825" s="1">
        <v>150000</v>
      </c>
      <c r="I825" s="1">
        <v>150000</v>
      </c>
      <c r="J825" s="1">
        <v>151000</v>
      </c>
      <c r="K825" s="2">
        <v>42118</v>
      </c>
      <c r="L825" s="1">
        <v>18</v>
      </c>
      <c r="M825" s="2">
        <v>42135</v>
      </c>
      <c r="N825" s="1">
        <v>18</v>
      </c>
      <c r="O825" s="2">
        <v>42135</v>
      </c>
      <c r="P825" s="1">
        <v>4730</v>
      </c>
      <c r="Q825" s="1" t="s">
        <v>302</v>
      </c>
      <c r="R825" s="2">
        <v>42145</v>
      </c>
      <c r="S825" s="1">
        <v>42701</v>
      </c>
      <c r="U825" s="1">
        <v>1542</v>
      </c>
      <c r="V825" s="1" t="s">
        <v>424</v>
      </c>
      <c r="W825" s="1" t="s">
        <v>425</v>
      </c>
      <c r="Y825" s="1">
        <v>2</v>
      </c>
      <c r="Z825" s="1" t="s">
        <v>200</v>
      </c>
      <c r="AA825" s="1" t="s">
        <v>426</v>
      </c>
      <c r="AB825" s="1">
        <v>60160</v>
      </c>
      <c r="AE825" s="1" t="s">
        <v>9309</v>
      </c>
      <c r="AF825" s="1" t="s">
        <v>402</v>
      </c>
      <c r="AG825" s="1" t="s">
        <v>213</v>
      </c>
      <c r="AH825" s="1" t="s">
        <v>428</v>
      </c>
      <c r="AI825" s="1" t="s">
        <v>310</v>
      </c>
      <c r="AJ825" s="1" t="s">
        <v>429</v>
      </c>
      <c r="AL825" s="1">
        <v>5</v>
      </c>
      <c r="AM825" s="1">
        <v>2</v>
      </c>
      <c r="AN825" s="1">
        <v>2</v>
      </c>
      <c r="AO825" s="1">
        <v>0</v>
      </c>
      <c r="AP825" s="1" t="s">
        <v>210</v>
      </c>
      <c r="AR825" s="1" t="s">
        <v>209</v>
      </c>
      <c r="AS825" s="1" t="s">
        <v>213</v>
      </c>
      <c r="AT825" s="1" t="s">
        <v>211</v>
      </c>
      <c r="AU825" s="1">
        <v>2</v>
      </c>
      <c r="AW825" s="1" t="s">
        <v>204</v>
      </c>
      <c r="AX825" s="1" t="s">
        <v>2379</v>
      </c>
      <c r="AZ825" s="1">
        <v>2625.46</v>
      </c>
      <c r="BA825" s="1">
        <v>2013</v>
      </c>
      <c r="BB825" s="1" t="s">
        <v>405</v>
      </c>
      <c r="BE825" s="1">
        <v>0</v>
      </c>
      <c r="BF825" s="1">
        <v>1</v>
      </c>
      <c r="BG825" s="1">
        <v>30</v>
      </c>
      <c r="BL825" s="1">
        <v>0</v>
      </c>
      <c r="BM825" s="1" t="s">
        <v>204</v>
      </c>
      <c r="BN825" s="1" t="s">
        <v>213</v>
      </c>
      <c r="BO825" s="1">
        <v>999</v>
      </c>
      <c r="BP825" s="1" t="s">
        <v>204</v>
      </c>
      <c r="BR825" s="1" t="str">
        <f>"15031280360000"</f>
        <v>15031280360000</v>
      </c>
      <c r="BT825" s="1" t="s">
        <v>9310</v>
      </c>
      <c r="BX825" s="1">
        <v>89</v>
      </c>
      <c r="BY825" s="1">
        <v>89</v>
      </c>
      <c r="BZ825" s="1">
        <v>209</v>
      </c>
      <c r="CB825" s="1" t="str">
        <f>"1"</f>
        <v>1</v>
      </c>
      <c r="CC825" s="1" t="str">
        <f>"0"</f>
        <v>0</v>
      </c>
      <c r="CD825" s="1">
        <v>11</v>
      </c>
      <c r="CE825" s="1">
        <v>0</v>
      </c>
      <c r="CG825" s="1" t="s">
        <v>437</v>
      </c>
      <c r="CH825" s="1" t="s">
        <v>219</v>
      </c>
      <c r="CK825" s="1" t="s">
        <v>223</v>
      </c>
      <c r="CL825" s="1" t="s">
        <v>277</v>
      </c>
      <c r="CO825" s="1" t="s">
        <v>629</v>
      </c>
      <c r="CP825" s="1" t="s">
        <v>219</v>
      </c>
      <c r="CS825" s="1" t="s">
        <v>379</v>
      </c>
      <c r="CT825" s="1" t="s">
        <v>277</v>
      </c>
      <c r="CX825" s="1" t="s">
        <v>224</v>
      </c>
      <c r="DB825" s="1" t="s">
        <v>224</v>
      </c>
      <c r="DE825" s="1" t="s">
        <v>564</v>
      </c>
      <c r="DF825" s="1" t="s">
        <v>219</v>
      </c>
      <c r="DJ825" s="1" t="s">
        <v>224</v>
      </c>
      <c r="DM825" s="1" t="s">
        <v>1359</v>
      </c>
      <c r="DR825" s="1" t="s">
        <v>315</v>
      </c>
      <c r="DS825" s="1" t="s">
        <v>219</v>
      </c>
      <c r="DW825" s="1" t="s">
        <v>230</v>
      </c>
      <c r="EA825" s="1" t="s">
        <v>230</v>
      </c>
      <c r="EE825" s="1" t="s">
        <v>230</v>
      </c>
      <c r="EI825" s="1" t="s">
        <v>230</v>
      </c>
      <c r="EL825" s="1" t="s">
        <v>440</v>
      </c>
      <c r="EM825" s="1" t="s">
        <v>319</v>
      </c>
      <c r="EN825" s="1" t="s">
        <v>282</v>
      </c>
      <c r="EO825" s="1" t="s">
        <v>234</v>
      </c>
      <c r="ER825" s="1" t="s">
        <v>544</v>
      </c>
      <c r="EW825" s="1" t="s">
        <v>210</v>
      </c>
      <c r="EZ825" s="1" t="s">
        <v>1359</v>
      </c>
      <c r="FD825" s="1" t="s">
        <v>246</v>
      </c>
      <c r="FE825" s="1" t="s">
        <v>247</v>
      </c>
      <c r="FF825" s="1" t="s">
        <v>248</v>
      </c>
      <c r="FH825" s="1" t="s">
        <v>442</v>
      </c>
      <c r="FL825" s="1" t="s">
        <v>358</v>
      </c>
      <c r="FM825" s="1" t="s">
        <v>252</v>
      </c>
      <c r="FN825" s="1" t="s">
        <v>213</v>
      </c>
      <c r="FO825" s="1" t="s">
        <v>213</v>
      </c>
      <c r="FQ825" s="1" t="s">
        <v>9311</v>
      </c>
      <c r="FR825" s="1" t="s">
        <v>210</v>
      </c>
      <c r="FS825" s="1" t="s">
        <v>9312</v>
      </c>
      <c r="FT825" s="1" t="s">
        <v>295</v>
      </c>
      <c r="FU825" s="1" t="s">
        <v>204</v>
      </c>
      <c r="FW825" s="1" t="s">
        <v>9313</v>
      </c>
      <c r="FX825" s="1">
        <v>4730</v>
      </c>
      <c r="FY825" s="1" t="s">
        <v>9314</v>
      </c>
      <c r="FZ825" s="1" t="s">
        <v>9315</v>
      </c>
      <c r="GA825" s="1">
        <v>42701</v>
      </c>
      <c r="GE825" s="1" t="s">
        <v>210</v>
      </c>
      <c r="GH825" s="1" t="s">
        <v>230</v>
      </c>
      <c r="GI825" s="1" t="s">
        <v>213</v>
      </c>
      <c r="GJ825" s="1" t="s">
        <v>260</v>
      </c>
      <c r="GK825" s="1" t="s">
        <v>210</v>
      </c>
      <c r="GL825" s="2">
        <v>42150</v>
      </c>
      <c r="GM825" s="1" t="s">
        <v>9316</v>
      </c>
    </row>
    <row r="826" spans="1:195">
      <c r="A826" s="1">
        <v>119900</v>
      </c>
      <c r="B826" s="1" t="s">
        <v>195</v>
      </c>
      <c r="C826" s="1" t="str">
        <f>"08897698"</f>
        <v>08897698</v>
      </c>
      <c r="D826" s="1" t="s">
        <v>196</v>
      </c>
      <c r="F826" s="1" t="str">
        <f>"119"</f>
        <v>119</v>
      </c>
      <c r="G826" s="2">
        <v>42115</v>
      </c>
      <c r="H826" s="1">
        <v>119900</v>
      </c>
      <c r="I826" s="1">
        <v>119900</v>
      </c>
      <c r="J826" s="1">
        <v>119900</v>
      </c>
      <c r="K826" s="2">
        <v>42115</v>
      </c>
      <c r="L826" s="1">
        <v>1</v>
      </c>
      <c r="M826" s="2">
        <v>42115</v>
      </c>
      <c r="N826" s="1">
        <v>1</v>
      </c>
      <c r="O826" s="2">
        <v>42115</v>
      </c>
      <c r="P826" s="1">
        <v>41</v>
      </c>
      <c r="Q826" s="1" t="s">
        <v>197</v>
      </c>
      <c r="R826" s="2">
        <v>42131</v>
      </c>
      <c r="S826" s="1">
        <v>585</v>
      </c>
      <c r="U826" s="1">
        <v>487</v>
      </c>
      <c r="V826" s="1" t="s">
        <v>9317</v>
      </c>
      <c r="W826" s="1" t="s">
        <v>725</v>
      </c>
      <c r="Y826" s="1">
        <v>4</v>
      </c>
      <c r="Z826" s="1" t="s">
        <v>249</v>
      </c>
      <c r="AA826" s="1" t="s">
        <v>9117</v>
      </c>
      <c r="AB826" s="1">
        <v>60119</v>
      </c>
      <c r="AD826" s="1" t="s">
        <v>9318</v>
      </c>
      <c r="AE826" s="1" t="s">
        <v>9319</v>
      </c>
      <c r="AF826" s="1">
        <v>2002</v>
      </c>
      <c r="AG826" s="1" t="s">
        <v>204</v>
      </c>
      <c r="AH826" s="1" t="s">
        <v>9119</v>
      </c>
      <c r="AI826" s="1" t="s">
        <v>665</v>
      </c>
      <c r="AJ826" s="1" t="s">
        <v>2115</v>
      </c>
      <c r="AL826" s="1">
        <v>6</v>
      </c>
      <c r="AM826" s="1">
        <v>2</v>
      </c>
      <c r="AN826" s="1">
        <v>1</v>
      </c>
      <c r="AO826" s="1">
        <v>1</v>
      </c>
      <c r="AP826" s="1" t="s">
        <v>209</v>
      </c>
      <c r="AR826" s="1" t="s">
        <v>1421</v>
      </c>
      <c r="AS826" s="1" t="s">
        <v>204</v>
      </c>
      <c r="AT826" s="1" t="s">
        <v>211</v>
      </c>
      <c r="AU826" s="1">
        <v>2</v>
      </c>
      <c r="AW826" s="1" t="s">
        <v>204</v>
      </c>
      <c r="AX826" s="1" t="s">
        <v>212</v>
      </c>
      <c r="AZ826" s="5">
        <v>4554.8</v>
      </c>
      <c r="BA826" s="1">
        <v>2013</v>
      </c>
      <c r="BE826" s="1">
        <v>1614</v>
      </c>
      <c r="BF826" s="1">
        <v>1</v>
      </c>
      <c r="BG826" s="1">
        <v>0</v>
      </c>
      <c r="BL826" s="1">
        <v>187</v>
      </c>
      <c r="BM826" s="1" t="s">
        <v>204</v>
      </c>
      <c r="BN826" s="1" t="s">
        <v>213</v>
      </c>
      <c r="BO826" s="1">
        <v>50</v>
      </c>
      <c r="BP826" s="1" t="s">
        <v>204</v>
      </c>
      <c r="BR826" s="1" t="str">
        <f>"0832382021"</f>
        <v>0832382021</v>
      </c>
      <c r="BT826" s="1" t="s">
        <v>9320</v>
      </c>
      <c r="BX826" s="1">
        <v>302</v>
      </c>
      <c r="BY826" s="1">
        <v>302</v>
      </c>
      <c r="BZ826" s="1">
        <v>302</v>
      </c>
      <c r="CB826" s="1" t="str">
        <f t="shared" ref="CB826:CC826" si="642">""</f>
        <v/>
      </c>
      <c r="CC826" s="1" t="str">
        <f t="shared" si="642"/>
        <v/>
      </c>
      <c r="CG826" s="1" t="s">
        <v>4690</v>
      </c>
      <c r="CH826" s="1" t="s">
        <v>219</v>
      </c>
      <c r="CI826" s="1" t="s">
        <v>229</v>
      </c>
      <c r="CK826" s="1" t="s">
        <v>708</v>
      </c>
      <c r="CL826" s="1" t="s">
        <v>277</v>
      </c>
      <c r="CM826" s="1" t="s">
        <v>220</v>
      </c>
      <c r="CO826" s="1" t="s">
        <v>629</v>
      </c>
      <c r="CP826" s="1" t="s">
        <v>219</v>
      </c>
      <c r="CQ826" s="1" t="s">
        <v>220</v>
      </c>
      <c r="CS826" s="1" t="s">
        <v>757</v>
      </c>
      <c r="CT826" s="1" t="s">
        <v>277</v>
      </c>
      <c r="CU826" s="1" t="s">
        <v>220</v>
      </c>
      <c r="CX826" s="1" t="s">
        <v>224</v>
      </c>
      <c r="DB826" s="1" t="s">
        <v>224</v>
      </c>
      <c r="DE826" s="1" t="s">
        <v>7317</v>
      </c>
      <c r="DF826" s="1" t="s">
        <v>219</v>
      </c>
      <c r="DG826" s="1" t="s">
        <v>229</v>
      </c>
      <c r="DI826" s="1" t="s">
        <v>3716</v>
      </c>
      <c r="DJ826" s="1" t="s">
        <v>4450</v>
      </c>
      <c r="DK826" s="1" t="s">
        <v>229</v>
      </c>
      <c r="DS826" s="1" t="s">
        <v>230</v>
      </c>
      <c r="DW826" s="1" t="s">
        <v>230</v>
      </c>
      <c r="EA826" s="1" t="s">
        <v>230</v>
      </c>
      <c r="EE826" s="1" t="s">
        <v>230</v>
      </c>
      <c r="EI826" s="1" t="s">
        <v>230</v>
      </c>
      <c r="EL826" s="1" t="s">
        <v>466</v>
      </c>
      <c r="EM826" s="1" t="s">
        <v>319</v>
      </c>
      <c r="EN826" s="1" t="s">
        <v>282</v>
      </c>
      <c r="EO826" s="1" t="s">
        <v>234</v>
      </c>
      <c r="EP826" s="1" t="s">
        <v>650</v>
      </c>
      <c r="EQ826" s="1" t="s">
        <v>350</v>
      </c>
      <c r="ER826" s="1" t="s">
        <v>351</v>
      </c>
      <c r="ES826" s="1" t="s">
        <v>954</v>
      </c>
      <c r="ET826" s="1" t="s">
        <v>1201</v>
      </c>
      <c r="EU826" s="1" t="s">
        <v>239</v>
      </c>
      <c r="EV826" s="1" t="s">
        <v>240</v>
      </c>
      <c r="EW826" s="1" t="s">
        <v>353</v>
      </c>
      <c r="EZ826" s="1" t="s">
        <v>287</v>
      </c>
      <c r="FA826" s="1" t="s">
        <v>9321</v>
      </c>
      <c r="FB826" s="1" t="s">
        <v>289</v>
      </c>
      <c r="FC826" s="1" t="s">
        <v>1405</v>
      </c>
      <c r="FD826" s="1" t="s">
        <v>246</v>
      </c>
      <c r="FE826" s="1" t="s">
        <v>472</v>
      </c>
      <c r="FF826" s="1" t="s">
        <v>248</v>
      </c>
      <c r="FH826" s="1" t="s">
        <v>550</v>
      </c>
      <c r="FL826" s="1" t="s">
        <v>358</v>
      </c>
      <c r="FM826" s="1" t="s">
        <v>252</v>
      </c>
      <c r="FN826" s="1" t="s">
        <v>213</v>
      </c>
      <c r="FO826" s="1" t="s">
        <v>213</v>
      </c>
      <c r="FQ826" s="1" t="s">
        <v>9322</v>
      </c>
      <c r="FR826" s="1" t="s">
        <v>210</v>
      </c>
      <c r="FS826" s="1" t="s">
        <v>4314</v>
      </c>
      <c r="FT826" s="1" t="s">
        <v>9323</v>
      </c>
      <c r="FU826" s="1" t="s">
        <v>204</v>
      </c>
      <c r="FW826" s="1" t="s">
        <v>1742</v>
      </c>
      <c r="FX826" s="1">
        <v>25401</v>
      </c>
      <c r="FY826" s="1" t="s">
        <v>1743</v>
      </c>
      <c r="FZ826" s="1" t="s">
        <v>1744</v>
      </c>
      <c r="GA826" s="1">
        <v>231228</v>
      </c>
      <c r="GB826" s="1" t="s">
        <v>1743</v>
      </c>
      <c r="GE826" s="1" t="s">
        <v>1256</v>
      </c>
      <c r="GH826" s="1" t="s">
        <v>800</v>
      </c>
      <c r="GI826" s="1" t="s">
        <v>213</v>
      </c>
      <c r="GJ826" s="1" t="s">
        <v>260</v>
      </c>
      <c r="GK826" s="1" t="s">
        <v>210</v>
      </c>
      <c r="GL826" s="2">
        <v>42131</v>
      </c>
    </row>
    <row r="827" spans="1:195">
      <c r="A827" s="1">
        <v>293990</v>
      </c>
      <c r="B827" s="1" t="s">
        <v>195</v>
      </c>
      <c r="C827" s="1" t="str">
        <f>"08895672"</f>
        <v>08895672</v>
      </c>
      <c r="D827" s="1" t="s">
        <v>196</v>
      </c>
      <c r="F827" s="1" t="str">
        <f>"540"</f>
        <v>540</v>
      </c>
      <c r="G827" s="2">
        <v>42113</v>
      </c>
      <c r="H827" s="1">
        <v>293990</v>
      </c>
      <c r="I827" s="1">
        <v>293990</v>
      </c>
      <c r="J827" s="1">
        <v>293990</v>
      </c>
      <c r="K827" s="2">
        <v>42111</v>
      </c>
      <c r="L827" s="1">
        <v>18</v>
      </c>
      <c r="M827" s="2">
        <v>42128</v>
      </c>
      <c r="N827" s="1">
        <v>18</v>
      </c>
      <c r="O827" s="2">
        <v>42128</v>
      </c>
      <c r="P827" s="1">
        <v>22205</v>
      </c>
      <c r="Q827" s="1" t="s">
        <v>197</v>
      </c>
      <c r="R827" s="2">
        <v>42146</v>
      </c>
      <c r="S827" s="1">
        <v>224965</v>
      </c>
      <c r="U827" s="1">
        <v>2871</v>
      </c>
      <c r="V827" s="1" t="s">
        <v>9324</v>
      </c>
      <c r="W827" s="1" t="s">
        <v>504</v>
      </c>
      <c r="Y827" s="1">
        <v>6</v>
      </c>
      <c r="Z827" s="1" t="s">
        <v>370</v>
      </c>
      <c r="AA827" s="1" t="s">
        <v>921</v>
      </c>
      <c r="AB827" s="1">
        <v>60540</v>
      </c>
      <c r="AD827" s="1" t="s">
        <v>6990</v>
      </c>
      <c r="AE827" s="1" t="s">
        <v>6991</v>
      </c>
      <c r="AF827" s="1">
        <v>2015</v>
      </c>
      <c r="AG827" s="1" t="s">
        <v>204</v>
      </c>
      <c r="AH827" s="1" t="s">
        <v>924</v>
      </c>
      <c r="AI827" s="1" t="s">
        <v>206</v>
      </c>
      <c r="AJ827" s="1" t="s">
        <v>924</v>
      </c>
      <c r="AK827" s="1" t="s">
        <v>6992</v>
      </c>
      <c r="AL827" s="1">
        <v>6</v>
      </c>
      <c r="AM827" s="1">
        <v>2</v>
      </c>
      <c r="AN827" s="1">
        <v>2</v>
      </c>
      <c r="AO827" s="1">
        <v>1</v>
      </c>
      <c r="AP827" s="1" t="s">
        <v>209</v>
      </c>
      <c r="AR827" s="1" t="s">
        <v>210</v>
      </c>
      <c r="AS827" s="1" t="s">
        <v>204</v>
      </c>
      <c r="AT827" s="1" t="s">
        <v>211</v>
      </c>
      <c r="AU827" s="1">
        <v>2</v>
      </c>
      <c r="AW827" s="1" t="s">
        <v>204</v>
      </c>
      <c r="AX827" s="1" t="s">
        <v>212</v>
      </c>
      <c r="AZ827" s="1" t="s">
        <v>751</v>
      </c>
      <c r="BA827" s="1">
        <v>2013</v>
      </c>
      <c r="BB827" s="1" t="s">
        <v>210</v>
      </c>
      <c r="BE827" s="1">
        <v>1783</v>
      </c>
      <c r="BF827" s="1">
        <v>3</v>
      </c>
      <c r="BG827" s="1">
        <v>0</v>
      </c>
      <c r="BL827" s="1">
        <v>210</v>
      </c>
      <c r="BM827" s="1" t="s">
        <v>204</v>
      </c>
      <c r="BN827" s="1" t="s">
        <v>213</v>
      </c>
      <c r="BO827" s="1">
        <v>0</v>
      </c>
      <c r="BP827" s="1" t="s">
        <v>213</v>
      </c>
      <c r="BQ827" s="2">
        <v>42111</v>
      </c>
      <c r="BR827" s="1" t="str">
        <f>"0727104038"</f>
        <v>0727104038</v>
      </c>
      <c r="BT827" s="1" t="s">
        <v>9325</v>
      </c>
      <c r="BU827" s="1" t="s">
        <v>2087</v>
      </c>
      <c r="BV827" s="1" t="s">
        <v>1248</v>
      </c>
      <c r="BW827" s="1" t="s">
        <v>1131</v>
      </c>
      <c r="BX827" s="1">
        <v>204</v>
      </c>
      <c r="BY827" s="1">
        <v>204</v>
      </c>
      <c r="BZ827" s="1">
        <v>204</v>
      </c>
      <c r="CB827" s="1" t="str">
        <f t="shared" ref="CB827:CC827" si="643">"0"</f>
        <v>0</v>
      </c>
      <c r="CC827" s="1" t="str">
        <f t="shared" si="643"/>
        <v>0</v>
      </c>
      <c r="CD827" s="1">
        <v>29</v>
      </c>
      <c r="CE827" s="1">
        <v>8</v>
      </c>
      <c r="CH827" s="1" t="s">
        <v>224</v>
      </c>
      <c r="CK827" s="1" t="s">
        <v>221</v>
      </c>
      <c r="CL827" s="1" t="s">
        <v>277</v>
      </c>
      <c r="CM827" s="1" t="s">
        <v>220</v>
      </c>
      <c r="CP827" s="1" t="s">
        <v>224</v>
      </c>
      <c r="CS827" s="1" t="s">
        <v>318</v>
      </c>
      <c r="CT827" s="1" t="s">
        <v>277</v>
      </c>
      <c r="CU827" s="1" t="s">
        <v>220</v>
      </c>
      <c r="DB827" s="1" t="s">
        <v>224</v>
      </c>
      <c r="DE827" s="1" t="s">
        <v>1358</v>
      </c>
      <c r="DF827" s="1" t="s">
        <v>219</v>
      </c>
      <c r="DG827" s="1" t="s">
        <v>438</v>
      </c>
      <c r="DJ827" s="1" t="s">
        <v>224</v>
      </c>
      <c r="DK827" s="1" t="s">
        <v>438</v>
      </c>
      <c r="DM827" s="1" t="s">
        <v>464</v>
      </c>
      <c r="DN827" s="1" t="s">
        <v>1676</v>
      </c>
      <c r="DP827" s="1" t="s">
        <v>381</v>
      </c>
      <c r="DR827" s="1" t="s">
        <v>318</v>
      </c>
      <c r="DS827" s="1" t="s">
        <v>277</v>
      </c>
      <c r="DV827" s="1" t="s">
        <v>379</v>
      </c>
      <c r="DW827" s="1" t="s">
        <v>219</v>
      </c>
      <c r="EA827" s="1" t="s">
        <v>230</v>
      </c>
      <c r="ED827" s="1" t="s">
        <v>2231</v>
      </c>
      <c r="EE827" s="1" t="s">
        <v>219</v>
      </c>
      <c r="EF827" s="1" t="s">
        <v>438</v>
      </c>
      <c r="EI827" s="1" t="s">
        <v>230</v>
      </c>
      <c r="EL827" s="1" t="s">
        <v>1455</v>
      </c>
      <c r="EM827" s="1" t="s">
        <v>730</v>
      </c>
      <c r="EN827" s="1" t="s">
        <v>282</v>
      </c>
      <c r="EO827" s="1" t="s">
        <v>234</v>
      </c>
      <c r="EP827" s="1" t="s">
        <v>543</v>
      </c>
      <c r="EQ827" s="1" t="s">
        <v>3849</v>
      </c>
      <c r="ER827" s="1" t="s">
        <v>210</v>
      </c>
      <c r="ES827" s="1" t="s">
        <v>469</v>
      </c>
      <c r="EW827" s="1" t="s">
        <v>3851</v>
      </c>
      <c r="EY827" s="1" t="s">
        <v>790</v>
      </c>
      <c r="EZ827" s="1" t="s">
        <v>6994</v>
      </c>
      <c r="FA827" s="1" t="s">
        <v>1270</v>
      </c>
      <c r="FD827" s="1" t="s">
        <v>246</v>
      </c>
      <c r="FE827" s="1" t="s">
        <v>975</v>
      </c>
      <c r="FF827" s="1" t="s">
        <v>387</v>
      </c>
      <c r="FH827" s="1" t="s">
        <v>1428</v>
      </c>
      <c r="FJ827" s="1" t="s">
        <v>518</v>
      </c>
      <c r="FL827" s="1" t="s">
        <v>358</v>
      </c>
      <c r="FM827" s="1" t="s">
        <v>252</v>
      </c>
      <c r="FN827" s="1" t="s">
        <v>213</v>
      </c>
      <c r="FO827" s="1" t="s">
        <v>213</v>
      </c>
      <c r="FQ827" s="1" t="s">
        <v>3853</v>
      </c>
      <c r="FR827" s="1" t="s">
        <v>210</v>
      </c>
      <c r="FS827" s="1" t="s">
        <v>9053</v>
      </c>
      <c r="FT827" s="1" t="s">
        <v>9326</v>
      </c>
      <c r="FU827" s="1" t="s">
        <v>204</v>
      </c>
      <c r="FV827" s="1" t="s">
        <v>6996</v>
      </c>
      <c r="FW827" s="1" t="s">
        <v>3857</v>
      </c>
      <c r="FX827" s="1">
        <v>23223</v>
      </c>
      <c r="FY827" s="1" t="s">
        <v>3858</v>
      </c>
      <c r="FZ827" s="1" t="s">
        <v>3859</v>
      </c>
      <c r="GA827" s="1">
        <v>236300</v>
      </c>
      <c r="GC827" s="1">
        <v>210778</v>
      </c>
      <c r="GE827" s="1" t="s">
        <v>335</v>
      </c>
      <c r="GI827" s="1" t="s">
        <v>204</v>
      </c>
      <c r="GJ827" s="1" t="s">
        <v>300</v>
      </c>
      <c r="GK827" s="1" t="s">
        <v>210</v>
      </c>
      <c r="GL827" s="2">
        <v>42146</v>
      </c>
      <c r="GM827" s="1" t="s">
        <v>9327</v>
      </c>
    </row>
    <row r="828" spans="1:195">
      <c r="A828" s="1">
        <v>157000</v>
      </c>
      <c r="B828" s="1" t="s">
        <v>195</v>
      </c>
      <c r="C828" s="1" t="str">
        <f>"08891796"</f>
        <v>08891796</v>
      </c>
      <c r="D828" s="1" t="s">
        <v>196</v>
      </c>
      <c r="F828" s="1" t="str">
        <f>"30"</f>
        <v>30</v>
      </c>
      <c r="G828" s="2">
        <v>42109</v>
      </c>
      <c r="H828" s="1">
        <v>159900</v>
      </c>
      <c r="I828" s="1">
        <v>159900</v>
      </c>
      <c r="J828" s="1">
        <v>157000</v>
      </c>
      <c r="K828" s="2">
        <v>42109</v>
      </c>
      <c r="L828" s="1">
        <v>6</v>
      </c>
      <c r="M828" s="2">
        <v>42114</v>
      </c>
      <c r="N828" s="1">
        <v>6</v>
      </c>
      <c r="O828" s="2">
        <v>42114</v>
      </c>
      <c r="P828" s="1">
        <v>2752</v>
      </c>
      <c r="Q828" s="1" t="s">
        <v>302</v>
      </c>
      <c r="R828" s="2">
        <v>42132</v>
      </c>
      <c r="S828" s="1">
        <v>26426</v>
      </c>
      <c r="T828" s="1">
        <v>400</v>
      </c>
      <c r="U828" s="1">
        <v>18595</v>
      </c>
      <c r="V828" s="1" t="s">
        <v>9328</v>
      </c>
      <c r="W828" s="1" t="s">
        <v>304</v>
      </c>
      <c r="Y828" s="1">
        <v>5</v>
      </c>
      <c r="Z828" s="1" t="s">
        <v>370</v>
      </c>
      <c r="AA828" s="1" t="s">
        <v>1834</v>
      </c>
      <c r="AB828" s="1">
        <v>60030</v>
      </c>
      <c r="AE828" s="1" t="s">
        <v>9329</v>
      </c>
      <c r="AF828" s="1">
        <v>1995</v>
      </c>
      <c r="AG828" s="1" t="s">
        <v>204</v>
      </c>
      <c r="AH828" s="1" t="s">
        <v>1837</v>
      </c>
      <c r="AI828" s="1" t="s">
        <v>509</v>
      </c>
      <c r="AJ828" s="1" t="s">
        <v>1061</v>
      </c>
      <c r="AL828" s="1">
        <v>7</v>
      </c>
      <c r="AM828" s="1">
        <v>2</v>
      </c>
      <c r="AN828" s="1">
        <v>2</v>
      </c>
      <c r="AO828" s="1">
        <v>0</v>
      </c>
      <c r="AP828" s="1" t="s">
        <v>667</v>
      </c>
      <c r="AQ828" s="1">
        <v>1</v>
      </c>
      <c r="AR828" s="1" t="s">
        <v>1631</v>
      </c>
      <c r="AS828" s="1" t="s">
        <v>213</v>
      </c>
      <c r="AT828" s="1" t="s">
        <v>375</v>
      </c>
      <c r="AU828" s="1">
        <v>2</v>
      </c>
      <c r="AV828" s="1">
        <v>2</v>
      </c>
      <c r="AW828" s="1" t="s">
        <v>204</v>
      </c>
      <c r="AX828" s="1" t="s">
        <v>212</v>
      </c>
      <c r="AZ828" s="1">
        <v>4502</v>
      </c>
      <c r="BA828" s="1">
        <v>2013</v>
      </c>
      <c r="BE828" s="1">
        <v>0</v>
      </c>
      <c r="BF828" s="1">
        <v>1</v>
      </c>
      <c r="BG828" s="1">
        <v>0</v>
      </c>
      <c r="BL828" s="1">
        <v>204</v>
      </c>
      <c r="BM828" s="1" t="s">
        <v>204</v>
      </c>
      <c r="BN828" s="1" t="s">
        <v>213</v>
      </c>
      <c r="BO828" s="1">
        <v>0</v>
      </c>
      <c r="BP828" s="1" t="s">
        <v>204</v>
      </c>
      <c r="BR828" s="1" t="str">
        <f>"07193060950000"</f>
        <v>07193060950000</v>
      </c>
      <c r="BT828" s="1" t="s">
        <v>9330</v>
      </c>
      <c r="BU828" s="1" t="s">
        <v>1064</v>
      </c>
      <c r="BV828" s="1" t="s">
        <v>1065</v>
      </c>
      <c r="BW828" s="1" t="s">
        <v>1066</v>
      </c>
      <c r="BX828" s="1">
        <v>50</v>
      </c>
      <c r="BY828" s="1">
        <v>50</v>
      </c>
      <c r="BZ828" s="1">
        <v>121</v>
      </c>
      <c r="CB828" s="1" t="str">
        <f t="shared" ref="CB828:CC828" si="644">""</f>
        <v/>
      </c>
      <c r="CC828" s="1" t="str">
        <f t="shared" si="644"/>
        <v/>
      </c>
      <c r="CG828" s="1" t="s">
        <v>315</v>
      </c>
      <c r="CH828" s="1" t="s">
        <v>219</v>
      </c>
      <c r="CI828" s="1" t="s">
        <v>438</v>
      </c>
      <c r="CJ828" s="1" t="s">
        <v>1199</v>
      </c>
      <c r="CK828" s="1" t="s">
        <v>757</v>
      </c>
      <c r="CL828" s="1" t="s">
        <v>219</v>
      </c>
      <c r="CM828" s="1" t="s">
        <v>438</v>
      </c>
      <c r="CN828" s="1" t="s">
        <v>1199</v>
      </c>
      <c r="CO828" s="1" t="s">
        <v>3284</v>
      </c>
      <c r="CP828" s="1" t="s">
        <v>219</v>
      </c>
      <c r="CQ828" s="1" t="s">
        <v>438</v>
      </c>
      <c r="CR828" s="1" t="s">
        <v>1199</v>
      </c>
      <c r="CS828" s="1" t="s">
        <v>630</v>
      </c>
      <c r="CT828" s="1" t="s">
        <v>822</v>
      </c>
      <c r="CU828" s="1" t="s">
        <v>220</v>
      </c>
      <c r="CX828" s="1" t="s">
        <v>224</v>
      </c>
      <c r="DB828" s="1" t="s">
        <v>224</v>
      </c>
      <c r="DE828" s="1" t="s">
        <v>1297</v>
      </c>
      <c r="DF828" s="1" t="s">
        <v>219</v>
      </c>
      <c r="DG828" s="1" t="s">
        <v>226</v>
      </c>
      <c r="DH828" s="1" t="s">
        <v>210</v>
      </c>
      <c r="DI828" s="1" t="s">
        <v>729</v>
      </c>
      <c r="DJ828" s="1" t="s">
        <v>822</v>
      </c>
      <c r="DK828" s="1" t="s">
        <v>220</v>
      </c>
      <c r="DM828" s="1" t="s">
        <v>3592</v>
      </c>
      <c r="DR828" s="1" t="s">
        <v>318</v>
      </c>
      <c r="DS828" s="1" t="s">
        <v>219</v>
      </c>
      <c r="DW828" s="1" t="s">
        <v>230</v>
      </c>
      <c r="EA828" s="1" t="s">
        <v>230</v>
      </c>
      <c r="EE828" s="1" t="s">
        <v>230</v>
      </c>
      <c r="EI828" s="1" t="s">
        <v>230</v>
      </c>
      <c r="EL828" s="1" t="s">
        <v>670</v>
      </c>
      <c r="EM828" s="1" t="s">
        <v>319</v>
      </c>
      <c r="EN828" s="1" t="s">
        <v>282</v>
      </c>
      <c r="EO828" s="1" t="s">
        <v>234</v>
      </c>
      <c r="EP828" s="1" t="s">
        <v>210</v>
      </c>
      <c r="EQ828" s="1" t="s">
        <v>468</v>
      </c>
      <c r="ER828" s="1" t="s">
        <v>8320</v>
      </c>
      <c r="ES828" s="1" t="s">
        <v>824</v>
      </c>
      <c r="ET828" s="1" t="s">
        <v>1161</v>
      </c>
      <c r="EU828" s="1" t="s">
        <v>1573</v>
      </c>
      <c r="EV828" s="1" t="s">
        <v>240</v>
      </c>
      <c r="EW828" s="1" t="s">
        <v>1372</v>
      </c>
      <c r="EZ828" s="1" t="s">
        <v>3592</v>
      </c>
      <c r="FD828" s="1" t="s">
        <v>246</v>
      </c>
      <c r="FE828" s="1" t="s">
        <v>1031</v>
      </c>
      <c r="FF828" s="1" t="s">
        <v>248</v>
      </c>
      <c r="FH828" s="1" t="s">
        <v>550</v>
      </c>
      <c r="FI828" s="1" t="s">
        <v>473</v>
      </c>
      <c r="FK828" s="1" t="s">
        <v>2076</v>
      </c>
      <c r="FL828" s="1" t="s">
        <v>358</v>
      </c>
      <c r="FM828" s="1" t="s">
        <v>252</v>
      </c>
      <c r="FN828" s="1" t="s">
        <v>213</v>
      </c>
      <c r="FO828" s="1" t="s">
        <v>213</v>
      </c>
      <c r="FQ828" s="1" t="s">
        <v>913</v>
      </c>
      <c r="FR828" s="1" t="s">
        <v>210</v>
      </c>
      <c r="FS828" s="1" t="s">
        <v>9331</v>
      </c>
      <c r="FT828" s="1" t="s">
        <v>362</v>
      </c>
      <c r="FU828" s="1" t="s">
        <v>204</v>
      </c>
      <c r="FW828" s="1" t="s">
        <v>915</v>
      </c>
      <c r="FX828" s="1">
        <v>25200</v>
      </c>
      <c r="FY828" s="1" t="s">
        <v>6011</v>
      </c>
      <c r="FZ828" s="1" t="s">
        <v>9332</v>
      </c>
      <c r="GA828" s="1">
        <v>242907</v>
      </c>
      <c r="GE828" s="1" t="s">
        <v>480</v>
      </c>
      <c r="GI828" s="1" t="s">
        <v>213</v>
      </c>
      <c r="GJ828" s="1" t="s">
        <v>260</v>
      </c>
      <c r="GK828" s="1" t="s">
        <v>210</v>
      </c>
      <c r="GL828" s="2">
        <v>42137</v>
      </c>
    </row>
    <row r="829" spans="1:195">
      <c r="A829" s="1">
        <v>175000</v>
      </c>
      <c r="B829" s="1" t="s">
        <v>195</v>
      </c>
      <c r="C829" s="1" t="str">
        <f>"08902728"</f>
        <v>08902728</v>
      </c>
      <c r="D829" s="1" t="s">
        <v>196</v>
      </c>
      <c r="F829" s="1" t="str">
        <f>"555"</f>
        <v>555</v>
      </c>
      <c r="G829" s="2">
        <v>42120</v>
      </c>
      <c r="H829" s="1">
        <v>179500</v>
      </c>
      <c r="I829" s="1">
        <v>179500</v>
      </c>
      <c r="J829" s="1">
        <v>175000</v>
      </c>
      <c r="K829" s="2">
        <v>42119</v>
      </c>
      <c r="L829" s="1">
        <v>5</v>
      </c>
      <c r="M829" s="2">
        <v>42123</v>
      </c>
      <c r="N829" s="1">
        <v>5</v>
      </c>
      <c r="O829" s="2">
        <v>42123</v>
      </c>
      <c r="P829" s="1">
        <v>23163</v>
      </c>
      <c r="Q829" s="1" t="s">
        <v>302</v>
      </c>
      <c r="R829" s="2">
        <v>42145</v>
      </c>
      <c r="S829" s="1">
        <v>215425</v>
      </c>
      <c r="U829" s="1" t="s">
        <v>9333</v>
      </c>
      <c r="V829" s="1" t="s">
        <v>9334</v>
      </c>
      <c r="W829" s="1" t="s">
        <v>304</v>
      </c>
      <c r="X829" s="1" t="s">
        <v>9333</v>
      </c>
      <c r="Y829" s="1">
        <v>4</v>
      </c>
      <c r="Z829" s="1" t="s">
        <v>249</v>
      </c>
      <c r="AA829" s="1" t="s">
        <v>984</v>
      </c>
      <c r="AB829" s="1">
        <v>60555</v>
      </c>
      <c r="AD829" s="1" t="s">
        <v>1670</v>
      </c>
      <c r="AE829" s="1" t="s">
        <v>9335</v>
      </c>
      <c r="AF829" s="1">
        <v>1991</v>
      </c>
      <c r="AG829" s="1" t="s">
        <v>204</v>
      </c>
      <c r="AH829" s="1" t="s">
        <v>986</v>
      </c>
      <c r="AI829" s="1" t="s">
        <v>206</v>
      </c>
      <c r="AJ829" s="1" t="s">
        <v>987</v>
      </c>
      <c r="AL829" s="1">
        <v>7</v>
      </c>
      <c r="AM829" s="1">
        <v>2</v>
      </c>
      <c r="AN829" s="1">
        <v>2</v>
      </c>
      <c r="AO829" s="1">
        <v>0</v>
      </c>
      <c r="AP829" s="1" t="s">
        <v>209</v>
      </c>
      <c r="AQ829" s="1">
        <v>1</v>
      </c>
      <c r="AR829" s="1" t="s">
        <v>210</v>
      </c>
      <c r="AS829" s="1" t="s">
        <v>204</v>
      </c>
      <c r="AT829" s="1" t="s">
        <v>211</v>
      </c>
      <c r="AU829" s="1">
        <v>2.5</v>
      </c>
      <c r="AW829" s="1" t="s">
        <v>204</v>
      </c>
      <c r="AX829" s="1" t="s">
        <v>212</v>
      </c>
      <c r="AZ829" s="1">
        <v>4875</v>
      </c>
      <c r="BA829" s="1">
        <v>2013</v>
      </c>
      <c r="BB829" s="1" t="s">
        <v>405</v>
      </c>
      <c r="BE829" s="1">
        <v>1318</v>
      </c>
      <c r="BF829" s="1">
        <v>1</v>
      </c>
      <c r="BG829" s="1">
        <v>30</v>
      </c>
      <c r="BL829" s="1">
        <v>252</v>
      </c>
      <c r="BM829" s="1" t="s">
        <v>413</v>
      </c>
      <c r="BN829" s="1" t="s">
        <v>213</v>
      </c>
      <c r="BO829" s="1">
        <v>999</v>
      </c>
      <c r="BP829" s="1" t="s">
        <v>204</v>
      </c>
      <c r="BR829" s="1" t="str">
        <f>"0421418052"</f>
        <v>0421418052</v>
      </c>
      <c r="BT829" s="1" t="s">
        <v>9336</v>
      </c>
      <c r="BU829" s="1" t="s">
        <v>1673</v>
      </c>
      <c r="BV829" s="1" t="s">
        <v>1674</v>
      </c>
      <c r="BW829" s="1" t="s">
        <v>1675</v>
      </c>
      <c r="BX829" s="1">
        <v>33</v>
      </c>
      <c r="BY829" s="1">
        <v>33</v>
      </c>
      <c r="BZ829" s="1">
        <v>94</v>
      </c>
      <c r="CB829" s="1" t="str">
        <f t="shared" ref="CB829:CC829" si="645">""</f>
        <v/>
      </c>
      <c r="CC829" s="1" t="str">
        <f t="shared" si="645"/>
        <v/>
      </c>
      <c r="CG829" s="1" t="s">
        <v>228</v>
      </c>
      <c r="CH829" s="1" t="s">
        <v>219</v>
      </c>
      <c r="CI829" s="1" t="s">
        <v>220</v>
      </c>
      <c r="CJ829" s="1" t="s">
        <v>439</v>
      </c>
      <c r="CK829" s="1" t="s">
        <v>344</v>
      </c>
      <c r="CL829" s="1" t="s">
        <v>219</v>
      </c>
      <c r="CM829" s="1" t="s">
        <v>220</v>
      </c>
      <c r="CN829" s="1" t="s">
        <v>3590</v>
      </c>
      <c r="CO829" s="1" t="s">
        <v>3083</v>
      </c>
      <c r="CP829" s="1" t="s">
        <v>219</v>
      </c>
      <c r="CQ829" s="1" t="s">
        <v>2043</v>
      </c>
      <c r="CR829" s="1" t="s">
        <v>439</v>
      </c>
      <c r="CS829" s="1" t="s">
        <v>318</v>
      </c>
      <c r="CT829" s="1" t="s">
        <v>219</v>
      </c>
      <c r="CU829" s="1" t="s">
        <v>220</v>
      </c>
      <c r="CV829" s="1" t="s">
        <v>343</v>
      </c>
      <c r="CX829" s="1" t="s">
        <v>224</v>
      </c>
      <c r="DB829" s="1" t="s">
        <v>224</v>
      </c>
      <c r="DE829" s="1" t="s">
        <v>972</v>
      </c>
      <c r="DF829" s="1" t="s">
        <v>219</v>
      </c>
      <c r="DG829" s="1" t="s">
        <v>342</v>
      </c>
      <c r="DH829" s="1" t="s">
        <v>210</v>
      </c>
      <c r="DJ829" s="1" t="s">
        <v>224</v>
      </c>
      <c r="DM829" s="1" t="s">
        <v>381</v>
      </c>
      <c r="DN829" s="1" t="s">
        <v>1005</v>
      </c>
      <c r="DR829" s="1" t="s">
        <v>1855</v>
      </c>
      <c r="DS829" s="1" t="s">
        <v>219</v>
      </c>
      <c r="DT829" s="1" t="s">
        <v>342</v>
      </c>
      <c r="DU829" s="1" t="s">
        <v>439</v>
      </c>
      <c r="DV829" s="1" t="s">
        <v>281</v>
      </c>
      <c r="DW829" s="1" t="s">
        <v>219</v>
      </c>
      <c r="DX829" s="1" t="s">
        <v>220</v>
      </c>
      <c r="DY829" s="1" t="s">
        <v>343</v>
      </c>
      <c r="EA829" s="1" t="s">
        <v>230</v>
      </c>
      <c r="EE829" s="1" t="s">
        <v>230</v>
      </c>
      <c r="EI829" s="1" t="s">
        <v>230</v>
      </c>
      <c r="EL829" s="1" t="s">
        <v>382</v>
      </c>
      <c r="EM829" s="1" t="s">
        <v>319</v>
      </c>
      <c r="EN829" s="1" t="s">
        <v>282</v>
      </c>
      <c r="EO829" s="1" t="s">
        <v>840</v>
      </c>
      <c r="EP829" s="1" t="s">
        <v>8505</v>
      </c>
      <c r="EQ829" s="1" t="s">
        <v>3931</v>
      </c>
      <c r="ER829" s="1" t="s">
        <v>210</v>
      </c>
      <c r="EU829" s="1" t="s">
        <v>1894</v>
      </c>
      <c r="EV829" s="1" t="s">
        <v>240</v>
      </c>
      <c r="EW829" s="1" t="s">
        <v>2205</v>
      </c>
      <c r="EY829" s="1" t="s">
        <v>242</v>
      </c>
      <c r="EZ829" s="1" t="s">
        <v>6008</v>
      </c>
      <c r="FA829" s="1" t="s">
        <v>9337</v>
      </c>
      <c r="FB829" s="1" t="s">
        <v>289</v>
      </c>
      <c r="FD829" s="1" t="s">
        <v>246</v>
      </c>
      <c r="FE829" s="1" t="s">
        <v>651</v>
      </c>
      <c r="FF829" s="1" t="s">
        <v>248</v>
      </c>
      <c r="FG829" s="1" t="s">
        <v>715</v>
      </c>
      <c r="FH829" s="1" t="s">
        <v>1316</v>
      </c>
      <c r="FI829" s="1" t="s">
        <v>473</v>
      </c>
      <c r="FJ829" s="1" t="s">
        <v>197</v>
      </c>
      <c r="FL829" s="1" t="s">
        <v>358</v>
      </c>
      <c r="FM829" s="1" t="s">
        <v>252</v>
      </c>
      <c r="FN829" s="1" t="s">
        <v>213</v>
      </c>
      <c r="FO829" s="1" t="s">
        <v>213</v>
      </c>
      <c r="FQ829" s="1" t="s">
        <v>9338</v>
      </c>
      <c r="FR829" s="1" t="s">
        <v>210</v>
      </c>
      <c r="FS829" s="1" t="s">
        <v>3061</v>
      </c>
      <c r="FT829" s="1" t="s">
        <v>9339</v>
      </c>
      <c r="FU829" s="1" t="s">
        <v>204</v>
      </c>
      <c r="FW829" s="1" t="s">
        <v>5440</v>
      </c>
      <c r="FX829" s="1">
        <v>23534</v>
      </c>
      <c r="FY829" s="1" t="s">
        <v>9340</v>
      </c>
      <c r="FZ829" s="1" t="s">
        <v>9341</v>
      </c>
      <c r="GA829" s="1">
        <v>256966</v>
      </c>
      <c r="GB829" s="1" t="s">
        <v>9342</v>
      </c>
      <c r="GE829" s="1" t="s">
        <v>335</v>
      </c>
      <c r="GI829" s="1" t="s">
        <v>204</v>
      </c>
      <c r="GJ829" s="1" t="s">
        <v>260</v>
      </c>
      <c r="GK829" s="1" t="s">
        <v>210</v>
      </c>
      <c r="GL829" s="2">
        <v>42146</v>
      </c>
      <c r="GM829" s="1" t="s">
        <v>9343</v>
      </c>
    </row>
    <row r="830" spans="1:195">
      <c r="A830" s="1">
        <v>59900</v>
      </c>
      <c r="B830" s="1" t="s">
        <v>195</v>
      </c>
      <c r="C830" s="1" t="str">
        <f>"08904639"</f>
        <v>08904639</v>
      </c>
      <c r="D830" s="1" t="s">
        <v>196</v>
      </c>
      <c r="F830" s="1" t="str">
        <f>"8056"</f>
        <v>8056</v>
      </c>
      <c r="G830" s="2">
        <v>42122</v>
      </c>
      <c r="H830" s="1">
        <v>59900</v>
      </c>
      <c r="I830" s="1">
        <v>59900</v>
      </c>
      <c r="J830" s="1">
        <v>59900</v>
      </c>
      <c r="K830" s="2">
        <v>42122</v>
      </c>
      <c r="L830" s="1">
        <v>7</v>
      </c>
      <c r="M830" s="2">
        <v>42128</v>
      </c>
      <c r="N830" s="1">
        <v>7</v>
      </c>
      <c r="O830" s="2">
        <v>42128</v>
      </c>
      <c r="P830" s="1">
        <v>14856</v>
      </c>
      <c r="Q830" s="1" t="s">
        <v>302</v>
      </c>
      <c r="R830" s="2">
        <v>42139</v>
      </c>
      <c r="S830" s="1">
        <v>160201</v>
      </c>
      <c r="U830" s="1">
        <v>5850</v>
      </c>
      <c r="V830" s="1" t="s">
        <v>5725</v>
      </c>
      <c r="W830" s="1" t="s">
        <v>725</v>
      </c>
      <c r="X830" s="1" t="s">
        <v>9344</v>
      </c>
      <c r="Y830" s="1">
        <v>30</v>
      </c>
      <c r="Z830" s="1" t="s">
        <v>249</v>
      </c>
      <c r="AA830" s="1" t="s">
        <v>400</v>
      </c>
      <c r="AB830" s="1">
        <v>60638</v>
      </c>
      <c r="AE830" s="1" t="s">
        <v>9345</v>
      </c>
      <c r="AF830" s="1">
        <v>1973</v>
      </c>
      <c r="AG830" s="1" t="s">
        <v>213</v>
      </c>
      <c r="AH830" s="1" t="s">
        <v>403</v>
      </c>
      <c r="AI830" s="1" t="s">
        <v>310</v>
      </c>
      <c r="AJ830" s="1" t="s">
        <v>683</v>
      </c>
      <c r="AL830" s="1">
        <v>5</v>
      </c>
      <c r="AM830" s="1">
        <v>2</v>
      </c>
      <c r="AN830" s="1">
        <v>1</v>
      </c>
      <c r="AO830" s="1">
        <v>0</v>
      </c>
      <c r="AP830" s="1" t="s">
        <v>210</v>
      </c>
      <c r="AR830" s="1" t="s">
        <v>210</v>
      </c>
      <c r="AS830" s="1" t="s">
        <v>204</v>
      </c>
      <c r="AT830" s="1" t="s">
        <v>271</v>
      </c>
      <c r="AV830" s="1">
        <v>1</v>
      </c>
      <c r="AW830" s="1" t="s">
        <v>204</v>
      </c>
      <c r="AX830" s="1" t="s">
        <v>212</v>
      </c>
      <c r="AZ830" s="1">
        <v>1354.72</v>
      </c>
      <c r="BA830" s="1">
        <v>2013</v>
      </c>
      <c r="BE830" s="1">
        <v>850</v>
      </c>
      <c r="BF830" s="1">
        <v>1</v>
      </c>
      <c r="BG830" s="1">
        <v>0</v>
      </c>
      <c r="BL830" s="1">
        <v>134</v>
      </c>
      <c r="BM830" s="1" t="s">
        <v>204</v>
      </c>
      <c r="BN830" s="1" t="s">
        <v>213</v>
      </c>
      <c r="BO830" s="1">
        <v>50</v>
      </c>
      <c r="BP830" s="1" t="s">
        <v>204</v>
      </c>
      <c r="BR830" s="1" t="str">
        <f>"19084241391009"</f>
        <v>19084241391009</v>
      </c>
      <c r="BT830" s="1" t="s">
        <v>4851</v>
      </c>
      <c r="BX830" s="1">
        <v>299</v>
      </c>
      <c r="BY830" s="1">
        <v>299</v>
      </c>
      <c r="BZ830" s="1">
        <v>299</v>
      </c>
      <c r="CB830" s="1" t="str">
        <f t="shared" ref="CB830:CC830" si="646">"0"</f>
        <v>0</v>
      </c>
      <c r="CC830" s="1" t="str">
        <f t="shared" si="646"/>
        <v>0</v>
      </c>
      <c r="CD830" s="1">
        <v>5850</v>
      </c>
      <c r="CE830" s="1">
        <v>5500</v>
      </c>
      <c r="CG830" s="1" t="s">
        <v>4554</v>
      </c>
      <c r="CH830" s="1" t="s">
        <v>219</v>
      </c>
      <c r="CK830" s="1" t="s">
        <v>836</v>
      </c>
      <c r="CL830" s="1" t="s">
        <v>219</v>
      </c>
      <c r="CO830" s="1" t="s">
        <v>4148</v>
      </c>
      <c r="CP830" s="1" t="s">
        <v>219</v>
      </c>
      <c r="CS830" s="1" t="s">
        <v>318</v>
      </c>
      <c r="CT830" s="1" t="s">
        <v>219</v>
      </c>
      <c r="CX830" s="1" t="s">
        <v>224</v>
      </c>
      <c r="DB830" s="1" t="s">
        <v>224</v>
      </c>
      <c r="DE830" s="1" t="s">
        <v>7466</v>
      </c>
      <c r="DF830" s="1" t="s">
        <v>219</v>
      </c>
      <c r="DJ830" s="1" t="s">
        <v>224</v>
      </c>
      <c r="DS830" s="1" t="s">
        <v>230</v>
      </c>
      <c r="DW830" s="1" t="s">
        <v>230</v>
      </c>
      <c r="EA830" s="1" t="s">
        <v>230</v>
      </c>
      <c r="EE830" s="1" t="s">
        <v>230</v>
      </c>
      <c r="EI830" s="1" t="s">
        <v>230</v>
      </c>
      <c r="EL830" s="1" t="s">
        <v>605</v>
      </c>
      <c r="EM830" s="1" t="s">
        <v>319</v>
      </c>
      <c r="EN830" s="1" t="s">
        <v>731</v>
      </c>
      <c r="EO830" s="1" t="s">
        <v>234</v>
      </c>
      <c r="ER830" s="1" t="s">
        <v>383</v>
      </c>
      <c r="EW830" s="1" t="s">
        <v>9346</v>
      </c>
      <c r="EZ830" s="1" t="s">
        <v>287</v>
      </c>
      <c r="FD830" s="1" t="s">
        <v>385</v>
      </c>
      <c r="FE830" s="1" t="s">
        <v>247</v>
      </c>
      <c r="FF830" s="1" t="s">
        <v>248</v>
      </c>
      <c r="FH830" s="1" t="s">
        <v>249</v>
      </c>
      <c r="FL830" s="1" t="s">
        <v>414</v>
      </c>
      <c r="FM830" s="1" t="s">
        <v>252</v>
      </c>
      <c r="FN830" s="1" t="s">
        <v>213</v>
      </c>
      <c r="FO830" s="1" t="s">
        <v>213</v>
      </c>
      <c r="FQ830" s="1" t="s">
        <v>9347</v>
      </c>
      <c r="FR830" s="1" t="s">
        <v>210</v>
      </c>
      <c r="FS830" s="1" t="s">
        <v>9348</v>
      </c>
      <c r="FT830" s="1" t="s">
        <v>4855</v>
      </c>
      <c r="FU830" s="1" t="s">
        <v>204</v>
      </c>
      <c r="FW830" s="1" t="s">
        <v>4856</v>
      </c>
      <c r="FX830" s="1">
        <v>84818</v>
      </c>
      <c r="FY830" s="1" t="s">
        <v>4857</v>
      </c>
      <c r="FZ830" s="1" t="s">
        <v>4858</v>
      </c>
      <c r="GA830" s="1">
        <v>110478</v>
      </c>
      <c r="GB830" s="1" t="s">
        <v>4857</v>
      </c>
      <c r="GE830" s="1" t="s">
        <v>210</v>
      </c>
      <c r="GH830" s="1" t="s">
        <v>589</v>
      </c>
      <c r="GI830" s="1" t="s">
        <v>213</v>
      </c>
      <c r="GJ830" s="1" t="s">
        <v>260</v>
      </c>
      <c r="GK830" s="1" t="s">
        <v>210</v>
      </c>
      <c r="GL830" s="2">
        <v>42139</v>
      </c>
      <c r="GM830" s="1" t="s">
        <v>9349</v>
      </c>
    </row>
    <row r="831" spans="1:195">
      <c r="A831" s="1">
        <v>120000</v>
      </c>
      <c r="B831" s="1" t="s">
        <v>195</v>
      </c>
      <c r="C831" s="1" t="str">
        <f>"08900483"</f>
        <v>08900483</v>
      </c>
      <c r="D831" s="1" t="s">
        <v>196</v>
      </c>
      <c r="F831" s="1" t="str">
        <f>"61"</f>
        <v>61</v>
      </c>
      <c r="G831" s="2">
        <v>42117</v>
      </c>
      <c r="H831" s="1">
        <v>124900</v>
      </c>
      <c r="I831" s="1">
        <v>124900</v>
      </c>
      <c r="J831" s="1">
        <v>120000</v>
      </c>
      <c r="K831" s="2">
        <v>42117</v>
      </c>
      <c r="L831" s="1">
        <v>20</v>
      </c>
      <c r="M831" s="2">
        <v>42136</v>
      </c>
      <c r="N831" s="1">
        <v>20</v>
      </c>
      <c r="O831" s="2">
        <v>42136</v>
      </c>
      <c r="P831" s="1">
        <v>4997</v>
      </c>
      <c r="Q831" s="1" t="s">
        <v>302</v>
      </c>
      <c r="R831" s="2">
        <v>42142</v>
      </c>
      <c r="S831" s="1">
        <v>30457</v>
      </c>
      <c r="U831" s="1">
        <v>5</v>
      </c>
      <c r="V831" s="1" t="s">
        <v>9350</v>
      </c>
      <c r="W831" s="1" t="s">
        <v>304</v>
      </c>
      <c r="X831" s="1">
        <v>8</v>
      </c>
      <c r="Y831" s="1">
        <v>8</v>
      </c>
      <c r="Z831" s="1" t="s">
        <v>249</v>
      </c>
      <c r="AA831" s="1" t="s">
        <v>505</v>
      </c>
      <c r="AB831" s="1">
        <v>60061</v>
      </c>
      <c r="AD831" s="1" t="s">
        <v>9351</v>
      </c>
      <c r="AE831" s="1" t="s">
        <v>9352</v>
      </c>
      <c r="AF831" s="1">
        <v>1979</v>
      </c>
      <c r="AG831" s="1" t="s">
        <v>204</v>
      </c>
      <c r="AH831" s="1" t="s">
        <v>508</v>
      </c>
      <c r="AI831" s="1" t="s">
        <v>509</v>
      </c>
      <c r="AJ831" s="1" t="s">
        <v>1693</v>
      </c>
      <c r="AL831" s="1">
        <v>5</v>
      </c>
      <c r="AM831" s="1">
        <v>2</v>
      </c>
      <c r="AN831" s="1">
        <v>1</v>
      </c>
      <c r="AO831" s="1">
        <v>1</v>
      </c>
      <c r="AP831" s="1" t="s">
        <v>209</v>
      </c>
      <c r="AQ831" s="1">
        <v>0</v>
      </c>
      <c r="AR831" s="1" t="s">
        <v>210</v>
      </c>
      <c r="AS831" s="1" t="s">
        <v>204</v>
      </c>
      <c r="AT831" s="1" t="s">
        <v>271</v>
      </c>
      <c r="AV831" s="1">
        <v>2</v>
      </c>
      <c r="AW831" s="1" t="s">
        <v>213</v>
      </c>
      <c r="AX831" s="1" t="s">
        <v>579</v>
      </c>
      <c r="AZ831" s="5">
        <v>1676.49</v>
      </c>
      <c r="BA831" s="1">
        <v>2014</v>
      </c>
      <c r="BB831" s="1" t="s">
        <v>405</v>
      </c>
      <c r="BE831" s="1">
        <v>948</v>
      </c>
      <c r="BF831" s="1">
        <v>2</v>
      </c>
      <c r="BG831" s="1">
        <v>0</v>
      </c>
      <c r="BL831" s="1">
        <v>275</v>
      </c>
      <c r="BM831" s="1" t="s">
        <v>204</v>
      </c>
      <c r="BN831" s="1" t="s">
        <v>213</v>
      </c>
      <c r="BO831" s="1">
        <v>999</v>
      </c>
      <c r="BP831" s="1" t="s">
        <v>204</v>
      </c>
      <c r="BR831" s="1" t="str">
        <f>"11322051390000"</f>
        <v>11322051390000</v>
      </c>
      <c r="BT831" s="1" t="s">
        <v>9353</v>
      </c>
      <c r="BX831" s="1">
        <v>73</v>
      </c>
      <c r="BY831" s="1">
        <v>73</v>
      </c>
      <c r="BZ831" s="1">
        <v>128</v>
      </c>
      <c r="CB831" s="1" t="str">
        <f t="shared" ref="CB831:CC831" si="647">""</f>
        <v/>
      </c>
      <c r="CC831" s="1" t="str">
        <f t="shared" si="647"/>
        <v/>
      </c>
      <c r="CG831" s="1" t="s">
        <v>1615</v>
      </c>
      <c r="CH831" s="1" t="s">
        <v>219</v>
      </c>
      <c r="CI831" s="1" t="s">
        <v>229</v>
      </c>
      <c r="CK831" s="1" t="s">
        <v>539</v>
      </c>
      <c r="CL831" s="1" t="s">
        <v>219</v>
      </c>
      <c r="CM831" s="1" t="s">
        <v>229</v>
      </c>
      <c r="CO831" s="1" t="s">
        <v>629</v>
      </c>
      <c r="CP831" s="1" t="s">
        <v>219</v>
      </c>
      <c r="CQ831" s="1" t="s">
        <v>229</v>
      </c>
      <c r="CS831" s="1" t="s">
        <v>821</v>
      </c>
      <c r="CT831" s="1" t="s">
        <v>277</v>
      </c>
      <c r="CU831" s="1" t="s">
        <v>229</v>
      </c>
      <c r="CX831" s="1" t="s">
        <v>224</v>
      </c>
      <c r="DB831" s="1" t="s">
        <v>224</v>
      </c>
      <c r="DE831" s="1" t="s">
        <v>346</v>
      </c>
      <c r="DF831" s="1" t="s">
        <v>219</v>
      </c>
      <c r="DG831" s="1" t="s">
        <v>342</v>
      </c>
      <c r="DJ831" s="1" t="s">
        <v>224</v>
      </c>
      <c r="DM831" s="1" t="s">
        <v>838</v>
      </c>
      <c r="DR831" s="1" t="s">
        <v>9354</v>
      </c>
      <c r="DS831" s="1" t="s">
        <v>219</v>
      </c>
      <c r="DW831" s="1" t="s">
        <v>230</v>
      </c>
      <c r="EA831" s="1" t="s">
        <v>230</v>
      </c>
      <c r="EE831" s="1" t="s">
        <v>230</v>
      </c>
      <c r="EI831" s="1" t="s">
        <v>230</v>
      </c>
      <c r="EL831" s="1" t="s">
        <v>231</v>
      </c>
      <c r="EM831" s="1" t="s">
        <v>319</v>
      </c>
      <c r="EN831" s="1" t="s">
        <v>1158</v>
      </c>
      <c r="EO831" s="1" t="s">
        <v>234</v>
      </c>
      <c r="EP831" s="1" t="s">
        <v>9355</v>
      </c>
      <c r="EQ831" s="1" t="s">
        <v>468</v>
      </c>
      <c r="ER831" s="1" t="s">
        <v>210</v>
      </c>
      <c r="ES831" s="1" t="s">
        <v>322</v>
      </c>
      <c r="EU831" s="1" t="s">
        <v>7985</v>
      </c>
      <c r="EV831" s="1" t="s">
        <v>240</v>
      </c>
      <c r="EW831" s="1" t="s">
        <v>9356</v>
      </c>
      <c r="EZ831" s="1" t="s">
        <v>838</v>
      </c>
      <c r="FA831" s="1" t="s">
        <v>471</v>
      </c>
      <c r="FD831" s="1" t="s">
        <v>246</v>
      </c>
      <c r="FE831" s="1" t="s">
        <v>975</v>
      </c>
      <c r="FF831" s="1" t="s">
        <v>248</v>
      </c>
      <c r="FH831" s="1" t="s">
        <v>249</v>
      </c>
      <c r="FK831" s="1" t="s">
        <v>891</v>
      </c>
      <c r="FL831" s="1" t="s">
        <v>328</v>
      </c>
      <c r="FM831" s="1" t="s">
        <v>252</v>
      </c>
      <c r="FN831" s="1" t="s">
        <v>213</v>
      </c>
      <c r="FO831" s="1" t="s">
        <v>213</v>
      </c>
      <c r="FQ831" s="1" t="s">
        <v>9357</v>
      </c>
      <c r="FR831" s="1" t="s">
        <v>210</v>
      </c>
      <c r="FS831" s="1" t="s">
        <v>9358</v>
      </c>
      <c r="FT831" s="1" t="s">
        <v>295</v>
      </c>
      <c r="FU831" s="1" t="s">
        <v>204</v>
      </c>
      <c r="FW831" s="1" t="s">
        <v>9359</v>
      </c>
      <c r="FX831" s="1">
        <v>8651</v>
      </c>
      <c r="FY831" s="1" t="s">
        <v>9360</v>
      </c>
      <c r="FZ831" s="1" t="s">
        <v>9361</v>
      </c>
      <c r="GA831" s="1">
        <v>89431</v>
      </c>
      <c r="GB831" s="1" t="s">
        <v>9360</v>
      </c>
      <c r="GD831" s="1" t="s">
        <v>9362</v>
      </c>
      <c r="GE831" s="1" t="s">
        <v>210</v>
      </c>
      <c r="GI831" s="1" t="s">
        <v>213</v>
      </c>
      <c r="GJ831" s="1" t="s">
        <v>260</v>
      </c>
      <c r="GK831" s="1" t="s">
        <v>210</v>
      </c>
      <c r="GL831" s="2">
        <v>42142</v>
      </c>
    </row>
    <row r="832" spans="1:195">
      <c r="A832" s="1">
        <v>75000</v>
      </c>
      <c r="B832" s="1" t="s">
        <v>195</v>
      </c>
      <c r="C832" s="1" t="str">
        <f>"08920822"</f>
        <v>08920822</v>
      </c>
      <c r="D832" s="1" t="s">
        <v>196</v>
      </c>
      <c r="F832" s="1" t="str">
        <f>"515"</f>
        <v>515</v>
      </c>
      <c r="G832" s="2">
        <v>42137</v>
      </c>
      <c r="H832" s="1">
        <v>77900</v>
      </c>
      <c r="I832" s="1">
        <v>77900</v>
      </c>
      <c r="J832" s="1">
        <v>75000</v>
      </c>
      <c r="K832" s="2">
        <v>42137</v>
      </c>
      <c r="L832" s="1">
        <v>1</v>
      </c>
      <c r="M832" s="2">
        <v>42137</v>
      </c>
      <c r="N832" s="1">
        <v>1</v>
      </c>
      <c r="O832" s="2">
        <v>42137</v>
      </c>
      <c r="P832" s="1">
        <v>20001</v>
      </c>
      <c r="Q832" s="1" t="s">
        <v>302</v>
      </c>
      <c r="R832" s="2">
        <v>42145</v>
      </c>
      <c r="S832" s="1">
        <v>223770</v>
      </c>
      <c r="U832" s="1">
        <v>4220</v>
      </c>
      <c r="V832" s="1" t="s">
        <v>5751</v>
      </c>
      <c r="W832" s="1" t="s">
        <v>425</v>
      </c>
      <c r="X832" s="1" t="s">
        <v>9363</v>
      </c>
      <c r="Y832" s="1">
        <v>51</v>
      </c>
      <c r="Z832" s="1" t="s">
        <v>249</v>
      </c>
      <c r="AA832" s="1" t="s">
        <v>1294</v>
      </c>
      <c r="AB832" s="1">
        <v>60515</v>
      </c>
      <c r="AE832" s="1" t="s">
        <v>9364</v>
      </c>
      <c r="AF832" s="1">
        <v>1968</v>
      </c>
      <c r="AG832" s="1" t="s">
        <v>213</v>
      </c>
      <c r="AH832" s="1" t="s">
        <v>903</v>
      </c>
      <c r="AI832" s="1" t="s">
        <v>206</v>
      </c>
      <c r="AJ832" s="1" t="s">
        <v>903</v>
      </c>
      <c r="AL832" s="1">
        <v>5</v>
      </c>
      <c r="AM832" s="1">
        <v>2</v>
      </c>
      <c r="AN832" s="1">
        <v>2</v>
      </c>
      <c r="AO832" s="1">
        <v>0</v>
      </c>
      <c r="AP832" s="1" t="s">
        <v>209</v>
      </c>
      <c r="AR832" s="1" t="s">
        <v>1631</v>
      </c>
      <c r="AS832" s="1" t="s">
        <v>204</v>
      </c>
      <c r="AT832" s="1" t="s">
        <v>271</v>
      </c>
      <c r="AV832" s="1">
        <v>1</v>
      </c>
      <c r="AW832" s="1" t="s">
        <v>204</v>
      </c>
      <c r="AX832" s="1" t="s">
        <v>212</v>
      </c>
      <c r="AZ832" s="1">
        <v>760</v>
      </c>
      <c r="BA832" s="1">
        <v>2013</v>
      </c>
      <c r="BB832" s="1" t="s">
        <v>599</v>
      </c>
      <c r="BE832" s="1">
        <v>1250</v>
      </c>
      <c r="BF832" s="1">
        <v>2</v>
      </c>
      <c r="BG832" s="1">
        <v>0</v>
      </c>
      <c r="BL832" s="1">
        <v>400</v>
      </c>
      <c r="BM832" s="1" t="s">
        <v>204</v>
      </c>
      <c r="BN832" s="1" t="s">
        <v>213</v>
      </c>
      <c r="BP832" s="1" t="s">
        <v>204</v>
      </c>
      <c r="BR832" s="1" t="str">
        <f>"0905123265"</f>
        <v>0905123265</v>
      </c>
      <c r="BT832" s="1" t="s">
        <v>9365</v>
      </c>
      <c r="BU832" s="1" t="s">
        <v>5757</v>
      </c>
      <c r="BV832" s="1" t="s">
        <v>2761</v>
      </c>
      <c r="BW832" s="1" t="s">
        <v>2762</v>
      </c>
      <c r="BX832" s="1">
        <v>58</v>
      </c>
      <c r="BY832" s="1">
        <v>58</v>
      </c>
      <c r="BZ832" s="1">
        <v>99</v>
      </c>
      <c r="CB832" s="1" t="str">
        <f t="shared" ref="CB832:CC832" si="648">""</f>
        <v/>
      </c>
      <c r="CC832" s="1" t="str">
        <f t="shared" si="648"/>
        <v/>
      </c>
      <c r="CG832" s="1" t="s">
        <v>2511</v>
      </c>
      <c r="CH832" s="1" t="s">
        <v>277</v>
      </c>
      <c r="CI832" s="1" t="s">
        <v>220</v>
      </c>
      <c r="CK832" s="1" t="s">
        <v>564</v>
      </c>
      <c r="CL832" s="1" t="s">
        <v>277</v>
      </c>
      <c r="CM832" s="1" t="s">
        <v>220</v>
      </c>
      <c r="CO832" s="1" t="s">
        <v>316</v>
      </c>
      <c r="CP832" s="1" t="s">
        <v>277</v>
      </c>
      <c r="CQ832" s="1" t="s">
        <v>220</v>
      </c>
      <c r="CS832" s="1" t="s">
        <v>278</v>
      </c>
      <c r="CT832" s="1" t="s">
        <v>277</v>
      </c>
      <c r="CU832" s="1" t="s">
        <v>220</v>
      </c>
      <c r="CX832" s="1" t="s">
        <v>224</v>
      </c>
      <c r="DB832" s="1" t="s">
        <v>224</v>
      </c>
      <c r="DE832" s="1" t="s">
        <v>465</v>
      </c>
      <c r="DF832" s="1" t="s">
        <v>277</v>
      </c>
      <c r="DG832" s="1" t="s">
        <v>226</v>
      </c>
      <c r="DJ832" s="1" t="s">
        <v>224</v>
      </c>
      <c r="DS832" s="1" t="s">
        <v>230</v>
      </c>
      <c r="DW832" s="1" t="s">
        <v>230</v>
      </c>
      <c r="EA832" s="1" t="s">
        <v>230</v>
      </c>
      <c r="EE832" s="1" t="s">
        <v>230</v>
      </c>
      <c r="EI832" s="1" t="s">
        <v>230</v>
      </c>
      <c r="EL832" s="1" t="s">
        <v>605</v>
      </c>
      <c r="EM832" s="1" t="s">
        <v>232</v>
      </c>
      <c r="EN832" s="1" t="s">
        <v>1158</v>
      </c>
      <c r="EO832" s="1" t="s">
        <v>234</v>
      </c>
      <c r="EQ832" s="1" t="s">
        <v>2994</v>
      </c>
      <c r="ER832" s="1" t="s">
        <v>544</v>
      </c>
      <c r="EV832" s="1" t="s">
        <v>240</v>
      </c>
      <c r="EW832" s="1" t="s">
        <v>9366</v>
      </c>
      <c r="EY832" s="1" t="s">
        <v>242</v>
      </c>
      <c r="EZ832" s="1" t="s">
        <v>287</v>
      </c>
      <c r="FA832" s="1" t="s">
        <v>4439</v>
      </c>
      <c r="FB832" s="1" t="s">
        <v>289</v>
      </c>
      <c r="FD832" s="1" t="s">
        <v>736</v>
      </c>
      <c r="FE832" s="1" t="s">
        <v>247</v>
      </c>
      <c r="FF832" s="1" t="s">
        <v>248</v>
      </c>
      <c r="FH832" s="1" t="s">
        <v>249</v>
      </c>
      <c r="FK832" s="1" t="s">
        <v>891</v>
      </c>
      <c r="FL832" s="1" t="s">
        <v>328</v>
      </c>
      <c r="FM832" s="1" t="s">
        <v>252</v>
      </c>
      <c r="FN832" s="1" t="s">
        <v>213</v>
      </c>
      <c r="FO832" s="1" t="s">
        <v>213</v>
      </c>
      <c r="FQ832" s="1" t="s">
        <v>2417</v>
      </c>
      <c r="FR832" s="1" t="s">
        <v>210</v>
      </c>
      <c r="FS832" s="1" t="s">
        <v>9367</v>
      </c>
      <c r="FT832" s="1" t="s">
        <v>9368</v>
      </c>
      <c r="FU832" s="1" t="s">
        <v>204</v>
      </c>
      <c r="FW832" s="1" t="s">
        <v>585</v>
      </c>
      <c r="FX832" s="1">
        <v>20001</v>
      </c>
      <c r="FY832" s="1" t="s">
        <v>5002</v>
      </c>
      <c r="FZ832" s="1" t="s">
        <v>9369</v>
      </c>
      <c r="GA832" s="1">
        <v>223770</v>
      </c>
      <c r="GB832" s="1" t="s">
        <v>9370</v>
      </c>
      <c r="GE832" s="1" t="s">
        <v>210</v>
      </c>
      <c r="GI832" s="1" t="s">
        <v>213</v>
      </c>
      <c r="GJ832" s="1" t="s">
        <v>260</v>
      </c>
      <c r="GK832" s="1" t="s">
        <v>210</v>
      </c>
      <c r="GL832" s="2">
        <v>42146</v>
      </c>
    </row>
    <row r="833" spans="1:195">
      <c r="A833" s="1">
        <v>89900</v>
      </c>
      <c r="B833" s="1" t="s">
        <v>195</v>
      </c>
      <c r="C833" s="1" t="str">
        <f>"08534427"</f>
        <v>08534427</v>
      </c>
      <c r="D833" s="1" t="s">
        <v>196</v>
      </c>
      <c r="F833" s="1" t="str">
        <f>"187"</f>
        <v>187</v>
      </c>
      <c r="G833" s="2">
        <v>41681</v>
      </c>
      <c r="H833" s="1">
        <v>99900</v>
      </c>
      <c r="I833" s="1">
        <v>89900</v>
      </c>
      <c r="J833" s="1">
        <v>89900</v>
      </c>
      <c r="K833" s="2">
        <v>41680</v>
      </c>
      <c r="L833" s="1">
        <v>261</v>
      </c>
      <c r="M833" s="2">
        <v>41940</v>
      </c>
      <c r="N833" s="1">
        <v>261</v>
      </c>
      <c r="O833" s="2">
        <v>41940</v>
      </c>
      <c r="P833" s="1">
        <v>24587</v>
      </c>
      <c r="Q833" s="1" t="s">
        <v>197</v>
      </c>
      <c r="R833" s="2">
        <v>42024</v>
      </c>
      <c r="S833" s="1">
        <v>242568</v>
      </c>
      <c r="U833" s="1">
        <v>1616</v>
      </c>
      <c r="V833" s="1" t="s">
        <v>9371</v>
      </c>
      <c r="W833" s="1" t="s">
        <v>526</v>
      </c>
      <c r="X833" s="1" t="s">
        <v>483</v>
      </c>
      <c r="Y833" s="1">
        <v>4</v>
      </c>
      <c r="Z833" s="1" t="s">
        <v>370</v>
      </c>
      <c r="AA833" s="1" t="s">
        <v>964</v>
      </c>
      <c r="AB833" s="1">
        <v>60189</v>
      </c>
      <c r="AD833" s="1" t="s">
        <v>2943</v>
      </c>
      <c r="AE833" s="1" t="s">
        <v>9372</v>
      </c>
      <c r="AF833" s="1">
        <v>1978</v>
      </c>
      <c r="AG833" s="1" t="s">
        <v>204</v>
      </c>
      <c r="AH833" s="1" t="s">
        <v>967</v>
      </c>
      <c r="AI833" s="1" t="s">
        <v>206</v>
      </c>
      <c r="AJ833" s="1" t="s">
        <v>207</v>
      </c>
      <c r="AK833" s="1" t="s">
        <v>9373</v>
      </c>
      <c r="AL833" s="1">
        <v>5</v>
      </c>
      <c r="AM833" s="1">
        <v>2</v>
      </c>
      <c r="AN833" s="1">
        <v>1</v>
      </c>
      <c r="AO833" s="1">
        <v>0</v>
      </c>
      <c r="AP833" s="1" t="s">
        <v>455</v>
      </c>
      <c r="AR833" s="1" t="s">
        <v>210</v>
      </c>
      <c r="AT833" s="1" t="s">
        <v>211</v>
      </c>
      <c r="AU833" s="1">
        <v>1</v>
      </c>
      <c r="AW833" s="1" t="s">
        <v>204</v>
      </c>
      <c r="AX833" s="1" t="s">
        <v>212</v>
      </c>
      <c r="AZ833" s="1">
        <v>3155</v>
      </c>
      <c r="BA833" s="1">
        <v>2013</v>
      </c>
      <c r="BE833" s="1">
        <v>1006</v>
      </c>
      <c r="BF833" s="1">
        <v>2</v>
      </c>
      <c r="BG833" s="1">
        <v>0</v>
      </c>
      <c r="BL833" s="1">
        <v>239</v>
      </c>
      <c r="BM833" s="1" t="s">
        <v>204</v>
      </c>
      <c r="BN833" s="1" t="s">
        <v>213</v>
      </c>
      <c r="BO833" s="1">
        <v>50</v>
      </c>
      <c r="BP833" s="1" t="s">
        <v>204</v>
      </c>
      <c r="BR833" s="1" t="str">
        <f>"0520119045"</f>
        <v>0520119045</v>
      </c>
      <c r="BT833" s="1" t="s">
        <v>9374</v>
      </c>
      <c r="BU833" s="1" t="s">
        <v>1327</v>
      </c>
      <c r="BV833" s="1" t="s">
        <v>970</v>
      </c>
      <c r="BW833" s="1" t="s">
        <v>971</v>
      </c>
      <c r="BX833" s="1">
        <v>200</v>
      </c>
      <c r="BY833" s="1">
        <v>200</v>
      </c>
      <c r="BZ833" s="1">
        <v>200</v>
      </c>
      <c r="CB833" s="1" t="str">
        <f t="shared" ref="CB833:CC833" si="649">"0"</f>
        <v>0</v>
      </c>
      <c r="CC833" s="1" t="str">
        <f t="shared" si="649"/>
        <v>0</v>
      </c>
      <c r="CD833" s="1">
        <v>25</v>
      </c>
      <c r="CE833" s="1">
        <v>1</v>
      </c>
      <c r="CG833" s="1" t="s">
        <v>228</v>
      </c>
      <c r="CH833" s="1" t="s">
        <v>277</v>
      </c>
      <c r="CI833" s="1" t="s">
        <v>229</v>
      </c>
      <c r="CK833" s="1" t="s">
        <v>278</v>
      </c>
      <c r="CL833" s="1" t="s">
        <v>277</v>
      </c>
      <c r="CM833" s="1" t="s">
        <v>229</v>
      </c>
      <c r="CO833" s="1" t="s">
        <v>837</v>
      </c>
      <c r="CP833" s="1" t="s">
        <v>277</v>
      </c>
      <c r="CQ833" s="1" t="s">
        <v>229</v>
      </c>
      <c r="CS833" s="1" t="s">
        <v>346</v>
      </c>
      <c r="CT833" s="1" t="s">
        <v>277</v>
      </c>
      <c r="CU833" s="1" t="s">
        <v>229</v>
      </c>
      <c r="CX833" s="1" t="s">
        <v>224</v>
      </c>
      <c r="DB833" s="1" t="s">
        <v>224</v>
      </c>
      <c r="DE833" s="1" t="s">
        <v>951</v>
      </c>
      <c r="DF833" s="1" t="s">
        <v>277</v>
      </c>
      <c r="DG833" s="1" t="s">
        <v>229</v>
      </c>
      <c r="DJ833" s="1" t="s">
        <v>224</v>
      </c>
      <c r="DS833" s="1" t="s">
        <v>230</v>
      </c>
      <c r="DW833" s="1" t="s">
        <v>230</v>
      </c>
      <c r="EA833" s="1" t="s">
        <v>230</v>
      </c>
      <c r="EE833" s="1" t="s">
        <v>230</v>
      </c>
      <c r="EI833" s="1" t="s">
        <v>230</v>
      </c>
      <c r="EL833" s="1" t="s">
        <v>231</v>
      </c>
      <c r="EM833" s="1" t="s">
        <v>232</v>
      </c>
      <c r="EN833" s="1" t="s">
        <v>282</v>
      </c>
      <c r="EO833" s="1" t="s">
        <v>234</v>
      </c>
      <c r="EP833" s="1" t="s">
        <v>4938</v>
      </c>
      <c r="EQ833" s="1" t="s">
        <v>350</v>
      </c>
      <c r="ER833" s="1" t="s">
        <v>210</v>
      </c>
      <c r="ES833" s="1" t="s">
        <v>545</v>
      </c>
      <c r="EV833" s="1" t="s">
        <v>240</v>
      </c>
      <c r="EW833" s="1" t="s">
        <v>9375</v>
      </c>
      <c r="EZ833" s="1" t="s">
        <v>287</v>
      </c>
      <c r="FD833" s="1" t="s">
        <v>246</v>
      </c>
      <c r="FE833" s="1" t="s">
        <v>355</v>
      </c>
      <c r="FF833" s="1" t="s">
        <v>248</v>
      </c>
      <c r="FH833" s="1" t="s">
        <v>249</v>
      </c>
      <c r="FJ833" s="1" t="s">
        <v>197</v>
      </c>
      <c r="FL833" s="1" t="s">
        <v>358</v>
      </c>
      <c r="FM833" s="1" t="s">
        <v>252</v>
      </c>
      <c r="FN833" s="1" t="s">
        <v>213</v>
      </c>
      <c r="FO833" s="1" t="s">
        <v>213</v>
      </c>
      <c r="FQ833" s="1" t="s">
        <v>5689</v>
      </c>
      <c r="FR833" s="1" t="s">
        <v>360</v>
      </c>
      <c r="FS833" s="1" t="s">
        <v>9376</v>
      </c>
      <c r="FT833" s="1" t="s">
        <v>255</v>
      </c>
      <c r="FU833" s="1" t="s">
        <v>204</v>
      </c>
      <c r="FV833" s="1" t="s">
        <v>9377</v>
      </c>
      <c r="FW833" s="1" t="s">
        <v>256</v>
      </c>
      <c r="FX833" s="1">
        <v>25163</v>
      </c>
      <c r="FY833" s="1" t="s">
        <v>257</v>
      </c>
      <c r="FZ833" s="1" t="s">
        <v>9378</v>
      </c>
      <c r="GA833" s="1">
        <v>256891</v>
      </c>
      <c r="GB833" s="1" t="s">
        <v>9379</v>
      </c>
      <c r="GC833" s="1">
        <v>221741</v>
      </c>
      <c r="GE833" s="1" t="s">
        <v>658</v>
      </c>
      <c r="GI833" s="1" t="s">
        <v>213</v>
      </c>
      <c r="GJ833" s="1" t="s">
        <v>260</v>
      </c>
      <c r="GK833" s="1" t="s">
        <v>210</v>
      </c>
      <c r="GL833" s="2">
        <v>42024</v>
      </c>
      <c r="GM833" s="1" t="s">
        <v>9380</v>
      </c>
    </row>
    <row r="834" spans="1:195">
      <c r="A834" s="1">
        <v>106500</v>
      </c>
      <c r="B834" s="1" t="s">
        <v>195</v>
      </c>
      <c r="C834" s="1" t="str">
        <f>"08544548"</f>
        <v>08544548</v>
      </c>
      <c r="D834" s="1" t="s">
        <v>196</v>
      </c>
      <c r="F834" s="1" t="str">
        <f>"137"</f>
        <v>137</v>
      </c>
      <c r="G834" s="2">
        <v>41696</v>
      </c>
      <c r="H834" s="1">
        <v>109900</v>
      </c>
      <c r="I834" s="1">
        <v>101000</v>
      </c>
      <c r="J834" s="1">
        <v>106500</v>
      </c>
      <c r="K834" s="2">
        <v>41696</v>
      </c>
      <c r="L834" s="1">
        <v>200</v>
      </c>
      <c r="M834" s="2">
        <v>41895</v>
      </c>
      <c r="N834" s="1">
        <v>200</v>
      </c>
      <c r="O834" s="2">
        <v>41895</v>
      </c>
      <c r="P834" s="1">
        <v>22029</v>
      </c>
      <c r="Q834" s="1" t="s">
        <v>302</v>
      </c>
      <c r="R834" s="2">
        <v>42006</v>
      </c>
      <c r="S834" s="1">
        <v>238002</v>
      </c>
      <c r="U834" s="1">
        <v>448</v>
      </c>
      <c r="V834" s="1" t="s">
        <v>9381</v>
      </c>
      <c r="W834" s="1" t="s">
        <v>304</v>
      </c>
      <c r="X834" s="1" t="s">
        <v>1747</v>
      </c>
      <c r="Y834" s="1">
        <v>75</v>
      </c>
      <c r="Z834" s="1" t="s">
        <v>249</v>
      </c>
      <c r="AA834" s="1" t="s">
        <v>201</v>
      </c>
      <c r="AB834" s="1">
        <v>60137</v>
      </c>
      <c r="AD834" s="1" t="s">
        <v>9381</v>
      </c>
      <c r="AE834" s="1" t="s">
        <v>9382</v>
      </c>
      <c r="AF834" s="1">
        <v>1974</v>
      </c>
      <c r="AG834" s="1" t="s">
        <v>213</v>
      </c>
      <c r="AH834" s="1" t="s">
        <v>205</v>
      </c>
      <c r="AI834" s="1" t="s">
        <v>206</v>
      </c>
      <c r="AJ834" s="1" t="s">
        <v>207</v>
      </c>
      <c r="AL834" s="1">
        <v>6</v>
      </c>
      <c r="AM834" s="1">
        <v>2</v>
      </c>
      <c r="AN834" s="1">
        <v>2</v>
      </c>
      <c r="AO834" s="1">
        <v>0</v>
      </c>
      <c r="AP834" s="1" t="s">
        <v>209</v>
      </c>
      <c r="AR834" s="1" t="s">
        <v>210</v>
      </c>
      <c r="AS834" s="1" t="s">
        <v>204</v>
      </c>
      <c r="AT834" s="1" t="s">
        <v>211</v>
      </c>
      <c r="AU834" s="1">
        <v>1</v>
      </c>
      <c r="AW834" s="1" t="s">
        <v>204</v>
      </c>
      <c r="AX834" s="1" t="s">
        <v>212</v>
      </c>
      <c r="AZ834" s="1">
        <v>2620</v>
      </c>
      <c r="BA834" s="1">
        <v>2013</v>
      </c>
      <c r="BB834" s="1" t="s">
        <v>405</v>
      </c>
      <c r="BE834" s="1">
        <v>1488</v>
      </c>
      <c r="BF834" s="1">
        <v>3</v>
      </c>
      <c r="BG834" s="1">
        <v>30</v>
      </c>
      <c r="BJ834" s="1">
        <v>100</v>
      </c>
      <c r="BL834" s="1">
        <v>308</v>
      </c>
      <c r="BM834" s="1" t="s">
        <v>204</v>
      </c>
      <c r="BN834" s="1" t="s">
        <v>204</v>
      </c>
      <c r="BP834" s="1" t="s">
        <v>204</v>
      </c>
      <c r="BR834" s="1" t="str">
        <f>"0523319031"</f>
        <v>0523319031</v>
      </c>
      <c r="BT834" s="1" t="s">
        <v>9383</v>
      </c>
      <c r="BU834" s="1" t="s">
        <v>215</v>
      </c>
      <c r="BV834" s="1" t="s">
        <v>216</v>
      </c>
      <c r="BW834" s="1" t="s">
        <v>217</v>
      </c>
      <c r="BX834" s="1">
        <v>89</v>
      </c>
      <c r="BY834" s="1">
        <v>89</v>
      </c>
      <c r="BZ834" s="1">
        <v>87</v>
      </c>
      <c r="CB834" s="1" t="str">
        <f t="shared" ref="CB834:CC834" si="650">"0"</f>
        <v>0</v>
      </c>
      <c r="CC834" s="1" t="str">
        <f t="shared" si="650"/>
        <v>0</v>
      </c>
      <c r="CD834" s="1">
        <v>22</v>
      </c>
      <c r="CE834" s="1">
        <v>1</v>
      </c>
      <c r="CG834" s="1" t="s">
        <v>276</v>
      </c>
      <c r="CH834" s="1" t="s">
        <v>219</v>
      </c>
      <c r="CI834" s="1" t="s">
        <v>229</v>
      </c>
      <c r="CK834" s="1" t="s">
        <v>931</v>
      </c>
      <c r="CL834" s="1" t="s">
        <v>219</v>
      </c>
      <c r="CM834" s="1" t="s">
        <v>220</v>
      </c>
      <c r="CO834" s="1" t="s">
        <v>539</v>
      </c>
      <c r="CP834" s="1" t="s">
        <v>219</v>
      </c>
      <c r="CQ834" s="1" t="s">
        <v>229</v>
      </c>
      <c r="CS834" s="1" t="s">
        <v>539</v>
      </c>
      <c r="CT834" s="1" t="s">
        <v>219</v>
      </c>
      <c r="CU834" s="1" t="s">
        <v>220</v>
      </c>
      <c r="CX834" s="1" t="s">
        <v>224</v>
      </c>
      <c r="DB834" s="1" t="s">
        <v>224</v>
      </c>
      <c r="DE834" s="1" t="s">
        <v>516</v>
      </c>
      <c r="DF834" s="1" t="s">
        <v>219</v>
      </c>
      <c r="DG834" s="1" t="s">
        <v>229</v>
      </c>
      <c r="DJ834" s="1" t="s">
        <v>224</v>
      </c>
      <c r="DM834" s="1" t="s">
        <v>381</v>
      </c>
      <c r="DR834" s="1" t="s">
        <v>2308</v>
      </c>
      <c r="DS834" s="1" t="s">
        <v>219</v>
      </c>
      <c r="DT834" s="1" t="s">
        <v>229</v>
      </c>
      <c r="DW834" s="1" t="s">
        <v>230</v>
      </c>
      <c r="EA834" s="1" t="s">
        <v>230</v>
      </c>
      <c r="EE834" s="1" t="s">
        <v>230</v>
      </c>
      <c r="EI834" s="1" t="s">
        <v>230</v>
      </c>
      <c r="EL834" s="1" t="s">
        <v>231</v>
      </c>
      <c r="EM834" s="1" t="s">
        <v>730</v>
      </c>
      <c r="EN834" s="1" t="s">
        <v>282</v>
      </c>
      <c r="EO834" s="1" t="s">
        <v>234</v>
      </c>
      <c r="EP834" s="1" t="s">
        <v>9384</v>
      </c>
      <c r="EQ834" s="1" t="s">
        <v>321</v>
      </c>
      <c r="ER834" s="1" t="s">
        <v>210</v>
      </c>
      <c r="ES834" s="1" t="s">
        <v>545</v>
      </c>
      <c r="EU834" s="1" t="s">
        <v>239</v>
      </c>
      <c r="EV834" s="1" t="s">
        <v>240</v>
      </c>
      <c r="EW834" s="1" t="s">
        <v>1111</v>
      </c>
      <c r="EZ834" s="1" t="s">
        <v>381</v>
      </c>
      <c r="FB834" s="1" t="s">
        <v>289</v>
      </c>
      <c r="FD834" s="1" t="s">
        <v>1112</v>
      </c>
      <c r="FE834" s="1" t="s">
        <v>247</v>
      </c>
      <c r="FF834" s="1" t="s">
        <v>248</v>
      </c>
      <c r="FH834" s="1" t="s">
        <v>1942</v>
      </c>
      <c r="FI834" s="1" t="s">
        <v>848</v>
      </c>
      <c r="FL834" s="1" t="s">
        <v>1073</v>
      </c>
      <c r="FM834" s="1" t="s">
        <v>252</v>
      </c>
      <c r="FN834" s="1" t="s">
        <v>213</v>
      </c>
      <c r="FO834" s="1" t="s">
        <v>213</v>
      </c>
      <c r="FQ834" s="1" t="s">
        <v>1758</v>
      </c>
      <c r="FR834" s="1" t="s">
        <v>360</v>
      </c>
      <c r="FS834" s="1" t="s">
        <v>9385</v>
      </c>
      <c r="FT834" s="1" t="s">
        <v>255</v>
      </c>
      <c r="FU834" s="1" t="s">
        <v>204</v>
      </c>
      <c r="FW834" s="1" t="s">
        <v>915</v>
      </c>
      <c r="FX834" s="1">
        <v>25088</v>
      </c>
      <c r="FY834" s="1" t="s">
        <v>1761</v>
      </c>
      <c r="FZ834" s="1" t="s">
        <v>9386</v>
      </c>
      <c r="GA834" s="1">
        <v>254705</v>
      </c>
      <c r="GB834" s="1" t="s">
        <v>9387</v>
      </c>
      <c r="GC834" s="1">
        <v>251884</v>
      </c>
      <c r="GD834" s="1" t="s">
        <v>9388</v>
      </c>
      <c r="GE834" s="1" t="s">
        <v>210</v>
      </c>
      <c r="GI834" s="1" t="s">
        <v>213</v>
      </c>
      <c r="GJ834" s="1" t="s">
        <v>260</v>
      </c>
      <c r="GK834" s="1" t="s">
        <v>210</v>
      </c>
      <c r="GL834" s="2">
        <v>42006</v>
      </c>
      <c r="GM834" s="2" t="s">
        <v>9389</v>
      </c>
    </row>
    <row r="835" spans="1:195">
      <c r="A835" s="1">
        <v>30000</v>
      </c>
      <c r="B835" s="1" t="s">
        <v>195</v>
      </c>
      <c r="C835" s="1" t="str">
        <f>"08536853"</f>
        <v>08536853</v>
      </c>
      <c r="D835" s="1" t="s">
        <v>196</v>
      </c>
      <c r="F835" s="1" t="str">
        <f>"8063"</f>
        <v>8063</v>
      </c>
      <c r="G835" s="2">
        <v>41683</v>
      </c>
      <c r="H835" s="1">
        <v>99000</v>
      </c>
      <c r="I835" s="1">
        <v>30000</v>
      </c>
      <c r="J835" s="1">
        <v>30000</v>
      </c>
      <c r="K835" s="2">
        <v>41683</v>
      </c>
      <c r="L835" s="1">
        <v>177</v>
      </c>
      <c r="M835" s="2">
        <v>41859</v>
      </c>
      <c r="N835" s="1">
        <v>177</v>
      </c>
      <c r="O835" s="2">
        <v>41859</v>
      </c>
      <c r="P835" s="1">
        <v>17299</v>
      </c>
      <c r="Q835" s="1" t="s">
        <v>302</v>
      </c>
      <c r="R835" s="2">
        <v>42030</v>
      </c>
      <c r="S835" s="1">
        <v>162182</v>
      </c>
      <c r="U835" s="1">
        <v>5308</v>
      </c>
      <c r="V835" s="1" t="s">
        <v>9390</v>
      </c>
      <c r="W835" s="1" t="s">
        <v>425</v>
      </c>
      <c r="X835" s="1">
        <v>205</v>
      </c>
      <c r="Y835" s="1">
        <v>14</v>
      </c>
      <c r="Z835" s="1" t="s">
        <v>249</v>
      </c>
      <c r="AA835" s="1" t="s">
        <v>400</v>
      </c>
      <c r="AB835" s="1">
        <v>60632</v>
      </c>
      <c r="AE835" s="1" t="s">
        <v>9391</v>
      </c>
      <c r="AF835" s="1">
        <v>1970</v>
      </c>
      <c r="AG835" s="1" t="s">
        <v>213</v>
      </c>
      <c r="AH835" s="1" t="s">
        <v>403</v>
      </c>
      <c r="AI835" s="1" t="s">
        <v>310</v>
      </c>
      <c r="AJ835" s="1" t="s">
        <v>404</v>
      </c>
      <c r="AL835" s="1">
        <v>4</v>
      </c>
      <c r="AM835" s="1">
        <v>2</v>
      </c>
      <c r="AN835" s="1">
        <v>1</v>
      </c>
      <c r="AO835" s="1">
        <v>0</v>
      </c>
      <c r="AP835" s="1" t="s">
        <v>210</v>
      </c>
      <c r="AR835" s="1" t="s">
        <v>210</v>
      </c>
      <c r="AS835" s="1" t="s">
        <v>204</v>
      </c>
      <c r="AT835" s="1" t="s">
        <v>271</v>
      </c>
      <c r="AV835" s="1">
        <v>2</v>
      </c>
      <c r="AW835" s="1" t="s">
        <v>204</v>
      </c>
      <c r="AX835" s="1" t="s">
        <v>212</v>
      </c>
      <c r="AZ835" s="1">
        <v>1185</v>
      </c>
      <c r="BA835" s="1">
        <v>2012</v>
      </c>
      <c r="BB835" s="1" t="s">
        <v>210</v>
      </c>
      <c r="BE835" s="1">
        <v>800</v>
      </c>
      <c r="BF835" s="1">
        <v>2</v>
      </c>
      <c r="BG835" s="1">
        <v>0</v>
      </c>
      <c r="BL835" s="1">
        <v>253</v>
      </c>
      <c r="BM835" s="1" t="s">
        <v>204</v>
      </c>
      <c r="BN835" s="1" t="s">
        <v>213</v>
      </c>
      <c r="BO835" s="1">
        <v>50</v>
      </c>
      <c r="BP835" s="1" t="s">
        <v>204</v>
      </c>
      <c r="BR835" s="1" t="str">
        <f>"19114180471009"</f>
        <v>19114180471009</v>
      </c>
      <c r="BT835" s="1" t="s">
        <v>9392</v>
      </c>
      <c r="BX835" s="1">
        <v>299</v>
      </c>
      <c r="BY835" s="1">
        <v>299</v>
      </c>
      <c r="BZ835" s="1">
        <v>299</v>
      </c>
      <c r="CB835" s="1" t="str">
        <f t="shared" ref="CB835:CC835" si="651">"0"</f>
        <v>0</v>
      </c>
      <c r="CC835" s="1" t="str">
        <f t="shared" si="651"/>
        <v>0</v>
      </c>
      <c r="CD835" s="1">
        <v>3200</v>
      </c>
      <c r="CE835" s="1">
        <v>5300</v>
      </c>
      <c r="CG835" s="1" t="s">
        <v>377</v>
      </c>
      <c r="CH835" s="1" t="s">
        <v>219</v>
      </c>
      <c r="CI835" s="1" t="s">
        <v>220</v>
      </c>
      <c r="CK835" s="1" t="s">
        <v>1469</v>
      </c>
      <c r="CL835" s="1" t="s">
        <v>219</v>
      </c>
      <c r="CM835" s="1" t="s">
        <v>220</v>
      </c>
      <c r="CP835" s="1" t="s">
        <v>224</v>
      </c>
      <c r="CS835" s="1" t="s">
        <v>318</v>
      </c>
      <c r="CT835" s="1" t="s">
        <v>219</v>
      </c>
      <c r="CU835" s="1" t="s">
        <v>220</v>
      </c>
      <c r="CX835" s="1" t="s">
        <v>224</v>
      </c>
      <c r="DB835" s="1" t="s">
        <v>224</v>
      </c>
      <c r="DE835" s="1" t="s">
        <v>687</v>
      </c>
      <c r="DF835" s="1" t="s">
        <v>219</v>
      </c>
      <c r="DG835" s="1" t="s">
        <v>226</v>
      </c>
      <c r="DJ835" s="1" t="s">
        <v>224</v>
      </c>
      <c r="DS835" s="1" t="s">
        <v>230</v>
      </c>
      <c r="DW835" s="1" t="s">
        <v>230</v>
      </c>
      <c r="EA835" s="1" t="s">
        <v>230</v>
      </c>
      <c r="EE835" s="1" t="s">
        <v>230</v>
      </c>
      <c r="EI835" s="1" t="s">
        <v>230</v>
      </c>
      <c r="EL835" s="1" t="s">
        <v>605</v>
      </c>
      <c r="EM835" s="1" t="s">
        <v>232</v>
      </c>
      <c r="EN835" s="1" t="s">
        <v>282</v>
      </c>
      <c r="EO835" s="1" t="s">
        <v>234</v>
      </c>
      <c r="EP835" s="1" t="s">
        <v>9393</v>
      </c>
      <c r="ER835" s="1" t="s">
        <v>210</v>
      </c>
      <c r="EW835" s="1" t="s">
        <v>2792</v>
      </c>
      <c r="EY835" s="1" t="s">
        <v>242</v>
      </c>
      <c r="EZ835" s="1" t="s">
        <v>287</v>
      </c>
      <c r="FB835" s="1" t="s">
        <v>289</v>
      </c>
      <c r="FD835" s="1" t="s">
        <v>246</v>
      </c>
      <c r="FE835" s="1" t="s">
        <v>247</v>
      </c>
      <c r="FF835" s="1" t="s">
        <v>9394</v>
      </c>
      <c r="FH835" s="1" t="s">
        <v>249</v>
      </c>
      <c r="FJ835" s="1" t="s">
        <v>1472</v>
      </c>
      <c r="FK835" s="1" t="s">
        <v>2309</v>
      </c>
      <c r="FL835" s="1" t="s">
        <v>810</v>
      </c>
      <c r="FM835" s="1" t="s">
        <v>252</v>
      </c>
      <c r="FN835" s="1" t="s">
        <v>213</v>
      </c>
      <c r="FO835" s="1" t="s">
        <v>213</v>
      </c>
      <c r="FQ835" s="1" t="s">
        <v>9395</v>
      </c>
      <c r="FR835" s="1" t="s">
        <v>360</v>
      </c>
      <c r="FS835" s="1" t="s">
        <v>9396</v>
      </c>
      <c r="FT835" s="1" t="s">
        <v>255</v>
      </c>
      <c r="FU835" s="1" t="s">
        <v>213</v>
      </c>
      <c r="FW835" s="1" t="s">
        <v>1702</v>
      </c>
      <c r="FX835" s="1">
        <v>17299</v>
      </c>
      <c r="FY835" s="1" t="s">
        <v>1703</v>
      </c>
      <c r="FZ835" s="1" t="s">
        <v>9397</v>
      </c>
      <c r="GA835" s="1">
        <v>162182</v>
      </c>
      <c r="GB835" s="1" t="s">
        <v>9398</v>
      </c>
      <c r="GE835" s="1" t="s">
        <v>210</v>
      </c>
      <c r="GH835" s="1" t="s">
        <v>421</v>
      </c>
      <c r="GI835" s="1" t="s">
        <v>213</v>
      </c>
      <c r="GJ835" s="1" t="s">
        <v>260</v>
      </c>
      <c r="GK835" s="1" t="s">
        <v>210</v>
      </c>
      <c r="GL835" s="2">
        <v>42035</v>
      </c>
      <c r="GM835" s="1" t="s">
        <v>9399</v>
      </c>
    </row>
    <row r="836" spans="1:195">
      <c r="A836" s="1">
        <v>95100</v>
      </c>
      <c r="B836" s="1" t="s">
        <v>195</v>
      </c>
      <c r="C836" s="1" t="str">
        <f>"08673936"</f>
        <v>08673936</v>
      </c>
      <c r="D836" s="1" t="s">
        <v>196</v>
      </c>
      <c r="F836" s="1" t="str">
        <f>"48"</f>
        <v>48</v>
      </c>
      <c r="G836" s="2">
        <v>41835</v>
      </c>
      <c r="H836" s="1">
        <v>129900</v>
      </c>
      <c r="I836" s="1">
        <v>97900</v>
      </c>
      <c r="J836" s="1">
        <v>95100</v>
      </c>
      <c r="K836" s="2">
        <v>41835</v>
      </c>
      <c r="L836" s="1">
        <v>154</v>
      </c>
      <c r="M836" s="2">
        <v>41988</v>
      </c>
      <c r="N836" s="1">
        <v>154</v>
      </c>
      <c r="O836" s="2">
        <v>41988</v>
      </c>
      <c r="P836" s="1">
        <v>2050</v>
      </c>
      <c r="Q836" s="1" t="s">
        <v>197</v>
      </c>
      <c r="R836" s="2">
        <v>42030</v>
      </c>
      <c r="S836" s="1">
        <v>923406</v>
      </c>
      <c r="U836" s="1">
        <v>1615</v>
      </c>
      <c r="V836" s="1" t="s">
        <v>6673</v>
      </c>
      <c r="W836" s="1" t="s">
        <v>425</v>
      </c>
      <c r="X836" s="1" t="s">
        <v>9400</v>
      </c>
      <c r="Y836" s="1">
        <v>10</v>
      </c>
      <c r="Z836" s="1" t="s">
        <v>370</v>
      </c>
      <c r="AA836" s="1" t="s">
        <v>6674</v>
      </c>
      <c r="AB836" s="1">
        <v>60048</v>
      </c>
      <c r="AE836" s="1" t="s">
        <v>9401</v>
      </c>
      <c r="AF836" s="1">
        <v>1978</v>
      </c>
      <c r="AG836" s="1" t="s">
        <v>204</v>
      </c>
      <c r="AH836" s="1" t="s">
        <v>1693</v>
      </c>
      <c r="AI836" s="1" t="s">
        <v>509</v>
      </c>
      <c r="AJ836" s="1" t="s">
        <v>1693</v>
      </c>
      <c r="AL836" s="1">
        <v>5</v>
      </c>
      <c r="AM836" s="1">
        <v>2</v>
      </c>
      <c r="AN836" s="1">
        <v>1</v>
      </c>
      <c r="AO836" s="1">
        <v>0</v>
      </c>
      <c r="AP836" s="1" t="s">
        <v>210</v>
      </c>
      <c r="AR836" s="1" t="s">
        <v>210</v>
      </c>
      <c r="AS836" s="1" t="s">
        <v>204</v>
      </c>
      <c r="AT836" s="1" t="s">
        <v>271</v>
      </c>
      <c r="AV836" s="1">
        <v>1</v>
      </c>
      <c r="AW836" s="1" t="s">
        <v>204</v>
      </c>
      <c r="AX836" s="1" t="s">
        <v>212</v>
      </c>
      <c r="AZ836" s="1">
        <v>1850</v>
      </c>
      <c r="BA836" s="1">
        <v>2013</v>
      </c>
      <c r="BE836" s="1">
        <v>936</v>
      </c>
      <c r="BF836" s="1">
        <v>2</v>
      </c>
      <c r="BG836" s="1">
        <v>0</v>
      </c>
      <c r="BL836" s="1">
        <v>154</v>
      </c>
      <c r="BM836" s="1" t="s">
        <v>204</v>
      </c>
      <c r="BN836" s="1" t="s">
        <v>213</v>
      </c>
      <c r="BO836" s="1">
        <v>0</v>
      </c>
      <c r="BP836" s="1" t="s">
        <v>204</v>
      </c>
      <c r="BR836" s="1" t="str">
        <f>"11093000930000"</f>
        <v>11093000930000</v>
      </c>
      <c r="BT836" s="1" t="s">
        <v>9402</v>
      </c>
      <c r="BX836" s="1">
        <v>70</v>
      </c>
      <c r="BY836" s="1">
        <v>70</v>
      </c>
      <c r="BZ836" s="1">
        <v>128</v>
      </c>
      <c r="CB836" s="1" t="str">
        <f>"16"</f>
        <v>16</v>
      </c>
      <c r="CC836" s="1" t="str">
        <f>"0"</f>
        <v>0</v>
      </c>
      <c r="CD836" s="1">
        <v>30</v>
      </c>
      <c r="CE836" s="1">
        <v>0</v>
      </c>
      <c r="CG836" s="1" t="s">
        <v>861</v>
      </c>
      <c r="CH836" s="1" t="s">
        <v>219</v>
      </c>
      <c r="CI836" s="1" t="s">
        <v>229</v>
      </c>
      <c r="CK836" s="1" t="s">
        <v>757</v>
      </c>
      <c r="CL836" s="1" t="s">
        <v>219</v>
      </c>
      <c r="CM836" s="1" t="s">
        <v>220</v>
      </c>
      <c r="CO836" s="1" t="s">
        <v>348</v>
      </c>
      <c r="CP836" s="1" t="s">
        <v>219</v>
      </c>
      <c r="CQ836" s="1" t="s">
        <v>229</v>
      </c>
      <c r="CS836" s="1" t="s">
        <v>346</v>
      </c>
      <c r="CT836" s="1" t="s">
        <v>219</v>
      </c>
      <c r="CU836" s="1" t="s">
        <v>220</v>
      </c>
      <c r="CX836" s="1" t="s">
        <v>224</v>
      </c>
      <c r="DB836" s="1" t="s">
        <v>224</v>
      </c>
      <c r="DE836" s="1" t="s">
        <v>516</v>
      </c>
      <c r="DF836" s="1" t="s">
        <v>219</v>
      </c>
      <c r="DG836" s="1" t="s">
        <v>342</v>
      </c>
      <c r="DJ836" s="1" t="s">
        <v>224</v>
      </c>
      <c r="DS836" s="1" t="s">
        <v>230</v>
      </c>
      <c r="DW836" s="1" t="s">
        <v>230</v>
      </c>
      <c r="EA836" s="1" t="s">
        <v>230</v>
      </c>
      <c r="EE836" s="1" t="s">
        <v>230</v>
      </c>
      <c r="EI836" s="1" t="s">
        <v>230</v>
      </c>
      <c r="EL836" s="1" t="s">
        <v>231</v>
      </c>
      <c r="EM836" s="1" t="s">
        <v>319</v>
      </c>
      <c r="EN836" s="1" t="s">
        <v>282</v>
      </c>
      <c r="EO836" s="1" t="s">
        <v>234</v>
      </c>
      <c r="ER836" s="1" t="s">
        <v>210</v>
      </c>
      <c r="EW836" s="1" t="s">
        <v>887</v>
      </c>
      <c r="EZ836" s="1" t="s">
        <v>287</v>
      </c>
      <c r="FD836" s="1" t="s">
        <v>246</v>
      </c>
      <c r="FE836" s="1" t="s">
        <v>247</v>
      </c>
      <c r="FF836" s="1" t="s">
        <v>248</v>
      </c>
      <c r="FH836" s="1" t="s">
        <v>249</v>
      </c>
      <c r="FJ836" s="1" t="s">
        <v>1472</v>
      </c>
      <c r="FL836" s="1" t="s">
        <v>292</v>
      </c>
      <c r="FM836" s="1" t="s">
        <v>252</v>
      </c>
      <c r="FN836" s="1" t="s">
        <v>213</v>
      </c>
      <c r="FO836" s="1" t="s">
        <v>213</v>
      </c>
      <c r="FQ836" s="1" t="s">
        <v>582</v>
      </c>
      <c r="FR836" s="1" t="s">
        <v>210</v>
      </c>
      <c r="FS836" s="1" t="s">
        <v>9403</v>
      </c>
      <c r="FT836" s="1" t="s">
        <v>1828</v>
      </c>
      <c r="FU836" s="1" t="s">
        <v>204</v>
      </c>
      <c r="FW836" s="1" t="s">
        <v>585</v>
      </c>
      <c r="FX836" s="1">
        <v>2050</v>
      </c>
      <c r="FY836" s="1" t="s">
        <v>4207</v>
      </c>
      <c r="FZ836" s="1" t="s">
        <v>5766</v>
      </c>
      <c r="GA836" s="1">
        <v>18950</v>
      </c>
      <c r="GB836" s="1" t="s">
        <v>5767</v>
      </c>
      <c r="GC836" s="1">
        <v>35055</v>
      </c>
      <c r="GD836" s="1" t="s">
        <v>5768</v>
      </c>
      <c r="GE836" s="1" t="s">
        <v>210</v>
      </c>
      <c r="GH836" s="1" t="s">
        <v>230</v>
      </c>
      <c r="GI836" s="1" t="s">
        <v>213</v>
      </c>
      <c r="GJ836" s="1" t="s">
        <v>260</v>
      </c>
      <c r="GK836" s="1" t="s">
        <v>210</v>
      </c>
      <c r="GL836" s="2">
        <v>42030</v>
      </c>
      <c r="GM836" s="1" t="s">
        <v>9404</v>
      </c>
    </row>
    <row r="837" spans="1:195">
      <c r="A837" s="1">
        <v>119000</v>
      </c>
      <c r="B837" s="1" t="s">
        <v>195</v>
      </c>
      <c r="C837" s="1" t="str">
        <f>"08528170"</f>
        <v>08528170</v>
      </c>
      <c r="D837" s="1" t="s">
        <v>196</v>
      </c>
      <c r="F837" s="1" t="str">
        <f>"60"</f>
        <v>60</v>
      </c>
      <c r="G837" s="2">
        <v>41672</v>
      </c>
      <c r="H837" s="1">
        <v>129000</v>
      </c>
      <c r="I837" s="1">
        <v>119000</v>
      </c>
      <c r="J837" s="1">
        <v>119000</v>
      </c>
      <c r="K837" s="2">
        <v>41672</v>
      </c>
      <c r="L837" s="1">
        <v>545</v>
      </c>
      <c r="M837" s="2">
        <v>42031</v>
      </c>
      <c r="N837" s="1">
        <v>360</v>
      </c>
      <c r="O837" s="2">
        <v>42031</v>
      </c>
      <c r="P837" s="1">
        <v>4674</v>
      </c>
      <c r="Q837" s="1" t="s">
        <v>197</v>
      </c>
      <c r="R837" s="2">
        <v>42110</v>
      </c>
      <c r="S837" s="1">
        <v>32236</v>
      </c>
      <c r="U837" s="1">
        <v>1316</v>
      </c>
      <c r="V837" s="1" t="s">
        <v>7839</v>
      </c>
      <c r="W837" s="1" t="s">
        <v>264</v>
      </c>
      <c r="Y837" s="1">
        <v>8</v>
      </c>
      <c r="Z837" s="1" t="s">
        <v>200</v>
      </c>
      <c r="AA837" s="1" t="s">
        <v>1689</v>
      </c>
      <c r="AB837" s="1">
        <v>60060</v>
      </c>
      <c r="AE837" s="1" t="s">
        <v>9405</v>
      </c>
      <c r="AF837" s="1">
        <v>1995</v>
      </c>
      <c r="AG837" s="1" t="s">
        <v>204</v>
      </c>
      <c r="AH837" s="1" t="s">
        <v>1692</v>
      </c>
      <c r="AI837" s="1" t="s">
        <v>509</v>
      </c>
      <c r="AJ837" s="1" t="s">
        <v>510</v>
      </c>
      <c r="AL837" s="1">
        <v>5</v>
      </c>
      <c r="AM837" s="1">
        <v>2</v>
      </c>
      <c r="AN837" s="1">
        <v>2</v>
      </c>
      <c r="AO837" s="1">
        <v>0</v>
      </c>
      <c r="AP837" s="1" t="s">
        <v>209</v>
      </c>
      <c r="AR837" s="1" t="s">
        <v>210</v>
      </c>
      <c r="AS837" s="1" t="s">
        <v>204</v>
      </c>
      <c r="AT837" s="1" t="s">
        <v>211</v>
      </c>
      <c r="AU837" s="1">
        <v>1</v>
      </c>
      <c r="AW837" s="1" t="s">
        <v>204</v>
      </c>
      <c r="AX837" s="1" t="s">
        <v>212</v>
      </c>
      <c r="AZ837" s="1">
        <v>4655.63</v>
      </c>
      <c r="BA837" s="1">
        <v>2013</v>
      </c>
      <c r="BB837" s="1" t="s">
        <v>405</v>
      </c>
      <c r="BE837" s="1">
        <v>1050</v>
      </c>
      <c r="BF837" s="1">
        <v>2</v>
      </c>
      <c r="BG837" s="1">
        <v>0</v>
      </c>
      <c r="BL837" s="1">
        <v>182</v>
      </c>
      <c r="BM837" s="1" t="s">
        <v>204</v>
      </c>
      <c r="BN837" s="1" t="s">
        <v>213</v>
      </c>
      <c r="BO837" s="1">
        <v>999</v>
      </c>
      <c r="BP837" s="1" t="s">
        <v>204</v>
      </c>
      <c r="BR837" s="1" t="str">
        <f>"15051090940000"</f>
        <v>15051090940000</v>
      </c>
      <c r="BT837" s="1" t="s">
        <v>9406</v>
      </c>
      <c r="BU837" s="1" t="s">
        <v>512</v>
      </c>
      <c r="BV837" s="1" t="s">
        <v>513</v>
      </c>
      <c r="BW837" s="1" t="s">
        <v>5840</v>
      </c>
      <c r="BX837" s="1">
        <v>73</v>
      </c>
      <c r="BY837" s="1">
        <v>73</v>
      </c>
      <c r="BZ837" s="1">
        <v>120</v>
      </c>
      <c r="CB837" s="1" t="str">
        <f t="shared" ref="CB837:CC837" si="652">""</f>
        <v/>
      </c>
      <c r="CC837" s="1" t="str">
        <f t="shared" si="652"/>
        <v/>
      </c>
      <c r="CG837" s="1" t="s">
        <v>1200</v>
      </c>
      <c r="CH837" s="1" t="s">
        <v>277</v>
      </c>
      <c r="CI837" s="1" t="s">
        <v>438</v>
      </c>
      <c r="CK837" s="1" t="s">
        <v>539</v>
      </c>
      <c r="CL837" s="1" t="s">
        <v>277</v>
      </c>
      <c r="CM837" s="1" t="s">
        <v>438</v>
      </c>
      <c r="CP837" s="1" t="s">
        <v>224</v>
      </c>
      <c r="CQ837" s="1" t="s">
        <v>438</v>
      </c>
      <c r="CS837" s="1" t="s">
        <v>318</v>
      </c>
      <c r="CT837" s="1" t="s">
        <v>277</v>
      </c>
      <c r="CU837" s="1" t="s">
        <v>438</v>
      </c>
      <c r="CX837" s="1" t="s">
        <v>224</v>
      </c>
      <c r="DB837" s="1" t="s">
        <v>224</v>
      </c>
      <c r="DE837" s="1" t="s">
        <v>409</v>
      </c>
      <c r="DF837" s="1" t="s">
        <v>277</v>
      </c>
      <c r="DG837" s="1" t="s">
        <v>438</v>
      </c>
      <c r="DJ837" s="1" t="s">
        <v>224</v>
      </c>
      <c r="DM837" s="1" t="s">
        <v>381</v>
      </c>
      <c r="DR837" s="1" t="s">
        <v>1571</v>
      </c>
      <c r="DS837" s="1" t="s">
        <v>277</v>
      </c>
      <c r="DT837" s="1" t="s">
        <v>438</v>
      </c>
      <c r="DW837" s="1" t="s">
        <v>230</v>
      </c>
      <c r="EA837" s="1" t="s">
        <v>230</v>
      </c>
      <c r="EE837" s="1" t="s">
        <v>230</v>
      </c>
      <c r="EI837" s="1" t="s">
        <v>230</v>
      </c>
      <c r="EL837" s="1" t="s">
        <v>670</v>
      </c>
      <c r="EM837" s="1" t="s">
        <v>319</v>
      </c>
      <c r="EN837" s="1" t="s">
        <v>282</v>
      </c>
      <c r="EO837" s="1" t="s">
        <v>234</v>
      </c>
      <c r="ER837" s="1" t="s">
        <v>210</v>
      </c>
      <c r="EW837" s="1" t="s">
        <v>1250</v>
      </c>
      <c r="EZ837" s="1" t="s">
        <v>381</v>
      </c>
      <c r="FA837" s="1" t="s">
        <v>672</v>
      </c>
      <c r="FB837" s="1" t="s">
        <v>289</v>
      </c>
      <c r="FD837" s="1" t="s">
        <v>495</v>
      </c>
      <c r="FE837" s="1" t="s">
        <v>870</v>
      </c>
      <c r="FF837" s="1" t="s">
        <v>248</v>
      </c>
      <c r="FH837" s="1" t="s">
        <v>388</v>
      </c>
      <c r="FL837" s="1" t="s">
        <v>414</v>
      </c>
      <c r="FM837" s="1" t="s">
        <v>210</v>
      </c>
      <c r="FN837" s="1" t="s">
        <v>204</v>
      </c>
      <c r="FO837" s="1" t="s">
        <v>204</v>
      </c>
      <c r="FQ837" s="1" t="s">
        <v>2700</v>
      </c>
      <c r="FR837" s="1" t="s">
        <v>360</v>
      </c>
      <c r="FS837" s="1" t="s">
        <v>9407</v>
      </c>
      <c r="FT837" s="1" t="s">
        <v>295</v>
      </c>
      <c r="FU837" s="1" t="s">
        <v>204</v>
      </c>
      <c r="FW837" s="1" t="s">
        <v>9408</v>
      </c>
      <c r="FX837" s="1">
        <v>4442</v>
      </c>
      <c r="FY837" s="1" t="s">
        <v>9409</v>
      </c>
      <c r="FZ837" s="1" t="s">
        <v>9410</v>
      </c>
      <c r="GA837" s="1">
        <v>31420</v>
      </c>
      <c r="GB837" s="1" t="s">
        <v>9411</v>
      </c>
      <c r="GE837" s="1" t="s">
        <v>210</v>
      </c>
      <c r="GI837" s="1" t="s">
        <v>204</v>
      </c>
      <c r="GJ837" s="1" t="s">
        <v>260</v>
      </c>
      <c r="GK837" s="1" t="s">
        <v>210</v>
      </c>
      <c r="GL837" s="2">
        <v>42110</v>
      </c>
      <c r="GM837" s="1" t="s">
        <v>9412</v>
      </c>
    </row>
    <row r="838" spans="1:195">
      <c r="A838" s="1">
        <v>115000</v>
      </c>
      <c r="B838" s="1" t="s">
        <v>195</v>
      </c>
      <c r="C838" s="1" t="str">
        <f>"08528663"</f>
        <v>08528663</v>
      </c>
      <c r="D838" s="1" t="s">
        <v>196</v>
      </c>
      <c r="F838" s="1" t="str">
        <f t="shared" ref="F838:F839" si="653">"507"</f>
        <v>507</v>
      </c>
      <c r="G838" s="2">
        <v>41673</v>
      </c>
      <c r="H838" s="1">
        <v>99900</v>
      </c>
      <c r="I838" s="1">
        <v>109000</v>
      </c>
      <c r="J838" s="1">
        <v>115000</v>
      </c>
      <c r="K838" s="2">
        <v>41673</v>
      </c>
      <c r="L838" s="1">
        <v>226</v>
      </c>
      <c r="M838" s="2">
        <v>41898</v>
      </c>
      <c r="N838" s="1">
        <v>226</v>
      </c>
      <c r="O838" s="2">
        <v>41898</v>
      </c>
      <c r="P838" s="1">
        <v>16525</v>
      </c>
      <c r="Q838" s="1" t="s">
        <v>423</v>
      </c>
      <c r="R838" s="2">
        <v>42083</v>
      </c>
      <c r="S838" s="1">
        <v>136414</v>
      </c>
      <c r="U838" s="1">
        <v>2555</v>
      </c>
      <c r="V838" s="1" t="s">
        <v>3883</v>
      </c>
      <c r="W838" s="1" t="s">
        <v>199</v>
      </c>
      <c r="Y838" s="1">
        <v>5</v>
      </c>
      <c r="Z838" s="1" t="s">
        <v>249</v>
      </c>
      <c r="AA838" s="1" t="s">
        <v>1123</v>
      </c>
      <c r="AB838" s="1">
        <v>60503</v>
      </c>
      <c r="AD838" s="1" t="s">
        <v>3884</v>
      </c>
      <c r="AE838" s="1" t="s">
        <v>9413</v>
      </c>
      <c r="AF838" s="1">
        <v>2004</v>
      </c>
      <c r="AG838" s="1" t="s">
        <v>204</v>
      </c>
      <c r="AH838" s="1" t="s">
        <v>1126</v>
      </c>
      <c r="AI838" s="1" t="s">
        <v>1800</v>
      </c>
      <c r="AJ838" s="1" t="s">
        <v>1801</v>
      </c>
      <c r="AL838" s="1">
        <v>5</v>
      </c>
      <c r="AM838" s="1">
        <v>2</v>
      </c>
      <c r="AN838" s="1">
        <v>1</v>
      </c>
      <c r="AO838" s="1">
        <v>1</v>
      </c>
      <c r="AP838" s="1" t="s">
        <v>210</v>
      </c>
      <c r="AR838" s="1" t="s">
        <v>210</v>
      </c>
      <c r="AS838" s="1" t="s">
        <v>204</v>
      </c>
      <c r="AT838" s="1" t="s">
        <v>211</v>
      </c>
      <c r="AU838" s="1">
        <v>2</v>
      </c>
      <c r="AW838" s="1" t="s">
        <v>204</v>
      </c>
      <c r="AX838" s="1" t="s">
        <v>212</v>
      </c>
      <c r="AZ838" s="1">
        <v>4352</v>
      </c>
      <c r="BA838" s="1">
        <v>2013</v>
      </c>
      <c r="BE838" s="1">
        <v>1192</v>
      </c>
      <c r="BF838" s="1">
        <v>1</v>
      </c>
      <c r="BG838" s="1">
        <v>30</v>
      </c>
      <c r="BL838" s="1">
        <v>146</v>
      </c>
      <c r="BM838" s="1" t="s">
        <v>204</v>
      </c>
      <c r="BN838" s="1" t="s">
        <v>213</v>
      </c>
      <c r="BO838" s="1">
        <v>200</v>
      </c>
      <c r="BP838" s="1" t="s">
        <v>204</v>
      </c>
      <c r="BR838" s="1" t="str">
        <f>"01064110191003"</f>
        <v>01064110191003</v>
      </c>
      <c r="BT838" s="1" t="s">
        <v>9414</v>
      </c>
      <c r="BX838" s="1">
        <v>308</v>
      </c>
      <c r="BY838" s="1">
        <v>308</v>
      </c>
      <c r="BZ838" s="1">
        <v>308</v>
      </c>
      <c r="CB838" s="1" t="str">
        <f t="shared" ref="CB838:CC838" si="654">""</f>
        <v/>
      </c>
      <c r="CC838" s="1" t="str">
        <f t="shared" si="654"/>
        <v/>
      </c>
      <c r="CG838" s="1" t="s">
        <v>228</v>
      </c>
      <c r="CH838" s="1" t="s">
        <v>219</v>
      </c>
      <c r="CI838" s="1" t="s">
        <v>220</v>
      </c>
      <c r="CJ838" s="1" t="s">
        <v>210</v>
      </c>
      <c r="CK838" s="1" t="s">
        <v>344</v>
      </c>
      <c r="CL838" s="1" t="s">
        <v>277</v>
      </c>
      <c r="CM838" s="1" t="s">
        <v>220</v>
      </c>
      <c r="CN838" s="1" t="s">
        <v>210</v>
      </c>
      <c r="CO838" s="1" t="s">
        <v>2104</v>
      </c>
      <c r="CP838" s="1" t="s">
        <v>219</v>
      </c>
      <c r="CQ838" s="1" t="s">
        <v>220</v>
      </c>
      <c r="CR838" s="1" t="s">
        <v>210</v>
      </c>
      <c r="CS838" s="1" t="s">
        <v>821</v>
      </c>
      <c r="CT838" s="1" t="s">
        <v>277</v>
      </c>
      <c r="CU838" s="1" t="s">
        <v>220</v>
      </c>
      <c r="CV838" s="1" t="s">
        <v>210</v>
      </c>
      <c r="CX838" s="1" t="s">
        <v>224</v>
      </c>
      <c r="DB838" s="1" t="s">
        <v>224</v>
      </c>
      <c r="DE838" s="1" t="s">
        <v>3034</v>
      </c>
      <c r="DF838" s="1" t="s">
        <v>219</v>
      </c>
      <c r="DG838" s="1" t="s">
        <v>342</v>
      </c>
      <c r="DH838" s="1" t="s">
        <v>210</v>
      </c>
      <c r="DJ838" s="1" t="s">
        <v>224</v>
      </c>
      <c r="DS838" s="1" t="s">
        <v>230</v>
      </c>
      <c r="DW838" s="1" t="s">
        <v>230</v>
      </c>
      <c r="EA838" s="1" t="s">
        <v>230</v>
      </c>
      <c r="EE838" s="1" t="s">
        <v>230</v>
      </c>
      <c r="EI838" s="1" t="s">
        <v>230</v>
      </c>
      <c r="EL838" s="1" t="s">
        <v>491</v>
      </c>
      <c r="EM838" s="1" t="s">
        <v>319</v>
      </c>
      <c r="EN838" s="1" t="s">
        <v>282</v>
      </c>
      <c r="EO838" s="1" t="s">
        <v>234</v>
      </c>
      <c r="EQ838" s="1" t="s">
        <v>468</v>
      </c>
      <c r="ER838" s="1" t="s">
        <v>210</v>
      </c>
      <c r="ES838" s="1" t="s">
        <v>545</v>
      </c>
      <c r="EU838" s="1" t="s">
        <v>239</v>
      </c>
      <c r="EV838" s="1" t="s">
        <v>324</v>
      </c>
      <c r="EW838" s="1" t="s">
        <v>1804</v>
      </c>
      <c r="EZ838" s="1" t="s">
        <v>287</v>
      </c>
      <c r="FB838" s="1" t="s">
        <v>289</v>
      </c>
      <c r="FD838" s="1" t="s">
        <v>246</v>
      </c>
      <c r="FE838" s="1" t="s">
        <v>472</v>
      </c>
      <c r="FF838" s="1" t="s">
        <v>248</v>
      </c>
      <c r="FH838" s="1" t="s">
        <v>550</v>
      </c>
      <c r="FL838" s="1" t="s">
        <v>358</v>
      </c>
      <c r="FM838" s="1" t="s">
        <v>252</v>
      </c>
      <c r="FN838" s="1" t="s">
        <v>213</v>
      </c>
      <c r="FO838" s="1" t="s">
        <v>213</v>
      </c>
      <c r="FQ838" s="1" t="s">
        <v>793</v>
      </c>
      <c r="FR838" s="1" t="s">
        <v>360</v>
      </c>
      <c r="FS838" s="1" t="s">
        <v>9415</v>
      </c>
      <c r="FT838" s="1" t="s">
        <v>1182</v>
      </c>
      <c r="FU838" s="1" t="s">
        <v>204</v>
      </c>
      <c r="FW838" s="1" t="s">
        <v>915</v>
      </c>
      <c r="FX838" s="1">
        <v>24071</v>
      </c>
      <c r="FY838" s="1" t="s">
        <v>2208</v>
      </c>
      <c r="FZ838" s="1" t="s">
        <v>8053</v>
      </c>
      <c r="GA838" s="1">
        <v>245237</v>
      </c>
      <c r="GB838" s="1" t="s">
        <v>8054</v>
      </c>
      <c r="GE838" s="1" t="s">
        <v>210</v>
      </c>
      <c r="GI838" s="1" t="s">
        <v>213</v>
      </c>
      <c r="GJ838" s="1" t="s">
        <v>260</v>
      </c>
      <c r="GK838" s="1" t="s">
        <v>210</v>
      </c>
      <c r="GL838" s="2">
        <v>42086</v>
      </c>
      <c r="GM838" s="2" t="s">
        <v>9416</v>
      </c>
    </row>
    <row r="839" spans="1:195">
      <c r="A839" s="1">
        <v>115000</v>
      </c>
      <c r="B839" s="1" t="s">
        <v>195</v>
      </c>
      <c r="C839" s="1" t="str">
        <f>"08546725"</f>
        <v>08546725</v>
      </c>
      <c r="D839" s="1" t="s">
        <v>196</v>
      </c>
      <c r="F839" s="1" t="str">
        <f t="shared" si="653"/>
        <v>507</v>
      </c>
      <c r="G839" s="2">
        <v>41698</v>
      </c>
      <c r="H839" s="1">
        <v>124000</v>
      </c>
      <c r="I839" s="1">
        <v>100000</v>
      </c>
      <c r="J839" s="1">
        <v>115000</v>
      </c>
      <c r="K839" s="2">
        <v>41697</v>
      </c>
      <c r="L839" s="1">
        <v>234</v>
      </c>
      <c r="M839" s="2">
        <v>41930</v>
      </c>
      <c r="N839" s="1">
        <v>234</v>
      </c>
      <c r="O839" s="2">
        <v>41930</v>
      </c>
      <c r="P839" s="1">
        <v>23163</v>
      </c>
      <c r="Q839" s="1" t="s">
        <v>197</v>
      </c>
      <c r="R839" s="2">
        <v>42065</v>
      </c>
      <c r="S839" s="1">
        <v>214073</v>
      </c>
      <c r="U839" s="1">
        <v>2930</v>
      </c>
      <c r="V839" s="1" t="s">
        <v>9417</v>
      </c>
      <c r="W839" s="1" t="s">
        <v>504</v>
      </c>
      <c r="Y839" s="1">
        <v>4</v>
      </c>
      <c r="Z839" s="1" t="s">
        <v>370</v>
      </c>
      <c r="AA839" s="1" t="s">
        <v>1123</v>
      </c>
      <c r="AB839" s="1">
        <v>60504</v>
      </c>
      <c r="AC839" s="1">
        <v>5887</v>
      </c>
      <c r="AD839" s="1" t="s">
        <v>9418</v>
      </c>
      <c r="AE839" s="1" t="s">
        <v>9419</v>
      </c>
      <c r="AF839" s="1">
        <v>1996</v>
      </c>
      <c r="AG839" s="1" t="s">
        <v>204</v>
      </c>
      <c r="AH839" s="1" t="s">
        <v>1126</v>
      </c>
      <c r="AI839" s="1" t="s">
        <v>206</v>
      </c>
      <c r="AJ839" s="1" t="s">
        <v>924</v>
      </c>
      <c r="AK839" s="1" t="s">
        <v>9420</v>
      </c>
      <c r="AL839" s="1">
        <v>7</v>
      </c>
      <c r="AM839" s="1">
        <v>2</v>
      </c>
      <c r="AN839" s="1">
        <v>2</v>
      </c>
      <c r="AO839" s="1">
        <v>1</v>
      </c>
      <c r="AP839" s="1" t="s">
        <v>209</v>
      </c>
      <c r="AQ839" s="1">
        <v>0</v>
      </c>
      <c r="AR839" s="1" t="s">
        <v>210</v>
      </c>
      <c r="AS839" s="1" t="s">
        <v>204</v>
      </c>
      <c r="AT839" s="1" t="s">
        <v>211</v>
      </c>
      <c r="AU839" s="1">
        <v>2</v>
      </c>
      <c r="AW839" s="1" t="s">
        <v>204</v>
      </c>
      <c r="AX839" s="1" t="s">
        <v>9421</v>
      </c>
      <c r="AZ839" s="1">
        <v>2971</v>
      </c>
      <c r="BA839" s="1">
        <v>2013</v>
      </c>
      <c r="BB839" s="1" t="s">
        <v>405</v>
      </c>
      <c r="BE839" s="1">
        <v>1480</v>
      </c>
      <c r="BF839" s="1">
        <v>1</v>
      </c>
      <c r="BG839" s="1">
        <v>15</v>
      </c>
      <c r="BJ839" s="1">
        <v>90</v>
      </c>
      <c r="BL839" s="1">
        <v>178</v>
      </c>
      <c r="BM839" s="1" t="s">
        <v>413</v>
      </c>
      <c r="BN839" s="1" t="s">
        <v>213</v>
      </c>
      <c r="BO839" s="1">
        <v>16</v>
      </c>
      <c r="BP839" s="1" t="s">
        <v>204</v>
      </c>
      <c r="BR839" s="1" t="str">
        <f>"0729317014"</f>
        <v>0729317014</v>
      </c>
      <c r="BT839" s="1" t="s">
        <v>9422</v>
      </c>
      <c r="BX839" s="1">
        <v>204</v>
      </c>
      <c r="BY839" s="1">
        <v>204</v>
      </c>
      <c r="BZ839" s="1">
        <v>204</v>
      </c>
      <c r="CB839" s="1" t="str">
        <f t="shared" ref="CB839:CC839" si="655">"0"</f>
        <v>0</v>
      </c>
      <c r="CC839" s="1" t="str">
        <f t="shared" si="655"/>
        <v>0</v>
      </c>
      <c r="CD839" s="1">
        <v>32</v>
      </c>
      <c r="CE839" s="1">
        <v>8</v>
      </c>
      <c r="CG839" s="1" t="s">
        <v>1803</v>
      </c>
      <c r="CH839" s="1" t="s">
        <v>219</v>
      </c>
      <c r="CI839" s="1" t="s">
        <v>220</v>
      </c>
      <c r="CJ839" s="1" t="s">
        <v>210</v>
      </c>
      <c r="CK839" s="1" t="s">
        <v>1045</v>
      </c>
      <c r="CL839" s="1" t="s">
        <v>277</v>
      </c>
      <c r="CM839" s="1" t="s">
        <v>220</v>
      </c>
      <c r="CN839" s="1" t="s">
        <v>210</v>
      </c>
      <c r="CO839" s="1" t="s">
        <v>629</v>
      </c>
      <c r="CP839" s="1" t="s">
        <v>219</v>
      </c>
      <c r="CQ839" s="1" t="s">
        <v>220</v>
      </c>
      <c r="CR839" s="1" t="s">
        <v>343</v>
      </c>
      <c r="CS839" s="1" t="s">
        <v>318</v>
      </c>
      <c r="CT839" s="1" t="s">
        <v>277</v>
      </c>
      <c r="CU839" s="1" t="s">
        <v>220</v>
      </c>
      <c r="CV839" s="1" t="s">
        <v>210</v>
      </c>
      <c r="CX839" s="1" t="s">
        <v>224</v>
      </c>
      <c r="DB839" s="1" t="s">
        <v>224</v>
      </c>
      <c r="DE839" s="1" t="s">
        <v>908</v>
      </c>
      <c r="DF839" s="1" t="s">
        <v>219</v>
      </c>
      <c r="DG839" s="1" t="s">
        <v>342</v>
      </c>
      <c r="DH839" s="1" t="s">
        <v>343</v>
      </c>
      <c r="DI839" s="1" t="s">
        <v>465</v>
      </c>
      <c r="DJ839" s="1" t="s">
        <v>822</v>
      </c>
      <c r="DK839" s="1" t="s">
        <v>220</v>
      </c>
      <c r="DL839" s="1" t="s">
        <v>210</v>
      </c>
      <c r="DM839" s="1" t="s">
        <v>464</v>
      </c>
      <c r="DR839" s="1" t="s">
        <v>1297</v>
      </c>
      <c r="DS839" s="1" t="s">
        <v>277</v>
      </c>
      <c r="DT839" s="1" t="s">
        <v>220</v>
      </c>
      <c r="DU839" s="1" t="s">
        <v>210</v>
      </c>
      <c r="DW839" s="1" t="s">
        <v>230</v>
      </c>
      <c r="EA839" s="1" t="s">
        <v>230</v>
      </c>
      <c r="EE839" s="1" t="s">
        <v>230</v>
      </c>
      <c r="EI839" s="1" t="s">
        <v>230</v>
      </c>
      <c r="EL839" s="1" t="s">
        <v>670</v>
      </c>
      <c r="EM839" s="1" t="s">
        <v>319</v>
      </c>
      <c r="EN839" s="1" t="s">
        <v>282</v>
      </c>
      <c r="EO839" s="1" t="s">
        <v>234</v>
      </c>
      <c r="EP839" s="1" t="s">
        <v>543</v>
      </c>
      <c r="ER839" s="1" t="s">
        <v>210</v>
      </c>
      <c r="EU839" s="1" t="s">
        <v>1820</v>
      </c>
      <c r="EW839" s="1" t="s">
        <v>3073</v>
      </c>
      <c r="EY839" s="1" t="s">
        <v>242</v>
      </c>
      <c r="EZ839" s="1" t="s">
        <v>464</v>
      </c>
      <c r="FB839" s="1" t="s">
        <v>1505</v>
      </c>
      <c r="FD839" s="1" t="s">
        <v>246</v>
      </c>
      <c r="FE839" s="1" t="s">
        <v>355</v>
      </c>
      <c r="FF839" s="1" t="s">
        <v>248</v>
      </c>
      <c r="FH839" s="1" t="s">
        <v>550</v>
      </c>
      <c r="FI839" s="1" t="s">
        <v>2827</v>
      </c>
      <c r="FJ839" s="1" t="s">
        <v>1472</v>
      </c>
      <c r="FL839" s="1" t="s">
        <v>414</v>
      </c>
      <c r="FM839" s="1" t="s">
        <v>252</v>
      </c>
      <c r="FN839" s="1" t="s">
        <v>213</v>
      </c>
      <c r="FO839" s="1" t="s">
        <v>213</v>
      </c>
      <c r="FQ839" s="1" t="s">
        <v>9423</v>
      </c>
      <c r="FR839" s="1" t="s">
        <v>360</v>
      </c>
      <c r="FS839" s="1" t="s">
        <v>9424</v>
      </c>
      <c r="FT839" s="1" t="s">
        <v>255</v>
      </c>
      <c r="FU839" s="1" t="s">
        <v>204</v>
      </c>
      <c r="FW839" s="1" t="s">
        <v>3517</v>
      </c>
      <c r="FX839" s="1">
        <v>20114</v>
      </c>
      <c r="FY839" s="1" t="s">
        <v>3518</v>
      </c>
      <c r="FZ839" s="1" t="s">
        <v>9425</v>
      </c>
      <c r="GA839" s="1">
        <v>214392</v>
      </c>
      <c r="GB839" s="1" t="s">
        <v>9426</v>
      </c>
      <c r="GD839" s="1" t="s">
        <v>9427</v>
      </c>
      <c r="GE839" s="1" t="s">
        <v>210</v>
      </c>
      <c r="GI839" s="1" t="s">
        <v>213</v>
      </c>
      <c r="GJ839" s="1" t="s">
        <v>260</v>
      </c>
      <c r="GK839" s="1" t="s">
        <v>210</v>
      </c>
      <c r="GL839" s="2">
        <v>42065</v>
      </c>
      <c r="GM839" s="1" t="s">
        <v>9428</v>
      </c>
    </row>
    <row r="840" spans="1:195">
      <c r="A840" s="1">
        <v>280000</v>
      </c>
      <c r="B840" s="1" t="s">
        <v>195</v>
      </c>
      <c r="C840" s="1" t="str">
        <f>"08537677"</f>
        <v>08537677</v>
      </c>
      <c r="D840" s="1" t="s">
        <v>196</v>
      </c>
      <c r="F840" s="1" t="str">
        <f>"108"</f>
        <v>108</v>
      </c>
      <c r="G840" s="2">
        <v>41684</v>
      </c>
      <c r="H840" s="1">
        <v>275000</v>
      </c>
      <c r="I840" s="1">
        <v>280000</v>
      </c>
      <c r="J840" s="1">
        <v>280000</v>
      </c>
      <c r="K840" s="2">
        <v>41682</v>
      </c>
      <c r="L840" s="1">
        <v>344</v>
      </c>
      <c r="M840" s="2">
        <v>41924</v>
      </c>
      <c r="N840" s="1">
        <v>243</v>
      </c>
      <c r="O840" s="2">
        <v>41924</v>
      </c>
      <c r="P840" s="1">
        <v>8073</v>
      </c>
      <c r="Q840" s="1" t="s">
        <v>197</v>
      </c>
      <c r="R840" s="2">
        <v>41974</v>
      </c>
      <c r="S840" s="1">
        <v>81703</v>
      </c>
      <c r="U840" s="1">
        <v>354</v>
      </c>
      <c r="V840" s="1" t="s">
        <v>9429</v>
      </c>
      <c r="Y840" s="1">
        <v>4</v>
      </c>
      <c r="Z840" s="1" t="s">
        <v>249</v>
      </c>
      <c r="AA840" s="1" t="s">
        <v>829</v>
      </c>
      <c r="AB840" s="1">
        <v>60108</v>
      </c>
      <c r="AD840" s="1" t="s">
        <v>9430</v>
      </c>
      <c r="AE840" s="1" t="s">
        <v>9431</v>
      </c>
      <c r="AF840" s="1">
        <v>2006</v>
      </c>
      <c r="AG840" s="1" t="s">
        <v>204</v>
      </c>
      <c r="AH840" s="1" t="s">
        <v>269</v>
      </c>
      <c r="AI840" s="1" t="s">
        <v>206</v>
      </c>
      <c r="AJ840" s="1" t="s">
        <v>269</v>
      </c>
      <c r="AK840" s="1" t="s">
        <v>9432</v>
      </c>
      <c r="AL840" s="1">
        <v>6</v>
      </c>
      <c r="AM840" s="1">
        <v>2</v>
      </c>
      <c r="AN840" s="1">
        <v>2</v>
      </c>
      <c r="AO840" s="1">
        <v>1</v>
      </c>
      <c r="AP840" s="1" t="s">
        <v>209</v>
      </c>
      <c r="AQ840" s="1">
        <v>1</v>
      </c>
      <c r="AR840" s="1" t="s">
        <v>2275</v>
      </c>
      <c r="AS840" s="1" t="s">
        <v>204</v>
      </c>
      <c r="AT840" s="1" t="s">
        <v>211</v>
      </c>
      <c r="AU840" s="1">
        <v>2</v>
      </c>
      <c r="AW840" s="1" t="s">
        <v>204</v>
      </c>
      <c r="AX840" s="1" t="s">
        <v>579</v>
      </c>
      <c r="AZ840" s="1">
        <v>6221</v>
      </c>
      <c r="BA840" s="1">
        <v>2013</v>
      </c>
      <c r="BB840" s="1" t="s">
        <v>405</v>
      </c>
      <c r="BE840" s="1">
        <v>1974</v>
      </c>
      <c r="BF840" s="1">
        <v>1</v>
      </c>
      <c r="BG840" s="1">
        <v>0</v>
      </c>
      <c r="BL840" s="1">
        <v>269</v>
      </c>
      <c r="BM840" s="1" t="s">
        <v>204</v>
      </c>
      <c r="BN840" s="1" t="s">
        <v>213</v>
      </c>
      <c r="BO840" s="1">
        <v>999</v>
      </c>
      <c r="BP840" s="1" t="s">
        <v>204</v>
      </c>
      <c r="BR840" s="1" t="str">
        <f>"0209312051"</f>
        <v>0209312051</v>
      </c>
      <c r="BT840" s="1" t="s">
        <v>9433</v>
      </c>
      <c r="BU840" s="1" t="s">
        <v>1611</v>
      </c>
      <c r="BV840" s="1" t="s">
        <v>834</v>
      </c>
      <c r="BW840" s="1" t="s">
        <v>275</v>
      </c>
      <c r="BX840" s="1">
        <v>13</v>
      </c>
      <c r="BY840" s="1">
        <v>13</v>
      </c>
      <c r="BZ840" s="1">
        <v>108</v>
      </c>
      <c r="CB840" s="1" t="str">
        <f>"6"</f>
        <v>6</v>
      </c>
      <c r="CC840" s="1" t="str">
        <f>"0"</f>
        <v>0</v>
      </c>
      <c r="CD840" s="1">
        <v>24</v>
      </c>
      <c r="CE840" s="1">
        <v>0</v>
      </c>
      <c r="CG840" s="1" t="s">
        <v>3900</v>
      </c>
      <c r="CH840" s="1" t="s">
        <v>219</v>
      </c>
      <c r="CI840" s="1" t="s">
        <v>438</v>
      </c>
      <c r="CK840" s="1" t="s">
        <v>862</v>
      </c>
      <c r="CL840" s="1" t="s">
        <v>277</v>
      </c>
      <c r="CM840" s="1" t="s">
        <v>220</v>
      </c>
      <c r="CP840" s="1" t="s">
        <v>224</v>
      </c>
      <c r="CS840" s="1" t="s">
        <v>1358</v>
      </c>
      <c r="CT840" s="1" t="s">
        <v>277</v>
      </c>
      <c r="CU840" s="1" t="s">
        <v>220</v>
      </c>
      <c r="CX840" s="1" t="s">
        <v>224</v>
      </c>
      <c r="DB840" s="1" t="s">
        <v>224</v>
      </c>
      <c r="DE840" s="1" t="s">
        <v>951</v>
      </c>
      <c r="DF840" s="1" t="s">
        <v>219</v>
      </c>
      <c r="DG840" s="1" t="s">
        <v>438</v>
      </c>
      <c r="DJ840" s="1" t="s">
        <v>224</v>
      </c>
      <c r="DM840" s="1" t="s">
        <v>464</v>
      </c>
      <c r="DN840" s="1" t="s">
        <v>381</v>
      </c>
      <c r="DO840" s="1" t="s">
        <v>1771</v>
      </c>
      <c r="DP840" s="1" t="s">
        <v>1771</v>
      </c>
      <c r="DR840" s="1" t="s">
        <v>1454</v>
      </c>
      <c r="DS840" s="1" t="s">
        <v>277</v>
      </c>
      <c r="DT840" s="1" t="s">
        <v>220</v>
      </c>
      <c r="DV840" s="1" t="s">
        <v>837</v>
      </c>
      <c r="DW840" s="1" t="s">
        <v>219</v>
      </c>
      <c r="DX840" s="1" t="s">
        <v>438</v>
      </c>
      <c r="DZ840" s="1" t="s">
        <v>222</v>
      </c>
      <c r="EA840" s="1" t="s">
        <v>277</v>
      </c>
      <c r="EB840" s="1" t="s">
        <v>220</v>
      </c>
      <c r="ED840" s="1" t="s">
        <v>2451</v>
      </c>
      <c r="EE840" s="1" t="s">
        <v>277</v>
      </c>
      <c r="EI840" s="1" t="s">
        <v>230</v>
      </c>
      <c r="EL840" s="1" t="s">
        <v>491</v>
      </c>
      <c r="EM840" s="1" t="s">
        <v>319</v>
      </c>
      <c r="EN840" s="1" t="s">
        <v>282</v>
      </c>
      <c r="EO840" s="1" t="s">
        <v>234</v>
      </c>
      <c r="EP840" s="1" t="s">
        <v>1268</v>
      </c>
      <c r="EQ840" s="1" t="s">
        <v>3849</v>
      </c>
      <c r="ER840" s="1" t="s">
        <v>789</v>
      </c>
      <c r="ES840" s="1" t="s">
        <v>4840</v>
      </c>
      <c r="ET840" s="1" t="s">
        <v>1201</v>
      </c>
      <c r="EU840" s="1" t="s">
        <v>9434</v>
      </c>
      <c r="EW840" s="1" t="s">
        <v>353</v>
      </c>
      <c r="EZ840" s="1" t="s">
        <v>9435</v>
      </c>
      <c r="FA840" s="1" t="s">
        <v>9436</v>
      </c>
      <c r="FD840" s="1" t="s">
        <v>246</v>
      </c>
      <c r="FE840" s="1" t="s">
        <v>847</v>
      </c>
      <c r="FF840" s="1" t="s">
        <v>248</v>
      </c>
      <c r="FG840" s="1" t="s">
        <v>912</v>
      </c>
      <c r="FH840" s="1" t="s">
        <v>550</v>
      </c>
      <c r="FI840" s="1" t="s">
        <v>473</v>
      </c>
      <c r="FL840" s="1" t="s">
        <v>358</v>
      </c>
      <c r="FM840" s="1" t="s">
        <v>252</v>
      </c>
      <c r="FN840" s="1" t="s">
        <v>213</v>
      </c>
      <c r="FO840" s="1" t="s">
        <v>213</v>
      </c>
      <c r="FQ840" s="1" t="s">
        <v>9437</v>
      </c>
      <c r="FR840" s="1" t="s">
        <v>360</v>
      </c>
      <c r="FS840" s="1" t="s">
        <v>9438</v>
      </c>
      <c r="FT840" s="1" t="s">
        <v>295</v>
      </c>
      <c r="FU840" s="1" t="s">
        <v>204</v>
      </c>
      <c r="FW840" s="1" t="s">
        <v>9279</v>
      </c>
      <c r="FX840" s="1">
        <v>22739</v>
      </c>
      <c r="FY840" s="1" t="s">
        <v>9280</v>
      </c>
      <c r="FZ840" s="1" t="s">
        <v>9439</v>
      </c>
      <c r="GA840" s="1">
        <v>231119</v>
      </c>
      <c r="GB840" s="1" t="s">
        <v>9440</v>
      </c>
      <c r="GD840" s="1" t="s">
        <v>9441</v>
      </c>
      <c r="GE840" s="1" t="s">
        <v>1226</v>
      </c>
      <c r="GI840" s="1" t="s">
        <v>213</v>
      </c>
      <c r="GJ840" s="1" t="s">
        <v>260</v>
      </c>
      <c r="GK840" s="1" t="s">
        <v>210</v>
      </c>
      <c r="GL840" s="2">
        <v>41974</v>
      </c>
      <c r="GM840" s="2" t="s">
        <v>9442</v>
      </c>
    </row>
    <row r="841" spans="1:195">
      <c r="A841" s="1">
        <v>161000</v>
      </c>
      <c r="B841" s="1" t="s">
        <v>195</v>
      </c>
      <c r="C841" s="1" t="str">
        <f>"08544389"</f>
        <v>08544389</v>
      </c>
      <c r="D841" s="1" t="s">
        <v>196</v>
      </c>
      <c r="F841" s="1" t="str">
        <f>"172"</f>
        <v>172</v>
      </c>
      <c r="G841" s="2">
        <v>41695</v>
      </c>
      <c r="H841" s="1">
        <v>175000</v>
      </c>
      <c r="I841" s="1">
        <v>170000</v>
      </c>
      <c r="J841" s="1">
        <v>161000</v>
      </c>
      <c r="K841" s="2">
        <v>41695</v>
      </c>
      <c r="L841" s="1">
        <v>222</v>
      </c>
      <c r="M841" s="2">
        <v>41916</v>
      </c>
      <c r="N841" s="1">
        <v>222</v>
      </c>
      <c r="O841" s="2">
        <v>41916</v>
      </c>
      <c r="P841" s="1" t="s">
        <v>1039</v>
      </c>
      <c r="Q841" s="1" t="s">
        <v>302</v>
      </c>
      <c r="R841" s="2">
        <v>41975</v>
      </c>
      <c r="S841" s="1">
        <v>99999</v>
      </c>
      <c r="U841" s="1">
        <v>100</v>
      </c>
      <c r="V841" s="1" t="s">
        <v>9443</v>
      </c>
      <c r="W841" s="1" t="s">
        <v>725</v>
      </c>
      <c r="X841" s="1">
        <v>526</v>
      </c>
      <c r="Y841" s="1">
        <v>70</v>
      </c>
      <c r="Z841" s="1" t="s">
        <v>249</v>
      </c>
      <c r="AA841" s="1" t="s">
        <v>266</v>
      </c>
      <c r="AB841" s="1">
        <v>60172</v>
      </c>
      <c r="AE841" s="1" t="s">
        <v>9444</v>
      </c>
      <c r="AF841" s="1">
        <v>2003</v>
      </c>
      <c r="AG841" s="1" t="s">
        <v>204</v>
      </c>
      <c r="AH841" s="1" t="s">
        <v>3952</v>
      </c>
      <c r="AI841" s="1" t="s">
        <v>206</v>
      </c>
      <c r="AJ841" s="1" t="s">
        <v>269</v>
      </c>
      <c r="AL841" s="1">
        <v>4</v>
      </c>
      <c r="AM841" s="1">
        <v>2</v>
      </c>
      <c r="AN841" s="1">
        <v>2</v>
      </c>
      <c r="AO841" s="1">
        <v>0</v>
      </c>
      <c r="AP841" s="1" t="s">
        <v>209</v>
      </c>
      <c r="AR841" s="1" t="s">
        <v>210</v>
      </c>
      <c r="AS841" s="1" t="s">
        <v>204</v>
      </c>
      <c r="AT841" s="1" t="s">
        <v>211</v>
      </c>
      <c r="AU841" s="1">
        <v>1</v>
      </c>
      <c r="AW841" s="1" t="s">
        <v>204</v>
      </c>
      <c r="AX841" s="1" t="s">
        <v>9445</v>
      </c>
      <c r="AZ841" s="1">
        <v>3195</v>
      </c>
      <c r="BA841" s="1">
        <v>2013</v>
      </c>
      <c r="BB841" s="1" t="s">
        <v>405</v>
      </c>
      <c r="BE841" s="1">
        <v>1271</v>
      </c>
      <c r="BF841" s="1">
        <v>5</v>
      </c>
      <c r="BG841" s="1">
        <v>0</v>
      </c>
      <c r="BJ841" s="1">
        <v>98</v>
      </c>
      <c r="BL841" s="1">
        <v>216</v>
      </c>
      <c r="BM841" s="1" t="s">
        <v>204</v>
      </c>
      <c r="BN841" s="1" t="s">
        <v>213</v>
      </c>
      <c r="BO841" s="1">
        <v>30</v>
      </c>
      <c r="BP841" s="1" t="s">
        <v>204</v>
      </c>
      <c r="BR841" s="1" t="str">
        <f>"0203222022"</f>
        <v>0203222022</v>
      </c>
      <c r="BT841" s="1" t="s">
        <v>9446</v>
      </c>
      <c r="BU841" s="1" t="s">
        <v>9447</v>
      </c>
      <c r="BV841" s="1" t="s">
        <v>9448</v>
      </c>
      <c r="BW841" s="1" t="s">
        <v>275</v>
      </c>
      <c r="BX841" s="1">
        <v>12</v>
      </c>
      <c r="BY841" s="1">
        <v>12</v>
      </c>
      <c r="BZ841" s="1">
        <v>108</v>
      </c>
      <c r="CB841" s="1" t="str">
        <f t="shared" ref="CB841:CC841" si="656">""</f>
        <v/>
      </c>
      <c r="CC841" s="1" t="str">
        <f t="shared" si="656"/>
        <v/>
      </c>
      <c r="CG841" s="1" t="s">
        <v>601</v>
      </c>
      <c r="CH841" s="1" t="s">
        <v>219</v>
      </c>
      <c r="CI841" s="1" t="s">
        <v>220</v>
      </c>
      <c r="CJ841" s="1" t="s">
        <v>343</v>
      </c>
      <c r="CK841" s="1" t="s">
        <v>581</v>
      </c>
      <c r="CL841" s="1" t="s">
        <v>219</v>
      </c>
      <c r="CM841" s="1" t="s">
        <v>220</v>
      </c>
      <c r="CN841" s="1" t="s">
        <v>343</v>
      </c>
      <c r="CP841" s="1" t="s">
        <v>224</v>
      </c>
      <c r="CS841" s="1" t="s">
        <v>465</v>
      </c>
      <c r="CT841" s="1" t="s">
        <v>219</v>
      </c>
      <c r="CU841" s="1" t="s">
        <v>220</v>
      </c>
      <c r="CV841" s="1" t="s">
        <v>343</v>
      </c>
      <c r="CX841" s="1" t="s">
        <v>224</v>
      </c>
      <c r="DB841" s="1" t="s">
        <v>224</v>
      </c>
      <c r="DE841" s="1" t="s">
        <v>317</v>
      </c>
      <c r="DF841" s="1" t="s">
        <v>219</v>
      </c>
      <c r="DG841" s="1" t="s">
        <v>226</v>
      </c>
      <c r="DJ841" s="1" t="s">
        <v>224</v>
      </c>
      <c r="DS841" s="1" t="s">
        <v>230</v>
      </c>
      <c r="DW841" s="1" t="s">
        <v>230</v>
      </c>
      <c r="EA841" s="1" t="s">
        <v>230</v>
      </c>
      <c r="EE841" s="1" t="s">
        <v>230</v>
      </c>
      <c r="EI841" s="1" t="s">
        <v>230</v>
      </c>
      <c r="EL841" s="1" t="s">
        <v>466</v>
      </c>
      <c r="EM841" s="1" t="s">
        <v>232</v>
      </c>
      <c r="EN841" s="1" t="s">
        <v>282</v>
      </c>
      <c r="EO841" s="1" t="s">
        <v>234</v>
      </c>
      <c r="EQ841" s="1" t="s">
        <v>236</v>
      </c>
      <c r="ER841" s="1" t="s">
        <v>210</v>
      </c>
      <c r="ES841" s="1" t="s">
        <v>322</v>
      </c>
      <c r="EV841" s="1" t="s">
        <v>240</v>
      </c>
      <c r="EW841" s="1" t="s">
        <v>3060</v>
      </c>
      <c r="EY841" s="1" t="s">
        <v>242</v>
      </c>
      <c r="EZ841" s="1" t="s">
        <v>287</v>
      </c>
      <c r="FB841" s="1" t="s">
        <v>1755</v>
      </c>
      <c r="FD841" s="1" t="s">
        <v>888</v>
      </c>
      <c r="FE841" s="1" t="s">
        <v>247</v>
      </c>
      <c r="FF841" s="1" t="s">
        <v>387</v>
      </c>
      <c r="FH841" s="1" t="s">
        <v>249</v>
      </c>
      <c r="FI841" s="1" t="s">
        <v>634</v>
      </c>
      <c r="FJ841" s="1" t="s">
        <v>518</v>
      </c>
      <c r="FL841" s="1" t="s">
        <v>1907</v>
      </c>
      <c r="FM841" s="1" t="s">
        <v>252</v>
      </c>
      <c r="FN841" s="1" t="s">
        <v>213</v>
      </c>
      <c r="FO841" s="1" t="s">
        <v>213</v>
      </c>
      <c r="FQ841" s="1" t="s">
        <v>635</v>
      </c>
      <c r="FR841" s="1" t="s">
        <v>1301</v>
      </c>
      <c r="FS841" s="1" t="s">
        <v>9449</v>
      </c>
      <c r="FT841" s="1" t="s">
        <v>520</v>
      </c>
      <c r="FU841" s="1" t="s">
        <v>204</v>
      </c>
      <c r="FW841" s="1" t="s">
        <v>8542</v>
      </c>
      <c r="FX841" s="1">
        <v>61075</v>
      </c>
      <c r="FY841" s="1" t="s">
        <v>8543</v>
      </c>
      <c r="FZ841" s="1" t="s">
        <v>8544</v>
      </c>
      <c r="GA841" s="1">
        <v>601905</v>
      </c>
      <c r="GB841" s="1" t="s">
        <v>8545</v>
      </c>
      <c r="GC841" s="1">
        <v>238123</v>
      </c>
      <c r="GE841" s="1" t="s">
        <v>1764</v>
      </c>
      <c r="GH841" s="1" t="s">
        <v>230</v>
      </c>
      <c r="GI841" s="1" t="s">
        <v>213</v>
      </c>
      <c r="GJ841" s="1" t="s">
        <v>300</v>
      </c>
      <c r="GK841" s="1" t="s">
        <v>210</v>
      </c>
      <c r="GL841" s="2">
        <v>41975</v>
      </c>
      <c r="GM841" s="1" t="s">
        <v>9450</v>
      </c>
    </row>
    <row r="842" spans="1:195">
      <c r="A842" s="1">
        <v>166000</v>
      </c>
      <c r="B842" s="1" t="s">
        <v>195</v>
      </c>
      <c r="C842" s="1" t="str">
        <f>"08540637"</f>
        <v>08540637</v>
      </c>
      <c r="D842" s="1" t="s">
        <v>196</v>
      </c>
      <c r="F842" s="1" t="str">
        <f>"540"</f>
        <v>540</v>
      </c>
      <c r="G842" s="2">
        <v>41690</v>
      </c>
      <c r="H842" s="1">
        <v>165900</v>
      </c>
      <c r="I842" s="1">
        <v>165900</v>
      </c>
      <c r="J842" s="1">
        <v>166000</v>
      </c>
      <c r="K842" s="2">
        <v>41689</v>
      </c>
      <c r="L842" s="1">
        <v>9</v>
      </c>
      <c r="M842" s="2">
        <v>41697</v>
      </c>
      <c r="N842" s="1">
        <v>9</v>
      </c>
      <c r="O842" s="2">
        <v>41697</v>
      </c>
      <c r="P842" s="1">
        <v>4997</v>
      </c>
      <c r="Q842" s="1" t="s">
        <v>423</v>
      </c>
      <c r="R842" s="2">
        <v>41976</v>
      </c>
      <c r="S842" s="1">
        <v>38066</v>
      </c>
      <c r="U842" s="1">
        <v>920</v>
      </c>
      <c r="V842" s="1" t="s">
        <v>7411</v>
      </c>
      <c r="W842" s="1" t="s">
        <v>304</v>
      </c>
      <c r="X842" s="1">
        <v>920</v>
      </c>
      <c r="Y842" s="1">
        <v>6</v>
      </c>
      <c r="Z842" s="1" t="s">
        <v>249</v>
      </c>
      <c r="AA842" s="1" t="s">
        <v>921</v>
      </c>
      <c r="AB842" s="1">
        <v>60563</v>
      </c>
      <c r="AD842" s="1" t="s">
        <v>5950</v>
      </c>
      <c r="AE842" s="1" t="s">
        <v>9451</v>
      </c>
      <c r="AF842" s="1">
        <v>2002</v>
      </c>
      <c r="AG842" s="1" t="s">
        <v>204</v>
      </c>
      <c r="AH842" s="1" t="s">
        <v>924</v>
      </c>
      <c r="AI842" s="1" t="s">
        <v>206</v>
      </c>
      <c r="AJ842" s="1" t="s">
        <v>924</v>
      </c>
      <c r="AK842" s="1" t="s">
        <v>7413</v>
      </c>
      <c r="AL842" s="1">
        <v>6</v>
      </c>
      <c r="AM842" s="1">
        <v>2</v>
      </c>
      <c r="AN842" s="1">
        <v>2</v>
      </c>
      <c r="AO842" s="1">
        <v>1</v>
      </c>
      <c r="AP842" s="1" t="s">
        <v>209</v>
      </c>
      <c r="AQ842" s="1">
        <v>1</v>
      </c>
      <c r="AR842" s="1" t="s">
        <v>1483</v>
      </c>
      <c r="AS842" s="1" t="s">
        <v>204</v>
      </c>
      <c r="AT842" s="1" t="s">
        <v>211</v>
      </c>
      <c r="AU842" s="1">
        <v>1</v>
      </c>
      <c r="AW842" s="1" t="s">
        <v>204</v>
      </c>
      <c r="AX842" s="1" t="s">
        <v>212</v>
      </c>
      <c r="AZ842" s="1">
        <v>4363</v>
      </c>
      <c r="BA842" s="1">
        <v>2012</v>
      </c>
      <c r="BB842" s="1" t="s">
        <v>210</v>
      </c>
      <c r="BE842" s="1">
        <v>1412</v>
      </c>
      <c r="BF842" s="1">
        <v>1</v>
      </c>
      <c r="BG842" s="1">
        <v>0</v>
      </c>
      <c r="BL842" s="1">
        <v>195</v>
      </c>
      <c r="BM842" s="1" t="s">
        <v>204</v>
      </c>
      <c r="BN842" s="1" t="s">
        <v>213</v>
      </c>
      <c r="BO842" s="1">
        <v>25</v>
      </c>
      <c r="BP842" s="1" t="s">
        <v>204</v>
      </c>
      <c r="BR842" s="1" t="str">
        <f>"0709310204"</f>
        <v>0709310204</v>
      </c>
      <c r="BT842" s="1" t="s">
        <v>9452</v>
      </c>
      <c r="BU842" s="1" t="s">
        <v>5426</v>
      </c>
      <c r="BV842" s="1" t="s">
        <v>1130</v>
      </c>
      <c r="BW842" s="1" t="s">
        <v>1131</v>
      </c>
      <c r="BX842" s="1">
        <v>204</v>
      </c>
      <c r="BY842" s="1">
        <v>204</v>
      </c>
      <c r="BZ842" s="1">
        <v>204</v>
      </c>
      <c r="CB842" s="1" t="str">
        <f t="shared" ref="CB842:CC842" si="657">"0"</f>
        <v>0</v>
      </c>
      <c r="CC842" s="1" t="str">
        <f t="shared" si="657"/>
        <v>0</v>
      </c>
      <c r="CD842" s="1">
        <v>30</v>
      </c>
      <c r="CE842" s="1">
        <v>5</v>
      </c>
      <c r="CG842" s="1" t="s">
        <v>972</v>
      </c>
      <c r="CH842" s="1" t="s">
        <v>219</v>
      </c>
      <c r="CI842" s="1" t="s">
        <v>438</v>
      </c>
      <c r="CK842" s="1" t="s">
        <v>757</v>
      </c>
      <c r="CL842" s="1" t="s">
        <v>277</v>
      </c>
      <c r="CM842" s="1" t="s">
        <v>220</v>
      </c>
      <c r="CO842" s="1" t="s">
        <v>409</v>
      </c>
      <c r="CP842" s="1" t="s">
        <v>219</v>
      </c>
      <c r="CQ842" s="1" t="s">
        <v>438</v>
      </c>
      <c r="CR842" s="1" t="s">
        <v>210</v>
      </c>
      <c r="CS842" s="1" t="s">
        <v>465</v>
      </c>
      <c r="CT842" s="1" t="s">
        <v>277</v>
      </c>
      <c r="CU842" s="1" t="s">
        <v>220</v>
      </c>
      <c r="CX842" s="1" t="s">
        <v>224</v>
      </c>
      <c r="DB842" s="1" t="s">
        <v>224</v>
      </c>
      <c r="DE842" s="1" t="s">
        <v>951</v>
      </c>
      <c r="DF842" s="1" t="s">
        <v>219</v>
      </c>
      <c r="DG842" s="1" t="s">
        <v>438</v>
      </c>
      <c r="DH842" s="1" t="s">
        <v>210</v>
      </c>
      <c r="DJ842" s="1" t="s">
        <v>224</v>
      </c>
      <c r="DM842" s="1" t="s">
        <v>464</v>
      </c>
      <c r="DR842" s="1" t="s">
        <v>2279</v>
      </c>
      <c r="DS842" s="1" t="s">
        <v>277</v>
      </c>
      <c r="DT842" s="1" t="s">
        <v>220</v>
      </c>
      <c r="DW842" s="1" t="s">
        <v>230</v>
      </c>
      <c r="EA842" s="1" t="s">
        <v>230</v>
      </c>
      <c r="EE842" s="1" t="s">
        <v>230</v>
      </c>
      <c r="EI842" s="1" t="s">
        <v>230</v>
      </c>
      <c r="EL842" s="1" t="s">
        <v>466</v>
      </c>
      <c r="EM842" s="1" t="s">
        <v>232</v>
      </c>
      <c r="EN842" s="1" t="s">
        <v>282</v>
      </c>
      <c r="EO842" s="1" t="s">
        <v>234</v>
      </c>
      <c r="EP842" s="1" t="s">
        <v>2331</v>
      </c>
      <c r="EQ842" s="1" t="s">
        <v>284</v>
      </c>
      <c r="ER842" s="1" t="s">
        <v>1249</v>
      </c>
      <c r="ES842" s="1" t="s">
        <v>608</v>
      </c>
      <c r="EU842" s="1" t="s">
        <v>6546</v>
      </c>
      <c r="EV842" s="1" t="s">
        <v>240</v>
      </c>
      <c r="EW842" s="1" t="s">
        <v>937</v>
      </c>
      <c r="EZ842" s="1" t="s">
        <v>464</v>
      </c>
      <c r="FA842" s="1" t="s">
        <v>2358</v>
      </c>
      <c r="FB842" s="1" t="s">
        <v>289</v>
      </c>
      <c r="FD842" s="1" t="s">
        <v>246</v>
      </c>
      <c r="FE842" s="1" t="s">
        <v>1031</v>
      </c>
      <c r="FF842" s="1" t="s">
        <v>248</v>
      </c>
      <c r="FH842" s="1" t="s">
        <v>249</v>
      </c>
      <c r="FL842" s="1" t="s">
        <v>358</v>
      </c>
      <c r="FM842" s="1" t="s">
        <v>252</v>
      </c>
      <c r="FN842" s="1" t="s">
        <v>213</v>
      </c>
      <c r="FO842" s="1" t="s">
        <v>213</v>
      </c>
      <c r="FQ842" s="1" t="s">
        <v>849</v>
      </c>
      <c r="FR842" s="1" t="s">
        <v>411</v>
      </c>
      <c r="FS842" s="1" t="s">
        <v>9453</v>
      </c>
      <c r="FT842" s="1" t="s">
        <v>9454</v>
      </c>
      <c r="FU842" s="1" t="s">
        <v>204</v>
      </c>
      <c r="FW842" s="1" t="s">
        <v>4898</v>
      </c>
      <c r="FX842" s="1">
        <v>40233</v>
      </c>
      <c r="FY842" s="1" t="s">
        <v>4899</v>
      </c>
      <c r="FZ842" s="1" t="s">
        <v>6842</v>
      </c>
      <c r="GA842" s="1">
        <v>401751</v>
      </c>
      <c r="GB842" s="1" t="s">
        <v>4899</v>
      </c>
      <c r="GE842" s="1" t="s">
        <v>1256</v>
      </c>
      <c r="GI842" s="1" t="s">
        <v>213</v>
      </c>
      <c r="GJ842" s="1" t="s">
        <v>260</v>
      </c>
      <c r="GK842" s="1" t="s">
        <v>210</v>
      </c>
      <c r="GL842" s="2">
        <v>41976</v>
      </c>
      <c r="GM842" s="1" t="s">
        <v>9455</v>
      </c>
    </row>
    <row r="843" spans="1:195">
      <c r="A843" s="1">
        <v>165000</v>
      </c>
      <c r="B843" s="1" t="s">
        <v>195</v>
      </c>
      <c r="C843" s="1" t="str">
        <f>"08543314"</f>
        <v>08543314</v>
      </c>
      <c r="D843" s="1" t="s">
        <v>196</v>
      </c>
      <c r="F843" s="1" t="str">
        <f>"118"</f>
        <v>118</v>
      </c>
      <c r="G843" s="2">
        <v>41694</v>
      </c>
      <c r="H843" s="1">
        <v>179900</v>
      </c>
      <c r="I843" s="1">
        <v>174900</v>
      </c>
      <c r="J843" s="1">
        <v>165000</v>
      </c>
      <c r="K843" s="2">
        <v>41694</v>
      </c>
      <c r="L843" s="1">
        <v>45</v>
      </c>
      <c r="M843" s="2">
        <v>41738</v>
      </c>
      <c r="N843" s="1">
        <v>45</v>
      </c>
      <c r="O843" s="2">
        <v>41738</v>
      </c>
      <c r="P843" s="1">
        <v>98</v>
      </c>
      <c r="Q843" s="1" t="s">
        <v>197</v>
      </c>
      <c r="R843" s="2">
        <v>41978</v>
      </c>
      <c r="S843" s="1">
        <v>77389</v>
      </c>
      <c r="U843" s="1">
        <v>2628</v>
      </c>
      <c r="V843" s="1" t="s">
        <v>3963</v>
      </c>
      <c r="W843" s="1" t="s">
        <v>449</v>
      </c>
      <c r="X843" s="1">
        <v>2628</v>
      </c>
      <c r="Y843" s="1">
        <v>4</v>
      </c>
      <c r="Z843" s="1" t="s">
        <v>249</v>
      </c>
      <c r="AA843" s="1" t="s">
        <v>8447</v>
      </c>
      <c r="AB843" s="1">
        <v>60118</v>
      </c>
      <c r="AD843" s="1" t="s">
        <v>8448</v>
      </c>
      <c r="AE843" s="1" t="s">
        <v>9456</v>
      </c>
      <c r="AF843" s="1">
        <v>2010</v>
      </c>
      <c r="AG843" s="1" t="s">
        <v>204</v>
      </c>
      <c r="AH843" s="1" t="s">
        <v>8450</v>
      </c>
      <c r="AI843" s="1" t="s">
        <v>665</v>
      </c>
      <c r="AJ843" s="1" t="s">
        <v>805</v>
      </c>
      <c r="AK843" s="1" t="s">
        <v>9457</v>
      </c>
      <c r="AL843" s="1">
        <v>5</v>
      </c>
      <c r="AM843" s="1">
        <v>2</v>
      </c>
      <c r="AN843" s="1">
        <v>2</v>
      </c>
      <c r="AO843" s="1">
        <v>0</v>
      </c>
      <c r="AP843" s="1" t="s">
        <v>209</v>
      </c>
      <c r="AR843" s="1" t="s">
        <v>210</v>
      </c>
      <c r="AS843" s="1" t="s">
        <v>204</v>
      </c>
      <c r="AT843" s="1" t="s">
        <v>211</v>
      </c>
      <c r="AU843" s="1">
        <v>2</v>
      </c>
      <c r="AW843" s="1" t="s">
        <v>204</v>
      </c>
      <c r="AX843" s="1" t="s">
        <v>212</v>
      </c>
      <c r="AZ843" s="1">
        <v>6222.14</v>
      </c>
      <c r="BA843" s="1">
        <v>2012</v>
      </c>
      <c r="BB843" s="1" t="s">
        <v>210</v>
      </c>
      <c r="BE843" s="1">
        <v>1985</v>
      </c>
      <c r="BF843" s="1">
        <v>2</v>
      </c>
      <c r="BG843" s="1">
        <v>0</v>
      </c>
      <c r="BL843" s="1">
        <v>220</v>
      </c>
      <c r="BM843" s="1" t="s">
        <v>204</v>
      </c>
      <c r="BN843" s="1" t="s">
        <v>213</v>
      </c>
      <c r="BO843" s="1">
        <v>0</v>
      </c>
      <c r="BP843" s="1" t="s">
        <v>204</v>
      </c>
      <c r="BR843" s="1" t="str">
        <f>"0317481011"</f>
        <v>0317481011</v>
      </c>
      <c r="BT843" s="1" t="s">
        <v>9458</v>
      </c>
      <c r="BU843" s="1" t="s">
        <v>6711</v>
      </c>
      <c r="BV843" s="1" t="s">
        <v>2667</v>
      </c>
      <c r="BW843" s="1" t="s">
        <v>2668</v>
      </c>
      <c r="BX843" s="1">
        <v>300</v>
      </c>
      <c r="BY843" s="1">
        <v>300</v>
      </c>
      <c r="BZ843" s="1">
        <v>300</v>
      </c>
      <c r="CB843" s="1" t="str">
        <f>"17"</f>
        <v>17</v>
      </c>
      <c r="CC843" s="1" t="str">
        <f>""</f>
        <v/>
      </c>
      <c r="CG843" s="1" t="s">
        <v>4082</v>
      </c>
      <c r="CH843" s="1" t="s">
        <v>277</v>
      </c>
      <c r="CI843" s="1" t="s">
        <v>220</v>
      </c>
      <c r="CJ843" s="1" t="s">
        <v>252</v>
      </c>
      <c r="CK843" s="1" t="s">
        <v>2402</v>
      </c>
      <c r="CL843" s="1" t="s">
        <v>277</v>
      </c>
      <c r="CM843" s="1" t="s">
        <v>220</v>
      </c>
      <c r="CN843" s="1" t="s">
        <v>252</v>
      </c>
      <c r="CO843" s="1" t="s">
        <v>539</v>
      </c>
      <c r="CP843" s="1" t="s">
        <v>277</v>
      </c>
      <c r="CQ843" s="1" t="s">
        <v>438</v>
      </c>
      <c r="CR843" s="1" t="s">
        <v>252</v>
      </c>
      <c r="CS843" s="1" t="s">
        <v>757</v>
      </c>
      <c r="CT843" s="1" t="s">
        <v>277</v>
      </c>
      <c r="CU843" s="1" t="s">
        <v>220</v>
      </c>
      <c r="CV843" s="1" t="s">
        <v>252</v>
      </c>
      <c r="CX843" s="1" t="s">
        <v>224</v>
      </c>
      <c r="DB843" s="1" t="s">
        <v>224</v>
      </c>
      <c r="DE843" s="1" t="s">
        <v>1045</v>
      </c>
      <c r="DF843" s="1" t="s">
        <v>277</v>
      </c>
      <c r="DG843" s="1" t="s">
        <v>438</v>
      </c>
      <c r="DH843" s="1" t="s">
        <v>252</v>
      </c>
      <c r="DJ843" s="1" t="s">
        <v>224</v>
      </c>
      <c r="DS843" s="1" t="s">
        <v>230</v>
      </c>
      <c r="DW843" s="1" t="s">
        <v>230</v>
      </c>
      <c r="EA843" s="1" t="s">
        <v>230</v>
      </c>
      <c r="EE843" s="1" t="s">
        <v>230</v>
      </c>
      <c r="EI843" s="1" t="s">
        <v>230</v>
      </c>
      <c r="EL843" s="1" t="s">
        <v>1549</v>
      </c>
      <c r="EM843" s="1" t="s">
        <v>319</v>
      </c>
      <c r="EN843" s="1" t="s">
        <v>282</v>
      </c>
      <c r="EO843" s="1" t="s">
        <v>234</v>
      </c>
      <c r="EP843" s="1" t="s">
        <v>650</v>
      </c>
      <c r="EQ843" s="1" t="s">
        <v>236</v>
      </c>
      <c r="ER843" s="1" t="s">
        <v>210</v>
      </c>
      <c r="ES843" s="1" t="s">
        <v>865</v>
      </c>
      <c r="ET843" s="1" t="s">
        <v>1201</v>
      </c>
      <c r="EU843" s="1" t="s">
        <v>239</v>
      </c>
      <c r="EW843" s="1" t="s">
        <v>887</v>
      </c>
      <c r="EY843" s="1" t="s">
        <v>242</v>
      </c>
      <c r="EZ843" s="1" t="s">
        <v>287</v>
      </c>
      <c r="FA843" s="1" t="s">
        <v>9459</v>
      </c>
      <c r="FB843" s="1" t="s">
        <v>289</v>
      </c>
      <c r="FD843" s="1" t="s">
        <v>246</v>
      </c>
      <c r="FE843" s="1" t="s">
        <v>386</v>
      </c>
      <c r="FF843" s="1" t="s">
        <v>248</v>
      </c>
      <c r="FH843" s="1" t="s">
        <v>249</v>
      </c>
      <c r="FI843" s="1" t="s">
        <v>473</v>
      </c>
      <c r="FL843" s="1" t="s">
        <v>358</v>
      </c>
      <c r="FM843" s="1" t="s">
        <v>252</v>
      </c>
      <c r="FN843" s="1" t="s">
        <v>213</v>
      </c>
      <c r="FO843" s="1" t="s">
        <v>213</v>
      </c>
      <c r="FQ843" s="1" t="s">
        <v>793</v>
      </c>
      <c r="FR843" s="1" t="s">
        <v>360</v>
      </c>
      <c r="FS843" s="1" t="s">
        <v>9460</v>
      </c>
      <c r="FT843" s="1" t="s">
        <v>295</v>
      </c>
      <c r="FU843" s="1" t="s">
        <v>204</v>
      </c>
      <c r="FW843" s="1" t="s">
        <v>7048</v>
      </c>
      <c r="FX843" s="1">
        <v>432</v>
      </c>
      <c r="FY843" s="1" t="s">
        <v>7049</v>
      </c>
      <c r="FZ843" s="1" t="s">
        <v>9461</v>
      </c>
      <c r="GA843" s="1">
        <v>77389</v>
      </c>
      <c r="GB843" s="1" t="s">
        <v>9462</v>
      </c>
      <c r="GE843" s="1" t="s">
        <v>1226</v>
      </c>
      <c r="GI843" s="1" t="s">
        <v>213</v>
      </c>
      <c r="GJ843" s="1" t="s">
        <v>260</v>
      </c>
      <c r="GK843" s="1" t="s">
        <v>210</v>
      </c>
      <c r="GL843" s="2">
        <v>41978</v>
      </c>
      <c r="GM843" s="1" t="s">
        <v>9463</v>
      </c>
    </row>
    <row r="844" spans="1:195">
      <c r="A844" s="1">
        <v>37000</v>
      </c>
      <c r="B844" s="1" t="s">
        <v>195</v>
      </c>
      <c r="C844" s="1" t="str">
        <f>"08542596"</f>
        <v>08542596</v>
      </c>
      <c r="D844" s="1" t="s">
        <v>196</v>
      </c>
      <c r="F844" s="1" t="str">
        <f>"20"</f>
        <v>20</v>
      </c>
      <c r="G844" s="2">
        <v>41693</v>
      </c>
      <c r="H844" s="1">
        <v>29900</v>
      </c>
      <c r="I844" s="1">
        <v>29900</v>
      </c>
      <c r="J844" s="1">
        <v>37000</v>
      </c>
      <c r="K844" s="2">
        <v>41693</v>
      </c>
      <c r="L844" s="1">
        <v>5</v>
      </c>
      <c r="M844" s="2">
        <v>41697</v>
      </c>
      <c r="N844" s="1">
        <v>5</v>
      </c>
      <c r="O844" s="2">
        <v>41697</v>
      </c>
      <c r="P844" s="1">
        <v>2512</v>
      </c>
      <c r="Q844" s="1" t="s">
        <v>302</v>
      </c>
      <c r="R844" s="2">
        <v>42032</v>
      </c>
      <c r="S844" s="1">
        <v>15280</v>
      </c>
      <c r="U844" s="1">
        <v>87</v>
      </c>
      <c r="V844" s="1" t="s">
        <v>9464</v>
      </c>
      <c r="W844" s="1" t="s">
        <v>425</v>
      </c>
      <c r="X844" s="1" t="s">
        <v>800</v>
      </c>
      <c r="Y844" s="1">
        <v>5</v>
      </c>
      <c r="Z844" s="1" t="s">
        <v>370</v>
      </c>
      <c r="AA844" s="1" t="s">
        <v>592</v>
      </c>
      <c r="AB844" s="1">
        <v>60020</v>
      </c>
      <c r="AE844" s="1" t="s">
        <v>9465</v>
      </c>
      <c r="AF844" s="1">
        <v>1977</v>
      </c>
      <c r="AG844" s="1" t="s">
        <v>213</v>
      </c>
      <c r="AH844" s="1" t="s">
        <v>595</v>
      </c>
      <c r="AI844" s="1" t="s">
        <v>509</v>
      </c>
      <c r="AJ844" s="1" t="s">
        <v>1016</v>
      </c>
      <c r="AL844" s="1">
        <v>6</v>
      </c>
      <c r="AM844" s="1">
        <v>2</v>
      </c>
      <c r="AN844" s="1">
        <v>1</v>
      </c>
      <c r="AO844" s="1">
        <v>1</v>
      </c>
      <c r="AP844" s="1" t="s">
        <v>210</v>
      </c>
      <c r="AR844" s="1" t="s">
        <v>210</v>
      </c>
      <c r="AT844" s="1" t="s">
        <v>271</v>
      </c>
      <c r="AV844" s="1">
        <v>2</v>
      </c>
      <c r="AW844" s="1" t="s">
        <v>204</v>
      </c>
      <c r="AX844" s="1" t="s">
        <v>1265</v>
      </c>
      <c r="AZ844" s="1">
        <v>480.4</v>
      </c>
      <c r="BA844" s="1">
        <v>2012</v>
      </c>
      <c r="BE844" s="1">
        <v>1092</v>
      </c>
      <c r="BF844" s="1">
        <v>1</v>
      </c>
      <c r="BG844" s="1">
        <v>0</v>
      </c>
      <c r="BL844" s="1">
        <v>220</v>
      </c>
      <c r="BM844" s="1" t="s">
        <v>413</v>
      </c>
      <c r="BN844" s="1" t="s">
        <v>213</v>
      </c>
      <c r="BO844" s="1" t="s">
        <v>5814</v>
      </c>
      <c r="BP844" s="1" t="s">
        <v>204</v>
      </c>
      <c r="BR844" s="1" t="str">
        <f>"05033000580000"</f>
        <v>05033000580000</v>
      </c>
      <c r="BW844" s="1" t="s">
        <v>2264</v>
      </c>
      <c r="BX844" s="1">
        <v>114</v>
      </c>
      <c r="BY844" s="1">
        <v>114</v>
      </c>
      <c r="BZ844" s="1">
        <v>124</v>
      </c>
      <c r="CB844" s="1" t="str">
        <f t="shared" ref="CB844:CC844" si="658">""</f>
        <v/>
      </c>
      <c r="CC844" s="1" t="str">
        <f t="shared" si="658"/>
        <v/>
      </c>
      <c r="CG844" s="1" t="s">
        <v>221</v>
      </c>
      <c r="CH844" s="1" t="s">
        <v>219</v>
      </c>
      <c r="CK844" s="1" t="s">
        <v>669</v>
      </c>
      <c r="CL844" s="1" t="s">
        <v>277</v>
      </c>
      <c r="CO844" s="1" t="s">
        <v>516</v>
      </c>
      <c r="CP844" s="1" t="s">
        <v>219</v>
      </c>
      <c r="CS844" s="1" t="s">
        <v>932</v>
      </c>
      <c r="CT844" s="1" t="s">
        <v>784</v>
      </c>
      <c r="CX844" s="1" t="s">
        <v>224</v>
      </c>
      <c r="DB844" s="1" t="s">
        <v>224</v>
      </c>
      <c r="DE844" s="1" t="s">
        <v>785</v>
      </c>
      <c r="DF844" s="1" t="s">
        <v>219</v>
      </c>
      <c r="DJ844" s="1" t="s">
        <v>224</v>
      </c>
      <c r="DM844" s="1" t="s">
        <v>1005</v>
      </c>
      <c r="DR844" s="1" t="s">
        <v>2138</v>
      </c>
      <c r="DS844" s="1" t="s">
        <v>277</v>
      </c>
      <c r="DW844" s="1" t="s">
        <v>230</v>
      </c>
      <c r="EA844" s="1" t="s">
        <v>230</v>
      </c>
      <c r="EE844" s="1" t="s">
        <v>230</v>
      </c>
      <c r="EI844" s="1" t="s">
        <v>230</v>
      </c>
      <c r="EL844" s="1" t="s">
        <v>231</v>
      </c>
      <c r="EM844" s="1" t="s">
        <v>319</v>
      </c>
      <c r="EN844" s="1" t="s">
        <v>282</v>
      </c>
      <c r="EO844" s="1" t="s">
        <v>234</v>
      </c>
      <c r="ER844" s="1" t="s">
        <v>210</v>
      </c>
      <c r="EW844" s="1" t="s">
        <v>9466</v>
      </c>
      <c r="EZ844" s="1" t="s">
        <v>1005</v>
      </c>
      <c r="FD844" s="1" t="s">
        <v>246</v>
      </c>
      <c r="FE844" s="1" t="s">
        <v>472</v>
      </c>
      <c r="FF844" s="1" t="s">
        <v>248</v>
      </c>
      <c r="FH844" s="1" t="s">
        <v>249</v>
      </c>
      <c r="FL844" s="1" t="s">
        <v>358</v>
      </c>
      <c r="FM844" s="1" t="s">
        <v>252</v>
      </c>
      <c r="FN844" s="1" t="s">
        <v>213</v>
      </c>
      <c r="FO844" s="1" t="s">
        <v>213</v>
      </c>
      <c r="FQ844" s="1" t="s">
        <v>793</v>
      </c>
      <c r="FR844" s="1" t="s">
        <v>360</v>
      </c>
      <c r="FS844" s="1" t="s">
        <v>9467</v>
      </c>
      <c r="FT844" s="1" t="s">
        <v>9468</v>
      </c>
      <c r="FU844" s="1" t="s">
        <v>204</v>
      </c>
      <c r="FW844" s="1" t="s">
        <v>9076</v>
      </c>
      <c r="FX844" s="1">
        <v>2512</v>
      </c>
      <c r="FY844" s="1" t="s">
        <v>9077</v>
      </c>
      <c r="FZ844" s="1" t="s">
        <v>9469</v>
      </c>
      <c r="GA844" s="1">
        <v>11383</v>
      </c>
      <c r="GB844" s="1" t="s">
        <v>9470</v>
      </c>
      <c r="GE844" s="1" t="s">
        <v>1256</v>
      </c>
      <c r="GI844" s="1" t="s">
        <v>213</v>
      </c>
      <c r="GJ844" s="1" t="s">
        <v>260</v>
      </c>
      <c r="GK844" s="1" t="s">
        <v>210</v>
      </c>
      <c r="GL844" s="2">
        <v>42032</v>
      </c>
      <c r="GM844" s="1" t="s">
        <v>397</v>
      </c>
    </row>
    <row r="845" spans="1:195">
      <c r="A845" s="1">
        <v>93000</v>
      </c>
      <c r="B845" s="1" t="s">
        <v>195</v>
      </c>
      <c r="C845" s="1" t="str">
        <f>"08552067"</f>
        <v>08552067</v>
      </c>
      <c r="D845" s="1" t="s">
        <v>196</v>
      </c>
      <c r="F845" s="1" t="str">
        <f>"531"</f>
        <v>531</v>
      </c>
      <c r="G845" s="2">
        <v>41705</v>
      </c>
      <c r="H845" s="1">
        <v>109999</v>
      </c>
      <c r="I845" s="1">
        <v>99900</v>
      </c>
      <c r="J845" s="1">
        <v>93000</v>
      </c>
      <c r="K845" s="2">
        <v>41705</v>
      </c>
      <c r="L845" s="1">
        <v>352</v>
      </c>
      <c r="M845" s="2">
        <v>42056</v>
      </c>
      <c r="N845" s="1">
        <v>352</v>
      </c>
      <c r="O845" s="2">
        <v>42056</v>
      </c>
      <c r="P845" s="1">
        <v>24167</v>
      </c>
      <c r="Q845" s="1" t="s">
        <v>197</v>
      </c>
      <c r="R845" s="2">
        <v>42139</v>
      </c>
      <c r="S845" s="1">
        <v>229145</v>
      </c>
      <c r="U845" s="1">
        <v>7221</v>
      </c>
      <c r="V845" s="1" t="s">
        <v>5770</v>
      </c>
      <c r="W845" s="1" t="s">
        <v>1056</v>
      </c>
      <c r="X845" s="1" t="s">
        <v>9471</v>
      </c>
      <c r="Y845" s="1">
        <v>48</v>
      </c>
      <c r="Z845" s="1" t="s">
        <v>249</v>
      </c>
      <c r="AA845" s="1" t="s">
        <v>2326</v>
      </c>
      <c r="AB845" s="1">
        <v>60525</v>
      </c>
      <c r="AD845" s="1" t="s">
        <v>2325</v>
      </c>
      <c r="AE845" s="1" t="s">
        <v>9472</v>
      </c>
      <c r="AF845" s="1">
        <v>1975</v>
      </c>
      <c r="AG845" s="1" t="s">
        <v>213</v>
      </c>
      <c r="AH845" s="1" t="s">
        <v>2329</v>
      </c>
      <c r="AI845" s="1" t="s">
        <v>310</v>
      </c>
      <c r="AJ845" s="1" t="s">
        <v>702</v>
      </c>
      <c r="AL845" s="1">
        <v>5</v>
      </c>
      <c r="AM845" s="1">
        <v>2</v>
      </c>
      <c r="AN845" s="1">
        <v>2</v>
      </c>
      <c r="AO845" s="1">
        <v>0</v>
      </c>
      <c r="AP845" s="1" t="s">
        <v>209</v>
      </c>
      <c r="AR845" s="1" t="s">
        <v>210</v>
      </c>
      <c r="AS845" s="1" t="s">
        <v>204</v>
      </c>
      <c r="AT845" s="1" t="s">
        <v>271</v>
      </c>
      <c r="AV845" s="1">
        <v>2</v>
      </c>
      <c r="AW845" s="1" t="s">
        <v>204</v>
      </c>
      <c r="AX845" s="1" t="s">
        <v>212</v>
      </c>
      <c r="AZ845" s="1">
        <v>2129.89</v>
      </c>
      <c r="BA845" s="1">
        <v>2013</v>
      </c>
      <c r="BB845" s="1" t="s">
        <v>405</v>
      </c>
      <c r="BE845" s="1">
        <v>0</v>
      </c>
      <c r="BF845" s="1">
        <v>3</v>
      </c>
      <c r="BG845" s="1">
        <v>30</v>
      </c>
      <c r="BL845" s="1">
        <v>297</v>
      </c>
      <c r="BM845" s="1" t="s">
        <v>204</v>
      </c>
      <c r="BN845" s="1" t="s">
        <v>213</v>
      </c>
      <c r="BO845" s="1">
        <v>20</v>
      </c>
      <c r="BP845" s="1" t="s">
        <v>204</v>
      </c>
      <c r="BR845" s="1" t="str">
        <f>"18291010171079"</f>
        <v>18291010171079</v>
      </c>
      <c r="BT845" s="1" t="s">
        <v>9473</v>
      </c>
      <c r="BU845" s="1" t="s">
        <v>704</v>
      </c>
      <c r="BV845" s="1" t="s">
        <v>705</v>
      </c>
      <c r="BW845" s="1" t="s">
        <v>706</v>
      </c>
      <c r="BX845" s="1">
        <v>107</v>
      </c>
      <c r="BY845" s="1">
        <v>107</v>
      </c>
      <c r="BZ845" s="1">
        <v>204</v>
      </c>
      <c r="CB845" s="1" t="str">
        <f t="shared" ref="CB845:CC845" si="659">""</f>
        <v/>
      </c>
      <c r="CC845" s="1" t="str">
        <f t="shared" si="659"/>
        <v/>
      </c>
      <c r="CG845" s="1" t="s">
        <v>4225</v>
      </c>
      <c r="CH845" s="1" t="s">
        <v>219</v>
      </c>
      <c r="CI845" s="1" t="s">
        <v>220</v>
      </c>
      <c r="CK845" s="1" t="s">
        <v>759</v>
      </c>
      <c r="CL845" s="1" t="s">
        <v>219</v>
      </c>
      <c r="CM845" s="1" t="s">
        <v>220</v>
      </c>
      <c r="CO845" s="1" t="s">
        <v>318</v>
      </c>
      <c r="CP845" s="1" t="s">
        <v>219</v>
      </c>
      <c r="CQ845" s="1" t="s">
        <v>220</v>
      </c>
      <c r="CS845" s="1" t="s">
        <v>2122</v>
      </c>
      <c r="CT845" s="1" t="s">
        <v>219</v>
      </c>
      <c r="CU845" s="1" t="s">
        <v>220</v>
      </c>
      <c r="CX845" s="1" t="s">
        <v>224</v>
      </c>
      <c r="DB845" s="1" t="s">
        <v>224</v>
      </c>
      <c r="DE845" s="1" t="s">
        <v>318</v>
      </c>
      <c r="DF845" s="1" t="s">
        <v>219</v>
      </c>
      <c r="DG845" s="1" t="s">
        <v>226</v>
      </c>
      <c r="DJ845" s="1" t="s">
        <v>224</v>
      </c>
      <c r="DS845" s="1" t="s">
        <v>230</v>
      </c>
      <c r="DW845" s="1" t="s">
        <v>230</v>
      </c>
      <c r="EA845" s="1" t="s">
        <v>230</v>
      </c>
      <c r="EE845" s="1" t="s">
        <v>230</v>
      </c>
      <c r="EI845" s="1" t="s">
        <v>230</v>
      </c>
      <c r="EL845" s="1" t="s">
        <v>231</v>
      </c>
      <c r="EM845" s="1" t="s">
        <v>319</v>
      </c>
      <c r="EN845" s="1" t="s">
        <v>1158</v>
      </c>
      <c r="EO845" s="1" t="s">
        <v>234</v>
      </c>
      <c r="EP845" s="1" t="s">
        <v>9474</v>
      </c>
      <c r="EQ845" s="1" t="s">
        <v>953</v>
      </c>
      <c r="ER845" s="1" t="s">
        <v>210</v>
      </c>
      <c r="ES845" s="1" t="s">
        <v>322</v>
      </c>
      <c r="EV845" s="1" t="s">
        <v>324</v>
      </c>
      <c r="EW845" s="1" t="s">
        <v>9475</v>
      </c>
      <c r="EY845" s="1" t="s">
        <v>242</v>
      </c>
      <c r="EZ845" s="1" t="s">
        <v>287</v>
      </c>
      <c r="FB845" s="1" t="s">
        <v>289</v>
      </c>
      <c r="FD845" s="1" t="s">
        <v>290</v>
      </c>
      <c r="FE845" s="1" t="s">
        <v>247</v>
      </c>
      <c r="FF845" s="1" t="s">
        <v>248</v>
      </c>
      <c r="FH845" s="1" t="s">
        <v>249</v>
      </c>
      <c r="FK845" s="1" t="s">
        <v>6240</v>
      </c>
      <c r="FL845" s="1" t="s">
        <v>328</v>
      </c>
      <c r="FM845" s="1" t="s">
        <v>252</v>
      </c>
      <c r="FN845" s="1" t="s">
        <v>213</v>
      </c>
      <c r="FO845" s="1" t="s">
        <v>213</v>
      </c>
      <c r="FQ845" s="1" t="s">
        <v>717</v>
      </c>
      <c r="FR845" s="1" t="s">
        <v>210</v>
      </c>
      <c r="FS845" s="1" t="s">
        <v>9476</v>
      </c>
      <c r="FT845" s="1" t="s">
        <v>691</v>
      </c>
      <c r="FU845" s="1" t="s">
        <v>204</v>
      </c>
      <c r="FV845" s="1" t="s">
        <v>9477</v>
      </c>
      <c r="FW845" s="1" t="s">
        <v>915</v>
      </c>
      <c r="FX845" s="1">
        <v>22049</v>
      </c>
      <c r="FY845" s="1" t="s">
        <v>4731</v>
      </c>
      <c r="FZ845" s="1" t="s">
        <v>9478</v>
      </c>
      <c r="GA845" s="1">
        <v>212552</v>
      </c>
      <c r="GB845" s="1" t="s">
        <v>9479</v>
      </c>
      <c r="GE845" s="1" t="s">
        <v>335</v>
      </c>
      <c r="GI845" s="1" t="s">
        <v>213</v>
      </c>
      <c r="GJ845" s="1" t="s">
        <v>260</v>
      </c>
      <c r="GK845" s="1" t="s">
        <v>210</v>
      </c>
      <c r="GL845" s="2">
        <v>42140</v>
      </c>
      <c r="GM845" s="1" t="s">
        <v>9480</v>
      </c>
    </row>
    <row r="846" spans="1:195">
      <c r="A846" s="1">
        <v>260000</v>
      </c>
      <c r="B846" s="1" t="s">
        <v>195</v>
      </c>
      <c r="C846" s="1" t="str">
        <f>"08552636"</f>
        <v>08552636</v>
      </c>
      <c r="D846" s="1" t="s">
        <v>196</v>
      </c>
      <c r="F846" s="1" t="str">
        <f>"515"</f>
        <v>515</v>
      </c>
      <c r="G846" s="2">
        <v>41705</v>
      </c>
      <c r="H846" s="1">
        <v>309000</v>
      </c>
      <c r="I846" s="1">
        <v>289900</v>
      </c>
      <c r="J846" s="1">
        <v>260000</v>
      </c>
      <c r="K846" s="2">
        <v>41705</v>
      </c>
      <c r="L846" s="1">
        <v>292</v>
      </c>
      <c r="M846" s="2">
        <v>41996</v>
      </c>
      <c r="N846" s="1">
        <v>292</v>
      </c>
      <c r="O846" s="2">
        <v>41996</v>
      </c>
      <c r="P846" s="1">
        <v>22205</v>
      </c>
      <c r="Q846" s="1" t="s">
        <v>302</v>
      </c>
      <c r="R846" s="2">
        <v>42030</v>
      </c>
      <c r="S846" s="1">
        <v>238163</v>
      </c>
      <c r="U846" s="1">
        <v>1036</v>
      </c>
      <c r="V846" s="1" t="s">
        <v>6599</v>
      </c>
      <c r="W846" s="1" t="s">
        <v>264</v>
      </c>
      <c r="Y846" s="1">
        <v>6</v>
      </c>
      <c r="Z846" s="1" t="s">
        <v>249</v>
      </c>
      <c r="AA846" s="1" t="s">
        <v>1294</v>
      </c>
      <c r="AB846" s="1">
        <v>60515</v>
      </c>
      <c r="AD846" s="1" t="s">
        <v>9481</v>
      </c>
      <c r="AE846" s="1" t="s">
        <v>9482</v>
      </c>
      <c r="AF846" s="1">
        <v>1987</v>
      </c>
      <c r="AG846" s="1" t="s">
        <v>204</v>
      </c>
      <c r="AH846" s="1" t="s">
        <v>903</v>
      </c>
      <c r="AI846" s="1" t="s">
        <v>206</v>
      </c>
      <c r="AJ846" s="1" t="s">
        <v>1608</v>
      </c>
      <c r="AK846" s="1" t="s">
        <v>527</v>
      </c>
      <c r="AL846" s="1">
        <v>6</v>
      </c>
      <c r="AM846" s="1">
        <v>2</v>
      </c>
      <c r="AN846" s="1">
        <v>2</v>
      </c>
      <c r="AO846" s="1">
        <v>0</v>
      </c>
      <c r="AP846" s="1" t="s">
        <v>209</v>
      </c>
      <c r="AQ846" s="1">
        <v>1</v>
      </c>
      <c r="AR846" s="1" t="s">
        <v>210</v>
      </c>
      <c r="AS846" s="1" t="s">
        <v>204</v>
      </c>
      <c r="AT846" s="1" t="s">
        <v>211</v>
      </c>
      <c r="AU846" s="1">
        <v>1</v>
      </c>
      <c r="AW846" s="1" t="s">
        <v>204</v>
      </c>
      <c r="AX846" s="1" t="s">
        <v>212</v>
      </c>
      <c r="AZ846" s="1">
        <v>3605</v>
      </c>
      <c r="BA846" s="1">
        <v>2013</v>
      </c>
      <c r="BB846" s="1" t="s">
        <v>3996</v>
      </c>
      <c r="BE846" s="1">
        <v>1776</v>
      </c>
      <c r="BF846" s="1">
        <v>1</v>
      </c>
      <c r="BG846" s="1">
        <v>7</v>
      </c>
      <c r="BL846" s="1">
        <v>345</v>
      </c>
      <c r="BM846" s="1" t="s">
        <v>204</v>
      </c>
      <c r="BN846" s="1" t="s">
        <v>213</v>
      </c>
      <c r="BO846" s="1">
        <v>99</v>
      </c>
      <c r="BP846" s="1" t="s">
        <v>204</v>
      </c>
      <c r="BR846" s="1" t="str">
        <f>"0632110041"</f>
        <v>0632110041</v>
      </c>
      <c r="BT846" s="1" t="s">
        <v>9483</v>
      </c>
      <c r="BU846" s="1" t="s">
        <v>9484</v>
      </c>
      <c r="BV846" s="1" t="s">
        <v>2761</v>
      </c>
      <c r="BW846" s="1" t="s">
        <v>2762</v>
      </c>
      <c r="BX846" s="1">
        <v>58</v>
      </c>
      <c r="BY846" s="1">
        <v>58</v>
      </c>
      <c r="BZ846" s="1">
        <v>99</v>
      </c>
      <c r="CB846" s="1" t="str">
        <f t="shared" ref="CB846:CC846" si="660">"0"</f>
        <v>0</v>
      </c>
      <c r="CC846" s="1" t="str">
        <f t="shared" si="660"/>
        <v>0</v>
      </c>
      <c r="CD846" s="1">
        <v>20</v>
      </c>
      <c r="CE846" s="1">
        <v>3</v>
      </c>
      <c r="CG846" s="1" t="s">
        <v>218</v>
      </c>
      <c r="CH846" s="1" t="s">
        <v>219</v>
      </c>
      <c r="CI846" s="1" t="s">
        <v>438</v>
      </c>
      <c r="CJ846" s="1" t="s">
        <v>2449</v>
      </c>
      <c r="CK846" s="1" t="s">
        <v>885</v>
      </c>
      <c r="CL846" s="1" t="s">
        <v>219</v>
      </c>
      <c r="CM846" s="1" t="s">
        <v>438</v>
      </c>
      <c r="CN846" s="1" t="s">
        <v>2449</v>
      </c>
      <c r="CO846" s="1" t="s">
        <v>885</v>
      </c>
      <c r="CP846" s="1" t="s">
        <v>219</v>
      </c>
      <c r="CQ846" s="1" t="s">
        <v>438</v>
      </c>
      <c r="CR846" s="1" t="s">
        <v>210</v>
      </c>
      <c r="CS846" s="1" t="s">
        <v>461</v>
      </c>
      <c r="CT846" s="1" t="s">
        <v>219</v>
      </c>
      <c r="CU846" s="1" t="s">
        <v>438</v>
      </c>
      <c r="CV846" s="1" t="s">
        <v>2449</v>
      </c>
      <c r="CX846" s="1" t="s">
        <v>224</v>
      </c>
      <c r="DB846" s="1" t="s">
        <v>224</v>
      </c>
      <c r="DE846" s="1" t="s">
        <v>1297</v>
      </c>
      <c r="DF846" s="1" t="s">
        <v>219</v>
      </c>
      <c r="DG846" s="1" t="s">
        <v>229</v>
      </c>
      <c r="DJ846" s="1" t="s">
        <v>224</v>
      </c>
      <c r="DM846" s="1" t="s">
        <v>1548</v>
      </c>
      <c r="DR846" s="1" t="s">
        <v>379</v>
      </c>
      <c r="DS846" s="1" t="s">
        <v>219</v>
      </c>
      <c r="DT846" s="1" t="s">
        <v>229</v>
      </c>
      <c r="DU846" s="1" t="s">
        <v>2449</v>
      </c>
      <c r="DW846" s="1" t="s">
        <v>230</v>
      </c>
      <c r="EA846" s="1" t="s">
        <v>230</v>
      </c>
      <c r="EE846" s="1" t="s">
        <v>230</v>
      </c>
      <c r="EI846" s="1" t="s">
        <v>230</v>
      </c>
      <c r="EL846" s="1" t="s">
        <v>542</v>
      </c>
      <c r="EM846" s="1" t="s">
        <v>232</v>
      </c>
      <c r="EN846" s="1" t="s">
        <v>282</v>
      </c>
      <c r="EO846" s="1" t="s">
        <v>234</v>
      </c>
      <c r="EQ846" s="1" t="s">
        <v>9485</v>
      </c>
      <c r="ER846" s="1" t="s">
        <v>210</v>
      </c>
      <c r="ES846" s="1" t="s">
        <v>3932</v>
      </c>
      <c r="ET846" s="1" t="s">
        <v>866</v>
      </c>
      <c r="EU846" s="1" t="s">
        <v>1573</v>
      </c>
      <c r="EV846" s="1" t="s">
        <v>324</v>
      </c>
      <c r="EW846" s="1" t="s">
        <v>9486</v>
      </c>
      <c r="EY846" s="1" t="s">
        <v>242</v>
      </c>
      <c r="EZ846" s="1" t="s">
        <v>1548</v>
      </c>
      <c r="FA846" s="1" t="s">
        <v>2220</v>
      </c>
      <c r="FC846" s="1" t="s">
        <v>1362</v>
      </c>
      <c r="FD846" s="1" t="s">
        <v>246</v>
      </c>
      <c r="FE846" s="1" t="s">
        <v>549</v>
      </c>
      <c r="FF846" s="1" t="s">
        <v>248</v>
      </c>
      <c r="FG846" s="1" t="s">
        <v>912</v>
      </c>
      <c r="FH846" s="1" t="s">
        <v>2221</v>
      </c>
      <c r="FI846" s="1" t="s">
        <v>357</v>
      </c>
      <c r="FL846" s="1" t="s">
        <v>358</v>
      </c>
      <c r="FM846" s="1" t="s">
        <v>252</v>
      </c>
      <c r="FN846" s="1" t="s">
        <v>213</v>
      </c>
      <c r="FO846" s="1" t="s">
        <v>213</v>
      </c>
      <c r="FQ846" s="1" t="s">
        <v>4699</v>
      </c>
      <c r="FR846" s="1" t="s">
        <v>210</v>
      </c>
      <c r="FS846" s="1" t="s">
        <v>9487</v>
      </c>
      <c r="FT846" s="1" t="s">
        <v>9488</v>
      </c>
      <c r="FU846" s="1" t="s">
        <v>204</v>
      </c>
      <c r="FW846" s="1" t="s">
        <v>1961</v>
      </c>
      <c r="FX846" s="1">
        <v>20150</v>
      </c>
      <c r="FY846" s="1" t="s">
        <v>1962</v>
      </c>
      <c r="FZ846" s="1" t="s">
        <v>7017</v>
      </c>
      <c r="GA846" s="1">
        <v>213695</v>
      </c>
      <c r="GB846" s="1" t="s">
        <v>7018</v>
      </c>
      <c r="GE846" s="1" t="s">
        <v>1379</v>
      </c>
      <c r="GI846" s="1" t="s">
        <v>213</v>
      </c>
      <c r="GJ846" s="1" t="s">
        <v>260</v>
      </c>
      <c r="GK846" s="1" t="s">
        <v>261</v>
      </c>
      <c r="GL846" s="2">
        <v>42032</v>
      </c>
      <c r="GM846" s="1" t="s">
        <v>9489</v>
      </c>
    </row>
    <row r="847" spans="1:195">
      <c r="A847" s="1">
        <v>138000</v>
      </c>
      <c r="B847" s="1" t="s">
        <v>195</v>
      </c>
      <c r="C847" s="1" t="str">
        <f>"08545637"</f>
        <v>08545637</v>
      </c>
      <c r="D847" s="1" t="s">
        <v>196</v>
      </c>
      <c r="F847" s="1" t="str">
        <f>"123"</f>
        <v>123</v>
      </c>
      <c r="G847" s="2">
        <v>41697</v>
      </c>
      <c r="H847" s="1">
        <v>140000</v>
      </c>
      <c r="I847" s="1">
        <v>140000</v>
      </c>
      <c r="J847" s="1">
        <v>138000</v>
      </c>
      <c r="K847" s="2">
        <v>41695</v>
      </c>
      <c r="L847" s="1">
        <v>139</v>
      </c>
      <c r="M847" s="2">
        <v>41833</v>
      </c>
      <c r="N847" s="1">
        <v>139</v>
      </c>
      <c r="O847" s="2">
        <v>41833</v>
      </c>
      <c r="P847" s="1">
        <v>8970</v>
      </c>
      <c r="Q847" s="1" t="s">
        <v>423</v>
      </c>
      <c r="R847" s="2">
        <v>41969</v>
      </c>
      <c r="S847" s="1">
        <v>89188</v>
      </c>
      <c r="U847" s="1">
        <v>3346</v>
      </c>
      <c r="V847" s="1" t="s">
        <v>9490</v>
      </c>
      <c r="W847" s="1" t="s">
        <v>264</v>
      </c>
      <c r="Y847" s="1">
        <v>6</v>
      </c>
      <c r="Z847" s="1" t="s">
        <v>249</v>
      </c>
      <c r="AA847" s="1" t="s">
        <v>1173</v>
      </c>
      <c r="AB847" s="1">
        <v>60124</v>
      </c>
      <c r="AD847" s="1" t="s">
        <v>9491</v>
      </c>
      <c r="AE847" s="1" t="s">
        <v>9492</v>
      </c>
      <c r="AF847" s="1">
        <v>2008</v>
      </c>
      <c r="AG847" s="1" t="s">
        <v>204</v>
      </c>
      <c r="AH847" s="1" t="s">
        <v>1175</v>
      </c>
      <c r="AI847" s="1" t="s">
        <v>665</v>
      </c>
      <c r="AJ847" s="1" t="s">
        <v>1175</v>
      </c>
      <c r="AK847" s="1" t="s">
        <v>1931</v>
      </c>
      <c r="AL847" s="1">
        <v>6</v>
      </c>
      <c r="AM847" s="1">
        <v>2</v>
      </c>
      <c r="AN847" s="1">
        <v>2</v>
      </c>
      <c r="AO847" s="1">
        <v>1</v>
      </c>
      <c r="AP847" s="1" t="s">
        <v>209</v>
      </c>
      <c r="AR847" s="1" t="s">
        <v>210</v>
      </c>
      <c r="AS847" s="1" t="s">
        <v>204</v>
      </c>
      <c r="AT847" s="1" t="s">
        <v>211</v>
      </c>
      <c r="AU847" s="1">
        <v>2</v>
      </c>
      <c r="AW847" s="1" t="s">
        <v>204</v>
      </c>
      <c r="AX847" s="1" t="s">
        <v>4740</v>
      </c>
      <c r="AZ847" s="1">
        <v>4390.92</v>
      </c>
      <c r="BA847" s="1">
        <v>2012</v>
      </c>
      <c r="BB847" s="1" t="s">
        <v>405</v>
      </c>
      <c r="BE847" s="1">
        <v>1721</v>
      </c>
      <c r="BF847" s="1">
        <v>1</v>
      </c>
      <c r="BG847" s="1">
        <v>0</v>
      </c>
      <c r="BL847" s="1">
        <v>166</v>
      </c>
      <c r="BM847" s="1" t="s">
        <v>204</v>
      </c>
      <c r="BN847" s="1" t="s">
        <v>213</v>
      </c>
      <c r="BO847" s="1">
        <v>999</v>
      </c>
      <c r="BP847" s="1" t="s">
        <v>204</v>
      </c>
      <c r="BR847" s="1" t="str">
        <f>"0618226038"</f>
        <v>0618226038</v>
      </c>
      <c r="BT847" s="1" t="s">
        <v>9493</v>
      </c>
      <c r="BU847" s="1" t="s">
        <v>9494</v>
      </c>
      <c r="BV847" s="1" t="s">
        <v>9495</v>
      </c>
      <c r="BW847" s="1" t="s">
        <v>9496</v>
      </c>
      <c r="BX847" s="1">
        <v>301</v>
      </c>
      <c r="BY847" s="1">
        <v>301</v>
      </c>
      <c r="BZ847" s="1">
        <v>301</v>
      </c>
      <c r="CB847" s="1" t="str">
        <f>"10"</f>
        <v>10</v>
      </c>
      <c r="CC847" s="1" t="str">
        <f>"0"</f>
        <v>0</v>
      </c>
      <c r="CD847" s="1">
        <v>38</v>
      </c>
      <c r="CE847" s="1">
        <v>0</v>
      </c>
      <c r="CG847" s="1" t="s">
        <v>602</v>
      </c>
      <c r="CH847" s="1" t="s">
        <v>219</v>
      </c>
      <c r="CI847" s="1" t="s">
        <v>220</v>
      </c>
      <c r="CJ847" s="1" t="s">
        <v>252</v>
      </c>
      <c r="CK847" s="1" t="s">
        <v>377</v>
      </c>
      <c r="CL847" s="1" t="s">
        <v>277</v>
      </c>
      <c r="CM847" s="1" t="s">
        <v>220</v>
      </c>
      <c r="CN847" s="1" t="s">
        <v>210</v>
      </c>
      <c r="CO847" s="1" t="s">
        <v>346</v>
      </c>
      <c r="CP847" s="1" t="s">
        <v>219</v>
      </c>
      <c r="CQ847" s="1" t="s">
        <v>220</v>
      </c>
      <c r="CS847" s="1" t="s">
        <v>461</v>
      </c>
      <c r="CT847" s="1" t="s">
        <v>277</v>
      </c>
      <c r="CU847" s="1" t="s">
        <v>220</v>
      </c>
      <c r="CV847" s="1" t="s">
        <v>210</v>
      </c>
      <c r="CX847" s="1" t="s">
        <v>224</v>
      </c>
      <c r="DB847" s="1" t="s">
        <v>224</v>
      </c>
      <c r="DE847" s="1" t="s">
        <v>437</v>
      </c>
      <c r="DF847" s="1" t="s">
        <v>219</v>
      </c>
      <c r="DG847" s="1" t="s">
        <v>226</v>
      </c>
      <c r="DH847" s="1" t="s">
        <v>252</v>
      </c>
      <c r="DI847" s="1" t="s">
        <v>221</v>
      </c>
      <c r="DJ847" s="1" t="s">
        <v>822</v>
      </c>
      <c r="DK847" s="1" t="s">
        <v>220</v>
      </c>
      <c r="DL847" s="1" t="s">
        <v>252</v>
      </c>
      <c r="DS847" s="1" t="s">
        <v>230</v>
      </c>
      <c r="DW847" s="1" t="s">
        <v>230</v>
      </c>
      <c r="EA847" s="1" t="s">
        <v>230</v>
      </c>
      <c r="EE847" s="1" t="s">
        <v>230</v>
      </c>
      <c r="EI847" s="1" t="s">
        <v>230</v>
      </c>
      <c r="EL847" s="1" t="s">
        <v>491</v>
      </c>
      <c r="EM847" s="1" t="s">
        <v>319</v>
      </c>
      <c r="EN847" s="1" t="s">
        <v>282</v>
      </c>
      <c r="EO847" s="1" t="s">
        <v>234</v>
      </c>
      <c r="EP847" s="1" t="s">
        <v>650</v>
      </c>
      <c r="EQ847" s="1" t="s">
        <v>236</v>
      </c>
      <c r="ER847" s="1" t="s">
        <v>210</v>
      </c>
      <c r="ES847" s="1" t="s">
        <v>322</v>
      </c>
      <c r="ET847" s="1" t="s">
        <v>842</v>
      </c>
      <c r="EU847" s="1" t="s">
        <v>712</v>
      </c>
      <c r="EV847" s="1" t="s">
        <v>240</v>
      </c>
      <c r="EW847" s="1" t="s">
        <v>867</v>
      </c>
      <c r="EY847" s="1" t="s">
        <v>790</v>
      </c>
      <c r="EZ847" s="1" t="s">
        <v>287</v>
      </c>
      <c r="FA847" s="1" t="s">
        <v>714</v>
      </c>
      <c r="FB847" s="1" t="s">
        <v>289</v>
      </c>
      <c r="FD847" s="1" t="s">
        <v>9497</v>
      </c>
      <c r="FE847" s="1" t="s">
        <v>247</v>
      </c>
      <c r="FF847" s="1" t="s">
        <v>248</v>
      </c>
      <c r="FH847" s="1" t="s">
        <v>249</v>
      </c>
      <c r="FI847" s="1" t="s">
        <v>473</v>
      </c>
      <c r="FJ847" s="1" t="s">
        <v>518</v>
      </c>
      <c r="FL847" s="1" t="s">
        <v>358</v>
      </c>
      <c r="FM847" s="1" t="s">
        <v>252</v>
      </c>
      <c r="FN847" s="1" t="s">
        <v>213</v>
      </c>
      <c r="FO847" s="1" t="s">
        <v>213</v>
      </c>
      <c r="FQ847" s="1" t="s">
        <v>329</v>
      </c>
      <c r="FR847" s="1" t="s">
        <v>360</v>
      </c>
      <c r="FS847" s="1" t="s">
        <v>4138</v>
      </c>
      <c r="FT847" s="1" t="s">
        <v>295</v>
      </c>
      <c r="FU847" s="1" t="s">
        <v>204</v>
      </c>
      <c r="FW847" s="1" t="s">
        <v>554</v>
      </c>
      <c r="FX847" s="1">
        <v>5042</v>
      </c>
      <c r="FY847" s="1" t="s">
        <v>5013</v>
      </c>
      <c r="FZ847" s="1" t="s">
        <v>9498</v>
      </c>
      <c r="GA847" s="1">
        <v>52187</v>
      </c>
      <c r="GB847" s="1" t="s">
        <v>9499</v>
      </c>
      <c r="GD847" s="1" t="s">
        <v>9500</v>
      </c>
      <c r="GE847" s="1" t="s">
        <v>480</v>
      </c>
      <c r="GI847" s="1" t="s">
        <v>213</v>
      </c>
      <c r="GJ847" s="1" t="s">
        <v>260</v>
      </c>
      <c r="GK847" s="1" t="s">
        <v>210</v>
      </c>
      <c r="GL847" s="2">
        <v>41969</v>
      </c>
      <c r="GM847" s="1" t="s">
        <v>397</v>
      </c>
    </row>
    <row r="848" spans="1:195">
      <c r="A848" s="1">
        <v>95000</v>
      </c>
      <c r="B848" s="1" t="s">
        <v>195</v>
      </c>
      <c r="C848" s="1" t="str">
        <f>"08552641"</f>
        <v>08552641</v>
      </c>
      <c r="D848" s="1" t="s">
        <v>196</v>
      </c>
      <c r="F848" s="1" t="str">
        <f>"115"</f>
        <v>115</v>
      </c>
      <c r="G848" s="2">
        <v>41705</v>
      </c>
      <c r="H848" s="1">
        <v>134900</v>
      </c>
      <c r="I848" s="1">
        <v>124900</v>
      </c>
      <c r="J848" s="1">
        <v>95000</v>
      </c>
      <c r="K848" s="2">
        <v>41705</v>
      </c>
      <c r="L848" s="1">
        <v>442</v>
      </c>
      <c r="M848" s="2">
        <v>41992</v>
      </c>
      <c r="N848" s="1">
        <v>288</v>
      </c>
      <c r="O848" s="2">
        <v>41992</v>
      </c>
      <c r="P848" s="1">
        <v>93082</v>
      </c>
      <c r="Q848" s="1" t="s">
        <v>302</v>
      </c>
      <c r="R848" s="2">
        <v>42016</v>
      </c>
      <c r="S848" s="1">
        <v>930209</v>
      </c>
      <c r="U848" s="1">
        <v>1025</v>
      </c>
      <c r="V848" s="1" t="s">
        <v>9501</v>
      </c>
      <c r="W848" s="1" t="s">
        <v>264</v>
      </c>
      <c r="Y848" s="1">
        <v>4</v>
      </c>
      <c r="Z848" s="1" t="s">
        <v>370</v>
      </c>
      <c r="AA848" s="1" t="s">
        <v>2242</v>
      </c>
      <c r="AB848" s="1">
        <v>60115</v>
      </c>
      <c r="AE848" s="1" t="s">
        <v>9502</v>
      </c>
      <c r="AF848" s="1">
        <v>1994</v>
      </c>
      <c r="AG848" s="1" t="s">
        <v>204</v>
      </c>
      <c r="AH848" s="1" t="s">
        <v>2245</v>
      </c>
      <c r="AI848" s="1" t="s">
        <v>2246</v>
      </c>
      <c r="AJ848" s="1" t="s">
        <v>2245</v>
      </c>
      <c r="AL848" s="1">
        <v>5</v>
      </c>
      <c r="AM848" s="1">
        <v>2</v>
      </c>
      <c r="AN848" s="1">
        <v>1</v>
      </c>
      <c r="AO848" s="1">
        <v>1</v>
      </c>
      <c r="AP848" s="1" t="s">
        <v>209</v>
      </c>
      <c r="AQ848" s="1">
        <v>1</v>
      </c>
      <c r="AR848" s="1" t="s">
        <v>209</v>
      </c>
      <c r="AS848" s="1" t="s">
        <v>204</v>
      </c>
      <c r="AT848" s="1" t="s">
        <v>211</v>
      </c>
      <c r="AU848" s="1">
        <v>2</v>
      </c>
      <c r="AW848" s="1" t="s">
        <v>204</v>
      </c>
      <c r="AX848" s="1" t="s">
        <v>9503</v>
      </c>
      <c r="AZ848" s="1">
        <v>3676.04</v>
      </c>
      <c r="BA848" s="1">
        <v>2013</v>
      </c>
      <c r="BB848" s="1" t="s">
        <v>405</v>
      </c>
      <c r="BE848" s="1">
        <v>0</v>
      </c>
      <c r="BF848" s="1">
        <v>1</v>
      </c>
      <c r="BG848" s="1">
        <v>10</v>
      </c>
      <c r="BL848" s="1">
        <v>141</v>
      </c>
      <c r="BM848" s="1" t="s">
        <v>204</v>
      </c>
      <c r="BN848" s="1" t="s">
        <v>213</v>
      </c>
      <c r="BO848" s="1">
        <v>50</v>
      </c>
      <c r="BP848" s="1" t="s">
        <v>204</v>
      </c>
      <c r="BR848" s="1" t="str">
        <f>"0827114036"</f>
        <v>0827114036</v>
      </c>
      <c r="BT848" s="1" t="s">
        <v>9504</v>
      </c>
      <c r="BX848" s="1">
        <v>428</v>
      </c>
      <c r="BY848" s="1">
        <v>428</v>
      </c>
      <c r="BZ848" s="1">
        <v>428</v>
      </c>
      <c r="CB848" s="1" t="str">
        <f t="shared" ref="CB848:CC848" si="661">""</f>
        <v/>
      </c>
      <c r="CC848" s="1" t="str">
        <f t="shared" si="661"/>
        <v/>
      </c>
      <c r="CG848" s="1" t="s">
        <v>885</v>
      </c>
      <c r="CH848" s="1" t="s">
        <v>219</v>
      </c>
      <c r="CI848" s="1" t="s">
        <v>220</v>
      </c>
      <c r="CK848" s="1" t="s">
        <v>1533</v>
      </c>
      <c r="CL848" s="1" t="s">
        <v>277</v>
      </c>
      <c r="CM848" s="1" t="s">
        <v>220</v>
      </c>
      <c r="CO848" s="1" t="s">
        <v>2982</v>
      </c>
      <c r="CP848" s="1" t="s">
        <v>219</v>
      </c>
      <c r="CQ848" s="1" t="s">
        <v>438</v>
      </c>
      <c r="CS848" s="1" t="s">
        <v>1358</v>
      </c>
      <c r="CT848" s="1" t="s">
        <v>277</v>
      </c>
      <c r="CU848" s="1" t="s">
        <v>220</v>
      </c>
      <c r="CX848" s="1" t="s">
        <v>224</v>
      </c>
      <c r="DB848" s="1" t="s">
        <v>224</v>
      </c>
      <c r="DE848" s="1" t="s">
        <v>378</v>
      </c>
      <c r="DF848" s="1" t="s">
        <v>219</v>
      </c>
      <c r="DG848" s="1" t="s">
        <v>438</v>
      </c>
      <c r="DJ848" s="1" t="s">
        <v>224</v>
      </c>
      <c r="DS848" s="1" t="s">
        <v>230</v>
      </c>
      <c r="DW848" s="1" t="s">
        <v>230</v>
      </c>
      <c r="EA848" s="1" t="s">
        <v>230</v>
      </c>
      <c r="EE848" s="1" t="s">
        <v>230</v>
      </c>
      <c r="EI848" s="1" t="s">
        <v>230</v>
      </c>
      <c r="EL848" s="1" t="s">
        <v>670</v>
      </c>
      <c r="EM848" s="1" t="s">
        <v>319</v>
      </c>
      <c r="EN848" s="1" t="s">
        <v>282</v>
      </c>
      <c r="EO848" s="1" t="s">
        <v>234</v>
      </c>
      <c r="ER848" s="1" t="s">
        <v>351</v>
      </c>
      <c r="ES848" s="1" t="s">
        <v>322</v>
      </c>
      <c r="ET848" s="1" t="s">
        <v>4523</v>
      </c>
      <c r="EU848" s="1" t="s">
        <v>1110</v>
      </c>
      <c r="EV848" s="1" t="s">
        <v>240</v>
      </c>
      <c r="EW848" s="1" t="s">
        <v>867</v>
      </c>
      <c r="EY848" s="1" t="s">
        <v>242</v>
      </c>
      <c r="EZ848" s="1" t="s">
        <v>287</v>
      </c>
      <c r="FA848" s="1" t="s">
        <v>5059</v>
      </c>
      <c r="FB848" s="1" t="s">
        <v>289</v>
      </c>
      <c r="FC848" s="1" t="s">
        <v>548</v>
      </c>
      <c r="FD848" s="1" t="s">
        <v>495</v>
      </c>
      <c r="FE848" s="1" t="s">
        <v>355</v>
      </c>
      <c r="FF848" s="1" t="s">
        <v>248</v>
      </c>
      <c r="FG848" s="1" t="s">
        <v>7724</v>
      </c>
      <c r="FH848" s="1" t="s">
        <v>550</v>
      </c>
      <c r="FI848" s="1" t="s">
        <v>357</v>
      </c>
      <c r="FL848" s="1" t="s">
        <v>414</v>
      </c>
      <c r="FM848" s="1" t="s">
        <v>252</v>
      </c>
      <c r="FN848" s="1" t="s">
        <v>213</v>
      </c>
      <c r="FO848" s="1" t="s">
        <v>213</v>
      </c>
      <c r="FQ848" s="1" t="s">
        <v>5932</v>
      </c>
      <c r="FR848" s="1" t="s">
        <v>210</v>
      </c>
      <c r="FS848" s="1" t="s">
        <v>9505</v>
      </c>
      <c r="FT848" s="1" t="s">
        <v>9506</v>
      </c>
      <c r="FU848" s="1" t="s">
        <v>204</v>
      </c>
      <c r="FW848" s="1" t="s">
        <v>9507</v>
      </c>
      <c r="FX848" s="1">
        <v>93082</v>
      </c>
      <c r="FY848" s="1" t="s">
        <v>9508</v>
      </c>
      <c r="FZ848" s="1" t="s">
        <v>9509</v>
      </c>
      <c r="GA848" s="1">
        <v>930209</v>
      </c>
      <c r="GB848" s="1" t="s">
        <v>9510</v>
      </c>
      <c r="GE848" s="1" t="s">
        <v>210</v>
      </c>
      <c r="GI848" s="1" t="s">
        <v>204</v>
      </c>
      <c r="GJ848" s="1" t="s">
        <v>260</v>
      </c>
      <c r="GK848" s="1" t="s">
        <v>210</v>
      </c>
      <c r="GL848" s="2">
        <v>42017</v>
      </c>
    </row>
    <row r="849" spans="1:195">
      <c r="A849" s="1">
        <v>163000</v>
      </c>
      <c r="B849" s="1" t="s">
        <v>195</v>
      </c>
      <c r="C849" s="1" t="str">
        <f>"08549981"</f>
        <v>08549981</v>
      </c>
      <c r="D849" s="1" t="s">
        <v>196</v>
      </c>
      <c r="F849" s="1" t="str">
        <f>"139"</f>
        <v>139</v>
      </c>
      <c r="G849" s="2">
        <v>41702</v>
      </c>
      <c r="H849" s="1">
        <v>183000</v>
      </c>
      <c r="I849" s="1">
        <v>160000</v>
      </c>
      <c r="J849" s="1">
        <v>163000</v>
      </c>
      <c r="K849" s="2">
        <v>41702</v>
      </c>
      <c r="L849" s="1">
        <v>214</v>
      </c>
      <c r="M849" s="2">
        <v>41915</v>
      </c>
      <c r="N849" s="1">
        <v>214</v>
      </c>
      <c r="O849" s="2">
        <v>41915</v>
      </c>
      <c r="P849" s="1">
        <v>8002</v>
      </c>
      <c r="Q849" s="1" t="s">
        <v>302</v>
      </c>
      <c r="R849" s="2">
        <v>41996</v>
      </c>
      <c r="S849" s="1">
        <v>239121</v>
      </c>
      <c r="U849" s="1">
        <v>1106</v>
      </c>
      <c r="V849" s="1" t="s">
        <v>9511</v>
      </c>
      <c r="W849" s="1" t="s">
        <v>304</v>
      </c>
      <c r="X849" s="1">
        <v>1106</v>
      </c>
      <c r="Y849" s="1">
        <v>8</v>
      </c>
      <c r="Z849" s="1" t="s">
        <v>249</v>
      </c>
      <c r="AA849" s="1" t="s">
        <v>1732</v>
      </c>
      <c r="AB849" s="1">
        <v>60139</v>
      </c>
      <c r="AD849" s="1" t="s">
        <v>9512</v>
      </c>
      <c r="AE849" s="1" t="s">
        <v>9513</v>
      </c>
      <c r="AF849" s="1" t="s">
        <v>402</v>
      </c>
      <c r="AG849" s="1" t="s">
        <v>204</v>
      </c>
      <c r="AH849" s="1" t="s">
        <v>1735</v>
      </c>
      <c r="AI849" s="1" t="s">
        <v>206</v>
      </c>
      <c r="AJ849" s="1" t="s">
        <v>269</v>
      </c>
      <c r="AL849" s="1">
        <v>7</v>
      </c>
      <c r="AM849" s="1">
        <v>2</v>
      </c>
      <c r="AN849" s="1">
        <v>2</v>
      </c>
      <c r="AO849" s="1">
        <v>1</v>
      </c>
      <c r="AP849" s="1" t="s">
        <v>209</v>
      </c>
      <c r="AR849" s="1" t="s">
        <v>1421</v>
      </c>
      <c r="AS849" s="1" t="s">
        <v>204</v>
      </c>
      <c r="AT849" s="1" t="s">
        <v>211</v>
      </c>
      <c r="AU849" s="1">
        <v>2</v>
      </c>
      <c r="AW849" s="1" t="s">
        <v>204</v>
      </c>
      <c r="AX849" s="1" t="s">
        <v>212</v>
      </c>
      <c r="AZ849" s="1">
        <v>3940</v>
      </c>
      <c r="BA849" s="1">
        <v>2013</v>
      </c>
      <c r="BE849" s="1">
        <v>1900</v>
      </c>
      <c r="BF849" s="1">
        <v>1</v>
      </c>
      <c r="BG849" s="1">
        <v>30</v>
      </c>
      <c r="BL849" s="1">
        <v>230</v>
      </c>
      <c r="BM849" s="1" t="s">
        <v>204</v>
      </c>
      <c r="BN849" s="1" t="s">
        <v>213</v>
      </c>
      <c r="BO849" s="1">
        <v>30</v>
      </c>
      <c r="BP849" s="1" t="s">
        <v>204</v>
      </c>
      <c r="BR849" s="1" t="str">
        <f>"0503112027"</f>
        <v>0503112027</v>
      </c>
      <c r="BT849" s="1" t="s">
        <v>9514</v>
      </c>
      <c r="BU849" s="1" t="s">
        <v>2167</v>
      </c>
      <c r="BV849" s="1" t="s">
        <v>2168</v>
      </c>
      <c r="BW849" s="1" t="s">
        <v>2169</v>
      </c>
      <c r="BX849" s="1">
        <v>41</v>
      </c>
      <c r="BY849" s="1">
        <v>41</v>
      </c>
      <c r="BZ849" s="1">
        <v>87</v>
      </c>
      <c r="CB849" s="1" t="str">
        <f>"1"</f>
        <v>1</v>
      </c>
      <c r="CC849" s="1" t="str">
        <f>"0"</f>
        <v>0</v>
      </c>
      <c r="CD849" s="1">
        <v>23</v>
      </c>
      <c r="CE849" s="1">
        <v>0</v>
      </c>
      <c r="CG849" s="1" t="s">
        <v>602</v>
      </c>
      <c r="CH849" s="1" t="s">
        <v>219</v>
      </c>
      <c r="CI849" s="1" t="s">
        <v>438</v>
      </c>
      <c r="CJ849" s="1" t="s">
        <v>909</v>
      </c>
      <c r="CK849" s="1" t="s">
        <v>601</v>
      </c>
      <c r="CL849" s="1" t="s">
        <v>277</v>
      </c>
      <c r="CM849" s="1" t="s">
        <v>220</v>
      </c>
      <c r="CN849" s="1" t="s">
        <v>909</v>
      </c>
      <c r="CO849" s="1" t="s">
        <v>629</v>
      </c>
      <c r="CP849" s="1" t="s">
        <v>219</v>
      </c>
      <c r="CQ849" s="1" t="s">
        <v>438</v>
      </c>
      <c r="CR849" s="1" t="s">
        <v>909</v>
      </c>
      <c r="CS849" s="1" t="s">
        <v>437</v>
      </c>
      <c r="CT849" s="1" t="s">
        <v>277</v>
      </c>
      <c r="CU849" s="1" t="s">
        <v>220</v>
      </c>
      <c r="CV849" s="1" t="s">
        <v>909</v>
      </c>
      <c r="CX849" s="1" t="s">
        <v>224</v>
      </c>
      <c r="DB849" s="1" t="s">
        <v>224</v>
      </c>
      <c r="DE849" s="1" t="s">
        <v>437</v>
      </c>
      <c r="DF849" s="1" t="s">
        <v>219</v>
      </c>
      <c r="DG849" s="1" t="s">
        <v>342</v>
      </c>
      <c r="DH849" s="1" t="s">
        <v>343</v>
      </c>
      <c r="DI849" s="1" t="s">
        <v>221</v>
      </c>
      <c r="DJ849" s="1" t="s">
        <v>822</v>
      </c>
      <c r="DK849" s="1" t="s">
        <v>220</v>
      </c>
      <c r="DL849" s="1" t="s">
        <v>909</v>
      </c>
      <c r="DM849" s="1" t="s">
        <v>934</v>
      </c>
      <c r="DO849" s="1" t="s">
        <v>3011</v>
      </c>
      <c r="DP849" s="1" t="s">
        <v>1614</v>
      </c>
      <c r="DQ849" s="1" t="s">
        <v>1771</v>
      </c>
      <c r="DR849" s="1" t="s">
        <v>601</v>
      </c>
      <c r="DS849" s="1" t="s">
        <v>43</v>
      </c>
      <c r="DT849" s="1" t="s">
        <v>220</v>
      </c>
      <c r="DU849" s="1" t="s">
        <v>909</v>
      </c>
      <c r="DW849" s="1" t="s">
        <v>230</v>
      </c>
      <c r="DZ849" s="1" t="s">
        <v>5954</v>
      </c>
      <c r="EA849" s="1" t="s">
        <v>219</v>
      </c>
      <c r="ED849" s="1" t="s">
        <v>1313</v>
      </c>
      <c r="EE849" s="1" t="s">
        <v>822</v>
      </c>
      <c r="EH849" s="1" t="s">
        <v>2308</v>
      </c>
      <c r="EI849" s="1" t="s">
        <v>277</v>
      </c>
      <c r="EJ849" s="1" t="s">
        <v>220</v>
      </c>
      <c r="EL849" s="1" t="s">
        <v>670</v>
      </c>
      <c r="EM849" s="1" t="s">
        <v>232</v>
      </c>
      <c r="EN849" s="1" t="s">
        <v>282</v>
      </c>
      <c r="EO849" s="1" t="s">
        <v>234</v>
      </c>
      <c r="EP849" s="1" t="s">
        <v>9515</v>
      </c>
      <c r="EQ849" s="1" t="s">
        <v>9516</v>
      </c>
      <c r="ER849" s="1" t="s">
        <v>544</v>
      </c>
      <c r="ES849" s="1" t="s">
        <v>824</v>
      </c>
      <c r="ET849" s="1" t="s">
        <v>9517</v>
      </c>
      <c r="EV849" s="1" t="s">
        <v>240</v>
      </c>
      <c r="EW849" s="1" t="s">
        <v>353</v>
      </c>
      <c r="EZ849" s="1" t="s">
        <v>9518</v>
      </c>
      <c r="FA849" s="1" t="s">
        <v>5405</v>
      </c>
      <c r="FC849" s="1" t="s">
        <v>1386</v>
      </c>
      <c r="FD849" s="1" t="s">
        <v>246</v>
      </c>
      <c r="FE849" s="1" t="s">
        <v>651</v>
      </c>
      <c r="FF849" s="1" t="s">
        <v>248</v>
      </c>
      <c r="FH849" s="1" t="s">
        <v>1428</v>
      </c>
      <c r="FI849" s="1" t="s">
        <v>9519</v>
      </c>
      <c r="FL849" s="1" t="s">
        <v>358</v>
      </c>
      <c r="FM849" s="1" t="s">
        <v>252</v>
      </c>
      <c r="FN849" s="1" t="s">
        <v>213</v>
      </c>
      <c r="FO849" s="1" t="s">
        <v>213</v>
      </c>
      <c r="FQ849" s="1" t="s">
        <v>9520</v>
      </c>
      <c r="FR849" s="1" t="s">
        <v>360</v>
      </c>
      <c r="FS849" s="1" t="s">
        <v>9521</v>
      </c>
      <c r="FT849" s="1" t="s">
        <v>362</v>
      </c>
      <c r="FU849" s="1" t="s">
        <v>204</v>
      </c>
      <c r="FW849" s="1" t="s">
        <v>915</v>
      </c>
      <c r="FX849" s="1">
        <v>25088</v>
      </c>
      <c r="FY849" s="1" t="s">
        <v>1761</v>
      </c>
      <c r="FZ849" s="1" t="s">
        <v>9522</v>
      </c>
      <c r="GA849" s="1">
        <v>221520</v>
      </c>
      <c r="GB849" s="1" t="s">
        <v>9523</v>
      </c>
      <c r="GE849" s="1" t="s">
        <v>335</v>
      </c>
      <c r="GI849" s="1" t="s">
        <v>213</v>
      </c>
      <c r="GJ849" s="1" t="s">
        <v>260</v>
      </c>
      <c r="GK849" s="1" t="s">
        <v>210</v>
      </c>
      <c r="GL849" s="2">
        <v>42003</v>
      </c>
      <c r="GM849" s="1" t="s">
        <v>397</v>
      </c>
    </row>
    <row r="850" spans="1:195">
      <c r="A850" s="1">
        <v>112500</v>
      </c>
      <c r="B850" s="1" t="s">
        <v>195</v>
      </c>
      <c r="C850" s="1" t="str">
        <f>"08550736"</f>
        <v>08550736</v>
      </c>
      <c r="D850" s="1" t="s">
        <v>196</v>
      </c>
      <c r="F850" s="1" t="str">
        <f>"177"</f>
        <v>177</v>
      </c>
      <c r="G850" s="2">
        <v>41703</v>
      </c>
      <c r="H850" s="1">
        <v>99900</v>
      </c>
      <c r="I850" s="1">
        <v>114900</v>
      </c>
      <c r="J850" s="1">
        <v>112500</v>
      </c>
      <c r="K850" s="2">
        <v>41703</v>
      </c>
      <c r="L850" s="1">
        <v>237</v>
      </c>
      <c r="M850" s="2">
        <v>41939</v>
      </c>
      <c r="N850" s="1">
        <v>237</v>
      </c>
      <c r="O850" s="2">
        <v>41939</v>
      </c>
      <c r="P850" s="1">
        <v>1582</v>
      </c>
      <c r="Q850" s="1" t="s">
        <v>197</v>
      </c>
      <c r="R850" s="2">
        <v>41992</v>
      </c>
      <c r="S850" s="1">
        <v>84285</v>
      </c>
      <c r="U850" s="1">
        <v>435</v>
      </c>
      <c r="V850" s="1" t="s">
        <v>2413</v>
      </c>
      <c r="W850" s="1" t="s">
        <v>504</v>
      </c>
      <c r="X850" s="1">
        <v>435</v>
      </c>
      <c r="Y850" s="1">
        <v>4</v>
      </c>
      <c r="Z850" s="1" t="s">
        <v>370</v>
      </c>
      <c r="AA850" s="1" t="s">
        <v>1461</v>
      </c>
      <c r="AB850" s="1">
        <v>60177</v>
      </c>
      <c r="AE850" s="1" t="s">
        <v>9524</v>
      </c>
      <c r="AF850" s="1">
        <v>1993</v>
      </c>
      <c r="AG850" s="1" t="s">
        <v>204</v>
      </c>
      <c r="AH850" s="1" t="s">
        <v>1464</v>
      </c>
      <c r="AI850" s="1" t="s">
        <v>665</v>
      </c>
      <c r="AJ850" s="1" t="s">
        <v>1175</v>
      </c>
      <c r="AL850" s="1">
        <v>6</v>
      </c>
      <c r="AM850" s="1">
        <v>2</v>
      </c>
      <c r="AN850" s="1">
        <v>1</v>
      </c>
      <c r="AO850" s="1">
        <v>1</v>
      </c>
      <c r="AP850" s="1" t="s">
        <v>455</v>
      </c>
      <c r="AR850" s="1" t="s">
        <v>209</v>
      </c>
      <c r="AS850" s="1" t="s">
        <v>213</v>
      </c>
      <c r="AT850" s="1" t="s">
        <v>211</v>
      </c>
      <c r="AU850" s="1">
        <v>1</v>
      </c>
      <c r="AW850" s="1" t="s">
        <v>204</v>
      </c>
      <c r="AX850" s="1" t="s">
        <v>212</v>
      </c>
      <c r="AZ850" s="1">
        <v>3490</v>
      </c>
      <c r="BA850" s="1">
        <v>2012</v>
      </c>
      <c r="BB850" s="1" t="s">
        <v>405</v>
      </c>
      <c r="BE850" s="1">
        <v>1500</v>
      </c>
      <c r="BF850" s="1">
        <v>1</v>
      </c>
      <c r="BG850" s="1">
        <v>0</v>
      </c>
      <c r="BL850" s="1">
        <v>125</v>
      </c>
      <c r="BM850" s="1" t="s">
        <v>204</v>
      </c>
      <c r="BN850" s="1" t="s">
        <v>213</v>
      </c>
      <c r="BO850" s="1">
        <v>0</v>
      </c>
      <c r="BP850" s="1" t="s">
        <v>204</v>
      </c>
      <c r="BR850" s="1" t="str">
        <f>"0634103051"</f>
        <v>0634103051</v>
      </c>
      <c r="BT850" s="1" t="s">
        <v>9525</v>
      </c>
      <c r="BX850" s="1">
        <v>46</v>
      </c>
      <c r="BY850" s="1">
        <v>46</v>
      </c>
      <c r="BZ850" s="1">
        <v>46</v>
      </c>
      <c r="CB850" s="1" t="str">
        <f t="shared" ref="CB850:CC850" si="662">""</f>
        <v/>
      </c>
      <c r="CC850" s="1" t="str">
        <f t="shared" si="662"/>
        <v/>
      </c>
      <c r="CG850" s="1" t="s">
        <v>729</v>
      </c>
      <c r="CH850" s="1" t="s">
        <v>219</v>
      </c>
      <c r="CI850" s="1" t="s">
        <v>229</v>
      </c>
      <c r="CK850" s="1" t="s">
        <v>218</v>
      </c>
      <c r="CL850" s="1" t="s">
        <v>277</v>
      </c>
      <c r="CM850" s="1" t="s">
        <v>220</v>
      </c>
      <c r="CO850" s="1" t="s">
        <v>630</v>
      </c>
      <c r="CP850" s="1" t="s">
        <v>219</v>
      </c>
      <c r="CQ850" s="1" t="s">
        <v>229</v>
      </c>
      <c r="CS850" s="1" t="s">
        <v>317</v>
      </c>
      <c r="CT850" s="1" t="s">
        <v>277</v>
      </c>
      <c r="CU850" s="1" t="s">
        <v>220</v>
      </c>
      <c r="CX850" s="1" t="s">
        <v>224</v>
      </c>
      <c r="DB850" s="1" t="s">
        <v>224</v>
      </c>
      <c r="DE850" s="1" t="s">
        <v>821</v>
      </c>
      <c r="DF850" s="1" t="s">
        <v>219</v>
      </c>
      <c r="DG850" s="1" t="s">
        <v>229</v>
      </c>
      <c r="DI850" s="1" t="s">
        <v>1996</v>
      </c>
      <c r="DJ850" s="1" t="s">
        <v>43</v>
      </c>
      <c r="DK850" s="1" t="s">
        <v>347</v>
      </c>
      <c r="DS850" s="1" t="s">
        <v>230</v>
      </c>
      <c r="DW850" s="1" t="s">
        <v>230</v>
      </c>
      <c r="EA850" s="1" t="s">
        <v>230</v>
      </c>
      <c r="EE850" s="1" t="s">
        <v>230</v>
      </c>
      <c r="EI850" s="1" t="s">
        <v>230</v>
      </c>
      <c r="EL850" s="1" t="s">
        <v>382</v>
      </c>
      <c r="EM850" s="1" t="s">
        <v>319</v>
      </c>
      <c r="EN850" s="1" t="s">
        <v>282</v>
      </c>
      <c r="EO850" s="1" t="s">
        <v>234</v>
      </c>
      <c r="EQ850" s="1" t="s">
        <v>350</v>
      </c>
      <c r="ER850" s="1" t="s">
        <v>544</v>
      </c>
      <c r="EV850" s="1" t="s">
        <v>352</v>
      </c>
      <c r="EW850" s="1" t="s">
        <v>887</v>
      </c>
      <c r="EY850" s="1" t="s">
        <v>242</v>
      </c>
      <c r="EZ850" s="1" t="s">
        <v>287</v>
      </c>
      <c r="FD850" s="1" t="s">
        <v>246</v>
      </c>
      <c r="FE850" s="1" t="s">
        <v>472</v>
      </c>
      <c r="FF850" s="1" t="s">
        <v>248</v>
      </c>
      <c r="FH850" s="1" t="s">
        <v>550</v>
      </c>
      <c r="FJ850" s="1" t="s">
        <v>518</v>
      </c>
      <c r="FL850" s="1" t="s">
        <v>358</v>
      </c>
      <c r="FM850" s="1" t="s">
        <v>252</v>
      </c>
      <c r="FN850" s="1" t="s">
        <v>213</v>
      </c>
      <c r="FO850" s="1" t="s">
        <v>204</v>
      </c>
      <c r="FQ850" s="1" t="s">
        <v>9311</v>
      </c>
      <c r="FR850" s="1" t="s">
        <v>360</v>
      </c>
      <c r="FS850" s="1" t="s">
        <v>9526</v>
      </c>
      <c r="FT850" s="1" t="s">
        <v>295</v>
      </c>
      <c r="FU850" s="1" t="s">
        <v>204</v>
      </c>
      <c r="FW850" s="1" t="s">
        <v>9527</v>
      </c>
      <c r="FX850" s="1">
        <v>1582</v>
      </c>
      <c r="FY850" s="1" t="s">
        <v>9528</v>
      </c>
      <c r="FZ850" s="1" t="s">
        <v>9529</v>
      </c>
      <c r="GA850" s="1">
        <v>84285</v>
      </c>
      <c r="GB850" s="1" t="s">
        <v>9530</v>
      </c>
      <c r="GE850" s="1" t="s">
        <v>1120</v>
      </c>
      <c r="GI850" s="1" t="s">
        <v>213</v>
      </c>
      <c r="GJ850" s="1" t="s">
        <v>260</v>
      </c>
      <c r="GK850" s="1" t="s">
        <v>210</v>
      </c>
      <c r="GL850" s="2">
        <v>41997</v>
      </c>
      <c r="GM850" s="1" t="s">
        <v>9531</v>
      </c>
    </row>
    <row r="851" spans="1:195">
      <c r="A851" s="1">
        <v>74100</v>
      </c>
      <c r="B851" s="1" t="s">
        <v>195</v>
      </c>
      <c r="C851" s="1" t="str">
        <f>"08553527"</f>
        <v>08553527</v>
      </c>
      <c r="D851" s="1" t="s">
        <v>196</v>
      </c>
      <c r="F851" s="1" t="str">
        <f>"635"</f>
        <v>635</v>
      </c>
      <c r="G851" s="2">
        <v>41707</v>
      </c>
      <c r="H851" s="1">
        <v>100000</v>
      </c>
      <c r="I851" s="1">
        <v>72500</v>
      </c>
      <c r="J851" s="1">
        <v>74100</v>
      </c>
      <c r="K851" s="2">
        <v>41706</v>
      </c>
      <c r="L851" s="1">
        <v>343</v>
      </c>
      <c r="M851" s="2">
        <v>42048</v>
      </c>
      <c r="N851" s="1">
        <v>343</v>
      </c>
      <c r="O851" s="2">
        <v>42048</v>
      </c>
      <c r="P851" s="1">
        <v>1085</v>
      </c>
      <c r="Q851" s="1" t="s">
        <v>302</v>
      </c>
      <c r="R851" s="2">
        <v>42094</v>
      </c>
      <c r="S851" s="1">
        <v>82528</v>
      </c>
      <c r="U851" s="1">
        <v>2300</v>
      </c>
      <c r="V851" s="1" t="s">
        <v>5684</v>
      </c>
      <c r="W851" s="1" t="s">
        <v>304</v>
      </c>
      <c r="X851" s="1" t="s">
        <v>2151</v>
      </c>
      <c r="Y851" s="1">
        <v>12</v>
      </c>
      <c r="Z851" s="1" t="s">
        <v>249</v>
      </c>
      <c r="AA851" s="1" t="s">
        <v>2377</v>
      </c>
      <c r="AB851" s="1">
        <v>60707</v>
      </c>
      <c r="AE851" s="1" t="s">
        <v>9532</v>
      </c>
      <c r="AF851" s="1" t="s">
        <v>402</v>
      </c>
      <c r="AG851" s="1" t="s">
        <v>213</v>
      </c>
      <c r="AH851" s="1" t="s">
        <v>5686</v>
      </c>
      <c r="AI851" s="1" t="s">
        <v>310</v>
      </c>
      <c r="AJ851" s="1" t="s">
        <v>311</v>
      </c>
      <c r="AL851" s="1">
        <v>4</v>
      </c>
      <c r="AM851" s="1">
        <v>2</v>
      </c>
      <c r="AN851" s="1">
        <v>1</v>
      </c>
      <c r="AO851" s="1">
        <v>0</v>
      </c>
      <c r="AP851" s="1" t="s">
        <v>210</v>
      </c>
      <c r="AR851" s="1" t="s">
        <v>210</v>
      </c>
      <c r="AS851" s="1" t="s">
        <v>204</v>
      </c>
      <c r="AT851" s="1" t="s">
        <v>210</v>
      </c>
      <c r="AW851" s="1" t="s">
        <v>204</v>
      </c>
      <c r="AX851" s="1" t="s">
        <v>212</v>
      </c>
      <c r="AZ851" s="1">
        <v>2880</v>
      </c>
      <c r="BA851" s="1">
        <v>2012</v>
      </c>
      <c r="BB851" s="1" t="s">
        <v>405</v>
      </c>
      <c r="BE851" s="1">
        <v>950</v>
      </c>
      <c r="BF851" s="1">
        <v>2</v>
      </c>
      <c r="BG851" s="1">
        <v>10</v>
      </c>
      <c r="BL851" s="1">
        <v>190</v>
      </c>
      <c r="BM851" s="1" t="s">
        <v>204</v>
      </c>
      <c r="BN851" s="1" t="s">
        <v>213</v>
      </c>
      <c r="BO851" s="1">
        <v>20</v>
      </c>
      <c r="BP851" s="1" t="s">
        <v>204</v>
      </c>
      <c r="BR851" s="1" t="str">
        <f>"12362060471006"</f>
        <v>12362060471006</v>
      </c>
      <c r="BT851" s="1" t="s">
        <v>9533</v>
      </c>
      <c r="BX851" s="1">
        <v>401</v>
      </c>
      <c r="BY851" s="1">
        <v>401</v>
      </c>
      <c r="BZ851" s="1">
        <v>401</v>
      </c>
      <c r="CB851" s="1" t="str">
        <f>"2300"</f>
        <v>2300</v>
      </c>
      <c r="CC851" s="1" t="str">
        <f>"0"</f>
        <v>0</v>
      </c>
      <c r="CD851" s="1">
        <v>7250</v>
      </c>
      <c r="CE851" s="1">
        <v>0</v>
      </c>
      <c r="CG851" s="1" t="s">
        <v>1045</v>
      </c>
      <c r="CH851" s="1" t="s">
        <v>277</v>
      </c>
      <c r="CI851" s="1" t="s">
        <v>438</v>
      </c>
      <c r="CK851" s="1" t="s">
        <v>1297</v>
      </c>
      <c r="CL851" s="1" t="s">
        <v>277</v>
      </c>
      <c r="CM851" s="1" t="s">
        <v>438</v>
      </c>
      <c r="CP851" s="1" t="s">
        <v>224</v>
      </c>
      <c r="CS851" s="1" t="s">
        <v>346</v>
      </c>
      <c r="CT851" s="1" t="s">
        <v>277</v>
      </c>
      <c r="CU851" s="1" t="s">
        <v>438</v>
      </c>
      <c r="CX851" s="1" t="s">
        <v>224</v>
      </c>
      <c r="DB851" s="1" t="s">
        <v>224</v>
      </c>
      <c r="DE851" s="1" t="s">
        <v>344</v>
      </c>
      <c r="DF851" s="1" t="s">
        <v>277</v>
      </c>
      <c r="DG851" s="1" t="s">
        <v>226</v>
      </c>
      <c r="DJ851" s="1" t="s">
        <v>224</v>
      </c>
      <c r="DS851" s="1" t="s">
        <v>230</v>
      </c>
      <c r="DW851" s="1" t="s">
        <v>230</v>
      </c>
      <c r="EA851" s="1" t="s">
        <v>230</v>
      </c>
      <c r="EE851" s="1" t="s">
        <v>230</v>
      </c>
      <c r="EI851" s="1" t="s">
        <v>230</v>
      </c>
      <c r="EL851" s="1" t="s">
        <v>649</v>
      </c>
      <c r="EM851" s="1" t="s">
        <v>319</v>
      </c>
      <c r="EN851" s="1" t="s">
        <v>731</v>
      </c>
      <c r="EO851" s="1" t="s">
        <v>234</v>
      </c>
      <c r="EP851" s="1" t="s">
        <v>4323</v>
      </c>
      <c r="ER851" s="1" t="s">
        <v>210</v>
      </c>
      <c r="EW851" s="1" t="s">
        <v>9534</v>
      </c>
      <c r="EY851" s="1" t="s">
        <v>242</v>
      </c>
      <c r="EZ851" s="1" t="s">
        <v>287</v>
      </c>
      <c r="FD851" s="1" t="s">
        <v>888</v>
      </c>
      <c r="FE851" s="1" t="s">
        <v>247</v>
      </c>
      <c r="FF851" s="1" t="s">
        <v>248</v>
      </c>
      <c r="FH851" s="1" t="s">
        <v>249</v>
      </c>
      <c r="FJ851" s="1" t="s">
        <v>2046</v>
      </c>
      <c r="FL851" s="1" t="s">
        <v>6699</v>
      </c>
      <c r="FM851" s="1" t="s">
        <v>252</v>
      </c>
      <c r="FN851" s="1" t="s">
        <v>213</v>
      </c>
      <c r="FO851" s="1" t="s">
        <v>213</v>
      </c>
      <c r="FQ851" s="1" t="s">
        <v>9535</v>
      </c>
      <c r="FR851" s="1" t="s">
        <v>360</v>
      </c>
      <c r="FS851" s="1" t="s">
        <v>443</v>
      </c>
      <c r="FT851" s="1" t="s">
        <v>295</v>
      </c>
      <c r="FU851" s="1" t="s">
        <v>204</v>
      </c>
      <c r="FW851" s="1" t="s">
        <v>9536</v>
      </c>
      <c r="FX851" s="1">
        <v>21196</v>
      </c>
      <c r="FY851" s="1" t="s">
        <v>9537</v>
      </c>
      <c r="FZ851" s="1" t="s">
        <v>9538</v>
      </c>
      <c r="GA851" s="1">
        <v>605662</v>
      </c>
      <c r="GB851" s="1" t="s">
        <v>9539</v>
      </c>
      <c r="GD851" s="1" t="s">
        <v>9540</v>
      </c>
      <c r="GE851" s="1" t="s">
        <v>658</v>
      </c>
      <c r="GH851" s="1" t="s">
        <v>230</v>
      </c>
      <c r="GI851" s="1" t="s">
        <v>213</v>
      </c>
      <c r="GJ851" s="1" t="s">
        <v>260</v>
      </c>
      <c r="GK851" s="1" t="s">
        <v>261</v>
      </c>
      <c r="GL851" s="2">
        <v>42095</v>
      </c>
      <c r="GM851" s="1" t="s">
        <v>397</v>
      </c>
    </row>
    <row r="852" spans="1:195">
      <c r="A852" s="1">
        <v>16000</v>
      </c>
      <c r="B852" s="1" t="s">
        <v>195</v>
      </c>
      <c r="C852" s="1" t="str">
        <f>"08546614"</f>
        <v>08546614</v>
      </c>
      <c r="D852" s="1" t="s">
        <v>196</v>
      </c>
      <c r="F852" s="1" t="str">
        <f>"8043"</f>
        <v>8043</v>
      </c>
      <c r="G852" s="2">
        <v>41698</v>
      </c>
      <c r="H852" s="1">
        <v>34900</v>
      </c>
      <c r="I852" s="1">
        <v>15900</v>
      </c>
      <c r="J852" s="1">
        <v>16000</v>
      </c>
      <c r="K852" s="2">
        <v>41698</v>
      </c>
      <c r="L852" s="1">
        <v>286</v>
      </c>
      <c r="M852" s="2">
        <v>41983</v>
      </c>
      <c r="N852" s="1">
        <v>286</v>
      </c>
      <c r="O852" s="2">
        <v>41983</v>
      </c>
      <c r="P852" s="1">
        <v>18728</v>
      </c>
      <c r="Q852" s="1" t="s">
        <v>302</v>
      </c>
      <c r="R852" s="2">
        <v>42011</v>
      </c>
      <c r="S852" s="1">
        <v>167883</v>
      </c>
      <c r="T852" s="1">
        <v>3275</v>
      </c>
      <c r="U852" s="1">
        <v>6852</v>
      </c>
      <c r="V852" s="1" t="s">
        <v>9541</v>
      </c>
      <c r="W852" s="1" t="s">
        <v>425</v>
      </c>
      <c r="X852" s="1" t="s">
        <v>4923</v>
      </c>
      <c r="Y852" s="1">
        <v>10</v>
      </c>
      <c r="Z852" s="1" t="s">
        <v>249</v>
      </c>
      <c r="AA852" s="1" t="s">
        <v>400</v>
      </c>
      <c r="AB852" s="1">
        <v>60637</v>
      </c>
      <c r="AE852" s="1" t="s">
        <v>9542</v>
      </c>
      <c r="AF852" s="1">
        <v>1925</v>
      </c>
      <c r="AG852" s="1" t="s">
        <v>213</v>
      </c>
      <c r="AH852" s="1" t="s">
        <v>403</v>
      </c>
      <c r="AI852" s="1" t="s">
        <v>310</v>
      </c>
      <c r="AJ852" s="1" t="s">
        <v>404</v>
      </c>
      <c r="AK852" s="1" t="s">
        <v>270</v>
      </c>
      <c r="AL852" s="1">
        <v>4</v>
      </c>
      <c r="AM852" s="1">
        <v>2</v>
      </c>
      <c r="AN852" s="1">
        <v>2</v>
      </c>
      <c r="AO852" s="1">
        <v>0</v>
      </c>
      <c r="AP852" s="1" t="s">
        <v>209</v>
      </c>
      <c r="AQ852" s="1">
        <v>1</v>
      </c>
      <c r="AR852" s="1" t="s">
        <v>210</v>
      </c>
      <c r="AS852" s="1" t="s">
        <v>204</v>
      </c>
      <c r="AT852" s="1" t="s">
        <v>210</v>
      </c>
      <c r="AW852" s="1" t="s">
        <v>204</v>
      </c>
      <c r="AX852" s="1" t="s">
        <v>270</v>
      </c>
      <c r="AZ852" s="1">
        <v>1255</v>
      </c>
      <c r="BA852" s="1">
        <v>2012</v>
      </c>
      <c r="BB852" s="1" t="s">
        <v>405</v>
      </c>
      <c r="BC852" s="1">
        <v>0</v>
      </c>
      <c r="BD852" s="1">
        <v>2012</v>
      </c>
      <c r="BE852" s="1">
        <v>0</v>
      </c>
      <c r="BF852" s="1">
        <v>3</v>
      </c>
      <c r="BG852" s="1">
        <v>0</v>
      </c>
      <c r="BJ852" s="1">
        <v>0</v>
      </c>
      <c r="BK852" s="1">
        <v>0</v>
      </c>
      <c r="BL852" s="1">
        <v>500</v>
      </c>
      <c r="BM852" s="1" t="s">
        <v>204</v>
      </c>
      <c r="BN852" s="1" t="s">
        <v>213</v>
      </c>
      <c r="BO852" s="1" t="s">
        <v>402</v>
      </c>
      <c r="BP852" s="1" t="s">
        <v>204</v>
      </c>
      <c r="BR852" s="1" t="str">
        <f>"20234060351010"</f>
        <v>20234060351010</v>
      </c>
      <c r="BT852" s="1" t="s">
        <v>9543</v>
      </c>
      <c r="BX852" s="1">
        <v>299</v>
      </c>
      <c r="BY852" s="1">
        <v>299</v>
      </c>
      <c r="BZ852" s="1">
        <v>299</v>
      </c>
      <c r="CB852" s="1" t="str">
        <f t="shared" ref="CB852:CB853" si="663">"0"</f>
        <v>0</v>
      </c>
      <c r="CC852" s="1" t="str">
        <f>"1400"</f>
        <v>1400</v>
      </c>
      <c r="CD852" s="1">
        <v>0</v>
      </c>
      <c r="CE852" s="1">
        <v>6800</v>
      </c>
      <c r="CG852" s="1" t="s">
        <v>3684</v>
      </c>
      <c r="CH852" s="1" t="s">
        <v>784</v>
      </c>
      <c r="CI852" s="1" t="s">
        <v>438</v>
      </c>
      <c r="CK852" s="1" t="s">
        <v>1155</v>
      </c>
      <c r="CL852" s="1" t="s">
        <v>784</v>
      </c>
      <c r="CM852" s="1" t="s">
        <v>438</v>
      </c>
      <c r="CP852" s="1" t="s">
        <v>224</v>
      </c>
      <c r="CS852" s="1" t="s">
        <v>932</v>
      </c>
      <c r="CT852" s="1" t="s">
        <v>784</v>
      </c>
      <c r="CU852" s="1" t="s">
        <v>220</v>
      </c>
      <c r="CX852" s="1" t="s">
        <v>224</v>
      </c>
      <c r="DB852" s="1" t="s">
        <v>224</v>
      </c>
      <c r="DE852" s="1" t="s">
        <v>602</v>
      </c>
      <c r="DF852" s="1" t="s">
        <v>784</v>
      </c>
      <c r="DG852" s="1" t="s">
        <v>438</v>
      </c>
      <c r="DJ852" s="1" t="s">
        <v>224</v>
      </c>
      <c r="DS852" s="1" t="s">
        <v>230</v>
      </c>
      <c r="DW852" s="1" t="s">
        <v>230</v>
      </c>
      <c r="EA852" s="1" t="s">
        <v>230</v>
      </c>
      <c r="EE852" s="1" t="s">
        <v>230</v>
      </c>
      <c r="EI852" s="1" t="s">
        <v>230</v>
      </c>
      <c r="EL852" s="1" t="s">
        <v>2154</v>
      </c>
      <c r="EM852" s="1" t="s">
        <v>730</v>
      </c>
      <c r="EN852" s="1" t="s">
        <v>282</v>
      </c>
      <c r="EO852" s="1" t="s">
        <v>234</v>
      </c>
      <c r="EP852" s="1" t="s">
        <v>9544</v>
      </c>
      <c r="ER852" s="1" t="s">
        <v>210</v>
      </c>
      <c r="ES852" s="1" t="s">
        <v>493</v>
      </c>
      <c r="ET852" s="1" t="s">
        <v>1752</v>
      </c>
      <c r="EV852" s="1" t="s">
        <v>240</v>
      </c>
      <c r="EW852" s="1" t="s">
        <v>9545</v>
      </c>
      <c r="EY852" s="1" t="s">
        <v>1315</v>
      </c>
      <c r="EZ852" s="1" t="s">
        <v>287</v>
      </c>
      <c r="FA852" s="1" t="s">
        <v>791</v>
      </c>
      <c r="FC852" s="1" t="s">
        <v>1386</v>
      </c>
      <c r="FD852" s="1" t="s">
        <v>246</v>
      </c>
      <c r="FE852" s="1" t="s">
        <v>247</v>
      </c>
      <c r="FF852" s="1" t="s">
        <v>248</v>
      </c>
      <c r="FH852" s="1" t="s">
        <v>249</v>
      </c>
      <c r="FL852" s="1" t="s">
        <v>358</v>
      </c>
      <c r="FM852" s="1" t="s">
        <v>252</v>
      </c>
      <c r="FN852" s="1" t="s">
        <v>213</v>
      </c>
      <c r="FO852" s="1" t="s">
        <v>213</v>
      </c>
      <c r="FQ852" s="1" t="s">
        <v>9546</v>
      </c>
      <c r="FR852" s="1" t="s">
        <v>210</v>
      </c>
      <c r="FS852" s="1" t="s">
        <v>9547</v>
      </c>
      <c r="FT852" s="1" t="s">
        <v>584</v>
      </c>
      <c r="FU852" s="1" t="s">
        <v>204</v>
      </c>
      <c r="FW852" s="1" t="s">
        <v>9046</v>
      </c>
      <c r="FX852" s="1">
        <v>84674</v>
      </c>
      <c r="FY852" s="1" t="s">
        <v>9047</v>
      </c>
      <c r="FZ852" s="1" t="s">
        <v>9048</v>
      </c>
      <c r="GA852" s="1">
        <v>109817</v>
      </c>
      <c r="GB852" s="1" t="s">
        <v>9049</v>
      </c>
      <c r="GC852" s="1">
        <v>178784</v>
      </c>
      <c r="GD852" s="1" t="s">
        <v>9548</v>
      </c>
      <c r="GE852" s="1" t="s">
        <v>210</v>
      </c>
      <c r="GH852" s="1" t="s">
        <v>421</v>
      </c>
      <c r="GI852" s="1" t="s">
        <v>213</v>
      </c>
      <c r="GJ852" s="1" t="s">
        <v>260</v>
      </c>
      <c r="GK852" s="1" t="s">
        <v>210</v>
      </c>
      <c r="GL852" s="2">
        <v>42011</v>
      </c>
      <c r="GM852" s="1" t="s">
        <v>9549</v>
      </c>
    </row>
    <row r="853" spans="1:195">
      <c r="A853" s="1">
        <v>77000</v>
      </c>
      <c r="B853" s="1" t="s">
        <v>195</v>
      </c>
      <c r="C853" s="1" t="str">
        <f>"08552498"</f>
        <v>08552498</v>
      </c>
      <c r="D853" s="1" t="s">
        <v>196</v>
      </c>
      <c r="F853" s="1" t="str">
        <f>"8074"</f>
        <v>8074</v>
      </c>
      <c r="G853" s="2">
        <v>41705</v>
      </c>
      <c r="H853" s="1">
        <v>83500</v>
      </c>
      <c r="I853" s="1">
        <v>79900</v>
      </c>
      <c r="J853" s="1">
        <v>77000</v>
      </c>
      <c r="K853" s="2">
        <v>41705</v>
      </c>
      <c r="L853" s="1">
        <v>366</v>
      </c>
      <c r="M853" s="2">
        <v>41918</v>
      </c>
      <c r="N853" s="1">
        <v>214</v>
      </c>
      <c r="O853" s="2">
        <v>41918</v>
      </c>
      <c r="P853" s="1">
        <v>12511</v>
      </c>
      <c r="Q853" s="1" t="s">
        <v>197</v>
      </c>
      <c r="R853" s="2">
        <v>41974</v>
      </c>
      <c r="S853" s="1">
        <v>121686</v>
      </c>
      <c r="T853" s="1">
        <v>1500</v>
      </c>
      <c r="U853" s="1">
        <v>3838</v>
      </c>
      <c r="V853" s="1" t="s">
        <v>9550</v>
      </c>
      <c r="W853" s="1" t="s">
        <v>725</v>
      </c>
      <c r="X853" s="1">
        <v>408</v>
      </c>
      <c r="Y853" s="1">
        <v>44</v>
      </c>
      <c r="Z853" s="1" t="s">
        <v>249</v>
      </c>
      <c r="AA853" s="1" t="s">
        <v>400</v>
      </c>
      <c r="AB853" s="1">
        <v>60655</v>
      </c>
      <c r="AE853" s="1" t="s">
        <v>9551</v>
      </c>
      <c r="AF853" s="1">
        <v>1973</v>
      </c>
      <c r="AG853" s="1" t="s">
        <v>213</v>
      </c>
      <c r="AH853" s="1" t="s">
        <v>403</v>
      </c>
      <c r="AI853" s="1" t="s">
        <v>310</v>
      </c>
      <c r="AJ853" s="1" t="s">
        <v>683</v>
      </c>
      <c r="AL853" s="1">
        <v>5</v>
      </c>
      <c r="AM853" s="1">
        <v>2</v>
      </c>
      <c r="AN853" s="1">
        <v>1</v>
      </c>
      <c r="AO853" s="1">
        <v>0</v>
      </c>
      <c r="AP853" s="1" t="s">
        <v>210</v>
      </c>
      <c r="AR853" s="1" t="s">
        <v>209</v>
      </c>
      <c r="AS853" s="1" t="s">
        <v>204</v>
      </c>
      <c r="AT853" s="1" t="s">
        <v>271</v>
      </c>
      <c r="AV853" s="1">
        <v>2</v>
      </c>
      <c r="AW853" s="1" t="s">
        <v>204</v>
      </c>
      <c r="AX853" s="1" t="s">
        <v>212</v>
      </c>
      <c r="AZ853" s="1">
        <v>1349</v>
      </c>
      <c r="BA853" s="1">
        <v>2012</v>
      </c>
      <c r="BB853" s="1" t="s">
        <v>405</v>
      </c>
      <c r="BE853" s="1">
        <v>0</v>
      </c>
      <c r="BF853" s="1">
        <v>4</v>
      </c>
      <c r="BG853" s="1">
        <v>10</v>
      </c>
      <c r="BL853" s="1">
        <v>264</v>
      </c>
      <c r="BM853" s="1" t="s">
        <v>413</v>
      </c>
      <c r="BN853" s="1" t="s">
        <v>204</v>
      </c>
      <c r="BP853" s="1" t="s">
        <v>204</v>
      </c>
      <c r="BR853" s="1" t="str">
        <f>"24143150451037"</f>
        <v>24143150451037</v>
      </c>
      <c r="BT853" s="1" t="s">
        <v>9552</v>
      </c>
      <c r="BX853" s="1">
        <v>299</v>
      </c>
      <c r="BY853" s="1">
        <v>299</v>
      </c>
      <c r="BZ853" s="1">
        <v>299</v>
      </c>
      <c r="CB853" s="1" t="str">
        <f t="shared" si="663"/>
        <v>0</v>
      </c>
      <c r="CC853" s="1" t="str">
        <f>"0"</f>
        <v>0</v>
      </c>
      <c r="CD853" s="1">
        <v>3838</v>
      </c>
      <c r="CE853" s="1">
        <v>11100</v>
      </c>
      <c r="CG853" s="1" t="s">
        <v>5997</v>
      </c>
      <c r="CH853" s="1" t="s">
        <v>219</v>
      </c>
      <c r="CI853" s="1" t="s">
        <v>220</v>
      </c>
      <c r="CJ853" s="1" t="s">
        <v>252</v>
      </c>
      <c r="CK853" s="1" t="s">
        <v>3591</v>
      </c>
      <c r="CL853" s="1" t="s">
        <v>219</v>
      </c>
      <c r="CM853" s="1" t="s">
        <v>220</v>
      </c>
      <c r="CO853" s="1" t="s">
        <v>516</v>
      </c>
      <c r="CP853" s="1" t="s">
        <v>219</v>
      </c>
      <c r="CQ853" s="1" t="s">
        <v>220</v>
      </c>
      <c r="CR853" s="1" t="s">
        <v>210</v>
      </c>
      <c r="CS853" s="1" t="s">
        <v>1046</v>
      </c>
      <c r="CT853" s="1" t="s">
        <v>219</v>
      </c>
      <c r="CU853" s="1" t="s">
        <v>220</v>
      </c>
      <c r="CX853" s="1" t="s">
        <v>224</v>
      </c>
      <c r="DB853" s="1" t="s">
        <v>224</v>
      </c>
      <c r="DE853" s="1" t="s">
        <v>516</v>
      </c>
      <c r="DF853" s="1" t="s">
        <v>219</v>
      </c>
      <c r="DG853" s="1" t="s">
        <v>226</v>
      </c>
      <c r="DH853" s="1" t="s">
        <v>210</v>
      </c>
      <c r="DJ853" s="1" t="s">
        <v>224</v>
      </c>
      <c r="DS853" s="1" t="s">
        <v>230</v>
      </c>
      <c r="DW853" s="1" t="s">
        <v>230</v>
      </c>
      <c r="EA853" s="1" t="s">
        <v>230</v>
      </c>
      <c r="EE853" s="1" t="s">
        <v>230</v>
      </c>
      <c r="EI853" s="1" t="s">
        <v>230</v>
      </c>
      <c r="EL853" s="1" t="s">
        <v>605</v>
      </c>
      <c r="EM853" s="1" t="s">
        <v>232</v>
      </c>
      <c r="EN853" s="1" t="s">
        <v>282</v>
      </c>
      <c r="EO853" s="1" t="s">
        <v>840</v>
      </c>
      <c r="EP853" s="1" t="s">
        <v>9553</v>
      </c>
      <c r="EQ853" s="1" t="s">
        <v>350</v>
      </c>
      <c r="ER853" s="1" t="s">
        <v>1249</v>
      </c>
      <c r="ES853" s="1" t="s">
        <v>545</v>
      </c>
      <c r="EU853" s="1" t="s">
        <v>1517</v>
      </c>
      <c r="EW853" s="1" t="s">
        <v>2765</v>
      </c>
      <c r="EY853" s="1" t="s">
        <v>242</v>
      </c>
      <c r="EZ853" s="1" t="s">
        <v>287</v>
      </c>
      <c r="FA853" s="1" t="s">
        <v>9554</v>
      </c>
      <c r="FB853" s="1" t="s">
        <v>244</v>
      </c>
      <c r="FC853" s="1" t="s">
        <v>326</v>
      </c>
      <c r="FD853" s="1" t="s">
        <v>1112</v>
      </c>
      <c r="FE853" s="1" t="s">
        <v>247</v>
      </c>
      <c r="FF853" s="1" t="s">
        <v>1113</v>
      </c>
      <c r="FH853" s="1" t="s">
        <v>249</v>
      </c>
      <c r="FK853" s="1" t="s">
        <v>891</v>
      </c>
      <c r="FL853" s="1" t="s">
        <v>414</v>
      </c>
      <c r="FM853" s="1" t="s">
        <v>252</v>
      </c>
      <c r="FN853" s="1" t="s">
        <v>213</v>
      </c>
      <c r="FO853" s="1" t="s">
        <v>213</v>
      </c>
      <c r="FQ853" s="1" t="s">
        <v>849</v>
      </c>
      <c r="FR853" s="1" t="s">
        <v>210</v>
      </c>
      <c r="FS853" s="1" t="s">
        <v>9555</v>
      </c>
      <c r="FT853" s="1" t="s">
        <v>255</v>
      </c>
      <c r="FU853" s="1" t="s">
        <v>204</v>
      </c>
      <c r="FW853" s="1" t="s">
        <v>9556</v>
      </c>
      <c r="FX853" s="1">
        <v>13295</v>
      </c>
      <c r="FY853" s="1" t="s">
        <v>9557</v>
      </c>
      <c r="FZ853" s="1" t="s">
        <v>9558</v>
      </c>
      <c r="GA853" s="1">
        <v>118007</v>
      </c>
      <c r="GD853" s="1" t="s">
        <v>9559</v>
      </c>
      <c r="GE853" s="1" t="s">
        <v>1576</v>
      </c>
      <c r="GH853" s="1" t="s">
        <v>589</v>
      </c>
      <c r="GI853" s="1" t="s">
        <v>213</v>
      </c>
      <c r="GJ853" s="1" t="s">
        <v>260</v>
      </c>
      <c r="GK853" s="1" t="s">
        <v>210</v>
      </c>
      <c r="GL853" s="2">
        <v>41975</v>
      </c>
      <c r="GM853" s="1" t="s">
        <v>9560</v>
      </c>
    </row>
    <row r="854" spans="1:195">
      <c r="A854" s="1">
        <v>89750</v>
      </c>
      <c r="B854" s="1" t="s">
        <v>195</v>
      </c>
      <c r="C854" s="1" t="str">
        <f>"08551679"</f>
        <v>08551679</v>
      </c>
      <c r="D854" s="1" t="s">
        <v>196</v>
      </c>
      <c r="F854" s="1" t="str">
        <f>"48"</f>
        <v>48</v>
      </c>
      <c r="G854" s="2">
        <v>41704</v>
      </c>
      <c r="H854" s="1">
        <v>109000</v>
      </c>
      <c r="I854" s="1">
        <v>93999</v>
      </c>
      <c r="J854" s="1">
        <v>89750</v>
      </c>
      <c r="K854" s="2">
        <v>41704</v>
      </c>
      <c r="L854" s="1">
        <v>903</v>
      </c>
      <c r="M854" s="2">
        <v>42059</v>
      </c>
      <c r="N854" s="1">
        <v>356</v>
      </c>
      <c r="O854" s="2">
        <v>42059</v>
      </c>
      <c r="P854" s="1">
        <v>25752</v>
      </c>
      <c r="Q854" s="1" t="s">
        <v>197</v>
      </c>
      <c r="R854" s="2">
        <v>42128</v>
      </c>
      <c r="S854" s="1">
        <v>16882</v>
      </c>
      <c r="U854" s="1">
        <v>375</v>
      </c>
      <c r="V854" s="1" t="s">
        <v>983</v>
      </c>
      <c r="W854" s="1" t="s">
        <v>1056</v>
      </c>
      <c r="X854" s="1">
        <v>103</v>
      </c>
      <c r="Y854" s="1">
        <v>32</v>
      </c>
      <c r="Z854" s="1" t="s">
        <v>200</v>
      </c>
      <c r="AA854" s="1" t="s">
        <v>6674</v>
      </c>
      <c r="AB854" s="1">
        <v>60048</v>
      </c>
      <c r="AD854" s="1" t="s">
        <v>9561</v>
      </c>
      <c r="AE854" s="1" t="s">
        <v>9562</v>
      </c>
      <c r="AF854" s="1">
        <v>1969</v>
      </c>
      <c r="AG854" s="1" t="s">
        <v>213</v>
      </c>
      <c r="AH854" s="1" t="s">
        <v>1693</v>
      </c>
      <c r="AI854" s="1" t="s">
        <v>509</v>
      </c>
      <c r="AJ854" s="1" t="s">
        <v>1693</v>
      </c>
      <c r="AL854" s="1">
        <v>5</v>
      </c>
      <c r="AM854" s="1">
        <v>2</v>
      </c>
      <c r="AN854" s="1">
        <v>1</v>
      </c>
      <c r="AO854" s="1">
        <v>1</v>
      </c>
      <c r="AP854" s="1" t="s">
        <v>209</v>
      </c>
      <c r="AQ854" s="1">
        <v>0</v>
      </c>
      <c r="AR854" s="1" t="s">
        <v>210</v>
      </c>
      <c r="AS854" s="1" t="s">
        <v>204</v>
      </c>
      <c r="AT854" s="1" t="s">
        <v>271</v>
      </c>
      <c r="AV854" s="1">
        <v>1</v>
      </c>
      <c r="AW854" s="1" t="s">
        <v>204</v>
      </c>
      <c r="AX854" s="1" t="s">
        <v>212</v>
      </c>
      <c r="AZ854" s="1">
        <v>2497.9699999999998</v>
      </c>
      <c r="BA854" s="1">
        <v>2013</v>
      </c>
      <c r="BB854" s="1" t="s">
        <v>210</v>
      </c>
      <c r="BE854" s="1">
        <v>1200</v>
      </c>
      <c r="BF854" s="1">
        <v>1</v>
      </c>
      <c r="BG854" s="1">
        <v>30</v>
      </c>
      <c r="BL854" s="1">
        <v>378</v>
      </c>
      <c r="BM854" s="1" t="s">
        <v>204</v>
      </c>
      <c r="BN854" s="1" t="s">
        <v>213</v>
      </c>
      <c r="BO854" s="1">
        <v>30</v>
      </c>
      <c r="BP854" s="1" t="s">
        <v>204</v>
      </c>
      <c r="BR854" s="1" t="str">
        <f>"11161000700000"</f>
        <v>11161000700000</v>
      </c>
      <c r="BT854" s="1" t="s">
        <v>9563</v>
      </c>
      <c r="BU854" s="1" t="s">
        <v>6679</v>
      </c>
      <c r="BV854" s="1" t="s">
        <v>6680</v>
      </c>
      <c r="BW854" s="1" t="s">
        <v>1696</v>
      </c>
      <c r="BX854" s="1">
        <v>70</v>
      </c>
      <c r="BY854" s="1">
        <v>70</v>
      </c>
      <c r="BZ854" s="1">
        <v>128</v>
      </c>
      <c r="CB854" s="1" t="str">
        <f>"29"</f>
        <v>29</v>
      </c>
      <c r="CC854" s="1" t="str">
        <f>""</f>
        <v/>
      </c>
      <c r="CD854" s="1">
        <v>16</v>
      </c>
      <c r="CG854" s="1" t="s">
        <v>1045</v>
      </c>
      <c r="CH854" s="1" t="s">
        <v>219</v>
      </c>
      <c r="CI854" s="1" t="s">
        <v>229</v>
      </c>
      <c r="CK854" s="1" t="s">
        <v>344</v>
      </c>
      <c r="CL854" s="1" t="s">
        <v>219</v>
      </c>
      <c r="CM854" s="1" t="s">
        <v>229</v>
      </c>
      <c r="CO854" s="1" t="s">
        <v>821</v>
      </c>
      <c r="CP854" s="1" t="s">
        <v>219</v>
      </c>
      <c r="CQ854" s="1" t="s">
        <v>229</v>
      </c>
      <c r="CS854" s="1" t="s">
        <v>344</v>
      </c>
      <c r="CT854" s="1" t="s">
        <v>219</v>
      </c>
      <c r="CU854" s="1" t="s">
        <v>229</v>
      </c>
      <c r="CX854" s="1" t="s">
        <v>224</v>
      </c>
      <c r="DB854" s="1" t="s">
        <v>224</v>
      </c>
      <c r="DE854" s="1" t="s">
        <v>2231</v>
      </c>
      <c r="DF854" s="1" t="s">
        <v>219</v>
      </c>
      <c r="DG854" s="1" t="s">
        <v>226</v>
      </c>
      <c r="DJ854" s="1" t="s">
        <v>224</v>
      </c>
      <c r="DS854" s="1" t="s">
        <v>230</v>
      </c>
      <c r="DW854" s="1" t="s">
        <v>230</v>
      </c>
      <c r="EA854" s="1" t="s">
        <v>230</v>
      </c>
      <c r="EE854" s="1" t="s">
        <v>230</v>
      </c>
      <c r="EI854" s="1" t="s">
        <v>230</v>
      </c>
      <c r="EL854" s="1" t="s">
        <v>605</v>
      </c>
      <c r="EM854" s="1" t="s">
        <v>232</v>
      </c>
      <c r="EN854" s="1" t="s">
        <v>233</v>
      </c>
      <c r="EO854" s="1" t="s">
        <v>1020</v>
      </c>
      <c r="EP854" s="1" t="s">
        <v>9564</v>
      </c>
      <c r="EQ854" s="1" t="s">
        <v>953</v>
      </c>
      <c r="ER854" s="1" t="s">
        <v>210</v>
      </c>
      <c r="ES854" s="1" t="s">
        <v>824</v>
      </c>
      <c r="ET854" s="1" t="s">
        <v>1161</v>
      </c>
      <c r="EV854" s="1" t="s">
        <v>240</v>
      </c>
      <c r="EW854" s="1" t="s">
        <v>3792</v>
      </c>
      <c r="EZ854" s="1" t="s">
        <v>287</v>
      </c>
      <c r="FB854" s="1" t="s">
        <v>244</v>
      </c>
      <c r="FC854" s="1" t="s">
        <v>1386</v>
      </c>
      <c r="FD854" s="1" t="s">
        <v>246</v>
      </c>
      <c r="FE854" s="1" t="s">
        <v>247</v>
      </c>
      <c r="FF854" s="1" t="s">
        <v>1113</v>
      </c>
      <c r="FH854" s="1" t="s">
        <v>249</v>
      </c>
      <c r="FK854" s="1" t="s">
        <v>891</v>
      </c>
      <c r="FL854" s="1" t="s">
        <v>358</v>
      </c>
      <c r="FM854" s="1" t="s">
        <v>252</v>
      </c>
      <c r="FN854" s="1" t="s">
        <v>213</v>
      </c>
      <c r="FO854" s="1" t="s">
        <v>213</v>
      </c>
      <c r="FQ854" s="1" t="s">
        <v>329</v>
      </c>
      <c r="FR854" s="1" t="s">
        <v>652</v>
      </c>
      <c r="FS854" s="1" t="s">
        <v>5243</v>
      </c>
      <c r="FT854" s="1" t="s">
        <v>1076</v>
      </c>
      <c r="FU854" s="1" t="s">
        <v>204</v>
      </c>
      <c r="FW854" s="1" t="s">
        <v>2006</v>
      </c>
      <c r="FX854" s="1">
        <v>25752</v>
      </c>
      <c r="FY854" s="1" t="s">
        <v>4745</v>
      </c>
      <c r="FZ854" s="1" t="s">
        <v>9565</v>
      </c>
      <c r="GA854" s="1">
        <v>16882</v>
      </c>
      <c r="GB854" s="1" t="s">
        <v>9566</v>
      </c>
      <c r="GD854" s="1" t="s">
        <v>9567</v>
      </c>
      <c r="GE854" s="1" t="s">
        <v>335</v>
      </c>
      <c r="GH854" s="1" t="s">
        <v>589</v>
      </c>
      <c r="GI854" s="1" t="s">
        <v>213</v>
      </c>
      <c r="GJ854" s="1" t="s">
        <v>260</v>
      </c>
      <c r="GK854" s="1" t="s">
        <v>210</v>
      </c>
      <c r="GL854" s="2">
        <v>42128</v>
      </c>
      <c r="GM854" s="1" t="s">
        <v>9568</v>
      </c>
    </row>
    <row r="855" spans="1:195">
      <c r="A855" s="1">
        <v>136000</v>
      </c>
      <c r="B855" s="1" t="s">
        <v>195</v>
      </c>
      <c r="C855" s="1" t="str">
        <f>"08557517"</f>
        <v>08557517</v>
      </c>
      <c r="D855" s="1" t="s">
        <v>196</v>
      </c>
      <c r="F855" s="1" t="str">
        <f>"177"</f>
        <v>177</v>
      </c>
      <c r="G855" s="2">
        <v>41711</v>
      </c>
      <c r="H855" s="1">
        <v>149900</v>
      </c>
      <c r="I855" s="1">
        <v>139900</v>
      </c>
      <c r="J855" s="1">
        <v>136000</v>
      </c>
      <c r="K855" s="2">
        <v>41711</v>
      </c>
      <c r="L855" s="1">
        <v>377</v>
      </c>
      <c r="M855" s="2">
        <v>42087</v>
      </c>
      <c r="N855" s="1">
        <v>377</v>
      </c>
      <c r="O855" s="2">
        <v>42087</v>
      </c>
      <c r="P855" s="1">
        <v>49</v>
      </c>
      <c r="Q855" s="1" t="s">
        <v>197</v>
      </c>
      <c r="R855" s="2">
        <v>42124</v>
      </c>
      <c r="S855" s="1">
        <v>1222</v>
      </c>
      <c r="U855" s="1">
        <v>10</v>
      </c>
      <c r="V855" s="1" t="s">
        <v>9569</v>
      </c>
      <c r="W855" s="1" t="s">
        <v>725</v>
      </c>
      <c r="X855" s="1">
        <v>111</v>
      </c>
      <c r="Y855" s="1">
        <v>45</v>
      </c>
      <c r="Z855" s="1" t="s">
        <v>200</v>
      </c>
      <c r="AA855" s="1" t="s">
        <v>1461</v>
      </c>
      <c r="AB855" s="1">
        <v>60177</v>
      </c>
      <c r="AD855" s="1" t="s">
        <v>5149</v>
      </c>
      <c r="AE855" s="1" t="s">
        <v>9570</v>
      </c>
      <c r="AF855" s="1">
        <v>2007</v>
      </c>
      <c r="AG855" s="1" t="s">
        <v>204</v>
      </c>
      <c r="AH855" s="1" t="s">
        <v>1464</v>
      </c>
      <c r="AI855" s="1" t="s">
        <v>665</v>
      </c>
      <c r="AJ855" s="1" t="s">
        <v>1175</v>
      </c>
      <c r="AK855" s="1" t="s">
        <v>9571</v>
      </c>
      <c r="AL855" s="1">
        <v>4</v>
      </c>
      <c r="AM855" s="1">
        <v>2</v>
      </c>
      <c r="AN855" s="1">
        <v>2</v>
      </c>
      <c r="AO855" s="1">
        <v>0</v>
      </c>
      <c r="AP855" s="1" t="s">
        <v>209</v>
      </c>
      <c r="AQ855" s="1">
        <v>0</v>
      </c>
      <c r="AR855" s="1" t="s">
        <v>210</v>
      </c>
      <c r="AS855" s="1" t="s">
        <v>204</v>
      </c>
      <c r="AT855" s="1" t="s">
        <v>211</v>
      </c>
      <c r="AU855" s="1">
        <v>1</v>
      </c>
      <c r="AW855" s="1" t="s">
        <v>204</v>
      </c>
      <c r="AX855" s="1" t="s">
        <v>212</v>
      </c>
      <c r="AZ855" s="1">
        <v>3695</v>
      </c>
      <c r="BA855" s="1">
        <v>2013</v>
      </c>
      <c r="BB855" s="1" t="s">
        <v>210</v>
      </c>
      <c r="BE855" s="1">
        <v>1207</v>
      </c>
      <c r="BF855" s="1">
        <v>1</v>
      </c>
      <c r="BG855" s="1">
        <v>0</v>
      </c>
      <c r="BL855" s="1">
        <v>124</v>
      </c>
      <c r="BM855" s="1" t="s">
        <v>204</v>
      </c>
      <c r="BN855" s="1" t="s">
        <v>213</v>
      </c>
      <c r="BO855" s="1">
        <v>30</v>
      </c>
      <c r="BP855" s="1" t="s">
        <v>204</v>
      </c>
      <c r="BR855" s="1" t="str">
        <f>"0635258019"</f>
        <v>0635258019</v>
      </c>
      <c r="BT855" s="1" t="s">
        <v>9572</v>
      </c>
      <c r="BX855" s="1">
        <v>46</v>
      </c>
      <c r="BY855" s="1">
        <v>46</v>
      </c>
      <c r="BZ855" s="1">
        <v>46</v>
      </c>
      <c r="CB855" s="1" t="str">
        <f>"8"</f>
        <v>8</v>
      </c>
      <c r="CC855" s="1" t="str">
        <f>"0"</f>
        <v>0</v>
      </c>
      <c r="CD855" s="1">
        <v>34</v>
      </c>
      <c r="CE855" s="1">
        <v>0</v>
      </c>
      <c r="CG855" s="1" t="s">
        <v>1132</v>
      </c>
      <c r="CH855" s="1" t="s">
        <v>219</v>
      </c>
      <c r="CI855" s="1" t="s">
        <v>229</v>
      </c>
      <c r="CJ855" s="1" t="s">
        <v>210</v>
      </c>
      <c r="CK855" s="1" t="s">
        <v>757</v>
      </c>
      <c r="CL855" s="1" t="s">
        <v>219</v>
      </c>
      <c r="CM855" s="1" t="s">
        <v>229</v>
      </c>
      <c r="CN855" s="1" t="s">
        <v>343</v>
      </c>
      <c r="CP855" s="1" t="s">
        <v>224</v>
      </c>
      <c r="CS855" s="1" t="s">
        <v>378</v>
      </c>
      <c r="CT855" s="1" t="s">
        <v>219</v>
      </c>
      <c r="CU855" s="1" t="s">
        <v>229</v>
      </c>
      <c r="CV855" s="1" t="s">
        <v>210</v>
      </c>
      <c r="CX855" s="1" t="s">
        <v>224</v>
      </c>
      <c r="DB855" s="1" t="s">
        <v>224</v>
      </c>
      <c r="DE855" s="1" t="s">
        <v>972</v>
      </c>
      <c r="DF855" s="1" t="s">
        <v>219</v>
      </c>
      <c r="DG855" s="1" t="s">
        <v>342</v>
      </c>
      <c r="DH855" s="1" t="s">
        <v>210</v>
      </c>
      <c r="DJ855" s="1" t="s">
        <v>224</v>
      </c>
      <c r="DS855" s="1" t="s">
        <v>230</v>
      </c>
      <c r="DW855" s="1" t="s">
        <v>230</v>
      </c>
      <c r="EA855" s="1" t="s">
        <v>230</v>
      </c>
      <c r="EE855" s="1" t="s">
        <v>230</v>
      </c>
      <c r="EI855" s="1" t="s">
        <v>230</v>
      </c>
      <c r="EL855" s="1" t="s">
        <v>491</v>
      </c>
      <c r="EM855" s="1" t="s">
        <v>319</v>
      </c>
      <c r="EN855" s="1" t="s">
        <v>282</v>
      </c>
      <c r="EO855" s="1" t="s">
        <v>234</v>
      </c>
      <c r="EP855" s="1" t="s">
        <v>9573</v>
      </c>
      <c r="EQ855" s="1" t="s">
        <v>236</v>
      </c>
      <c r="ER855" s="1" t="s">
        <v>210</v>
      </c>
      <c r="ES855" s="1" t="s">
        <v>1868</v>
      </c>
      <c r="ET855" s="1" t="s">
        <v>866</v>
      </c>
      <c r="EU855" s="1" t="s">
        <v>239</v>
      </c>
      <c r="EV855" s="1" t="s">
        <v>240</v>
      </c>
      <c r="EW855" s="1" t="s">
        <v>6238</v>
      </c>
      <c r="EY855" s="1" t="s">
        <v>790</v>
      </c>
      <c r="EZ855" s="1" t="s">
        <v>287</v>
      </c>
      <c r="FA855" s="1" t="s">
        <v>3615</v>
      </c>
      <c r="FB855" s="1" t="s">
        <v>846</v>
      </c>
      <c r="FC855" s="1" t="s">
        <v>633</v>
      </c>
      <c r="FD855" s="1" t="s">
        <v>290</v>
      </c>
      <c r="FE855" s="1" t="s">
        <v>247</v>
      </c>
      <c r="FF855" s="1" t="s">
        <v>387</v>
      </c>
      <c r="FH855" s="1" t="s">
        <v>716</v>
      </c>
      <c r="FI855" s="1" t="s">
        <v>634</v>
      </c>
      <c r="FJ855" s="1" t="s">
        <v>9574</v>
      </c>
      <c r="FL855" s="1" t="s">
        <v>358</v>
      </c>
      <c r="FM855" s="1" t="s">
        <v>252</v>
      </c>
      <c r="FN855" s="1" t="s">
        <v>213</v>
      </c>
      <c r="FO855" s="1" t="s">
        <v>213</v>
      </c>
      <c r="FQ855" s="1" t="s">
        <v>9575</v>
      </c>
      <c r="FR855" s="1" t="s">
        <v>652</v>
      </c>
      <c r="FS855" s="1" t="s">
        <v>9576</v>
      </c>
      <c r="FT855" s="1" t="s">
        <v>9577</v>
      </c>
      <c r="FU855" s="1" t="s">
        <v>204</v>
      </c>
      <c r="FW855" s="1" t="s">
        <v>585</v>
      </c>
      <c r="FX855" s="1">
        <v>49</v>
      </c>
      <c r="FY855" s="1" t="s">
        <v>2408</v>
      </c>
      <c r="FZ855" s="1" t="s">
        <v>9578</v>
      </c>
      <c r="GA855" s="1">
        <v>1222</v>
      </c>
      <c r="GB855" s="1" t="s">
        <v>9579</v>
      </c>
      <c r="GE855" s="1" t="s">
        <v>623</v>
      </c>
      <c r="GH855" s="1" t="s">
        <v>230</v>
      </c>
      <c r="GI855" s="1" t="s">
        <v>204</v>
      </c>
      <c r="GJ855" s="1" t="s">
        <v>260</v>
      </c>
      <c r="GK855" s="1" t="s">
        <v>210</v>
      </c>
      <c r="GL855" s="2">
        <v>42124</v>
      </c>
      <c r="GM855" s="1" t="s">
        <v>9580</v>
      </c>
    </row>
    <row r="856" spans="1:195">
      <c r="A856" s="1">
        <v>18200</v>
      </c>
      <c r="B856" s="1" t="s">
        <v>195</v>
      </c>
      <c r="C856" s="1" t="str">
        <f>"08151264"</f>
        <v>08151264</v>
      </c>
      <c r="D856" s="1" t="s">
        <v>196</v>
      </c>
      <c r="F856" s="1" t="str">
        <f>"8040"</f>
        <v>8040</v>
      </c>
      <c r="G856" s="2">
        <v>41156</v>
      </c>
      <c r="H856" s="1">
        <v>15000</v>
      </c>
      <c r="I856" s="1">
        <v>18200</v>
      </c>
      <c r="J856" s="1">
        <v>18200</v>
      </c>
      <c r="K856" s="2">
        <v>41156</v>
      </c>
      <c r="L856" s="1">
        <v>962</v>
      </c>
      <c r="M856" s="2">
        <v>41869</v>
      </c>
      <c r="N856" s="1">
        <v>714</v>
      </c>
      <c r="O856" s="2">
        <v>41869</v>
      </c>
      <c r="P856" s="1">
        <v>85434</v>
      </c>
      <c r="Q856" s="1" t="s">
        <v>302</v>
      </c>
      <c r="R856" s="2">
        <v>42088</v>
      </c>
      <c r="S856" s="1">
        <v>179848</v>
      </c>
      <c r="U856" s="1">
        <v>5201</v>
      </c>
      <c r="V856" s="1" t="s">
        <v>9581</v>
      </c>
      <c r="W856" s="1" t="s">
        <v>425</v>
      </c>
      <c r="X856" s="1" t="s">
        <v>5413</v>
      </c>
      <c r="Y856" s="1">
        <v>14</v>
      </c>
      <c r="Z856" s="1" t="s">
        <v>249</v>
      </c>
      <c r="AA856" s="1" t="s">
        <v>400</v>
      </c>
      <c r="AB856" s="1">
        <v>60615</v>
      </c>
      <c r="AE856" s="1" t="s">
        <v>9582</v>
      </c>
      <c r="AF856" s="1" t="s">
        <v>402</v>
      </c>
      <c r="AG856" s="1" t="s">
        <v>213</v>
      </c>
      <c r="AH856" s="1" t="s">
        <v>403</v>
      </c>
      <c r="AI856" s="1" t="s">
        <v>310</v>
      </c>
      <c r="AJ856" s="1" t="s">
        <v>562</v>
      </c>
      <c r="AL856" s="1">
        <v>4</v>
      </c>
      <c r="AM856" s="1">
        <v>2</v>
      </c>
      <c r="AN856" s="1">
        <v>1</v>
      </c>
      <c r="AO856" s="1">
        <v>0</v>
      </c>
      <c r="AP856" s="1" t="s">
        <v>209</v>
      </c>
      <c r="AQ856" s="1">
        <v>0</v>
      </c>
      <c r="AR856" s="1" t="s">
        <v>210</v>
      </c>
      <c r="AT856" s="1" t="s">
        <v>271</v>
      </c>
      <c r="AV856" s="1">
        <v>1</v>
      </c>
      <c r="AW856" s="1" t="s">
        <v>204</v>
      </c>
      <c r="AX856" s="1" t="s">
        <v>212</v>
      </c>
      <c r="AZ856" s="1">
        <v>1616</v>
      </c>
      <c r="BA856" s="1">
        <v>2012</v>
      </c>
      <c r="BB856" s="1" t="s">
        <v>210</v>
      </c>
      <c r="BE856" s="1">
        <v>1000</v>
      </c>
      <c r="BF856" s="1">
        <v>1</v>
      </c>
      <c r="BG856" s="1">
        <v>0</v>
      </c>
      <c r="BL856" s="1">
        <v>125</v>
      </c>
      <c r="BM856" s="1" t="s">
        <v>204</v>
      </c>
      <c r="BN856" s="1" t="s">
        <v>213</v>
      </c>
      <c r="BO856" s="1">
        <v>0</v>
      </c>
      <c r="BP856" s="1" t="s">
        <v>204</v>
      </c>
      <c r="BR856" s="1" t="str">
        <f>"20103060701007"</f>
        <v>20103060701007</v>
      </c>
      <c r="BT856" s="1" t="s">
        <v>9583</v>
      </c>
      <c r="BX856" s="1">
        <v>299</v>
      </c>
      <c r="BY856" s="1">
        <v>299</v>
      </c>
      <c r="BZ856" s="1">
        <v>299</v>
      </c>
      <c r="CB856" s="1" t="str">
        <f>"0"</f>
        <v>0</v>
      </c>
      <c r="CC856" s="1" t="str">
        <f>"500"</f>
        <v>500</v>
      </c>
      <c r="CD856" s="1">
        <v>0</v>
      </c>
      <c r="CE856" s="1">
        <v>5201</v>
      </c>
      <c r="CG856" s="1" t="s">
        <v>315</v>
      </c>
      <c r="CH856" s="1" t="s">
        <v>219</v>
      </c>
      <c r="CI856" s="1" t="s">
        <v>438</v>
      </c>
      <c r="CK856" s="1" t="s">
        <v>3716</v>
      </c>
      <c r="CL856" s="1" t="s">
        <v>219</v>
      </c>
      <c r="CM856" s="1" t="s">
        <v>438</v>
      </c>
      <c r="CP856" s="1" t="s">
        <v>224</v>
      </c>
      <c r="CS856" s="1" t="s">
        <v>1403</v>
      </c>
      <c r="CT856" s="1" t="s">
        <v>219</v>
      </c>
      <c r="CU856" s="1" t="s">
        <v>438</v>
      </c>
      <c r="CX856" s="1" t="s">
        <v>224</v>
      </c>
      <c r="DB856" s="1" t="s">
        <v>224</v>
      </c>
      <c r="DE856" s="1" t="s">
        <v>630</v>
      </c>
      <c r="DF856" s="1" t="s">
        <v>219</v>
      </c>
      <c r="DG856" s="1" t="s">
        <v>438</v>
      </c>
      <c r="DJ856" s="1" t="s">
        <v>224</v>
      </c>
      <c r="DS856" s="1" t="s">
        <v>230</v>
      </c>
      <c r="DW856" s="1" t="s">
        <v>230</v>
      </c>
      <c r="EA856" s="1" t="s">
        <v>230</v>
      </c>
      <c r="EE856" s="1" t="s">
        <v>230</v>
      </c>
      <c r="EI856" s="1" t="s">
        <v>230</v>
      </c>
      <c r="EL856" s="1" t="s">
        <v>413</v>
      </c>
      <c r="EM856" s="1" t="s">
        <v>232</v>
      </c>
      <c r="EN856" s="1" t="s">
        <v>282</v>
      </c>
      <c r="EO856" s="1" t="s">
        <v>234</v>
      </c>
      <c r="ER856" s="1" t="s">
        <v>210</v>
      </c>
      <c r="EU856" s="1" t="s">
        <v>546</v>
      </c>
      <c r="EW856" s="1" t="s">
        <v>384</v>
      </c>
      <c r="EY856" s="1" t="s">
        <v>242</v>
      </c>
      <c r="EZ856" s="1" t="s">
        <v>287</v>
      </c>
      <c r="FA856" s="1" t="s">
        <v>1048</v>
      </c>
      <c r="FD856" s="1" t="s">
        <v>246</v>
      </c>
      <c r="FE856" s="1" t="s">
        <v>247</v>
      </c>
      <c r="FF856" s="1" t="s">
        <v>248</v>
      </c>
      <c r="FH856" s="1" t="s">
        <v>249</v>
      </c>
      <c r="FK856" s="1" t="s">
        <v>291</v>
      </c>
      <c r="FL856" s="1" t="s">
        <v>414</v>
      </c>
      <c r="FM856" s="1" t="s">
        <v>252</v>
      </c>
      <c r="FN856" s="1" t="s">
        <v>213</v>
      </c>
      <c r="FO856" s="1" t="s">
        <v>213</v>
      </c>
      <c r="FQ856" s="1" t="s">
        <v>8957</v>
      </c>
      <c r="FR856" s="1" t="s">
        <v>360</v>
      </c>
      <c r="FS856" s="1" t="s">
        <v>2346</v>
      </c>
      <c r="FT856" s="1" t="s">
        <v>295</v>
      </c>
      <c r="FU856" s="1" t="s">
        <v>204</v>
      </c>
      <c r="FW856" s="1" t="s">
        <v>9584</v>
      </c>
      <c r="FX856" s="1">
        <v>18235</v>
      </c>
      <c r="FY856" s="1" t="s">
        <v>9585</v>
      </c>
      <c r="FZ856" s="1" t="s">
        <v>9586</v>
      </c>
      <c r="GA856" s="1">
        <v>169471</v>
      </c>
      <c r="GB856" s="1" t="s">
        <v>9587</v>
      </c>
      <c r="GE856" s="1" t="s">
        <v>210</v>
      </c>
      <c r="GH856" s="1" t="s">
        <v>421</v>
      </c>
      <c r="GI856" s="1" t="s">
        <v>213</v>
      </c>
      <c r="GJ856" s="1" t="s">
        <v>260</v>
      </c>
      <c r="GK856" s="1" t="s">
        <v>210</v>
      </c>
      <c r="GL856" s="2">
        <v>42103</v>
      </c>
      <c r="GM856" s="1" t="s">
        <v>9588</v>
      </c>
    </row>
    <row r="857" spans="1:195">
      <c r="A857" s="1">
        <v>95000</v>
      </c>
      <c r="B857" s="1" t="s">
        <v>195</v>
      </c>
      <c r="C857" s="1" t="str">
        <f>"08611862"</f>
        <v>08611862</v>
      </c>
      <c r="D857" s="1" t="s">
        <v>196</v>
      </c>
      <c r="F857" s="1" t="str">
        <f>"46"</f>
        <v>46</v>
      </c>
      <c r="G857" s="2">
        <v>41771</v>
      </c>
      <c r="H857" s="1">
        <v>129900</v>
      </c>
      <c r="I857" s="1">
        <v>109900</v>
      </c>
      <c r="J857" s="1">
        <v>95000</v>
      </c>
      <c r="K857" s="2">
        <v>41770</v>
      </c>
      <c r="L857" s="1">
        <v>93</v>
      </c>
      <c r="M857" s="2">
        <v>41862</v>
      </c>
      <c r="N857" s="1">
        <v>93</v>
      </c>
      <c r="O857" s="2">
        <v>41862</v>
      </c>
      <c r="P857" s="1">
        <v>8103</v>
      </c>
      <c r="Q857" s="1" t="s">
        <v>302</v>
      </c>
      <c r="R857" s="2">
        <v>41988</v>
      </c>
      <c r="S857" s="1">
        <v>80782</v>
      </c>
      <c r="U857" s="1">
        <v>3092</v>
      </c>
      <c r="V857" s="1" t="s">
        <v>2771</v>
      </c>
      <c r="W857" s="1" t="s">
        <v>504</v>
      </c>
      <c r="X857" s="1">
        <v>3092</v>
      </c>
      <c r="Y857" s="1">
        <v>6</v>
      </c>
      <c r="Z857" s="1" t="s">
        <v>200</v>
      </c>
      <c r="AA857" s="1" t="s">
        <v>2772</v>
      </c>
      <c r="AB857" s="1">
        <v>60046</v>
      </c>
      <c r="AC857" s="1">
        <v>6784</v>
      </c>
      <c r="AD857" s="1" t="s">
        <v>2771</v>
      </c>
      <c r="AE857" s="1" t="s">
        <v>9589</v>
      </c>
      <c r="AF857" s="1">
        <v>2000</v>
      </c>
      <c r="AG857" s="1" t="s">
        <v>204</v>
      </c>
      <c r="AH857" s="1" t="s">
        <v>2775</v>
      </c>
      <c r="AI857" s="1" t="s">
        <v>509</v>
      </c>
      <c r="AJ857" s="1" t="s">
        <v>1437</v>
      </c>
      <c r="AK857" s="1" t="s">
        <v>2776</v>
      </c>
      <c r="AL857" s="1">
        <v>5</v>
      </c>
      <c r="AM857" s="1">
        <v>2</v>
      </c>
      <c r="AN857" s="1">
        <v>2</v>
      </c>
      <c r="AO857" s="1">
        <v>1</v>
      </c>
      <c r="AP857" s="1" t="s">
        <v>209</v>
      </c>
      <c r="AQ857" s="1">
        <v>1</v>
      </c>
      <c r="AR857" s="1" t="s">
        <v>210</v>
      </c>
      <c r="AS857" s="1" t="s">
        <v>204</v>
      </c>
      <c r="AT857" s="1" t="s">
        <v>211</v>
      </c>
      <c r="AU857" s="1">
        <v>1</v>
      </c>
      <c r="AW857" s="1" t="s">
        <v>204</v>
      </c>
      <c r="AX857" s="1" t="s">
        <v>212</v>
      </c>
      <c r="AZ857" s="1">
        <v>4882.54</v>
      </c>
      <c r="BA857" s="1">
        <v>2013</v>
      </c>
      <c r="BE857" s="1">
        <v>1412</v>
      </c>
      <c r="BF857" s="1">
        <v>1</v>
      </c>
      <c r="BG857" s="1">
        <v>0</v>
      </c>
      <c r="BL857" s="1">
        <v>254</v>
      </c>
      <c r="BM857" s="1" t="s">
        <v>204</v>
      </c>
      <c r="BN857" s="1" t="s">
        <v>213</v>
      </c>
      <c r="BO857" s="1">
        <v>999</v>
      </c>
      <c r="BP857" s="1" t="s">
        <v>204</v>
      </c>
      <c r="BR857" s="1" t="str">
        <f>"06014012280000"</f>
        <v>06014012280000</v>
      </c>
      <c r="BS857" s="1" t="s">
        <v>204</v>
      </c>
      <c r="BT857" s="1" t="s">
        <v>9590</v>
      </c>
      <c r="BU857" s="1" t="s">
        <v>9591</v>
      </c>
      <c r="BV857" s="1" t="s">
        <v>9591</v>
      </c>
      <c r="BX857" s="1">
        <v>24</v>
      </c>
      <c r="BY857" s="1">
        <v>24</v>
      </c>
      <c r="BZ857" s="1">
        <v>127</v>
      </c>
      <c r="CB857" s="1" t="str">
        <f>"37"</f>
        <v>37</v>
      </c>
      <c r="CC857" s="1" t="str">
        <f>"0"</f>
        <v>0</v>
      </c>
      <c r="CD857" s="1">
        <v>19</v>
      </c>
      <c r="CE857" s="1">
        <v>0</v>
      </c>
      <c r="CG857" s="1" t="s">
        <v>729</v>
      </c>
      <c r="CH857" s="1" t="s">
        <v>219</v>
      </c>
      <c r="CI857" s="1" t="s">
        <v>220</v>
      </c>
      <c r="CJ857" s="1" t="s">
        <v>463</v>
      </c>
      <c r="CK857" s="1" t="s">
        <v>757</v>
      </c>
      <c r="CL857" s="1" t="s">
        <v>277</v>
      </c>
      <c r="CM857" s="1" t="s">
        <v>220</v>
      </c>
      <c r="CN857" s="1" t="s">
        <v>343</v>
      </c>
      <c r="CO857" s="1" t="s">
        <v>629</v>
      </c>
      <c r="CP857" s="1" t="s">
        <v>219</v>
      </c>
      <c r="CQ857" s="1" t="s">
        <v>220</v>
      </c>
      <c r="CR857" s="1" t="s">
        <v>210</v>
      </c>
      <c r="CS857" s="1" t="s">
        <v>465</v>
      </c>
      <c r="CT857" s="1" t="s">
        <v>277</v>
      </c>
      <c r="CU857" s="1" t="s">
        <v>220</v>
      </c>
      <c r="CV857" s="1" t="s">
        <v>343</v>
      </c>
      <c r="CX857" s="1" t="s">
        <v>224</v>
      </c>
      <c r="DB857" s="1" t="s">
        <v>224</v>
      </c>
      <c r="DE857" s="1" t="s">
        <v>379</v>
      </c>
      <c r="DF857" s="1" t="s">
        <v>219</v>
      </c>
      <c r="DG857" s="1" t="s">
        <v>4958</v>
      </c>
      <c r="DH857" s="1" t="s">
        <v>210</v>
      </c>
      <c r="DJ857" s="1" t="s">
        <v>224</v>
      </c>
      <c r="DS857" s="1" t="s">
        <v>230</v>
      </c>
      <c r="DW857" s="1" t="s">
        <v>230</v>
      </c>
      <c r="EA857" s="1" t="s">
        <v>230</v>
      </c>
      <c r="EE857" s="1" t="s">
        <v>230</v>
      </c>
      <c r="EI857" s="1" t="s">
        <v>230</v>
      </c>
      <c r="EL857" s="1" t="s">
        <v>466</v>
      </c>
      <c r="EM857" s="1" t="s">
        <v>319</v>
      </c>
      <c r="EN857" s="1" t="s">
        <v>282</v>
      </c>
      <c r="EO857" s="1" t="s">
        <v>234</v>
      </c>
      <c r="EP857" s="1" t="s">
        <v>9592</v>
      </c>
      <c r="EQ857" s="1" t="s">
        <v>236</v>
      </c>
      <c r="ER857" s="1" t="s">
        <v>210</v>
      </c>
      <c r="ES857" s="1" t="s">
        <v>322</v>
      </c>
      <c r="EU857" s="1" t="s">
        <v>239</v>
      </c>
      <c r="EV857" s="1" t="s">
        <v>240</v>
      </c>
      <c r="EW857" s="1" t="s">
        <v>1617</v>
      </c>
      <c r="EZ857" s="1" t="s">
        <v>287</v>
      </c>
      <c r="FB857" s="1" t="s">
        <v>1755</v>
      </c>
      <c r="FC857" s="1" t="s">
        <v>633</v>
      </c>
      <c r="FD857" s="1" t="s">
        <v>246</v>
      </c>
      <c r="FE857" s="1" t="s">
        <v>355</v>
      </c>
      <c r="FF857" s="1" t="s">
        <v>248</v>
      </c>
      <c r="FG857" s="1" t="s">
        <v>871</v>
      </c>
      <c r="FH857" s="1" t="s">
        <v>550</v>
      </c>
      <c r="FI857" s="1" t="s">
        <v>3300</v>
      </c>
      <c r="FJ857" s="1" t="s">
        <v>1472</v>
      </c>
      <c r="FL857" s="1" t="s">
        <v>358</v>
      </c>
      <c r="FM857" s="1" t="s">
        <v>252</v>
      </c>
      <c r="FN857" s="1" t="s">
        <v>213</v>
      </c>
      <c r="FO857" s="1" t="s">
        <v>213</v>
      </c>
      <c r="FQ857" s="1" t="s">
        <v>9593</v>
      </c>
      <c r="FR857" s="1" t="s">
        <v>9166</v>
      </c>
      <c r="FS857" s="1" t="s">
        <v>4138</v>
      </c>
      <c r="FT857" s="1" t="s">
        <v>295</v>
      </c>
      <c r="FU857" s="1" t="s">
        <v>204</v>
      </c>
      <c r="FW857" s="1" t="s">
        <v>5379</v>
      </c>
      <c r="FX857" s="1">
        <v>2472</v>
      </c>
      <c r="FY857" s="1" t="s">
        <v>5380</v>
      </c>
      <c r="FZ857" s="1" t="s">
        <v>9594</v>
      </c>
      <c r="GA857" s="1">
        <v>19303</v>
      </c>
      <c r="GB857" s="1" t="s">
        <v>9595</v>
      </c>
      <c r="GE857" s="1" t="s">
        <v>480</v>
      </c>
      <c r="GI857" s="1" t="s">
        <v>213</v>
      </c>
      <c r="GJ857" s="1" t="s">
        <v>260</v>
      </c>
      <c r="GK857" s="1" t="s">
        <v>210</v>
      </c>
      <c r="GL857" s="2">
        <v>41989</v>
      </c>
      <c r="GM857" s="1" t="s">
        <v>9596</v>
      </c>
    </row>
    <row r="858" spans="1:195">
      <c r="A858" s="1">
        <v>125000</v>
      </c>
      <c r="B858" s="1" t="s">
        <v>195</v>
      </c>
      <c r="C858" s="1" t="str">
        <f>"08555440"</f>
        <v>08555440</v>
      </c>
      <c r="D858" s="1" t="s">
        <v>196</v>
      </c>
      <c r="F858" s="1" t="str">
        <f>"8041"</f>
        <v>8041</v>
      </c>
      <c r="G858" s="2">
        <v>41709</v>
      </c>
      <c r="H858" s="1">
        <v>159900</v>
      </c>
      <c r="I858" s="1">
        <v>149900</v>
      </c>
      <c r="J858" s="1">
        <v>125000</v>
      </c>
      <c r="K858" s="2">
        <v>41709</v>
      </c>
      <c r="L858" s="1">
        <v>235</v>
      </c>
      <c r="M858" s="2">
        <v>41943</v>
      </c>
      <c r="N858" s="1">
        <v>235</v>
      </c>
      <c r="O858" s="2">
        <v>41943</v>
      </c>
      <c r="P858" s="1">
        <v>85103</v>
      </c>
      <c r="Q858" s="1" t="s">
        <v>197</v>
      </c>
      <c r="R858" s="2">
        <v>41992</v>
      </c>
      <c r="S858" s="1">
        <v>117055</v>
      </c>
      <c r="U858" s="1">
        <v>5227</v>
      </c>
      <c r="V858" s="1" t="s">
        <v>3723</v>
      </c>
      <c r="W858" s="1" t="s">
        <v>425</v>
      </c>
      <c r="X858" s="1" t="s">
        <v>2151</v>
      </c>
      <c r="Y858" s="1">
        <v>20</v>
      </c>
      <c r="Z858" s="1" t="s">
        <v>249</v>
      </c>
      <c r="AA858" s="1" t="s">
        <v>400</v>
      </c>
      <c r="AB858" s="1">
        <v>60615</v>
      </c>
      <c r="AE858" s="1" t="s">
        <v>9597</v>
      </c>
      <c r="AF858" s="1">
        <v>1918</v>
      </c>
      <c r="AG858" s="1" t="s">
        <v>213</v>
      </c>
      <c r="AH858" s="1" t="s">
        <v>403</v>
      </c>
      <c r="AI858" s="1" t="s">
        <v>310</v>
      </c>
      <c r="AJ858" s="1" t="s">
        <v>562</v>
      </c>
      <c r="AL858" s="1">
        <v>5</v>
      </c>
      <c r="AM858" s="1">
        <v>2</v>
      </c>
      <c r="AN858" s="1">
        <v>2</v>
      </c>
      <c r="AO858" s="1">
        <v>0</v>
      </c>
      <c r="AP858" s="1" t="s">
        <v>209</v>
      </c>
      <c r="AQ858" s="1">
        <v>1</v>
      </c>
      <c r="AR858" s="1" t="s">
        <v>209</v>
      </c>
      <c r="AS858" s="1" t="s">
        <v>204</v>
      </c>
      <c r="AT858" s="1" t="s">
        <v>210</v>
      </c>
      <c r="AW858" s="1" t="s">
        <v>204</v>
      </c>
      <c r="AX858" s="1" t="s">
        <v>9598</v>
      </c>
      <c r="AZ858" s="1">
        <v>2485</v>
      </c>
      <c r="BA858" s="1">
        <v>2012</v>
      </c>
      <c r="BB858" s="1" t="s">
        <v>210</v>
      </c>
      <c r="BE858" s="1">
        <v>1264</v>
      </c>
      <c r="BF858" s="1">
        <v>2</v>
      </c>
      <c r="BG858" s="1">
        <v>10</v>
      </c>
      <c r="BJ858" s="1">
        <v>80</v>
      </c>
      <c r="BL858" s="1">
        <v>286</v>
      </c>
      <c r="BM858" s="1" t="s">
        <v>204</v>
      </c>
      <c r="BN858" s="1" t="s">
        <v>213</v>
      </c>
      <c r="BO858" s="1">
        <v>75</v>
      </c>
      <c r="BP858" s="1" t="s">
        <v>204</v>
      </c>
      <c r="BR858" s="1" t="str">
        <f>"20113070221019"</f>
        <v>20113070221019</v>
      </c>
      <c r="BT858" s="1" t="s">
        <v>9599</v>
      </c>
      <c r="BX858" s="1">
        <v>299</v>
      </c>
      <c r="BY858" s="1">
        <v>299</v>
      </c>
      <c r="BZ858" s="1">
        <v>299</v>
      </c>
      <c r="CB858" s="1" t="str">
        <f>"0"</f>
        <v>0</v>
      </c>
      <c r="CC858" s="1" t="str">
        <f>"900"</f>
        <v>900</v>
      </c>
      <c r="CD858" s="1">
        <v>0</v>
      </c>
      <c r="CE858" s="1">
        <v>5200</v>
      </c>
      <c r="CG858" s="1" t="s">
        <v>3100</v>
      </c>
      <c r="CH858" s="1" t="s">
        <v>219</v>
      </c>
      <c r="CI858" s="1" t="s">
        <v>438</v>
      </c>
      <c r="CJ858" s="1" t="s">
        <v>210</v>
      </c>
      <c r="CK858" s="1" t="s">
        <v>465</v>
      </c>
      <c r="CL858" s="1" t="s">
        <v>219</v>
      </c>
      <c r="CM858" s="1" t="s">
        <v>438</v>
      </c>
      <c r="CN858" s="1" t="s">
        <v>210</v>
      </c>
      <c r="CO858" s="1" t="s">
        <v>9600</v>
      </c>
      <c r="CP858" s="1" t="s">
        <v>219</v>
      </c>
      <c r="CQ858" s="1" t="s">
        <v>438</v>
      </c>
      <c r="CS858" s="1" t="s">
        <v>346</v>
      </c>
      <c r="CT858" s="1" t="s">
        <v>219</v>
      </c>
      <c r="CU858" s="1" t="s">
        <v>438</v>
      </c>
      <c r="CV858" s="1" t="s">
        <v>210</v>
      </c>
      <c r="CX858" s="1" t="s">
        <v>224</v>
      </c>
      <c r="DB858" s="1" t="s">
        <v>224</v>
      </c>
      <c r="DE858" s="1" t="s">
        <v>687</v>
      </c>
      <c r="DF858" s="1" t="s">
        <v>219</v>
      </c>
      <c r="DG858" s="1" t="s">
        <v>438</v>
      </c>
      <c r="DH858" s="1" t="s">
        <v>210</v>
      </c>
      <c r="DJ858" s="1" t="s">
        <v>224</v>
      </c>
      <c r="DS858" s="1" t="s">
        <v>230</v>
      </c>
      <c r="DW858" s="1" t="s">
        <v>230</v>
      </c>
      <c r="EA858" s="1" t="s">
        <v>230</v>
      </c>
      <c r="EE858" s="1" t="s">
        <v>230</v>
      </c>
      <c r="EI858" s="1" t="s">
        <v>230</v>
      </c>
      <c r="EL858" s="1" t="s">
        <v>2521</v>
      </c>
      <c r="EM858" s="1" t="s">
        <v>319</v>
      </c>
      <c r="EN858" s="1" t="s">
        <v>282</v>
      </c>
      <c r="EO858" s="1" t="s">
        <v>234</v>
      </c>
      <c r="EQ858" s="1" t="s">
        <v>9601</v>
      </c>
      <c r="ER858" s="1" t="s">
        <v>789</v>
      </c>
      <c r="ES858" s="1" t="s">
        <v>3914</v>
      </c>
      <c r="EU858" s="1" t="s">
        <v>546</v>
      </c>
      <c r="EV858" s="1" t="s">
        <v>240</v>
      </c>
      <c r="EW858" s="1" t="s">
        <v>937</v>
      </c>
      <c r="EY858" s="1" t="s">
        <v>242</v>
      </c>
      <c r="EZ858" s="1" t="s">
        <v>287</v>
      </c>
      <c r="FB858" s="1" t="s">
        <v>289</v>
      </c>
      <c r="FC858" s="1" t="s">
        <v>9602</v>
      </c>
      <c r="FD858" s="1" t="s">
        <v>290</v>
      </c>
      <c r="FE858" s="1" t="s">
        <v>247</v>
      </c>
      <c r="FF858" s="1" t="s">
        <v>248</v>
      </c>
      <c r="FG858" s="1" t="s">
        <v>912</v>
      </c>
      <c r="FH858" s="1" t="s">
        <v>992</v>
      </c>
      <c r="FL858" s="1" t="s">
        <v>1826</v>
      </c>
      <c r="FM858" s="1" t="s">
        <v>252</v>
      </c>
      <c r="FN858" s="1" t="s">
        <v>213</v>
      </c>
      <c r="FO858" s="1" t="s">
        <v>213</v>
      </c>
      <c r="FQ858" s="1" t="s">
        <v>329</v>
      </c>
      <c r="FR858" s="1" t="s">
        <v>360</v>
      </c>
      <c r="FS858" s="1" t="s">
        <v>9603</v>
      </c>
      <c r="FT858" s="1" t="s">
        <v>295</v>
      </c>
      <c r="FU858" s="1" t="s">
        <v>204</v>
      </c>
      <c r="FW858" s="1" t="s">
        <v>2006</v>
      </c>
      <c r="FX858" s="1">
        <v>14703</v>
      </c>
      <c r="FY858" s="1" t="s">
        <v>9604</v>
      </c>
      <c r="FZ858" s="1" t="s">
        <v>9605</v>
      </c>
      <c r="GA858" s="1">
        <v>111307</v>
      </c>
      <c r="GB858" s="1" t="s">
        <v>9606</v>
      </c>
      <c r="GE858" s="1" t="s">
        <v>9607</v>
      </c>
      <c r="GH858" s="1" t="s">
        <v>421</v>
      </c>
      <c r="GI858" s="1" t="s">
        <v>213</v>
      </c>
      <c r="GJ858" s="1" t="s">
        <v>260</v>
      </c>
      <c r="GK858" s="1" t="s">
        <v>210</v>
      </c>
      <c r="GL858" s="2">
        <v>42002</v>
      </c>
      <c r="GM858" s="2" t="s">
        <v>9608</v>
      </c>
    </row>
    <row r="859" spans="1:195">
      <c r="A859" s="1">
        <v>46600</v>
      </c>
      <c r="B859" s="1" t="s">
        <v>195</v>
      </c>
      <c r="C859" s="1" t="str">
        <f>"08564210"</f>
        <v>08564210</v>
      </c>
      <c r="D859" s="1" t="s">
        <v>196</v>
      </c>
      <c r="F859" s="1" t="str">
        <f>"60"</f>
        <v>60</v>
      </c>
      <c r="G859" s="2">
        <v>41719</v>
      </c>
      <c r="H859" s="1">
        <v>60000</v>
      </c>
      <c r="I859" s="1">
        <v>60000</v>
      </c>
      <c r="J859" s="1">
        <v>46600</v>
      </c>
      <c r="K859" s="2">
        <v>41718</v>
      </c>
      <c r="L859" s="1">
        <v>162</v>
      </c>
      <c r="M859" s="2">
        <v>41879</v>
      </c>
      <c r="N859" s="1">
        <v>162</v>
      </c>
      <c r="O859" s="2">
        <v>41879</v>
      </c>
      <c r="P859" s="1">
        <v>25841</v>
      </c>
      <c r="Q859" s="1" t="s">
        <v>302</v>
      </c>
      <c r="R859" s="2">
        <v>41975</v>
      </c>
      <c r="S859" s="1">
        <v>85553</v>
      </c>
      <c r="U859" s="1">
        <v>555</v>
      </c>
      <c r="V859" s="1" t="s">
        <v>9609</v>
      </c>
      <c r="W859" s="1" t="s">
        <v>264</v>
      </c>
      <c r="X859" s="1" t="s">
        <v>6507</v>
      </c>
      <c r="Y859" s="1">
        <v>34</v>
      </c>
      <c r="Z859" s="1" t="s">
        <v>249</v>
      </c>
      <c r="AA859" s="1" t="s">
        <v>1689</v>
      </c>
      <c r="AB859" s="1">
        <v>60060</v>
      </c>
      <c r="AE859" s="1" t="s">
        <v>9610</v>
      </c>
      <c r="AF859" s="1" t="s">
        <v>402</v>
      </c>
      <c r="AG859" s="1" t="s">
        <v>213</v>
      </c>
      <c r="AH859" s="1" t="s">
        <v>1692</v>
      </c>
      <c r="AI859" s="1" t="s">
        <v>509</v>
      </c>
      <c r="AJ859" s="1" t="s">
        <v>1693</v>
      </c>
      <c r="AK859" s="1" t="s">
        <v>9611</v>
      </c>
      <c r="AL859" s="1">
        <v>5</v>
      </c>
      <c r="AM859" s="1">
        <v>2</v>
      </c>
      <c r="AN859" s="1">
        <v>2</v>
      </c>
      <c r="AO859" s="1">
        <v>0</v>
      </c>
      <c r="AP859" s="1" t="s">
        <v>209</v>
      </c>
      <c r="AR859" s="1" t="s">
        <v>210</v>
      </c>
      <c r="AS859" s="1" t="s">
        <v>204</v>
      </c>
      <c r="AT859" s="1" t="s">
        <v>271</v>
      </c>
      <c r="AV859" s="1">
        <v>2</v>
      </c>
      <c r="AW859" s="1" t="s">
        <v>204</v>
      </c>
      <c r="AX859" s="1">
        <v>0</v>
      </c>
      <c r="AZ859" s="1">
        <v>1356.85</v>
      </c>
      <c r="BA859" s="1">
        <v>2012</v>
      </c>
      <c r="BE859" s="1">
        <v>950</v>
      </c>
      <c r="BF859" s="1">
        <v>1</v>
      </c>
      <c r="BG859" s="1">
        <v>3</v>
      </c>
      <c r="BL859" s="1">
        <v>263</v>
      </c>
      <c r="BM859" s="1" t="s">
        <v>204</v>
      </c>
      <c r="BN859" s="1" t="s">
        <v>213</v>
      </c>
      <c r="BO859" s="1">
        <v>50</v>
      </c>
      <c r="BP859" s="1" t="s">
        <v>204</v>
      </c>
      <c r="BR859" s="1" t="str">
        <f>"11311001550000"</f>
        <v>11311001550000</v>
      </c>
      <c r="BX859" s="1">
        <v>73</v>
      </c>
      <c r="BY859" s="1">
        <v>73</v>
      </c>
      <c r="BZ859" s="1">
        <v>120</v>
      </c>
      <c r="CB859" s="1" t="str">
        <f t="shared" ref="CB859:CC859" si="664">""</f>
        <v/>
      </c>
      <c r="CC859" s="1" t="str">
        <f t="shared" si="664"/>
        <v/>
      </c>
      <c r="CG859" s="1" t="s">
        <v>759</v>
      </c>
      <c r="CH859" s="1" t="s">
        <v>219</v>
      </c>
      <c r="CK859" s="1" t="s">
        <v>1788</v>
      </c>
      <c r="CL859" s="1" t="s">
        <v>219</v>
      </c>
      <c r="CO859" s="1" t="s">
        <v>345</v>
      </c>
      <c r="CP859" s="1" t="s">
        <v>219</v>
      </c>
      <c r="CS859" s="1" t="s">
        <v>2466</v>
      </c>
      <c r="CT859" s="1" t="s">
        <v>219</v>
      </c>
      <c r="CX859" s="1" t="s">
        <v>224</v>
      </c>
      <c r="DB859" s="1" t="s">
        <v>224</v>
      </c>
      <c r="DE859" s="1" t="s">
        <v>516</v>
      </c>
      <c r="DF859" s="1" t="s">
        <v>219</v>
      </c>
      <c r="DJ859" s="1" t="s">
        <v>224</v>
      </c>
      <c r="DS859" s="1" t="s">
        <v>230</v>
      </c>
      <c r="DW859" s="1" t="s">
        <v>230</v>
      </c>
      <c r="EA859" s="1" t="s">
        <v>230</v>
      </c>
      <c r="EE859" s="1" t="s">
        <v>230</v>
      </c>
      <c r="EI859" s="1" t="s">
        <v>230</v>
      </c>
      <c r="EL859" s="1" t="s">
        <v>413</v>
      </c>
      <c r="EM859" s="1" t="s">
        <v>232</v>
      </c>
      <c r="EN859" s="1" t="s">
        <v>1158</v>
      </c>
      <c r="EO859" s="1" t="s">
        <v>234</v>
      </c>
      <c r="ER859" s="1" t="s">
        <v>210</v>
      </c>
      <c r="EW859" s="1" t="s">
        <v>7386</v>
      </c>
      <c r="EZ859" s="1" t="s">
        <v>287</v>
      </c>
      <c r="FD859" s="1" t="s">
        <v>495</v>
      </c>
      <c r="FE859" s="1" t="s">
        <v>1006</v>
      </c>
      <c r="FF859" s="1" t="s">
        <v>248</v>
      </c>
      <c r="FH859" s="1" t="s">
        <v>249</v>
      </c>
      <c r="FJ859" s="1" t="s">
        <v>1472</v>
      </c>
      <c r="FL859" s="1" t="s">
        <v>414</v>
      </c>
      <c r="FM859" s="1" t="s">
        <v>252</v>
      </c>
      <c r="FN859" s="1" t="s">
        <v>213</v>
      </c>
      <c r="FO859" s="1" t="s">
        <v>213</v>
      </c>
      <c r="FQ859" s="1" t="s">
        <v>359</v>
      </c>
      <c r="FR859" s="1" t="s">
        <v>360</v>
      </c>
      <c r="FS859" s="1" t="s">
        <v>9612</v>
      </c>
      <c r="FT859" s="1" t="s">
        <v>295</v>
      </c>
      <c r="FU859" s="1" t="s">
        <v>204</v>
      </c>
      <c r="FW859" s="1" t="s">
        <v>9613</v>
      </c>
      <c r="FX859" s="1">
        <v>25841</v>
      </c>
      <c r="FY859" s="1" t="s">
        <v>9614</v>
      </c>
      <c r="FZ859" s="1" t="s">
        <v>9615</v>
      </c>
      <c r="GA859" s="1">
        <v>238998</v>
      </c>
      <c r="GE859" s="1" t="s">
        <v>480</v>
      </c>
      <c r="GI859" s="1" t="s">
        <v>213</v>
      </c>
      <c r="GJ859" s="1" t="s">
        <v>260</v>
      </c>
      <c r="GK859" s="1" t="s">
        <v>210</v>
      </c>
      <c r="GL859" s="2">
        <v>41977</v>
      </c>
      <c r="GM859" s="1" t="s">
        <v>9616</v>
      </c>
    </row>
    <row r="860" spans="1:195">
      <c r="A860" s="1">
        <v>120000</v>
      </c>
      <c r="B860" s="1" t="s">
        <v>195</v>
      </c>
      <c r="C860" s="1" t="str">
        <f>"08561317"</f>
        <v>08561317</v>
      </c>
      <c r="D860" s="1" t="s">
        <v>196</v>
      </c>
      <c r="F860" s="1" t="str">
        <f>"188"</f>
        <v>188</v>
      </c>
      <c r="G860" s="2">
        <v>41716</v>
      </c>
      <c r="H860" s="1">
        <v>119900</v>
      </c>
      <c r="I860" s="1">
        <v>120000</v>
      </c>
      <c r="J860" s="1">
        <v>120000</v>
      </c>
      <c r="K860" s="2">
        <v>41716</v>
      </c>
      <c r="L860" s="1">
        <v>193</v>
      </c>
      <c r="M860" s="2">
        <v>41908</v>
      </c>
      <c r="N860" s="1">
        <v>193</v>
      </c>
      <c r="O860" s="2">
        <v>41908</v>
      </c>
      <c r="P860" s="1">
        <v>25003</v>
      </c>
      <c r="Q860" s="1" t="s">
        <v>197</v>
      </c>
      <c r="R860" s="2">
        <v>41984</v>
      </c>
      <c r="S860" s="1">
        <v>227378</v>
      </c>
      <c r="U860" s="1">
        <v>462</v>
      </c>
      <c r="V860" s="1" t="s">
        <v>9617</v>
      </c>
      <c r="W860" s="1" t="s">
        <v>725</v>
      </c>
      <c r="X860" s="1">
        <v>204</v>
      </c>
      <c r="Y860" s="1">
        <v>12</v>
      </c>
      <c r="Z860" s="1" t="s">
        <v>249</v>
      </c>
      <c r="AA860" s="1" t="s">
        <v>1084</v>
      </c>
      <c r="AB860" s="1">
        <v>60188</v>
      </c>
      <c r="AD860" s="1" t="s">
        <v>9618</v>
      </c>
      <c r="AE860" s="1" t="s">
        <v>9619</v>
      </c>
      <c r="AF860" s="1">
        <v>1988</v>
      </c>
      <c r="AG860" s="1" t="s">
        <v>204</v>
      </c>
      <c r="AH860" s="1" t="s">
        <v>1087</v>
      </c>
      <c r="AI860" s="1" t="s">
        <v>206</v>
      </c>
      <c r="AJ860" s="1" t="s">
        <v>207</v>
      </c>
      <c r="AL860" s="1">
        <v>6</v>
      </c>
      <c r="AM860" s="1">
        <v>2</v>
      </c>
      <c r="AN860" s="1">
        <v>2</v>
      </c>
      <c r="AO860" s="1">
        <v>0</v>
      </c>
      <c r="AP860" s="1" t="s">
        <v>209</v>
      </c>
      <c r="AQ860" s="1">
        <v>1</v>
      </c>
      <c r="AR860" s="1" t="s">
        <v>210</v>
      </c>
      <c r="AS860" s="1" t="s">
        <v>204</v>
      </c>
      <c r="AT860" s="1" t="s">
        <v>211</v>
      </c>
      <c r="AU860" s="1">
        <v>1</v>
      </c>
      <c r="AW860" s="1" t="s">
        <v>204</v>
      </c>
      <c r="AX860" s="1" t="s">
        <v>212</v>
      </c>
      <c r="AZ860" s="1">
        <v>3757</v>
      </c>
      <c r="BA860" s="1">
        <v>2012</v>
      </c>
      <c r="BB860" s="1" t="s">
        <v>405</v>
      </c>
      <c r="BE860" s="1">
        <v>0</v>
      </c>
      <c r="BF860" s="1">
        <v>2</v>
      </c>
      <c r="BG860" s="1">
        <v>0</v>
      </c>
      <c r="BL860" s="1">
        <v>240</v>
      </c>
      <c r="BM860" s="1" t="s">
        <v>204</v>
      </c>
      <c r="BN860" s="1" t="s">
        <v>213</v>
      </c>
      <c r="BO860" s="1">
        <v>999</v>
      </c>
      <c r="BP860" s="1" t="s">
        <v>204</v>
      </c>
      <c r="BR860" s="1" t="str">
        <f>"0503306008"</f>
        <v>0503306008</v>
      </c>
      <c r="BT860" s="1" t="s">
        <v>9620</v>
      </c>
      <c r="BU860" s="1" t="s">
        <v>2167</v>
      </c>
      <c r="BV860" s="1" t="s">
        <v>2168</v>
      </c>
      <c r="BW860" s="1" t="s">
        <v>2169</v>
      </c>
      <c r="BX860" s="1">
        <v>41</v>
      </c>
      <c r="BY860" s="1">
        <v>41</v>
      </c>
      <c r="BZ860" s="1">
        <v>87</v>
      </c>
      <c r="CB860" s="1" t="str">
        <f t="shared" ref="CB860:CC860" si="665">""</f>
        <v/>
      </c>
      <c r="CC860" s="1" t="str">
        <f t="shared" si="665"/>
        <v/>
      </c>
      <c r="CG860" s="1" t="s">
        <v>314</v>
      </c>
      <c r="CH860" s="1" t="s">
        <v>277</v>
      </c>
      <c r="CI860" s="1" t="s">
        <v>220</v>
      </c>
      <c r="CJ860" s="1" t="s">
        <v>252</v>
      </c>
      <c r="CK860" s="1" t="s">
        <v>757</v>
      </c>
      <c r="CL860" s="1" t="s">
        <v>277</v>
      </c>
      <c r="CM860" s="1" t="s">
        <v>220</v>
      </c>
      <c r="CN860" s="1" t="s">
        <v>343</v>
      </c>
      <c r="CO860" s="1" t="s">
        <v>346</v>
      </c>
      <c r="CP860" s="1" t="s">
        <v>277</v>
      </c>
      <c r="CQ860" s="1" t="s">
        <v>220</v>
      </c>
      <c r="CR860" s="1" t="s">
        <v>210</v>
      </c>
      <c r="CS860" s="1" t="s">
        <v>1297</v>
      </c>
      <c r="CT860" s="1" t="s">
        <v>277</v>
      </c>
      <c r="CU860" s="1" t="s">
        <v>220</v>
      </c>
      <c r="CV860" s="1" t="s">
        <v>252</v>
      </c>
      <c r="CX860" s="1" t="s">
        <v>224</v>
      </c>
      <c r="DB860" s="1" t="s">
        <v>224</v>
      </c>
      <c r="DE860" s="1" t="s">
        <v>540</v>
      </c>
      <c r="DF860" s="1" t="s">
        <v>277</v>
      </c>
      <c r="DG860" s="1" t="s">
        <v>438</v>
      </c>
      <c r="DH860" s="1" t="s">
        <v>252</v>
      </c>
      <c r="DJ860" s="1" t="s">
        <v>224</v>
      </c>
      <c r="DM860" s="1" t="s">
        <v>381</v>
      </c>
      <c r="DR860" s="1" t="s">
        <v>2308</v>
      </c>
      <c r="DS860" s="1" t="s">
        <v>277</v>
      </c>
      <c r="DT860" s="1" t="s">
        <v>438</v>
      </c>
      <c r="DU860" s="1" t="s">
        <v>252</v>
      </c>
      <c r="DW860" s="1" t="s">
        <v>230</v>
      </c>
      <c r="EA860" s="1" t="s">
        <v>230</v>
      </c>
      <c r="EE860" s="1" t="s">
        <v>230</v>
      </c>
      <c r="EI860" s="1" t="s">
        <v>230</v>
      </c>
      <c r="EL860" s="1" t="s">
        <v>542</v>
      </c>
      <c r="EM860" s="1" t="s">
        <v>232</v>
      </c>
      <c r="EN860" s="1" t="s">
        <v>282</v>
      </c>
      <c r="EO860" s="1" t="s">
        <v>234</v>
      </c>
      <c r="EP860" s="1" t="s">
        <v>4949</v>
      </c>
      <c r="EQ860" s="1" t="s">
        <v>236</v>
      </c>
      <c r="ER860" s="1" t="s">
        <v>210</v>
      </c>
      <c r="ES860" s="1" t="s">
        <v>824</v>
      </c>
      <c r="ET860" s="1" t="s">
        <v>323</v>
      </c>
      <c r="EU860" s="1" t="s">
        <v>239</v>
      </c>
      <c r="EV860" s="1" t="s">
        <v>240</v>
      </c>
      <c r="EW860" s="1" t="s">
        <v>9621</v>
      </c>
      <c r="EY860" s="1" t="s">
        <v>242</v>
      </c>
      <c r="EZ860" s="1" t="s">
        <v>381</v>
      </c>
      <c r="FB860" s="1" t="s">
        <v>289</v>
      </c>
      <c r="FC860" s="1" t="s">
        <v>548</v>
      </c>
      <c r="FD860" s="1" t="s">
        <v>736</v>
      </c>
      <c r="FE860" s="1" t="s">
        <v>386</v>
      </c>
      <c r="FF860" s="1" t="s">
        <v>248</v>
      </c>
      <c r="FG860" s="1" t="s">
        <v>1204</v>
      </c>
      <c r="FH860" s="1" t="s">
        <v>249</v>
      </c>
      <c r="FI860" s="1" t="s">
        <v>357</v>
      </c>
      <c r="FL860" s="1" t="s">
        <v>358</v>
      </c>
      <c r="FM860" s="1" t="s">
        <v>252</v>
      </c>
      <c r="FN860" s="1" t="s">
        <v>213</v>
      </c>
      <c r="FO860" s="1" t="s">
        <v>213</v>
      </c>
      <c r="FQ860" s="1" t="s">
        <v>9622</v>
      </c>
      <c r="FR860" s="1" t="s">
        <v>360</v>
      </c>
      <c r="FS860" s="1" t="s">
        <v>9623</v>
      </c>
      <c r="FT860" s="1" t="s">
        <v>295</v>
      </c>
      <c r="FU860" s="1" t="s">
        <v>204</v>
      </c>
      <c r="FW860" s="1" t="s">
        <v>4125</v>
      </c>
      <c r="FX860" s="1">
        <v>8073</v>
      </c>
      <c r="FY860" s="1" t="s">
        <v>4126</v>
      </c>
      <c r="FZ860" s="1" t="s">
        <v>9624</v>
      </c>
      <c r="GA860" s="1">
        <v>81699</v>
      </c>
      <c r="GB860" s="1" t="s">
        <v>9625</v>
      </c>
      <c r="GE860" s="1" t="s">
        <v>1333</v>
      </c>
      <c r="GH860" s="1" t="s">
        <v>421</v>
      </c>
      <c r="GI860" s="1" t="s">
        <v>213</v>
      </c>
      <c r="GJ860" s="1" t="s">
        <v>260</v>
      </c>
      <c r="GK860" s="1" t="s">
        <v>210</v>
      </c>
      <c r="GL860" s="2">
        <v>41985</v>
      </c>
      <c r="GM860" s="1" t="s">
        <v>9626</v>
      </c>
    </row>
    <row r="861" spans="1:195">
      <c r="A861" s="1">
        <v>135000</v>
      </c>
      <c r="B861" s="1" t="s">
        <v>195</v>
      </c>
      <c r="C861" s="1" t="str">
        <f>"08562375"</f>
        <v>08562375</v>
      </c>
      <c r="D861" s="1" t="s">
        <v>196</v>
      </c>
      <c r="F861" s="1" t="str">
        <f>"560"</f>
        <v>560</v>
      </c>
      <c r="G861" s="2">
        <v>41717</v>
      </c>
      <c r="H861" s="1">
        <v>144900</v>
      </c>
      <c r="I861" s="1">
        <v>135000</v>
      </c>
      <c r="J861" s="1">
        <v>135000</v>
      </c>
      <c r="K861" s="2">
        <v>41715</v>
      </c>
      <c r="L861" s="1">
        <v>261</v>
      </c>
      <c r="M861" s="2">
        <v>41975</v>
      </c>
      <c r="N861" s="1">
        <v>261</v>
      </c>
      <c r="O861" s="2">
        <v>41975</v>
      </c>
      <c r="P861" s="1">
        <v>25570</v>
      </c>
      <c r="Q861" s="1" t="s">
        <v>197</v>
      </c>
      <c r="R861" s="2">
        <v>42116</v>
      </c>
      <c r="S861" s="1">
        <v>225510</v>
      </c>
      <c r="U861" s="1">
        <v>225</v>
      </c>
      <c r="V861" s="1" t="s">
        <v>9627</v>
      </c>
      <c r="W861" s="1" t="s">
        <v>3006</v>
      </c>
      <c r="Y861" s="1">
        <v>4</v>
      </c>
      <c r="Z861" s="1" t="s">
        <v>370</v>
      </c>
      <c r="AA861" s="1" t="s">
        <v>484</v>
      </c>
      <c r="AB861" s="1">
        <v>60560</v>
      </c>
      <c r="AD861" s="1" t="s">
        <v>9628</v>
      </c>
      <c r="AE861" s="1" t="s">
        <v>9629</v>
      </c>
      <c r="AF861" s="1">
        <v>2002</v>
      </c>
      <c r="AG861" s="1" t="s">
        <v>204</v>
      </c>
      <c r="AH861" s="1" t="s">
        <v>487</v>
      </c>
      <c r="AI861" s="1" t="s">
        <v>453</v>
      </c>
      <c r="AJ861" s="1" t="s">
        <v>9630</v>
      </c>
      <c r="AL861" s="1">
        <v>7</v>
      </c>
      <c r="AM861" s="1">
        <v>2</v>
      </c>
      <c r="AN861" s="1">
        <v>2</v>
      </c>
      <c r="AO861" s="1">
        <v>1</v>
      </c>
      <c r="AP861" s="1" t="s">
        <v>667</v>
      </c>
      <c r="AR861" s="1" t="s">
        <v>209</v>
      </c>
      <c r="AS861" s="1" t="s">
        <v>213</v>
      </c>
      <c r="AT861" s="1" t="s">
        <v>211</v>
      </c>
      <c r="AU861" s="1">
        <v>2</v>
      </c>
      <c r="AW861" s="1" t="s">
        <v>204</v>
      </c>
      <c r="AX861" s="1">
        <v>0</v>
      </c>
      <c r="AZ861" s="1">
        <v>4193.74</v>
      </c>
      <c r="BA861" s="1">
        <v>2012</v>
      </c>
      <c r="BE861" s="1">
        <v>0</v>
      </c>
      <c r="BF861" s="1">
        <v>1</v>
      </c>
      <c r="BG861" s="1">
        <v>0</v>
      </c>
      <c r="BL861" s="1">
        <v>178</v>
      </c>
      <c r="BM861" s="1" t="s">
        <v>204</v>
      </c>
      <c r="BN861" s="1" t="s">
        <v>213</v>
      </c>
      <c r="BO861" s="1">
        <v>50</v>
      </c>
      <c r="BP861" s="1" t="s">
        <v>204</v>
      </c>
      <c r="BR861" s="1" t="str">
        <f>"0509156018"</f>
        <v>0509156018</v>
      </c>
      <c r="BT861" s="1" t="s">
        <v>9631</v>
      </c>
      <c r="BU861" s="1" t="s">
        <v>9632</v>
      </c>
      <c r="BW861" s="1" t="s">
        <v>9633</v>
      </c>
      <c r="BX861" s="1">
        <v>115</v>
      </c>
      <c r="BY861" s="1">
        <v>115</v>
      </c>
      <c r="BZ861" s="1">
        <v>115</v>
      </c>
      <c r="CB861" s="1" t="str">
        <f t="shared" ref="CB861:CC861" si="666">""</f>
        <v/>
      </c>
      <c r="CC861" s="1" t="str">
        <f t="shared" si="666"/>
        <v/>
      </c>
      <c r="CG861" s="1" t="s">
        <v>1267</v>
      </c>
      <c r="CH861" s="1" t="s">
        <v>219</v>
      </c>
      <c r="CI861" s="1" t="s">
        <v>229</v>
      </c>
      <c r="CK861" s="1" t="s">
        <v>1045</v>
      </c>
      <c r="CL861" s="1" t="s">
        <v>277</v>
      </c>
      <c r="CM861" s="1" t="s">
        <v>220</v>
      </c>
      <c r="CO861" s="1" t="s">
        <v>837</v>
      </c>
      <c r="CP861" s="1" t="s">
        <v>219</v>
      </c>
      <c r="CQ861" s="1" t="s">
        <v>229</v>
      </c>
      <c r="CS861" s="1" t="s">
        <v>757</v>
      </c>
      <c r="CT861" s="1" t="s">
        <v>277</v>
      </c>
      <c r="CU861" s="1" t="s">
        <v>220</v>
      </c>
      <c r="CW861" s="1" t="s">
        <v>344</v>
      </c>
      <c r="CX861" s="1" t="s">
        <v>43</v>
      </c>
      <c r="CY861" s="1" t="s">
        <v>220</v>
      </c>
      <c r="DB861" s="1" t="s">
        <v>224</v>
      </c>
      <c r="DE861" s="1" t="s">
        <v>461</v>
      </c>
      <c r="DF861" s="1" t="s">
        <v>219</v>
      </c>
      <c r="DG861" s="1" t="s">
        <v>229</v>
      </c>
      <c r="DJ861" s="1" t="s">
        <v>224</v>
      </c>
      <c r="DM861" s="1" t="s">
        <v>709</v>
      </c>
      <c r="DN861" s="1" t="s">
        <v>934</v>
      </c>
      <c r="DR861" s="1" t="s">
        <v>225</v>
      </c>
      <c r="DS861" s="1" t="s">
        <v>822</v>
      </c>
      <c r="DV861" s="1" t="s">
        <v>4070</v>
      </c>
      <c r="DW861" s="1" t="s">
        <v>43</v>
      </c>
      <c r="DX861" s="1" t="s">
        <v>220</v>
      </c>
      <c r="EA861" s="1" t="s">
        <v>230</v>
      </c>
      <c r="EE861" s="1" t="s">
        <v>230</v>
      </c>
      <c r="EI861" s="1" t="s">
        <v>230</v>
      </c>
      <c r="EL861" s="1" t="s">
        <v>466</v>
      </c>
      <c r="EM861" s="1" t="s">
        <v>232</v>
      </c>
      <c r="EN861" s="1" t="s">
        <v>282</v>
      </c>
      <c r="EO861" s="1" t="s">
        <v>234</v>
      </c>
      <c r="ER861" s="1" t="s">
        <v>544</v>
      </c>
      <c r="ES861" s="1" t="s">
        <v>322</v>
      </c>
      <c r="ET861" s="1" t="s">
        <v>9634</v>
      </c>
      <c r="EV861" s="1" t="s">
        <v>240</v>
      </c>
      <c r="EW861" s="1" t="s">
        <v>353</v>
      </c>
      <c r="EZ861" s="1" t="s">
        <v>9635</v>
      </c>
      <c r="FC861" s="1" t="s">
        <v>1386</v>
      </c>
      <c r="FD861" s="1" t="s">
        <v>246</v>
      </c>
      <c r="FE861" s="1" t="s">
        <v>355</v>
      </c>
      <c r="FF861" s="1" t="s">
        <v>248</v>
      </c>
      <c r="FH861" s="1" t="s">
        <v>550</v>
      </c>
      <c r="FI861" s="1" t="s">
        <v>357</v>
      </c>
      <c r="FJ861" s="1" t="s">
        <v>1472</v>
      </c>
      <c r="FL861" s="1" t="s">
        <v>414</v>
      </c>
      <c r="FM861" s="1" t="s">
        <v>252</v>
      </c>
      <c r="FN861" s="1" t="s">
        <v>213</v>
      </c>
      <c r="FO861" s="1" t="s">
        <v>213</v>
      </c>
      <c r="FQ861" s="1" t="s">
        <v>956</v>
      </c>
      <c r="FR861" s="1" t="s">
        <v>360</v>
      </c>
      <c r="FS861" s="1" t="s">
        <v>9636</v>
      </c>
      <c r="FT861" s="1" t="s">
        <v>295</v>
      </c>
      <c r="FU861" s="1" t="s">
        <v>204</v>
      </c>
      <c r="FW861" s="1" t="s">
        <v>915</v>
      </c>
      <c r="FX861" s="1">
        <v>23076</v>
      </c>
      <c r="FY861" s="1" t="s">
        <v>1909</v>
      </c>
      <c r="FZ861" s="1" t="s">
        <v>9637</v>
      </c>
      <c r="GA861" s="1">
        <v>222882</v>
      </c>
      <c r="GB861" s="1" t="s">
        <v>9638</v>
      </c>
      <c r="GD861" s="1" t="s">
        <v>9639</v>
      </c>
      <c r="GE861" s="1" t="s">
        <v>480</v>
      </c>
      <c r="GI861" s="1" t="s">
        <v>213</v>
      </c>
      <c r="GJ861" s="1" t="s">
        <v>260</v>
      </c>
      <c r="GK861" s="1" t="s">
        <v>210</v>
      </c>
      <c r="GL861" s="2">
        <v>42117</v>
      </c>
      <c r="GM861" s="1" t="s">
        <v>9640</v>
      </c>
    </row>
    <row r="862" spans="1:195">
      <c r="A862" s="1">
        <v>125000</v>
      </c>
      <c r="B862" s="1" t="s">
        <v>195</v>
      </c>
      <c r="C862" s="1" t="str">
        <f>"08564442"</f>
        <v>08564442</v>
      </c>
      <c r="D862" s="1" t="s">
        <v>196</v>
      </c>
      <c r="F862" s="1" t="str">
        <f>"513"</f>
        <v>513</v>
      </c>
      <c r="G862" s="2">
        <v>41719</v>
      </c>
      <c r="H862" s="1">
        <v>165000</v>
      </c>
      <c r="I862" s="1">
        <v>125000</v>
      </c>
      <c r="J862" s="1">
        <v>125000</v>
      </c>
      <c r="K862" s="2">
        <v>41719</v>
      </c>
      <c r="L862" s="1">
        <v>336</v>
      </c>
      <c r="M862" s="2">
        <v>42054</v>
      </c>
      <c r="N862" s="1">
        <v>336</v>
      </c>
      <c r="O862" s="2">
        <v>42054</v>
      </c>
      <c r="P862" s="1">
        <v>40335</v>
      </c>
      <c r="Q862" s="1" t="s">
        <v>197</v>
      </c>
      <c r="R862" s="2">
        <v>42136</v>
      </c>
      <c r="S862" s="1">
        <v>165240</v>
      </c>
      <c r="U862" s="1">
        <v>3831</v>
      </c>
      <c r="V862" s="1" t="s">
        <v>2051</v>
      </c>
      <c r="W862" s="1" t="s">
        <v>425</v>
      </c>
      <c r="X862" s="1" t="s">
        <v>9641</v>
      </c>
      <c r="Y862" s="1">
        <v>5</v>
      </c>
      <c r="Z862" s="1" t="s">
        <v>249</v>
      </c>
      <c r="AA862" s="1" t="s">
        <v>644</v>
      </c>
      <c r="AB862" s="1">
        <v>60513</v>
      </c>
      <c r="AE862" s="1" t="s">
        <v>9642</v>
      </c>
      <c r="AF862" s="1">
        <v>2000</v>
      </c>
      <c r="AG862" s="1" t="s">
        <v>204</v>
      </c>
      <c r="AH862" s="1" t="s">
        <v>646</v>
      </c>
      <c r="AI862" s="1" t="s">
        <v>310</v>
      </c>
      <c r="AJ862" s="1" t="s">
        <v>3908</v>
      </c>
      <c r="AL862" s="1">
        <v>5</v>
      </c>
      <c r="AM862" s="1">
        <v>2</v>
      </c>
      <c r="AN862" s="1">
        <v>1</v>
      </c>
      <c r="AO862" s="1">
        <v>0</v>
      </c>
      <c r="AP862" s="1" t="s">
        <v>210</v>
      </c>
      <c r="AQ862" s="1">
        <v>0</v>
      </c>
      <c r="AR862" s="1" t="s">
        <v>210</v>
      </c>
      <c r="AS862" s="1" t="s">
        <v>204</v>
      </c>
      <c r="AT862" s="1" t="s">
        <v>271</v>
      </c>
      <c r="AV862" s="1">
        <v>2</v>
      </c>
      <c r="AW862" s="1" t="s">
        <v>204</v>
      </c>
      <c r="AX862" s="1" t="s">
        <v>212</v>
      </c>
      <c r="AZ862" s="1">
        <v>3566.48</v>
      </c>
      <c r="BA862" s="1">
        <v>2013</v>
      </c>
      <c r="BE862" s="1">
        <v>1000</v>
      </c>
      <c r="BF862" s="1">
        <v>1</v>
      </c>
      <c r="BG862" s="1">
        <v>0</v>
      </c>
      <c r="BJ862" s="1">
        <v>100</v>
      </c>
      <c r="BL862" s="1">
        <v>150</v>
      </c>
      <c r="BM862" s="1" t="s">
        <v>204</v>
      </c>
      <c r="BN862" s="1" t="s">
        <v>213</v>
      </c>
      <c r="BO862" s="1">
        <v>999</v>
      </c>
      <c r="BP862" s="1" t="s">
        <v>204</v>
      </c>
      <c r="BR862" s="1" t="str">
        <f>"15353000171003"</f>
        <v>15353000171003</v>
      </c>
      <c r="BT862" s="1" t="s">
        <v>9643</v>
      </c>
      <c r="BU862" s="1" t="s">
        <v>9644</v>
      </c>
      <c r="BV862" s="1" t="s">
        <v>3911</v>
      </c>
      <c r="BW862" s="1" t="s">
        <v>3912</v>
      </c>
      <c r="BX862" s="1">
        <v>96</v>
      </c>
      <c r="BY862" s="1">
        <v>96</v>
      </c>
      <c r="BZ862" s="1">
        <v>208</v>
      </c>
      <c r="CB862" s="1" t="str">
        <f t="shared" ref="CB862:CC862" si="667">""</f>
        <v/>
      </c>
      <c r="CC862" s="1" t="str">
        <f t="shared" si="667"/>
        <v/>
      </c>
      <c r="CG862" s="1" t="s">
        <v>932</v>
      </c>
      <c r="CH862" s="1" t="s">
        <v>219</v>
      </c>
      <c r="CI862" s="1" t="s">
        <v>438</v>
      </c>
      <c r="CK862" s="1" t="s">
        <v>539</v>
      </c>
      <c r="CL862" s="1" t="s">
        <v>219</v>
      </c>
      <c r="CM862" s="1" t="s">
        <v>438</v>
      </c>
      <c r="CO862" s="1" t="s">
        <v>2277</v>
      </c>
      <c r="CP862" s="1" t="s">
        <v>219</v>
      </c>
      <c r="CQ862" s="1" t="s">
        <v>438</v>
      </c>
      <c r="CS862" s="1" t="s">
        <v>379</v>
      </c>
      <c r="CT862" s="1" t="s">
        <v>219</v>
      </c>
      <c r="CU862" s="1" t="s">
        <v>438</v>
      </c>
      <c r="CX862" s="1" t="s">
        <v>224</v>
      </c>
      <c r="DB862" s="1" t="s">
        <v>224</v>
      </c>
      <c r="DE862" s="1" t="s">
        <v>3284</v>
      </c>
      <c r="DF862" s="1" t="s">
        <v>219</v>
      </c>
      <c r="DG862" s="1" t="s">
        <v>438</v>
      </c>
      <c r="DJ862" s="1" t="s">
        <v>224</v>
      </c>
      <c r="DS862" s="1" t="s">
        <v>230</v>
      </c>
      <c r="DW862" s="1" t="s">
        <v>230</v>
      </c>
      <c r="EA862" s="1" t="s">
        <v>230</v>
      </c>
      <c r="EE862" s="1" t="s">
        <v>230</v>
      </c>
      <c r="EI862" s="1" t="s">
        <v>230</v>
      </c>
      <c r="EL862" s="1" t="s">
        <v>466</v>
      </c>
      <c r="EM862" s="1" t="s">
        <v>232</v>
      </c>
      <c r="EN862" s="1" t="s">
        <v>282</v>
      </c>
      <c r="EO862" s="1" t="s">
        <v>840</v>
      </c>
      <c r="EP862" s="1" t="s">
        <v>9645</v>
      </c>
      <c r="EQ862" s="1" t="s">
        <v>2994</v>
      </c>
      <c r="ER862" s="1" t="s">
        <v>210</v>
      </c>
      <c r="ES862" s="1" t="s">
        <v>824</v>
      </c>
      <c r="EW862" s="1" t="s">
        <v>9646</v>
      </c>
      <c r="EY862" s="1" t="s">
        <v>242</v>
      </c>
      <c r="EZ862" s="1" t="s">
        <v>287</v>
      </c>
      <c r="FA862" s="1" t="s">
        <v>354</v>
      </c>
      <c r="FB862" s="1" t="s">
        <v>734</v>
      </c>
      <c r="FD862" s="1" t="s">
        <v>246</v>
      </c>
      <c r="FE862" s="1" t="s">
        <v>247</v>
      </c>
      <c r="FF862" s="1" t="s">
        <v>248</v>
      </c>
      <c r="FH862" s="1" t="s">
        <v>249</v>
      </c>
      <c r="FK862" s="1" t="s">
        <v>291</v>
      </c>
      <c r="FL862" s="1" t="s">
        <v>358</v>
      </c>
      <c r="FM862" s="1" t="s">
        <v>252</v>
      </c>
      <c r="FN862" s="1" t="s">
        <v>213</v>
      </c>
      <c r="FO862" s="1" t="s">
        <v>213</v>
      </c>
      <c r="FQ862" s="1" t="s">
        <v>9647</v>
      </c>
      <c r="FR862" s="1" t="s">
        <v>360</v>
      </c>
      <c r="FS862" s="1" t="s">
        <v>9648</v>
      </c>
      <c r="FT862" s="1" t="s">
        <v>362</v>
      </c>
      <c r="FU862" s="1" t="s">
        <v>204</v>
      </c>
      <c r="FW862" s="1" t="s">
        <v>9649</v>
      </c>
      <c r="FX862" s="1">
        <v>22300</v>
      </c>
      <c r="FY862" s="1" t="s">
        <v>9650</v>
      </c>
      <c r="FZ862" s="1" t="s">
        <v>9651</v>
      </c>
      <c r="GA862" s="1">
        <v>221067</v>
      </c>
      <c r="GB862" s="1" t="s">
        <v>9652</v>
      </c>
      <c r="GE862" s="1" t="s">
        <v>2504</v>
      </c>
      <c r="GI862" s="1" t="s">
        <v>213</v>
      </c>
      <c r="GJ862" s="1" t="s">
        <v>260</v>
      </c>
      <c r="GK862" s="1" t="s">
        <v>210</v>
      </c>
      <c r="GL862" s="2">
        <v>42137</v>
      </c>
      <c r="GM862" s="1" t="s">
        <v>397</v>
      </c>
    </row>
    <row r="863" spans="1:195">
      <c r="A863" s="1">
        <v>75000</v>
      </c>
      <c r="B863" s="1" t="s">
        <v>195</v>
      </c>
      <c r="C863" s="1" t="str">
        <f>"08560070"</f>
        <v>08560070</v>
      </c>
      <c r="D863" s="1" t="s">
        <v>196</v>
      </c>
      <c r="F863" s="1" t="str">
        <f>"73"</f>
        <v>73</v>
      </c>
      <c r="G863" s="2">
        <v>41715</v>
      </c>
      <c r="H863" s="1">
        <v>89900</v>
      </c>
      <c r="I863" s="1">
        <v>77500</v>
      </c>
      <c r="J863" s="1">
        <v>75000</v>
      </c>
      <c r="K863" s="2">
        <v>41715</v>
      </c>
      <c r="L863" s="1">
        <v>222</v>
      </c>
      <c r="M863" s="2">
        <v>41936</v>
      </c>
      <c r="N863" s="1">
        <v>222</v>
      </c>
      <c r="O863" s="2">
        <v>41936</v>
      </c>
      <c r="P863" s="1">
        <v>2626</v>
      </c>
      <c r="Q863" s="1" t="s">
        <v>197</v>
      </c>
      <c r="R863" s="2">
        <v>42003</v>
      </c>
      <c r="S863" s="1">
        <v>20160</v>
      </c>
      <c r="U863" s="1">
        <v>34380</v>
      </c>
      <c r="V863" s="1" t="s">
        <v>1398</v>
      </c>
      <c r="W863" s="1" t="s">
        <v>304</v>
      </c>
      <c r="Y863" s="1">
        <v>4</v>
      </c>
      <c r="Z863" s="1" t="s">
        <v>370</v>
      </c>
      <c r="AA863" s="1" t="s">
        <v>1027</v>
      </c>
      <c r="AB863" s="1">
        <v>60073</v>
      </c>
      <c r="AE863" s="1" t="s">
        <v>9653</v>
      </c>
      <c r="AF863" s="1">
        <v>2002</v>
      </c>
      <c r="AG863" s="1" t="s">
        <v>204</v>
      </c>
      <c r="AH863" s="1" t="s">
        <v>1029</v>
      </c>
      <c r="AI863" s="1" t="s">
        <v>509</v>
      </c>
      <c r="AJ863" s="1" t="s">
        <v>1016</v>
      </c>
      <c r="AL863" s="1">
        <v>5</v>
      </c>
      <c r="AM863" s="1">
        <v>2</v>
      </c>
      <c r="AN863" s="1">
        <v>1</v>
      </c>
      <c r="AO863" s="1">
        <v>1</v>
      </c>
      <c r="AP863" s="1" t="s">
        <v>210</v>
      </c>
      <c r="AR863" s="1" t="s">
        <v>209</v>
      </c>
      <c r="AS863" s="1" t="s">
        <v>204</v>
      </c>
      <c r="AT863" s="1" t="s">
        <v>211</v>
      </c>
      <c r="AU863" s="1">
        <v>2</v>
      </c>
      <c r="AW863" s="1" t="s">
        <v>204</v>
      </c>
      <c r="AX863" s="1" t="s">
        <v>212</v>
      </c>
      <c r="AZ863" s="1">
        <v>2450</v>
      </c>
      <c r="BA863" s="1">
        <v>2012</v>
      </c>
      <c r="BE863" s="1">
        <v>0</v>
      </c>
      <c r="BF863" s="1">
        <v>1</v>
      </c>
      <c r="BG863" s="1">
        <v>0</v>
      </c>
      <c r="BL863" s="1">
        <v>195</v>
      </c>
      <c r="BM863" s="1" t="s">
        <v>204</v>
      </c>
      <c r="BN863" s="1" t="s">
        <v>213</v>
      </c>
      <c r="BO863" s="1">
        <v>0</v>
      </c>
      <c r="BP863" s="1" t="s">
        <v>204</v>
      </c>
      <c r="BR863" s="1" t="str">
        <f>"05243010560000"</f>
        <v>05243010560000</v>
      </c>
      <c r="BT863" s="1" t="s">
        <v>9654</v>
      </c>
      <c r="BX863" s="1">
        <v>38</v>
      </c>
      <c r="BY863" s="1">
        <v>38</v>
      </c>
      <c r="BZ863" s="1">
        <v>124</v>
      </c>
      <c r="CB863" s="1" t="str">
        <f t="shared" ref="CB863:CC863" si="668">""</f>
        <v/>
      </c>
      <c r="CC863" s="1" t="str">
        <f t="shared" si="668"/>
        <v/>
      </c>
      <c r="CG863" s="1" t="s">
        <v>223</v>
      </c>
      <c r="CH863" s="1" t="s">
        <v>219</v>
      </c>
      <c r="CK863" s="1" t="s">
        <v>437</v>
      </c>
      <c r="CL863" s="1" t="s">
        <v>277</v>
      </c>
      <c r="CO863" s="1" t="s">
        <v>2842</v>
      </c>
      <c r="CP863" s="1" t="s">
        <v>219</v>
      </c>
      <c r="CS863" s="1" t="s">
        <v>346</v>
      </c>
      <c r="CT863" s="1" t="s">
        <v>277</v>
      </c>
      <c r="CX863" s="1" t="s">
        <v>224</v>
      </c>
      <c r="DB863" s="1" t="s">
        <v>224</v>
      </c>
      <c r="DE863" s="1" t="s">
        <v>564</v>
      </c>
      <c r="DF863" s="1" t="s">
        <v>219</v>
      </c>
      <c r="DJ863" s="1" t="s">
        <v>224</v>
      </c>
      <c r="DS863" s="1" t="s">
        <v>230</v>
      </c>
      <c r="DW863" s="1" t="s">
        <v>230</v>
      </c>
      <c r="EA863" s="1" t="s">
        <v>230</v>
      </c>
      <c r="EE863" s="1" t="s">
        <v>230</v>
      </c>
      <c r="EI863" s="1" t="s">
        <v>230</v>
      </c>
      <c r="EL863" s="1" t="s">
        <v>466</v>
      </c>
      <c r="EM863" s="1" t="s">
        <v>319</v>
      </c>
      <c r="EN863" s="1" t="s">
        <v>210</v>
      </c>
      <c r="EO863" s="1" t="s">
        <v>234</v>
      </c>
      <c r="ER863" s="1" t="s">
        <v>544</v>
      </c>
      <c r="EW863" s="1" t="s">
        <v>210</v>
      </c>
      <c r="EZ863" s="1" t="s">
        <v>287</v>
      </c>
      <c r="FD863" s="1" t="s">
        <v>246</v>
      </c>
      <c r="FE863" s="1" t="s">
        <v>472</v>
      </c>
      <c r="FF863" s="1" t="s">
        <v>248</v>
      </c>
      <c r="FH863" s="1" t="s">
        <v>550</v>
      </c>
      <c r="FL863" s="1" t="s">
        <v>414</v>
      </c>
      <c r="FM863" s="1" t="s">
        <v>252</v>
      </c>
      <c r="FN863" s="1" t="s">
        <v>213</v>
      </c>
      <c r="FO863" s="1" t="s">
        <v>204</v>
      </c>
      <c r="FQ863" s="1" t="s">
        <v>582</v>
      </c>
      <c r="FR863" s="1" t="s">
        <v>210</v>
      </c>
      <c r="FS863" s="1" t="s">
        <v>1429</v>
      </c>
      <c r="FT863" s="1" t="s">
        <v>295</v>
      </c>
      <c r="FU863" s="1" t="s">
        <v>204</v>
      </c>
      <c r="FW863" s="1" t="s">
        <v>3353</v>
      </c>
      <c r="FX863" s="1">
        <v>8658</v>
      </c>
      <c r="FY863" s="1" t="s">
        <v>3354</v>
      </c>
      <c r="FZ863" s="1" t="s">
        <v>3355</v>
      </c>
      <c r="GA863" s="1">
        <v>84760</v>
      </c>
      <c r="GB863" s="1" t="s">
        <v>3354</v>
      </c>
      <c r="GD863" s="1" t="s">
        <v>9655</v>
      </c>
      <c r="GE863" s="1" t="s">
        <v>210</v>
      </c>
      <c r="GH863" s="1" t="s">
        <v>230</v>
      </c>
      <c r="GI863" s="1" t="s">
        <v>213</v>
      </c>
      <c r="GJ863" s="1" t="s">
        <v>260</v>
      </c>
      <c r="GK863" s="1" t="s">
        <v>210</v>
      </c>
      <c r="GL863" s="2">
        <v>42009</v>
      </c>
    </row>
    <row r="864" spans="1:195">
      <c r="A864" s="1">
        <v>100000</v>
      </c>
      <c r="B864" s="1" t="s">
        <v>195</v>
      </c>
      <c r="C864" s="1" t="str">
        <f>"08564495"</f>
        <v>08564495</v>
      </c>
      <c r="D864" s="1" t="s">
        <v>196</v>
      </c>
      <c r="F864" s="1" t="str">
        <f>"515"</f>
        <v>515</v>
      </c>
      <c r="G864" s="2">
        <v>41719</v>
      </c>
      <c r="H864" s="1">
        <v>100000</v>
      </c>
      <c r="I864" s="1">
        <v>110000</v>
      </c>
      <c r="J864" s="1">
        <v>100000</v>
      </c>
      <c r="K864" s="2">
        <v>41719</v>
      </c>
      <c r="L864" s="1">
        <v>285</v>
      </c>
      <c r="M864" s="2">
        <v>42003</v>
      </c>
      <c r="N864" s="1">
        <v>285</v>
      </c>
      <c r="O864" s="2">
        <v>42003</v>
      </c>
      <c r="P864" s="1" t="s">
        <v>1039</v>
      </c>
      <c r="Q864" s="1" t="s">
        <v>302</v>
      </c>
      <c r="R864" s="2">
        <v>42047</v>
      </c>
      <c r="S864" s="1">
        <v>99999</v>
      </c>
      <c r="U864" s="1">
        <v>702</v>
      </c>
      <c r="V864" s="1" t="s">
        <v>8788</v>
      </c>
      <c r="W864" s="1" t="s">
        <v>725</v>
      </c>
      <c r="X864" s="1">
        <v>702</v>
      </c>
      <c r="Y864" s="1">
        <v>5</v>
      </c>
      <c r="Z864" s="1" t="s">
        <v>249</v>
      </c>
      <c r="AA864" s="1" t="s">
        <v>1294</v>
      </c>
      <c r="AB864" s="1">
        <v>60515</v>
      </c>
      <c r="AE864" s="1" t="s">
        <v>9656</v>
      </c>
      <c r="AF864" s="1">
        <v>1965</v>
      </c>
      <c r="AG864" s="1" t="s">
        <v>213</v>
      </c>
      <c r="AH864" s="1" t="s">
        <v>903</v>
      </c>
      <c r="AI864" s="1" t="s">
        <v>206</v>
      </c>
      <c r="AJ864" s="1" t="s">
        <v>903</v>
      </c>
      <c r="AL864" s="1">
        <v>5</v>
      </c>
      <c r="AM864" s="1">
        <v>2</v>
      </c>
      <c r="AN864" s="1">
        <v>2</v>
      </c>
      <c r="AO864" s="1">
        <v>0</v>
      </c>
      <c r="AP864" s="1" t="s">
        <v>209</v>
      </c>
      <c r="AR864" s="1" t="s">
        <v>210</v>
      </c>
      <c r="AS864" s="1" t="s">
        <v>204</v>
      </c>
      <c r="AT864" s="1" t="s">
        <v>271</v>
      </c>
      <c r="AV864" s="1">
        <v>1</v>
      </c>
      <c r="AW864" s="1" t="s">
        <v>204</v>
      </c>
      <c r="AX864" s="1" t="s">
        <v>212</v>
      </c>
      <c r="AZ864" s="1">
        <v>3833</v>
      </c>
      <c r="BA864" s="1">
        <v>2013</v>
      </c>
      <c r="BB864" s="1" t="s">
        <v>405</v>
      </c>
      <c r="BE864" s="1">
        <v>1008</v>
      </c>
      <c r="BF864" s="1">
        <v>1</v>
      </c>
      <c r="BG864" s="1">
        <v>30</v>
      </c>
      <c r="BL864" s="1">
        <v>125</v>
      </c>
      <c r="BM864" s="1" t="s">
        <v>204</v>
      </c>
      <c r="BN864" s="1" t="s">
        <v>213</v>
      </c>
      <c r="BO864" s="1">
        <v>50</v>
      </c>
      <c r="BP864" s="1" t="s">
        <v>204</v>
      </c>
      <c r="BR864" s="1" t="str">
        <f>"09082320010000"</f>
        <v>09082320010000</v>
      </c>
      <c r="BT864" s="1" t="s">
        <v>9657</v>
      </c>
      <c r="BX864" s="1">
        <v>58</v>
      </c>
      <c r="BY864" s="1">
        <v>58</v>
      </c>
      <c r="BZ864" s="1">
        <v>99</v>
      </c>
      <c r="CB864" s="1" t="str">
        <f t="shared" ref="CB864:CC864" si="669">"0"</f>
        <v>0</v>
      </c>
      <c r="CC864" s="1" t="str">
        <f t="shared" si="669"/>
        <v>0</v>
      </c>
      <c r="CD864" s="1">
        <v>20</v>
      </c>
      <c r="CE864" s="1">
        <v>5</v>
      </c>
      <c r="CG864" s="1" t="s">
        <v>1045</v>
      </c>
      <c r="CH864" s="1" t="s">
        <v>219</v>
      </c>
      <c r="CI864" s="1" t="s">
        <v>438</v>
      </c>
      <c r="CJ864" s="1" t="s">
        <v>210</v>
      </c>
      <c r="CK864" s="1" t="s">
        <v>669</v>
      </c>
      <c r="CL864" s="1" t="s">
        <v>822</v>
      </c>
      <c r="CM864" s="1" t="s">
        <v>220</v>
      </c>
      <c r="CN864" s="1" t="s">
        <v>210</v>
      </c>
      <c r="CO864" s="1" t="s">
        <v>629</v>
      </c>
      <c r="CP864" s="1" t="s">
        <v>219</v>
      </c>
      <c r="CS864" s="1" t="s">
        <v>346</v>
      </c>
      <c r="CT864" s="1" t="s">
        <v>219</v>
      </c>
      <c r="CU864" s="1" t="s">
        <v>438</v>
      </c>
      <c r="CV864" s="1" t="s">
        <v>210</v>
      </c>
      <c r="CX864" s="1" t="s">
        <v>224</v>
      </c>
      <c r="DB864" s="1" t="s">
        <v>224</v>
      </c>
      <c r="DE864" s="1" t="s">
        <v>1534</v>
      </c>
      <c r="DF864" s="1" t="s">
        <v>219</v>
      </c>
      <c r="DG864" s="1" t="s">
        <v>438</v>
      </c>
      <c r="DH864" s="1" t="s">
        <v>210</v>
      </c>
      <c r="DJ864" s="1" t="s">
        <v>224</v>
      </c>
      <c r="DM864" s="1" t="s">
        <v>1771</v>
      </c>
      <c r="DR864" s="1" t="s">
        <v>1313</v>
      </c>
      <c r="DS864" s="1" t="s">
        <v>822</v>
      </c>
      <c r="DW864" s="1" t="s">
        <v>230</v>
      </c>
      <c r="EA864" s="1" t="s">
        <v>230</v>
      </c>
      <c r="EE864" s="1" t="s">
        <v>230</v>
      </c>
      <c r="EI864" s="1" t="s">
        <v>230</v>
      </c>
      <c r="EL864" s="1" t="s">
        <v>605</v>
      </c>
      <c r="EM864" s="1" t="s">
        <v>232</v>
      </c>
      <c r="EN864" s="1" t="s">
        <v>282</v>
      </c>
      <c r="EO864" s="1" t="s">
        <v>234</v>
      </c>
      <c r="EP864" s="1" t="s">
        <v>650</v>
      </c>
      <c r="ER864" s="1" t="s">
        <v>383</v>
      </c>
      <c r="ES864" s="1" t="s">
        <v>545</v>
      </c>
      <c r="ET864" s="1" t="s">
        <v>1752</v>
      </c>
      <c r="EU864" s="1" t="s">
        <v>546</v>
      </c>
      <c r="EV864" s="1" t="s">
        <v>240</v>
      </c>
      <c r="EW864" s="1" t="s">
        <v>4357</v>
      </c>
      <c r="EY864" s="1" t="s">
        <v>242</v>
      </c>
      <c r="EZ864" s="1" t="s">
        <v>1771</v>
      </c>
      <c r="FB864" s="1" t="s">
        <v>734</v>
      </c>
      <c r="FD864" s="1" t="s">
        <v>290</v>
      </c>
      <c r="FE864" s="1" t="s">
        <v>247</v>
      </c>
      <c r="FF864" s="1" t="s">
        <v>248</v>
      </c>
      <c r="FH864" s="1" t="s">
        <v>550</v>
      </c>
      <c r="FK864" s="1" t="s">
        <v>291</v>
      </c>
      <c r="FL864" s="1" t="s">
        <v>358</v>
      </c>
      <c r="FM864" s="1" t="s">
        <v>252</v>
      </c>
      <c r="FN864" s="1" t="s">
        <v>213</v>
      </c>
      <c r="FO864" s="1" t="s">
        <v>213</v>
      </c>
      <c r="FQ864" s="1" t="s">
        <v>2091</v>
      </c>
      <c r="FR864" s="1" t="s">
        <v>360</v>
      </c>
      <c r="FS864" s="1" t="s">
        <v>9658</v>
      </c>
      <c r="FT864" s="1" t="s">
        <v>295</v>
      </c>
      <c r="FU864" s="1" t="s">
        <v>204</v>
      </c>
      <c r="FW864" s="1" t="s">
        <v>9659</v>
      </c>
      <c r="FX864" s="1">
        <v>22320</v>
      </c>
      <c r="FY864" s="1" t="s">
        <v>9660</v>
      </c>
      <c r="FZ864" s="1" t="s">
        <v>9661</v>
      </c>
      <c r="GA864" s="1">
        <v>235880</v>
      </c>
      <c r="GB864" s="1" t="s">
        <v>9662</v>
      </c>
      <c r="GE864" s="1" t="s">
        <v>1333</v>
      </c>
      <c r="GI864" s="1" t="s">
        <v>213</v>
      </c>
      <c r="GJ864" s="1" t="s">
        <v>260</v>
      </c>
      <c r="GK864" s="1" t="s">
        <v>210</v>
      </c>
      <c r="GL864" s="2">
        <v>42047</v>
      </c>
      <c r="GM864" s="1" t="s">
        <v>9663</v>
      </c>
    </row>
    <row r="865" spans="1:195">
      <c r="A865" s="1">
        <v>69500</v>
      </c>
      <c r="B865" s="1" t="s">
        <v>195</v>
      </c>
      <c r="C865" s="1" t="str">
        <f>"08572700"</f>
        <v>08572700</v>
      </c>
      <c r="D865" s="1" t="s">
        <v>196</v>
      </c>
      <c r="F865" s="1" t="str">
        <f>"31"</f>
        <v>31</v>
      </c>
      <c r="G865" s="2">
        <v>41730</v>
      </c>
      <c r="H865" s="1">
        <v>82500</v>
      </c>
      <c r="I865" s="1">
        <v>66825</v>
      </c>
      <c r="J865" s="1">
        <v>69500</v>
      </c>
      <c r="K865" s="2">
        <v>41730</v>
      </c>
      <c r="L865" s="1">
        <v>289</v>
      </c>
      <c r="M865" s="2">
        <v>42018</v>
      </c>
      <c r="N865" s="1">
        <v>289</v>
      </c>
      <c r="O865" s="2">
        <v>42018</v>
      </c>
      <c r="P865" s="1">
        <v>3460</v>
      </c>
      <c r="Q865" s="1" t="s">
        <v>423</v>
      </c>
      <c r="R865" s="2">
        <v>42093</v>
      </c>
      <c r="S865" s="1">
        <v>30524</v>
      </c>
      <c r="U865" s="1">
        <v>34291</v>
      </c>
      <c r="V865" s="1" t="s">
        <v>9664</v>
      </c>
      <c r="W865" s="1" t="s">
        <v>504</v>
      </c>
      <c r="Y865" s="1">
        <v>6</v>
      </c>
      <c r="Z865" s="1" t="s">
        <v>249</v>
      </c>
      <c r="AA865" s="1" t="s">
        <v>1057</v>
      </c>
      <c r="AB865" s="1">
        <v>60031</v>
      </c>
      <c r="AD865" s="1" t="s">
        <v>6932</v>
      </c>
      <c r="AE865" s="1" t="s">
        <v>9665</v>
      </c>
      <c r="AF865" s="1">
        <v>1989</v>
      </c>
      <c r="AG865" s="1" t="s">
        <v>204</v>
      </c>
      <c r="AH865" s="1" t="s">
        <v>1060</v>
      </c>
      <c r="AI865" s="1" t="s">
        <v>509</v>
      </c>
      <c r="AJ865" s="1" t="s">
        <v>1061</v>
      </c>
      <c r="AL865" s="1">
        <v>6</v>
      </c>
      <c r="AM865" s="1">
        <v>2</v>
      </c>
      <c r="AN865" s="1">
        <v>1</v>
      </c>
      <c r="AO865" s="1">
        <v>1</v>
      </c>
      <c r="AP865" s="1" t="s">
        <v>210</v>
      </c>
      <c r="AQ865" s="1">
        <v>1</v>
      </c>
      <c r="AR865" s="1" t="s">
        <v>210</v>
      </c>
      <c r="AS865" s="1" t="s">
        <v>204</v>
      </c>
      <c r="AT865" s="1" t="s">
        <v>211</v>
      </c>
      <c r="AU865" s="1">
        <v>1</v>
      </c>
      <c r="AW865" s="1" t="s">
        <v>204</v>
      </c>
      <c r="AX865" s="1" t="s">
        <v>1528</v>
      </c>
      <c r="AZ865" s="1">
        <v>2665</v>
      </c>
      <c r="BA865" s="1">
        <v>2012</v>
      </c>
      <c r="BE865" s="1">
        <v>1320</v>
      </c>
      <c r="BF865" s="1">
        <v>2</v>
      </c>
      <c r="BG865" s="1">
        <v>0</v>
      </c>
      <c r="BL865" s="1">
        <v>184</v>
      </c>
      <c r="BM865" s="1" t="s">
        <v>204</v>
      </c>
      <c r="BN865" s="1" t="s">
        <v>213</v>
      </c>
      <c r="BO865" s="1">
        <v>50</v>
      </c>
      <c r="BP865" s="1" t="s">
        <v>204</v>
      </c>
      <c r="BR865" s="1" t="str">
        <f>"07204002010000"</f>
        <v>07204002010000</v>
      </c>
      <c r="BT865" s="1" t="s">
        <v>9666</v>
      </c>
      <c r="BU865" s="1" t="s">
        <v>1064</v>
      </c>
      <c r="BV865" s="1" t="s">
        <v>1065</v>
      </c>
      <c r="BW865" s="1" t="s">
        <v>1066</v>
      </c>
      <c r="BX865" s="1">
        <v>50</v>
      </c>
      <c r="BY865" s="1">
        <v>50</v>
      </c>
      <c r="BZ865" s="1">
        <v>121</v>
      </c>
      <c r="CB865" s="1" t="str">
        <f>"34"</f>
        <v>34</v>
      </c>
      <c r="CC865" s="1" t="str">
        <f>"0"</f>
        <v>0</v>
      </c>
      <c r="CD865" s="1">
        <v>17</v>
      </c>
      <c r="CE865" s="1">
        <v>0</v>
      </c>
      <c r="CG865" s="1" t="s">
        <v>1004</v>
      </c>
      <c r="CH865" s="1" t="s">
        <v>219</v>
      </c>
      <c r="CK865" s="1" t="s">
        <v>1854</v>
      </c>
      <c r="CL865" s="1" t="s">
        <v>277</v>
      </c>
      <c r="CO865" s="1" t="s">
        <v>836</v>
      </c>
      <c r="CP865" s="1" t="s">
        <v>219</v>
      </c>
      <c r="CS865" s="1" t="s">
        <v>3591</v>
      </c>
      <c r="CT865" s="1" t="s">
        <v>277</v>
      </c>
      <c r="CX865" s="1" t="s">
        <v>224</v>
      </c>
      <c r="DB865" s="1" t="s">
        <v>224</v>
      </c>
      <c r="DE865" s="1" t="s">
        <v>408</v>
      </c>
      <c r="DF865" s="1" t="s">
        <v>219</v>
      </c>
      <c r="DI865" s="1" t="s">
        <v>1403</v>
      </c>
      <c r="DJ865" s="1" t="s">
        <v>277</v>
      </c>
      <c r="DS865" s="1" t="s">
        <v>230</v>
      </c>
      <c r="DW865" s="1" t="s">
        <v>230</v>
      </c>
      <c r="EA865" s="1" t="s">
        <v>230</v>
      </c>
      <c r="EE865" s="1" t="s">
        <v>230</v>
      </c>
      <c r="EI865" s="1" t="s">
        <v>230</v>
      </c>
      <c r="EL865" s="1" t="s">
        <v>382</v>
      </c>
      <c r="EM865" s="1" t="s">
        <v>232</v>
      </c>
      <c r="EN865" s="1" t="s">
        <v>282</v>
      </c>
      <c r="EO865" s="1" t="s">
        <v>234</v>
      </c>
      <c r="EP865" s="1" t="s">
        <v>9667</v>
      </c>
      <c r="EQ865" s="1" t="s">
        <v>9668</v>
      </c>
      <c r="ER865" s="1" t="s">
        <v>210</v>
      </c>
      <c r="ES865" s="1" t="s">
        <v>322</v>
      </c>
      <c r="EU865" s="1" t="s">
        <v>239</v>
      </c>
      <c r="EV865" s="1" t="s">
        <v>240</v>
      </c>
      <c r="EW865" s="1" t="s">
        <v>887</v>
      </c>
      <c r="EY865" s="1" t="s">
        <v>242</v>
      </c>
      <c r="EZ865" s="1" t="s">
        <v>287</v>
      </c>
      <c r="FB865" s="1" t="s">
        <v>1505</v>
      </c>
      <c r="FC865" s="1" t="s">
        <v>548</v>
      </c>
      <c r="FD865" s="1" t="s">
        <v>246</v>
      </c>
      <c r="FE865" s="1" t="s">
        <v>4525</v>
      </c>
      <c r="FF865" s="1" t="s">
        <v>248</v>
      </c>
      <c r="FG865" s="1" t="s">
        <v>715</v>
      </c>
      <c r="FH865" s="1" t="s">
        <v>249</v>
      </c>
      <c r="FL865" s="1" t="s">
        <v>358</v>
      </c>
      <c r="FM865" s="1" t="s">
        <v>252</v>
      </c>
      <c r="FN865" s="1" t="s">
        <v>213</v>
      </c>
      <c r="FO865" s="1" t="s">
        <v>213</v>
      </c>
      <c r="FQ865" s="1" t="s">
        <v>582</v>
      </c>
      <c r="FR865" s="1" t="s">
        <v>210</v>
      </c>
      <c r="FS865" s="1" t="s">
        <v>1429</v>
      </c>
      <c r="FT865" s="1" t="s">
        <v>654</v>
      </c>
      <c r="FU865" s="1" t="s">
        <v>204</v>
      </c>
      <c r="FW865" s="1" t="s">
        <v>4465</v>
      </c>
      <c r="FX865" s="1">
        <v>2414</v>
      </c>
      <c r="FY865" s="1" t="s">
        <v>4466</v>
      </c>
      <c r="FZ865" s="1" t="s">
        <v>9669</v>
      </c>
      <c r="GA865" s="1">
        <v>16879</v>
      </c>
      <c r="GB865" s="1" t="s">
        <v>9670</v>
      </c>
      <c r="GC865" s="1">
        <v>16510</v>
      </c>
      <c r="GE865" s="1" t="s">
        <v>210</v>
      </c>
      <c r="GH865" s="1" t="s">
        <v>230</v>
      </c>
      <c r="GI865" s="1" t="s">
        <v>213</v>
      </c>
      <c r="GJ865" s="1" t="s">
        <v>260</v>
      </c>
      <c r="GK865" s="1" t="s">
        <v>210</v>
      </c>
      <c r="GL865" s="2">
        <v>42093</v>
      </c>
      <c r="GM865" s="1" t="s">
        <v>9671</v>
      </c>
    </row>
    <row r="866" spans="1:195">
      <c r="A866" s="1">
        <v>185500</v>
      </c>
      <c r="B866" s="1" t="s">
        <v>195</v>
      </c>
      <c r="C866" s="1" t="str">
        <f>"08564325"</f>
        <v>08564325</v>
      </c>
      <c r="D866" s="1" t="s">
        <v>196</v>
      </c>
      <c r="F866" s="1" t="str">
        <f>"108"</f>
        <v>108</v>
      </c>
      <c r="G866" s="2">
        <v>41719</v>
      </c>
      <c r="H866" s="1">
        <v>185500</v>
      </c>
      <c r="I866" s="1">
        <v>185500</v>
      </c>
      <c r="J866" s="1">
        <v>185500</v>
      </c>
      <c r="K866" s="2">
        <v>41719</v>
      </c>
      <c r="L866" s="1">
        <v>1</v>
      </c>
      <c r="M866" s="2">
        <v>41719</v>
      </c>
      <c r="N866" s="1">
        <v>1</v>
      </c>
      <c r="O866" s="2">
        <v>41719</v>
      </c>
      <c r="P866" s="1">
        <v>22250</v>
      </c>
      <c r="Q866" s="1" t="s">
        <v>423</v>
      </c>
      <c r="R866" s="2">
        <v>41975</v>
      </c>
      <c r="S866" s="1">
        <v>223251</v>
      </c>
      <c r="U866" s="1">
        <v>125</v>
      </c>
      <c r="V866" s="1" t="s">
        <v>828</v>
      </c>
      <c r="W866" s="1" t="s">
        <v>264</v>
      </c>
      <c r="X866" s="1">
        <v>409</v>
      </c>
      <c r="Y866" s="1">
        <v>80</v>
      </c>
      <c r="Z866" s="1" t="s">
        <v>249</v>
      </c>
      <c r="AA866" s="1" t="s">
        <v>829</v>
      </c>
      <c r="AB866" s="1">
        <v>60108</v>
      </c>
      <c r="AE866" s="1" t="s">
        <v>7864</v>
      </c>
      <c r="AF866" s="1">
        <v>2008</v>
      </c>
      <c r="AG866" s="1" t="s">
        <v>204</v>
      </c>
      <c r="AH866" s="1" t="s">
        <v>269</v>
      </c>
      <c r="AI866" s="1" t="s">
        <v>206</v>
      </c>
      <c r="AJ866" s="1" t="s">
        <v>269</v>
      </c>
      <c r="AL866" s="1">
        <v>5</v>
      </c>
      <c r="AM866" s="1">
        <v>2</v>
      </c>
      <c r="AN866" s="1">
        <v>2</v>
      </c>
      <c r="AO866" s="1">
        <v>0</v>
      </c>
      <c r="AP866" s="1" t="s">
        <v>209</v>
      </c>
      <c r="AR866" s="1" t="s">
        <v>210</v>
      </c>
      <c r="AS866" s="1" t="s">
        <v>204</v>
      </c>
      <c r="AT866" s="1" t="s">
        <v>375</v>
      </c>
      <c r="AU866" s="1">
        <v>1</v>
      </c>
      <c r="AV866" s="1">
        <v>1</v>
      </c>
      <c r="AW866" s="1" t="s">
        <v>204</v>
      </c>
      <c r="AX866" s="1" t="s">
        <v>270</v>
      </c>
      <c r="AZ866" s="1">
        <v>2860</v>
      </c>
      <c r="BA866" s="1">
        <v>2013</v>
      </c>
      <c r="BE866" s="1">
        <v>1373</v>
      </c>
      <c r="BF866" s="1">
        <v>4</v>
      </c>
      <c r="BG866" s="1">
        <v>0</v>
      </c>
      <c r="BL866" s="1">
        <v>176</v>
      </c>
      <c r="BM866" s="1" t="s">
        <v>204</v>
      </c>
      <c r="BN866" s="1" t="s">
        <v>213</v>
      </c>
      <c r="BO866" s="1">
        <v>999</v>
      </c>
      <c r="BP866" s="1" t="s">
        <v>204</v>
      </c>
      <c r="BR866" s="1" t="str">
        <f>"0214120095"</f>
        <v>0214120095</v>
      </c>
      <c r="BT866" s="1" t="s">
        <v>9672</v>
      </c>
      <c r="BX866" s="1">
        <v>13</v>
      </c>
      <c r="BY866" s="1">
        <v>13</v>
      </c>
      <c r="BZ866" s="1">
        <v>108</v>
      </c>
      <c r="CB866" s="1" t="str">
        <f t="shared" ref="CB866:CC866" si="670">""</f>
        <v/>
      </c>
      <c r="CC866" s="1" t="str">
        <f t="shared" si="670"/>
        <v/>
      </c>
      <c r="CG866" s="1" t="s">
        <v>628</v>
      </c>
      <c r="CH866" s="1" t="s">
        <v>219</v>
      </c>
      <c r="CK866" s="1" t="s">
        <v>315</v>
      </c>
      <c r="CL866" s="1" t="s">
        <v>219</v>
      </c>
      <c r="CO866" s="1" t="s">
        <v>629</v>
      </c>
      <c r="CP866" s="1" t="s">
        <v>219</v>
      </c>
      <c r="CS866" s="1" t="s">
        <v>539</v>
      </c>
      <c r="CT866" s="1" t="s">
        <v>219</v>
      </c>
      <c r="CX866" s="1" t="s">
        <v>224</v>
      </c>
      <c r="DB866" s="1" t="s">
        <v>224</v>
      </c>
      <c r="DE866" s="1" t="s">
        <v>318</v>
      </c>
      <c r="DF866" s="1" t="s">
        <v>219</v>
      </c>
      <c r="DJ866" s="1" t="s">
        <v>224</v>
      </c>
      <c r="DS866" s="1" t="s">
        <v>230</v>
      </c>
      <c r="DW866" s="1" t="s">
        <v>230</v>
      </c>
      <c r="EA866" s="1" t="s">
        <v>230</v>
      </c>
      <c r="EE866" s="1" t="s">
        <v>230</v>
      </c>
      <c r="EI866" s="1" t="s">
        <v>230</v>
      </c>
      <c r="EL866" s="1" t="s">
        <v>491</v>
      </c>
      <c r="EM866" s="1" t="s">
        <v>319</v>
      </c>
      <c r="EN866" s="1" t="s">
        <v>282</v>
      </c>
      <c r="EO866" s="1" t="s">
        <v>234</v>
      </c>
      <c r="ER866" s="1" t="s">
        <v>210</v>
      </c>
      <c r="EW866" s="1" t="s">
        <v>7866</v>
      </c>
      <c r="EZ866" s="1" t="s">
        <v>287</v>
      </c>
      <c r="FD866" s="1" t="s">
        <v>495</v>
      </c>
      <c r="FE866" s="1" t="s">
        <v>247</v>
      </c>
      <c r="FF866" s="1" t="s">
        <v>248</v>
      </c>
      <c r="FH866" s="1" t="s">
        <v>249</v>
      </c>
      <c r="FL866" s="1" t="s">
        <v>414</v>
      </c>
      <c r="FM866" s="1" t="s">
        <v>252</v>
      </c>
      <c r="FN866" s="1" t="s">
        <v>213</v>
      </c>
      <c r="FO866" s="1" t="s">
        <v>213</v>
      </c>
      <c r="FQ866" s="1" t="s">
        <v>9673</v>
      </c>
      <c r="FR866" s="1" t="s">
        <v>210</v>
      </c>
      <c r="FS866" s="1" t="s">
        <v>9674</v>
      </c>
      <c r="FT866" s="1" t="s">
        <v>7868</v>
      </c>
      <c r="FU866" s="1" t="s">
        <v>213</v>
      </c>
      <c r="FW866" s="1" t="s">
        <v>852</v>
      </c>
      <c r="FX866" s="1">
        <v>22250</v>
      </c>
      <c r="FY866" s="1" t="s">
        <v>853</v>
      </c>
      <c r="FZ866" s="1" t="s">
        <v>854</v>
      </c>
      <c r="GA866" s="1">
        <v>242148</v>
      </c>
      <c r="GE866" s="1" t="s">
        <v>480</v>
      </c>
      <c r="GI866" s="1" t="s">
        <v>213</v>
      </c>
      <c r="GJ866" s="1" t="s">
        <v>260</v>
      </c>
      <c r="GK866" s="1" t="s">
        <v>210</v>
      </c>
      <c r="GL866" s="2">
        <v>41976</v>
      </c>
      <c r="GM866" s="1" t="s">
        <v>9675</v>
      </c>
    </row>
    <row r="867" spans="1:195">
      <c r="A867" s="1">
        <v>22000</v>
      </c>
      <c r="B867" s="1" t="s">
        <v>195</v>
      </c>
      <c r="C867" s="1" t="str">
        <f>"08564251"</f>
        <v>08564251</v>
      </c>
      <c r="D867" s="1" t="s">
        <v>196</v>
      </c>
      <c r="F867" s="1" t="str">
        <f>"188"</f>
        <v>188</v>
      </c>
      <c r="G867" s="2">
        <v>41719</v>
      </c>
      <c r="H867" s="1">
        <v>42000</v>
      </c>
      <c r="I867" s="1">
        <v>21500</v>
      </c>
      <c r="J867" s="1">
        <v>22000</v>
      </c>
      <c r="K867" s="2">
        <v>41719</v>
      </c>
      <c r="L867" s="1">
        <v>232</v>
      </c>
      <c r="M867" s="2">
        <v>41950</v>
      </c>
      <c r="N867" s="1">
        <v>232</v>
      </c>
      <c r="O867" s="2">
        <v>41950</v>
      </c>
      <c r="P867" s="1">
        <v>23948</v>
      </c>
      <c r="Q867" s="1" t="s">
        <v>302</v>
      </c>
      <c r="R867" s="2">
        <v>41982</v>
      </c>
      <c r="S867" s="1">
        <v>222216</v>
      </c>
      <c r="U867" s="1">
        <v>143</v>
      </c>
      <c r="V867" s="1" t="s">
        <v>5141</v>
      </c>
      <c r="W867" s="1" t="s">
        <v>526</v>
      </c>
      <c r="X867" s="1">
        <v>142</v>
      </c>
      <c r="Y867" s="1">
        <v>12</v>
      </c>
      <c r="Z867" s="1" t="s">
        <v>249</v>
      </c>
      <c r="AA867" s="1" t="s">
        <v>1084</v>
      </c>
      <c r="AB867" s="1">
        <v>60188</v>
      </c>
      <c r="AE867" s="1" t="s">
        <v>9676</v>
      </c>
      <c r="AF867" s="1">
        <v>1980</v>
      </c>
      <c r="AG867" s="1" t="s">
        <v>204</v>
      </c>
      <c r="AH867" s="1" t="s">
        <v>1087</v>
      </c>
      <c r="AI867" s="1" t="s">
        <v>206</v>
      </c>
      <c r="AJ867" s="1" t="s">
        <v>269</v>
      </c>
      <c r="AL867" s="1">
        <v>5</v>
      </c>
      <c r="AM867" s="1">
        <v>2</v>
      </c>
      <c r="AN867" s="1">
        <v>1</v>
      </c>
      <c r="AO867" s="1">
        <v>1</v>
      </c>
      <c r="AP867" s="1" t="s">
        <v>1234</v>
      </c>
      <c r="AR867" s="1" t="s">
        <v>210</v>
      </c>
      <c r="AS867" s="1" t="s">
        <v>204</v>
      </c>
      <c r="AT867" s="1" t="s">
        <v>271</v>
      </c>
      <c r="AV867" s="1">
        <v>1</v>
      </c>
      <c r="AW867" s="1" t="s">
        <v>204</v>
      </c>
      <c r="AX867" s="1" t="s">
        <v>212</v>
      </c>
      <c r="AZ867" s="1">
        <v>1323</v>
      </c>
      <c r="BA867" s="1">
        <v>2013</v>
      </c>
      <c r="BB867" s="1" t="s">
        <v>405</v>
      </c>
      <c r="BE867" s="1">
        <v>981</v>
      </c>
      <c r="BF867" s="1">
        <v>1</v>
      </c>
      <c r="BG867" s="1">
        <v>1</v>
      </c>
      <c r="BL867" s="1">
        <v>400</v>
      </c>
      <c r="BM867" s="1" t="s">
        <v>413</v>
      </c>
      <c r="BN867" s="1" t="s">
        <v>204</v>
      </c>
      <c r="BP867" s="1" t="s">
        <v>204</v>
      </c>
      <c r="BR867" s="1" t="str">
        <f>"0229111151"</f>
        <v>0229111151</v>
      </c>
      <c r="BT867" s="1" t="s">
        <v>9677</v>
      </c>
      <c r="BX867" s="1">
        <v>93</v>
      </c>
      <c r="BY867" s="1">
        <v>93</v>
      </c>
      <c r="BZ867" s="1">
        <v>87</v>
      </c>
      <c r="CB867" s="1" t="str">
        <f t="shared" ref="CB867:CC867" si="671">""</f>
        <v/>
      </c>
      <c r="CC867" s="1" t="str">
        <f t="shared" si="671"/>
        <v/>
      </c>
      <c r="CG867" s="1" t="s">
        <v>228</v>
      </c>
      <c r="CH867" s="1" t="s">
        <v>219</v>
      </c>
      <c r="CI867" s="1" t="s">
        <v>220</v>
      </c>
      <c r="CJ867" s="1" t="s">
        <v>210</v>
      </c>
      <c r="CK867" s="1" t="s">
        <v>378</v>
      </c>
      <c r="CL867" s="1" t="s">
        <v>219</v>
      </c>
      <c r="CM867" s="1" t="s">
        <v>220</v>
      </c>
      <c r="CN867" s="1" t="s">
        <v>210</v>
      </c>
      <c r="CO867" s="1" t="s">
        <v>6226</v>
      </c>
      <c r="CP867" s="1" t="s">
        <v>219</v>
      </c>
      <c r="CQ867" s="1" t="s">
        <v>220</v>
      </c>
      <c r="CR867" s="1" t="s">
        <v>210</v>
      </c>
      <c r="CS867" s="1" t="s">
        <v>379</v>
      </c>
      <c r="CT867" s="1" t="s">
        <v>219</v>
      </c>
      <c r="CU867" s="1" t="s">
        <v>220</v>
      </c>
      <c r="CV867" s="1" t="s">
        <v>210</v>
      </c>
      <c r="CX867" s="1" t="s">
        <v>224</v>
      </c>
      <c r="DB867" s="1" t="s">
        <v>224</v>
      </c>
      <c r="DE867" s="1" t="s">
        <v>223</v>
      </c>
      <c r="DF867" s="1" t="s">
        <v>219</v>
      </c>
      <c r="DG867" s="1" t="s">
        <v>342</v>
      </c>
      <c r="DH867" s="1" t="s">
        <v>210</v>
      </c>
      <c r="DJ867" s="1" t="s">
        <v>224</v>
      </c>
      <c r="DM867" s="1" t="s">
        <v>709</v>
      </c>
      <c r="DR867" s="1" t="s">
        <v>9678</v>
      </c>
      <c r="DS867" s="1" t="s">
        <v>219</v>
      </c>
      <c r="DT867" s="1" t="s">
        <v>220</v>
      </c>
      <c r="DU867" s="1" t="s">
        <v>210</v>
      </c>
      <c r="DW867" s="1" t="s">
        <v>230</v>
      </c>
      <c r="EA867" s="1" t="s">
        <v>230</v>
      </c>
      <c r="EE867" s="1" t="s">
        <v>230</v>
      </c>
      <c r="EI867" s="1" t="s">
        <v>230</v>
      </c>
      <c r="EL867" s="1" t="s">
        <v>231</v>
      </c>
      <c r="EM867" s="1" t="s">
        <v>319</v>
      </c>
      <c r="EN867" s="1" t="s">
        <v>282</v>
      </c>
      <c r="EO867" s="1" t="s">
        <v>234</v>
      </c>
      <c r="ER867" s="1" t="s">
        <v>210</v>
      </c>
      <c r="EW867" s="1" t="s">
        <v>1219</v>
      </c>
      <c r="EZ867" s="1" t="s">
        <v>709</v>
      </c>
      <c r="FD867" s="1" t="s">
        <v>1112</v>
      </c>
      <c r="FE867" s="1" t="s">
        <v>247</v>
      </c>
      <c r="FF867" s="1" t="s">
        <v>248</v>
      </c>
      <c r="FH867" s="1" t="s">
        <v>249</v>
      </c>
      <c r="FL867" s="1" t="s">
        <v>358</v>
      </c>
      <c r="FM867" s="1" t="s">
        <v>252</v>
      </c>
      <c r="FN867" s="1" t="s">
        <v>213</v>
      </c>
      <c r="FO867" s="1" t="s">
        <v>213</v>
      </c>
      <c r="FQ867" s="1" t="s">
        <v>7589</v>
      </c>
      <c r="FR867" s="1" t="s">
        <v>210</v>
      </c>
      <c r="FS867" s="1" t="s">
        <v>9679</v>
      </c>
      <c r="FT867" s="1" t="s">
        <v>1828</v>
      </c>
      <c r="FU867" s="1" t="s">
        <v>204</v>
      </c>
      <c r="FW867" s="1" t="s">
        <v>8990</v>
      </c>
      <c r="FX867" s="1">
        <v>1666</v>
      </c>
      <c r="FY867" s="1" t="s">
        <v>8991</v>
      </c>
      <c r="FZ867" s="1" t="s">
        <v>9680</v>
      </c>
      <c r="GA867" s="1">
        <v>26352</v>
      </c>
      <c r="GB867" s="1" t="s">
        <v>9681</v>
      </c>
      <c r="GE867" s="1" t="s">
        <v>210</v>
      </c>
      <c r="GH867" s="1" t="s">
        <v>589</v>
      </c>
      <c r="GI867" s="1" t="s">
        <v>213</v>
      </c>
      <c r="GJ867" s="1" t="s">
        <v>260</v>
      </c>
      <c r="GK867" s="1" t="s">
        <v>210</v>
      </c>
      <c r="GL867" s="2">
        <v>41982</v>
      </c>
      <c r="GM867" s="1" t="s">
        <v>9682</v>
      </c>
    </row>
    <row r="868" spans="1:195">
      <c r="A868" s="1">
        <v>220000</v>
      </c>
      <c r="B868" s="1" t="s">
        <v>195</v>
      </c>
      <c r="C868" s="1" t="str">
        <f>"08593942"</f>
        <v>08593942</v>
      </c>
      <c r="D868" s="1" t="s">
        <v>196</v>
      </c>
      <c r="F868" s="1" t="str">
        <f>"10"</f>
        <v>10</v>
      </c>
      <c r="G868" s="2">
        <v>41752</v>
      </c>
      <c r="H868" s="1">
        <v>265900</v>
      </c>
      <c r="I868" s="1">
        <v>253400</v>
      </c>
      <c r="J868" s="1">
        <v>220000</v>
      </c>
      <c r="K868" s="2">
        <v>41751</v>
      </c>
      <c r="L868" s="1">
        <v>207</v>
      </c>
      <c r="M868" s="2">
        <v>41957</v>
      </c>
      <c r="N868" s="1">
        <v>207</v>
      </c>
      <c r="O868" s="2">
        <v>41957</v>
      </c>
      <c r="P868" s="1">
        <v>24988</v>
      </c>
      <c r="Q868" s="1" t="s">
        <v>302</v>
      </c>
      <c r="R868" s="2">
        <v>41988</v>
      </c>
      <c r="S868" s="1">
        <v>242033</v>
      </c>
      <c r="U868" s="1">
        <v>543</v>
      </c>
      <c r="V868" s="1" t="s">
        <v>9683</v>
      </c>
      <c r="W868" s="1" t="s">
        <v>725</v>
      </c>
      <c r="X868" s="1">
        <v>205</v>
      </c>
      <c r="Y868" s="1">
        <v>18</v>
      </c>
      <c r="Z868" s="1" t="s">
        <v>249</v>
      </c>
      <c r="AA868" s="1" t="s">
        <v>6288</v>
      </c>
      <c r="AB868" s="1">
        <v>60010</v>
      </c>
      <c r="AD868" s="1" t="s">
        <v>9684</v>
      </c>
      <c r="AE868" s="1" t="s">
        <v>9685</v>
      </c>
      <c r="AF868" s="1">
        <v>2005</v>
      </c>
      <c r="AG868" s="1" t="s">
        <v>204</v>
      </c>
      <c r="AH868" s="1" t="s">
        <v>6729</v>
      </c>
      <c r="AI868" s="1" t="s">
        <v>509</v>
      </c>
      <c r="AJ868" s="1" t="s">
        <v>1989</v>
      </c>
      <c r="AL868" s="1">
        <v>6</v>
      </c>
      <c r="AM868" s="1">
        <v>2</v>
      </c>
      <c r="AN868" s="1">
        <v>2</v>
      </c>
      <c r="AO868" s="1">
        <v>0</v>
      </c>
      <c r="AP868" s="1" t="s">
        <v>209</v>
      </c>
      <c r="AR868" s="1" t="s">
        <v>210</v>
      </c>
      <c r="AS868" s="1" t="s">
        <v>204</v>
      </c>
      <c r="AT868" s="1" t="s">
        <v>211</v>
      </c>
      <c r="AU868" s="1">
        <v>1</v>
      </c>
      <c r="AW868" s="1" t="s">
        <v>204</v>
      </c>
      <c r="AX868" s="1" t="s">
        <v>212</v>
      </c>
      <c r="AZ868" s="1">
        <v>4790</v>
      </c>
      <c r="BA868" s="1">
        <v>2012</v>
      </c>
      <c r="BB868" s="1" t="s">
        <v>210</v>
      </c>
      <c r="BE868" s="1">
        <v>1597</v>
      </c>
      <c r="BF868" s="1">
        <v>2</v>
      </c>
      <c r="BG868" s="1">
        <v>0</v>
      </c>
      <c r="BL868" s="1">
        <v>372</v>
      </c>
      <c r="BM868" s="1" t="s">
        <v>204</v>
      </c>
      <c r="BN868" s="1" t="s">
        <v>213</v>
      </c>
      <c r="BO868" s="1">
        <v>25</v>
      </c>
      <c r="BP868" s="1" t="s">
        <v>204</v>
      </c>
      <c r="BR868" s="1" t="str">
        <f>"13363031920000"</f>
        <v>13363031920000</v>
      </c>
      <c r="BT868" s="1" t="s">
        <v>9686</v>
      </c>
      <c r="BU868" s="1" t="s">
        <v>6731</v>
      </c>
      <c r="BV868" s="1" t="s">
        <v>9687</v>
      </c>
      <c r="BW868" s="1" t="s">
        <v>1994</v>
      </c>
      <c r="BX868" s="1">
        <v>220</v>
      </c>
      <c r="BY868" s="1">
        <v>220</v>
      </c>
      <c r="BZ868" s="1">
        <v>220</v>
      </c>
      <c r="CB868" s="1" t="str">
        <f>"20"</f>
        <v>20</v>
      </c>
      <c r="CC868" s="1" t="str">
        <f>"0"</f>
        <v>0</v>
      </c>
      <c r="CD868" s="1">
        <v>25</v>
      </c>
      <c r="CE868" s="1">
        <v>0</v>
      </c>
      <c r="CG868" s="1" t="s">
        <v>669</v>
      </c>
      <c r="CH868" s="1" t="s">
        <v>277</v>
      </c>
      <c r="CI868" s="1" t="s">
        <v>220</v>
      </c>
      <c r="CJ868" s="1" t="s">
        <v>343</v>
      </c>
      <c r="CK868" s="1" t="s">
        <v>1200</v>
      </c>
      <c r="CL868" s="1" t="s">
        <v>277</v>
      </c>
      <c r="CM868" s="1" t="s">
        <v>220</v>
      </c>
      <c r="CN868" s="1" t="s">
        <v>343</v>
      </c>
      <c r="CO868" s="1" t="s">
        <v>461</v>
      </c>
      <c r="CP868" s="1" t="s">
        <v>277</v>
      </c>
      <c r="CQ868" s="1" t="s">
        <v>220</v>
      </c>
      <c r="CR868" s="1" t="s">
        <v>343</v>
      </c>
      <c r="CS868" s="1" t="s">
        <v>317</v>
      </c>
      <c r="CT868" s="1" t="s">
        <v>277</v>
      </c>
      <c r="CU868" s="1" t="s">
        <v>220</v>
      </c>
      <c r="CV868" s="1" t="s">
        <v>343</v>
      </c>
      <c r="CX868" s="1" t="s">
        <v>224</v>
      </c>
      <c r="DB868" s="1" t="s">
        <v>224</v>
      </c>
      <c r="DE868" s="1" t="s">
        <v>933</v>
      </c>
      <c r="DF868" s="1" t="s">
        <v>277</v>
      </c>
      <c r="DG868" s="1" t="s">
        <v>226</v>
      </c>
      <c r="DH868" s="1" t="s">
        <v>343</v>
      </c>
      <c r="DJ868" s="1" t="s">
        <v>224</v>
      </c>
      <c r="DM868" s="1" t="s">
        <v>381</v>
      </c>
      <c r="DR868" s="1" t="s">
        <v>489</v>
      </c>
      <c r="DS868" s="1" t="s">
        <v>277</v>
      </c>
      <c r="DT868" s="1" t="s">
        <v>226</v>
      </c>
      <c r="DU868" s="1" t="s">
        <v>343</v>
      </c>
      <c r="DW868" s="1" t="s">
        <v>230</v>
      </c>
      <c r="EA868" s="1" t="s">
        <v>230</v>
      </c>
      <c r="EE868" s="1" t="s">
        <v>230</v>
      </c>
      <c r="EI868" s="1" t="s">
        <v>230</v>
      </c>
      <c r="EL868" s="1" t="s">
        <v>491</v>
      </c>
      <c r="EM868" s="1" t="s">
        <v>319</v>
      </c>
      <c r="EN868" s="1" t="s">
        <v>282</v>
      </c>
      <c r="EO868" s="1" t="s">
        <v>234</v>
      </c>
      <c r="EP868" s="1" t="s">
        <v>2764</v>
      </c>
      <c r="EQ868" s="1" t="s">
        <v>236</v>
      </c>
      <c r="ER868" s="1" t="s">
        <v>210</v>
      </c>
      <c r="ES868" s="1" t="s">
        <v>3932</v>
      </c>
      <c r="ET868" s="1" t="s">
        <v>842</v>
      </c>
      <c r="EU868" s="1" t="s">
        <v>9688</v>
      </c>
      <c r="EV868" s="1" t="s">
        <v>240</v>
      </c>
      <c r="EW868" s="1" t="s">
        <v>911</v>
      </c>
      <c r="EY868" s="1" t="s">
        <v>2455</v>
      </c>
      <c r="EZ868" s="1" t="s">
        <v>381</v>
      </c>
      <c r="FA868" s="1" t="s">
        <v>6559</v>
      </c>
      <c r="FB868" s="1" t="s">
        <v>289</v>
      </c>
      <c r="FD868" s="1" t="s">
        <v>246</v>
      </c>
      <c r="FE868" s="1" t="s">
        <v>247</v>
      </c>
      <c r="FF868" s="1" t="s">
        <v>248</v>
      </c>
      <c r="FH868" s="1" t="s">
        <v>249</v>
      </c>
      <c r="FI868" s="1" t="s">
        <v>250</v>
      </c>
      <c r="FL868" s="1" t="s">
        <v>358</v>
      </c>
      <c r="FM868" s="1" t="s">
        <v>252</v>
      </c>
      <c r="FN868" s="1" t="s">
        <v>213</v>
      </c>
      <c r="FO868" s="1" t="s">
        <v>213</v>
      </c>
      <c r="FQ868" s="1" t="s">
        <v>2004</v>
      </c>
      <c r="FR868" s="1" t="s">
        <v>652</v>
      </c>
      <c r="FS868" s="1" t="s">
        <v>9689</v>
      </c>
      <c r="FT868" s="1" t="s">
        <v>9690</v>
      </c>
      <c r="FU868" s="1" t="s">
        <v>204</v>
      </c>
      <c r="FW868" s="1" t="s">
        <v>4125</v>
      </c>
      <c r="FX868" s="1">
        <v>8073</v>
      </c>
      <c r="FY868" s="1" t="s">
        <v>4126</v>
      </c>
      <c r="FZ868" s="1" t="s">
        <v>9691</v>
      </c>
      <c r="GA868" s="1">
        <v>237830</v>
      </c>
      <c r="GB868" s="1" t="s">
        <v>9692</v>
      </c>
      <c r="GE868" s="1" t="s">
        <v>1333</v>
      </c>
      <c r="GH868" s="1" t="s">
        <v>230</v>
      </c>
      <c r="GI868" s="1" t="s">
        <v>213</v>
      </c>
      <c r="GJ868" s="1" t="s">
        <v>260</v>
      </c>
      <c r="GK868" s="1" t="s">
        <v>210</v>
      </c>
      <c r="GL868" s="2">
        <v>41988</v>
      </c>
      <c r="GM868" s="1" t="s">
        <v>9693</v>
      </c>
    </row>
    <row r="869" spans="1:195">
      <c r="A869" s="1">
        <v>226900</v>
      </c>
      <c r="B869" s="1" t="s">
        <v>195</v>
      </c>
      <c r="C869" s="1" t="str">
        <f>"08564243"</f>
        <v>08564243</v>
      </c>
      <c r="D869" s="1" t="s">
        <v>196</v>
      </c>
      <c r="F869" s="1" t="str">
        <f>"108"</f>
        <v>108</v>
      </c>
      <c r="G869" s="2">
        <v>41719</v>
      </c>
      <c r="H869" s="1">
        <v>226900</v>
      </c>
      <c r="I869" s="1">
        <v>226900</v>
      </c>
      <c r="J869" s="1">
        <v>226900</v>
      </c>
      <c r="K869" s="2">
        <v>41719</v>
      </c>
      <c r="L869" s="1">
        <v>1</v>
      </c>
      <c r="M869" s="2">
        <v>41719</v>
      </c>
      <c r="N869" s="1">
        <v>1</v>
      </c>
      <c r="O869" s="2">
        <v>41719</v>
      </c>
      <c r="P869" s="1">
        <v>22250</v>
      </c>
      <c r="Q869" s="1" t="s">
        <v>423</v>
      </c>
      <c r="R869" s="2">
        <v>41997</v>
      </c>
      <c r="S869" s="1">
        <v>223251</v>
      </c>
      <c r="U869" s="1">
        <v>125</v>
      </c>
      <c r="V869" s="1" t="s">
        <v>828</v>
      </c>
      <c r="W869" s="1" t="s">
        <v>264</v>
      </c>
      <c r="X869" s="1">
        <v>301</v>
      </c>
      <c r="Y869" s="1">
        <v>80</v>
      </c>
      <c r="Z869" s="1" t="s">
        <v>249</v>
      </c>
      <c r="AA869" s="1" t="s">
        <v>829</v>
      </c>
      <c r="AB869" s="1">
        <v>60108</v>
      </c>
      <c r="AE869" s="1" t="s">
        <v>9694</v>
      </c>
      <c r="AF869" s="1">
        <v>2008</v>
      </c>
      <c r="AG869" s="1" t="s">
        <v>204</v>
      </c>
      <c r="AH869" s="1" t="s">
        <v>269</v>
      </c>
      <c r="AI869" s="1" t="s">
        <v>206</v>
      </c>
      <c r="AJ869" s="1" t="s">
        <v>269</v>
      </c>
      <c r="AL869" s="1">
        <v>6</v>
      </c>
      <c r="AM869" s="1">
        <v>2</v>
      </c>
      <c r="AN869" s="1">
        <v>2</v>
      </c>
      <c r="AO869" s="1">
        <v>0</v>
      </c>
      <c r="AP869" s="1" t="s">
        <v>209</v>
      </c>
      <c r="AR869" s="1" t="s">
        <v>210</v>
      </c>
      <c r="AS869" s="1" t="s">
        <v>204</v>
      </c>
      <c r="AT869" s="1" t="s">
        <v>375</v>
      </c>
      <c r="AU869" s="1">
        <v>1</v>
      </c>
      <c r="AV869" s="1">
        <v>1</v>
      </c>
      <c r="AW869" s="1" t="s">
        <v>213</v>
      </c>
      <c r="AX869" s="1" t="s">
        <v>270</v>
      </c>
      <c r="AZ869" s="1">
        <v>3491</v>
      </c>
      <c r="BA869" s="1">
        <v>2013</v>
      </c>
      <c r="BE869" s="1">
        <v>1662</v>
      </c>
      <c r="BF869" s="1">
        <v>2</v>
      </c>
      <c r="BG869" s="1">
        <v>0</v>
      </c>
      <c r="BL869" s="1">
        <v>206</v>
      </c>
      <c r="BM869" s="1" t="s">
        <v>204</v>
      </c>
      <c r="BN869" s="1" t="s">
        <v>213</v>
      </c>
      <c r="BO869" s="1">
        <v>999</v>
      </c>
      <c r="BP869" s="1" t="s">
        <v>204</v>
      </c>
      <c r="BR869" s="1" t="str">
        <f>"0214120007"</f>
        <v>0214120007</v>
      </c>
      <c r="BT869" s="1" t="s">
        <v>9695</v>
      </c>
      <c r="BX869" s="1">
        <v>13</v>
      </c>
      <c r="BY869" s="1">
        <v>13</v>
      </c>
      <c r="BZ869" s="1">
        <v>108</v>
      </c>
      <c r="CB869" s="1" t="str">
        <f t="shared" ref="CB869:CC869" si="672">""</f>
        <v/>
      </c>
      <c r="CC869" s="1" t="str">
        <f t="shared" si="672"/>
        <v/>
      </c>
      <c r="CG869" s="1" t="s">
        <v>221</v>
      </c>
      <c r="CH869" s="1" t="s">
        <v>219</v>
      </c>
      <c r="CK869" s="1" t="s">
        <v>1045</v>
      </c>
      <c r="CL869" s="1" t="s">
        <v>219</v>
      </c>
      <c r="CO869" s="1" t="s">
        <v>490</v>
      </c>
      <c r="CP869" s="1" t="s">
        <v>219</v>
      </c>
      <c r="CS869" s="1" t="s">
        <v>1469</v>
      </c>
      <c r="CT869" s="1" t="s">
        <v>219</v>
      </c>
      <c r="CX869" s="1" t="s">
        <v>224</v>
      </c>
      <c r="DB869" s="1" t="s">
        <v>224</v>
      </c>
      <c r="DE869" s="1" t="s">
        <v>318</v>
      </c>
      <c r="DF869" s="1" t="s">
        <v>219</v>
      </c>
      <c r="DJ869" s="1" t="s">
        <v>224</v>
      </c>
      <c r="DM869" s="1" t="s">
        <v>1005</v>
      </c>
      <c r="DR869" s="1" t="s">
        <v>281</v>
      </c>
      <c r="DS869" s="1" t="s">
        <v>219</v>
      </c>
      <c r="DW869" s="1" t="s">
        <v>230</v>
      </c>
      <c r="EA869" s="1" t="s">
        <v>230</v>
      </c>
      <c r="EE869" s="1" t="s">
        <v>230</v>
      </c>
      <c r="EI869" s="1" t="s">
        <v>230</v>
      </c>
      <c r="EL869" s="1" t="s">
        <v>491</v>
      </c>
      <c r="EM869" s="1" t="s">
        <v>319</v>
      </c>
      <c r="EN869" s="1" t="s">
        <v>282</v>
      </c>
      <c r="EO869" s="1" t="s">
        <v>234</v>
      </c>
      <c r="ER869" s="1" t="s">
        <v>210</v>
      </c>
      <c r="EW869" s="1" t="s">
        <v>7866</v>
      </c>
      <c r="EZ869" s="1" t="s">
        <v>1005</v>
      </c>
      <c r="FD869" s="1" t="s">
        <v>495</v>
      </c>
      <c r="FE869" s="1" t="s">
        <v>247</v>
      </c>
      <c r="FF869" s="1" t="s">
        <v>248</v>
      </c>
      <c r="FH869" s="1" t="s">
        <v>249</v>
      </c>
      <c r="FL869" s="1" t="s">
        <v>414</v>
      </c>
      <c r="FM869" s="1" t="s">
        <v>252</v>
      </c>
      <c r="FN869" s="1" t="s">
        <v>213</v>
      </c>
      <c r="FO869" s="1" t="s">
        <v>213</v>
      </c>
      <c r="FQ869" s="1" t="s">
        <v>9673</v>
      </c>
      <c r="FR869" s="1" t="s">
        <v>210</v>
      </c>
      <c r="FS869" s="1" t="s">
        <v>9696</v>
      </c>
      <c r="FT869" s="1" t="s">
        <v>7868</v>
      </c>
      <c r="FU869" s="1" t="s">
        <v>213</v>
      </c>
      <c r="FW869" s="1" t="s">
        <v>852</v>
      </c>
      <c r="FX869" s="1">
        <v>22250</v>
      </c>
      <c r="FY869" s="1" t="s">
        <v>853</v>
      </c>
      <c r="FZ869" s="1" t="s">
        <v>854</v>
      </c>
      <c r="GA869" s="1">
        <v>242148</v>
      </c>
      <c r="GE869" s="1" t="s">
        <v>480</v>
      </c>
      <c r="GI869" s="1" t="s">
        <v>213</v>
      </c>
      <c r="GJ869" s="1" t="s">
        <v>260</v>
      </c>
      <c r="GK869" s="1" t="s">
        <v>210</v>
      </c>
      <c r="GL869" s="2">
        <v>41999</v>
      </c>
      <c r="GM869" s="1" t="s">
        <v>9697</v>
      </c>
    </row>
    <row r="870" spans="1:195">
      <c r="A870" s="1">
        <v>102000</v>
      </c>
      <c r="B870" s="1" t="s">
        <v>195</v>
      </c>
      <c r="C870" s="1" t="str">
        <f>"08565806"</f>
        <v>08565806</v>
      </c>
      <c r="D870" s="1" t="s">
        <v>196</v>
      </c>
      <c r="F870" s="1" t="str">
        <f>"61"</f>
        <v>61</v>
      </c>
      <c r="G870" s="2">
        <v>41722</v>
      </c>
      <c r="H870" s="1">
        <v>110900</v>
      </c>
      <c r="I870" s="1">
        <v>104000</v>
      </c>
      <c r="J870" s="1">
        <v>102000</v>
      </c>
      <c r="K870" s="2">
        <v>41722</v>
      </c>
      <c r="L870" s="1">
        <v>142</v>
      </c>
      <c r="M870" s="2">
        <v>41863</v>
      </c>
      <c r="N870" s="1">
        <v>142</v>
      </c>
      <c r="O870" s="2">
        <v>41863</v>
      </c>
      <c r="P870" s="1">
        <v>1936</v>
      </c>
      <c r="Q870" s="1" t="s">
        <v>197</v>
      </c>
      <c r="R870" s="2">
        <v>41992</v>
      </c>
      <c r="S870" s="1">
        <v>83898</v>
      </c>
      <c r="T870" s="1">
        <v>2200</v>
      </c>
      <c r="U870" s="1">
        <v>313</v>
      </c>
      <c r="V870" s="1" t="s">
        <v>9698</v>
      </c>
      <c r="W870" s="1" t="s">
        <v>449</v>
      </c>
      <c r="Y870" s="1">
        <v>6</v>
      </c>
      <c r="Z870" s="1" t="s">
        <v>249</v>
      </c>
      <c r="AA870" s="1" t="s">
        <v>505</v>
      </c>
      <c r="AB870" s="1">
        <v>60061</v>
      </c>
      <c r="AD870" s="1" t="s">
        <v>8655</v>
      </c>
      <c r="AE870" s="1" t="s">
        <v>9699</v>
      </c>
      <c r="AF870" s="1">
        <v>1975</v>
      </c>
      <c r="AG870" s="1" t="s">
        <v>213</v>
      </c>
      <c r="AH870" s="1" t="s">
        <v>508</v>
      </c>
      <c r="AI870" s="1" t="s">
        <v>509</v>
      </c>
      <c r="AJ870" s="1" t="s">
        <v>510</v>
      </c>
      <c r="AL870" s="1">
        <v>5</v>
      </c>
      <c r="AM870" s="1">
        <v>2</v>
      </c>
      <c r="AN870" s="1">
        <v>1</v>
      </c>
      <c r="AO870" s="1">
        <v>1</v>
      </c>
      <c r="AP870" s="1" t="s">
        <v>210</v>
      </c>
      <c r="AR870" s="1" t="s">
        <v>210</v>
      </c>
      <c r="AS870" s="1" t="s">
        <v>204</v>
      </c>
      <c r="AT870" s="1" t="s">
        <v>211</v>
      </c>
      <c r="AU870" s="1">
        <v>1</v>
      </c>
      <c r="AW870" s="1" t="s">
        <v>204</v>
      </c>
      <c r="AX870" s="1" t="s">
        <v>212</v>
      </c>
      <c r="AZ870" s="1">
        <v>2388.38</v>
      </c>
      <c r="BA870" s="1">
        <v>2012</v>
      </c>
      <c r="BE870" s="1">
        <v>1012</v>
      </c>
      <c r="BF870" s="1">
        <v>1</v>
      </c>
      <c r="BG870" s="1">
        <v>0</v>
      </c>
      <c r="BL870" s="1">
        <v>181</v>
      </c>
      <c r="BM870" s="1" t="s">
        <v>204</v>
      </c>
      <c r="BN870" s="1" t="s">
        <v>213</v>
      </c>
      <c r="BO870" s="1">
        <v>999</v>
      </c>
      <c r="BP870" s="1" t="s">
        <v>204</v>
      </c>
      <c r="BR870" s="1" t="str">
        <f>"15053010540000"</f>
        <v>15053010540000</v>
      </c>
      <c r="BT870" s="1" t="s">
        <v>9700</v>
      </c>
      <c r="BU870" s="1" t="s">
        <v>512</v>
      </c>
      <c r="BV870" s="1" t="s">
        <v>512</v>
      </c>
      <c r="BW870" s="1" t="s">
        <v>514</v>
      </c>
      <c r="BX870" s="1">
        <v>73</v>
      </c>
      <c r="BY870" s="1">
        <v>73</v>
      </c>
      <c r="BZ870" s="1">
        <v>128</v>
      </c>
      <c r="CB870" s="1" t="str">
        <f>"25"</f>
        <v>25</v>
      </c>
      <c r="CC870" s="1" t="str">
        <f t="shared" ref="CC870:CC871" si="673">"0"</f>
        <v>0</v>
      </c>
      <c r="CD870" s="1">
        <v>17</v>
      </c>
      <c r="CE870" s="1">
        <v>0</v>
      </c>
      <c r="CG870" s="1" t="s">
        <v>628</v>
      </c>
      <c r="CH870" s="1" t="s">
        <v>219</v>
      </c>
      <c r="CI870" s="1" t="s">
        <v>229</v>
      </c>
      <c r="CJ870" s="1" t="s">
        <v>210</v>
      </c>
      <c r="CK870" s="1" t="s">
        <v>687</v>
      </c>
      <c r="CL870" s="1" t="s">
        <v>277</v>
      </c>
      <c r="CM870" s="1" t="s">
        <v>220</v>
      </c>
      <c r="CO870" s="1" t="s">
        <v>4148</v>
      </c>
      <c r="CP870" s="1" t="s">
        <v>219</v>
      </c>
      <c r="CQ870" s="1" t="s">
        <v>347</v>
      </c>
      <c r="CR870" s="1" t="s">
        <v>210</v>
      </c>
      <c r="CS870" s="1" t="s">
        <v>630</v>
      </c>
      <c r="CT870" s="1" t="s">
        <v>277</v>
      </c>
      <c r="CU870" s="1" t="s">
        <v>220</v>
      </c>
      <c r="CX870" s="1" t="s">
        <v>224</v>
      </c>
      <c r="DB870" s="1" t="s">
        <v>224</v>
      </c>
      <c r="DE870" s="1" t="s">
        <v>3284</v>
      </c>
      <c r="DF870" s="1" t="s">
        <v>219</v>
      </c>
      <c r="DG870" s="1" t="s">
        <v>347</v>
      </c>
      <c r="DH870" s="1" t="s">
        <v>210</v>
      </c>
      <c r="DJ870" s="1" t="s">
        <v>224</v>
      </c>
      <c r="DS870" s="1" t="s">
        <v>230</v>
      </c>
      <c r="DW870" s="1" t="s">
        <v>230</v>
      </c>
      <c r="EA870" s="1" t="s">
        <v>230</v>
      </c>
      <c r="EE870" s="1" t="s">
        <v>230</v>
      </c>
      <c r="EI870" s="1" t="s">
        <v>230</v>
      </c>
      <c r="EL870" s="1" t="s">
        <v>231</v>
      </c>
      <c r="EM870" s="1" t="s">
        <v>232</v>
      </c>
      <c r="EN870" s="1" t="s">
        <v>282</v>
      </c>
      <c r="EO870" s="1" t="s">
        <v>234</v>
      </c>
      <c r="EP870" s="1" t="s">
        <v>2983</v>
      </c>
      <c r="ER870" s="1" t="s">
        <v>210</v>
      </c>
      <c r="EU870" s="1" t="s">
        <v>712</v>
      </c>
      <c r="EV870" s="1" t="s">
        <v>352</v>
      </c>
      <c r="EW870" s="1" t="s">
        <v>9701</v>
      </c>
      <c r="EZ870" s="1" t="s">
        <v>287</v>
      </c>
      <c r="FA870" s="1" t="s">
        <v>9702</v>
      </c>
      <c r="FD870" s="1" t="s">
        <v>246</v>
      </c>
      <c r="FE870" s="1" t="s">
        <v>9703</v>
      </c>
      <c r="FF870" s="1" t="s">
        <v>248</v>
      </c>
      <c r="FH870" s="1" t="s">
        <v>550</v>
      </c>
      <c r="FL870" s="1" t="s">
        <v>414</v>
      </c>
      <c r="FM870" s="1" t="s">
        <v>252</v>
      </c>
      <c r="FN870" s="1" t="s">
        <v>213</v>
      </c>
      <c r="FO870" s="1" t="s">
        <v>213</v>
      </c>
      <c r="FQ870" s="1" t="s">
        <v>582</v>
      </c>
      <c r="FR870" s="1" t="s">
        <v>210</v>
      </c>
      <c r="FS870" s="1" t="s">
        <v>9704</v>
      </c>
      <c r="FT870" s="1" t="s">
        <v>1828</v>
      </c>
      <c r="FU870" s="1" t="s">
        <v>204</v>
      </c>
      <c r="FW870" s="1" t="s">
        <v>9705</v>
      </c>
      <c r="FX870" s="1">
        <v>4630</v>
      </c>
      <c r="FY870" s="1" t="s">
        <v>9706</v>
      </c>
      <c r="FZ870" s="1" t="s">
        <v>9707</v>
      </c>
      <c r="GA870" s="1">
        <v>39913</v>
      </c>
      <c r="GB870" s="1" t="s">
        <v>9708</v>
      </c>
      <c r="GE870" s="1" t="s">
        <v>210</v>
      </c>
      <c r="GI870" s="1" t="s">
        <v>213</v>
      </c>
      <c r="GJ870" s="1" t="s">
        <v>260</v>
      </c>
      <c r="GK870" s="1" t="s">
        <v>210</v>
      </c>
      <c r="GL870" s="2">
        <v>41992</v>
      </c>
      <c r="GM870" s="1" t="s">
        <v>9709</v>
      </c>
    </row>
    <row r="871" spans="1:195">
      <c r="A871" s="1">
        <v>80000</v>
      </c>
      <c r="B871" s="1" t="s">
        <v>195</v>
      </c>
      <c r="C871" s="1" t="str">
        <f>"08563639"</f>
        <v>08563639</v>
      </c>
      <c r="D871" s="1" t="s">
        <v>196</v>
      </c>
      <c r="F871" s="1" t="str">
        <f>"87"</f>
        <v>87</v>
      </c>
      <c r="G871" s="2">
        <v>41718</v>
      </c>
      <c r="H871" s="1">
        <v>139900</v>
      </c>
      <c r="I871" s="1">
        <v>84900</v>
      </c>
      <c r="J871" s="1">
        <v>80000</v>
      </c>
      <c r="K871" s="2">
        <v>41718</v>
      </c>
      <c r="L871" s="1">
        <v>264</v>
      </c>
      <c r="M871" s="2">
        <v>41981</v>
      </c>
      <c r="N871" s="1">
        <v>264</v>
      </c>
      <c r="O871" s="2">
        <v>41981</v>
      </c>
      <c r="P871" s="1">
        <v>1935</v>
      </c>
      <c r="Q871" s="1" t="s">
        <v>302</v>
      </c>
      <c r="R871" s="2">
        <v>41991</v>
      </c>
      <c r="S871" s="1">
        <v>20688</v>
      </c>
      <c r="U871" s="1">
        <v>13222</v>
      </c>
      <c r="V871" s="1" t="s">
        <v>9710</v>
      </c>
      <c r="W871" s="1" t="s">
        <v>504</v>
      </c>
      <c r="Y871" s="1">
        <v>4</v>
      </c>
      <c r="Z871" s="1" t="s">
        <v>370</v>
      </c>
      <c r="AA871" s="1" t="s">
        <v>4385</v>
      </c>
      <c r="AB871" s="1">
        <v>60083</v>
      </c>
      <c r="AD871" s="1" t="s">
        <v>4386</v>
      </c>
      <c r="AE871" s="1" t="s">
        <v>9711</v>
      </c>
      <c r="AF871" s="1">
        <v>2004</v>
      </c>
      <c r="AG871" s="1" t="s">
        <v>204</v>
      </c>
      <c r="AH871" s="1" t="s">
        <v>4388</v>
      </c>
      <c r="AI871" s="1" t="s">
        <v>509</v>
      </c>
      <c r="AJ871" s="1" t="s">
        <v>7526</v>
      </c>
      <c r="AL871" s="1">
        <v>5</v>
      </c>
      <c r="AM871" s="1">
        <v>2</v>
      </c>
      <c r="AN871" s="1">
        <v>2</v>
      </c>
      <c r="AO871" s="1">
        <v>0</v>
      </c>
      <c r="AP871" s="1" t="s">
        <v>209</v>
      </c>
      <c r="AQ871" s="1">
        <v>0</v>
      </c>
      <c r="AR871" s="1" t="s">
        <v>210</v>
      </c>
      <c r="AS871" s="1" t="s">
        <v>204</v>
      </c>
      <c r="AT871" s="1" t="s">
        <v>211</v>
      </c>
      <c r="AU871" s="1">
        <v>2</v>
      </c>
      <c r="AW871" s="1" t="s">
        <v>204</v>
      </c>
      <c r="AX871" s="1" t="s">
        <v>579</v>
      </c>
      <c r="AZ871" s="1">
        <v>3744.64</v>
      </c>
      <c r="BA871" s="1">
        <v>2012</v>
      </c>
      <c r="BB871" s="1" t="s">
        <v>2694</v>
      </c>
      <c r="BE871" s="1">
        <v>1332</v>
      </c>
      <c r="BF871" s="1">
        <v>1</v>
      </c>
      <c r="BG871" s="1">
        <v>0</v>
      </c>
      <c r="BL871" s="1">
        <v>260</v>
      </c>
      <c r="BM871" s="1" t="s">
        <v>413</v>
      </c>
      <c r="BN871" s="1" t="s">
        <v>213</v>
      </c>
      <c r="BO871" s="1">
        <v>999</v>
      </c>
      <c r="BP871" s="1" t="s">
        <v>204</v>
      </c>
      <c r="BR871" s="1" t="str">
        <f>"03252050090000"</f>
        <v>03252050090000</v>
      </c>
      <c r="BT871" s="1" t="s">
        <v>9712</v>
      </c>
      <c r="BV871" s="1" t="s">
        <v>7529</v>
      </c>
      <c r="BW871" s="1" t="s">
        <v>7530</v>
      </c>
      <c r="BX871" s="1">
        <v>3</v>
      </c>
      <c r="BY871" s="1">
        <v>3</v>
      </c>
      <c r="BZ871" s="1">
        <v>126</v>
      </c>
      <c r="CB871" s="1" t="str">
        <f>"39"</f>
        <v>39</v>
      </c>
      <c r="CC871" s="1" t="str">
        <f t="shared" si="673"/>
        <v>0</v>
      </c>
      <c r="CD871" s="1">
        <v>13</v>
      </c>
      <c r="CE871" s="1">
        <v>0</v>
      </c>
      <c r="CG871" s="1" t="s">
        <v>1737</v>
      </c>
      <c r="CH871" s="1" t="s">
        <v>219</v>
      </c>
      <c r="CI871" s="1" t="s">
        <v>226</v>
      </c>
      <c r="CJ871" s="1" t="s">
        <v>210</v>
      </c>
      <c r="CK871" s="1" t="s">
        <v>221</v>
      </c>
      <c r="CL871" s="1" t="s">
        <v>219</v>
      </c>
      <c r="CM871" s="1" t="s">
        <v>226</v>
      </c>
      <c r="CN871" s="1" t="s">
        <v>210</v>
      </c>
      <c r="CO871" s="1" t="s">
        <v>317</v>
      </c>
      <c r="CP871" s="1" t="s">
        <v>219</v>
      </c>
      <c r="CQ871" s="1" t="s">
        <v>226</v>
      </c>
      <c r="CR871" s="1" t="s">
        <v>210</v>
      </c>
      <c r="CS871" s="1" t="s">
        <v>346</v>
      </c>
      <c r="CT871" s="1" t="s">
        <v>219</v>
      </c>
      <c r="CU871" s="1" t="s">
        <v>226</v>
      </c>
      <c r="CV871" s="1" t="s">
        <v>210</v>
      </c>
      <c r="CX871" s="1" t="s">
        <v>224</v>
      </c>
      <c r="DB871" s="1" t="s">
        <v>224</v>
      </c>
      <c r="DE871" s="1" t="s">
        <v>1358</v>
      </c>
      <c r="DF871" s="1" t="s">
        <v>219</v>
      </c>
      <c r="DG871" s="1" t="s">
        <v>226</v>
      </c>
      <c r="DH871" s="1" t="s">
        <v>210</v>
      </c>
      <c r="DJ871" s="1" t="s">
        <v>224</v>
      </c>
      <c r="DL871" s="1" t="s">
        <v>210</v>
      </c>
      <c r="DM871" s="1" t="s">
        <v>709</v>
      </c>
      <c r="DR871" s="1" t="s">
        <v>5717</v>
      </c>
      <c r="DS871" s="1" t="s">
        <v>219</v>
      </c>
      <c r="DT871" s="1" t="s">
        <v>226</v>
      </c>
      <c r="DU871" s="1" t="s">
        <v>210</v>
      </c>
      <c r="DW871" s="1" t="s">
        <v>230</v>
      </c>
      <c r="EA871" s="1" t="s">
        <v>230</v>
      </c>
      <c r="EE871" s="1" t="s">
        <v>230</v>
      </c>
      <c r="EI871" s="1" t="s">
        <v>230</v>
      </c>
      <c r="EL871" s="1" t="s">
        <v>491</v>
      </c>
      <c r="EM871" s="1" t="s">
        <v>730</v>
      </c>
      <c r="EN871" s="1" t="s">
        <v>282</v>
      </c>
      <c r="EO871" s="1" t="s">
        <v>840</v>
      </c>
      <c r="EP871" s="1" t="s">
        <v>9713</v>
      </c>
      <c r="ER871" s="1" t="s">
        <v>383</v>
      </c>
      <c r="ET871" s="1" t="s">
        <v>238</v>
      </c>
      <c r="EU871" s="1" t="s">
        <v>9714</v>
      </c>
      <c r="EV871" s="1" t="s">
        <v>240</v>
      </c>
      <c r="EW871" s="1" t="s">
        <v>9715</v>
      </c>
      <c r="EY871" s="1" t="s">
        <v>790</v>
      </c>
      <c r="EZ871" s="1" t="s">
        <v>709</v>
      </c>
      <c r="FA871" s="1" t="s">
        <v>1270</v>
      </c>
      <c r="FB871" s="1" t="s">
        <v>734</v>
      </c>
      <c r="FC871" s="1" t="s">
        <v>1739</v>
      </c>
      <c r="FD871" s="1" t="s">
        <v>246</v>
      </c>
      <c r="FE871" s="1" t="s">
        <v>975</v>
      </c>
      <c r="FF871" s="1" t="s">
        <v>248</v>
      </c>
      <c r="FH871" s="1" t="s">
        <v>825</v>
      </c>
      <c r="FI871" s="1" t="s">
        <v>2827</v>
      </c>
      <c r="FJ871" s="1" t="s">
        <v>518</v>
      </c>
      <c r="FL871" s="1" t="s">
        <v>358</v>
      </c>
      <c r="FM871" s="1" t="s">
        <v>252</v>
      </c>
      <c r="FN871" s="1" t="s">
        <v>213</v>
      </c>
      <c r="FO871" s="1" t="s">
        <v>213</v>
      </c>
      <c r="FQ871" s="1" t="s">
        <v>673</v>
      </c>
      <c r="FR871" s="1" t="s">
        <v>210</v>
      </c>
      <c r="FS871" s="1" t="s">
        <v>9716</v>
      </c>
      <c r="FT871" s="1" t="s">
        <v>2609</v>
      </c>
      <c r="FU871" s="1" t="s">
        <v>204</v>
      </c>
      <c r="FW871" s="1" t="s">
        <v>9717</v>
      </c>
      <c r="FX871" s="1">
        <v>1935</v>
      </c>
      <c r="FY871" s="1" t="s">
        <v>9718</v>
      </c>
      <c r="FZ871" s="1" t="s">
        <v>9719</v>
      </c>
      <c r="GA871" s="1">
        <v>20688</v>
      </c>
      <c r="GB871" s="1" t="s">
        <v>9718</v>
      </c>
      <c r="GE871" s="1" t="s">
        <v>623</v>
      </c>
      <c r="GH871" s="1" t="s">
        <v>589</v>
      </c>
      <c r="GI871" s="1" t="s">
        <v>213</v>
      </c>
      <c r="GJ871" s="1" t="s">
        <v>260</v>
      </c>
      <c r="GK871" s="1" t="s">
        <v>210</v>
      </c>
      <c r="GL871" s="2">
        <v>41992</v>
      </c>
      <c r="GM871" s="1" t="s">
        <v>9720</v>
      </c>
    </row>
    <row r="872" spans="1:195">
      <c r="A872" s="1">
        <v>295840</v>
      </c>
      <c r="B872" s="1" t="s">
        <v>195</v>
      </c>
      <c r="C872" s="1" t="str">
        <f>"08565802"</f>
        <v>08565802</v>
      </c>
      <c r="D872" s="1" t="s">
        <v>196</v>
      </c>
      <c r="F872" s="1" t="str">
        <f>"542"</f>
        <v>542</v>
      </c>
      <c r="G872" s="2">
        <v>41722</v>
      </c>
      <c r="H872" s="1">
        <v>286930</v>
      </c>
      <c r="I872" s="1">
        <v>286930</v>
      </c>
      <c r="J872" s="1">
        <v>295840</v>
      </c>
      <c r="K872" s="2">
        <v>41722</v>
      </c>
      <c r="L872" s="1">
        <v>165</v>
      </c>
      <c r="M872" s="2">
        <v>41886</v>
      </c>
      <c r="N872" s="1">
        <v>165</v>
      </c>
      <c r="O872" s="2">
        <v>41886</v>
      </c>
      <c r="P872" s="1">
        <v>24234</v>
      </c>
      <c r="Q872" s="1" t="s">
        <v>197</v>
      </c>
      <c r="R872" s="2">
        <v>42034</v>
      </c>
      <c r="S872" s="1">
        <v>231703</v>
      </c>
      <c r="U872" s="1">
        <v>64</v>
      </c>
      <c r="V872" s="1" t="s">
        <v>9721</v>
      </c>
      <c r="W872" s="1" t="s">
        <v>304</v>
      </c>
      <c r="Y872" s="1">
        <v>2</v>
      </c>
      <c r="Z872" s="1" t="s">
        <v>370</v>
      </c>
      <c r="AA872" s="1" t="s">
        <v>6071</v>
      </c>
      <c r="AB872" s="1">
        <v>60542</v>
      </c>
      <c r="AD872" s="1" t="s">
        <v>9722</v>
      </c>
      <c r="AE872" s="1" t="s">
        <v>9723</v>
      </c>
      <c r="AF872" s="1">
        <v>2014</v>
      </c>
      <c r="AG872" s="1" t="s">
        <v>204</v>
      </c>
      <c r="AH872" s="1" t="s">
        <v>6074</v>
      </c>
      <c r="AI872" s="1" t="s">
        <v>665</v>
      </c>
      <c r="AJ872" s="1" t="s">
        <v>1126</v>
      </c>
      <c r="AK872" s="1" t="s">
        <v>9724</v>
      </c>
      <c r="AL872" s="1">
        <v>5</v>
      </c>
      <c r="AM872" s="1">
        <v>2</v>
      </c>
      <c r="AN872" s="1">
        <v>2</v>
      </c>
      <c r="AO872" s="1">
        <v>1</v>
      </c>
      <c r="AP872" s="1" t="s">
        <v>209</v>
      </c>
      <c r="AQ872" s="1">
        <v>1</v>
      </c>
      <c r="AR872" s="1" t="s">
        <v>209</v>
      </c>
      <c r="AS872" s="1" t="s">
        <v>204</v>
      </c>
      <c r="AT872" s="1" t="s">
        <v>211</v>
      </c>
      <c r="AU872" s="1">
        <v>2</v>
      </c>
      <c r="AW872" s="1" t="s">
        <v>204</v>
      </c>
      <c r="AX872" s="1" t="s">
        <v>9725</v>
      </c>
      <c r="AZ872" s="1" t="s">
        <v>751</v>
      </c>
      <c r="BA872" s="1">
        <v>2013</v>
      </c>
      <c r="BE872" s="1">
        <v>2018</v>
      </c>
      <c r="BF872" s="1">
        <v>1</v>
      </c>
      <c r="BG872" s="1">
        <v>0</v>
      </c>
      <c r="BL872" s="1">
        <v>0</v>
      </c>
      <c r="BM872" s="1" t="s">
        <v>204</v>
      </c>
      <c r="BN872" s="1" t="s">
        <v>213</v>
      </c>
      <c r="BO872" s="1">
        <v>0</v>
      </c>
      <c r="BP872" s="1" t="s">
        <v>213</v>
      </c>
      <c r="BQ872" s="2">
        <v>41872</v>
      </c>
      <c r="BR872" s="1" t="str">
        <f>"1503276087"</f>
        <v>1503276087</v>
      </c>
      <c r="BT872" s="1" t="s">
        <v>9726</v>
      </c>
      <c r="BU872" s="1" t="s">
        <v>9727</v>
      </c>
      <c r="BV872" s="1" t="s">
        <v>4097</v>
      </c>
      <c r="BW872" s="1" t="s">
        <v>3930</v>
      </c>
      <c r="BX872" s="1">
        <v>129</v>
      </c>
      <c r="BY872" s="1">
        <v>129</v>
      </c>
      <c r="BZ872" s="1">
        <v>129</v>
      </c>
      <c r="CB872" s="1" t="str">
        <f t="shared" ref="CB872:CC872" si="674">""</f>
        <v/>
      </c>
      <c r="CC872" s="1" t="str">
        <f t="shared" si="674"/>
        <v/>
      </c>
      <c r="CH872" s="1" t="s">
        <v>224</v>
      </c>
      <c r="CK872" s="1" t="s">
        <v>862</v>
      </c>
      <c r="CL872" s="1" t="s">
        <v>277</v>
      </c>
      <c r="CP872" s="1" t="s">
        <v>224</v>
      </c>
      <c r="CS872" s="1" t="s">
        <v>602</v>
      </c>
      <c r="CT872" s="1" t="s">
        <v>277</v>
      </c>
      <c r="CX872" s="1" t="s">
        <v>224</v>
      </c>
      <c r="DB872" s="1" t="s">
        <v>224</v>
      </c>
      <c r="DE872" s="1" t="s">
        <v>317</v>
      </c>
      <c r="DF872" s="1" t="s">
        <v>219</v>
      </c>
      <c r="DJ872" s="1" t="s">
        <v>224</v>
      </c>
      <c r="DM872" s="1" t="s">
        <v>464</v>
      </c>
      <c r="DN872" s="1" t="s">
        <v>1676</v>
      </c>
      <c r="DO872" s="1" t="s">
        <v>709</v>
      </c>
      <c r="DR872" s="1" t="s">
        <v>318</v>
      </c>
      <c r="DS872" s="1" t="s">
        <v>277</v>
      </c>
      <c r="DV872" s="1" t="s">
        <v>3684</v>
      </c>
      <c r="DW872" s="1" t="s">
        <v>219</v>
      </c>
      <c r="DZ872" s="1" t="s">
        <v>4148</v>
      </c>
      <c r="EA872" s="1" t="s">
        <v>219</v>
      </c>
      <c r="EE872" s="1" t="s">
        <v>230</v>
      </c>
      <c r="EI872" s="1" t="s">
        <v>230</v>
      </c>
      <c r="EL872" s="1" t="s">
        <v>760</v>
      </c>
      <c r="EM872" s="1" t="s">
        <v>319</v>
      </c>
      <c r="EN872" s="1" t="s">
        <v>282</v>
      </c>
      <c r="EO872" s="1" t="s">
        <v>234</v>
      </c>
      <c r="EQ872" s="1" t="s">
        <v>321</v>
      </c>
      <c r="ER872" s="1" t="s">
        <v>2453</v>
      </c>
      <c r="ET872" s="1" t="s">
        <v>238</v>
      </c>
      <c r="EV872" s="1" t="s">
        <v>240</v>
      </c>
      <c r="EW872" s="1" t="s">
        <v>210</v>
      </c>
      <c r="EY872" s="1" t="s">
        <v>790</v>
      </c>
      <c r="EZ872" s="1" t="s">
        <v>9728</v>
      </c>
      <c r="FA872" s="1" t="s">
        <v>6548</v>
      </c>
      <c r="FD872" s="1" t="s">
        <v>246</v>
      </c>
      <c r="FE872" s="1" t="s">
        <v>472</v>
      </c>
      <c r="FF872" s="1" t="s">
        <v>248</v>
      </c>
      <c r="FH872" s="1" t="s">
        <v>442</v>
      </c>
      <c r="FJ872" s="1" t="s">
        <v>518</v>
      </c>
      <c r="FL872" s="1" t="s">
        <v>358</v>
      </c>
      <c r="FM872" s="1" t="s">
        <v>252</v>
      </c>
      <c r="FN872" s="1" t="s">
        <v>213</v>
      </c>
      <c r="FO872" s="1" t="s">
        <v>213</v>
      </c>
      <c r="FQ872" s="1" t="s">
        <v>3853</v>
      </c>
      <c r="FR872" s="1" t="s">
        <v>210</v>
      </c>
      <c r="FS872" s="1" t="s">
        <v>9729</v>
      </c>
      <c r="FT872" s="1" t="s">
        <v>9730</v>
      </c>
      <c r="FU872" s="1" t="s">
        <v>204</v>
      </c>
      <c r="FV872" s="1" t="s">
        <v>9731</v>
      </c>
      <c r="FW872" s="1" t="s">
        <v>3857</v>
      </c>
      <c r="FX872" s="1">
        <v>23223</v>
      </c>
      <c r="FY872" s="1" t="s">
        <v>3858</v>
      </c>
      <c r="FZ872" s="1" t="s">
        <v>3859</v>
      </c>
      <c r="GA872" s="1">
        <v>236300</v>
      </c>
      <c r="GC872" s="1">
        <v>210778</v>
      </c>
      <c r="GE872" s="1" t="s">
        <v>480</v>
      </c>
      <c r="GI872" s="1" t="s">
        <v>204</v>
      </c>
      <c r="GJ872" s="1" t="s">
        <v>300</v>
      </c>
      <c r="GK872" s="1" t="s">
        <v>210</v>
      </c>
      <c r="GL872" s="2">
        <v>42034</v>
      </c>
      <c r="GM872" s="1" t="s">
        <v>9732</v>
      </c>
    </row>
    <row r="873" spans="1:195">
      <c r="A873" s="1">
        <v>96000</v>
      </c>
      <c r="B873" s="1" t="s">
        <v>195</v>
      </c>
      <c r="C873" s="1" t="str">
        <f>"08686981"</f>
        <v>08686981</v>
      </c>
      <c r="D873" s="1" t="s">
        <v>196</v>
      </c>
      <c r="F873" s="1" t="str">
        <f>"73"</f>
        <v>73</v>
      </c>
      <c r="G873" s="2">
        <v>41849</v>
      </c>
      <c r="H873" s="1">
        <v>108900</v>
      </c>
      <c r="I873" s="1">
        <v>108900</v>
      </c>
      <c r="J873" s="1">
        <v>96000</v>
      </c>
      <c r="K873" s="2">
        <v>41849</v>
      </c>
      <c r="L873" s="1">
        <v>91</v>
      </c>
      <c r="M873" s="2">
        <v>41939</v>
      </c>
      <c r="N873" s="1">
        <v>91</v>
      </c>
      <c r="O873" s="2">
        <v>41939</v>
      </c>
      <c r="P873" s="1">
        <v>5336</v>
      </c>
      <c r="Q873" s="1" t="s">
        <v>197</v>
      </c>
      <c r="R873" s="2">
        <v>41969</v>
      </c>
      <c r="S873" s="1">
        <v>55692</v>
      </c>
      <c r="T873" s="1">
        <v>2333.65</v>
      </c>
      <c r="U873" s="1">
        <v>654</v>
      </c>
      <c r="V873" s="1" t="s">
        <v>9733</v>
      </c>
      <c r="W873" s="1" t="s">
        <v>264</v>
      </c>
      <c r="Y873" s="1">
        <v>4</v>
      </c>
      <c r="Z873" s="1" t="s">
        <v>370</v>
      </c>
      <c r="AA873" s="1" t="s">
        <v>1259</v>
      </c>
      <c r="AB873" s="1">
        <v>60073</v>
      </c>
      <c r="AD873" s="1" t="s">
        <v>9734</v>
      </c>
      <c r="AE873" s="1" t="s">
        <v>9735</v>
      </c>
      <c r="AF873" s="1">
        <v>2004</v>
      </c>
      <c r="AG873" s="1" t="s">
        <v>204</v>
      </c>
      <c r="AH873" s="1" t="s">
        <v>1262</v>
      </c>
      <c r="AI873" s="1" t="s">
        <v>509</v>
      </c>
      <c r="AJ873" s="1" t="s">
        <v>9736</v>
      </c>
      <c r="AL873" s="1">
        <v>5</v>
      </c>
      <c r="AM873" s="1">
        <v>2</v>
      </c>
      <c r="AN873" s="1">
        <v>1</v>
      </c>
      <c r="AO873" s="1">
        <v>1</v>
      </c>
      <c r="AP873" s="1" t="s">
        <v>667</v>
      </c>
      <c r="AQ873" s="1">
        <v>1</v>
      </c>
      <c r="AR873" s="1" t="s">
        <v>210</v>
      </c>
      <c r="AS873" s="1" t="s">
        <v>204</v>
      </c>
      <c r="AT873" s="1" t="s">
        <v>211</v>
      </c>
      <c r="AU873" s="1">
        <v>2</v>
      </c>
      <c r="AW873" s="1" t="s">
        <v>204</v>
      </c>
      <c r="AX873" s="1" t="s">
        <v>212</v>
      </c>
      <c r="AZ873" s="1">
        <v>4695</v>
      </c>
      <c r="BA873" s="1">
        <v>2013</v>
      </c>
      <c r="BE873" s="1">
        <v>1415</v>
      </c>
      <c r="BF873" s="1">
        <v>1</v>
      </c>
      <c r="BG873" s="1">
        <v>0</v>
      </c>
      <c r="BL873" s="1">
        <v>120</v>
      </c>
      <c r="BM873" s="1" t="s">
        <v>204</v>
      </c>
      <c r="BN873" s="1" t="s">
        <v>213</v>
      </c>
      <c r="BO873" s="1">
        <v>0</v>
      </c>
      <c r="BP873" s="1" t="s">
        <v>204</v>
      </c>
      <c r="BR873" s="1" t="str">
        <f>"10081030310000"</f>
        <v>10081030310000</v>
      </c>
      <c r="BT873" s="1" t="s">
        <v>9737</v>
      </c>
      <c r="BX873" s="1">
        <v>79</v>
      </c>
      <c r="BY873" s="1">
        <v>79</v>
      </c>
      <c r="BZ873" s="1">
        <v>120</v>
      </c>
      <c r="CB873" s="1" t="str">
        <f>"31"</f>
        <v>31</v>
      </c>
      <c r="CC873" s="1" t="str">
        <f t="shared" ref="CC873:CC874" si="675">"0"</f>
        <v>0</v>
      </c>
      <c r="CD873" s="1">
        <v>23</v>
      </c>
      <c r="CE873" s="1">
        <v>0</v>
      </c>
      <c r="CG873" s="1" t="s">
        <v>932</v>
      </c>
      <c r="CH873" s="1" t="s">
        <v>219</v>
      </c>
      <c r="CI873" s="1" t="s">
        <v>220</v>
      </c>
      <c r="CK873" s="1" t="s">
        <v>539</v>
      </c>
      <c r="CL873" s="1" t="s">
        <v>277</v>
      </c>
      <c r="CM873" s="1" t="s">
        <v>220</v>
      </c>
      <c r="CO873" s="1" t="s">
        <v>630</v>
      </c>
      <c r="CP873" s="1" t="s">
        <v>219</v>
      </c>
      <c r="CQ873" s="1" t="s">
        <v>220</v>
      </c>
      <c r="CS873" s="1" t="s">
        <v>318</v>
      </c>
      <c r="CT873" s="1" t="s">
        <v>277</v>
      </c>
      <c r="CU873" s="1" t="s">
        <v>220</v>
      </c>
      <c r="CX873" s="1" t="s">
        <v>224</v>
      </c>
      <c r="DB873" s="1" t="s">
        <v>224</v>
      </c>
      <c r="DE873" s="1" t="s">
        <v>378</v>
      </c>
      <c r="DF873" s="1" t="s">
        <v>219</v>
      </c>
      <c r="DG873" s="1" t="s">
        <v>342</v>
      </c>
      <c r="DJ873" s="1" t="s">
        <v>224</v>
      </c>
      <c r="DS873" s="1" t="s">
        <v>230</v>
      </c>
      <c r="DW873" s="1" t="s">
        <v>230</v>
      </c>
      <c r="EA873" s="1" t="s">
        <v>230</v>
      </c>
      <c r="EE873" s="1" t="s">
        <v>230</v>
      </c>
      <c r="EI873" s="1" t="s">
        <v>230</v>
      </c>
      <c r="EL873" s="1" t="s">
        <v>491</v>
      </c>
      <c r="EM873" s="1" t="s">
        <v>319</v>
      </c>
      <c r="EN873" s="1" t="s">
        <v>282</v>
      </c>
      <c r="EO873" s="1" t="s">
        <v>234</v>
      </c>
      <c r="ER873" s="1" t="s">
        <v>210</v>
      </c>
      <c r="EW873" s="1" t="s">
        <v>9738</v>
      </c>
      <c r="EZ873" s="1" t="s">
        <v>287</v>
      </c>
      <c r="FD873" s="1" t="s">
        <v>246</v>
      </c>
      <c r="FE873" s="1" t="s">
        <v>1031</v>
      </c>
      <c r="FF873" s="1" t="s">
        <v>248</v>
      </c>
      <c r="FH873" s="1" t="s">
        <v>550</v>
      </c>
      <c r="FJ873" s="1" t="s">
        <v>1472</v>
      </c>
      <c r="FL873" s="1" t="s">
        <v>358</v>
      </c>
      <c r="FM873" s="1" t="s">
        <v>252</v>
      </c>
      <c r="FN873" s="1" t="s">
        <v>213</v>
      </c>
      <c r="FO873" s="1" t="s">
        <v>213</v>
      </c>
      <c r="FQ873" s="1" t="s">
        <v>582</v>
      </c>
      <c r="FR873" s="1" t="s">
        <v>210</v>
      </c>
      <c r="FS873" s="1" t="s">
        <v>9576</v>
      </c>
      <c r="FT873" s="1" t="s">
        <v>1828</v>
      </c>
      <c r="FU873" s="1" t="s">
        <v>204</v>
      </c>
      <c r="FW873" s="1" t="s">
        <v>585</v>
      </c>
      <c r="FX873" s="1">
        <v>2050</v>
      </c>
      <c r="FY873" s="1" t="s">
        <v>4207</v>
      </c>
      <c r="FZ873" s="1" t="s">
        <v>5766</v>
      </c>
      <c r="GA873" s="1">
        <v>18950</v>
      </c>
      <c r="GB873" s="1" t="s">
        <v>5767</v>
      </c>
      <c r="GC873" s="1">
        <v>35055</v>
      </c>
      <c r="GD873" s="1" t="s">
        <v>5768</v>
      </c>
      <c r="GE873" s="1" t="s">
        <v>480</v>
      </c>
      <c r="GH873" s="1" t="s">
        <v>589</v>
      </c>
      <c r="GI873" s="1" t="s">
        <v>213</v>
      </c>
      <c r="GJ873" s="1" t="s">
        <v>260</v>
      </c>
      <c r="GK873" s="1" t="s">
        <v>210</v>
      </c>
      <c r="GL873" s="2">
        <v>41969</v>
      </c>
      <c r="GM873" s="1" t="s">
        <v>9739</v>
      </c>
    </row>
    <row r="874" spans="1:195">
      <c r="A874" s="1">
        <v>127400</v>
      </c>
      <c r="B874" s="1" t="s">
        <v>195</v>
      </c>
      <c r="C874" s="1" t="str">
        <f>"08565954"</f>
        <v>08565954</v>
      </c>
      <c r="D874" s="1" t="s">
        <v>196</v>
      </c>
      <c r="F874" s="1" t="str">
        <f>"123"</f>
        <v>123</v>
      </c>
      <c r="G874" s="2">
        <v>41722</v>
      </c>
      <c r="H874" s="1">
        <v>139900</v>
      </c>
      <c r="I874" s="1">
        <v>124900</v>
      </c>
      <c r="J874" s="1">
        <v>127400</v>
      </c>
      <c r="K874" s="2">
        <v>41722</v>
      </c>
      <c r="L874" s="1">
        <v>264</v>
      </c>
      <c r="M874" s="2">
        <v>41985</v>
      </c>
      <c r="N874" s="1">
        <v>264</v>
      </c>
      <c r="O874" s="2">
        <v>41985</v>
      </c>
      <c r="P874" s="1">
        <v>7032</v>
      </c>
      <c r="Q874" s="1" t="s">
        <v>302</v>
      </c>
      <c r="R874" s="2">
        <v>42110</v>
      </c>
      <c r="S874" s="1">
        <v>8707</v>
      </c>
      <c r="U874" s="1">
        <v>700</v>
      </c>
      <c r="V874" s="1" t="s">
        <v>3665</v>
      </c>
      <c r="W874" s="1" t="s">
        <v>504</v>
      </c>
      <c r="X874" s="1">
        <v>1</v>
      </c>
      <c r="Y874" s="1">
        <v>4</v>
      </c>
      <c r="Z874" s="1" t="s">
        <v>370</v>
      </c>
      <c r="AA874" s="1" t="s">
        <v>1173</v>
      </c>
      <c r="AB874" s="1">
        <v>60120</v>
      </c>
      <c r="AD874" s="1" t="s">
        <v>3666</v>
      </c>
      <c r="AE874" s="1" t="s">
        <v>9740</v>
      </c>
      <c r="AF874" s="1">
        <v>2004</v>
      </c>
      <c r="AG874" s="1" t="s">
        <v>204</v>
      </c>
      <c r="AH874" s="1" t="s">
        <v>1175</v>
      </c>
      <c r="AI874" s="1" t="s">
        <v>310</v>
      </c>
      <c r="AJ874" s="1" t="s">
        <v>374</v>
      </c>
      <c r="AK874" s="1" t="s">
        <v>9741</v>
      </c>
      <c r="AL874" s="1">
        <v>7</v>
      </c>
      <c r="AM874" s="1">
        <v>2</v>
      </c>
      <c r="AN874" s="1">
        <v>2</v>
      </c>
      <c r="AO874" s="1">
        <v>1</v>
      </c>
      <c r="AP874" s="1" t="s">
        <v>209</v>
      </c>
      <c r="AQ874" s="1">
        <v>1</v>
      </c>
      <c r="AR874" s="1" t="s">
        <v>209</v>
      </c>
      <c r="AS874" s="1" t="s">
        <v>213</v>
      </c>
      <c r="AT874" s="1" t="s">
        <v>211</v>
      </c>
      <c r="AU874" s="1">
        <v>2</v>
      </c>
      <c r="AW874" s="1" t="s">
        <v>204</v>
      </c>
      <c r="AX874" s="1" t="s">
        <v>212</v>
      </c>
      <c r="AZ874" s="1">
        <v>5882.44</v>
      </c>
      <c r="BA874" s="1">
        <v>2013</v>
      </c>
      <c r="BB874" s="1" t="s">
        <v>405</v>
      </c>
      <c r="BE874" s="1">
        <v>1801</v>
      </c>
      <c r="BF874" s="1">
        <v>1</v>
      </c>
      <c r="BG874" s="1">
        <v>1</v>
      </c>
      <c r="BL874" s="1">
        <v>188</v>
      </c>
      <c r="BM874" s="1" t="s">
        <v>204</v>
      </c>
      <c r="BN874" s="1" t="s">
        <v>213</v>
      </c>
      <c r="BO874" s="1">
        <v>999</v>
      </c>
      <c r="BP874" s="1" t="s">
        <v>204</v>
      </c>
      <c r="BR874" s="1" t="str">
        <f>"06083010390000"</f>
        <v>06083010390000</v>
      </c>
      <c r="BT874" s="1" t="s">
        <v>9742</v>
      </c>
      <c r="BX874" s="1">
        <v>46</v>
      </c>
      <c r="BY874" s="1">
        <v>46</v>
      </c>
      <c r="BZ874" s="1">
        <v>46</v>
      </c>
      <c r="CB874" s="1" t="str">
        <f>"10"</f>
        <v>10</v>
      </c>
      <c r="CC874" s="1" t="str">
        <f t="shared" si="675"/>
        <v>0</v>
      </c>
      <c r="CD874" s="1">
        <v>31</v>
      </c>
      <c r="CE874" s="1">
        <v>0</v>
      </c>
      <c r="CG874" s="1" t="s">
        <v>1297</v>
      </c>
      <c r="CH874" s="1" t="s">
        <v>219</v>
      </c>
      <c r="CI874" s="1" t="s">
        <v>220</v>
      </c>
      <c r="CK874" s="1" t="s">
        <v>437</v>
      </c>
      <c r="CL874" s="1" t="s">
        <v>277</v>
      </c>
      <c r="CM874" s="1" t="s">
        <v>220</v>
      </c>
      <c r="CO874" s="1" t="s">
        <v>1297</v>
      </c>
      <c r="CP874" s="1" t="s">
        <v>219</v>
      </c>
      <c r="CQ874" s="1" t="s">
        <v>438</v>
      </c>
      <c r="CS874" s="1" t="s">
        <v>757</v>
      </c>
      <c r="CT874" s="1" t="s">
        <v>822</v>
      </c>
      <c r="CU874" s="1" t="s">
        <v>220</v>
      </c>
      <c r="CX874" s="1" t="s">
        <v>224</v>
      </c>
      <c r="DB874" s="1" t="s">
        <v>224</v>
      </c>
      <c r="DE874" s="1" t="s">
        <v>538</v>
      </c>
      <c r="DF874" s="1" t="s">
        <v>219</v>
      </c>
      <c r="DG874" s="1" t="s">
        <v>438</v>
      </c>
      <c r="DI874" s="1" t="s">
        <v>757</v>
      </c>
      <c r="DJ874" s="1" t="s">
        <v>822</v>
      </c>
      <c r="DK874" s="1" t="s">
        <v>220</v>
      </c>
      <c r="DM874" s="1" t="s">
        <v>464</v>
      </c>
      <c r="DR874" s="1" t="s">
        <v>346</v>
      </c>
      <c r="DS874" s="1" t="s">
        <v>277</v>
      </c>
      <c r="DT874" s="1" t="s">
        <v>220</v>
      </c>
      <c r="DU874" s="1" t="s">
        <v>210</v>
      </c>
      <c r="DW874" s="1" t="s">
        <v>230</v>
      </c>
      <c r="EA874" s="1" t="s">
        <v>230</v>
      </c>
      <c r="EE874" s="1" t="s">
        <v>230</v>
      </c>
      <c r="EI874" s="1" t="s">
        <v>230</v>
      </c>
      <c r="EL874" s="1" t="s">
        <v>491</v>
      </c>
      <c r="EM874" s="1" t="s">
        <v>319</v>
      </c>
      <c r="EN874" s="1" t="s">
        <v>282</v>
      </c>
      <c r="EO874" s="1" t="s">
        <v>234</v>
      </c>
      <c r="EP874" s="1" t="s">
        <v>650</v>
      </c>
      <c r="EQ874" s="1" t="s">
        <v>236</v>
      </c>
      <c r="ER874" s="1" t="s">
        <v>544</v>
      </c>
      <c r="ES874" s="1" t="s">
        <v>493</v>
      </c>
      <c r="ET874" s="1" t="s">
        <v>842</v>
      </c>
      <c r="EU874" s="1" t="s">
        <v>239</v>
      </c>
      <c r="EV874" s="1" t="s">
        <v>324</v>
      </c>
      <c r="EW874" s="1" t="s">
        <v>353</v>
      </c>
      <c r="EY874" s="1" t="s">
        <v>242</v>
      </c>
      <c r="EZ874" s="1" t="s">
        <v>464</v>
      </c>
      <c r="FA874" s="1" t="s">
        <v>9743</v>
      </c>
      <c r="FD874" s="1" t="s">
        <v>246</v>
      </c>
      <c r="FE874" s="1" t="s">
        <v>472</v>
      </c>
      <c r="FF874" s="1" t="s">
        <v>248</v>
      </c>
      <c r="FG874" s="1" t="s">
        <v>2406</v>
      </c>
      <c r="FH874" s="1" t="s">
        <v>550</v>
      </c>
      <c r="FI874" s="1" t="s">
        <v>473</v>
      </c>
      <c r="FL874" s="1" t="s">
        <v>358</v>
      </c>
      <c r="FM874" s="1" t="s">
        <v>252</v>
      </c>
      <c r="FN874" s="1" t="s">
        <v>213</v>
      </c>
      <c r="FO874" s="1" t="s">
        <v>213</v>
      </c>
      <c r="FQ874" s="1" t="s">
        <v>1032</v>
      </c>
      <c r="FR874" s="1" t="s">
        <v>9166</v>
      </c>
      <c r="FS874" s="1" t="s">
        <v>9744</v>
      </c>
      <c r="FT874" s="1" t="s">
        <v>9745</v>
      </c>
      <c r="FU874" s="1" t="s">
        <v>204</v>
      </c>
      <c r="FW874" s="1" t="s">
        <v>3291</v>
      </c>
      <c r="FX874" s="1">
        <v>7450</v>
      </c>
      <c r="FY874" s="1" t="s">
        <v>3292</v>
      </c>
      <c r="FZ874" s="1" t="s">
        <v>9746</v>
      </c>
      <c r="GA874" s="1">
        <v>70036</v>
      </c>
      <c r="GB874" s="1" t="s">
        <v>9747</v>
      </c>
      <c r="GC874" s="1">
        <v>77640</v>
      </c>
      <c r="GE874" s="1" t="s">
        <v>210</v>
      </c>
      <c r="GI874" s="1" t="s">
        <v>213</v>
      </c>
      <c r="GJ874" s="1" t="s">
        <v>260</v>
      </c>
      <c r="GK874" s="1" t="s">
        <v>261</v>
      </c>
      <c r="GL874" s="2">
        <v>42110</v>
      </c>
      <c r="GM874" s="1" t="s">
        <v>9748</v>
      </c>
    </row>
    <row r="875" spans="1:195">
      <c r="A875" s="1">
        <v>123000</v>
      </c>
      <c r="B875" s="1" t="s">
        <v>195</v>
      </c>
      <c r="C875" s="1" t="str">
        <f>"08730535"</f>
        <v>08730535</v>
      </c>
      <c r="D875" s="1" t="s">
        <v>196</v>
      </c>
      <c r="F875" s="1" t="str">
        <f>"151"</f>
        <v>151</v>
      </c>
      <c r="G875" s="2">
        <v>41899</v>
      </c>
      <c r="H875" s="1">
        <v>134900</v>
      </c>
      <c r="I875" s="1">
        <v>124900</v>
      </c>
      <c r="J875" s="1">
        <v>123000</v>
      </c>
      <c r="K875" s="2">
        <v>41899</v>
      </c>
      <c r="L875" s="1">
        <v>156</v>
      </c>
      <c r="M875" s="2">
        <v>42054</v>
      </c>
      <c r="N875" s="1">
        <v>156</v>
      </c>
      <c r="O875" s="2">
        <v>42054</v>
      </c>
      <c r="P875" s="1">
        <v>300</v>
      </c>
      <c r="Q875" s="1" t="s">
        <v>197</v>
      </c>
      <c r="R875" s="2">
        <v>42125</v>
      </c>
      <c r="S875" s="1">
        <v>8604</v>
      </c>
      <c r="T875" s="1">
        <v>1000</v>
      </c>
      <c r="U875" s="1">
        <v>415</v>
      </c>
      <c r="V875" s="1" t="s">
        <v>6431</v>
      </c>
      <c r="W875" s="1" t="s">
        <v>725</v>
      </c>
      <c r="Y875" s="1">
        <v>2</v>
      </c>
      <c r="Z875" s="1" t="s">
        <v>200</v>
      </c>
      <c r="AA875" s="1" t="s">
        <v>9749</v>
      </c>
      <c r="AB875" s="1">
        <v>60151</v>
      </c>
      <c r="AE875" s="1" t="s">
        <v>9750</v>
      </c>
      <c r="AF875" s="1">
        <v>1999</v>
      </c>
      <c r="AG875" s="1" t="s">
        <v>204</v>
      </c>
      <c r="AH875" s="1" t="s">
        <v>9751</v>
      </c>
      <c r="AI875" s="1" t="s">
        <v>2246</v>
      </c>
      <c r="AJ875" s="1" t="s">
        <v>3337</v>
      </c>
      <c r="AL875" s="1">
        <v>6</v>
      </c>
      <c r="AM875" s="1">
        <v>2</v>
      </c>
      <c r="AN875" s="1">
        <v>1</v>
      </c>
      <c r="AO875" s="1">
        <v>1</v>
      </c>
      <c r="AP875" s="1" t="s">
        <v>210</v>
      </c>
      <c r="AR875" s="1" t="s">
        <v>209</v>
      </c>
      <c r="AS875" s="1" t="s">
        <v>204</v>
      </c>
      <c r="AT875" s="1" t="s">
        <v>211</v>
      </c>
      <c r="AU875" s="1">
        <v>2</v>
      </c>
      <c r="AW875" s="1" t="s">
        <v>204</v>
      </c>
      <c r="AX875" s="1" t="s">
        <v>9752</v>
      </c>
      <c r="AZ875" s="1">
        <v>3781.76</v>
      </c>
      <c r="BA875" s="1">
        <v>2013</v>
      </c>
      <c r="BE875" s="1">
        <v>1325</v>
      </c>
      <c r="BF875" s="1">
        <v>1</v>
      </c>
      <c r="BG875" s="1">
        <v>0</v>
      </c>
      <c r="BL875" s="1">
        <v>0</v>
      </c>
      <c r="BM875" s="1" t="s">
        <v>204</v>
      </c>
      <c r="BN875" s="1" t="s">
        <v>213</v>
      </c>
      <c r="BO875" s="1">
        <v>99</v>
      </c>
      <c r="BP875" s="1" t="s">
        <v>204</v>
      </c>
      <c r="BR875" s="1" t="str">
        <f>"0936275028"</f>
        <v>0936275028</v>
      </c>
      <c r="BT875" s="1" t="s">
        <v>9753</v>
      </c>
      <c r="BX875" s="1">
        <v>302</v>
      </c>
      <c r="BY875" s="1">
        <v>302</v>
      </c>
      <c r="BZ875" s="1">
        <v>302</v>
      </c>
      <c r="CB875" s="1" t="str">
        <f t="shared" ref="CB875:CC875" si="676">""</f>
        <v/>
      </c>
      <c r="CC875" s="1" t="str">
        <f t="shared" si="676"/>
        <v/>
      </c>
      <c r="CG875" s="1" t="s">
        <v>862</v>
      </c>
      <c r="CH875" s="1" t="s">
        <v>219</v>
      </c>
      <c r="CI875" s="1" t="s">
        <v>220</v>
      </c>
      <c r="CK875" s="1" t="s">
        <v>377</v>
      </c>
      <c r="CL875" s="1" t="s">
        <v>277</v>
      </c>
      <c r="CM875" s="1" t="s">
        <v>220</v>
      </c>
      <c r="CP875" s="1" t="s">
        <v>224</v>
      </c>
      <c r="CS875" s="1" t="s">
        <v>1297</v>
      </c>
      <c r="CT875" s="1" t="s">
        <v>277</v>
      </c>
      <c r="CU875" s="1" t="s">
        <v>220</v>
      </c>
      <c r="CX875" s="1" t="s">
        <v>224</v>
      </c>
      <c r="DB875" s="1" t="s">
        <v>224</v>
      </c>
      <c r="DE875" s="1" t="s">
        <v>2138</v>
      </c>
      <c r="DF875" s="1" t="s">
        <v>219</v>
      </c>
      <c r="DG875" s="1" t="s">
        <v>342</v>
      </c>
      <c r="DI875" s="1" t="s">
        <v>228</v>
      </c>
      <c r="DJ875" s="1" t="s">
        <v>43</v>
      </c>
      <c r="DK875" s="1" t="s">
        <v>220</v>
      </c>
      <c r="DM875" s="1" t="s">
        <v>381</v>
      </c>
      <c r="DR875" s="1" t="s">
        <v>2138</v>
      </c>
      <c r="DS875" s="1" t="s">
        <v>219</v>
      </c>
      <c r="DT875" s="1" t="s">
        <v>342</v>
      </c>
      <c r="DW875" s="1" t="s">
        <v>230</v>
      </c>
      <c r="EA875" s="1" t="s">
        <v>230</v>
      </c>
      <c r="EE875" s="1" t="s">
        <v>230</v>
      </c>
      <c r="EI875" s="1" t="s">
        <v>230</v>
      </c>
      <c r="EL875" s="1" t="s">
        <v>466</v>
      </c>
      <c r="EM875" s="1" t="s">
        <v>319</v>
      </c>
      <c r="EN875" s="1" t="s">
        <v>282</v>
      </c>
      <c r="EO875" s="1" t="s">
        <v>234</v>
      </c>
      <c r="EQ875" s="1" t="s">
        <v>236</v>
      </c>
      <c r="ER875" s="1" t="s">
        <v>544</v>
      </c>
      <c r="ES875" s="1" t="s">
        <v>493</v>
      </c>
      <c r="EW875" s="1" t="s">
        <v>210</v>
      </c>
      <c r="EY875" s="1" t="s">
        <v>1315</v>
      </c>
      <c r="EZ875" s="1" t="s">
        <v>381</v>
      </c>
      <c r="FD875" s="1" t="s">
        <v>246</v>
      </c>
      <c r="FE875" s="1" t="s">
        <v>472</v>
      </c>
      <c r="FF875" s="1" t="s">
        <v>248</v>
      </c>
      <c r="FH875" s="1" t="s">
        <v>442</v>
      </c>
      <c r="FI875" s="1" t="s">
        <v>473</v>
      </c>
      <c r="FL875" s="1" t="s">
        <v>358</v>
      </c>
      <c r="FM875" s="1" t="s">
        <v>252</v>
      </c>
      <c r="FN875" s="1" t="s">
        <v>213</v>
      </c>
      <c r="FO875" s="1" t="s">
        <v>213</v>
      </c>
      <c r="FQ875" s="1" t="s">
        <v>2091</v>
      </c>
      <c r="FR875" s="1" t="s">
        <v>210</v>
      </c>
      <c r="FS875" s="1" t="s">
        <v>9754</v>
      </c>
      <c r="FT875" s="1" t="s">
        <v>295</v>
      </c>
      <c r="FU875" s="1" t="s">
        <v>204</v>
      </c>
      <c r="FW875" s="1" t="s">
        <v>813</v>
      </c>
      <c r="FX875" s="1">
        <v>93043</v>
      </c>
      <c r="FY875" s="1" t="s">
        <v>2255</v>
      </c>
      <c r="FZ875" s="1" t="s">
        <v>9755</v>
      </c>
      <c r="GA875" s="1">
        <v>930132</v>
      </c>
      <c r="GB875" s="1" t="s">
        <v>9756</v>
      </c>
      <c r="GE875" s="1" t="s">
        <v>480</v>
      </c>
      <c r="GH875" s="1" t="s">
        <v>421</v>
      </c>
      <c r="GI875" s="1" t="s">
        <v>213</v>
      </c>
      <c r="GJ875" s="1" t="s">
        <v>260</v>
      </c>
      <c r="GK875" s="1" t="s">
        <v>210</v>
      </c>
      <c r="GL875" s="2">
        <v>42128</v>
      </c>
      <c r="GM875" s="1" t="s">
        <v>9757</v>
      </c>
    </row>
    <row r="876" spans="1:195">
      <c r="A876" s="1">
        <v>182000</v>
      </c>
      <c r="B876" s="1" t="s">
        <v>195</v>
      </c>
      <c r="C876" s="1" t="str">
        <f>"08571026"</f>
        <v>08571026</v>
      </c>
      <c r="D876" s="1" t="s">
        <v>196</v>
      </c>
      <c r="F876" s="1" t="str">
        <f>"60"</f>
        <v>60</v>
      </c>
      <c r="G876" s="2">
        <v>41729</v>
      </c>
      <c r="H876" s="1">
        <v>225000</v>
      </c>
      <c r="I876" s="1">
        <v>183000</v>
      </c>
      <c r="J876" s="1">
        <v>182000</v>
      </c>
      <c r="K876" s="2">
        <v>41727</v>
      </c>
      <c r="L876" s="1">
        <v>261</v>
      </c>
      <c r="M876" s="2">
        <v>41987</v>
      </c>
      <c r="N876" s="1">
        <v>261</v>
      </c>
      <c r="O876" s="2">
        <v>41987</v>
      </c>
      <c r="P876" s="1">
        <v>4696</v>
      </c>
      <c r="Q876" s="1" t="s">
        <v>302</v>
      </c>
      <c r="R876" s="2">
        <v>41990</v>
      </c>
      <c r="S876" s="1">
        <v>31863</v>
      </c>
      <c r="U876" s="1">
        <v>704</v>
      </c>
      <c r="V876" s="1" t="s">
        <v>9758</v>
      </c>
      <c r="W876" s="1" t="s">
        <v>1056</v>
      </c>
      <c r="X876" s="1">
        <v>1</v>
      </c>
      <c r="Y876" s="1">
        <v>6</v>
      </c>
      <c r="Z876" s="1" t="s">
        <v>249</v>
      </c>
      <c r="AA876" s="1" t="s">
        <v>1689</v>
      </c>
      <c r="AB876" s="1">
        <v>60060</v>
      </c>
      <c r="AD876" s="1" t="s">
        <v>9759</v>
      </c>
      <c r="AE876" s="1" t="s">
        <v>9760</v>
      </c>
      <c r="AF876" s="1">
        <v>1993</v>
      </c>
      <c r="AG876" s="1" t="s">
        <v>204</v>
      </c>
      <c r="AH876" s="1" t="s">
        <v>1692</v>
      </c>
      <c r="AI876" s="1" t="s">
        <v>509</v>
      </c>
      <c r="AJ876" s="1" t="s">
        <v>1693</v>
      </c>
      <c r="AL876" s="1">
        <v>6</v>
      </c>
      <c r="AM876" s="1">
        <v>2</v>
      </c>
      <c r="AN876" s="1">
        <v>2</v>
      </c>
      <c r="AO876" s="1">
        <v>0</v>
      </c>
      <c r="AP876" s="1" t="s">
        <v>209</v>
      </c>
      <c r="AQ876" s="1">
        <v>1</v>
      </c>
      <c r="AR876" s="1" t="s">
        <v>210</v>
      </c>
      <c r="AS876" s="1" t="s">
        <v>204</v>
      </c>
      <c r="AT876" s="1" t="s">
        <v>375</v>
      </c>
      <c r="AU876" s="1">
        <v>2</v>
      </c>
      <c r="AV876" s="1">
        <v>1</v>
      </c>
      <c r="AW876" s="1" t="s">
        <v>213</v>
      </c>
      <c r="AX876" s="1" t="s">
        <v>9761</v>
      </c>
      <c r="AZ876" s="1">
        <v>6607.64</v>
      </c>
      <c r="BA876" s="1">
        <v>2012</v>
      </c>
      <c r="BB876" s="1" t="s">
        <v>405</v>
      </c>
      <c r="BE876" s="1">
        <v>1876</v>
      </c>
      <c r="BF876" s="1">
        <v>1</v>
      </c>
      <c r="BG876" s="1">
        <v>0</v>
      </c>
      <c r="BJ876" s="1">
        <v>91</v>
      </c>
      <c r="BL876" s="1">
        <v>353</v>
      </c>
      <c r="BM876" s="1" t="s">
        <v>204</v>
      </c>
      <c r="BN876" s="1" t="s">
        <v>213</v>
      </c>
      <c r="BO876" s="1">
        <v>200</v>
      </c>
      <c r="BP876" s="1" t="s">
        <v>204</v>
      </c>
      <c r="BR876" s="1" t="str">
        <f>"11311250220000"</f>
        <v>11311250220000</v>
      </c>
      <c r="BT876" s="1" t="s">
        <v>9762</v>
      </c>
      <c r="BX876" s="1">
        <v>76</v>
      </c>
      <c r="BY876" s="1">
        <v>76</v>
      </c>
      <c r="BZ876" s="1">
        <v>125</v>
      </c>
      <c r="CB876" s="1" t="str">
        <f t="shared" ref="CB876:CC876" si="677">""</f>
        <v/>
      </c>
      <c r="CC876" s="1" t="str">
        <f t="shared" si="677"/>
        <v/>
      </c>
      <c r="CG876" s="1" t="s">
        <v>7600</v>
      </c>
      <c r="CH876" s="1" t="s">
        <v>219</v>
      </c>
      <c r="CI876" s="1" t="s">
        <v>438</v>
      </c>
      <c r="CK876" s="1" t="s">
        <v>861</v>
      </c>
      <c r="CL876" s="1" t="s">
        <v>219</v>
      </c>
      <c r="CM876" s="1" t="s">
        <v>438</v>
      </c>
      <c r="CO876" s="1" t="s">
        <v>1612</v>
      </c>
      <c r="CP876" s="1" t="s">
        <v>219</v>
      </c>
      <c r="CQ876" s="1" t="s">
        <v>438</v>
      </c>
      <c r="CS876" s="1" t="s">
        <v>437</v>
      </c>
      <c r="CT876" s="1" t="s">
        <v>219</v>
      </c>
      <c r="CU876" s="1" t="s">
        <v>438</v>
      </c>
      <c r="CX876" s="1" t="s">
        <v>224</v>
      </c>
      <c r="DB876" s="1" t="s">
        <v>224</v>
      </c>
      <c r="DE876" s="1" t="s">
        <v>344</v>
      </c>
      <c r="DF876" s="1" t="s">
        <v>219</v>
      </c>
      <c r="DG876" s="1" t="s">
        <v>438</v>
      </c>
      <c r="DI876" s="1" t="s">
        <v>9763</v>
      </c>
      <c r="DJ876" s="1" t="s">
        <v>219</v>
      </c>
      <c r="DK876" s="1" t="s">
        <v>226</v>
      </c>
      <c r="DS876" s="1" t="s">
        <v>230</v>
      </c>
      <c r="DW876" s="1" t="s">
        <v>230</v>
      </c>
      <c r="EA876" s="1" t="s">
        <v>230</v>
      </c>
      <c r="EE876" s="1" t="s">
        <v>230</v>
      </c>
      <c r="EI876" s="1" t="s">
        <v>230</v>
      </c>
      <c r="EL876" s="1" t="s">
        <v>382</v>
      </c>
      <c r="EM876" s="1" t="s">
        <v>232</v>
      </c>
      <c r="EN876" s="1" t="s">
        <v>282</v>
      </c>
      <c r="EO876" s="1" t="s">
        <v>840</v>
      </c>
      <c r="EP876" s="1" t="s">
        <v>9764</v>
      </c>
      <c r="EQ876" s="1" t="s">
        <v>2188</v>
      </c>
      <c r="ER876" s="1" t="s">
        <v>1069</v>
      </c>
      <c r="ES876" s="1" t="s">
        <v>3932</v>
      </c>
      <c r="EU876" s="1" t="s">
        <v>9765</v>
      </c>
      <c r="EV876" s="1" t="s">
        <v>352</v>
      </c>
      <c r="EW876" s="1" t="s">
        <v>9766</v>
      </c>
      <c r="EY876" s="1" t="s">
        <v>242</v>
      </c>
      <c r="EZ876" s="1" t="s">
        <v>287</v>
      </c>
      <c r="FA876" s="1" t="s">
        <v>4742</v>
      </c>
      <c r="FB876" s="1" t="s">
        <v>734</v>
      </c>
      <c r="FC876" s="1" t="s">
        <v>9767</v>
      </c>
      <c r="FD876" s="1" t="s">
        <v>246</v>
      </c>
      <c r="FE876" s="1" t="s">
        <v>472</v>
      </c>
      <c r="FF876" s="1" t="s">
        <v>248</v>
      </c>
      <c r="FG876" s="1" t="s">
        <v>912</v>
      </c>
      <c r="FH876" s="1" t="s">
        <v>249</v>
      </c>
      <c r="FI876" s="1" t="s">
        <v>473</v>
      </c>
      <c r="FJ876" s="1" t="s">
        <v>197</v>
      </c>
      <c r="FK876" s="1" t="s">
        <v>1825</v>
      </c>
      <c r="FL876" s="1" t="s">
        <v>9768</v>
      </c>
      <c r="FM876" s="1" t="s">
        <v>252</v>
      </c>
      <c r="FN876" s="1" t="s">
        <v>213</v>
      </c>
      <c r="FO876" s="1" t="s">
        <v>213</v>
      </c>
      <c r="FQ876" s="1" t="s">
        <v>8700</v>
      </c>
      <c r="FR876" s="1" t="s">
        <v>210</v>
      </c>
      <c r="FS876" s="1" t="s">
        <v>9769</v>
      </c>
      <c r="FT876" s="1" t="s">
        <v>2589</v>
      </c>
      <c r="FU876" s="1" t="s">
        <v>204</v>
      </c>
      <c r="FW876" s="1" t="s">
        <v>618</v>
      </c>
      <c r="FX876" s="1">
        <v>2643</v>
      </c>
      <c r="FY876" s="1" t="s">
        <v>619</v>
      </c>
      <c r="FZ876" s="1" t="s">
        <v>9770</v>
      </c>
      <c r="GA876" s="1">
        <v>13360</v>
      </c>
      <c r="GB876" s="1" t="s">
        <v>9771</v>
      </c>
      <c r="GE876" s="1" t="s">
        <v>335</v>
      </c>
      <c r="GI876" s="1" t="s">
        <v>213</v>
      </c>
      <c r="GJ876" s="1" t="s">
        <v>260</v>
      </c>
      <c r="GK876" s="1" t="s">
        <v>210</v>
      </c>
      <c r="GL876" s="2">
        <v>41991</v>
      </c>
      <c r="GM876" s="1" t="s">
        <v>9772</v>
      </c>
    </row>
    <row r="877" spans="1:195">
      <c r="A877" s="1">
        <v>225000</v>
      </c>
      <c r="B877" s="1" t="s">
        <v>195</v>
      </c>
      <c r="C877" s="1" t="str">
        <f>"08571485"</f>
        <v>08571485</v>
      </c>
      <c r="D877" s="1" t="s">
        <v>196</v>
      </c>
      <c r="F877" s="1" t="str">
        <f>"523"</f>
        <v>523</v>
      </c>
      <c r="G877" s="2">
        <v>41729</v>
      </c>
      <c r="H877" s="1">
        <v>325000</v>
      </c>
      <c r="I877" s="1">
        <v>248000</v>
      </c>
      <c r="J877" s="1">
        <v>225000</v>
      </c>
      <c r="K877" s="2">
        <v>41726</v>
      </c>
      <c r="L877" s="1">
        <v>255</v>
      </c>
      <c r="M877" s="2">
        <v>41980</v>
      </c>
      <c r="N877" s="1">
        <v>255</v>
      </c>
      <c r="O877" s="2">
        <v>41980</v>
      </c>
      <c r="P877" s="1">
        <v>22076</v>
      </c>
      <c r="Q877" s="1" t="s">
        <v>302</v>
      </c>
      <c r="R877" s="2">
        <v>42011</v>
      </c>
      <c r="S877" s="1">
        <v>242899</v>
      </c>
      <c r="U877" s="1">
        <v>3525</v>
      </c>
      <c r="V877" s="1" t="s">
        <v>9773</v>
      </c>
      <c r="W877" s="1" t="s">
        <v>304</v>
      </c>
      <c r="X877" s="1">
        <v>309</v>
      </c>
      <c r="Y877" s="1">
        <v>63</v>
      </c>
      <c r="Z877" s="1" t="s">
        <v>249</v>
      </c>
      <c r="AA877" s="1" t="s">
        <v>3818</v>
      </c>
      <c r="AB877" s="1">
        <v>60523</v>
      </c>
      <c r="AC877" s="1">
        <v>2696</v>
      </c>
      <c r="AD877" s="1" t="s">
        <v>9774</v>
      </c>
      <c r="AE877" s="1" t="s">
        <v>9775</v>
      </c>
      <c r="AF877" s="1">
        <v>1994</v>
      </c>
      <c r="AG877" s="1" t="s">
        <v>204</v>
      </c>
      <c r="AH877" s="1" t="s">
        <v>1952</v>
      </c>
      <c r="AI877" s="1" t="s">
        <v>206</v>
      </c>
      <c r="AJ877" s="1" t="s">
        <v>1608</v>
      </c>
      <c r="AK877" s="1" t="s">
        <v>9776</v>
      </c>
      <c r="AL877" s="1">
        <v>7</v>
      </c>
      <c r="AM877" s="1">
        <v>2</v>
      </c>
      <c r="AN877" s="1">
        <v>2</v>
      </c>
      <c r="AO877" s="1">
        <v>1</v>
      </c>
      <c r="AP877" s="1" t="s">
        <v>209</v>
      </c>
      <c r="AQ877" s="1">
        <v>1</v>
      </c>
      <c r="AR877" s="1" t="s">
        <v>210</v>
      </c>
      <c r="AS877" s="1" t="s">
        <v>204</v>
      </c>
      <c r="AT877" s="1" t="s">
        <v>211</v>
      </c>
      <c r="AU877" s="1">
        <v>1</v>
      </c>
      <c r="AW877" s="1" t="s">
        <v>204</v>
      </c>
      <c r="AX877" s="1" t="s">
        <v>212</v>
      </c>
      <c r="AZ877" s="1">
        <v>4029.74</v>
      </c>
      <c r="BA877" s="1">
        <v>2013</v>
      </c>
      <c r="BB877" s="1" t="s">
        <v>599</v>
      </c>
      <c r="BE877" s="1">
        <v>2300</v>
      </c>
      <c r="BF877" s="1">
        <v>3</v>
      </c>
      <c r="BG877" s="1">
        <v>10</v>
      </c>
      <c r="BJ877" s="1">
        <v>100</v>
      </c>
      <c r="BL877" s="1">
        <v>759</v>
      </c>
      <c r="BM877" s="1" t="s">
        <v>204</v>
      </c>
      <c r="BN877" s="1" t="s">
        <v>213</v>
      </c>
      <c r="BO877" s="1">
        <v>35</v>
      </c>
      <c r="BP877" s="1" t="s">
        <v>204</v>
      </c>
      <c r="BR877" s="1" t="str">
        <f>"0633415002"</f>
        <v>0633415002</v>
      </c>
      <c r="BT877" s="1" t="s">
        <v>9777</v>
      </c>
      <c r="BU877" s="1" t="s">
        <v>9778</v>
      </c>
      <c r="BV877" s="1" t="s">
        <v>1955</v>
      </c>
      <c r="BW877" s="1" t="s">
        <v>1956</v>
      </c>
      <c r="BX877" s="1">
        <v>201</v>
      </c>
      <c r="BY877" s="1">
        <v>201</v>
      </c>
      <c r="BZ877" s="1">
        <v>201</v>
      </c>
      <c r="CB877" s="1" t="str">
        <f t="shared" ref="CB877:CC877" si="678">""</f>
        <v/>
      </c>
      <c r="CC877" s="1" t="str">
        <f t="shared" si="678"/>
        <v/>
      </c>
      <c r="CD877" s="1">
        <v>18</v>
      </c>
      <c r="CE877" s="1">
        <v>3</v>
      </c>
      <c r="CG877" s="1" t="s">
        <v>2402</v>
      </c>
      <c r="CH877" s="1" t="s">
        <v>219</v>
      </c>
      <c r="CI877" s="1" t="s">
        <v>229</v>
      </c>
      <c r="CJ877" s="1" t="s">
        <v>343</v>
      </c>
      <c r="CK877" s="1" t="s">
        <v>861</v>
      </c>
      <c r="CL877" s="1" t="s">
        <v>219</v>
      </c>
      <c r="CM877" s="1" t="s">
        <v>229</v>
      </c>
      <c r="CN877" s="1" t="s">
        <v>343</v>
      </c>
      <c r="CO877" s="1" t="s">
        <v>437</v>
      </c>
      <c r="CP877" s="1" t="s">
        <v>219</v>
      </c>
      <c r="CQ877" s="1" t="s">
        <v>229</v>
      </c>
      <c r="CR877" s="1" t="s">
        <v>210</v>
      </c>
      <c r="CS877" s="1" t="s">
        <v>686</v>
      </c>
      <c r="CT877" s="1" t="s">
        <v>219</v>
      </c>
      <c r="CU877" s="1" t="s">
        <v>229</v>
      </c>
      <c r="CV877" s="1" t="s">
        <v>343</v>
      </c>
      <c r="CX877" s="1" t="s">
        <v>224</v>
      </c>
      <c r="DB877" s="1" t="s">
        <v>224</v>
      </c>
      <c r="DE877" s="1" t="s">
        <v>465</v>
      </c>
      <c r="DF877" s="1" t="s">
        <v>219</v>
      </c>
      <c r="DG877" s="1" t="s">
        <v>226</v>
      </c>
      <c r="DH877" s="1" t="s">
        <v>210</v>
      </c>
      <c r="DJ877" s="1" t="s">
        <v>224</v>
      </c>
      <c r="DM877" s="1" t="s">
        <v>1548</v>
      </c>
      <c r="DN877" s="1" t="s">
        <v>709</v>
      </c>
      <c r="DO877" s="1" t="s">
        <v>7771</v>
      </c>
      <c r="DP877" s="1" t="s">
        <v>603</v>
      </c>
      <c r="DR877" s="1" t="s">
        <v>378</v>
      </c>
      <c r="DS877" s="1" t="s">
        <v>219</v>
      </c>
      <c r="DT877" s="1" t="s">
        <v>342</v>
      </c>
      <c r="DU877" s="1" t="s">
        <v>343</v>
      </c>
      <c r="DV877" s="1" t="s">
        <v>5954</v>
      </c>
      <c r="DW877" s="1" t="s">
        <v>219</v>
      </c>
      <c r="DX877" s="1" t="s">
        <v>226</v>
      </c>
      <c r="DY877" s="1" t="s">
        <v>210</v>
      </c>
      <c r="DZ877" s="1" t="s">
        <v>951</v>
      </c>
      <c r="EA877" s="1" t="s">
        <v>219</v>
      </c>
      <c r="EB877" s="1" t="s">
        <v>229</v>
      </c>
      <c r="EC877" s="1" t="s">
        <v>210</v>
      </c>
      <c r="ED877" s="1" t="s">
        <v>281</v>
      </c>
      <c r="EE877" s="1" t="s">
        <v>219</v>
      </c>
      <c r="EF877" s="1" t="s">
        <v>229</v>
      </c>
      <c r="EG877" s="1" t="s">
        <v>343</v>
      </c>
      <c r="EI877" s="1" t="s">
        <v>230</v>
      </c>
      <c r="EL877" s="1" t="s">
        <v>670</v>
      </c>
      <c r="EM877" s="1" t="s">
        <v>232</v>
      </c>
      <c r="EN877" s="1" t="s">
        <v>282</v>
      </c>
      <c r="EO877" s="1" t="s">
        <v>234</v>
      </c>
      <c r="EP877" s="1" t="s">
        <v>9779</v>
      </c>
      <c r="EQ877" s="1" t="s">
        <v>1094</v>
      </c>
      <c r="ER877" s="1" t="s">
        <v>210</v>
      </c>
      <c r="ES877" s="1" t="s">
        <v>322</v>
      </c>
      <c r="ET877" s="1" t="s">
        <v>1201</v>
      </c>
      <c r="EU877" s="1" t="s">
        <v>4692</v>
      </c>
      <c r="EV877" s="1" t="s">
        <v>324</v>
      </c>
      <c r="EW877" s="1" t="s">
        <v>9780</v>
      </c>
      <c r="EY877" s="1" t="s">
        <v>242</v>
      </c>
      <c r="EZ877" s="1" t="s">
        <v>9781</v>
      </c>
      <c r="FA877" s="1" t="s">
        <v>2220</v>
      </c>
      <c r="FB877" s="1" t="s">
        <v>244</v>
      </c>
      <c r="FD877" s="1" t="s">
        <v>246</v>
      </c>
      <c r="FE877" s="1" t="s">
        <v>247</v>
      </c>
      <c r="FF877" s="1" t="s">
        <v>248</v>
      </c>
      <c r="FG877" s="1" t="s">
        <v>3933</v>
      </c>
      <c r="FH877" s="1" t="s">
        <v>249</v>
      </c>
      <c r="FI877" s="1" t="s">
        <v>1114</v>
      </c>
      <c r="FJ877" s="1" t="s">
        <v>197</v>
      </c>
      <c r="FL877" s="1" t="s">
        <v>358</v>
      </c>
      <c r="FM877" s="1" t="s">
        <v>252</v>
      </c>
      <c r="FN877" s="1" t="s">
        <v>213</v>
      </c>
      <c r="FO877" s="1" t="s">
        <v>213</v>
      </c>
      <c r="FQ877" s="1" t="s">
        <v>9782</v>
      </c>
      <c r="FR877" s="1" t="s">
        <v>652</v>
      </c>
      <c r="FS877" s="1" t="s">
        <v>9783</v>
      </c>
      <c r="FT877" s="1" t="s">
        <v>255</v>
      </c>
      <c r="FU877" s="1" t="s">
        <v>204</v>
      </c>
      <c r="FW877" s="1" t="s">
        <v>915</v>
      </c>
      <c r="FX877" s="1">
        <v>22076</v>
      </c>
      <c r="FY877" s="1" t="s">
        <v>916</v>
      </c>
      <c r="FZ877" s="1" t="s">
        <v>9784</v>
      </c>
      <c r="GA877" s="1">
        <v>242899</v>
      </c>
      <c r="GB877" s="1" t="s">
        <v>9785</v>
      </c>
      <c r="GE877" s="1" t="s">
        <v>210</v>
      </c>
      <c r="GH877" s="1" t="s">
        <v>421</v>
      </c>
      <c r="GI877" s="1" t="s">
        <v>213</v>
      </c>
      <c r="GJ877" s="1" t="s">
        <v>260</v>
      </c>
      <c r="GK877" s="1" t="s">
        <v>210</v>
      </c>
      <c r="GL877" s="2">
        <v>42011</v>
      </c>
      <c r="GM877" s="1" t="s">
        <v>9786</v>
      </c>
    </row>
    <row r="878" spans="1:195">
      <c r="A878" s="1">
        <v>71000</v>
      </c>
      <c r="B878" s="1" t="s">
        <v>195</v>
      </c>
      <c r="C878" s="1" t="str">
        <f>"08580648"</f>
        <v>08580648</v>
      </c>
      <c r="D878" s="1" t="s">
        <v>196</v>
      </c>
      <c r="F878" s="1" t="str">
        <f>"87"</f>
        <v>87</v>
      </c>
      <c r="G878" s="2">
        <v>41738</v>
      </c>
      <c r="H878" s="1">
        <v>75000</v>
      </c>
      <c r="I878" s="1">
        <v>73000</v>
      </c>
      <c r="J878" s="1">
        <v>71000</v>
      </c>
      <c r="K878" s="2">
        <v>41738</v>
      </c>
      <c r="L878" s="1">
        <v>328</v>
      </c>
      <c r="M878" s="2">
        <v>42065</v>
      </c>
      <c r="N878" s="1">
        <v>328</v>
      </c>
      <c r="O878" s="2">
        <v>42065</v>
      </c>
      <c r="P878" s="1">
        <v>1610</v>
      </c>
      <c r="Q878" s="1" t="s">
        <v>197</v>
      </c>
      <c r="R878" s="2">
        <v>42121</v>
      </c>
      <c r="S878" s="1">
        <v>19125</v>
      </c>
      <c r="U878" s="1">
        <v>39730</v>
      </c>
      <c r="V878" s="1" t="s">
        <v>9787</v>
      </c>
      <c r="W878" s="1" t="s">
        <v>264</v>
      </c>
      <c r="X878" s="1">
        <v>39730</v>
      </c>
      <c r="Y878" s="1">
        <v>4</v>
      </c>
      <c r="Z878" s="1" t="s">
        <v>249</v>
      </c>
      <c r="AA878" s="1" t="s">
        <v>4385</v>
      </c>
      <c r="AB878" s="1">
        <v>60083</v>
      </c>
      <c r="AD878" s="1" t="s">
        <v>4386</v>
      </c>
      <c r="AE878" s="1" t="s">
        <v>9788</v>
      </c>
      <c r="AF878" s="1">
        <v>2004</v>
      </c>
      <c r="AG878" s="1" t="s">
        <v>204</v>
      </c>
      <c r="AH878" s="1" t="s">
        <v>4388</v>
      </c>
      <c r="AI878" s="1" t="s">
        <v>509</v>
      </c>
      <c r="AJ878" s="1" t="s">
        <v>7526</v>
      </c>
      <c r="AK878" s="1" t="s">
        <v>9373</v>
      </c>
      <c r="AL878" s="1">
        <v>5</v>
      </c>
      <c r="AM878" s="1">
        <v>2</v>
      </c>
      <c r="AN878" s="1">
        <v>1</v>
      </c>
      <c r="AO878" s="1">
        <v>0</v>
      </c>
      <c r="AP878" s="1" t="s">
        <v>667</v>
      </c>
      <c r="AR878" s="1" t="s">
        <v>210</v>
      </c>
      <c r="AS878" s="1" t="s">
        <v>204</v>
      </c>
      <c r="AT878" s="1" t="s">
        <v>211</v>
      </c>
      <c r="AU878" s="1">
        <v>2</v>
      </c>
      <c r="AW878" s="1" t="s">
        <v>204</v>
      </c>
      <c r="AX878" s="1" t="s">
        <v>212</v>
      </c>
      <c r="AZ878" s="1">
        <v>3656.19</v>
      </c>
      <c r="BA878" s="1">
        <v>2013</v>
      </c>
      <c r="BE878" s="1">
        <v>1178</v>
      </c>
      <c r="BF878" s="1">
        <v>2</v>
      </c>
      <c r="BG878" s="1">
        <v>0</v>
      </c>
      <c r="BL878" s="1">
        <v>141</v>
      </c>
      <c r="BM878" s="1" t="s">
        <v>204</v>
      </c>
      <c r="BN878" s="1" t="s">
        <v>213</v>
      </c>
      <c r="BO878" s="1">
        <v>999</v>
      </c>
      <c r="BP878" s="1" t="s">
        <v>204</v>
      </c>
      <c r="BR878" s="1" t="str">
        <f>"03252070350000"</f>
        <v>03252070350000</v>
      </c>
      <c r="BT878" s="1" t="s">
        <v>9789</v>
      </c>
      <c r="BU878" s="1" t="s">
        <v>9790</v>
      </c>
      <c r="BV878" s="1" t="s">
        <v>7529</v>
      </c>
      <c r="BW878" s="1" t="s">
        <v>7530</v>
      </c>
      <c r="BX878" s="1">
        <v>3</v>
      </c>
      <c r="BY878" s="1">
        <v>3</v>
      </c>
      <c r="BZ878" s="1">
        <v>126</v>
      </c>
      <c r="CB878" s="1" t="str">
        <f>"39"</f>
        <v>39</v>
      </c>
      <c r="CC878" s="1" t="str">
        <f>""</f>
        <v/>
      </c>
      <c r="CD878" s="1">
        <v>12</v>
      </c>
      <c r="CG878" s="1" t="s">
        <v>1469</v>
      </c>
      <c r="CH878" s="1" t="s">
        <v>277</v>
      </c>
      <c r="CI878" s="1" t="s">
        <v>220</v>
      </c>
      <c r="CK878" s="1" t="s">
        <v>3083</v>
      </c>
      <c r="CL878" s="1" t="s">
        <v>277</v>
      </c>
      <c r="CM878" s="1" t="s">
        <v>220</v>
      </c>
      <c r="CO878" s="1" t="s">
        <v>346</v>
      </c>
      <c r="CP878" s="1" t="s">
        <v>277</v>
      </c>
      <c r="CQ878" s="1" t="s">
        <v>220</v>
      </c>
      <c r="CS878" s="1" t="s">
        <v>318</v>
      </c>
      <c r="CT878" s="1" t="s">
        <v>277</v>
      </c>
      <c r="CU878" s="1" t="s">
        <v>220</v>
      </c>
      <c r="CX878" s="1" t="s">
        <v>224</v>
      </c>
      <c r="DB878" s="1" t="s">
        <v>224</v>
      </c>
      <c r="DE878" s="1" t="s">
        <v>2070</v>
      </c>
      <c r="DF878" s="1" t="s">
        <v>277</v>
      </c>
      <c r="DJ878" s="1" t="s">
        <v>224</v>
      </c>
      <c r="DS878" s="1" t="s">
        <v>230</v>
      </c>
      <c r="DW878" s="1" t="s">
        <v>230</v>
      </c>
      <c r="EA878" s="1" t="s">
        <v>230</v>
      </c>
      <c r="EE878" s="1" t="s">
        <v>230</v>
      </c>
      <c r="EI878" s="1" t="s">
        <v>230</v>
      </c>
      <c r="EL878" s="1" t="s">
        <v>491</v>
      </c>
      <c r="EM878" s="1" t="s">
        <v>319</v>
      </c>
      <c r="EN878" s="1" t="s">
        <v>282</v>
      </c>
      <c r="EO878" s="1" t="s">
        <v>234</v>
      </c>
      <c r="EP878" s="1" t="s">
        <v>650</v>
      </c>
      <c r="EQ878" s="1" t="s">
        <v>236</v>
      </c>
      <c r="ER878" s="1" t="s">
        <v>210</v>
      </c>
      <c r="ES878" s="1" t="s">
        <v>322</v>
      </c>
      <c r="ET878" s="1" t="s">
        <v>842</v>
      </c>
      <c r="EU878" s="1" t="s">
        <v>5503</v>
      </c>
      <c r="EV878" s="1" t="s">
        <v>240</v>
      </c>
      <c r="EW878" s="1" t="s">
        <v>353</v>
      </c>
      <c r="EY878" s="1" t="s">
        <v>242</v>
      </c>
      <c r="EZ878" s="1" t="s">
        <v>287</v>
      </c>
      <c r="FD878" s="1" t="s">
        <v>246</v>
      </c>
      <c r="FE878" s="1" t="s">
        <v>472</v>
      </c>
      <c r="FF878" s="1" t="s">
        <v>248</v>
      </c>
      <c r="FH878" s="1" t="s">
        <v>249</v>
      </c>
      <c r="FI878" s="1" t="s">
        <v>357</v>
      </c>
      <c r="FL878" s="1" t="s">
        <v>358</v>
      </c>
      <c r="FM878" s="1" t="s">
        <v>252</v>
      </c>
      <c r="FN878" s="1" t="s">
        <v>213</v>
      </c>
      <c r="FO878" s="1" t="s">
        <v>213</v>
      </c>
      <c r="FQ878" s="1" t="s">
        <v>793</v>
      </c>
      <c r="FR878" s="1" t="s">
        <v>360</v>
      </c>
      <c r="FS878" s="1" t="s">
        <v>1429</v>
      </c>
      <c r="FT878" s="1" t="s">
        <v>255</v>
      </c>
      <c r="FU878" s="1" t="s">
        <v>204</v>
      </c>
      <c r="FW878" s="1" t="s">
        <v>4391</v>
      </c>
      <c r="FX878" s="1">
        <v>2510</v>
      </c>
      <c r="FY878" s="1" t="s">
        <v>4392</v>
      </c>
      <c r="FZ878" s="1" t="s">
        <v>9791</v>
      </c>
      <c r="GA878" s="1">
        <v>16691</v>
      </c>
      <c r="GB878" s="1" t="s">
        <v>9792</v>
      </c>
      <c r="GE878" s="1" t="s">
        <v>776</v>
      </c>
      <c r="GH878" s="1" t="s">
        <v>230</v>
      </c>
      <c r="GI878" s="1" t="s">
        <v>213</v>
      </c>
      <c r="GJ878" s="1" t="s">
        <v>260</v>
      </c>
      <c r="GK878" s="1" t="s">
        <v>210</v>
      </c>
      <c r="GL878" s="2">
        <v>42121</v>
      </c>
      <c r="GM878" s="1" t="s">
        <v>9793</v>
      </c>
    </row>
    <row r="879" spans="1:195">
      <c r="A879" s="1">
        <v>58000</v>
      </c>
      <c r="B879" s="1" t="s">
        <v>195</v>
      </c>
      <c r="C879" s="1" t="str">
        <f>"08571991"</f>
        <v>08571991</v>
      </c>
      <c r="D879" s="1" t="s">
        <v>196</v>
      </c>
      <c r="F879" s="1" t="str">
        <f>"139"</f>
        <v>139</v>
      </c>
      <c r="G879" s="2">
        <v>41729</v>
      </c>
      <c r="H879" s="1">
        <v>69900</v>
      </c>
      <c r="I879" s="1">
        <v>69900</v>
      </c>
      <c r="J879" s="1">
        <v>58000</v>
      </c>
      <c r="K879" s="2">
        <v>41729</v>
      </c>
      <c r="L879" s="1">
        <v>28</v>
      </c>
      <c r="M879" s="2">
        <v>41756</v>
      </c>
      <c r="N879" s="1">
        <v>28</v>
      </c>
      <c r="O879" s="2">
        <v>41756</v>
      </c>
      <c r="P879" s="1">
        <v>24232</v>
      </c>
      <c r="Q879" s="1" t="s">
        <v>302</v>
      </c>
      <c r="R879" s="2">
        <v>42088</v>
      </c>
      <c r="S879" s="1">
        <v>218142</v>
      </c>
      <c r="U879" s="1">
        <v>1866</v>
      </c>
      <c r="V879" s="1" t="s">
        <v>503</v>
      </c>
      <c r="W879" s="1" t="s">
        <v>264</v>
      </c>
      <c r="X879" s="1" t="s">
        <v>577</v>
      </c>
      <c r="Y879" s="1">
        <v>6</v>
      </c>
      <c r="Z879" s="1" t="s">
        <v>249</v>
      </c>
      <c r="AA879" s="1" t="s">
        <v>1732</v>
      </c>
      <c r="AB879" s="1">
        <v>60139</v>
      </c>
      <c r="AE879" s="1" t="s">
        <v>9794</v>
      </c>
      <c r="AF879" s="1">
        <v>1974</v>
      </c>
      <c r="AG879" s="1" t="s">
        <v>213</v>
      </c>
      <c r="AH879" s="1" t="s">
        <v>1735</v>
      </c>
      <c r="AI879" s="1" t="s">
        <v>206</v>
      </c>
      <c r="AJ879" s="1" t="s">
        <v>269</v>
      </c>
      <c r="AL879" s="1">
        <v>5</v>
      </c>
      <c r="AM879" s="1">
        <v>2</v>
      </c>
      <c r="AN879" s="1">
        <v>1</v>
      </c>
      <c r="AO879" s="1">
        <v>0</v>
      </c>
      <c r="AP879" s="1" t="s">
        <v>210</v>
      </c>
      <c r="AQ879" s="1">
        <v>0</v>
      </c>
      <c r="AR879" s="1" t="s">
        <v>210</v>
      </c>
      <c r="AT879" s="1" t="s">
        <v>271</v>
      </c>
      <c r="AV879" s="1">
        <v>2</v>
      </c>
      <c r="AW879" s="1" t="s">
        <v>204</v>
      </c>
      <c r="AX879" s="1" t="s">
        <v>212</v>
      </c>
      <c r="AZ879" s="1">
        <v>1489</v>
      </c>
      <c r="BA879" s="1">
        <v>2013</v>
      </c>
      <c r="BE879" s="1">
        <v>639</v>
      </c>
      <c r="BF879" s="1">
        <v>2</v>
      </c>
      <c r="BG879" s="1">
        <v>0</v>
      </c>
      <c r="BL879" s="1">
        <v>220</v>
      </c>
      <c r="BM879" s="1" t="s">
        <v>204</v>
      </c>
      <c r="BN879" s="1" t="s">
        <v>213</v>
      </c>
      <c r="BO879" s="1">
        <v>50</v>
      </c>
      <c r="BP879" s="1" t="s">
        <v>204</v>
      </c>
      <c r="BR879" s="1" t="str">
        <f>"0226108181"</f>
        <v>0226108181</v>
      </c>
      <c r="BT879" s="1" t="s">
        <v>9795</v>
      </c>
      <c r="BX879" s="1">
        <v>15</v>
      </c>
      <c r="BY879" s="1">
        <v>15</v>
      </c>
      <c r="BZ879" s="1">
        <v>87</v>
      </c>
      <c r="CB879" s="1" t="str">
        <f t="shared" ref="CB879:CC879" si="679">""</f>
        <v/>
      </c>
      <c r="CC879" s="1" t="str">
        <f t="shared" si="679"/>
        <v/>
      </c>
      <c r="CG879" s="1" t="s">
        <v>932</v>
      </c>
      <c r="CH879" s="1" t="s">
        <v>219</v>
      </c>
      <c r="CI879" s="1" t="s">
        <v>229</v>
      </c>
      <c r="CK879" s="1" t="s">
        <v>1297</v>
      </c>
      <c r="CL879" s="1" t="s">
        <v>219</v>
      </c>
      <c r="CM879" s="1" t="s">
        <v>229</v>
      </c>
      <c r="CO879" s="1" t="s">
        <v>5954</v>
      </c>
      <c r="CP879" s="1" t="s">
        <v>219</v>
      </c>
      <c r="CQ879" s="1" t="s">
        <v>229</v>
      </c>
      <c r="CS879" s="1" t="s">
        <v>837</v>
      </c>
      <c r="CT879" s="1" t="s">
        <v>219</v>
      </c>
      <c r="CU879" s="1" t="s">
        <v>229</v>
      </c>
      <c r="CX879" s="1" t="s">
        <v>224</v>
      </c>
      <c r="DB879" s="1" t="s">
        <v>224</v>
      </c>
      <c r="DE879" s="1" t="s">
        <v>516</v>
      </c>
      <c r="DF879" s="1" t="s">
        <v>219</v>
      </c>
      <c r="DG879" s="1" t="s">
        <v>226</v>
      </c>
      <c r="DJ879" s="1" t="s">
        <v>224</v>
      </c>
      <c r="DM879" s="1" t="s">
        <v>838</v>
      </c>
      <c r="DR879" s="1" t="s">
        <v>839</v>
      </c>
      <c r="DS879" s="1" t="s">
        <v>219</v>
      </c>
      <c r="DW879" s="1" t="s">
        <v>230</v>
      </c>
      <c r="EA879" s="1" t="s">
        <v>230</v>
      </c>
      <c r="EE879" s="1" t="s">
        <v>230</v>
      </c>
      <c r="EI879" s="1" t="s">
        <v>230</v>
      </c>
      <c r="EL879" s="1" t="s">
        <v>231</v>
      </c>
      <c r="EM879" s="1" t="s">
        <v>319</v>
      </c>
      <c r="EN879" s="1" t="s">
        <v>210</v>
      </c>
      <c r="EO879" s="1" t="s">
        <v>234</v>
      </c>
      <c r="ER879" s="1" t="s">
        <v>210</v>
      </c>
      <c r="EW879" s="1" t="s">
        <v>9796</v>
      </c>
      <c r="EZ879" s="1" t="s">
        <v>838</v>
      </c>
      <c r="FD879" s="1" t="s">
        <v>246</v>
      </c>
      <c r="FE879" s="1" t="s">
        <v>651</v>
      </c>
      <c r="FF879" s="1" t="s">
        <v>248</v>
      </c>
      <c r="FH879" s="1" t="s">
        <v>249</v>
      </c>
      <c r="FL879" s="1" t="s">
        <v>328</v>
      </c>
      <c r="FM879" s="1" t="s">
        <v>252</v>
      </c>
      <c r="FN879" s="1" t="s">
        <v>213</v>
      </c>
      <c r="FO879" s="1" t="s">
        <v>213</v>
      </c>
      <c r="FQ879" s="1" t="s">
        <v>793</v>
      </c>
      <c r="FR879" s="1" t="s">
        <v>9166</v>
      </c>
      <c r="FS879" s="1" t="s">
        <v>2541</v>
      </c>
      <c r="FT879" s="1" t="s">
        <v>295</v>
      </c>
      <c r="FU879" s="1" t="s">
        <v>204</v>
      </c>
      <c r="FW879" s="1" t="s">
        <v>915</v>
      </c>
      <c r="FX879" s="1">
        <v>25088</v>
      </c>
      <c r="FY879" s="1" t="s">
        <v>1761</v>
      </c>
      <c r="FZ879" s="1" t="s">
        <v>9797</v>
      </c>
      <c r="GA879" s="1">
        <v>253914</v>
      </c>
      <c r="GB879" s="1" t="s">
        <v>9798</v>
      </c>
      <c r="GE879" s="1" t="s">
        <v>210</v>
      </c>
      <c r="GI879" s="1" t="s">
        <v>213</v>
      </c>
      <c r="GJ879" s="1" t="s">
        <v>260</v>
      </c>
      <c r="GK879" s="1" t="s">
        <v>210</v>
      </c>
      <c r="GL879" s="2">
        <v>42088</v>
      </c>
      <c r="GM879" s="1" t="s">
        <v>397</v>
      </c>
    </row>
    <row r="880" spans="1:195">
      <c r="A880" s="1">
        <v>105000</v>
      </c>
      <c r="B880" s="1" t="s">
        <v>195</v>
      </c>
      <c r="C880" s="1" t="str">
        <f>"08576304"</f>
        <v>08576304</v>
      </c>
      <c r="D880" s="1" t="s">
        <v>196</v>
      </c>
      <c r="F880" s="1" t="str">
        <f>"107"</f>
        <v>107</v>
      </c>
      <c r="G880" s="2">
        <v>41733</v>
      </c>
      <c r="H880" s="1">
        <v>115000</v>
      </c>
      <c r="I880" s="1">
        <v>103000</v>
      </c>
      <c r="J880" s="1">
        <v>105000</v>
      </c>
      <c r="K880" s="2">
        <v>41732</v>
      </c>
      <c r="L880" s="1">
        <v>222</v>
      </c>
      <c r="M880" s="2">
        <v>41953</v>
      </c>
      <c r="N880" s="1">
        <v>222</v>
      </c>
      <c r="O880" s="2">
        <v>41953</v>
      </c>
      <c r="P880" s="1">
        <v>24593</v>
      </c>
      <c r="Q880" s="1" t="s">
        <v>197</v>
      </c>
      <c r="R880" s="2">
        <v>42011</v>
      </c>
      <c r="S880" s="1">
        <v>235553</v>
      </c>
      <c r="U880" s="1">
        <v>507</v>
      </c>
      <c r="V880" s="1" t="s">
        <v>9799</v>
      </c>
      <c r="W880" s="1" t="s">
        <v>425</v>
      </c>
      <c r="Y880" s="1">
        <v>4</v>
      </c>
      <c r="Z880" s="1" t="s">
        <v>370</v>
      </c>
      <c r="AA880" s="1" t="s">
        <v>1211</v>
      </c>
      <c r="AB880" s="1">
        <v>60107</v>
      </c>
      <c r="AD880" s="1" t="s">
        <v>9800</v>
      </c>
      <c r="AE880" s="1" t="s">
        <v>9801</v>
      </c>
      <c r="AF880" s="1">
        <v>1990</v>
      </c>
      <c r="AG880" s="1" t="s">
        <v>204</v>
      </c>
      <c r="AH880" s="1" t="s">
        <v>1214</v>
      </c>
      <c r="AI880" s="1" t="s">
        <v>310</v>
      </c>
      <c r="AJ880" s="1" t="s">
        <v>374</v>
      </c>
      <c r="AK880" s="1" t="s">
        <v>3188</v>
      </c>
      <c r="AL880" s="1">
        <v>5</v>
      </c>
      <c r="AM880" s="1">
        <v>2</v>
      </c>
      <c r="AN880" s="1">
        <v>1</v>
      </c>
      <c r="AO880" s="1">
        <v>1</v>
      </c>
      <c r="AP880" s="1" t="s">
        <v>667</v>
      </c>
      <c r="AQ880" s="1">
        <v>1</v>
      </c>
      <c r="AR880" s="1" t="s">
        <v>210</v>
      </c>
      <c r="AS880" s="1" t="s">
        <v>204</v>
      </c>
      <c r="AT880" s="1" t="s">
        <v>211</v>
      </c>
      <c r="AU880" s="1">
        <v>1</v>
      </c>
      <c r="AW880" s="1" t="s">
        <v>204</v>
      </c>
      <c r="AX880" s="1">
        <v>0</v>
      </c>
      <c r="AZ880" s="1">
        <v>3299</v>
      </c>
      <c r="BA880" s="1">
        <v>2012</v>
      </c>
      <c r="BB880" s="1" t="s">
        <v>405</v>
      </c>
      <c r="BE880" s="1">
        <v>1130</v>
      </c>
      <c r="BF880" s="1">
        <v>2</v>
      </c>
      <c r="BG880" s="1">
        <v>0</v>
      </c>
      <c r="BL880" s="1">
        <v>220</v>
      </c>
      <c r="BM880" s="1" t="s">
        <v>204</v>
      </c>
      <c r="BN880" s="1" t="s">
        <v>213</v>
      </c>
      <c r="BO880" s="1">
        <v>50</v>
      </c>
      <c r="BP880" s="1" t="s">
        <v>204</v>
      </c>
      <c r="BR880" s="1" t="str">
        <f>"06243130190000"</f>
        <v>06243130190000</v>
      </c>
      <c r="BT880" s="1" t="s">
        <v>9802</v>
      </c>
      <c r="BX880" s="1">
        <v>46</v>
      </c>
      <c r="BY880" s="1">
        <v>46</v>
      </c>
      <c r="BZ880" s="1">
        <v>46</v>
      </c>
      <c r="CB880" s="1" t="str">
        <f>"27"</f>
        <v>27</v>
      </c>
      <c r="CC880" s="1" t="str">
        <f>""</f>
        <v/>
      </c>
      <c r="CD880" s="1">
        <v>10</v>
      </c>
      <c r="CG880" s="1" t="s">
        <v>538</v>
      </c>
      <c r="CH880" s="1" t="s">
        <v>219</v>
      </c>
      <c r="CJ880" s="1" t="s">
        <v>343</v>
      </c>
      <c r="CK880" s="1" t="s">
        <v>729</v>
      </c>
      <c r="CL880" s="1" t="s">
        <v>277</v>
      </c>
      <c r="CN880" s="1" t="s">
        <v>343</v>
      </c>
      <c r="CO880" s="1" t="s">
        <v>316</v>
      </c>
      <c r="CP880" s="1" t="s">
        <v>219</v>
      </c>
      <c r="CR880" s="1" t="s">
        <v>210</v>
      </c>
      <c r="CS880" s="1" t="s">
        <v>1358</v>
      </c>
      <c r="CT880" s="1" t="s">
        <v>277</v>
      </c>
      <c r="CV880" s="1" t="s">
        <v>343</v>
      </c>
      <c r="CX880" s="1" t="s">
        <v>224</v>
      </c>
      <c r="DB880" s="1" t="s">
        <v>224</v>
      </c>
      <c r="DE880" s="1" t="s">
        <v>316</v>
      </c>
      <c r="DF880" s="1" t="s">
        <v>219</v>
      </c>
      <c r="DH880" s="1" t="s">
        <v>210</v>
      </c>
      <c r="DJ880" s="1" t="s">
        <v>224</v>
      </c>
      <c r="DS880" s="1" t="s">
        <v>230</v>
      </c>
      <c r="DW880" s="1" t="s">
        <v>230</v>
      </c>
      <c r="EA880" s="1" t="s">
        <v>230</v>
      </c>
      <c r="EE880" s="1" t="s">
        <v>230</v>
      </c>
      <c r="EI880" s="1" t="s">
        <v>230</v>
      </c>
      <c r="EL880" s="1" t="s">
        <v>382</v>
      </c>
      <c r="EM880" s="1" t="s">
        <v>232</v>
      </c>
      <c r="EN880" s="1" t="s">
        <v>282</v>
      </c>
      <c r="EO880" s="1" t="s">
        <v>234</v>
      </c>
      <c r="EP880" s="1" t="s">
        <v>9803</v>
      </c>
      <c r="EQ880" s="1" t="s">
        <v>468</v>
      </c>
      <c r="ER880" s="1" t="s">
        <v>383</v>
      </c>
      <c r="ES880" s="1" t="s">
        <v>824</v>
      </c>
      <c r="EU880" s="1" t="s">
        <v>239</v>
      </c>
      <c r="EV880" s="1" t="s">
        <v>352</v>
      </c>
      <c r="EW880" s="1" t="s">
        <v>494</v>
      </c>
      <c r="EY880" s="1" t="s">
        <v>242</v>
      </c>
      <c r="EZ880" s="1" t="s">
        <v>287</v>
      </c>
      <c r="FA880" s="1" t="s">
        <v>9804</v>
      </c>
      <c r="FB880" s="1" t="s">
        <v>289</v>
      </c>
      <c r="FC880" s="1" t="s">
        <v>548</v>
      </c>
      <c r="FD880" s="1" t="s">
        <v>246</v>
      </c>
      <c r="FE880" s="1" t="s">
        <v>355</v>
      </c>
      <c r="FF880" s="1" t="s">
        <v>248</v>
      </c>
      <c r="FG880" s="1" t="s">
        <v>939</v>
      </c>
      <c r="FH880" s="1" t="s">
        <v>550</v>
      </c>
      <c r="FL880" s="1" t="s">
        <v>358</v>
      </c>
      <c r="FM880" s="1" t="s">
        <v>252</v>
      </c>
      <c r="FN880" s="1" t="s">
        <v>213</v>
      </c>
      <c r="FO880" s="1" t="s">
        <v>213</v>
      </c>
      <c r="FQ880" s="1" t="s">
        <v>9805</v>
      </c>
      <c r="FR880" s="1" t="s">
        <v>360</v>
      </c>
      <c r="FS880" s="1" t="s">
        <v>3074</v>
      </c>
      <c r="FT880" s="1" t="s">
        <v>295</v>
      </c>
      <c r="FU880" s="1" t="s">
        <v>204</v>
      </c>
      <c r="FW880" s="1" t="s">
        <v>1601</v>
      </c>
      <c r="FX880" s="1">
        <v>4621</v>
      </c>
      <c r="FY880" s="1" t="s">
        <v>1602</v>
      </c>
      <c r="FZ880" s="1" t="s">
        <v>1603</v>
      </c>
      <c r="GA880" s="1">
        <v>38257</v>
      </c>
      <c r="GB880" s="1" t="s">
        <v>1602</v>
      </c>
      <c r="GE880" s="1" t="s">
        <v>210</v>
      </c>
      <c r="GI880" s="1" t="s">
        <v>213</v>
      </c>
      <c r="GJ880" s="1" t="s">
        <v>260</v>
      </c>
      <c r="GK880" s="1" t="s">
        <v>210</v>
      </c>
      <c r="GL880" s="2">
        <v>42011</v>
      </c>
      <c r="GM880" s="1" t="s">
        <v>9806</v>
      </c>
    </row>
    <row r="881" spans="1:195">
      <c r="A881" s="1">
        <v>118100</v>
      </c>
      <c r="B881" s="1" t="s">
        <v>195</v>
      </c>
      <c r="C881" s="1" t="str">
        <f>"08723713"</f>
        <v>08723713</v>
      </c>
      <c r="D881" s="1" t="s">
        <v>196</v>
      </c>
      <c r="F881" s="1" t="str">
        <f>"543"</f>
        <v>543</v>
      </c>
      <c r="G881" s="2">
        <v>41891</v>
      </c>
      <c r="H881" s="1">
        <v>124900</v>
      </c>
      <c r="I881" s="1">
        <v>114900</v>
      </c>
      <c r="J881" s="1">
        <v>118100</v>
      </c>
      <c r="K881" s="2">
        <v>41891</v>
      </c>
      <c r="L881" s="1">
        <v>71</v>
      </c>
      <c r="M881" s="2">
        <v>41961</v>
      </c>
      <c r="N881" s="1">
        <v>71</v>
      </c>
      <c r="O881" s="2">
        <v>41961</v>
      </c>
      <c r="P881" s="1">
        <v>23076</v>
      </c>
      <c r="Q881" s="1" t="s">
        <v>197</v>
      </c>
      <c r="R881" s="2">
        <v>42002</v>
      </c>
      <c r="S881" s="1">
        <v>227960</v>
      </c>
      <c r="U881" s="1">
        <v>621</v>
      </c>
      <c r="V881" s="1" t="s">
        <v>9807</v>
      </c>
      <c r="W881" s="1" t="s">
        <v>264</v>
      </c>
      <c r="X881" s="1">
        <v>621</v>
      </c>
      <c r="Y881" s="1">
        <v>5</v>
      </c>
      <c r="Z881" s="1" t="s">
        <v>249</v>
      </c>
      <c r="AA881" s="1" t="s">
        <v>2639</v>
      </c>
      <c r="AB881" s="1">
        <v>60543</v>
      </c>
      <c r="AD881" s="1" t="s">
        <v>9807</v>
      </c>
      <c r="AE881" s="1" t="s">
        <v>9808</v>
      </c>
      <c r="AF881" s="1">
        <v>2007</v>
      </c>
      <c r="AG881" s="1" t="s">
        <v>204</v>
      </c>
      <c r="AH881" s="1" t="s">
        <v>1397</v>
      </c>
      <c r="AI881" s="1" t="s">
        <v>453</v>
      </c>
      <c r="AJ881" s="1" t="s">
        <v>1397</v>
      </c>
      <c r="AK881" s="1" t="s">
        <v>9267</v>
      </c>
      <c r="AL881" s="1">
        <v>6</v>
      </c>
      <c r="AM881" s="1">
        <v>2</v>
      </c>
      <c r="AN881" s="1">
        <v>2</v>
      </c>
      <c r="AO881" s="1">
        <v>1</v>
      </c>
      <c r="AP881" s="1" t="s">
        <v>209</v>
      </c>
      <c r="AR881" s="1" t="s">
        <v>1421</v>
      </c>
      <c r="AS881" s="1" t="s">
        <v>204</v>
      </c>
      <c r="AT881" s="1" t="s">
        <v>211</v>
      </c>
      <c r="AU881" s="1">
        <v>2</v>
      </c>
      <c r="AW881" s="1" t="s">
        <v>204</v>
      </c>
      <c r="AX881" s="1" t="s">
        <v>212</v>
      </c>
      <c r="AZ881" s="1">
        <v>3427.34</v>
      </c>
      <c r="BA881" s="1">
        <v>2013</v>
      </c>
      <c r="BB881" s="1" t="s">
        <v>405</v>
      </c>
      <c r="BE881" s="1">
        <v>1312</v>
      </c>
      <c r="BF881" s="1">
        <v>1</v>
      </c>
      <c r="BG881" s="1">
        <v>0</v>
      </c>
      <c r="BL881" s="1">
        <v>149</v>
      </c>
      <c r="BM881" s="1" t="s">
        <v>204</v>
      </c>
      <c r="BN881" s="1" t="s">
        <v>213</v>
      </c>
      <c r="BO881" s="1">
        <v>999</v>
      </c>
      <c r="BP881" s="1" t="s">
        <v>204</v>
      </c>
      <c r="BR881" s="1" t="str">
        <f>"0301376114"</f>
        <v>0301376114</v>
      </c>
      <c r="BT881" s="1" t="s">
        <v>9809</v>
      </c>
      <c r="BU881" s="1" t="s">
        <v>9810</v>
      </c>
      <c r="BV881" s="1" t="s">
        <v>7954</v>
      </c>
      <c r="BW881" s="1" t="s">
        <v>1401</v>
      </c>
      <c r="BX881" s="1">
        <v>308</v>
      </c>
      <c r="BY881" s="1">
        <v>308</v>
      </c>
      <c r="BZ881" s="1">
        <v>308</v>
      </c>
      <c r="CB881" s="1" t="str">
        <f t="shared" ref="CB881:CC881" si="680">"0"</f>
        <v>0</v>
      </c>
      <c r="CC881" s="1" t="str">
        <f t="shared" si="680"/>
        <v>0</v>
      </c>
      <c r="CD881" s="1">
        <v>33</v>
      </c>
      <c r="CE881" s="1">
        <v>10</v>
      </c>
      <c r="CG881" s="1" t="s">
        <v>461</v>
      </c>
      <c r="CH881" s="1" t="s">
        <v>277</v>
      </c>
      <c r="CK881" s="1" t="s">
        <v>437</v>
      </c>
      <c r="CL881" s="1" t="s">
        <v>784</v>
      </c>
      <c r="CO881" s="1" t="s">
        <v>379</v>
      </c>
      <c r="CP881" s="1" t="s">
        <v>277</v>
      </c>
      <c r="CS881" s="1" t="s">
        <v>437</v>
      </c>
      <c r="CT881" s="1" t="s">
        <v>784</v>
      </c>
      <c r="CX881" s="1" t="s">
        <v>224</v>
      </c>
      <c r="DB881" s="1" t="s">
        <v>224</v>
      </c>
      <c r="DE881" s="1" t="s">
        <v>837</v>
      </c>
      <c r="DF881" s="1" t="s">
        <v>277</v>
      </c>
      <c r="DJ881" s="1" t="s">
        <v>224</v>
      </c>
      <c r="DM881" s="1" t="s">
        <v>934</v>
      </c>
      <c r="DR881" s="1" t="s">
        <v>465</v>
      </c>
      <c r="DS881" s="1" t="s">
        <v>219</v>
      </c>
      <c r="DW881" s="1" t="s">
        <v>230</v>
      </c>
      <c r="EA881" s="1" t="s">
        <v>230</v>
      </c>
      <c r="EE881" s="1" t="s">
        <v>230</v>
      </c>
      <c r="EI881" s="1" t="s">
        <v>230</v>
      </c>
      <c r="EL881" s="1" t="s">
        <v>491</v>
      </c>
      <c r="EM881" s="1" t="s">
        <v>319</v>
      </c>
      <c r="EN881" s="1" t="s">
        <v>282</v>
      </c>
      <c r="EO881" s="1" t="s">
        <v>234</v>
      </c>
      <c r="EP881" s="1" t="s">
        <v>650</v>
      </c>
      <c r="ER881" s="1" t="s">
        <v>544</v>
      </c>
      <c r="ES881" s="1" t="s">
        <v>493</v>
      </c>
      <c r="EV881" s="1" t="s">
        <v>240</v>
      </c>
      <c r="EW881" s="1" t="s">
        <v>353</v>
      </c>
      <c r="EY881" s="1" t="s">
        <v>242</v>
      </c>
      <c r="EZ881" s="1" t="s">
        <v>934</v>
      </c>
      <c r="FB881" s="1" t="s">
        <v>289</v>
      </c>
      <c r="FD881" s="1" t="s">
        <v>246</v>
      </c>
      <c r="FE881" s="1" t="s">
        <v>1031</v>
      </c>
      <c r="FF881" s="1" t="s">
        <v>248</v>
      </c>
      <c r="FH881" s="1" t="s">
        <v>249</v>
      </c>
      <c r="FL881" s="1" t="s">
        <v>358</v>
      </c>
      <c r="FM881" s="1" t="s">
        <v>252</v>
      </c>
      <c r="FN881" s="1" t="s">
        <v>213</v>
      </c>
      <c r="FO881" s="1" t="s">
        <v>213</v>
      </c>
      <c r="FQ881" s="1" t="s">
        <v>673</v>
      </c>
      <c r="FR881" s="1" t="s">
        <v>652</v>
      </c>
      <c r="FS881" s="1" t="s">
        <v>2753</v>
      </c>
      <c r="FT881" s="1" t="s">
        <v>8191</v>
      </c>
      <c r="FU881" s="1" t="s">
        <v>204</v>
      </c>
      <c r="FW881" s="1" t="s">
        <v>9811</v>
      </c>
      <c r="FX881" s="1">
        <v>23187</v>
      </c>
      <c r="FY881" s="1" t="s">
        <v>9812</v>
      </c>
      <c r="FZ881" s="1" t="s">
        <v>9813</v>
      </c>
      <c r="GA881" s="1">
        <v>233406</v>
      </c>
      <c r="GB881" s="1" t="s">
        <v>9814</v>
      </c>
      <c r="GC881" s="1">
        <v>232524</v>
      </c>
      <c r="GE881" s="1" t="s">
        <v>210</v>
      </c>
      <c r="GI881" s="1" t="s">
        <v>213</v>
      </c>
      <c r="GJ881" s="1" t="s">
        <v>260</v>
      </c>
      <c r="GK881" s="1" t="s">
        <v>210</v>
      </c>
      <c r="GL881" s="2">
        <v>42002</v>
      </c>
      <c r="GM881" s="1" t="s">
        <v>9815</v>
      </c>
    </row>
    <row r="882" spans="1:195">
      <c r="A882" s="1">
        <v>85000</v>
      </c>
      <c r="B882" s="1" t="s">
        <v>195</v>
      </c>
      <c r="C882" s="1" t="str">
        <f>"08584494"</f>
        <v>08584494</v>
      </c>
      <c r="D882" s="1" t="s">
        <v>196</v>
      </c>
      <c r="F882" s="1" t="str">
        <f>"178"</f>
        <v>178</v>
      </c>
      <c r="G882" s="2">
        <v>41743</v>
      </c>
      <c r="H882" s="1">
        <v>114900</v>
      </c>
      <c r="I882" s="1">
        <v>109900</v>
      </c>
      <c r="J882" s="1">
        <v>85000</v>
      </c>
      <c r="K882" s="2">
        <v>41743</v>
      </c>
      <c r="L882" s="1">
        <v>95</v>
      </c>
      <c r="M882" s="2">
        <v>41837</v>
      </c>
      <c r="N882" s="1">
        <v>95</v>
      </c>
      <c r="O882" s="2">
        <v>41837</v>
      </c>
      <c r="P882" s="1">
        <v>93069</v>
      </c>
      <c r="Q882" s="1" t="s">
        <v>302</v>
      </c>
      <c r="R882" s="2">
        <v>42011</v>
      </c>
      <c r="S882" s="1">
        <v>931543</v>
      </c>
      <c r="U882" s="1">
        <v>672</v>
      </c>
      <c r="V882" s="1" t="s">
        <v>9816</v>
      </c>
      <c r="W882" s="1" t="s">
        <v>1056</v>
      </c>
      <c r="Y882" s="1">
        <v>7</v>
      </c>
      <c r="Z882" s="1" t="s">
        <v>370</v>
      </c>
      <c r="AA882" s="1" t="s">
        <v>3334</v>
      </c>
      <c r="AB882" s="1">
        <v>60178</v>
      </c>
      <c r="AD882" s="1" t="s">
        <v>9817</v>
      </c>
      <c r="AE882" s="1" t="s">
        <v>9818</v>
      </c>
      <c r="AF882" s="1">
        <v>2004</v>
      </c>
      <c r="AG882" s="1" t="s">
        <v>204</v>
      </c>
      <c r="AH882" s="1" t="s">
        <v>3336</v>
      </c>
      <c r="AI882" s="1" t="s">
        <v>2246</v>
      </c>
      <c r="AJ882" s="1" t="s">
        <v>3336</v>
      </c>
      <c r="AL882" s="1">
        <v>5</v>
      </c>
      <c r="AM882" s="1">
        <v>2</v>
      </c>
      <c r="AN882" s="1">
        <v>2</v>
      </c>
      <c r="AO882" s="1">
        <v>1</v>
      </c>
      <c r="AP882" s="1" t="s">
        <v>209</v>
      </c>
      <c r="AR882" s="1" t="s">
        <v>209</v>
      </c>
      <c r="AS882" s="1" t="s">
        <v>213</v>
      </c>
      <c r="AT882" s="1" t="s">
        <v>211</v>
      </c>
      <c r="AU882" s="1">
        <v>1</v>
      </c>
      <c r="AW882" s="1" t="s">
        <v>204</v>
      </c>
      <c r="AX882" s="1" t="s">
        <v>212</v>
      </c>
      <c r="AZ882" s="1">
        <v>3104.36</v>
      </c>
      <c r="BA882" s="1">
        <v>2013</v>
      </c>
      <c r="BB882" s="1" t="s">
        <v>210</v>
      </c>
      <c r="BE882" s="1">
        <v>1800</v>
      </c>
      <c r="BF882" s="1">
        <v>1</v>
      </c>
      <c r="BG882" s="1">
        <v>0</v>
      </c>
      <c r="BL882" s="1">
        <v>125</v>
      </c>
      <c r="BM882" s="1" t="s">
        <v>204</v>
      </c>
      <c r="BN882" s="1" t="s">
        <v>213</v>
      </c>
      <c r="BO882" s="1">
        <v>999</v>
      </c>
      <c r="BP882" s="1" t="s">
        <v>204</v>
      </c>
      <c r="BR882" s="1" t="str">
        <f>"0631402106"</f>
        <v>0631402106</v>
      </c>
      <c r="BT882" s="1" t="s">
        <v>9819</v>
      </c>
      <c r="BX882" s="1">
        <v>427</v>
      </c>
      <c r="BY882" s="1">
        <v>427</v>
      </c>
      <c r="BZ882" s="1">
        <v>427</v>
      </c>
      <c r="CB882" s="1" t="str">
        <f t="shared" ref="CB882:CC882" si="681">"0"</f>
        <v>0</v>
      </c>
      <c r="CC882" s="1" t="str">
        <f t="shared" si="681"/>
        <v>0</v>
      </c>
      <c r="CD882" s="1">
        <v>0</v>
      </c>
      <c r="CE882" s="1">
        <v>0</v>
      </c>
      <c r="CG882" s="1" t="s">
        <v>1004</v>
      </c>
      <c r="CH882" s="1" t="s">
        <v>219</v>
      </c>
      <c r="CI882" s="1" t="s">
        <v>220</v>
      </c>
      <c r="CK882" s="1" t="s">
        <v>9820</v>
      </c>
      <c r="CL882" s="1" t="s">
        <v>784</v>
      </c>
      <c r="CM882" s="1" t="s">
        <v>220</v>
      </c>
      <c r="CP882" s="1" t="s">
        <v>224</v>
      </c>
      <c r="CS882" s="1" t="s">
        <v>1200</v>
      </c>
      <c r="CT882" s="1" t="s">
        <v>277</v>
      </c>
      <c r="CU882" s="1" t="s">
        <v>220</v>
      </c>
      <c r="CX882" s="1" t="s">
        <v>224</v>
      </c>
      <c r="DB882" s="1" t="s">
        <v>224</v>
      </c>
      <c r="DE882" s="1" t="s">
        <v>9821</v>
      </c>
      <c r="DF882" s="1" t="s">
        <v>219</v>
      </c>
      <c r="DG882" s="1" t="s">
        <v>438</v>
      </c>
      <c r="DI882" s="1" t="s">
        <v>3363</v>
      </c>
      <c r="DJ882" s="1" t="s">
        <v>822</v>
      </c>
      <c r="DK882" s="1" t="s">
        <v>220</v>
      </c>
      <c r="DS882" s="1" t="s">
        <v>230</v>
      </c>
      <c r="DW882" s="1" t="s">
        <v>230</v>
      </c>
      <c r="EA882" s="1" t="s">
        <v>230</v>
      </c>
      <c r="EE882" s="1" t="s">
        <v>230</v>
      </c>
      <c r="EI882" s="1" t="s">
        <v>230</v>
      </c>
      <c r="EL882" s="1" t="s">
        <v>491</v>
      </c>
      <c r="EM882" s="1" t="s">
        <v>319</v>
      </c>
      <c r="EN882" s="1" t="s">
        <v>282</v>
      </c>
      <c r="EO882" s="1" t="s">
        <v>234</v>
      </c>
      <c r="EQ882" s="1" t="s">
        <v>236</v>
      </c>
      <c r="ER882" s="1" t="s">
        <v>544</v>
      </c>
      <c r="ES882" s="1" t="s">
        <v>3850</v>
      </c>
      <c r="EW882" s="1" t="s">
        <v>547</v>
      </c>
      <c r="EZ882" s="1" t="s">
        <v>287</v>
      </c>
      <c r="FD882" s="1" t="s">
        <v>246</v>
      </c>
      <c r="FE882" s="1" t="s">
        <v>247</v>
      </c>
      <c r="FF882" s="1" t="s">
        <v>248</v>
      </c>
      <c r="FH882" s="1" t="s">
        <v>249</v>
      </c>
      <c r="FL882" s="1" t="s">
        <v>358</v>
      </c>
      <c r="FM882" s="1" t="s">
        <v>252</v>
      </c>
      <c r="FN882" s="1" t="s">
        <v>213</v>
      </c>
      <c r="FO882" s="1" t="s">
        <v>213</v>
      </c>
      <c r="FQ882" s="1" t="s">
        <v>1473</v>
      </c>
      <c r="FR882" s="1" t="s">
        <v>9166</v>
      </c>
      <c r="FS882" s="1" t="s">
        <v>9822</v>
      </c>
      <c r="FT882" s="1" t="s">
        <v>295</v>
      </c>
      <c r="FU882" s="1" t="s">
        <v>204</v>
      </c>
      <c r="FW882" s="1" t="s">
        <v>9823</v>
      </c>
      <c r="FX882" s="1">
        <v>93162</v>
      </c>
      <c r="FY882" s="1" t="s">
        <v>9824</v>
      </c>
      <c r="FZ882" s="1" t="s">
        <v>9825</v>
      </c>
      <c r="GA882" s="1">
        <v>931530</v>
      </c>
      <c r="GD882" s="1" t="s">
        <v>9826</v>
      </c>
      <c r="GE882" s="1" t="s">
        <v>210</v>
      </c>
      <c r="GH882" s="1" t="s">
        <v>421</v>
      </c>
      <c r="GI882" s="1" t="s">
        <v>213</v>
      </c>
      <c r="GJ882" s="1" t="s">
        <v>260</v>
      </c>
      <c r="GK882" s="1" t="s">
        <v>210</v>
      </c>
      <c r="GL882" s="2">
        <v>42013</v>
      </c>
      <c r="GM882" s="1" t="s">
        <v>9827</v>
      </c>
    </row>
    <row r="883" spans="1:195">
      <c r="A883" s="1">
        <v>14000</v>
      </c>
      <c r="B883" s="1" t="s">
        <v>195</v>
      </c>
      <c r="C883" s="1" t="str">
        <f>"08571809"</f>
        <v>08571809</v>
      </c>
      <c r="D883" s="1" t="s">
        <v>196</v>
      </c>
      <c r="F883" s="1" t="str">
        <f>"8043"</f>
        <v>8043</v>
      </c>
      <c r="G883" s="2">
        <v>41729</v>
      </c>
      <c r="H883" s="1">
        <v>29500</v>
      </c>
      <c r="I883" s="1">
        <v>14750</v>
      </c>
      <c r="J883" s="1">
        <v>14000</v>
      </c>
      <c r="K883" s="2">
        <v>41729</v>
      </c>
      <c r="L883" s="1">
        <v>180</v>
      </c>
      <c r="M883" s="2">
        <v>41908</v>
      </c>
      <c r="N883" s="1">
        <v>180</v>
      </c>
      <c r="O883" s="2">
        <v>41908</v>
      </c>
      <c r="P883" s="1">
        <v>18426</v>
      </c>
      <c r="Q883" s="1" t="s">
        <v>302</v>
      </c>
      <c r="R883" s="2">
        <v>41996</v>
      </c>
      <c r="S883" s="1">
        <v>148662</v>
      </c>
      <c r="U883" s="1">
        <v>2041</v>
      </c>
      <c r="V883" s="1" t="s">
        <v>5684</v>
      </c>
      <c r="W883" s="1" t="s">
        <v>725</v>
      </c>
      <c r="X883" s="1">
        <v>2</v>
      </c>
      <c r="Y883" s="1">
        <v>18</v>
      </c>
      <c r="Z883" s="1" t="s">
        <v>249</v>
      </c>
      <c r="AA883" s="1" t="s">
        <v>400</v>
      </c>
      <c r="AB883" s="1">
        <v>60649</v>
      </c>
      <c r="AE883" s="1" t="s">
        <v>9828</v>
      </c>
      <c r="AF883" s="1" t="s">
        <v>402</v>
      </c>
      <c r="AG883" s="1" t="s">
        <v>213</v>
      </c>
      <c r="AH883" s="1" t="s">
        <v>403</v>
      </c>
      <c r="AI883" s="1" t="s">
        <v>310</v>
      </c>
      <c r="AJ883" s="1" t="s">
        <v>562</v>
      </c>
      <c r="AL883" s="1">
        <v>4</v>
      </c>
      <c r="AM883" s="1">
        <v>2</v>
      </c>
      <c r="AN883" s="1">
        <v>1</v>
      </c>
      <c r="AO883" s="1">
        <v>0</v>
      </c>
      <c r="AP883" s="1" t="s">
        <v>210</v>
      </c>
      <c r="AR883" s="1" t="s">
        <v>210</v>
      </c>
      <c r="AT883" s="1" t="s">
        <v>210</v>
      </c>
      <c r="AW883" s="1" t="s">
        <v>204</v>
      </c>
      <c r="AX883" s="1" t="s">
        <v>9829</v>
      </c>
      <c r="AZ883" s="1">
        <v>787.8</v>
      </c>
      <c r="BA883" s="1">
        <v>2012</v>
      </c>
      <c r="BE883" s="1">
        <v>850</v>
      </c>
      <c r="BF883" s="1">
        <v>2</v>
      </c>
      <c r="BG883" s="1">
        <v>0</v>
      </c>
      <c r="BL883" s="1">
        <v>326</v>
      </c>
      <c r="BM883" s="1" t="s">
        <v>204</v>
      </c>
      <c r="BN883" s="1" t="s">
        <v>213</v>
      </c>
      <c r="BP883" s="1" t="s">
        <v>204</v>
      </c>
      <c r="BR883" s="1" t="str">
        <f>"20252070461005"</f>
        <v>20252070461005</v>
      </c>
      <c r="BT883" s="1" t="s">
        <v>9830</v>
      </c>
      <c r="BX883" s="1">
        <v>299</v>
      </c>
      <c r="BY883" s="1">
        <v>299</v>
      </c>
      <c r="BZ883" s="1">
        <v>299</v>
      </c>
      <c r="CB883" s="1" t="str">
        <f t="shared" ref="CB883:CB884" si="682">"0"</f>
        <v>0</v>
      </c>
      <c r="CC883" s="1" t="str">
        <f>"2000"</f>
        <v>2000</v>
      </c>
      <c r="CD883" s="1">
        <v>0</v>
      </c>
      <c r="CE883" s="1">
        <v>7200</v>
      </c>
      <c r="CG883" s="1" t="s">
        <v>378</v>
      </c>
      <c r="CH883" s="1" t="s">
        <v>219</v>
      </c>
      <c r="CK883" s="1" t="s">
        <v>280</v>
      </c>
      <c r="CL883" s="1" t="s">
        <v>219</v>
      </c>
      <c r="CP883" s="1" t="s">
        <v>224</v>
      </c>
      <c r="CS883" s="1" t="s">
        <v>630</v>
      </c>
      <c r="CT883" s="1" t="s">
        <v>219</v>
      </c>
      <c r="CX883" s="1" t="s">
        <v>224</v>
      </c>
      <c r="DB883" s="1" t="s">
        <v>224</v>
      </c>
      <c r="DE883" s="1" t="s">
        <v>348</v>
      </c>
      <c r="DF883" s="1" t="s">
        <v>219</v>
      </c>
      <c r="DJ883" s="1" t="s">
        <v>224</v>
      </c>
      <c r="DS883" s="1" t="s">
        <v>230</v>
      </c>
      <c r="DW883" s="1" t="s">
        <v>230</v>
      </c>
      <c r="EA883" s="1" t="s">
        <v>230</v>
      </c>
      <c r="EE883" s="1" t="s">
        <v>230</v>
      </c>
      <c r="EI883" s="1" t="s">
        <v>230</v>
      </c>
      <c r="EL883" s="1" t="s">
        <v>413</v>
      </c>
      <c r="EM883" s="1" t="s">
        <v>232</v>
      </c>
      <c r="EN883" s="1" t="s">
        <v>210</v>
      </c>
      <c r="EO883" s="1" t="s">
        <v>234</v>
      </c>
      <c r="ER883" s="1" t="s">
        <v>210</v>
      </c>
      <c r="EW883" s="1" t="s">
        <v>1804</v>
      </c>
      <c r="EZ883" s="1" t="s">
        <v>287</v>
      </c>
      <c r="FD883" s="1" t="s">
        <v>736</v>
      </c>
      <c r="FE883" s="1" t="s">
        <v>247</v>
      </c>
      <c r="FF883" s="1" t="s">
        <v>248</v>
      </c>
      <c r="FH883" s="1" t="s">
        <v>249</v>
      </c>
      <c r="FL883" s="1" t="s">
        <v>292</v>
      </c>
      <c r="FM883" s="1" t="s">
        <v>252</v>
      </c>
      <c r="FN883" s="1" t="s">
        <v>213</v>
      </c>
      <c r="FO883" s="1" t="s">
        <v>213</v>
      </c>
      <c r="FQ883" s="1" t="s">
        <v>1300</v>
      </c>
      <c r="FR883" s="1" t="s">
        <v>210</v>
      </c>
      <c r="FS883" s="1" t="s">
        <v>1575</v>
      </c>
      <c r="FT883" s="1" t="s">
        <v>9831</v>
      </c>
      <c r="FU883" s="1" t="s">
        <v>213</v>
      </c>
      <c r="FW883" s="1" t="s">
        <v>6417</v>
      </c>
      <c r="FX883" s="1">
        <v>84495</v>
      </c>
      <c r="FY883" s="1" t="s">
        <v>6418</v>
      </c>
      <c r="FZ883" s="1" t="s">
        <v>6419</v>
      </c>
      <c r="GA883" s="1">
        <v>139484</v>
      </c>
      <c r="GB883" s="1" t="s">
        <v>6418</v>
      </c>
      <c r="GE883" s="1" t="s">
        <v>210</v>
      </c>
      <c r="GH883" s="1" t="s">
        <v>800</v>
      </c>
      <c r="GI883" s="1" t="s">
        <v>213</v>
      </c>
      <c r="GJ883" s="1" t="s">
        <v>260</v>
      </c>
      <c r="GK883" s="1" t="s">
        <v>210</v>
      </c>
      <c r="GL883" s="2">
        <v>41996</v>
      </c>
      <c r="GM883" s="1" t="s">
        <v>9832</v>
      </c>
    </row>
    <row r="884" spans="1:195">
      <c r="A884" s="1">
        <v>94500</v>
      </c>
      <c r="B884" s="1" t="s">
        <v>195</v>
      </c>
      <c r="C884" s="1" t="str">
        <f>"08574826"</f>
        <v>08574826</v>
      </c>
      <c r="D884" s="1" t="s">
        <v>196</v>
      </c>
      <c r="F884" s="1" t="str">
        <f>"532"</f>
        <v>532</v>
      </c>
      <c r="G884" s="2">
        <v>41732</v>
      </c>
      <c r="H884" s="1">
        <v>109900</v>
      </c>
      <c r="I884" s="1">
        <v>104900</v>
      </c>
      <c r="J884" s="1">
        <v>94500</v>
      </c>
      <c r="K884" s="2">
        <v>41732</v>
      </c>
      <c r="L884" s="1">
        <v>352</v>
      </c>
      <c r="M884" s="2">
        <v>42083</v>
      </c>
      <c r="N884" s="1">
        <v>352</v>
      </c>
      <c r="O884" s="2">
        <v>42083</v>
      </c>
      <c r="P884" s="1">
        <v>21823</v>
      </c>
      <c r="Q884" s="1" t="s">
        <v>197</v>
      </c>
      <c r="R884" s="2">
        <v>42138</v>
      </c>
      <c r="S884" s="1">
        <v>219744</v>
      </c>
      <c r="U884" s="1">
        <v>5500</v>
      </c>
      <c r="V884" s="1" t="s">
        <v>9833</v>
      </c>
      <c r="W884" s="1" t="s">
        <v>504</v>
      </c>
      <c r="X884" s="1" t="s">
        <v>577</v>
      </c>
      <c r="Y884" s="1">
        <v>47</v>
      </c>
      <c r="Z884" s="1" t="s">
        <v>249</v>
      </c>
      <c r="AA884" s="1" t="s">
        <v>1566</v>
      </c>
      <c r="AB884" s="1">
        <v>60532</v>
      </c>
      <c r="AD884" s="1" t="s">
        <v>2908</v>
      </c>
      <c r="AE884" s="1" t="s">
        <v>9834</v>
      </c>
      <c r="AF884" s="1">
        <v>1966</v>
      </c>
      <c r="AG884" s="1" t="s">
        <v>213</v>
      </c>
      <c r="AH884" s="1" t="s">
        <v>925</v>
      </c>
      <c r="AI884" s="1" t="s">
        <v>206</v>
      </c>
      <c r="AJ884" s="1" t="s">
        <v>925</v>
      </c>
      <c r="AL884" s="1">
        <v>5</v>
      </c>
      <c r="AM884" s="1">
        <v>2</v>
      </c>
      <c r="AN884" s="1">
        <v>1</v>
      </c>
      <c r="AO884" s="1">
        <v>1</v>
      </c>
      <c r="AP884" s="1" t="s">
        <v>1234</v>
      </c>
      <c r="AQ884" s="1">
        <v>1</v>
      </c>
      <c r="AR884" s="1" t="s">
        <v>210</v>
      </c>
      <c r="AT884" s="1" t="s">
        <v>271</v>
      </c>
      <c r="AV884" s="1">
        <v>1</v>
      </c>
      <c r="AW884" s="1" t="s">
        <v>204</v>
      </c>
      <c r="AX884" s="1" t="s">
        <v>212</v>
      </c>
      <c r="AZ884" s="1">
        <v>2762</v>
      </c>
      <c r="BA884" s="1">
        <v>2013</v>
      </c>
      <c r="BB884" s="1" t="s">
        <v>210</v>
      </c>
      <c r="BE884" s="1">
        <v>1250</v>
      </c>
      <c r="BF884" s="1">
        <v>2</v>
      </c>
      <c r="BG884" s="1">
        <v>1</v>
      </c>
      <c r="BL884" s="1">
        <v>259</v>
      </c>
      <c r="BM884" s="1" t="s">
        <v>204</v>
      </c>
      <c r="BN884" s="1" t="s">
        <v>213</v>
      </c>
      <c r="BO884" s="1">
        <v>45</v>
      </c>
      <c r="BP884" s="1" t="s">
        <v>204</v>
      </c>
      <c r="BR884" s="1" t="str">
        <f>"0815105360"</f>
        <v>0815105360</v>
      </c>
      <c r="BT884" s="1" t="s">
        <v>9835</v>
      </c>
      <c r="BU884" s="1" t="s">
        <v>3190</v>
      </c>
      <c r="BV884" s="1" t="s">
        <v>2856</v>
      </c>
      <c r="BW884" s="1" t="s">
        <v>3099</v>
      </c>
      <c r="BX884" s="1">
        <v>68</v>
      </c>
      <c r="BY884" s="1">
        <v>68</v>
      </c>
      <c r="BZ884" s="1">
        <v>99</v>
      </c>
      <c r="CB884" s="1" t="str">
        <f t="shared" si="682"/>
        <v>0</v>
      </c>
      <c r="CC884" s="1" t="str">
        <f>"0"</f>
        <v>0</v>
      </c>
      <c r="CD884" s="1">
        <v>23</v>
      </c>
      <c r="CE884" s="1">
        <v>6</v>
      </c>
      <c r="CG884" s="1" t="s">
        <v>9164</v>
      </c>
      <c r="CH884" s="1" t="s">
        <v>277</v>
      </c>
      <c r="CI884" s="1" t="s">
        <v>220</v>
      </c>
      <c r="CJ884" s="1" t="s">
        <v>343</v>
      </c>
      <c r="CK884" s="1" t="s">
        <v>278</v>
      </c>
      <c r="CL884" s="1" t="s">
        <v>277</v>
      </c>
      <c r="CM884" s="1" t="s">
        <v>220</v>
      </c>
      <c r="CN884" s="1" t="s">
        <v>343</v>
      </c>
      <c r="CO884" s="1" t="s">
        <v>3284</v>
      </c>
      <c r="CP884" s="1" t="s">
        <v>277</v>
      </c>
      <c r="CQ884" s="1" t="s">
        <v>220</v>
      </c>
      <c r="CR884" s="1" t="s">
        <v>343</v>
      </c>
      <c r="CS884" s="1" t="s">
        <v>757</v>
      </c>
      <c r="CT884" s="1" t="s">
        <v>277</v>
      </c>
      <c r="CU884" s="1" t="s">
        <v>220</v>
      </c>
      <c r="CV884" s="1" t="s">
        <v>343</v>
      </c>
      <c r="CX884" s="1" t="s">
        <v>224</v>
      </c>
      <c r="DB884" s="1" t="s">
        <v>224</v>
      </c>
      <c r="DE884" s="1" t="s">
        <v>4148</v>
      </c>
      <c r="DF884" s="1" t="s">
        <v>277</v>
      </c>
      <c r="DG884" s="1" t="s">
        <v>342</v>
      </c>
      <c r="DH884" s="1" t="s">
        <v>210</v>
      </c>
      <c r="DJ884" s="1" t="s">
        <v>224</v>
      </c>
      <c r="DS884" s="1" t="s">
        <v>230</v>
      </c>
      <c r="DW884" s="1" t="s">
        <v>230</v>
      </c>
      <c r="EA884" s="1" t="s">
        <v>230</v>
      </c>
      <c r="EE884" s="1" t="s">
        <v>230</v>
      </c>
      <c r="EI884" s="1" t="s">
        <v>230</v>
      </c>
      <c r="EL884" s="1" t="s">
        <v>605</v>
      </c>
      <c r="EM884" s="1" t="s">
        <v>232</v>
      </c>
      <c r="EN884" s="1" t="s">
        <v>282</v>
      </c>
      <c r="EO884" s="1" t="s">
        <v>234</v>
      </c>
      <c r="EP884" s="1" t="s">
        <v>9836</v>
      </c>
      <c r="EQ884" s="1" t="s">
        <v>468</v>
      </c>
      <c r="ER884" s="1" t="s">
        <v>210</v>
      </c>
      <c r="EW884" s="1" t="s">
        <v>9837</v>
      </c>
      <c r="EY884" s="1" t="s">
        <v>242</v>
      </c>
      <c r="EZ884" s="1" t="s">
        <v>287</v>
      </c>
      <c r="FA884" s="1" t="s">
        <v>9838</v>
      </c>
      <c r="FB884" s="1" t="s">
        <v>244</v>
      </c>
      <c r="FD884" s="1" t="s">
        <v>246</v>
      </c>
      <c r="FE884" s="1" t="s">
        <v>247</v>
      </c>
      <c r="FF884" s="1" t="s">
        <v>248</v>
      </c>
      <c r="FG884" s="1" t="s">
        <v>939</v>
      </c>
      <c r="FH884" s="1" t="s">
        <v>249</v>
      </c>
      <c r="FJ884" s="1" t="s">
        <v>197</v>
      </c>
      <c r="FK884" s="1" t="s">
        <v>891</v>
      </c>
      <c r="FL884" s="1" t="s">
        <v>358</v>
      </c>
      <c r="FM884" s="1" t="s">
        <v>252</v>
      </c>
      <c r="FN884" s="1" t="s">
        <v>213</v>
      </c>
      <c r="FO884" s="1" t="s">
        <v>213</v>
      </c>
      <c r="FQ884" s="1" t="s">
        <v>1137</v>
      </c>
      <c r="FR884" s="1" t="s">
        <v>210</v>
      </c>
      <c r="FS884" s="1" t="s">
        <v>9839</v>
      </c>
      <c r="FT884" s="1" t="s">
        <v>1182</v>
      </c>
      <c r="FU884" s="1" t="s">
        <v>204</v>
      </c>
      <c r="FW884" s="1" t="s">
        <v>9840</v>
      </c>
      <c r="FX884" s="1">
        <v>20101</v>
      </c>
      <c r="FY884" s="1" t="s">
        <v>9841</v>
      </c>
      <c r="FZ884" s="1" t="s">
        <v>9842</v>
      </c>
      <c r="GA884" s="1">
        <v>210474</v>
      </c>
      <c r="GB884" s="1" t="s">
        <v>9841</v>
      </c>
      <c r="GC884" s="1">
        <v>210475</v>
      </c>
      <c r="GD884" s="1" t="s">
        <v>9843</v>
      </c>
      <c r="GE884" s="1" t="s">
        <v>210</v>
      </c>
      <c r="GI884" s="1" t="s">
        <v>213</v>
      </c>
      <c r="GJ884" s="1" t="s">
        <v>260</v>
      </c>
      <c r="GK884" s="1" t="s">
        <v>210</v>
      </c>
      <c r="GL884" s="2">
        <v>42138</v>
      </c>
      <c r="GM884" s="1" t="s">
        <v>9844</v>
      </c>
    </row>
    <row r="885" spans="1:195">
      <c r="A885" s="1">
        <v>244500</v>
      </c>
      <c r="B885" s="1" t="s">
        <v>195</v>
      </c>
      <c r="C885" s="1" t="str">
        <f>"08579144"</f>
        <v>08579144</v>
      </c>
      <c r="D885" s="1" t="s">
        <v>196</v>
      </c>
      <c r="F885" s="1" t="str">
        <f>"186"</f>
        <v>186</v>
      </c>
      <c r="G885" s="2">
        <v>41737</v>
      </c>
      <c r="H885" s="1">
        <v>299800</v>
      </c>
      <c r="I885" s="1">
        <v>261000</v>
      </c>
      <c r="J885" s="1">
        <v>244500</v>
      </c>
      <c r="K885" s="2">
        <v>41737</v>
      </c>
      <c r="L885" s="1">
        <v>211</v>
      </c>
      <c r="M885" s="2">
        <v>41947</v>
      </c>
      <c r="N885" s="1">
        <v>211</v>
      </c>
      <c r="O885" s="2">
        <v>41947</v>
      </c>
      <c r="P885" s="1">
        <v>22906</v>
      </c>
      <c r="Q885" s="1" t="s">
        <v>197</v>
      </c>
      <c r="R885" s="2">
        <v>41978</v>
      </c>
      <c r="S885" s="1">
        <v>215747</v>
      </c>
      <c r="U885" s="1">
        <v>110</v>
      </c>
      <c r="V885" s="1" t="s">
        <v>9845</v>
      </c>
      <c r="W885" s="1" t="s">
        <v>425</v>
      </c>
      <c r="X885" s="1">
        <v>31</v>
      </c>
      <c r="Y885" s="1">
        <v>7</v>
      </c>
      <c r="Z885" s="1" t="s">
        <v>370</v>
      </c>
      <c r="AA885" s="1" t="s">
        <v>2099</v>
      </c>
      <c r="AB885" s="1">
        <v>60181</v>
      </c>
      <c r="AD885" s="1" t="s">
        <v>8892</v>
      </c>
      <c r="AE885" s="1" t="s">
        <v>9846</v>
      </c>
      <c r="AF885" s="1">
        <v>2008</v>
      </c>
      <c r="AG885" s="1" t="s">
        <v>204</v>
      </c>
      <c r="AH885" s="1" t="s">
        <v>2101</v>
      </c>
      <c r="AI885" s="1" t="s">
        <v>206</v>
      </c>
      <c r="AJ885" s="1" t="s">
        <v>1608</v>
      </c>
      <c r="AK885" s="1" t="s">
        <v>4188</v>
      </c>
      <c r="AL885" s="1">
        <v>6</v>
      </c>
      <c r="AM885" s="1">
        <v>2</v>
      </c>
      <c r="AN885" s="1">
        <v>2</v>
      </c>
      <c r="AO885" s="1">
        <v>1</v>
      </c>
      <c r="AP885" s="1" t="s">
        <v>209</v>
      </c>
      <c r="AR885" s="1" t="s">
        <v>1631</v>
      </c>
      <c r="AS885" s="1" t="s">
        <v>204</v>
      </c>
      <c r="AT885" s="1" t="s">
        <v>211</v>
      </c>
      <c r="AU885" s="1">
        <v>2</v>
      </c>
      <c r="AW885" s="1" t="s">
        <v>204</v>
      </c>
      <c r="AX885" s="1" t="s">
        <v>212</v>
      </c>
      <c r="AZ885" s="1">
        <v>5451</v>
      </c>
      <c r="BA885" s="1">
        <v>2013</v>
      </c>
      <c r="BB885" s="1" t="s">
        <v>210</v>
      </c>
      <c r="BE885" s="1">
        <v>1725</v>
      </c>
      <c r="BF885" s="1">
        <v>1</v>
      </c>
      <c r="BG885" s="1">
        <v>0</v>
      </c>
      <c r="BL885" s="1">
        <v>145</v>
      </c>
      <c r="BM885" s="1" t="s">
        <v>204</v>
      </c>
      <c r="BN885" s="1" t="s">
        <v>213</v>
      </c>
      <c r="BO885" s="1">
        <v>999</v>
      </c>
      <c r="BP885" s="1" t="s">
        <v>204</v>
      </c>
      <c r="BR885" s="1" t="str">
        <f>"0610107103"</f>
        <v>0610107103</v>
      </c>
      <c r="BT885" s="1" t="s">
        <v>9847</v>
      </c>
      <c r="BU885" s="1" t="s">
        <v>8567</v>
      </c>
      <c r="BV885" s="1" t="s">
        <v>2200</v>
      </c>
      <c r="BW885" s="1" t="s">
        <v>2201</v>
      </c>
      <c r="BX885" s="1">
        <v>45</v>
      </c>
      <c r="BY885" s="1">
        <v>45</v>
      </c>
      <c r="BZ885" s="1">
        <v>88</v>
      </c>
      <c r="CB885" s="1" t="str">
        <f t="shared" ref="CB885:CC885" si="683">""</f>
        <v/>
      </c>
      <c r="CC885" s="1" t="str">
        <f t="shared" si="683"/>
        <v/>
      </c>
      <c r="CG885" s="1" t="s">
        <v>862</v>
      </c>
      <c r="CH885" s="1" t="s">
        <v>277</v>
      </c>
      <c r="CI885" s="1" t="s">
        <v>220</v>
      </c>
      <c r="CJ885" s="1" t="s">
        <v>210</v>
      </c>
      <c r="CK885" s="1" t="s">
        <v>1853</v>
      </c>
      <c r="CL885" s="1" t="s">
        <v>784</v>
      </c>
      <c r="CM885" s="1" t="s">
        <v>220</v>
      </c>
      <c r="CO885" s="1" t="s">
        <v>629</v>
      </c>
      <c r="CP885" s="1" t="s">
        <v>219</v>
      </c>
      <c r="CQ885" s="1" t="s">
        <v>220</v>
      </c>
      <c r="CR885" s="1" t="s">
        <v>210</v>
      </c>
      <c r="CS885" s="1" t="s">
        <v>318</v>
      </c>
      <c r="CT885" s="1" t="s">
        <v>784</v>
      </c>
      <c r="CU885" s="1" t="s">
        <v>220</v>
      </c>
      <c r="CV885" s="1" t="s">
        <v>210</v>
      </c>
      <c r="CX885" s="1" t="s">
        <v>224</v>
      </c>
      <c r="DB885" s="1" t="s">
        <v>224</v>
      </c>
      <c r="DE885" s="1" t="s">
        <v>564</v>
      </c>
      <c r="DF885" s="1" t="s">
        <v>277</v>
      </c>
      <c r="DG885" s="1" t="s">
        <v>438</v>
      </c>
      <c r="DI885" s="1" t="s">
        <v>602</v>
      </c>
      <c r="DJ885" s="1" t="s">
        <v>219</v>
      </c>
      <c r="DK885" s="1" t="s">
        <v>220</v>
      </c>
      <c r="DL885" s="1" t="s">
        <v>210</v>
      </c>
      <c r="DS885" s="1" t="s">
        <v>230</v>
      </c>
      <c r="DW885" s="1" t="s">
        <v>230</v>
      </c>
      <c r="EA885" s="1" t="s">
        <v>230</v>
      </c>
      <c r="EE885" s="1" t="s">
        <v>230</v>
      </c>
      <c r="EI885" s="1" t="s">
        <v>230</v>
      </c>
      <c r="EL885" s="1" t="s">
        <v>491</v>
      </c>
      <c r="EM885" s="1" t="s">
        <v>319</v>
      </c>
      <c r="EN885" s="1" t="s">
        <v>282</v>
      </c>
      <c r="EO885" s="1" t="s">
        <v>234</v>
      </c>
      <c r="EP885" s="1" t="s">
        <v>762</v>
      </c>
      <c r="EQ885" s="1" t="s">
        <v>1094</v>
      </c>
      <c r="ER885" s="1" t="s">
        <v>544</v>
      </c>
      <c r="ES885" s="1" t="s">
        <v>954</v>
      </c>
      <c r="ET885" s="1" t="s">
        <v>238</v>
      </c>
      <c r="EU885" s="1" t="s">
        <v>9848</v>
      </c>
      <c r="EV885" s="1" t="s">
        <v>240</v>
      </c>
      <c r="EW885" s="1" t="s">
        <v>887</v>
      </c>
      <c r="EY885" s="1" t="s">
        <v>2455</v>
      </c>
      <c r="EZ885" s="1" t="s">
        <v>287</v>
      </c>
      <c r="FA885" s="1" t="s">
        <v>9849</v>
      </c>
      <c r="FD885" s="1" t="s">
        <v>246</v>
      </c>
      <c r="FE885" s="1" t="s">
        <v>9850</v>
      </c>
      <c r="FF885" s="1" t="s">
        <v>248</v>
      </c>
      <c r="FH885" s="1" t="s">
        <v>1428</v>
      </c>
      <c r="FL885" s="1" t="s">
        <v>358</v>
      </c>
      <c r="FM885" s="1" t="s">
        <v>252</v>
      </c>
      <c r="FN885" s="1" t="s">
        <v>213</v>
      </c>
      <c r="FO885" s="1" t="s">
        <v>213</v>
      </c>
      <c r="FQ885" s="1" t="s">
        <v>9851</v>
      </c>
      <c r="FR885" s="1" t="s">
        <v>210</v>
      </c>
      <c r="FS885" s="1" t="s">
        <v>9852</v>
      </c>
      <c r="FT885" s="1" t="s">
        <v>9853</v>
      </c>
      <c r="FU885" s="1" t="s">
        <v>204</v>
      </c>
      <c r="FW885" s="1" t="s">
        <v>8361</v>
      </c>
      <c r="FX885" s="1">
        <v>15358</v>
      </c>
      <c r="FY885" s="1" t="s">
        <v>8362</v>
      </c>
      <c r="FZ885" s="1" t="s">
        <v>8363</v>
      </c>
      <c r="GA885" s="1">
        <v>114479</v>
      </c>
      <c r="GB885" s="1" t="s">
        <v>8362</v>
      </c>
      <c r="GE885" s="1" t="s">
        <v>658</v>
      </c>
      <c r="GH885" s="1" t="s">
        <v>421</v>
      </c>
      <c r="GI885" s="1" t="s">
        <v>204</v>
      </c>
      <c r="GJ885" s="1" t="s">
        <v>300</v>
      </c>
      <c r="GK885" s="1" t="s">
        <v>210</v>
      </c>
      <c r="GL885" s="2">
        <v>41982</v>
      </c>
      <c r="GM885" s="1" t="s">
        <v>9854</v>
      </c>
    </row>
    <row r="886" spans="1:195">
      <c r="A886" s="1">
        <v>16000</v>
      </c>
      <c r="B886" s="1" t="s">
        <v>195</v>
      </c>
      <c r="C886" s="1" t="str">
        <f>"08335594"</f>
        <v>08335594</v>
      </c>
      <c r="D886" s="1" t="s">
        <v>196</v>
      </c>
      <c r="F886" s="1" t="str">
        <f>"8046"</f>
        <v>8046</v>
      </c>
      <c r="G886" s="2">
        <v>41400</v>
      </c>
      <c r="H886" s="1">
        <v>18900</v>
      </c>
      <c r="I886" s="1">
        <v>18900</v>
      </c>
      <c r="J886" s="1">
        <v>16000</v>
      </c>
      <c r="K886" s="2">
        <v>41400</v>
      </c>
      <c r="L886" s="1">
        <v>49</v>
      </c>
      <c r="M886" s="2">
        <v>41448</v>
      </c>
      <c r="N886" s="1">
        <v>49</v>
      </c>
      <c r="O886" s="2">
        <v>41448</v>
      </c>
      <c r="P886" s="1">
        <v>25042</v>
      </c>
      <c r="Q886" s="1" t="s">
        <v>302</v>
      </c>
      <c r="R886" s="2">
        <v>42041</v>
      </c>
      <c r="S886" s="1">
        <v>237267</v>
      </c>
      <c r="U886" s="1">
        <v>2544</v>
      </c>
      <c r="V886" s="1" t="s">
        <v>9855</v>
      </c>
      <c r="W886" s="1" t="s">
        <v>725</v>
      </c>
      <c r="Y886" s="1">
        <v>4</v>
      </c>
      <c r="Z886" s="1" t="s">
        <v>200</v>
      </c>
      <c r="AA886" s="1" t="s">
        <v>400</v>
      </c>
      <c r="AB886" s="1">
        <v>60617</v>
      </c>
      <c r="AE886" s="1" t="s">
        <v>9856</v>
      </c>
      <c r="AF886" s="1">
        <v>1940</v>
      </c>
      <c r="AG886" s="1" t="s">
        <v>213</v>
      </c>
      <c r="AH886" s="1" t="s">
        <v>403</v>
      </c>
      <c r="AI886" s="1" t="s">
        <v>310</v>
      </c>
      <c r="AJ886" s="1" t="s">
        <v>562</v>
      </c>
      <c r="AL886" s="1">
        <v>6</v>
      </c>
      <c r="AM886" s="1">
        <v>2</v>
      </c>
      <c r="AN886" s="1">
        <v>1</v>
      </c>
      <c r="AO886" s="1">
        <v>0</v>
      </c>
      <c r="AP886" s="1" t="s">
        <v>210</v>
      </c>
      <c r="AR886" s="1" t="s">
        <v>2275</v>
      </c>
      <c r="AS886" s="1" t="s">
        <v>204</v>
      </c>
      <c r="AT886" s="1" t="s">
        <v>210</v>
      </c>
      <c r="AW886" s="1" t="s">
        <v>204</v>
      </c>
      <c r="AX886" s="1" t="s">
        <v>9857</v>
      </c>
      <c r="AZ886" s="1">
        <v>847.05</v>
      </c>
      <c r="BA886" s="1">
        <v>2011</v>
      </c>
      <c r="BE886" s="1">
        <v>868</v>
      </c>
      <c r="BF886" s="1">
        <v>1</v>
      </c>
      <c r="BG886" s="1">
        <v>0</v>
      </c>
      <c r="BL886" s="1">
        <v>0</v>
      </c>
      <c r="BM886" s="1" t="s">
        <v>204</v>
      </c>
      <c r="BN886" s="1" t="s">
        <v>204</v>
      </c>
      <c r="BP886" s="1" t="s">
        <v>204</v>
      </c>
      <c r="BR886" s="1" t="str">
        <f>"21311110290000"</f>
        <v>21311110290000</v>
      </c>
      <c r="BT886" s="1" t="s">
        <v>9858</v>
      </c>
      <c r="BX886" s="1">
        <v>299</v>
      </c>
      <c r="BY886" s="1">
        <v>299</v>
      </c>
      <c r="BZ886" s="1">
        <v>299</v>
      </c>
      <c r="CB886" s="1" t="str">
        <f t="shared" ref="CB886:CB887" si="684">"0"</f>
        <v>0</v>
      </c>
      <c r="CC886" s="1" t="str">
        <f>"2500"</f>
        <v>2500</v>
      </c>
      <c r="CD886" s="1">
        <v>0</v>
      </c>
      <c r="CE886" s="1">
        <v>8100</v>
      </c>
      <c r="CG886" s="1" t="s">
        <v>317</v>
      </c>
      <c r="CH886" s="1" t="s">
        <v>219</v>
      </c>
      <c r="CI886" s="1" t="s">
        <v>438</v>
      </c>
      <c r="CK886" s="1" t="s">
        <v>346</v>
      </c>
      <c r="CL886" s="1" t="s">
        <v>277</v>
      </c>
      <c r="CM886" s="1" t="s">
        <v>438</v>
      </c>
      <c r="CO886" s="1" t="s">
        <v>222</v>
      </c>
      <c r="CP886" s="1" t="s">
        <v>219</v>
      </c>
      <c r="CQ886" s="1" t="s">
        <v>438</v>
      </c>
      <c r="CS886" s="1" t="s">
        <v>346</v>
      </c>
      <c r="CT886" s="1" t="s">
        <v>277</v>
      </c>
      <c r="CU886" s="1" t="s">
        <v>438</v>
      </c>
      <c r="CX886" s="1" t="s">
        <v>224</v>
      </c>
      <c r="DB886" s="1" t="s">
        <v>224</v>
      </c>
      <c r="DE886" s="1" t="s">
        <v>2308</v>
      </c>
      <c r="DF886" s="1" t="s">
        <v>219</v>
      </c>
      <c r="DG886" s="1" t="s">
        <v>342</v>
      </c>
      <c r="DI886" s="1" t="s">
        <v>5997</v>
      </c>
      <c r="DJ886" s="1" t="s">
        <v>43</v>
      </c>
      <c r="DK886" s="1" t="s">
        <v>342</v>
      </c>
      <c r="DS886" s="1" t="s">
        <v>230</v>
      </c>
      <c r="DW886" s="1" t="s">
        <v>230</v>
      </c>
      <c r="EA886" s="1" t="s">
        <v>230</v>
      </c>
      <c r="EE886" s="1" t="s">
        <v>230</v>
      </c>
      <c r="EI886" s="1" t="s">
        <v>230</v>
      </c>
      <c r="EL886" s="1" t="s">
        <v>440</v>
      </c>
      <c r="EM886" s="1" t="s">
        <v>232</v>
      </c>
      <c r="EN886" s="1" t="s">
        <v>282</v>
      </c>
      <c r="EO886" s="1" t="s">
        <v>234</v>
      </c>
      <c r="EP886" s="1" t="s">
        <v>9859</v>
      </c>
      <c r="EQ886" s="1" t="s">
        <v>1439</v>
      </c>
      <c r="ER886" s="1" t="s">
        <v>9860</v>
      </c>
      <c r="ES886" s="1" t="s">
        <v>545</v>
      </c>
      <c r="EU886" s="1" t="s">
        <v>7544</v>
      </c>
      <c r="EV886" s="1" t="s">
        <v>324</v>
      </c>
      <c r="EW886" s="1" t="s">
        <v>210</v>
      </c>
      <c r="EZ886" s="1" t="s">
        <v>287</v>
      </c>
      <c r="FB886" s="1" t="s">
        <v>289</v>
      </c>
      <c r="FC886" s="1" t="s">
        <v>735</v>
      </c>
      <c r="FD886" s="1" t="s">
        <v>1112</v>
      </c>
      <c r="FE886" s="1" t="s">
        <v>247</v>
      </c>
      <c r="FF886" s="1" t="s">
        <v>248</v>
      </c>
      <c r="FH886" s="1" t="s">
        <v>550</v>
      </c>
      <c r="FL886" s="1" t="s">
        <v>414</v>
      </c>
      <c r="FM886" s="1" t="s">
        <v>252</v>
      </c>
      <c r="FN886" s="1" t="s">
        <v>213</v>
      </c>
      <c r="FO886" s="1" t="s">
        <v>213</v>
      </c>
      <c r="FQ886" s="1" t="s">
        <v>9861</v>
      </c>
      <c r="FR886" s="1" t="s">
        <v>360</v>
      </c>
      <c r="FS886" s="1" t="s">
        <v>9862</v>
      </c>
      <c r="FT886" s="1" t="s">
        <v>295</v>
      </c>
      <c r="FU886" s="1" t="s">
        <v>204</v>
      </c>
      <c r="FW886" s="1" t="s">
        <v>9863</v>
      </c>
      <c r="FX886" s="1">
        <v>22753</v>
      </c>
      <c r="FY886" s="1" t="s">
        <v>9864</v>
      </c>
      <c r="FZ886" s="1" t="s">
        <v>9865</v>
      </c>
      <c r="GA886" s="1">
        <v>218234</v>
      </c>
      <c r="GB886" s="1" t="s">
        <v>9864</v>
      </c>
      <c r="GD886" s="1" t="s">
        <v>9866</v>
      </c>
      <c r="GE886" s="1" t="s">
        <v>210</v>
      </c>
      <c r="GH886" s="1" t="s">
        <v>800</v>
      </c>
      <c r="GI886" s="1" t="s">
        <v>213</v>
      </c>
      <c r="GJ886" s="1" t="s">
        <v>260</v>
      </c>
      <c r="GK886" s="1" t="s">
        <v>210</v>
      </c>
      <c r="GL886" s="2">
        <v>42055</v>
      </c>
      <c r="GM886" s="1" t="s">
        <v>397</v>
      </c>
    </row>
    <row r="887" spans="1:195">
      <c r="A887" s="1">
        <v>236950</v>
      </c>
      <c r="B887" s="1" t="s">
        <v>195</v>
      </c>
      <c r="C887" s="1" t="str">
        <f>"08339424"</f>
        <v>08339424</v>
      </c>
      <c r="D887" s="1" t="s">
        <v>196</v>
      </c>
      <c r="F887" s="1" t="str">
        <f>"190"</f>
        <v>190</v>
      </c>
      <c r="G887" s="2">
        <v>41404</v>
      </c>
      <c r="H887" s="1">
        <v>202990</v>
      </c>
      <c r="I887" s="1">
        <v>228990</v>
      </c>
      <c r="J887" s="1">
        <v>236950</v>
      </c>
      <c r="K887" s="2">
        <v>41404</v>
      </c>
      <c r="L887" s="1">
        <v>345</v>
      </c>
      <c r="M887" s="2">
        <v>41748</v>
      </c>
      <c r="N887" s="1">
        <v>345</v>
      </c>
      <c r="O887" s="2">
        <v>41748</v>
      </c>
      <c r="P887" s="1">
        <v>21823</v>
      </c>
      <c r="Q887" s="1" t="s">
        <v>197</v>
      </c>
      <c r="R887" s="2">
        <v>41976</v>
      </c>
      <c r="S887" s="1">
        <v>232175</v>
      </c>
      <c r="U887" s="1" t="s">
        <v>9867</v>
      </c>
      <c r="V887" s="1" t="s">
        <v>1595</v>
      </c>
      <c r="W887" s="1" t="s">
        <v>264</v>
      </c>
      <c r="Y887" s="1">
        <v>6</v>
      </c>
      <c r="Z887" s="1" t="s">
        <v>370</v>
      </c>
      <c r="AA887" s="1" t="s">
        <v>1915</v>
      </c>
      <c r="AB887" s="1">
        <v>60190</v>
      </c>
      <c r="AD887" s="1" t="s">
        <v>9868</v>
      </c>
      <c r="AE887" s="1" t="s">
        <v>9869</v>
      </c>
      <c r="AF887" s="1">
        <v>2014</v>
      </c>
      <c r="AG887" s="1" t="s">
        <v>204</v>
      </c>
      <c r="AH887" s="1" t="s">
        <v>987</v>
      </c>
      <c r="AI887" s="1" t="s">
        <v>206</v>
      </c>
      <c r="AJ887" s="1" t="s">
        <v>987</v>
      </c>
      <c r="AK887" s="1" t="s">
        <v>1233</v>
      </c>
      <c r="AL887" s="1">
        <v>5</v>
      </c>
      <c r="AM887" s="1">
        <v>2</v>
      </c>
      <c r="AN887" s="1">
        <v>1</v>
      </c>
      <c r="AO887" s="1">
        <v>1</v>
      </c>
      <c r="AP887" s="1" t="s">
        <v>209</v>
      </c>
      <c r="AR887" s="1" t="s">
        <v>210</v>
      </c>
      <c r="AS887" s="1" t="s">
        <v>204</v>
      </c>
      <c r="AT887" s="1" t="s">
        <v>211</v>
      </c>
      <c r="AU887" s="1">
        <v>2</v>
      </c>
      <c r="AW887" s="1" t="s">
        <v>204</v>
      </c>
      <c r="AX887" s="1" t="s">
        <v>212</v>
      </c>
      <c r="AZ887" s="1" t="s">
        <v>751</v>
      </c>
      <c r="BA887" s="1">
        <v>2013</v>
      </c>
      <c r="BE887" s="1">
        <v>1579</v>
      </c>
      <c r="BF887" s="1">
        <v>3</v>
      </c>
      <c r="BG887" s="1">
        <v>0</v>
      </c>
      <c r="BL887" s="1">
        <v>165</v>
      </c>
      <c r="BM887" s="1" t="s">
        <v>204</v>
      </c>
      <c r="BN887" s="1" t="s">
        <v>213</v>
      </c>
      <c r="BO887" s="1">
        <v>0</v>
      </c>
      <c r="BP887" s="1" t="s">
        <v>213</v>
      </c>
      <c r="BQ887" s="2">
        <v>41852</v>
      </c>
      <c r="BR887" s="1" t="str">
        <f>"0412300055"</f>
        <v>0412300055</v>
      </c>
      <c r="BT887" s="1" t="s">
        <v>9870</v>
      </c>
      <c r="BU887" s="1" t="s">
        <v>3162</v>
      </c>
      <c r="BV887" s="1" t="s">
        <v>3163</v>
      </c>
      <c r="BX887" s="1">
        <v>34</v>
      </c>
      <c r="BY887" s="1">
        <v>34</v>
      </c>
      <c r="BZ887" s="1">
        <v>94</v>
      </c>
      <c r="CB887" s="1" t="str">
        <f t="shared" si="684"/>
        <v>0</v>
      </c>
      <c r="CC887" s="1" t="str">
        <f t="shared" ref="CC887:CC888" si="685">"0"</f>
        <v>0</v>
      </c>
      <c r="CD887" s="1">
        <v>27</v>
      </c>
      <c r="CE887" s="1">
        <v>0</v>
      </c>
      <c r="CH887" s="1" t="s">
        <v>224</v>
      </c>
      <c r="CK887" s="1" t="s">
        <v>885</v>
      </c>
      <c r="CL887" s="1" t="s">
        <v>277</v>
      </c>
      <c r="CM887" s="1" t="s">
        <v>220</v>
      </c>
      <c r="CP887" s="1" t="s">
        <v>224</v>
      </c>
      <c r="CS887" s="1" t="s">
        <v>757</v>
      </c>
      <c r="CT887" s="1" t="s">
        <v>277</v>
      </c>
      <c r="CU887" s="1" t="s">
        <v>220</v>
      </c>
      <c r="CX887" s="1" t="s">
        <v>224</v>
      </c>
      <c r="DB887" s="1" t="s">
        <v>224</v>
      </c>
      <c r="DE887" s="1" t="s">
        <v>539</v>
      </c>
      <c r="DF887" s="1" t="s">
        <v>219</v>
      </c>
      <c r="DG887" s="1" t="s">
        <v>342</v>
      </c>
      <c r="DJ887" s="1" t="s">
        <v>224</v>
      </c>
      <c r="DM887" s="1" t="s">
        <v>1676</v>
      </c>
      <c r="DN887" s="1" t="s">
        <v>1548</v>
      </c>
      <c r="DR887" s="1" t="s">
        <v>729</v>
      </c>
      <c r="DS887" s="1" t="s">
        <v>219</v>
      </c>
      <c r="DT887" s="1" t="s">
        <v>220</v>
      </c>
      <c r="DV887" s="1" t="s">
        <v>2231</v>
      </c>
      <c r="DW887" s="1" t="s">
        <v>219</v>
      </c>
      <c r="DX887" s="1" t="s">
        <v>342</v>
      </c>
      <c r="EA887" s="1" t="s">
        <v>230</v>
      </c>
      <c r="EE887" s="1" t="s">
        <v>230</v>
      </c>
      <c r="EI887" s="1" t="s">
        <v>230</v>
      </c>
      <c r="EL887" s="1" t="s">
        <v>9871</v>
      </c>
      <c r="EM887" s="1" t="s">
        <v>319</v>
      </c>
      <c r="EN887" s="1" t="s">
        <v>282</v>
      </c>
      <c r="EO887" s="1" t="s">
        <v>234</v>
      </c>
      <c r="EP887" s="1" t="s">
        <v>283</v>
      </c>
      <c r="EQ887" s="1" t="s">
        <v>8369</v>
      </c>
      <c r="ER887" s="1" t="s">
        <v>210</v>
      </c>
      <c r="ES887" s="1" t="s">
        <v>322</v>
      </c>
      <c r="EW887" s="1" t="s">
        <v>353</v>
      </c>
      <c r="EY887" s="1" t="s">
        <v>441</v>
      </c>
      <c r="EZ887" s="1" t="s">
        <v>9872</v>
      </c>
      <c r="FA887" s="1" t="s">
        <v>1270</v>
      </c>
      <c r="FD887" s="1" t="s">
        <v>246</v>
      </c>
      <c r="FE887" s="1" t="s">
        <v>549</v>
      </c>
      <c r="FF887" s="1" t="s">
        <v>248</v>
      </c>
      <c r="FH887" s="1" t="s">
        <v>550</v>
      </c>
      <c r="FJ887" s="1" t="s">
        <v>518</v>
      </c>
      <c r="FL887" s="1" t="s">
        <v>358</v>
      </c>
      <c r="FM887" s="1" t="s">
        <v>252</v>
      </c>
      <c r="FN887" s="1" t="s">
        <v>213</v>
      </c>
      <c r="FO887" s="1" t="s">
        <v>213</v>
      </c>
      <c r="FQ887" s="1" t="s">
        <v>3853</v>
      </c>
      <c r="FR887" s="1" t="s">
        <v>652</v>
      </c>
      <c r="FS887" s="1" t="s">
        <v>9873</v>
      </c>
      <c r="FT887" s="1" t="s">
        <v>3855</v>
      </c>
      <c r="FU887" s="1" t="s">
        <v>204</v>
      </c>
      <c r="FV887" s="1" t="s">
        <v>9874</v>
      </c>
      <c r="FW887" s="1" t="s">
        <v>3857</v>
      </c>
      <c r="FX887" s="1">
        <v>23223</v>
      </c>
      <c r="FY887" s="1" t="s">
        <v>3858</v>
      </c>
      <c r="FZ887" s="1" t="s">
        <v>3859</v>
      </c>
      <c r="GA887" s="1">
        <v>236300</v>
      </c>
      <c r="GC887" s="1">
        <v>210778</v>
      </c>
      <c r="GE887" s="1" t="s">
        <v>1333</v>
      </c>
      <c r="GI887" s="1" t="s">
        <v>204</v>
      </c>
      <c r="GJ887" s="1" t="s">
        <v>300</v>
      </c>
      <c r="GK887" s="1" t="s">
        <v>210</v>
      </c>
      <c r="GL887" s="2">
        <v>41976</v>
      </c>
      <c r="GM887" s="1" t="s">
        <v>9875</v>
      </c>
    </row>
    <row r="888" spans="1:195">
      <c r="A888" s="1">
        <v>40000</v>
      </c>
      <c r="B888" s="1" t="s">
        <v>195</v>
      </c>
      <c r="C888" s="1" t="str">
        <f>"08580818"</f>
        <v>08580818</v>
      </c>
      <c r="D888" s="1" t="s">
        <v>196</v>
      </c>
      <c r="F888" s="1" t="str">
        <f>"123"</f>
        <v>123</v>
      </c>
      <c r="G888" s="2">
        <v>41738</v>
      </c>
      <c r="H888" s="1">
        <v>59800</v>
      </c>
      <c r="I888" s="1">
        <v>40000</v>
      </c>
      <c r="J888" s="1">
        <v>40000</v>
      </c>
      <c r="K888" s="2">
        <v>41738</v>
      </c>
      <c r="L888" s="1">
        <v>160</v>
      </c>
      <c r="M888" s="2">
        <v>41897</v>
      </c>
      <c r="N888" s="1">
        <v>160</v>
      </c>
      <c r="O888" s="2">
        <v>41897</v>
      </c>
      <c r="P888" s="1">
        <v>8340</v>
      </c>
      <c r="Q888" s="1" t="s">
        <v>302</v>
      </c>
      <c r="R888" s="2">
        <v>42116</v>
      </c>
      <c r="S888" s="1">
        <v>82794</v>
      </c>
      <c r="U888" s="1">
        <v>1396</v>
      </c>
      <c r="V888" s="1" t="s">
        <v>9876</v>
      </c>
      <c r="W888" s="1" t="s">
        <v>725</v>
      </c>
      <c r="X888" s="1">
        <v>1</v>
      </c>
      <c r="Y888" s="1">
        <v>8</v>
      </c>
      <c r="Z888" s="1" t="s">
        <v>249</v>
      </c>
      <c r="AA888" s="1" t="s">
        <v>1173</v>
      </c>
      <c r="AB888" s="1">
        <v>60123</v>
      </c>
      <c r="AD888" s="1" t="s">
        <v>9877</v>
      </c>
      <c r="AE888" s="1" t="s">
        <v>9878</v>
      </c>
      <c r="AF888" s="1" t="s">
        <v>402</v>
      </c>
      <c r="AG888" s="1" t="s">
        <v>213</v>
      </c>
      <c r="AH888" s="1" t="s">
        <v>1175</v>
      </c>
      <c r="AI888" s="1" t="s">
        <v>665</v>
      </c>
      <c r="AJ888" s="1" t="s">
        <v>1175</v>
      </c>
      <c r="AL888" s="1">
        <v>5</v>
      </c>
      <c r="AM888" s="1">
        <v>2</v>
      </c>
      <c r="AN888" s="1">
        <v>1</v>
      </c>
      <c r="AO888" s="1">
        <v>0</v>
      </c>
      <c r="AP888" s="1" t="s">
        <v>210</v>
      </c>
      <c r="AR888" s="1" t="s">
        <v>210</v>
      </c>
      <c r="AS888" s="1" t="s">
        <v>204</v>
      </c>
      <c r="AT888" s="1" t="s">
        <v>271</v>
      </c>
      <c r="AV888" s="1">
        <v>1</v>
      </c>
      <c r="AW888" s="1" t="s">
        <v>204</v>
      </c>
      <c r="AX888" s="1" t="s">
        <v>212</v>
      </c>
      <c r="AZ888" s="1">
        <v>1674</v>
      </c>
      <c r="BA888" s="1">
        <v>2013</v>
      </c>
      <c r="BB888" s="1" t="s">
        <v>405</v>
      </c>
      <c r="BE888" s="1">
        <v>0</v>
      </c>
      <c r="BF888" s="1">
        <v>1</v>
      </c>
      <c r="BG888" s="1">
        <v>0</v>
      </c>
      <c r="BL888" s="1">
        <v>230</v>
      </c>
      <c r="BM888" s="1" t="s">
        <v>204</v>
      </c>
      <c r="BN888" s="1" t="s">
        <v>213</v>
      </c>
      <c r="BO888" s="1">
        <v>0</v>
      </c>
      <c r="BP888" s="1" t="s">
        <v>204</v>
      </c>
      <c r="BR888" s="1" t="str">
        <f>"0610327008"</f>
        <v>0610327008</v>
      </c>
      <c r="BT888" s="1" t="s">
        <v>9879</v>
      </c>
      <c r="BX888" s="1">
        <v>46</v>
      </c>
      <c r="BY888" s="1">
        <v>46</v>
      </c>
      <c r="BZ888" s="1">
        <v>46</v>
      </c>
      <c r="CB888" s="1" t="str">
        <f>"12"</f>
        <v>12</v>
      </c>
      <c r="CC888" s="1" t="str">
        <f t="shared" si="685"/>
        <v>0</v>
      </c>
      <c r="CD888" s="1">
        <v>35</v>
      </c>
      <c r="CE888" s="1">
        <v>0</v>
      </c>
      <c r="CG888" s="1" t="s">
        <v>1155</v>
      </c>
      <c r="CH888" s="1" t="s">
        <v>219</v>
      </c>
      <c r="CI888" s="1" t="s">
        <v>438</v>
      </c>
      <c r="CK888" s="1" t="s">
        <v>539</v>
      </c>
      <c r="CL888" s="1" t="s">
        <v>219</v>
      </c>
      <c r="CM888" s="1" t="s">
        <v>438</v>
      </c>
      <c r="CO888" s="1" t="s">
        <v>318</v>
      </c>
      <c r="CP888" s="1" t="s">
        <v>219</v>
      </c>
      <c r="CQ888" s="1" t="s">
        <v>438</v>
      </c>
      <c r="CS888" s="1" t="s">
        <v>465</v>
      </c>
      <c r="CT888" s="1" t="s">
        <v>219</v>
      </c>
      <c r="CU888" s="1" t="s">
        <v>438</v>
      </c>
      <c r="CX888" s="1" t="s">
        <v>224</v>
      </c>
      <c r="DB888" s="1" t="s">
        <v>224</v>
      </c>
      <c r="DE888" s="1" t="s">
        <v>379</v>
      </c>
      <c r="DF888" s="1" t="s">
        <v>219</v>
      </c>
      <c r="DG888" s="1" t="s">
        <v>342</v>
      </c>
      <c r="DJ888" s="1" t="s">
        <v>224</v>
      </c>
      <c r="DM888" s="1" t="s">
        <v>3011</v>
      </c>
      <c r="DS888" s="1" t="s">
        <v>230</v>
      </c>
      <c r="DW888" s="1" t="s">
        <v>230</v>
      </c>
      <c r="EA888" s="1" t="s">
        <v>230</v>
      </c>
      <c r="EE888" s="1" t="s">
        <v>230</v>
      </c>
      <c r="EI888" s="1" t="s">
        <v>230</v>
      </c>
      <c r="EL888" s="1" t="s">
        <v>413</v>
      </c>
      <c r="EM888" s="1" t="s">
        <v>319</v>
      </c>
      <c r="EN888" s="1" t="s">
        <v>731</v>
      </c>
      <c r="EO888" s="1" t="s">
        <v>234</v>
      </c>
      <c r="EP888" s="1" t="s">
        <v>5574</v>
      </c>
      <c r="EQ888" s="1" t="s">
        <v>3718</v>
      </c>
      <c r="ER888" s="1" t="s">
        <v>210</v>
      </c>
      <c r="EU888" s="1" t="s">
        <v>1573</v>
      </c>
      <c r="EV888" s="1" t="s">
        <v>240</v>
      </c>
      <c r="EW888" s="1" t="s">
        <v>4163</v>
      </c>
      <c r="EY888" s="1" t="s">
        <v>242</v>
      </c>
      <c r="EZ888" s="1" t="s">
        <v>3011</v>
      </c>
      <c r="FD888" s="1" t="s">
        <v>246</v>
      </c>
      <c r="FE888" s="1" t="s">
        <v>247</v>
      </c>
      <c r="FF888" s="1" t="s">
        <v>248</v>
      </c>
      <c r="FH888" s="1" t="s">
        <v>249</v>
      </c>
      <c r="FK888" s="1" t="s">
        <v>291</v>
      </c>
      <c r="FL888" s="1" t="s">
        <v>358</v>
      </c>
      <c r="FM888" s="1" t="s">
        <v>252</v>
      </c>
      <c r="FN888" s="1" t="s">
        <v>213</v>
      </c>
      <c r="FO888" s="1" t="s">
        <v>213</v>
      </c>
      <c r="FQ888" s="1" t="s">
        <v>8957</v>
      </c>
      <c r="FR888" s="1" t="s">
        <v>360</v>
      </c>
      <c r="FS888" s="1" t="s">
        <v>9880</v>
      </c>
      <c r="FT888" s="1" t="s">
        <v>295</v>
      </c>
      <c r="FU888" s="1" t="s">
        <v>204</v>
      </c>
      <c r="FW888" s="1" t="s">
        <v>9881</v>
      </c>
      <c r="FX888" s="1">
        <v>84982</v>
      </c>
      <c r="FY888" s="1" t="s">
        <v>9882</v>
      </c>
      <c r="FZ888" s="1" t="s">
        <v>9883</v>
      </c>
      <c r="GA888" s="1">
        <v>109438</v>
      </c>
      <c r="GB888" s="1" t="s">
        <v>9882</v>
      </c>
      <c r="GE888" s="1" t="s">
        <v>210</v>
      </c>
      <c r="GI888" s="1" t="s">
        <v>204</v>
      </c>
      <c r="GJ888" s="1" t="s">
        <v>260</v>
      </c>
      <c r="GK888" s="1" t="s">
        <v>210</v>
      </c>
      <c r="GL888" s="2">
        <v>42116</v>
      </c>
      <c r="GM888" s="1" t="s">
        <v>9884</v>
      </c>
    </row>
    <row r="889" spans="1:195">
      <c r="A889" s="1">
        <v>105000</v>
      </c>
      <c r="B889" s="1" t="s">
        <v>195</v>
      </c>
      <c r="C889" s="1" t="str">
        <f>"08583244"</f>
        <v>08583244</v>
      </c>
      <c r="D889" s="1" t="s">
        <v>196</v>
      </c>
      <c r="F889" s="1" t="str">
        <f>"115"</f>
        <v>115</v>
      </c>
      <c r="G889" s="2">
        <v>41740</v>
      </c>
      <c r="H889" s="1">
        <v>105000</v>
      </c>
      <c r="I889" s="1">
        <v>105000</v>
      </c>
      <c r="J889" s="1">
        <v>105000</v>
      </c>
      <c r="K889" s="2">
        <v>41740</v>
      </c>
      <c r="L889" s="1">
        <v>828</v>
      </c>
      <c r="M889" s="2">
        <v>42020</v>
      </c>
      <c r="N889" s="1">
        <v>281</v>
      </c>
      <c r="O889" s="2">
        <v>42020</v>
      </c>
      <c r="P889" s="1">
        <v>93008</v>
      </c>
      <c r="Q889" s="1" t="s">
        <v>197</v>
      </c>
      <c r="R889" s="2">
        <v>42076</v>
      </c>
      <c r="S889" s="1">
        <v>931587</v>
      </c>
      <c r="U889" s="1">
        <v>765</v>
      </c>
      <c r="V889" s="1" t="s">
        <v>9885</v>
      </c>
      <c r="W889" s="1" t="s">
        <v>304</v>
      </c>
      <c r="Y889" s="1">
        <v>4</v>
      </c>
      <c r="Z889" s="1" t="s">
        <v>200</v>
      </c>
      <c r="AA889" s="1" t="s">
        <v>2242</v>
      </c>
      <c r="AB889" s="1">
        <v>60115</v>
      </c>
      <c r="AD889" s="1" t="s">
        <v>9886</v>
      </c>
      <c r="AE889" s="1" t="s">
        <v>9887</v>
      </c>
      <c r="AF889" s="1">
        <v>2005</v>
      </c>
      <c r="AG889" s="1" t="s">
        <v>204</v>
      </c>
      <c r="AH889" s="1" t="s">
        <v>2245</v>
      </c>
      <c r="AI889" s="1" t="s">
        <v>2246</v>
      </c>
      <c r="AJ889" s="1" t="s">
        <v>2245</v>
      </c>
      <c r="AK889" s="1" t="s">
        <v>9888</v>
      </c>
      <c r="AL889" s="1">
        <v>6</v>
      </c>
      <c r="AM889" s="1">
        <v>2</v>
      </c>
      <c r="AN889" s="1">
        <v>2</v>
      </c>
      <c r="AO889" s="1">
        <v>1</v>
      </c>
      <c r="AP889" s="1" t="s">
        <v>209</v>
      </c>
      <c r="AQ889" s="1">
        <v>1</v>
      </c>
      <c r="AR889" s="1" t="s">
        <v>1421</v>
      </c>
      <c r="AS889" s="1" t="s">
        <v>204</v>
      </c>
      <c r="AT889" s="1" t="s">
        <v>211</v>
      </c>
      <c r="AU889" s="1">
        <v>2</v>
      </c>
      <c r="AW889" s="1" t="s">
        <v>204</v>
      </c>
      <c r="AX889" s="1" t="s">
        <v>9889</v>
      </c>
      <c r="AZ889" s="1">
        <v>3984.84</v>
      </c>
      <c r="BA889" s="1">
        <v>2012</v>
      </c>
      <c r="BB889" s="1" t="s">
        <v>405</v>
      </c>
      <c r="BE889" s="1">
        <v>1843</v>
      </c>
      <c r="BF889" s="1">
        <v>1</v>
      </c>
      <c r="BG889" s="1">
        <v>0</v>
      </c>
      <c r="BL889" s="1">
        <v>75</v>
      </c>
      <c r="BM889" s="1" t="s">
        <v>204</v>
      </c>
      <c r="BN889" s="1" t="s">
        <v>213</v>
      </c>
      <c r="BO889" s="1">
        <v>0</v>
      </c>
      <c r="BP889" s="1" t="s">
        <v>204</v>
      </c>
      <c r="BR889" s="1" t="str">
        <f>"0803450050"</f>
        <v>0803450050</v>
      </c>
      <c r="BT889" s="1" t="s">
        <v>9890</v>
      </c>
      <c r="BX889" s="1">
        <v>428</v>
      </c>
      <c r="BY889" s="1">
        <v>428</v>
      </c>
      <c r="BZ889" s="1">
        <v>428</v>
      </c>
      <c r="CB889" s="1" t="str">
        <f t="shared" ref="CB889:CC889" si="686">""</f>
        <v/>
      </c>
      <c r="CC889" s="1" t="str">
        <f t="shared" si="686"/>
        <v/>
      </c>
      <c r="CG889" s="1" t="s">
        <v>9891</v>
      </c>
      <c r="CH889" s="1" t="s">
        <v>219</v>
      </c>
      <c r="CI889" s="1" t="s">
        <v>220</v>
      </c>
      <c r="CK889" s="1" t="s">
        <v>757</v>
      </c>
      <c r="CL889" s="1" t="s">
        <v>277</v>
      </c>
      <c r="CM889" s="1" t="s">
        <v>220</v>
      </c>
      <c r="CO889" s="1" t="s">
        <v>1046</v>
      </c>
      <c r="CP889" s="1" t="s">
        <v>219</v>
      </c>
      <c r="CQ889" s="1" t="s">
        <v>342</v>
      </c>
      <c r="CS889" s="1" t="s">
        <v>1046</v>
      </c>
      <c r="CT889" s="1" t="s">
        <v>822</v>
      </c>
      <c r="CU889" s="1" t="s">
        <v>220</v>
      </c>
      <c r="CX889" s="1" t="s">
        <v>224</v>
      </c>
      <c r="DB889" s="1" t="s">
        <v>224</v>
      </c>
      <c r="DE889" s="1" t="s">
        <v>1297</v>
      </c>
      <c r="DF889" s="1" t="s">
        <v>219</v>
      </c>
      <c r="DG889" s="1" t="s">
        <v>342</v>
      </c>
      <c r="DI889" s="1" t="s">
        <v>6531</v>
      </c>
      <c r="DJ889" s="1" t="s">
        <v>822</v>
      </c>
      <c r="DK889" s="1" t="s">
        <v>220</v>
      </c>
      <c r="DS889" s="1" t="s">
        <v>230</v>
      </c>
      <c r="DW889" s="1" t="s">
        <v>230</v>
      </c>
      <c r="EA889" s="1" t="s">
        <v>230</v>
      </c>
      <c r="EE889" s="1" t="s">
        <v>230</v>
      </c>
      <c r="EI889" s="1" t="s">
        <v>230</v>
      </c>
      <c r="EL889" s="1" t="s">
        <v>491</v>
      </c>
      <c r="EM889" s="1" t="s">
        <v>319</v>
      </c>
      <c r="EN889" s="1" t="s">
        <v>282</v>
      </c>
      <c r="EO889" s="1" t="s">
        <v>234</v>
      </c>
      <c r="EP889" s="1" t="s">
        <v>210</v>
      </c>
      <c r="EQ889" s="1" t="s">
        <v>350</v>
      </c>
      <c r="ER889" s="1" t="s">
        <v>544</v>
      </c>
      <c r="ES889" s="1" t="s">
        <v>493</v>
      </c>
      <c r="EU889" s="1" t="s">
        <v>9892</v>
      </c>
      <c r="EV889" s="1" t="s">
        <v>352</v>
      </c>
      <c r="EW889" s="1" t="s">
        <v>547</v>
      </c>
      <c r="EY889" s="1" t="s">
        <v>1315</v>
      </c>
      <c r="EZ889" s="1" t="s">
        <v>287</v>
      </c>
      <c r="FB889" s="1" t="s">
        <v>289</v>
      </c>
      <c r="FD889" s="1" t="s">
        <v>246</v>
      </c>
      <c r="FE889" s="1" t="s">
        <v>472</v>
      </c>
      <c r="FF889" s="1" t="s">
        <v>248</v>
      </c>
      <c r="FG889" s="1" t="s">
        <v>912</v>
      </c>
      <c r="FH889" s="1" t="s">
        <v>550</v>
      </c>
      <c r="FI889" s="1" t="s">
        <v>357</v>
      </c>
      <c r="FL889" s="1" t="s">
        <v>358</v>
      </c>
      <c r="FM889" s="1" t="s">
        <v>252</v>
      </c>
      <c r="FN889" s="1" t="s">
        <v>213</v>
      </c>
      <c r="FO889" s="1" t="s">
        <v>213</v>
      </c>
      <c r="FQ889" s="1" t="s">
        <v>2091</v>
      </c>
      <c r="FR889" s="1" t="s">
        <v>9166</v>
      </c>
      <c r="FS889" s="1" t="s">
        <v>9893</v>
      </c>
      <c r="FT889" s="1" t="s">
        <v>295</v>
      </c>
      <c r="FU889" s="1" t="s">
        <v>204</v>
      </c>
      <c r="FW889" s="1" t="s">
        <v>8939</v>
      </c>
      <c r="FX889" s="1">
        <v>24809</v>
      </c>
      <c r="FY889" s="1" t="s">
        <v>8940</v>
      </c>
      <c r="FZ889" s="1" t="s">
        <v>9894</v>
      </c>
      <c r="GA889" s="1">
        <v>237425</v>
      </c>
      <c r="GB889" s="1" t="s">
        <v>9895</v>
      </c>
      <c r="GE889" s="1" t="s">
        <v>480</v>
      </c>
      <c r="GI889" s="1" t="s">
        <v>213</v>
      </c>
      <c r="GJ889" s="1" t="s">
        <v>260</v>
      </c>
      <c r="GK889" s="1" t="s">
        <v>210</v>
      </c>
      <c r="GL889" s="2">
        <v>42076</v>
      </c>
      <c r="GM889" s="1" t="s">
        <v>9896</v>
      </c>
    </row>
    <row r="890" spans="1:195">
      <c r="A890" s="1">
        <v>20000</v>
      </c>
      <c r="B890" s="1" t="s">
        <v>195</v>
      </c>
      <c r="C890" s="1" t="str">
        <f>"08581146"</f>
        <v>08581146</v>
      </c>
      <c r="D890" s="1" t="s">
        <v>196</v>
      </c>
      <c r="F890" s="1" t="str">
        <f>"8044"</f>
        <v>8044</v>
      </c>
      <c r="G890" s="2">
        <v>41738</v>
      </c>
      <c r="H890" s="1">
        <v>23000</v>
      </c>
      <c r="I890" s="1">
        <v>23000</v>
      </c>
      <c r="J890" s="1">
        <v>20000</v>
      </c>
      <c r="K890" s="2">
        <v>41737</v>
      </c>
      <c r="L890" s="1">
        <v>143</v>
      </c>
      <c r="M890" s="2">
        <v>41879</v>
      </c>
      <c r="N890" s="1">
        <v>143</v>
      </c>
      <c r="O890" s="2">
        <v>41879</v>
      </c>
      <c r="P890" s="1">
        <v>12119</v>
      </c>
      <c r="Q890" s="1" t="s">
        <v>302</v>
      </c>
      <c r="R890" s="2">
        <v>42093</v>
      </c>
      <c r="S890" s="1">
        <v>187420</v>
      </c>
      <c r="U890" s="1">
        <v>8138</v>
      </c>
      <c r="V890" s="1" t="s">
        <v>9897</v>
      </c>
      <c r="W890" s="1" t="s">
        <v>425</v>
      </c>
      <c r="X890" s="1">
        <v>1</v>
      </c>
      <c r="Y890" s="1">
        <v>28</v>
      </c>
      <c r="Z890" s="1" t="s">
        <v>249</v>
      </c>
      <c r="AA890" s="1" t="s">
        <v>400</v>
      </c>
      <c r="AB890" s="1">
        <v>60619</v>
      </c>
      <c r="AE890" s="1" t="s">
        <v>9898</v>
      </c>
      <c r="AF890" s="1">
        <v>1928</v>
      </c>
      <c r="AG890" s="1" t="s">
        <v>213</v>
      </c>
      <c r="AH890" s="1" t="s">
        <v>403</v>
      </c>
      <c r="AI890" s="1" t="s">
        <v>310</v>
      </c>
      <c r="AJ890" s="1" t="s">
        <v>562</v>
      </c>
      <c r="AL890" s="1">
        <v>4</v>
      </c>
      <c r="AM890" s="1">
        <v>2</v>
      </c>
      <c r="AN890" s="1">
        <v>2</v>
      </c>
      <c r="AO890" s="1">
        <v>0</v>
      </c>
      <c r="AP890" s="1" t="s">
        <v>210</v>
      </c>
      <c r="AR890" s="1" t="s">
        <v>210</v>
      </c>
      <c r="AS890" s="1" t="s">
        <v>204</v>
      </c>
      <c r="AT890" s="1" t="s">
        <v>210</v>
      </c>
      <c r="AW890" s="1" t="s">
        <v>204</v>
      </c>
      <c r="AX890" s="1" t="s">
        <v>212</v>
      </c>
      <c r="AZ890" s="1">
        <v>1168.3599999999999</v>
      </c>
      <c r="BA890" s="1">
        <v>2012</v>
      </c>
      <c r="BB890" s="1" t="s">
        <v>405</v>
      </c>
      <c r="BE890" s="1">
        <v>1000</v>
      </c>
      <c r="BF890" s="1">
        <v>1</v>
      </c>
      <c r="BG890" s="1">
        <v>0</v>
      </c>
      <c r="BL890" s="1">
        <v>179</v>
      </c>
      <c r="BM890" s="1" t="s">
        <v>204</v>
      </c>
      <c r="BN890" s="1" t="s">
        <v>213</v>
      </c>
      <c r="BO890" s="1">
        <v>0</v>
      </c>
      <c r="BP890" s="1" t="s">
        <v>204</v>
      </c>
      <c r="BR890" s="1" t="str">
        <f>"20351150221005"</f>
        <v>20351150221005</v>
      </c>
      <c r="BT890" s="1" t="s">
        <v>9899</v>
      </c>
      <c r="BX890" s="1">
        <v>299</v>
      </c>
      <c r="BY890" s="1">
        <v>299</v>
      </c>
      <c r="BZ890" s="1">
        <v>299</v>
      </c>
      <c r="CB890" s="1" t="str">
        <f t="shared" ref="CB890:CB893" si="687">"0"</f>
        <v>0</v>
      </c>
      <c r="CC890" s="1" t="str">
        <f>"900"</f>
        <v>900</v>
      </c>
      <c r="CD890" s="1">
        <v>0</v>
      </c>
      <c r="CE890" s="1">
        <v>8138</v>
      </c>
      <c r="CG890" s="1" t="s">
        <v>1469</v>
      </c>
      <c r="CH890" s="1" t="s">
        <v>219</v>
      </c>
      <c r="CI890" s="1" t="s">
        <v>438</v>
      </c>
      <c r="CK890" s="1" t="s">
        <v>2122</v>
      </c>
      <c r="CL890" s="1" t="s">
        <v>219</v>
      </c>
      <c r="CM890" s="1" t="s">
        <v>438</v>
      </c>
      <c r="CP890" s="1" t="s">
        <v>224</v>
      </c>
      <c r="CS890" s="1" t="s">
        <v>1046</v>
      </c>
      <c r="CT890" s="1" t="s">
        <v>822</v>
      </c>
      <c r="CU890" s="1" t="s">
        <v>438</v>
      </c>
      <c r="CX890" s="1" t="s">
        <v>224</v>
      </c>
      <c r="DB890" s="1" t="s">
        <v>224</v>
      </c>
      <c r="DE890" s="1" t="s">
        <v>409</v>
      </c>
      <c r="DF890" s="1" t="s">
        <v>219</v>
      </c>
      <c r="DG890" s="1" t="s">
        <v>226</v>
      </c>
      <c r="DJ890" s="1" t="s">
        <v>224</v>
      </c>
      <c r="DS890" s="1" t="s">
        <v>230</v>
      </c>
      <c r="DW890" s="1" t="s">
        <v>230</v>
      </c>
      <c r="EA890" s="1" t="s">
        <v>230</v>
      </c>
      <c r="EE890" s="1" t="s">
        <v>230</v>
      </c>
      <c r="EI890" s="1" t="s">
        <v>230</v>
      </c>
      <c r="EL890" s="1" t="s">
        <v>2154</v>
      </c>
      <c r="EM890" s="1" t="s">
        <v>730</v>
      </c>
      <c r="EN890" s="1" t="s">
        <v>282</v>
      </c>
      <c r="EO890" s="1" t="s">
        <v>234</v>
      </c>
      <c r="ER890" s="1" t="s">
        <v>210</v>
      </c>
      <c r="EW890" s="1" t="s">
        <v>1804</v>
      </c>
      <c r="EZ890" s="1" t="s">
        <v>287</v>
      </c>
      <c r="FB890" s="1" t="s">
        <v>289</v>
      </c>
      <c r="FD890" s="1" t="s">
        <v>246</v>
      </c>
      <c r="FE890" s="1" t="s">
        <v>247</v>
      </c>
      <c r="FF890" s="1" t="s">
        <v>248</v>
      </c>
      <c r="FH890" s="1" t="s">
        <v>9900</v>
      </c>
      <c r="FL890" s="1" t="s">
        <v>358</v>
      </c>
      <c r="FM890" s="1" t="s">
        <v>252</v>
      </c>
      <c r="FN890" s="1" t="s">
        <v>213</v>
      </c>
      <c r="FO890" s="1" t="s">
        <v>213</v>
      </c>
      <c r="FQ890" s="1" t="s">
        <v>6847</v>
      </c>
      <c r="FR890" s="1" t="s">
        <v>360</v>
      </c>
      <c r="FS890" s="1" t="s">
        <v>9901</v>
      </c>
      <c r="FT890" s="1" t="s">
        <v>295</v>
      </c>
      <c r="FU890" s="1" t="s">
        <v>204</v>
      </c>
      <c r="FW890" s="1" t="s">
        <v>9584</v>
      </c>
      <c r="FX890" s="1">
        <v>18235</v>
      </c>
      <c r="FY890" s="1" t="s">
        <v>9585</v>
      </c>
      <c r="FZ890" s="1" t="s">
        <v>9902</v>
      </c>
      <c r="GA890" s="1">
        <v>180331</v>
      </c>
      <c r="GB890" s="1" t="s">
        <v>9903</v>
      </c>
      <c r="GE890" s="1" t="s">
        <v>210</v>
      </c>
      <c r="GH890" s="1" t="s">
        <v>421</v>
      </c>
      <c r="GI890" s="1" t="s">
        <v>213</v>
      </c>
      <c r="GJ890" s="1" t="s">
        <v>260</v>
      </c>
      <c r="GK890" s="1" t="s">
        <v>210</v>
      </c>
      <c r="GL890" s="2">
        <v>42093</v>
      </c>
      <c r="GM890" s="1" t="s">
        <v>9904</v>
      </c>
    </row>
    <row r="891" spans="1:195">
      <c r="A891" s="1">
        <v>255600</v>
      </c>
      <c r="B891" s="1" t="s">
        <v>195</v>
      </c>
      <c r="C891" s="1" t="str">
        <f>"08585239"</f>
        <v>08585239</v>
      </c>
      <c r="D891" s="1" t="s">
        <v>196</v>
      </c>
      <c r="F891" s="1" t="str">
        <f>"190"</f>
        <v>190</v>
      </c>
      <c r="G891" s="2">
        <v>41743</v>
      </c>
      <c r="H891" s="1">
        <v>244520</v>
      </c>
      <c r="I891" s="1">
        <v>244990</v>
      </c>
      <c r="J891" s="1">
        <v>255600</v>
      </c>
      <c r="K891" s="2">
        <v>41743</v>
      </c>
      <c r="L891" s="1">
        <v>90</v>
      </c>
      <c r="M891" s="2">
        <v>41832</v>
      </c>
      <c r="N891" s="1">
        <v>90</v>
      </c>
      <c r="O891" s="2">
        <v>41832</v>
      </c>
      <c r="P891" s="1">
        <v>2644</v>
      </c>
      <c r="Q891" s="1" t="s">
        <v>423</v>
      </c>
      <c r="R891" s="2">
        <v>41969</v>
      </c>
      <c r="S891" s="1">
        <v>21164</v>
      </c>
      <c r="U891" s="1" t="s">
        <v>9905</v>
      </c>
      <c r="V891" s="1" t="s">
        <v>1595</v>
      </c>
      <c r="W891" s="1" t="s">
        <v>264</v>
      </c>
      <c r="Y891" s="1">
        <v>6</v>
      </c>
      <c r="Z891" s="1" t="s">
        <v>370</v>
      </c>
      <c r="AA891" s="1" t="s">
        <v>1915</v>
      </c>
      <c r="AB891" s="1">
        <v>60190</v>
      </c>
      <c r="AD891" s="1" t="s">
        <v>9868</v>
      </c>
      <c r="AE891" s="1" t="s">
        <v>9906</v>
      </c>
      <c r="AF891" s="1">
        <v>2014</v>
      </c>
      <c r="AG891" s="1" t="s">
        <v>204</v>
      </c>
      <c r="AH891" s="1" t="s">
        <v>987</v>
      </c>
      <c r="AI891" s="1" t="s">
        <v>206</v>
      </c>
      <c r="AJ891" s="1" t="s">
        <v>987</v>
      </c>
      <c r="AK891" s="1" t="s">
        <v>9907</v>
      </c>
      <c r="AL891" s="1">
        <v>6</v>
      </c>
      <c r="AM891" s="1">
        <v>2</v>
      </c>
      <c r="AN891" s="1">
        <v>2</v>
      </c>
      <c r="AO891" s="1">
        <v>1</v>
      </c>
      <c r="AP891" s="1" t="s">
        <v>209</v>
      </c>
      <c r="AR891" s="1" t="s">
        <v>210</v>
      </c>
      <c r="AT891" s="1" t="s">
        <v>211</v>
      </c>
      <c r="AU891" s="1">
        <v>2</v>
      </c>
      <c r="AW891" s="1" t="s">
        <v>204</v>
      </c>
      <c r="AX891" s="1" t="s">
        <v>212</v>
      </c>
      <c r="AZ891" s="1" t="s">
        <v>751</v>
      </c>
      <c r="BA891" s="1">
        <v>2013</v>
      </c>
      <c r="BE891" s="1">
        <v>1813</v>
      </c>
      <c r="BF891" s="1">
        <v>1</v>
      </c>
      <c r="BG891" s="1">
        <v>0</v>
      </c>
      <c r="BL891" s="1">
        <v>165</v>
      </c>
      <c r="BM891" s="1" t="s">
        <v>204</v>
      </c>
      <c r="BN891" s="1" t="s">
        <v>213</v>
      </c>
      <c r="BO891" s="1">
        <v>0</v>
      </c>
      <c r="BP891" s="1" t="s">
        <v>213</v>
      </c>
      <c r="BQ891" s="2">
        <v>41908</v>
      </c>
      <c r="BR891" s="1" t="str">
        <f>"0412300055"</f>
        <v>0412300055</v>
      </c>
      <c r="BT891" s="1" t="s">
        <v>9908</v>
      </c>
      <c r="BU891" s="1" t="s">
        <v>3162</v>
      </c>
      <c r="BV891" s="1" t="s">
        <v>3163</v>
      </c>
      <c r="BW891" s="1" t="s">
        <v>1675</v>
      </c>
      <c r="BX891" s="1">
        <v>34</v>
      </c>
      <c r="BY891" s="1">
        <v>34</v>
      </c>
      <c r="BZ891" s="1">
        <v>94</v>
      </c>
      <c r="CB891" s="1" t="str">
        <f t="shared" si="687"/>
        <v>0</v>
      </c>
      <c r="CC891" s="1" t="str">
        <f t="shared" ref="CC891:CC893" si="688">"0"</f>
        <v>0</v>
      </c>
      <c r="CD891" s="1">
        <v>27</v>
      </c>
      <c r="CE891" s="1">
        <v>0</v>
      </c>
      <c r="CH891" s="1" t="s">
        <v>224</v>
      </c>
      <c r="CK891" s="1" t="s">
        <v>221</v>
      </c>
      <c r="CL891" s="1" t="s">
        <v>277</v>
      </c>
      <c r="CM891" s="1" t="s">
        <v>220</v>
      </c>
      <c r="CP891" s="1" t="s">
        <v>224</v>
      </c>
      <c r="CS891" s="1" t="s">
        <v>757</v>
      </c>
      <c r="CT891" s="1" t="s">
        <v>277</v>
      </c>
      <c r="CU891" s="1" t="s">
        <v>220</v>
      </c>
      <c r="CX891" s="1" t="s">
        <v>224</v>
      </c>
      <c r="DB891" s="1" t="s">
        <v>224</v>
      </c>
      <c r="DE891" s="1" t="s">
        <v>1358</v>
      </c>
      <c r="DF891" s="1" t="s">
        <v>219</v>
      </c>
      <c r="DJ891" s="1" t="s">
        <v>224</v>
      </c>
      <c r="DM891" s="1" t="s">
        <v>1676</v>
      </c>
      <c r="DN891" s="1" t="s">
        <v>1548</v>
      </c>
      <c r="DO891" s="1" t="s">
        <v>411</v>
      </c>
      <c r="DR891" s="1" t="s">
        <v>379</v>
      </c>
      <c r="DS891" s="1" t="s">
        <v>219</v>
      </c>
      <c r="DV891" s="1" t="s">
        <v>2231</v>
      </c>
      <c r="DW891" s="1" t="s">
        <v>219</v>
      </c>
      <c r="DZ891" s="1" t="s">
        <v>346</v>
      </c>
      <c r="EA891" s="1" t="s">
        <v>822</v>
      </c>
      <c r="EE891" s="1" t="s">
        <v>230</v>
      </c>
      <c r="EI891" s="1" t="s">
        <v>230</v>
      </c>
      <c r="EL891" s="1" t="s">
        <v>760</v>
      </c>
      <c r="EM891" s="1" t="s">
        <v>319</v>
      </c>
      <c r="EN891" s="1" t="s">
        <v>282</v>
      </c>
      <c r="EO891" s="1" t="s">
        <v>234</v>
      </c>
      <c r="EQ891" s="1" t="s">
        <v>9909</v>
      </c>
      <c r="ER891" s="1" t="s">
        <v>210</v>
      </c>
      <c r="ES891" s="1" t="s">
        <v>322</v>
      </c>
      <c r="EW891" s="1" t="s">
        <v>867</v>
      </c>
      <c r="EY891" s="1" t="s">
        <v>441</v>
      </c>
      <c r="EZ891" s="1" t="s">
        <v>9910</v>
      </c>
      <c r="FA891" s="1" t="s">
        <v>1270</v>
      </c>
      <c r="FD891" s="1" t="s">
        <v>246</v>
      </c>
      <c r="FE891" s="1" t="s">
        <v>549</v>
      </c>
      <c r="FF891" s="1" t="s">
        <v>248</v>
      </c>
      <c r="FH891" s="1" t="s">
        <v>1428</v>
      </c>
      <c r="FJ891" s="1" t="s">
        <v>518</v>
      </c>
      <c r="FL891" s="1" t="s">
        <v>358</v>
      </c>
      <c r="FM891" s="1" t="s">
        <v>252</v>
      </c>
      <c r="FN891" s="1" t="s">
        <v>213</v>
      </c>
      <c r="FO891" s="1" t="s">
        <v>213</v>
      </c>
      <c r="FQ891" s="1" t="s">
        <v>3853</v>
      </c>
      <c r="FR891" s="1" t="s">
        <v>652</v>
      </c>
      <c r="FS891" s="1" t="s">
        <v>9911</v>
      </c>
      <c r="FT891" s="1" t="s">
        <v>3855</v>
      </c>
      <c r="FU891" s="1" t="s">
        <v>204</v>
      </c>
      <c r="FV891" s="1" t="s">
        <v>9874</v>
      </c>
      <c r="FW891" s="1" t="s">
        <v>3857</v>
      </c>
      <c r="FX891" s="1">
        <v>23223</v>
      </c>
      <c r="FY891" s="1" t="s">
        <v>3858</v>
      </c>
      <c r="FZ891" s="1" t="s">
        <v>3859</v>
      </c>
      <c r="GA891" s="1">
        <v>236300</v>
      </c>
      <c r="GC891" s="1">
        <v>210778</v>
      </c>
      <c r="GE891" s="1" t="s">
        <v>1333</v>
      </c>
      <c r="GI891" s="1" t="s">
        <v>204</v>
      </c>
      <c r="GJ891" s="1" t="s">
        <v>300</v>
      </c>
      <c r="GK891" s="1" t="s">
        <v>210</v>
      </c>
      <c r="GL891" s="2">
        <v>41969</v>
      </c>
      <c r="GM891" s="1" t="s">
        <v>9912</v>
      </c>
    </row>
    <row r="892" spans="1:195">
      <c r="A892" s="1">
        <v>58000</v>
      </c>
      <c r="B892" s="1" t="s">
        <v>195</v>
      </c>
      <c r="C892" s="1" t="str">
        <f>"08589914"</f>
        <v>08589914</v>
      </c>
      <c r="D892" s="1" t="s">
        <v>196</v>
      </c>
      <c r="F892" s="1" t="str">
        <f>"186"</f>
        <v>186</v>
      </c>
      <c r="G892" s="2">
        <v>41747</v>
      </c>
      <c r="H892" s="1">
        <v>55000</v>
      </c>
      <c r="I892" s="1">
        <v>60000</v>
      </c>
      <c r="J892" s="1">
        <v>58000</v>
      </c>
      <c r="K892" s="2">
        <v>41746</v>
      </c>
      <c r="L892" s="1">
        <v>367</v>
      </c>
      <c r="M892" s="2">
        <v>42112</v>
      </c>
      <c r="N892" s="1">
        <v>367</v>
      </c>
      <c r="O892" s="2">
        <v>42112</v>
      </c>
      <c r="P892" s="1">
        <v>2700</v>
      </c>
      <c r="Q892" s="1" t="s">
        <v>197</v>
      </c>
      <c r="R892" s="2">
        <v>42125</v>
      </c>
      <c r="S892" s="1">
        <v>20015</v>
      </c>
      <c r="U892" s="1">
        <v>1539</v>
      </c>
      <c r="V892" s="1" t="s">
        <v>4104</v>
      </c>
      <c r="W892" s="1" t="s">
        <v>425</v>
      </c>
      <c r="X892" s="1" t="s">
        <v>1000</v>
      </c>
      <c r="Y892" s="1">
        <v>6</v>
      </c>
      <c r="Z892" s="1" t="s">
        <v>249</v>
      </c>
      <c r="AA892" s="1" t="s">
        <v>2099</v>
      </c>
      <c r="AB892" s="1">
        <v>60181</v>
      </c>
      <c r="AE892" s="1" t="s">
        <v>9913</v>
      </c>
      <c r="AF892" s="1">
        <v>1981</v>
      </c>
      <c r="AG892" s="1" t="s">
        <v>204</v>
      </c>
      <c r="AH892" s="1" t="s">
        <v>2101</v>
      </c>
      <c r="AI892" s="1" t="s">
        <v>206</v>
      </c>
      <c r="AJ892" s="1" t="s">
        <v>1608</v>
      </c>
      <c r="AL892" s="1">
        <v>5</v>
      </c>
      <c r="AM892" s="1">
        <v>2</v>
      </c>
      <c r="AN892" s="1">
        <v>2</v>
      </c>
      <c r="AO892" s="1">
        <v>0</v>
      </c>
      <c r="AP892" s="1" t="s">
        <v>209</v>
      </c>
      <c r="AR892" s="1" t="s">
        <v>210</v>
      </c>
      <c r="AS892" s="1" t="s">
        <v>204</v>
      </c>
      <c r="AT892" s="1" t="s">
        <v>271</v>
      </c>
      <c r="AV892" s="1">
        <v>2</v>
      </c>
      <c r="AW892" s="1" t="s">
        <v>204</v>
      </c>
      <c r="AX892" s="1">
        <v>0</v>
      </c>
      <c r="AZ892" s="1">
        <v>1914</v>
      </c>
      <c r="BA892" s="1">
        <v>2013</v>
      </c>
      <c r="BB892" s="1" t="s">
        <v>405</v>
      </c>
      <c r="BE892" s="1">
        <v>998</v>
      </c>
      <c r="BF892" s="1">
        <v>2</v>
      </c>
      <c r="BG892" s="1">
        <v>0</v>
      </c>
      <c r="BJ892" s="1">
        <v>100</v>
      </c>
      <c r="BL892" s="1">
        <v>115</v>
      </c>
      <c r="BM892" s="1" t="s">
        <v>204</v>
      </c>
      <c r="BN892" s="1" t="s">
        <v>204</v>
      </c>
      <c r="BP892" s="1" t="s">
        <v>204</v>
      </c>
      <c r="BR892" s="1" t="str">
        <f>"0615308009"</f>
        <v>0615308009</v>
      </c>
      <c r="BT892" s="1" t="s">
        <v>9914</v>
      </c>
      <c r="BU892" s="1" t="s">
        <v>3822</v>
      </c>
      <c r="BV892" s="1" t="s">
        <v>3315</v>
      </c>
      <c r="BW892" s="1" t="s">
        <v>2201</v>
      </c>
      <c r="BX892" s="1">
        <v>48</v>
      </c>
      <c r="BY892" s="1">
        <v>48</v>
      </c>
      <c r="BZ892" s="1">
        <v>88</v>
      </c>
      <c r="CB892" s="1" t="str">
        <f t="shared" si="687"/>
        <v>0</v>
      </c>
      <c r="CC892" s="1" t="str">
        <f t="shared" si="688"/>
        <v>0</v>
      </c>
      <c r="CD892" s="1">
        <v>12</v>
      </c>
      <c r="CE892" s="1">
        <v>1</v>
      </c>
      <c r="CG892" s="1" t="s">
        <v>490</v>
      </c>
      <c r="CH892" s="1" t="s">
        <v>219</v>
      </c>
      <c r="CI892" s="1" t="s">
        <v>220</v>
      </c>
      <c r="CK892" s="1" t="s">
        <v>2122</v>
      </c>
      <c r="CL892" s="1" t="s">
        <v>219</v>
      </c>
      <c r="CM892" s="1" t="s">
        <v>220</v>
      </c>
      <c r="CO892" s="1" t="s">
        <v>461</v>
      </c>
      <c r="CP892" s="1" t="s">
        <v>219</v>
      </c>
      <c r="CQ892" s="1" t="s">
        <v>220</v>
      </c>
      <c r="CR892" s="1" t="s">
        <v>210</v>
      </c>
      <c r="CS892" s="1" t="s">
        <v>1046</v>
      </c>
      <c r="CT892" s="1" t="s">
        <v>219</v>
      </c>
      <c r="CU892" s="1" t="s">
        <v>220</v>
      </c>
      <c r="CX892" s="1" t="s">
        <v>224</v>
      </c>
      <c r="DB892" s="1" t="s">
        <v>224</v>
      </c>
      <c r="DE892" s="1" t="s">
        <v>1469</v>
      </c>
      <c r="DF892" s="1" t="s">
        <v>219</v>
      </c>
      <c r="DJ892" s="1" t="s">
        <v>224</v>
      </c>
      <c r="DS892" s="1" t="s">
        <v>230</v>
      </c>
      <c r="DW892" s="1" t="s">
        <v>230</v>
      </c>
      <c r="EA892" s="1" t="s">
        <v>230</v>
      </c>
      <c r="EE892" s="1" t="s">
        <v>230</v>
      </c>
      <c r="EI892" s="1" t="s">
        <v>230</v>
      </c>
      <c r="EL892" s="1" t="s">
        <v>231</v>
      </c>
      <c r="EM892" s="1" t="s">
        <v>232</v>
      </c>
      <c r="EN892" s="1" t="s">
        <v>731</v>
      </c>
      <c r="EO892" s="1" t="s">
        <v>234</v>
      </c>
      <c r="EP892" s="1" t="s">
        <v>1614</v>
      </c>
      <c r="EQ892" s="1" t="s">
        <v>468</v>
      </c>
      <c r="ER892" s="1" t="s">
        <v>210</v>
      </c>
      <c r="ES892" s="1" t="s">
        <v>322</v>
      </c>
      <c r="EV892" s="1" t="s">
        <v>324</v>
      </c>
      <c r="EW892" s="1" t="s">
        <v>1250</v>
      </c>
      <c r="EY892" s="1" t="s">
        <v>242</v>
      </c>
      <c r="EZ892" s="1" t="s">
        <v>287</v>
      </c>
      <c r="FB892" s="1" t="s">
        <v>734</v>
      </c>
      <c r="FC892" s="1" t="s">
        <v>548</v>
      </c>
      <c r="FD892" s="1" t="s">
        <v>1112</v>
      </c>
      <c r="FE892" s="1" t="s">
        <v>247</v>
      </c>
      <c r="FF892" s="1" t="s">
        <v>347</v>
      </c>
      <c r="FH892" s="1" t="s">
        <v>249</v>
      </c>
      <c r="FK892" s="1" t="s">
        <v>891</v>
      </c>
      <c r="FL892" s="1" t="s">
        <v>292</v>
      </c>
      <c r="FM892" s="1" t="s">
        <v>252</v>
      </c>
      <c r="FN892" s="1" t="s">
        <v>213</v>
      </c>
      <c r="FO892" s="1" t="s">
        <v>213</v>
      </c>
      <c r="FQ892" s="1" t="s">
        <v>9915</v>
      </c>
      <c r="FR892" s="1" t="s">
        <v>360</v>
      </c>
      <c r="FS892" s="1" t="s">
        <v>9916</v>
      </c>
      <c r="FT892" s="1" t="s">
        <v>1139</v>
      </c>
      <c r="FU892" s="1" t="s">
        <v>204</v>
      </c>
      <c r="FW892" s="1" t="s">
        <v>9917</v>
      </c>
      <c r="FX892" s="1">
        <v>25859</v>
      </c>
      <c r="FY892" s="1" t="s">
        <v>9918</v>
      </c>
      <c r="FZ892" s="1" t="s">
        <v>9919</v>
      </c>
      <c r="GA892" s="1">
        <v>242021</v>
      </c>
      <c r="GE892" s="1" t="s">
        <v>210</v>
      </c>
      <c r="GH892" s="1" t="s">
        <v>421</v>
      </c>
      <c r="GI892" s="1" t="s">
        <v>204</v>
      </c>
      <c r="GJ892" s="1" t="s">
        <v>260</v>
      </c>
      <c r="GK892" s="1" t="s">
        <v>210</v>
      </c>
      <c r="GL892" s="2">
        <v>42125</v>
      </c>
      <c r="GM892" s="2" t="s">
        <v>9920</v>
      </c>
    </row>
    <row r="893" spans="1:195">
      <c r="A893" s="1">
        <v>109000</v>
      </c>
      <c r="B893" s="1" t="s">
        <v>195</v>
      </c>
      <c r="C893" s="1" t="str">
        <f>"08640838"</f>
        <v>08640838</v>
      </c>
      <c r="D893" s="1" t="s">
        <v>196</v>
      </c>
      <c r="F893" s="1" t="str">
        <f>"507"</f>
        <v>507</v>
      </c>
      <c r="G893" s="2">
        <v>41800</v>
      </c>
      <c r="H893" s="1">
        <v>110000</v>
      </c>
      <c r="I893" s="1">
        <v>110000</v>
      </c>
      <c r="J893" s="1">
        <v>109000</v>
      </c>
      <c r="K893" s="2">
        <v>41800</v>
      </c>
      <c r="L893" s="1">
        <v>8</v>
      </c>
      <c r="M893" s="2">
        <v>41807</v>
      </c>
      <c r="N893" s="1">
        <v>8</v>
      </c>
      <c r="O893" s="2">
        <v>41807</v>
      </c>
      <c r="P893" s="1">
        <v>23177</v>
      </c>
      <c r="Q893" s="1" t="s">
        <v>197</v>
      </c>
      <c r="R893" s="2">
        <v>41995</v>
      </c>
      <c r="S893" s="1">
        <v>233761</v>
      </c>
      <c r="U893" s="1">
        <v>375</v>
      </c>
      <c r="V893" s="1" t="s">
        <v>5541</v>
      </c>
      <c r="W893" s="1" t="s">
        <v>264</v>
      </c>
      <c r="X893" s="1" t="s">
        <v>1000</v>
      </c>
      <c r="Y893" s="1">
        <v>4</v>
      </c>
      <c r="Z893" s="1" t="s">
        <v>249</v>
      </c>
      <c r="AA893" s="1" t="s">
        <v>1123</v>
      </c>
      <c r="AB893" s="1">
        <v>60504</v>
      </c>
      <c r="AD893" s="1" t="s">
        <v>5542</v>
      </c>
      <c r="AE893" s="1" t="s">
        <v>5543</v>
      </c>
      <c r="AF893" s="1">
        <v>1986</v>
      </c>
      <c r="AG893" s="1" t="s">
        <v>204</v>
      </c>
      <c r="AH893" s="1" t="s">
        <v>1126</v>
      </c>
      <c r="AI893" s="1" t="s">
        <v>206</v>
      </c>
      <c r="AJ893" s="1" t="s">
        <v>924</v>
      </c>
      <c r="AK893" s="1" t="s">
        <v>1088</v>
      </c>
      <c r="AL893" s="1">
        <v>5</v>
      </c>
      <c r="AM893" s="1">
        <v>2</v>
      </c>
      <c r="AN893" s="1">
        <v>2</v>
      </c>
      <c r="AO893" s="1">
        <v>0</v>
      </c>
      <c r="AP893" s="1" t="s">
        <v>209</v>
      </c>
      <c r="AQ893" s="1">
        <v>1</v>
      </c>
      <c r="AR893" s="1" t="s">
        <v>210</v>
      </c>
      <c r="AS893" s="1" t="s">
        <v>204</v>
      </c>
      <c r="AT893" s="1" t="s">
        <v>211</v>
      </c>
      <c r="AU893" s="1">
        <v>1</v>
      </c>
      <c r="AW893" s="1" t="s">
        <v>204</v>
      </c>
      <c r="AX893" s="1" t="s">
        <v>579</v>
      </c>
      <c r="AZ893" s="1">
        <v>1858.74</v>
      </c>
      <c r="BA893" s="1">
        <v>2013</v>
      </c>
      <c r="BB893" s="1" t="s">
        <v>405</v>
      </c>
      <c r="BE893" s="1">
        <v>1058</v>
      </c>
      <c r="BF893" s="1">
        <v>2</v>
      </c>
      <c r="BG893" s="1">
        <v>0</v>
      </c>
      <c r="BJ893" s="1">
        <v>90</v>
      </c>
      <c r="BK893" s="1">
        <v>75</v>
      </c>
      <c r="BL893" s="1">
        <v>208</v>
      </c>
      <c r="BM893" s="1" t="s">
        <v>204</v>
      </c>
      <c r="BN893" s="1" t="s">
        <v>213</v>
      </c>
      <c r="BO893" s="1">
        <v>30</v>
      </c>
      <c r="BP893" s="1" t="s">
        <v>204</v>
      </c>
      <c r="BR893" s="1" t="str">
        <f>"0720406019"</f>
        <v>0720406019</v>
      </c>
      <c r="BT893" s="1" t="s">
        <v>9921</v>
      </c>
      <c r="BU893" s="1" t="s">
        <v>2087</v>
      </c>
      <c r="BV893" s="1" t="s">
        <v>1130</v>
      </c>
      <c r="BW893" s="1" t="s">
        <v>1312</v>
      </c>
      <c r="BX893" s="1">
        <v>204</v>
      </c>
      <c r="BY893" s="1">
        <v>204</v>
      </c>
      <c r="BZ893" s="1">
        <v>204</v>
      </c>
      <c r="CB893" s="1" t="str">
        <f t="shared" si="687"/>
        <v>0</v>
      </c>
      <c r="CC893" s="1" t="str">
        <f t="shared" si="688"/>
        <v>0</v>
      </c>
      <c r="CD893" s="1">
        <v>31</v>
      </c>
      <c r="CE893" s="1">
        <v>7</v>
      </c>
      <c r="CG893" s="1" t="s">
        <v>515</v>
      </c>
      <c r="CH893" s="1" t="s">
        <v>277</v>
      </c>
      <c r="CI893" s="1" t="s">
        <v>220</v>
      </c>
      <c r="CK893" s="1" t="s">
        <v>564</v>
      </c>
      <c r="CL893" s="1" t="s">
        <v>277</v>
      </c>
      <c r="CM893" s="1" t="s">
        <v>220</v>
      </c>
      <c r="CN893" s="1" t="s">
        <v>1199</v>
      </c>
      <c r="CO893" s="1" t="s">
        <v>346</v>
      </c>
      <c r="CP893" s="1" t="s">
        <v>277</v>
      </c>
      <c r="CQ893" s="1" t="s">
        <v>220</v>
      </c>
      <c r="CR893" s="1" t="s">
        <v>210</v>
      </c>
      <c r="CS893" s="1" t="s">
        <v>346</v>
      </c>
      <c r="CT893" s="1" t="s">
        <v>277</v>
      </c>
      <c r="CU893" s="1" t="s">
        <v>220</v>
      </c>
      <c r="CV893" s="1" t="s">
        <v>1199</v>
      </c>
      <c r="CX893" s="1" t="s">
        <v>224</v>
      </c>
      <c r="DB893" s="1" t="s">
        <v>224</v>
      </c>
      <c r="DE893" s="1" t="s">
        <v>346</v>
      </c>
      <c r="DF893" s="1" t="s">
        <v>277</v>
      </c>
      <c r="DG893" s="1" t="s">
        <v>226</v>
      </c>
      <c r="DJ893" s="1" t="s">
        <v>224</v>
      </c>
      <c r="DS893" s="1" t="s">
        <v>230</v>
      </c>
      <c r="DW893" s="1" t="s">
        <v>230</v>
      </c>
      <c r="EA893" s="1" t="s">
        <v>230</v>
      </c>
      <c r="EE893" s="1" t="s">
        <v>230</v>
      </c>
      <c r="EI893" s="1" t="s">
        <v>230</v>
      </c>
      <c r="EL893" s="1" t="s">
        <v>542</v>
      </c>
      <c r="EM893" s="1" t="s">
        <v>319</v>
      </c>
      <c r="EN893" s="1" t="s">
        <v>282</v>
      </c>
      <c r="EO893" s="1" t="s">
        <v>234</v>
      </c>
      <c r="EP893" s="1" t="s">
        <v>5545</v>
      </c>
      <c r="EQ893" s="1" t="s">
        <v>671</v>
      </c>
      <c r="ER893" s="1" t="s">
        <v>210</v>
      </c>
      <c r="ES893" s="1" t="s">
        <v>493</v>
      </c>
      <c r="ET893" s="1" t="s">
        <v>1161</v>
      </c>
      <c r="EU893" s="1" t="s">
        <v>5417</v>
      </c>
      <c r="EV893" s="1" t="s">
        <v>352</v>
      </c>
      <c r="EW893" s="1" t="s">
        <v>5546</v>
      </c>
      <c r="EY893" s="1" t="s">
        <v>790</v>
      </c>
      <c r="EZ893" s="1" t="s">
        <v>287</v>
      </c>
      <c r="FA893" s="1" t="s">
        <v>1754</v>
      </c>
      <c r="FB893" s="1" t="s">
        <v>289</v>
      </c>
      <c r="FC893" s="1" t="s">
        <v>548</v>
      </c>
      <c r="FD893" s="1" t="s">
        <v>246</v>
      </c>
      <c r="FE893" s="1" t="s">
        <v>247</v>
      </c>
      <c r="FF893" s="1" t="s">
        <v>387</v>
      </c>
      <c r="FG893" s="1" t="s">
        <v>1682</v>
      </c>
      <c r="FH893" s="1" t="s">
        <v>388</v>
      </c>
      <c r="FI893" s="1" t="s">
        <v>473</v>
      </c>
      <c r="FJ893" s="1" t="s">
        <v>518</v>
      </c>
      <c r="FL893" s="1" t="s">
        <v>358</v>
      </c>
      <c r="FM893" s="1" t="s">
        <v>252</v>
      </c>
      <c r="FN893" s="1" t="s">
        <v>213</v>
      </c>
      <c r="FO893" s="1" t="s">
        <v>213</v>
      </c>
      <c r="FQ893" s="1" t="s">
        <v>1518</v>
      </c>
      <c r="FR893" s="1" t="s">
        <v>210</v>
      </c>
      <c r="FS893" s="1" t="s">
        <v>9922</v>
      </c>
      <c r="FT893" s="1" t="s">
        <v>9923</v>
      </c>
      <c r="FU893" s="1" t="s">
        <v>204</v>
      </c>
      <c r="FV893" s="1" t="s">
        <v>9924</v>
      </c>
      <c r="FW893" s="1" t="s">
        <v>3132</v>
      </c>
      <c r="FX893" s="1">
        <v>6267</v>
      </c>
      <c r="FY893" s="1" t="s">
        <v>3133</v>
      </c>
      <c r="FZ893" s="1" t="s">
        <v>9925</v>
      </c>
      <c r="GA893" s="1">
        <v>37307</v>
      </c>
      <c r="GB893" s="1" t="s">
        <v>9926</v>
      </c>
      <c r="GE893" s="1" t="s">
        <v>480</v>
      </c>
      <c r="GI893" s="1" t="s">
        <v>213</v>
      </c>
      <c r="GJ893" s="1" t="s">
        <v>260</v>
      </c>
      <c r="GK893" s="1" t="s">
        <v>210</v>
      </c>
      <c r="GL893" s="2">
        <v>41995</v>
      </c>
      <c r="GM893" s="1" t="s">
        <v>9927</v>
      </c>
    </row>
    <row r="894" spans="1:195">
      <c r="A894" s="1">
        <v>120000</v>
      </c>
      <c r="B894" s="1" t="s">
        <v>195</v>
      </c>
      <c r="C894" s="1" t="str">
        <f>"08588924"</f>
        <v>08588924</v>
      </c>
      <c r="D894" s="1" t="s">
        <v>196</v>
      </c>
      <c r="F894" s="1" t="str">
        <f>"540"</f>
        <v>540</v>
      </c>
      <c r="G894" s="2">
        <v>41746</v>
      </c>
      <c r="H894" s="1">
        <v>143000</v>
      </c>
      <c r="I894" s="1">
        <v>137900</v>
      </c>
      <c r="J894" s="1">
        <v>120000</v>
      </c>
      <c r="K894" s="2">
        <v>41746</v>
      </c>
      <c r="L894" s="1">
        <v>344</v>
      </c>
      <c r="M894" s="2">
        <v>42089</v>
      </c>
      <c r="N894" s="1">
        <v>344</v>
      </c>
      <c r="O894" s="2">
        <v>42089</v>
      </c>
      <c r="P894" s="1">
        <v>20179</v>
      </c>
      <c r="Q894" s="1" t="s">
        <v>197</v>
      </c>
      <c r="R894" s="2">
        <v>42125</v>
      </c>
      <c r="S894" s="1">
        <v>214385</v>
      </c>
      <c r="U894" s="1">
        <v>1120</v>
      </c>
      <c r="V894" s="1" t="s">
        <v>9928</v>
      </c>
      <c r="W894" s="1" t="s">
        <v>425</v>
      </c>
      <c r="X894" s="1">
        <v>1</v>
      </c>
      <c r="Y894" s="1">
        <v>4</v>
      </c>
      <c r="Z894" s="1" t="s">
        <v>249</v>
      </c>
      <c r="AA894" s="1" t="s">
        <v>921</v>
      </c>
      <c r="AB894" s="1">
        <v>60563</v>
      </c>
      <c r="AD894" s="1" t="s">
        <v>9929</v>
      </c>
      <c r="AE894" s="1" t="s">
        <v>9930</v>
      </c>
      <c r="AF894" s="1">
        <v>1982</v>
      </c>
      <c r="AG894" s="1" t="s">
        <v>204</v>
      </c>
      <c r="AH894" s="1" t="s">
        <v>924</v>
      </c>
      <c r="AI894" s="1" t="s">
        <v>206</v>
      </c>
      <c r="AJ894" s="1" t="s">
        <v>925</v>
      </c>
      <c r="AL894" s="1">
        <v>5</v>
      </c>
      <c r="AM894" s="1">
        <v>2</v>
      </c>
      <c r="AN894" s="1">
        <v>1</v>
      </c>
      <c r="AO894" s="1">
        <v>1</v>
      </c>
      <c r="AP894" s="1" t="s">
        <v>667</v>
      </c>
      <c r="AQ894" s="1">
        <v>1</v>
      </c>
      <c r="AR894" s="1" t="s">
        <v>210</v>
      </c>
      <c r="AT894" s="1" t="s">
        <v>211</v>
      </c>
      <c r="AU894" s="1">
        <v>1</v>
      </c>
      <c r="AW894" s="1" t="s">
        <v>204</v>
      </c>
      <c r="AX894" s="1" t="s">
        <v>212</v>
      </c>
      <c r="AZ894" s="1">
        <v>2851</v>
      </c>
      <c r="BA894" s="1">
        <v>2013</v>
      </c>
      <c r="BE894" s="1">
        <v>1098</v>
      </c>
      <c r="BF894" s="1">
        <v>1</v>
      </c>
      <c r="BG894" s="1">
        <v>15</v>
      </c>
      <c r="BL894" s="1">
        <v>239</v>
      </c>
      <c r="BM894" s="1" t="s">
        <v>204</v>
      </c>
      <c r="BN894" s="1" t="s">
        <v>213</v>
      </c>
      <c r="BO894" s="1" t="s">
        <v>2932</v>
      </c>
      <c r="BP894" s="1" t="s">
        <v>204</v>
      </c>
      <c r="BR894" s="1" t="str">
        <f>"0808109009"</f>
        <v>0808109009</v>
      </c>
      <c r="BT894" s="1" t="s">
        <v>9931</v>
      </c>
      <c r="BX894" s="1">
        <v>203</v>
      </c>
      <c r="BY894" s="1">
        <v>203</v>
      </c>
      <c r="BZ894" s="1">
        <v>203</v>
      </c>
      <c r="CB894" s="1" t="str">
        <f t="shared" ref="CB894:CC894" si="689">""</f>
        <v/>
      </c>
      <c r="CC894" s="1" t="str">
        <f t="shared" si="689"/>
        <v/>
      </c>
      <c r="CG894" s="1" t="s">
        <v>3100</v>
      </c>
      <c r="CH894" s="1" t="s">
        <v>219</v>
      </c>
      <c r="CI894" s="1" t="s">
        <v>438</v>
      </c>
      <c r="CK894" s="1" t="s">
        <v>757</v>
      </c>
      <c r="CL894" s="1" t="s">
        <v>219</v>
      </c>
      <c r="CM894" s="1" t="s">
        <v>220</v>
      </c>
      <c r="CO894" s="1" t="s">
        <v>281</v>
      </c>
      <c r="CP894" s="1" t="s">
        <v>219</v>
      </c>
      <c r="CQ894" s="1" t="s">
        <v>438</v>
      </c>
      <c r="CS894" s="1" t="s">
        <v>318</v>
      </c>
      <c r="CT894" s="1" t="s">
        <v>219</v>
      </c>
      <c r="CU894" s="1" t="s">
        <v>438</v>
      </c>
      <c r="CX894" s="1" t="s">
        <v>224</v>
      </c>
      <c r="DB894" s="1" t="s">
        <v>224</v>
      </c>
      <c r="DE894" s="1" t="s">
        <v>281</v>
      </c>
      <c r="DF894" s="1" t="s">
        <v>219</v>
      </c>
      <c r="DG894" s="1" t="s">
        <v>342</v>
      </c>
      <c r="DJ894" s="1" t="s">
        <v>224</v>
      </c>
      <c r="DS894" s="1" t="s">
        <v>230</v>
      </c>
      <c r="DW894" s="1" t="s">
        <v>230</v>
      </c>
      <c r="EA894" s="1" t="s">
        <v>230</v>
      </c>
      <c r="EE894" s="1" t="s">
        <v>230</v>
      </c>
      <c r="EI894" s="1" t="s">
        <v>230</v>
      </c>
      <c r="EL894" s="1" t="s">
        <v>231</v>
      </c>
      <c r="EM894" s="1" t="s">
        <v>232</v>
      </c>
      <c r="EN894" s="1" t="s">
        <v>282</v>
      </c>
      <c r="EO894" s="1" t="s">
        <v>234</v>
      </c>
      <c r="ER894" s="1" t="s">
        <v>210</v>
      </c>
      <c r="EW894" s="1" t="s">
        <v>353</v>
      </c>
      <c r="EZ894" s="1" t="s">
        <v>287</v>
      </c>
      <c r="FD894" s="1" t="s">
        <v>246</v>
      </c>
      <c r="FE894" s="1" t="s">
        <v>247</v>
      </c>
      <c r="FF894" s="1" t="s">
        <v>248</v>
      </c>
      <c r="FG894" s="1" t="s">
        <v>939</v>
      </c>
      <c r="FH894" s="1" t="s">
        <v>249</v>
      </c>
      <c r="FI894" s="1" t="s">
        <v>357</v>
      </c>
      <c r="FL894" s="1" t="s">
        <v>358</v>
      </c>
      <c r="FM894" s="1" t="s">
        <v>252</v>
      </c>
      <c r="FN894" s="1" t="s">
        <v>213</v>
      </c>
      <c r="FO894" s="1" t="s">
        <v>204</v>
      </c>
      <c r="FQ894" s="1" t="s">
        <v>8137</v>
      </c>
      <c r="FR894" s="1" t="s">
        <v>210</v>
      </c>
      <c r="FS894" s="1" t="s">
        <v>9932</v>
      </c>
      <c r="FT894" s="1" t="s">
        <v>9933</v>
      </c>
      <c r="FU894" s="1" t="s">
        <v>204</v>
      </c>
      <c r="FW894" s="1" t="s">
        <v>3116</v>
      </c>
      <c r="FX894" s="1">
        <v>21823</v>
      </c>
      <c r="FY894" s="1" t="s">
        <v>3117</v>
      </c>
      <c r="FZ894" s="1" t="s">
        <v>9934</v>
      </c>
      <c r="GA894" s="1">
        <v>234852</v>
      </c>
      <c r="GB894" s="1" t="s">
        <v>9935</v>
      </c>
      <c r="GE894" s="1" t="s">
        <v>480</v>
      </c>
      <c r="GI894" s="1" t="s">
        <v>213</v>
      </c>
      <c r="GJ894" s="1" t="s">
        <v>260</v>
      </c>
      <c r="GK894" s="1" t="s">
        <v>210</v>
      </c>
      <c r="GL894" s="2">
        <v>42128</v>
      </c>
      <c r="GM894" s="1" t="s">
        <v>9936</v>
      </c>
    </row>
    <row r="895" spans="1:195">
      <c r="A895" s="1">
        <v>183000</v>
      </c>
      <c r="B895" s="1" t="s">
        <v>195</v>
      </c>
      <c r="C895" s="1" t="str">
        <f>"08591311"</f>
        <v>08591311</v>
      </c>
      <c r="D895" s="1" t="s">
        <v>196</v>
      </c>
      <c r="F895" s="1" t="str">
        <f>"101"</f>
        <v>101</v>
      </c>
      <c r="G895" s="2">
        <v>41750</v>
      </c>
      <c r="H895" s="1">
        <v>189000</v>
      </c>
      <c r="I895" s="1">
        <v>189000</v>
      </c>
      <c r="J895" s="1">
        <v>183000</v>
      </c>
      <c r="K895" s="2">
        <v>41750</v>
      </c>
      <c r="L895" s="1">
        <v>344</v>
      </c>
      <c r="M895" s="2">
        <v>42093</v>
      </c>
      <c r="N895" s="1">
        <v>344</v>
      </c>
      <c r="O895" s="2">
        <v>42093</v>
      </c>
      <c r="P895" s="1">
        <v>92063</v>
      </c>
      <c r="Q895" s="1" t="s">
        <v>302</v>
      </c>
      <c r="R895" s="2">
        <v>42118</v>
      </c>
      <c r="S895" s="1">
        <v>26265</v>
      </c>
      <c r="U895" s="1">
        <v>1200</v>
      </c>
      <c r="V895" s="1" t="s">
        <v>9937</v>
      </c>
      <c r="W895" s="1" t="s">
        <v>264</v>
      </c>
      <c r="X895" s="1">
        <v>201</v>
      </c>
      <c r="Y895" s="1">
        <v>42</v>
      </c>
      <c r="Z895" s="1" t="s">
        <v>249</v>
      </c>
      <c r="AA895" s="1" t="s">
        <v>2631</v>
      </c>
      <c r="AB895" s="1">
        <v>60101</v>
      </c>
      <c r="AE895" s="1" t="s">
        <v>9938</v>
      </c>
      <c r="AF895" s="1">
        <v>2006</v>
      </c>
      <c r="AG895" s="1" t="s">
        <v>204</v>
      </c>
      <c r="AH895" s="1" t="s">
        <v>1233</v>
      </c>
      <c r="AI895" s="1" t="s">
        <v>206</v>
      </c>
      <c r="AJ895" s="1" t="s">
        <v>1233</v>
      </c>
      <c r="AL895" s="1">
        <v>4</v>
      </c>
      <c r="AM895" s="1">
        <v>2</v>
      </c>
      <c r="AN895" s="1">
        <v>2</v>
      </c>
      <c r="AO895" s="1">
        <v>0</v>
      </c>
      <c r="AP895" s="1" t="s">
        <v>210</v>
      </c>
      <c r="AR895" s="1" t="s">
        <v>210</v>
      </c>
      <c r="AS895" s="1" t="s">
        <v>204</v>
      </c>
      <c r="AT895" s="1" t="s">
        <v>211</v>
      </c>
      <c r="AU895" s="1">
        <v>1</v>
      </c>
      <c r="AW895" s="1" t="s">
        <v>213</v>
      </c>
      <c r="AX895" s="1" t="s">
        <v>212</v>
      </c>
      <c r="AZ895" s="1">
        <v>4393</v>
      </c>
      <c r="BA895" s="1">
        <v>2013</v>
      </c>
      <c r="BE895" s="1">
        <v>1250</v>
      </c>
      <c r="BF895" s="1">
        <v>2</v>
      </c>
      <c r="BG895" s="1">
        <v>30</v>
      </c>
      <c r="BL895" s="1">
        <v>283</v>
      </c>
      <c r="BM895" s="1" t="s">
        <v>204</v>
      </c>
      <c r="BN895" s="1" t="s">
        <v>204</v>
      </c>
      <c r="BP895" s="1" t="s">
        <v>204</v>
      </c>
      <c r="BR895" s="1" t="str">
        <f>"0319215058"</f>
        <v>0319215058</v>
      </c>
      <c r="BT895" s="1" t="s">
        <v>9939</v>
      </c>
      <c r="BX895" s="1">
        <v>4</v>
      </c>
      <c r="BY895" s="1">
        <v>4</v>
      </c>
      <c r="BZ895" s="1">
        <v>88</v>
      </c>
      <c r="CB895" s="1" t="str">
        <f>"4"</f>
        <v>4</v>
      </c>
      <c r="CC895" s="1" t="str">
        <f>"0"</f>
        <v>0</v>
      </c>
      <c r="CD895" s="1">
        <v>20</v>
      </c>
      <c r="CE895" s="1">
        <v>0</v>
      </c>
      <c r="CG895" s="1" t="s">
        <v>377</v>
      </c>
      <c r="CH895" s="1" t="s">
        <v>219</v>
      </c>
      <c r="CK895" s="1" t="s">
        <v>315</v>
      </c>
      <c r="CL895" s="1" t="s">
        <v>219</v>
      </c>
      <c r="CP895" s="1" t="s">
        <v>224</v>
      </c>
      <c r="CS895" s="1" t="s">
        <v>1046</v>
      </c>
      <c r="CT895" s="1" t="s">
        <v>219</v>
      </c>
      <c r="CX895" s="1" t="s">
        <v>224</v>
      </c>
      <c r="DB895" s="1" t="s">
        <v>224</v>
      </c>
      <c r="DE895" s="1" t="s">
        <v>318</v>
      </c>
      <c r="DF895" s="1" t="s">
        <v>219</v>
      </c>
      <c r="DJ895" s="1" t="s">
        <v>224</v>
      </c>
      <c r="DS895" s="1" t="s">
        <v>230</v>
      </c>
      <c r="DW895" s="1" t="s">
        <v>230</v>
      </c>
      <c r="EA895" s="1" t="s">
        <v>230</v>
      </c>
      <c r="EE895" s="1" t="s">
        <v>230</v>
      </c>
      <c r="EI895" s="1" t="s">
        <v>230</v>
      </c>
      <c r="EL895" s="1" t="s">
        <v>491</v>
      </c>
      <c r="EM895" s="1" t="s">
        <v>232</v>
      </c>
      <c r="EN895" s="1" t="s">
        <v>210</v>
      </c>
      <c r="EO895" s="1" t="s">
        <v>234</v>
      </c>
      <c r="ER895" s="1" t="s">
        <v>210</v>
      </c>
      <c r="EW895" s="1" t="s">
        <v>210</v>
      </c>
      <c r="EZ895" s="1" t="s">
        <v>287</v>
      </c>
      <c r="FD895" s="1" t="s">
        <v>1112</v>
      </c>
      <c r="FE895" s="1" t="s">
        <v>847</v>
      </c>
      <c r="FF895" s="1" t="s">
        <v>248</v>
      </c>
      <c r="FH895" s="1" t="s">
        <v>249</v>
      </c>
      <c r="FL895" s="1" t="s">
        <v>358</v>
      </c>
      <c r="FM895" s="1" t="s">
        <v>252</v>
      </c>
      <c r="FN895" s="1" t="s">
        <v>213</v>
      </c>
      <c r="FO895" s="1" t="s">
        <v>204</v>
      </c>
      <c r="FQ895" s="1" t="s">
        <v>849</v>
      </c>
      <c r="FR895" s="1" t="s">
        <v>210</v>
      </c>
      <c r="FS895" s="1" t="s">
        <v>9940</v>
      </c>
      <c r="FT895" s="1" t="s">
        <v>295</v>
      </c>
      <c r="FU895" s="1" t="s">
        <v>204</v>
      </c>
      <c r="FW895" s="1" t="s">
        <v>3353</v>
      </c>
      <c r="FX895" s="1">
        <v>8658</v>
      </c>
      <c r="FY895" s="1" t="s">
        <v>3354</v>
      </c>
      <c r="FZ895" s="1" t="s">
        <v>3355</v>
      </c>
      <c r="GA895" s="1">
        <v>84760</v>
      </c>
      <c r="GB895" s="1" t="s">
        <v>3354</v>
      </c>
      <c r="GD895" s="1" t="s">
        <v>9655</v>
      </c>
      <c r="GE895" s="1" t="s">
        <v>210</v>
      </c>
      <c r="GH895" s="1" t="s">
        <v>230</v>
      </c>
      <c r="GI895" s="1" t="s">
        <v>213</v>
      </c>
      <c r="GJ895" s="1" t="s">
        <v>260</v>
      </c>
      <c r="GK895" s="1" t="s">
        <v>210</v>
      </c>
      <c r="GL895" s="2">
        <v>42125</v>
      </c>
      <c r="GM895" s="1" t="s">
        <v>9941</v>
      </c>
    </row>
    <row r="896" spans="1:195">
      <c r="A896" s="1">
        <v>110000</v>
      </c>
      <c r="B896" s="1" t="s">
        <v>195</v>
      </c>
      <c r="C896" s="1" t="str">
        <f>"08582202"</f>
        <v>08582202</v>
      </c>
      <c r="D896" s="1" t="s">
        <v>196</v>
      </c>
      <c r="F896" s="1" t="str">
        <f>"507"</f>
        <v>507</v>
      </c>
      <c r="G896" s="2">
        <v>41739</v>
      </c>
      <c r="H896" s="1">
        <v>109000</v>
      </c>
      <c r="I896" s="1">
        <v>105000</v>
      </c>
      <c r="J896" s="1">
        <v>110000</v>
      </c>
      <c r="K896" s="2">
        <v>41739</v>
      </c>
      <c r="L896" s="1">
        <v>222</v>
      </c>
      <c r="M896" s="2">
        <v>41960</v>
      </c>
      <c r="N896" s="1">
        <v>222</v>
      </c>
      <c r="O896" s="2">
        <v>41960</v>
      </c>
      <c r="P896" s="1">
        <v>22588</v>
      </c>
      <c r="Q896" s="1" t="s">
        <v>197</v>
      </c>
      <c r="R896" s="2">
        <v>42025</v>
      </c>
      <c r="S896" s="1">
        <v>222996</v>
      </c>
      <c r="T896" s="1">
        <v>2000</v>
      </c>
      <c r="U896" s="1">
        <v>1874</v>
      </c>
      <c r="V896" s="1" t="s">
        <v>9942</v>
      </c>
      <c r="W896" s="1" t="s">
        <v>264</v>
      </c>
      <c r="Y896" s="1">
        <v>6</v>
      </c>
      <c r="Z896" s="1" t="s">
        <v>249</v>
      </c>
      <c r="AA896" s="1" t="s">
        <v>1123</v>
      </c>
      <c r="AB896" s="1">
        <v>60503</v>
      </c>
      <c r="AD896" s="1" t="s">
        <v>1395</v>
      </c>
      <c r="AE896" s="1" t="s">
        <v>9943</v>
      </c>
      <c r="AF896" s="1">
        <v>2003</v>
      </c>
      <c r="AG896" s="1" t="s">
        <v>204</v>
      </c>
      <c r="AH896" s="1" t="s">
        <v>1126</v>
      </c>
      <c r="AI896" s="1" t="s">
        <v>453</v>
      </c>
      <c r="AJ896" s="1" t="s">
        <v>1397</v>
      </c>
      <c r="AK896" s="1" t="s">
        <v>4739</v>
      </c>
      <c r="AL896" s="1">
        <v>5</v>
      </c>
      <c r="AM896" s="1">
        <v>2</v>
      </c>
      <c r="AN896" s="1">
        <v>1</v>
      </c>
      <c r="AO896" s="1">
        <v>1</v>
      </c>
      <c r="AP896" s="1" t="s">
        <v>455</v>
      </c>
      <c r="AR896" s="1" t="s">
        <v>210</v>
      </c>
      <c r="AT896" s="1" t="s">
        <v>211</v>
      </c>
      <c r="AU896" s="1">
        <v>1</v>
      </c>
      <c r="AW896" s="1" t="s">
        <v>204</v>
      </c>
      <c r="AX896" s="1" t="s">
        <v>212</v>
      </c>
      <c r="AZ896" s="1">
        <v>4036</v>
      </c>
      <c r="BA896" s="1">
        <v>2012</v>
      </c>
      <c r="BB896" s="1" t="s">
        <v>405</v>
      </c>
      <c r="BE896" s="1">
        <v>1400</v>
      </c>
      <c r="BF896" s="1">
        <v>1</v>
      </c>
      <c r="BG896" s="1">
        <v>0</v>
      </c>
      <c r="BJ896" s="1">
        <v>100</v>
      </c>
      <c r="BL896" s="1">
        <v>135</v>
      </c>
      <c r="BM896" s="1" t="s">
        <v>204</v>
      </c>
      <c r="BN896" s="1" t="s">
        <v>213</v>
      </c>
      <c r="BO896" s="1">
        <v>999</v>
      </c>
      <c r="BP896" s="1" t="s">
        <v>204</v>
      </c>
      <c r="BR896" s="1" t="str">
        <f>"0301222030"</f>
        <v>0301222030</v>
      </c>
      <c r="BT896" s="1" t="s">
        <v>9944</v>
      </c>
      <c r="BU896" s="1" t="s">
        <v>1400</v>
      </c>
      <c r="BV896" s="1" t="s">
        <v>7954</v>
      </c>
      <c r="BW896" s="1" t="s">
        <v>1401</v>
      </c>
      <c r="BX896" s="1">
        <v>308</v>
      </c>
      <c r="BY896" s="1">
        <v>308</v>
      </c>
      <c r="BZ896" s="1">
        <v>308</v>
      </c>
      <c r="CB896" s="1" t="str">
        <f>"0"</f>
        <v>0</v>
      </c>
      <c r="CC896" s="1" t="str">
        <f>"15"</f>
        <v>15</v>
      </c>
      <c r="CD896" s="1">
        <v>0</v>
      </c>
      <c r="CE896" s="1">
        <v>10</v>
      </c>
      <c r="CH896" s="1" t="s">
        <v>224</v>
      </c>
      <c r="CK896" s="1" t="s">
        <v>1200</v>
      </c>
      <c r="CL896" s="1" t="s">
        <v>277</v>
      </c>
      <c r="CM896" s="1" t="s">
        <v>220</v>
      </c>
      <c r="CN896" s="1" t="s">
        <v>252</v>
      </c>
      <c r="CO896" s="1" t="s">
        <v>3284</v>
      </c>
      <c r="CP896" s="1" t="s">
        <v>219</v>
      </c>
      <c r="CQ896" s="1" t="s">
        <v>220</v>
      </c>
      <c r="CS896" s="1" t="s">
        <v>465</v>
      </c>
      <c r="CT896" s="1" t="s">
        <v>277</v>
      </c>
      <c r="CU896" s="1" t="s">
        <v>220</v>
      </c>
      <c r="CV896" s="1" t="s">
        <v>252</v>
      </c>
      <c r="CX896" s="1" t="s">
        <v>224</v>
      </c>
      <c r="DB896" s="1" t="s">
        <v>224</v>
      </c>
      <c r="DE896" s="1" t="s">
        <v>3034</v>
      </c>
      <c r="DF896" s="1" t="s">
        <v>219</v>
      </c>
      <c r="DG896" s="1" t="s">
        <v>229</v>
      </c>
      <c r="DH896" s="1" t="s">
        <v>210</v>
      </c>
      <c r="DI896" s="1" t="s">
        <v>1936</v>
      </c>
      <c r="DJ896" s="1" t="s">
        <v>219</v>
      </c>
      <c r="DK896" s="1" t="s">
        <v>220</v>
      </c>
      <c r="DL896" s="1" t="s">
        <v>252</v>
      </c>
      <c r="DS896" s="1" t="s">
        <v>230</v>
      </c>
      <c r="DW896" s="1" t="s">
        <v>230</v>
      </c>
      <c r="EA896" s="1" t="s">
        <v>230</v>
      </c>
      <c r="EE896" s="1" t="s">
        <v>230</v>
      </c>
      <c r="EI896" s="1" t="s">
        <v>230</v>
      </c>
      <c r="EL896" s="1" t="s">
        <v>466</v>
      </c>
      <c r="EM896" s="1" t="s">
        <v>319</v>
      </c>
      <c r="EN896" s="1" t="s">
        <v>282</v>
      </c>
      <c r="EO896" s="1" t="s">
        <v>234</v>
      </c>
      <c r="EP896" s="1" t="s">
        <v>650</v>
      </c>
      <c r="EQ896" s="1" t="s">
        <v>236</v>
      </c>
      <c r="ER896" s="1" t="s">
        <v>383</v>
      </c>
      <c r="ET896" s="1" t="s">
        <v>1404</v>
      </c>
      <c r="EU896" s="1" t="s">
        <v>239</v>
      </c>
      <c r="EV896" s="1" t="s">
        <v>1553</v>
      </c>
      <c r="EW896" s="1" t="s">
        <v>1250</v>
      </c>
      <c r="EY896" s="1" t="s">
        <v>242</v>
      </c>
      <c r="EZ896" s="1" t="s">
        <v>287</v>
      </c>
      <c r="FA896" s="1" t="s">
        <v>9945</v>
      </c>
      <c r="FB896" s="1" t="s">
        <v>289</v>
      </c>
      <c r="FC896" s="1" t="s">
        <v>633</v>
      </c>
      <c r="FD896" s="1" t="s">
        <v>246</v>
      </c>
      <c r="FE896" s="1" t="s">
        <v>975</v>
      </c>
      <c r="FF896" s="1" t="s">
        <v>248</v>
      </c>
      <c r="FH896" s="1" t="s">
        <v>249</v>
      </c>
      <c r="FI896" s="1" t="s">
        <v>473</v>
      </c>
      <c r="FL896" s="1" t="s">
        <v>358</v>
      </c>
      <c r="FM896" s="1" t="s">
        <v>252</v>
      </c>
      <c r="FN896" s="1" t="s">
        <v>213</v>
      </c>
      <c r="FO896" s="1" t="s">
        <v>213</v>
      </c>
      <c r="FQ896" s="1" t="s">
        <v>849</v>
      </c>
      <c r="FR896" s="1" t="s">
        <v>360</v>
      </c>
      <c r="FS896" s="1" t="s">
        <v>9946</v>
      </c>
      <c r="FT896" s="1" t="s">
        <v>9947</v>
      </c>
      <c r="FU896" s="1" t="s">
        <v>204</v>
      </c>
      <c r="FW896" s="1" t="s">
        <v>813</v>
      </c>
      <c r="FX896" s="1">
        <v>23177</v>
      </c>
      <c r="FY896" s="1" t="s">
        <v>5258</v>
      </c>
      <c r="FZ896" s="1" t="s">
        <v>9948</v>
      </c>
      <c r="GA896" s="1">
        <v>233761</v>
      </c>
      <c r="GB896" s="1" t="s">
        <v>9949</v>
      </c>
      <c r="GE896" s="1" t="s">
        <v>480</v>
      </c>
      <c r="GI896" s="1" t="s">
        <v>213</v>
      </c>
      <c r="GJ896" s="1" t="s">
        <v>260</v>
      </c>
      <c r="GK896" s="1" t="s">
        <v>210</v>
      </c>
      <c r="GL896" s="2">
        <v>42027</v>
      </c>
      <c r="GM896" s="1" t="s">
        <v>9950</v>
      </c>
    </row>
    <row r="897" spans="1:195">
      <c r="A897" s="1">
        <v>78900</v>
      </c>
      <c r="B897" s="1" t="s">
        <v>195</v>
      </c>
      <c r="C897" s="1" t="str">
        <f>"08584571"</f>
        <v>08584571</v>
      </c>
      <c r="D897" s="1" t="s">
        <v>196</v>
      </c>
      <c r="F897" s="1" t="str">
        <f>"2104"</f>
        <v>2104</v>
      </c>
      <c r="G897" s="2">
        <v>41743</v>
      </c>
      <c r="H897" s="1">
        <v>94900</v>
      </c>
      <c r="I897" s="1">
        <v>78900</v>
      </c>
      <c r="J897" s="1">
        <v>78900</v>
      </c>
      <c r="K897" s="2">
        <v>41743</v>
      </c>
      <c r="L897" s="1">
        <v>194</v>
      </c>
      <c r="M897" s="2">
        <v>41936</v>
      </c>
      <c r="N897" s="1">
        <v>194</v>
      </c>
      <c r="O897" s="2">
        <v>41936</v>
      </c>
      <c r="P897" s="1">
        <v>24383</v>
      </c>
      <c r="Q897" s="1" t="s">
        <v>423</v>
      </c>
      <c r="R897" s="2">
        <v>41969</v>
      </c>
      <c r="S897" s="1">
        <v>245133</v>
      </c>
      <c r="U897" s="1">
        <v>524</v>
      </c>
      <c r="V897" s="1" t="s">
        <v>661</v>
      </c>
      <c r="W897" s="1" t="s">
        <v>425</v>
      </c>
      <c r="X897" s="1">
        <v>524</v>
      </c>
      <c r="Y897" s="1">
        <v>1</v>
      </c>
      <c r="Z897" s="1" t="s">
        <v>200</v>
      </c>
      <c r="AA897" s="1" t="s">
        <v>3029</v>
      </c>
      <c r="AB897" s="1">
        <v>60104</v>
      </c>
      <c r="AE897" s="1" t="s">
        <v>9951</v>
      </c>
      <c r="AF897" s="1">
        <v>1944</v>
      </c>
      <c r="AG897" s="1" t="s">
        <v>213</v>
      </c>
      <c r="AH897" s="1" t="s">
        <v>3031</v>
      </c>
      <c r="AI897" s="1" t="s">
        <v>310</v>
      </c>
      <c r="AJ897" s="1" t="s">
        <v>429</v>
      </c>
      <c r="AL897" s="1">
        <v>6</v>
      </c>
      <c r="AM897" s="1">
        <v>2</v>
      </c>
      <c r="AN897" s="1">
        <v>1</v>
      </c>
      <c r="AO897" s="1">
        <v>0</v>
      </c>
      <c r="AP897" s="1" t="s">
        <v>210</v>
      </c>
      <c r="AR897" s="1" t="s">
        <v>209</v>
      </c>
      <c r="AS897" s="1" t="s">
        <v>204</v>
      </c>
      <c r="AT897" s="1" t="s">
        <v>211</v>
      </c>
      <c r="AU897" s="1">
        <v>1</v>
      </c>
      <c r="AW897" s="1" t="s">
        <v>204</v>
      </c>
      <c r="AX897" s="1" t="s">
        <v>2379</v>
      </c>
      <c r="AZ897" s="1">
        <v>3534.14</v>
      </c>
      <c r="BA897" s="1">
        <v>2012</v>
      </c>
      <c r="BB897" s="1" t="s">
        <v>210</v>
      </c>
      <c r="BE897" s="1">
        <v>936</v>
      </c>
      <c r="BF897" s="1">
        <v>1</v>
      </c>
      <c r="BG897" s="1">
        <v>0</v>
      </c>
      <c r="BJ897" s="1">
        <v>100</v>
      </c>
      <c r="BL897" s="1">
        <v>0</v>
      </c>
      <c r="BM897" s="1" t="s">
        <v>204</v>
      </c>
      <c r="BN897" s="1" t="s">
        <v>213</v>
      </c>
      <c r="BO897" s="1" t="s">
        <v>432</v>
      </c>
      <c r="BP897" s="1" t="s">
        <v>204</v>
      </c>
      <c r="BR897" s="1" t="str">
        <f>"15084110750000"</f>
        <v>15084110750000</v>
      </c>
      <c r="BT897" s="1" t="s">
        <v>9952</v>
      </c>
      <c r="BX897" s="1">
        <v>88</v>
      </c>
      <c r="BY897" s="1">
        <v>88</v>
      </c>
      <c r="BZ897" s="1">
        <v>209</v>
      </c>
      <c r="CB897" s="1" t="str">
        <f t="shared" ref="CB897:CC897" si="690">""</f>
        <v/>
      </c>
      <c r="CC897" s="1" t="str">
        <f t="shared" si="690"/>
        <v/>
      </c>
      <c r="CG897" s="1" t="s">
        <v>757</v>
      </c>
      <c r="CH897" s="1" t="s">
        <v>219</v>
      </c>
      <c r="CI897" s="1" t="s">
        <v>438</v>
      </c>
      <c r="CK897" s="1" t="s">
        <v>1358</v>
      </c>
      <c r="CL897" s="1" t="s">
        <v>277</v>
      </c>
      <c r="CM897" s="1" t="s">
        <v>438</v>
      </c>
      <c r="CN897" s="1" t="s">
        <v>252</v>
      </c>
      <c r="CO897" s="1" t="s">
        <v>837</v>
      </c>
      <c r="CP897" s="1" t="s">
        <v>219</v>
      </c>
      <c r="CQ897" s="1" t="s">
        <v>438</v>
      </c>
      <c r="CS897" s="1" t="s">
        <v>837</v>
      </c>
      <c r="CT897" s="1" t="s">
        <v>277</v>
      </c>
      <c r="CU897" s="1" t="s">
        <v>438</v>
      </c>
      <c r="CX897" s="1" t="s">
        <v>224</v>
      </c>
      <c r="DB897" s="1" t="s">
        <v>224</v>
      </c>
      <c r="DE897" s="1" t="s">
        <v>837</v>
      </c>
      <c r="DF897" s="1" t="s">
        <v>219</v>
      </c>
      <c r="DG897" s="1" t="s">
        <v>226</v>
      </c>
      <c r="DI897" s="1" t="s">
        <v>539</v>
      </c>
      <c r="DJ897" s="1" t="s">
        <v>822</v>
      </c>
      <c r="DS897" s="1" t="s">
        <v>230</v>
      </c>
      <c r="DW897" s="1" t="s">
        <v>230</v>
      </c>
      <c r="EA897" s="1" t="s">
        <v>230</v>
      </c>
      <c r="EE897" s="1" t="s">
        <v>230</v>
      </c>
      <c r="EI897" s="1" t="s">
        <v>230</v>
      </c>
      <c r="EL897" s="1" t="s">
        <v>3717</v>
      </c>
      <c r="EM897" s="1" t="s">
        <v>232</v>
      </c>
      <c r="EN897" s="1" t="s">
        <v>282</v>
      </c>
      <c r="EO897" s="1" t="s">
        <v>234</v>
      </c>
      <c r="EP897" s="1" t="s">
        <v>210</v>
      </c>
      <c r="EQ897" s="1" t="s">
        <v>3718</v>
      </c>
      <c r="ER897" s="1" t="s">
        <v>544</v>
      </c>
      <c r="EU897" s="1" t="s">
        <v>546</v>
      </c>
      <c r="EV897" s="1" t="s">
        <v>240</v>
      </c>
      <c r="EW897" s="1" t="s">
        <v>210</v>
      </c>
      <c r="EY897" s="1" t="s">
        <v>242</v>
      </c>
      <c r="EZ897" s="1" t="s">
        <v>287</v>
      </c>
      <c r="FB897" s="1" t="s">
        <v>289</v>
      </c>
      <c r="FC897" s="1" t="s">
        <v>1405</v>
      </c>
      <c r="FD897" s="1" t="s">
        <v>246</v>
      </c>
      <c r="FE897" s="1" t="s">
        <v>247</v>
      </c>
      <c r="FF897" s="1" t="s">
        <v>3574</v>
      </c>
      <c r="FH897" s="1" t="s">
        <v>550</v>
      </c>
      <c r="FI897" s="1" t="s">
        <v>473</v>
      </c>
      <c r="FJ897" s="1" t="s">
        <v>518</v>
      </c>
      <c r="FL897" s="1" t="s">
        <v>358</v>
      </c>
      <c r="FM897" s="1" t="s">
        <v>252</v>
      </c>
      <c r="FN897" s="1" t="s">
        <v>213</v>
      </c>
      <c r="FO897" s="1" t="s">
        <v>213</v>
      </c>
      <c r="FQ897" s="1" t="s">
        <v>3415</v>
      </c>
      <c r="FR897" s="1" t="s">
        <v>411</v>
      </c>
      <c r="FS897" s="1" t="s">
        <v>9953</v>
      </c>
      <c r="FT897" s="1" t="s">
        <v>295</v>
      </c>
      <c r="FU897" s="1" t="s">
        <v>204</v>
      </c>
      <c r="FV897" s="1" t="s">
        <v>5627</v>
      </c>
      <c r="FW897" s="1" t="s">
        <v>3578</v>
      </c>
      <c r="FX897" s="1">
        <v>1118</v>
      </c>
      <c r="FY897" s="1" t="s">
        <v>3579</v>
      </c>
      <c r="FZ897" s="1" t="s">
        <v>3580</v>
      </c>
      <c r="GA897" s="1">
        <v>88102</v>
      </c>
      <c r="GB897" s="1" t="s">
        <v>3581</v>
      </c>
      <c r="GC897" s="1">
        <v>80385</v>
      </c>
      <c r="GD897" s="1" t="s">
        <v>3582</v>
      </c>
      <c r="GE897" s="1" t="s">
        <v>210</v>
      </c>
      <c r="GI897" s="1" t="s">
        <v>213</v>
      </c>
      <c r="GJ897" s="1" t="s">
        <v>260</v>
      </c>
      <c r="GK897" s="1" t="s">
        <v>210</v>
      </c>
      <c r="GL897" s="2">
        <v>41972</v>
      </c>
      <c r="GM897" s="1" t="s">
        <v>9954</v>
      </c>
    </row>
    <row r="898" spans="1:195">
      <c r="A898" s="1">
        <v>86000</v>
      </c>
      <c r="B898" s="1" t="s">
        <v>195</v>
      </c>
      <c r="C898" s="1" t="str">
        <f>"08585520"</f>
        <v>08585520</v>
      </c>
      <c r="D898" s="1" t="s">
        <v>196</v>
      </c>
      <c r="F898" s="1" t="str">
        <f>"115"</f>
        <v>115</v>
      </c>
      <c r="G898" s="2">
        <v>41743</v>
      </c>
      <c r="H898" s="1">
        <v>99900</v>
      </c>
      <c r="I898" s="1">
        <v>87900</v>
      </c>
      <c r="J898" s="1">
        <v>86000</v>
      </c>
      <c r="K898" s="2">
        <v>41743</v>
      </c>
      <c r="L898" s="1">
        <v>198</v>
      </c>
      <c r="M898" s="2">
        <v>41940</v>
      </c>
      <c r="N898" s="1">
        <v>198</v>
      </c>
      <c r="O898" s="2">
        <v>41940</v>
      </c>
      <c r="P898" s="1">
        <v>24811</v>
      </c>
      <c r="Q898" s="1" t="s">
        <v>197</v>
      </c>
      <c r="R898" s="2">
        <v>41988</v>
      </c>
      <c r="S898" s="1">
        <v>237458</v>
      </c>
      <c r="U898" s="1">
        <v>3214</v>
      </c>
      <c r="V898" s="1" t="s">
        <v>4578</v>
      </c>
      <c r="W898" s="1" t="s">
        <v>304</v>
      </c>
      <c r="Y898" s="1">
        <v>4</v>
      </c>
      <c r="Z898" s="1" t="s">
        <v>370</v>
      </c>
      <c r="AA898" s="1" t="s">
        <v>2242</v>
      </c>
      <c r="AB898" s="1">
        <v>60115</v>
      </c>
      <c r="AE898" s="1" t="s">
        <v>9955</v>
      </c>
      <c r="AF898" s="1">
        <v>2006</v>
      </c>
      <c r="AG898" s="1" t="s">
        <v>204</v>
      </c>
      <c r="AH898" s="1" t="s">
        <v>2245</v>
      </c>
      <c r="AI898" s="1" t="s">
        <v>2246</v>
      </c>
      <c r="AJ898" s="1" t="s">
        <v>2245</v>
      </c>
      <c r="AL898" s="1">
        <v>5</v>
      </c>
      <c r="AM898" s="1">
        <v>2</v>
      </c>
      <c r="AN898" s="1">
        <v>1</v>
      </c>
      <c r="AO898" s="1">
        <v>1</v>
      </c>
      <c r="AP898" s="1" t="s">
        <v>667</v>
      </c>
      <c r="AQ898" s="1">
        <v>1</v>
      </c>
      <c r="AR898" s="1" t="s">
        <v>209</v>
      </c>
      <c r="AS898" s="1" t="s">
        <v>204</v>
      </c>
      <c r="AT898" s="1" t="s">
        <v>211</v>
      </c>
      <c r="AU898" s="1">
        <v>2</v>
      </c>
      <c r="AW898" s="1" t="s">
        <v>204</v>
      </c>
      <c r="AX898" s="1" t="s">
        <v>9956</v>
      </c>
      <c r="AZ898" s="1">
        <v>4377.8599999999997</v>
      </c>
      <c r="BA898" s="1">
        <v>2013</v>
      </c>
      <c r="BE898" s="1">
        <v>1300</v>
      </c>
      <c r="BF898" s="1">
        <v>1</v>
      </c>
      <c r="BG898" s="1">
        <v>5</v>
      </c>
      <c r="BL898" s="1">
        <v>75</v>
      </c>
      <c r="BM898" s="1" t="s">
        <v>413</v>
      </c>
      <c r="BN898" s="1" t="s">
        <v>213</v>
      </c>
      <c r="BO898" s="1">
        <v>999</v>
      </c>
      <c r="BP898" s="1" t="s">
        <v>204</v>
      </c>
      <c r="BR898" s="1" t="str">
        <f>"0803475019"</f>
        <v>0803475019</v>
      </c>
      <c r="BT898" s="1" t="s">
        <v>9957</v>
      </c>
      <c r="BX898" s="1">
        <v>428</v>
      </c>
      <c r="BY898" s="1">
        <v>428</v>
      </c>
      <c r="BZ898" s="1">
        <v>428</v>
      </c>
      <c r="CB898" s="1" t="str">
        <f t="shared" ref="CB898:CC898" si="691">""</f>
        <v/>
      </c>
      <c r="CC898" s="1" t="str">
        <f t="shared" si="691"/>
        <v/>
      </c>
      <c r="CG898" s="1" t="s">
        <v>669</v>
      </c>
      <c r="CH898" s="1" t="s">
        <v>219</v>
      </c>
      <c r="CK898" s="1" t="s">
        <v>228</v>
      </c>
      <c r="CL898" s="1" t="s">
        <v>277</v>
      </c>
      <c r="CO898" s="1" t="s">
        <v>379</v>
      </c>
      <c r="CP898" s="1" t="s">
        <v>219</v>
      </c>
      <c r="CS898" s="1" t="s">
        <v>465</v>
      </c>
      <c r="CT898" s="1" t="s">
        <v>277</v>
      </c>
      <c r="CX898" s="1" t="s">
        <v>224</v>
      </c>
      <c r="DB898" s="1" t="s">
        <v>224</v>
      </c>
      <c r="DE898" s="1" t="s">
        <v>461</v>
      </c>
      <c r="DF898" s="1" t="s">
        <v>219</v>
      </c>
      <c r="DJ898" s="1" t="s">
        <v>224</v>
      </c>
      <c r="DS898" s="1" t="s">
        <v>230</v>
      </c>
      <c r="DW898" s="1" t="s">
        <v>230</v>
      </c>
      <c r="EA898" s="1" t="s">
        <v>230</v>
      </c>
      <c r="EE898" s="1" t="s">
        <v>230</v>
      </c>
      <c r="EI898" s="1" t="s">
        <v>230</v>
      </c>
      <c r="EL898" s="1" t="s">
        <v>491</v>
      </c>
      <c r="EM898" s="1" t="s">
        <v>319</v>
      </c>
      <c r="EN898" s="1" t="s">
        <v>282</v>
      </c>
      <c r="EO898" s="1" t="s">
        <v>234</v>
      </c>
      <c r="ER898" s="1" t="s">
        <v>1249</v>
      </c>
      <c r="EW898" s="1" t="s">
        <v>353</v>
      </c>
      <c r="EZ898" s="1" t="s">
        <v>287</v>
      </c>
      <c r="FD898" s="1" t="s">
        <v>246</v>
      </c>
      <c r="FE898" s="1" t="s">
        <v>472</v>
      </c>
      <c r="FF898" s="1" t="s">
        <v>248</v>
      </c>
      <c r="FG898" s="1" t="s">
        <v>3685</v>
      </c>
      <c r="FH898" s="1" t="s">
        <v>550</v>
      </c>
      <c r="FL898" s="1" t="s">
        <v>358</v>
      </c>
      <c r="FM898" s="1" t="s">
        <v>252</v>
      </c>
      <c r="FN898" s="1" t="s">
        <v>213</v>
      </c>
      <c r="FO898" s="1" t="s">
        <v>213</v>
      </c>
      <c r="FQ898" s="1" t="s">
        <v>689</v>
      </c>
      <c r="FR898" s="1" t="s">
        <v>210</v>
      </c>
      <c r="FS898" s="1" t="s">
        <v>9958</v>
      </c>
      <c r="FT898" s="1" t="s">
        <v>295</v>
      </c>
      <c r="FU898" s="1" t="s">
        <v>204</v>
      </c>
      <c r="FV898" s="1" t="s">
        <v>9959</v>
      </c>
      <c r="FW898" s="1" t="s">
        <v>9960</v>
      </c>
      <c r="FX898" s="1">
        <v>24370</v>
      </c>
      <c r="FY898" s="1" t="s">
        <v>9961</v>
      </c>
      <c r="FZ898" s="1" t="s">
        <v>9962</v>
      </c>
      <c r="GA898" s="1">
        <v>259338</v>
      </c>
      <c r="GB898" s="1" t="s">
        <v>9963</v>
      </c>
      <c r="GE898" s="1" t="s">
        <v>210</v>
      </c>
      <c r="GI898" s="1" t="s">
        <v>204</v>
      </c>
      <c r="GJ898" s="1" t="s">
        <v>260</v>
      </c>
      <c r="GK898" s="1" t="s">
        <v>210</v>
      </c>
      <c r="GL898" s="2">
        <v>41989</v>
      </c>
      <c r="GM898" s="1" t="s">
        <v>9964</v>
      </c>
    </row>
    <row r="899" spans="1:195">
      <c r="A899" s="1">
        <v>22500</v>
      </c>
      <c r="B899" s="1" t="s">
        <v>195</v>
      </c>
      <c r="C899" s="1" t="str">
        <f>"08589303"</f>
        <v>08589303</v>
      </c>
      <c r="D899" s="1" t="s">
        <v>196</v>
      </c>
      <c r="F899" s="1" t="str">
        <f>"8042"</f>
        <v>8042</v>
      </c>
      <c r="G899" s="2">
        <v>41747</v>
      </c>
      <c r="H899" s="1">
        <v>55000</v>
      </c>
      <c r="I899" s="1">
        <v>29229</v>
      </c>
      <c r="J899" s="1">
        <v>22500</v>
      </c>
      <c r="K899" s="2">
        <v>41747</v>
      </c>
      <c r="L899" s="1">
        <v>279</v>
      </c>
      <c r="M899" s="2">
        <v>42025</v>
      </c>
      <c r="N899" s="1">
        <v>279</v>
      </c>
      <c r="O899" s="2">
        <v>42025</v>
      </c>
      <c r="P899" s="1">
        <v>84864</v>
      </c>
      <c r="Q899" s="1" t="s">
        <v>302</v>
      </c>
      <c r="R899" s="2">
        <v>42074</v>
      </c>
      <c r="S899" s="1">
        <v>187944</v>
      </c>
      <c r="U899" s="1">
        <v>1517</v>
      </c>
      <c r="V899" s="1" t="s">
        <v>8185</v>
      </c>
      <c r="W899" s="1" t="s">
        <v>1056</v>
      </c>
      <c r="X899" s="1" t="s">
        <v>9965</v>
      </c>
      <c r="Y899" s="1">
        <v>8</v>
      </c>
      <c r="Z899" s="1" t="s">
        <v>249</v>
      </c>
      <c r="AA899" s="1" t="s">
        <v>400</v>
      </c>
      <c r="AB899" s="1">
        <v>60637</v>
      </c>
      <c r="AE899" s="1" t="s">
        <v>9966</v>
      </c>
      <c r="AF899" s="1" t="s">
        <v>402</v>
      </c>
      <c r="AG899" s="1" t="s">
        <v>213</v>
      </c>
      <c r="AH899" s="1" t="s">
        <v>403</v>
      </c>
      <c r="AI899" s="1" t="s">
        <v>310</v>
      </c>
      <c r="AJ899" s="1" t="s">
        <v>562</v>
      </c>
      <c r="AL899" s="1">
        <v>4</v>
      </c>
      <c r="AM899" s="1">
        <v>2</v>
      </c>
      <c r="AN899" s="1">
        <v>2</v>
      </c>
      <c r="AO899" s="1">
        <v>0</v>
      </c>
      <c r="AP899" s="1" t="s">
        <v>209</v>
      </c>
      <c r="AR899" s="1" t="s">
        <v>210</v>
      </c>
      <c r="AS899" s="1" t="s">
        <v>204</v>
      </c>
      <c r="AT899" s="1" t="s">
        <v>210</v>
      </c>
      <c r="AW899" s="1" t="s">
        <v>204</v>
      </c>
      <c r="AX899" s="1" t="s">
        <v>9967</v>
      </c>
      <c r="AZ899" s="1">
        <v>1453.36</v>
      </c>
      <c r="BA899" s="1">
        <v>2012</v>
      </c>
      <c r="BB899" s="1" t="s">
        <v>210</v>
      </c>
      <c r="BE899" s="1">
        <v>1000</v>
      </c>
      <c r="BF899" s="1" t="s">
        <v>4806</v>
      </c>
      <c r="BG899" s="1">
        <v>0</v>
      </c>
      <c r="BL899" s="1">
        <v>0</v>
      </c>
      <c r="BM899" s="1" t="s">
        <v>204</v>
      </c>
      <c r="BN899" s="1" t="s">
        <v>213</v>
      </c>
      <c r="BO899" s="1">
        <v>0</v>
      </c>
      <c r="BP899" s="1" t="s">
        <v>204</v>
      </c>
      <c r="BR899" s="1" t="str">
        <f>"20232260281001"</f>
        <v>20232260281001</v>
      </c>
      <c r="BT899" s="1" t="s">
        <v>9968</v>
      </c>
      <c r="BX899" s="1">
        <v>299</v>
      </c>
      <c r="BY899" s="1">
        <v>299</v>
      </c>
      <c r="BZ899" s="1">
        <v>299</v>
      </c>
      <c r="CB899" s="1" t="str">
        <f>"0"</f>
        <v>0</v>
      </c>
      <c r="CC899" s="1" t="str">
        <f>"1519"</f>
        <v>1519</v>
      </c>
      <c r="CD899" s="1">
        <v>0</v>
      </c>
      <c r="CE899" s="1">
        <v>6500</v>
      </c>
      <c r="CG899" s="1" t="s">
        <v>9969</v>
      </c>
      <c r="CH899" s="1" t="s">
        <v>822</v>
      </c>
      <c r="CI899" s="1" t="s">
        <v>438</v>
      </c>
      <c r="CK899" s="1" t="s">
        <v>2466</v>
      </c>
      <c r="CL899" s="1" t="s">
        <v>822</v>
      </c>
      <c r="CM899" s="1" t="s">
        <v>438</v>
      </c>
      <c r="CP899" s="1" t="s">
        <v>224</v>
      </c>
      <c r="CS899" s="1" t="s">
        <v>318</v>
      </c>
      <c r="CT899" s="1" t="s">
        <v>822</v>
      </c>
      <c r="CU899" s="1" t="s">
        <v>438</v>
      </c>
      <c r="CX899" s="1" t="s">
        <v>224</v>
      </c>
      <c r="DB899" s="1" t="s">
        <v>224</v>
      </c>
      <c r="DE899" s="1" t="s">
        <v>1737</v>
      </c>
      <c r="DF899" s="1" t="s">
        <v>822</v>
      </c>
      <c r="DG899" s="1" t="s">
        <v>438</v>
      </c>
      <c r="DH899" s="1" t="s">
        <v>210</v>
      </c>
      <c r="DJ899" s="1" t="s">
        <v>224</v>
      </c>
      <c r="DS899" s="1" t="s">
        <v>230</v>
      </c>
      <c r="DW899" s="1" t="s">
        <v>230</v>
      </c>
      <c r="EA899" s="1" t="s">
        <v>230</v>
      </c>
      <c r="EE899" s="1" t="s">
        <v>230</v>
      </c>
      <c r="EI899" s="1" t="s">
        <v>230</v>
      </c>
      <c r="EL899" s="1" t="s">
        <v>649</v>
      </c>
      <c r="EM899" s="1" t="s">
        <v>232</v>
      </c>
      <c r="EN899" s="1" t="s">
        <v>282</v>
      </c>
      <c r="EO899" s="1" t="s">
        <v>234</v>
      </c>
      <c r="EQ899" s="1" t="s">
        <v>236</v>
      </c>
      <c r="ER899" s="1" t="s">
        <v>210</v>
      </c>
      <c r="ES899" s="1" t="s">
        <v>469</v>
      </c>
      <c r="ET899" s="1" t="s">
        <v>1752</v>
      </c>
      <c r="EW899" s="1" t="s">
        <v>210</v>
      </c>
      <c r="EY899" s="1" t="s">
        <v>242</v>
      </c>
      <c r="EZ899" s="1" t="s">
        <v>287</v>
      </c>
      <c r="FA899" s="1" t="s">
        <v>3462</v>
      </c>
      <c r="FD899" s="1" t="s">
        <v>246</v>
      </c>
      <c r="FE899" s="1" t="s">
        <v>247</v>
      </c>
      <c r="FF899" s="1" t="s">
        <v>248</v>
      </c>
      <c r="FH899" s="1" t="s">
        <v>249</v>
      </c>
      <c r="FJ899" s="1" t="s">
        <v>1472</v>
      </c>
      <c r="FL899" s="1" t="s">
        <v>9970</v>
      </c>
      <c r="FM899" s="1" t="s">
        <v>252</v>
      </c>
      <c r="FN899" s="1" t="s">
        <v>213</v>
      </c>
      <c r="FO899" s="1" t="s">
        <v>213</v>
      </c>
      <c r="FQ899" s="1" t="s">
        <v>673</v>
      </c>
      <c r="FR899" s="1" t="s">
        <v>210</v>
      </c>
      <c r="FS899" s="1" t="s">
        <v>5364</v>
      </c>
      <c r="FT899" s="1" t="s">
        <v>9971</v>
      </c>
      <c r="FU899" s="1" t="s">
        <v>204</v>
      </c>
      <c r="FW899" s="1" t="s">
        <v>5366</v>
      </c>
      <c r="FX899" s="1">
        <v>12519</v>
      </c>
      <c r="FY899" s="1" t="s">
        <v>5367</v>
      </c>
      <c r="FZ899" s="1" t="s">
        <v>5368</v>
      </c>
      <c r="GA899" s="1">
        <v>118439</v>
      </c>
      <c r="GB899" s="1" t="s">
        <v>5369</v>
      </c>
      <c r="GE899" s="1" t="s">
        <v>210</v>
      </c>
      <c r="GH899" s="1" t="s">
        <v>800</v>
      </c>
      <c r="GI899" s="1" t="s">
        <v>213</v>
      </c>
      <c r="GJ899" s="1" t="s">
        <v>260</v>
      </c>
      <c r="GK899" s="1" t="s">
        <v>210</v>
      </c>
      <c r="GL899" s="2">
        <v>42076</v>
      </c>
      <c r="GM899" s="1" t="s">
        <v>9972</v>
      </c>
    </row>
    <row r="900" spans="1:195">
      <c r="A900" s="1">
        <v>90000</v>
      </c>
      <c r="B900" s="1" t="s">
        <v>195</v>
      </c>
      <c r="C900" s="1" t="str">
        <f>"08593952"</f>
        <v>08593952</v>
      </c>
      <c r="D900" s="1" t="s">
        <v>196</v>
      </c>
      <c r="F900" s="1" t="str">
        <f>"540"</f>
        <v>540</v>
      </c>
      <c r="G900" s="2">
        <v>41752</v>
      </c>
      <c r="H900" s="1">
        <v>129000</v>
      </c>
      <c r="I900" s="1">
        <v>90000</v>
      </c>
      <c r="J900" s="1">
        <v>90000</v>
      </c>
      <c r="K900" s="2">
        <v>41752</v>
      </c>
      <c r="L900" s="1">
        <v>290</v>
      </c>
      <c r="M900" s="2">
        <v>42041</v>
      </c>
      <c r="N900" s="1">
        <v>290</v>
      </c>
      <c r="O900" s="2">
        <v>42041</v>
      </c>
      <c r="P900" s="1">
        <v>60204</v>
      </c>
      <c r="Q900" s="1" t="s">
        <v>302</v>
      </c>
      <c r="R900" s="2">
        <v>42060</v>
      </c>
      <c r="S900" s="1">
        <v>601830</v>
      </c>
      <c r="U900" s="1" t="s">
        <v>9973</v>
      </c>
      <c r="V900" s="1" t="s">
        <v>9974</v>
      </c>
      <c r="W900" s="1" t="s">
        <v>264</v>
      </c>
      <c r="X900" s="1" t="s">
        <v>1000</v>
      </c>
      <c r="Y900" s="1">
        <v>8</v>
      </c>
      <c r="Z900" s="1" t="s">
        <v>370</v>
      </c>
      <c r="AA900" s="1" t="s">
        <v>921</v>
      </c>
      <c r="AB900" s="1">
        <v>60563</v>
      </c>
      <c r="AE900" s="1" t="s">
        <v>9975</v>
      </c>
      <c r="AF900" s="1">
        <v>1981</v>
      </c>
      <c r="AG900" s="1" t="s">
        <v>204</v>
      </c>
      <c r="AH900" s="1" t="s">
        <v>924</v>
      </c>
      <c r="AI900" s="1" t="s">
        <v>206</v>
      </c>
      <c r="AJ900" s="1" t="s">
        <v>924</v>
      </c>
      <c r="AL900" s="1">
        <v>5</v>
      </c>
      <c r="AM900" s="1">
        <v>2</v>
      </c>
      <c r="AN900" s="1">
        <v>2</v>
      </c>
      <c r="AO900" s="1">
        <v>0</v>
      </c>
      <c r="AP900" s="1" t="s">
        <v>209</v>
      </c>
      <c r="AR900" s="1" t="s">
        <v>210</v>
      </c>
      <c r="AS900" s="1" t="s">
        <v>204</v>
      </c>
      <c r="AT900" s="1" t="s">
        <v>211</v>
      </c>
      <c r="AU900" s="1">
        <v>1</v>
      </c>
      <c r="AW900" s="1" t="s">
        <v>204</v>
      </c>
      <c r="AX900" s="1" t="s">
        <v>9976</v>
      </c>
      <c r="AZ900" s="1">
        <v>2258</v>
      </c>
      <c r="BA900" s="1">
        <v>2013</v>
      </c>
      <c r="BE900" s="1">
        <v>1100</v>
      </c>
      <c r="BF900" s="1">
        <v>2</v>
      </c>
      <c r="BG900" s="1">
        <v>5</v>
      </c>
      <c r="BL900" s="1">
        <v>243</v>
      </c>
      <c r="BM900" s="1" t="s">
        <v>204</v>
      </c>
      <c r="BN900" s="1" t="s">
        <v>213</v>
      </c>
      <c r="BO900" s="1">
        <v>50</v>
      </c>
      <c r="BP900" s="1" t="s">
        <v>204</v>
      </c>
      <c r="BR900" s="1" t="str">
        <f>"0709414019"</f>
        <v>0709414019</v>
      </c>
      <c r="BT900" s="1" t="s">
        <v>9977</v>
      </c>
      <c r="BU900" s="1" t="s">
        <v>5816</v>
      </c>
      <c r="BV900" s="1" t="s">
        <v>1130</v>
      </c>
      <c r="BW900" s="1" t="s">
        <v>1131</v>
      </c>
      <c r="BX900" s="1">
        <v>204</v>
      </c>
      <c r="BY900" s="1">
        <v>204</v>
      </c>
      <c r="BZ900" s="1">
        <v>204</v>
      </c>
      <c r="CB900" s="1" t="str">
        <f t="shared" ref="CB900:CC900" si="692">""</f>
        <v/>
      </c>
      <c r="CC900" s="1" t="str">
        <f t="shared" si="692"/>
        <v/>
      </c>
      <c r="CG900" s="1" t="s">
        <v>1737</v>
      </c>
      <c r="CH900" s="1" t="s">
        <v>219</v>
      </c>
      <c r="CI900" s="1" t="s">
        <v>220</v>
      </c>
      <c r="CK900" s="1" t="s">
        <v>437</v>
      </c>
      <c r="CL900" s="1" t="s">
        <v>219</v>
      </c>
      <c r="CM900" s="1" t="s">
        <v>220</v>
      </c>
      <c r="CN900" s="1" t="s">
        <v>252</v>
      </c>
      <c r="CO900" s="1" t="s">
        <v>2031</v>
      </c>
      <c r="CP900" s="1" t="s">
        <v>219</v>
      </c>
      <c r="CQ900" s="1" t="s">
        <v>220</v>
      </c>
      <c r="CR900" s="1" t="s">
        <v>252</v>
      </c>
      <c r="CS900" s="1" t="s">
        <v>1854</v>
      </c>
      <c r="CT900" s="1" t="s">
        <v>219</v>
      </c>
      <c r="CU900" s="1" t="s">
        <v>220</v>
      </c>
      <c r="CV900" s="1" t="s">
        <v>252</v>
      </c>
      <c r="CX900" s="1" t="s">
        <v>224</v>
      </c>
      <c r="DB900" s="1" t="s">
        <v>224</v>
      </c>
      <c r="DE900" s="1" t="s">
        <v>3460</v>
      </c>
      <c r="DF900" s="1" t="s">
        <v>219</v>
      </c>
      <c r="DG900" s="1" t="s">
        <v>438</v>
      </c>
      <c r="DJ900" s="1" t="s">
        <v>224</v>
      </c>
      <c r="DS900" s="1" t="s">
        <v>230</v>
      </c>
      <c r="DW900" s="1" t="s">
        <v>230</v>
      </c>
      <c r="EA900" s="1" t="s">
        <v>230</v>
      </c>
      <c r="EE900" s="1" t="s">
        <v>230</v>
      </c>
      <c r="EI900" s="1" t="s">
        <v>230</v>
      </c>
      <c r="EL900" s="1" t="s">
        <v>231</v>
      </c>
      <c r="EM900" s="1" t="s">
        <v>730</v>
      </c>
      <c r="EN900" s="1" t="s">
        <v>282</v>
      </c>
      <c r="EO900" s="1" t="s">
        <v>234</v>
      </c>
      <c r="ER900" s="1" t="s">
        <v>210</v>
      </c>
      <c r="EW900" s="1" t="s">
        <v>9978</v>
      </c>
      <c r="EZ900" s="1" t="s">
        <v>287</v>
      </c>
      <c r="FB900" s="1" t="s">
        <v>289</v>
      </c>
      <c r="FD900" s="1" t="s">
        <v>246</v>
      </c>
      <c r="FE900" s="1" t="s">
        <v>472</v>
      </c>
      <c r="FF900" s="1" t="s">
        <v>248</v>
      </c>
      <c r="FH900" s="1" t="s">
        <v>1756</v>
      </c>
      <c r="FI900" s="1" t="s">
        <v>357</v>
      </c>
      <c r="FL900" s="1" t="s">
        <v>414</v>
      </c>
      <c r="FM900" s="1" t="s">
        <v>252</v>
      </c>
      <c r="FN900" s="1" t="s">
        <v>213</v>
      </c>
      <c r="FO900" s="1" t="s">
        <v>213</v>
      </c>
      <c r="FQ900" s="1" t="s">
        <v>849</v>
      </c>
      <c r="FR900" s="1" t="s">
        <v>360</v>
      </c>
      <c r="FS900" s="1" t="s">
        <v>9979</v>
      </c>
      <c r="FT900" s="1" t="s">
        <v>675</v>
      </c>
      <c r="FU900" s="1" t="s">
        <v>204</v>
      </c>
      <c r="FW900" s="1" t="s">
        <v>4227</v>
      </c>
      <c r="FX900" s="1">
        <v>16636</v>
      </c>
      <c r="FY900" s="1" t="s">
        <v>720</v>
      </c>
      <c r="FZ900" s="1" t="s">
        <v>9980</v>
      </c>
      <c r="GA900" s="1">
        <v>168274</v>
      </c>
      <c r="GB900" s="1" t="s">
        <v>9981</v>
      </c>
      <c r="GE900" s="1" t="s">
        <v>480</v>
      </c>
      <c r="GI900" s="1" t="s">
        <v>204</v>
      </c>
      <c r="GJ900" s="1" t="s">
        <v>300</v>
      </c>
      <c r="GK900" s="1" t="s">
        <v>210</v>
      </c>
      <c r="GL900" s="2">
        <v>42060</v>
      </c>
      <c r="GM900" s="1" t="s">
        <v>9982</v>
      </c>
    </row>
    <row r="901" spans="1:195">
      <c r="A901" s="1">
        <v>154000</v>
      </c>
      <c r="B901" s="1" t="s">
        <v>195</v>
      </c>
      <c r="C901" s="1" t="str">
        <f>"08587883"</f>
        <v>08587883</v>
      </c>
      <c r="D901" s="1" t="s">
        <v>196</v>
      </c>
      <c r="F901" s="1" t="str">
        <f>"47"</f>
        <v>47</v>
      </c>
      <c r="G901" s="2">
        <v>41746</v>
      </c>
      <c r="H901" s="1">
        <v>169500</v>
      </c>
      <c r="I901" s="1">
        <v>164500</v>
      </c>
      <c r="J901" s="1">
        <v>154000</v>
      </c>
      <c r="K901" s="2">
        <v>41745</v>
      </c>
      <c r="L901" s="1">
        <v>216</v>
      </c>
      <c r="M901" s="2">
        <v>41960</v>
      </c>
      <c r="N901" s="1">
        <v>216</v>
      </c>
      <c r="O901" s="2">
        <v>41960</v>
      </c>
      <c r="P901" s="1">
        <v>3811</v>
      </c>
      <c r="Q901" s="1" t="s">
        <v>197</v>
      </c>
      <c r="R901" s="2">
        <v>42013</v>
      </c>
      <c r="S901" s="1">
        <v>33470</v>
      </c>
      <c r="U901" s="1">
        <v>112</v>
      </c>
      <c r="V901" s="1" t="s">
        <v>9983</v>
      </c>
      <c r="W901" s="1" t="s">
        <v>526</v>
      </c>
      <c r="X901" s="1" t="s">
        <v>1000</v>
      </c>
      <c r="Y901" s="1">
        <v>4</v>
      </c>
      <c r="Z901" s="1" t="s">
        <v>200</v>
      </c>
      <c r="AA901" s="1" t="s">
        <v>528</v>
      </c>
      <c r="AB901" s="1">
        <v>60047</v>
      </c>
      <c r="AE901" s="1" t="s">
        <v>9984</v>
      </c>
      <c r="AF901" s="1">
        <v>1980</v>
      </c>
      <c r="AG901" s="1" t="s">
        <v>204</v>
      </c>
      <c r="AH901" s="1" t="s">
        <v>531</v>
      </c>
      <c r="AI901" s="1" t="s">
        <v>509</v>
      </c>
      <c r="AJ901" s="1" t="s">
        <v>532</v>
      </c>
      <c r="AL901" s="1">
        <v>6</v>
      </c>
      <c r="AM901" s="1">
        <v>2</v>
      </c>
      <c r="AN901" s="1">
        <v>1</v>
      </c>
      <c r="AO901" s="1">
        <v>1</v>
      </c>
      <c r="AP901" s="1" t="s">
        <v>210</v>
      </c>
      <c r="AR901" s="1" t="s">
        <v>209</v>
      </c>
      <c r="AS901" s="1" t="s">
        <v>204</v>
      </c>
      <c r="AT901" s="1" t="s">
        <v>211</v>
      </c>
      <c r="AU901" s="1">
        <v>1</v>
      </c>
      <c r="AW901" s="1" t="s">
        <v>204</v>
      </c>
      <c r="AX901" s="1" t="s">
        <v>9985</v>
      </c>
      <c r="AZ901" s="1">
        <v>4200</v>
      </c>
      <c r="BA901" s="1">
        <v>2012</v>
      </c>
      <c r="BE901" s="1">
        <v>1330</v>
      </c>
      <c r="BF901" s="1">
        <v>1</v>
      </c>
      <c r="BG901" s="1">
        <v>0</v>
      </c>
      <c r="BL901" s="1">
        <v>0</v>
      </c>
      <c r="BM901" s="1" t="s">
        <v>204</v>
      </c>
      <c r="BN901" s="1" t="s">
        <v>213</v>
      </c>
      <c r="BO901" s="1">
        <v>999</v>
      </c>
      <c r="BP901" s="1" t="s">
        <v>204</v>
      </c>
      <c r="BR901" s="1" t="str">
        <f>"14202050180000"</f>
        <v>14202050180000</v>
      </c>
      <c r="BT901" s="1" t="s">
        <v>9986</v>
      </c>
      <c r="BX901" s="1">
        <v>95</v>
      </c>
      <c r="BY901" s="1">
        <v>95</v>
      </c>
      <c r="BZ901" s="1">
        <v>95</v>
      </c>
      <c r="CB901" s="1" t="str">
        <f t="shared" ref="CB901:CC901" si="693">""</f>
        <v/>
      </c>
      <c r="CC901" s="1" t="str">
        <f t="shared" si="693"/>
        <v/>
      </c>
      <c r="CG901" s="1" t="s">
        <v>729</v>
      </c>
      <c r="CH901" s="1" t="s">
        <v>219</v>
      </c>
      <c r="CI901" s="1" t="s">
        <v>220</v>
      </c>
      <c r="CJ901" s="1" t="s">
        <v>463</v>
      </c>
      <c r="CK901" s="1" t="s">
        <v>729</v>
      </c>
      <c r="CL901" s="1" t="s">
        <v>277</v>
      </c>
      <c r="CM901" s="1" t="s">
        <v>220</v>
      </c>
      <c r="CO901" s="1" t="s">
        <v>317</v>
      </c>
      <c r="CP901" s="1" t="s">
        <v>219</v>
      </c>
      <c r="CQ901" s="1" t="s">
        <v>220</v>
      </c>
      <c r="CS901" s="1" t="s">
        <v>317</v>
      </c>
      <c r="CT901" s="1" t="s">
        <v>277</v>
      </c>
      <c r="CU901" s="1" t="s">
        <v>220</v>
      </c>
      <c r="CX901" s="1" t="s">
        <v>224</v>
      </c>
      <c r="DB901" s="1" t="s">
        <v>224</v>
      </c>
      <c r="DE901" s="1" t="s">
        <v>951</v>
      </c>
      <c r="DF901" s="1" t="s">
        <v>219</v>
      </c>
      <c r="DI901" s="1" t="s">
        <v>9891</v>
      </c>
      <c r="DJ901" s="1" t="s">
        <v>43</v>
      </c>
      <c r="DK901" s="1" t="s">
        <v>220</v>
      </c>
      <c r="DS901" s="1" t="s">
        <v>230</v>
      </c>
      <c r="DW901" s="1" t="s">
        <v>230</v>
      </c>
      <c r="EA901" s="1" t="s">
        <v>230</v>
      </c>
      <c r="EE901" s="1" t="s">
        <v>230</v>
      </c>
      <c r="EI901" s="1" t="s">
        <v>230</v>
      </c>
      <c r="EL901" s="1" t="s">
        <v>231</v>
      </c>
      <c r="EM901" s="1" t="s">
        <v>319</v>
      </c>
      <c r="EN901" s="1" t="s">
        <v>282</v>
      </c>
      <c r="EO901" s="1" t="s">
        <v>234</v>
      </c>
      <c r="ER901" s="1" t="s">
        <v>544</v>
      </c>
      <c r="EW901" s="1" t="s">
        <v>210</v>
      </c>
      <c r="EZ901" s="1" t="s">
        <v>287</v>
      </c>
      <c r="FD901" s="1" t="s">
        <v>246</v>
      </c>
      <c r="FE901" s="1" t="s">
        <v>651</v>
      </c>
      <c r="FF901" s="1" t="s">
        <v>248</v>
      </c>
      <c r="FH901" s="1" t="s">
        <v>356</v>
      </c>
      <c r="FL901" s="1" t="s">
        <v>292</v>
      </c>
      <c r="FM901" s="1" t="s">
        <v>252</v>
      </c>
      <c r="FN901" s="1" t="s">
        <v>213</v>
      </c>
      <c r="FO901" s="1" t="s">
        <v>213</v>
      </c>
      <c r="FQ901" s="1" t="s">
        <v>956</v>
      </c>
      <c r="FR901" s="1" t="s">
        <v>210</v>
      </c>
      <c r="FS901" s="1" t="s">
        <v>3576</v>
      </c>
      <c r="FT901" s="1" t="s">
        <v>295</v>
      </c>
      <c r="FU901" s="1" t="s">
        <v>204</v>
      </c>
      <c r="FW901" s="1" t="s">
        <v>2078</v>
      </c>
      <c r="FX901" s="1">
        <v>3884</v>
      </c>
      <c r="FY901" s="1" t="s">
        <v>2079</v>
      </c>
      <c r="FZ901" s="1" t="s">
        <v>9987</v>
      </c>
      <c r="GA901" s="1">
        <v>36500</v>
      </c>
      <c r="GB901" s="1" t="s">
        <v>9988</v>
      </c>
      <c r="GE901" s="1" t="s">
        <v>480</v>
      </c>
      <c r="GI901" s="1" t="s">
        <v>213</v>
      </c>
      <c r="GJ901" s="1" t="s">
        <v>260</v>
      </c>
      <c r="GK901" s="1" t="s">
        <v>210</v>
      </c>
      <c r="GL901" s="2">
        <v>42018</v>
      </c>
    </row>
    <row r="902" spans="1:195">
      <c r="A902" s="1">
        <v>171000</v>
      </c>
      <c r="B902" s="1" t="s">
        <v>195</v>
      </c>
      <c r="C902" s="1" t="str">
        <f>"08593820"</f>
        <v>08593820</v>
      </c>
      <c r="D902" s="1" t="s">
        <v>196</v>
      </c>
      <c r="F902" s="1" t="str">
        <f>"540"</f>
        <v>540</v>
      </c>
      <c r="G902" s="2">
        <v>41752</v>
      </c>
      <c r="H902" s="1">
        <v>179900</v>
      </c>
      <c r="I902" s="1">
        <v>179900</v>
      </c>
      <c r="J902" s="1">
        <v>171000</v>
      </c>
      <c r="K902" s="2">
        <v>41750</v>
      </c>
      <c r="L902" s="1">
        <v>38</v>
      </c>
      <c r="M902" s="2">
        <v>41787</v>
      </c>
      <c r="N902" s="1">
        <v>38</v>
      </c>
      <c r="O902" s="2">
        <v>41787</v>
      </c>
      <c r="P902" s="1">
        <v>23030</v>
      </c>
      <c r="Q902" s="1" t="s">
        <v>302</v>
      </c>
      <c r="R902" s="2">
        <v>41985</v>
      </c>
      <c r="S902" s="1">
        <v>235801</v>
      </c>
      <c r="U902" s="1">
        <v>2039</v>
      </c>
      <c r="V902" s="1" t="s">
        <v>9989</v>
      </c>
      <c r="W902" s="1" t="s">
        <v>504</v>
      </c>
      <c r="Y902" s="1">
        <v>4</v>
      </c>
      <c r="Z902" s="1" t="s">
        <v>249</v>
      </c>
      <c r="AA902" s="1" t="s">
        <v>921</v>
      </c>
      <c r="AB902" s="1">
        <v>60564</v>
      </c>
      <c r="AE902" s="1" t="s">
        <v>9990</v>
      </c>
      <c r="AF902" s="1">
        <v>1995</v>
      </c>
      <c r="AG902" s="1" t="s">
        <v>204</v>
      </c>
      <c r="AH902" s="1" t="s">
        <v>924</v>
      </c>
      <c r="AI902" s="1" t="s">
        <v>1800</v>
      </c>
      <c r="AJ902" s="1" t="s">
        <v>1801</v>
      </c>
      <c r="AK902" s="1" t="s">
        <v>920</v>
      </c>
      <c r="AL902" s="1">
        <v>7</v>
      </c>
      <c r="AM902" s="1">
        <v>2</v>
      </c>
      <c r="AN902" s="1">
        <v>2</v>
      </c>
      <c r="AO902" s="1">
        <v>2</v>
      </c>
      <c r="AP902" s="1" t="s">
        <v>209</v>
      </c>
      <c r="AQ902" s="1">
        <v>1</v>
      </c>
      <c r="AR902" s="1" t="s">
        <v>209</v>
      </c>
      <c r="AS902" s="1" t="s">
        <v>213</v>
      </c>
      <c r="AT902" s="1" t="s">
        <v>211</v>
      </c>
      <c r="AU902" s="1">
        <v>2</v>
      </c>
      <c r="AW902" s="1" t="s">
        <v>204</v>
      </c>
      <c r="AX902" s="1" t="s">
        <v>270</v>
      </c>
      <c r="AZ902" s="1">
        <v>5390.88</v>
      </c>
      <c r="BA902" s="1">
        <v>2012</v>
      </c>
      <c r="BE902" s="1">
        <v>1518</v>
      </c>
      <c r="BF902" s="1">
        <v>1</v>
      </c>
      <c r="BG902" s="1">
        <v>30</v>
      </c>
      <c r="BL902" s="1">
        <v>254</v>
      </c>
      <c r="BM902" s="1" t="s">
        <v>204</v>
      </c>
      <c r="BN902" s="1" t="s">
        <v>213</v>
      </c>
      <c r="BO902" s="1">
        <v>999</v>
      </c>
      <c r="BP902" s="1" t="s">
        <v>204</v>
      </c>
      <c r="BR902" s="1" t="str">
        <f>"01034060061003"</f>
        <v>01034060061003</v>
      </c>
      <c r="BT902" s="1" t="s">
        <v>9991</v>
      </c>
      <c r="BX902" s="1">
        <v>204</v>
      </c>
      <c r="BY902" s="1">
        <v>204</v>
      </c>
      <c r="BZ902" s="1">
        <v>204</v>
      </c>
      <c r="CB902" s="1" t="str">
        <f t="shared" ref="CB902:CC902" si="694">""</f>
        <v/>
      </c>
      <c r="CC902" s="1" t="str">
        <f t="shared" si="694"/>
        <v/>
      </c>
      <c r="CG902" s="1" t="s">
        <v>228</v>
      </c>
      <c r="CH902" s="1" t="s">
        <v>219</v>
      </c>
      <c r="CI902" s="1" t="s">
        <v>220</v>
      </c>
      <c r="CK902" s="1" t="s">
        <v>602</v>
      </c>
      <c r="CL902" s="1" t="s">
        <v>277</v>
      </c>
      <c r="CM902" s="1" t="s">
        <v>220</v>
      </c>
      <c r="CP902" s="1" t="s">
        <v>224</v>
      </c>
      <c r="CS902" s="1" t="s">
        <v>932</v>
      </c>
      <c r="CT902" s="1" t="s">
        <v>277</v>
      </c>
      <c r="CU902" s="1" t="s">
        <v>220</v>
      </c>
      <c r="CX902" s="1" t="s">
        <v>224</v>
      </c>
      <c r="DB902" s="1" t="s">
        <v>224</v>
      </c>
      <c r="DE902" s="1" t="s">
        <v>1598</v>
      </c>
      <c r="DF902" s="1" t="s">
        <v>219</v>
      </c>
      <c r="DG902" s="1" t="s">
        <v>229</v>
      </c>
      <c r="DI902" s="1" t="s">
        <v>729</v>
      </c>
      <c r="DJ902" s="1" t="s">
        <v>822</v>
      </c>
      <c r="DK902" s="1" t="s">
        <v>229</v>
      </c>
      <c r="DM902" s="1" t="s">
        <v>464</v>
      </c>
      <c r="DN902" s="1" t="s">
        <v>5320</v>
      </c>
      <c r="DR902" s="1" t="s">
        <v>461</v>
      </c>
      <c r="DS902" s="1" t="s">
        <v>277</v>
      </c>
      <c r="DT902" s="1" t="s">
        <v>220</v>
      </c>
      <c r="DV902" s="1" t="s">
        <v>2138</v>
      </c>
      <c r="DW902" s="1" t="s">
        <v>822</v>
      </c>
      <c r="DX902" s="1" t="s">
        <v>229</v>
      </c>
      <c r="EA902" s="1" t="s">
        <v>230</v>
      </c>
      <c r="EE902" s="1" t="s">
        <v>230</v>
      </c>
      <c r="EI902" s="1" t="s">
        <v>230</v>
      </c>
      <c r="EL902" s="1" t="s">
        <v>670</v>
      </c>
      <c r="EM902" s="1" t="s">
        <v>730</v>
      </c>
      <c r="EN902" s="1" t="s">
        <v>282</v>
      </c>
      <c r="EO902" s="1" t="s">
        <v>234</v>
      </c>
      <c r="EQ902" s="1" t="s">
        <v>4345</v>
      </c>
      <c r="ER902" s="1" t="s">
        <v>351</v>
      </c>
      <c r="ES902" s="1" t="s">
        <v>322</v>
      </c>
      <c r="EW902" s="1" t="s">
        <v>4357</v>
      </c>
      <c r="EZ902" s="1" t="s">
        <v>9992</v>
      </c>
      <c r="FD902" s="1" t="s">
        <v>246</v>
      </c>
      <c r="FE902" s="1" t="s">
        <v>975</v>
      </c>
      <c r="FF902" s="1" t="s">
        <v>248</v>
      </c>
      <c r="FG902" s="1" t="s">
        <v>912</v>
      </c>
      <c r="FH902" s="1" t="s">
        <v>9900</v>
      </c>
      <c r="FL902" s="1" t="s">
        <v>358</v>
      </c>
      <c r="FM902" s="1" t="s">
        <v>252</v>
      </c>
      <c r="FN902" s="1" t="s">
        <v>213</v>
      </c>
      <c r="FO902" s="1" t="s">
        <v>213</v>
      </c>
      <c r="FQ902" s="1" t="s">
        <v>9993</v>
      </c>
      <c r="FR902" s="1" t="s">
        <v>360</v>
      </c>
      <c r="FS902" s="1" t="s">
        <v>9994</v>
      </c>
      <c r="FT902" s="1" t="s">
        <v>2589</v>
      </c>
      <c r="FU902" s="1" t="s">
        <v>204</v>
      </c>
      <c r="FW902" s="1" t="s">
        <v>9995</v>
      </c>
      <c r="FX902" s="1">
        <v>5138</v>
      </c>
      <c r="FY902" s="1" t="s">
        <v>9996</v>
      </c>
      <c r="FZ902" s="1" t="s">
        <v>9997</v>
      </c>
      <c r="GA902" s="1">
        <v>55867</v>
      </c>
      <c r="GE902" s="1" t="s">
        <v>210</v>
      </c>
      <c r="GI902" s="1" t="s">
        <v>204</v>
      </c>
      <c r="GJ902" s="1" t="s">
        <v>260</v>
      </c>
      <c r="GK902" s="1" t="s">
        <v>210</v>
      </c>
      <c r="GL902" s="2">
        <v>41988</v>
      </c>
      <c r="GM902" s="1" t="s">
        <v>9998</v>
      </c>
    </row>
    <row r="903" spans="1:195">
      <c r="A903" s="1">
        <v>78674</v>
      </c>
      <c r="B903" s="1" t="s">
        <v>195</v>
      </c>
      <c r="C903" s="1" t="str">
        <f>"08593159"</f>
        <v>08593159</v>
      </c>
      <c r="D903" s="1" t="s">
        <v>196</v>
      </c>
      <c r="F903" s="1" t="str">
        <f>"41"</f>
        <v>41</v>
      </c>
      <c r="G903" s="2">
        <v>41752</v>
      </c>
      <c r="H903" s="1">
        <v>75000</v>
      </c>
      <c r="I903" s="1">
        <v>75000</v>
      </c>
      <c r="J903" s="1">
        <v>78674</v>
      </c>
      <c r="K903" s="2">
        <v>41752</v>
      </c>
      <c r="L903" s="1">
        <v>475</v>
      </c>
      <c r="M903" s="2">
        <v>41765</v>
      </c>
      <c r="N903" s="1">
        <v>14</v>
      </c>
      <c r="O903" s="2">
        <v>41765</v>
      </c>
      <c r="P903" s="1">
        <v>5115</v>
      </c>
      <c r="Q903" s="1" t="s">
        <v>302</v>
      </c>
      <c r="R903" s="2">
        <v>42115</v>
      </c>
      <c r="S903" s="1">
        <v>55737</v>
      </c>
      <c r="U903" s="1">
        <v>34726</v>
      </c>
      <c r="V903" s="1" t="s">
        <v>9999</v>
      </c>
      <c r="W903" s="1" t="s">
        <v>264</v>
      </c>
      <c r="X903" s="1">
        <v>34726</v>
      </c>
      <c r="Y903" s="1">
        <v>4</v>
      </c>
      <c r="Z903" s="1" t="s">
        <v>249</v>
      </c>
      <c r="AA903" s="1" t="s">
        <v>10000</v>
      </c>
      <c r="AB903" s="1">
        <v>60041</v>
      </c>
      <c r="AD903" s="1" t="s">
        <v>10001</v>
      </c>
      <c r="AE903" s="1" t="s">
        <v>10002</v>
      </c>
      <c r="AF903" s="1">
        <v>1998</v>
      </c>
      <c r="AG903" s="1" t="s">
        <v>204</v>
      </c>
      <c r="AH903" s="1" t="s">
        <v>882</v>
      </c>
      <c r="AI903" s="1" t="s">
        <v>509</v>
      </c>
      <c r="AJ903" s="1" t="s">
        <v>1016</v>
      </c>
      <c r="AL903" s="1">
        <v>6</v>
      </c>
      <c r="AM903" s="1">
        <v>2</v>
      </c>
      <c r="AN903" s="1">
        <v>1</v>
      </c>
      <c r="AO903" s="1">
        <v>1</v>
      </c>
      <c r="AP903" s="1" t="s">
        <v>209</v>
      </c>
      <c r="AR903" s="1" t="s">
        <v>210</v>
      </c>
      <c r="AS903" s="1" t="s">
        <v>204</v>
      </c>
      <c r="AT903" s="1" t="s">
        <v>271</v>
      </c>
      <c r="AV903" s="1">
        <v>2</v>
      </c>
      <c r="AW903" s="1" t="s">
        <v>204</v>
      </c>
      <c r="AX903" s="1" t="s">
        <v>212</v>
      </c>
      <c r="AZ903" s="1">
        <v>2641.04</v>
      </c>
      <c r="BA903" s="1">
        <v>2013</v>
      </c>
      <c r="BE903" s="1">
        <v>0</v>
      </c>
      <c r="BF903" s="1">
        <v>2</v>
      </c>
      <c r="BG903" s="1">
        <v>0</v>
      </c>
      <c r="BL903" s="1">
        <v>217</v>
      </c>
      <c r="BM903" s="1" t="s">
        <v>204</v>
      </c>
      <c r="BN903" s="1" t="s">
        <v>213</v>
      </c>
      <c r="BO903" s="1">
        <v>0</v>
      </c>
      <c r="BP903" s="1" t="s">
        <v>204</v>
      </c>
      <c r="BR903" s="1" t="str">
        <f>"05232060480000"</f>
        <v>05232060480000</v>
      </c>
      <c r="BT903" s="1" t="s">
        <v>10003</v>
      </c>
      <c r="BU903" s="1" t="s">
        <v>6153</v>
      </c>
      <c r="BV903" s="1" t="s">
        <v>6154</v>
      </c>
      <c r="BW903" s="1" t="s">
        <v>2264</v>
      </c>
      <c r="BX903" s="1">
        <v>38</v>
      </c>
      <c r="BY903" s="1">
        <v>38</v>
      </c>
      <c r="BZ903" s="1">
        <v>124</v>
      </c>
      <c r="CB903" s="1" t="str">
        <f>"34"</f>
        <v>34</v>
      </c>
      <c r="CC903" s="1" t="str">
        <f>"0"</f>
        <v>0</v>
      </c>
      <c r="CD903" s="1">
        <v>26</v>
      </c>
      <c r="CE903" s="1">
        <v>0</v>
      </c>
      <c r="CG903" s="1" t="s">
        <v>3100</v>
      </c>
      <c r="CH903" s="1" t="s">
        <v>219</v>
      </c>
      <c r="CI903" s="1" t="s">
        <v>438</v>
      </c>
      <c r="CK903" s="1" t="s">
        <v>315</v>
      </c>
      <c r="CL903" s="1" t="s">
        <v>277</v>
      </c>
      <c r="CM903" s="1" t="s">
        <v>220</v>
      </c>
      <c r="CO903" s="1" t="s">
        <v>1297</v>
      </c>
      <c r="CP903" s="1" t="s">
        <v>219</v>
      </c>
      <c r="CQ903" s="1" t="s">
        <v>438</v>
      </c>
      <c r="CS903" s="1" t="s">
        <v>346</v>
      </c>
      <c r="CT903" s="1" t="s">
        <v>277</v>
      </c>
      <c r="CU903" s="1" t="s">
        <v>220</v>
      </c>
      <c r="CX903" s="1" t="s">
        <v>224</v>
      </c>
      <c r="DB903" s="1" t="s">
        <v>224</v>
      </c>
      <c r="DE903" s="1" t="s">
        <v>1297</v>
      </c>
      <c r="DF903" s="1" t="s">
        <v>219</v>
      </c>
      <c r="DG903" s="1" t="s">
        <v>438</v>
      </c>
      <c r="DJ903" s="1" t="s">
        <v>224</v>
      </c>
      <c r="DM903" s="1" t="s">
        <v>464</v>
      </c>
      <c r="DR903" s="1" t="s">
        <v>346</v>
      </c>
      <c r="DS903" s="1" t="s">
        <v>277</v>
      </c>
      <c r="DT903" s="1" t="s">
        <v>220</v>
      </c>
      <c r="DW903" s="1" t="s">
        <v>230</v>
      </c>
      <c r="EA903" s="1" t="s">
        <v>230</v>
      </c>
      <c r="EE903" s="1" t="s">
        <v>230</v>
      </c>
      <c r="EI903" s="1" t="s">
        <v>230</v>
      </c>
      <c r="EL903" s="1" t="s">
        <v>670</v>
      </c>
      <c r="EM903" s="1" t="s">
        <v>761</v>
      </c>
      <c r="EN903" s="1" t="s">
        <v>282</v>
      </c>
      <c r="EO903" s="1" t="s">
        <v>234</v>
      </c>
      <c r="EP903" s="1" t="s">
        <v>10004</v>
      </c>
      <c r="EQ903" s="1" t="s">
        <v>284</v>
      </c>
      <c r="ER903" s="1" t="s">
        <v>210</v>
      </c>
      <c r="ES903" s="1" t="s">
        <v>322</v>
      </c>
      <c r="EU903" s="1" t="s">
        <v>239</v>
      </c>
      <c r="EW903" s="1" t="s">
        <v>10005</v>
      </c>
      <c r="EY903" s="1" t="s">
        <v>242</v>
      </c>
      <c r="EZ903" s="1" t="s">
        <v>464</v>
      </c>
      <c r="FD903" s="1" t="s">
        <v>10006</v>
      </c>
      <c r="FE903" s="1" t="s">
        <v>472</v>
      </c>
      <c r="FF903" s="1" t="s">
        <v>248</v>
      </c>
      <c r="FH903" s="1" t="s">
        <v>249</v>
      </c>
      <c r="FJ903" s="1" t="s">
        <v>518</v>
      </c>
      <c r="FK903" s="1" t="s">
        <v>291</v>
      </c>
      <c r="FL903" s="1" t="s">
        <v>414</v>
      </c>
      <c r="FM903" s="1" t="s">
        <v>252</v>
      </c>
      <c r="FN903" s="1" t="s">
        <v>213</v>
      </c>
      <c r="FO903" s="1" t="s">
        <v>213</v>
      </c>
      <c r="FQ903" s="1" t="s">
        <v>7805</v>
      </c>
      <c r="FR903" s="1" t="s">
        <v>360</v>
      </c>
      <c r="FS903" s="1" t="s">
        <v>5548</v>
      </c>
      <c r="FT903" s="1" t="s">
        <v>1139</v>
      </c>
      <c r="FU903" s="1" t="s">
        <v>204</v>
      </c>
      <c r="FW903" s="1" t="s">
        <v>10007</v>
      </c>
      <c r="FX903" s="1">
        <v>5115</v>
      </c>
      <c r="FY903" s="1" t="s">
        <v>10008</v>
      </c>
      <c r="FZ903" s="1" t="s">
        <v>10009</v>
      </c>
      <c r="GA903" s="1">
        <v>53605</v>
      </c>
      <c r="GB903" s="1" t="s">
        <v>10010</v>
      </c>
      <c r="GD903" s="1" t="s">
        <v>10011</v>
      </c>
      <c r="GE903" s="1" t="s">
        <v>210</v>
      </c>
      <c r="GH903" s="1" t="s">
        <v>230</v>
      </c>
      <c r="GI903" s="1" t="s">
        <v>213</v>
      </c>
      <c r="GJ903" s="1" t="s">
        <v>260</v>
      </c>
      <c r="GK903" s="1" t="s">
        <v>210</v>
      </c>
      <c r="GL903" s="2">
        <v>42115</v>
      </c>
      <c r="GM903" s="1" t="s">
        <v>10012</v>
      </c>
    </row>
    <row r="904" spans="1:195">
      <c r="A904" s="1">
        <v>65000</v>
      </c>
      <c r="B904" s="1" t="s">
        <v>195</v>
      </c>
      <c r="C904" s="1" t="str">
        <f>"08582109"</f>
        <v>08582109</v>
      </c>
      <c r="D904" s="1" t="s">
        <v>196</v>
      </c>
      <c r="F904" s="1" t="str">
        <f>"84"</f>
        <v>84</v>
      </c>
      <c r="G904" s="2">
        <v>41739</v>
      </c>
      <c r="H904" s="1">
        <v>69900</v>
      </c>
      <c r="I904" s="1">
        <v>69900</v>
      </c>
      <c r="J904" s="1">
        <v>65000</v>
      </c>
      <c r="K904" s="2">
        <v>41739</v>
      </c>
      <c r="L904" s="1">
        <v>241</v>
      </c>
      <c r="M904" s="2">
        <v>41979</v>
      </c>
      <c r="N904" s="1">
        <v>241</v>
      </c>
      <c r="O904" s="2">
        <v>41979</v>
      </c>
      <c r="P904" s="1">
        <v>6076</v>
      </c>
      <c r="Q904" s="1" t="s">
        <v>302</v>
      </c>
      <c r="R904" s="2">
        <v>42016</v>
      </c>
      <c r="S904" s="1">
        <v>62182</v>
      </c>
      <c r="U904" s="1">
        <v>450</v>
      </c>
      <c r="V904" s="1" t="s">
        <v>4253</v>
      </c>
      <c r="W904" s="1" t="s">
        <v>725</v>
      </c>
      <c r="X904" s="1" t="s">
        <v>10013</v>
      </c>
      <c r="Y904" s="1">
        <v>91</v>
      </c>
      <c r="Z904" s="1" t="s">
        <v>249</v>
      </c>
      <c r="AA904" s="1" t="s">
        <v>5871</v>
      </c>
      <c r="AB904" s="1">
        <v>60084</v>
      </c>
      <c r="AD904" s="1" t="s">
        <v>10014</v>
      </c>
      <c r="AE904" s="1" t="s">
        <v>10015</v>
      </c>
      <c r="AF904" s="1">
        <v>1974</v>
      </c>
      <c r="AG904" s="1" t="s">
        <v>213</v>
      </c>
      <c r="AH904" s="1" t="s">
        <v>2599</v>
      </c>
      <c r="AI904" s="1" t="s">
        <v>509</v>
      </c>
      <c r="AJ904" s="1" t="s">
        <v>2599</v>
      </c>
      <c r="AL904" s="1">
        <v>5</v>
      </c>
      <c r="AM904" s="1">
        <v>2</v>
      </c>
      <c r="AN904" s="1">
        <v>2</v>
      </c>
      <c r="AO904" s="1">
        <v>0</v>
      </c>
      <c r="AP904" s="1" t="s">
        <v>209</v>
      </c>
      <c r="AQ904" s="1">
        <v>1</v>
      </c>
      <c r="AR904" s="1" t="s">
        <v>210</v>
      </c>
      <c r="AS904" s="1" t="s">
        <v>204</v>
      </c>
      <c r="AT904" s="1" t="s">
        <v>271</v>
      </c>
      <c r="AV904" s="1">
        <v>2</v>
      </c>
      <c r="AW904" s="1" t="s">
        <v>213</v>
      </c>
      <c r="AX904" s="1" t="s">
        <v>212</v>
      </c>
      <c r="AZ904" s="1">
        <v>1282.05</v>
      </c>
      <c r="BA904" s="1">
        <v>2012</v>
      </c>
      <c r="BE904" s="1">
        <v>1102</v>
      </c>
      <c r="BF904" s="1">
        <v>2</v>
      </c>
      <c r="BG904" s="1">
        <v>0</v>
      </c>
      <c r="BL904" s="1">
        <v>360</v>
      </c>
      <c r="BM904" s="1" t="s">
        <v>204</v>
      </c>
      <c r="BN904" s="1" t="s">
        <v>213</v>
      </c>
      <c r="BP904" s="1" t="s">
        <v>204</v>
      </c>
      <c r="BR904" s="1" t="str">
        <f>"09262041030000"</f>
        <v>09262041030000</v>
      </c>
      <c r="BT904" s="1" t="s">
        <v>10016</v>
      </c>
      <c r="BU904" s="1" t="s">
        <v>2603</v>
      </c>
      <c r="BV904" s="1" t="s">
        <v>2604</v>
      </c>
      <c r="BW904" s="1" t="s">
        <v>2605</v>
      </c>
      <c r="BX904" s="1">
        <v>118</v>
      </c>
      <c r="BY904" s="1">
        <v>118</v>
      </c>
      <c r="BZ904" s="1">
        <v>118</v>
      </c>
      <c r="CB904" s="1" t="str">
        <f t="shared" ref="CB904:CC904" si="695">""</f>
        <v/>
      </c>
      <c r="CC904" s="1" t="str">
        <f t="shared" si="695"/>
        <v/>
      </c>
      <c r="CG904" s="1" t="s">
        <v>4795</v>
      </c>
      <c r="CH904" s="1" t="s">
        <v>277</v>
      </c>
      <c r="CI904" s="1" t="s">
        <v>438</v>
      </c>
      <c r="CJ904" s="1" t="s">
        <v>252</v>
      </c>
      <c r="CK904" s="1" t="s">
        <v>280</v>
      </c>
      <c r="CL904" s="1" t="s">
        <v>277</v>
      </c>
      <c r="CM904" s="1" t="s">
        <v>438</v>
      </c>
      <c r="CN904" s="1" t="s">
        <v>252</v>
      </c>
      <c r="CO904" s="1" t="s">
        <v>629</v>
      </c>
      <c r="CP904" s="1" t="s">
        <v>277</v>
      </c>
      <c r="CS904" s="1" t="s">
        <v>3083</v>
      </c>
      <c r="CT904" s="1" t="s">
        <v>277</v>
      </c>
      <c r="CU904" s="1" t="s">
        <v>438</v>
      </c>
      <c r="CV904" s="1" t="s">
        <v>252</v>
      </c>
      <c r="CX904" s="1" t="s">
        <v>224</v>
      </c>
      <c r="DB904" s="1" t="s">
        <v>224</v>
      </c>
      <c r="DE904" s="1" t="s">
        <v>836</v>
      </c>
      <c r="DF904" s="1" t="s">
        <v>277</v>
      </c>
      <c r="DG904" s="1" t="s">
        <v>438</v>
      </c>
      <c r="DH904" s="1" t="s">
        <v>252</v>
      </c>
      <c r="DJ904" s="1" t="s">
        <v>224</v>
      </c>
      <c r="DS904" s="1" t="s">
        <v>230</v>
      </c>
      <c r="DW904" s="1" t="s">
        <v>230</v>
      </c>
      <c r="EA904" s="1" t="s">
        <v>230</v>
      </c>
      <c r="EE904" s="1" t="s">
        <v>230</v>
      </c>
      <c r="EI904" s="1" t="s">
        <v>230</v>
      </c>
      <c r="EL904" s="1" t="s">
        <v>231</v>
      </c>
      <c r="EM904" s="1" t="s">
        <v>319</v>
      </c>
      <c r="EN904" s="1" t="s">
        <v>282</v>
      </c>
      <c r="EO904" s="1" t="s">
        <v>234</v>
      </c>
      <c r="EQ904" s="1" t="s">
        <v>350</v>
      </c>
      <c r="ER904" s="1" t="s">
        <v>210</v>
      </c>
      <c r="EW904" s="1" t="s">
        <v>10017</v>
      </c>
      <c r="EZ904" s="1" t="s">
        <v>287</v>
      </c>
      <c r="FB904" s="1" t="s">
        <v>244</v>
      </c>
      <c r="FD904" s="1" t="s">
        <v>736</v>
      </c>
      <c r="FE904" s="1" t="s">
        <v>549</v>
      </c>
      <c r="FF904" s="1" t="s">
        <v>248</v>
      </c>
      <c r="FG904" s="1" t="s">
        <v>939</v>
      </c>
      <c r="FH904" s="1" t="s">
        <v>249</v>
      </c>
      <c r="FK904" s="1" t="s">
        <v>1825</v>
      </c>
      <c r="FL904" s="1" t="s">
        <v>358</v>
      </c>
      <c r="FM904" s="1" t="s">
        <v>252</v>
      </c>
      <c r="FN904" s="1" t="s">
        <v>213</v>
      </c>
      <c r="FO904" s="1" t="s">
        <v>213</v>
      </c>
      <c r="FQ904" s="1" t="s">
        <v>10018</v>
      </c>
      <c r="FR904" s="1" t="s">
        <v>210</v>
      </c>
      <c r="FS904" s="1" t="s">
        <v>10019</v>
      </c>
      <c r="FT904" s="1" t="s">
        <v>675</v>
      </c>
      <c r="FU904" s="1" t="s">
        <v>204</v>
      </c>
      <c r="FW904" s="1" t="s">
        <v>554</v>
      </c>
      <c r="FX904" s="1">
        <v>6076</v>
      </c>
      <c r="FY904" s="1" t="s">
        <v>555</v>
      </c>
      <c r="FZ904" s="1" t="s">
        <v>10020</v>
      </c>
      <c r="GA904" s="1">
        <v>62182</v>
      </c>
      <c r="GB904" s="1" t="s">
        <v>10021</v>
      </c>
      <c r="GD904" s="1" t="s">
        <v>10022</v>
      </c>
      <c r="GE904" s="1" t="s">
        <v>210</v>
      </c>
      <c r="GH904" s="1" t="s">
        <v>230</v>
      </c>
      <c r="GI904" s="1" t="s">
        <v>213</v>
      </c>
      <c r="GJ904" s="1" t="s">
        <v>260</v>
      </c>
      <c r="GK904" s="1" t="s">
        <v>210</v>
      </c>
      <c r="GL904" s="2">
        <v>42017</v>
      </c>
      <c r="GM904" s="1" t="s">
        <v>10023</v>
      </c>
    </row>
    <row r="905" spans="1:195">
      <c r="A905" s="1">
        <v>175000</v>
      </c>
      <c r="B905" s="1" t="s">
        <v>195</v>
      </c>
      <c r="C905" s="1" t="str">
        <f>"08594985"</f>
        <v>08594985</v>
      </c>
      <c r="D905" s="1" t="s">
        <v>196</v>
      </c>
      <c r="F905" s="1" t="str">
        <f>"510"</f>
        <v>510</v>
      </c>
      <c r="G905" s="2">
        <v>41753</v>
      </c>
      <c r="H905" s="1">
        <v>199000</v>
      </c>
      <c r="I905" s="1">
        <v>185000</v>
      </c>
      <c r="J905" s="1">
        <v>175000</v>
      </c>
      <c r="K905" s="2">
        <v>41753</v>
      </c>
      <c r="L905" s="1">
        <v>181</v>
      </c>
      <c r="M905" s="2">
        <v>41933</v>
      </c>
      <c r="N905" s="1">
        <v>181</v>
      </c>
      <c r="O905" s="2">
        <v>41933</v>
      </c>
      <c r="P905" s="1">
        <v>23120</v>
      </c>
      <c r="Q905" s="1" t="s">
        <v>1393</v>
      </c>
      <c r="R905" s="2">
        <v>42016</v>
      </c>
      <c r="S905" s="1">
        <v>225980</v>
      </c>
      <c r="U905" s="1">
        <v>349</v>
      </c>
      <c r="V905" s="1" t="s">
        <v>3868</v>
      </c>
      <c r="W905" s="1" t="s">
        <v>725</v>
      </c>
      <c r="X905" s="1">
        <v>349</v>
      </c>
      <c r="Y905" s="1">
        <v>6</v>
      </c>
      <c r="Z905" s="1" t="s">
        <v>249</v>
      </c>
      <c r="AA905" s="1" t="s">
        <v>947</v>
      </c>
      <c r="AB905" s="1">
        <v>60510</v>
      </c>
      <c r="AD905" s="1" t="s">
        <v>10024</v>
      </c>
      <c r="AE905" s="1" t="s">
        <v>10025</v>
      </c>
      <c r="AF905" s="1">
        <v>1993</v>
      </c>
      <c r="AG905" s="1" t="s">
        <v>204</v>
      </c>
      <c r="AH905" s="1" t="s">
        <v>949</v>
      </c>
      <c r="AI905" s="1" t="s">
        <v>665</v>
      </c>
      <c r="AJ905" s="1" t="s">
        <v>949</v>
      </c>
      <c r="AL905" s="1">
        <v>6</v>
      </c>
      <c r="AM905" s="1">
        <v>2</v>
      </c>
      <c r="AN905" s="1">
        <v>2</v>
      </c>
      <c r="AO905" s="1">
        <v>0</v>
      </c>
      <c r="AP905" s="1" t="s">
        <v>209</v>
      </c>
      <c r="AQ905" s="1">
        <v>1</v>
      </c>
      <c r="AR905" s="1" t="s">
        <v>209</v>
      </c>
      <c r="AS905" s="1" t="s">
        <v>204</v>
      </c>
      <c r="AT905" s="1" t="s">
        <v>211</v>
      </c>
      <c r="AU905" s="1">
        <v>1</v>
      </c>
      <c r="AW905" s="1" t="s">
        <v>204</v>
      </c>
      <c r="AX905" s="1" t="s">
        <v>212</v>
      </c>
      <c r="AZ905" s="1">
        <v>6086.44</v>
      </c>
      <c r="BA905" s="1">
        <v>2013</v>
      </c>
      <c r="BB905" s="1" t="s">
        <v>405</v>
      </c>
      <c r="BE905" s="1">
        <v>1578</v>
      </c>
      <c r="BF905" s="1">
        <v>2</v>
      </c>
      <c r="BG905" s="1">
        <v>30</v>
      </c>
      <c r="BL905" s="1">
        <v>271</v>
      </c>
      <c r="BM905" s="1" t="s">
        <v>204</v>
      </c>
      <c r="BN905" s="1" t="s">
        <v>213</v>
      </c>
      <c r="BO905" s="1">
        <v>999</v>
      </c>
      <c r="BP905" s="1" t="s">
        <v>204</v>
      </c>
      <c r="BR905" s="1" t="str">
        <f>"1222306081"</f>
        <v>1222306081</v>
      </c>
      <c r="BT905" s="1" t="s">
        <v>10026</v>
      </c>
      <c r="BX905" s="1">
        <v>101</v>
      </c>
      <c r="BY905" s="1">
        <v>101</v>
      </c>
      <c r="BZ905" s="1">
        <v>101</v>
      </c>
      <c r="CB905" s="1" t="str">
        <f t="shared" ref="CB905:CC905" si="696">""</f>
        <v/>
      </c>
      <c r="CC905" s="1" t="str">
        <f t="shared" si="696"/>
        <v/>
      </c>
      <c r="CG905" s="1" t="s">
        <v>515</v>
      </c>
      <c r="CH905" s="1" t="s">
        <v>219</v>
      </c>
      <c r="CI905" s="1" t="s">
        <v>229</v>
      </c>
      <c r="CJ905" s="1" t="s">
        <v>343</v>
      </c>
      <c r="CK905" s="1" t="s">
        <v>221</v>
      </c>
      <c r="CL905" s="1" t="s">
        <v>219</v>
      </c>
      <c r="CM905" s="1" t="s">
        <v>220</v>
      </c>
      <c r="CN905" s="1" t="s">
        <v>463</v>
      </c>
      <c r="CP905" s="1" t="s">
        <v>224</v>
      </c>
      <c r="CS905" s="1" t="s">
        <v>281</v>
      </c>
      <c r="CT905" s="1" t="s">
        <v>219</v>
      </c>
      <c r="CU905" s="1" t="s">
        <v>220</v>
      </c>
      <c r="CX905" s="1" t="s">
        <v>224</v>
      </c>
      <c r="DB905" s="1" t="s">
        <v>224</v>
      </c>
      <c r="DE905" s="1" t="s">
        <v>10027</v>
      </c>
      <c r="DF905" s="1" t="s">
        <v>219</v>
      </c>
      <c r="DG905" s="1" t="s">
        <v>229</v>
      </c>
      <c r="DH905" s="1" t="s">
        <v>463</v>
      </c>
      <c r="DJ905" s="1" t="s">
        <v>224</v>
      </c>
      <c r="DM905" s="1" t="s">
        <v>1548</v>
      </c>
      <c r="DN905" s="1" t="s">
        <v>3592</v>
      </c>
      <c r="DR905" s="1" t="s">
        <v>221</v>
      </c>
      <c r="DS905" s="1" t="s">
        <v>219</v>
      </c>
      <c r="DT905" s="1" t="s">
        <v>229</v>
      </c>
      <c r="DU905" s="1" t="s">
        <v>463</v>
      </c>
      <c r="DV905" s="1" t="s">
        <v>318</v>
      </c>
      <c r="DW905" s="1" t="s">
        <v>219</v>
      </c>
      <c r="DX905" s="1" t="s">
        <v>229</v>
      </c>
      <c r="EA905" s="1" t="s">
        <v>230</v>
      </c>
      <c r="EE905" s="1" t="s">
        <v>230</v>
      </c>
      <c r="EI905" s="1" t="s">
        <v>230</v>
      </c>
      <c r="EL905" s="1" t="s">
        <v>382</v>
      </c>
      <c r="EM905" s="1" t="s">
        <v>319</v>
      </c>
      <c r="EN905" s="1" t="s">
        <v>282</v>
      </c>
      <c r="EO905" s="1" t="s">
        <v>234</v>
      </c>
      <c r="EQ905" s="1" t="s">
        <v>10028</v>
      </c>
      <c r="ER905" s="1" t="s">
        <v>1249</v>
      </c>
      <c r="EU905" s="1" t="s">
        <v>239</v>
      </c>
      <c r="EW905" s="1" t="s">
        <v>353</v>
      </c>
      <c r="EZ905" s="1" t="s">
        <v>8441</v>
      </c>
      <c r="FA905" s="1" t="s">
        <v>10029</v>
      </c>
      <c r="FD905" s="1" t="s">
        <v>495</v>
      </c>
      <c r="FE905" s="1" t="s">
        <v>247</v>
      </c>
      <c r="FF905" s="1" t="s">
        <v>248</v>
      </c>
      <c r="FG905" s="1" t="s">
        <v>871</v>
      </c>
      <c r="FH905" s="1" t="s">
        <v>249</v>
      </c>
      <c r="FI905" s="1" t="s">
        <v>473</v>
      </c>
      <c r="FJ905" s="1" t="s">
        <v>197</v>
      </c>
      <c r="FL905" s="1" t="s">
        <v>358</v>
      </c>
      <c r="FM905" s="1" t="s">
        <v>252</v>
      </c>
      <c r="FN905" s="1" t="s">
        <v>213</v>
      </c>
      <c r="FO905" s="1" t="s">
        <v>204</v>
      </c>
      <c r="FQ905" s="1" t="s">
        <v>10030</v>
      </c>
      <c r="FR905" s="1" t="s">
        <v>411</v>
      </c>
      <c r="FS905" s="1" t="s">
        <v>10031</v>
      </c>
      <c r="FT905" s="1" t="s">
        <v>295</v>
      </c>
      <c r="FU905" s="1" t="s">
        <v>204</v>
      </c>
      <c r="FW905" s="1" t="s">
        <v>8625</v>
      </c>
      <c r="FX905" s="1">
        <v>37</v>
      </c>
      <c r="FY905" s="1" t="s">
        <v>8626</v>
      </c>
      <c r="FZ905" s="1" t="s">
        <v>10032</v>
      </c>
      <c r="GA905" s="1">
        <v>8763</v>
      </c>
      <c r="GB905" s="1" t="s">
        <v>10033</v>
      </c>
      <c r="GD905" s="1" t="s">
        <v>10034</v>
      </c>
      <c r="GE905" s="1" t="s">
        <v>10035</v>
      </c>
      <c r="GH905" s="1" t="s">
        <v>421</v>
      </c>
      <c r="GI905" s="1" t="s">
        <v>213</v>
      </c>
      <c r="GJ905" s="1" t="s">
        <v>260</v>
      </c>
      <c r="GK905" s="1" t="s">
        <v>261</v>
      </c>
      <c r="GL905" s="2">
        <v>42017</v>
      </c>
      <c r="GM905" s="1" t="s">
        <v>10036</v>
      </c>
    </row>
    <row r="906" spans="1:195">
      <c r="A906" s="1">
        <v>374000</v>
      </c>
      <c r="B906" s="1" t="s">
        <v>195</v>
      </c>
      <c r="C906" s="1" t="str">
        <f>"08587069"</f>
        <v>08587069</v>
      </c>
      <c r="D906" s="1" t="s">
        <v>196</v>
      </c>
      <c r="F906" s="1" t="str">
        <f>"126"</f>
        <v>126</v>
      </c>
      <c r="G906" s="2">
        <v>41745</v>
      </c>
      <c r="H906" s="1">
        <v>400000</v>
      </c>
      <c r="I906" s="1">
        <v>400000</v>
      </c>
      <c r="J906" s="1">
        <v>374000</v>
      </c>
      <c r="K906" s="2">
        <v>41745</v>
      </c>
      <c r="L906" s="1">
        <v>207</v>
      </c>
      <c r="M906" s="2">
        <v>41951</v>
      </c>
      <c r="N906" s="1">
        <v>207</v>
      </c>
      <c r="O906" s="2">
        <v>41951</v>
      </c>
      <c r="P906" s="1">
        <v>25792</v>
      </c>
      <c r="Q906" s="1" t="s">
        <v>197</v>
      </c>
      <c r="R906" s="2">
        <v>42013</v>
      </c>
      <c r="S906" s="1">
        <v>236244</v>
      </c>
      <c r="U906" s="1">
        <v>184</v>
      </c>
      <c r="V906" s="1" t="s">
        <v>1233</v>
      </c>
      <c r="W906" s="1" t="s">
        <v>425</v>
      </c>
      <c r="Y906" s="1">
        <v>1</v>
      </c>
      <c r="Z906" s="1" t="s">
        <v>370</v>
      </c>
      <c r="AA906" s="1" t="s">
        <v>3169</v>
      </c>
      <c r="AB906" s="1">
        <v>60126</v>
      </c>
      <c r="AD906" s="1" t="s">
        <v>10037</v>
      </c>
      <c r="AE906" s="1" t="s">
        <v>10038</v>
      </c>
      <c r="AF906" s="1">
        <v>1999</v>
      </c>
      <c r="AG906" s="1" t="s">
        <v>204</v>
      </c>
      <c r="AH906" s="1" t="s">
        <v>3172</v>
      </c>
      <c r="AI906" s="1" t="s">
        <v>206</v>
      </c>
      <c r="AJ906" s="1" t="s">
        <v>1608</v>
      </c>
      <c r="AL906" s="1">
        <v>7</v>
      </c>
      <c r="AM906" s="1">
        <v>2</v>
      </c>
      <c r="AN906" s="1">
        <v>2</v>
      </c>
      <c r="AO906" s="1">
        <v>1</v>
      </c>
      <c r="AP906" s="1" t="s">
        <v>209</v>
      </c>
      <c r="AQ906" s="1">
        <v>1</v>
      </c>
      <c r="AR906" s="1" t="s">
        <v>209</v>
      </c>
      <c r="AS906" s="1" t="s">
        <v>204</v>
      </c>
      <c r="AT906" s="1" t="s">
        <v>211</v>
      </c>
      <c r="AU906" s="1">
        <v>2</v>
      </c>
      <c r="AW906" s="1" t="s">
        <v>204</v>
      </c>
      <c r="AX906" s="1" t="s">
        <v>10039</v>
      </c>
      <c r="AZ906" s="1">
        <v>7059</v>
      </c>
      <c r="BA906" s="1">
        <v>2012</v>
      </c>
      <c r="BB906" s="1" t="s">
        <v>210</v>
      </c>
      <c r="BE906" s="1">
        <v>2067</v>
      </c>
      <c r="BF906" s="1">
        <v>1</v>
      </c>
      <c r="BG906" s="1">
        <v>0</v>
      </c>
      <c r="BL906" s="1">
        <v>340</v>
      </c>
      <c r="BM906" s="1" t="s">
        <v>204</v>
      </c>
      <c r="BN906" s="1" t="s">
        <v>213</v>
      </c>
      <c r="BO906" s="1">
        <v>0</v>
      </c>
      <c r="BP906" s="1" t="s">
        <v>204</v>
      </c>
      <c r="BR906" s="1" t="str">
        <f>"0602213036"</f>
        <v>0602213036</v>
      </c>
      <c r="BT906" s="1" t="s">
        <v>10040</v>
      </c>
      <c r="BU906" s="1" t="s">
        <v>3174</v>
      </c>
      <c r="BV906" s="1" t="s">
        <v>3175</v>
      </c>
      <c r="BW906" s="1" t="s">
        <v>3176</v>
      </c>
      <c r="BX906" s="1">
        <v>205</v>
      </c>
      <c r="BY906" s="1">
        <v>205</v>
      </c>
      <c r="BZ906" s="1">
        <v>205</v>
      </c>
      <c r="CB906" s="1" t="str">
        <f>"1"</f>
        <v>1</v>
      </c>
      <c r="CC906" s="1" t="str">
        <f t="shared" ref="CC906:CC907" si="697">"0"</f>
        <v>0</v>
      </c>
      <c r="CD906" s="1">
        <v>16</v>
      </c>
      <c r="CE906" s="1">
        <v>0</v>
      </c>
      <c r="CG906" s="1" t="s">
        <v>4322</v>
      </c>
      <c r="CH906" s="1" t="s">
        <v>219</v>
      </c>
      <c r="CI906" s="1" t="s">
        <v>220</v>
      </c>
      <c r="CJ906" s="1" t="s">
        <v>252</v>
      </c>
      <c r="CK906" s="1" t="s">
        <v>1267</v>
      </c>
      <c r="CL906" s="1" t="s">
        <v>277</v>
      </c>
      <c r="CM906" s="1" t="s">
        <v>220</v>
      </c>
      <c r="CN906" s="1" t="s">
        <v>252</v>
      </c>
      <c r="CO906" s="1" t="s">
        <v>437</v>
      </c>
      <c r="CP906" s="1" t="s">
        <v>219</v>
      </c>
      <c r="CQ906" s="1" t="s">
        <v>226</v>
      </c>
      <c r="CR906" s="1" t="s">
        <v>252</v>
      </c>
      <c r="CS906" s="1" t="s">
        <v>278</v>
      </c>
      <c r="CT906" s="1" t="s">
        <v>277</v>
      </c>
      <c r="CU906" s="1" t="s">
        <v>220</v>
      </c>
      <c r="CV906" s="1" t="s">
        <v>252</v>
      </c>
      <c r="CW906" s="1" t="s">
        <v>669</v>
      </c>
      <c r="CX906" s="1" t="s">
        <v>43</v>
      </c>
      <c r="CY906" s="1" t="s">
        <v>220</v>
      </c>
      <c r="DB906" s="1" t="s">
        <v>224</v>
      </c>
      <c r="DE906" s="1" t="s">
        <v>465</v>
      </c>
      <c r="DF906" s="1" t="s">
        <v>219</v>
      </c>
      <c r="DG906" s="1" t="s">
        <v>226</v>
      </c>
      <c r="DH906" s="1" t="s">
        <v>252</v>
      </c>
      <c r="DI906" s="1" t="s">
        <v>1267</v>
      </c>
      <c r="DJ906" s="1" t="s">
        <v>4450</v>
      </c>
      <c r="DK906" s="1" t="s">
        <v>220</v>
      </c>
      <c r="DL906" s="1" t="s">
        <v>252</v>
      </c>
      <c r="DS906" s="1" t="s">
        <v>230</v>
      </c>
      <c r="DW906" s="1" t="s">
        <v>230</v>
      </c>
      <c r="EA906" s="1" t="s">
        <v>230</v>
      </c>
      <c r="EE906" s="1" t="s">
        <v>230</v>
      </c>
      <c r="EI906" s="1" t="s">
        <v>230</v>
      </c>
      <c r="EL906" s="1" t="s">
        <v>670</v>
      </c>
      <c r="EM906" s="1" t="s">
        <v>232</v>
      </c>
      <c r="EN906" s="1" t="s">
        <v>282</v>
      </c>
      <c r="EO906" s="1" t="s">
        <v>234</v>
      </c>
      <c r="EP906" s="1" t="s">
        <v>650</v>
      </c>
      <c r="EQ906" s="1" t="s">
        <v>236</v>
      </c>
      <c r="ER906" s="1" t="s">
        <v>10041</v>
      </c>
      <c r="ES906" s="1" t="s">
        <v>608</v>
      </c>
      <c r="ET906" s="1" t="s">
        <v>1201</v>
      </c>
      <c r="EU906" s="1" t="s">
        <v>6155</v>
      </c>
      <c r="EV906" s="1" t="s">
        <v>240</v>
      </c>
      <c r="EW906" s="1" t="s">
        <v>353</v>
      </c>
      <c r="EY906" s="1" t="s">
        <v>242</v>
      </c>
      <c r="EZ906" s="1" t="s">
        <v>287</v>
      </c>
      <c r="FA906" s="1" t="s">
        <v>10042</v>
      </c>
      <c r="FB906" s="1" t="s">
        <v>289</v>
      </c>
      <c r="FC906" s="1" t="s">
        <v>326</v>
      </c>
      <c r="FD906" s="1" t="s">
        <v>246</v>
      </c>
      <c r="FE906" s="1" t="s">
        <v>247</v>
      </c>
      <c r="FF906" s="1" t="s">
        <v>248</v>
      </c>
      <c r="FG906" s="1" t="s">
        <v>912</v>
      </c>
      <c r="FH906" s="1" t="s">
        <v>1634</v>
      </c>
      <c r="FI906" s="1" t="s">
        <v>473</v>
      </c>
      <c r="FL906" s="1" t="s">
        <v>358</v>
      </c>
      <c r="FM906" s="1" t="s">
        <v>252</v>
      </c>
      <c r="FN906" s="1" t="s">
        <v>213</v>
      </c>
      <c r="FO906" s="1" t="s">
        <v>213</v>
      </c>
      <c r="FQ906" s="1" t="s">
        <v>793</v>
      </c>
      <c r="FR906" s="1" t="s">
        <v>210</v>
      </c>
      <c r="FS906" s="1" t="s">
        <v>10043</v>
      </c>
      <c r="FT906" s="1" t="s">
        <v>362</v>
      </c>
      <c r="FU906" s="1" t="s">
        <v>204</v>
      </c>
      <c r="FW906" s="1" t="s">
        <v>3328</v>
      </c>
      <c r="FX906" s="1">
        <v>24330</v>
      </c>
      <c r="FY906" s="1" t="s">
        <v>3329</v>
      </c>
      <c r="FZ906" s="1" t="s">
        <v>10044</v>
      </c>
      <c r="GA906" s="1">
        <v>242446</v>
      </c>
      <c r="GB906" s="1" t="s">
        <v>10045</v>
      </c>
      <c r="GE906" s="1" t="s">
        <v>658</v>
      </c>
      <c r="GH906" s="1" t="s">
        <v>230</v>
      </c>
      <c r="GI906" s="1" t="s">
        <v>213</v>
      </c>
      <c r="GJ906" s="1" t="s">
        <v>260</v>
      </c>
      <c r="GK906" s="1" t="s">
        <v>4920</v>
      </c>
      <c r="GL906" s="2">
        <v>42013</v>
      </c>
      <c r="GM906" s="1" t="s">
        <v>10046</v>
      </c>
    </row>
    <row r="907" spans="1:195">
      <c r="A907" s="1">
        <v>100000</v>
      </c>
      <c r="B907" s="1" t="s">
        <v>195</v>
      </c>
      <c r="C907" s="1" t="str">
        <f>"08589860"</f>
        <v>08589860</v>
      </c>
      <c r="D907" s="1" t="s">
        <v>196</v>
      </c>
      <c r="F907" s="1" t="str">
        <f>"73"</f>
        <v>73</v>
      </c>
      <c r="G907" s="2">
        <v>41747</v>
      </c>
      <c r="H907" s="1">
        <v>105000</v>
      </c>
      <c r="I907" s="1">
        <v>105000</v>
      </c>
      <c r="J907" s="1">
        <v>100000</v>
      </c>
      <c r="K907" s="2">
        <v>41747</v>
      </c>
      <c r="L907" s="1">
        <v>187</v>
      </c>
      <c r="M907" s="2">
        <v>41933</v>
      </c>
      <c r="N907" s="1">
        <v>187</v>
      </c>
      <c r="O907" s="2">
        <v>41933</v>
      </c>
      <c r="P907" s="1">
        <v>1837</v>
      </c>
      <c r="Q907" s="1" t="s">
        <v>302</v>
      </c>
      <c r="R907" s="2">
        <v>41988</v>
      </c>
      <c r="S907" s="1">
        <v>86509</v>
      </c>
      <c r="U907" s="1">
        <v>119</v>
      </c>
      <c r="V907" s="1" t="s">
        <v>10047</v>
      </c>
      <c r="W907" s="1" t="s">
        <v>504</v>
      </c>
      <c r="Y907" s="1">
        <v>2</v>
      </c>
      <c r="Z907" s="1" t="s">
        <v>200</v>
      </c>
      <c r="AA907" s="1" t="s">
        <v>1259</v>
      </c>
      <c r="AB907" s="1">
        <v>60073</v>
      </c>
      <c r="AD907" s="1" t="s">
        <v>10048</v>
      </c>
      <c r="AE907" s="1" t="s">
        <v>10049</v>
      </c>
      <c r="AF907" s="1">
        <v>2002</v>
      </c>
      <c r="AG907" s="1" t="s">
        <v>204</v>
      </c>
      <c r="AH907" s="1" t="s">
        <v>1262</v>
      </c>
      <c r="AI907" s="1" t="s">
        <v>509</v>
      </c>
      <c r="AJ907" s="1" t="s">
        <v>1263</v>
      </c>
      <c r="AK907" s="1" t="s">
        <v>1088</v>
      </c>
      <c r="AL907" s="1">
        <v>5</v>
      </c>
      <c r="AM907" s="1">
        <v>2</v>
      </c>
      <c r="AN907" s="1">
        <v>1</v>
      </c>
      <c r="AO907" s="1">
        <v>1</v>
      </c>
      <c r="AP907" s="1" t="s">
        <v>209</v>
      </c>
      <c r="AQ907" s="1">
        <v>1</v>
      </c>
      <c r="AR907" s="1" t="s">
        <v>210</v>
      </c>
      <c r="AS907" s="1" t="s">
        <v>204</v>
      </c>
      <c r="AT907" s="1" t="s">
        <v>211</v>
      </c>
      <c r="AU907" s="1">
        <v>2</v>
      </c>
      <c r="AW907" s="1" t="s">
        <v>204</v>
      </c>
      <c r="AX907" s="1" t="s">
        <v>10050</v>
      </c>
      <c r="AZ907" s="1">
        <v>4941</v>
      </c>
      <c r="BA907" s="1">
        <v>2012</v>
      </c>
      <c r="BB907" s="1" t="s">
        <v>405</v>
      </c>
      <c r="BE907" s="1">
        <v>1048</v>
      </c>
      <c r="BF907" s="1">
        <v>1</v>
      </c>
      <c r="BG907" s="1">
        <v>0</v>
      </c>
      <c r="BL907" s="1">
        <v>61</v>
      </c>
      <c r="BM907" s="1" t="s">
        <v>204</v>
      </c>
      <c r="BN907" s="1" t="s">
        <v>213</v>
      </c>
      <c r="BO907" s="1">
        <v>999</v>
      </c>
      <c r="BP907" s="1" t="s">
        <v>204</v>
      </c>
      <c r="BR907" s="1" t="str">
        <f>"06324070390000"</f>
        <v>06324070390000</v>
      </c>
      <c r="BT907" s="1" t="s">
        <v>10051</v>
      </c>
      <c r="BU907" s="1" t="s">
        <v>5332</v>
      </c>
      <c r="BV907" s="1" t="s">
        <v>1842</v>
      </c>
      <c r="BW907" s="1" t="s">
        <v>10052</v>
      </c>
      <c r="BX907" s="1">
        <v>46</v>
      </c>
      <c r="BY907" s="1">
        <v>46</v>
      </c>
      <c r="BZ907" s="1">
        <v>127</v>
      </c>
      <c r="CB907" s="1" t="str">
        <f>"32"</f>
        <v>32</v>
      </c>
      <c r="CC907" s="1" t="str">
        <f t="shared" si="697"/>
        <v>0</v>
      </c>
      <c r="CD907" s="1">
        <v>23</v>
      </c>
      <c r="CE907" s="1">
        <v>0</v>
      </c>
      <c r="CG907" s="1" t="s">
        <v>628</v>
      </c>
      <c r="CH907" s="1" t="s">
        <v>219</v>
      </c>
      <c r="CI907" s="1" t="s">
        <v>229</v>
      </c>
      <c r="CK907" s="1" t="s">
        <v>1533</v>
      </c>
      <c r="CL907" s="1" t="s">
        <v>219</v>
      </c>
      <c r="CM907" s="1" t="s">
        <v>220</v>
      </c>
      <c r="CO907" s="1" t="s">
        <v>629</v>
      </c>
      <c r="CP907" s="1" t="s">
        <v>219</v>
      </c>
      <c r="CQ907" s="1" t="s">
        <v>229</v>
      </c>
      <c r="CS907" s="1" t="s">
        <v>346</v>
      </c>
      <c r="CT907" s="1" t="s">
        <v>219</v>
      </c>
      <c r="CU907" s="1" t="s">
        <v>220</v>
      </c>
      <c r="CX907" s="1" t="s">
        <v>224</v>
      </c>
      <c r="DB907" s="1" t="s">
        <v>224</v>
      </c>
      <c r="DE907" s="1" t="s">
        <v>602</v>
      </c>
      <c r="DF907" s="1" t="s">
        <v>219</v>
      </c>
      <c r="DG907" s="1" t="s">
        <v>438</v>
      </c>
      <c r="DJ907" s="1" t="s">
        <v>224</v>
      </c>
      <c r="DM907" s="1" t="s">
        <v>3011</v>
      </c>
      <c r="DN907" s="1" t="s">
        <v>1771</v>
      </c>
      <c r="DR907" s="1" t="s">
        <v>6174</v>
      </c>
      <c r="DS907" s="1" t="s">
        <v>219</v>
      </c>
      <c r="DT907" s="1" t="s">
        <v>342</v>
      </c>
      <c r="DV907" s="1" t="s">
        <v>1774</v>
      </c>
      <c r="DW907" s="1" t="s">
        <v>219</v>
      </c>
      <c r="DX907" s="1" t="s">
        <v>220</v>
      </c>
      <c r="EA907" s="1" t="s">
        <v>230</v>
      </c>
      <c r="EE907" s="1" t="s">
        <v>230</v>
      </c>
      <c r="EI907" s="1" t="s">
        <v>230</v>
      </c>
      <c r="EL907" s="1" t="s">
        <v>466</v>
      </c>
      <c r="EM907" s="1" t="s">
        <v>319</v>
      </c>
      <c r="EN907" s="1" t="s">
        <v>282</v>
      </c>
      <c r="EO907" s="1" t="s">
        <v>234</v>
      </c>
      <c r="EP907" s="1" t="s">
        <v>650</v>
      </c>
      <c r="EQ907" s="1" t="s">
        <v>2188</v>
      </c>
      <c r="ER907" s="1" t="s">
        <v>210</v>
      </c>
      <c r="ES907" s="1" t="s">
        <v>824</v>
      </c>
      <c r="ET907" s="1" t="s">
        <v>842</v>
      </c>
      <c r="EU907" s="1" t="s">
        <v>546</v>
      </c>
      <c r="EV907" s="1" t="s">
        <v>240</v>
      </c>
      <c r="EW907" s="1" t="s">
        <v>10053</v>
      </c>
      <c r="EY907" s="1" t="s">
        <v>242</v>
      </c>
      <c r="EZ907" s="1" t="s">
        <v>10054</v>
      </c>
      <c r="FA907" s="1" t="s">
        <v>10055</v>
      </c>
      <c r="FD907" s="1" t="s">
        <v>10056</v>
      </c>
      <c r="FE907" s="1" t="s">
        <v>472</v>
      </c>
      <c r="FF907" s="1" t="s">
        <v>248</v>
      </c>
      <c r="FG907" s="1" t="s">
        <v>2739</v>
      </c>
      <c r="FH907" s="1" t="s">
        <v>442</v>
      </c>
      <c r="FI907" s="1" t="s">
        <v>2889</v>
      </c>
      <c r="FL907" s="1" t="s">
        <v>358</v>
      </c>
      <c r="FM907" s="1" t="s">
        <v>252</v>
      </c>
      <c r="FN907" s="1" t="s">
        <v>213</v>
      </c>
      <c r="FO907" s="1" t="s">
        <v>213</v>
      </c>
      <c r="FQ907" s="1" t="s">
        <v>10057</v>
      </c>
      <c r="FR907" s="1" t="s">
        <v>360</v>
      </c>
      <c r="FS907" s="1" t="s">
        <v>10058</v>
      </c>
      <c r="FT907" s="1" t="s">
        <v>2589</v>
      </c>
      <c r="FU907" s="1" t="s">
        <v>204</v>
      </c>
      <c r="FW907" s="1" t="s">
        <v>1637</v>
      </c>
      <c r="FX907" s="1">
        <v>2626</v>
      </c>
      <c r="FY907" s="1" t="s">
        <v>1638</v>
      </c>
      <c r="FZ907" s="1" t="s">
        <v>10059</v>
      </c>
      <c r="GA907" s="1">
        <v>16640</v>
      </c>
      <c r="GB907" s="1" t="s">
        <v>10060</v>
      </c>
      <c r="GD907" s="1" t="s">
        <v>10061</v>
      </c>
      <c r="GE907" s="1" t="s">
        <v>210</v>
      </c>
      <c r="GI907" s="1" t="s">
        <v>213</v>
      </c>
      <c r="GJ907" s="1" t="s">
        <v>260</v>
      </c>
      <c r="GK907" s="1" t="s">
        <v>210</v>
      </c>
      <c r="GL907" s="2">
        <v>41988</v>
      </c>
      <c r="GM907" s="1" t="s">
        <v>10062</v>
      </c>
    </row>
    <row r="908" spans="1:195">
      <c r="A908" s="1">
        <v>86000</v>
      </c>
      <c r="B908" s="1" t="s">
        <v>195</v>
      </c>
      <c r="C908" s="1" t="str">
        <f>"08589037"</f>
        <v>08589037</v>
      </c>
      <c r="D908" s="1" t="s">
        <v>196</v>
      </c>
      <c r="F908" s="1" t="str">
        <f>"19"</f>
        <v>19</v>
      </c>
      <c r="G908" s="2">
        <v>41747</v>
      </c>
      <c r="H908" s="1">
        <v>105900</v>
      </c>
      <c r="I908" s="1">
        <v>84000</v>
      </c>
      <c r="J908" s="1">
        <v>86000</v>
      </c>
      <c r="K908" s="2">
        <v>41747</v>
      </c>
      <c r="L908" s="1">
        <v>151</v>
      </c>
      <c r="M908" s="2">
        <v>41897</v>
      </c>
      <c r="N908" s="1">
        <v>151</v>
      </c>
      <c r="O908" s="2">
        <v>41897</v>
      </c>
      <c r="P908" s="1">
        <v>5336</v>
      </c>
      <c r="Q908" s="1" t="s">
        <v>302</v>
      </c>
      <c r="R908" s="2">
        <v>42003</v>
      </c>
      <c r="S908" s="1">
        <v>50538</v>
      </c>
      <c r="U908" s="1">
        <v>1284</v>
      </c>
      <c r="V908" s="1" t="s">
        <v>10063</v>
      </c>
      <c r="W908" s="1" t="s">
        <v>264</v>
      </c>
      <c r="Y908" s="1">
        <v>4</v>
      </c>
      <c r="Z908" s="1" t="s">
        <v>370</v>
      </c>
      <c r="AA908" s="1" t="s">
        <v>1013</v>
      </c>
      <c r="AB908" s="1">
        <v>60020</v>
      </c>
      <c r="AD908" s="1" t="s">
        <v>10064</v>
      </c>
      <c r="AE908" s="1" t="s">
        <v>10065</v>
      </c>
      <c r="AF908" s="1">
        <v>2007</v>
      </c>
      <c r="AG908" s="1" t="s">
        <v>204</v>
      </c>
      <c r="AH908" s="1" t="s">
        <v>1015</v>
      </c>
      <c r="AI908" s="1" t="s">
        <v>509</v>
      </c>
      <c r="AJ908" s="1" t="s">
        <v>1016</v>
      </c>
      <c r="AL908" s="1">
        <v>6</v>
      </c>
      <c r="AM908" s="1">
        <v>2</v>
      </c>
      <c r="AN908" s="1">
        <v>2</v>
      </c>
      <c r="AO908" s="1">
        <v>1</v>
      </c>
      <c r="AP908" s="1" t="s">
        <v>209</v>
      </c>
      <c r="AR908" s="1" t="s">
        <v>210</v>
      </c>
      <c r="AS908" s="1" t="s">
        <v>204</v>
      </c>
      <c r="AT908" s="1" t="s">
        <v>211</v>
      </c>
      <c r="AU908" s="1">
        <v>1</v>
      </c>
      <c r="AW908" s="1" t="s">
        <v>204</v>
      </c>
      <c r="AX908" s="1" t="s">
        <v>212</v>
      </c>
      <c r="AZ908" s="1">
        <v>5169.24</v>
      </c>
      <c r="BA908" s="1">
        <v>2013</v>
      </c>
      <c r="BB908" s="1" t="s">
        <v>405</v>
      </c>
      <c r="BE908" s="1">
        <v>1412</v>
      </c>
      <c r="BF908" s="1">
        <v>1</v>
      </c>
      <c r="BG908" s="1">
        <v>0</v>
      </c>
      <c r="BL908" s="1">
        <v>162</v>
      </c>
      <c r="BM908" s="1" t="s">
        <v>213</v>
      </c>
      <c r="BN908" s="1" t="s">
        <v>213</v>
      </c>
      <c r="BO908" s="1">
        <v>0</v>
      </c>
      <c r="BP908" s="1" t="s">
        <v>204</v>
      </c>
      <c r="BR908" s="1" t="str">
        <f>"05274060300000"</f>
        <v>05274060300000</v>
      </c>
      <c r="BT908" s="1" t="s">
        <v>10066</v>
      </c>
      <c r="BU908" s="1" t="s">
        <v>6153</v>
      </c>
      <c r="BV908" s="1" t="s">
        <v>6488</v>
      </c>
      <c r="BW908" s="1" t="s">
        <v>2264</v>
      </c>
      <c r="BX908" s="1">
        <v>38</v>
      </c>
      <c r="BY908" s="1">
        <v>38</v>
      </c>
      <c r="BZ908" s="1">
        <v>124</v>
      </c>
      <c r="CB908" s="1" t="str">
        <f t="shared" ref="CB908:CC908" si="698">""</f>
        <v/>
      </c>
      <c r="CC908" s="1" t="str">
        <f t="shared" si="698"/>
        <v/>
      </c>
      <c r="CG908" s="1" t="s">
        <v>601</v>
      </c>
      <c r="CH908" s="1" t="s">
        <v>219</v>
      </c>
      <c r="CI908" s="1" t="s">
        <v>220</v>
      </c>
      <c r="CJ908" s="1" t="s">
        <v>343</v>
      </c>
      <c r="CK908" s="1" t="s">
        <v>757</v>
      </c>
      <c r="CL908" s="1" t="s">
        <v>277</v>
      </c>
      <c r="CM908" s="1" t="s">
        <v>220</v>
      </c>
      <c r="CN908" s="1" t="s">
        <v>343</v>
      </c>
      <c r="CO908" s="1" t="s">
        <v>629</v>
      </c>
      <c r="CP908" s="1" t="s">
        <v>219</v>
      </c>
      <c r="CS908" s="1" t="s">
        <v>1046</v>
      </c>
      <c r="CT908" s="1" t="s">
        <v>277</v>
      </c>
      <c r="CU908" s="1" t="s">
        <v>220</v>
      </c>
      <c r="CX908" s="1" t="s">
        <v>224</v>
      </c>
      <c r="DB908" s="1" t="s">
        <v>224</v>
      </c>
      <c r="DE908" s="1" t="s">
        <v>821</v>
      </c>
      <c r="DF908" s="1" t="s">
        <v>219</v>
      </c>
      <c r="DG908" s="1" t="s">
        <v>342</v>
      </c>
      <c r="DJ908" s="1" t="s">
        <v>224</v>
      </c>
      <c r="DM908" s="1" t="s">
        <v>464</v>
      </c>
      <c r="DR908" s="1" t="s">
        <v>2308</v>
      </c>
      <c r="DS908" s="1" t="s">
        <v>277</v>
      </c>
      <c r="DT908" s="1" t="s">
        <v>220</v>
      </c>
      <c r="DU908" s="1" t="s">
        <v>343</v>
      </c>
      <c r="DW908" s="1" t="s">
        <v>230</v>
      </c>
      <c r="EA908" s="1" t="s">
        <v>230</v>
      </c>
      <c r="EE908" s="1" t="s">
        <v>230</v>
      </c>
      <c r="EI908" s="1" t="s">
        <v>230</v>
      </c>
      <c r="EL908" s="1" t="s">
        <v>491</v>
      </c>
      <c r="EM908" s="1" t="s">
        <v>319</v>
      </c>
      <c r="EN908" s="1" t="s">
        <v>282</v>
      </c>
      <c r="EO908" s="1" t="s">
        <v>234</v>
      </c>
      <c r="EP908" s="1" t="s">
        <v>2172</v>
      </c>
      <c r="EQ908" s="1" t="s">
        <v>10067</v>
      </c>
      <c r="ER908" s="1" t="s">
        <v>383</v>
      </c>
      <c r="ES908" s="1" t="s">
        <v>608</v>
      </c>
      <c r="ET908" s="1" t="s">
        <v>842</v>
      </c>
      <c r="EV908" s="1" t="s">
        <v>240</v>
      </c>
      <c r="EW908" s="1" t="s">
        <v>353</v>
      </c>
      <c r="EZ908" s="1" t="s">
        <v>464</v>
      </c>
      <c r="FA908" s="1" t="s">
        <v>471</v>
      </c>
      <c r="FB908" s="1" t="s">
        <v>289</v>
      </c>
      <c r="FD908" s="1" t="s">
        <v>246</v>
      </c>
      <c r="FE908" s="1" t="s">
        <v>1031</v>
      </c>
      <c r="FF908" s="1" t="s">
        <v>248</v>
      </c>
      <c r="FH908" s="1" t="s">
        <v>550</v>
      </c>
      <c r="FL908" s="1" t="s">
        <v>358</v>
      </c>
      <c r="FM908" s="1" t="s">
        <v>252</v>
      </c>
      <c r="FN908" s="1" t="s">
        <v>213</v>
      </c>
      <c r="FO908" s="1" t="s">
        <v>213</v>
      </c>
      <c r="FQ908" s="1" t="s">
        <v>2142</v>
      </c>
      <c r="FR908" s="1" t="s">
        <v>360</v>
      </c>
      <c r="FS908" s="1" t="s">
        <v>10068</v>
      </c>
      <c r="FT908" s="1" t="s">
        <v>295</v>
      </c>
      <c r="FU908" s="1" t="s">
        <v>204</v>
      </c>
      <c r="FW908" s="1" t="s">
        <v>10069</v>
      </c>
      <c r="FX908" s="1">
        <v>5336</v>
      </c>
      <c r="FY908" s="1" t="s">
        <v>10070</v>
      </c>
      <c r="FZ908" s="1" t="s">
        <v>10071</v>
      </c>
      <c r="GA908" s="1">
        <v>52672</v>
      </c>
      <c r="GB908" s="1" t="s">
        <v>10072</v>
      </c>
      <c r="GD908" s="1" t="s">
        <v>10073</v>
      </c>
      <c r="GE908" s="1" t="s">
        <v>480</v>
      </c>
      <c r="GI908" s="1" t="s">
        <v>213</v>
      </c>
      <c r="GJ908" s="1" t="s">
        <v>260</v>
      </c>
      <c r="GK908" s="1" t="s">
        <v>210</v>
      </c>
      <c r="GL908" s="2">
        <v>42004</v>
      </c>
      <c r="GM908" s="2" t="s">
        <v>10074</v>
      </c>
    </row>
    <row r="909" spans="1:195">
      <c r="A909" s="1">
        <v>87000</v>
      </c>
      <c r="B909" s="1" t="s">
        <v>195</v>
      </c>
      <c r="C909" s="1" t="str">
        <f>"08609186"</f>
        <v>08609186</v>
      </c>
      <c r="D909" s="1" t="s">
        <v>196</v>
      </c>
      <c r="F909" s="1" t="str">
        <f>"527"</f>
        <v>527</v>
      </c>
      <c r="G909" s="2">
        <v>41767</v>
      </c>
      <c r="H909" s="1">
        <v>129900</v>
      </c>
      <c r="I909" s="1">
        <v>89000</v>
      </c>
      <c r="J909" s="1">
        <v>87000</v>
      </c>
      <c r="K909" s="2">
        <v>41767</v>
      </c>
      <c r="L909" s="1">
        <v>229</v>
      </c>
      <c r="M909" s="2">
        <v>41995</v>
      </c>
      <c r="N909" s="1">
        <v>229</v>
      </c>
      <c r="O909" s="2">
        <v>41995</v>
      </c>
      <c r="P909" s="1">
        <v>24945</v>
      </c>
      <c r="Q909" s="1" t="s">
        <v>302</v>
      </c>
      <c r="R909" s="2">
        <v>42033</v>
      </c>
      <c r="S909" s="1">
        <v>607664</v>
      </c>
      <c r="T909" s="1">
        <v>3000</v>
      </c>
      <c r="U909" s="1">
        <v>6700</v>
      </c>
      <c r="V909" s="1" t="s">
        <v>8161</v>
      </c>
      <c r="W909" s="1" t="s">
        <v>425</v>
      </c>
      <c r="X909" s="1">
        <v>306</v>
      </c>
      <c r="Y909" s="1">
        <v>124</v>
      </c>
      <c r="Z909" s="1" t="s">
        <v>249</v>
      </c>
      <c r="AA909" s="1" t="s">
        <v>5962</v>
      </c>
      <c r="AB909" s="1">
        <v>60525</v>
      </c>
      <c r="AD909" s="1" t="s">
        <v>8162</v>
      </c>
      <c r="AE909" s="1" t="s">
        <v>10075</v>
      </c>
      <c r="AF909" s="1">
        <v>1968</v>
      </c>
      <c r="AG909" s="1" t="s">
        <v>213</v>
      </c>
      <c r="AH909" s="1" t="s">
        <v>5964</v>
      </c>
      <c r="AI909" s="1" t="s">
        <v>310</v>
      </c>
      <c r="AJ909" s="1" t="s">
        <v>702</v>
      </c>
      <c r="AL909" s="1">
        <v>5</v>
      </c>
      <c r="AM909" s="1">
        <v>2</v>
      </c>
      <c r="AN909" s="1">
        <v>2</v>
      </c>
      <c r="AO909" s="1">
        <v>0</v>
      </c>
      <c r="AP909" s="1" t="s">
        <v>209</v>
      </c>
      <c r="AR909" s="1" t="s">
        <v>210</v>
      </c>
      <c r="AS909" s="1" t="s">
        <v>204</v>
      </c>
      <c r="AT909" s="1" t="s">
        <v>211</v>
      </c>
      <c r="AU909" s="1">
        <v>1</v>
      </c>
      <c r="AW909" s="1" t="s">
        <v>204</v>
      </c>
      <c r="AX909" s="1" t="s">
        <v>212</v>
      </c>
      <c r="AZ909" s="1">
        <v>2624.44</v>
      </c>
      <c r="BA909" s="1">
        <v>2012</v>
      </c>
      <c r="BE909" s="1">
        <v>1150</v>
      </c>
      <c r="BF909" s="1">
        <v>3</v>
      </c>
      <c r="BG909" s="1">
        <v>30</v>
      </c>
      <c r="BL909" s="1">
        <v>325</v>
      </c>
      <c r="BM909" s="1" t="s">
        <v>413</v>
      </c>
      <c r="BN909" s="1" t="s">
        <v>213</v>
      </c>
      <c r="BO909" s="1" t="s">
        <v>432</v>
      </c>
      <c r="BP909" s="1" t="s">
        <v>204</v>
      </c>
      <c r="BR909" s="1" t="str">
        <f>"18202010411067"</f>
        <v>18202010411067</v>
      </c>
      <c r="BT909" s="1" t="s">
        <v>10076</v>
      </c>
      <c r="BX909" s="1">
        <v>105</v>
      </c>
      <c r="BY909" s="1">
        <v>105</v>
      </c>
      <c r="BZ909" s="1">
        <v>204</v>
      </c>
      <c r="CB909" s="1" t="str">
        <f t="shared" ref="CB909:CC909" si="699">"0"</f>
        <v>0</v>
      </c>
      <c r="CC909" s="1" t="str">
        <f t="shared" si="699"/>
        <v>0</v>
      </c>
      <c r="CD909" s="1">
        <v>13</v>
      </c>
      <c r="CE909" s="1">
        <v>7</v>
      </c>
      <c r="CG909" s="1" t="s">
        <v>931</v>
      </c>
      <c r="CH909" s="1" t="s">
        <v>219</v>
      </c>
      <c r="CK909" s="1" t="s">
        <v>1045</v>
      </c>
      <c r="CL909" s="1" t="s">
        <v>219</v>
      </c>
      <c r="CO909" s="1" t="s">
        <v>821</v>
      </c>
      <c r="CP909" s="1" t="s">
        <v>219</v>
      </c>
      <c r="CS909" s="1" t="s">
        <v>757</v>
      </c>
      <c r="CT909" s="1" t="s">
        <v>219</v>
      </c>
      <c r="CX909" s="1" t="s">
        <v>224</v>
      </c>
      <c r="DB909" s="1" t="s">
        <v>224</v>
      </c>
      <c r="DE909" s="1" t="s">
        <v>4084</v>
      </c>
      <c r="DF909" s="1" t="s">
        <v>219</v>
      </c>
      <c r="DJ909" s="1" t="s">
        <v>224</v>
      </c>
      <c r="DM909" s="1" t="s">
        <v>709</v>
      </c>
      <c r="DR909" s="1" t="s">
        <v>973</v>
      </c>
      <c r="DS909" s="1" t="s">
        <v>219</v>
      </c>
      <c r="DW909" s="1" t="s">
        <v>230</v>
      </c>
      <c r="EA909" s="1" t="s">
        <v>230</v>
      </c>
      <c r="EE909" s="1" t="s">
        <v>230</v>
      </c>
      <c r="EI909" s="1" t="s">
        <v>230</v>
      </c>
      <c r="EL909" s="1" t="s">
        <v>605</v>
      </c>
      <c r="EM909" s="1" t="s">
        <v>319</v>
      </c>
      <c r="EN909" s="1" t="s">
        <v>210</v>
      </c>
      <c r="EO909" s="1" t="s">
        <v>234</v>
      </c>
      <c r="EP909" s="1" t="s">
        <v>10077</v>
      </c>
      <c r="ER909" s="1" t="s">
        <v>210</v>
      </c>
      <c r="EV909" s="1" t="s">
        <v>240</v>
      </c>
      <c r="EW909" s="1" t="s">
        <v>4607</v>
      </c>
      <c r="EZ909" s="1" t="s">
        <v>709</v>
      </c>
      <c r="FD909" s="1" t="s">
        <v>736</v>
      </c>
      <c r="FE909" s="1" t="s">
        <v>247</v>
      </c>
      <c r="FF909" s="1" t="s">
        <v>248</v>
      </c>
      <c r="FH909" s="1" t="s">
        <v>249</v>
      </c>
      <c r="FL909" s="1" t="s">
        <v>292</v>
      </c>
      <c r="FM909" s="1" t="s">
        <v>252</v>
      </c>
      <c r="FN909" s="1" t="s">
        <v>213</v>
      </c>
      <c r="FO909" s="1" t="s">
        <v>213</v>
      </c>
      <c r="FQ909" s="1" t="s">
        <v>689</v>
      </c>
      <c r="FR909" s="1" t="s">
        <v>210</v>
      </c>
      <c r="FS909" s="1" t="s">
        <v>7166</v>
      </c>
      <c r="FT909" s="1" t="s">
        <v>295</v>
      </c>
      <c r="FU909" s="1" t="s">
        <v>204</v>
      </c>
      <c r="FW909" s="1" t="s">
        <v>7300</v>
      </c>
      <c r="FX909" s="1">
        <v>16801</v>
      </c>
      <c r="FY909" s="1" t="s">
        <v>7301</v>
      </c>
      <c r="FZ909" s="1" t="s">
        <v>7302</v>
      </c>
      <c r="GA909" s="1">
        <v>184278</v>
      </c>
      <c r="GE909" s="1" t="s">
        <v>210</v>
      </c>
      <c r="GH909" s="1" t="s">
        <v>421</v>
      </c>
      <c r="GI909" s="1" t="s">
        <v>213</v>
      </c>
      <c r="GJ909" s="1" t="s">
        <v>260</v>
      </c>
      <c r="GK909" s="1" t="s">
        <v>210</v>
      </c>
      <c r="GL909" s="2">
        <v>42033</v>
      </c>
      <c r="GM909" s="1" t="s">
        <v>10078</v>
      </c>
    </row>
    <row r="910" spans="1:195">
      <c r="A910" s="1">
        <v>148830</v>
      </c>
      <c r="B910" s="1" t="s">
        <v>195</v>
      </c>
      <c r="C910" s="1" t="str">
        <f>"08602201"</f>
        <v>08602201</v>
      </c>
      <c r="D910" s="1" t="s">
        <v>196</v>
      </c>
      <c r="F910" s="1" t="str">
        <f>"73"</f>
        <v>73</v>
      </c>
      <c r="G910" s="2">
        <v>41760</v>
      </c>
      <c r="H910" s="1">
        <v>149020</v>
      </c>
      <c r="I910" s="1">
        <v>149020</v>
      </c>
      <c r="J910" s="1">
        <v>148830</v>
      </c>
      <c r="K910" s="2">
        <v>41757</v>
      </c>
      <c r="L910" s="1">
        <v>85</v>
      </c>
      <c r="M910" s="2">
        <v>41841</v>
      </c>
      <c r="N910" s="1">
        <v>85</v>
      </c>
      <c r="O910" s="2">
        <v>41841</v>
      </c>
      <c r="P910" s="1">
        <v>2648</v>
      </c>
      <c r="Q910" s="1" t="s">
        <v>423</v>
      </c>
      <c r="R910" s="2">
        <v>42002</v>
      </c>
      <c r="S910" s="1">
        <v>13380</v>
      </c>
      <c r="U910" s="1">
        <v>765</v>
      </c>
      <c r="V910" s="1" t="s">
        <v>6484</v>
      </c>
      <c r="W910" s="1" t="s">
        <v>504</v>
      </c>
      <c r="Y910" s="1">
        <v>6</v>
      </c>
      <c r="Z910" s="1" t="s">
        <v>370</v>
      </c>
      <c r="AA910" s="1" t="s">
        <v>1259</v>
      </c>
      <c r="AB910" s="1">
        <v>60073</v>
      </c>
      <c r="AD910" s="1" t="s">
        <v>6485</v>
      </c>
      <c r="AE910" s="1" t="s">
        <v>10079</v>
      </c>
      <c r="AF910" s="1">
        <v>2014</v>
      </c>
      <c r="AG910" s="1" t="s">
        <v>204</v>
      </c>
      <c r="AH910" s="1" t="s">
        <v>1262</v>
      </c>
      <c r="AI910" s="1" t="s">
        <v>509</v>
      </c>
      <c r="AJ910" s="1" t="s">
        <v>1016</v>
      </c>
      <c r="AK910" s="1" t="s">
        <v>9888</v>
      </c>
      <c r="AL910" s="1">
        <v>6</v>
      </c>
      <c r="AM910" s="1">
        <v>2</v>
      </c>
      <c r="AN910" s="1">
        <v>2</v>
      </c>
      <c r="AO910" s="1">
        <v>1</v>
      </c>
      <c r="AP910" s="1" t="s">
        <v>209</v>
      </c>
      <c r="AR910" s="1" t="s">
        <v>210</v>
      </c>
      <c r="AS910" s="1" t="s">
        <v>204</v>
      </c>
      <c r="AT910" s="1" t="s">
        <v>211</v>
      </c>
      <c r="AU910" s="1">
        <v>2</v>
      </c>
      <c r="AW910" s="1" t="s">
        <v>204</v>
      </c>
      <c r="AX910" s="1" t="s">
        <v>1265</v>
      </c>
      <c r="AZ910" s="1" t="s">
        <v>751</v>
      </c>
      <c r="BA910" s="1">
        <v>2013</v>
      </c>
      <c r="BE910" s="1">
        <v>1470</v>
      </c>
      <c r="BF910" s="1">
        <v>1</v>
      </c>
      <c r="BG910" s="1">
        <v>0</v>
      </c>
      <c r="BL910" s="1">
        <v>149</v>
      </c>
      <c r="BM910" s="1" t="s">
        <v>204</v>
      </c>
      <c r="BN910" s="1" t="s">
        <v>213</v>
      </c>
      <c r="BO910" s="1">
        <v>999</v>
      </c>
      <c r="BP910" s="1" t="s">
        <v>213</v>
      </c>
      <c r="BQ910" s="2">
        <v>41913</v>
      </c>
      <c r="BR910" s="1" t="str">
        <f>"05362010000000"</f>
        <v>05362010000000</v>
      </c>
      <c r="BT910" s="1" t="s">
        <v>10080</v>
      </c>
      <c r="BU910" s="1" t="s">
        <v>6153</v>
      </c>
      <c r="BV910" s="1" t="s">
        <v>6488</v>
      </c>
      <c r="BW910" s="1" t="s">
        <v>2264</v>
      </c>
      <c r="BX910" s="1">
        <v>38</v>
      </c>
      <c r="BY910" s="1">
        <v>38</v>
      </c>
      <c r="BZ910" s="1">
        <v>124</v>
      </c>
      <c r="CB910" s="1" t="str">
        <f t="shared" ref="CB910:CC910" si="700">""</f>
        <v/>
      </c>
      <c r="CC910" s="1" t="str">
        <f t="shared" si="700"/>
        <v/>
      </c>
      <c r="CG910" s="1" t="s">
        <v>2307</v>
      </c>
      <c r="CH910" s="1" t="s">
        <v>219</v>
      </c>
      <c r="CK910" s="1" t="s">
        <v>757</v>
      </c>
      <c r="CL910" s="1" t="s">
        <v>277</v>
      </c>
      <c r="CO910" s="1" t="s">
        <v>821</v>
      </c>
      <c r="CP910" s="1" t="s">
        <v>219</v>
      </c>
      <c r="CS910" s="1" t="s">
        <v>346</v>
      </c>
      <c r="CT910" s="1" t="s">
        <v>277</v>
      </c>
      <c r="CX910" s="1" t="s">
        <v>224</v>
      </c>
      <c r="DB910" s="1" t="s">
        <v>224</v>
      </c>
      <c r="DE910" s="1" t="s">
        <v>317</v>
      </c>
      <c r="DF910" s="1" t="s">
        <v>219</v>
      </c>
      <c r="DJ910" s="1" t="s">
        <v>224</v>
      </c>
      <c r="DM910" s="1" t="s">
        <v>464</v>
      </c>
      <c r="DR910" s="1" t="s">
        <v>317</v>
      </c>
      <c r="DS910" s="1" t="s">
        <v>277</v>
      </c>
      <c r="DW910" s="1" t="s">
        <v>230</v>
      </c>
      <c r="EA910" s="1" t="s">
        <v>230</v>
      </c>
      <c r="EE910" s="1" t="s">
        <v>230</v>
      </c>
      <c r="EI910" s="1" t="s">
        <v>230</v>
      </c>
      <c r="EL910" s="1" t="s">
        <v>760</v>
      </c>
      <c r="EM910" s="1" t="s">
        <v>319</v>
      </c>
      <c r="EN910" s="1" t="s">
        <v>210</v>
      </c>
      <c r="EO910" s="1" t="s">
        <v>234</v>
      </c>
      <c r="EP910" s="1" t="s">
        <v>936</v>
      </c>
      <c r="ER910" s="1" t="s">
        <v>383</v>
      </c>
      <c r="ES910" s="1" t="s">
        <v>608</v>
      </c>
      <c r="EU910" s="1" t="s">
        <v>610</v>
      </c>
      <c r="EV910" s="1" t="s">
        <v>352</v>
      </c>
      <c r="EW910" s="1" t="s">
        <v>937</v>
      </c>
      <c r="EZ910" s="1" t="s">
        <v>464</v>
      </c>
      <c r="FD910" s="1" t="s">
        <v>495</v>
      </c>
      <c r="FE910" s="1" t="s">
        <v>765</v>
      </c>
      <c r="FF910" s="1" t="s">
        <v>248</v>
      </c>
      <c r="FH910" s="1" t="s">
        <v>550</v>
      </c>
      <c r="FL910" s="1" t="s">
        <v>358</v>
      </c>
      <c r="FM910" s="1" t="s">
        <v>252</v>
      </c>
      <c r="FN910" s="1" t="s">
        <v>213</v>
      </c>
      <c r="FO910" s="1" t="s">
        <v>213</v>
      </c>
      <c r="FQ910" s="1" t="s">
        <v>10081</v>
      </c>
      <c r="FR910" s="1" t="s">
        <v>210</v>
      </c>
      <c r="FS910" s="1" t="s">
        <v>10082</v>
      </c>
      <c r="FT910" s="1" t="s">
        <v>6491</v>
      </c>
      <c r="FU910" s="1" t="s">
        <v>204</v>
      </c>
      <c r="FW910" s="1" t="s">
        <v>2590</v>
      </c>
      <c r="FX910" s="1">
        <v>2644</v>
      </c>
      <c r="FY910" s="1" t="s">
        <v>2591</v>
      </c>
      <c r="FZ910" s="1" t="s">
        <v>6492</v>
      </c>
      <c r="GA910" s="1">
        <v>18736</v>
      </c>
      <c r="GB910" s="1" t="s">
        <v>6493</v>
      </c>
      <c r="GE910" s="1" t="s">
        <v>1256</v>
      </c>
      <c r="GH910" s="1" t="s">
        <v>421</v>
      </c>
      <c r="GI910" s="1" t="s">
        <v>213</v>
      </c>
      <c r="GJ910" s="1" t="s">
        <v>260</v>
      </c>
      <c r="GK910" s="1" t="s">
        <v>261</v>
      </c>
      <c r="GL910" s="2">
        <v>42010</v>
      </c>
      <c r="GM910" s="1" t="s">
        <v>10083</v>
      </c>
    </row>
    <row r="911" spans="1:195">
      <c r="A911" s="1">
        <v>196000</v>
      </c>
      <c r="B911" s="1" t="s">
        <v>195</v>
      </c>
      <c r="C911" s="1" t="str">
        <f>"08612866"</f>
        <v>08612866</v>
      </c>
      <c r="D911" s="1" t="s">
        <v>196</v>
      </c>
      <c r="F911" s="1" t="str">
        <f>"559"</f>
        <v>559</v>
      </c>
      <c r="G911" s="2">
        <v>41771</v>
      </c>
      <c r="H911" s="1">
        <v>209900</v>
      </c>
      <c r="I911" s="1">
        <v>200000</v>
      </c>
      <c r="J911" s="1">
        <v>196000</v>
      </c>
      <c r="K911" s="2">
        <v>41771</v>
      </c>
      <c r="L911" s="1">
        <v>158</v>
      </c>
      <c r="M911" s="2">
        <v>41928</v>
      </c>
      <c r="N911" s="1">
        <v>158</v>
      </c>
      <c r="O911" s="2">
        <v>41928</v>
      </c>
      <c r="P911" s="1">
        <v>20001</v>
      </c>
      <c r="Q911" s="1" t="s">
        <v>197</v>
      </c>
      <c r="R911" s="2">
        <v>41971</v>
      </c>
      <c r="S911" s="1">
        <v>242650</v>
      </c>
      <c r="T911" s="1">
        <v>3000</v>
      </c>
      <c r="U911" s="1">
        <v>911</v>
      </c>
      <c r="V911" s="1" t="s">
        <v>1435</v>
      </c>
      <c r="W911" s="1" t="s">
        <v>425</v>
      </c>
      <c r="Y911" s="1">
        <v>2</v>
      </c>
      <c r="Z911" s="1" t="s">
        <v>370</v>
      </c>
      <c r="AA911" s="1" t="s">
        <v>1950</v>
      </c>
      <c r="AB911" s="1">
        <v>60559</v>
      </c>
      <c r="AD911" s="1" t="s">
        <v>10084</v>
      </c>
      <c r="AE911" s="1" t="s">
        <v>10085</v>
      </c>
      <c r="AF911" s="1">
        <v>1989</v>
      </c>
      <c r="AG911" s="1" t="s">
        <v>204</v>
      </c>
      <c r="AH911" s="1" t="s">
        <v>1952</v>
      </c>
      <c r="AI911" s="1" t="s">
        <v>206</v>
      </c>
      <c r="AJ911" s="1" t="s">
        <v>903</v>
      </c>
      <c r="AL911" s="1">
        <v>5</v>
      </c>
      <c r="AM911" s="1">
        <v>2</v>
      </c>
      <c r="AN911" s="1">
        <v>2</v>
      </c>
      <c r="AO911" s="1">
        <v>1</v>
      </c>
      <c r="AP911" s="1" t="s">
        <v>209</v>
      </c>
      <c r="AR911" s="1" t="s">
        <v>210</v>
      </c>
      <c r="AS911" s="1" t="s">
        <v>204</v>
      </c>
      <c r="AT911" s="1" t="s">
        <v>211</v>
      </c>
      <c r="AU911" s="1">
        <v>1</v>
      </c>
      <c r="AW911" s="1" t="s">
        <v>213</v>
      </c>
      <c r="AX911" s="1" t="s">
        <v>10086</v>
      </c>
      <c r="AZ911" s="1">
        <v>4315</v>
      </c>
      <c r="BA911" s="1">
        <v>2013</v>
      </c>
      <c r="BB911" s="1" t="s">
        <v>210</v>
      </c>
      <c r="BE911" s="1">
        <v>1632</v>
      </c>
      <c r="BF911" s="1">
        <v>1</v>
      </c>
      <c r="BG911" s="1">
        <v>30</v>
      </c>
      <c r="BL911" s="1">
        <v>140</v>
      </c>
      <c r="BM911" s="1" t="s">
        <v>204</v>
      </c>
      <c r="BN911" s="1" t="s">
        <v>213</v>
      </c>
      <c r="BO911" s="1">
        <v>60</v>
      </c>
      <c r="BP911" s="1" t="s">
        <v>204</v>
      </c>
      <c r="BR911" s="1" t="str">
        <f>"0916410011"</f>
        <v>0916410011</v>
      </c>
      <c r="BT911" s="1" t="s">
        <v>10087</v>
      </c>
      <c r="BU911" s="1" t="s">
        <v>10088</v>
      </c>
      <c r="BV911" s="1" t="s">
        <v>2981</v>
      </c>
      <c r="BW911" s="1" t="s">
        <v>2762</v>
      </c>
      <c r="BX911" s="1">
        <v>60</v>
      </c>
      <c r="BY911" s="1">
        <v>60</v>
      </c>
      <c r="BZ911" s="1">
        <v>99</v>
      </c>
      <c r="CB911" s="1" t="str">
        <f t="shared" ref="CB911:CC911" si="701">""</f>
        <v/>
      </c>
      <c r="CC911" s="1" t="str">
        <f t="shared" si="701"/>
        <v/>
      </c>
      <c r="CG911" s="1" t="s">
        <v>221</v>
      </c>
      <c r="CH911" s="1" t="s">
        <v>219</v>
      </c>
      <c r="CI911" s="1" t="s">
        <v>220</v>
      </c>
      <c r="CJ911" s="1" t="s">
        <v>210</v>
      </c>
      <c r="CK911" s="1" t="s">
        <v>581</v>
      </c>
      <c r="CL911" s="1" t="s">
        <v>277</v>
      </c>
      <c r="CM911" s="1" t="s">
        <v>220</v>
      </c>
      <c r="CN911" s="1" t="s">
        <v>210</v>
      </c>
      <c r="CO911" s="1" t="s">
        <v>2138</v>
      </c>
      <c r="CP911" s="1" t="s">
        <v>219</v>
      </c>
      <c r="CQ911" s="1" t="s">
        <v>220</v>
      </c>
      <c r="CR911" s="1" t="s">
        <v>210</v>
      </c>
      <c r="CS911" s="1" t="s">
        <v>1046</v>
      </c>
      <c r="CT911" s="1" t="s">
        <v>277</v>
      </c>
      <c r="CU911" s="1" t="s">
        <v>220</v>
      </c>
      <c r="CV911" s="1" t="s">
        <v>210</v>
      </c>
      <c r="CX911" s="1" t="s">
        <v>224</v>
      </c>
      <c r="DB911" s="1" t="s">
        <v>224</v>
      </c>
      <c r="DE911" s="1" t="s">
        <v>379</v>
      </c>
      <c r="DF911" s="1" t="s">
        <v>219</v>
      </c>
      <c r="DG911" s="1" t="s">
        <v>342</v>
      </c>
      <c r="DJ911" s="1" t="s">
        <v>224</v>
      </c>
      <c r="DS911" s="1" t="s">
        <v>230</v>
      </c>
      <c r="DW911" s="1" t="s">
        <v>230</v>
      </c>
      <c r="EA911" s="1" t="s">
        <v>230</v>
      </c>
      <c r="EE911" s="1" t="s">
        <v>230</v>
      </c>
      <c r="EI911" s="1" t="s">
        <v>230</v>
      </c>
      <c r="EL911" s="1" t="s">
        <v>382</v>
      </c>
      <c r="EM911" s="1" t="s">
        <v>232</v>
      </c>
      <c r="EN911" s="1" t="s">
        <v>282</v>
      </c>
      <c r="EO911" s="1" t="s">
        <v>1020</v>
      </c>
      <c r="EP911" s="1" t="s">
        <v>2331</v>
      </c>
      <c r="EQ911" s="1" t="s">
        <v>492</v>
      </c>
      <c r="ER911" s="1" t="s">
        <v>210</v>
      </c>
      <c r="ES911" s="1" t="s">
        <v>1552</v>
      </c>
      <c r="ET911" s="1" t="s">
        <v>1201</v>
      </c>
      <c r="EU911" s="1" t="s">
        <v>1314</v>
      </c>
      <c r="EV911" s="1" t="s">
        <v>240</v>
      </c>
      <c r="EW911" s="1" t="s">
        <v>887</v>
      </c>
      <c r="EY911" s="1" t="s">
        <v>790</v>
      </c>
      <c r="EZ911" s="1" t="s">
        <v>287</v>
      </c>
      <c r="FA911" s="1" t="s">
        <v>471</v>
      </c>
      <c r="FD911" s="1" t="s">
        <v>495</v>
      </c>
      <c r="FE911" s="1" t="s">
        <v>247</v>
      </c>
      <c r="FF911" s="1" t="s">
        <v>248</v>
      </c>
      <c r="FH911" s="1" t="s">
        <v>550</v>
      </c>
      <c r="FI911" s="1" t="s">
        <v>357</v>
      </c>
      <c r="FL911" s="1" t="s">
        <v>358</v>
      </c>
      <c r="FM911" s="1" t="s">
        <v>252</v>
      </c>
      <c r="FN911" s="1" t="s">
        <v>213</v>
      </c>
      <c r="FO911" s="1" t="s">
        <v>213</v>
      </c>
      <c r="FQ911" s="1" t="s">
        <v>7920</v>
      </c>
      <c r="FR911" s="1" t="s">
        <v>210</v>
      </c>
      <c r="FS911" s="1" t="s">
        <v>10089</v>
      </c>
      <c r="FT911" s="1" t="s">
        <v>8384</v>
      </c>
      <c r="FU911" s="1" t="s">
        <v>204</v>
      </c>
      <c r="FW911" s="1" t="s">
        <v>585</v>
      </c>
      <c r="FX911" s="1">
        <v>20001</v>
      </c>
      <c r="FY911" s="1" t="s">
        <v>5002</v>
      </c>
      <c r="FZ911" s="1" t="s">
        <v>10090</v>
      </c>
      <c r="GA911" s="1">
        <v>221151</v>
      </c>
      <c r="GB911" s="1" t="s">
        <v>10091</v>
      </c>
      <c r="GE911" s="1" t="s">
        <v>658</v>
      </c>
      <c r="GI911" s="1" t="s">
        <v>213</v>
      </c>
      <c r="GJ911" s="1" t="s">
        <v>260</v>
      </c>
      <c r="GK911" s="1" t="s">
        <v>210</v>
      </c>
      <c r="GL911" s="2">
        <v>41974</v>
      </c>
      <c r="GM911" s="1" t="s">
        <v>10092</v>
      </c>
    </row>
    <row r="912" spans="1:195">
      <c r="A912" s="1">
        <v>92000</v>
      </c>
      <c r="B912" s="1" t="s">
        <v>195</v>
      </c>
      <c r="C912" s="1" t="str">
        <f>"08601225"</f>
        <v>08601225</v>
      </c>
      <c r="D912" s="1" t="s">
        <v>196</v>
      </c>
      <c r="F912" s="1" t="str">
        <f>"61"</f>
        <v>61</v>
      </c>
      <c r="G912" s="2">
        <v>41760</v>
      </c>
      <c r="H912" s="1">
        <v>90000</v>
      </c>
      <c r="I912" s="1">
        <v>92000</v>
      </c>
      <c r="J912" s="1">
        <v>92000</v>
      </c>
      <c r="K912" s="2">
        <v>41760</v>
      </c>
      <c r="L912" s="1">
        <v>195</v>
      </c>
      <c r="M912" s="2">
        <v>41954</v>
      </c>
      <c r="N912" s="1">
        <v>195</v>
      </c>
      <c r="O912" s="2">
        <v>41954</v>
      </c>
      <c r="P912" s="1">
        <v>5293</v>
      </c>
      <c r="Q912" s="1" t="s">
        <v>197</v>
      </c>
      <c r="R912" s="2">
        <v>42034</v>
      </c>
      <c r="S912" s="1">
        <v>55542</v>
      </c>
      <c r="U912" s="1">
        <v>304</v>
      </c>
      <c r="V912" s="1" t="s">
        <v>8654</v>
      </c>
      <c r="W912" s="1" t="s">
        <v>3006</v>
      </c>
      <c r="Y912" s="1">
        <v>4</v>
      </c>
      <c r="Z912" s="1" t="s">
        <v>249</v>
      </c>
      <c r="AA912" s="1" t="s">
        <v>505</v>
      </c>
      <c r="AB912" s="1">
        <v>60061</v>
      </c>
      <c r="AD912" s="1" t="s">
        <v>8655</v>
      </c>
      <c r="AE912" s="1" t="s">
        <v>10093</v>
      </c>
      <c r="AF912" s="1">
        <v>1977</v>
      </c>
      <c r="AG912" s="1" t="s">
        <v>213</v>
      </c>
      <c r="AH912" s="1" t="s">
        <v>508</v>
      </c>
      <c r="AI912" s="1" t="s">
        <v>509</v>
      </c>
      <c r="AJ912" s="1" t="s">
        <v>510</v>
      </c>
      <c r="AL912" s="1">
        <v>5</v>
      </c>
      <c r="AM912" s="1">
        <v>2</v>
      </c>
      <c r="AN912" s="1">
        <v>1</v>
      </c>
      <c r="AO912" s="1">
        <v>1</v>
      </c>
      <c r="AP912" s="1" t="s">
        <v>210</v>
      </c>
      <c r="AR912" s="1" t="s">
        <v>210</v>
      </c>
      <c r="AS912" s="1" t="s">
        <v>204</v>
      </c>
      <c r="AT912" s="1" t="s">
        <v>211</v>
      </c>
      <c r="AU912" s="1">
        <v>1</v>
      </c>
      <c r="AW912" s="1" t="s">
        <v>204</v>
      </c>
      <c r="AX912" s="1" t="s">
        <v>270</v>
      </c>
      <c r="AZ912" s="1">
        <v>2455.94</v>
      </c>
      <c r="BA912" s="1">
        <v>2013</v>
      </c>
      <c r="BB912" s="1" t="s">
        <v>405</v>
      </c>
      <c r="BE912" s="1">
        <v>1012</v>
      </c>
      <c r="BF912" s="1">
        <v>1</v>
      </c>
      <c r="BG912" s="1">
        <v>0</v>
      </c>
      <c r="BL912" s="1">
        <v>180</v>
      </c>
      <c r="BM912" s="1" t="s">
        <v>204</v>
      </c>
      <c r="BN912" s="1" t="s">
        <v>213</v>
      </c>
      <c r="BO912" s="1">
        <v>40</v>
      </c>
      <c r="BP912" s="1" t="s">
        <v>204</v>
      </c>
      <c r="BR912" s="1" t="str">
        <f>"15054090380000"</f>
        <v>15054090380000</v>
      </c>
      <c r="BT912" s="1" t="s">
        <v>10094</v>
      </c>
      <c r="BW912" s="1" t="s">
        <v>514</v>
      </c>
      <c r="BX912" s="1">
        <v>73</v>
      </c>
      <c r="BY912" s="1">
        <v>73</v>
      </c>
      <c r="BZ912" s="1">
        <v>128</v>
      </c>
      <c r="CB912" s="1" t="str">
        <f t="shared" ref="CB912:CC912" si="702">""</f>
        <v/>
      </c>
      <c r="CC912" s="1" t="str">
        <f t="shared" si="702"/>
        <v/>
      </c>
      <c r="CG912" s="1" t="s">
        <v>628</v>
      </c>
      <c r="CH912" s="1" t="s">
        <v>219</v>
      </c>
      <c r="CI912" s="1" t="s">
        <v>229</v>
      </c>
      <c r="CK912" s="1" t="s">
        <v>687</v>
      </c>
      <c r="CL912" s="1" t="s">
        <v>277</v>
      </c>
      <c r="CM912" s="1" t="s">
        <v>220</v>
      </c>
      <c r="CO912" s="1" t="s">
        <v>4148</v>
      </c>
      <c r="CP912" s="1" t="s">
        <v>219</v>
      </c>
      <c r="CQ912" s="1" t="s">
        <v>342</v>
      </c>
      <c r="CR912" s="1" t="s">
        <v>210</v>
      </c>
      <c r="CS912" s="1" t="s">
        <v>630</v>
      </c>
      <c r="CT912" s="1" t="s">
        <v>277</v>
      </c>
      <c r="CU912" s="1" t="s">
        <v>220</v>
      </c>
      <c r="CX912" s="1" t="s">
        <v>224</v>
      </c>
      <c r="DB912" s="1" t="s">
        <v>224</v>
      </c>
      <c r="DE912" s="1" t="s">
        <v>3284</v>
      </c>
      <c r="DF912" s="1" t="s">
        <v>219</v>
      </c>
      <c r="DG912" s="1" t="s">
        <v>342</v>
      </c>
      <c r="DH912" s="1" t="s">
        <v>210</v>
      </c>
      <c r="DJ912" s="1" t="s">
        <v>224</v>
      </c>
      <c r="DS912" s="1" t="s">
        <v>230</v>
      </c>
      <c r="DW912" s="1" t="s">
        <v>230</v>
      </c>
      <c r="EA912" s="1" t="s">
        <v>230</v>
      </c>
      <c r="EE912" s="1" t="s">
        <v>230</v>
      </c>
      <c r="EI912" s="1" t="s">
        <v>230</v>
      </c>
      <c r="EL912" s="1" t="s">
        <v>231</v>
      </c>
      <c r="EM912" s="1" t="s">
        <v>232</v>
      </c>
      <c r="EN912" s="1" t="s">
        <v>282</v>
      </c>
      <c r="EO912" s="1" t="s">
        <v>234</v>
      </c>
      <c r="EP912" s="1" t="s">
        <v>10095</v>
      </c>
      <c r="EQ912" s="1" t="s">
        <v>468</v>
      </c>
      <c r="ER912" s="1" t="s">
        <v>210</v>
      </c>
      <c r="EU912" s="1" t="s">
        <v>5503</v>
      </c>
      <c r="EV912" s="1" t="s">
        <v>352</v>
      </c>
      <c r="EW912" s="1" t="s">
        <v>517</v>
      </c>
      <c r="EY912" s="1" t="s">
        <v>242</v>
      </c>
      <c r="EZ912" s="1" t="s">
        <v>287</v>
      </c>
      <c r="FD912" s="1" t="s">
        <v>5377</v>
      </c>
      <c r="FE912" s="1" t="s">
        <v>10096</v>
      </c>
      <c r="FF912" s="1" t="s">
        <v>248</v>
      </c>
      <c r="FH912" s="1" t="s">
        <v>550</v>
      </c>
      <c r="FI912" s="1" t="s">
        <v>473</v>
      </c>
      <c r="FL912" s="1" t="s">
        <v>358</v>
      </c>
      <c r="FM912" s="1" t="s">
        <v>252</v>
      </c>
      <c r="FN912" s="1" t="s">
        <v>213</v>
      </c>
      <c r="FO912" s="1" t="s">
        <v>213</v>
      </c>
      <c r="FQ912" s="1" t="s">
        <v>10097</v>
      </c>
      <c r="FR912" s="1" t="s">
        <v>360</v>
      </c>
      <c r="FS912" s="1" t="s">
        <v>10098</v>
      </c>
      <c r="FT912" s="1" t="s">
        <v>2589</v>
      </c>
      <c r="FU912" s="1" t="s">
        <v>204</v>
      </c>
      <c r="FW912" s="1" t="s">
        <v>10099</v>
      </c>
      <c r="FX912" s="1">
        <v>1586</v>
      </c>
      <c r="FY912" s="1" t="s">
        <v>10100</v>
      </c>
      <c r="FZ912" s="1" t="s">
        <v>10101</v>
      </c>
      <c r="GA912" s="1">
        <v>27630</v>
      </c>
      <c r="GB912" s="1" t="s">
        <v>10102</v>
      </c>
      <c r="GE912" s="1" t="s">
        <v>480</v>
      </c>
      <c r="GI912" s="1" t="s">
        <v>204</v>
      </c>
      <c r="GJ912" s="1" t="s">
        <v>260</v>
      </c>
      <c r="GK912" s="1" t="s">
        <v>210</v>
      </c>
      <c r="GL912" s="2">
        <v>42037</v>
      </c>
      <c r="GM912" s="1" t="s">
        <v>10103</v>
      </c>
    </row>
    <row r="913" spans="1:195">
      <c r="A913" s="1">
        <v>56500</v>
      </c>
      <c r="B913" s="1" t="s">
        <v>195</v>
      </c>
      <c r="C913" s="1" t="str">
        <f>"08602991"</f>
        <v>08602991</v>
      </c>
      <c r="D913" s="1" t="s">
        <v>196</v>
      </c>
      <c r="F913" s="1" t="str">
        <f>"8043"</f>
        <v>8043</v>
      </c>
      <c r="G913" s="2">
        <v>41761</v>
      </c>
      <c r="H913" s="1">
        <v>64000</v>
      </c>
      <c r="I913" s="1">
        <v>64000</v>
      </c>
      <c r="J913" s="1">
        <v>56500</v>
      </c>
      <c r="K913" s="2">
        <v>41760</v>
      </c>
      <c r="L913" s="1">
        <v>185</v>
      </c>
      <c r="M913" s="2">
        <v>41944</v>
      </c>
      <c r="N913" s="1">
        <v>185</v>
      </c>
      <c r="O913" s="2">
        <v>41944</v>
      </c>
      <c r="P913" s="1">
        <v>85175</v>
      </c>
      <c r="Q913" s="1" t="s">
        <v>197</v>
      </c>
      <c r="R913" s="2">
        <v>41988</v>
      </c>
      <c r="S913" s="1">
        <v>183223</v>
      </c>
      <c r="U913" s="1">
        <v>7321</v>
      </c>
      <c r="V913" s="1" t="s">
        <v>9062</v>
      </c>
      <c r="W913" s="1" t="s">
        <v>264</v>
      </c>
      <c r="X913" s="1" t="s">
        <v>10104</v>
      </c>
      <c r="Y913" s="1">
        <v>64</v>
      </c>
      <c r="Z913" s="1" t="s">
        <v>2811</v>
      </c>
      <c r="AA913" s="1" t="s">
        <v>400</v>
      </c>
      <c r="AB913" s="1">
        <v>60649</v>
      </c>
      <c r="AE913" s="1" t="s">
        <v>10105</v>
      </c>
      <c r="AF913" s="1">
        <v>1928</v>
      </c>
      <c r="AG913" s="1" t="s">
        <v>213</v>
      </c>
      <c r="AH913" s="1" t="s">
        <v>403</v>
      </c>
      <c r="AI913" s="1" t="s">
        <v>310</v>
      </c>
      <c r="AJ913" s="1" t="s">
        <v>562</v>
      </c>
      <c r="AL913" s="1">
        <v>5</v>
      </c>
      <c r="AM913" s="1">
        <v>2</v>
      </c>
      <c r="AN913" s="1">
        <v>1</v>
      </c>
      <c r="AO913" s="1">
        <v>1</v>
      </c>
      <c r="AP913" s="1" t="s">
        <v>209</v>
      </c>
      <c r="AQ913" s="1">
        <v>1</v>
      </c>
      <c r="AR913" s="1" t="s">
        <v>210</v>
      </c>
      <c r="AS913" s="1" t="s">
        <v>204</v>
      </c>
      <c r="AT913" s="1" t="s">
        <v>271</v>
      </c>
      <c r="AV913" s="1">
        <v>1</v>
      </c>
      <c r="AW913" s="1" t="s">
        <v>213</v>
      </c>
      <c r="AX913" s="1" t="s">
        <v>1813</v>
      </c>
      <c r="AZ913" s="1">
        <v>918</v>
      </c>
      <c r="BA913" s="1">
        <v>2012</v>
      </c>
      <c r="BC913" s="1">
        <v>918</v>
      </c>
      <c r="BD913" s="1">
        <v>2012</v>
      </c>
      <c r="BE913" s="1">
        <v>1607</v>
      </c>
      <c r="BF913" s="1">
        <v>6</v>
      </c>
      <c r="BG913" s="1">
        <v>30</v>
      </c>
      <c r="BL913" s="1">
        <v>697</v>
      </c>
      <c r="BM913" s="1" t="s">
        <v>204</v>
      </c>
      <c r="BN913" s="1" t="s">
        <v>213</v>
      </c>
      <c r="BO913" s="1">
        <v>100</v>
      </c>
      <c r="BP913" s="1" t="s">
        <v>204</v>
      </c>
      <c r="BR913" s="1" t="str">
        <f>"21301140050000"</f>
        <v>21301140050000</v>
      </c>
      <c r="BT913" s="1" t="s">
        <v>10106</v>
      </c>
      <c r="BX913" s="1">
        <v>299</v>
      </c>
      <c r="BY913" s="1">
        <v>299</v>
      </c>
      <c r="BZ913" s="1">
        <v>299</v>
      </c>
      <c r="CB913" s="1" t="str">
        <f>"0"</f>
        <v>0</v>
      </c>
      <c r="CC913" s="1" t="str">
        <f>"2700"</f>
        <v>2700</v>
      </c>
      <c r="CD913" s="1">
        <v>0</v>
      </c>
      <c r="CE913" s="1">
        <v>7321</v>
      </c>
      <c r="CG913" s="1" t="s">
        <v>4690</v>
      </c>
      <c r="CH913" s="1" t="s">
        <v>219</v>
      </c>
      <c r="CI913" s="1" t="s">
        <v>438</v>
      </c>
      <c r="CK913" s="1" t="s">
        <v>4690</v>
      </c>
      <c r="CL913" s="1" t="s">
        <v>219</v>
      </c>
      <c r="CM913" s="1" t="s">
        <v>438</v>
      </c>
      <c r="CO913" s="1" t="s">
        <v>757</v>
      </c>
      <c r="CP913" s="1" t="s">
        <v>219</v>
      </c>
      <c r="CQ913" s="1" t="s">
        <v>438</v>
      </c>
      <c r="CS913" s="1" t="s">
        <v>3318</v>
      </c>
      <c r="CT913" s="1" t="s">
        <v>219</v>
      </c>
      <c r="CU913" s="1" t="s">
        <v>342</v>
      </c>
      <c r="CX913" s="1" t="s">
        <v>224</v>
      </c>
      <c r="DB913" s="1" t="s">
        <v>224</v>
      </c>
      <c r="DE913" s="1" t="s">
        <v>1360</v>
      </c>
      <c r="DF913" s="1" t="s">
        <v>219</v>
      </c>
      <c r="DJ913" s="1" t="s">
        <v>224</v>
      </c>
      <c r="DM913" s="1" t="s">
        <v>709</v>
      </c>
      <c r="DR913" s="1" t="s">
        <v>4829</v>
      </c>
      <c r="DS913" s="1" t="s">
        <v>219</v>
      </c>
      <c r="DT913" s="1" t="s">
        <v>226</v>
      </c>
      <c r="DW913" s="1" t="s">
        <v>230</v>
      </c>
      <c r="EA913" s="1" t="s">
        <v>230</v>
      </c>
      <c r="EE913" s="1" t="s">
        <v>230</v>
      </c>
      <c r="EI913" s="1" t="s">
        <v>230</v>
      </c>
      <c r="EL913" s="1" t="s">
        <v>2154</v>
      </c>
      <c r="EM913" s="1" t="s">
        <v>232</v>
      </c>
      <c r="EN913" s="1" t="s">
        <v>731</v>
      </c>
      <c r="EO913" s="1" t="s">
        <v>234</v>
      </c>
      <c r="EP913" s="1" t="s">
        <v>10107</v>
      </c>
      <c r="EQ913" s="1" t="s">
        <v>2994</v>
      </c>
      <c r="ER913" s="1" t="s">
        <v>210</v>
      </c>
      <c r="EW913" s="1" t="s">
        <v>10108</v>
      </c>
      <c r="EZ913" s="1" t="s">
        <v>709</v>
      </c>
      <c r="FB913" s="1" t="s">
        <v>4027</v>
      </c>
      <c r="FC913" s="1" t="s">
        <v>1739</v>
      </c>
      <c r="FD913" s="1" t="s">
        <v>246</v>
      </c>
      <c r="FE913" s="1" t="s">
        <v>247</v>
      </c>
      <c r="FF913" s="1" t="s">
        <v>248</v>
      </c>
      <c r="FG913" s="1" t="s">
        <v>292</v>
      </c>
      <c r="FH913" s="1" t="s">
        <v>10109</v>
      </c>
      <c r="FJ913" s="1" t="s">
        <v>197</v>
      </c>
      <c r="FK913" s="1" t="s">
        <v>1825</v>
      </c>
      <c r="FL913" s="1" t="s">
        <v>6830</v>
      </c>
      <c r="FM913" s="1" t="s">
        <v>252</v>
      </c>
      <c r="FN913" s="1" t="s">
        <v>213</v>
      </c>
      <c r="FO913" s="1" t="s">
        <v>213</v>
      </c>
      <c r="FQ913" s="1" t="s">
        <v>913</v>
      </c>
      <c r="FR913" s="1" t="s">
        <v>210</v>
      </c>
      <c r="FS913" s="1" t="s">
        <v>10110</v>
      </c>
      <c r="FT913" s="1" t="s">
        <v>295</v>
      </c>
      <c r="FU913" s="1" t="s">
        <v>204</v>
      </c>
      <c r="FW913" s="1" t="s">
        <v>795</v>
      </c>
      <c r="FX913" s="1">
        <v>85175</v>
      </c>
      <c r="FY913" s="1" t="s">
        <v>796</v>
      </c>
      <c r="FZ913" s="1" t="s">
        <v>10111</v>
      </c>
      <c r="GA913" s="1">
        <v>184164</v>
      </c>
      <c r="GD913" s="1" t="s">
        <v>10112</v>
      </c>
      <c r="GE913" s="1" t="s">
        <v>658</v>
      </c>
      <c r="GH913" s="1" t="s">
        <v>421</v>
      </c>
      <c r="GI913" s="1" t="s">
        <v>213</v>
      </c>
      <c r="GJ913" s="1" t="s">
        <v>260</v>
      </c>
      <c r="GK913" s="1" t="s">
        <v>210</v>
      </c>
      <c r="GL913" s="2">
        <v>41989</v>
      </c>
      <c r="GM913" s="1" t="s">
        <v>10113</v>
      </c>
    </row>
    <row r="914" spans="1:195">
      <c r="A914" s="1">
        <v>88000</v>
      </c>
      <c r="B914" s="1" t="s">
        <v>195</v>
      </c>
      <c r="C914" s="1" t="str">
        <f>"08601946"</f>
        <v>08601946</v>
      </c>
      <c r="D914" s="1" t="s">
        <v>196</v>
      </c>
      <c r="F914" s="1" t="str">
        <f>"148"</f>
        <v>148</v>
      </c>
      <c r="G914" s="2">
        <v>41760</v>
      </c>
      <c r="H914" s="1">
        <v>127900</v>
      </c>
      <c r="I914" s="1">
        <v>99000</v>
      </c>
      <c r="J914" s="1">
        <v>88000</v>
      </c>
      <c r="K914" s="2">
        <v>41759</v>
      </c>
      <c r="L914" s="1">
        <v>184</v>
      </c>
      <c r="M914" s="2">
        <v>41942</v>
      </c>
      <c r="N914" s="1">
        <v>184</v>
      </c>
      <c r="O914" s="2">
        <v>41942</v>
      </c>
      <c r="P914" s="1">
        <v>24321</v>
      </c>
      <c r="Q914" s="1" t="s">
        <v>197</v>
      </c>
      <c r="R914" s="2">
        <v>41983</v>
      </c>
      <c r="S914" s="1">
        <v>241936</v>
      </c>
      <c r="U914" s="1" t="s">
        <v>10114</v>
      </c>
      <c r="V914" s="1" t="s">
        <v>3421</v>
      </c>
      <c r="W914" s="1" t="s">
        <v>264</v>
      </c>
      <c r="X914" s="1">
        <v>103</v>
      </c>
      <c r="Y914" s="1">
        <v>45</v>
      </c>
      <c r="Z914" s="1" t="s">
        <v>249</v>
      </c>
      <c r="AA914" s="1" t="s">
        <v>1927</v>
      </c>
      <c r="AB914" s="1">
        <v>60148</v>
      </c>
      <c r="AD914" s="1" t="s">
        <v>3422</v>
      </c>
      <c r="AE914" s="1" t="s">
        <v>10115</v>
      </c>
      <c r="AF914" s="1">
        <v>1967</v>
      </c>
      <c r="AG914" s="1" t="s">
        <v>213</v>
      </c>
      <c r="AH914" s="1" t="s">
        <v>1930</v>
      </c>
      <c r="AI914" s="1" t="s">
        <v>206</v>
      </c>
      <c r="AJ914" s="1" t="s">
        <v>1608</v>
      </c>
      <c r="AL914" s="1">
        <v>5</v>
      </c>
      <c r="AM914" s="1">
        <v>2</v>
      </c>
      <c r="AN914" s="1">
        <v>1</v>
      </c>
      <c r="AO914" s="1">
        <v>1</v>
      </c>
      <c r="AP914" s="1" t="s">
        <v>1234</v>
      </c>
      <c r="AR914" s="1" t="s">
        <v>210</v>
      </c>
      <c r="AS914" s="1" t="s">
        <v>204</v>
      </c>
      <c r="AT914" s="1" t="s">
        <v>271</v>
      </c>
      <c r="AV914" s="1">
        <v>1</v>
      </c>
      <c r="AW914" s="1" t="s">
        <v>204</v>
      </c>
      <c r="AX914" s="1" t="s">
        <v>212</v>
      </c>
      <c r="AZ914" s="1">
        <v>1508</v>
      </c>
      <c r="BA914" s="1">
        <v>2013</v>
      </c>
      <c r="BE914" s="1">
        <v>1056</v>
      </c>
      <c r="BF914" s="1">
        <v>1</v>
      </c>
      <c r="BG914" s="1">
        <v>30</v>
      </c>
      <c r="BL914" s="1">
        <v>345</v>
      </c>
      <c r="BM914" s="1" t="s">
        <v>204</v>
      </c>
      <c r="BN914" s="1" t="s">
        <v>213</v>
      </c>
      <c r="BO914" s="1">
        <v>15</v>
      </c>
      <c r="BP914" s="1" t="s">
        <v>204</v>
      </c>
      <c r="BR914" s="1" t="str">
        <f>"0619203141"</f>
        <v>0619203141</v>
      </c>
      <c r="BT914" s="1" t="s">
        <v>10116</v>
      </c>
      <c r="BU914" s="1" t="s">
        <v>1933</v>
      </c>
      <c r="BV914" s="1" t="s">
        <v>1934</v>
      </c>
      <c r="BW914" s="1" t="s">
        <v>1935</v>
      </c>
      <c r="BX914" s="1">
        <v>44</v>
      </c>
      <c r="BY914" s="1">
        <v>44</v>
      </c>
      <c r="BZ914" s="1">
        <v>87</v>
      </c>
      <c r="CB914" s="1" t="str">
        <f t="shared" ref="CB914:CC914" si="703">""</f>
        <v/>
      </c>
      <c r="CC914" s="1" t="str">
        <f t="shared" si="703"/>
        <v/>
      </c>
      <c r="CG914" s="1" t="s">
        <v>10117</v>
      </c>
      <c r="CH914" s="1" t="s">
        <v>219</v>
      </c>
      <c r="CI914" s="1" t="s">
        <v>220</v>
      </c>
      <c r="CJ914" s="1" t="s">
        <v>463</v>
      </c>
      <c r="CK914" s="1" t="s">
        <v>539</v>
      </c>
      <c r="CL914" s="1" t="s">
        <v>219</v>
      </c>
      <c r="CM914" s="1" t="s">
        <v>220</v>
      </c>
      <c r="CN914" s="1" t="s">
        <v>343</v>
      </c>
      <c r="CO914" s="1" t="s">
        <v>629</v>
      </c>
      <c r="CP914" s="1" t="s">
        <v>219</v>
      </c>
      <c r="CQ914" s="1" t="s">
        <v>220</v>
      </c>
      <c r="CR914" s="1" t="s">
        <v>463</v>
      </c>
      <c r="CS914" s="1" t="s">
        <v>379</v>
      </c>
      <c r="CT914" s="1" t="s">
        <v>219</v>
      </c>
      <c r="CU914" s="1" t="s">
        <v>220</v>
      </c>
      <c r="CV914" s="1" t="s">
        <v>343</v>
      </c>
      <c r="CX914" s="1" t="s">
        <v>224</v>
      </c>
      <c r="DB914" s="1" t="s">
        <v>224</v>
      </c>
      <c r="DE914" s="1" t="s">
        <v>317</v>
      </c>
      <c r="DF914" s="1" t="s">
        <v>219</v>
      </c>
      <c r="DG914" s="1" t="s">
        <v>229</v>
      </c>
      <c r="DH914" s="1" t="s">
        <v>210</v>
      </c>
      <c r="DJ914" s="1" t="s">
        <v>224</v>
      </c>
      <c r="DS914" s="1" t="s">
        <v>230</v>
      </c>
      <c r="DW914" s="1" t="s">
        <v>230</v>
      </c>
      <c r="EA914" s="1" t="s">
        <v>230</v>
      </c>
      <c r="EE914" s="1" t="s">
        <v>230</v>
      </c>
      <c r="EI914" s="1" t="s">
        <v>230</v>
      </c>
      <c r="EL914" s="1" t="s">
        <v>605</v>
      </c>
      <c r="EM914" s="1" t="s">
        <v>232</v>
      </c>
      <c r="EN914" s="1" t="s">
        <v>233</v>
      </c>
      <c r="EO914" s="1" t="s">
        <v>234</v>
      </c>
      <c r="EP914" s="1" t="s">
        <v>10118</v>
      </c>
      <c r="ER914" s="1" t="s">
        <v>210</v>
      </c>
      <c r="EW914" s="1" t="s">
        <v>10119</v>
      </c>
      <c r="EY914" s="1" t="s">
        <v>242</v>
      </c>
      <c r="EZ914" s="1" t="s">
        <v>287</v>
      </c>
      <c r="FB914" s="1" t="s">
        <v>289</v>
      </c>
      <c r="FC914" s="1" t="s">
        <v>735</v>
      </c>
      <c r="FD914" s="1" t="s">
        <v>246</v>
      </c>
      <c r="FE914" s="1" t="s">
        <v>549</v>
      </c>
      <c r="FF914" s="1" t="s">
        <v>248</v>
      </c>
      <c r="FH914" s="1" t="s">
        <v>249</v>
      </c>
      <c r="FL914" s="1" t="s">
        <v>3483</v>
      </c>
      <c r="FM914" s="1" t="s">
        <v>252</v>
      </c>
      <c r="FN914" s="1" t="s">
        <v>213</v>
      </c>
      <c r="FO914" s="1" t="s">
        <v>213</v>
      </c>
      <c r="FQ914" s="1" t="s">
        <v>615</v>
      </c>
      <c r="FR914" s="1" t="s">
        <v>210</v>
      </c>
      <c r="FS914" s="1" t="s">
        <v>10120</v>
      </c>
      <c r="FT914" s="1" t="s">
        <v>362</v>
      </c>
      <c r="FU914" s="1" t="s">
        <v>204</v>
      </c>
      <c r="FW914" s="1" t="s">
        <v>915</v>
      </c>
      <c r="FX914" s="1">
        <v>22076</v>
      </c>
      <c r="FY914" s="1" t="s">
        <v>916</v>
      </c>
      <c r="FZ914" s="1" t="s">
        <v>10121</v>
      </c>
      <c r="GA914" s="1">
        <v>236296</v>
      </c>
      <c r="GB914" s="1" t="s">
        <v>10122</v>
      </c>
      <c r="GE914" s="1" t="s">
        <v>658</v>
      </c>
      <c r="GI914" s="1" t="s">
        <v>213</v>
      </c>
      <c r="GJ914" s="1" t="s">
        <v>260</v>
      </c>
      <c r="GK914" s="1" t="s">
        <v>210</v>
      </c>
      <c r="GL914" s="2">
        <v>41983</v>
      </c>
      <c r="GM914" s="1" t="s">
        <v>10123</v>
      </c>
    </row>
    <row r="915" spans="1:195">
      <c r="A915" s="1">
        <v>153900</v>
      </c>
      <c r="B915" s="1" t="s">
        <v>195</v>
      </c>
      <c r="C915" s="1" t="str">
        <f>"08603198"</f>
        <v>08603198</v>
      </c>
      <c r="D915" s="1" t="s">
        <v>196</v>
      </c>
      <c r="F915" s="1" t="str">
        <f>"123"</f>
        <v>123</v>
      </c>
      <c r="G915" s="2">
        <v>41761</v>
      </c>
      <c r="H915" s="1">
        <v>154900</v>
      </c>
      <c r="I915" s="1">
        <v>153900</v>
      </c>
      <c r="J915" s="1">
        <v>153900</v>
      </c>
      <c r="K915" s="2">
        <v>41761</v>
      </c>
      <c r="L915" s="1">
        <v>324</v>
      </c>
      <c r="M915" s="2">
        <v>42084</v>
      </c>
      <c r="N915" s="1">
        <v>324</v>
      </c>
      <c r="O915" s="2">
        <v>42084</v>
      </c>
      <c r="P915" s="1">
        <v>30</v>
      </c>
      <c r="Q915" s="1" t="s">
        <v>302</v>
      </c>
      <c r="R915" s="2">
        <v>42115</v>
      </c>
      <c r="S915" s="1">
        <v>1034</v>
      </c>
      <c r="U915" s="1">
        <v>874</v>
      </c>
      <c r="V915" s="1" t="s">
        <v>10124</v>
      </c>
      <c r="W915" s="1" t="s">
        <v>449</v>
      </c>
      <c r="Y915" s="1">
        <v>5</v>
      </c>
      <c r="Z915" s="1" t="s">
        <v>370</v>
      </c>
      <c r="AA915" s="1" t="s">
        <v>1173</v>
      </c>
      <c r="AB915" s="1">
        <v>60123</v>
      </c>
      <c r="AE915" s="1" t="s">
        <v>10125</v>
      </c>
      <c r="AF915" s="1">
        <v>1993</v>
      </c>
      <c r="AG915" s="1" t="s">
        <v>204</v>
      </c>
      <c r="AH915" s="1" t="s">
        <v>1175</v>
      </c>
      <c r="AI915" s="1" t="s">
        <v>665</v>
      </c>
      <c r="AJ915" s="1" t="s">
        <v>1175</v>
      </c>
      <c r="AL915" s="1">
        <v>7</v>
      </c>
      <c r="AM915" s="1">
        <v>2</v>
      </c>
      <c r="AN915" s="1">
        <v>2</v>
      </c>
      <c r="AO915" s="1">
        <v>0</v>
      </c>
      <c r="AP915" s="1" t="s">
        <v>209</v>
      </c>
      <c r="AQ915" s="1">
        <v>1</v>
      </c>
      <c r="AR915" s="1" t="s">
        <v>4448</v>
      </c>
      <c r="AS915" s="1" t="s">
        <v>213</v>
      </c>
      <c r="AT915" s="1" t="s">
        <v>211</v>
      </c>
      <c r="AU915" s="1">
        <v>2</v>
      </c>
      <c r="AW915" s="1" t="s">
        <v>204</v>
      </c>
      <c r="AX915" s="1" t="s">
        <v>212</v>
      </c>
      <c r="AZ915" s="1">
        <v>3966</v>
      </c>
      <c r="BA915" s="1">
        <v>2013</v>
      </c>
      <c r="BB915" s="1" t="s">
        <v>405</v>
      </c>
      <c r="BE915" s="1">
        <v>1752</v>
      </c>
      <c r="BF915" s="1">
        <v>1</v>
      </c>
      <c r="BG915" s="1">
        <v>30</v>
      </c>
      <c r="BL915" s="1">
        <v>200</v>
      </c>
      <c r="BM915" s="1" t="s">
        <v>204</v>
      </c>
      <c r="BN915" s="1" t="s">
        <v>213</v>
      </c>
      <c r="BO915" s="1" t="s">
        <v>432</v>
      </c>
      <c r="BP915" s="1" t="s">
        <v>204</v>
      </c>
      <c r="BR915" s="1" t="str">
        <f>"0609127061"</f>
        <v>0609127061</v>
      </c>
      <c r="BT915" s="1" t="s">
        <v>10126</v>
      </c>
      <c r="BX915" s="1">
        <v>46</v>
      </c>
      <c r="BY915" s="1">
        <v>46</v>
      </c>
      <c r="BZ915" s="1">
        <v>46</v>
      </c>
      <c r="CB915" s="1" t="str">
        <f t="shared" ref="CB915:CC915" si="704">""</f>
        <v/>
      </c>
      <c r="CC915" s="1" t="str">
        <f t="shared" si="704"/>
        <v/>
      </c>
      <c r="CG915" s="1" t="s">
        <v>377</v>
      </c>
      <c r="CH915" s="1" t="s">
        <v>219</v>
      </c>
      <c r="CI915" s="1" t="s">
        <v>220</v>
      </c>
      <c r="CK915" s="1" t="s">
        <v>581</v>
      </c>
      <c r="CL915" s="1" t="s">
        <v>277</v>
      </c>
      <c r="CM915" s="1" t="s">
        <v>220</v>
      </c>
      <c r="CO915" s="1" t="s">
        <v>409</v>
      </c>
      <c r="CP915" s="1" t="s">
        <v>219</v>
      </c>
      <c r="CQ915" s="1" t="s">
        <v>438</v>
      </c>
      <c r="CS915" s="1" t="s">
        <v>379</v>
      </c>
      <c r="CT915" s="1" t="s">
        <v>822</v>
      </c>
      <c r="CU915" s="1" t="s">
        <v>220</v>
      </c>
      <c r="CX915" s="1" t="s">
        <v>224</v>
      </c>
      <c r="DB915" s="1" t="s">
        <v>224</v>
      </c>
      <c r="DE915" s="1" t="s">
        <v>318</v>
      </c>
      <c r="DF915" s="1" t="s">
        <v>219</v>
      </c>
      <c r="DG915" s="1" t="s">
        <v>438</v>
      </c>
      <c r="DI915" s="1" t="s">
        <v>908</v>
      </c>
      <c r="DJ915" s="1" t="s">
        <v>822</v>
      </c>
      <c r="DK915" s="1" t="s">
        <v>220</v>
      </c>
      <c r="DM915" s="1" t="s">
        <v>464</v>
      </c>
      <c r="DR915" s="1" t="s">
        <v>225</v>
      </c>
      <c r="DS915" s="1" t="s">
        <v>277</v>
      </c>
      <c r="DW915" s="1" t="s">
        <v>230</v>
      </c>
      <c r="EA915" s="1" t="s">
        <v>230</v>
      </c>
      <c r="EE915" s="1" t="s">
        <v>230</v>
      </c>
      <c r="EI915" s="1" t="s">
        <v>230</v>
      </c>
      <c r="EL915" s="1" t="s">
        <v>382</v>
      </c>
      <c r="EM915" s="1" t="s">
        <v>319</v>
      </c>
      <c r="EN915" s="1" t="s">
        <v>282</v>
      </c>
      <c r="EO915" s="1" t="s">
        <v>234</v>
      </c>
      <c r="EQ915" s="1" t="s">
        <v>236</v>
      </c>
      <c r="ER915" s="1" t="s">
        <v>544</v>
      </c>
      <c r="ET915" s="1" t="s">
        <v>866</v>
      </c>
      <c r="EW915" s="1" t="s">
        <v>353</v>
      </c>
      <c r="EY915" s="1" t="s">
        <v>242</v>
      </c>
      <c r="EZ915" s="1" t="s">
        <v>464</v>
      </c>
      <c r="FB915" s="1" t="s">
        <v>289</v>
      </c>
      <c r="FD915" s="1" t="s">
        <v>495</v>
      </c>
      <c r="FE915" s="1" t="s">
        <v>549</v>
      </c>
      <c r="FF915" s="1" t="s">
        <v>248</v>
      </c>
      <c r="FG915" s="1" t="s">
        <v>2406</v>
      </c>
      <c r="FH915" s="1" t="s">
        <v>2175</v>
      </c>
      <c r="FI915" s="1" t="s">
        <v>473</v>
      </c>
      <c r="FJ915" s="1" t="s">
        <v>518</v>
      </c>
      <c r="FL915" s="1" t="s">
        <v>358</v>
      </c>
      <c r="FM915" s="1" t="s">
        <v>252</v>
      </c>
      <c r="FN915" s="1" t="s">
        <v>213</v>
      </c>
      <c r="FO915" s="1" t="s">
        <v>213</v>
      </c>
      <c r="FQ915" s="1" t="s">
        <v>1473</v>
      </c>
      <c r="FR915" s="1" t="s">
        <v>210</v>
      </c>
      <c r="FS915" s="1" t="s">
        <v>10127</v>
      </c>
      <c r="FT915" s="1" t="s">
        <v>295</v>
      </c>
      <c r="FU915" s="1" t="s">
        <v>204</v>
      </c>
      <c r="FW915" s="1" t="s">
        <v>1097</v>
      </c>
      <c r="FX915" s="1">
        <v>7661</v>
      </c>
      <c r="FY915" s="1" t="s">
        <v>7072</v>
      </c>
      <c r="FZ915" s="1" t="s">
        <v>10128</v>
      </c>
      <c r="GA915" s="1">
        <v>676</v>
      </c>
      <c r="GE915" s="1" t="s">
        <v>480</v>
      </c>
      <c r="GI915" s="1" t="s">
        <v>213</v>
      </c>
      <c r="GJ915" s="1" t="s">
        <v>260</v>
      </c>
      <c r="GK915" s="1" t="s">
        <v>261</v>
      </c>
      <c r="GL915" s="2">
        <v>42115</v>
      </c>
      <c r="GM915" s="1" t="s">
        <v>10129</v>
      </c>
    </row>
    <row r="916" spans="1:195">
      <c r="A916" s="1">
        <v>128500</v>
      </c>
      <c r="B916" s="1" t="s">
        <v>195</v>
      </c>
      <c r="C916" s="1" t="str">
        <f>"08640276"</f>
        <v>08640276</v>
      </c>
      <c r="D916" s="1" t="s">
        <v>196</v>
      </c>
      <c r="F916" s="1" t="str">
        <f>"104"</f>
        <v>104</v>
      </c>
      <c r="G916" s="2">
        <v>41800</v>
      </c>
      <c r="H916" s="1">
        <v>169900</v>
      </c>
      <c r="I916" s="1">
        <v>133500</v>
      </c>
      <c r="J916" s="1">
        <v>128500</v>
      </c>
      <c r="K916" s="2">
        <v>41800</v>
      </c>
      <c r="L916" s="1">
        <v>142</v>
      </c>
      <c r="M916" s="2">
        <v>41941</v>
      </c>
      <c r="N916" s="1">
        <v>142</v>
      </c>
      <c r="O916" s="2">
        <v>41941</v>
      </c>
      <c r="P916" s="1">
        <v>21198</v>
      </c>
      <c r="Q916" s="1" t="s">
        <v>197</v>
      </c>
      <c r="R916" s="2">
        <v>42094</v>
      </c>
      <c r="S916" s="1">
        <v>233200</v>
      </c>
      <c r="U916" s="1">
        <v>576</v>
      </c>
      <c r="V916" s="1" t="s">
        <v>7641</v>
      </c>
      <c r="W916" s="1" t="s">
        <v>4046</v>
      </c>
      <c r="X916" s="1">
        <v>576</v>
      </c>
      <c r="Y916" s="1">
        <v>4</v>
      </c>
      <c r="Z916" s="1" t="s">
        <v>200</v>
      </c>
      <c r="AA916" s="1" t="s">
        <v>371</v>
      </c>
      <c r="AB916" s="1">
        <v>60103</v>
      </c>
      <c r="AD916" s="1" t="s">
        <v>7642</v>
      </c>
      <c r="AE916" s="1" t="s">
        <v>10130</v>
      </c>
      <c r="AF916" s="1">
        <v>2001</v>
      </c>
      <c r="AG916" s="1" t="s">
        <v>204</v>
      </c>
      <c r="AH916" s="1" t="s">
        <v>373</v>
      </c>
      <c r="AI916" s="1" t="s">
        <v>310</v>
      </c>
      <c r="AJ916" s="1" t="s">
        <v>374</v>
      </c>
      <c r="AK916" s="1" t="s">
        <v>7044</v>
      </c>
      <c r="AL916" s="1">
        <v>6</v>
      </c>
      <c r="AM916" s="1">
        <v>2</v>
      </c>
      <c r="AN916" s="1">
        <v>1</v>
      </c>
      <c r="AO916" s="1">
        <v>1</v>
      </c>
      <c r="AP916" s="1" t="s">
        <v>667</v>
      </c>
      <c r="AR916" s="1" t="s">
        <v>210</v>
      </c>
      <c r="AS916" s="1" t="s">
        <v>204</v>
      </c>
      <c r="AT916" s="1" t="s">
        <v>211</v>
      </c>
      <c r="AU916" s="1">
        <v>2</v>
      </c>
      <c r="AW916" s="1" t="s">
        <v>204</v>
      </c>
      <c r="AX916" s="1" t="s">
        <v>212</v>
      </c>
      <c r="AZ916" s="1">
        <v>5132.5600000000004</v>
      </c>
      <c r="BA916" s="1">
        <v>2012</v>
      </c>
      <c r="BB916" s="1" t="s">
        <v>405</v>
      </c>
      <c r="BE916" s="1">
        <v>1475</v>
      </c>
      <c r="BF916" s="1">
        <v>1</v>
      </c>
      <c r="BG916" s="1">
        <v>0</v>
      </c>
      <c r="BL916" s="1">
        <v>147</v>
      </c>
      <c r="BM916" s="1" t="s">
        <v>204</v>
      </c>
      <c r="BN916" s="1" t="s">
        <v>213</v>
      </c>
      <c r="BO916" s="1">
        <v>50</v>
      </c>
      <c r="BP916" s="1" t="s">
        <v>204</v>
      </c>
      <c r="BR916" s="1" t="str">
        <f>"06284020191030"</f>
        <v>06284020191030</v>
      </c>
      <c r="BT916" s="1" t="s">
        <v>10131</v>
      </c>
      <c r="BU916" s="1" t="s">
        <v>6711</v>
      </c>
      <c r="BV916" s="1" t="s">
        <v>1467</v>
      </c>
      <c r="BW916" s="1" t="s">
        <v>1217</v>
      </c>
      <c r="BX916" s="1">
        <v>46</v>
      </c>
      <c r="BY916" s="1">
        <v>46</v>
      </c>
      <c r="BZ916" s="1">
        <v>46</v>
      </c>
      <c r="CB916" s="1" t="str">
        <f>"9"</f>
        <v>9</v>
      </c>
      <c r="CC916" s="1" t="str">
        <f>"0"</f>
        <v>0</v>
      </c>
      <c r="CD916" s="1">
        <v>30</v>
      </c>
      <c r="CE916" s="1">
        <v>0</v>
      </c>
      <c r="CG916" s="1" t="s">
        <v>437</v>
      </c>
      <c r="CH916" s="1" t="s">
        <v>219</v>
      </c>
      <c r="CI916" s="1" t="s">
        <v>229</v>
      </c>
      <c r="CK916" s="1" t="s">
        <v>437</v>
      </c>
      <c r="CL916" s="1" t="s">
        <v>277</v>
      </c>
      <c r="CM916" s="1" t="s">
        <v>220</v>
      </c>
      <c r="CO916" s="1" t="s">
        <v>346</v>
      </c>
      <c r="CP916" s="1" t="s">
        <v>219</v>
      </c>
      <c r="CQ916" s="1" t="s">
        <v>229</v>
      </c>
      <c r="CS916" s="1" t="s">
        <v>1046</v>
      </c>
      <c r="CT916" s="1" t="s">
        <v>277</v>
      </c>
      <c r="CU916" s="1" t="s">
        <v>220</v>
      </c>
      <c r="CX916" s="1" t="s">
        <v>224</v>
      </c>
      <c r="DB916" s="1" t="s">
        <v>224</v>
      </c>
      <c r="DE916" s="1" t="s">
        <v>837</v>
      </c>
      <c r="DF916" s="1" t="s">
        <v>219</v>
      </c>
      <c r="DG916" s="1" t="s">
        <v>226</v>
      </c>
      <c r="DH916" s="1" t="s">
        <v>210</v>
      </c>
      <c r="DJ916" s="1" t="s">
        <v>224</v>
      </c>
      <c r="DM916" s="1" t="s">
        <v>464</v>
      </c>
      <c r="DR916" s="1" t="s">
        <v>516</v>
      </c>
      <c r="DS916" s="1" t="s">
        <v>277</v>
      </c>
      <c r="DT916" s="1" t="s">
        <v>220</v>
      </c>
      <c r="DW916" s="1" t="s">
        <v>230</v>
      </c>
      <c r="EA916" s="1" t="s">
        <v>230</v>
      </c>
      <c r="EE916" s="1" t="s">
        <v>230</v>
      </c>
      <c r="EI916" s="1" t="s">
        <v>230</v>
      </c>
      <c r="EL916" s="1" t="s">
        <v>466</v>
      </c>
      <c r="EM916" s="1" t="s">
        <v>319</v>
      </c>
      <c r="EN916" s="1" t="s">
        <v>282</v>
      </c>
      <c r="EO916" s="1" t="s">
        <v>234</v>
      </c>
      <c r="EP916" s="1" t="s">
        <v>1268</v>
      </c>
      <c r="EQ916" s="1" t="s">
        <v>236</v>
      </c>
      <c r="ER916" s="1" t="s">
        <v>383</v>
      </c>
      <c r="ET916" s="1" t="s">
        <v>4177</v>
      </c>
      <c r="EU916" s="1" t="s">
        <v>610</v>
      </c>
      <c r="EV916" s="1" t="s">
        <v>240</v>
      </c>
      <c r="EW916" s="1" t="s">
        <v>887</v>
      </c>
      <c r="EY916" s="1" t="s">
        <v>1315</v>
      </c>
      <c r="EZ916" s="1" t="s">
        <v>464</v>
      </c>
      <c r="FA916" s="1" t="s">
        <v>6896</v>
      </c>
      <c r="FB916" s="1" t="s">
        <v>289</v>
      </c>
      <c r="FD916" s="1" t="s">
        <v>246</v>
      </c>
      <c r="FE916" s="1" t="s">
        <v>472</v>
      </c>
      <c r="FF916" s="1" t="s">
        <v>1113</v>
      </c>
      <c r="FH916" s="1" t="s">
        <v>550</v>
      </c>
      <c r="FI916" s="1" t="s">
        <v>473</v>
      </c>
      <c r="FJ916" s="1" t="s">
        <v>518</v>
      </c>
      <c r="FL916" s="1" t="s">
        <v>358</v>
      </c>
      <c r="FM916" s="1" t="s">
        <v>252</v>
      </c>
      <c r="FN916" s="1" t="s">
        <v>213</v>
      </c>
      <c r="FO916" s="1" t="s">
        <v>213</v>
      </c>
      <c r="FQ916" s="1" t="s">
        <v>1758</v>
      </c>
      <c r="FR916" s="1" t="s">
        <v>360</v>
      </c>
      <c r="FS916" s="1" t="s">
        <v>10132</v>
      </c>
      <c r="FT916" s="1" t="s">
        <v>362</v>
      </c>
      <c r="FU916" s="1" t="s">
        <v>204</v>
      </c>
      <c r="FW916" s="1" t="s">
        <v>2235</v>
      </c>
      <c r="FX916" s="1">
        <v>24321</v>
      </c>
      <c r="FY916" s="1" t="s">
        <v>2236</v>
      </c>
      <c r="FZ916" s="1" t="s">
        <v>10133</v>
      </c>
      <c r="GA916" s="1">
        <v>245704</v>
      </c>
      <c r="GB916" s="1" t="s">
        <v>10134</v>
      </c>
      <c r="GE916" s="1" t="s">
        <v>1764</v>
      </c>
      <c r="GI916" s="1" t="s">
        <v>213</v>
      </c>
      <c r="GJ916" s="1" t="s">
        <v>260</v>
      </c>
      <c r="GK916" s="1" t="s">
        <v>210</v>
      </c>
      <c r="GL916" s="2">
        <v>42094</v>
      </c>
      <c r="GM916" s="1" t="s">
        <v>10135</v>
      </c>
    </row>
    <row r="917" spans="1:195">
      <c r="A917" s="1">
        <v>168440</v>
      </c>
      <c r="B917" s="1" t="s">
        <v>195</v>
      </c>
      <c r="C917" s="1" t="str">
        <f>"08601669"</f>
        <v>08601669</v>
      </c>
      <c r="D917" s="1" t="s">
        <v>196</v>
      </c>
      <c r="F917" s="1" t="str">
        <f>"73"</f>
        <v>73</v>
      </c>
      <c r="G917" s="2">
        <v>41760</v>
      </c>
      <c r="H917" s="1">
        <v>149020</v>
      </c>
      <c r="I917" s="1">
        <v>149860</v>
      </c>
      <c r="J917" s="1">
        <v>168440</v>
      </c>
      <c r="K917" s="2">
        <v>41757</v>
      </c>
      <c r="L917" s="1">
        <v>86</v>
      </c>
      <c r="M917" s="2">
        <v>41842</v>
      </c>
      <c r="N917" s="1">
        <v>86</v>
      </c>
      <c r="O917" s="2">
        <v>41842</v>
      </c>
      <c r="P917" s="1" t="s">
        <v>1039</v>
      </c>
      <c r="Q917" s="1" t="s">
        <v>197</v>
      </c>
      <c r="R917" s="2">
        <v>42074</v>
      </c>
      <c r="S917" s="1">
        <v>99999</v>
      </c>
      <c r="U917" s="1">
        <v>767</v>
      </c>
      <c r="V917" s="1" t="s">
        <v>6484</v>
      </c>
      <c r="W917" s="1" t="s">
        <v>504</v>
      </c>
      <c r="Y917" s="1">
        <v>6</v>
      </c>
      <c r="Z917" s="1" t="s">
        <v>370</v>
      </c>
      <c r="AA917" s="1" t="s">
        <v>1259</v>
      </c>
      <c r="AB917" s="1">
        <v>60073</v>
      </c>
      <c r="AD917" s="1" t="s">
        <v>6485</v>
      </c>
      <c r="AE917" s="1" t="s">
        <v>10079</v>
      </c>
      <c r="AF917" s="1">
        <v>2014</v>
      </c>
      <c r="AG917" s="1" t="s">
        <v>204</v>
      </c>
      <c r="AH917" s="1" t="s">
        <v>1262</v>
      </c>
      <c r="AI917" s="1" t="s">
        <v>509</v>
      </c>
      <c r="AJ917" s="1" t="s">
        <v>1016</v>
      </c>
      <c r="AK917" s="1" t="s">
        <v>9888</v>
      </c>
      <c r="AL917" s="1">
        <v>6</v>
      </c>
      <c r="AM917" s="1">
        <v>2</v>
      </c>
      <c r="AN917" s="1">
        <v>2</v>
      </c>
      <c r="AO917" s="1">
        <v>1</v>
      </c>
      <c r="AP917" s="1" t="s">
        <v>209</v>
      </c>
      <c r="AR917" s="1" t="s">
        <v>210</v>
      </c>
      <c r="AS917" s="1" t="s">
        <v>204</v>
      </c>
      <c r="AT917" s="1" t="s">
        <v>211</v>
      </c>
      <c r="AU917" s="1">
        <v>2</v>
      </c>
      <c r="AW917" s="1" t="s">
        <v>204</v>
      </c>
      <c r="AX917" s="1" t="s">
        <v>1265</v>
      </c>
      <c r="AZ917" s="1" t="s">
        <v>751</v>
      </c>
      <c r="BA917" s="1">
        <v>2013</v>
      </c>
      <c r="BE917" s="1">
        <v>1470</v>
      </c>
      <c r="BF917" s="1">
        <v>1</v>
      </c>
      <c r="BG917" s="1">
        <v>0</v>
      </c>
      <c r="BL917" s="1">
        <v>149</v>
      </c>
      <c r="BM917" s="1" t="s">
        <v>204</v>
      </c>
      <c r="BN917" s="1" t="s">
        <v>213</v>
      </c>
      <c r="BO917" s="1">
        <v>999</v>
      </c>
      <c r="BP917" s="1" t="s">
        <v>213</v>
      </c>
      <c r="BQ917" s="2">
        <v>41913</v>
      </c>
      <c r="BR917" s="1" t="str">
        <f>"05362010000000"</f>
        <v>05362010000000</v>
      </c>
      <c r="BT917" s="1" t="s">
        <v>10136</v>
      </c>
      <c r="BU917" s="1" t="s">
        <v>6153</v>
      </c>
      <c r="BV917" s="1" t="s">
        <v>6488</v>
      </c>
      <c r="BW917" s="1" t="s">
        <v>2264</v>
      </c>
      <c r="BX917" s="1">
        <v>38</v>
      </c>
      <c r="BY917" s="1">
        <v>38</v>
      </c>
      <c r="BZ917" s="1">
        <v>124</v>
      </c>
      <c r="CB917" s="1" t="str">
        <f t="shared" ref="CB917:CC917" si="705">""</f>
        <v/>
      </c>
      <c r="CC917" s="1" t="str">
        <f t="shared" si="705"/>
        <v/>
      </c>
      <c r="CG917" s="1" t="s">
        <v>2307</v>
      </c>
      <c r="CH917" s="1" t="s">
        <v>219</v>
      </c>
      <c r="CK917" s="1" t="s">
        <v>757</v>
      </c>
      <c r="CL917" s="1" t="s">
        <v>277</v>
      </c>
      <c r="CO917" s="1" t="s">
        <v>821</v>
      </c>
      <c r="CP917" s="1" t="s">
        <v>219</v>
      </c>
      <c r="CS917" s="1" t="s">
        <v>346</v>
      </c>
      <c r="CT917" s="1" t="s">
        <v>277</v>
      </c>
      <c r="CX917" s="1" t="s">
        <v>224</v>
      </c>
      <c r="DB917" s="1" t="s">
        <v>224</v>
      </c>
      <c r="DE917" s="1" t="s">
        <v>317</v>
      </c>
      <c r="DF917" s="1" t="s">
        <v>219</v>
      </c>
      <c r="DJ917" s="1" t="s">
        <v>224</v>
      </c>
      <c r="DM917" s="1" t="s">
        <v>464</v>
      </c>
      <c r="DR917" s="1" t="s">
        <v>317</v>
      </c>
      <c r="DS917" s="1" t="s">
        <v>277</v>
      </c>
      <c r="DW917" s="1" t="s">
        <v>230</v>
      </c>
      <c r="EA917" s="1" t="s">
        <v>230</v>
      </c>
      <c r="EE917" s="1" t="s">
        <v>230</v>
      </c>
      <c r="EI917" s="1" t="s">
        <v>230</v>
      </c>
      <c r="EL917" s="1" t="s">
        <v>760</v>
      </c>
      <c r="EM917" s="1" t="s">
        <v>319</v>
      </c>
      <c r="EN917" s="1" t="s">
        <v>210</v>
      </c>
      <c r="EO917" s="1" t="s">
        <v>234</v>
      </c>
      <c r="EP917" s="1" t="s">
        <v>936</v>
      </c>
      <c r="ER917" s="1" t="s">
        <v>383</v>
      </c>
      <c r="ES917" s="1" t="s">
        <v>608</v>
      </c>
      <c r="EU917" s="1" t="s">
        <v>610</v>
      </c>
      <c r="EV917" s="1" t="s">
        <v>352</v>
      </c>
      <c r="EW917" s="1" t="s">
        <v>937</v>
      </c>
      <c r="EZ917" s="1" t="s">
        <v>464</v>
      </c>
      <c r="FD917" s="1" t="s">
        <v>495</v>
      </c>
      <c r="FE917" s="1" t="s">
        <v>765</v>
      </c>
      <c r="FF917" s="1" t="s">
        <v>248</v>
      </c>
      <c r="FH917" s="1" t="s">
        <v>550</v>
      </c>
      <c r="FL917" s="1" t="s">
        <v>358</v>
      </c>
      <c r="FM917" s="1" t="s">
        <v>252</v>
      </c>
      <c r="FN917" s="1" t="s">
        <v>213</v>
      </c>
      <c r="FO917" s="1" t="s">
        <v>213</v>
      </c>
      <c r="FQ917" s="1" t="s">
        <v>10081</v>
      </c>
      <c r="FR917" s="1" t="s">
        <v>210</v>
      </c>
      <c r="FS917" s="1" t="s">
        <v>10082</v>
      </c>
      <c r="FT917" s="1" t="s">
        <v>6491</v>
      </c>
      <c r="FU917" s="1" t="s">
        <v>204</v>
      </c>
      <c r="FW917" s="1" t="s">
        <v>2590</v>
      </c>
      <c r="FX917" s="1">
        <v>2644</v>
      </c>
      <c r="FY917" s="1" t="s">
        <v>2591</v>
      </c>
      <c r="FZ917" s="1" t="s">
        <v>6492</v>
      </c>
      <c r="GA917" s="1">
        <v>18736</v>
      </c>
      <c r="GB917" s="1" t="s">
        <v>6493</v>
      </c>
      <c r="GE917" s="1" t="s">
        <v>1256</v>
      </c>
      <c r="GH917" s="1" t="s">
        <v>421</v>
      </c>
      <c r="GI917" s="1" t="s">
        <v>213</v>
      </c>
      <c r="GJ917" s="1" t="s">
        <v>260</v>
      </c>
      <c r="GK917" s="1" t="s">
        <v>261</v>
      </c>
      <c r="GL917" s="2">
        <v>42074</v>
      </c>
      <c r="GM917" s="1" t="s">
        <v>10083</v>
      </c>
    </row>
    <row r="918" spans="1:195">
      <c r="A918" s="1">
        <v>180000</v>
      </c>
      <c r="B918" s="1" t="s">
        <v>195</v>
      </c>
      <c r="C918" s="1" t="str">
        <f>"08603491"</f>
        <v>08603491</v>
      </c>
      <c r="D918" s="1" t="s">
        <v>196</v>
      </c>
      <c r="F918" s="1" t="str">
        <f>"126"</f>
        <v>126</v>
      </c>
      <c r="G918" s="2">
        <v>41761</v>
      </c>
      <c r="H918" s="1">
        <v>222000</v>
      </c>
      <c r="I918" s="1">
        <v>195000</v>
      </c>
      <c r="J918" s="1">
        <v>180000</v>
      </c>
      <c r="K918" s="2">
        <v>41761</v>
      </c>
      <c r="L918" s="1">
        <v>220</v>
      </c>
      <c r="M918" s="2">
        <v>41980</v>
      </c>
      <c r="N918" s="1">
        <v>220</v>
      </c>
      <c r="O918" s="2">
        <v>41980</v>
      </c>
      <c r="P918" s="1">
        <v>24309</v>
      </c>
      <c r="Q918" s="1" t="s">
        <v>197</v>
      </c>
      <c r="R918" s="2">
        <v>42020</v>
      </c>
      <c r="S918" s="1">
        <v>239472</v>
      </c>
      <c r="U918" s="1">
        <v>2</v>
      </c>
      <c r="V918" s="1" t="s">
        <v>3317</v>
      </c>
      <c r="W918" s="1" t="s">
        <v>3006</v>
      </c>
      <c r="X918" s="1">
        <v>610</v>
      </c>
      <c r="Y918" s="1">
        <v>60</v>
      </c>
      <c r="Z918" s="1" t="s">
        <v>370</v>
      </c>
      <c r="AA918" s="1" t="s">
        <v>3169</v>
      </c>
      <c r="AB918" s="1">
        <v>60126</v>
      </c>
      <c r="AE918" s="1" t="s">
        <v>10137</v>
      </c>
      <c r="AF918" s="1">
        <v>1975</v>
      </c>
      <c r="AG918" s="1" t="s">
        <v>213</v>
      </c>
      <c r="AH918" s="1" t="s">
        <v>3172</v>
      </c>
      <c r="AI918" s="1" t="s">
        <v>206</v>
      </c>
      <c r="AJ918" s="1" t="s">
        <v>1608</v>
      </c>
      <c r="AL918" s="1">
        <v>5</v>
      </c>
      <c r="AM918" s="1">
        <v>2</v>
      </c>
      <c r="AN918" s="1">
        <v>2</v>
      </c>
      <c r="AO918" s="1">
        <v>0</v>
      </c>
      <c r="AP918" s="1" t="s">
        <v>209</v>
      </c>
      <c r="AR918" s="1" t="s">
        <v>210</v>
      </c>
      <c r="AS918" s="1" t="s">
        <v>204</v>
      </c>
      <c r="AT918" s="1" t="s">
        <v>375</v>
      </c>
      <c r="AU918" s="1">
        <v>1</v>
      </c>
      <c r="AV918" s="1">
        <v>0</v>
      </c>
      <c r="AW918" s="1" t="s">
        <v>204</v>
      </c>
      <c r="AX918" s="1" t="s">
        <v>1813</v>
      </c>
      <c r="AZ918" s="1">
        <v>2793</v>
      </c>
      <c r="BA918" s="1">
        <v>2013</v>
      </c>
      <c r="BE918" s="1">
        <v>1568</v>
      </c>
      <c r="BF918" s="1">
        <v>6</v>
      </c>
      <c r="BG918" s="1">
        <v>30</v>
      </c>
      <c r="BL918" s="1">
        <v>446</v>
      </c>
      <c r="BM918" s="1" t="s">
        <v>204</v>
      </c>
      <c r="BN918" s="1" t="s">
        <v>213</v>
      </c>
      <c r="BO918" s="1">
        <v>20</v>
      </c>
      <c r="BP918" s="1" t="s">
        <v>204</v>
      </c>
      <c r="BR918" s="1" t="str">
        <f>"0614414060"</f>
        <v>0614414060</v>
      </c>
      <c r="BT918" s="1" t="s">
        <v>10138</v>
      </c>
      <c r="BU918" s="1" t="s">
        <v>3822</v>
      </c>
      <c r="BV918" s="1" t="s">
        <v>3315</v>
      </c>
      <c r="BW918" s="1" t="s">
        <v>2201</v>
      </c>
      <c r="BX918" s="1">
        <v>48</v>
      </c>
      <c r="BY918" s="1">
        <v>48</v>
      </c>
      <c r="BZ918" s="1">
        <v>88</v>
      </c>
      <c r="CB918" s="1" t="str">
        <f t="shared" ref="CB918:CC918" si="706">""</f>
        <v/>
      </c>
      <c r="CC918" s="1" t="str">
        <f t="shared" si="706"/>
        <v/>
      </c>
      <c r="CG918" s="1" t="s">
        <v>6197</v>
      </c>
      <c r="CH918" s="1" t="s">
        <v>219</v>
      </c>
      <c r="CI918" s="1" t="s">
        <v>220</v>
      </c>
      <c r="CK918" s="1" t="s">
        <v>228</v>
      </c>
      <c r="CL918" s="1" t="s">
        <v>219</v>
      </c>
      <c r="CM918" s="1" t="s">
        <v>220</v>
      </c>
      <c r="CO918" s="1" t="s">
        <v>379</v>
      </c>
      <c r="CP918" s="1" t="s">
        <v>219</v>
      </c>
      <c r="CQ918" s="1" t="s">
        <v>220</v>
      </c>
      <c r="CS918" s="1" t="s">
        <v>465</v>
      </c>
      <c r="CT918" s="1" t="s">
        <v>219</v>
      </c>
      <c r="CU918" s="1" t="s">
        <v>220</v>
      </c>
      <c r="CX918" s="1" t="s">
        <v>224</v>
      </c>
      <c r="DB918" s="1" t="s">
        <v>224</v>
      </c>
      <c r="DE918" s="1" t="s">
        <v>1534</v>
      </c>
      <c r="DF918" s="1" t="s">
        <v>219</v>
      </c>
      <c r="DJ918" s="1" t="s">
        <v>224</v>
      </c>
      <c r="DM918" s="1" t="s">
        <v>838</v>
      </c>
      <c r="DR918" s="1" t="s">
        <v>10139</v>
      </c>
      <c r="DS918" s="1" t="s">
        <v>219</v>
      </c>
      <c r="DW918" s="1" t="s">
        <v>230</v>
      </c>
      <c r="EA918" s="1" t="s">
        <v>230</v>
      </c>
      <c r="EE918" s="1" t="s">
        <v>230</v>
      </c>
      <c r="EI918" s="1" t="s">
        <v>230</v>
      </c>
      <c r="EL918" s="1" t="s">
        <v>231</v>
      </c>
      <c r="EM918" s="1" t="s">
        <v>232</v>
      </c>
      <c r="EN918" s="1" t="s">
        <v>282</v>
      </c>
      <c r="EO918" s="1" t="s">
        <v>234</v>
      </c>
      <c r="EQ918" s="1" t="s">
        <v>1109</v>
      </c>
      <c r="ER918" s="1" t="s">
        <v>210</v>
      </c>
      <c r="ES918" s="1" t="s">
        <v>322</v>
      </c>
      <c r="EV918" s="1" t="s">
        <v>324</v>
      </c>
      <c r="EW918" s="1" t="s">
        <v>6280</v>
      </c>
      <c r="EZ918" s="1" t="s">
        <v>838</v>
      </c>
      <c r="FD918" s="1" t="s">
        <v>290</v>
      </c>
      <c r="FE918" s="1" t="s">
        <v>247</v>
      </c>
      <c r="FF918" s="1" t="s">
        <v>248</v>
      </c>
      <c r="FH918" s="1" t="s">
        <v>249</v>
      </c>
      <c r="FI918" s="1" t="s">
        <v>4004</v>
      </c>
      <c r="FK918" s="1" t="s">
        <v>891</v>
      </c>
      <c r="FL918" s="1" t="s">
        <v>292</v>
      </c>
      <c r="FM918" s="1" t="s">
        <v>252</v>
      </c>
      <c r="FN918" s="1" t="s">
        <v>213</v>
      </c>
      <c r="FO918" s="1" t="s">
        <v>213</v>
      </c>
      <c r="FQ918" s="1" t="s">
        <v>9165</v>
      </c>
      <c r="FR918" s="1" t="s">
        <v>210</v>
      </c>
      <c r="FS918" s="1" t="s">
        <v>10140</v>
      </c>
      <c r="FT918" s="1" t="s">
        <v>295</v>
      </c>
      <c r="FU918" s="1" t="s">
        <v>204</v>
      </c>
      <c r="FW918" s="1" t="s">
        <v>3328</v>
      </c>
      <c r="FX918" s="1">
        <v>24330</v>
      </c>
      <c r="FY918" s="1" t="s">
        <v>3329</v>
      </c>
      <c r="FZ918" s="1" t="s">
        <v>10141</v>
      </c>
      <c r="GA918" s="1">
        <v>242634</v>
      </c>
      <c r="GB918" s="1" t="s">
        <v>10142</v>
      </c>
      <c r="GE918" s="1" t="s">
        <v>10143</v>
      </c>
      <c r="GH918" s="1" t="s">
        <v>421</v>
      </c>
      <c r="GI918" s="1" t="s">
        <v>213</v>
      </c>
      <c r="GJ918" s="1" t="s">
        <v>260</v>
      </c>
      <c r="GK918" s="1" t="s">
        <v>210</v>
      </c>
      <c r="GL918" s="2">
        <v>42020</v>
      </c>
      <c r="GM918" s="1" t="s">
        <v>10144</v>
      </c>
    </row>
    <row r="919" spans="1:195">
      <c r="A919" s="1">
        <v>90000</v>
      </c>
      <c r="B919" s="1" t="s">
        <v>195</v>
      </c>
      <c r="C919" s="1" t="str">
        <f>"08604143"</f>
        <v>08604143</v>
      </c>
      <c r="D919" s="1" t="s">
        <v>196</v>
      </c>
      <c r="F919" s="1" t="str">
        <f>"123"</f>
        <v>123</v>
      </c>
      <c r="G919" s="2">
        <v>41762</v>
      </c>
      <c r="H919" s="1">
        <v>92000</v>
      </c>
      <c r="I919" s="1">
        <v>90000</v>
      </c>
      <c r="J919" s="1">
        <v>90000</v>
      </c>
      <c r="K919" s="2">
        <v>41762</v>
      </c>
      <c r="L919" s="1">
        <v>143</v>
      </c>
      <c r="M919" s="2">
        <v>41870</v>
      </c>
      <c r="N919" s="1">
        <v>109</v>
      </c>
      <c r="O919" s="2">
        <v>41870</v>
      </c>
      <c r="P919" s="1">
        <v>8096</v>
      </c>
      <c r="Q919" s="1" t="s">
        <v>302</v>
      </c>
      <c r="R919" s="2">
        <v>42094</v>
      </c>
      <c r="S919" s="1">
        <v>87171</v>
      </c>
      <c r="U919" s="1">
        <v>315</v>
      </c>
      <c r="V919" s="1" t="s">
        <v>10145</v>
      </c>
      <c r="W919" s="1" t="s">
        <v>449</v>
      </c>
      <c r="X919" s="1" t="s">
        <v>483</v>
      </c>
      <c r="Y919" s="1">
        <v>4</v>
      </c>
      <c r="Z919" s="1" t="s">
        <v>249</v>
      </c>
      <c r="AA919" s="1" t="s">
        <v>1173</v>
      </c>
      <c r="AB919" s="1">
        <v>60120</v>
      </c>
      <c r="AD919" s="1" t="s">
        <v>8995</v>
      </c>
      <c r="AE919" s="1" t="s">
        <v>10146</v>
      </c>
      <c r="AF919" s="1">
        <v>1998</v>
      </c>
      <c r="AG919" s="1" t="s">
        <v>204</v>
      </c>
      <c r="AH919" s="1" t="s">
        <v>1175</v>
      </c>
      <c r="AI919" s="1" t="s">
        <v>310</v>
      </c>
      <c r="AJ919" s="1" t="s">
        <v>374</v>
      </c>
      <c r="AL919" s="1">
        <v>5</v>
      </c>
      <c r="AM919" s="1">
        <v>2</v>
      </c>
      <c r="AN919" s="1">
        <v>2</v>
      </c>
      <c r="AO919" s="1">
        <v>0</v>
      </c>
      <c r="AP919" s="1" t="s">
        <v>209</v>
      </c>
      <c r="AQ919" s="1">
        <v>1</v>
      </c>
      <c r="AR919" s="1" t="s">
        <v>210</v>
      </c>
      <c r="AS919" s="1" t="s">
        <v>204</v>
      </c>
      <c r="AT919" s="1" t="s">
        <v>375</v>
      </c>
      <c r="AU919" s="1">
        <v>1</v>
      </c>
      <c r="AV919" s="1">
        <v>1</v>
      </c>
      <c r="AW919" s="1" t="s">
        <v>204</v>
      </c>
      <c r="AX919" s="1" t="s">
        <v>212</v>
      </c>
      <c r="AZ919" s="1">
        <v>2705</v>
      </c>
      <c r="BA919" s="1">
        <v>2012</v>
      </c>
      <c r="BE919" s="1">
        <v>1070</v>
      </c>
      <c r="BF919" s="1">
        <v>2</v>
      </c>
      <c r="BG919" s="1">
        <v>0</v>
      </c>
      <c r="BL919" s="1">
        <v>172</v>
      </c>
      <c r="BM919" s="1" t="s">
        <v>204</v>
      </c>
      <c r="BN919" s="1" t="s">
        <v>213</v>
      </c>
      <c r="BO919" s="1">
        <v>999</v>
      </c>
      <c r="BP919" s="1" t="s">
        <v>204</v>
      </c>
      <c r="BR919" s="1" t="str">
        <f>"06192100201314"</f>
        <v>06192100201314</v>
      </c>
      <c r="BT919" s="1" t="s">
        <v>10147</v>
      </c>
      <c r="BX919" s="1">
        <v>46</v>
      </c>
      <c r="BY919" s="1">
        <v>46</v>
      </c>
      <c r="BZ919" s="1">
        <v>46</v>
      </c>
      <c r="CB919" s="1" t="str">
        <f t="shared" ref="CB919:CC919" si="707">""</f>
        <v/>
      </c>
      <c r="CC919" s="1" t="str">
        <f t="shared" si="707"/>
        <v/>
      </c>
      <c r="CG919" s="1" t="s">
        <v>885</v>
      </c>
      <c r="CH919" s="1" t="s">
        <v>277</v>
      </c>
      <c r="CI919" s="1" t="s">
        <v>220</v>
      </c>
      <c r="CJ919" s="1" t="s">
        <v>252</v>
      </c>
      <c r="CK919" s="1" t="s">
        <v>861</v>
      </c>
      <c r="CL919" s="1" t="s">
        <v>277</v>
      </c>
      <c r="CM919" s="1" t="s">
        <v>220</v>
      </c>
      <c r="CN919" s="1" t="s">
        <v>252</v>
      </c>
      <c r="CP919" s="1" t="s">
        <v>224</v>
      </c>
      <c r="CS919" s="1" t="s">
        <v>408</v>
      </c>
      <c r="CT919" s="1" t="s">
        <v>277</v>
      </c>
      <c r="CU919" s="1" t="s">
        <v>220</v>
      </c>
      <c r="CV919" s="1" t="s">
        <v>252</v>
      </c>
      <c r="CX919" s="1" t="s">
        <v>224</v>
      </c>
      <c r="DB919" s="1" t="s">
        <v>224</v>
      </c>
      <c r="DE919" s="1" t="s">
        <v>3059</v>
      </c>
      <c r="DF919" s="1" t="s">
        <v>277</v>
      </c>
      <c r="DG919" s="1" t="s">
        <v>342</v>
      </c>
      <c r="DH919" s="1" t="s">
        <v>252</v>
      </c>
      <c r="DJ919" s="1" t="s">
        <v>224</v>
      </c>
      <c r="DM919" s="1" t="s">
        <v>1548</v>
      </c>
      <c r="DR919" s="1" t="s">
        <v>348</v>
      </c>
      <c r="DS919" s="1" t="s">
        <v>277</v>
      </c>
      <c r="DT919" s="1" t="s">
        <v>220</v>
      </c>
      <c r="DW919" s="1" t="s">
        <v>230</v>
      </c>
      <c r="EA919" s="1" t="s">
        <v>230</v>
      </c>
      <c r="EE919" s="1" t="s">
        <v>230</v>
      </c>
      <c r="EI919" s="1" t="s">
        <v>230</v>
      </c>
      <c r="EL919" s="1" t="s">
        <v>670</v>
      </c>
      <c r="EM919" s="1" t="s">
        <v>319</v>
      </c>
      <c r="EN919" s="1" t="s">
        <v>282</v>
      </c>
      <c r="EO919" s="1" t="s">
        <v>234</v>
      </c>
      <c r="EQ919" s="1" t="s">
        <v>468</v>
      </c>
      <c r="ER919" s="1" t="s">
        <v>210</v>
      </c>
      <c r="ES919" s="1" t="s">
        <v>493</v>
      </c>
      <c r="EU919" s="1" t="s">
        <v>239</v>
      </c>
      <c r="EW919" s="1" t="s">
        <v>4108</v>
      </c>
      <c r="EZ919" s="1" t="s">
        <v>1548</v>
      </c>
      <c r="FA919" s="1" t="s">
        <v>5302</v>
      </c>
      <c r="FB919" s="1" t="s">
        <v>289</v>
      </c>
      <c r="FD919" s="1" t="s">
        <v>246</v>
      </c>
      <c r="FE919" s="1" t="s">
        <v>975</v>
      </c>
      <c r="FF919" s="1" t="s">
        <v>248</v>
      </c>
      <c r="FG919" s="1" t="s">
        <v>2406</v>
      </c>
      <c r="FH919" s="1" t="s">
        <v>249</v>
      </c>
      <c r="FI919" s="1" t="s">
        <v>473</v>
      </c>
      <c r="FJ919" s="1" t="s">
        <v>1472</v>
      </c>
      <c r="FK919" s="1" t="s">
        <v>768</v>
      </c>
      <c r="FL919" s="1" t="s">
        <v>414</v>
      </c>
      <c r="FM919" s="1" t="s">
        <v>252</v>
      </c>
      <c r="FN919" s="1" t="s">
        <v>213</v>
      </c>
      <c r="FO919" s="1" t="s">
        <v>213</v>
      </c>
      <c r="FQ919" s="1" t="s">
        <v>1896</v>
      </c>
      <c r="FR919" s="1" t="s">
        <v>360</v>
      </c>
      <c r="FS919" s="1" t="s">
        <v>10148</v>
      </c>
      <c r="FT919" s="1" t="s">
        <v>295</v>
      </c>
      <c r="FU919" s="1" t="s">
        <v>204</v>
      </c>
      <c r="FW919" s="1" t="s">
        <v>3546</v>
      </c>
      <c r="FX919" s="1">
        <v>24695</v>
      </c>
      <c r="FY919" s="1" t="s">
        <v>3547</v>
      </c>
      <c r="FZ919" s="1" t="s">
        <v>10149</v>
      </c>
      <c r="GA919" s="1">
        <v>233647</v>
      </c>
      <c r="GB919" s="1" t="s">
        <v>10150</v>
      </c>
      <c r="GE919" s="1" t="s">
        <v>210</v>
      </c>
      <c r="GI919" s="1" t="s">
        <v>213</v>
      </c>
      <c r="GJ919" s="1" t="s">
        <v>260</v>
      </c>
      <c r="GK919" s="1" t="s">
        <v>210</v>
      </c>
      <c r="GL919" s="2">
        <v>42095</v>
      </c>
      <c r="GM919" s="1" t="s">
        <v>10151</v>
      </c>
    </row>
    <row r="920" spans="1:195">
      <c r="A920" s="1">
        <v>79880</v>
      </c>
      <c r="B920" s="1" t="s">
        <v>195</v>
      </c>
      <c r="C920" s="1" t="str">
        <f>"08606955"</f>
        <v>08606955</v>
      </c>
      <c r="D920" s="1" t="s">
        <v>196</v>
      </c>
      <c r="F920" s="1" t="str">
        <f>"562"</f>
        <v>562</v>
      </c>
      <c r="G920" s="2">
        <v>41765</v>
      </c>
      <c r="H920" s="1">
        <v>107900</v>
      </c>
      <c r="I920" s="1">
        <v>0</v>
      </c>
      <c r="J920" s="1">
        <v>79880</v>
      </c>
      <c r="K920" s="2">
        <v>41764</v>
      </c>
      <c r="L920" s="1">
        <v>179</v>
      </c>
      <c r="M920" s="2">
        <v>41942</v>
      </c>
      <c r="N920" s="1">
        <v>179</v>
      </c>
      <c r="O920" s="2">
        <v>41942</v>
      </c>
      <c r="P920" s="1">
        <v>25659</v>
      </c>
      <c r="Q920" s="1" t="s">
        <v>302</v>
      </c>
      <c r="R920" s="2">
        <v>41977</v>
      </c>
      <c r="S920" s="1">
        <v>237509</v>
      </c>
      <c r="U920" s="1">
        <v>8318</v>
      </c>
      <c r="V920" s="1" t="s">
        <v>6479</v>
      </c>
      <c r="W920" s="1" t="s">
        <v>264</v>
      </c>
      <c r="X920" s="1" t="s">
        <v>527</v>
      </c>
      <c r="Y920" s="1">
        <v>4</v>
      </c>
      <c r="Z920" s="1" t="s">
        <v>370</v>
      </c>
      <c r="AA920" s="1" t="s">
        <v>899</v>
      </c>
      <c r="AB920" s="1">
        <v>60561</v>
      </c>
      <c r="AE920" s="1" t="s">
        <v>10152</v>
      </c>
      <c r="AF920" s="1">
        <v>1973</v>
      </c>
      <c r="AG920" s="1" t="s">
        <v>213</v>
      </c>
      <c r="AH920" s="1" t="s">
        <v>902</v>
      </c>
      <c r="AI920" s="1" t="s">
        <v>206</v>
      </c>
      <c r="AJ920" s="1" t="s">
        <v>903</v>
      </c>
      <c r="AK920" s="1" t="s">
        <v>1419</v>
      </c>
      <c r="AL920" s="1">
        <v>5</v>
      </c>
      <c r="AM920" s="1">
        <v>2</v>
      </c>
      <c r="AN920" s="1">
        <v>1</v>
      </c>
      <c r="AO920" s="1">
        <v>0</v>
      </c>
      <c r="AP920" s="1" t="s">
        <v>210</v>
      </c>
      <c r="AR920" s="1" t="s">
        <v>210</v>
      </c>
      <c r="AS920" s="1" t="s">
        <v>204</v>
      </c>
      <c r="AT920" s="1" t="s">
        <v>211</v>
      </c>
      <c r="AU920" s="1">
        <v>1</v>
      </c>
      <c r="AW920" s="1" t="s">
        <v>204</v>
      </c>
      <c r="AX920" s="1" t="s">
        <v>212</v>
      </c>
      <c r="AZ920" s="1">
        <v>1912</v>
      </c>
      <c r="BA920" s="1">
        <v>2013</v>
      </c>
      <c r="BB920" s="1" t="s">
        <v>405</v>
      </c>
      <c r="BE920" s="1">
        <v>954</v>
      </c>
      <c r="BF920" s="1">
        <v>1</v>
      </c>
      <c r="BG920" s="1">
        <v>0</v>
      </c>
      <c r="BL920" s="1">
        <v>233</v>
      </c>
      <c r="BM920" s="1" t="s">
        <v>204</v>
      </c>
      <c r="BN920" s="1" t="s">
        <v>213</v>
      </c>
      <c r="BO920" s="1">
        <v>25</v>
      </c>
      <c r="BP920" s="1" t="s">
        <v>204</v>
      </c>
      <c r="BR920" s="1" t="str">
        <f>"0934211033"</f>
        <v>0934211033</v>
      </c>
      <c r="BT920" s="1" t="s">
        <v>10153</v>
      </c>
      <c r="BU920" s="1" t="s">
        <v>2882</v>
      </c>
      <c r="BV920" s="1" t="s">
        <v>2883</v>
      </c>
      <c r="BW920" s="1" t="s">
        <v>907</v>
      </c>
      <c r="BX920" s="1">
        <v>63</v>
      </c>
      <c r="BY920" s="1">
        <v>63</v>
      </c>
      <c r="BZ920" s="1">
        <v>86</v>
      </c>
      <c r="CB920" s="1" t="str">
        <f t="shared" ref="CB920:CC920" si="708">""</f>
        <v/>
      </c>
      <c r="CC920" s="1" t="str">
        <f t="shared" si="708"/>
        <v/>
      </c>
      <c r="CG920" s="1" t="s">
        <v>4225</v>
      </c>
      <c r="CH920" s="1" t="s">
        <v>219</v>
      </c>
      <c r="CK920" s="1" t="s">
        <v>3083</v>
      </c>
      <c r="CL920" s="1" t="s">
        <v>277</v>
      </c>
      <c r="CO920" s="1" t="s">
        <v>318</v>
      </c>
      <c r="CP920" s="1" t="s">
        <v>219</v>
      </c>
      <c r="CS920" s="1" t="s">
        <v>408</v>
      </c>
      <c r="CT920" s="1" t="s">
        <v>277</v>
      </c>
      <c r="CX920" s="1" t="s">
        <v>224</v>
      </c>
      <c r="DB920" s="1" t="s">
        <v>224</v>
      </c>
      <c r="DE920" s="1" t="s">
        <v>1107</v>
      </c>
      <c r="DF920" s="1" t="s">
        <v>219</v>
      </c>
      <c r="DJ920" s="1" t="s">
        <v>224</v>
      </c>
      <c r="DM920" s="1" t="s">
        <v>1359</v>
      </c>
      <c r="DR920" s="1" t="s">
        <v>836</v>
      </c>
      <c r="DS920" s="1" t="s">
        <v>219</v>
      </c>
      <c r="DW920" s="1" t="s">
        <v>230</v>
      </c>
      <c r="EA920" s="1" t="s">
        <v>230</v>
      </c>
      <c r="EE920" s="1" t="s">
        <v>230</v>
      </c>
      <c r="EI920" s="1" t="s">
        <v>230</v>
      </c>
      <c r="EL920" s="1" t="s">
        <v>605</v>
      </c>
      <c r="EM920" s="1" t="s">
        <v>232</v>
      </c>
      <c r="EN920" s="1" t="s">
        <v>282</v>
      </c>
      <c r="EO920" s="1" t="s">
        <v>234</v>
      </c>
      <c r="ER920" s="1" t="s">
        <v>210</v>
      </c>
      <c r="ES920" s="1" t="s">
        <v>493</v>
      </c>
      <c r="EV920" s="1" t="s">
        <v>352</v>
      </c>
      <c r="EW920" s="1" t="s">
        <v>353</v>
      </c>
      <c r="EZ920" s="1" t="s">
        <v>1359</v>
      </c>
      <c r="FB920" s="1" t="s">
        <v>734</v>
      </c>
      <c r="FD920" s="1" t="s">
        <v>246</v>
      </c>
      <c r="FE920" s="1" t="s">
        <v>651</v>
      </c>
      <c r="FF920" s="1" t="s">
        <v>248</v>
      </c>
      <c r="FH920" s="1" t="s">
        <v>10154</v>
      </c>
      <c r="FL920" s="1" t="s">
        <v>358</v>
      </c>
      <c r="FM920" s="1" t="s">
        <v>252</v>
      </c>
      <c r="FN920" s="1" t="s">
        <v>204</v>
      </c>
      <c r="FO920" s="1" t="s">
        <v>213</v>
      </c>
      <c r="FQ920" s="1" t="s">
        <v>10155</v>
      </c>
      <c r="FR920" s="1" t="s">
        <v>210</v>
      </c>
      <c r="FS920" s="1" t="s">
        <v>3751</v>
      </c>
      <c r="FT920" s="1" t="s">
        <v>1828</v>
      </c>
      <c r="FU920" s="1" t="s">
        <v>204</v>
      </c>
      <c r="FW920" s="1" t="s">
        <v>3752</v>
      </c>
      <c r="FX920" s="1">
        <v>24569</v>
      </c>
      <c r="FY920" s="1" t="s">
        <v>3753</v>
      </c>
      <c r="FZ920" s="1" t="s">
        <v>3754</v>
      </c>
      <c r="GA920" s="1">
        <v>236309</v>
      </c>
      <c r="GC920" s="1">
        <v>236310</v>
      </c>
      <c r="GE920" s="1" t="s">
        <v>1145</v>
      </c>
      <c r="GI920" s="1" t="s">
        <v>204</v>
      </c>
      <c r="GJ920" s="1" t="s">
        <v>260</v>
      </c>
      <c r="GK920" s="1" t="s">
        <v>210</v>
      </c>
      <c r="GL920" s="2">
        <v>41977</v>
      </c>
      <c r="GM920" s="1" t="s">
        <v>10156</v>
      </c>
    </row>
    <row r="921" spans="1:195">
      <c r="A921" s="1">
        <v>85800</v>
      </c>
      <c r="B921" s="1" t="s">
        <v>195</v>
      </c>
      <c r="C921" s="1" t="str">
        <f>"08611378"</f>
        <v>08611378</v>
      </c>
      <c r="D921" s="1" t="s">
        <v>196</v>
      </c>
      <c r="F921" s="1" t="str">
        <f>"20"</f>
        <v>20</v>
      </c>
      <c r="G921" s="2">
        <v>41769</v>
      </c>
      <c r="H921" s="1">
        <v>80000</v>
      </c>
      <c r="I921" s="1">
        <v>80000</v>
      </c>
      <c r="J921" s="1">
        <v>85800</v>
      </c>
      <c r="K921" s="2">
        <v>41767</v>
      </c>
      <c r="L921" s="1">
        <v>327</v>
      </c>
      <c r="M921" s="2">
        <v>41825</v>
      </c>
      <c r="N921" s="1">
        <v>59</v>
      </c>
      <c r="O921" s="2">
        <v>41825</v>
      </c>
      <c r="P921" s="1">
        <v>2626</v>
      </c>
      <c r="Q921" s="1" t="s">
        <v>423</v>
      </c>
      <c r="R921" s="2">
        <v>41990</v>
      </c>
      <c r="S921" s="1">
        <v>20160</v>
      </c>
      <c r="U921" s="1">
        <v>601</v>
      </c>
      <c r="V921" s="1" t="s">
        <v>10157</v>
      </c>
      <c r="W921" s="1" t="s">
        <v>304</v>
      </c>
      <c r="X921" s="1">
        <v>610</v>
      </c>
      <c r="Y921" s="1">
        <v>3</v>
      </c>
      <c r="Z921" s="1" t="s">
        <v>249</v>
      </c>
      <c r="AA921" s="1" t="s">
        <v>592</v>
      </c>
      <c r="AB921" s="1">
        <v>60020</v>
      </c>
      <c r="AD921" s="1" t="s">
        <v>10158</v>
      </c>
      <c r="AE921" s="1" t="s">
        <v>10159</v>
      </c>
      <c r="AF921" s="1">
        <v>2006</v>
      </c>
      <c r="AG921" s="1" t="s">
        <v>204</v>
      </c>
      <c r="AH921" s="1" t="s">
        <v>595</v>
      </c>
      <c r="AI921" s="1" t="s">
        <v>509</v>
      </c>
      <c r="AJ921" s="1" t="s">
        <v>1016</v>
      </c>
      <c r="AK921" s="1" t="s">
        <v>10160</v>
      </c>
      <c r="AL921" s="1">
        <v>6</v>
      </c>
      <c r="AM921" s="1">
        <v>2</v>
      </c>
      <c r="AN921" s="1">
        <v>2</v>
      </c>
      <c r="AO921" s="1">
        <v>1</v>
      </c>
      <c r="AP921" s="1" t="s">
        <v>209</v>
      </c>
      <c r="AR921" s="1" t="s">
        <v>210</v>
      </c>
      <c r="AT921" s="1" t="s">
        <v>211</v>
      </c>
      <c r="AU921" s="1">
        <v>2</v>
      </c>
      <c r="AW921" s="1" t="s">
        <v>204</v>
      </c>
      <c r="AX921" s="1" t="s">
        <v>212</v>
      </c>
      <c r="AZ921" s="1">
        <v>3020</v>
      </c>
      <c r="BA921" s="1">
        <v>2012</v>
      </c>
      <c r="BB921" s="1" t="s">
        <v>405</v>
      </c>
      <c r="BE921" s="1">
        <v>1369</v>
      </c>
      <c r="BF921" s="1">
        <v>1</v>
      </c>
      <c r="BG921" s="1">
        <v>0</v>
      </c>
      <c r="BJ921" s="1">
        <v>100</v>
      </c>
      <c r="BL921" s="1">
        <v>153</v>
      </c>
      <c r="BM921" s="1" t="s">
        <v>213</v>
      </c>
      <c r="BN921" s="1" t="s">
        <v>213</v>
      </c>
      <c r="BO921" s="1">
        <v>999</v>
      </c>
      <c r="BP921" s="1" t="s">
        <v>204</v>
      </c>
      <c r="BR921" s="1" t="str">
        <f>"05231111360000"</f>
        <v>05231111360000</v>
      </c>
      <c r="BT921" s="1" t="s">
        <v>10161</v>
      </c>
      <c r="BU921" s="1" t="s">
        <v>6153</v>
      </c>
      <c r="BV921" s="1" t="s">
        <v>6488</v>
      </c>
      <c r="BW921" s="1" t="s">
        <v>2264</v>
      </c>
      <c r="BX921" s="1">
        <v>38</v>
      </c>
      <c r="BY921" s="1">
        <v>38</v>
      </c>
      <c r="BZ921" s="1">
        <v>124</v>
      </c>
      <c r="CB921" s="1" t="str">
        <f>"43"</f>
        <v>43</v>
      </c>
      <c r="CC921" s="1" t="str">
        <f>"0"</f>
        <v>0</v>
      </c>
      <c r="CD921" s="1">
        <v>26</v>
      </c>
      <c r="CE921" s="1">
        <v>0</v>
      </c>
      <c r="CG921" s="1" t="s">
        <v>1297</v>
      </c>
      <c r="CH921" s="1" t="s">
        <v>219</v>
      </c>
      <c r="CK921" s="1" t="s">
        <v>757</v>
      </c>
      <c r="CL921" s="1" t="s">
        <v>277</v>
      </c>
      <c r="CO921" s="1" t="s">
        <v>409</v>
      </c>
      <c r="CP921" s="1" t="s">
        <v>219</v>
      </c>
      <c r="CS921" s="1" t="s">
        <v>346</v>
      </c>
      <c r="CT921" s="1" t="s">
        <v>277</v>
      </c>
      <c r="CX921" s="1" t="s">
        <v>224</v>
      </c>
      <c r="DB921" s="1" t="s">
        <v>224</v>
      </c>
      <c r="DE921" s="1" t="s">
        <v>281</v>
      </c>
      <c r="DF921" s="1" t="s">
        <v>219</v>
      </c>
      <c r="DJ921" s="1" t="s">
        <v>224</v>
      </c>
      <c r="DM921" s="1" t="s">
        <v>464</v>
      </c>
      <c r="DR921" s="1" t="s">
        <v>1598</v>
      </c>
      <c r="DS921" s="1" t="s">
        <v>277</v>
      </c>
      <c r="DW921" s="1" t="s">
        <v>230</v>
      </c>
      <c r="EA921" s="1" t="s">
        <v>230</v>
      </c>
      <c r="EE921" s="1" t="s">
        <v>230</v>
      </c>
      <c r="EI921" s="1" t="s">
        <v>230</v>
      </c>
      <c r="EL921" s="1" t="s">
        <v>491</v>
      </c>
      <c r="EM921" s="1" t="s">
        <v>319</v>
      </c>
      <c r="EN921" s="1" t="s">
        <v>282</v>
      </c>
      <c r="EO921" s="1" t="s">
        <v>234</v>
      </c>
      <c r="EP921" s="1" t="s">
        <v>8987</v>
      </c>
      <c r="EQ921" s="1" t="s">
        <v>10067</v>
      </c>
      <c r="ER921" s="1" t="s">
        <v>210</v>
      </c>
      <c r="ET921" s="1" t="s">
        <v>238</v>
      </c>
      <c r="EU921" s="1" t="s">
        <v>10162</v>
      </c>
      <c r="EW921" s="1" t="s">
        <v>4410</v>
      </c>
      <c r="EZ921" s="1" t="s">
        <v>464</v>
      </c>
      <c r="FA921" s="1" t="s">
        <v>4675</v>
      </c>
      <c r="FD921" s="1" t="s">
        <v>246</v>
      </c>
      <c r="FE921" s="1" t="s">
        <v>472</v>
      </c>
      <c r="FF921" s="1" t="s">
        <v>248</v>
      </c>
      <c r="FH921" s="1" t="s">
        <v>550</v>
      </c>
      <c r="FL921" s="1" t="s">
        <v>358</v>
      </c>
      <c r="FM921" s="1" t="s">
        <v>252</v>
      </c>
      <c r="FN921" s="1" t="s">
        <v>213</v>
      </c>
      <c r="FO921" s="1" t="s">
        <v>213</v>
      </c>
      <c r="FQ921" s="1" t="s">
        <v>10163</v>
      </c>
      <c r="FR921" s="1" t="s">
        <v>360</v>
      </c>
      <c r="FS921" s="1" t="s">
        <v>10164</v>
      </c>
      <c r="FT921" s="1" t="s">
        <v>295</v>
      </c>
      <c r="FU921" s="1" t="s">
        <v>204</v>
      </c>
      <c r="FW921" s="1" t="s">
        <v>1637</v>
      </c>
      <c r="FX921" s="1">
        <v>2626</v>
      </c>
      <c r="FY921" s="1" t="s">
        <v>1638</v>
      </c>
      <c r="FZ921" s="1" t="s">
        <v>1639</v>
      </c>
      <c r="GA921" s="1">
        <v>20160</v>
      </c>
      <c r="GB921" s="1" t="s">
        <v>1640</v>
      </c>
      <c r="GE921" s="1" t="s">
        <v>480</v>
      </c>
      <c r="GI921" s="1" t="s">
        <v>213</v>
      </c>
      <c r="GJ921" s="1" t="s">
        <v>260</v>
      </c>
      <c r="GK921" s="1" t="s">
        <v>210</v>
      </c>
      <c r="GL921" s="2">
        <v>41992</v>
      </c>
      <c r="GM921" s="2" t="s">
        <v>10165</v>
      </c>
    </row>
    <row r="922" spans="1:195">
      <c r="A922" s="1">
        <v>67000</v>
      </c>
      <c r="B922" s="1" t="s">
        <v>195</v>
      </c>
      <c r="C922" s="1" t="str">
        <f>"08599831"</f>
        <v>08599831</v>
      </c>
      <c r="D922" s="1" t="s">
        <v>196</v>
      </c>
      <c r="F922" s="1" t="str">
        <f>"8064"</f>
        <v>8064</v>
      </c>
      <c r="G922" s="2">
        <v>41759</v>
      </c>
      <c r="H922" s="1">
        <v>65000</v>
      </c>
      <c r="I922" s="1">
        <v>65000</v>
      </c>
      <c r="J922" s="1">
        <v>67000</v>
      </c>
      <c r="K922" s="2">
        <v>41759</v>
      </c>
      <c r="L922" s="1">
        <v>154</v>
      </c>
      <c r="M922" s="2">
        <v>41771</v>
      </c>
      <c r="N922" s="1">
        <v>13</v>
      </c>
      <c r="O922" s="2">
        <v>41771</v>
      </c>
      <c r="P922" s="1">
        <v>23391</v>
      </c>
      <c r="Q922" s="1" t="s">
        <v>197</v>
      </c>
      <c r="R922" s="2">
        <v>41969</v>
      </c>
      <c r="S922" s="1">
        <v>239395</v>
      </c>
      <c r="U922" s="1">
        <v>6450</v>
      </c>
      <c r="V922" s="1" t="s">
        <v>10166</v>
      </c>
      <c r="W922" s="1" t="s">
        <v>425</v>
      </c>
      <c r="X922" s="1" t="s">
        <v>1747</v>
      </c>
      <c r="Y922" s="1">
        <v>9</v>
      </c>
      <c r="Z922" s="1" t="s">
        <v>249</v>
      </c>
      <c r="AA922" s="1" t="s">
        <v>400</v>
      </c>
      <c r="AB922" s="1">
        <v>60638</v>
      </c>
      <c r="AE922" s="1" t="s">
        <v>10167</v>
      </c>
      <c r="AF922" s="1" t="s">
        <v>402</v>
      </c>
      <c r="AG922" s="1" t="s">
        <v>204</v>
      </c>
      <c r="AH922" s="1" t="s">
        <v>403</v>
      </c>
      <c r="AI922" s="1" t="s">
        <v>310</v>
      </c>
      <c r="AJ922" s="1" t="s">
        <v>404</v>
      </c>
      <c r="AL922" s="1">
        <v>4</v>
      </c>
      <c r="AM922" s="1">
        <v>2</v>
      </c>
      <c r="AN922" s="1">
        <v>1</v>
      </c>
      <c r="AO922" s="1">
        <v>0</v>
      </c>
      <c r="AP922" s="1" t="s">
        <v>210</v>
      </c>
      <c r="AR922" s="1" t="s">
        <v>210</v>
      </c>
      <c r="AS922" s="1" t="s">
        <v>204</v>
      </c>
      <c r="AT922" s="1" t="s">
        <v>271</v>
      </c>
      <c r="AV922" s="1">
        <v>1</v>
      </c>
      <c r="AW922" s="1" t="s">
        <v>204</v>
      </c>
      <c r="AX922" s="1" t="s">
        <v>212</v>
      </c>
      <c r="AZ922" s="1">
        <v>1713</v>
      </c>
      <c r="BA922" s="1">
        <v>2012</v>
      </c>
      <c r="BE922" s="1">
        <v>900</v>
      </c>
      <c r="BF922" s="1">
        <v>3</v>
      </c>
      <c r="BG922" s="1">
        <v>30</v>
      </c>
      <c r="BL922" s="1">
        <v>150</v>
      </c>
      <c r="BM922" s="1" t="s">
        <v>204</v>
      </c>
      <c r="BN922" s="1" t="s">
        <v>213</v>
      </c>
      <c r="BO922" s="1">
        <v>20</v>
      </c>
      <c r="BP922" s="1" t="s">
        <v>204</v>
      </c>
      <c r="BR922" s="1" t="str">
        <f>"19191140391007"</f>
        <v>19191140391007</v>
      </c>
      <c r="BT922" s="1" t="s">
        <v>10168</v>
      </c>
      <c r="BX922" s="1">
        <v>299</v>
      </c>
      <c r="BY922" s="1">
        <v>299</v>
      </c>
      <c r="BZ922" s="1">
        <v>299</v>
      </c>
      <c r="CB922" s="1" t="str">
        <f t="shared" ref="CB922:CC922" si="709">"0"</f>
        <v>0</v>
      </c>
      <c r="CC922" s="1" t="str">
        <f t="shared" si="709"/>
        <v>0</v>
      </c>
      <c r="CD922" s="1">
        <v>6450</v>
      </c>
      <c r="CE922" s="1">
        <v>6500</v>
      </c>
      <c r="CG922" s="1" t="s">
        <v>885</v>
      </c>
      <c r="CH922" s="1" t="s">
        <v>277</v>
      </c>
      <c r="CI922" s="1" t="s">
        <v>438</v>
      </c>
      <c r="CJ922" s="1" t="s">
        <v>343</v>
      </c>
      <c r="CK922" s="1" t="s">
        <v>1297</v>
      </c>
      <c r="CL922" s="1" t="s">
        <v>277</v>
      </c>
      <c r="CM922" s="1" t="s">
        <v>438</v>
      </c>
      <c r="CN922" s="1" t="s">
        <v>343</v>
      </c>
      <c r="CP922" s="1" t="s">
        <v>224</v>
      </c>
      <c r="CS922" s="1" t="s">
        <v>346</v>
      </c>
      <c r="CT922" s="1" t="s">
        <v>277</v>
      </c>
      <c r="CU922" s="1" t="s">
        <v>438</v>
      </c>
      <c r="CV922" s="1" t="s">
        <v>343</v>
      </c>
      <c r="CX922" s="1" t="s">
        <v>224</v>
      </c>
      <c r="DB922" s="1" t="s">
        <v>224</v>
      </c>
      <c r="DE922" s="1" t="s">
        <v>461</v>
      </c>
      <c r="DF922" s="1" t="s">
        <v>277</v>
      </c>
      <c r="DG922" s="1" t="s">
        <v>226</v>
      </c>
      <c r="DH922" s="1" t="s">
        <v>343</v>
      </c>
      <c r="DJ922" s="1" t="s">
        <v>224</v>
      </c>
      <c r="DS922" s="1" t="s">
        <v>230</v>
      </c>
      <c r="DW922" s="1" t="s">
        <v>230</v>
      </c>
      <c r="EA922" s="1" t="s">
        <v>230</v>
      </c>
      <c r="EE922" s="1" t="s">
        <v>230</v>
      </c>
      <c r="EI922" s="1" t="s">
        <v>230</v>
      </c>
      <c r="EL922" s="1" t="s">
        <v>649</v>
      </c>
      <c r="EM922" s="1" t="s">
        <v>319</v>
      </c>
      <c r="EN922" s="1" t="s">
        <v>731</v>
      </c>
      <c r="EO922" s="1" t="s">
        <v>234</v>
      </c>
      <c r="EQ922" s="1" t="s">
        <v>2416</v>
      </c>
      <c r="ER922" s="1" t="s">
        <v>210</v>
      </c>
      <c r="EW922" s="1" t="s">
        <v>10169</v>
      </c>
      <c r="EZ922" s="1" t="s">
        <v>287</v>
      </c>
      <c r="FD922" s="1" t="s">
        <v>246</v>
      </c>
      <c r="FE922" s="1" t="s">
        <v>247</v>
      </c>
      <c r="FF922" s="1" t="s">
        <v>248</v>
      </c>
      <c r="FH922" s="1" t="s">
        <v>249</v>
      </c>
      <c r="FK922" s="1" t="s">
        <v>291</v>
      </c>
      <c r="FL922" s="1" t="s">
        <v>292</v>
      </c>
      <c r="FM922" s="1" t="s">
        <v>252</v>
      </c>
      <c r="FN922" s="1" t="s">
        <v>213</v>
      </c>
      <c r="FO922" s="1" t="s">
        <v>213</v>
      </c>
      <c r="FQ922" s="1" t="s">
        <v>8646</v>
      </c>
      <c r="FR922" s="1" t="s">
        <v>360</v>
      </c>
      <c r="FS922" s="1" t="s">
        <v>10170</v>
      </c>
      <c r="FT922" s="1" t="s">
        <v>295</v>
      </c>
      <c r="FU922" s="1" t="s">
        <v>204</v>
      </c>
      <c r="FW922" s="1" t="s">
        <v>10171</v>
      </c>
      <c r="FX922" s="1">
        <v>13691</v>
      </c>
      <c r="FY922" s="1" t="s">
        <v>10172</v>
      </c>
      <c r="FZ922" s="1" t="s">
        <v>10173</v>
      </c>
      <c r="GA922" s="1">
        <v>110951</v>
      </c>
      <c r="GB922" s="1" t="s">
        <v>10172</v>
      </c>
      <c r="GE922" s="1" t="s">
        <v>1764</v>
      </c>
      <c r="GH922" s="1" t="s">
        <v>421</v>
      </c>
      <c r="GI922" s="1" t="s">
        <v>213</v>
      </c>
      <c r="GJ922" s="1" t="s">
        <v>260</v>
      </c>
      <c r="GK922" s="1" t="s">
        <v>210</v>
      </c>
      <c r="GL922" s="2">
        <v>41969</v>
      </c>
      <c r="GM922" s="1" t="s">
        <v>10174</v>
      </c>
    </row>
    <row r="923" spans="1:195">
      <c r="A923" s="1">
        <v>72000</v>
      </c>
      <c r="B923" s="1" t="s">
        <v>195</v>
      </c>
      <c r="C923" s="1" t="str">
        <f>"08610273"</f>
        <v>08610273</v>
      </c>
      <c r="D923" s="1" t="s">
        <v>196</v>
      </c>
      <c r="F923" s="1" t="str">
        <f>"176"</f>
        <v>176</v>
      </c>
      <c r="G923" s="2">
        <v>41768</v>
      </c>
      <c r="H923" s="1">
        <v>84000</v>
      </c>
      <c r="I923" s="1">
        <v>84000</v>
      </c>
      <c r="J923" s="1">
        <v>72000</v>
      </c>
      <c r="K923" s="2">
        <v>41765</v>
      </c>
      <c r="L923" s="1">
        <v>249</v>
      </c>
      <c r="M923" s="2">
        <v>42013</v>
      </c>
      <c r="N923" s="1">
        <v>249</v>
      </c>
      <c r="O923" s="2">
        <v>42013</v>
      </c>
      <c r="P923" s="1">
        <v>24746</v>
      </c>
      <c r="Q923" s="1" t="s">
        <v>197</v>
      </c>
      <c r="R923" s="2">
        <v>42139</v>
      </c>
      <c r="S923" s="1">
        <v>242968</v>
      </c>
      <c r="U923" s="1">
        <v>9463</v>
      </c>
      <c r="V923" s="1" t="s">
        <v>10175</v>
      </c>
      <c r="W923" s="1" t="s">
        <v>504</v>
      </c>
      <c r="X923" s="1">
        <v>2551</v>
      </c>
      <c r="Y923" s="1">
        <v>222</v>
      </c>
      <c r="Z923" s="1" t="s">
        <v>249</v>
      </c>
      <c r="AA923" s="1" t="s">
        <v>306</v>
      </c>
      <c r="AB923" s="1">
        <v>60176</v>
      </c>
      <c r="AE923" s="1" t="s">
        <v>10176</v>
      </c>
      <c r="AF923" s="1">
        <v>1984</v>
      </c>
      <c r="AG923" s="1" t="s">
        <v>204</v>
      </c>
      <c r="AH923" s="1" t="s">
        <v>309</v>
      </c>
      <c r="AI923" s="1" t="s">
        <v>310</v>
      </c>
      <c r="AJ923" s="1" t="s">
        <v>311</v>
      </c>
      <c r="AL923" s="1">
        <v>4</v>
      </c>
      <c r="AM923" s="1">
        <v>2</v>
      </c>
      <c r="AN923" s="1">
        <v>1</v>
      </c>
      <c r="AO923" s="1">
        <v>0</v>
      </c>
      <c r="AP923" s="1" t="s">
        <v>210</v>
      </c>
      <c r="AR923" s="1" t="s">
        <v>210</v>
      </c>
      <c r="AS923" s="1" t="s">
        <v>204</v>
      </c>
      <c r="AT923" s="1" t="s">
        <v>271</v>
      </c>
      <c r="AV923" s="1">
        <v>1</v>
      </c>
      <c r="AW923" s="1" t="s">
        <v>204</v>
      </c>
      <c r="AX923" s="1" t="s">
        <v>212</v>
      </c>
      <c r="AZ923" s="1">
        <v>855.37</v>
      </c>
      <c r="BA923" s="1">
        <v>2012</v>
      </c>
      <c r="BB923" s="1" t="s">
        <v>405</v>
      </c>
      <c r="BE923" s="1">
        <v>0</v>
      </c>
      <c r="BF923" s="1" t="s">
        <v>4806</v>
      </c>
      <c r="BG923" s="1">
        <v>0</v>
      </c>
      <c r="BL923" s="1">
        <v>105</v>
      </c>
      <c r="BM923" s="1" t="s">
        <v>413</v>
      </c>
      <c r="BN923" s="1" t="s">
        <v>213</v>
      </c>
      <c r="BO923" s="1">
        <v>50</v>
      </c>
      <c r="BP923" s="1" t="s">
        <v>204</v>
      </c>
      <c r="BR923" s="1" t="str">
        <f>"12103140231001"</f>
        <v>12103140231001</v>
      </c>
      <c r="BT923" s="1" t="s">
        <v>10177</v>
      </c>
      <c r="BU923" s="1" t="s">
        <v>2305</v>
      </c>
      <c r="BV923" s="1" t="s">
        <v>2306</v>
      </c>
      <c r="BW923" s="1" t="s">
        <v>313</v>
      </c>
      <c r="BX923" s="1">
        <v>81</v>
      </c>
      <c r="BY923" s="1">
        <v>81</v>
      </c>
      <c r="BZ923" s="1">
        <v>212</v>
      </c>
      <c r="CB923" s="1" t="str">
        <f>"6"</f>
        <v>6</v>
      </c>
      <c r="CC923" s="1" t="str">
        <f>""</f>
        <v/>
      </c>
      <c r="CD923" s="1">
        <v>11</v>
      </c>
      <c r="CG923" s="1" t="s">
        <v>1200</v>
      </c>
      <c r="CH923" s="1" t="s">
        <v>822</v>
      </c>
      <c r="CI923" s="1" t="s">
        <v>229</v>
      </c>
      <c r="CK923" s="1" t="s">
        <v>1358</v>
      </c>
      <c r="CL923" s="1" t="s">
        <v>822</v>
      </c>
      <c r="CM923" s="1" t="s">
        <v>220</v>
      </c>
      <c r="CP923" s="1" t="s">
        <v>224</v>
      </c>
      <c r="CS923" s="1" t="s">
        <v>317</v>
      </c>
      <c r="CT923" s="1" t="s">
        <v>822</v>
      </c>
      <c r="CU923" s="1" t="s">
        <v>220</v>
      </c>
      <c r="CX923" s="1" t="s">
        <v>224</v>
      </c>
      <c r="DB923" s="1" t="s">
        <v>224</v>
      </c>
      <c r="DE923" s="1" t="s">
        <v>630</v>
      </c>
      <c r="DF923" s="1" t="s">
        <v>822</v>
      </c>
      <c r="DG923" s="1" t="s">
        <v>226</v>
      </c>
      <c r="DJ923" s="1" t="s">
        <v>224</v>
      </c>
      <c r="DS923" s="1" t="s">
        <v>230</v>
      </c>
      <c r="DW923" s="1" t="s">
        <v>230</v>
      </c>
      <c r="EA923" s="1" t="s">
        <v>230</v>
      </c>
      <c r="EE923" s="1" t="s">
        <v>230</v>
      </c>
      <c r="EI923" s="1" t="s">
        <v>230</v>
      </c>
      <c r="EL923" s="1" t="s">
        <v>542</v>
      </c>
      <c r="EM923" s="1" t="s">
        <v>232</v>
      </c>
      <c r="EN923" s="1" t="s">
        <v>282</v>
      </c>
      <c r="EO923" s="1" t="s">
        <v>234</v>
      </c>
      <c r="EP923" s="1" t="s">
        <v>10178</v>
      </c>
      <c r="EQ923" s="1" t="s">
        <v>1439</v>
      </c>
      <c r="ER923" s="1" t="s">
        <v>210</v>
      </c>
      <c r="EW923" s="1" t="s">
        <v>4607</v>
      </c>
      <c r="EY923" s="1" t="s">
        <v>242</v>
      </c>
      <c r="EZ923" s="1" t="s">
        <v>287</v>
      </c>
      <c r="FB923" s="1" t="s">
        <v>244</v>
      </c>
      <c r="FD923" s="1" t="s">
        <v>290</v>
      </c>
      <c r="FE923" s="1" t="s">
        <v>975</v>
      </c>
      <c r="FF923" s="1" t="s">
        <v>248</v>
      </c>
      <c r="FH923" s="1" t="s">
        <v>249</v>
      </c>
      <c r="FJ923" s="1" t="s">
        <v>197</v>
      </c>
      <c r="FL923" s="1" t="s">
        <v>414</v>
      </c>
      <c r="FM923" s="1" t="s">
        <v>252</v>
      </c>
      <c r="FN923" s="1" t="s">
        <v>213</v>
      </c>
      <c r="FO923" s="1" t="s">
        <v>213</v>
      </c>
      <c r="FQ923" s="1" t="s">
        <v>10179</v>
      </c>
      <c r="FR923" s="1" t="s">
        <v>360</v>
      </c>
      <c r="FS923" s="1" t="s">
        <v>1709</v>
      </c>
      <c r="FT923" s="1" t="s">
        <v>362</v>
      </c>
      <c r="FU923" s="1" t="s">
        <v>204</v>
      </c>
      <c r="FW923" s="1" t="s">
        <v>10180</v>
      </c>
      <c r="FX923" s="1">
        <v>24185</v>
      </c>
      <c r="FY923" s="1" t="s">
        <v>10181</v>
      </c>
      <c r="FZ923" s="1" t="s">
        <v>10182</v>
      </c>
      <c r="GA923" s="1">
        <v>237462</v>
      </c>
      <c r="GB923" s="1" t="s">
        <v>10183</v>
      </c>
      <c r="GE923" s="1" t="s">
        <v>210</v>
      </c>
      <c r="GI923" s="1" t="s">
        <v>213</v>
      </c>
      <c r="GJ923" s="1" t="s">
        <v>260</v>
      </c>
      <c r="GK923" s="1" t="s">
        <v>210</v>
      </c>
      <c r="GL923" s="2">
        <v>42139</v>
      </c>
      <c r="GM923" s="1" t="s">
        <v>10184</v>
      </c>
    </row>
    <row r="924" spans="1:195">
      <c r="A924" s="1">
        <v>83500</v>
      </c>
      <c r="B924" s="1" t="s">
        <v>195</v>
      </c>
      <c r="C924" s="1" t="str">
        <f>"08617289"</f>
        <v>08617289</v>
      </c>
      <c r="D924" s="1" t="s">
        <v>196</v>
      </c>
      <c r="F924" s="1" t="str">
        <f>"527"</f>
        <v>527</v>
      </c>
      <c r="G924" s="2">
        <v>41775</v>
      </c>
      <c r="H924" s="1">
        <v>100000</v>
      </c>
      <c r="I924" s="1">
        <v>85000</v>
      </c>
      <c r="J924" s="1">
        <v>83500</v>
      </c>
      <c r="K924" s="2">
        <v>41775</v>
      </c>
      <c r="L924" s="1">
        <v>54</v>
      </c>
      <c r="M924" s="2">
        <v>41828</v>
      </c>
      <c r="N924" s="1">
        <v>54</v>
      </c>
      <c r="O924" s="2">
        <v>41828</v>
      </c>
      <c r="P924" s="1">
        <v>22205</v>
      </c>
      <c r="Q924" s="1" t="s">
        <v>302</v>
      </c>
      <c r="R924" s="2">
        <v>42031</v>
      </c>
      <c r="S924" s="1">
        <v>228825</v>
      </c>
      <c r="U924" s="1">
        <v>6660</v>
      </c>
      <c r="V924" s="1" t="s">
        <v>8161</v>
      </c>
      <c r="W924" s="1" t="s">
        <v>425</v>
      </c>
      <c r="X924" s="1">
        <v>407</v>
      </c>
      <c r="Y924" s="1">
        <v>48</v>
      </c>
      <c r="Z924" s="1" t="s">
        <v>249</v>
      </c>
      <c r="AA924" s="1" t="s">
        <v>5962</v>
      </c>
      <c r="AB924" s="1">
        <v>60525</v>
      </c>
      <c r="AE924" s="1" t="s">
        <v>10185</v>
      </c>
      <c r="AF924" s="1">
        <v>1975</v>
      </c>
      <c r="AG924" s="1" t="s">
        <v>213</v>
      </c>
      <c r="AH924" s="1" t="s">
        <v>5964</v>
      </c>
      <c r="AI924" s="1" t="s">
        <v>310</v>
      </c>
      <c r="AJ924" s="1" t="s">
        <v>702</v>
      </c>
      <c r="AL924" s="1">
        <v>5</v>
      </c>
      <c r="AM924" s="1">
        <v>2</v>
      </c>
      <c r="AN924" s="1">
        <v>2</v>
      </c>
      <c r="AO924" s="1">
        <v>0</v>
      </c>
      <c r="AP924" s="1" t="s">
        <v>209</v>
      </c>
      <c r="AR924" s="1" t="s">
        <v>210</v>
      </c>
      <c r="AS924" s="1" t="s">
        <v>204</v>
      </c>
      <c r="AT924" s="1" t="s">
        <v>271</v>
      </c>
      <c r="AV924" s="1">
        <v>2</v>
      </c>
      <c r="AW924" s="1" t="s">
        <v>204</v>
      </c>
      <c r="AX924" s="1" t="s">
        <v>212</v>
      </c>
      <c r="AZ924" s="1">
        <v>311</v>
      </c>
      <c r="BA924" s="1">
        <v>2012</v>
      </c>
      <c r="BB924" s="1" t="s">
        <v>8691</v>
      </c>
      <c r="BE924" s="1">
        <v>0</v>
      </c>
      <c r="BF924" s="1">
        <v>4</v>
      </c>
      <c r="BG924" s="1">
        <v>10</v>
      </c>
      <c r="BL924" s="1">
        <v>320</v>
      </c>
      <c r="BM924" s="1" t="s">
        <v>204</v>
      </c>
      <c r="BN924" s="1" t="s">
        <v>213</v>
      </c>
      <c r="BO924" s="1">
        <v>25</v>
      </c>
      <c r="BP924" s="1" t="s">
        <v>204</v>
      </c>
      <c r="BR924" s="1" t="str">
        <f>"18202010261043"</f>
        <v>18202010261043</v>
      </c>
      <c r="BT924" s="1" t="s">
        <v>10186</v>
      </c>
      <c r="BU924" s="1" t="s">
        <v>8165</v>
      </c>
      <c r="BV924" s="1" t="s">
        <v>8166</v>
      </c>
      <c r="BW924" s="1" t="s">
        <v>706</v>
      </c>
      <c r="BX924" s="1">
        <v>105</v>
      </c>
      <c r="BY924" s="1">
        <v>105</v>
      </c>
      <c r="BZ924" s="1">
        <v>204</v>
      </c>
      <c r="CB924" s="1" t="str">
        <f t="shared" ref="CB924:CC924" si="710">""</f>
        <v/>
      </c>
      <c r="CC924" s="1" t="str">
        <f t="shared" si="710"/>
        <v/>
      </c>
      <c r="CG924" s="1" t="s">
        <v>2121</v>
      </c>
      <c r="CH924" s="1" t="s">
        <v>219</v>
      </c>
      <c r="CI924" s="1" t="s">
        <v>220</v>
      </c>
      <c r="CJ924" s="1" t="s">
        <v>343</v>
      </c>
      <c r="CK924" s="1" t="s">
        <v>437</v>
      </c>
      <c r="CL924" s="1" t="s">
        <v>219</v>
      </c>
      <c r="CM924" s="1" t="s">
        <v>220</v>
      </c>
      <c r="CN924" s="1" t="s">
        <v>343</v>
      </c>
      <c r="CO924" s="1" t="s">
        <v>318</v>
      </c>
      <c r="CP924" s="1" t="s">
        <v>219</v>
      </c>
      <c r="CQ924" s="1" t="s">
        <v>220</v>
      </c>
      <c r="CR924" s="1" t="s">
        <v>343</v>
      </c>
      <c r="CS924" s="1" t="s">
        <v>2122</v>
      </c>
      <c r="CT924" s="1" t="s">
        <v>219</v>
      </c>
      <c r="CU924" s="1" t="s">
        <v>220</v>
      </c>
      <c r="CV924" s="1" t="s">
        <v>343</v>
      </c>
      <c r="CX924" s="1" t="s">
        <v>224</v>
      </c>
      <c r="DB924" s="1" t="s">
        <v>224</v>
      </c>
      <c r="DE924" s="1" t="s">
        <v>318</v>
      </c>
      <c r="DF924" s="1" t="s">
        <v>219</v>
      </c>
      <c r="DG924" s="1" t="s">
        <v>342</v>
      </c>
      <c r="DH924" s="1" t="s">
        <v>210</v>
      </c>
      <c r="DJ924" s="1" t="s">
        <v>224</v>
      </c>
      <c r="DM924" s="1" t="s">
        <v>709</v>
      </c>
      <c r="DN924" s="1" t="s">
        <v>838</v>
      </c>
      <c r="DR924" s="1" t="s">
        <v>3320</v>
      </c>
      <c r="DS924" s="1" t="s">
        <v>219</v>
      </c>
      <c r="DT924" s="1" t="s">
        <v>220</v>
      </c>
      <c r="DU924" s="1" t="s">
        <v>210</v>
      </c>
      <c r="DV924" s="1" t="s">
        <v>7812</v>
      </c>
      <c r="DW924" s="1" t="s">
        <v>219</v>
      </c>
      <c r="EA924" s="1" t="s">
        <v>230</v>
      </c>
      <c r="EE924" s="1" t="s">
        <v>230</v>
      </c>
      <c r="EI924" s="1" t="s">
        <v>230</v>
      </c>
      <c r="EL924" s="1" t="s">
        <v>231</v>
      </c>
      <c r="EM924" s="1" t="s">
        <v>232</v>
      </c>
      <c r="EN924" s="1" t="s">
        <v>233</v>
      </c>
      <c r="EO924" s="1" t="s">
        <v>234</v>
      </c>
      <c r="EP924" s="1" t="s">
        <v>10187</v>
      </c>
      <c r="EQ924" s="1" t="s">
        <v>3572</v>
      </c>
      <c r="ER924" s="1" t="s">
        <v>210</v>
      </c>
      <c r="ES924" s="1" t="s">
        <v>322</v>
      </c>
      <c r="EV924" s="1" t="s">
        <v>240</v>
      </c>
      <c r="EW924" s="1" t="s">
        <v>10188</v>
      </c>
      <c r="EZ924" s="1" t="s">
        <v>3826</v>
      </c>
      <c r="FD924" s="1" t="s">
        <v>246</v>
      </c>
      <c r="FE924" s="1" t="s">
        <v>247</v>
      </c>
      <c r="FF924" s="1" t="s">
        <v>248</v>
      </c>
      <c r="FH924" s="1" t="s">
        <v>249</v>
      </c>
      <c r="FK924" s="1" t="s">
        <v>891</v>
      </c>
      <c r="FL924" s="1" t="s">
        <v>328</v>
      </c>
      <c r="FM924" s="1" t="s">
        <v>252</v>
      </c>
      <c r="FN924" s="1" t="s">
        <v>213</v>
      </c>
      <c r="FO924" s="1" t="s">
        <v>213</v>
      </c>
      <c r="FQ924" s="1" t="s">
        <v>10189</v>
      </c>
      <c r="FR924" s="1" t="s">
        <v>360</v>
      </c>
      <c r="FS924" s="1" t="s">
        <v>10190</v>
      </c>
      <c r="FT924" s="1" t="s">
        <v>295</v>
      </c>
      <c r="FU924" s="1" t="s">
        <v>204</v>
      </c>
      <c r="FW924" s="1" t="s">
        <v>10191</v>
      </c>
      <c r="FX924" s="1">
        <v>23830</v>
      </c>
      <c r="FY924" s="1" t="s">
        <v>10192</v>
      </c>
      <c r="FZ924" s="1" t="s">
        <v>10193</v>
      </c>
      <c r="GA924" s="1">
        <v>218461</v>
      </c>
      <c r="GB924" s="1" t="s">
        <v>10194</v>
      </c>
      <c r="GE924" s="1" t="s">
        <v>210</v>
      </c>
      <c r="GH924" s="1" t="s">
        <v>421</v>
      </c>
      <c r="GI924" s="1" t="s">
        <v>213</v>
      </c>
      <c r="GJ924" s="1" t="s">
        <v>260</v>
      </c>
      <c r="GK924" s="1" t="s">
        <v>210</v>
      </c>
      <c r="GL924" s="2">
        <v>42031</v>
      </c>
      <c r="GM924" s="1" t="s">
        <v>10195</v>
      </c>
    </row>
    <row r="925" spans="1:195">
      <c r="A925" s="1">
        <v>165000</v>
      </c>
      <c r="B925" s="1" t="s">
        <v>195</v>
      </c>
      <c r="C925" s="1" t="str">
        <f>"08598521"</f>
        <v>08598521</v>
      </c>
      <c r="D925" s="1" t="s">
        <v>196</v>
      </c>
      <c r="F925" s="1" t="str">
        <f>"178"</f>
        <v>178</v>
      </c>
      <c r="G925" s="2">
        <v>41757</v>
      </c>
      <c r="H925" s="1">
        <v>166900</v>
      </c>
      <c r="I925" s="1">
        <v>166900</v>
      </c>
      <c r="J925" s="1">
        <v>165000</v>
      </c>
      <c r="K925" s="2">
        <v>41757</v>
      </c>
      <c r="L925" s="1">
        <v>303</v>
      </c>
      <c r="M925" s="2">
        <v>42059</v>
      </c>
      <c r="N925" s="1">
        <v>303</v>
      </c>
      <c r="O925" s="2">
        <v>42059</v>
      </c>
      <c r="P925" s="1">
        <v>93043</v>
      </c>
      <c r="Q925" s="1" t="s">
        <v>197</v>
      </c>
      <c r="R925" s="2">
        <v>42094</v>
      </c>
      <c r="S925" s="1">
        <v>931571</v>
      </c>
      <c r="U925" s="1">
        <v>1354</v>
      </c>
      <c r="V925" s="1" t="s">
        <v>10196</v>
      </c>
      <c r="W925" s="1" t="s">
        <v>264</v>
      </c>
      <c r="Y925" s="1">
        <v>4</v>
      </c>
      <c r="Z925" s="1" t="s">
        <v>370</v>
      </c>
      <c r="AA925" s="1" t="s">
        <v>3334</v>
      </c>
      <c r="AB925" s="1">
        <v>60178</v>
      </c>
      <c r="AE925" s="1" t="s">
        <v>10197</v>
      </c>
      <c r="AF925" s="1">
        <v>2014</v>
      </c>
      <c r="AG925" s="1" t="s">
        <v>204</v>
      </c>
      <c r="AH925" s="1" t="s">
        <v>3336</v>
      </c>
      <c r="AI925" s="1" t="s">
        <v>2246</v>
      </c>
      <c r="AJ925" s="1" t="s">
        <v>3336</v>
      </c>
      <c r="AL925" s="1">
        <v>6</v>
      </c>
      <c r="AM925" s="1">
        <v>2</v>
      </c>
      <c r="AN925" s="1">
        <v>2</v>
      </c>
      <c r="AO925" s="1">
        <v>1</v>
      </c>
      <c r="AP925" s="1" t="s">
        <v>209</v>
      </c>
      <c r="AQ925" s="1">
        <v>1</v>
      </c>
      <c r="AR925" s="1" t="s">
        <v>209</v>
      </c>
      <c r="AS925" s="1" t="s">
        <v>204</v>
      </c>
      <c r="AT925" s="1" t="s">
        <v>211</v>
      </c>
      <c r="AU925" s="1">
        <v>2</v>
      </c>
      <c r="AW925" s="1" t="s">
        <v>204</v>
      </c>
      <c r="AX925" s="1" t="s">
        <v>212</v>
      </c>
      <c r="AZ925" s="1">
        <v>248.28</v>
      </c>
      <c r="BA925" s="1">
        <v>2013</v>
      </c>
      <c r="BE925" s="1">
        <v>1800</v>
      </c>
      <c r="BF925" s="1">
        <v>2</v>
      </c>
      <c r="BG925" s="1">
        <v>0</v>
      </c>
      <c r="BL925" s="1">
        <v>75</v>
      </c>
      <c r="BM925" s="1" t="s">
        <v>204</v>
      </c>
      <c r="BN925" s="1" t="s">
        <v>213</v>
      </c>
      <c r="BO925" s="1">
        <v>0</v>
      </c>
      <c r="BP925" s="1" t="s">
        <v>213</v>
      </c>
      <c r="BQ925" s="2">
        <v>41756</v>
      </c>
      <c r="BR925" s="1" t="str">
        <f>"0801225007"</f>
        <v>0801225007</v>
      </c>
      <c r="BT925" s="1" t="s">
        <v>10198</v>
      </c>
      <c r="BX925" s="1">
        <v>428</v>
      </c>
      <c r="BY925" s="1">
        <v>428</v>
      </c>
      <c r="BZ925" s="1">
        <v>428</v>
      </c>
      <c r="CB925" s="1" t="str">
        <f t="shared" ref="CB925:CC925" si="711">""</f>
        <v/>
      </c>
      <c r="CC925" s="1" t="str">
        <f t="shared" si="711"/>
        <v/>
      </c>
      <c r="CG925" s="1" t="s">
        <v>515</v>
      </c>
      <c r="CH925" s="1" t="s">
        <v>219</v>
      </c>
      <c r="CI925" s="1" t="s">
        <v>229</v>
      </c>
      <c r="CK925" s="1" t="s">
        <v>461</v>
      </c>
      <c r="CL925" s="1" t="s">
        <v>277</v>
      </c>
      <c r="CM925" s="1" t="s">
        <v>220</v>
      </c>
      <c r="CO925" s="1" t="s">
        <v>317</v>
      </c>
      <c r="CP925" s="1" t="s">
        <v>219</v>
      </c>
      <c r="CQ925" s="1" t="s">
        <v>229</v>
      </c>
      <c r="CS925" s="1" t="s">
        <v>461</v>
      </c>
      <c r="CT925" s="1" t="s">
        <v>277</v>
      </c>
      <c r="CU925" s="1" t="s">
        <v>220</v>
      </c>
      <c r="CX925" s="1" t="s">
        <v>224</v>
      </c>
      <c r="DB925" s="1" t="s">
        <v>224</v>
      </c>
      <c r="DE925" s="1" t="s">
        <v>317</v>
      </c>
      <c r="DF925" s="1" t="s">
        <v>219</v>
      </c>
      <c r="DG925" s="1" t="s">
        <v>229</v>
      </c>
      <c r="DJ925" s="1" t="s">
        <v>224</v>
      </c>
      <c r="DM925" s="1" t="s">
        <v>464</v>
      </c>
      <c r="DR925" s="1" t="s">
        <v>1133</v>
      </c>
      <c r="DS925" s="1" t="s">
        <v>277</v>
      </c>
      <c r="DT925" s="1" t="s">
        <v>220</v>
      </c>
      <c r="DW925" s="1" t="s">
        <v>230</v>
      </c>
      <c r="EA925" s="1" t="s">
        <v>230</v>
      </c>
      <c r="EE925" s="1" t="s">
        <v>230</v>
      </c>
      <c r="EI925" s="1" t="s">
        <v>230</v>
      </c>
      <c r="EL925" s="1" t="s">
        <v>1455</v>
      </c>
      <c r="EM925" s="1" t="s">
        <v>319</v>
      </c>
      <c r="EN925" s="1" t="s">
        <v>282</v>
      </c>
      <c r="EO925" s="1" t="s">
        <v>234</v>
      </c>
      <c r="EP925" s="1" t="s">
        <v>210</v>
      </c>
      <c r="EQ925" s="1" t="s">
        <v>236</v>
      </c>
      <c r="ER925" s="1" t="s">
        <v>1249</v>
      </c>
      <c r="ES925" s="1" t="s">
        <v>5707</v>
      </c>
      <c r="EU925" s="1" t="s">
        <v>1820</v>
      </c>
      <c r="EW925" s="1" t="s">
        <v>547</v>
      </c>
      <c r="EZ925" s="1" t="s">
        <v>464</v>
      </c>
      <c r="FB925" s="1" t="s">
        <v>846</v>
      </c>
      <c r="FC925" s="1" t="s">
        <v>326</v>
      </c>
      <c r="FD925" s="1" t="s">
        <v>246</v>
      </c>
      <c r="FE925" s="1" t="s">
        <v>975</v>
      </c>
      <c r="FF925" s="1" t="s">
        <v>248</v>
      </c>
      <c r="FH925" s="1" t="s">
        <v>550</v>
      </c>
      <c r="FI925" s="1" t="s">
        <v>357</v>
      </c>
      <c r="FL925" s="1" t="s">
        <v>358</v>
      </c>
      <c r="FM925" s="1" t="s">
        <v>252</v>
      </c>
      <c r="FN925" s="1" t="s">
        <v>213</v>
      </c>
      <c r="FO925" s="1" t="s">
        <v>213</v>
      </c>
      <c r="FQ925" s="1" t="s">
        <v>2091</v>
      </c>
      <c r="FR925" s="1" t="s">
        <v>210</v>
      </c>
      <c r="FS925" s="1" t="s">
        <v>1575</v>
      </c>
      <c r="FT925" s="1" t="s">
        <v>1408</v>
      </c>
      <c r="FU925" s="1" t="s">
        <v>204</v>
      </c>
      <c r="FW925" s="1" t="s">
        <v>10199</v>
      </c>
      <c r="FX925" s="1">
        <v>93008</v>
      </c>
      <c r="FY925" s="1" t="s">
        <v>10200</v>
      </c>
      <c r="FZ925" s="1" t="s">
        <v>10201</v>
      </c>
      <c r="GA925" s="1">
        <v>930008</v>
      </c>
      <c r="GB925" s="1" t="s">
        <v>10202</v>
      </c>
      <c r="GE925" s="1" t="s">
        <v>480</v>
      </c>
      <c r="GI925" s="1" t="s">
        <v>213</v>
      </c>
      <c r="GJ925" s="1" t="s">
        <v>260</v>
      </c>
      <c r="GK925" s="1" t="s">
        <v>210</v>
      </c>
      <c r="GL925" s="2">
        <v>42094</v>
      </c>
      <c r="GM925" s="1" t="s">
        <v>10203</v>
      </c>
    </row>
    <row r="926" spans="1:195">
      <c r="A926" s="1">
        <v>124800</v>
      </c>
      <c r="B926" s="1" t="s">
        <v>195</v>
      </c>
      <c r="C926" s="1" t="str">
        <f>"08605358"</f>
        <v>08605358</v>
      </c>
      <c r="D926" s="1" t="s">
        <v>196</v>
      </c>
      <c r="F926" s="1" t="str">
        <f>"540"</f>
        <v>540</v>
      </c>
      <c r="G926" s="2">
        <v>41764</v>
      </c>
      <c r="H926" s="1">
        <v>140990</v>
      </c>
      <c r="I926" s="1">
        <v>126999</v>
      </c>
      <c r="J926" s="1">
        <v>124800</v>
      </c>
      <c r="K926" s="2">
        <v>41764</v>
      </c>
      <c r="L926" s="1">
        <v>145</v>
      </c>
      <c r="M926" s="2">
        <v>41908</v>
      </c>
      <c r="N926" s="1">
        <v>145</v>
      </c>
      <c r="O926" s="2">
        <v>41908</v>
      </c>
      <c r="P926" s="1">
        <v>25678</v>
      </c>
      <c r="Q926" s="1" t="s">
        <v>423</v>
      </c>
      <c r="R926" s="2">
        <v>41969</v>
      </c>
      <c r="S926" s="1">
        <v>236327</v>
      </c>
      <c r="U926" s="1">
        <v>97</v>
      </c>
      <c r="V926" s="1" t="s">
        <v>10204</v>
      </c>
      <c r="W926" s="1" t="s">
        <v>304</v>
      </c>
      <c r="X926" s="1" t="s">
        <v>10205</v>
      </c>
      <c r="Y926" s="1">
        <v>4</v>
      </c>
      <c r="Z926" s="1" t="s">
        <v>370</v>
      </c>
      <c r="AA926" s="1" t="s">
        <v>921</v>
      </c>
      <c r="AB926" s="1">
        <v>60565</v>
      </c>
      <c r="AC926" s="1">
        <v>3246</v>
      </c>
      <c r="AD926" s="1" t="s">
        <v>1889</v>
      </c>
      <c r="AE926" s="1" t="s">
        <v>10206</v>
      </c>
      <c r="AF926" s="1">
        <v>1987</v>
      </c>
      <c r="AG926" s="1" t="s">
        <v>204</v>
      </c>
      <c r="AH926" s="1" t="s">
        <v>924</v>
      </c>
      <c r="AI926" s="1" t="s">
        <v>206</v>
      </c>
      <c r="AJ926" s="1" t="s">
        <v>925</v>
      </c>
      <c r="AK926" s="1" t="s">
        <v>10207</v>
      </c>
      <c r="AL926" s="1">
        <v>5</v>
      </c>
      <c r="AM926" s="1">
        <v>2</v>
      </c>
      <c r="AN926" s="1">
        <v>1</v>
      </c>
      <c r="AO926" s="1">
        <v>1</v>
      </c>
      <c r="AP926" s="1" t="s">
        <v>667</v>
      </c>
      <c r="AQ926" s="1">
        <v>1</v>
      </c>
      <c r="AR926" s="1" t="s">
        <v>210</v>
      </c>
      <c r="AS926" s="1" t="s">
        <v>204</v>
      </c>
      <c r="AT926" s="1" t="s">
        <v>211</v>
      </c>
      <c r="AU926" s="1">
        <v>1</v>
      </c>
      <c r="AW926" s="1" t="s">
        <v>204</v>
      </c>
      <c r="AX926" s="1" t="s">
        <v>212</v>
      </c>
      <c r="AZ926" s="1">
        <v>2064</v>
      </c>
      <c r="BA926" s="1">
        <v>2013</v>
      </c>
      <c r="BB926" s="1" t="s">
        <v>405</v>
      </c>
      <c r="BE926" s="1">
        <v>1136</v>
      </c>
      <c r="BF926" s="1">
        <v>1</v>
      </c>
      <c r="BG926" s="1">
        <v>30</v>
      </c>
      <c r="BL926" s="1">
        <v>223</v>
      </c>
      <c r="BM926" s="1" t="s">
        <v>204</v>
      </c>
      <c r="BN926" s="1" t="s">
        <v>213</v>
      </c>
      <c r="BO926" s="1">
        <v>100</v>
      </c>
      <c r="BP926" s="1" t="s">
        <v>204</v>
      </c>
      <c r="BR926" s="1" t="str">
        <f>"0831412020"</f>
        <v>0831412020</v>
      </c>
      <c r="BT926" s="1" t="s">
        <v>10208</v>
      </c>
      <c r="BU926" s="1" t="s">
        <v>1892</v>
      </c>
      <c r="BV926" s="1" t="s">
        <v>929</v>
      </c>
      <c r="BW926" s="1" t="s">
        <v>930</v>
      </c>
      <c r="BX926" s="1">
        <v>203</v>
      </c>
      <c r="BY926" s="1">
        <v>203</v>
      </c>
      <c r="BZ926" s="1">
        <v>203</v>
      </c>
      <c r="CB926" s="1" t="str">
        <f t="shared" ref="CB926:CC926" si="712">""</f>
        <v/>
      </c>
      <c r="CC926" s="1" t="str">
        <f t="shared" si="712"/>
        <v/>
      </c>
      <c r="CG926" s="1" t="s">
        <v>538</v>
      </c>
      <c r="CH926" s="1" t="s">
        <v>219</v>
      </c>
      <c r="CK926" s="1" t="s">
        <v>757</v>
      </c>
      <c r="CL926" s="1" t="s">
        <v>219</v>
      </c>
      <c r="CO926" s="1" t="s">
        <v>379</v>
      </c>
      <c r="CP926" s="1" t="s">
        <v>219</v>
      </c>
      <c r="CS926" s="1" t="s">
        <v>346</v>
      </c>
      <c r="CT926" s="1" t="s">
        <v>219</v>
      </c>
      <c r="CX926" s="1" t="s">
        <v>224</v>
      </c>
      <c r="DB926" s="1" t="s">
        <v>224</v>
      </c>
      <c r="DE926" s="1" t="s">
        <v>686</v>
      </c>
      <c r="DF926" s="1" t="s">
        <v>219</v>
      </c>
      <c r="DJ926" s="1" t="s">
        <v>224</v>
      </c>
      <c r="DS926" s="1" t="s">
        <v>230</v>
      </c>
      <c r="DW926" s="1" t="s">
        <v>230</v>
      </c>
      <c r="EA926" s="1" t="s">
        <v>230</v>
      </c>
      <c r="EE926" s="1" t="s">
        <v>230</v>
      </c>
      <c r="EI926" s="1" t="s">
        <v>230</v>
      </c>
      <c r="EL926" s="1" t="s">
        <v>542</v>
      </c>
      <c r="EM926" s="1" t="s">
        <v>232</v>
      </c>
      <c r="EN926" s="1" t="s">
        <v>282</v>
      </c>
      <c r="EO926" s="1" t="s">
        <v>234</v>
      </c>
      <c r="EP926" s="1" t="s">
        <v>650</v>
      </c>
      <c r="EQ926" s="1" t="s">
        <v>1109</v>
      </c>
      <c r="ER926" s="1" t="s">
        <v>210</v>
      </c>
      <c r="ES926" s="1" t="s">
        <v>3932</v>
      </c>
      <c r="EU926" s="1" t="s">
        <v>10209</v>
      </c>
      <c r="EV926" s="1" t="s">
        <v>352</v>
      </c>
      <c r="EW926" s="1" t="s">
        <v>353</v>
      </c>
      <c r="EZ926" s="1" t="s">
        <v>287</v>
      </c>
      <c r="FB926" s="1" t="s">
        <v>289</v>
      </c>
      <c r="FD926" s="1" t="s">
        <v>246</v>
      </c>
      <c r="FE926" s="1" t="s">
        <v>355</v>
      </c>
      <c r="FF926" s="1" t="s">
        <v>248</v>
      </c>
      <c r="FG926" s="1" t="s">
        <v>939</v>
      </c>
      <c r="FH926" s="1" t="s">
        <v>1205</v>
      </c>
      <c r="FL926" s="1" t="s">
        <v>358</v>
      </c>
      <c r="FM926" s="1" t="s">
        <v>252</v>
      </c>
      <c r="FN926" s="1" t="s">
        <v>213</v>
      </c>
      <c r="FO926" s="1" t="s">
        <v>213</v>
      </c>
      <c r="FQ926" s="1" t="s">
        <v>913</v>
      </c>
      <c r="FR926" s="1" t="s">
        <v>210</v>
      </c>
      <c r="FS926" s="1" t="s">
        <v>10210</v>
      </c>
      <c r="FT926" s="1" t="s">
        <v>1139</v>
      </c>
      <c r="FU926" s="1" t="s">
        <v>204</v>
      </c>
      <c r="FV926" s="1" t="s">
        <v>10211</v>
      </c>
      <c r="FW926" s="1" t="s">
        <v>3546</v>
      </c>
      <c r="FX926" s="1">
        <v>24695</v>
      </c>
      <c r="FY926" s="1" t="s">
        <v>3547</v>
      </c>
      <c r="FZ926" s="1" t="s">
        <v>10212</v>
      </c>
      <c r="GA926" s="1">
        <v>233154</v>
      </c>
      <c r="GB926" s="1" t="s">
        <v>10213</v>
      </c>
      <c r="GC926" s="1">
        <v>231503</v>
      </c>
      <c r="GD926" s="1" t="s">
        <v>10214</v>
      </c>
      <c r="GE926" s="1" t="s">
        <v>480</v>
      </c>
      <c r="GI926" s="1" t="s">
        <v>213</v>
      </c>
      <c r="GJ926" s="1" t="s">
        <v>260</v>
      </c>
      <c r="GK926" s="1" t="s">
        <v>210</v>
      </c>
      <c r="GL926" s="2">
        <v>41970</v>
      </c>
      <c r="GM926" s="1" t="s">
        <v>10215</v>
      </c>
    </row>
    <row r="927" spans="1:195">
      <c r="A927" s="1">
        <v>75000</v>
      </c>
      <c r="B927" s="1" t="s">
        <v>195</v>
      </c>
      <c r="C927" s="1" t="str">
        <f>"08603730"</f>
        <v>08603730</v>
      </c>
      <c r="D927" s="1" t="s">
        <v>196</v>
      </c>
      <c r="F927" s="1" t="str">
        <f>"507"</f>
        <v>507</v>
      </c>
      <c r="G927" s="2">
        <v>41762</v>
      </c>
      <c r="H927" s="1">
        <v>90000</v>
      </c>
      <c r="I927" s="1">
        <v>90000</v>
      </c>
      <c r="J927" s="1">
        <v>75000</v>
      </c>
      <c r="K927" s="2">
        <v>41762</v>
      </c>
      <c r="L927" s="1">
        <v>26</v>
      </c>
      <c r="M927" s="2">
        <v>41787</v>
      </c>
      <c r="N927" s="1">
        <v>26</v>
      </c>
      <c r="O927" s="2">
        <v>41787</v>
      </c>
      <c r="P927" s="1">
        <v>23076</v>
      </c>
      <c r="Q927" s="1" t="s">
        <v>197</v>
      </c>
      <c r="R927" s="2">
        <v>42027</v>
      </c>
      <c r="S927" s="1">
        <v>234687</v>
      </c>
      <c r="U927" s="1">
        <v>2635</v>
      </c>
      <c r="V927" s="1" t="s">
        <v>10216</v>
      </c>
      <c r="W927" s="1" t="s">
        <v>304</v>
      </c>
      <c r="Y927" s="1">
        <v>4</v>
      </c>
      <c r="Z927" s="1" t="s">
        <v>370</v>
      </c>
      <c r="AA927" s="1" t="s">
        <v>1123</v>
      </c>
      <c r="AB927" s="1">
        <v>60502</v>
      </c>
      <c r="AC927" s="1">
        <v>2311</v>
      </c>
      <c r="AD927" s="1" t="s">
        <v>10217</v>
      </c>
      <c r="AE927" s="1" t="s">
        <v>10218</v>
      </c>
      <c r="AF927" s="1">
        <v>1983</v>
      </c>
      <c r="AG927" s="1" t="s">
        <v>204</v>
      </c>
      <c r="AH927" s="1" t="s">
        <v>1126</v>
      </c>
      <c r="AI927" s="1" t="s">
        <v>206</v>
      </c>
      <c r="AJ927" s="1" t="s">
        <v>924</v>
      </c>
      <c r="AL927" s="1">
        <v>5</v>
      </c>
      <c r="AM927" s="1">
        <v>2</v>
      </c>
      <c r="AN927" s="1">
        <v>1</v>
      </c>
      <c r="AO927" s="1">
        <v>1</v>
      </c>
      <c r="AP927" s="1" t="s">
        <v>210</v>
      </c>
      <c r="AQ927" s="1">
        <v>1</v>
      </c>
      <c r="AR927" s="1" t="s">
        <v>210</v>
      </c>
      <c r="AT927" s="1" t="s">
        <v>211</v>
      </c>
      <c r="AU927" s="1">
        <v>1</v>
      </c>
      <c r="AW927" s="1" t="s">
        <v>204</v>
      </c>
      <c r="AX927" s="1" t="s">
        <v>212</v>
      </c>
      <c r="AZ927" s="1">
        <v>1807</v>
      </c>
      <c r="BA927" s="1">
        <v>2013</v>
      </c>
      <c r="BB927" s="1" t="s">
        <v>405</v>
      </c>
      <c r="BE927" s="1">
        <v>896</v>
      </c>
      <c r="BF927" s="1">
        <v>1</v>
      </c>
      <c r="BG927" s="1">
        <v>0</v>
      </c>
      <c r="BL927" s="1">
        <v>140</v>
      </c>
      <c r="BM927" s="1" t="s">
        <v>413</v>
      </c>
      <c r="BN927" s="1" t="s">
        <v>213</v>
      </c>
      <c r="BO927" s="1">
        <v>75</v>
      </c>
      <c r="BP927" s="1" t="s">
        <v>204</v>
      </c>
      <c r="BR927" s="1" t="str">
        <f>"0706208048"</f>
        <v>0706208048</v>
      </c>
      <c r="BT927" s="1" t="s">
        <v>10219</v>
      </c>
      <c r="BU927" s="1" t="s">
        <v>5816</v>
      </c>
      <c r="BV927" s="1" t="s">
        <v>1130</v>
      </c>
      <c r="BW927" s="1" t="s">
        <v>1131</v>
      </c>
      <c r="BX927" s="1">
        <v>204</v>
      </c>
      <c r="BY927" s="1">
        <v>204</v>
      </c>
      <c r="BZ927" s="1">
        <v>204</v>
      </c>
      <c r="CB927" s="1" t="str">
        <f t="shared" ref="CB927:CC927" si="713">""</f>
        <v/>
      </c>
      <c r="CC927" s="1" t="str">
        <f t="shared" si="713"/>
        <v/>
      </c>
      <c r="CD927" s="1">
        <v>32</v>
      </c>
      <c r="CE927" s="1">
        <v>4</v>
      </c>
      <c r="CG927" s="1" t="s">
        <v>1297</v>
      </c>
      <c r="CH927" s="1" t="s">
        <v>219</v>
      </c>
      <c r="CI927" s="1" t="s">
        <v>220</v>
      </c>
      <c r="CJ927" s="1" t="s">
        <v>463</v>
      </c>
      <c r="CK927" s="1" t="s">
        <v>437</v>
      </c>
      <c r="CL927" s="1" t="s">
        <v>277</v>
      </c>
      <c r="CM927" s="1" t="s">
        <v>220</v>
      </c>
      <c r="CN927" s="1" t="s">
        <v>463</v>
      </c>
      <c r="CO927" s="1" t="s">
        <v>316</v>
      </c>
      <c r="CP927" s="1" t="s">
        <v>219</v>
      </c>
      <c r="CQ927" s="1" t="s">
        <v>220</v>
      </c>
      <c r="CR927" s="1" t="s">
        <v>210</v>
      </c>
      <c r="CS927" s="1" t="s">
        <v>379</v>
      </c>
      <c r="CT927" s="1" t="s">
        <v>277</v>
      </c>
      <c r="CU927" s="1" t="s">
        <v>220</v>
      </c>
      <c r="CV927" s="1" t="s">
        <v>463</v>
      </c>
      <c r="CX927" s="1" t="s">
        <v>224</v>
      </c>
      <c r="DB927" s="1" t="s">
        <v>224</v>
      </c>
      <c r="DE927" s="1" t="s">
        <v>409</v>
      </c>
      <c r="DF927" s="1" t="s">
        <v>219</v>
      </c>
      <c r="DG927" s="1" t="s">
        <v>342</v>
      </c>
      <c r="DH927" s="1" t="s">
        <v>210</v>
      </c>
      <c r="DJ927" s="1" t="s">
        <v>224</v>
      </c>
      <c r="DS927" s="1" t="s">
        <v>230</v>
      </c>
      <c r="DW927" s="1" t="s">
        <v>230</v>
      </c>
      <c r="EA927" s="1" t="s">
        <v>230</v>
      </c>
      <c r="EE927" s="1" t="s">
        <v>230</v>
      </c>
      <c r="EI927" s="1" t="s">
        <v>230</v>
      </c>
      <c r="EL927" s="1" t="s">
        <v>231</v>
      </c>
      <c r="EM927" s="1" t="s">
        <v>319</v>
      </c>
      <c r="EN927" s="1" t="s">
        <v>282</v>
      </c>
      <c r="EO927" s="1" t="s">
        <v>234</v>
      </c>
      <c r="EP927" s="1" t="s">
        <v>283</v>
      </c>
      <c r="ER927" s="1" t="s">
        <v>383</v>
      </c>
      <c r="EV927" s="1" t="s">
        <v>240</v>
      </c>
      <c r="EW927" s="1" t="s">
        <v>10220</v>
      </c>
      <c r="EY927" s="1" t="s">
        <v>790</v>
      </c>
      <c r="EZ927" s="1" t="s">
        <v>287</v>
      </c>
      <c r="FB927" s="1" t="s">
        <v>289</v>
      </c>
      <c r="FC927" s="1" t="s">
        <v>326</v>
      </c>
      <c r="FD927" s="1" t="s">
        <v>246</v>
      </c>
      <c r="FE927" s="1" t="s">
        <v>472</v>
      </c>
      <c r="FF927" s="1" t="s">
        <v>248</v>
      </c>
      <c r="FH927" s="1" t="s">
        <v>940</v>
      </c>
      <c r="FI927" s="1" t="s">
        <v>357</v>
      </c>
      <c r="FJ927" s="1" t="s">
        <v>10221</v>
      </c>
      <c r="FL927" s="1" t="s">
        <v>414</v>
      </c>
      <c r="FM927" s="1" t="s">
        <v>252</v>
      </c>
      <c r="FN927" s="1" t="s">
        <v>213</v>
      </c>
      <c r="FO927" s="1" t="s">
        <v>213</v>
      </c>
      <c r="FQ927" s="1" t="s">
        <v>2512</v>
      </c>
      <c r="FR927" s="1" t="s">
        <v>360</v>
      </c>
      <c r="FS927" s="1" t="s">
        <v>10222</v>
      </c>
      <c r="FT927" s="1" t="s">
        <v>10223</v>
      </c>
      <c r="FU927" s="1" t="s">
        <v>204</v>
      </c>
      <c r="FV927" s="1">
        <v>6308003612</v>
      </c>
      <c r="FW927" s="1" t="s">
        <v>10224</v>
      </c>
      <c r="FX927" s="1">
        <v>24060</v>
      </c>
      <c r="FY927" s="1" t="s">
        <v>10225</v>
      </c>
      <c r="FZ927" s="1" t="s">
        <v>10226</v>
      </c>
      <c r="GA927" s="1">
        <v>228824</v>
      </c>
      <c r="GB927" s="1" t="s">
        <v>10227</v>
      </c>
      <c r="GD927" s="1" t="s">
        <v>10228</v>
      </c>
      <c r="GE927" s="1" t="s">
        <v>776</v>
      </c>
      <c r="GI927" s="1" t="s">
        <v>213</v>
      </c>
      <c r="GJ927" s="1" t="s">
        <v>260</v>
      </c>
      <c r="GK927" s="1" t="s">
        <v>210</v>
      </c>
      <c r="GL927" s="2">
        <v>42030</v>
      </c>
      <c r="GM927" s="1" t="s">
        <v>10229</v>
      </c>
    </row>
    <row r="928" spans="1:195">
      <c r="A928" s="1">
        <v>142000</v>
      </c>
      <c r="B928" s="1" t="s">
        <v>195</v>
      </c>
      <c r="C928" s="1" t="str">
        <f>"08353964"</f>
        <v>08353964</v>
      </c>
      <c r="D928" s="1" t="s">
        <v>196</v>
      </c>
      <c r="F928" s="1" t="str">
        <f>"555"</f>
        <v>555</v>
      </c>
      <c r="G928" s="2">
        <v>41422</v>
      </c>
      <c r="H928" s="1">
        <v>149900</v>
      </c>
      <c r="I928" s="1">
        <v>139500</v>
      </c>
      <c r="J928" s="1">
        <v>142000</v>
      </c>
      <c r="K928" s="2">
        <v>41422</v>
      </c>
      <c r="L928" s="1">
        <v>451</v>
      </c>
      <c r="M928" s="2">
        <v>41872</v>
      </c>
      <c r="N928" s="1">
        <v>451</v>
      </c>
      <c r="O928" s="2">
        <v>41872</v>
      </c>
      <c r="P928" s="1">
        <v>25163</v>
      </c>
      <c r="Q928" s="1" t="s">
        <v>197</v>
      </c>
      <c r="R928" s="2">
        <v>42003</v>
      </c>
      <c r="S928" s="1">
        <v>259639</v>
      </c>
      <c r="U928" s="1" t="s">
        <v>10230</v>
      </c>
      <c r="V928" s="1" t="s">
        <v>9371</v>
      </c>
      <c r="W928" s="1" t="s">
        <v>264</v>
      </c>
      <c r="Y928" s="1">
        <v>4</v>
      </c>
      <c r="Z928" s="1" t="s">
        <v>249</v>
      </c>
      <c r="AA928" s="1" t="s">
        <v>984</v>
      </c>
      <c r="AB928" s="1">
        <v>60555</v>
      </c>
      <c r="AC928" s="1">
        <v>2481</v>
      </c>
      <c r="AD928" s="1" t="s">
        <v>10231</v>
      </c>
      <c r="AE928" s="1" t="s">
        <v>10232</v>
      </c>
      <c r="AF928" s="1">
        <v>1989</v>
      </c>
      <c r="AG928" s="1" t="s">
        <v>204</v>
      </c>
      <c r="AH928" s="1" t="s">
        <v>986</v>
      </c>
      <c r="AI928" s="1" t="s">
        <v>206</v>
      </c>
      <c r="AJ928" s="1" t="s">
        <v>987</v>
      </c>
      <c r="AK928" s="1" t="s">
        <v>5115</v>
      </c>
      <c r="AL928" s="1">
        <v>6</v>
      </c>
      <c r="AM928" s="1">
        <v>2</v>
      </c>
      <c r="AN928" s="1">
        <v>1</v>
      </c>
      <c r="AO928" s="1">
        <v>1</v>
      </c>
      <c r="AP928" s="1" t="s">
        <v>210</v>
      </c>
      <c r="AQ928" s="1">
        <v>1</v>
      </c>
      <c r="AR928" s="1" t="s">
        <v>210</v>
      </c>
      <c r="AS928" s="1" t="s">
        <v>204</v>
      </c>
      <c r="AT928" s="1" t="s">
        <v>211</v>
      </c>
      <c r="AU928" s="1">
        <v>2</v>
      </c>
      <c r="AW928" s="1" t="s">
        <v>204</v>
      </c>
      <c r="AX928" s="1" t="s">
        <v>212</v>
      </c>
      <c r="AZ928" s="1">
        <v>3493</v>
      </c>
      <c r="BA928" s="1">
        <v>2013</v>
      </c>
      <c r="BB928" s="1" t="s">
        <v>405</v>
      </c>
      <c r="BE928" s="1">
        <v>1448</v>
      </c>
      <c r="BF928" s="1">
        <v>1</v>
      </c>
      <c r="BG928" s="1">
        <v>1</v>
      </c>
      <c r="BL928" s="1">
        <v>200</v>
      </c>
      <c r="BM928" s="1" t="s">
        <v>204</v>
      </c>
      <c r="BN928" s="1" t="s">
        <v>213</v>
      </c>
      <c r="BO928" s="1">
        <v>999</v>
      </c>
      <c r="BP928" s="1" t="s">
        <v>204</v>
      </c>
      <c r="BR928" s="1" t="str">
        <f>"0434124017"</f>
        <v>0434124017</v>
      </c>
      <c r="BT928" s="1" t="s">
        <v>10233</v>
      </c>
      <c r="BU928" s="1" t="s">
        <v>989</v>
      </c>
      <c r="BV928" s="1" t="s">
        <v>990</v>
      </c>
      <c r="BW928" s="1" t="s">
        <v>971</v>
      </c>
      <c r="BX928" s="1">
        <v>200</v>
      </c>
      <c r="BY928" s="1">
        <v>200</v>
      </c>
      <c r="BZ928" s="1">
        <v>200</v>
      </c>
      <c r="CB928" s="1" t="str">
        <f t="shared" ref="CB928:CC928" si="714">""</f>
        <v/>
      </c>
      <c r="CC928" s="1" t="str">
        <f t="shared" si="714"/>
        <v/>
      </c>
      <c r="CG928" s="1" t="s">
        <v>538</v>
      </c>
      <c r="CH928" s="1" t="s">
        <v>219</v>
      </c>
      <c r="CI928" s="1" t="s">
        <v>220</v>
      </c>
      <c r="CK928" s="1" t="s">
        <v>218</v>
      </c>
      <c r="CL928" s="1" t="s">
        <v>277</v>
      </c>
      <c r="CM928" s="1" t="s">
        <v>220</v>
      </c>
      <c r="CO928" s="1" t="s">
        <v>409</v>
      </c>
      <c r="CP928" s="1" t="s">
        <v>219</v>
      </c>
      <c r="CQ928" s="1" t="s">
        <v>220</v>
      </c>
      <c r="CS928" s="1" t="s">
        <v>465</v>
      </c>
      <c r="CT928" s="1" t="s">
        <v>277</v>
      </c>
      <c r="CU928" s="1" t="s">
        <v>220</v>
      </c>
      <c r="CX928" s="1" t="s">
        <v>224</v>
      </c>
      <c r="DB928" s="1" t="s">
        <v>224</v>
      </c>
      <c r="DE928" s="1" t="s">
        <v>316</v>
      </c>
      <c r="DF928" s="1" t="s">
        <v>219</v>
      </c>
      <c r="DG928" s="1" t="s">
        <v>229</v>
      </c>
      <c r="DI928" s="1" t="s">
        <v>8108</v>
      </c>
      <c r="DJ928" s="1" t="s">
        <v>277</v>
      </c>
      <c r="DK928" s="1" t="s">
        <v>220</v>
      </c>
      <c r="DM928" s="1" t="s">
        <v>709</v>
      </c>
      <c r="DO928" s="1" t="s">
        <v>1771</v>
      </c>
      <c r="DR928" s="1" t="s">
        <v>2968</v>
      </c>
      <c r="DS928" s="1" t="s">
        <v>219</v>
      </c>
      <c r="DT928" s="1" t="s">
        <v>438</v>
      </c>
      <c r="DW928" s="1" t="s">
        <v>230</v>
      </c>
      <c r="DZ928" s="1" t="s">
        <v>5222</v>
      </c>
      <c r="EA928" s="1" t="s">
        <v>277</v>
      </c>
      <c r="EE928" s="1" t="s">
        <v>230</v>
      </c>
      <c r="EI928" s="1" t="s">
        <v>230</v>
      </c>
      <c r="EL928" s="1" t="s">
        <v>382</v>
      </c>
      <c r="EM928" s="1" t="s">
        <v>319</v>
      </c>
      <c r="EN928" s="1" t="s">
        <v>282</v>
      </c>
      <c r="EO928" s="1" t="s">
        <v>1020</v>
      </c>
      <c r="EP928" s="1" t="s">
        <v>10234</v>
      </c>
      <c r="EQ928" s="1" t="s">
        <v>236</v>
      </c>
      <c r="ER928" s="1" t="s">
        <v>210</v>
      </c>
      <c r="ES928" s="1" t="s">
        <v>1552</v>
      </c>
      <c r="EU928" s="1" t="s">
        <v>10235</v>
      </c>
      <c r="EV928" s="1" t="s">
        <v>352</v>
      </c>
      <c r="EW928" s="1" t="s">
        <v>887</v>
      </c>
      <c r="EY928" s="1" t="s">
        <v>242</v>
      </c>
      <c r="EZ928" s="1" t="s">
        <v>2948</v>
      </c>
      <c r="FA928" s="1" t="s">
        <v>714</v>
      </c>
      <c r="FB928" s="1" t="s">
        <v>289</v>
      </c>
      <c r="FC928" s="1" t="s">
        <v>735</v>
      </c>
      <c r="FD928" s="1" t="s">
        <v>246</v>
      </c>
      <c r="FE928" s="1" t="s">
        <v>347</v>
      </c>
      <c r="FF928" s="1" t="s">
        <v>2868</v>
      </c>
      <c r="FG928" s="1" t="s">
        <v>1204</v>
      </c>
      <c r="FH928" s="1" t="s">
        <v>249</v>
      </c>
      <c r="FI928" s="1" t="s">
        <v>473</v>
      </c>
      <c r="FL928" s="1" t="s">
        <v>358</v>
      </c>
      <c r="FM928" s="1" t="s">
        <v>252</v>
      </c>
      <c r="FN928" s="1" t="s">
        <v>213</v>
      </c>
      <c r="FO928" s="1" t="s">
        <v>213</v>
      </c>
      <c r="FQ928" s="1" t="s">
        <v>10236</v>
      </c>
      <c r="FR928" s="1" t="s">
        <v>360</v>
      </c>
      <c r="FS928" s="1" t="s">
        <v>3061</v>
      </c>
      <c r="FT928" s="1" t="s">
        <v>10237</v>
      </c>
      <c r="FU928" s="1" t="s">
        <v>204</v>
      </c>
      <c r="FW928" s="1" t="s">
        <v>5440</v>
      </c>
      <c r="FX928" s="1">
        <v>25459</v>
      </c>
      <c r="FY928" s="1" t="s">
        <v>5441</v>
      </c>
      <c r="FZ928" s="1" t="s">
        <v>5442</v>
      </c>
      <c r="GA928" s="1">
        <v>241780</v>
      </c>
      <c r="GB928" s="1" t="s">
        <v>5443</v>
      </c>
      <c r="GC928" s="1">
        <v>259235</v>
      </c>
      <c r="GE928" s="1" t="s">
        <v>1333</v>
      </c>
      <c r="GI928" s="1" t="s">
        <v>204</v>
      </c>
      <c r="GJ928" s="1" t="s">
        <v>260</v>
      </c>
      <c r="GK928" s="1" t="s">
        <v>210</v>
      </c>
      <c r="GL928" s="2">
        <v>42004</v>
      </c>
      <c r="GM928" s="1" t="s">
        <v>10238</v>
      </c>
    </row>
    <row r="929" spans="1:195">
      <c r="A929" s="1">
        <v>116000</v>
      </c>
      <c r="B929" s="1" t="s">
        <v>195</v>
      </c>
      <c r="C929" s="1" t="str">
        <f>"08605542"</f>
        <v>08605542</v>
      </c>
      <c r="D929" s="1" t="s">
        <v>196</v>
      </c>
      <c r="F929" s="1" t="str">
        <f>"140"</f>
        <v>140</v>
      </c>
      <c r="G929" s="2">
        <v>41764</v>
      </c>
      <c r="H929" s="1">
        <v>137500</v>
      </c>
      <c r="I929" s="1">
        <v>118900</v>
      </c>
      <c r="J929" s="1">
        <v>116000</v>
      </c>
      <c r="K929" s="2">
        <v>41764</v>
      </c>
      <c r="L929" s="1">
        <v>264</v>
      </c>
      <c r="M929" s="2">
        <v>42027</v>
      </c>
      <c r="N929" s="1">
        <v>264</v>
      </c>
      <c r="O929" s="2">
        <v>42027</v>
      </c>
      <c r="P929" s="1">
        <v>24431</v>
      </c>
      <c r="Q929" s="1" t="s">
        <v>423</v>
      </c>
      <c r="R929" s="2">
        <v>42142</v>
      </c>
      <c r="S929" s="1">
        <v>220045</v>
      </c>
      <c r="U929" s="1">
        <v>924</v>
      </c>
      <c r="V929" s="1" t="s">
        <v>10239</v>
      </c>
      <c r="W929" s="1" t="s">
        <v>504</v>
      </c>
      <c r="Y929" s="1">
        <v>4</v>
      </c>
      <c r="Z929" s="1" t="s">
        <v>370</v>
      </c>
      <c r="AA929" s="1" t="s">
        <v>744</v>
      </c>
      <c r="AB929" s="1">
        <v>60140</v>
      </c>
      <c r="AD929" s="1" t="s">
        <v>745</v>
      </c>
      <c r="AE929" s="1" t="s">
        <v>10240</v>
      </c>
      <c r="AF929" s="1">
        <v>2005</v>
      </c>
      <c r="AG929" s="1" t="s">
        <v>204</v>
      </c>
      <c r="AH929" s="1" t="s">
        <v>747</v>
      </c>
      <c r="AI929" s="1" t="s">
        <v>665</v>
      </c>
      <c r="AJ929" s="1" t="s">
        <v>1660</v>
      </c>
      <c r="AK929" s="1" t="s">
        <v>10241</v>
      </c>
      <c r="AL929" s="1">
        <v>8</v>
      </c>
      <c r="AM929" s="1">
        <v>2</v>
      </c>
      <c r="AN929" s="1">
        <v>2</v>
      </c>
      <c r="AO929" s="1">
        <v>1</v>
      </c>
      <c r="AP929" s="1" t="s">
        <v>209</v>
      </c>
      <c r="AR929" s="1" t="s">
        <v>1421</v>
      </c>
      <c r="AS929" s="1" t="s">
        <v>204</v>
      </c>
      <c r="AT929" s="1" t="s">
        <v>211</v>
      </c>
      <c r="AU929" s="1">
        <v>2</v>
      </c>
      <c r="AW929" s="1" t="s">
        <v>204</v>
      </c>
      <c r="AX929" s="1" t="s">
        <v>212</v>
      </c>
      <c r="AZ929" s="1">
        <v>4622.5200000000004</v>
      </c>
      <c r="BA929" s="1">
        <v>2013</v>
      </c>
      <c r="BB929" s="1" t="s">
        <v>405</v>
      </c>
      <c r="BE929" s="1">
        <v>1757</v>
      </c>
      <c r="BF929" s="1">
        <v>1</v>
      </c>
      <c r="BG929" s="1">
        <v>0</v>
      </c>
      <c r="BL929" s="1">
        <v>142</v>
      </c>
      <c r="BM929" s="1" t="s">
        <v>204</v>
      </c>
      <c r="BN929" s="1" t="s">
        <v>213</v>
      </c>
      <c r="BO929" s="1">
        <v>0</v>
      </c>
      <c r="BP929" s="1" t="s">
        <v>204</v>
      </c>
      <c r="BR929" s="1" t="str">
        <f>"0228305028"</f>
        <v>0228305028</v>
      </c>
      <c r="BT929" s="1" t="s">
        <v>10242</v>
      </c>
      <c r="BU929" s="1" t="s">
        <v>753</v>
      </c>
      <c r="BV929" s="1" t="s">
        <v>754</v>
      </c>
      <c r="BW929" s="1" t="s">
        <v>755</v>
      </c>
      <c r="BX929" s="1">
        <v>300</v>
      </c>
      <c r="BY929" s="1">
        <v>300</v>
      </c>
      <c r="BZ929" s="1">
        <v>300</v>
      </c>
      <c r="CB929" s="1" t="str">
        <f>"15"</f>
        <v>15</v>
      </c>
      <c r="CC929" s="1" t="str">
        <f>""</f>
        <v/>
      </c>
      <c r="CD929" s="1">
        <v>47</v>
      </c>
      <c r="CG929" s="1" t="s">
        <v>465</v>
      </c>
      <c r="CH929" s="1" t="s">
        <v>219</v>
      </c>
      <c r="CI929" s="1" t="s">
        <v>220</v>
      </c>
      <c r="CJ929" s="1" t="s">
        <v>343</v>
      </c>
      <c r="CK929" s="1" t="s">
        <v>885</v>
      </c>
      <c r="CL929" s="1" t="s">
        <v>277</v>
      </c>
      <c r="CM929" s="1" t="s">
        <v>220</v>
      </c>
      <c r="CN929" s="1" t="s">
        <v>343</v>
      </c>
      <c r="CO929" s="1" t="s">
        <v>278</v>
      </c>
      <c r="CP929" s="1" t="s">
        <v>219</v>
      </c>
      <c r="CQ929" s="1" t="s">
        <v>220</v>
      </c>
      <c r="CR929" s="1" t="s">
        <v>210</v>
      </c>
      <c r="CS929" s="1" t="s">
        <v>281</v>
      </c>
      <c r="CT929" s="1" t="s">
        <v>277</v>
      </c>
      <c r="CU929" s="1" t="s">
        <v>220</v>
      </c>
      <c r="CV929" s="1" t="s">
        <v>343</v>
      </c>
      <c r="CX929" s="1" t="s">
        <v>224</v>
      </c>
      <c r="DB929" s="1" t="s">
        <v>224</v>
      </c>
      <c r="DE929" s="1" t="s">
        <v>346</v>
      </c>
      <c r="DF929" s="1" t="s">
        <v>219</v>
      </c>
      <c r="DG929" s="1" t="s">
        <v>342</v>
      </c>
      <c r="DH929" s="1" t="s">
        <v>343</v>
      </c>
      <c r="DI929" s="1" t="s">
        <v>317</v>
      </c>
      <c r="DJ929" s="1" t="s">
        <v>822</v>
      </c>
      <c r="DK929" s="1" t="s">
        <v>220</v>
      </c>
      <c r="DL929" s="1" t="s">
        <v>343</v>
      </c>
      <c r="DM929" s="1" t="s">
        <v>1548</v>
      </c>
      <c r="DN929" s="1" t="s">
        <v>464</v>
      </c>
      <c r="DR929" s="1" t="s">
        <v>281</v>
      </c>
      <c r="DS929" s="1" t="s">
        <v>219</v>
      </c>
      <c r="DT929" s="1" t="s">
        <v>342</v>
      </c>
      <c r="DU929" s="1" t="s">
        <v>343</v>
      </c>
      <c r="DV929" s="1" t="s">
        <v>281</v>
      </c>
      <c r="DW929" s="1" t="s">
        <v>277</v>
      </c>
      <c r="DX929" s="1" t="s">
        <v>220</v>
      </c>
      <c r="DY929" s="1" t="s">
        <v>343</v>
      </c>
      <c r="EA929" s="1" t="s">
        <v>230</v>
      </c>
      <c r="EE929" s="1" t="s">
        <v>230</v>
      </c>
      <c r="EI929" s="1" t="s">
        <v>230</v>
      </c>
      <c r="EL929" s="1" t="s">
        <v>491</v>
      </c>
      <c r="EM929" s="1" t="s">
        <v>319</v>
      </c>
      <c r="EN929" s="1" t="s">
        <v>282</v>
      </c>
      <c r="EO929" s="1" t="s">
        <v>234</v>
      </c>
      <c r="EP929" s="1" t="s">
        <v>10243</v>
      </c>
      <c r="EQ929" s="1" t="s">
        <v>236</v>
      </c>
      <c r="ER929" s="1" t="s">
        <v>544</v>
      </c>
      <c r="ES929" s="1" t="s">
        <v>824</v>
      </c>
      <c r="EU929" s="1" t="s">
        <v>239</v>
      </c>
      <c r="EV929" s="1" t="s">
        <v>240</v>
      </c>
      <c r="EW929" s="1" t="s">
        <v>3255</v>
      </c>
      <c r="EY929" s="1" t="s">
        <v>441</v>
      </c>
      <c r="EZ929" s="1" t="s">
        <v>3544</v>
      </c>
      <c r="FA929" s="1" t="s">
        <v>672</v>
      </c>
      <c r="FB929" s="1" t="s">
        <v>289</v>
      </c>
      <c r="FD929" s="1" t="s">
        <v>246</v>
      </c>
      <c r="FE929" s="1" t="s">
        <v>975</v>
      </c>
      <c r="FF929" s="1" t="s">
        <v>1113</v>
      </c>
      <c r="FH929" s="1" t="s">
        <v>1634</v>
      </c>
      <c r="FI929" s="1" t="s">
        <v>250</v>
      </c>
      <c r="FJ929" s="1" t="s">
        <v>518</v>
      </c>
      <c r="FL929" s="1" t="s">
        <v>358</v>
      </c>
      <c r="FM929" s="1" t="s">
        <v>252</v>
      </c>
      <c r="FN929" s="1" t="s">
        <v>213</v>
      </c>
      <c r="FO929" s="1" t="s">
        <v>213</v>
      </c>
      <c r="FQ929" s="1" t="s">
        <v>1758</v>
      </c>
      <c r="FR929" s="1" t="s">
        <v>360</v>
      </c>
      <c r="FS929" s="1" t="s">
        <v>10132</v>
      </c>
      <c r="FT929" s="1" t="s">
        <v>362</v>
      </c>
      <c r="FU929" s="1" t="s">
        <v>204</v>
      </c>
      <c r="FW929" s="1" t="s">
        <v>2235</v>
      </c>
      <c r="FX929" s="1">
        <v>24321</v>
      </c>
      <c r="FY929" s="1" t="s">
        <v>2236</v>
      </c>
      <c r="FZ929" s="1" t="s">
        <v>10133</v>
      </c>
      <c r="GA929" s="1">
        <v>245704</v>
      </c>
      <c r="GB929" s="1" t="s">
        <v>10134</v>
      </c>
      <c r="GE929" s="1" t="s">
        <v>480</v>
      </c>
      <c r="GI929" s="1" t="s">
        <v>213</v>
      </c>
      <c r="GJ929" s="1" t="s">
        <v>260</v>
      </c>
      <c r="GK929" s="1" t="s">
        <v>210</v>
      </c>
      <c r="GL929" s="2">
        <v>42142</v>
      </c>
      <c r="GM929" s="1" t="s">
        <v>10244</v>
      </c>
    </row>
    <row r="930" spans="1:195">
      <c r="A930" s="1">
        <v>65000</v>
      </c>
      <c r="B930" s="1" t="s">
        <v>195</v>
      </c>
      <c r="C930" s="1" t="str">
        <f>"08605041"</f>
        <v>08605041</v>
      </c>
      <c r="D930" s="1" t="s">
        <v>196</v>
      </c>
      <c r="F930" s="1" t="str">
        <f>"635"</f>
        <v>635</v>
      </c>
      <c r="G930" s="2">
        <v>41764</v>
      </c>
      <c r="H930" s="1">
        <v>65000</v>
      </c>
      <c r="I930" s="1">
        <v>65000</v>
      </c>
      <c r="J930" s="1">
        <v>65000</v>
      </c>
      <c r="K930" s="2">
        <v>41763</v>
      </c>
      <c r="L930" s="1">
        <v>30</v>
      </c>
      <c r="M930" s="2">
        <v>41792</v>
      </c>
      <c r="N930" s="1">
        <v>30</v>
      </c>
      <c r="O930" s="2">
        <v>41792</v>
      </c>
      <c r="P930" s="1">
        <v>25042</v>
      </c>
      <c r="Q930" s="1" t="s">
        <v>302</v>
      </c>
      <c r="R930" s="2">
        <v>42003</v>
      </c>
      <c r="S930" s="1">
        <v>237640</v>
      </c>
      <c r="U930" s="1">
        <v>7443</v>
      </c>
      <c r="V930" s="1" t="s">
        <v>10245</v>
      </c>
      <c r="W930" s="1" t="s">
        <v>425</v>
      </c>
      <c r="X930" s="1" t="s">
        <v>9641</v>
      </c>
      <c r="Y930" s="1">
        <v>3</v>
      </c>
      <c r="Z930" s="1" t="s">
        <v>249</v>
      </c>
      <c r="AA930" s="1" t="s">
        <v>2377</v>
      </c>
      <c r="AB930" s="1">
        <v>60707</v>
      </c>
      <c r="AE930" s="1" t="s">
        <v>10246</v>
      </c>
      <c r="AF930" s="1">
        <v>1926</v>
      </c>
      <c r="AG930" s="1" t="s">
        <v>213</v>
      </c>
      <c r="AH930" s="1" t="s">
        <v>5686</v>
      </c>
      <c r="AI930" s="1" t="s">
        <v>310</v>
      </c>
      <c r="AJ930" s="1" t="s">
        <v>311</v>
      </c>
      <c r="AL930" s="1">
        <v>4</v>
      </c>
      <c r="AM930" s="1">
        <v>2</v>
      </c>
      <c r="AN930" s="1">
        <v>1</v>
      </c>
      <c r="AO930" s="1">
        <v>0</v>
      </c>
      <c r="AP930" s="1" t="s">
        <v>210</v>
      </c>
      <c r="AR930" s="1" t="s">
        <v>209</v>
      </c>
      <c r="AS930" s="1" t="s">
        <v>204</v>
      </c>
      <c r="AT930" s="1" t="s">
        <v>271</v>
      </c>
      <c r="AV930" s="1">
        <v>1</v>
      </c>
      <c r="AW930" s="1" t="s">
        <v>204</v>
      </c>
      <c r="AX930" s="1" t="s">
        <v>212</v>
      </c>
      <c r="AZ930" s="1">
        <v>2190.19</v>
      </c>
      <c r="BA930" s="1">
        <v>2012</v>
      </c>
      <c r="BB930" s="1" t="s">
        <v>210</v>
      </c>
      <c r="BE930" s="1">
        <v>0</v>
      </c>
      <c r="BF930" s="1">
        <v>1</v>
      </c>
      <c r="BG930" s="1">
        <v>3</v>
      </c>
      <c r="BL930" s="1">
        <v>171</v>
      </c>
      <c r="BM930" s="1" t="s">
        <v>204</v>
      </c>
      <c r="BN930" s="1" t="s">
        <v>213</v>
      </c>
      <c r="BO930" s="1">
        <v>30</v>
      </c>
      <c r="BP930" s="1" t="s">
        <v>204</v>
      </c>
      <c r="BR930" s="1" t="str">
        <f>"12362020010000"</f>
        <v>12362020010000</v>
      </c>
      <c r="BT930" s="1" t="s">
        <v>10247</v>
      </c>
      <c r="BX930" s="1">
        <v>401</v>
      </c>
      <c r="BY930" s="1">
        <v>401</v>
      </c>
      <c r="BZ930" s="1">
        <v>401</v>
      </c>
      <c r="CB930" s="1" t="str">
        <f>"2400"</f>
        <v>2400</v>
      </c>
      <c r="CC930" s="1" t="str">
        <f>"0"</f>
        <v>0</v>
      </c>
      <c r="CD930" s="1">
        <v>7443</v>
      </c>
      <c r="CE930" s="1">
        <v>0</v>
      </c>
      <c r="CG930" s="1" t="s">
        <v>539</v>
      </c>
      <c r="CH930" s="1" t="s">
        <v>219</v>
      </c>
      <c r="CI930" s="1" t="s">
        <v>220</v>
      </c>
      <c r="CK930" s="1" t="s">
        <v>379</v>
      </c>
      <c r="CL930" s="1" t="s">
        <v>219</v>
      </c>
      <c r="CM930" s="1" t="s">
        <v>220</v>
      </c>
      <c r="CP930" s="1" t="s">
        <v>224</v>
      </c>
      <c r="CS930" s="1" t="s">
        <v>821</v>
      </c>
      <c r="CT930" s="1" t="s">
        <v>219</v>
      </c>
      <c r="CU930" s="1" t="s">
        <v>220</v>
      </c>
      <c r="CX930" s="1" t="s">
        <v>224</v>
      </c>
      <c r="DB930" s="1" t="s">
        <v>224</v>
      </c>
      <c r="DE930" s="1" t="s">
        <v>465</v>
      </c>
      <c r="DF930" s="1" t="s">
        <v>219</v>
      </c>
      <c r="DG930" s="1" t="s">
        <v>342</v>
      </c>
      <c r="DJ930" s="1" t="s">
        <v>224</v>
      </c>
      <c r="DS930" s="1" t="s">
        <v>230</v>
      </c>
      <c r="DW930" s="1" t="s">
        <v>230</v>
      </c>
      <c r="EA930" s="1" t="s">
        <v>230</v>
      </c>
      <c r="EE930" s="1" t="s">
        <v>230</v>
      </c>
      <c r="EI930" s="1" t="s">
        <v>230</v>
      </c>
      <c r="EL930" s="1" t="s">
        <v>2154</v>
      </c>
      <c r="EM930" s="1" t="s">
        <v>232</v>
      </c>
      <c r="EN930" s="1" t="s">
        <v>210</v>
      </c>
      <c r="EO930" s="1" t="s">
        <v>234</v>
      </c>
      <c r="EP930" s="1" t="s">
        <v>732</v>
      </c>
      <c r="EQ930" s="1" t="s">
        <v>2994</v>
      </c>
      <c r="ER930" s="1" t="s">
        <v>347</v>
      </c>
      <c r="ES930" s="1" t="s">
        <v>3218</v>
      </c>
      <c r="EW930" s="1" t="s">
        <v>286</v>
      </c>
      <c r="EY930" s="1" t="s">
        <v>790</v>
      </c>
      <c r="EZ930" s="1" t="s">
        <v>287</v>
      </c>
      <c r="FA930" s="1" t="s">
        <v>471</v>
      </c>
      <c r="FD930" s="1" t="s">
        <v>888</v>
      </c>
      <c r="FE930" s="1" t="s">
        <v>247</v>
      </c>
      <c r="FF930" s="1" t="s">
        <v>248</v>
      </c>
      <c r="FH930" s="1" t="s">
        <v>249</v>
      </c>
      <c r="FK930" s="1" t="s">
        <v>10248</v>
      </c>
      <c r="FL930" s="1" t="s">
        <v>10249</v>
      </c>
      <c r="FM930" s="1" t="s">
        <v>252</v>
      </c>
      <c r="FN930" s="1" t="s">
        <v>213</v>
      </c>
      <c r="FO930" s="1" t="s">
        <v>213</v>
      </c>
      <c r="FQ930" s="1" t="s">
        <v>10250</v>
      </c>
      <c r="FR930" s="1" t="s">
        <v>210</v>
      </c>
      <c r="FS930" s="1" t="s">
        <v>10251</v>
      </c>
      <c r="FT930" s="1" t="s">
        <v>295</v>
      </c>
      <c r="FU930" s="1" t="s">
        <v>204</v>
      </c>
      <c r="FW930" s="1" t="s">
        <v>1637</v>
      </c>
      <c r="FX930" s="1">
        <v>8055</v>
      </c>
      <c r="FY930" s="1" t="s">
        <v>1728</v>
      </c>
      <c r="FZ930" s="1" t="s">
        <v>10252</v>
      </c>
      <c r="GA930" s="1">
        <v>920002</v>
      </c>
      <c r="GB930" s="1" t="s">
        <v>10253</v>
      </c>
      <c r="GE930" s="1" t="s">
        <v>210</v>
      </c>
      <c r="GH930" s="1" t="s">
        <v>589</v>
      </c>
      <c r="GI930" s="1" t="s">
        <v>213</v>
      </c>
      <c r="GJ930" s="1" t="s">
        <v>260</v>
      </c>
      <c r="GK930" s="1" t="s">
        <v>210</v>
      </c>
      <c r="GL930" s="2">
        <v>42004</v>
      </c>
      <c r="GM930" s="1" t="s">
        <v>10254</v>
      </c>
    </row>
    <row r="931" spans="1:195">
      <c r="A931" s="1">
        <v>70000</v>
      </c>
      <c r="B931" s="1" t="s">
        <v>195</v>
      </c>
      <c r="C931" s="1" t="str">
        <f>"08603173"</f>
        <v>08603173</v>
      </c>
      <c r="D931" s="1" t="s">
        <v>196</v>
      </c>
      <c r="F931" s="1" t="str">
        <f>"139"</f>
        <v>139</v>
      </c>
      <c r="G931" s="2">
        <v>41761</v>
      </c>
      <c r="H931" s="1">
        <v>64900</v>
      </c>
      <c r="I931" s="1">
        <v>70000</v>
      </c>
      <c r="J931" s="1">
        <v>70000</v>
      </c>
      <c r="K931" s="2">
        <v>41761</v>
      </c>
      <c r="L931" s="1">
        <v>172</v>
      </c>
      <c r="M931" s="2">
        <v>41932</v>
      </c>
      <c r="N931" s="1">
        <v>172</v>
      </c>
      <c r="O931" s="2">
        <v>41932</v>
      </c>
      <c r="P931" s="1">
        <v>23948</v>
      </c>
      <c r="Q931" s="1" t="s">
        <v>302</v>
      </c>
      <c r="R931" s="2">
        <v>41991</v>
      </c>
      <c r="S931" s="1">
        <v>256030</v>
      </c>
      <c r="U931" s="1">
        <v>203</v>
      </c>
      <c r="V931" s="1" t="s">
        <v>2831</v>
      </c>
      <c r="W931" s="1" t="s">
        <v>264</v>
      </c>
      <c r="X931" s="1">
        <v>302</v>
      </c>
      <c r="Y931" s="1">
        <v>6</v>
      </c>
      <c r="Z931" s="1" t="s">
        <v>200</v>
      </c>
      <c r="AA931" s="1" t="s">
        <v>1732</v>
      </c>
      <c r="AB931" s="1">
        <v>60139</v>
      </c>
      <c r="AD931" s="1" t="s">
        <v>6975</v>
      </c>
      <c r="AE931" s="1" t="s">
        <v>10255</v>
      </c>
      <c r="AF931" s="1">
        <v>1980</v>
      </c>
      <c r="AG931" s="1" t="s">
        <v>204</v>
      </c>
      <c r="AH931" s="1" t="s">
        <v>1735</v>
      </c>
      <c r="AI931" s="1" t="s">
        <v>206</v>
      </c>
      <c r="AJ931" s="1" t="s">
        <v>269</v>
      </c>
      <c r="AL931" s="1">
        <v>5</v>
      </c>
      <c r="AM931" s="1">
        <v>2</v>
      </c>
      <c r="AN931" s="1">
        <v>2</v>
      </c>
      <c r="AO931" s="1">
        <v>0</v>
      </c>
      <c r="AP931" s="1" t="s">
        <v>209</v>
      </c>
      <c r="AR931" s="1" t="s">
        <v>210</v>
      </c>
      <c r="AS931" s="1" t="s">
        <v>204</v>
      </c>
      <c r="AT931" s="1" t="s">
        <v>211</v>
      </c>
      <c r="AU931" s="1">
        <v>1</v>
      </c>
      <c r="AW931" s="1" t="s">
        <v>204</v>
      </c>
      <c r="AX931" s="1" t="s">
        <v>10256</v>
      </c>
      <c r="AZ931" s="1">
        <v>2018</v>
      </c>
      <c r="BA931" s="1">
        <v>2013</v>
      </c>
      <c r="BB931" s="1" t="s">
        <v>405</v>
      </c>
      <c r="BE931" s="1">
        <v>0</v>
      </c>
      <c r="BF931" s="1">
        <v>2</v>
      </c>
      <c r="BG931" s="1">
        <v>0</v>
      </c>
      <c r="BL931" s="1">
        <v>221</v>
      </c>
      <c r="BM931" s="1" t="s">
        <v>204</v>
      </c>
      <c r="BN931" s="1" t="s">
        <v>213</v>
      </c>
      <c r="BO931" s="1" t="s">
        <v>432</v>
      </c>
      <c r="BP931" s="1" t="s">
        <v>204</v>
      </c>
      <c r="BR931" s="1" t="str">
        <f>"0222113018"</f>
        <v>0222113018</v>
      </c>
      <c r="BT931" s="1" t="s">
        <v>10257</v>
      </c>
      <c r="BU931" s="1" t="s">
        <v>3570</v>
      </c>
      <c r="BV931" s="1" t="s">
        <v>2015</v>
      </c>
      <c r="BW931" s="1" t="s">
        <v>1935</v>
      </c>
      <c r="BX931" s="1">
        <v>15</v>
      </c>
      <c r="BY931" s="1">
        <v>15</v>
      </c>
      <c r="BZ931" s="1">
        <v>87</v>
      </c>
      <c r="CB931" s="1" t="str">
        <f t="shared" ref="CB931:CC931" si="715">""</f>
        <v/>
      </c>
      <c r="CC931" s="1" t="str">
        <f t="shared" si="715"/>
        <v/>
      </c>
      <c r="CG931" s="1" t="s">
        <v>729</v>
      </c>
      <c r="CH931" s="1" t="s">
        <v>219</v>
      </c>
      <c r="CI931" s="1" t="s">
        <v>220</v>
      </c>
      <c r="CK931" s="1" t="s">
        <v>757</v>
      </c>
      <c r="CL931" s="1" t="s">
        <v>219</v>
      </c>
      <c r="CM931" s="1" t="s">
        <v>220</v>
      </c>
      <c r="CO931" s="1" t="s">
        <v>346</v>
      </c>
      <c r="CP931" s="1" t="s">
        <v>219</v>
      </c>
      <c r="CQ931" s="1" t="s">
        <v>220</v>
      </c>
      <c r="CS931" s="1" t="s">
        <v>465</v>
      </c>
      <c r="CT931" s="1" t="s">
        <v>219</v>
      </c>
      <c r="CU931" s="1" t="s">
        <v>220</v>
      </c>
      <c r="CX931" s="1" t="s">
        <v>224</v>
      </c>
      <c r="DB931" s="1" t="s">
        <v>224</v>
      </c>
      <c r="DE931" s="1" t="s">
        <v>346</v>
      </c>
      <c r="DF931" s="1" t="s">
        <v>219</v>
      </c>
      <c r="DG931" s="1" t="s">
        <v>342</v>
      </c>
      <c r="DJ931" s="1" t="s">
        <v>224</v>
      </c>
      <c r="DS931" s="1" t="s">
        <v>230</v>
      </c>
      <c r="DW931" s="1" t="s">
        <v>230</v>
      </c>
      <c r="EA931" s="1" t="s">
        <v>230</v>
      </c>
      <c r="EE931" s="1" t="s">
        <v>230</v>
      </c>
      <c r="EI931" s="1" t="s">
        <v>230</v>
      </c>
      <c r="EL931" s="1" t="s">
        <v>231</v>
      </c>
      <c r="EM931" s="1" t="s">
        <v>232</v>
      </c>
      <c r="EN931" s="1" t="s">
        <v>1158</v>
      </c>
      <c r="EO931" s="1" t="s">
        <v>234</v>
      </c>
      <c r="EP931" s="1" t="s">
        <v>210</v>
      </c>
      <c r="ER931" s="1" t="s">
        <v>210</v>
      </c>
      <c r="EU931" s="1" t="s">
        <v>239</v>
      </c>
      <c r="EW931" s="1" t="s">
        <v>210</v>
      </c>
      <c r="EY931" s="1" t="s">
        <v>242</v>
      </c>
      <c r="EZ931" s="1" t="s">
        <v>287</v>
      </c>
      <c r="FA931" s="1" t="s">
        <v>1554</v>
      </c>
      <c r="FD931" s="1" t="s">
        <v>246</v>
      </c>
      <c r="FE931" s="1" t="s">
        <v>386</v>
      </c>
      <c r="FF931" s="1" t="s">
        <v>248</v>
      </c>
      <c r="FH931" s="1" t="s">
        <v>249</v>
      </c>
      <c r="FJ931" s="1" t="s">
        <v>197</v>
      </c>
      <c r="FL931" s="1" t="s">
        <v>10258</v>
      </c>
      <c r="FM931" s="1" t="s">
        <v>252</v>
      </c>
      <c r="FN931" s="1" t="s">
        <v>213</v>
      </c>
      <c r="FO931" s="1" t="s">
        <v>213</v>
      </c>
      <c r="FQ931" s="1" t="s">
        <v>10259</v>
      </c>
      <c r="FR931" s="1" t="s">
        <v>360</v>
      </c>
      <c r="FS931" s="1" t="s">
        <v>8560</v>
      </c>
      <c r="FT931" s="1" t="s">
        <v>362</v>
      </c>
      <c r="FU931" s="1" t="s">
        <v>213</v>
      </c>
      <c r="FW931" s="1" t="s">
        <v>1097</v>
      </c>
      <c r="FX931" s="1">
        <v>25005</v>
      </c>
      <c r="FY931" s="1" t="s">
        <v>1098</v>
      </c>
      <c r="FZ931" s="1" t="s">
        <v>10260</v>
      </c>
      <c r="GA931" s="1">
        <v>251221</v>
      </c>
      <c r="GB931" s="1" t="s">
        <v>10261</v>
      </c>
      <c r="GC931" s="1">
        <v>254115</v>
      </c>
      <c r="GE931" s="1" t="s">
        <v>480</v>
      </c>
      <c r="GI931" s="1" t="s">
        <v>213</v>
      </c>
      <c r="GJ931" s="1" t="s">
        <v>260</v>
      </c>
      <c r="GK931" s="1" t="s">
        <v>210</v>
      </c>
      <c r="GL931" s="2">
        <v>41991</v>
      </c>
      <c r="GM931" s="1" t="s">
        <v>397</v>
      </c>
    </row>
    <row r="932" spans="1:195">
      <c r="A932" s="1">
        <v>77000</v>
      </c>
      <c r="B932" s="1" t="s">
        <v>195</v>
      </c>
      <c r="C932" s="1" t="str">
        <f>"08629499"</f>
        <v>08629499</v>
      </c>
      <c r="D932" s="1" t="s">
        <v>196</v>
      </c>
      <c r="F932" s="1" t="str">
        <f>"507"</f>
        <v>507</v>
      </c>
      <c r="G932" s="2">
        <v>41789</v>
      </c>
      <c r="H932" s="1">
        <v>75000</v>
      </c>
      <c r="I932" s="1">
        <v>75000</v>
      </c>
      <c r="J932" s="1">
        <v>77000</v>
      </c>
      <c r="K932" s="2">
        <v>41789</v>
      </c>
      <c r="L932" s="1">
        <v>5</v>
      </c>
      <c r="M932" s="2">
        <v>41793</v>
      </c>
      <c r="N932" s="1">
        <v>5</v>
      </c>
      <c r="O932" s="2">
        <v>41793</v>
      </c>
      <c r="P932" s="1">
        <v>23076</v>
      </c>
      <c r="Q932" s="1" t="s">
        <v>302</v>
      </c>
      <c r="R932" s="2">
        <v>41969</v>
      </c>
      <c r="S932" s="1">
        <v>234687</v>
      </c>
      <c r="U932" s="1">
        <v>2641</v>
      </c>
      <c r="V932" s="1" t="s">
        <v>10262</v>
      </c>
      <c r="W932" s="1" t="s">
        <v>304</v>
      </c>
      <c r="Y932" s="1">
        <v>4</v>
      </c>
      <c r="Z932" s="1" t="s">
        <v>370</v>
      </c>
      <c r="AA932" s="1" t="s">
        <v>1123</v>
      </c>
      <c r="AB932" s="1">
        <v>60502</v>
      </c>
      <c r="AD932" s="1" t="s">
        <v>10216</v>
      </c>
      <c r="AE932" s="1" t="s">
        <v>10263</v>
      </c>
      <c r="AF932" s="1">
        <v>1982</v>
      </c>
      <c r="AG932" s="1" t="s">
        <v>204</v>
      </c>
      <c r="AH932" s="1" t="s">
        <v>1126</v>
      </c>
      <c r="AI932" s="1" t="s">
        <v>206</v>
      </c>
      <c r="AJ932" s="1" t="s">
        <v>924</v>
      </c>
      <c r="AL932" s="1">
        <v>4</v>
      </c>
      <c r="AM932" s="1">
        <v>2</v>
      </c>
      <c r="AN932" s="1">
        <v>1</v>
      </c>
      <c r="AO932" s="1">
        <v>1</v>
      </c>
      <c r="AP932" s="1" t="s">
        <v>210</v>
      </c>
      <c r="AQ932" s="1">
        <v>1</v>
      </c>
      <c r="AR932" s="1" t="s">
        <v>210</v>
      </c>
      <c r="AS932" s="1" t="s">
        <v>204</v>
      </c>
      <c r="AT932" s="1" t="s">
        <v>211</v>
      </c>
      <c r="AU932" s="1">
        <v>1</v>
      </c>
      <c r="AW932" s="1" t="s">
        <v>204</v>
      </c>
      <c r="AX932" s="1" t="s">
        <v>212</v>
      </c>
      <c r="AZ932" s="1">
        <v>1682</v>
      </c>
      <c r="BA932" s="1">
        <v>2013</v>
      </c>
      <c r="BE932" s="1">
        <v>784</v>
      </c>
      <c r="BF932" s="1">
        <v>1</v>
      </c>
      <c r="BG932" s="1">
        <v>0</v>
      </c>
      <c r="BL932" s="1">
        <v>140</v>
      </c>
      <c r="BM932" s="1" t="s">
        <v>204</v>
      </c>
      <c r="BN932" s="1" t="s">
        <v>204</v>
      </c>
      <c r="BP932" s="1" t="s">
        <v>204</v>
      </c>
      <c r="BR932" s="1" t="str">
        <f>"0706210047"</f>
        <v>0706210047</v>
      </c>
      <c r="BT932" s="1" t="s">
        <v>10264</v>
      </c>
      <c r="BU932" s="1" t="s">
        <v>5816</v>
      </c>
      <c r="BV932" s="1" t="s">
        <v>1248</v>
      </c>
      <c r="BW932" s="1" t="s">
        <v>1131</v>
      </c>
      <c r="BX932" s="1">
        <v>204</v>
      </c>
      <c r="BY932" s="1">
        <v>204</v>
      </c>
      <c r="BZ932" s="1">
        <v>204</v>
      </c>
      <c r="CB932" s="1" t="str">
        <f t="shared" ref="CB932:CC932" si="716">""</f>
        <v/>
      </c>
      <c r="CC932" s="1" t="str">
        <f t="shared" si="716"/>
        <v/>
      </c>
      <c r="CD932" s="1">
        <v>32</v>
      </c>
      <c r="CE932" s="1">
        <v>4</v>
      </c>
      <c r="CG932" s="1" t="s">
        <v>861</v>
      </c>
      <c r="CH932" s="1" t="s">
        <v>219</v>
      </c>
      <c r="CI932" s="1" t="s">
        <v>220</v>
      </c>
      <c r="CK932" s="1" t="s">
        <v>2138</v>
      </c>
      <c r="CL932" s="1" t="s">
        <v>277</v>
      </c>
      <c r="CM932" s="1" t="s">
        <v>220</v>
      </c>
      <c r="CP932" s="1" t="s">
        <v>224</v>
      </c>
      <c r="CS932" s="1" t="s">
        <v>837</v>
      </c>
      <c r="CT932" s="1" t="s">
        <v>277</v>
      </c>
      <c r="CU932" s="1" t="s">
        <v>220</v>
      </c>
      <c r="CX932" s="1" t="s">
        <v>224</v>
      </c>
      <c r="DB932" s="1" t="s">
        <v>224</v>
      </c>
      <c r="DE932" s="1" t="s">
        <v>409</v>
      </c>
      <c r="DF932" s="1" t="s">
        <v>219</v>
      </c>
      <c r="DG932" s="1" t="s">
        <v>342</v>
      </c>
      <c r="DJ932" s="1" t="s">
        <v>224</v>
      </c>
      <c r="DS932" s="1" t="s">
        <v>230</v>
      </c>
      <c r="DW932" s="1" t="s">
        <v>230</v>
      </c>
      <c r="EA932" s="1" t="s">
        <v>230</v>
      </c>
      <c r="EE932" s="1" t="s">
        <v>230</v>
      </c>
      <c r="EI932" s="1" t="s">
        <v>230</v>
      </c>
      <c r="EL932" s="1" t="s">
        <v>231</v>
      </c>
      <c r="EM932" s="1" t="s">
        <v>319</v>
      </c>
      <c r="EN932" s="1" t="s">
        <v>282</v>
      </c>
      <c r="EO932" s="1" t="s">
        <v>234</v>
      </c>
      <c r="EQ932" s="1" t="s">
        <v>236</v>
      </c>
      <c r="ER932" s="1" t="s">
        <v>383</v>
      </c>
      <c r="EU932" s="1" t="s">
        <v>239</v>
      </c>
      <c r="EW932" s="1" t="s">
        <v>1250</v>
      </c>
      <c r="EZ932" s="1" t="s">
        <v>287</v>
      </c>
      <c r="FB932" s="1" t="s">
        <v>10265</v>
      </c>
      <c r="FD932" s="1" t="s">
        <v>1112</v>
      </c>
      <c r="FE932" s="1" t="s">
        <v>472</v>
      </c>
      <c r="FF932" s="1" t="s">
        <v>248</v>
      </c>
      <c r="FG932" s="1" t="s">
        <v>2406</v>
      </c>
      <c r="FH932" s="1" t="s">
        <v>550</v>
      </c>
      <c r="FI932" s="1" t="s">
        <v>473</v>
      </c>
      <c r="FL932" s="1" t="s">
        <v>358</v>
      </c>
      <c r="FM932" s="1" t="s">
        <v>252</v>
      </c>
      <c r="FN932" s="1" t="s">
        <v>213</v>
      </c>
      <c r="FO932" s="1" t="s">
        <v>213</v>
      </c>
      <c r="FQ932" s="1" t="s">
        <v>1758</v>
      </c>
      <c r="FR932" s="1" t="s">
        <v>360</v>
      </c>
      <c r="FS932" s="1" t="s">
        <v>10266</v>
      </c>
      <c r="FT932" s="1" t="s">
        <v>1139</v>
      </c>
      <c r="FU932" s="1" t="s">
        <v>204</v>
      </c>
      <c r="FW932" s="1" t="s">
        <v>3546</v>
      </c>
      <c r="FX932" s="1">
        <v>24695</v>
      </c>
      <c r="FY932" s="1" t="s">
        <v>3547</v>
      </c>
      <c r="FZ932" s="1" t="s">
        <v>8508</v>
      </c>
      <c r="GA932" s="1">
        <v>234453</v>
      </c>
      <c r="GB932" s="1" t="s">
        <v>3547</v>
      </c>
      <c r="GE932" s="1" t="s">
        <v>210</v>
      </c>
      <c r="GI932" s="1" t="s">
        <v>213</v>
      </c>
      <c r="GJ932" s="1" t="s">
        <v>260</v>
      </c>
      <c r="GK932" s="1" t="s">
        <v>210</v>
      </c>
      <c r="GL932" s="2">
        <v>41973</v>
      </c>
      <c r="GM932" s="1" t="s">
        <v>397</v>
      </c>
    </row>
    <row r="933" spans="1:195">
      <c r="A933" s="1">
        <v>128000</v>
      </c>
      <c r="B933" s="1" t="s">
        <v>195</v>
      </c>
      <c r="C933" s="1" t="str">
        <f>"08607364"</f>
        <v>08607364</v>
      </c>
      <c r="D933" s="1" t="s">
        <v>196</v>
      </c>
      <c r="F933" s="1" t="str">
        <f>"178"</f>
        <v>178</v>
      </c>
      <c r="G933" s="2">
        <v>41766</v>
      </c>
      <c r="H933" s="1">
        <v>139900</v>
      </c>
      <c r="I933" s="1">
        <v>139900</v>
      </c>
      <c r="J933" s="1">
        <v>128000</v>
      </c>
      <c r="K933" s="2">
        <v>41766</v>
      </c>
      <c r="L933" s="1">
        <v>185</v>
      </c>
      <c r="M933" s="2">
        <v>41950</v>
      </c>
      <c r="N933" s="1">
        <v>185</v>
      </c>
      <c r="O933" s="2">
        <v>41950</v>
      </c>
      <c r="P933" s="1">
        <v>93084</v>
      </c>
      <c r="Q933" s="1" t="s">
        <v>302</v>
      </c>
      <c r="R933" s="2">
        <v>41974</v>
      </c>
      <c r="S933" s="1">
        <v>930223</v>
      </c>
      <c r="U933" s="1">
        <v>720</v>
      </c>
      <c r="V933" s="1" t="s">
        <v>10267</v>
      </c>
      <c r="W933" s="1" t="s">
        <v>304</v>
      </c>
      <c r="Y933" s="1">
        <v>2</v>
      </c>
      <c r="Z933" s="1" t="s">
        <v>370</v>
      </c>
      <c r="AA933" s="1" t="s">
        <v>3334</v>
      </c>
      <c r="AB933" s="1">
        <v>60178</v>
      </c>
      <c r="AD933" s="1" t="s">
        <v>10268</v>
      </c>
      <c r="AE933" s="1" t="s">
        <v>10269</v>
      </c>
      <c r="AF933" s="1">
        <v>2008</v>
      </c>
      <c r="AG933" s="1" t="s">
        <v>204</v>
      </c>
      <c r="AH933" s="1" t="s">
        <v>3336</v>
      </c>
      <c r="AI933" s="1" t="s">
        <v>2246</v>
      </c>
      <c r="AJ933" s="1" t="s">
        <v>3336</v>
      </c>
      <c r="AK933" s="1" t="s">
        <v>10270</v>
      </c>
      <c r="AL933" s="1">
        <v>5</v>
      </c>
      <c r="AM933" s="1">
        <v>2</v>
      </c>
      <c r="AN933" s="1">
        <v>2</v>
      </c>
      <c r="AO933" s="1">
        <v>0</v>
      </c>
      <c r="AP933" s="1" t="s">
        <v>209</v>
      </c>
      <c r="AR933" s="1" t="s">
        <v>209</v>
      </c>
      <c r="AS933" s="1" t="s">
        <v>204</v>
      </c>
      <c r="AT933" s="1" t="s">
        <v>211</v>
      </c>
      <c r="AU933" s="1">
        <v>2</v>
      </c>
      <c r="AW933" s="1" t="s">
        <v>204</v>
      </c>
      <c r="AX933" s="1" t="s">
        <v>10271</v>
      </c>
      <c r="AZ933" s="1">
        <v>2689.26</v>
      </c>
      <c r="BA933" s="1">
        <v>2013</v>
      </c>
      <c r="BB933" s="1" t="s">
        <v>599</v>
      </c>
      <c r="BE933" s="1">
        <v>1310</v>
      </c>
      <c r="BF933" s="1">
        <v>1</v>
      </c>
      <c r="BG933" s="1">
        <v>0</v>
      </c>
      <c r="BL933" s="1">
        <v>85</v>
      </c>
      <c r="BM933" s="1" t="s">
        <v>204</v>
      </c>
      <c r="BN933" s="1" t="s">
        <v>213</v>
      </c>
      <c r="BO933" s="1">
        <v>0</v>
      </c>
      <c r="BP933" s="1" t="s">
        <v>204</v>
      </c>
      <c r="BR933" s="1" t="str">
        <f>"0631376020"</f>
        <v>0631376020</v>
      </c>
      <c r="BT933" s="1" t="s">
        <v>10272</v>
      </c>
      <c r="BX933" s="1">
        <v>427</v>
      </c>
      <c r="BY933" s="1">
        <v>427</v>
      </c>
      <c r="BZ933" s="1">
        <v>427</v>
      </c>
      <c r="CB933" s="1" t="str">
        <f t="shared" ref="CB933:CC933" si="717">"0"</f>
        <v>0</v>
      </c>
      <c r="CC933" s="1" t="str">
        <f t="shared" si="717"/>
        <v>0</v>
      </c>
      <c r="CD933" s="1">
        <v>0</v>
      </c>
      <c r="CE933" s="1">
        <v>0</v>
      </c>
      <c r="CG933" s="1" t="s">
        <v>931</v>
      </c>
      <c r="CH933" s="1" t="s">
        <v>219</v>
      </c>
      <c r="CI933" s="1" t="s">
        <v>220</v>
      </c>
      <c r="CJ933" s="1" t="s">
        <v>252</v>
      </c>
      <c r="CK933" s="1" t="s">
        <v>757</v>
      </c>
      <c r="CL933" s="1" t="s">
        <v>219</v>
      </c>
      <c r="CM933" s="1" t="s">
        <v>220</v>
      </c>
      <c r="CN933" s="1" t="s">
        <v>252</v>
      </c>
      <c r="CO933" s="1" t="s">
        <v>346</v>
      </c>
      <c r="CP933" s="1" t="s">
        <v>219</v>
      </c>
      <c r="CQ933" s="1" t="s">
        <v>342</v>
      </c>
      <c r="CR933" s="1" t="s">
        <v>252</v>
      </c>
      <c r="CS933" s="1" t="s">
        <v>1046</v>
      </c>
      <c r="CT933" s="1" t="s">
        <v>219</v>
      </c>
      <c r="CU933" s="1" t="s">
        <v>220</v>
      </c>
      <c r="CV933" s="1" t="s">
        <v>252</v>
      </c>
      <c r="CX933" s="1" t="s">
        <v>224</v>
      </c>
      <c r="DB933" s="1" t="s">
        <v>224</v>
      </c>
      <c r="DE933" s="1" t="s">
        <v>346</v>
      </c>
      <c r="DF933" s="1" t="s">
        <v>219</v>
      </c>
      <c r="DG933" s="1" t="s">
        <v>342</v>
      </c>
      <c r="DH933" s="1" t="s">
        <v>210</v>
      </c>
      <c r="DJ933" s="1" t="s">
        <v>224</v>
      </c>
      <c r="DS933" s="1" t="s">
        <v>230</v>
      </c>
      <c r="DW933" s="1" t="s">
        <v>230</v>
      </c>
      <c r="EA933" s="1" t="s">
        <v>230</v>
      </c>
      <c r="EE933" s="1" t="s">
        <v>230</v>
      </c>
      <c r="EI933" s="1" t="s">
        <v>230</v>
      </c>
      <c r="EL933" s="1" t="s">
        <v>491</v>
      </c>
      <c r="EM933" s="1" t="s">
        <v>319</v>
      </c>
      <c r="EN933" s="1" t="s">
        <v>282</v>
      </c>
      <c r="EO933" s="1" t="s">
        <v>234</v>
      </c>
      <c r="EP933" s="1" t="s">
        <v>650</v>
      </c>
      <c r="EQ933" s="1" t="s">
        <v>236</v>
      </c>
      <c r="ER933" s="1" t="s">
        <v>1249</v>
      </c>
      <c r="ES933" s="1" t="s">
        <v>1868</v>
      </c>
      <c r="EU933" s="1" t="s">
        <v>1110</v>
      </c>
      <c r="EW933" s="1" t="s">
        <v>547</v>
      </c>
      <c r="EY933" s="1" t="s">
        <v>790</v>
      </c>
      <c r="EZ933" s="1" t="s">
        <v>287</v>
      </c>
      <c r="FA933" s="1" t="s">
        <v>2358</v>
      </c>
      <c r="FB933" s="1" t="s">
        <v>289</v>
      </c>
      <c r="FD933" s="1" t="s">
        <v>246</v>
      </c>
      <c r="FE933" s="1" t="s">
        <v>975</v>
      </c>
      <c r="FF933" s="1" t="s">
        <v>3103</v>
      </c>
      <c r="FH933" s="1" t="s">
        <v>442</v>
      </c>
      <c r="FI933" s="1" t="s">
        <v>473</v>
      </c>
      <c r="FL933" s="1" t="s">
        <v>358</v>
      </c>
      <c r="FM933" s="1" t="s">
        <v>252</v>
      </c>
      <c r="FN933" s="1" t="s">
        <v>213</v>
      </c>
      <c r="FO933" s="1" t="s">
        <v>213</v>
      </c>
      <c r="FQ933" s="1" t="s">
        <v>3545</v>
      </c>
      <c r="FR933" s="1" t="s">
        <v>210</v>
      </c>
      <c r="FS933" s="1" t="s">
        <v>10273</v>
      </c>
      <c r="FT933" s="1" t="s">
        <v>10274</v>
      </c>
      <c r="FU933" s="1" t="s">
        <v>204</v>
      </c>
      <c r="FW933" s="1" t="s">
        <v>3343</v>
      </c>
      <c r="FX933" s="1">
        <v>93084</v>
      </c>
      <c r="FY933" s="1" t="s">
        <v>3344</v>
      </c>
      <c r="FZ933" s="1" t="s">
        <v>10275</v>
      </c>
      <c r="GA933" s="1">
        <v>930224</v>
      </c>
      <c r="GB933" s="1" t="s">
        <v>10276</v>
      </c>
      <c r="GD933" s="1" t="s">
        <v>10277</v>
      </c>
      <c r="GE933" s="1" t="s">
        <v>480</v>
      </c>
      <c r="GI933" s="1" t="s">
        <v>213</v>
      </c>
      <c r="GJ933" s="1" t="s">
        <v>260</v>
      </c>
      <c r="GK933" s="1" t="s">
        <v>210</v>
      </c>
      <c r="GL933" s="2">
        <v>41974</v>
      </c>
      <c r="GM933" s="1" t="s">
        <v>10278</v>
      </c>
    </row>
    <row r="934" spans="1:195">
      <c r="A934" s="1">
        <v>86000</v>
      </c>
      <c r="B934" s="1" t="s">
        <v>195</v>
      </c>
      <c r="C934" s="1" t="str">
        <f>"08621562"</f>
        <v>08621562</v>
      </c>
      <c r="D934" s="1" t="s">
        <v>196</v>
      </c>
      <c r="F934" s="1" t="str">
        <f>"507"</f>
        <v>507</v>
      </c>
      <c r="G934" s="2">
        <v>41780</v>
      </c>
      <c r="H934" s="1">
        <v>84900</v>
      </c>
      <c r="I934" s="1">
        <v>84900</v>
      </c>
      <c r="J934" s="1">
        <v>86000</v>
      </c>
      <c r="K934" s="2">
        <v>41780</v>
      </c>
      <c r="L934" s="1">
        <v>247</v>
      </c>
      <c r="M934" s="2">
        <v>42026</v>
      </c>
      <c r="N934" s="1">
        <v>247</v>
      </c>
      <c r="O934" s="2">
        <v>42026</v>
      </c>
      <c r="P934" s="1">
        <v>21419</v>
      </c>
      <c r="Q934" s="1" t="s">
        <v>302</v>
      </c>
      <c r="R934" s="2">
        <v>42068</v>
      </c>
      <c r="S934" s="1">
        <v>239324</v>
      </c>
      <c r="U934" s="1">
        <v>2469</v>
      </c>
      <c r="V934" s="1" t="s">
        <v>10279</v>
      </c>
      <c r="W934" s="1" t="s">
        <v>264</v>
      </c>
      <c r="Y934" s="1">
        <v>7</v>
      </c>
      <c r="Z934" s="1" t="s">
        <v>200</v>
      </c>
      <c r="AA934" s="1" t="s">
        <v>1123</v>
      </c>
      <c r="AB934" s="1">
        <v>60503</v>
      </c>
      <c r="AE934" s="1" t="s">
        <v>10280</v>
      </c>
      <c r="AF934" s="1">
        <v>1999</v>
      </c>
      <c r="AG934" s="1" t="s">
        <v>204</v>
      </c>
      <c r="AH934" s="1" t="s">
        <v>1126</v>
      </c>
      <c r="AI934" s="1" t="s">
        <v>1800</v>
      </c>
      <c r="AJ934" s="1" t="s">
        <v>1801</v>
      </c>
      <c r="AL934" s="1">
        <v>5</v>
      </c>
      <c r="AM934" s="1">
        <v>2</v>
      </c>
      <c r="AN934" s="1">
        <v>2</v>
      </c>
      <c r="AO934" s="1">
        <v>1</v>
      </c>
      <c r="AP934" s="1" t="s">
        <v>209</v>
      </c>
      <c r="AR934" s="1" t="s">
        <v>210</v>
      </c>
      <c r="AS934" s="1" t="s">
        <v>204</v>
      </c>
      <c r="AT934" s="1" t="s">
        <v>211</v>
      </c>
      <c r="AU934" s="1">
        <v>1</v>
      </c>
      <c r="AW934" s="1" t="s">
        <v>204</v>
      </c>
      <c r="AX934" s="1" t="s">
        <v>10281</v>
      </c>
      <c r="AZ934" s="1">
        <v>4600.84</v>
      </c>
      <c r="BA934" s="1">
        <v>2012</v>
      </c>
      <c r="BE934" s="1">
        <v>1384</v>
      </c>
      <c r="BF934" s="1">
        <v>1</v>
      </c>
      <c r="BG934" s="1">
        <v>0</v>
      </c>
      <c r="BL934" s="1">
        <v>193</v>
      </c>
      <c r="BM934" s="1" t="s">
        <v>204</v>
      </c>
      <c r="BN934" s="1" t="s">
        <v>213</v>
      </c>
      <c r="BO934" s="1">
        <v>999</v>
      </c>
      <c r="BP934" s="1" t="s">
        <v>204</v>
      </c>
      <c r="BR934" s="1" t="str">
        <f>"01074040570000"</f>
        <v>01074040570000</v>
      </c>
      <c r="BT934" s="1" t="s">
        <v>10282</v>
      </c>
      <c r="BX934" s="1">
        <v>308</v>
      </c>
      <c r="BY934" s="1">
        <v>308</v>
      </c>
      <c r="BZ934" s="1">
        <v>308</v>
      </c>
      <c r="CB934" s="1" t="str">
        <f t="shared" ref="CB934:CC934" si="718">""</f>
        <v/>
      </c>
      <c r="CC934" s="1" t="str">
        <f t="shared" si="718"/>
        <v/>
      </c>
      <c r="CG934" s="1" t="s">
        <v>315</v>
      </c>
      <c r="CH934" s="1" t="s">
        <v>219</v>
      </c>
      <c r="CK934" s="1" t="s">
        <v>221</v>
      </c>
      <c r="CL934" s="1" t="s">
        <v>277</v>
      </c>
      <c r="CO934" s="1" t="s">
        <v>318</v>
      </c>
      <c r="CP934" s="1" t="s">
        <v>219</v>
      </c>
      <c r="CS934" s="1" t="s">
        <v>461</v>
      </c>
      <c r="CT934" s="1" t="s">
        <v>277</v>
      </c>
      <c r="CX934" s="1" t="s">
        <v>224</v>
      </c>
      <c r="DB934" s="1" t="s">
        <v>224</v>
      </c>
      <c r="DE934" s="1" t="s">
        <v>379</v>
      </c>
      <c r="DF934" s="1" t="s">
        <v>219</v>
      </c>
      <c r="DJ934" s="1" t="s">
        <v>224</v>
      </c>
      <c r="DS934" s="1" t="s">
        <v>230</v>
      </c>
      <c r="DW934" s="1" t="s">
        <v>230</v>
      </c>
      <c r="EA934" s="1" t="s">
        <v>230</v>
      </c>
      <c r="EE934" s="1" t="s">
        <v>230</v>
      </c>
      <c r="EI934" s="1" t="s">
        <v>230</v>
      </c>
      <c r="EL934" s="1" t="s">
        <v>466</v>
      </c>
      <c r="EM934" s="1" t="s">
        <v>319</v>
      </c>
      <c r="EN934" s="1" t="s">
        <v>282</v>
      </c>
      <c r="EO934" s="1" t="s">
        <v>234</v>
      </c>
      <c r="ER934" s="1" t="s">
        <v>210</v>
      </c>
      <c r="EW934" s="1" t="s">
        <v>937</v>
      </c>
      <c r="EZ934" s="1" t="s">
        <v>287</v>
      </c>
      <c r="FD934" s="1" t="s">
        <v>246</v>
      </c>
      <c r="FE934" s="1" t="s">
        <v>870</v>
      </c>
      <c r="FF934" s="1" t="s">
        <v>248</v>
      </c>
      <c r="FH934" s="1" t="s">
        <v>550</v>
      </c>
      <c r="FL934" s="1" t="s">
        <v>414</v>
      </c>
      <c r="FM934" s="1" t="s">
        <v>252</v>
      </c>
      <c r="FN934" s="1" t="s">
        <v>213</v>
      </c>
      <c r="FO934" s="1" t="s">
        <v>213</v>
      </c>
      <c r="FQ934" s="1" t="s">
        <v>10283</v>
      </c>
      <c r="FR934" s="1" t="s">
        <v>210</v>
      </c>
      <c r="FS934" s="1" t="s">
        <v>2346</v>
      </c>
      <c r="FT934" s="1" t="s">
        <v>295</v>
      </c>
      <c r="FU934" s="1" t="s">
        <v>204</v>
      </c>
      <c r="FW934" s="1" t="s">
        <v>2347</v>
      </c>
      <c r="FX934" s="1">
        <v>24728</v>
      </c>
      <c r="FY934" s="1" t="s">
        <v>2348</v>
      </c>
      <c r="FZ934" s="1" t="s">
        <v>2349</v>
      </c>
      <c r="GA934" s="1">
        <v>233142</v>
      </c>
      <c r="GB934" s="1" t="s">
        <v>2348</v>
      </c>
      <c r="GD934" s="1" t="s">
        <v>2350</v>
      </c>
      <c r="GE934" s="1" t="s">
        <v>210</v>
      </c>
      <c r="GI934" s="1" t="s">
        <v>213</v>
      </c>
      <c r="GJ934" s="1" t="s">
        <v>260</v>
      </c>
      <c r="GK934" s="1" t="s">
        <v>210</v>
      </c>
      <c r="GL934" s="2">
        <v>42075</v>
      </c>
      <c r="GM934" s="1" t="s">
        <v>10284</v>
      </c>
    </row>
    <row r="935" spans="1:195">
      <c r="A935" s="1">
        <v>31000</v>
      </c>
      <c r="B935" s="1" t="s">
        <v>195</v>
      </c>
      <c r="C935" s="1" t="str">
        <f>"08609790"</f>
        <v>08609790</v>
      </c>
      <c r="D935" s="1" t="s">
        <v>196</v>
      </c>
      <c r="F935" s="1" t="str">
        <f>"2104"</f>
        <v>2104</v>
      </c>
      <c r="G935" s="2">
        <v>41768</v>
      </c>
      <c r="H935" s="1">
        <v>45000</v>
      </c>
      <c r="I935" s="1">
        <v>35000</v>
      </c>
      <c r="J935" s="1">
        <v>31000</v>
      </c>
      <c r="K935" s="2">
        <v>41766</v>
      </c>
      <c r="L935" s="1">
        <v>174</v>
      </c>
      <c r="M935" s="2">
        <v>41939</v>
      </c>
      <c r="N935" s="1">
        <v>174</v>
      </c>
      <c r="O935" s="2">
        <v>41939</v>
      </c>
      <c r="P935" s="1">
        <v>16711</v>
      </c>
      <c r="Q935" s="1" t="s">
        <v>302</v>
      </c>
      <c r="R935" s="2">
        <v>41991</v>
      </c>
      <c r="S935" s="1">
        <v>137812</v>
      </c>
      <c r="U935" s="1">
        <v>1105</v>
      </c>
      <c r="V935" s="1" t="s">
        <v>3029</v>
      </c>
      <c r="W935" s="1" t="s">
        <v>425</v>
      </c>
      <c r="X935" s="1" t="s">
        <v>1000</v>
      </c>
      <c r="Y935" s="1" t="s">
        <v>4806</v>
      </c>
      <c r="Z935" s="1" t="s">
        <v>249</v>
      </c>
      <c r="AA935" s="1" t="s">
        <v>3029</v>
      </c>
      <c r="AB935" s="1">
        <v>60104</v>
      </c>
      <c r="AE935" s="1" t="s">
        <v>10285</v>
      </c>
      <c r="AF935" s="1" t="s">
        <v>402</v>
      </c>
      <c r="AG935" s="1" t="s">
        <v>213</v>
      </c>
      <c r="AH935" s="1" t="s">
        <v>3031</v>
      </c>
      <c r="AI935" s="1" t="s">
        <v>310</v>
      </c>
      <c r="AJ935" s="1" t="s">
        <v>429</v>
      </c>
      <c r="AL935" s="1">
        <v>6</v>
      </c>
      <c r="AM935" s="1">
        <v>2</v>
      </c>
      <c r="AN935" s="1">
        <v>1</v>
      </c>
      <c r="AO935" s="1">
        <v>0</v>
      </c>
      <c r="AP935" s="1" t="s">
        <v>210</v>
      </c>
      <c r="AR935" s="1" t="s">
        <v>209</v>
      </c>
      <c r="AS935" s="1" t="s">
        <v>204</v>
      </c>
      <c r="AT935" s="1" t="s">
        <v>271</v>
      </c>
      <c r="AV935" s="1">
        <v>1</v>
      </c>
      <c r="AW935" s="1" t="s">
        <v>204</v>
      </c>
      <c r="AX935" s="1" t="s">
        <v>1265</v>
      </c>
      <c r="AZ935" s="1">
        <v>1922.49</v>
      </c>
      <c r="BA935" s="1">
        <v>2012</v>
      </c>
      <c r="BB935" s="1" t="s">
        <v>599</v>
      </c>
      <c r="BE935" s="1">
        <v>884</v>
      </c>
      <c r="BF935" s="1">
        <v>1</v>
      </c>
      <c r="BG935" s="1">
        <v>0</v>
      </c>
      <c r="BL935" s="1">
        <v>0</v>
      </c>
      <c r="BM935" s="1" t="s">
        <v>204</v>
      </c>
      <c r="BN935" s="1" t="s">
        <v>213</v>
      </c>
      <c r="BO935" s="1">
        <v>0</v>
      </c>
      <c r="BP935" s="1" t="s">
        <v>204</v>
      </c>
      <c r="BR935" s="1" t="str">
        <f>"15161240570000"</f>
        <v>15161240570000</v>
      </c>
      <c r="BT935" s="1" t="s">
        <v>10286</v>
      </c>
      <c r="BX935" s="1">
        <v>88</v>
      </c>
      <c r="BY935" s="1">
        <v>88</v>
      </c>
      <c r="BZ935" s="1">
        <v>209</v>
      </c>
      <c r="CB935" s="1" t="str">
        <f t="shared" ref="CB935:CC935" si="719">"0"</f>
        <v>0</v>
      </c>
      <c r="CC935" s="1" t="str">
        <f t="shared" si="719"/>
        <v>0</v>
      </c>
      <c r="CD935" s="1">
        <v>6</v>
      </c>
      <c r="CE935" s="1">
        <v>10</v>
      </c>
      <c r="CG935" s="1" t="s">
        <v>437</v>
      </c>
      <c r="CH935" s="1" t="s">
        <v>219</v>
      </c>
      <c r="CK935" s="1" t="s">
        <v>461</v>
      </c>
      <c r="CL935" s="1" t="s">
        <v>277</v>
      </c>
      <c r="CO935" s="1" t="s">
        <v>951</v>
      </c>
      <c r="CP935" s="1" t="s">
        <v>219</v>
      </c>
      <c r="CS935" s="1" t="s">
        <v>2138</v>
      </c>
      <c r="CT935" s="1" t="s">
        <v>277</v>
      </c>
      <c r="CX935" s="1" t="s">
        <v>224</v>
      </c>
      <c r="DB935" s="1" t="s">
        <v>224</v>
      </c>
      <c r="DE935" s="1" t="s">
        <v>951</v>
      </c>
      <c r="DF935" s="1" t="s">
        <v>219</v>
      </c>
      <c r="DI935" s="1" t="s">
        <v>2170</v>
      </c>
      <c r="DJ935" s="1" t="s">
        <v>822</v>
      </c>
      <c r="DM935" s="1" t="s">
        <v>2278</v>
      </c>
      <c r="DR935" s="1" t="s">
        <v>3083</v>
      </c>
      <c r="DS935" s="1" t="s">
        <v>822</v>
      </c>
      <c r="DW935" s="1" t="s">
        <v>230</v>
      </c>
      <c r="EA935" s="1" t="s">
        <v>230</v>
      </c>
      <c r="EE935" s="1" t="s">
        <v>230</v>
      </c>
      <c r="EI935" s="1" t="s">
        <v>230</v>
      </c>
      <c r="EL935" s="1" t="s">
        <v>413</v>
      </c>
      <c r="EM935" s="1" t="s">
        <v>761</v>
      </c>
      <c r="EN935" s="1" t="s">
        <v>282</v>
      </c>
      <c r="EO935" s="1" t="s">
        <v>234</v>
      </c>
      <c r="ER935" s="1" t="s">
        <v>351</v>
      </c>
      <c r="EV935" s="1" t="s">
        <v>324</v>
      </c>
      <c r="EW935" s="1" t="s">
        <v>210</v>
      </c>
      <c r="EZ935" s="1" t="s">
        <v>2278</v>
      </c>
      <c r="FD935" s="1" t="s">
        <v>246</v>
      </c>
      <c r="FE935" s="1" t="s">
        <v>247</v>
      </c>
      <c r="FF935" s="1" t="s">
        <v>248</v>
      </c>
      <c r="FH935" s="1" t="s">
        <v>550</v>
      </c>
      <c r="FL935" s="1" t="s">
        <v>358</v>
      </c>
      <c r="FM935" s="1" t="s">
        <v>252</v>
      </c>
      <c r="FN935" s="1" t="s">
        <v>213</v>
      </c>
      <c r="FO935" s="1" t="s">
        <v>213</v>
      </c>
      <c r="FQ935" s="1" t="s">
        <v>8274</v>
      </c>
      <c r="FR935" s="1" t="s">
        <v>360</v>
      </c>
      <c r="FS935" s="1" t="s">
        <v>10287</v>
      </c>
      <c r="FT935" s="1" t="s">
        <v>295</v>
      </c>
      <c r="FU935" s="1" t="s">
        <v>204</v>
      </c>
      <c r="FW935" s="1" t="s">
        <v>1601</v>
      </c>
      <c r="FX935" s="1">
        <v>4621</v>
      </c>
      <c r="FY935" s="1" t="s">
        <v>1602</v>
      </c>
      <c r="FZ935" s="1" t="s">
        <v>1603</v>
      </c>
      <c r="GA935" s="1">
        <v>38257</v>
      </c>
      <c r="GB935" s="1" t="s">
        <v>1602</v>
      </c>
      <c r="GE935" s="1" t="s">
        <v>210</v>
      </c>
      <c r="GI935" s="1" t="s">
        <v>213</v>
      </c>
      <c r="GJ935" s="1" t="s">
        <v>260</v>
      </c>
      <c r="GK935" s="1" t="s">
        <v>210</v>
      </c>
      <c r="GL935" s="2">
        <v>42009</v>
      </c>
      <c r="GM935" s="1" t="s">
        <v>10288</v>
      </c>
    </row>
    <row r="936" spans="1:195">
      <c r="A936" s="1">
        <v>145000</v>
      </c>
      <c r="B936" s="1" t="s">
        <v>195</v>
      </c>
      <c r="C936" s="1" t="str">
        <f>"08618689"</f>
        <v>08618689</v>
      </c>
      <c r="D936" s="1" t="s">
        <v>196</v>
      </c>
      <c r="F936" s="1" t="str">
        <f>"30"</f>
        <v>30</v>
      </c>
      <c r="G936" s="2">
        <v>41778</v>
      </c>
      <c r="H936" s="1">
        <v>180000</v>
      </c>
      <c r="I936" s="1">
        <v>158000</v>
      </c>
      <c r="J936" s="1">
        <v>145000</v>
      </c>
      <c r="K936" s="2">
        <v>41778</v>
      </c>
      <c r="L936" s="1">
        <v>262</v>
      </c>
      <c r="M936" s="2">
        <v>42039</v>
      </c>
      <c r="N936" s="1">
        <v>262</v>
      </c>
      <c r="O936" s="2">
        <v>42039</v>
      </c>
      <c r="P936" s="1">
        <v>84307</v>
      </c>
      <c r="Q936" s="1" t="s">
        <v>197</v>
      </c>
      <c r="R936" s="2">
        <v>42062</v>
      </c>
      <c r="S936" s="1">
        <v>171923</v>
      </c>
      <c r="U936" s="1">
        <v>305</v>
      </c>
      <c r="V936" s="1" t="s">
        <v>3735</v>
      </c>
      <c r="W936" s="1" t="s">
        <v>449</v>
      </c>
      <c r="Y936" s="1">
        <v>5</v>
      </c>
      <c r="Z936" s="1" t="s">
        <v>370</v>
      </c>
      <c r="AA936" s="1" t="s">
        <v>1834</v>
      </c>
      <c r="AB936" s="1">
        <v>60030</v>
      </c>
      <c r="AD936" s="1" t="s">
        <v>10289</v>
      </c>
      <c r="AE936" s="1" t="s">
        <v>10290</v>
      </c>
      <c r="AF936" s="1">
        <v>2004</v>
      </c>
      <c r="AG936" s="1" t="s">
        <v>204</v>
      </c>
      <c r="AH936" s="1" t="s">
        <v>1837</v>
      </c>
      <c r="AI936" s="1" t="s">
        <v>509</v>
      </c>
      <c r="AJ936" s="1" t="s">
        <v>1263</v>
      </c>
      <c r="AL936" s="1">
        <v>6</v>
      </c>
      <c r="AM936" s="1">
        <v>2</v>
      </c>
      <c r="AN936" s="1">
        <v>2</v>
      </c>
      <c r="AO936" s="1">
        <v>1</v>
      </c>
      <c r="AP936" s="1" t="s">
        <v>209</v>
      </c>
      <c r="AR936" s="1" t="s">
        <v>210</v>
      </c>
      <c r="AS936" s="1" t="s">
        <v>204</v>
      </c>
      <c r="AT936" s="1" t="s">
        <v>211</v>
      </c>
      <c r="AU936" s="1">
        <v>2</v>
      </c>
      <c r="AW936" s="1" t="s">
        <v>204</v>
      </c>
      <c r="AX936" s="1" t="s">
        <v>212</v>
      </c>
      <c r="AZ936" s="1">
        <v>5410.49</v>
      </c>
      <c r="BA936" s="1">
        <v>2013</v>
      </c>
      <c r="BE936" s="1">
        <v>1520</v>
      </c>
      <c r="BF936" s="1">
        <v>1</v>
      </c>
      <c r="BG936" s="1">
        <v>30</v>
      </c>
      <c r="BL936" s="1">
        <v>158</v>
      </c>
      <c r="BM936" s="1" t="s">
        <v>204</v>
      </c>
      <c r="BN936" s="1" t="s">
        <v>213</v>
      </c>
      <c r="BO936" s="1">
        <v>999</v>
      </c>
      <c r="BP936" s="1" t="s">
        <v>204</v>
      </c>
      <c r="BR936" s="1" t="str">
        <f>"06344040060000"</f>
        <v>06344040060000</v>
      </c>
      <c r="BT936" s="1" t="s">
        <v>10291</v>
      </c>
      <c r="BX936" s="1">
        <v>46</v>
      </c>
      <c r="BY936" s="1">
        <v>46</v>
      </c>
      <c r="BZ936" s="1">
        <v>127</v>
      </c>
      <c r="CB936" s="1" t="str">
        <f t="shared" ref="CB936:CB938" si="720">""</f>
        <v/>
      </c>
      <c r="CC936" s="1" t="str">
        <f>"20"</f>
        <v>20</v>
      </c>
      <c r="CD936" s="1">
        <v>87</v>
      </c>
      <c r="CG936" s="1" t="s">
        <v>10292</v>
      </c>
      <c r="CH936" s="1" t="s">
        <v>277</v>
      </c>
      <c r="CI936" s="1" t="s">
        <v>220</v>
      </c>
      <c r="CK936" s="1" t="s">
        <v>1403</v>
      </c>
      <c r="CL936" s="1" t="s">
        <v>784</v>
      </c>
      <c r="CO936" s="1" t="s">
        <v>629</v>
      </c>
      <c r="CP936" s="1" t="s">
        <v>277</v>
      </c>
      <c r="CS936" s="1" t="s">
        <v>836</v>
      </c>
      <c r="CT936" s="1" t="s">
        <v>784</v>
      </c>
      <c r="CX936" s="1" t="s">
        <v>224</v>
      </c>
      <c r="DB936" s="1" t="s">
        <v>224</v>
      </c>
      <c r="DE936" s="1" t="s">
        <v>1402</v>
      </c>
      <c r="DF936" s="1" t="s">
        <v>277</v>
      </c>
      <c r="DG936" s="1" t="s">
        <v>226</v>
      </c>
      <c r="DI936" s="1" t="s">
        <v>1402</v>
      </c>
      <c r="DJ936" s="1" t="s">
        <v>822</v>
      </c>
      <c r="DK936" s="1" t="s">
        <v>220</v>
      </c>
      <c r="DS936" s="1" t="s">
        <v>230</v>
      </c>
      <c r="DW936" s="1" t="s">
        <v>230</v>
      </c>
      <c r="EA936" s="1" t="s">
        <v>230</v>
      </c>
      <c r="EE936" s="1" t="s">
        <v>230</v>
      </c>
      <c r="EI936" s="1" t="s">
        <v>230</v>
      </c>
      <c r="EL936" s="1" t="s">
        <v>491</v>
      </c>
      <c r="EM936" s="1" t="s">
        <v>232</v>
      </c>
      <c r="EN936" s="1" t="s">
        <v>282</v>
      </c>
      <c r="EO936" s="1" t="s">
        <v>234</v>
      </c>
      <c r="EP936" s="1" t="s">
        <v>650</v>
      </c>
      <c r="EQ936" s="1" t="s">
        <v>236</v>
      </c>
      <c r="ER936" s="1" t="s">
        <v>383</v>
      </c>
      <c r="EW936" s="1" t="s">
        <v>353</v>
      </c>
      <c r="EZ936" s="1" t="s">
        <v>287</v>
      </c>
      <c r="FD936" s="1" t="s">
        <v>246</v>
      </c>
      <c r="FE936" s="1" t="s">
        <v>247</v>
      </c>
      <c r="FF936" s="1" t="s">
        <v>248</v>
      </c>
      <c r="FH936" s="1" t="s">
        <v>1428</v>
      </c>
      <c r="FL936" s="1" t="s">
        <v>358</v>
      </c>
      <c r="FM936" s="1" t="s">
        <v>252</v>
      </c>
      <c r="FN936" s="1" t="s">
        <v>213</v>
      </c>
      <c r="FO936" s="1" t="s">
        <v>213</v>
      </c>
      <c r="FQ936" s="1" t="s">
        <v>359</v>
      </c>
      <c r="FR936" s="1" t="s">
        <v>210</v>
      </c>
      <c r="FS936" s="1" t="s">
        <v>10293</v>
      </c>
      <c r="FT936" s="1" t="s">
        <v>362</v>
      </c>
      <c r="FU936" s="1" t="s">
        <v>204</v>
      </c>
      <c r="FW936" s="1" t="s">
        <v>585</v>
      </c>
      <c r="FX936" s="1">
        <v>2050</v>
      </c>
      <c r="FY936" s="1" t="s">
        <v>4207</v>
      </c>
      <c r="FZ936" s="1" t="s">
        <v>10294</v>
      </c>
      <c r="GA936" s="1">
        <v>923406</v>
      </c>
      <c r="GB936" s="1" t="s">
        <v>10295</v>
      </c>
      <c r="GE936" s="1" t="s">
        <v>480</v>
      </c>
      <c r="GI936" s="1" t="s">
        <v>213</v>
      </c>
      <c r="GJ936" s="1" t="s">
        <v>260</v>
      </c>
      <c r="GK936" s="1" t="s">
        <v>210</v>
      </c>
      <c r="GL936" s="2">
        <v>42062</v>
      </c>
    </row>
    <row r="937" spans="1:195">
      <c r="A937" s="1">
        <v>134000</v>
      </c>
      <c r="B937" s="1" t="s">
        <v>195</v>
      </c>
      <c r="C937" s="1" t="str">
        <f>"08619314"</f>
        <v>08619314</v>
      </c>
      <c r="D937" s="1" t="s">
        <v>196</v>
      </c>
      <c r="F937" s="1" t="str">
        <f>"123"</f>
        <v>123</v>
      </c>
      <c r="G937" s="2">
        <v>41778</v>
      </c>
      <c r="H937" s="1">
        <v>154000</v>
      </c>
      <c r="I937" s="1">
        <v>134900</v>
      </c>
      <c r="J937" s="1">
        <v>134000</v>
      </c>
      <c r="K937" s="2">
        <v>41778</v>
      </c>
      <c r="L937" s="1">
        <v>239</v>
      </c>
      <c r="M937" s="2">
        <v>42016</v>
      </c>
      <c r="N937" s="1">
        <v>239</v>
      </c>
      <c r="O937" s="2">
        <v>42016</v>
      </c>
      <c r="P937" s="1">
        <v>7450</v>
      </c>
      <c r="Q937" s="1" t="s">
        <v>423</v>
      </c>
      <c r="R937" s="2">
        <v>42054</v>
      </c>
      <c r="S937" s="1">
        <v>2161</v>
      </c>
      <c r="T937" s="1">
        <v>4000</v>
      </c>
      <c r="U937" s="1">
        <v>2030</v>
      </c>
      <c r="V937" s="1" t="s">
        <v>10296</v>
      </c>
      <c r="W937" s="1" t="s">
        <v>504</v>
      </c>
      <c r="Y937" s="1">
        <v>2</v>
      </c>
      <c r="Z937" s="1" t="s">
        <v>200</v>
      </c>
      <c r="AA937" s="1" t="s">
        <v>1173</v>
      </c>
      <c r="AB937" s="1">
        <v>60123</v>
      </c>
      <c r="AD937" s="1" t="s">
        <v>10297</v>
      </c>
      <c r="AE937" s="1" t="s">
        <v>10298</v>
      </c>
      <c r="AF937" s="1">
        <v>1997</v>
      </c>
      <c r="AG937" s="1" t="s">
        <v>204</v>
      </c>
      <c r="AH937" s="1" t="s">
        <v>1175</v>
      </c>
      <c r="AI937" s="1" t="s">
        <v>665</v>
      </c>
      <c r="AJ937" s="1" t="s">
        <v>1175</v>
      </c>
      <c r="AL937" s="1">
        <v>7</v>
      </c>
      <c r="AM937" s="1">
        <v>2</v>
      </c>
      <c r="AN937" s="1">
        <v>2</v>
      </c>
      <c r="AO937" s="1">
        <v>1</v>
      </c>
      <c r="AP937" s="1" t="s">
        <v>209</v>
      </c>
      <c r="AQ937" s="1">
        <v>1</v>
      </c>
      <c r="AR937" s="1" t="s">
        <v>210</v>
      </c>
      <c r="AT937" s="1" t="s">
        <v>211</v>
      </c>
      <c r="AU937" s="1">
        <v>2</v>
      </c>
      <c r="AW937" s="1" t="s">
        <v>204</v>
      </c>
      <c r="AX937" s="1" t="s">
        <v>10299</v>
      </c>
      <c r="AZ937" s="1">
        <v>3807</v>
      </c>
      <c r="BA937" s="1">
        <v>2013</v>
      </c>
      <c r="BE937" s="1">
        <v>1775</v>
      </c>
      <c r="BF937" s="1">
        <v>1</v>
      </c>
      <c r="BG937" s="1">
        <v>10</v>
      </c>
      <c r="BL937" s="1">
        <v>250</v>
      </c>
      <c r="BM937" s="1" t="s">
        <v>204</v>
      </c>
      <c r="BN937" s="1" t="s">
        <v>213</v>
      </c>
      <c r="BO937" s="1">
        <v>100</v>
      </c>
      <c r="BP937" s="1" t="s">
        <v>204</v>
      </c>
      <c r="BR937" s="1" t="str">
        <f>"0604403028"</f>
        <v>0604403028</v>
      </c>
      <c r="BT937" s="1" t="s">
        <v>10300</v>
      </c>
      <c r="BX937" s="1">
        <v>46</v>
      </c>
      <c r="BY937" s="1">
        <v>46</v>
      </c>
      <c r="BZ937" s="1">
        <v>46</v>
      </c>
      <c r="CB937" s="1" t="str">
        <f t="shared" si="720"/>
        <v/>
      </c>
      <c r="CC937" s="1" t="str">
        <f t="shared" ref="CC937:CC938" si="721">""</f>
        <v/>
      </c>
      <c r="CG937" s="1" t="s">
        <v>1132</v>
      </c>
      <c r="CH937" s="1" t="s">
        <v>219</v>
      </c>
      <c r="CI937" s="1" t="s">
        <v>220</v>
      </c>
      <c r="CK937" s="1" t="s">
        <v>315</v>
      </c>
      <c r="CL937" s="1" t="s">
        <v>219</v>
      </c>
      <c r="CM937" s="1" t="s">
        <v>220</v>
      </c>
      <c r="CO937" s="1" t="s">
        <v>7355</v>
      </c>
      <c r="CP937" s="1" t="s">
        <v>219</v>
      </c>
      <c r="CQ937" s="1" t="s">
        <v>220</v>
      </c>
      <c r="CS937" s="1" t="s">
        <v>317</v>
      </c>
      <c r="CT937" s="1" t="s">
        <v>277</v>
      </c>
      <c r="CU937" s="1" t="s">
        <v>220</v>
      </c>
      <c r="CX937" s="1" t="s">
        <v>224</v>
      </c>
      <c r="DB937" s="1" t="s">
        <v>224</v>
      </c>
      <c r="DE937" s="1" t="s">
        <v>2466</v>
      </c>
      <c r="DF937" s="1" t="s">
        <v>219</v>
      </c>
      <c r="DG937" s="1" t="s">
        <v>226</v>
      </c>
      <c r="DI937" s="1" t="s">
        <v>1132</v>
      </c>
      <c r="DJ937" s="1" t="s">
        <v>219</v>
      </c>
      <c r="DK937" s="1" t="s">
        <v>220</v>
      </c>
      <c r="DM937" s="1" t="s">
        <v>1005</v>
      </c>
      <c r="DO937" s="1" t="s">
        <v>1771</v>
      </c>
      <c r="DR937" s="1" t="s">
        <v>278</v>
      </c>
      <c r="DS937" s="1" t="s">
        <v>277</v>
      </c>
      <c r="DW937" s="1" t="s">
        <v>230</v>
      </c>
      <c r="DZ937" s="1" t="s">
        <v>5717</v>
      </c>
      <c r="EA937" s="1" t="s">
        <v>219</v>
      </c>
      <c r="EE937" s="1" t="s">
        <v>230</v>
      </c>
      <c r="EI937" s="1" t="s">
        <v>230</v>
      </c>
      <c r="EL937" s="1" t="s">
        <v>670</v>
      </c>
      <c r="EM937" s="1" t="s">
        <v>319</v>
      </c>
      <c r="EN937" s="1" t="s">
        <v>282</v>
      </c>
      <c r="EO937" s="1" t="s">
        <v>234</v>
      </c>
      <c r="EQ937" s="1" t="s">
        <v>2913</v>
      </c>
      <c r="ER937" s="1" t="s">
        <v>210</v>
      </c>
      <c r="ES937" s="1" t="s">
        <v>545</v>
      </c>
      <c r="EV937" s="1" t="s">
        <v>240</v>
      </c>
      <c r="EW937" s="1" t="s">
        <v>1219</v>
      </c>
      <c r="EZ937" s="1" t="s">
        <v>10301</v>
      </c>
      <c r="FD937" s="1" t="s">
        <v>2252</v>
      </c>
      <c r="FE937" s="1" t="s">
        <v>247</v>
      </c>
      <c r="FF937" s="1" t="s">
        <v>248</v>
      </c>
      <c r="FH937" s="1" t="s">
        <v>550</v>
      </c>
      <c r="FL937" s="1" t="s">
        <v>414</v>
      </c>
      <c r="FM937" s="1" t="s">
        <v>252</v>
      </c>
      <c r="FN937" s="1" t="s">
        <v>213</v>
      </c>
      <c r="FO937" s="1" t="s">
        <v>213</v>
      </c>
      <c r="FQ937" s="1" t="s">
        <v>3616</v>
      </c>
      <c r="FR937" s="1" t="s">
        <v>210</v>
      </c>
      <c r="FS937" s="1" t="s">
        <v>10302</v>
      </c>
      <c r="FT937" s="1" t="s">
        <v>10303</v>
      </c>
      <c r="FU937" s="1" t="s">
        <v>204</v>
      </c>
      <c r="FW937" s="1" t="s">
        <v>10304</v>
      </c>
      <c r="FX937" s="1">
        <v>85181</v>
      </c>
      <c r="FY937" s="1" t="s">
        <v>10305</v>
      </c>
      <c r="FZ937" s="1" t="s">
        <v>10306</v>
      </c>
      <c r="GA937" s="1">
        <v>840714</v>
      </c>
      <c r="GB937" s="1" t="s">
        <v>10305</v>
      </c>
      <c r="GE937" s="1" t="s">
        <v>210</v>
      </c>
      <c r="GI937" s="1" t="s">
        <v>204</v>
      </c>
      <c r="GJ937" s="1" t="s">
        <v>260</v>
      </c>
      <c r="GK937" s="1" t="s">
        <v>210</v>
      </c>
      <c r="GL937" s="2">
        <v>42055</v>
      </c>
    </row>
    <row r="938" spans="1:195">
      <c r="A938" s="1">
        <v>91000</v>
      </c>
      <c r="B938" s="1" t="s">
        <v>195</v>
      </c>
      <c r="C938" s="1" t="str">
        <f>"08623250"</f>
        <v>08623250</v>
      </c>
      <c r="D938" s="1" t="s">
        <v>196</v>
      </c>
      <c r="F938" s="1" t="str">
        <f>"19"</f>
        <v>19</v>
      </c>
      <c r="G938" s="2">
        <v>41782</v>
      </c>
      <c r="H938" s="1">
        <v>103500</v>
      </c>
      <c r="I938" s="1">
        <v>99500</v>
      </c>
      <c r="J938" s="1">
        <v>91000</v>
      </c>
      <c r="K938" s="2">
        <v>41780</v>
      </c>
      <c r="L938" s="1">
        <v>180</v>
      </c>
      <c r="M938" s="2">
        <v>41959</v>
      </c>
      <c r="N938" s="1">
        <v>180</v>
      </c>
      <c r="O938" s="2">
        <v>41959</v>
      </c>
      <c r="P938" s="1">
        <v>24451</v>
      </c>
      <c r="Q938" s="1" t="s">
        <v>197</v>
      </c>
      <c r="R938" s="2">
        <v>42010</v>
      </c>
      <c r="S938" s="1">
        <v>234974</v>
      </c>
      <c r="U938" s="1">
        <v>1338</v>
      </c>
      <c r="V938" s="1" t="s">
        <v>8323</v>
      </c>
      <c r="W938" s="1" t="s">
        <v>264</v>
      </c>
      <c r="X938" s="1">
        <v>1338</v>
      </c>
      <c r="Y938" s="1">
        <v>4</v>
      </c>
      <c r="Z938" s="1" t="s">
        <v>370</v>
      </c>
      <c r="AA938" s="1" t="s">
        <v>1013</v>
      </c>
      <c r="AB938" s="1">
        <v>60020</v>
      </c>
      <c r="AC938" s="1">
        <v>3423</v>
      </c>
      <c r="AD938" s="1" t="s">
        <v>10307</v>
      </c>
      <c r="AE938" s="1" t="s">
        <v>10308</v>
      </c>
      <c r="AF938" s="1">
        <v>2007</v>
      </c>
      <c r="AG938" s="1" t="s">
        <v>204</v>
      </c>
      <c r="AH938" s="1" t="s">
        <v>1015</v>
      </c>
      <c r="AI938" s="1" t="s">
        <v>509</v>
      </c>
      <c r="AJ938" s="1" t="s">
        <v>1016</v>
      </c>
      <c r="AK938" s="1" t="s">
        <v>10309</v>
      </c>
      <c r="AL938" s="1">
        <v>5</v>
      </c>
      <c r="AM938" s="1">
        <v>2</v>
      </c>
      <c r="AN938" s="1">
        <v>2</v>
      </c>
      <c r="AO938" s="1">
        <v>0</v>
      </c>
      <c r="AP938" s="1" t="s">
        <v>209</v>
      </c>
      <c r="AR938" s="1" t="s">
        <v>210</v>
      </c>
      <c r="AS938" s="1" t="s">
        <v>204</v>
      </c>
      <c r="AT938" s="1" t="s">
        <v>211</v>
      </c>
      <c r="AU938" s="1">
        <v>1</v>
      </c>
      <c r="AW938" s="1" t="s">
        <v>204</v>
      </c>
      <c r="AX938" s="1" t="s">
        <v>212</v>
      </c>
      <c r="AZ938" s="1">
        <v>5037.8999999999996</v>
      </c>
      <c r="BA938" s="1">
        <v>2013</v>
      </c>
      <c r="BB938" s="1" t="s">
        <v>405</v>
      </c>
      <c r="BE938" s="1">
        <v>1264</v>
      </c>
      <c r="BF938" s="1">
        <v>1</v>
      </c>
      <c r="BG938" s="1">
        <v>0</v>
      </c>
      <c r="BL938" s="1">
        <v>151</v>
      </c>
      <c r="BM938" s="1" t="s">
        <v>204</v>
      </c>
      <c r="BN938" s="1" t="s">
        <v>213</v>
      </c>
      <c r="BO938" s="1" t="s">
        <v>2932</v>
      </c>
      <c r="BP938" s="1" t="s">
        <v>204</v>
      </c>
      <c r="BR938" s="1" t="str">
        <f>"05274060270000"</f>
        <v>05274060270000</v>
      </c>
      <c r="BT938" s="1" t="s">
        <v>10310</v>
      </c>
      <c r="BU938" s="1" t="s">
        <v>6153</v>
      </c>
      <c r="BV938" s="1" t="s">
        <v>6488</v>
      </c>
      <c r="BW938" s="1" t="s">
        <v>2264</v>
      </c>
      <c r="BX938" s="1">
        <v>38</v>
      </c>
      <c r="BY938" s="1">
        <v>38</v>
      </c>
      <c r="BZ938" s="1">
        <v>124</v>
      </c>
      <c r="CB938" s="1" t="str">
        <f t="shared" si="720"/>
        <v/>
      </c>
      <c r="CC938" s="1" t="str">
        <f t="shared" si="721"/>
        <v/>
      </c>
      <c r="CG938" s="1" t="s">
        <v>1533</v>
      </c>
      <c r="CH938" s="1" t="s">
        <v>219</v>
      </c>
      <c r="CI938" s="1" t="s">
        <v>220</v>
      </c>
      <c r="CJ938" s="1" t="s">
        <v>252</v>
      </c>
      <c r="CK938" s="1" t="s">
        <v>757</v>
      </c>
      <c r="CL938" s="1" t="s">
        <v>219</v>
      </c>
      <c r="CM938" s="1" t="s">
        <v>220</v>
      </c>
      <c r="CN938" s="1" t="s">
        <v>252</v>
      </c>
      <c r="CO938" s="1" t="s">
        <v>1358</v>
      </c>
      <c r="CP938" s="1" t="s">
        <v>219</v>
      </c>
      <c r="CQ938" s="1" t="s">
        <v>220</v>
      </c>
      <c r="CR938" s="1" t="s">
        <v>252</v>
      </c>
      <c r="CS938" s="1" t="s">
        <v>318</v>
      </c>
      <c r="CT938" s="1" t="s">
        <v>219</v>
      </c>
      <c r="CU938" s="1" t="s">
        <v>220</v>
      </c>
      <c r="CV938" s="1" t="s">
        <v>252</v>
      </c>
      <c r="CX938" s="1" t="s">
        <v>224</v>
      </c>
      <c r="DB938" s="1" t="s">
        <v>224</v>
      </c>
      <c r="DE938" s="1" t="s">
        <v>461</v>
      </c>
      <c r="DF938" s="1" t="s">
        <v>219</v>
      </c>
      <c r="DG938" s="1" t="s">
        <v>342</v>
      </c>
      <c r="DH938" s="1" t="s">
        <v>210</v>
      </c>
      <c r="DJ938" s="1" t="s">
        <v>224</v>
      </c>
      <c r="DS938" s="1" t="s">
        <v>230</v>
      </c>
      <c r="DW938" s="1" t="s">
        <v>230</v>
      </c>
      <c r="EA938" s="1" t="s">
        <v>230</v>
      </c>
      <c r="EE938" s="1" t="s">
        <v>230</v>
      </c>
      <c r="EI938" s="1" t="s">
        <v>230</v>
      </c>
      <c r="EL938" s="1" t="s">
        <v>491</v>
      </c>
      <c r="EM938" s="1" t="s">
        <v>232</v>
      </c>
      <c r="EN938" s="1" t="s">
        <v>282</v>
      </c>
      <c r="EO938" s="1" t="s">
        <v>234</v>
      </c>
      <c r="EP938" s="1" t="s">
        <v>1268</v>
      </c>
      <c r="EQ938" s="1" t="s">
        <v>1094</v>
      </c>
      <c r="ER938" s="1" t="s">
        <v>383</v>
      </c>
      <c r="ES938" s="1" t="s">
        <v>493</v>
      </c>
      <c r="EU938" s="1" t="s">
        <v>3536</v>
      </c>
      <c r="EV938" s="1" t="s">
        <v>240</v>
      </c>
      <c r="EW938" s="1" t="s">
        <v>867</v>
      </c>
      <c r="EY938" s="1" t="s">
        <v>242</v>
      </c>
      <c r="EZ938" s="1" t="s">
        <v>287</v>
      </c>
      <c r="FA938" s="1" t="s">
        <v>3624</v>
      </c>
      <c r="FB938" s="1" t="s">
        <v>289</v>
      </c>
      <c r="FC938" s="1" t="s">
        <v>10311</v>
      </c>
      <c r="FD938" s="1" t="s">
        <v>246</v>
      </c>
      <c r="FE938" s="1" t="s">
        <v>472</v>
      </c>
      <c r="FF938" s="1" t="s">
        <v>248</v>
      </c>
      <c r="FH938" s="1" t="s">
        <v>249</v>
      </c>
      <c r="FI938" s="1" t="s">
        <v>357</v>
      </c>
      <c r="FJ938" s="1" t="s">
        <v>197</v>
      </c>
      <c r="FL938" s="1" t="s">
        <v>358</v>
      </c>
      <c r="FM938" s="1" t="s">
        <v>252</v>
      </c>
      <c r="FN938" s="1" t="s">
        <v>213</v>
      </c>
      <c r="FO938" s="1" t="s">
        <v>213</v>
      </c>
      <c r="FQ938" s="1" t="s">
        <v>329</v>
      </c>
      <c r="FR938" s="1" t="s">
        <v>210</v>
      </c>
      <c r="FS938" s="1" t="s">
        <v>4138</v>
      </c>
      <c r="FT938" s="1" t="s">
        <v>295</v>
      </c>
      <c r="FU938" s="1" t="s">
        <v>204</v>
      </c>
      <c r="FW938" s="1" t="s">
        <v>554</v>
      </c>
      <c r="FX938" s="1">
        <v>5042</v>
      </c>
      <c r="FY938" s="1" t="s">
        <v>5013</v>
      </c>
      <c r="FZ938" s="1" t="s">
        <v>9498</v>
      </c>
      <c r="GA938" s="1">
        <v>52187</v>
      </c>
      <c r="GB938" s="1" t="s">
        <v>9499</v>
      </c>
      <c r="GD938" s="1" t="s">
        <v>9500</v>
      </c>
      <c r="GE938" s="1" t="s">
        <v>480</v>
      </c>
      <c r="GI938" s="1" t="s">
        <v>213</v>
      </c>
      <c r="GJ938" s="1" t="s">
        <v>260</v>
      </c>
      <c r="GK938" s="1" t="s">
        <v>210</v>
      </c>
      <c r="GL938" s="2">
        <v>42012</v>
      </c>
    </row>
    <row r="939" spans="1:195">
      <c r="A939" s="1">
        <v>101000</v>
      </c>
      <c r="B939" s="1" t="s">
        <v>195</v>
      </c>
      <c r="C939" s="1" t="str">
        <f>"08620822"</f>
        <v>08620822</v>
      </c>
      <c r="D939" s="1" t="s">
        <v>196</v>
      </c>
      <c r="F939" s="1" t="str">
        <f>"562"</f>
        <v>562</v>
      </c>
      <c r="G939" s="2">
        <v>41779</v>
      </c>
      <c r="H939" s="1">
        <v>139900</v>
      </c>
      <c r="I939" s="1">
        <v>99900</v>
      </c>
      <c r="J939" s="1">
        <v>101000</v>
      </c>
      <c r="K939" s="2">
        <v>41779</v>
      </c>
      <c r="L939" s="1">
        <v>189</v>
      </c>
      <c r="M939" s="2">
        <v>41967</v>
      </c>
      <c r="N939" s="1">
        <v>189</v>
      </c>
      <c r="O939" s="2">
        <v>41967</v>
      </c>
      <c r="P939" s="1">
        <v>24832</v>
      </c>
      <c r="Q939" s="1" t="s">
        <v>302</v>
      </c>
      <c r="R939" s="2">
        <v>41988</v>
      </c>
      <c r="S939" s="1">
        <v>227913</v>
      </c>
      <c r="U939" s="1">
        <v>1605</v>
      </c>
      <c r="V939" s="1" t="s">
        <v>3261</v>
      </c>
      <c r="W939" s="1" t="s">
        <v>304</v>
      </c>
      <c r="X939" s="1" t="s">
        <v>527</v>
      </c>
      <c r="Y939" s="1">
        <v>4</v>
      </c>
      <c r="Z939" s="1" t="s">
        <v>370</v>
      </c>
      <c r="AA939" s="1" t="s">
        <v>899</v>
      </c>
      <c r="AB939" s="1">
        <v>60561</v>
      </c>
      <c r="AD939" s="1" t="s">
        <v>3361</v>
      </c>
      <c r="AE939" s="1" t="s">
        <v>10312</v>
      </c>
      <c r="AF939" s="1">
        <v>1984</v>
      </c>
      <c r="AG939" s="1" t="s">
        <v>204</v>
      </c>
      <c r="AH939" s="1" t="s">
        <v>902</v>
      </c>
      <c r="AI939" s="1" t="s">
        <v>206</v>
      </c>
      <c r="AJ939" s="1" t="s">
        <v>903</v>
      </c>
      <c r="AL939" s="1">
        <v>5</v>
      </c>
      <c r="AM939" s="1">
        <v>2</v>
      </c>
      <c r="AN939" s="1">
        <v>1</v>
      </c>
      <c r="AO939" s="1">
        <v>0</v>
      </c>
      <c r="AP939" s="1" t="s">
        <v>667</v>
      </c>
      <c r="AQ939" s="1">
        <v>1</v>
      </c>
      <c r="AR939" s="1" t="s">
        <v>210</v>
      </c>
      <c r="AS939" s="1" t="s">
        <v>204</v>
      </c>
      <c r="AT939" s="1" t="s">
        <v>211</v>
      </c>
      <c r="AU939" s="1">
        <v>1</v>
      </c>
      <c r="AW939" s="1" t="s">
        <v>213</v>
      </c>
      <c r="AX939" s="1" t="s">
        <v>212</v>
      </c>
      <c r="AZ939" s="1">
        <v>2505.14</v>
      </c>
      <c r="BA939" s="1">
        <v>2013</v>
      </c>
      <c r="BE939" s="1">
        <v>1044</v>
      </c>
      <c r="BF939" s="1">
        <v>2</v>
      </c>
      <c r="BG939" s="1">
        <v>0</v>
      </c>
      <c r="BL939" s="1">
        <v>173</v>
      </c>
      <c r="BM939" s="1" t="s">
        <v>204</v>
      </c>
      <c r="BN939" s="1" t="s">
        <v>213</v>
      </c>
      <c r="BO939" s="1">
        <v>25</v>
      </c>
      <c r="BP939" s="1" t="s">
        <v>204</v>
      </c>
      <c r="BR939" s="1" t="str">
        <f>"0933115048"</f>
        <v>0933115048</v>
      </c>
      <c r="BT939" s="1" t="s">
        <v>10313</v>
      </c>
      <c r="BX939" s="1">
        <v>66</v>
      </c>
      <c r="BY939" s="1">
        <v>66</v>
      </c>
      <c r="BZ939" s="1">
        <v>99</v>
      </c>
      <c r="CB939" s="1" t="str">
        <f t="shared" ref="CB939:CC939" si="722">"0"</f>
        <v>0</v>
      </c>
      <c r="CC939" s="1" t="str">
        <f t="shared" si="722"/>
        <v>0</v>
      </c>
      <c r="CD939" s="1">
        <v>18</v>
      </c>
      <c r="CE939" s="1">
        <v>9</v>
      </c>
      <c r="CG939" s="1" t="s">
        <v>729</v>
      </c>
      <c r="CH939" s="1" t="s">
        <v>219</v>
      </c>
      <c r="CK939" s="1" t="s">
        <v>1045</v>
      </c>
      <c r="CL939" s="1" t="s">
        <v>219</v>
      </c>
      <c r="CO939" s="1" t="s">
        <v>837</v>
      </c>
      <c r="CP939" s="1" t="s">
        <v>219</v>
      </c>
      <c r="CS939" s="1" t="s">
        <v>318</v>
      </c>
      <c r="CT939" s="1" t="s">
        <v>219</v>
      </c>
      <c r="CX939" s="1" t="s">
        <v>224</v>
      </c>
      <c r="DB939" s="1" t="s">
        <v>224</v>
      </c>
      <c r="DE939" s="1" t="s">
        <v>516</v>
      </c>
      <c r="DF939" s="1" t="s">
        <v>219</v>
      </c>
      <c r="DJ939" s="1" t="s">
        <v>224</v>
      </c>
      <c r="DS939" s="1" t="s">
        <v>230</v>
      </c>
      <c r="DW939" s="1" t="s">
        <v>230</v>
      </c>
      <c r="EA939" s="1" t="s">
        <v>230</v>
      </c>
      <c r="EE939" s="1" t="s">
        <v>230</v>
      </c>
      <c r="EI939" s="1" t="s">
        <v>230</v>
      </c>
      <c r="EL939" s="1" t="s">
        <v>542</v>
      </c>
      <c r="EM939" s="1" t="s">
        <v>232</v>
      </c>
      <c r="EN939" s="1" t="s">
        <v>282</v>
      </c>
      <c r="EO939" s="1" t="s">
        <v>234</v>
      </c>
      <c r="ER939" s="1" t="s">
        <v>210</v>
      </c>
      <c r="EW939" s="1" t="s">
        <v>353</v>
      </c>
      <c r="EZ939" s="1" t="s">
        <v>287</v>
      </c>
      <c r="FD939" s="1" t="s">
        <v>246</v>
      </c>
      <c r="FE939" s="1" t="s">
        <v>355</v>
      </c>
      <c r="FF939" s="1" t="s">
        <v>248</v>
      </c>
      <c r="FH939" s="1" t="s">
        <v>249</v>
      </c>
      <c r="FL939" s="1" t="s">
        <v>414</v>
      </c>
      <c r="FM939" s="1" t="s">
        <v>252</v>
      </c>
      <c r="FN939" s="1" t="s">
        <v>213</v>
      </c>
      <c r="FO939" s="1" t="s">
        <v>213</v>
      </c>
      <c r="FQ939" s="1" t="s">
        <v>582</v>
      </c>
      <c r="FR939" s="1" t="s">
        <v>210</v>
      </c>
      <c r="FS939" s="1" t="s">
        <v>4886</v>
      </c>
      <c r="FT939" s="1" t="s">
        <v>295</v>
      </c>
      <c r="FU939" s="1" t="s">
        <v>204</v>
      </c>
      <c r="FW939" s="1" t="s">
        <v>1050</v>
      </c>
      <c r="FX939" s="1">
        <v>23025</v>
      </c>
      <c r="FY939" s="1" t="s">
        <v>1051</v>
      </c>
      <c r="FZ939" s="1" t="s">
        <v>1052</v>
      </c>
      <c r="GA939" s="1">
        <v>233762</v>
      </c>
      <c r="GB939" s="1" t="s">
        <v>1053</v>
      </c>
      <c r="GE939" s="1" t="s">
        <v>210</v>
      </c>
      <c r="GI939" s="1" t="s">
        <v>213</v>
      </c>
      <c r="GJ939" s="1" t="s">
        <v>260</v>
      </c>
      <c r="GK939" s="1" t="s">
        <v>210</v>
      </c>
      <c r="GL939" s="2">
        <v>41988</v>
      </c>
      <c r="GM939" s="1" t="s">
        <v>10314</v>
      </c>
    </row>
    <row r="940" spans="1:195">
      <c r="A940" s="1">
        <v>102000</v>
      </c>
      <c r="B940" s="1" t="s">
        <v>195</v>
      </c>
      <c r="C940" s="1" t="str">
        <f>"08611208"</f>
        <v>08611208</v>
      </c>
      <c r="D940" s="1" t="s">
        <v>196</v>
      </c>
      <c r="F940" s="1" t="str">
        <f>"139"</f>
        <v>139</v>
      </c>
      <c r="G940" s="2">
        <v>41769</v>
      </c>
      <c r="H940" s="1">
        <v>127900</v>
      </c>
      <c r="I940" s="1">
        <v>109900</v>
      </c>
      <c r="J940" s="1">
        <v>102000</v>
      </c>
      <c r="K940" s="2">
        <v>41768</v>
      </c>
      <c r="L940" s="1">
        <v>188</v>
      </c>
      <c r="M940" s="2">
        <v>41955</v>
      </c>
      <c r="N940" s="1">
        <v>188</v>
      </c>
      <c r="O940" s="2">
        <v>41955</v>
      </c>
      <c r="P940" s="1">
        <v>22029</v>
      </c>
      <c r="Q940" s="1" t="s">
        <v>197</v>
      </c>
      <c r="R940" s="2">
        <v>42018</v>
      </c>
      <c r="S940" s="1">
        <v>238002</v>
      </c>
      <c r="U940" s="1">
        <v>1108</v>
      </c>
      <c r="V940" s="1" t="s">
        <v>10315</v>
      </c>
      <c r="W940" s="1" t="s">
        <v>304</v>
      </c>
      <c r="Y940" s="1">
        <v>6</v>
      </c>
      <c r="Z940" s="1" t="s">
        <v>370</v>
      </c>
      <c r="AA940" s="1" t="s">
        <v>1732</v>
      </c>
      <c r="AB940" s="1">
        <v>60139</v>
      </c>
      <c r="AD940" s="1" t="s">
        <v>10316</v>
      </c>
      <c r="AE940" s="1" t="s">
        <v>10317</v>
      </c>
      <c r="AF940" s="1">
        <v>1995</v>
      </c>
      <c r="AG940" s="1" t="s">
        <v>204</v>
      </c>
      <c r="AH940" s="1" t="s">
        <v>1735</v>
      </c>
      <c r="AI940" s="1" t="s">
        <v>206</v>
      </c>
      <c r="AJ940" s="1" t="s">
        <v>207</v>
      </c>
      <c r="AK940" s="1" t="s">
        <v>1398</v>
      </c>
      <c r="AL940" s="1">
        <v>5</v>
      </c>
      <c r="AM940" s="1">
        <v>2</v>
      </c>
      <c r="AN940" s="1">
        <v>1</v>
      </c>
      <c r="AO940" s="1">
        <v>1</v>
      </c>
      <c r="AP940" s="1" t="s">
        <v>455</v>
      </c>
      <c r="AR940" s="1" t="s">
        <v>210</v>
      </c>
      <c r="AS940" s="1" t="s">
        <v>204</v>
      </c>
      <c r="AT940" s="1" t="s">
        <v>211</v>
      </c>
      <c r="AU940" s="1">
        <v>1</v>
      </c>
      <c r="AW940" s="1" t="s">
        <v>204</v>
      </c>
      <c r="AX940" s="1" t="s">
        <v>212</v>
      </c>
      <c r="AZ940" s="1">
        <v>4839</v>
      </c>
      <c r="BA940" s="1">
        <v>2013</v>
      </c>
      <c r="BE940" s="1">
        <v>1125</v>
      </c>
      <c r="BF940" s="1">
        <v>1</v>
      </c>
      <c r="BG940" s="1">
        <v>0</v>
      </c>
      <c r="BL940" s="1">
        <v>210</v>
      </c>
      <c r="BM940" s="1" t="s">
        <v>204</v>
      </c>
      <c r="BN940" s="1" t="s">
        <v>213</v>
      </c>
      <c r="BO940" s="1" t="s">
        <v>432</v>
      </c>
      <c r="BP940" s="1" t="s">
        <v>204</v>
      </c>
      <c r="BR940" s="1" t="str">
        <f>"0503104153"</f>
        <v>0503104153</v>
      </c>
      <c r="BT940" s="1" t="s">
        <v>10318</v>
      </c>
      <c r="BU940" s="1" t="s">
        <v>2167</v>
      </c>
      <c r="BV940" s="1" t="s">
        <v>2168</v>
      </c>
      <c r="BW940" s="1" t="s">
        <v>2169</v>
      </c>
      <c r="BX940" s="1">
        <v>41</v>
      </c>
      <c r="BY940" s="1">
        <v>41</v>
      </c>
      <c r="BZ940" s="1">
        <v>87</v>
      </c>
      <c r="CB940" s="1" t="str">
        <f>"1"</f>
        <v>1</v>
      </c>
      <c r="CC940" s="1" t="str">
        <f>""</f>
        <v/>
      </c>
      <c r="CD940" s="1">
        <v>23</v>
      </c>
      <c r="CG940" s="1" t="s">
        <v>2042</v>
      </c>
      <c r="CH940" s="1" t="s">
        <v>219</v>
      </c>
      <c r="CK940" s="1" t="s">
        <v>278</v>
      </c>
      <c r="CL940" s="1" t="s">
        <v>277</v>
      </c>
      <c r="CO940" s="1" t="s">
        <v>629</v>
      </c>
      <c r="CP940" s="1" t="s">
        <v>219</v>
      </c>
      <c r="CS940" s="1" t="s">
        <v>1358</v>
      </c>
      <c r="CT940" s="1" t="s">
        <v>277</v>
      </c>
      <c r="CX940" s="1" t="s">
        <v>224</v>
      </c>
      <c r="DB940" s="1" t="s">
        <v>224</v>
      </c>
      <c r="DE940" s="1" t="s">
        <v>630</v>
      </c>
      <c r="DF940" s="1" t="s">
        <v>219</v>
      </c>
      <c r="DJ940" s="1" t="s">
        <v>224</v>
      </c>
      <c r="DS940" s="1" t="s">
        <v>230</v>
      </c>
      <c r="DW940" s="1" t="s">
        <v>230</v>
      </c>
      <c r="EA940" s="1" t="s">
        <v>230</v>
      </c>
      <c r="EE940" s="1" t="s">
        <v>230</v>
      </c>
      <c r="EI940" s="1" t="s">
        <v>230</v>
      </c>
      <c r="EL940" s="1" t="s">
        <v>670</v>
      </c>
      <c r="EM940" s="1" t="s">
        <v>232</v>
      </c>
      <c r="EN940" s="1" t="s">
        <v>282</v>
      </c>
      <c r="EO940" s="1" t="s">
        <v>1020</v>
      </c>
      <c r="ER940" s="1" t="s">
        <v>383</v>
      </c>
      <c r="EU940" s="1" t="s">
        <v>1110</v>
      </c>
      <c r="EW940" s="1" t="s">
        <v>353</v>
      </c>
      <c r="EY940" s="1" t="s">
        <v>242</v>
      </c>
      <c r="EZ940" s="1" t="s">
        <v>287</v>
      </c>
      <c r="FD940" s="1" t="s">
        <v>246</v>
      </c>
      <c r="FE940" s="1" t="s">
        <v>870</v>
      </c>
      <c r="FF940" s="1" t="s">
        <v>248</v>
      </c>
      <c r="FH940" s="1" t="s">
        <v>550</v>
      </c>
      <c r="FL940" s="1" t="s">
        <v>414</v>
      </c>
      <c r="FM940" s="1" t="s">
        <v>252</v>
      </c>
      <c r="FN940" s="1" t="s">
        <v>213</v>
      </c>
      <c r="FO940" s="1" t="s">
        <v>213</v>
      </c>
      <c r="FQ940" s="1" t="s">
        <v>2417</v>
      </c>
      <c r="FR940" s="1" t="s">
        <v>210</v>
      </c>
      <c r="FS940" s="1" t="s">
        <v>2753</v>
      </c>
      <c r="FT940" s="1" t="s">
        <v>295</v>
      </c>
      <c r="FU940" s="1" t="s">
        <v>204</v>
      </c>
      <c r="FW940" s="1" t="s">
        <v>10319</v>
      </c>
      <c r="FX940" s="1">
        <v>18039</v>
      </c>
      <c r="FY940" s="1" t="s">
        <v>10320</v>
      </c>
      <c r="FZ940" s="1" t="s">
        <v>10321</v>
      </c>
      <c r="GA940" s="1">
        <v>154120</v>
      </c>
      <c r="GB940" s="1" t="s">
        <v>10320</v>
      </c>
      <c r="GE940" s="1" t="s">
        <v>210</v>
      </c>
      <c r="GI940" s="1" t="s">
        <v>213</v>
      </c>
      <c r="GJ940" s="1" t="s">
        <v>260</v>
      </c>
      <c r="GK940" s="1" t="s">
        <v>210</v>
      </c>
      <c r="GL940" s="2">
        <v>42018</v>
      </c>
      <c r="GM940" s="1" t="s">
        <v>10322</v>
      </c>
    </row>
    <row r="941" spans="1:195">
      <c r="A941" s="1">
        <v>259990</v>
      </c>
      <c r="B941" s="1" t="s">
        <v>195</v>
      </c>
      <c r="C941" s="1" t="str">
        <f>"08619618"</f>
        <v>08619618</v>
      </c>
      <c r="D941" s="1" t="s">
        <v>196</v>
      </c>
      <c r="F941" s="1" t="str">
        <f t="shared" ref="F941:F943" si="723">"507"</f>
        <v>507</v>
      </c>
      <c r="G941" s="2">
        <v>41778</v>
      </c>
      <c r="H941" s="1">
        <v>254290</v>
      </c>
      <c r="I941" s="1">
        <v>259990</v>
      </c>
      <c r="J941" s="1">
        <v>259990</v>
      </c>
      <c r="K941" s="2">
        <v>41778</v>
      </c>
      <c r="L941" s="1">
        <v>244</v>
      </c>
      <c r="M941" s="2">
        <v>42021</v>
      </c>
      <c r="N941" s="1">
        <v>244</v>
      </c>
      <c r="O941" s="2">
        <v>42021</v>
      </c>
      <c r="P941" s="1">
        <v>23156</v>
      </c>
      <c r="Q941" s="1" t="s">
        <v>1393</v>
      </c>
      <c r="R941" s="2">
        <v>42061</v>
      </c>
      <c r="S941" s="1">
        <v>234005</v>
      </c>
      <c r="U941" s="1">
        <v>2927</v>
      </c>
      <c r="V941" s="1" t="s">
        <v>10323</v>
      </c>
      <c r="W941" s="1" t="s">
        <v>1056</v>
      </c>
      <c r="Y941" s="1">
        <v>6</v>
      </c>
      <c r="Z941" s="1" t="s">
        <v>370</v>
      </c>
      <c r="AA941" s="1" t="s">
        <v>1123</v>
      </c>
      <c r="AB941" s="1">
        <v>60502</v>
      </c>
      <c r="AD941" s="1" t="s">
        <v>10324</v>
      </c>
      <c r="AE941" s="1" t="s">
        <v>10325</v>
      </c>
      <c r="AF941" s="1">
        <v>2014</v>
      </c>
      <c r="AG941" s="1" t="s">
        <v>204</v>
      </c>
      <c r="AH941" s="1" t="s">
        <v>1126</v>
      </c>
      <c r="AI941" s="1" t="s">
        <v>665</v>
      </c>
      <c r="AJ941" s="1" t="s">
        <v>949</v>
      </c>
      <c r="AK941" s="1" t="s">
        <v>9724</v>
      </c>
      <c r="AL941" s="1">
        <v>5</v>
      </c>
      <c r="AM941" s="1">
        <v>2</v>
      </c>
      <c r="AN941" s="1">
        <v>2</v>
      </c>
      <c r="AO941" s="1">
        <v>1</v>
      </c>
      <c r="AP941" s="1" t="s">
        <v>209</v>
      </c>
      <c r="AR941" s="1" t="s">
        <v>4448</v>
      </c>
      <c r="AS941" s="1" t="s">
        <v>204</v>
      </c>
      <c r="AT941" s="1" t="s">
        <v>211</v>
      </c>
      <c r="AU941" s="1">
        <v>2</v>
      </c>
      <c r="AW941" s="1" t="s">
        <v>204</v>
      </c>
      <c r="AX941" s="1" t="s">
        <v>212</v>
      </c>
      <c r="AZ941" s="1" t="s">
        <v>751</v>
      </c>
      <c r="BA941" s="1">
        <v>2013</v>
      </c>
      <c r="BE941" s="1">
        <v>2018</v>
      </c>
      <c r="BF941" s="1">
        <v>2</v>
      </c>
      <c r="BG941" s="1">
        <v>0</v>
      </c>
      <c r="BL941" s="1">
        <v>170</v>
      </c>
      <c r="BM941" s="1" t="s">
        <v>204</v>
      </c>
      <c r="BN941" s="1" t="s">
        <v>213</v>
      </c>
      <c r="BO941" s="1">
        <v>0</v>
      </c>
      <c r="BP941" s="1" t="s">
        <v>213</v>
      </c>
      <c r="BQ941" s="2">
        <v>41988</v>
      </c>
      <c r="BR941" s="1" t="str">
        <f t="shared" ref="BR941:BR942" si="724">"1235445002"</f>
        <v>1235445002</v>
      </c>
      <c r="BT941" s="1" t="s">
        <v>10326</v>
      </c>
      <c r="BU941" s="1" t="s">
        <v>6403</v>
      </c>
      <c r="BV941" s="1" t="s">
        <v>6404</v>
      </c>
      <c r="BW941" s="1" t="s">
        <v>6405</v>
      </c>
      <c r="BX941" s="1">
        <v>101</v>
      </c>
      <c r="BY941" s="1">
        <v>101</v>
      </c>
      <c r="BZ941" s="1">
        <v>101</v>
      </c>
      <c r="CB941" s="1" t="str">
        <f t="shared" ref="CB941:CB942" si="725">"3"</f>
        <v>3</v>
      </c>
      <c r="CC941" s="1" t="str">
        <f t="shared" ref="CC941:CC942" si="726">"0"</f>
        <v>0</v>
      </c>
      <c r="CD941" s="1">
        <v>34</v>
      </c>
      <c r="CE941" s="1">
        <v>0</v>
      </c>
      <c r="CH941" s="1" t="s">
        <v>224</v>
      </c>
      <c r="CK941" s="1" t="s">
        <v>862</v>
      </c>
      <c r="CL941" s="1" t="s">
        <v>277</v>
      </c>
      <c r="CM941" s="1" t="s">
        <v>220</v>
      </c>
      <c r="CP941" s="1" t="s">
        <v>224</v>
      </c>
      <c r="CS941" s="1" t="s">
        <v>2122</v>
      </c>
      <c r="CT941" s="1" t="s">
        <v>277</v>
      </c>
      <c r="CU941" s="1" t="s">
        <v>220</v>
      </c>
      <c r="DB941" s="1" t="s">
        <v>224</v>
      </c>
      <c r="DE941" s="1" t="s">
        <v>317</v>
      </c>
      <c r="DF941" s="1" t="s">
        <v>219</v>
      </c>
      <c r="DG941" s="1" t="s">
        <v>438</v>
      </c>
      <c r="DJ941" s="1" t="s">
        <v>224</v>
      </c>
      <c r="DM941" s="1" t="s">
        <v>1676</v>
      </c>
      <c r="DN941" s="1" t="s">
        <v>464</v>
      </c>
      <c r="DO941" s="1" t="s">
        <v>709</v>
      </c>
      <c r="DR941" s="1" t="s">
        <v>3684</v>
      </c>
      <c r="DS941" s="1" t="s">
        <v>219</v>
      </c>
      <c r="DT941" s="1" t="s">
        <v>438</v>
      </c>
      <c r="DV941" s="1" t="s">
        <v>1046</v>
      </c>
      <c r="DW941" s="1" t="s">
        <v>277</v>
      </c>
      <c r="DX941" s="1" t="s">
        <v>220</v>
      </c>
      <c r="DZ941" s="1" t="s">
        <v>2031</v>
      </c>
      <c r="EA941" s="1" t="s">
        <v>219</v>
      </c>
      <c r="EB941" s="1" t="s">
        <v>342</v>
      </c>
      <c r="EE941" s="1" t="s">
        <v>230</v>
      </c>
      <c r="EI941" s="1" t="s">
        <v>230</v>
      </c>
      <c r="EL941" s="1" t="s">
        <v>760</v>
      </c>
      <c r="EM941" s="1" t="s">
        <v>319</v>
      </c>
      <c r="EN941" s="1" t="s">
        <v>282</v>
      </c>
      <c r="EO941" s="1" t="s">
        <v>234</v>
      </c>
      <c r="EQ941" s="1" t="s">
        <v>3849</v>
      </c>
      <c r="ER941" s="1" t="s">
        <v>1249</v>
      </c>
      <c r="ES941" s="1" t="s">
        <v>322</v>
      </c>
      <c r="ET941" s="1" t="s">
        <v>842</v>
      </c>
      <c r="EW941" s="1" t="s">
        <v>867</v>
      </c>
      <c r="EY941" s="1" t="s">
        <v>242</v>
      </c>
      <c r="EZ941" s="1" t="s">
        <v>9728</v>
      </c>
      <c r="FA941" s="1" t="s">
        <v>6548</v>
      </c>
      <c r="FD941" s="1" t="s">
        <v>246</v>
      </c>
      <c r="FE941" s="1" t="s">
        <v>472</v>
      </c>
      <c r="FF941" s="1" t="s">
        <v>248</v>
      </c>
      <c r="FH941" s="1" t="s">
        <v>550</v>
      </c>
      <c r="FL941" s="1" t="s">
        <v>358</v>
      </c>
      <c r="FM941" s="1" t="s">
        <v>252</v>
      </c>
      <c r="FN941" s="1" t="s">
        <v>213</v>
      </c>
      <c r="FO941" s="1" t="s">
        <v>213</v>
      </c>
      <c r="FQ941" s="1" t="s">
        <v>892</v>
      </c>
      <c r="FR941" s="1" t="s">
        <v>210</v>
      </c>
      <c r="FS941" s="1" t="s">
        <v>10327</v>
      </c>
      <c r="FT941" s="1" t="s">
        <v>3855</v>
      </c>
      <c r="FU941" s="1" t="s">
        <v>204</v>
      </c>
      <c r="FV941" s="1" t="s">
        <v>10328</v>
      </c>
      <c r="FW941" s="1" t="s">
        <v>3857</v>
      </c>
      <c r="FX941" s="1">
        <v>23223</v>
      </c>
      <c r="FY941" s="1" t="s">
        <v>3858</v>
      </c>
      <c r="FZ941" s="1" t="s">
        <v>3859</v>
      </c>
      <c r="GA941" s="1">
        <v>236300</v>
      </c>
      <c r="GC941" s="1">
        <v>210778</v>
      </c>
      <c r="GE941" s="1" t="s">
        <v>480</v>
      </c>
      <c r="GI941" s="1" t="s">
        <v>204</v>
      </c>
      <c r="GJ941" s="1" t="s">
        <v>300</v>
      </c>
      <c r="GK941" s="1" t="s">
        <v>210</v>
      </c>
      <c r="GL941" s="2">
        <v>42061</v>
      </c>
      <c r="GM941" s="1" t="s">
        <v>10329</v>
      </c>
    </row>
    <row r="942" spans="1:195">
      <c r="A942" s="1">
        <v>314200</v>
      </c>
      <c r="B942" s="1" t="s">
        <v>195</v>
      </c>
      <c r="C942" s="1" t="str">
        <f>"08619626"</f>
        <v>08619626</v>
      </c>
      <c r="D942" s="1" t="s">
        <v>196</v>
      </c>
      <c r="F942" s="1" t="str">
        <f t="shared" si="723"/>
        <v>507</v>
      </c>
      <c r="G942" s="2">
        <v>41778</v>
      </c>
      <c r="H942" s="1">
        <v>250490</v>
      </c>
      <c r="I942" s="1">
        <v>264180</v>
      </c>
      <c r="J942" s="1">
        <v>314200</v>
      </c>
      <c r="K942" s="2">
        <v>41778</v>
      </c>
      <c r="L942" s="1">
        <v>109</v>
      </c>
      <c r="M942" s="2">
        <v>41886</v>
      </c>
      <c r="N942" s="1">
        <v>109</v>
      </c>
      <c r="O942" s="2">
        <v>41886</v>
      </c>
      <c r="P942" s="1" t="s">
        <v>1039</v>
      </c>
      <c r="Q942" s="1" t="s">
        <v>197</v>
      </c>
      <c r="R942" s="2">
        <v>41969</v>
      </c>
      <c r="S942" s="1">
        <v>99999</v>
      </c>
      <c r="U942" s="1">
        <v>2939</v>
      </c>
      <c r="V942" s="1" t="s">
        <v>10323</v>
      </c>
      <c r="W942" s="1" t="s">
        <v>1056</v>
      </c>
      <c r="Y942" s="1">
        <v>6</v>
      </c>
      <c r="Z942" s="1" t="s">
        <v>370</v>
      </c>
      <c r="AA942" s="1" t="s">
        <v>1123</v>
      </c>
      <c r="AB942" s="1">
        <v>60502</v>
      </c>
      <c r="AD942" s="1" t="s">
        <v>10324</v>
      </c>
      <c r="AE942" s="1" t="s">
        <v>10325</v>
      </c>
      <c r="AF942" s="1">
        <v>2014</v>
      </c>
      <c r="AG942" s="1" t="s">
        <v>204</v>
      </c>
      <c r="AH942" s="1" t="s">
        <v>1126</v>
      </c>
      <c r="AI942" s="1" t="s">
        <v>665</v>
      </c>
      <c r="AJ942" s="1" t="s">
        <v>949</v>
      </c>
      <c r="AK942" s="1" t="s">
        <v>9724</v>
      </c>
      <c r="AL942" s="1">
        <v>5</v>
      </c>
      <c r="AM942" s="1">
        <v>2</v>
      </c>
      <c r="AN942" s="1">
        <v>2</v>
      </c>
      <c r="AO942" s="1">
        <v>1</v>
      </c>
      <c r="AP942" s="1" t="s">
        <v>209</v>
      </c>
      <c r="AR942" s="1" t="s">
        <v>4448</v>
      </c>
      <c r="AS942" s="1" t="s">
        <v>204</v>
      </c>
      <c r="AT942" s="1" t="s">
        <v>211</v>
      </c>
      <c r="AU942" s="1">
        <v>2</v>
      </c>
      <c r="AW942" s="1" t="s">
        <v>204</v>
      </c>
      <c r="AX942" s="1" t="s">
        <v>212</v>
      </c>
      <c r="AZ942" s="1" t="s">
        <v>751</v>
      </c>
      <c r="BA942" s="1">
        <v>2013</v>
      </c>
      <c r="BE942" s="1">
        <v>2018</v>
      </c>
      <c r="BF942" s="1">
        <v>2</v>
      </c>
      <c r="BG942" s="1">
        <v>0</v>
      </c>
      <c r="BL942" s="1">
        <v>170</v>
      </c>
      <c r="BM942" s="1" t="s">
        <v>204</v>
      </c>
      <c r="BN942" s="1" t="s">
        <v>213</v>
      </c>
      <c r="BO942" s="1">
        <v>0</v>
      </c>
      <c r="BP942" s="1" t="s">
        <v>213</v>
      </c>
      <c r="BQ942" s="2">
        <v>41992</v>
      </c>
      <c r="BR942" s="1" t="str">
        <f t="shared" si="724"/>
        <v>1235445002</v>
      </c>
      <c r="BT942" s="1" t="s">
        <v>10330</v>
      </c>
      <c r="BU942" s="1" t="s">
        <v>6403</v>
      </c>
      <c r="BV942" s="1" t="s">
        <v>6404</v>
      </c>
      <c r="BW942" s="1" t="s">
        <v>6405</v>
      </c>
      <c r="BX942" s="1">
        <v>101</v>
      </c>
      <c r="BY942" s="1">
        <v>101</v>
      </c>
      <c r="BZ942" s="1">
        <v>101</v>
      </c>
      <c r="CB942" s="1" t="str">
        <f t="shared" si="725"/>
        <v>3</v>
      </c>
      <c r="CC942" s="1" t="str">
        <f t="shared" si="726"/>
        <v>0</v>
      </c>
      <c r="CD942" s="1">
        <v>34</v>
      </c>
      <c r="CE942" s="1">
        <v>0</v>
      </c>
      <c r="CH942" s="1" t="s">
        <v>224</v>
      </c>
      <c r="CK942" s="1" t="s">
        <v>862</v>
      </c>
      <c r="CL942" s="1" t="s">
        <v>277</v>
      </c>
      <c r="CM942" s="1" t="s">
        <v>220</v>
      </c>
      <c r="CP942" s="1" t="s">
        <v>224</v>
      </c>
      <c r="CS942" s="1" t="s">
        <v>2122</v>
      </c>
      <c r="CT942" s="1" t="s">
        <v>277</v>
      </c>
      <c r="CU942" s="1" t="s">
        <v>220</v>
      </c>
      <c r="CX942" s="1" t="s">
        <v>224</v>
      </c>
      <c r="DB942" s="1" t="s">
        <v>224</v>
      </c>
      <c r="DE942" s="1" t="s">
        <v>317</v>
      </c>
      <c r="DF942" s="1" t="s">
        <v>219</v>
      </c>
      <c r="DG942" s="1" t="s">
        <v>342</v>
      </c>
      <c r="DJ942" s="1" t="s">
        <v>224</v>
      </c>
      <c r="DM942" s="1" t="s">
        <v>1676</v>
      </c>
      <c r="DN942" s="1" t="s">
        <v>464</v>
      </c>
      <c r="DO942" s="1" t="s">
        <v>709</v>
      </c>
      <c r="DR942" s="1" t="s">
        <v>3684</v>
      </c>
      <c r="DS942" s="1" t="s">
        <v>219</v>
      </c>
      <c r="DT942" s="1" t="s">
        <v>220</v>
      </c>
      <c r="DV942" s="1" t="s">
        <v>346</v>
      </c>
      <c r="DW942" s="1" t="s">
        <v>277</v>
      </c>
      <c r="DX942" s="1" t="s">
        <v>220</v>
      </c>
      <c r="DZ942" s="1" t="s">
        <v>2031</v>
      </c>
      <c r="EA942" s="1" t="s">
        <v>219</v>
      </c>
      <c r="EB942" s="1" t="s">
        <v>342</v>
      </c>
      <c r="EE942" s="1" t="s">
        <v>230</v>
      </c>
      <c r="EI942" s="1" t="s">
        <v>230</v>
      </c>
      <c r="EL942" s="1" t="s">
        <v>760</v>
      </c>
      <c r="EM942" s="1" t="s">
        <v>319</v>
      </c>
      <c r="EN942" s="1" t="s">
        <v>282</v>
      </c>
      <c r="EO942" s="1" t="s">
        <v>234</v>
      </c>
      <c r="EQ942" s="1" t="s">
        <v>8369</v>
      </c>
      <c r="ER942" s="1" t="s">
        <v>1249</v>
      </c>
      <c r="ES942" s="1" t="s">
        <v>322</v>
      </c>
      <c r="EW942" s="1" t="s">
        <v>867</v>
      </c>
      <c r="EY942" s="1" t="s">
        <v>242</v>
      </c>
      <c r="EZ942" s="1" t="s">
        <v>9728</v>
      </c>
      <c r="FA942" s="1" t="s">
        <v>6548</v>
      </c>
      <c r="FD942" s="1" t="s">
        <v>246</v>
      </c>
      <c r="FE942" s="1" t="s">
        <v>472</v>
      </c>
      <c r="FF942" s="1" t="s">
        <v>248</v>
      </c>
      <c r="FH942" s="1" t="s">
        <v>550</v>
      </c>
      <c r="FL942" s="1" t="s">
        <v>358</v>
      </c>
      <c r="FM942" s="1" t="s">
        <v>252</v>
      </c>
      <c r="FN942" s="1" t="s">
        <v>213</v>
      </c>
      <c r="FO942" s="1" t="s">
        <v>213</v>
      </c>
      <c r="FQ942" s="1" t="s">
        <v>3853</v>
      </c>
      <c r="FR942" s="1" t="s">
        <v>652</v>
      </c>
      <c r="FS942" s="1" t="s">
        <v>10331</v>
      </c>
      <c r="FT942" s="1" t="s">
        <v>3855</v>
      </c>
      <c r="FU942" s="1" t="s">
        <v>204</v>
      </c>
      <c r="FV942" s="1" t="s">
        <v>10328</v>
      </c>
      <c r="FW942" s="1" t="s">
        <v>3857</v>
      </c>
      <c r="FX942" s="1">
        <v>23223</v>
      </c>
      <c r="FY942" s="1" t="s">
        <v>3858</v>
      </c>
      <c r="FZ942" s="1" t="s">
        <v>3859</v>
      </c>
      <c r="GA942" s="1">
        <v>236300</v>
      </c>
      <c r="GC942" s="1">
        <v>210778</v>
      </c>
      <c r="GE942" s="1" t="s">
        <v>480</v>
      </c>
      <c r="GI942" s="1" t="s">
        <v>204</v>
      </c>
      <c r="GJ942" s="1" t="s">
        <v>300</v>
      </c>
      <c r="GK942" s="1" t="s">
        <v>210</v>
      </c>
      <c r="GL942" s="2">
        <v>41969</v>
      </c>
      <c r="GM942" s="1" t="s">
        <v>10332</v>
      </c>
    </row>
    <row r="943" spans="1:195">
      <c r="A943" s="1">
        <v>222500</v>
      </c>
      <c r="B943" s="1" t="s">
        <v>195</v>
      </c>
      <c r="C943" s="1" t="str">
        <f>"08623893"</f>
        <v>08623893</v>
      </c>
      <c r="D943" s="1" t="s">
        <v>196</v>
      </c>
      <c r="F943" s="1" t="str">
        <f t="shared" si="723"/>
        <v>507</v>
      </c>
      <c r="G943" s="2">
        <v>41782</v>
      </c>
      <c r="H943" s="1">
        <v>245000</v>
      </c>
      <c r="I943" s="1">
        <v>239900</v>
      </c>
      <c r="J943" s="1">
        <v>222500</v>
      </c>
      <c r="K943" s="2">
        <v>41782</v>
      </c>
      <c r="L943" s="1">
        <v>173</v>
      </c>
      <c r="M943" s="2">
        <v>41954</v>
      </c>
      <c r="N943" s="1">
        <v>173</v>
      </c>
      <c r="O943" s="2">
        <v>41954</v>
      </c>
      <c r="P943" s="1">
        <v>24695</v>
      </c>
      <c r="Q943" s="1" t="s">
        <v>197</v>
      </c>
      <c r="R943" s="2">
        <v>42002</v>
      </c>
      <c r="S943" s="1">
        <v>234023</v>
      </c>
      <c r="U943" s="1">
        <v>1252</v>
      </c>
      <c r="V943" s="1" t="s">
        <v>10333</v>
      </c>
      <c r="W943" s="1" t="s">
        <v>449</v>
      </c>
      <c r="Y943" s="1">
        <v>4</v>
      </c>
      <c r="Z943" s="1" t="s">
        <v>249</v>
      </c>
      <c r="AA943" s="1" t="s">
        <v>1123</v>
      </c>
      <c r="AB943" s="1">
        <v>60502</v>
      </c>
      <c r="AD943" s="1" t="s">
        <v>10334</v>
      </c>
      <c r="AE943" s="1" t="s">
        <v>10335</v>
      </c>
      <c r="AF943" s="1">
        <v>2002</v>
      </c>
      <c r="AG943" s="1" t="s">
        <v>204</v>
      </c>
      <c r="AH943" s="1" t="s">
        <v>1126</v>
      </c>
      <c r="AI943" s="1" t="s">
        <v>206</v>
      </c>
      <c r="AJ943" s="1" t="s">
        <v>924</v>
      </c>
      <c r="AL943" s="1">
        <v>6</v>
      </c>
      <c r="AM943" s="1">
        <v>2</v>
      </c>
      <c r="AN943" s="1">
        <v>2</v>
      </c>
      <c r="AO943" s="1">
        <v>1</v>
      </c>
      <c r="AP943" s="1" t="s">
        <v>209</v>
      </c>
      <c r="AQ943" s="1">
        <v>1</v>
      </c>
      <c r="AR943" s="1" t="s">
        <v>1483</v>
      </c>
      <c r="AS943" s="1" t="s">
        <v>204</v>
      </c>
      <c r="AT943" s="1" t="s">
        <v>211</v>
      </c>
      <c r="AU943" s="1">
        <v>2</v>
      </c>
      <c r="AW943" s="1" t="s">
        <v>204</v>
      </c>
      <c r="AX943" s="1" t="s">
        <v>212</v>
      </c>
      <c r="AZ943" s="1">
        <v>6989</v>
      </c>
      <c r="BA943" s="1">
        <v>2013</v>
      </c>
      <c r="BB943" s="1" t="s">
        <v>405</v>
      </c>
      <c r="BE943" s="1">
        <v>2004</v>
      </c>
      <c r="BF943" s="1">
        <v>1</v>
      </c>
      <c r="BG943" s="1">
        <v>30</v>
      </c>
      <c r="BL943" s="1">
        <v>220</v>
      </c>
      <c r="BM943" s="1" t="s">
        <v>204</v>
      </c>
      <c r="BN943" s="1" t="s">
        <v>213</v>
      </c>
      <c r="BO943" s="1" t="s">
        <v>432</v>
      </c>
      <c r="BP943" s="1" t="s">
        <v>204</v>
      </c>
      <c r="BR943" s="1" t="str">
        <f>"0717120007"</f>
        <v>0717120007</v>
      </c>
      <c r="BT943" s="1" t="s">
        <v>10336</v>
      </c>
      <c r="BU943" s="1" t="s">
        <v>5816</v>
      </c>
      <c r="BV943" s="1" t="s">
        <v>1130</v>
      </c>
      <c r="BW943" s="1" t="s">
        <v>1131</v>
      </c>
      <c r="BX943" s="1">
        <v>204</v>
      </c>
      <c r="BY943" s="1">
        <v>204</v>
      </c>
      <c r="BZ943" s="1">
        <v>204</v>
      </c>
      <c r="CB943" s="1" t="str">
        <f t="shared" ref="CB943:CC943" si="727">""</f>
        <v/>
      </c>
      <c r="CC943" s="1" t="str">
        <f t="shared" si="727"/>
        <v/>
      </c>
      <c r="CH943" s="1" t="s">
        <v>224</v>
      </c>
      <c r="CK943" s="1" t="s">
        <v>862</v>
      </c>
      <c r="CL943" s="1" t="s">
        <v>277</v>
      </c>
      <c r="CM943" s="1" t="s">
        <v>220</v>
      </c>
      <c r="CN943" s="1" t="s">
        <v>252</v>
      </c>
      <c r="CO943" s="1" t="s">
        <v>318</v>
      </c>
      <c r="CP943" s="1" t="s">
        <v>219</v>
      </c>
      <c r="CQ943" s="1" t="s">
        <v>220</v>
      </c>
      <c r="CR943" s="1" t="s">
        <v>252</v>
      </c>
      <c r="CS943" s="1" t="s">
        <v>378</v>
      </c>
      <c r="CT943" s="1" t="s">
        <v>277</v>
      </c>
      <c r="CU943" s="1" t="s">
        <v>220</v>
      </c>
      <c r="CV943" s="1" t="s">
        <v>252</v>
      </c>
      <c r="CX943" s="1" t="s">
        <v>224</v>
      </c>
      <c r="DB943" s="1" t="s">
        <v>224</v>
      </c>
      <c r="DE943" s="1" t="s">
        <v>221</v>
      </c>
      <c r="DF943" s="1" t="s">
        <v>219</v>
      </c>
      <c r="DG943" s="1" t="s">
        <v>438</v>
      </c>
      <c r="DH943" s="1" t="s">
        <v>210</v>
      </c>
      <c r="DI943" s="1" t="s">
        <v>228</v>
      </c>
      <c r="DJ943" s="1" t="s">
        <v>219</v>
      </c>
      <c r="DK943" s="1" t="s">
        <v>220</v>
      </c>
      <c r="DL943" s="1" t="s">
        <v>252</v>
      </c>
      <c r="DM943" s="1" t="s">
        <v>464</v>
      </c>
      <c r="DR943" s="1" t="s">
        <v>1045</v>
      </c>
      <c r="DS943" s="1" t="s">
        <v>277</v>
      </c>
      <c r="DT943" s="1" t="s">
        <v>220</v>
      </c>
      <c r="DU943" s="1" t="s">
        <v>252</v>
      </c>
      <c r="DW943" s="1" t="s">
        <v>230</v>
      </c>
      <c r="EA943" s="1" t="s">
        <v>230</v>
      </c>
      <c r="EE943" s="1" t="s">
        <v>230</v>
      </c>
      <c r="EI943" s="1" t="s">
        <v>230</v>
      </c>
      <c r="EL943" s="1" t="s">
        <v>466</v>
      </c>
      <c r="EM943" s="1" t="s">
        <v>319</v>
      </c>
      <c r="EN943" s="1" t="s">
        <v>282</v>
      </c>
      <c r="EO943" s="1" t="s">
        <v>234</v>
      </c>
      <c r="EP943" s="1" t="s">
        <v>2643</v>
      </c>
      <c r="EQ943" s="1" t="s">
        <v>236</v>
      </c>
      <c r="ER943" s="1" t="s">
        <v>2453</v>
      </c>
      <c r="ES943" s="1" t="s">
        <v>824</v>
      </c>
      <c r="ET943" s="1" t="s">
        <v>1404</v>
      </c>
      <c r="EU943" s="1" t="s">
        <v>239</v>
      </c>
      <c r="EV943" s="1" t="s">
        <v>324</v>
      </c>
      <c r="EW943" s="1" t="s">
        <v>10337</v>
      </c>
      <c r="EY943" s="1" t="s">
        <v>2455</v>
      </c>
      <c r="EZ943" s="1" t="s">
        <v>464</v>
      </c>
      <c r="FA943" s="1" t="s">
        <v>5059</v>
      </c>
      <c r="FB943" s="1" t="s">
        <v>289</v>
      </c>
      <c r="FD943" s="1" t="s">
        <v>246</v>
      </c>
      <c r="FE943" s="1" t="s">
        <v>975</v>
      </c>
      <c r="FF943" s="1" t="s">
        <v>248</v>
      </c>
      <c r="FG943" s="1" t="s">
        <v>871</v>
      </c>
      <c r="FH943" s="1" t="s">
        <v>550</v>
      </c>
      <c r="FI943" s="1" t="s">
        <v>473</v>
      </c>
      <c r="FL943" s="1" t="s">
        <v>358</v>
      </c>
      <c r="FM943" s="1" t="s">
        <v>252</v>
      </c>
      <c r="FN943" s="1" t="s">
        <v>213</v>
      </c>
      <c r="FO943" s="1" t="s">
        <v>213</v>
      </c>
      <c r="FQ943" s="1" t="s">
        <v>913</v>
      </c>
      <c r="FR943" s="1" t="s">
        <v>210</v>
      </c>
      <c r="FS943" s="1" t="s">
        <v>10338</v>
      </c>
      <c r="FT943" s="1" t="s">
        <v>691</v>
      </c>
      <c r="FU943" s="1" t="s">
        <v>204</v>
      </c>
      <c r="FW943" s="1" t="s">
        <v>915</v>
      </c>
      <c r="FX943" s="1">
        <v>23076</v>
      </c>
      <c r="FY943" s="1" t="s">
        <v>1909</v>
      </c>
      <c r="FZ943" s="1" t="s">
        <v>10339</v>
      </c>
      <c r="GA943" s="1">
        <v>233999</v>
      </c>
      <c r="GB943" s="1" t="s">
        <v>10340</v>
      </c>
      <c r="GD943" s="1" t="s">
        <v>10341</v>
      </c>
      <c r="GE943" s="1" t="s">
        <v>1764</v>
      </c>
      <c r="GI943" s="1" t="s">
        <v>213</v>
      </c>
      <c r="GJ943" s="1" t="s">
        <v>260</v>
      </c>
      <c r="GK943" s="1" t="s">
        <v>210</v>
      </c>
      <c r="GL943" s="2">
        <v>42003</v>
      </c>
    </row>
    <row r="944" spans="1:195">
      <c r="A944" s="1">
        <v>50000</v>
      </c>
      <c r="B944" s="1" t="s">
        <v>195</v>
      </c>
      <c r="C944" s="1" t="str">
        <f>"08609594"</f>
        <v>08609594</v>
      </c>
      <c r="D944" s="1" t="s">
        <v>196</v>
      </c>
      <c r="F944" s="1" t="str">
        <f>"2104"</f>
        <v>2104</v>
      </c>
      <c r="G944" s="2">
        <v>41767</v>
      </c>
      <c r="H944" s="1">
        <v>65900</v>
      </c>
      <c r="I944" s="1">
        <v>65900</v>
      </c>
      <c r="J944" s="1">
        <v>50000</v>
      </c>
      <c r="K944" s="2">
        <v>41767</v>
      </c>
      <c r="L944" s="1">
        <v>258</v>
      </c>
      <c r="M944" s="2">
        <v>42024</v>
      </c>
      <c r="N944" s="1">
        <v>258</v>
      </c>
      <c r="O944" s="2">
        <v>42024</v>
      </c>
      <c r="P944" s="1">
        <v>84770</v>
      </c>
      <c r="Q944" s="1" t="s">
        <v>302</v>
      </c>
      <c r="R944" s="2">
        <v>42138</v>
      </c>
      <c r="S944" s="1">
        <v>189365</v>
      </c>
      <c r="U944" s="1">
        <v>426</v>
      </c>
      <c r="V944" s="1" t="s">
        <v>661</v>
      </c>
      <c r="W944" s="1" t="s">
        <v>425</v>
      </c>
      <c r="Y944" s="1">
        <v>2</v>
      </c>
      <c r="Z944" s="1" t="s">
        <v>200</v>
      </c>
      <c r="AA944" s="1" t="s">
        <v>3029</v>
      </c>
      <c r="AB944" s="1">
        <v>60104</v>
      </c>
      <c r="AE944" s="1" t="s">
        <v>10342</v>
      </c>
      <c r="AF944" s="1">
        <v>1944</v>
      </c>
      <c r="AG944" s="1" t="s">
        <v>213</v>
      </c>
      <c r="AH944" s="1" t="s">
        <v>3031</v>
      </c>
      <c r="AI944" s="1" t="s">
        <v>310</v>
      </c>
      <c r="AJ944" s="1" t="s">
        <v>429</v>
      </c>
      <c r="AL944" s="1">
        <v>6</v>
      </c>
      <c r="AM944" s="1">
        <v>2</v>
      </c>
      <c r="AN944" s="1">
        <v>1</v>
      </c>
      <c r="AO944" s="1">
        <v>0</v>
      </c>
      <c r="AP944" s="1" t="s">
        <v>667</v>
      </c>
      <c r="AR944" s="1" t="s">
        <v>209</v>
      </c>
      <c r="AS944" s="1" t="s">
        <v>204</v>
      </c>
      <c r="AT944" s="1" t="s">
        <v>211</v>
      </c>
      <c r="AU944" s="1">
        <v>2</v>
      </c>
      <c r="AW944" s="1" t="s">
        <v>204</v>
      </c>
      <c r="AX944" s="1">
        <v>3750</v>
      </c>
      <c r="AZ944" s="1">
        <v>3556.72</v>
      </c>
      <c r="BA944" s="1">
        <v>2012</v>
      </c>
      <c r="BE944" s="1">
        <v>0</v>
      </c>
      <c r="BF944" s="1">
        <v>1</v>
      </c>
      <c r="BG944" s="1">
        <v>0</v>
      </c>
      <c r="BL944" s="1">
        <v>0</v>
      </c>
      <c r="BM944" s="1" t="s">
        <v>204</v>
      </c>
      <c r="BN944" s="1" t="s">
        <v>213</v>
      </c>
      <c r="BO944" s="1">
        <v>999</v>
      </c>
      <c r="BP944" s="1" t="s">
        <v>204</v>
      </c>
      <c r="BR944" s="1" t="str">
        <f>"15084030520000"</f>
        <v>15084030520000</v>
      </c>
      <c r="BT944" s="1" t="s">
        <v>10343</v>
      </c>
      <c r="BX944" s="1">
        <v>88</v>
      </c>
      <c r="BY944" s="1">
        <v>88</v>
      </c>
      <c r="BZ944" s="1">
        <v>209</v>
      </c>
      <c r="CB944" s="1" t="str">
        <f t="shared" ref="CB944:CC944" si="728">""</f>
        <v/>
      </c>
      <c r="CC944" s="1" t="str">
        <f t="shared" si="728"/>
        <v/>
      </c>
      <c r="CG944" s="1" t="s">
        <v>344</v>
      </c>
      <c r="CH944" s="1" t="s">
        <v>219</v>
      </c>
      <c r="CI944" s="1" t="s">
        <v>438</v>
      </c>
      <c r="CJ944" s="1" t="s">
        <v>252</v>
      </c>
      <c r="CK944" s="1" t="s">
        <v>223</v>
      </c>
      <c r="CL944" s="1" t="s">
        <v>277</v>
      </c>
      <c r="CM944" s="1" t="s">
        <v>438</v>
      </c>
      <c r="CN944" s="1" t="s">
        <v>252</v>
      </c>
      <c r="CO944" s="1" t="s">
        <v>837</v>
      </c>
      <c r="CP944" s="1" t="s">
        <v>219</v>
      </c>
      <c r="CQ944" s="1" t="s">
        <v>438</v>
      </c>
      <c r="CS944" s="1" t="s">
        <v>346</v>
      </c>
      <c r="CT944" s="1" t="s">
        <v>277</v>
      </c>
      <c r="CU944" s="1" t="s">
        <v>438</v>
      </c>
      <c r="CV944" s="1" t="s">
        <v>252</v>
      </c>
      <c r="CX944" s="1" t="s">
        <v>224</v>
      </c>
      <c r="DB944" s="1" t="s">
        <v>224</v>
      </c>
      <c r="DE944" s="1" t="s">
        <v>516</v>
      </c>
      <c r="DF944" s="1" t="s">
        <v>219</v>
      </c>
      <c r="DG944" s="1" t="s">
        <v>226</v>
      </c>
      <c r="DI944" s="1" t="s">
        <v>951</v>
      </c>
      <c r="DJ944" s="1" t="s">
        <v>822</v>
      </c>
      <c r="DK944" s="1" t="s">
        <v>347</v>
      </c>
      <c r="DS944" s="1" t="s">
        <v>230</v>
      </c>
      <c r="DW944" s="1" t="s">
        <v>230</v>
      </c>
      <c r="EA944" s="1" t="s">
        <v>230</v>
      </c>
      <c r="EE944" s="1" t="s">
        <v>230</v>
      </c>
      <c r="EI944" s="1" t="s">
        <v>230</v>
      </c>
      <c r="EL944" s="1" t="s">
        <v>3717</v>
      </c>
      <c r="EM944" s="1" t="s">
        <v>730</v>
      </c>
      <c r="EN944" s="1" t="s">
        <v>731</v>
      </c>
      <c r="EO944" s="1" t="s">
        <v>234</v>
      </c>
      <c r="ER944" s="1" t="s">
        <v>544</v>
      </c>
      <c r="EW944" s="1" t="s">
        <v>210</v>
      </c>
      <c r="EZ944" s="1" t="s">
        <v>287</v>
      </c>
      <c r="FD944" s="1" t="s">
        <v>246</v>
      </c>
      <c r="FE944" s="1" t="s">
        <v>247</v>
      </c>
      <c r="FF944" s="1" t="s">
        <v>248</v>
      </c>
      <c r="FH944" s="1" t="s">
        <v>2458</v>
      </c>
      <c r="FL944" s="1" t="s">
        <v>358</v>
      </c>
      <c r="FM944" s="1" t="s">
        <v>252</v>
      </c>
      <c r="FN944" s="1" t="s">
        <v>213</v>
      </c>
      <c r="FO944" s="1" t="s">
        <v>213</v>
      </c>
      <c r="FQ944" s="1" t="s">
        <v>849</v>
      </c>
      <c r="FR944" s="1" t="s">
        <v>360</v>
      </c>
      <c r="FS944" s="1" t="s">
        <v>10344</v>
      </c>
      <c r="FT944" s="1" t="s">
        <v>362</v>
      </c>
      <c r="FU944" s="1" t="s">
        <v>204</v>
      </c>
      <c r="FW944" s="1" t="s">
        <v>6513</v>
      </c>
      <c r="FX944" s="1">
        <v>61026</v>
      </c>
      <c r="FY944" s="1" t="s">
        <v>6514</v>
      </c>
      <c r="FZ944" s="1" t="s">
        <v>10345</v>
      </c>
      <c r="GA944" s="1">
        <v>606782</v>
      </c>
      <c r="GB944" s="1" t="s">
        <v>10346</v>
      </c>
      <c r="GD944" s="1" t="s">
        <v>10347</v>
      </c>
      <c r="GE944" s="1" t="s">
        <v>210</v>
      </c>
      <c r="GI944" s="1" t="s">
        <v>213</v>
      </c>
      <c r="GJ944" s="1" t="s">
        <v>260</v>
      </c>
      <c r="GK944" s="1" t="s">
        <v>210</v>
      </c>
      <c r="GL944" s="2">
        <v>42143</v>
      </c>
      <c r="GM944" s="1" t="s">
        <v>10348</v>
      </c>
    </row>
    <row r="945" spans="1:195">
      <c r="A945" s="1">
        <v>63000</v>
      </c>
      <c r="B945" s="1" t="s">
        <v>195</v>
      </c>
      <c r="C945" s="1" t="str">
        <f>"08617302"</f>
        <v>08617302</v>
      </c>
      <c r="D945" s="1" t="s">
        <v>196</v>
      </c>
      <c r="F945" s="1" t="str">
        <f>"148"</f>
        <v>148</v>
      </c>
      <c r="G945" s="2">
        <v>41775</v>
      </c>
      <c r="H945" s="1">
        <v>135000</v>
      </c>
      <c r="I945" s="1">
        <v>72000</v>
      </c>
      <c r="J945" s="1">
        <v>63000</v>
      </c>
      <c r="K945" s="2">
        <v>41775</v>
      </c>
      <c r="L945" s="1">
        <v>215</v>
      </c>
      <c r="M945" s="2">
        <v>41989</v>
      </c>
      <c r="N945" s="1">
        <v>215</v>
      </c>
      <c r="O945" s="2">
        <v>41989</v>
      </c>
      <c r="P945" s="1">
        <v>22029</v>
      </c>
      <c r="Q945" s="1" t="s">
        <v>197</v>
      </c>
      <c r="R945" s="2">
        <v>42028</v>
      </c>
      <c r="S945" s="1">
        <v>256423</v>
      </c>
      <c r="U945" s="1">
        <v>2005</v>
      </c>
      <c r="V945" s="1" t="s">
        <v>2226</v>
      </c>
      <c r="W945" s="1" t="s">
        <v>1056</v>
      </c>
      <c r="X945" s="1">
        <v>406</v>
      </c>
      <c r="Y945" s="1">
        <v>141</v>
      </c>
      <c r="Z945" s="1" t="s">
        <v>249</v>
      </c>
      <c r="AA945" s="1" t="s">
        <v>1927</v>
      </c>
      <c r="AB945" s="1">
        <v>60148</v>
      </c>
      <c r="AE945" s="1" t="s">
        <v>10349</v>
      </c>
      <c r="AF945" s="1">
        <v>1975</v>
      </c>
      <c r="AG945" s="1" t="s">
        <v>213</v>
      </c>
      <c r="AH945" s="1" t="s">
        <v>1930</v>
      </c>
      <c r="AI945" s="1" t="s">
        <v>206</v>
      </c>
      <c r="AJ945" s="1" t="s">
        <v>1608</v>
      </c>
      <c r="AL945" s="1">
        <v>5</v>
      </c>
      <c r="AM945" s="1">
        <v>2</v>
      </c>
      <c r="AN945" s="1">
        <v>2</v>
      </c>
      <c r="AO945" s="1">
        <v>0</v>
      </c>
      <c r="AP945" s="1" t="s">
        <v>209</v>
      </c>
      <c r="AR945" s="1" t="s">
        <v>210</v>
      </c>
      <c r="AT945" s="1" t="s">
        <v>271</v>
      </c>
      <c r="AV945" s="1">
        <v>2</v>
      </c>
      <c r="AW945" s="1" t="s">
        <v>204</v>
      </c>
      <c r="AX945" s="1" t="s">
        <v>270</v>
      </c>
      <c r="AZ945" s="1">
        <v>2242.8200000000002</v>
      </c>
      <c r="BA945" s="1">
        <v>2013</v>
      </c>
      <c r="BE945" s="1">
        <v>900</v>
      </c>
      <c r="BF945" s="1">
        <v>4</v>
      </c>
      <c r="BG945" s="1">
        <v>0</v>
      </c>
      <c r="BL945" s="1">
        <v>398</v>
      </c>
      <c r="BM945" s="1" t="s">
        <v>204</v>
      </c>
      <c r="BN945" s="1" t="s">
        <v>213</v>
      </c>
      <c r="BP945" s="1" t="s">
        <v>204</v>
      </c>
      <c r="BR945" s="1" t="str">
        <f>"0619404042"</f>
        <v>0619404042</v>
      </c>
      <c r="BT945" s="1" t="s">
        <v>10350</v>
      </c>
      <c r="BU945" s="1" t="s">
        <v>1933</v>
      </c>
      <c r="BV945" s="1" t="s">
        <v>1934</v>
      </c>
      <c r="BW945" s="1" t="s">
        <v>1935</v>
      </c>
      <c r="BX945" s="1">
        <v>44</v>
      </c>
      <c r="BY945" s="1">
        <v>44</v>
      </c>
      <c r="BZ945" s="1">
        <v>87</v>
      </c>
      <c r="CB945" s="1" t="str">
        <f t="shared" ref="CB945:CC945" si="729">""</f>
        <v/>
      </c>
      <c r="CC945" s="1" t="str">
        <f t="shared" si="729"/>
        <v/>
      </c>
      <c r="CG945" s="1" t="s">
        <v>1267</v>
      </c>
      <c r="CH945" s="1" t="s">
        <v>219</v>
      </c>
      <c r="CI945" s="1" t="s">
        <v>220</v>
      </c>
      <c r="CK945" s="1" t="s">
        <v>581</v>
      </c>
      <c r="CL945" s="1" t="s">
        <v>219</v>
      </c>
      <c r="CM945" s="1" t="s">
        <v>220</v>
      </c>
      <c r="CO945" s="1" t="s">
        <v>379</v>
      </c>
      <c r="CP945" s="1" t="s">
        <v>219</v>
      </c>
      <c r="CQ945" s="1" t="s">
        <v>5665</v>
      </c>
      <c r="CS945" s="1" t="s">
        <v>379</v>
      </c>
      <c r="CT945" s="1" t="s">
        <v>219</v>
      </c>
      <c r="CU945" s="1" t="s">
        <v>220</v>
      </c>
      <c r="CX945" s="1" t="s">
        <v>224</v>
      </c>
      <c r="DB945" s="1" t="s">
        <v>224</v>
      </c>
      <c r="DE945" s="1" t="s">
        <v>409</v>
      </c>
      <c r="DF945" s="1" t="s">
        <v>219</v>
      </c>
      <c r="DG945" s="1" t="s">
        <v>5665</v>
      </c>
      <c r="DJ945" s="1" t="s">
        <v>224</v>
      </c>
      <c r="DS945" s="1" t="s">
        <v>230</v>
      </c>
      <c r="DW945" s="1" t="s">
        <v>230</v>
      </c>
      <c r="EA945" s="1" t="s">
        <v>230</v>
      </c>
      <c r="EE945" s="1" t="s">
        <v>230</v>
      </c>
      <c r="EI945" s="1" t="s">
        <v>230</v>
      </c>
      <c r="EL945" s="1" t="s">
        <v>231</v>
      </c>
      <c r="EM945" s="1" t="s">
        <v>232</v>
      </c>
      <c r="EN945" s="1" t="s">
        <v>282</v>
      </c>
      <c r="EO945" s="1" t="s">
        <v>347</v>
      </c>
      <c r="EQ945" s="1" t="s">
        <v>1109</v>
      </c>
      <c r="ER945" s="1" t="s">
        <v>210</v>
      </c>
      <c r="ES945" s="1" t="s">
        <v>469</v>
      </c>
      <c r="EW945" s="1" t="s">
        <v>10351</v>
      </c>
      <c r="EZ945" s="1" t="s">
        <v>287</v>
      </c>
      <c r="FD945" s="1" t="s">
        <v>736</v>
      </c>
      <c r="FE945" s="1" t="s">
        <v>6051</v>
      </c>
      <c r="FF945" s="1" t="s">
        <v>248</v>
      </c>
      <c r="FH945" s="1" t="s">
        <v>249</v>
      </c>
      <c r="FJ945" s="1" t="s">
        <v>197</v>
      </c>
      <c r="FL945" s="1" t="s">
        <v>292</v>
      </c>
      <c r="FM945" s="1" t="s">
        <v>252</v>
      </c>
      <c r="FN945" s="1" t="s">
        <v>213</v>
      </c>
      <c r="FO945" s="1" t="s">
        <v>213</v>
      </c>
      <c r="FQ945" s="1" t="s">
        <v>293</v>
      </c>
      <c r="FR945" s="1" t="s">
        <v>360</v>
      </c>
      <c r="FS945" s="1" t="s">
        <v>10352</v>
      </c>
      <c r="FT945" s="1" t="s">
        <v>362</v>
      </c>
      <c r="FU945" s="1" t="s">
        <v>204</v>
      </c>
      <c r="FW945" s="1" t="s">
        <v>2006</v>
      </c>
      <c r="FX945" s="1">
        <v>84307</v>
      </c>
      <c r="FY945" s="1" t="s">
        <v>10353</v>
      </c>
      <c r="FZ945" s="1" t="s">
        <v>10354</v>
      </c>
      <c r="GA945" s="1">
        <v>171923</v>
      </c>
      <c r="GB945" s="1" t="s">
        <v>10355</v>
      </c>
      <c r="GC945" s="1">
        <v>874899</v>
      </c>
      <c r="GE945" s="1" t="s">
        <v>210</v>
      </c>
      <c r="GH945" s="1" t="s">
        <v>421</v>
      </c>
      <c r="GI945" s="1" t="s">
        <v>213</v>
      </c>
      <c r="GJ945" s="1" t="s">
        <v>260</v>
      </c>
      <c r="GK945" s="1" t="s">
        <v>210</v>
      </c>
      <c r="GL945" s="2">
        <v>42029</v>
      </c>
      <c r="GM945" s="1" t="s">
        <v>10356</v>
      </c>
    </row>
    <row r="946" spans="1:195">
      <c r="A946" s="1">
        <v>32500</v>
      </c>
      <c r="B946" s="1" t="s">
        <v>195</v>
      </c>
      <c r="C946" s="1" t="str">
        <f>"08617572"</f>
        <v>08617572</v>
      </c>
      <c r="D946" s="1" t="s">
        <v>196</v>
      </c>
      <c r="F946" s="1" t="str">
        <f>"123"</f>
        <v>123</v>
      </c>
      <c r="G946" s="2">
        <v>41775</v>
      </c>
      <c r="H946" s="1">
        <v>69900</v>
      </c>
      <c r="I946" s="1">
        <v>34900</v>
      </c>
      <c r="J946" s="1">
        <v>32500</v>
      </c>
      <c r="K946" s="2">
        <v>41775</v>
      </c>
      <c r="L946" s="1">
        <v>289</v>
      </c>
      <c r="M946" s="2">
        <v>42063</v>
      </c>
      <c r="N946" s="1">
        <v>289</v>
      </c>
      <c r="O946" s="2">
        <v>42063</v>
      </c>
      <c r="P946" s="1">
        <v>7450</v>
      </c>
      <c r="Q946" s="1" t="s">
        <v>302</v>
      </c>
      <c r="R946" s="2">
        <v>42109</v>
      </c>
      <c r="S946" s="1">
        <v>77092</v>
      </c>
      <c r="U946" s="1">
        <v>801</v>
      </c>
      <c r="V946" s="1" t="s">
        <v>10357</v>
      </c>
      <c r="W946" s="1" t="s">
        <v>199</v>
      </c>
      <c r="X946" s="1">
        <v>338</v>
      </c>
      <c r="Y946" s="1">
        <v>90</v>
      </c>
      <c r="Z946" s="1" t="s">
        <v>249</v>
      </c>
      <c r="AA946" s="1" t="s">
        <v>1173</v>
      </c>
      <c r="AB946" s="1">
        <v>60123</v>
      </c>
      <c r="AC946" s="1">
        <v>2067</v>
      </c>
      <c r="AD946" s="1" t="s">
        <v>4670</v>
      </c>
      <c r="AE946" s="1" t="s">
        <v>10358</v>
      </c>
      <c r="AF946" s="1">
        <v>2003</v>
      </c>
      <c r="AG946" s="1" t="s">
        <v>204</v>
      </c>
      <c r="AH946" s="1" t="s">
        <v>1175</v>
      </c>
      <c r="AI946" s="1" t="s">
        <v>665</v>
      </c>
      <c r="AJ946" s="1" t="s">
        <v>1175</v>
      </c>
      <c r="AK946" s="1" t="s">
        <v>10359</v>
      </c>
      <c r="AL946" s="1">
        <v>4</v>
      </c>
      <c r="AM946" s="1">
        <v>2</v>
      </c>
      <c r="AN946" s="1">
        <v>2</v>
      </c>
      <c r="AO946" s="1">
        <v>0</v>
      </c>
      <c r="AP946" s="1" t="s">
        <v>209</v>
      </c>
      <c r="AQ946" s="1">
        <v>0</v>
      </c>
      <c r="AR946" s="1" t="s">
        <v>210</v>
      </c>
      <c r="AS946" s="1" t="s">
        <v>204</v>
      </c>
      <c r="AT946" s="1" t="s">
        <v>210</v>
      </c>
      <c r="AW946" s="1" t="s">
        <v>204</v>
      </c>
      <c r="AX946" s="1" t="s">
        <v>579</v>
      </c>
      <c r="AZ946" s="1">
        <v>1435.4</v>
      </c>
      <c r="BA946" s="1">
        <v>2013</v>
      </c>
      <c r="BB946" s="1" t="s">
        <v>599</v>
      </c>
      <c r="BE946" s="1">
        <v>975</v>
      </c>
      <c r="BF946" s="1">
        <v>3</v>
      </c>
      <c r="BG946" s="1">
        <v>0</v>
      </c>
      <c r="BL946" s="1">
        <v>1356</v>
      </c>
      <c r="BM946" s="1" t="s">
        <v>204</v>
      </c>
      <c r="BN946" s="1" t="s">
        <v>213</v>
      </c>
      <c r="BP946" s="1" t="s">
        <v>204</v>
      </c>
      <c r="BR946" s="1" t="str">
        <f>"0610181088"</f>
        <v>0610181088</v>
      </c>
      <c r="BT946" s="1" t="s">
        <v>10360</v>
      </c>
      <c r="BX946" s="1">
        <v>46</v>
      </c>
      <c r="BY946" s="1">
        <v>46</v>
      </c>
      <c r="BZ946" s="1">
        <v>46</v>
      </c>
      <c r="CB946" s="1" t="str">
        <f>"12"</f>
        <v>12</v>
      </c>
      <c r="CC946" s="1" t="str">
        <f>"0"</f>
        <v>0</v>
      </c>
      <c r="CD946" s="1">
        <v>35</v>
      </c>
      <c r="CE946" s="1">
        <v>0</v>
      </c>
      <c r="CG946" s="1" t="s">
        <v>1267</v>
      </c>
      <c r="CH946" s="1" t="s">
        <v>219</v>
      </c>
      <c r="CI946" s="1" t="s">
        <v>220</v>
      </c>
      <c r="CJ946" s="1" t="s">
        <v>252</v>
      </c>
      <c r="CK946" s="1" t="s">
        <v>344</v>
      </c>
      <c r="CL946" s="1" t="s">
        <v>219</v>
      </c>
      <c r="CM946" s="1" t="s">
        <v>220</v>
      </c>
      <c r="CN946" s="1" t="s">
        <v>252</v>
      </c>
      <c r="CP946" s="1" t="s">
        <v>224</v>
      </c>
      <c r="CS946" s="1" t="s">
        <v>317</v>
      </c>
      <c r="CT946" s="1" t="s">
        <v>219</v>
      </c>
      <c r="CU946" s="1" t="s">
        <v>220</v>
      </c>
      <c r="CV946" s="1" t="s">
        <v>252</v>
      </c>
      <c r="CX946" s="1" t="s">
        <v>224</v>
      </c>
      <c r="DB946" s="1" t="s">
        <v>224</v>
      </c>
      <c r="DE946" s="1" t="s">
        <v>346</v>
      </c>
      <c r="DF946" s="1" t="s">
        <v>219</v>
      </c>
      <c r="DG946" s="1" t="s">
        <v>342</v>
      </c>
      <c r="DH946" s="1" t="s">
        <v>210</v>
      </c>
      <c r="DJ946" s="1" t="s">
        <v>224</v>
      </c>
      <c r="DS946" s="1" t="s">
        <v>230</v>
      </c>
      <c r="DW946" s="1" t="s">
        <v>230</v>
      </c>
      <c r="EA946" s="1" t="s">
        <v>230</v>
      </c>
      <c r="EE946" s="1" t="s">
        <v>230</v>
      </c>
      <c r="EI946" s="1" t="s">
        <v>230</v>
      </c>
      <c r="EL946" s="1" t="s">
        <v>466</v>
      </c>
      <c r="EM946" s="1" t="s">
        <v>319</v>
      </c>
      <c r="EN946" s="1" t="s">
        <v>282</v>
      </c>
      <c r="EO946" s="1" t="s">
        <v>234</v>
      </c>
      <c r="EP946" s="1" t="s">
        <v>10361</v>
      </c>
      <c r="EQ946" s="1" t="s">
        <v>468</v>
      </c>
      <c r="ER946" s="1" t="s">
        <v>210</v>
      </c>
      <c r="ET946" s="1" t="s">
        <v>609</v>
      </c>
      <c r="EU946" s="1" t="s">
        <v>10362</v>
      </c>
      <c r="EV946" s="1" t="s">
        <v>240</v>
      </c>
      <c r="EW946" s="1" t="s">
        <v>10363</v>
      </c>
      <c r="EY946" s="1" t="s">
        <v>612</v>
      </c>
      <c r="EZ946" s="1" t="s">
        <v>287</v>
      </c>
      <c r="FA946" s="1" t="s">
        <v>10364</v>
      </c>
      <c r="FB946" s="1" t="s">
        <v>244</v>
      </c>
      <c r="FD946" s="1" t="s">
        <v>4003</v>
      </c>
      <c r="FE946" s="1" t="s">
        <v>247</v>
      </c>
      <c r="FF946" s="1" t="s">
        <v>387</v>
      </c>
      <c r="FH946" s="1" t="s">
        <v>249</v>
      </c>
      <c r="FJ946" s="1" t="s">
        <v>197</v>
      </c>
      <c r="FL946" s="1" t="s">
        <v>358</v>
      </c>
      <c r="FM946" s="1" t="s">
        <v>252</v>
      </c>
      <c r="FN946" s="1" t="s">
        <v>213</v>
      </c>
      <c r="FO946" s="1" t="s">
        <v>213</v>
      </c>
      <c r="FQ946" s="1" t="s">
        <v>10365</v>
      </c>
      <c r="FR946" s="1" t="s">
        <v>210</v>
      </c>
      <c r="FS946" s="1" t="s">
        <v>10366</v>
      </c>
      <c r="FT946" s="1" t="s">
        <v>362</v>
      </c>
      <c r="FU946" s="1" t="s">
        <v>204</v>
      </c>
      <c r="FW946" s="1" t="s">
        <v>3291</v>
      </c>
      <c r="FX946" s="1">
        <v>7450</v>
      </c>
      <c r="FY946" s="1" t="s">
        <v>3292</v>
      </c>
      <c r="FZ946" s="1" t="s">
        <v>10367</v>
      </c>
      <c r="GA946" s="1">
        <v>77092</v>
      </c>
      <c r="GB946" s="1" t="s">
        <v>10368</v>
      </c>
      <c r="GD946" s="1" t="s">
        <v>10369</v>
      </c>
      <c r="GE946" s="1" t="s">
        <v>623</v>
      </c>
      <c r="GH946" s="1" t="s">
        <v>230</v>
      </c>
      <c r="GI946" s="1" t="s">
        <v>213</v>
      </c>
      <c r="GJ946" s="1" t="s">
        <v>260</v>
      </c>
      <c r="GK946" s="1" t="s">
        <v>210</v>
      </c>
      <c r="GL946" s="2">
        <v>42109</v>
      </c>
      <c r="GM946" s="1" t="s">
        <v>10370</v>
      </c>
    </row>
    <row r="947" spans="1:195">
      <c r="A947" s="1">
        <v>80000</v>
      </c>
      <c r="B947" s="1" t="s">
        <v>195</v>
      </c>
      <c r="C947" s="1" t="str">
        <f>"08612465"</f>
        <v>08612465</v>
      </c>
      <c r="D947" s="1" t="s">
        <v>196</v>
      </c>
      <c r="F947" s="1" t="str">
        <f>"187"</f>
        <v>187</v>
      </c>
      <c r="G947" s="2">
        <v>41771</v>
      </c>
      <c r="H947" s="1">
        <v>97900</v>
      </c>
      <c r="I947" s="1">
        <v>77000</v>
      </c>
      <c r="J947" s="1">
        <v>80000</v>
      </c>
      <c r="K947" s="2">
        <v>41771</v>
      </c>
      <c r="L947" s="1">
        <v>141</v>
      </c>
      <c r="M947" s="2">
        <v>41911</v>
      </c>
      <c r="N947" s="1">
        <v>141</v>
      </c>
      <c r="O947" s="2">
        <v>41911</v>
      </c>
      <c r="P947" s="1">
        <v>60496</v>
      </c>
      <c r="Q947" s="1" t="s">
        <v>197</v>
      </c>
      <c r="R947" s="2">
        <v>41976</v>
      </c>
      <c r="S947" s="1">
        <v>604665</v>
      </c>
      <c r="U947" s="1">
        <v>1399</v>
      </c>
      <c r="V947" s="1" t="s">
        <v>10371</v>
      </c>
      <c r="W947" s="1" t="s">
        <v>504</v>
      </c>
      <c r="X947" s="1" t="s">
        <v>1000</v>
      </c>
      <c r="Y947" s="1">
        <v>4</v>
      </c>
      <c r="Z947" s="1" t="s">
        <v>370</v>
      </c>
      <c r="AA947" s="1" t="s">
        <v>964</v>
      </c>
      <c r="AB947" s="1">
        <v>60189</v>
      </c>
      <c r="AD947" s="1" t="s">
        <v>10372</v>
      </c>
      <c r="AE947" s="1" t="s">
        <v>10373</v>
      </c>
      <c r="AF947" s="1">
        <v>1975</v>
      </c>
      <c r="AG947" s="1" t="s">
        <v>213</v>
      </c>
      <c r="AH947" s="1" t="s">
        <v>967</v>
      </c>
      <c r="AI947" s="1" t="s">
        <v>206</v>
      </c>
      <c r="AJ947" s="1" t="s">
        <v>207</v>
      </c>
      <c r="AL947" s="1">
        <v>4</v>
      </c>
      <c r="AM947" s="1">
        <v>2</v>
      </c>
      <c r="AN947" s="1">
        <v>1</v>
      </c>
      <c r="AO947" s="1">
        <v>0</v>
      </c>
      <c r="AP947" s="1" t="s">
        <v>210</v>
      </c>
      <c r="AR947" s="1" t="s">
        <v>210</v>
      </c>
      <c r="AS947" s="1" t="s">
        <v>204</v>
      </c>
      <c r="AT947" s="1" t="s">
        <v>211</v>
      </c>
      <c r="AU947" s="1">
        <v>1</v>
      </c>
      <c r="AW947" s="1" t="s">
        <v>204</v>
      </c>
      <c r="AX947" s="1" t="s">
        <v>212</v>
      </c>
      <c r="AZ947" s="1">
        <v>2925.46</v>
      </c>
      <c r="BA947" s="1">
        <v>2013</v>
      </c>
      <c r="BE947" s="1">
        <v>882</v>
      </c>
      <c r="BF947" s="1">
        <v>1</v>
      </c>
      <c r="BG947" s="1">
        <v>0</v>
      </c>
      <c r="BL947" s="1">
        <v>228</v>
      </c>
      <c r="BM947" s="1" t="s">
        <v>204</v>
      </c>
      <c r="BN947" s="1" t="s">
        <v>213</v>
      </c>
      <c r="BO947" s="1">
        <v>999</v>
      </c>
      <c r="BP947" s="1" t="s">
        <v>204</v>
      </c>
      <c r="BR947" s="1" t="str">
        <f>"0520117019"</f>
        <v>0520117019</v>
      </c>
      <c r="BT947" s="1" t="s">
        <v>10374</v>
      </c>
      <c r="BX947" s="1">
        <v>200</v>
      </c>
      <c r="BY947" s="1">
        <v>200</v>
      </c>
      <c r="BZ947" s="1">
        <v>200</v>
      </c>
      <c r="CB947" s="1" t="str">
        <f t="shared" ref="CB947:CC947" si="730">""</f>
        <v/>
      </c>
      <c r="CC947" s="1" t="str">
        <f t="shared" si="730"/>
        <v/>
      </c>
      <c r="CG947" s="1" t="s">
        <v>1177</v>
      </c>
      <c r="CH947" s="1" t="s">
        <v>219</v>
      </c>
      <c r="CI947" s="1" t="s">
        <v>438</v>
      </c>
      <c r="CK947" s="1" t="s">
        <v>1403</v>
      </c>
      <c r="CL947" s="1" t="s">
        <v>277</v>
      </c>
      <c r="CM947" s="1" t="s">
        <v>220</v>
      </c>
      <c r="CP947" s="1" t="s">
        <v>224</v>
      </c>
      <c r="CS947" s="1" t="s">
        <v>378</v>
      </c>
      <c r="CT947" s="1" t="s">
        <v>277</v>
      </c>
      <c r="CU947" s="1" t="s">
        <v>220</v>
      </c>
      <c r="CX947" s="1" t="s">
        <v>224</v>
      </c>
      <c r="DB947" s="1" t="s">
        <v>224</v>
      </c>
      <c r="DE947" s="1" t="s">
        <v>378</v>
      </c>
      <c r="DF947" s="1" t="s">
        <v>219</v>
      </c>
      <c r="DJ947" s="1" t="s">
        <v>224</v>
      </c>
      <c r="DS947" s="1" t="s">
        <v>230</v>
      </c>
      <c r="DW947" s="1" t="s">
        <v>230</v>
      </c>
      <c r="EA947" s="1" t="s">
        <v>230</v>
      </c>
      <c r="EE947" s="1" t="s">
        <v>230</v>
      </c>
      <c r="EI947" s="1" t="s">
        <v>230</v>
      </c>
      <c r="EL947" s="1" t="s">
        <v>231</v>
      </c>
      <c r="EM947" s="1" t="s">
        <v>319</v>
      </c>
      <c r="EN947" s="1" t="s">
        <v>282</v>
      </c>
      <c r="EO947" s="1" t="s">
        <v>234</v>
      </c>
      <c r="EQ947" s="1" t="s">
        <v>5566</v>
      </c>
      <c r="ER947" s="1" t="s">
        <v>210</v>
      </c>
      <c r="EW947" s="1" t="s">
        <v>9701</v>
      </c>
      <c r="EZ947" s="1" t="s">
        <v>287</v>
      </c>
      <c r="FD947" s="1" t="s">
        <v>246</v>
      </c>
      <c r="FE947" s="1" t="s">
        <v>496</v>
      </c>
      <c r="FF947" s="1" t="s">
        <v>248</v>
      </c>
      <c r="FH947" s="1" t="s">
        <v>249</v>
      </c>
      <c r="FL947" s="1" t="s">
        <v>414</v>
      </c>
      <c r="FM947" s="1" t="s">
        <v>252</v>
      </c>
      <c r="FN947" s="1" t="s">
        <v>213</v>
      </c>
      <c r="FO947" s="1" t="s">
        <v>213</v>
      </c>
      <c r="FQ947" s="1" t="s">
        <v>10375</v>
      </c>
      <c r="FR947" s="1" t="s">
        <v>210</v>
      </c>
      <c r="FS947" s="1" t="s">
        <v>2418</v>
      </c>
      <c r="FT947" s="1" t="s">
        <v>584</v>
      </c>
      <c r="FU947" s="1" t="s">
        <v>204</v>
      </c>
      <c r="FV947" s="1" t="s">
        <v>2419</v>
      </c>
      <c r="FW947" s="1" t="s">
        <v>2420</v>
      </c>
      <c r="FX947" s="1">
        <v>41</v>
      </c>
      <c r="FY947" s="1" t="s">
        <v>2421</v>
      </c>
      <c r="FZ947" s="1" t="s">
        <v>2422</v>
      </c>
      <c r="GA947" s="1">
        <v>8483</v>
      </c>
      <c r="GB947" s="1" t="s">
        <v>2423</v>
      </c>
      <c r="GD947" s="1" t="s">
        <v>2424</v>
      </c>
      <c r="GE947" s="1" t="s">
        <v>210</v>
      </c>
      <c r="GI947" s="1" t="s">
        <v>213</v>
      </c>
      <c r="GJ947" s="1" t="s">
        <v>260</v>
      </c>
      <c r="GK947" s="1" t="s">
        <v>210</v>
      </c>
      <c r="GL947" s="2">
        <v>41976</v>
      </c>
      <c r="GM947" s="1" t="s">
        <v>10376</v>
      </c>
    </row>
    <row r="948" spans="1:195">
      <c r="A948" s="1">
        <v>130000</v>
      </c>
      <c r="B948" s="1" t="s">
        <v>195</v>
      </c>
      <c r="C948" s="1" t="str">
        <f>"08635685"</f>
        <v>08635685</v>
      </c>
      <c r="D948" s="1" t="s">
        <v>196</v>
      </c>
      <c r="F948" s="1" t="str">
        <f>"108"</f>
        <v>108</v>
      </c>
      <c r="G948" s="2">
        <v>41795</v>
      </c>
      <c r="H948" s="1">
        <v>139000</v>
      </c>
      <c r="I948" s="1">
        <v>135000</v>
      </c>
      <c r="J948" s="1">
        <v>130000</v>
      </c>
      <c r="K948" s="2">
        <v>41795</v>
      </c>
      <c r="L948" s="1">
        <v>230</v>
      </c>
      <c r="M948" s="2">
        <v>42024</v>
      </c>
      <c r="N948" s="1">
        <v>230</v>
      </c>
      <c r="O948" s="2">
        <v>42024</v>
      </c>
      <c r="P948" s="1">
        <v>8055</v>
      </c>
      <c r="Q948" s="1" t="s">
        <v>197</v>
      </c>
      <c r="R948" s="2">
        <v>42061</v>
      </c>
      <c r="S948" s="1">
        <v>27552</v>
      </c>
      <c r="U948" s="1">
        <v>223</v>
      </c>
      <c r="V948" s="1" t="s">
        <v>10377</v>
      </c>
      <c r="W948" s="1" t="s">
        <v>504</v>
      </c>
      <c r="X948" s="1" t="s">
        <v>5413</v>
      </c>
      <c r="Y948" s="1">
        <v>4</v>
      </c>
      <c r="Z948" s="1" t="s">
        <v>370</v>
      </c>
      <c r="AA948" s="1" t="s">
        <v>829</v>
      </c>
      <c r="AB948" s="1">
        <v>60108</v>
      </c>
      <c r="AD948" s="1" t="s">
        <v>10378</v>
      </c>
      <c r="AE948" s="1" t="s">
        <v>10379</v>
      </c>
      <c r="AF948" s="1">
        <v>1990</v>
      </c>
      <c r="AG948" s="1" t="s">
        <v>204</v>
      </c>
      <c r="AH948" s="1" t="s">
        <v>269</v>
      </c>
      <c r="AI948" s="1" t="s">
        <v>206</v>
      </c>
      <c r="AJ948" s="1" t="s">
        <v>269</v>
      </c>
      <c r="AK948" s="1" t="s">
        <v>10380</v>
      </c>
      <c r="AL948" s="1">
        <v>5</v>
      </c>
      <c r="AM948" s="1">
        <v>2</v>
      </c>
      <c r="AN948" s="1">
        <v>2</v>
      </c>
      <c r="AO948" s="1">
        <v>0</v>
      </c>
      <c r="AP948" s="1" t="s">
        <v>209</v>
      </c>
      <c r="AQ948" s="1">
        <v>1</v>
      </c>
      <c r="AR948" s="1" t="s">
        <v>210</v>
      </c>
      <c r="AS948" s="1" t="s">
        <v>204</v>
      </c>
      <c r="AT948" s="1" t="s">
        <v>211</v>
      </c>
      <c r="AU948" s="1">
        <v>1</v>
      </c>
      <c r="AW948" s="1" t="s">
        <v>204</v>
      </c>
      <c r="AX948" s="1" t="s">
        <v>212</v>
      </c>
      <c r="AZ948" s="1">
        <v>2950</v>
      </c>
      <c r="BA948" s="1">
        <v>2013</v>
      </c>
      <c r="BB948" s="1" t="s">
        <v>405</v>
      </c>
      <c r="BE948" s="1">
        <v>1240</v>
      </c>
      <c r="BF948" s="1">
        <v>2</v>
      </c>
      <c r="BG948" s="1">
        <v>1</v>
      </c>
      <c r="BL948" s="1">
        <v>267</v>
      </c>
      <c r="BM948" s="1" t="s">
        <v>204</v>
      </c>
      <c r="BN948" s="1" t="s">
        <v>213</v>
      </c>
      <c r="BO948" s="1">
        <v>30</v>
      </c>
      <c r="BP948" s="1" t="s">
        <v>204</v>
      </c>
      <c r="BR948" s="1" t="str">
        <f>"0223216035"</f>
        <v>0223216035</v>
      </c>
      <c r="BT948" s="1" t="s">
        <v>10381</v>
      </c>
      <c r="BU948" s="1" t="s">
        <v>2014</v>
      </c>
      <c r="BV948" s="1" t="s">
        <v>2015</v>
      </c>
      <c r="BW948" s="1" t="s">
        <v>1935</v>
      </c>
      <c r="BX948" s="1">
        <v>15</v>
      </c>
      <c r="BY948" s="1">
        <v>15</v>
      </c>
      <c r="BZ948" s="1">
        <v>87</v>
      </c>
      <c r="CB948" s="1" t="str">
        <f>"4"</f>
        <v>4</v>
      </c>
      <c r="CC948" s="1" t="str">
        <f>"0"</f>
        <v>0</v>
      </c>
      <c r="CD948" s="1">
        <v>22</v>
      </c>
      <c r="CE948" s="1">
        <v>0</v>
      </c>
      <c r="CG948" s="1" t="s">
        <v>1004</v>
      </c>
      <c r="CH948" s="1" t="s">
        <v>219</v>
      </c>
      <c r="CI948" s="1" t="s">
        <v>220</v>
      </c>
      <c r="CJ948" s="1" t="s">
        <v>343</v>
      </c>
      <c r="CK948" s="1" t="s">
        <v>221</v>
      </c>
      <c r="CL948" s="1" t="s">
        <v>219</v>
      </c>
      <c r="CM948" s="1" t="s">
        <v>220</v>
      </c>
      <c r="CN948" s="1" t="s">
        <v>439</v>
      </c>
      <c r="CO948" s="1" t="s">
        <v>318</v>
      </c>
      <c r="CP948" s="1" t="s">
        <v>219</v>
      </c>
      <c r="CQ948" s="1" t="s">
        <v>220</v>
      </c>
      <c r="CR948" s="1" t="s">
        <v>439</v>
      </c>
      <c r="CS948" s="1" t="s">
        <v>465</v>
      </c>
      <c r="CT948" s="1" t="s">
        <v>219</v>
      </c>
      <c r="CU948" s="1" t="s">
        <v>220</v>
      </c>
      <c r="CV948" s="1" t="s">
        <v>439</v>
      </c>
      <c r="CX948" s="1" t="s">
        <v>224</v>
      </c>
      <c r="DB948" s="1" t="s">
        <v>224</v>
      </c>
      <c r="DE948" s="1" t="s">
        <v>1297</v>
      </c>
      <c r="DF948" s="1" t="s">
        <v>219</v>
      </c>
      <c r="DG948" s="1" t="s">
        <v>342</v>
      </c>
      <c r="DH948" s="1" t="s">
        <v>343</v>
      </c>
      <c r="DJ948" s="1" t="s">
        <v>224</v>
      </c>
      <c r="DS948" s="1" t="s">
        <v>230</v>
      </c>
      <c r="DW948" s="1" t="s">
        <v>230</v>
      </c>
      <c r="EA948" s="1" t="s">
        <v>230</v>
      </c>
      <c r="EE948" s="1" t="s">
        <v>230</v>
      </c>
      <c r="EI948" s="1" t="s">
        <v>230</v>
      </c>
      <c r="EL948" s="1" t="s">
        <v>382</v>
      </c>
      <c r="EM948" s="1" t="s">
        <v>232</v>
      </c>
      <c r="EN948" s="1" t="s">
        <v>282</v>
      </c>
      <c r="EO948" s="1" t="s">
        <v>234</v>
      </c>
      <c r="EP948" s="1" t="s">
        <v>1047</v>
      </c>
      <c r="EQ948" s="1" t="s">
        <v>284</v>
      </c>
      <c r="ER948" s="1" t="s">
        <v>210</v>
      </c>
      <c r="ES948" s="1" t="s">
        <v>322</v>
      </c>
      <c r="EU948" s="1" t="s">
        <v>1894</v>
      </c>
      <c r="EV948" s="1" t="s">
        <v>352</v>
      </c>
      <c r="EW948" s="1" t="s">
        <v>9179</v>
      </c>
      <c r="EY948" s="1" t="s">
        <v>242</v>
      </c>
      <c r="EZ948" s="1" t="s">
        <v>287</v>
      </c>
      <c r="FA948" s="1" t="s">
        <v>5547</v>
      </c>
      <c r="FB948" s="1" t="s">
        <v>289</v>
      </c>
      <c r="FC948" s="1" t="s">
        <v>633</v>
      </c>
      <c r="FD948" s="1" t="s">
        <v>246</v>
      </c>
      <c r="FE948" s="1" t="s">
        <v>2016</v>
      </c>
      <c r="FF948" s="1" t="s">
        <v>248</v>
      </c>
      <c r="FG948" s="1" t="s">
        <v>871</v>
      </c>
      <c r="FH948" s="1" t="s">
        <v>249</v>
      </c>
      <c r="FI948" s="1" t="s">
        <v>473</v>
      </c>
      <c r="FL948" s="1" t="s">
        <v>358</v>
      </c>
      <c r="FM948" s="1" t="s">
        <v>252</v>
      </c>
      <c r="FN948" s="1" t="s">
        <v>213</v>
      </c>
      <c r="FO948" s="1" t="s">
        <v>213</v>
      </c>
      <c r="FQ948" s="1" t="s">
        <v>253</v>
      </c>
      <c r="FR948" s="1" t="s">
        <v>210</v>
      </c>
      <c r="FS948" s="1" t="s">
        <v>10382</v>
      </c>
      <c r="FT948" s="1" t="s">
        <v>1076</v>
      </c>
      <c r="FU948" s="1" t="s">
        <v>204</v>
      </c>
      <c r="FW948" s="1" t="s">
        <v>585</v>
      </c>
      <c r="FX948" s="1">
        <v>8012</v>
      </c>
      <c r="FY948" s="1" t="s">
        <v>7225</v>
      </c>
      <c r="FZ948" s="1" t="s">
        <v>10383</v>
      </c>
      <c r="GA948" s="1">
        <v>26271</v>
      </c>
      <c r="GB948" s="1" t="s">
        <v>10384</v>
      </c>
      <c r="GD948" s="1" t="s">
        <v>10385</v>
      </c>
      <c r="GE948" s="1" t="s">
        <v>480</v>
      </c>
      <c r="GI948" s="1" t="s">
        <v>213</v>
      </c>
      <c r="GJ948" s="1" t="s">
        <v>260</v>
      </c>
      <c r="GK948" s="1" t="s">
        <v>210</v>
      </c>
      <c r="GL948" s="2">
        <v>42061</v>
      </c>
      <c r="GM948" s="1" t="s">
        <v>10386</v>
      </c>
    </row>
    <row r="949" spans="1:195">
      <c r="A949" s="1">
        <v>47100</v>
      </c>
      <c r="B949" s="1" t="s">
        <v>195</v>
      </c>
      <c r="C949" s="1" t="str">
        <f>"08693946"</f>
        <v>08693946</v>
      </c>
      <c r="D949" s="1" t="s">
        <v>196</v>
      </c>
      <c r="F949" s="1" t="str">
        <f>"8064"</f>
        <v>8064</v>
      </c>
      <c r="G949" s="2">
        <v>41857</v>
      </c>
      <c r="H949" s="1">
        <v>49900</v>
      </c>
      <c r="I949" s="1">
        <v>49900</v>
      </c>
      <c r="J949" s="1">
        <v>47100</v>
      </c>
      <c r="K949" s="2">
        <v>41857</v>
      </c>
      <c r="L949" s="1">
        <v>50</v>
      </c>
      <c r="M949" s="2">
        <v>41906</v>
      </c>
      <c r="N949" s="1">
        <v>50</v>
      </c>
      <c r="O949" s="2">
        <v>41906</v>
      </c>
      <c r="P949" s="1">
        <v>21196</v>
      </c>
      <c r="Q949" s="1" t="s">
        <v>302</v>
      </c>
      <c r="R949" s="2">
        <v>41976</v>
      </c>
      <c r="S949" s="1">
        <v>214941</v>
      </c>
      <c r="U949" s="1">
        <v>6440</v>
      </c>
      <c r="V949" s="1" t="s">
        <v>4922</v>
      </c>
      <c r="W949" s="1" t="s">
        <v>425</v>
      </c>
      <c r="X949" s="1" t="s">
        <v>5917</v>
      </c>
      <c r="Y949" s="1">
        <v>6</v>
      </c>
      <c r="Z949" s="1" t="s">
        <v>249</v>
      </c>
      <c r="AA949" s="1" t="s">
        <v>400</v>
      </c>
      <c r="AB949" s="1">
        <v>60638</v>
      </c>
      <c r="AE949" s="1" t="s">
        <v>10387</v>
      </c>
      <c r="AF949" s="1">
        <v>1984</v>
      </c>
      <c r="AG949" s="1" t="s">
        <v>204</v>
      </c>
      <c r="AH949" s="1" t="s">
        <v>403</v>
      </c>
      <c r="AI949" s="1" t="s">
        <v>310</v>
      </c>
      <c r="AJ949" s="1" t="s">
        <v>683</v>
      </c>
      <c r="AL949" s="1">
        <v>5</v>
      </c>
      <c r="AM949" s="1">
        <v>2</v>
      </c>
      <c r="AN949" s="1">
        <v>2</v>
      </c>
      <c r="AO949" s="1">
        <v>0</v>
      </c>
      <c r="AP949" s="1" t="s">
        <v>209</v>
      </c>
      <c r="AR949" s="1" t="s">
        <v>1631</v>
      </c>
      <c r="AS949" s="1" t="s">
        <v>204</v>
      </c>
      <c r="AT949" s="1" t="s">
        <v>271</v>
      </c>
      <c r="AV949" s="1">
        <v>1</v>
      </c>
      <c r="AW949" s="1" t="s">
        <v>204</v>
      </c>
      <c r="AX949" s="1" t="s">
        <v>10388</v>
      </c>
      <c r="AZ949" s="1">
        <v>1559.77</v>
      </c>
      <c r="BA949" s="1">
        <v>2012</v>
      </c>
      <c r="BE949" s="1">
        <v>800</v>
      </c>
      <c r="BF949" s="1">
        <v>1</v>
      </c>
      <c r="BG949" s="1">
        <v>0</v>
      </c>
      <c r="BL949" s="1">
        <v>125</v>
      </c>
      <c r="BM949" s="1" t="s">
        <v>204</v>
      </c>
      <c r="BN949" s="1" t="s">
        <v>213</v>
      </c>
      <c r="BP949" s="1" t="s">
        <v>204</v>
      </c>
      <c r="BR949" s="1" t="str">
        <f>"19192150221002"</f>
        <v>19192150221002</v>
      </c>
      <c r="BT949" s="1" t="s">
        <v>10389</v>
      </c>
      <c r="BX949" s="1">
        <v>299</v>
      </c>
      <c r="BY949" s="1">
        <v>299</v>
      </c>
      <c r="BZ949" s="1">
        <v>299</v>
      </c>
      <c r="CB949" s="1" t="str">
        <f t="shared" ref="CB949:CC949" si="731">"0"</f>
        <v>0</v>
      </c>
      <c r="CC949" s="1" t="str">
        <f t="shared" si="731"/>
        <v>0</v>
      </c>
      <c r="CD949" s="1">
        <v>8</v>
      </c>
      <c r="CE949" s="1">
        <v>6</v>
      </c>
      <c r="CG949" s="1" t="s">
        <v>2121</v>
      </c>
      <c r="CH949" s="1" t="s">
        <v>219</v>
      </c>
      <c r="CK949" s="1" t="s">
        <v>1358</v>
      </c>
      <c r="CL949" s="1" t="s">
        <v>219</v>
      </c>
      <c r="CO949" s="1" t="s">
        <v>1360</v>
      </c>
      <c r="CP949" s="1" t="s">
        <v>219</v>
      </c>
      <c r="CS949" s="1" t="s">
        <v>379</v>
      </c>
      <c r="CT949" s="1" t="s">
        <v>219</v>
      </c>
      <c r="CX949" s="1" t="s">
        <v>224</v>
      </c>
      <c r="DB949" s="1" t="s">
        <v>224</v>
      </c>
      <c r="DE949" s="1" t="s">
        <v>10390</v>
      </c>
      <c r="DF949" s="1" t="s">
        <v>219</v>
      </c>
      <c r="DJ949" s="1" t="s">
        <v>224</v>
      </c>
      <c r="DS949" s="1" t="s">
        <v>230</v>
      </c>
      <c r="DW949" s="1" t="s">
        <v>230</v>
      </c>
      <c r="EA949" s="1" t="s">
        <v>230</v>
      </c>
      <c r="EE949" s="1" t="s">
        <v>230</v>
      </c>
      <c r="EI949" s="1" t="s">
        <v>230</v>
      </c>
      <c r="EL949" s="1" t="s">
        <v>542</v>
      </c>
      <c r="EM949" s="1" t="s">
        <v>232</v>
      </c>
      <c r="EN949" s="1" t="s">
        <v>210</v>
      </c>
      <c r="EO949" s="1" t="s">
        <v>234</v>
      </c>
      <c r="ER949" s="1" t="s">
        <v>351</v>
      </c>
      <c r="EW949" s="1" t="s">
        <v>10391</v>
      </c>
      <c r="EY949" s="1" t="s">
        <v>242</v>
      </c>
      <c r="EZ949" s="1" t="s">
        <v>287</v>
      </c>
      <c r="FD949" s="1" t="s">
        <v>3287</v>
      </c>
      <c r="FE949" s="1" t="s">
        <v>247</v>
      </c>
      <c r="FF949" s="1" t="s">
        <v>1113</v>
      </c>
      <c r="FH949" s="1" t="s">
        <v>249</v>
      </c>
      <c r="FL949" s="1" t="s">
        <v>358</v>
      </c>
      <c r="FM949" s="1" t="s">
        <v>252</v>
      </c>
      <c r="FN949" s="1" t="s">
        <v>213</v>
      </c>
      <c r="FO949" s="1" t="s">
        <v>213</v>
      </c>
      <c r="FQ949" s="1" t="s">
        <v>10392</v>
      </c>
      <c r="FR949" s="1" t="s">
        <v>210</v>
      </c>
      <c r="FS949" s="1" t="s">
        <v>10393</v>
      </c>
      <c r="FT949" s="1" t="s">
        <v>295</v>
      </c>
      <c r="FU949" s="1" t="s">
        <v>204</v>
      </c>
      <c r="FW949" s="1" t="s">
        <v>9649</v>
      </c>
      <c r="FX949" s="1">
        <v>22300</v>
      </c>
      <c r="FY949" s="1" t="s">
        <v>9650</v>
      </c>
      <c r="FZ949" s="1" t="s">
        <v>10394</v>
      </c>
      <c r="GA949" s="1">
        <v>224002</v>
      </c>
      <c r="GB949" s="1" t="s">
        <v>10395</v>
      </c>
      <c r="GE949" s="1" t="s">
        <v>210</v>
      </c>
      <c r="GH949" s="1" t="s">
        <v>421</v>
      </c>
      <c r="GI949" s="1" t="s">
        <v>213</v>
      </c>
      <c r="GJ949" s="1" t="s">
        <v>260</v>
      </c>
      <c r="GK949" s="1" t="s">
        <v>210</v>
      </c>
      <c r="GL949" s="2">
        <v>41976</v>
      </c>
    </row>
    <row r="950" spans="1:195">
      <c r="A950" s="1">
        <v>45000</v>
      </c>
      <c r="B950" s="1" t="s">
        <v>195</v>
      </c>
      <c r="C950" s="1" t="str">
        <f>"08633095"</f>
        <v>08633095</v>
      </c>
      <c r="D950" s="1" t="s">
        <v>196</v>
      </c>
      <c r="F950" s="1" t="str">
        <f>"8040"</f>
        <v>8040</v>
      </c>
      <c r="G950" s="2">
        <v>41793</v>
      </c>
      <c r="H950" s="1">
        <v>45000</v>
      </c>
      <c r="I950" s="1">
        <v>45000</v>
      </c>
      <c r="J950" s="1">
        <v>45000</v>
      </c>
      <c r="K950" s="2">
        <v>41791</v>
      </c>
      <c r="L950" s="1">
        <v>277</v>
      </c>
      <c r="M950" s="2">
        <v>42067</v>
      </c>
      <c r="N950" s="1">
        <v>277</v>
      </c>
      <c r="O950" s="2">
        <v>42067</v>
      </c>
      <c r="P950" s="1">
        <v>37905</v>
      </c>
      <c r="Q950" s="1" t="s">
        <v>197</v>
      </c>
      <c r="R950" s="2">
        <v>42069</v>
      </c>
      <c r="S950" s="1">
        <v>371099</v>
      </c>
      <c r="U950" s="1">
        <v>5610</v>
      </c>
      <c r="V950" s="1" t="s">
        <v>7295</v>
      </c>
      <c r="W950" s="1" t="s">
        <v>425</v>
      </c>
      <c r="X950" s="1" t="s">
        <v>10396</v>
      </c>
      <c r="Y950" s="1">
        <v>8</v>
      </c>
      <c r="Z950" s="1" t="s">
        <v>249</v>
      </c>
      <c r="AA950" s="1" t="s">
        <v>400</v>
      </c>
      <c r="AB950" s="1">
        <v>60637</v>
      </c>
      <c r="AE950" s="1" t="s">
        <v>10397</v>
      </c>
      <c r="AF950" s="1" t="s">
        <v>402</v>
      </c>
      <c r="AG950" s="1" t="s">
        <v>213</v>
      </c>
      <c r="AH950" s="1" t="s">
        <v>403</v>
      </c>
      <c r="AI950" s="1" t="s">
        <v>310</v>
      </c>
      <c r="AJ950" s="1" t="s">
        <v>562</v>
      </c>
      <c r="AK950" s="1" t="s">
        <v>270</v>
      </c>
      <c r="AL950" s="1">
        <v>5</v>
      </c>
      <c r="AM950" s="1">
        <v>2</v>
      </c>
      <c r="AN950" s="1">
        <v>2</v>
      </c>
      <c r="AO950" s="1">
        <v>0</v>
      </c>
      <c r="AP950" s="1" t="s">
        <v>209</v>
      </c>
      <c r="AR950" s="1" t="s">
        <v>2275</v>
      </c>
      <c r="AS950" s="1" t="s">
        <v>213</v>
      </c>
      <c r="AT950" s="1" t="s">
        <v>271</v>
      </c>
      <c r="AV950" s="1">
        <v>2</v>
      </c>
      <c r="AW950" s="1" t="s">
        <v>204</v>
      </c>
      <c r="AX950" s="1" t="s">
        <v>270</v>
      </c>
      <c r="AZ950" s="1">
        <v>1131.9000000000001</v>
      </c>
      <c r="BA950" s="1">
        <v>2012</v>
      </c>
      <c r="BE950" s="1">
        <v>1400</v>
      </c>
      <c r="BF950" s="1">
        <v>1</v>
      </c>
      <c r="BG950" s="1">
        <v>0</v>
      </c>
      <c r="BJ950" s="1">
        <v>80</v>
      </c>
      <c r="BK950" s="1">
        <v>100</v>
      </c>
      <c r="BL950" s="1">
        <v>150</v>
      </c>
      <c r="BM950" s="1" t="s">
        <v>204</v>
      </c>
      <c r="BN950" s="1" t="s">
        <v>213</v>
      </c>
      <c r="BO950" s="1">
        <v>40</v>
      </c>
      <c r="BP950" s="1" t="s">
        <v>204</v>
      </c>
      <c r="BR950" s="1" t="str">
        <f>"20151100301003"</f>
        <v>20151100301003</v>
      </c>
      <c r="BT950" s="1" t="s">
        <v>10398</v>
      </c>
      <c r="BX950" s="1">
        <v>299</v>
      </c>
      <c r="BY950" s="1">
        <v>299</v>
      </c>
      <c r="BZ950" s="1">
        <v>299</v>
      </c>
      <c r="CB950" s="1" t="str">
        <f>"0"</f>
        <v>0</v>
      </c>
      <c r="CC950" s="1" t="str">
        <f>"200"</f>
        <v>200</v>
      </c>
      <c r="CD950" s="1">
        <v>0</v>
      </c>
      <c r="CE950" s="1">
        <v>5610</v>
      </c>
      <c r="CG950" s="1" t="s">
        <v>437</v>
      </c>
      <c r="CH950" s="1" t="s">
        <v>219</v>
      </c>
      <c r="CI950" s="1" t="s">
        <v>438</v>
      </c>
      <c r="CK950" s="1" t="s">
        <v>757</v>
      </c>
      <c r="CL950" s="1" t="s">
        <v>219</v>
      </c>
      <c r="CM950" s="1" t="s">
        <v>438</v>
      </c>
      <c r="CO950" s="1" t="s">
        <v>1854</v>
      </c>
      <c r="CP950" s="1" t="s">
        <v>219</v>
      </c>
      <c r="CQ950" s="1" t="s">
        <v>438</v>
      </c>
      <c r="CS950" s="1" t="s">
        <v>378</v>
      </c>
      <c r="CT950" s="1" t="s">
        <v>219</v>
      </c>
      <c r="CU950" s="1" t="s">
        <v>438</v>
      </c>
      <c r="CX950" s="1" t="s">
        <v>224</v>
      </c>
      <c r="DB950" s="1" t="s">
        <v>224</v>
      </c>
      <c r="DE950" s="1" t="s">
        <v>2841</v>
      </c>
      <c r="DF950" s="1" t="s">
        <v>219</v>
      </c>
      <c r="DG950" s="1" t="s">
        <v>438</v>
      </c>
      <c r="DJ950" s="1" t="s">
        <v>224</v>
      </c>
      <c r="DS950" s="1" t="s">
        <v>230</v>
      </c>
      <c r="DW950" s="1" t="s">
        <v>230</v>
      </c>
      <c r="EA950" s="1" t="s">
        <v>230</v>
      </c>
      <c r="EE950" s="1" t="s">
        <v>230</v>
      </c>
      <c r="EI950" s="1" t="s">
        <v>230</v>
      </c>
      <c r="EL950" s="1" t="s">
        <v>413</v>
      </c>
      <c r="EM950" s="1" t="s">
        <v>232</v>
      </c>
      <c r="EN950" s="1" t="s">
        <v>282</v>
      </c>
      <c r="EO950" s="1" t="s">
        <v>234</v>
      </c>
      <c r="ER950" s="1" t="s">
        <v>544</v>
      </c>
      <c r="ES950" s="1" t="s">
        <v>10399</v>
      </c>
      <c r="EW950" s="1" t="s">
        <v>7897</v>
      </c>
      <c r="EZ950" s="1" t="s">
        <v>287</v>
      </c>
      <c r="FB950" s="1" t="s">
        <v>734</v>
      </c>
      <c r="FD950" s="1" t="s">
        <v>495</v>
      </c>
      <c r="FE950" s="1" t="s">
        <v>247</v>
      </c>
      <c r="FF950" s="1" t="s">
        <v>248</v>
      </c>
      <c r="FH950" s="1" t="s">
        <v>249</v>
      </c>
      <c r="FJ950" s="1" t="s">
        <v>2046</v>
      </c>
      <c r="FL950" s="1" t="s">
        <v>358</v>
      </c>
      <c r="FM950" s="1" t="s">
        <v>252</v>
      </c>
      <c r="FN950" s="1" t="s">
        <v>213</v>
      </c>
      <c r="FO950" s="1" t="s">
        <v>213</v>
      </c>
      <c r="FQ950" s="1" t="s">
        <v>10400</v>
      </c>
      <c r="FR950" s="1" t="s">
        <v>360</v>
      </c>
      <c r="FS950" s="1" t="s">
        <v>10401</v>
      </c>
      <c r="FT950" s="1" t="s">
        <v>295</v>
      </c>
      <c r="FU950" s="1" t="s">
        <v>204</v>
      </c>
      <c r="FW950" s="1" t="s">
        <v>1637</v>
      </c>
      <c r="FX950" s="1">
        <v>12293</v>
      </c>
      <c r="FY950" s="1" t="s">
        <v>10402</v>
      </c>
      <c r="FZ950" s="1" t="s">
        <v>10403</v>
      </c>
      <c r="GA950" s="1">
        <v>107531</v>
      </c>
      <c r="GB950" s="1" t="s">
        <v>10404</v>
      </c>
      <c r="GC950" s="1">
        <v>117948</v>
      </c>
      <c r="GD950" s="1" t="s">
        <v>10405</v>
      </c>
      <c r="GE950" s="1" t="s">
        <v>1333</v>
      </c>
      <c r="GH950" s="1" t="s">
        <v>421</v>
      </c>
      <c r="GI950" s="1" t="s">
        <v>213</v>
      </c>
      <c r="GJ950" s="1" t="s">
        <v>260</v>
      </c>
      <c r="GK950" s="1" t="s">
        <v>210</v>
      </c>
      <c r="GL950" s="2">
        <v>42069</v>
      </c>
      <c r="GM950" s="1" t="s">
        <v>10406</v>
      </c>
    </row>
    <row r="951" spans="1:195">
      <c r="A951" s="1">
        <v>96000</v>
      </c>
      <c r="B951" s="1" t="s">
        <v>195</v>
      </c>
      <c r="C951" s="1" t="str">
        <f>"08618975"</f>
        <v>08618975</v>
      </c>
      <c r="D951" s="1" t="s">
        <v>196</v>
      </c>
      <c r="F951" s="1" t="str">
        <f>"30"</f>
        <v>30</v>
      </c>
      <c r="G951" s="2">
        <v>41778</v>
      </c>
      <c r="H951" s="1">
        <v>160000</v>
      </c>
      <c r="I951" s="1">
        <v>105000</v>
      </c>
      <c r="J951" s="1">
        <v>96000</v>
      </c>
      <c r="K951" s="2">
        <v>41778</v>
      </c>
      <c r="L951" s="1">
        <v>182</v>
      </c>
      <c r="M951" s="2">
        <v>41959</v>
      </c>
      <c r="N951" s="1">
        <v>182</v>
      </c>
      <c r="O951" s="2">
        <v>41959</v>
      </c>
      <c r="P951" s="1">
        <v>2626</v>
      </c>
      <c r="Q951" s="1" t="s">
        <v>197</v>
      </c>
      <c r="R951" s="2">
        <v>42013</v>
      </c>
      <c r="S951" s="1">
        <v>20456</v>
      </c>
      <c r="U951" s="1">
        <v>56</v>
      </c>
      <c r="V951" s="1" t="s">
        <v>6088</v>
      </c>
      <c r="W951" s="1" t="s">
        <v>264</v>
      </c>
      <c r="X951" s="1">
        <v>56</v>
      </c>
      <c r="Y951" s="1">
        <v>6</v>
      </c>
      <c r="Z951" s="1" t="s">
        <v>249</v>
      </c>
      <c r="AA951" s="1" t="s">
        <v>1628</v>
      </c>
      <c r="AB951" s="1">
        <v>60030</v>
      </c>
      <c r="AE951" s="1" t="s">
        <v>10407</v>
      </c>
      <c r="AF951" s="1">
        <v>2002</v>
      </c>
      <c r="AG951" s="1" t="s">
        <v>204</v>
      </c>
      <c r="AH951" s="1" t="s">
        <v>1630</v>
      </c>
      <c r="AI951" s="1" t="s">
        <v>509</v>
      </c>
      <c r="AJ951" s="1" t="s">
        <v>1263</v>
      </c>
      <c r="AL951" s="1">
        <v>7</v>
      </c>
      <c r="AM951" s="1">
        <v>2</v>
      </c>
      <c r="AN951" s="1">
        <v>2</v>
      </c>
      <c r="AO951" s="1">
        <v>0</v>
      </c>
      <c r="AP951" s="1" t="s">
        <v>667</v>
      </c>
      <c r="AR951" s="1" t="s">
        <v>209</v>
      </c>
      <c r="AS951" s="1" t="s">
        <v>213</v>
      </c>
      <c r="AT951" s="1" t="s">
        <v>211</v>
      </c>
      <c r="AU951" s="1">
        <v>2</v>
      </c>
      <c r="AW951" s="1" t="s">
        <v>204</v>
      </c>
      <c r="AX951" s="1" t="s">
        <v>212</v>
      </c>
      <c r="AZ951" s="1">
        <v>2735.65</v>
      </c>
      <c r="BA951" s="1">
        <v>2013</v>
      </c>
      <c r="BB951" s="1" t="s">
        <v>405</v>
      </c>
      <c r="BE951" s="1">
        <v>1662</v>
      </c>
      <c r="BF951" s="1">
        <v>1</v>
      </c>
      <c r="BG951" s="1">
        <v>0</v>
      </c>
      <c r="BL951" s="1">
        <v>212</v>
      </c>
      <c r="BM951" s="1" t="s">
        <v>204</v>
      </c>
      <c r="BN951" s="1" t="s">
        <v>213</v>
      </c>
      <c r="BO951" s="1">
        <v>999</v>
      </c>
      <c r="BP951" s="1" t="s">
        <v>204</v>
      </c>
      <c r="BR951" s="1" t="str">
        <f>"06282080170000"</f>
        <v>06282080170000</v>
      </c>
      <c r="BT951" s="1" t="s">
        <v>10408</v>
      </c>
      <c r="BU951" s="1" t="s">
        <v>5614</v>
      </c>
      <c r="BV951" s="1" t="s">
        <v>4025</v>
      </c>
      <c r="BW951" s="1" t="s">
        <v>4026</v>
      </c>
      <c r="BX951" s="1">
        <v>116</v>
      </c>
      <c r="BY951" s="1">
        <v>116</v>
      </c>
      <c r="BZ951" s="1">
        <v>116</v>
      </c>
      <c r="CB951" s="1" t="str">
        <f t="shared" ref="CB951:CC951" si="732">""</f>
        <v/>
      </c>
      <c r="CC951" s="1" t="str">
        <f t="shared" si="732"/>
        <v/>
      </c>
      <c r="CG951" s="1" t="s">
        <v>1533</v>
      </c>
      <c r="CH951" s="1" t="s">
        <v>219</v>
      </c>
      <c r="CI951" s="1" t="s">
        <v>220</v>
      </c>
      <c r="CJ951" s="1" t="s">
        <v>463</v>
      </c>
      <c r="CK951" s="1" t="s">
        <v>315</v>
      </c>
      <c r="CL951" s="1" t="s">
        <v>219</v>
      </c>
      <c r="CM951" s="1" t="s">
        <v>220</v>
      </c>
      <c r="CN951" s="1" t="s">
        <v>343</v>
      </c>
      <c r="CO951" s="1" t="s">
        <v>318</v>
      </c>
      <c r="CP951" s="1" t="s">
        <v>219</v>
      </c>
      <c r="CQ951" s="1" t="s">
        <v>220</v>
      </c>
      <c r="CR951" s="1" t="s">
        <v>463</v>
      </c>
      <c r="CS951" s="1" t="s">
        <v>346</v>
      </c>
      <c r="CT951" s="1" t="s">
        <v>219</v>
      </c>
      <c r="CU951" s="1" t="s">
        <v>220</v>
      </c>
      <c r="CV951" s="1" t="s">
        <v>343</v>
      </c>
      <c r="CX951" s="1" t="s">
        <v>224</v>
      </c>
      <c r="DB951" s="1" t="s">
        <v>224</v>
      </c>
      <c r="DE951" s="1" t="s">
        <v>379</v>
      </c>
      <c r="DF951" s="1" t="s">
        <v>219</v>
      </c>
      <c r="DG951" s="1" t="s">
        <v>226</v>
      </c>
      <c r="DI951" s="1" t="s">
        <v>315</v>
      </c>
      <c r="DJ951" s="1" t="s">
        <v>822</v>
      </c>
      <c r="DK951" s="1" t="s">
        <v>220</v>
      </c>
      <c r="DL951" s="1" t="s">
        <v>463</v>
      </c>
      <c r="DM951" s="1" t="s">
        <v>1005</v>
      </c>
      <c r="DR951" s="1" t="s">
        <v>318</v>
      </c>
      <c r="DS951" s="1" t="s">
        <v>822</v>
      </c>
      <c r="DT951" s="1" t="s">
        <v>220</v>
      </c>
      <c r="DW951" s="1" t="s">
        <v>230</v>
      </c>
      <c r="EA951" s="1" t="s">
        <v>230</v>
      </c>
      <c r="EE951" s="1" t="s">
        <v>230</v>
      </c>
      <c r="EI951" s="1" t="s">
        <v>230</v>
      </c>
      <c r="EL951" s="1" t="s">
        <v>466</v>
      </c>
      <c r="EM951" s="1" t="s">
        <v>319</v>
      </c>
      <c r="EN951" s="1" t="s">
        <v>282</v>
      </c>
      <c r="EO951" s="1" t="s">
        <v>234</v>
      </c>
      <c r="EQ951" s="1" t="s">
        <v>468</v>
      </c>
      <c r="ER951" s="1" t="s">
        <v>544</v>
      </c>
      <c r="ES951" s="1" t="s">
        <v>824</v>
      </c>
      <c r="EV951" s="1" t="s">
        <v>240</v>
      </c>
      <c r="EW951" s="1" t="s">
        <v>6385</v>
      </c>
      <c r="EZ951" s="1" t="s">
        <v>1005</v>
      </c>
      <c r="FB951" s="1" t="s">
        <v>289</v>
      </c>
      <c r="FD951" s="1" t="s">
        <v>246</v>
      </c>
      <c r="FE951" s="1" t="s">
        <v>355</v>
      </c>
      <c r="FF951" s="1" t="s">
        <v>248</v>
      </c>
      <c r="FH951" s="1" t="s">
        <v>249</v>
      </c>
      <c r="FL951" s="1" t="s">
        <v>358</v>
      </c>
      <c r="FM951" s="1" t="s">
        <v>252</v>
      </c>
      <c r="FN951" s="1" t="s">
        <v>213</v>
      </c>
      <c r="FO951" s="1" t="s">
        <v>213</v>
      </c>
      <c r="FQ951" s="1" t="s">
        <v>359</v>
      </c>
      <c r="FR951" s="1" t="s">
        <v>360</v>
      </c>
      <c r="FS951" s="1" t="s">
        <v>10409</v>
      </c>
      <c r="FT951" s="1" t="s">
        <v>295</v>
      </c>
      <c r="FU951" s="1" t="s">
        <v>204</v>
      </c>
      <c r="FW951" s="1" t="s">
        <v>1637</v>
      </c>
      <c r="FX951" s="1">
        <v>2626</v>
      </c>
      <c r="FY951" s="1" t="s">
        <v>1638</v>
      </c>
      <c r="FZ951" s="1" t="s">
        <v>10410</v>
      </c>
      <c r="GA951" s="1">
        <v>18792</v>
      </c>
      <c r="GB951" s="1" t="s">
        <v>10411</v>
      </c>
      <c r="GE951" s="1" t="s">
        <v>1256</v>
      </c>
      <c r="GH951" s="1" t="s">
        <v>589</v>
      </c>
      <c r="GI951" s="1" t="s">
        <v>213</v>
      </c>
      <c r="GJ951" s="1" t="s">
        <v>260</v>
      </c>
      <c r="GK951" s="1" t="s">
        <v>210</v>
      </c>
      <c r="GL951" s="2">
        <v>42015</v>
      </c>
      <c r="GM951" s="1" t="s">
        <v>10412</v>
      </c>
    </row>
    <row r="952" spans="1:195">
      <c r="A952" s="1">
        <v>267370</v>
      </c>
      <c r="B952" s="1" t="s">
        <v>195</v>
      </c>
      <c r="C952" s="1" t="str">
        <f>"08619611"</f>
        <v>08619611</v>
      </c>
      <c r="D952" s="1" t="s">
        <v>196</v>
      </c>
      <c r="F952" s="1" t="str">
        <f>"507"</f>
        <v>507</v>
      </c>
      <c r="G952" s="2">
        <v>41778</v>
      </c>
      <c r="H952" s="1">
        <v>228490</v>
      </c>
      <c r="I952" s="1">
        <v>236160</v>
      </c>
      <c r="J952" s="1">
        <v>267370</v>
      </c>
      <c r="K952" s="2">
        <v>41778</v>
      </c>
      <c r="L952" s="1">
        <v>56</v>
      </c>
      <c r="M952" s="2">
        <v>41833</v>
      </c>
      <c r="N952" s="1">
        <v>56</v>
      </c>
      <c r="O952" s="2">
        <v>41833</v>
      </c>
      <c r="P952" s="1" t="s">
        <v>1039</v>
      </c>
      <c r="Q952" s="1" t="s">
        <v>197</v>
      </c>
      <c r="R952" s="2">
        <v>41975</v>
      </c>
      <c r="S952" s="1">
        <v>99999</v>
      </c>
      <c r="U952" s="1">
        <v>2935</v>
      </c>
      <c r="V952" s="1" t="s">
        <v>10323</v>
      </c>
      <c r="W952" s="1" t="s">
        <v>1056</v>
      </c>
      <c r="Y952" s="1">
        <v>6</v>
      </c>
      <c r="Z952" s="1" t="s">
        <v>370</v>
      </c>
      <c r="AA952" s="1" t="s">
        <v>1123</v>
      </c>
      <c r="AB952" s="1">
        <v>60502</v>
      </c>
      <c r="AD952" s="1" t="s">
        <v>10324</v>
      </c>
      <c r="AE952" s="1" t="s">
        <v>10413</v>
      </c>
      <c r="AF952" s="1">
        <v>2014</v>
      </c>
      <c r="AG952" s="1" t="s">
        <v>204</v>
      </c>
      <c r="AH952" s="1" t="s">
        <v>1126</v>
      </c>
      <c r="AI952" s="1" t="s">
        <v>665</v>
      </c>
      <c r="AJ952" s="1" t="s">
        <v>949</v>
      </c>
      <c r="AK952" s="1" t="s">
        <v>10414</v>
      </c>
      <c r="AL952" s="1">
        <v>6</v>
      </c>
      <c r="AM952" s="1">
        <v>2</v>
      </c>
      <c r="AN952" s="1">
        <v>2</v>
      </c>
      <c r="AO952" s="1">
        <v>1</v>
      </c>
      <c r="AP952" s="1" t="s">
        <v>209</v>
      </c>
      <c r="AQ952" s="1">
        <v>0</v>
      </c>
      <c r="AR952" s="1" t="s">
        <v>2275</v>
      </c>
      <c r="AS952" s="1" t="s">
        <v>204</v>
      </c>
      <c r="AT952" s="1" t="s">
        <v>211</v>
      </c>
      <c r="AU952" s="1">
        <v>2</v>
      </c>
      <c r="AW952" s="1" t="s">
        <v>204</v>
      </c>
      <c r="AX952" s="1" t="s">
        <v>212</v>
      </c>
      <c r="AZ952" s="1" t="s">
        <v>751</v>
      </c>
      <c r="BA952" s="1">
        <v>2013</v>
      </c>
      <c r="BE952" s="1">
        <v>1777</v>
      </c>
      <c r="BF952" s="1">
        <v>2</v>
      </c>
      <c r="BG952" s="1">
        <v>0</v>
      </c>
      <c r="BL952" s="1">
        <v>170</v>
      </c>
      <c r="BM952" s="1" t="s">
        <v>204</v>
      </c>
      <c r="BN952" s="1" t="s">
        <v>213</v>
      </c>
      <c r="BO952" s="1">
        <v>0</v>
      </c>
      <c r="BP952" s="1" t="s">
        <v>213</v>
      </c>
      <c r="BQ952" s="2">
        <v>41992</v>
      </c>
      <c r="BR952" s="1" t="str">
        <f>"1235445002"</f>
        <v>1235445002</v>
      </c>
      <c r="BT952" s="1" t="s">
        <v>10415</v>
      </c>
      <c r="BU952" s="1" t="s">
        <v>6403</v>
      </c>
      <c r="BV952" s="1" t="s">
        <v>6404</v>
      </c>
      <c r="BW952" s="1" t="s">
        <v>6405</v>
      </c>
      <c r="BX952" s="1">
        <v>101</v>
      </c>
      <c r="BY952" s="1">
        <v>101</v>
      </c>
      <c r="BZ952" s="1">
        <v>101</v>
      </c>
      <c r="CB952" s="1" t="str">
        <f>"3"</f>
        <v>3</v>
      </c>
      <c r="CC952" s="1" t="str">
        <f>"0"</f>
        <v>0</v>
      </c>
      <c r="CD952" s="1">
        <v>34</v>
      </c>
      <c r="CE952" s="1">
        <v>0</v>
      </c>
      <c r="CH952" s="1" t="s">
        <v>224</v>
      </c>
      <c r="CK952" s="1" t="s">
        <v>315</v>
      </c>
      <c r="CL952" s="1" t="s">
        <v>277</v>
      </c>
      <c r="CM952" s="1" t="s">
        <v>220</v>
      </c>
      <c r="CP952" s="1" t="s">
        <v>224</v>
      </c>
      <c r="CS952" s="1" t="s">
        <v>346</v>
      </c>
      <c r="CT952" s="1" t="s">
        <v>277</v>
      </c>
      <c r="CU952" s="1" t="s">
        <v>220</v>
      </c>
      <c r="CX952" s="1" t="s">
        <v>224</v>
      </c>
      <c r="DB952" s="1" t="s">
        <v>224</v>
      </c>
      <c r="DE952" s="1" t="s">
        <v>630</v>
      </c>
      <c r="DF952" s="1" t="s">
        <v>219</v>
      </c>
      <c r="DI952" s="1" t="s">
        <v>228</v>
      </c>
      <c r="DJ952" s="1" t="s">
        <v>219</v>
      </c>
      <c r="DM952" s="1" t="s">
        <v>1548</v>
      </c>
      <c r="DN952" s="1" t="s">
        <v>1770</v>
      </c>
      <c r="DO952" s="1" t="s">
        <v>464</v>
      </c>
      <c r="DR952" s="1" t="s">
        <v>2277</v>
      </c>
      <c r="DS952" s="1" t="s">
        <v>219</v>
      </c>
      <c r="DV952" s="1" t="s">
        <v>6407</v>
      </c>
      <c r="DW952" s="1" t="s">
        <v>277</v>
      </c>
      <c r="DX952" s="1" t="s">
        <v>342</v>
      </c>
      <c r="DZ952" s="1" t="s">
        <v>318</v>
      </c>
      <c r="EA952" s="1" t="s">
        <v>277</v>
      </c>
      <c r="EB952" s="1" t="s">
        <v>220</v>
      </c>
      <c r="EE952" s="1" t="s">
        <v>230</v>
      </c>
      <c r="EI952" s="1" t="s">
        <v>230</v>
      </c>
      <c r="EL952" s="1" t="s">
        <v>760</v>
      </c>
      <c r="EM952" s="1" t="s">
        <v>319</v>
      </c>
      <c r="EN952" s="1" t="s">
        <v>282</v>
      </c>
      <c r="EO952" s="1" t="s">
        <v>234</v>
      </c>
      <c r="EQ952" s="1" t="s">
        <v>8369</v>
      </c>
      <c r="ER952" s="1" t="s">
        <v>1249</v>
      </c>
      <c r="ES952" s="1" t="s">
        <v>322</v>
      </c>
      <c r="EU952" s="1" t="s">
        <v>285</v>
      </c>
      <c r="EW952" s="1" t="s">
        <v>867</v>
      </c>
      <c r="EY952" s="1" t="s">
        <v>242</v>
      </c>
      <c r="EZ952" s="1" t="s">
        <v>10416</v>
      </c>
      <c r="FA952" s="1" t="s">
        <v>6548</v>
      </c>
      <c r="FD952" s="1" t="s">
        <v>246</v>
      </c>
      <c r="FE952" s="1" t="s">
        <v>472</v>
      </c>
      <c r="FF952" s="1" t="s">
        <v>248</v>
      </c>
      <c r="FH952" s="1" t="s">
        <v>550</v>
      </c>
      <c r="FJ952" s="1" t="s">
        <v>518</v>
      </c>
      <c r="FL952" s="1" t="s">
        <v>358</v>
      </c>
      <c r="FM952" s="1" t="s">
        <v>252</v>
      </c>
      <c r="FN952" s="1" t="s">
        <v>213</v>
      </c>
      <c r="FO952" s="1" t="s">
        <v>213</v>
      </c>
      <c r="FQ952" s="1" t="s">
        <v>3853</v>
      </c>
      <c r="FR952" s="1" t="s">
        <v>652</v>
      </c>
      <c r="FS952" s="1" t="s">
        <v>10331</v>
      </c>
      <c r="FT952" s="1" t="s">
        <v>3855</v>
      </c>
      <c r="FU952" s="1" t="s">
        <v>204</v>
      </c>
      <c r="FV952" s="1" t="s">
        <v>10328</v>
      </c>
      <c r="FW952" s="1" t="s">
        <v>3857</v>
      </c>
      <c r="FX952" s="1">
        <v>23223</v>
      </c>
      <c r="FY952" s="1" t="s">
        <v>3858</v>
      </c>
      <c r="FZ952" s="1" t="s">
        <v>3859</v>
      </c>
      <c r="GA952" s="1">
        <v>236300</v>
      </c>
      <c r="GC952" s="1">
        <v>210778</v>
      </c>
      <c r="GE952" s="1" t="s">
        <v>480</v>
      </c>
      <c r="GI952" s="1" t="s">
        <v>204</v>
      </c>
      <c r="GJ952" s="1" t="s">
        <v>300</v>
      </c>
      <c r="GK952" s="1" t="s">
        <v>210</v>
      </c>
      <c r="GL952" s="2">
        <v>41975</v>
      </c>
      <c r="GM952" s="1" t="s">
        <v>10417</v>
      </c>
    </row>
    <row r="953" spans="1:195">
      <c r="A953" s="1">
        <v>147500</v>
      </c>
      <c r="B953" s="1" t="s">
        <v>195</v>
      </c>
      <c r="C953" s="1" t="str">
        <f>"08621336"</f>
        <v>08621336</v>
      </c>
      <c r="D953" s="1" t="s">
        <v>196</v>
      </c>
      <c r="F953" s="1" t="str">
        <f>"30"</f>
        <v>30</v>
      </c>
      <c r="G953" s="2">
        <v>41780</v>
      </c>
      <c r="H953" s="1">
        <v>169750</v>
      </c>
      <c r="I953" s="1">
        <v>153750</v>
      </c>
      <c r="J953" s="1">
        <v>147500</v>
      </c>
      <c r="K953" s="2">
        <v>41780</v>
      </c>
      <c r="L953" s="1">
        <v>224</v>
      </c>
      <c r="M953" s="2">
        <v>42003</v>
      </c>
      <c r="N953" s="1">
        <v>224</v>
      </c>
      <c r="O953" s="2">
        <v>42003</v>
      </c>
      <c r="P953" s="1">
        <v>8103</v>
      </c>
      <c r="Q953" s="1" t="s">
        <v>197</v>
      </c>
      <c r="R953" s="2">
        <v>42047</v>
      </c>
      <c r="S953" s="1">
        <v>82272</v>
      </c>
      <c r="U953" s="1">
        <v>92</v>
      </c>
      <c r="V953" s="1" t="s">
        <v>10418</v>
      </c>
      <c r="W953" s="1" t="s">
        <v>304</v>
      </c>
      <c r="Y953" s="1">
        <v>4</v>
      </c>
      <c r="Z953" s="1" t="s">
        <v>370</v>
      </c>
      <c r="AA953" s="1" t="s">
        <v>1834</v>
      </c>
      <c r="AB953" s="1">
        <v>60030</v>
      </c>
      <c r="AD953" s="1" t="s">
        <v>10419</v>
      </c>
      <c r="AE953" s="1" t="s">
        <v>10420</v>
      </c>
      <c r="AF953" s="1">
        <v>2000</v>
      </c>
      <c r="AG953" s="1" t="s">
        <v>204</v>
      </c>
      <c r="AH953" s="1" t="s">
        <v>1837</v>
      </c>
      <c r="AI953" s="1" t="s">
        <v>509</v>
      </c>
      <c r="AJ953" s="1" t="s">
        <v>1263</v>
      </c>
      <c r="AK953" s="1" t="s">
        <v>3188</v>
      </c>
      <c r="AL953" s="1">
        <v>6</v>
      </c>
      <c r="AM953" s="1">
        <v>2</v>
      </c>
      <c r="AN953" s="1">
        <v>2</v>
      </c>
      <c r="AO953" s="1">
        <v>0</v>
      </c>
      <c r="AP953" s="1" t="s">
        <v>209</v>
      </c>
      <c r="AR953" s="1" t="s">
        <v>210</v>
      </c>
      <c r="AS953" s="1" t="s">
        <v>204</v>
      </c>
      <c r="AT953" s="1" t="s">
        <v>211</v>
      </c>
      <c r="AU953" s="1">
        <v>2</v>
      </c>
      <c r="AW953" s="1" t="s">
        <v>204</v>
      </c>
      <c r="AX953" s="1" t="s">
        <v>212</v>
      </c>
      <c r="AZ953" s="1">
        <v>6512.66</v>
      </c>
      <c r="BA953" s="1">
        <v>2013</v>
      </c>
      <c r="BB953" s="1" t="s">
        <v>210</v>
      </c>
      <c r="BE953" s="1">
        <v>1254</v>
      </c>
      <c r="BF953" s="1">
        <v>1</v>
      </c>
      <c r="BG953" s="1">
        <v>0</v>
      </c>
      <c r="BL953" s="1">
        <v>287</v>
      </c>
      <c r="BM953" s="1" t="s">
        <v>204</v>
      </c>
      <c r="BN953" s="1" t="s">
        <v>213</v>
      </c>
      <c r="BO953" s="1">
        <v>0</v>
      </c>
      <c r="BP953" s="1" t="s">
        <v>204</v>
      </c>
      <c r="BR953" s="1" t="str">
        <f>"06141010580000"</f>
        <v>06141010580000</v>
      </c>
      <c r="BT953" s="1" t="s">
        <v>10421</v>
      </c>
      <c r="BX953" s="1">
        <v>46</v>
      </c>
      <c r="BY953" s="1">
        <v>46</v>
      </c>
      <c r="BZ953" s="1">
        <v>127</v>
      </c>
      <c r="CB953" s="1" t="str">
        <f t="shared" ref="CB953:CC953" si="733">""</f>
        <v/>
      </c>
      <c r="CC953" s="1" t="str">
        <f t="shared" si="733"/>
        <v/>
      </c>
      <c r="CG953" s="1" t="s">
        <v>932</v>
      </c>
      <c r="CH953" s="1" t="s">
        <v>219</v>
      </c>
      <c r="CI953" s="1" t="s">
        <v>438</v>
      </c>
      <c r="CK953" s="1" t="s">
        <v>757</v>
      </c>
      <c r="CL953" s="1" t="s">
        <v>219</v>
      </c>
      <c r="CM953" s="1" t="s">
        <v>220</v>
      </c>
      <c r="CO953" s="1" t="s">
        <v>932</v>
      </c>
      <c r="CP953" s="1" t="s">
        <v>219</v>
      </c>
      <c r="CQ953" s="1" t="s">
        <v>438</v>
      </c>
      <c r="CS953" s="1" t="s">
        <v>1046</v>
      </c>
      <c r="CT953" s="1" t="s">
        <v>219</v>
      </c>
      <c r="CU953" s="1" t="s">
        <v>220</v>
      </c>
      <c r="CX953" s="1" t="s">
        <v>224</v>
      </c>
      <c r="DB953" s="1" t="s">
        <v>224</v>
      </c>
      <c r="DE953" s="1" t="s">
        <v>379</v>
      </c>
      <c r="DF953" s="1" t="s">
        <v>219</v>
      </c>
      <c r="DG953" s="1" t="s">
        <v>438</v>
      </c>
      <c r="DJ953" s="1" t="s">
        <v>224</v>
      </c>
      <c r="DM953" s="1" t="s">
        <v>1548</v>
      </c>
      <c r="DR953" s="1" t="s">
        <v>318</v>
      </c>
      <c r="DS953" s="1" t="s">
        <v>219</v>
      </c>
      <c r="DT953" s="1" t="s">
        <v>438</v>
      </c>
      <c r="DW953" s="1" t="s">
        <v>230</v>
      </c>
      <c r="EA953" s="1" t="s">
        <v>230</v>
      </c>
      <c r="EE953" s="1" t="s">
        <v>230</v>
      </c>
      <c r="EI953" s="1" t="s">
        <v>230</v>
      </c>
      <c r="EL953" s="1" t="s">
        <v>466</v>
      </c>
      <c r="EM953" s="1" t="s">
        <v>232</v>
      </c>
      <c r="EN953" s="1" t="s">
        <v>282</v>
      </c>
      <c r="EO953" s="1" t="s">
        <v>234</v>
      </c>
      <c r="EP953" s="1" t="s">
        <v>10422</v>
      </c>
      <c r="EQ953" s="1" t="s">
        <v>492</v>
      </c>
      <c r="ER953" s="1" t="s">
        <v>1069</v>
      </c>
      <c r="ES953" s="1" t="s">
        <v>824</v>
      </c>
      <c r="EU953" s="1" t="s">
        <v>610</v>
      </c>
      <c r="EV953" s="1" t="s">
        <v>240</v>
      </c>
      <c r="EW953" s="1" t="s">
        <v>3255</v>
      </c>
      <c r="EZ953" s="1" t="s">
        <v>1548</v>
      </c>
      <c r="FA953" s="1" t="s">
        <v>1554</v>
      </c>
      <c r="FD953" s="1" t="s">
        <v>246</v>
      </c>
      <c r="FE953" s="1" t="s">
        <v>355</v>
      </c>
      <c r="FF953" s="1" t="s">
        <v>248</v>
      </c>
      <c r="FH953" s="1" t="s">
        <v>825</v>
      </c>
      <c r="FI953" s="1" t="s">
        <v>473</v>
      </c>
      <c r="FL953" s="1" t="s">
        <v>358</v>
      </c>
      <c r="FM953" s="1" t="s">
        <v>252</v>
      </c>
      <c r="FN953" s="1" t="s">
        <v>213</v>
      </c>
      <c r="FO953" s="1" t="s">
        <v>213</v>
      </c>
      <c r="FQ953" s="1" t="s">
        <v>359</v>
      </c>
      <c r="FR953" s="1" t="s">
        <v>210</v>
      </c>
      <c r="FS953" s="1" t="s">
        <v>7674</v>
      </c>
      <c r="FT953" s="1" t="s">
        <v>691</v>
      </c>
      <c r="FU953" s="1" t="s">
        <v>204</v>
      </c>
      <c r="FW953" s="1" t="s">
        <v>256</v>
      </c>
      <c r="FX953" s="1">
        <v>2648</v>
      </c>
      <c r="FY953" s="1" t="s">
        <v>1022</v>
      </c>
      <c r="FZ953" s="1" t="s">
        <v>7675</v>
      </c>
      <c r="GA953" s="1">
        <v>18093</v>
      </c>
      <c r="GB953" s="1" t="s">
        <v>7676</v>
      </c>
      <c r="GC953" s="1">
        <v>13825</v>
      </c>
      <c r="GD953" s="1" t="s">
        <v>7677</v>
      </c>
      <c r="GE953" s="1" t="s">
        <v>623</v>
      </c>
      <c r="GI953" s="1" t="s">
        <v>213</v>
      </c>
      <c r="GJ953" s="1" t="s">
        <v>260</v>
      </c>
      <c r="GK953" s="1" t="s">
        <v>210</v>
      </c>
      <c r="GL953" s="2">
        <v>42047</v>
      </c>
      <c r="GM953" s="1" t="s">
        <v>10423</v>
      </c>
    </row>
    <row r="954" spans="1:195">
      <c r="A954" s="1">
        <v>21000</v>
      </c>
      <c r="B954" s="1" t="s">
        <v>195</v>
      </c>
      <c r="C954" s="1" t="str">
        <f>"08625172"</f>
        <v>08625172</v>
      </c>
      <c r="D954" s="1" t="s">
        <v>196</v>
      </c>
      <c r="F954" s="1" t="str">
        <f>"8039"</f>
        <v>8039</v>
      </c>
      <c r="G954" s="2">
        <v>41785</v>
      </c>
      <c r="H954" s="1">
        <v>63500</v>
      </c>
      <c r="I954" s="1">
        <v>0</v>
      </c>
      <c r="J954" s="1">
        <v>21000</v>
      </c>
      <c r="K954" s="2">
        <v>41782</v>
      </c>
      <c r="L954" s="1">
        <v>239</v>
      </c>
      <c r="M954" s="2">
        <v>42020</v>
      </c>
      <c r="N954" s="1">
        <v>239</v>
      </c>
      <c r="O954" s="2">
        <v>42020</v>
      </c>
      <c r="P954" s="1" t="s">
        <v>1039</v>
      </c>
      <c r="Q954" s="1" t="s">
        <v>302</v>
      </c>
      <c r="R954" s="2">
        <v>42055</v>
      </c>
      <c r="S954" s="1">
        <v>99995</v>
      </c>
      <c r="U954" s="1">
        <v>4800</v>
      </c>
      <c r="V954" s="1" t="s">
        <v>3723</v>
      </c>
      <c r="W954" s="1" t="s">
        <v>199</v>
      </c>
      <c r="X954" s="1" t="s">
        <v>1000</v>
      </c>
      <c r="Y954" s="1">
        <v>4</v>
      </c>
      <c r="Z954" s="1" t="s">
        <v>200</v>
      </c>
      <c r="AA954" s="1" t="s">
        <v>400</v>
      </c>
      <c r="AB954" s="1">
        <v>60615</v>
      </c>
      <c r="AE954" s="1" t="s">
        <v>10424</v>
      </c>
      <c r="AF954" s="1">
        <v>1951</v>
      </c>
      <c r="AG954" s="1" t="s">
        <v>213</v>
      </c>
      <c r="AH954" s="1" t="s">
        <v>403</v>
      </c>
      <c r="AI954" s="1" t="s">
        <v>310</v>
      </c>
      <c r="AJ954" s="1" t="s">
        <v>562</v>
      </c>
      <c r="AL954" s="1">
        <v>4</v>
      </c>
      <c r="AM954" s="1">
        <v>2</v>
      </c>
      <c r="AN954" s="1">
        <v>1</v>
      </c>
      <c r="AO954" s="1">
        <v>0</v>
      </c>
      <c r="AP954" s="1" t="s">
        <v>210</v>
      </c>
      <c r="AR954" s="1" t="s">
        <v>210</v>
      </c>
      <c r="AS954" s="1" t="s">
        <v>204</v>
      </c>
      <c r="AT954" s="1" t="s">
        <v>210</v>
      </c>
      <c r="AW954" s="1" t="s">
        <v>204</v>
      </c>
      <c r="AX954" s="1" t="s">
        <v>212</v>
      </c>
      <c r="AZ954" s="1">
        <v>1833</v>
      </c>
      <c r="BA954" s="1">
        <v>2012</v>
      </c>
      <c r="BB954" s="1" t="s">
        <v>210</v>
      </c>
      <c r="BE954" s="1">
        <v>1037</v>
      </c>
      <c r="BF954" s="1">
        <v>1</v>
      </c>
      <c r="BG954" s="1">
        <v>0</v>
      </c>
      <c r="BL954" s="1">
        <v>0</v>
      </c>
      <c r="BM954" s="1" t="s">
        <v>204</v>
      </c>
      <c r="BN954" s="1" t="s">
        <v>213</v>
      </c>
      <c r="BO954" s="1">
        <v>10</v>
      </c>
      <c r="BP954" s="1" t="s">
        <v>204</v>
      </c>
      <c r="BR954" s="1" t="str">
        <f>"20111050310000"</f>
        <v>20111050310000</v>
      </c>
      <c r="BT954" s="1" t="s">
        <v>10425</v>
      </c>
      <c r="BX954" s="1">
        <v>299</v>
      </c>
      <c r="BY954" s="1">
        <v>299</v>
      </c>
      <c r="BZ954" s="1">
        <v>299</v>
      </c>
      <c r="CB954" s="1" t="str">
        <f>"0"</f>
        <v>0</v>
      </c>
      <c r="CC954" s="1" t="str">
        <f>"900"</f>
        <v>900</v>
      </c>
      <c r="CD954" s="1">
        <v>0</v>
      </c>
      <c r="CE954" s="1">
        <v>4800</v>
      </c>
      <c r="CG954" s="1" t="s">
        <v>228</v>
      </c>
      <c r="CH954" s="1" t="s">
        <v>219</v>
      </c>
      <c r="CI954" s="1" t="s">
        <v>1236</v>
      </c>
      <c r="CJ954" s="1" t="s">
        <v>210</v>
      </c>
      <c r="CK954" s="1" t="s">
        <v>602</v>
      </c>
      <c r="CL954" s="1" t="s">
        <v>277</v>
      </c>
      <c r="CM954" s="1" t="s">
        <v>229</v>
      </c>
      <c r="CN954" s="1" t="s">
        <v>210</v>
      </c>
      <c r="CP954" s="1" t="s">
        <v>224</v>
      </c>
      <c r="CS954" s="1" t="s">
        <v>461</v>
      </c>
      <c r="CT954" s="1" t="s">
        <v>277</v>
      </c>
      <c r="CU954" s="1" t="s">
        <v>229</v>
      </c>
      <c r="CV954" s="1" t="s">
        <v>210</v>
      </c>
      <c r="CX954" s="1" t="s">
        <v>224</v>
      </c>
      <c r="DB954" s="1" t="s">
        <v>224</v>
      </c>
      <c r="DE954" s="1" t="s">
        <v>378</v>
      </c>
      <c r="DF954" s="1" t="s">
        <v>219</v>
      </c>
      <c r="DG954" s="1" t="s">
        <v>1236</v>
      </c>
      <c r="DH954" s="1" t="s">
        <v>210</v>
      </c>
      <c r="DJ954" s="1" t="s">
        <v>224</v>
      </c>
      <c r="DS954" s="1" t="s">
        <v>230</v>
      </c>
      <c r="DW954" s="1" t="s">
        <v>230</v>
      </c>
      <c r="EA954" s="1" t="s">
        <v>230</v>
      </c>
      <c r="EE954" s="1" t="s">
        <v>230</v>
      </c>
      <c r="EI954" s="1" t="s">
        <v>230</v>
      </c>
      <c r="EL954" s="1" t="s">
        <v>3717</v>
      </c>
      <c r="EM954" s="1" t="s">
        <v>730</v>
      </c>
      <c r="EN954" s="1" t="s">
        <v>210</v>
      </c>
      <c r="EO954" s="1" t="s">
        <v>234</v>
      </c>
      <c r="EP954" s="1" t="s">
        <v>650</v>
      </c>
      <c r="ER954" s="1" t="s">
        <v>210</v>
      </c>
      <c r="EW954" s="1" t="s">
        <v>210</v>
      </c>
      <c r="EY954" s="1" t="s">
        <v>242</v>
      </c>
      <c r="EZ954" s="1" t="s">
        <v>287</v>
      </c>
      <c r="FC954" s="1" t="s">
        <v>1386</v>
      </c>
      <c r="FD954" s="1" t="s">
        <v>246</v>
      </c>
      <c r="FE954" s="1" t="s">
        <v>247</v>
      </c>
      <c r="FF954" s="1" t="s">
        <v>248</v>
      </c>
      <c r="FH954" s="1" t="s">
        <v>550</v>
      </c>
      <c r="FL954" s="1" t="s">
        <v>358</v>
      </c>
      <c r="FM954" s="1" t="s">
        <v>252</v>
      </c>
      <c r="FN954" s="1" t="s">
        <v>213</v>
      </c>
      <c r="FO954" s="1" t="s">
        <v>213</v>
      </c>
      <c r="FQ954" s="1" t="s">
        <v>10426</v>
      </c>
      <c r="FR954" s="1" t="s">
        <v>210</v>
      </c>
      <c r="FS954" s="1" t="s">
        <v>10427</v>
      </c>
      <c r="FT954" s="1" t="s">
        <v>10428</v>
      </c>
      <c r="FU954" s="1" t="s">
        <v>204</v>
      </c>
      <c r="FW954" s="1" t="s">
        <v>2526</v>
      </c>
      <c r="FX954" s="1">
        <v>12619</v>
      </c>
      <c r="FY954" s="1" t="s">
        <v>2527</v>
      </c>
      <c r="FZ954" s="1" t="s">
        <v>2528</v>
      </c>
      <c r="GA954" s="1">
        <v>116214</v>
      </c>
      <c r="GB954" s="1" t="s">
        <v>2527</v>
      </c>
      <c r="GE954" s="1" t="s">
        <v>1576</v>
      </c>
      <c r="GH954" s="1" t="s">
        <v>421</v>
      </c>
      <c r="GI954" s="1" t="s">
        <v>213</v>
      </c>
      <c r="GJ954" s="1" t="s">
        <v>260</v>
      </c>
      <c r="GK954" s="1" t="s">
        <v>210</v>
      </c>
      <c r="GL954" s="2">
        <v>42055</v>
      </c>
      <c r="GM954" s="1" t="s">
        <v>10429</v>
      </c>
    </row>
    <row r="955" spans="1:195">
      <c r="A955" s="1">
        <v>101000</v>
      </c>
      <c r="B955" s="1" t="s">
        <v>195</v>
      </c>
      <c r="C955" s="1" t="str">
        <f>"08622171"</f>
        <v>08622171</v>
      </c>
      <c r="D955" s="1" t="s">
        <v>196</v>
      </c>
      <c r="F955" s="1" t="str">
        <f>"543"</f>
        <v>543</v>
      </c>
      <c r="G955" s="2">
        <v>41781</v>
      </c>
      <c r="H955" s="1">
        <v>158400</v>
      </c>
      <c r="I955" s="1">
        <v>95900</v>
      </c>
      <c r="J955" s="1">
        <v>101000</v>
      </c>
      <c r="K955" s="2">
        <v>41779</v>
      </c>
      <c r="L955" s="1">
        <v>261</v>
      </c>
      <c r="M955" s="2">
        <v>42039</v>
      </c>
      <c r="N955" s="1">
        <v>261</v>
      </c>
      <c r="O955" s="2">
        <v>42039</v>
      </c>
      <c r="P955" s="1">
        <v>20131</v>
      </c>
      <c r="Q955" s="1" t="s">
        <v>302</v>
      </c>
      <c r="R955" s="2">
        <v>42048</v>
      </c>
      <c r="S955" s="1">
        <v>232369</v>
      </c>
      <c r="U955" s="1">
        <v>340</v>
      </c>
      <c r="V955" s="1" t="s">
        <v>10430</v>
      </c>
      <c r="W955" s="1" t="s">
        <v>304</v>
      </c>
      <c r="X955" s="1" t="s">
        <v>10431</v>
      </c>
      <c r="Y955" s="1">
        <v>6</v>
      </c>
      <c r="Z955" s="1" t="s">
        <v>249</v>
      </c>
      <c r="AA955" s="1" t="s">
        <v>2639</v>
      </c>
      <c r="AB955" s="1">
        <v>60543</v>
      </c>
      <c r="AE955" s="1" t="s">
        <v>10432</v>
      </c>
      <c r="AF955" s="1">
        <v>1995</v>
      </c>
      <c r="AG955" s="1" t="s">
        <v>204</v>
      </c>
      <c r="AH955" s="1" t="s">
        <v>1397</v>
      </c>
      <c r="AI955" s="1" t="s">
        <v>453</v>
      </c>
      <c r="AJ955" s="1" t="s">
        <v>1397</v>
      </c>
      <c r="AL955" s="1">
        <v>6</v>
      </c>
      <c r="AM955" s="1">
        <v>2</v>
      </c>
      <c r="AN955" s="1">
        <v>2</v>
      </c>
      <c r="AO955" s="1">
        <v>1</v>
      </c>
      <c r="AP955" s="1" t="s">
        <v>209</v>
      </c>
      <c r="AR955" s="1" t="s">
        <v>210</v>
      </c>
      <c r="AS955" s="1" t="s">
        <v>204</v>
      </c>
      <c r="AT955" s="1" t="s">
        <v>211</v>
      </c>
      <c r="AU955" s="1">
        <v>2</v>
      </c>
      <c r="AW955" s="1" t="s">
        <v>204</v>
      </c>
      <c r="AX955" s="1" t="s">
        <v>212</v>
      </c>
      <c r="AZ955" s="1">
        <v>4409.22</v>
      </c>
      <c r="BA955" s="1">
        <v>2013</v>
      </c>
      <c r="BE955" s="1">
        <v>1420</v>
      </c>
      <c r="BF955" s="1">
        <v>1</v>
      </c>
      <c r="BG955" s="1">
        <v>0</v>
      </c>
      <c r="BL955" s="1">
        <v>160</v>
      </c>
      <c r="BM955" s="1" t="s">
        <v>413</v>
      </c>
      <c r="BN955" s="1" t="s">
        <v>213</v>
      </c>
      <c r="BO955" s="1">
        <v>0</v>
      </c>
      <c r="BP955" s="1" t="s">
        <v>204</v>
      </c>
      <c r="BR955" s="1" t="str">
        <f>"0309453015"</f>
        <v>0309453015</v>
      </c>
      <c r="BT955" s="1" t="s">
        <v>10433</v>
      </c>
      <c r="BX955" s="1">
        <v>308</v>
      </c>
      <c r="BY955" s="1">
        <v>308</v>
      </c>
      <c r="BZ955" s="1">
        <v>308</v>
      </c>
      <c r="CB955" s="1" t="str">
        <f t="shared" ref="CB955:CC955" si="734">""</f>
        <v/>
      </c>
      <c r="CC955" s="1" t="str">
        <f t="shared" si="734"/>
        <v/>
      </c>
      <c r="CG955" s="1" t="s">
        <v>377</v>
      </c>
      <c r="CH955" s="1" t="s">
        <v>219</v>
      </c>
      <c r="CK955" s="1" t="s">
        <v>461</v>
      </c>
      <c r="CL955" s="1" t="s">
        <v>277</v>
      </c>
      <c r="CO955" s="1" t="s">
        <v>465</v>
      </c>
      <c r="CP955" s="1" t="s">
        <v>219</v>
      </c>
      <c r="CS955" s="1" t="s">
        <v>379</v>
      </c>
      <c r="CT955" s="1" t="s">
        <v>277</v>
      </c>
      <c r="CX955" s="1" t="s">
        <v>224</v>
      </c>
      <c r="DB955" s="1" t="s">
        <v>224</v>
      </c>
      <c r="DE955" s="1" t="s">
        <v>437</v>
      </c>
      <c r="DF955" s="1" t="s">
        <v>219</v>
      </c>
      <c r="DJ955" s="1" t="s">
        <v>224</v>
      </c>
      <c r="DM955" s="1" t="s">
        <v>464</v>
      </c>
      <c r="DR955" s="1" t="s">
        <v>346</v>
      </c>
      <c r="DS955" s="1" t="s">
        <v>277</v>
      </c>
      <c r="DW955" s="1" t="s">
        <v>230</v>
      </c>
      <c r="EA955" s="1" t="s">
        <v>230</v>
      </c>
      <c r="EE955" s="1" t="s">
        <v>230</v>
      </c>
      <c r="EI955" s="1" t="s">
        <v>230</v>
      </c>
      <c r="EL955" s="1" t="s">
        <v>670</v>
      </c>
      <c r="EM955" s="1" t="s">
        <v>232</v>
      </c>
      <c r="EN955" s="1" t="s">
        <v>282</v>
      </c>
      <c r="EO955" s="1" t="s">
        <v>234</v>
      </c>
      <c r="ER955" s="1" t="s">
        <v>210</v>
      </c>
      <c r="ES955" s="1" t="s">
        <v>322</v>
      </c>
      <c r="EW955" s="1" t="s">
        <v>353</v>
      </c>
      <c r="EZ955" s="1" t="s">
        <v>464</v>
      </c>
      <c r="FB955" s="1" t="s">
        <v>289</v>
      </c>
      <c r="FD955" s="1" t="s">
        <v>246</v>
      </c>
      <c r="FE955" s="1" t="s">
        <v>386</v>
      </c>
      <c r="FF955" s="1" t="s">
        <v>248</v>
      </c>
      <c r="FH955" s="1" t="s">
        <v>550</v>
      </c>
      <c r="FL955" s="1" t="s">
        <v>358</v>
      </c>
      <c r="FM955" s="1" t="s">
        <v>252</v>
      </c>
      <c r="FN955" s="1" t="s">
        <v>213</v>
      </c>
      <c r="FO955" s="1" t="s">
        <v>213</v>
      </c>
      <c r="FQ955" s="1" t="s">
        <v>689</v>
      </c>
      <c r="FR955" s="1" t="s">
        <v>210</v>
      </c>
      <c r="FS955" s="1" t="s">
        <v>10434</v>
      </c>
      <c r="FT955" s="1" t="s">
        <v>295</v>
      </c>
      <c r="FU955" s="1" t="s">
        <v>204</v>
      </c>
      <c r="FW955" s="1" t="s">
        <v>1961</v>
      </c>
      <c r="FX955" s="1">
        <v>20150</v>
      </c>
      <c r="FY955" s="1" t="s">
        <v>1962</v>
      </c>
      <c r="FZ955" s="1" t="s">
        <v>1963</v>
      </c>
      <c r="GA955" s="1">
        <v>211012</v>
      </c>
      <c r="GB955" s="1" t="s">
        <v>1964</v>
      </c>
      <c r="GC955" s="1">
        <v>226083</v>
      </c>
      <c r="GD955" s="1" t="s">
        <v>2928</v>
      </c>
      <c r="GE955" s="1" t="s">
        <v>210</v>
      </c>
      <c r="GI955" s="1" t="s">
        <v>204</v>
      </c>
      <c r="GJ955" s="1" t="s">
        <v>260</v>
      </c>
      <c r="GK955" s="1" t="s">
        <v>261</v>
      </c>
      <c r="GL955" s="2">
        <v>42051</v>
      </c>
      <c r="GM955" s="1" t="s">
        <v>10435</v>
      </c>
    </row>
    <row r="956" spans="1:195">
      <c r="A956" s="1">
        <v>183400</v>
      </c>
      <c r="B956" s="1" t="s">
        <v>195</v>
      </c>
      <c r="C956" s="1" t="str">
        <f>"08628154"</f>
        <v>08628154</v>
      </c>
      <c r="D956" s="1" t="s">
        <v>196</v>
      </c>
      <c r="F956" s="1" t="str">
        <f>"30"</f>
        <v>30</v>
      </c>
      <c r="G956" s="2">
        <v>41788</v>
      </c>
      <c r="H956" s="1">
        <v>184900</v>
      </c>
      <c r="I956" s="1">
        <v>184900</v>
      </c>
      <c r="J956" s="1">
        <v>183400</v>
      </c>
      <c r="K956" s="2">
        <v>41788</v>
      </c>
      <c r="L956" s="1">
        <v>143</v>
      </c>
      <c r="M956" s="2">
        <v>41930</v>
      </c>
      <c r="N956" s="1">
        <v>143</v>
      </c>
      <c r="O956" s="2">
        <v>41930</v>
      </c>
      <c r="P956" s="1">
        <v>2643</v>
      </c>
      <c r="Q956" s="1" t="s">
        <v>423</v>
      </c>
      <c r="R956" s="2">
        <v>41978</v>
      </c>
      <c r="S956" s="1">
        <v>29681</v>
      </c>
      <c r="U956" s="1">
        <v>328</v>
      </c>
      <c r="V956" s="1" t="s">
        <v>10436</v>
      </c>
      <c r="W956" s="1" t="s">
        <v>304</v>
      </c>
      <c r="Y956" s="1">
        <v>4</v>
      </c>
      <c r="Z956" s="1" t="s">
        <v>200</v>
      </c>
      <c r="AA956" s="1" t="s">
        <v>1834</v>
      </c>
      <c r="AB956" s="1">
        <v>60030</v>
      </c>
      <c r="AD956" s="1" t="s">
        <v>10437</v>
      </c>
      <c r="AE956" s="1" t="s">
        <v>10438</v>
      </c>
      <c r="AF956" s="1">
        <v>1997</v>
      </c>
      <c r="AG956" s="1" t="s">
        <v>204</v>
      </c>
      <c r="AH956" s="1" t="s">
        <v>1837</v>
      </c>
      <c r="AI956" s="1" t="s">
        <v>509</v>
      </c>
      <c r="AJ956" s="1" t="s">
        <v>1263</v>
      </c>
      <c r="AL956" s="1">
        <v>6</v>
      </c>
      <c r="AM956" s="1">
        <v>2</v>
      </c>
      <c r="AN956" s="1">
        <v>2</v>
      </c>
      <c r="AO956" s="1">
        <v>1</v>
      </c>
      <c r="AP956" s="1" t="s">
        <v>209</v>
      </c>
      <c r="AQ956" s="1">
        <v>1</v>
      </c>
      <c r="AR956" s="1" t="s">
        <v>2275</v>
      </c>
      <c r="AS956" s="1" t="s">
        <v>204</v>
      </c>
      <c r="AT956" s="1" t="s">
        <v>211</v>
      </c>
      <c r="AU956" s="1">
        <v>2</v>
      </c>
      <c r="AW956" s="1" t="s">
        <v>204</v>
      </c>
      <c r="AX956" s="1" t="s">
        <v>10439</v>
      </c>
      <c r="AZ956" s="1">
        <v>4414.46</v>
      </c>
      <c r="BA956" s="1">
        <v>2013</v>
      </c>
      <c r="BB956" s="1" t="s">
        <v>405</v>
      </c>
      <c r="BE956" s="1">
        <v>1999</v>
      </c>
      <c r="BF956" s="1">
        <v>1</v>
      </c>
      <c r="BG956" s="1">
        <v>0</v>
      </c>
      <c r="BL956" s="1">
        <v>0</v>
      </c>
      <c r="BM956" s="1" t="s">
        <v>204</v>
      </c>
      <c r="BN956" s="1" t="s">
        <v>213</v>
      </c>
      <c r="BO956" s="1">
        <v>100</v>
      </c>
      <c r="BP956" s="1" t="s">
        <v>204</v>
      </c>
      <c r="BR956" s="1" t="str">
        <f>"06361050670000"</f>
        <v>06361050670000</v>
      </c>
      <c r="BT956" s="1" t="s">
        <v>10440</v>
      </c>
      <c r="BX956" s="1">
        <v>50</v>
      </c>
      <c r="BY956" s="1">
        <v>50</v>
      </c>
      <c r="BZ956" s="1">
        <v>127</v>
      </c>
      <c r="CA956" s="1">
        <v>532</v>
      </c>
      <c r="CB956" s="1" t="str">
        <f t="shared" ref="CB956:CC956" si="735">""</f>
        <v/>
      </c>
      <c r="CC956" s="1" t="str">
        <f t="shared" si="735"/>
        <v/>
      </c>
      <c r="CG956" s="1" t="s">
        <v>1737</v>
      </c>
      <c r="CH956" s="1" t="s">
        <v>219</v>
      </c>
      <c r="CK956" s="1" t="s">
        <v>862</v>
      </c>
      <c r="CL956" s="1" t="s">
        <v>277</v>
      </c>
      <c r="CO956" s="1" t="s">
        <v>1358</v>
      </c>
      <c r="CP956" s="1" t="s">
        <v>219</v>
      </c>
      <c r="CS956" s="1" t="s">
        <v>221</v>
      </c>
      <c r="CT956" s="1" t="s">
        <v>277</v>
      </c>
      <c r="CX956" s="1" t="s">
        <v>224</v>
      </c>
      <c r="DB956" s="1" t="s">
        <v>224</v>
      </c>
      <c r="DE956" s="1" t="s">
        <v>932</v>
      </c>
      <c r="DF956" s="1" t="s">
        <v>219</v>
      </c>
      <c r="DI956" s="1" t="s">
        <v>908</v>
      </c>
      <c r="DJ956" s="1" t="s">
        <v>4450</v>
      </c>
      <c r="DS956" s="1" t="s">
        <v>230</v>
      </c>
      <c r="DW956" s="1" t="s">
        <v>230</v>
      </c>
      <c r="EA956" s="1" t="s">
        <v>230</v>
      </c>
      <c r="EE956" s="1" t="s">
        <v>230</v>
      </c>
      <c r="EI956" s="1" t="s">
        <v>230</v>
      </c>
      <c r="EL956" s="1" t="s">
        <v>670</v>
      </c>
      <c r="EM956" s="1" t="s">
        <v>319</v>
      </c>
      <c r="EN956" s="1" t="s">
        <v>282</v>
      </c>
      <c r="EO956" s="1" t="s">
        <v>234</v>
      </c>
      <c r="EQ956" s="1" t="s">
        <v>236</v>
      </c>
      <c r="ER956" s="1" t="s">
        <v>544</v>
      </c>
      <c r="ES956" s="1" t="s">
        <v>322</v>
      </c>
      <c r="ET956" s="1" t="s">
        <v>1404</v>
      </c>
      <c r="EV956" s="1" t="s">
        <v>240</v>
      </c>
      <c r="EW956" s="1" t="s">
        <v>210</v>
      </c>
      <c r="EZ956" s="1" t="s">
        <v>287</v>
      </c>
      <c r="FD956" s="1" t="s">
        <v>246</v>
      </c>
      <c r="FE956" s="1" t="s">
        <v>975</v>
      </c>
      <c r="FF956" s="1" t="s">
        <v>248</v>
      </c>
      <c r="FG956" s="1" t="s">
        <v>912</v>
      </c>
      <c r="FH956" s="1" t="s">
        <v>550</v>
      </c>
      <c r="FI956" s="1" t="s">
        <v>357</v>
      </c>
      <c r="FL956" s="1" t="s">
        <v>358</v>
      </c>
      <c r="FM956" s="1" t="s">
        <v>252</v>
      </c>
      <c r="FN956" s="1" t="s">
        <v>213</v>
      </c>
      <c r="FO956" s="1" t="s">
        <v>213</v>
      </c>
      <c r="FQ956" s="1" t="s">
        <v>329</v>
      </c>
      <c r="FR956" s="1" t="s">
        <v>210</v>
      </c>
      <c r="FS956" s="1" t="s">
        <v>10441</v>
      </c>
      <c r="FT956" s="1" t="s">
        <v>10442</v>
      </c>
      <c r="FU956" s="1" t="s">
        <v>204</v>
      </c>
      <c r="FW956" s="1" t="s">
        <v>618</v>
      </c>
      <c r="FX956" s="1">
        <v>2643</v>
      </c>
      <c r="FY956" s="1" t="s">
        <v>619</v>
      </c>
      <c r="FZ956" s="1" t="s">
        <v>620</v>
      </c>
      <c r="GA956" s="1">
        <v>12693</v>
      </c>
      <c r="GB956" s="1" t="s">
        <v>621</v>
      </c>
      <c r="GD956" s="1" t="s">
        <v>622</v>
      </c>
      <c r="GE956" s="1" t="s">
        <v>1256</v>
      </c>
      <c r="GI956" s="1" t="s">
        <v>213</v>
      </c>
      <c r="GJ956" s="1" t="s">
        <v>260</v>
      </c>
      <c r="GK956" s="1" t="s">
        <v>210</v>
      </c>
      <c r="GL956" s="2">
        <v>41978</v>
      </c>
      <c r="GM956" s="1" t="s">
        <v>10443</v>
      </c>
    </row>
    <row r="957" spans="1:195">
      <c r="A957" s="1">
        <v>112500</v>
      </c>
      <c r="B957" s="1" t="s">
        <v>195</v>
      </c>
      <c r="C957" s="1" t="str">
        <f>"08625720"</f>
        <v>08625720</v>
      </c>
      <c r="D957" s="1" t="s">
        <v>196</v>
      </c>
      <c r="F957" s="1" t="str">
        <f>"517"</f>
        <v>517</v>
      </c>
      <c r="G957" s="2">
        <v>41786</v>
      </c>
      <c r="H957" s="1">
        <v>155000</v>
      </c>
      <c r="I957" s="1">
        <v>120000</v>
      </c>
      <c r="J957" s="1">
        <v>112500</v>
      </c>
      <c r="K957" s="2">
        <v>41786</v>
      </c>
      <c r="L957" s="1">
        <v>155</v>
      </c>
      <c r="M957" s="2">
        <v>41940</v>
      </c>
      <c r="N957" s="1">
        <v>155</v>
      </c>
      <c r="O957" s="2">
        <v>41940</v>
      </c>
      <c r="P957" s="1">
        <v>20150</v>
      </c>
      <c r="Q957" s="1" t="s">
        <v>302</v>
      </c>
      <c r="R957" s="2">
        <v>41975</v>
      </c>
      <c r="S957" s="1">
        <v>211438</v>
      </c>
      <c r="U957" s="1">
        <v>2473</v>
      </c>
      <c r="V957" s="1" t="s">
        <v>5743</v>
      </c>
      <c r="W957" s="1" t="s">
        <v>449</v>
      </c>
      <c r="X957" s="1" t="s">
        <v>2010</v>
      </c>
      <c r="Y957" s="1">
        <v>4</v>
      </c>
      <c r="Z957" s="1" t="s">
        <v>200</v>
      </c>
      <c r="AA957" s="1" t="s">
        <v>2850</v>
      </c>
      <c r="AB957" s="1">
        <v>60517</v>
      </c>
      <c r="AD957" s="1" t="s">
        <v>10444</v>
      </c>
      <c r="AE957" s="1" t="s">
        <v>10445</v>
      </c>
      <c r="AF957" s="1">
        <v>1982</v>
      </c>
      <c r="AG957" s="1" t="s">
        <v>204</v>
      </c>
      <c r="AH957" s="1" t="s">
        <v>2853</v>
      </c>
      <c r="AI957" s="1" t="s">
        <v>206</v>
      </c>
      <c r="AJ957" s="1" t="s">
        <v>925</v>
      </c>
      <c r="AK957" s="1" t="s">
        <v>270</v>
      </c>
      <c r="AL957" s="1">
        <v>5</v>
      </c>
      <c r="AM957" s="1">
        <v>2</v>
      </c>
      <c r="AN957" s="1">
        <v>1</v>
      </c>
      <c r="AO957" s="1">
        <v>0</v>
      </c>
      <c r="AP957" s="1" t="s">
        <v>210</v>
      </c>
      <c r="AQ957" s="1">
        <v>1</v>
      </c>
      <c r="AR957" s="1" t="s">
        <v>210</v>
      </c>
      <c r="AS957" s="1" t="s">
        <v>204</v>
      </c>
      <c r="AT957" s="1" t="s">
        <v>375</v>
      </c>
      <c r="AU957" s="1">
        <v>1</v>
      </c>
      <c r="AV957" s="1">
        <v>1</v>
      </c>
      <c r="AW957" s="1" t="s">
        <v>204</v>
      </c>
      <c r="AX957" s="1" t="s">
        <v>212</v>
      </c>
      <c r="AZ957" s="1">
        <v>3679</v>
      </c>
      <c r="BA957" s="1">
        <v>2013</v>
      </c>
      <c r="BB957" s="1" t="s">
        <v>405</v>
      </c>
      <c r="BE957" s="1">
        <v>1025</v>
      </c>
      <c r="BF957" s="1">
        <v>1</v>
      </c>
      <c r="BG957" s="1">
        <v>15</v>
      </c>
      <c r="BL957" s="1">
        <v>182</v>
      </c>
      <c r="BM957" s="1" t="s">
        <v>204</v>
      </c>
      <c r="BN957" s="1" t="s">
        <v>213</v>
      </c>
      <c r="BO957" s="1">
        <v>0</v>
      </c>
      <c r="BP957" s="1" t="s">
        <v>204</v>
      </c>
      <c r="BR957" s="1" t="str">
        <f>"0824325017"</f>
        <v>0824325017</v>
      </c>
      <c r="BT957" s="1" t="s">
        <v>10446</v>
      </c>
      <c r="BX957" s="1">
        <v>68</v>
      </c>
      <c r="BY957" s="1">
        <v>68</v>
      </c>
      <c r="BZ957" s="1">
        <v>99</v>
      </c>
      <c r="CB957" s="1" t="str">
        <f t="shared" ref="CB957:CC957" si="736">""</f>
        <v/>
      </c>
      <c r="CC957" s="1" t="str">
        <f t="shared" si="736"/>
        <v/>
      </c>
      <c r="CD957" s="1">
        <v>21</v>
      </c>
      <c r="CE957" s="1">
        <v>7</v>
      </c>
      <c r="CG957" s="1" t="s">
        <v>972</v>
      </c>
      <c r="CH957" s="1" t="s">
        <v>219</v>
      </c>
      <c r="CI957" s="1" t="s">
        <v>220</v>
      </c>
      <c r="CJ957" s="1" t="s">
        <v>210</v>
      </c>
      <c r="CK957" s="1" t="s">
        <v>378</v>
      </c>
      <c r="CL957" s="1" t="s">
        <v>219</v>
      </c>
      <c r="CM957" s="1" t="s">
        <v>220</v>
      </c>
      <c r="CN957" s="1" t="s">
        <v>463</v>
      </c>
      <c r="CO957" s="1" t="s">
        <v>318</v>
      </c>
      <c r="CP957" s="1" t="s">
        <v>219</v>
      </c>
      <c r="CQ957" s="1" t="s">
        <v>220</v>
      </c>
      <c r="CR957" s="1" t="s">
        <v>463</v>
      </c>
      <c r="CS957" s="1" t="s">
        <v>379</v>
      </c>
      <c r="CT957" s="1" t="s">
        <v>219</v>
      </c>
      <c r="CU957" s="1" t="s">
        <v>220</v>
      </c>
      <c r="CV957" s="1" t="s">
        <v>463</v>
      </c>
      <c r="CX957" s="1" t="s">
        <v>224</v>
      </c>
      <c r="DB957" s="1" t="s">
        <v>224</v>
      </c>
      <c r="DE957" s="1" t="s">
        <v>3264</v>
      </c>
      <c r="DF957" s="1" t="s">
        <v>219</v>
      </c>
      <c r="DG957" s="1" t="s">
        <v>342</v>
      </c>
      <c r="DH957" s="1" t="s">
        <v>463</v>
      </c>
      <c r="DJ957" s="1" t="s">
        <v>224</v>
      </c>
      <c r="DS957" s="1" t="s">
        <v>230</v>
      </c>
      <c r="DW957" s="1" t="s">
        <v>230</v>
      </c>
      <c r="EA957" s="1" t="s">
        <v>230</v>
      </c>
      <c r="EE957" s="1" t="s">
        <v>230</v>
      </c>
      <c r="EI957" s="1" t="s">
        <v>230</v>
      </c>
      <c r="EL957" s="1" t="s">
        <v>231</v>
      </c>
      <c r="EM957" s="1" t="s">
        <v>232</v>
      </c>
      <c r="EN957" s="1" t="s">
        <v>282</v>
      </c>
      <c r="EO957" s="1" t="s">
        <v>234</v>
      </c>
      <c r="EQ957" s="1" t="s">
        <v>1094</v>
      </c>
      <c r="ER957" s="1" t="s">
        <v>210</v>
      </c>
      <c r="ES957" s="1" t="s">
        <v>824</v>
      </c>
      <c r="ET957" s="1" t="s">
        <v>1752</v>
      </c>
      <c r="EV957" s="1" t="s">
        <v>240</v>
      </c>
      <c r="EW957" s="1" t="s">
        <v>353</v>
      </c>
      <c r="EY957" s="1" t="s">
        <v>790</v>
      </c>
      <c r="EZ957" s="1" t="s">
        <v>287</v>
      </c>
      <c r="FB957" s="1" t="s">
        <v>289</v>
      </c>
      <c r="FD957" s="1" t="s">
        <v>246</v>
      </c>
      <c r="FE957" s="1" t="s">
        <v>870</v>
      </c>
      <c r="FF957" s="1" t="s">
        <v>248</v>
      </c>
      <c r="FG957" s="1" t="s">
        <v>939</v>
      </c>
      <c r="FH957" s="1" t="s">
        <v>249</v>
      </c>
      <c r="FI957" s="1" t="s">
        <v>473</v>
      </c>
      <c r="FL957" s="1" t="s">
        <v>358</v>
      </c>
      <c r="FM957" s="1" t="s">
        <v>252</v>
      </c>
      <c r="FN957" s="1" t="s">
        <v>213</v>
      </c>
      <c r="FO957" s="1" t="s">
        <v>213</v>
      </c>
      <c r="FQ957" s="1" t="s">
        <v>849</v>
      </c>
      <c r="FR957" s="1" t="s">
        <v>210</v>
      </c>
      <c r="FS957" s="1" t="s">
        <v>10447</v>
      </c>
      <c r="FT957" s="1" t="s">
        <v>255</v>
      </c>
      <c r="FU957" s="1" t="s">
        <v>204</v>
      </c>
      <c r="FV957" s="1" t="s">
        <v>10448</v>
      </c>
      <c r="FW957" s="1" t="s">
        <v>719</v>
      </c>
      <c r="FX957" s="1">
        <v>22029</v>
      </c>
      <c r="FY957" s="1" t="s">
        <v>720</v>
      </c>
      <c r="FZ957" s="1" t="s">
        <v>10449</v>
      </c>
      <c r="GA957" s="1">
        <v>214235</v>
      </c>
      <c r="GB957" s="1" t="s">
        <v>10450</v>
      </c>
      <c r="GE957" s="1" t="s">
        <v>335</v>
      </c>
      <c r="GI957" s="1" t="s">
        <v>204</v>
      </c>
      <c r="GJ957" s="1" t="s">
        <v>260</v>
      </c>
      <c r="GK957" s="1" t="s">
        <v>210</v>
      </c>
      <c r="GL957" s="2">
        <v>41975</v>
      </c>
      <c r="GM957" s="1" t="s">
        <v>10451</v>
      </c>
    </row>
    <row r="958" spans="1:195">
      <c r="A958" s="1">
        <v>103000</v>
      </c>
      <c r="B958" s="1" t="s">
        <v>195</v>
      </c>
      <c r="C958" s="1" t="str">
        <f>"08802114"</f>
        <v>08802114</v>
      </c>
      <c r="D958" s="1" t="s">
        <v>196</v>
      </c>
      <c r="F958" s="1" t="str">
        <f>"73"</f>
        <v>73</v>
      </c>
      <c r="G958" s="2">
        <v>41988</v>
      </c>
      <c r="H958" s="1">
        <v>120900</v>
      </c>
      <c r="I958" s="1">
        <v>114900</v>
      </c>
      <c r="J958" s="1">
        <v>103000</v>
      </c>
      <c r="K958" s="2">
        <v>41987</v>
      </c>
      <c r="L958" s="1">
        <v>53</v>
      </c>
      <c r="M958" s="2">
        <v>42039</v>
      </c>
      <c r="N958" s="1">
        <v>53</v>
      </c>
      <c r="O958" s="2">
        <v>42039</v>
      </c>
      <c r="P958" s="1">
        <v>2280</v>
      </c>
      <c r="Q958" s="1" t="s">
        <v>302</v>
      </c>
      <c r="R958" s="2">
        <v>42075</v>
      </c>
      <c r="S958" s="1">
        <v>85534</v>
      </c>
      <c r="U958" s="1">
        <v>584</v>
      </c>
      <c r="V958" s="1" t="s">
        <v>10452</v>
      </c>
      <c r="W958" s="1" t="s">
        <v>504</v>
      </c>
      <c r="X958" s="1">
        <v>584</v>
      </c>
      <c r="Y958" s="1">
        <v>4</v>
      </c>
      <c r="Z958" s="1" t="s">
        <v>370</v>
      </c>
      <c r="AA958" s="1" t="s">
        <v>1259</v>
      </c>
      <c r="AB958" s="1">
        <v>60073</v>
      </c>
      <c r="AD958" s="1" t="s">
        <v>2732</v>
      </c>
      <c r="AE958" s="1" t="s">
        <v>10453</v>
      </c>
      <c r="AF958" s="1">
        <v>2003</v>
      </c>
      <c r="AG958" s="1" t="s">
        <v>204</v>
      </c>
      <c r="AH958" s="1" t="s">
        <v>1262</v>
      </c>
      <c r="AI958" s="1" t="s">
        <v>509</v>
      </c>
      <c r="AJ958" s="1" t="s">
        <v>1263</v>
      </c>
      <c r="AK958" s="1" t="s">
        <v>7555</v>
      </c>
      <c r="AL958" s="1">
        <v>6</v>
      </c>
      <c r="AM958" s="1">
        <v>2</v>
      </c>
      <c r="AN958" s="1">
        <v>2</v>
      </c>
      <c r="AO958" s="1">
        <v>1</v>
      </c>
      <c r="AP958" s="1" t="s">
        <v>209</v>
      </c>
      <c r="AQ958" s="1">
        <v>1</v>
      </c>
      <c r="AR958" s="1" t="s">
        <v>10454</v>
      </c>
      <c r="AS958" s="1" t="s">
        <v>204</v>
      </c>
      <c r="AT958" s="1" t="s">
        <v>211</v>
      </c>
      <c r="AU958" s="1">
        <v>2</v>
      </c>
      <c r="AW958" s="1" t="s">
        <v>204</v>
      </c>
      <c r="AX958" s="1" t="s">
        <v>212</v>
      </c>
      <c r="AZ958" s="1">
        <v>4082.75</v>
      </c>
      <c r="BA958" s="1">
        <v>2013</v>
      </c>
      <c r="BE958" s="1">
        <v>1484</v>
      </c>
      <c r="BF958" s="1">
        <v>1</v>
      </c>
      <c r="BG958" s="1">
        <v>0</v>
      </c>
      <c r="BL958" s="1">
        <v>190</v>
      </c>
      <c r="BM958" s="1" t="s">
        <v>413</v>
      </c>
      <c r="BN958" s="1" t="s">
        <v>213</v>
      </c>
      <c r="BO958" s="1">
        <v>50</v>
      </c>
      <c r="BP958" s="1" t="s">
        <v>204</v>
      </c>
      <c r="BR958" s="1" t="str">
        <f>"06322010620000"</f>
        <v>06322010620000</v>
      </c>
      <c r="BT958" s="1" t="s">
        <v>10455</v>
      </c>
      <c r="BX958" s="1">
        <v>46</v>
      </c>
      <c r="BY958" s="1">
        <v>46</v>
      </c>
      <c r="BZ958" s="1">
        <v>127</v>
      </c>
      <c r="CB958" s="1" t="str">
        <f>"32"</f>
        <v>32</v>
      </c>
      <c r="CC958" s="1" t="str">
        <f t="shared" ref="CC958:CC959" si="737">"0"</f>
        <v>0</v>
      </c>
      <c r="CD958" s="1">
        <v>23</v>
      </c>
      <c r="CE958" s="1">
        <v>0</v>
      </c>
      <c r="CG958" s="1" t="s">
        <v>602</v>
      </c>
      <c r="CH958" s="1" t="s">
        <v>219</v>
      </c>
      <c r="CI958" s="1" t="s">
        <v>220</v>
      </c>
      <c r="CK958" s="1" t="s">
        <v>377</v>
      </c>
      <c r="CL958" s="1" t="s">
        <v>277</v>
      </c>
      <c r="CM958" s="1" t="s">
        <v>220</v>
      </c>
      <c r="CO958" s="1" t="s">
        <v>837</v>
      </c>
      <c r="CP958" s="1" t="s">
        <v>219</v>
      </c>
      <c r="CQ958" s="1" t="s">
        <v>220</v>
      </c>
      <c r="CS958" s="1" t="s">
        <v>1297</v>
      </c>
      <c r="CT958" s="1" t="s">
        <v>277</v>
      </c>
      <c r="CU958" s="1" t="s">
        <v>220</v>
      </c>
      <c r="CX958" s="1" t="s">
        <v>224</v>
      </c>
      <c r="DB958" s="1" t="s">
        <v>224</v>
      </c>
      <c r="DE958" s="1" t="s">
        <v>437</v>
      </c>
      <c r="DF958" s="1" t="s">
        <v>219</v>
      </c>
      <c r="DI958" s="1" t="s">
        <v>221</v>
      </c>
      <c r="DJ958" s="1" t="s">
        <v>822</v>
      </c>
      <c r="DK958" s="1" t="s">
        <v>220</v>
      </c>
      <c r="DS958" s="1" t="s">
        <v>230</v>
      </c>
      <c r="DW958" s="1" t="s">
        <v>230</v>
      </c>
      <c r="EA958" s="1" t="s">
        <v>230</v>
      </c>
      <c r="EE958" s="1" t="s">
        <v>230</v>
      </c>
      <c r="EI958" s="1" t="s">
        <v>230</v>
      </c>
      <c r="EL958" s="1" t="s">
        <v>466</v>
      </c>
      <c r="EM958" s="1" t="s">
        <v>319</v>
      </c>
      <c r="EN958" s="1" t="s">
        <v>282</v>
      </c>
      <c r="EO958" s="1" t="s">
        <v>234</v>
      </c>
      <c r="EP958" s="1" t="s">
        <v>6076</v>
      </c>
      <c r="EQ958" s="1" t="s">
        <v>2416</v>
      </c>
      <c r="ER958" s="1" t="s">
        <v>823</v>
      </c>
      <c r="ES958" s="1" t="s">
        <v>322</v>
      </c>
      <c r="EU958" s="1" t="s">
        <v>239</v>
      </c>
      <c r="EV958" s="1" t="s">
        <v>240</v>
      </c>
      <c r="EW958" s="1" t="s">
        <v>353</v>
      </c>
      <c r="EY958" s="1" t="s">
        <v>242</v>
      </c>
      <c r="EZ958" s="1" t="s">
        <v>287</v>
      </c>
      <c r="FB958" s="1" t="s">
        <v>289</v>
      </c>
      <c r="FD958" s="1" t="s">
        <v>246</v>
      </c>
      <c r="FE958" s="1" t="s">
        <v>651</v>
      </c>
      <c r="FF958" s="1" t="s">
        <v>248</v>
      </c>
      <c r="FG958" s="1" t="s">
        <v>3324</v>
      </c>
      <c r="FH958" s="1" t="s">
        <v>1428</v>
      </c>
      <c r="FI958" s="1" t="s">
        <v>357</v>
      </c>
      <c r="FL958" s="1" t="s">
        <v>358</v>
      </c>
      <c r="FM958" s="1" t="s">
        <v>252</v>
      </c>
      <c r="FN958" s="1" t="s">
        <v>213</v>
      </c>
      <c r="FO958" s="1" t="s">
        <v>213</v>
      </c>
      <c r="FQ958" s="1" t="s">
        <v>582</v>
      </c>
      <c r="FR958" s="1" t="s">
        <v>210</v>
      </c>
      <c r="FS958" s="1" t="s">
        <v>583</v>
      </c>
      <c r="FT958" s="1" t="s">
        <v>584</v>
      </c>
      <c r="FU958" s="1" t="s">
        <v>204</v>
      </c>
      <c r="FW958" s="1" t="s">
        <v>585</v>
      </c>
      <c r="FX958" s="1">
        <v>8002</v>
      </c>
      <c r="FY958" s="1" t="s">
        <v>586</v>
      </c>
      <c r="FZ958" s="1" t="s">
        <v>587</v>
      </c>
      <c r="GA958" s="1">
        <v>89090</v>
      </c>
      <c r="GB958" s="1" t="s">
        <v>588</v>
      </c>
      <c r="GC958" s="1">
        <v>35055</v>
      </c>
      <c r="GE958" s="1" t="s">
        <v>480</v>
      </c>
      <c r="GH958" s="1" t="s">
        <v>421</v>
      </c>
      <c r="GI958" s="1" t="s">
        <v>213</v>
      </c>
      <c r="GJ958" s="1" t="s">
        <v>260</v>
      </c>
      <c r="GK958" s="1" t="s">
        <v>210</v>
      </c>
      <c r="GL958" s="2">
        <v>42076</v>
      </c>
      <c r="GM958" s="1" t="s">
        <v>10456</v>
      </c>
    </row>
    <row r="959" spans="1:195">
      <c r="A959" s="1">
        <v>140000</v>
      </c>
      <c r="B959" s="1" t="s">
        <v>195</v>
      </c>
      <c r="C959" s="1" t="str">
        <f>"08620463"</f>
        <v>08620463</v>
      </c>
      <c r="D959" s="1" t="s">
        <v>196</v>
      </c>
      <c r="F959" s="1" t="str">
        <f>"177"</f>
        <v>177</v>
      </c>
      <c r="G959" s="2">
        <v>41779</v>
      </c>
      <c r="H959" s="1">
        <v>139900</v>
      </c>
      <c r="I959" s="1">
        <v>139900</v>
      </c>
      <c r="J959" s="1">
        <v>140000</v>
      </c>
      <c r="K959" s="2">
        <v>41779</v>
      </c>
      <c r="L959" s="1">
        <v>155</v>
      </c>
      <c r="M959" s="2">
        <v>41933</v>
      </c>
      <c r="N959" s="1">
        <v>155</v>
      </c>
      <c r="O959" s="2">
        <v>41933</v>
      </c>
      <c r="P959" s="1">
        <v>25215</v>
      </c>
      <c r="Q959" s="1" t="s">
        <v>197</v>
      </c>
      <c r="R959" s="2">
        <v>42062</v>
      </c>
      <c r="S959" s="1">
        <v>229386</v>
      </c>
      <c r="U959" s="1">
        <v>105</v>
      </c>
      <c r="V959" s="1" t="s">
        <v>10457</v>
      </c>
      <c r="W959" s="1" t="s">
        <v>264</v>
      </c>
      <c r="X959" s="1" t="s">
        <v>527</v>
      </c>
      <c r="Y959" s="1">
        <v>4</v>
      </c>
      <c r="Z959" s="1" t="s">
        <v>249</v>
      </c>
      <c r="AA959" s="1" t="s">
        <v>1461</v>
      </c>
      <c r="AB959" s="1">
        <v>60177</v>
      </c>
      <c r="AD959" s="1" t="s">
        <v>10458</v>
      </c>
      <c r="AE959" s="1" t="s">
        <v>10459</v>
      </c>
      <c r="AF959" s="1">
        <v>1993</v>
      </c>
      <c r="AG959" s="1" t="s">
        <v>204</v>
      </c>
      <c r="AH959" s="1" t="s">
        <v>1464</v>
      </c>
      <c r="AI959" s="1" t="s">
        <v>665</v>
      </c>
      <c r="AJ959" s="1" t="s">
        <v>1175</v>
      </c>
      <c r="AL959" s="1">
        <v>7</v>
      </c>
      <c r="AM959" s="1">
        <v>2</v>
      </c>
      <c r="AN959" s="1">
        <v>1</v>
      </c>
      <c r="AO959" s="1">
        <v>1</v>
      </c>
      <c r="AP959" s="1" t="s">
        <v>667</v>
      </c>
      <c r="AQ959" s="1">
        <v>1</v>
      </c>
      <c r="AR959" s="1" t="s">
        <v>209</v>
      </c>
      <c r="AS959" s="1" t="s">
        <v>204</v>
      </c>
      <c r="AT959" s="1" t="s">
        <v>211</v>
      </c>
      <c r="AU959" s="1">
        <v>2</v>
      </c>
      <c r="AW959" s="1" t="s">
        <v>204</v>
      </c>
      <c r="AX959" s="1" t="s">
        <v>212</v>
      </c>
      <c r="AZ959" s="1">
        <v>3492</v>
      </c>
      <c r="BA959" s="1">
        <v>2013</v>
      </c>
      <c r="BB959" s="1" t="s">
        <v>405</v>
      </c>
      <c r="BE959" s="1">
        <v>0</v>
      </c>
      <c r="BF959" s="1">
        <v>1</v>
      </c>
      <c r="BG959" s="1">
        <v>30</v>
      </c>
      <c r="BL959" s="1">
        <v>165</v>
      </c>
      <c r="BM959" s="1" t="s">
        <v>204</v>
      </c>
      <c r="BN959" s="1" t="s">
        <v>213</v>
      </c>
      <c r="BO959" s="1">
        <v>999</v>
      </c>
      <c r="BP959" s="1" t="s">
        <v>204</v>
      </c>
      <c r="BR959" s="1" t="str">
        <f>"0634153022"</f>
        <v>0634153022</v>
      </c>
      <c r="BT959" s="1" t="s">
        <v>10460</v>
      </c>
      <c r="BX959" s="1">
        <v>46</v>
      </c>
      <c r="BY959" s="1">
        <v>46</v>
      </c>
      <c r="BZ959" s="1">
        <v>46</v>
      </c>
      <c r="CB959" s="1" t="str">
        <f>"8"</f>
        <v>8</v>
      </c>
      <c r="CC959" s="1" t="str">
        <f t="shared" si="737"/>
        <v>0</v>
      </c>
      <c r="CD959" s="1">
        <v>35</v>
      </c>
      <c r="CE959" s="1">
        <v>0</v>
      </c>
      <c r="CG959" s="1" t="s">
        <v>1357</v>
      </c>
      <c r="CH959" s="1" t="s">
        <v>219</v>
      </c>
      <c r="CI959" s="1" t="s">
        <v>220</v>
      </c>
      <c r="CK959" s="1" t="s">
        <v>315</v>
      </c>
      <c r="CL959" s="1" t="s">
        <v>219</v>
      </c>
      <c r="CM959" s="1" t="s">
        <v>220</v>
      </c>
      <c r="CO959" s="1" t="s">
        <v>1297</v>
      </c>
      <c r="CP959" s="1" t="s">
        <v>219</v>
      </c>
      <c r="CQ959" s="1" t="s">
        <v>220</v>
      </c>
      <c r="CS959" s="1" t="s">
        <v>318</v>
      </c>
      <c r="CT959" s="1" t="s">
        <v>219</v>
      </c>
      <c r="CU959" s="1" t="s">
        <v>220</v>
      </c>
      <c r="CX959" s="1" t="s">
        <v>224</v>
      </c>
      <c r="DB959" s="1" t="s">
        <v>224</v>
      </c>
      <c r="DE959" s="1" t="s">
        <v>465</v>
      </c>
      <c r="DF959" s="1" t="s">
        <v>219</v>
      </c>
      <c r="DG959" s="1" t="s">
        <v>342</v>
      </c>
      <c r="DI959" s="1" t="s">
        <v>1615</v>
      </c>
      <c r="DJ959" s="1" t="s">
        <v>43</v>
      </c>
      <c r="DK959" s="1" t="s">
        <v>220</v>
      </c>
      <c r="DM959" s="1" t="s">
        <v>411</v>
      </c>
      <c r="DR959" s="1" t="s">
        <v>346</v>
      </c>
      <c r="DS959" s="1" t="s">
        <v>43</v>
      </c>
      <c r="DT959" s="1" t="s">
        <v>220</v>
      </c>
      <c r="DW959" s="1" t="s">
        <v>230</v>
      </c>
      <c r="EA959" s="1" t="s">
        <v>230</v>
      </c>
      <c r="EE959" s="1" t="s">
        <v>230</v>
      </c>
      <c r="EI959" s="1" t="s">
        <v>230</v>
      </c>
      <c r="EL959" s="1" t="s">
        <v>382</v>
      </c>
      <c r="EM959" s="1" t="s">
        <v>319</v>
      </c>
      <c r="EN959" s="1" t="s">
        <v>282</v>
      </c>
      <c r="EO959" s="1" t="s">
        <v>234</v>
      </c>
      <c r="EP959" s="1" t="s">
        <v>1489</v>
      </c>
      <c r="EQ959" s="1" t="s">
        <v>284</v>
      </c>
      <c r="ER959" s="1" t="s">
        <v>544</v>
      </c>
      <c r="ES959" s="1" t="s">
        <v>493</v>
      </c>
      <c r="EU959" s="1" t="s">
        <v>1202</v>
      </c>
      <c r="EV959" s="1" t="s">
        <v>324</v>
      </c>
      <c r="EW959" s="1" t="s">
        <v>887</v>
      </c>
      <c r="EZ959" s="1" t="s">
        <v>411</v>
      </c>
      <c r="FA959" s="1" t="s">
        <v>354</v>
      </c>
      <c r="FD959" s="1" t="s">
        <v>246</v>
      </c>
      <c r="FE959" s="1" t="s">
        <v>386</v>
      </c>
      <c r="FF959" s="1" t="s">
        <v>248</v>
      </c>
      <c r="FG959" s="1" t="s">
        <v>2060</v>
      </c>
      <c r="FH959" s="1" t="s">
        <v>825</v>
      </c>
      <c r="FI959" s="1" t="s">
        <v>473</v>
      </c>
      <c r="FL959" s="1" t="s">
        <v>358</v>
      </c>
      <c r="FM959" s="1" t="s">
        <v>252</v>
      </c>
      <c r="FN959" s="1" t="s">
        <v>213</v>
      </c>
      <c r="FO959" s="1" t="s">
        <v>213</v>
      </c>
      <c r="FQ959" s="1" t="s">
        <v>913</v>
      </c>
      <c r="FR959" s="1" t="s">
        <v>360</v>
      </c>
      <c r="FS959" s="1" t="s">
        <v>10461</v>
      </c>
      <c r="FT959" s="1" t="s">
        <v>295</v>
      </c>
      <c r="FU959" s="1" t="s">
        <v>204</v>
      </c>
      <c r="FW959" s="1" t="s">
        <v>3243</v>
      </c>
      <c r="FX959" s="1">
        <v>604</v>
      </c>
      <c r="FY959" s="1" t="s">
        <v>3244</v>
      </c>
      <c r="FZ959" s="1" t="s">
        <v>3245</v>
      </c>
      <c r="GA959" s="1">
        <v>381</v>
      </c>
      <c r="GB959" s="1" t="s">
        <v>3246</v>
      </c>
      <c r="GE959" s="1" t="s">
        <v>480</v>
      </c>
      <c r="GI959" s="1" t="s">
        <v>213</v>
      </c>
      <c r="GJ959" s="1" t="s">
        <v>260</v>
      </c>
      <c r="GK959" s="1" t="s">
        <v>210</v>
      </c>
      <c r="GL959" s="2">
        <v>42062</v>
      </c>
      <c r="GM959" s="1" t="s">
        <v>10462</v>
      </c>
    </row>
    <row r="960" spans="1:195">
      <c r="A960" s="1">
        <v>345000</v>
      </c>
      <c r="B960" s="1" t="s">
        <v>195</v>
      </c>
      <c r="C960" s="1" t="str">
        <f>"08616949"</f>
        <v>08616949</v>
      </c>
      <c r="D960" s="1" t="s">
        <v>196</v>
      </c>
      <c r="F960" s="1" t="str">
        <f>"558"</f>
        <v>558</v>
      </c>
      <c r="G960" s="2">
        <v>41775</v>
      </c>
      <c r="H960" s="1">
        <v>359900</v>
      </c>
      <c r="I960" s="1">
        <v>359900</v>
      </c>
      <c r="J960" s="1">
        <v>345000</v>
      </c>
      <c r="K960" s="2">
        <v>41775</v>
      </c>
      <c r="L960" s="1">
        <v>216</v>
      </c>
      <c r="M960" s="2">
        <v>41895</v>
      </c>
      <c r="N960" s="1">
        <v>121</v>
      </c>
      <c r="O960" s="2">
        <v>41895</v>
      </c>
      <c r="P960" s="1">
        <v>22205</v>
      </c>
      <c r="Q960" s="1" t="s">
        <v>302</v>
      </c>
      <c r="R960" s="2">
        <v>41982</v>
      </c>
      <c r="S960" s="1">
        <v>223175</v>
      </c>
      <c r="U960" s="1">
        <v>5303</v>
      </c>
      <c r="V960" s="1" t="s">
        <v>10463</v>
      </c>
      <c r="W960" s="1" t="s">
        <v>425</v>
      </c>
      <c r="X960" s="1">
        <v>5303</v>
      </c>
      <c r="Y960" s="1">
        <v>4</v>
      </c>
      <c r="Z960" s="1" t="s">
        <v>370</v>
      </c>
      <c r="AA960" s="1" t="s">
        <v>2490</v>
      </c>
      <c r="AB960" s="1">
        <v>60558</v>
      </c>
      <c r="AD960" s="1" t="s">
        <v>10463</v>
      </c>
      <c r="AE960" s="1" t="s">
        <v>10464</v>
      </c>
      <c r="AF960" s="1">
        <v>2005</v>
      </c>
      <c r="AG960" s="1" t="s">
        <v>204</v>
      </c>
      <c r="AH960" s="1" t="s">
        <v>2493</v>
      </c>
      <c r="AI960" s="1" t="s">
        <v>310</v>
      </c>
      <c r="AJ960" s="1" t="s">
        <v>702</v>
      </c>
      <c r="AK960" s="1" t="s">
        <v>10465</v>
      </c>
      <c r="AL960" s="1">
        <v>7</v>
      </c>
      <c r="AM960" s="1">
        <v>2</v>
      </c>
      <c r="AN960" s="1">
        <v>2</v>
      </c>
      <c r="AO960" s="1">
        <v>0</v>
      </c>
      <c r="AP960" s="1" t="s">
        <v>209</v>
      </c>
      <c r="AQ960" s="1">
        <v>1</v>
      </c>
      <c r="AR960" s="1" t="s">
        <v>210</v>
      </c>
      <c r="AS960" s="1" t="s">
        <v>204</v>
      </c>
      <c r="AT960" s="1" t="s">
        <v>211</v>
      </c>
      <c r="AU960" s="1">
        <v>2</v>
      </c>
      <c r="AW960" s="1" t="s">
        <v>204</v>
      </c>
      <c r="AX960" s="1" t="s">
        <v>212</v>
      </c>
      <c r="AZ960" s="1">
        <v>6060.52</v>
      </c>
      <c r="BA960" s="1">
        <v>2012</v>
      </c>
      <c r="BB960" s="1" t="s">
        <v>210</v>
      </c>
      <c r="BE960" s="1">
        <v>2107</v>
      </c>
      <c r="BF960" s="1">
        <v>2</v>
      </c>
      <c r="BG960" s="1">
        <v>30</v>
      </c>
      <c r="BL960" s="1">
        <v>225</v>
      </c>
      <c r="BM960" s="1" t="s">
        <v>204</v>
      </c>
      <c r="BN960" s="1" t="s">
        <v>213</v>
      </c>
      <c r="BO960" s="1">
        <v>999</v>
      </c>
      <c r="BP960" s="1" t="s">
        <v>204</v>
      </c>
      <c r="BR960" s="1" t="str">
        <f>"18074180591007"</f>
        <v>18074180591007</v>
      </c>
      <c r="BT960" s="1" t="s">
        <v>10466</v>
      </c>
      <c r="BU960" s="1" t="s">
        <v>10467</v>
      </c>
      <c r="BV960" s="1" t="s">
        <v>10468</v>
      </c>
      <c r="BW960" s="1" t="s">
        <v>706</v>
      </c>
      <c r="BX960" s="1">
        <v>101</v>
      </c>
      <c r="BY960" s="1">
        <v>101</v>
      </c>
      <c r="BZ960" s="1">
        <v>204</v>
      </c>
      <c r="CB960" s="1" t="str">
        <f t="shared" ref="CB960:CC960" si="738">"0"</f>
        <v>0</v>
      </c>
      <c r="CC960" s="1" t="str">
        <f t="shared" si="738"/>
        <v>0</v>
      </c>
      <c r="CD960" s="1">
        <v>14</v>
      </c>
      <c r="CE960" s="1">
        <v>5</v>
      </c>
      <c r="CG960" s="1" t="s">
        <v>1200</v>
      </c>
      <c r="CH960" s="1" t="s">
        <v>219</v>
      </c>
      <c r="CI960" s="1" t="s">
        <v>220</v>
      </c>
      <c r="CK960" s="1" t="s">
        <v>861</v>
      </c>
      <c r="CL960" s="1" t="s">
        <v>219</v>
      </c>
      <c r="CM960" s="1" t="s">
        <v>220</v>
      </c>
      <c r="CO960" s="1" t="s">
        <v>602</v>
      </c>
      <c r="CP960" s="1" t="s">
        <v>219</v>
      </c>
      <c r="CQ960" s="1" t="s">
        <v>220</v>
      </c>
      <c r="CS960" s="1" t="s">
        <v>1046</v>
      </c>
      <c r="CT960" s="1" t="s">
        <v>219</v>
      </c>
      <c r="CU960" s="1" t="s">
        <v>220</v>
      </c>
      <c r="CX960" s="1" t="s">
        <v>224</v>
      </c>
      <c r="DB960" s="1" t="s">
        <v>224</v>
      </c>
      <c r="DE960" s="1" t="s">
        <v>602</v>
      </c>
      <c r="DF960" s="1" t="s">
        <v>219</v>
      </c>
      <c r="DG960" s="1" t="s">
        <v>226</v>
      </c>
      <c r="DI960" s="1" t="s">
        <v>10469</v>
      </c>
      <c r="DJ960" s="1" t="s">
        <v>219</v>
      </c>
      <c r="DK960" s="1" t="s">
        <v>220</v>
      </c>
      <c r="DM960" s="1" t="s">
        <v>1548</v>
      </c>
      <c r="DN960" s="1" t="s">
        <v>603</v>
      </c>
      <c r="DR960" s="1" t="s">
        <v>1297</v>
      </c>
      <c r="DS960" s="1" t="s">
        <v>219</v>
      </c>
      <c r="DT960" s="1" t="s">
        <v>226</v>
      </c>
      <c r="DV960" s="1" t="s">
        <v>2841</v>
      </c>
      <c r="DW960" s="1" t="s">
        <v>219</v>
      </c>
      <c r="DX960" s="1" t="s">
        <v>226</v>
      </c>
      <c r="EA960" s="1" t="s">
        <v>230</v>
      </c>
      <c r="EE960" s="1" t="s">
        <v>230</v>
      </c>
      <c r="EI960" s="1" t="s">
        <v>230</v>
      </c>
      <c r="EL960" s="1" t="s">
        <v>491</v>
      </c>
      <c r="EM960" s="1" t="s">
        <v>319</v>
      </c>
      <c r="EN960" s="1" t="s">
        <v>282</v>
      </c>
      <c r="EO960" s="1" t="s">
        <v>234</v>
      </c>
      <c r="EP960" s="1" t="s">
        <v>650</v>
      </c>
      <c r="ER960" s="1" t="s">
        <v>210</v>
      </c>
      <c r="ET960" s="1" t="s">
        <v>1201</v>
      </c>
      <c r="EW960" s="1" t="s">
        <v>353</v>
      </c>
      <c r="EZ960" s="1" t="s">
        <v>10470</v>
      </c>
      <c r="FA960" s="1" t="s">
        <v>471</v>
      </c>
      <c r="FB960" s="1" t="s">
        <v>289</v>
      </c>
      <c r="FD960" s="1" t="s">
        <v>246</v>
      </c>
      <c r="FE960" s="1" t="s">
        <v>549</v>
      </c>
      <c r="FF960" s="1" t="s">
        <v>248</v>
      </c>
      <c r="FG960" s="1" t="s">
        <v>912</v>
      </c>
      <c r="FH960" s="1" t="s">
        <v>2221</v>
      </c>
      <c r="FL960" s="1" t="s">
        <v>358</v>
      </c>
      <c r="FM960" s="1" t="s">
        <v>252</v>
      </c>
      <c r="FN960" s="1" t="s">
        <v>213</v>
      </c>
      <c r="FO960" s="1" t="s">
        <v>213</v>
      </c>
      <c r="FQ960" s="1" t="s">
        <v>2004</v>
      </c>
      <c r="FR960" s="1" t="s">
        <v>210</v>
      </c>
      <c r="FS960" s="1" t="s">
        <v>10471</v>
      </c>
      <c r="FT960" s="1" t="s">
        <v>295</v>
      </c>
      <c r="FU960" s="1" t="s">
        <v>213</v>
      </c>
      <c r="FW960" s="1" t="s">
        <v>2144</v>
      </c>
      <c r="FX960" s="1">
        <v>25732</v>
      </c>
      <c r="FY960" s="1" t="s">
        <v>6066</v>
      </c>
      <c r="FZ960" s="1" t="s">
        <v>6067</v>
      </c>
      <c r="GA960" s="1">
        <v>222914</v>
      </c>
      <c r="GB960" s="1" t="s">
        <v>6068</v>
      </c>
      <c r="GE960" s="1" t="s">
        <v>1226</v>
      </c>
      <c r="GI960" s="1" t="s">
        <v>213</v>
      </c>
      <c r="GJ960" s="1" t="s">
        <v>260</v>
      </c>
      <c r="GK960" s="1" t="s">
        <v>210</v>
      </c>
      <c r="GL960" s="2">
        <v>41982</v>
      </c>
      <c r="GM960" s="1" t="s">
        <v>10472</v>
      </c>
    </row>
    <row r="961" spans="1:195">
      <c r="A961" s="1">
        <v>200000</v>
      </c>
      <c r="B961" s="1" t="s">
        <v>195</v>
      </c>
      <c r="C961" s="1" t="str">
        <f>"08621398"</f>
        <v>08621398</v>
      </c>
      <c r="D961" s="1" t="s">
        <v>196</v>
      </c>
      <c r="F961" s="1" t="str">
        <f>"10"</f>
        <v>10</v>
      </c>
      <c r="G961" s="2">
        <v>41780</v>
      </c>
      <c r="H961" s="1">
        <v>257250</v>
      </c>
      <c r="I961" s="1">
        <v>213655</v>
      </c>
      <c r="J961" s="1">
        <v>200000</v>
      </c>
      <c r="K961" s="2">
        <v>41779</v>
      </c>
      <c r="L961" s="1">
        <v>151</v>
      </c>
      <c r="M961" s="2">
        <v>41929</v>
      </c>
      <c r="N961" s="1">
        <v>151</v>
      </c>
      <c r="O961" s="2">
        <v>41929</v>
      </c>
      <c r="P961" s="1">
        <v>3592</v>
      </c>
      <c r="Q961" s="1" t="s">
        <v>302</v>
      </c>
      <c r="R961" s="2">
        <v>42059</v>
      </c>
      <c r="S961" s="1">
        <v>35051</v>
      </c>
      <c r="U961" s="1">
        <v>541</v>
      </c>
      <c r="V961" s="1" t="s">
        <v>9683</v>
      </c>
      <c r="W961" s="1" t="s">
        <v>725</v>
      </c>
      <c r="X961" s="1">
        <v>303</v>
      </c>
      <c r="Y961" s="1">
        <v>18</v>
      </c>
      <c r="Z961" s="1" t="s">
        <v>249</v>
      </c>
      <c r="AA961" s="1" t="s">
        <v>6288</v>
      </c>
      <c r="AB961" s="1">
        <v>60010</v>
      </c>
      <c r="AE961" s="1" t="s">
        <v>10473</v>
      </c>
      <c r="AF961" s="1">
        <v>1999</v>
      </c>
      <c r="AG961" s="1" t="s">
        <v>204</v>
      </c>
      <c r="AH961" s="1" t="s">
        <v>6729</v>
      </c>
      <c r="AI961" s="1" t="s">
        <v>509</v>
      </c>
      <c r="AJ961" s="1" t="s">
        <v>1989</v>
      </c>
      <c r="AL961" s="1">
        <v>6</v>
      </c>
      <c r="AM961" s="1">
        <v>2</v>
      </c>
      <c r="AN961" s="1">
        <v>2</v>
      </c>
      <c r="AO961" s="1">
        <v>0</v>
      </c>
      <c r="AP961" s="1" t="s">
        <v>209</v>
      </c>
      <c r="AQ961" s="1">
        <v>0</v>
      </c>
      <c r="AR961" s="1" t="s">
        <v>210</v>
      </c>
      <c r="AT961" s="1" t="s">
        <v>211</v>
      </c>
      <c r="AU961" s="1">
        <v>1</v>
      </c>
      <c r="AW961" s="1" t="s">
        <v>204</v>
      </c>
      <c r="AX961" s="1" t="s">
        <v>212</v>
      </c>
      <c r="AZ961" s="1">
        <v>5630.58</v>
      </c>
      <c r="BA961" s="1">
        <v>2012</v>
      </c>
      <c r="BE961" s="1">
        <v>1723</v>
      </c>
      <c r="BF961" s="1">
        <v>3</v>
      </c>
      <c r="BG961" s="1">
        <v>0</v>
      </c>
      <c r="BL961" s="1">
        <v>389</v>
      </c>
      <c r="BM961" s="1" t="s">
        <v>204</v>
      </c>
      <c r="BN961" s="1" t="s">
        <v>213</v>
      </c>
      <c r="BO961" s="1">
        <v>0</v>
      </c>
      <c r="BP961" s="1" t="s">
        <v>204</v>
      </c>
      <c r="BR961" s="1" t="str">
        <f>"13363031800000"</f>
        <v>13363031800000</v>
      </c>
      <c r="BT961" s="1" t="s">
        <v>10474</v>
      </c>
      <c r="BX961" s="1">
        <v>220</v>
      </c>
      <c r="BY961" s="1">
        <v>220</v>
      </c>
      <c r="BZ961" s="1">
        <v>220</v>
      </c>
      <c r="CB961" s="1" t="str">
        <f t="shared" ref="CB961:CC961" si="739">""</f>
        <v/>
      </c>
      <c r="CC961" s="1" t="str">
        <f t="shared" si="739"/>
        <v/>
      </c>
      <c r="CG961" s="1" t="s">
        <v>10475</v>
      </c>
      <c r="CH961" s="1" t="s">
        <v>219</v>
      </c>
      <c r="CI961" s="1" t="s">
        <v>220</v>
      </c>
      <c r="CK961" s="1" t="s">
        <v>5501</v>
      </c>
      <c r="CL961" s="1" t="s">
        <v>219</v>
      </c>
      <c r="CM961" s="1" t="s">
        <v>220</v>
      </c>
      <c r="CO961" s="1" t="s">
        <v>346</v>
      </c>
      <c r="CP961" s="1" t="s">
        <v>219</v>
      </c>
      <c r="CQ961" s="1" t="s">
        <v>220</v>
      </c>
      <c r="CS961" s="1" t="s">
        <v>461</v>
      </c>
      <c r="CT961" s="1" t="s">
        <v>219</v>
      </c>
      <c r="CU961" s="1" t="s">
        <v>220</v>
      </c>
      <c r="CX961" s="1" t="s">
        <v>224</v>
      </c>
      <c r="DB961" s="1" t="s">
        <v>224</v>
      </c>
      <c r="DE961" s="1" t="s">
        <v>1297</v>
      </c>
      <c r="DF961" s="1" t="s">
        <v>219</v>
      </c>
      <c r="DG961" s="1" t="s">
        <v>226</v>
      </c>
      <c r="DJ961" s="1" t="s">
        <v>224</v>
      </c>
      <c r="DM961" s="1" t="s">
        <v>381</v>
      </c>
      <c r="DR961" s="1" t="s">
        <v>316</v>
      </c>
      <c r="DS961" s="1" t="s">
        <v>219</v>
      </c>
      <c r="DT961" s="1" t="s">
        <v>226</v>
      </c>
      <c r="DW961" s="1" t="s">
        <v>230</v>
      </c>
      <c r="EA961" s="1" t="s">
        <v>230</v>
      </c>
      <c r="EE961" s="1" t="s">
        <v>230</v>
      </c>
      <c r="EI961" s="1" t="s">
        <v>230</v>
      </c>
      <c r="EL961" s="1" t="s">
        <v>466</v>
      </c>
      <c r="EM961" s="1" t="s">
        <v>319</v>
      </c>
      <c r="EN961" s="1" t="s">
        <v>282</v>
      </c>
      <c r="EO961" s="1" t="s">
        <v>234</v>
      </c>
      <c r="EP961" s="1" t="s">
        <v>10476</v>
      </c>
      <c r="EQ961" s="1" t="s">
        <v>4356</v>
      </c>
      <c r="ER961" s="1" t="s">
        <v>210</v>
      </c>
      <c r="ES961" s="1" t="s">
        <v>322</v>
      </c>
      <c r="ET961" s="1" t="s">
        <v>323</v>
      </c>
      <c r="EU961" s="1" t="s">
        <v>239</v>
      </c>
      <c r="EV961" s="1" t="s">
        <v>324</v>
      </c>
      <c r="EW961" s="1" t="s">
        <v>887</v>
      </c>
      <c r="EY961" s="1" t="s">
        <v>1315</v>
      </c>
      <c r="EZ961" s="1" t="s">
        <v>381</v>
      </c>
      <c r="FB961" s="1" t="s">
        <v>1505</v>
      </c>
      <c r="FD961" s="1" t="s">
        <v>246</v>
      </c>
      <c r="FE961" s="1" t="s">
        <v>247</v>
      </c>
      <c r="FF961" s="1" t="s">
        <v>248</v>
      </c>
      <c r="FH961" s="1" t="s">
        <v>249</v>
      </c>
      <c r="FL961" s="1" t="s">
        <v>358</v>
      </c>
      <c r="FM961" s="1" t="s">
        <v>252</v>
      </c>
      <c r="FN961" s="1" t="s">
        <v>213</v>
      </c>
      <c r="FO961" s="1" t="s">
        <v>213</v>
      </c>
      <c r="FQ961" s="1" t="s">
        <v>849</v>
      </c>
      <c r="FR961" s="1" t="s">
        <v>210</v>
      </c>
      <c r="FS961" s="1" t="s">
        <v>10477</v>
      </c>
      <c r="FT961" s="1" t="s">
        <v>10478</v>
      </c>
      <c r="FU961" s="1" t="s">
        <v>204</v>
      </c>
      <c r="FW961" s="1" t="s">
        <v>8579</v>
      </c>
      <c r="FX961" s="1">
        <v>3592</v>
      </c>
      <c r="FY961" s="1" t="s">
        <v>10479</v>
      </c>
      <c r="FZ961" s="1" t="s">
        <v>10480</v>
      </c>
      <c r="GA961" s="1">
        <v>35051</v>
      </c>
      <c r="GB961" s="1" t="s">
        <v>10481</v>
      </c>
      <c r="GE961" s="1" t="s">
        <v>210</v>
      </c>
      <c r="GH961" s="1" t="s">
        <v>230</v>
      </c>
      <c r="GI961" s="1" t="s">
        <v>204</v>
      </c>
      <c r="GJ961" s="1" t="s">
        <v>260</v>
      </c>
      <c r="GK961" s="1" t="s">
        <v>210</v>
      </c>
      <c r="GL961" s="2">
        <v>42059</v>
      </c>
      <c r="GM961" s="1" t="s">
        <v>10482</v>
      </c>
    </row>
    <row r="962" spans="1:195">
      <c r="A962" s="1">
        <v>80000</v>
      </c>
      <c r="B962" s="1" t="s">
        <v>195</v>
      </c>
      <c r="C962" s="1" t="str">
        <f>"08626178"</f>
        <v>08626178</v>
      </c>
      <c r="D962" s="1" t="s">
        <v>196</v>
      </c>
      <c r="F962" s="1" t="str">
        <f>"516"</f>
        <v>516</v>
      </c>
      <c r="G962" s="2">
        <v>41786</v>
      </c>
      <c r="H962" s="1">
        <v>89900</v>
      </c>
      <c r="I962" s="1">
        <v>89900</v>
      </c>
      <c r="J962" s="1">
        <v>80000</v>
      </c>
      <c r="K962" s="2">
        <v>41785</v>
      </c>
      <c r="L962" s="1">
        <v>151</v>
      </c>
      <c r="M962" s="2">
        <v>41935</v>
      </c>
      <c r="N962" s="1">
        <v>151</v>
      </c>
      <c r="O962" s="2">
        <v>41935</v>
      </c>
      <c r="P962" s="1">
        <v>23265</v>
      </c>
      <c r="Q962" s="1" t="s">
        <v>197</v>
      </c>
      <c r="R962" s="2">
        <v>42013</v>
      </c>
      <c r="S962" s="1">
        <v>234125</v>
      </c>
      <c r="U962" s="1" t="s">
        <v>10483</v>
      </c>
      <c r="V962" s="1" t="s">
        <v>10484</v>
      </c>
      <c r="W962" s="1" t="s">
        <v>425</v>
      </c>
      <c r="X962" s="1">
        <v>201</v>
      </c>
      <c r="Y962" s="1">
        <v>8</v>
      </c>
      <c r="Z962" s="1" t="s">
        <v>249</v>
      </c>
      <c r="AA962" s="1" t="s">
        <v>1417</v>
      </c>
      <c r="AB962" s="1">
        <v>60527</v>
      </c>
      <c r="AC962" s="1">
        <v>6584</v>
      </c>
      <c r="AD962" s="1" t="s">
        <v>10485</v>
      </c>
      <c r="AE962" s="1" t="s">
        <v>10486</v>
      </c>
      <c r="AF962" s="1" t="s">
        <v>402</v>
      </c>
      <c r="AG962" s="1" t="s">
        <v>213</v>
      </c>
      <c r="AH962" s="1" t="s">
        <v>882</v>
      </c>
      <c r="AI962" s="1" t="s">
        <v>206</v>
      </c>
      <c r="AJ962" s="1" t="s">
        <v>903</v>
      </c>
      <c r="AL962" s="1">
        <v>5</v>
      </c>
      <c r="AM962" s="1">
        <v>2</v>
      </c>
      <c r="AN962" s="1">
        <v>1</v>
      </c>
      <c r="AO962" s="1">
        <v>0</v>
      </c>
      <c r="AP962" s="1" t="s">
        <v>210</v>
      </c>
      <c r="AR962" s="1" t="s">
        <v>210</v>
      </c>
      <c r="AS962" s="1" t="s">
        <v>204</v>
      </c>
      <c r="AT962" s="1" t="s">
        <v>271</v>
      </c>
      <c r="AV962" s="1">
        <v>2</v>
      </c>
      <c r="AW962" s="1" t="s">
        <v>204</v>
      </c>
      <c r="AX962" s="1" t="s">
        <v>212</v>
      </c>
      <c r="AZ962" s="1">
        <v>1008</v>
      </c>
      <c r="BA962" s="1">
        <v>2013</v>
      </c>
      <c r="BB962" s="1" t="s">
        <v>405</v>
      </c>
      <c r="BE962" s="1">
        <v>0</v>
      </c>
      <c r="BF962" s="1">
        <v>2</v>
      </c>
      <c r="BG962" s="1">
        <v>30</v>
      </c>
      <c r="BJ962" s="1">
        <v>100</v>
      </c>
      <c r="BL962" s="1">
        <v>274</v>
      </c>
      <c r="BM962" s="1" t="s">
        <v>204</v>
      </c>
      <c r="BN962" s="1" t="s">
        <v>213</v>
      </c>
      <c r="BO962" s="1">
        <v>0</v>
      </c>
      <c r="BP962" s="1" t="s">
        <v>204</v>
      </c>
      <c r="BR962" s="1" t="str">
        <f>"1002307297"</f>
        <v>1002307297</v>
      </c>
      <c r="BT962" s="1" t="s">
        <v>10487</v>
      </c>
      <c r="BX962" s="1">
        <v>180</v>
      </c>
      <c r="BY962" s="1">
        <v>180</v>
      </c>
      <c r="BZ962" s="1">
        <v>86</v>
      </c>
      <c r="CB962" s="1" t="str">
        <f t="shared" ref="CB962:CC962" si="740">"0"</f>
        <v>0</v>
      </c>
      <c r="CC962" s="1" t="str">
        <f t="shared" si="740"/>
        <v>0</v>
      </c>
      <c r="CD962" s="1">
        <v>16</v>
      </c>
      <c r="CE962" s="1">
        <v>10</v>
      </c>
      <c r="CG962" s="1" t="s">
        <v>628</v>
      </c>
      <c r="CH962" s="1" t="s">
        <v>277</v>
      </c>
      <c r="CI962" s="1" t="s">
        <v>220</v>
      </c>
      <c r="CJ962" s="1" t="s">
        <v>343</v>
      </c>
      <c r="CK962" s="1" t="s">
        <v>278</v>
      </c>
      <c r="CL962" s="1" t="s">
        <v>277</v>
      </c>
      <c r="CM962" s="1" t="s">
        <v>220</v>
      </c>
      <c r="CO962" s="1" t="s">
        <v>318</v>
      </c>
      <c r="CP962" s="1" t="s">
        <v>277</v>
      </c>
      <c r="CQ962" s="1" t="s">
        <v>220</v>
      </c>
      <c r="CR962" s="1" t="s">
        <v>210</v>
      </c>
      <c r="CS962" s="1" t="s">
        <v>344</v>
      </c>
      <c r="CT962" s="1" t="s">
        <v>277</v>
      </c>
      <c r="CU962" s="1" t="s">
        <v>220</v>
      </c>
      <c r="CV962" s="1" t="s">
        <v>210</v>
      </c>
      <c r="CX962" s="1" t="s">
        <v>224</v>
      </c>
      <c r="DB962" s="1" t="s">
        <v>224</v>
      </c>
      <c r="DE962" s="1" t="s">
        <v>3284</v>
      </c>
      <c r="DF962" s="1" t="s">
        <v>277</v>
      </c>
      <c r="DG962" s="1" t="s">
        <v>342</v>
      </c>
      <c r="DH962" s="1" t="s">
        <v>210</v>
      </c>
      <c r="DJ962" s="1" t="s">
        <v>224</v>
      </c>
      <c r="DS962" s="1" t="s">
        <v>230</v>
      </c>
      <c r="DW962" s="1" t="s">
        <v>230</v>
      </c>
      <c r="EA962" s="1" t="s">
        <v>230</v>
      </c>
      <c r="EE962" s="1" t="s">
        <v>230</v>
      </c>
      <c r="EI962" s="1" t="s">
        <v>230</v>
      </c>
      <c r="EL962" s="1" t="s">
        <v>413</v>
      </c>
      <c r="EM962" s="1" t="s">
        <v>232</v>
      </c>
      <c r="EN962" s="1" t="s">
        <v>282</v>
      </c>
      <c r="EO962" s="1" t="s">
        <v>234</v>
      </c>
      <c r="EP962" s="1" t="s">
        <v>10488</v>
      </c>
      <c r="EQ962" s="1" t="s">
        <v>10489</v>
      </c>
      <c r="ER962" s="1" t="s">
        <v>210</v>
      </c>
      <c r="ES962" s="1" t="s">
        <v>545</v>
      </c>
      <c r="EV962" s="1" t="s">
        <v>324</v>
      </c>
      <c r="EW962" s="1" t="s">
        <v>4510</v>
      </c>
      <c r="EZ962" s="1" t="s">
        <v>287</v>
      </c>
      <c r="FA962" s="1" t="s">
        <v>714</v>
      </c>
      <c r="FB962" s="1" t="s">
        <v>289</v>
      </c>
      <c r="FC962" s="1" t="s">
        <v>1555</v>
      </c>
      <c r="FD962" s="1" t="s">
        <v>246</v>
      </c>
      <c r="FE962" s="1" t="s">
        <v>247</v>
      </c>
      <c r="FF962" s="1" t="s">
        <v>1113</v>
      </c>
      <c r="FH962" s="1" t="s">
        <v>249</v>
      </c>
      <c r="FK962" s="1" t="s">
        <v>891</v>
      </c>
      <c r="FL962" s="1" t="s">
        <v>358</v>
      </c>
      <c r="FM962" s="1" t="s">
        <v>252</v>
      </c>
      <c r="FN962" s="1" t="s">
        <v>213</v>
      </c>
      <c r="FO962" s="1" t="s">
        <v>213</v>
      </c>
      <c r="FQ962" s="1" t="s">
        <v>849</v>
      </c>
      <c r="FR962" s="1" t="s">
        <v>210</v>
      </c>
      <c r="FS962" s="1" t="s">
        <v>10490</v>
      </c>
      <c r="FT962" s="1" t="s">
        <v>10491</v>
      </c>
      <c r="FU962" s="1" t="s">
        <v>204</v>
      </c>
      <c r="FW962" s="1" t="s">
        <v>1898</v>
      </c>
      <c r="FX962" s="1">
        <v>23030</v>
      </c>
      <c r="FY962" s="1" t="s">
        <v>1899</v>
      </c>
      <c r="FZ962" s="1" t="s">
        <v>10492</v>
      </c>
      <c r="GA962" s="1">
        <v>230061</v>
      </c>
      <c r="GB962" s="1" t="s">
        <v>10493</v>
      </c>
      <c r="GE962" s="1" t="s">
        <v>210</v>
      </c>
      <c r="GI962" s="1" t="s">
        <v>213</v>
      </c>
      <c r="GJ962" s="1" t="s">
        <v>260</v>
      </c>
      <c r="GK962" s="1" t="s">
        <v>210</v>
      </c>
      <c r="GL962" s="2">
        <v>42013</v>
      </c>
    </row>
    <row r="963" spans="1:195">
      <c r="A963" s="1">
        <v>65000</v>
      </c>
      <c r="B963" s="1" t="s">
        <v>195</v>
      </c>
      <c r="C963" s="1" t="str">
        <f>"08623617"</f>
        <v>08623617</v>
      </c>
      <c r="D963" s="1" t="s">
        <v>196</v>
      </c>
      <c r="F963" s="1" t="str">
        <f>"103"</f>
        <v>103</v>
      </c>
      <c r="G963" s="2">
        <v>41782</v>
      </c>
      <c r="H963" s="1">
        <v>87000</v>
      </c>
      <c r="I963" s="1">
        <v>70000</v>
      </c>
      <c r="J963" s="1">
        <v>65000</v>
      </c>
      <c r="K963" s="2">
        <v>41782</v>
      </c>
      <c r="L963" s="1">
        <v>43</v>
      </c>
      <c r="M963" s="2">
        <v>41824</v>
      </c>
      <c r="N963" s="1">
        <v>43</v>
      </c>
      <c r="O963" s="2">
        <v>41824</v>
      </c>
      <c r="P963" s="1">
        <v>24007</v>
      </c>
      <c r="Q963" s="1" t="s">
        <v>302</v>
      </c>
      <c r="R963" s="2">
        <v>42034</v>
      </c>
      <c r="S963" s="1">
        <v>222819</v>
      </c>
      <c r="U963" s="1">
        <v>5805</v>
      </c>
      <c r="V963" s="1" t="s">
        <v>10494</v>
      </c>
      <c r="W963" s="1" t="s">
        <v>304</v>
      </c>
      <c r="X963" s="1" t="s">
        <v>1688</v>
      </c>
      <c r="Y963" s="1">
        <v>4</v>
      </c>
      <c r="Z963" s="1" t="s">
        <v>249</v>
      </c>
      <c r="AA963" s="1" t="s">
        <v>337</v>
      </c>
      <c r="AB963" s="1">
        <v>60133</v>
      </c>
      <c r="AD963" s="1" t="s">
        <v>7078</v>
      </c>
      <c r="AE963" s="1" t="s">
        <v>10495</v>
      </c>
      <c r="AF963" s="1">
        <v>1978</v>
      </c>
      <c r="AG963" s="1" t="s">
        <v>204</v>
      </c>
      <c r="AH963" s="1" t="s">
        <v>339</v>
      </c>
      <c r="AI963" s="1" t="s">
        <v>206</v>
      </c>
      <c r="AJ963" s="1" t="s">
        <v>269</v>
      </c>
      <c r="AL963" s="1">
        <v>5</v>
      </c>
      <c r="AM963" s="1">
        <v>2</v>
      </c>
      <c r="AN963" s="1">
        <v>1</v>
      </c>
      <c r="AO963" s="1">
        <v>0</v>
      </c>
      <c r="AP963" s="1" t="s">
        <v>667</v>
      </c>
      <c r="AQ963" s="1">
        <v>0</v>
      </c>
      <c r="AR963" s="1" t="s">
        <v>210</v>
      </c>
      <c r="AS963" s="1" t="s">
        <v>204</v>
      </c>
      <c r="AT963" s="1" t="s">
        <v>211</v>
      </c>
      <c r="AU963" s="1">
        <v>1</v>
      </c>
      <c r="AW963" s="1" t="s">
        <v>204</v>
      </c>
      <c r="AX963" s="1">
        <v>7200</v>
      </c>
      <c r="AZ963" s="1">
        <v>2634.02</v>
      </c>
      <c r="BA963" s="1">
        <v>2013</v>
      </c>
      <c r="BB963" s="1" t="s">
        <v>405</v>
      </c>
      <c r="BE963" s="1">
        <v>943</v>
      </c>
      <c r="BF963" s="1">
        <v>2</v>
      </c>
      <c r="BG963" s="1">
        <v>30</v>
      </c>
      <c r="BL963" s="1">
        <v>270</v>
      </c>
      <c r="BM963" s="1" t="s">
        <v>204</v>
      </c>
      <c r="BN963" s="1" t="s">
        <v>213</v>
      </c>
      <c r="BO963" s="1">
        <v>999</v>
      </c>
      <c r="BP963" s="1" t="s">
        <v>204</v>
      </c>
      <c r="BR963" s="1" t="str">
        <f>"0206410114"</f>
        <v>0206410114</v>
      </c>
      <c r="BT963" s="1" t="s">
        <v>10496</v>
      </c>
      <c r="BU963" s="1" t="s">
        <v>341</v>
      </c>
      <c r="BV963" s="1" t="s">
        <v>274</v>
      </c>
      <c r="BW963" s="1" t="s">
        <v>275</v>
      </c>
      <c r="BX963" s="1">
        <v>20</v>
      </c>
      <c r="BY963" s="1">
        <v>20</v>
      </c>
      <c r="BZ963" s="1">
        <v>108</v>
      </c>
      <c r="CB963" s="1" t="str">
        <f>"7"</f>
        <v>7</v>
      </c>
      <c r="CC963" s="1" t="str">
        <f>"0"</f>
        <v>0</v>
      </c>
      <c r="CD963" s="1">
        <v>26</v>
      </c>
      <c r="CE963" s="1">
        <v>0</v>
      </c>
      <c r="CG963" s="1" t="s">
        <v>1045</v>
      </c>
      <c r="CH963" s="1" t="s">
        <v>219</v>
      </c>
      <c r="CI963" s="1" t="s">
        <v>229</v>
      </c>
      <c r="CJ963" s="1" t="s">
        <v>343</v>
      </c>
      <c r="CK963" s="1" t="s">
        <v>461</v>
      </c>
      <c r="CL963" s="1" t="s">
        <v>219</v>
      </c>
      <c r="CM963" s="1" t="s">
        <v>220</v>
      </c>
      <c r="CN963" s="1" t="s">
        <v>343</v>
      </c>
      <c r="CO963" s="1" t="s">
        <v>281</v>
      </c>
      <c r="CP963" s="1" t="s">
        <v>219</v>
      </c>
      <c r="CQ963" s="1" t="s">
        <v>229</v>
      </c>
      <c r="CR963" s="1" t="s">
        <v>343</v>
      </c>
      <c r="CS963" s="1" t="s">
        <v>346</v>
      </c>
      <c r="CT963" s="1" t="s">
        <v>219</v>
      </c>
      <c r="CU963" s="1" t="s">
        <v>220</v>
      </c>
      <c r="CV963" s="1" t="s">
        <v>343</v>
      </c>
      <c r="CX963" s="1" t="s">
        <v>224</v>
      </c>
      <c r="DB963" s="1" t="s">
        <v>224</v>
      </c>
      <c r="DE963" s="1" t="s">
        <v>465</v>
      </c>
      <c r="DF963" s="1" t="s">
        <v>219</v>
      </c>
      <c r="DG963" s="1" t="s">
        <v>229</v>
      </c>
      <c r="DH963" s="1" t="s">
        <v>343</v>
      </c>
      <c r="DJ963" s="1" t="s">
        <v>224</v>
      </c>
      <c r="DM963" s="1" t="s">
        <v>1359</v>
      </c>
      <c r="DR963" s="1" t="s">
        <v>10497</v>
      </c>
      <c r="DS963" s="1" t="s">
        <v>219</v>
      </c>
      <c r="DW963" s="1" t="s">
        <v>230</v>
      </c>
      <c r="EA963" s="1" t="s">
        <v>230</v>
      </c>
      <c r="EE963" s="1" t="s">
        <v>230</v>
      </c>
      <c r="EI963" s="1" t="s">
        <v>230</v>
      </c>
      <c r="EL963" s="1" t="s">
        <v>231</v>
      </c>
      <c r="EM963" s="1" t="s">
        <v>319</v>
      </c>
      <c r="EN963" s="1" t="s">
        <v>282</v>
      </c>
      <c r="EO963" s="1" t="s">
        <v>234</v>
      </c>
      <c r="EP963" s="1" t="s">
        <v>5593</v>
      </c>
      <c r="EQ963" s="1" t="s">
        <v>1439</v>
      </c>
      <c r="ER963" s="1" t="s">
        <v>210</v>
      </c>
      <c r="ES963" s="1" t="s">
        <v>469</v>
      </c>
      <c r="EU963" s="1" t="s">
        <v>239</v>
      </c>
      <c r="EV963" s="1" t="s">
        <v>240</v>
      </c>
      <c r="EW963" s="1" t="s">
        <v>1504</v>
      </c>
      <c r="EZ963" s="1" t="s">
        <v>1359</v>
      </c>
      <c r="FA963" s="1" t="s">
        <v>8988</v>
      </c>
      <c r="FB963" s="1" t="s">
        <v>289</v>
      </c>
      <c r="FD963" s="1" t="s">
        <v>246</v>
      </c>
      <c r="FE963" s="1" t="s">
        <v>975</v>
      </c>
      <c r="FF963" s="1" t="s">
        <v>248</v>
      </c>
      <c r="FH963" s="1" t="s">
        <v>6378</v>
      </c>
      <c r="FI963" s="1" t="s">
        <v>473</v>
      </c>
      <c r="FJ963" s="1" t="s">
        <v>1472</v>
      </c>
      <c r="FL963" s="1" t="s">
        <v>358</v>
      </c>
      <c r="FM963" s="1" t="s">
        <v>252</v>
      </c>
      <c r="FN963" s="1" t="s">
        <v>213</v>
      </c>
      <c r="FO963" s="1" t="s">
        <v>213</v>
      </c>
      <c r="FQ963" s="1" t="s">
        <v>1317</v>
      </c>
      <c r="FR963" s="1" t="s">
        <v>360</v>
      </c>
      <c r="FS963" s="1" t="s">
        <v>10498</v>
      </c>
      <c r="FT963" s="1" t="s">
        <v>255</v>
      </c>
      <c r="FU963" s="1" t="s">
        <v>204</v>
      </c>
      <c r="FW963" s="1" t="s">
        <v>915</v>
      </c>
      <c r="FX963" s="1">
        <v>23591</v>
      </c>
      <c r="FY963" s="1" t="s">
        <v>1710</v>
      </c>
      <c r="FZ963" s="1" t="s">
        <v>10499</v>
      </c>
      <c r="GA963" s="1">
        <v>228821</v>
      </c>
      <c r="GB963" s="1" t="s">
        <v>10500</v>
      </c>
      <c r="GE963" s="1" t="s">
        <v>210</v>
      </c>
      <c r="GI963" s="1" t="s">
        <v>213</v>
      </c>
      <c r="GJ963" s="1" t="s">
        <v>260</v>
      </c>
      <c r="GK963" s="1" t="s">
        <v>210</v>
      </c>
      <c r="GL963" s="2">
        <v>42034</v>
      </c>
      <c r="GM963" s="1" t="s">
        <v>10501</v>
      </c>
    </row>
    <row r="964" spans="1:195">
      <c r="A964" s="1">
        <v>97000</v>
      </c>
      <c r="B964" s="1" t="s">
        <v>195</v>
      </c>
      <c r="C964" s="1" t="str">
        <f>"08638534"</f>
        <v>08638534</v>
      </c>
      <c r="D964" s="1" t="s">
        <v>196</v>
      </c>
      <c r="F964" s="1" t="str">
        <f>"532"</f>
        <v>532</v>
      </c>
      <c r="G964" s="2">
        <v>41798</v>
      </c>
      <c r="H964" s="1">
        <v>123500</v>
      </c>
      <c r="I964" s="1">
        <v>109900</v>
      </c>
      <c r="J964" s="1">
        <v>97000</v>
      </c>
      <c r="K964" s="2">
        <v>41798</v>
      </c>
      <c r="L964" s="1">
        <v>141</v>
      </c>
      <c r="M964" s="2">
        <v>41938</v>
      </c>
      <c r="N964" s="1">
        <v>141</v>
      </c>
      <c r="O964" s="2">
        <v>41938</v>
      </c>
      <c r="P964" s="1">
        <v>25189</v>
      </c>
      <c r="Q964" s="1" t="s">
        <v>302</v>
      </c>
      <c r="R964" s="2">
        <v>41971</v>
      </c>
      <c r="S964" s="1">
        <v>229787</v>
      </c>
      <c r="U964" s="1">
        <v>5511</v>
      </c>
      <c r="V964" s="1" t="s">
        <v>509</v>
      </c>
      <c r="W964" s="1" t="s">
        <v>264</v>
      </c>
      <c r="X964" s="1" t="s">
        <v>483</v>
      </c>
      <c r="Y964" s="1">
        <v>6</v>
      </c>
      <c r="Z964" s="1" t="s">
        <v>249</v>
      </c>
      <c r="AA964" s="1" t="s">
        <v>1566</v>
      </c>
      <c r="AB964" s="1">
        <v>60532</v>
      </c>
      <c r="AD964" s="1" t="s">
        <v>1567</v>
      </c>
      <c r="AE964" s="1" t="s">
        <v>10502</v>
      </c>
      <c r="AF964" s="1">
        <v>1978</v>
      </c>
      <c r="AG964" s="1" t="s">
        <v>204</v>
      </c>
      <c r="AH964" s="1" t="s">
        <v>925</v>
      </c>
      <c r="AI964" s="1" t="s">
        <v>206</v>
      </c>
      <c r="AJ964" s="1" t="s">
        <v>925</v>
      </c>
      <c r="AK964" s="1" t="s">
        <v>270</v>
      </c>
      <c r="AL964" s="1">
        <v>5</v>
      </c>
      <c r="AM964" s="1">
        <v>2</v>
      </c>
      <c r="AN964" s="1">
        <v>1</v>
      </c>
      <c r="AO964" s="1">
        <v>0</v>
      </c>
      <c r="AP964" s="1" t="s">
        <v>210</v>
      </c>
      <c r="AQ964" s="1">
        <v>1</v>
      </c>
      <c r="AR964" s="1" t="s">
        <v>210</v>
      </c>
      <c r="AS964" s="1" t="s">
        <v>204</v>
      </c>
      <c r="AT964" s="1" t="s">
        <v>271</v>
      </c>
      <c r="AV964" s="1">
        <v>1</v>
      </c>
      <c r="AW964" s="1" t="s">
        <v>213</v>
      </c>
      <c r="AX964" s="1" t="s">
        <v>212</v>
      </c>
      <c r="AZ964" s="1">
        <v>2203.58</v>
      </c>
      <c r="BA964" s="1">
        <v>2013</v>
      </c>
      <c r="BB964" s="1" t="s">
        <v>405</v>
      </c>
      <c r="BE964" s="1">
        <v>0</v>
      </c>
      <c r="BF964" s="1">
        <v>3</v>
      </c>
      <c r="BG964" s="1">
        <v>30</v>
      </c>
      <c r="BJ964" s="1">
        <v>80</v>
      </c>
      <c r="BK964" s="1">
        <v>100</v>
      </c>
      <c r="BL964" s="1">
        <v>330</v>
      </c>
      <c r="BM964" s="1" t="s">
        <v>204</v>
      </c>
      <c r="BN964" s="1" t="s">
        <v>213</v>
      </c>
      <c r="BO964" s="1">
        <v>0</v>
      </c>
      <c r="BP964" s="1" t="s">
        <v>204</v>
      </c>
      <c r="BR964" s="1" t="str">
        <f>"0815105180"</f>
        <v>0815105180</v>
      </c>
      <c r="BT964" s="1" t="s">
        <v>10503</v>
      </c>
      <c r="BX964" s="1">
        <v>68</v>
      </c>
      <c r="BY964" s="1">
        <v>68</v>
      </c>
      <c r="BZ964" s="1">
        <v>99</v>
      </c>
      <c r="CB964" s="1" t="str">
        <f t="shared" ref="CB964:CC964" si="741">"0"</f>
        <v>0</v>
      </c>
      <c r="CC964" s="1" t="str">
        <f t="shared" si="741"/>
        <v>0</v>
      </c>
      <c r="CD964" s="1">
        <v>23</v>
      </c>
      <c r="CE964" s="1">
        <v>6</v>
      </c>
      <c r="CG964" s="1" t="s">
        <v>669</v>
      </c>
      <c r="CH964" s="1" t="s">
        <v>219</v>
      </c>
      <c r="CI964" s="1" t="s">
        <v>220</v>
      </c>
      <c r="CK964" s="1" t="s">
        <v>461</v>
      </c>
      <c r="CL964" s="1" t="s">
        <v>219</v>
      </c>
      <c r="CM964" s="1" t="s">
        <v>220</v>
      </c>
      <c r="CO964" s="1" t="s">
        <v>910</v>
      </c>
      <c r="CP964" s="1" t="s">
        <v>219</v>
      </c>
      <c r="CQ964" s="1" t="s">
        <v>220</v>
      </c>
      <c r="CS964" s="1" t="s">
        <v>378</v>
      </c>
      <c r="CT964" s="1" t="s">
        <v>219</v>
      </c>
      <c r="CU964" s="1" t="s">
        <v>220</v>
      </c>
      <c r="CX964" s="1" t="s">
        <v>224</v>
      </c>
      <c r="DB964" s="1" t="s">
        <v>224</v>
      </c>
      <c r="DE964" s="1" t="s">
        <v>1133</v>
      </c>
      <c r="DF964" s="1" t="s">
        <v>219</v>
      </c>
      <c r="DG964" s="1" t="s">
        <v>229</v>
      </c>
      <c r="DJ964" s="1" t="s">
        <v>224</v>
      </c>
      <c r="DS964" s="1" t="s">
        <v>230</v>
      </c>
      <c r="DW964" s="1" t="s">
        <v>230</v>
      </c>
      <c r="EA964" s="1" t="s">
        <v>230</v>
      </c>
      <c r="EE964" s="1" t="s">
        <v>230</v>
      </c>
      <c r="EI964" s="1" t="s">
        <v>230</v>
      </c>
      <c r="EL964" s="1" t="s">
        <v>231</v>
      </c>
      <c r="EM964" s="1" t="s">
        <v>232</v>
      </c>
      <c r="EN964" s="1" t="s">
        <v>282</v>
      </c>
      <c r="EO964" s="1" t="s">
        <v>1020</v>
      </c>
      <c r="EP964" s="1" t="s">
        <v>10504</v>
      </c>
      <c r="EQ964" s="1" t="s">
        <v>468</v>
      </c>
      <c r="ER964" s="1" t="s">
        <v>210</v>
      </c>
      <c r="ES964" s="1" t="s">
        <v>545</v>
      </c>
      <c r="EV964" s="1" t="s">
        <v>324</v>
      </c>
      <c r="EW964" s="1" t="s">
        <v>8090</v>
      </c>
      <c r="EZ964" s="1" t="s">
        <v>287</v>
      </c>
      <c r="FC964" s="1" t="s">
        <v>633</v>
      </c>
      <c r="FD964" s="1" t="s">
        <v>246</v>
      </c>
      <c r="FE964" s="1" t="s">
        <v>247</v>
      </c>
      <c r="FF964" s="1" t="s">
        <v>248</v>
      </c>
      <c r="FH964" s="1" t="s">
        <v>249</v>
      </c>
      <c r="FK964" s="1" t="s">
        <v>291</v>
      </c>
      <c r="FL964" s="1" t="s">
        <v>414</v>
      </c>
      <c r="FM964" s="1" t="s">
        <v>252</v>
      </c>
      <c r="FN964" s="1" t="s">
        <v>213</v>
      </c>
      <c r="FO964" s="1" t="s">
        <v>213</v>
      </c>
      <c r="FQ964" s="1" t="s">
        <v>10505</v>
      </c>
      <c r="FR964" s="1" t="s">
        <v>210</v>
      </c>
      <c r="FS964" s="1" t="s">
        <v>10506</v>
      </c>
      <c r="FT964" s="1" t="s">
        <v>1182</v>
      </c>
      <c r="FU964" s="1" t="s">
        <v>204</v>
      </c>
      <c r="FW964" s="1" t="s">
        <v>10507</v>
      </c>
      <c r="FX964" s="1">
        <v>85958</v>
      </c>
      <c r="FY964" s="1" t="s">
        <v>10508</v>
      </c>
      <c r="FZ964" s="1" t="s">
        <v>10509</v>
      </c>
      <c r="GA964" s="1">
        <v>877960</v>
      </c>
      <c r="GE964" s="1" t="s">
        <v>210</v>
      </c>
      <c r="GH964" s="1" t="s">
        <v>800</v>
      </c>
      <c r="GI964" s="1" t="s">
        <v>213</v>
      </c>
      <c r="GJ964" s="1" t="s">
        <v>260</v>
      </c>
      <c r="GK964" s="1" t="s">
        <v>210</v>
      </c>
      <c r="GL964" s="2">
        <v>41971</v>
      </c>
    </row>
    <row r="965" spans="1:195">
      <c r="A965" s="1">
        <v>83000</v>
      </c>
      <c r="B965" s="1" t="s">
        <v>195</v>
      </c>
      <c r="C965" s="1" t="str">
        <f>"08628004"</f>
        <v>08628004</v>
      </c>
      <c r="D965" s="1" t="s">
        <v>196</v>
      </c>
      <c r="F965" s="1" t="str">
        <f>"84"</f>
        <v>84</v>
      </c>
      <c r="G965" s="2">
        <v>41788</v>
      </c>
      <c r="H965" s="1">
        <v>85000</v>
      </c>
      <c r="I965" s="1">
        <v>85000</v>
      </c>
      <c r="J965" s="1">
        <v>83000</v>
      </c>
      <c r="K965" s="2">
        <v>41788</v>
      </c>
      <c r="L965" s="1">
        <v>9</v>
      </c>
      <c r="M965" s="2">
        <v>41796</v>
      </c>
      <c r="N965" s="1">
        <v>9</v>
      </c>
      <c r="O965" s="2">
        <v>41796</v>
      </c>
      <c r="P965" s="1">
        <v>2643</v>
      </c>
      <c r="Q965" s="1" t="s">
        <v>197</v>
      </c>
      <c r="R965" s="2">
        <v>41969</v>
      </c>
      <c r="S965" s="1">
        <v>28738</v>
      </c>
      <c r="U965" s="1">
        <v>290</v>
      </c>
      <c r="V965" s="1" t="s">
        <v>8347</v>
      </c>
      <c r="W965" s="1" t="s">
        <v>264</v>
      </c>
      <c r="X965" s="1" t="s">
        <v>483</v>
      </c>
      <c r="Y965" s="1">
        <v>8</v>
      </c>
      <c r="Z965" s="1" t="s">
        <v>249</v>
      </c>
      <c r="AA965" s="1" t="s">
        <v>5871</v>
      </c>
      <c r="AB965" s="1">
        <v>60084</v>
      </c>
      <c r="AD965" s="1" t="s">
        <v>10510</v>
      </c>
      <c r="AE965" s="1" t="s">
        <v>10511</v>
      </c>
      <c r="AF965" s="1">
        <v>1994</v>
      </c>
      <c r="AG965" s="1" t="s">
        <v>204</v>
      </c>
      <c r="AH965" s="1" t="s">
        <v>2599</v>
      </c>
      <c r="AI965" s="1" t="s">
        <v>509</v>
      </c>
      <c r="AJ965" s="1" t="s">
        <v>2599</v>
      </c>
      <c r="AK965" s="1" t="s">
        <v>10145</v>
      </c>
      <c r="AL965" s="1">
        <v>5</v>
      </c>
      <c r="AM965" s="1">
        <v>2</v>
      </c>
      <c r="AN965" s="1">
        <v>2</v>
      </c>
      <c r="AO965" s="1">
        <v>0</v>
      </c>
      <c r="AP965" s="1" t="s">
        <v>209</v>
      </c>
      <c r="AQ965" s="1">
        <v>1</v>
      </c>
      <c r="AR965" s="1" t="s">
        <v>210</v>
      </c>
      <c r="AS965" s="1" t="s">
        <v>204</v>
      </c>
      <c r="AT965" s="1" t="s">
        <v>211</v>
      </c>
      <c r="AU965" s="1">
        <v>1</v>
      </c>
      <c r="AW965" s="1" t="s">
        <v>204</v>
      </c>
      <c r="AX965" s="1" t="s">
        <v>212</v>
      </c>
      <c r="AZ965" s="1">
        <v>3147</v>
      </c>
      <c r="BA965" s="1">
        <v>2012</v>
      </c>
      <c r="BB965" s="1" t="s">
        <v>405</v>
      </c>
      <c r="BE965" s="1">
        <v>1093</v>
      </c>
      <c r="BF965" s="1">
        <v>2</v>
      </c>
      <c r="BG965" s="1">
        <v>30</v>
      </c>
      <c r="BL965" s="1">
        <v>221</v>
      </c>
      <c r="BM965" s="1" t="s">
        <v>213</v>
      </c>
      <c r="BN965" s="1" t="s">
        <v>213</v>
      </c>
      <c r="BO965" s="1">
        <v>99</v>
      </c>
      <c r="BP965" s="1" t="s">
        <v>204</v>
      </c>
      <c r="BR965" s="1" t="str">
        <f>"09254061690000"</f>
        <v>09254061690000</v>
      </c>
      <c r="BT965" s="1" t="s">
        <v>10512</v>
      </c>
      <c r="BU965" s="1" t="s">
        <v>2603</v>
      </c>
      <c r="BV965" s="1" t="s">
        <v>2604</v>
      </c>
      <c r="BW965" s="1" t="s">
        <v>2605</v>
      </c>
      <c r="BX965" s="1">
        <v>118</v>
      </c>
      <c r="BY965" s="1">
        <v>118</v>
      </c>
      <c r="BZ965" s="1">
        <v>118</v>
      </c>
      <c r="CB965" s="1" t="str">
        <f>"27"</f>
        <v>27</v>
      </c>
      <c r="CC965" s="1" t="str">
        <f>"0"</f>
        <v>0</v>
      </c>
      <c r="CD965" s="1">
        <v>25</v>
      </c>
      <c r="CE965" s="1">
        <v>0</v>
      </c>
      <c r="CG965" s="1" t="s">
        <v>315</v>
      </c>
      <c r="CH965" s="1" t="s">
        <v>277</v>
      </c>
      <c r="CI965" s="1" t="s">
        <v>229</v>
      </c>
      <c r="CK965" s="1" t="s">
        <v>757</v>
      </c>
      <c r="CL965" s="1" t="s">
        <v>277</v>
      </c>
      <c r="CM965" s="1" t="s">
        <v>220</v>
      </c>
      <c r="CO965" s="1" t="s">
        <v>516</v>
      </c>
      <c r="CP965" s="1" t="s">
        <v>277</v>
      </c>
      <c r="CQ965" s="1" t="s">
        <v>229</v>
      </c>
      <c r="CS965" s="1" t="s">
        <v>465</v>
      </c>
      <c r="CT965" s="1" t="s">
        <v>277</v>
      </c>
      <c r="CU965" s="1" t="s">
        <v>229</v>
      </c>
      <c r="CX965" s="1" t="s">
        <v>224</v>
      </c>
      <c r="DB965" s="1" t="s">
        <v>224</v>
      </c>
      <c r="DE965" s="1" t="s">
        <v>516</v>
      </c>
      <c r="DF965" s="1" t="s">
        <v>277</v>
      </c>
      <c r="DG965" s="1" t="s">
        <v>229</v>
      </c>
      <c r="DJ965" s="1" t="s">
        <v>224</v>
      </c>
      <c r="DS965" s="1" t="s">
        <v>230</v>
      </c>
      <c r="DW965" s="1" t="s">
        <v>230</v>
      </c>
      <c r="EA965" s="1" t="s">
        <v>230</v>
      </c>
      <c r="EE965" s="1" t="s">
        <v>230</v>
      </c>
      <c r="EI965" s="1" t="s">
        <v>230</v>
      </c>
      <c r="EL965" s="1" t="s">
        <v>670</v>
      </c>
      <c r="EM965" s="1" t="s">
        <v>319</v>
      </c>
      <c r="EN965" s="1" t="s">
        <v>282</v>
      </c>
      <c r="EO965" s="1" t="s">
        <v>234</v>
      </c>
      <c r="EQ965" s="1" t="s">
        <v>492</v>
      </c>
      <c r="ER965" s="1" t="s">
        <v>210</v>
      </c>
      <c r="ES965" s="1" t="s">
        <v>545</v>
      </c>
      <c r="EU965" s="1" t="s">
        <v>239</v>
      </c>
      <c r="EW965" s="1" t="s">
        <v>4108</v>
      </c>
      <c r="EZ965" s="1" t="s">
        <v>287</v>
      </c>
      <c r="FA965" s="1" t="s">
        <v>10513</v>
      </c>
      <c r="FD965" s="1" t="s">
        <v>246</v>
      </c>
      <c r="FE965" s="1" t="s">
        <v>1031</v>
      </c>
      <c r="FF965" s="1" t="s">
        <v>248</v>
      </c>
      <c r="FG965" s="1" t="s">
        <v>939</v>
      </c>
      <c r="FH965" s="1" t="s">
        <v>249</v>
      </c>
      <c r="FI965" s="1" t="s">
        <v>473</v>
      </c>
      <c r="FL965" s="1" t="s">
        <v>358</v>
      </c>
      <c r="FM965" s="1" t="s">
        <v>252</v>
      </c>
      <c r="FN965" s="1" t="s">
        <v>213</v>
      </c>
      <c r="FO965" s="1" t="s">
        <v>213</v>
      </c>
      <c r="FQ965" s="1" t="s">
        <v>717</v>
      </c>
      <c r="FR965" s="1" t="s">
        <v>360</v>
      </c>
      <c r="FS965" s="1" t="s">
        <v>10514</v>
      </c>
      <c r="FT965" s="1" t="s">
        <v>295</v>
      </c>
      <c r="FU965" s="1" t="s">
        <v>204</v>
      </c>
      <c r="FW965" s="1" t="s">
        <v>618</v>
      </c>
      <c r="FX965" s="1">
        <v>2643</v>
      </c>
      <c r="FY965" s="1" t="s">
        <v>619</v>
      </c>
      <c r="FZ965" s="1" t="s">
        <v>10515</v>
      </c>
      <c r="GA965" s="1">
        <v>28738</v>
      </c>
      <c r="GB965" s="1" t="s">
        <v>10516</v>
      </c>
      <c r="GE965" s="1" t="s">
        <v>210</v>
      </c>
      <c r="GI965" s="1" t="s">
        <v>213</v>
      </c>
      <c r="GJ965" s="1" t="s">
        <v>260</v>
      </c>
      <c r="GK965" s="1" t="s">
        <v>210</v>
      </c>
      <c r="GL965" s="2">
        <v>41969</v>
      </c>
      <c r="GM965" s="1" t="s">
        <v>397</v>
      </c>
    </row>
    <row r="966" spans="1:195">
      <c r="A966" s="1">
        <v>157000</v>
      </c>
      <c r="B966" s="1" t="s">
        <v>195</v>
      </c>
      <c r="C966" s="1" t="str">
        <f>"08626374"</f>
        <v>08626374</v>
      </c>
      <c r="D966" s="1" t="s">
        <v>196</v>
      </c>
      <c r="F966" s="1" t="str">
        <f>"540"</f>
        <v>540</v>
      </c>
      <c r="G966" s="2">
        <v>41786</v>
      </c>
      <c r="H966" s="1">
        <v>175000</v>
      </c>
      <c r="I966" s="1">
        <v>164900</v>
      </c>
      <c r="J966" s="1">
        <v>157000</v>
      </c>
      <c r="K966" s="2">
        <v>41786</v>
      </c>
      <c r="L966" s="1">
        <v>179</v>
      </c>
      <c r="M966" s="2">
        <v>41964</v>
      </c>
      <c r="N966" s="1">
        <v>179</v>
      </c>
      <c r="O966" s="2">
        <v>41964</v>
      </c>
      <c r="P966" s="1">
        <v>23156</v>
      </c>
      <c r="Q966" s="1" t="s">
        <v>197</v>
      </c>
      <c r="R966" s="2">
        <v>42002</v>
      </c>
      <c r="S966" s="1">
        <v>239155</v>
      </c>
      <c r="U966" s="1">
        <v>1123</v>
      </c>
      <c r="V966" s="1" t="s">
        <v>10517</v>
      </c>
      <c r="W966" s="1" t="s">
        <v>304</v>
      </c>
      <c r="Y966" s="1">
        <v>1</v>
      </c>
      <c r="Z966" s="1" t="s">
        <v>370</v>
      </c>
      <c r="AA966" s="1" t="s">
        <v>921</v>
      </c>
      <c r="AB966" s="1">
        <v>60540</v>
      </c>
      <c r="AD966" s="1" t="s">
        <v>10518</v>
      </c>
      <c r="AE966" s="1" t="s">
        <v>10519</v>
      </c>
      <c r="AF966" s="1">
        <v>1995</v>
      </c>
      <c r="AG966" s="1" t="s">
        <v>204</v>
      </c>
      <c r="AH966" s="1" t="s">
        <v>924</v>
      </c>
      <c r="AI966" s="1" t="s">
        <v>206</v>
      </c>
      <c r="AJ966" s="1" t="s">
        <v>924</v>
      </c>
      <c r="AL966" s="1">
        <v>5</v>
      </c>
      <c r="AM966" s="1">
        <v>2</v>
      </c>
      <c r="AN966" s="1">
        <v>2</v>
      </c>
      <c r="AO966" s="1">
        <v>1</v>
      </c>
      <c r="AP966" s="1" t="s">
        <v>209</v>
      </c>
      <c r="AR966" s="1" t="s">
        <v>210</v>
      </c>
      <c r="AT966" s="1" t="s">
        <v>211</v>
      </c>
      <c r="AU966" s="1">
        <v>1</v>
      </c>
      <c r="AW966" s="1" t="s">
        <v>204</v>
      </c>
      <c r="AX966" s="1" t="s">
        <v>212</v>
      </c>
      <c r="AZ966" s="1">
        <v>3492</v>
      </c>
      <c r="BA966" s="1">
        <v>2013</v>
      </c>
      <c r="BB966" s="1" t="s">
        <v>405</v>
      </c>
      <c r="BE966" s="1">
        <v>1298</v>
      </c>
      <c r="BF966" s="1">
        <v>1</v>
      </c>
      <c r="BG966" s="1">
        <v>0</v>
      </c>
      <c r="BL966" s="1">
        <v>150</v>
      </c>
      <c r="BM966" s="1" t="s">
        <v>204</v>
      </c>
      <c r="BN966" s="1" t="s">
        <v>213</v>
      </c>
      <c r="BO966" s="1">
        <v>999</v>
      </c>
      <c r="BP966" s="1" t="s">
        <v>204</v>
      </c>
      <c r="BR966" s="1" t="str">
        <f>"0726111037"</f>
        <v>0726111037</v>
      </c>
      <c r="BT966" s="1" t="s">
        <v>10520</v>
      </c>
      <c r="BU966" s="1" t="s">
        <v>10521</v>
      </c>
      <c r="BV966" s="1" t="s">
        <v>2535</v>
      </c>
      <c r="BW966" s="1" t="s">
        <v>1131</v>
      </c>
      <c r="BX966" s="1">
        <v>204</v>
      </c>
      <c r="BY966" s="1">
        <v>204</v>
      </c>
      <c r="BZ966" s="1">
        <v>204</v>
      </c>
      <c r="CB966" s="1" t="str">
        <f t="shared" ref="CB966:CC966" si="742">""</f>
        <v/>
      </c>
      <c r="CC966" s="1" t="str">
        <f t="shared" si="742"/>
        <v/>
      </c>
      <c r="CG966" s="1" t="s">
        <v>461</v>
      </c>
      <c r="CH966" s="1" t="s">
        <v>219</v>
      </c>
      <c r="CI966" s="1" t="s">
        <v>220</v>
      </c>
      <c r="CJ966" s="1" t="s">
        <v>252</v>
      </c>
      <c r="CK966" s="1" t="s">
        <v>437</v>
      </c>
      <c r="CL966" s="1" t="s">
        <v>277</v>
      </c>
      <c r="CM966" s="1" t="s">
        <v>220</v>
      </c>
      <c r="CO966" s="1" t="s">
        <v>2138</v>
      </c>
      <c r="CP966" s="1" t="s">
        <v>219</v>
      </c>
      <c r="CQ966" s="1" t="s">
        <v>220</v>
      </c>
      <c r="CR966" s="1" t="s">
        <v>252</v>
      </c>
      <c r="CS966" s="1" t="s">
        <v>318</v>
      </c>
      <c r="CT966" s="1" t="s">
        <v>277</v>
      </c>
      <c r="CU966" s="1" t="s">
        <v>220</v>
      </c>
      <c r="CX966" s="1" t="s">
        <v>224</v>
      </c>
      <c r="DB966" s="1" t="s">
        <v>224</v>
      </c>
      <c r="DE966" s="1" t="s">
        <v>1297</v>
      </c>
      <c r="DF966" s="1" t="s">
        <v>219</v>
      </c>
      <c r="DG966" s="1" t="s">
        <v>229</v>
      </c>
      <c r="DH966" s="1" t="s">
        <v>252</v>
      </c>
      <c r="DJ966" s="1" t="s">
        <v>224</v>
      </c>
      <c r="DS966" s="1" t="s">
        <v>230</v>
      </c>
      <c r="DW966" s="1" t="s">
        <v>230</v>
      </c>
      <c r="EA966" s="1" t="s">
        <v>230</v>
      </c>
      <c r="EE966" s="1" t="s">
        <v>230</v>
      </c>
      <c r="EI966" s="1" t="s">
        <v>230</v>
      </c>
      <c r="EL966" s="1" t="s">
        <v>670</v>
      </c>
      <c r="EM966" s="1" t="s">
        <v>232</v>
      </c>
      <c r="EN966" s="1" t="s">
        <v>282</v>
      </c>
      <c r="EO966" s="1" t="s">
        <v>234</v>
      </c>
      <c r="EQ966" s="1" t="s">
        <v>468</v>
      </c>
      <c r="ER966" s="1" t="s">
        <v>383</v>
      </c>
      <c r="ES966" s="1" t="s">
        <v>322</v>
      </c>
      <c r="EU966" s="1" t="s">
        <v>10522</v>
      </c>
      <c r="EV966" s="1" t="s">
        <v>1553</v>
      </c>
      <c r="EW966" s="1" t="s">
        <v>887</v>
      </c>
      <c r="EZ966" s="1" t="s">
        <v>287</v>
      </c>
      <c r="FD966" s="1" t="s">
        <v>246</v>
      </c>
      <c r="FE966" s="1" t="s">
        <v>472</v>
      </c>
      <c r="FF966" s="1" t="s">
        <v>248</v>
      </c>
      <c r="FH966" s="1" t="s">
        <v>550</v>
      </c>
      <c r="FL966" s="1" t="s">
        <v>358</v>
      </c>
      <c r="FM966" s="1" t="s">
        <v>252</v>
      </c>
      <c r="FN966" s="1" t="s">
        <v>213</v>
      </c>
      <c r="FO966" s="1" t="s">
        <v>213</v>
      </c>
      <c r="FQ966" s="1" t="s">
        <v>913</v>
      </c>
      <c r="FR966" s="1" t="s">
        <v>210</v>
      </c>
      <c r="FS966" s="1" t="s">
        <v>10523</v>
      </c>
      <c r="FT966" s="1" t="s">
        <v>255</v>
      </c>
      <c r="FU966" s="1" t="s">
        <v>213</v>
      </c>
      <c r="FW966" s="1" t="s">
        <v>915</v>
      </c>
      <c r="FX966" s="1">
        <v>23076</v>
      </c>
      <c r="FY966" s="1" t="s">
        <v>1909</v>
      </c>
      <c r="FZ966" s="1" t="s">
        <v>10339</v>
      </c>
      <c r="GA966" s="1">
        <v>233999</v>
      </c>
      <c r="GB966" s="1" t="s">
        <v>10340</v>
      </c>
      <c r="GE966" s="1" t="s">
        <v>1256</v>
      </c>
      <c r="GI966" s="1" t="s">
        <v>213</v>
      </c>
      <c r="GJ966" s="1" t="s">
        <v>260</v>
      </c>
      <c r="GK966" s="1" t="s">
        <v>210</v>
      </c>
      <c r="GL966" s="2">
        <v>42003</v>
      </c>
    </row>
    <row r="967" spans="1:195">
      <c r="A967" s="1">
        <v>258000</v>
      </c>
      <c r="B967" s="1" t="s">
        <v>195</v>
      </c>
      <c r="C967" s="1" t="str">
        <f>"08626312"</f>
        <v>08626312</v>
      </c>
      <c r="D967" s="1" t="s">
        <v>196</v>
      </c>
      <c r="F967" s="1" t="str">
        <f>"143"</f>
        <v>143</v>
      </c>
      <c r="G967" s="2">
        <v>41786</v>
      </c>
      <c r="H967" s="1">
        <v>276000</v>
      </c>
      <c r="I967" s="1">
        <v>266000</v>
      </c>
      <c r="J967" s="1">
        <v>258000</v>
      </c>
      <c r="K967" s="2">
        <v>41786</v>
      </c>
      <c r="L967" s="1">
        <v>273</v>
      </c>
      <c r="M967" s="2">
        <v>42058</v>
      </c>
      <c r="N967" s="1">
        <v>273</v>
      </c>
      <c r="O967" s="2">
        <v>42058</v>
      </c>
      <c r="P967" s="1">
        <v>22076</v>
      </c>
      <c r="Q967" s="1" t="s">
        <v>302</v>
      </c>
      <c r="R967" s="2">
        <v>42101</v>
      </c>
      <c r="S967" s="1">
        <v>230804</v>
      </c>
      <c r="U967" s="1">
        <v>1</v>
      </c>
      <c r="V967" s="1" t="s">
        <v>7871</v>
      </c>
      <c r="W967" s="1" t="s">
        <v>779</v>
      </c>
      <c r="X967" s="1">
        <v>103</v>
      </c>
      <c r="Y967" s="1">
        <v>70</v>
      </c>
      <c r="Z967" s="1" t="s">
        <v>249</v>
      </c>
      <c r="AA967" s="1" t="s">
        <v>7871</v>
      </c>
      <c r="AB967" s="1">
        <v>60143</v>
      </c>
      <c r="AD967" s="1" t="s">
        <v>10524</v>
      </c>
      <c r="AE967" s="1" t="s">
        <v>10525</v>
      </c>
      <c r="AF967" s="1">
        <v>2006</v>
      </c>
      <c r="AG967" s="1" t="s">
        <v>204</v>
      </c>
      <c r="AH967" s="1" t="s">
        <v>7873</v>
      </c>
      <c r="AI967" s="1" t="s">
        <v>206</v>
      </c>
      <c r="AJ967" s="1" t="s">
        <v>269</v>
      </c>
      <c r="AK967" s="1" t="s">
        <v>10526</v>
      </c>
      <c r="AL967" s="1">
        <v>4</v>
      </c>
      <c r="AM967" s="1">
        <v>2</v>
      </c>
      <c r="AN967" s="1">
        <v>2</v>
      </c>
      <c r="AO967" s="1">
        <v>0</v>
      </c>
      <c r="AP967" s="1" t="s">
        <v>209</v>
      </c>
      <c r="AR967" s="1" t="s">
        <v>210</v>
      </c>
      <c r="AS967" s="1" t="s">
        <v>204</v>
      </c>
      <c r="AT967" s="1" t="s">
        <v>211</v>
      </c>
      <c r="AU967" s="1">
        <v>2</v>
      </c>
      <c r="AW967" s="1" t="s">
        <v>204</v>
      </c>
      <c r="AX967" s="1" t="s">
        <v>270</v>
      </c>
      <c r="AZ967" s="1" t="s">
        <v>751</v>
      </c>
      <c r="BA967" s="1">
        <v>2013</v>
      </c>
      <c r="BE967" s="1">
        <v>1651</v>
      </c>
      <c r="BF967" s="1">
        <v>1</v>
      </c>
      <c r="BG967" s="1">
        <v>10</v>
      </c>
      <c r="BJ967" s="1">
        <v>100</v>
      </c>
      <c r="BL967" s="1">
        <v>266</v>
      </c>
      <c r="BM967" s="1" t="s">
        <v>204</v>
      </c>
      <c r="BN967" s="1" t="s">
        <v>213</v>
      </c>
      <c r="BO967" s="1">
        <v>25</v>
      </c>
      <c r="BP967" s="1" t="s">
        <v>204</v>
      </c>
      <c r="BR967" s="1" t="str">
        <f>"0213208011"</f>
        <v>0213208011</v>
      </c>
      <c r="BT967" s="1" t="s">
        <v>10527</v>
      </c>
      <c r="BU967" s="1" t="s">
        <v>10528</v>
      </c>
      <c r="BV967" s="1" t="s">
        <v>10529</v>
      </c>
      <c r="BW967" s="1" t="s">
        <v>275</v>
      </c>
      <c r="BX967" s="1">
        <v>11</v>
      </c>
      <c r="BY967" s="1">
        <v>11</v>
      </c>
      <c r="BZ967" s="1">
        <v>108</v>
      </c>
      <c r="CB967" s="1" t="str">
        <f>"6"</f>
        <v>6</v>
      </c>
      <c r="CC967" s="1" t="str">
        <f t="shared" ref="CC967:CC968" si="743">"0"</f>
        <v>0</v>
      </c>
      <c r="CD967" s="1">
        <v>21</v>
      </c>
      <c r="CE967" s="1">
        <v>0</v>
      </c>
      <c r="CG967" s="1" t="s">
        <v>5572</v>
      </c>
      <c r="CH967" s="1" t="s">
        <v>219</v>
      </c>
      <c r="CI967" s="1" t="s">
        <v>438</v>
      </c>
      <c r="CJ967" s="1" t="s">
        <v>210</v>
      </c>
      <c r="CK967" s="1" t="s">
        <v>280</v>
      </c>
      <c r="CL967" s="1" t="s">
        <v>219</v>
      </c>
      <c r="CN967" s="1" t="s">
        <v>210</v>
      </c>
      <c r="CP967" s="1" t="s">
        <v>224</v>
      </c>
      <c r="CS967" s="1" t="s">
        <v>836</v>
      </c>
      <c r="CT967" s="1" t="s">
        <v>219</v>
      </c>
      <c r="CX967" s="1" t="s">
        <v>224</v>
      </c>
      <c r="DB967" s="1" t="s">
        <v>224</v>
      </c>
      <c r="DE967" s="1" t="s">
        <v>1297</v>
      </c>
      <c r="DF967" s="1" t="s">
        <v>219</v>
      </c>
      <c r="DG967" s="1" t="s">
        <v>226</v>
      </c>
      <c r="DH967" s="1" t="s">
        <v>210</v>
      </c>
      <c r="DJ967" s="1" t="s">
        <v>224</v>
      </c>
      <c r="DO967" s="1" t="s">
        <v>1771</v>
      </c>
      <c r="DS967" s="1" t="s">
        <v>230</v>
      </c>
      <c r="DW967" s="1" t="s">
        <v>230</v>
      </c>
      <c r="DZ967" s="1" t="s">
        <v>6174</v>
      </c>
      <c r="EA967" s="1" t="s">
        <v>219</v>
      </c>
      <c r="EC967" s="1" t="s">
        <v>210</v>
      </c>
      <c r="EE967" s="1" t="s">
        <v>230</v>
      </c>
      <c r="EI967" s="1" t="s">
        <v>230</v>
      </c>
      <c r="EL967" s="1" t="s">
        <v>491</v>
      </c>
      <c r="EM967" s="1" t="s">
        <v>232</v>
      </c>
      <c r="EN967" s="1" t="s">
        <v>282</v>
      </c>
      <c r="EO967" s="1" t="s">
        <v>234</v>
      </c>
      <c r="EP967" s="1" t="s">
        <v>10530</v>
      </c>
      <c r="EQ967" s="1" t="s">
        <v>236</v>
      </c>
      <c r="ER967" s="1" t="s">
        <v>210</v>
      </c>
      <c r="ES967" s="1" t="s">
        <v>824</v>
      </c>
      <c r="ET967" s="1" t="s">
        <v>866</v>
      </c>
      <c r="EU967" s="1" t="s">
        <v>285</v>
      </c>
      <c r="EV967" s="1" t="s">
        <v>240</v>
      </c>
      <c r="EW967" s="1" t="s">
        <v>10531</v>
      </c>
      <c r="EZ967" s="1" t="s">
        <v>2948</v>
      </c>
      <c r="FA967" s="1" t="s">
        <v>10532</v>
      </c>
      <c r="FB967" s="1" t="s">
        <v>289</v>
      </c>
      <c r="FC967" s="1" t="s">
        <v>1555</v>
      </c>
      <c r="FD967" s="1" t="s">
        <v>495</v>
      </c>
      <c r="FE967" s="1" t="s">
        <v>247</v>
      </c>
      <c r="FF967" s="1" t="s">
        <v>248</v>
      </c>
      <c r="FH967" s="1" t="s">
        <v>249</v>
      </c>
      <c r="FI967" s="1" t="s">
        <v>1114</v>
      </c>
      <c r="FJ967" s="1" t="s">
        <v>197</v>
      </c>
      <c r="FL967" s="1" t="s">
        <v>10533</v>
      </c>
      <c r="FM967" s="1" t="s">
        <v>252</v>
      </c>
      <c r="FN967" s="1" t="s">
        <v>213</v>
      </c>
      <c r="FO967" s="1" t="s">
        <v>213</v>
      </c>
      <c r="FQ967" s="1" t="s">
        <v>4193</v>
      </c>
      <c r="FR967" s="1" t="s">
        <v>210</v>
      </c>
      <c r="FS967" s="1" t="s">
        <v>10534</v>
      </c>
      <c r="FT967" s="1" t="s">
        <v>362</v>
      </c>
      <c r="FU967" s="1" t="s">
        <v>204</v>
      </c>
      <c r="FW967" s="1" t="s">
        <v>10535</v>
      </c>
      <c r="FX967" s="1">
        <v>24285</v>
      </c>
      <c r="FY967" s="1" t="s">
        <v>10536</v>
      </c>
      <c r="FZ967" s="1" t="s">
        <v>10537</v>
      </c>
      <c r="GA967" s="1">
        <v>242475</v>
      </c>
      <c r="GB967" s="1" t="s">
        <v>10536</v>
      </c>
      <c r="GD967" s="1" t="s">
        <v>10538</v>
      </c>
      <c r="GE967" s="1" t="s">
        <v>210</v>
      </c>
      <c r="GI967" s="1" t="s">
        <v>213</v>
      </c>
      <c r="GJ967" s="1" t="s">
        <v>260</v>
      </c>
      <c r="GK967" s="1" t="s">
        <v>210</v>
      </c>
      <c r="GL967" s="2">
        <v>42108</v>
      </c>
      <c r="GM967" s="1" t="s">
        <v>10539</v>
      </c>
    </row>
    <row r="968" spans="1:195">
      <c r="A968" s="1">
        <v>249990</v>
      </c>
      <c r="B968" s="1" t="s">
        <v>195</v>
      </c>
      <c r="C968" s="1" t="str">
        <f>"08629719"</f>
        <v>08629719</v>
      </c>
      <c r="D968" s="1" t="s">
        <v>196</v>
      </c>
      <c r="F968" s="1" t="str">
        <f>"107"</f>
        <v>107</v>
      </c>
      <c r="G968" s="2">
        <v>41789</v>
      </c>
      <c r="H968" s="1">
        <v>269990</v>
      </c>
      <c r="I968" s="1">
        <v>249990</v>
      </c>
      <c r="J968" s="1">
        <v>249990</v>
      </c>
      <c r="K968" s="2">
        <v>41789</v>
      </c>
      <c r="L968" s="1">
        <v>157</v>
      </c>
      <c r="M968" s="2">
        <v>41945</v>
      </c>
      <c r="N968" s="1">
        <v>157</v>
      </c>
      <c r="O968" s="2">
        <v>41945</v>
      </c>
      <c r="P968" s="1" t="s">
        <v>1039</v>
      </c>
      <c r="Q968" s="1" t="s">
        <v>197</v>
      </c>
      <c r="R968" s="2">
        <v>41976</v>
      </c>
      <c r="S968" s="1">
        <v>99999</v>
      </c>
      <c r="U968" s="1">
        <v>73</v>
      </c>
      <c r="V968" s="1" t="s">
        <v>10540</v>
      </c>
      <c r="W968" s="1" t="s">
        <v>304</v>
      </c>
      <c r="Y968" s="1">
        <v>2</v>
      </c>
      <c r="Z968" s="1" t="s">
        <v>370</v>
      </c>
      <c r="AA968" s="1" t="s">
        <v>1211</v>
      </c>
      <c r="AB968" s="1">
        <v>60107</v>
      </c>
      <c r="AD968" s="1" t="s">
        <v>10541</v>
      </c>
      <c r="AE968" s="1" t="s">
        <v>10542</v>
      </c>
      <c r="AF968" s="1">
        <v>2014</v>
      </c>
      <c r="AG968" s="1" t="s">
        <v>204</v>
      </c>
      <c r="AH968" s="1" t="s">
        <v>1214</v>
      </c>
      <c r="AI968" s="1" t="s">
        <v>310</v>
      </c>
      <c r="AJ968" s="1" t="s">
        <v>374</v>
      </c>
      <c r="AK968" s="1" t="s">
        <v>7829</v>
      </c>
      <c r="AL968" s="1">
        <v>5</v>
      </c>
      <c r="AM968" s="1">
        <v>2</v>
      </c>
      <c r="AN968" s="1">
        <v>2</v>
      </c>
      <c r="AO968" s="1">
        <v>0</v>
      </c>
      <c r="AP968" s="1" t="s">
        <v>209</v>
      </c>
      <c r="AR968" s="1" t="s">
        <v>209</v>
      </c>
      <c r="AS968" s="1" t="s">
        <v>204</v>
      </c>
      <c r="AT968" s="1" t="s">
        <v>211</v>
      </c>
      <c r="AU968" s="1">
        <v>2</v>
      </c>
      <c r="AW968" s="1" t="s">
        <v>204</v>
      </c>
      <c r="AX968" s="1" t="s">
        <v>212</v>
      </c>
      <c r="AZ968" s="1" t="s">
        <v>751</v>
      </c>
      <c r="BA968" s="1">
        <v>2012</v>
      </c>
      <c r="BE968" s="1">
        <v>1286</v>
      </c>
      <c r="BF968" s="1">
        <v>1</v>
      </c>
      <c r="BG968" s="1">
        <v>0</v>
      </c>
      <c r="BL968" s="1">
        <v>198</v>
      </c>
      <c r="BM968" s="1" t="s">
        <v>204</v>
      </c>
      <c r="BN968" s="1" t="s">
        <v>213</v>
      </c>
      <c r="BO968" s="1">
        <v>0</v>
      </c>
      <c r="BP968" s="1" t="s">
        <v>213</v>
      </c>
      <c r="BQ968" s="2">
        <v>41912</v>
      </c>
      <c r="BR968" s="1" t="str">
        <f>"06151040160000"</f>
        <v>06151040160000</v>
      </c>
      <c r="BT968" s="1" t="s">
        <v>10543</v>
      </c>
      <c r="BU968" s="1" t="s">
        <v>5886</v>
      </c>
      <c r="BV968" s="1" t="s">
        <v>3557</v>
      </c>
      <c r="BW968" s="1" t="s">
        <v>1217</v>
      </c>
      <c r="BX968" s="1">
        <v>46</v>
      </c>
      <c r="BY968" s="1">
        <v>46</v>
      </c>
      <c r="BZ968" s="1">
        <v>46</v>
      </c>
      <c r="CB968" s="1" t="str">
        <f>"11"</f>
        <v>11</v>
      </c>
      <c r="CC968" s="1" t="str">
        <f t="shared" si="743"/>
        <v>0</v>
      </c>
      <c r="CD968" s="1">
        <v>29</v>
      </c>
      <c r="CE968" s="1">
        <v>0</v>
      </c>
      <c r="CG968" s="1" t="s">
        <v>932</v>
      </c>
      <c r="CH968" s="1" t="s">
        <v>219</v>
      </c>
      <c r="CI968" s="1" t="s">
        <v>438</v>
      </c>
      <c r="CK968" s="1" t="s">
        <v>757</v>
      </c>
      <c r="CL968" s="1" t="s">
        <v>219</v>
      </c>
      <c r="CM968" s="1" t="s">
        <v>220</v>
      </c>
      <c r="CO968" s="1" t="s">
        <v>461</v>
      </c>
      <c r="CP968" s="1" t="s">
        <v>219</v>
      </c>
      <c r="CQ968" s="1" t="s">
        <v>438</v>
      </c>
      <c r="CS968" s="1" t="s">
        <v>1046</v>
      </c>
      <c r="CT968" s="1" t="s">
        <v>219</v>
      </c>
      <c r="CU968" s="1" t="s">
        <v>220</v>
      </c>
      <c r="CX968" s="1" t="s">
        <v>224</v>
      </c>
      <c r="DB968" s="1" t="s">
        <v>224</v>
      </c>
      <c r="DE968" s="1" t="s">
        <v>757</v>
      </c>
      <c r="DF968" s="1" t="s">
        <v>219</v>
      </c>
      <c r="DG968" s="1" t="s">
        <v>438</v>
      </c>
      <c r="DJ968" s="1" t="s">
        <v>224</v>
      </c>
      <c r="DM968" s="1" t="s">
        <v>3011</v>
      </c>
      <c r="DR968" s="1" t="s">
        <v>2103</v>
      </c>
      <c r="DS968" s="1" t="s">
        <v>219</v>
      </c>
      <c r="DT968" s="1" t="s">
        <v>342</v>
      </c>
      <c r="DW968" s="1" t="s">
        <v>230</v>
      </c>
      <c r="EA968" s="1" t="s">
        <v>230</v>
      </c>
      <c r="EE968" s="1" t="s">
        <v>230</v>
      </c>
      <c r="EI968" s="1" t="s">
        <v>230</v>
      </c>
      <c r="EL968" s="1" t="s">
        <v>760</v>
      </c>
      <c r="EM968" s="1" t="s">
        <v>319</v>
      </c>
      <c r="EN968" s="1" t="s">
        <v>282</v>
      </c>
      <c r="EO968" s="1" t="s">
        <v>234</v>
      </c>
      <c r="EP968" s="1" t="s">
        <v>1489</v>
      </c>
      <c r="EQ968" s="1" t="s">
        <v>10544</v>
      </c>
      <c r="ER968" s="1" t="s">
        <v>1249</v>
      </c>
      <c r="ES968" s="1" t="s">
        <v>3850</v>
      </c>
      <c r="ET968" s="1" t="s">
        <v>238</v>
      </c>
      <c r="EU968" s="1" t="s">
        <v>239</v>
      </c>
      <c r="EV968" s="1" t="s">
        <v>324</v>
      </c>
      <c r="EW968" s="1" t="s">
        <v>867</v>
      </c>
      <c r="EY968" s="1" t="s">
        <v>1315</v>
      </c>
      <c r="EZ968" s="1" t="s">
        <v>3011</v>
      </c>
      <c r="FA968" s="1" t="s">
        <v>6548</v>
      </c>
      <c r="FD968" s="1" t="s">
        <v>495</v>
      </c>
      <c r="FE968" s="1" t="s">
        <v>549</v>
      </c>
      <c r="FF968" s="1" t="s">
        <v>248</v>
      </c>
      <c r="FH968" s="1" t="s">
        <v>1205</v>
      </c>
      <c r="FJ968" s="1" t="s">
        <v>518</v>
      </c>
      <c r="FL968" s="1" t="s">
        <v>358</v>
      </c>
      <c r="FM968" s="1" t="s">
        <v>252</v>
      </c>
      <c r="FN968" s="1" t="s">
        <v>213</v>
      </c>
      <c r="FO968" s="1" t="s">
        <v>213</v>
      </c>
      <c r="FQ968" s="1" t="s">
        <v>10545</v>
      </c>
      <c r="FR968" s="1" t="s">
        <v>411</v>
      </c>
      <c r="FS968" s="1" t="s">
        <v>10546</v>
      </c>
      <c r="FT968" s="1" t="s">
        <v>3855</v>
      </c>
      <c r="FU968" s="1" t="s">
        <v>204</v>
      </c>
      <c r="FV968" s="1" t="s">
        <v>10547</v>
      </c>
      <c r="FW968" s="1" t="s">
        <v>3857</v>
      </c>
      <c r="FX968" s="1">
        <v>23223</v>
      </c>
      <c r="FY968" s="1" t="s">
        <v>3858</v>
      </c>
      <c r="FZ968" s="1" t="s">
        <v>10548</v>
      </c>
      <c r="GA968" s="1">
        <v>210778</v>
      </c>
      <c r="GB968" s="1" t="s">
        <v>10549</v>
      </c>
      <c r="GC968" s="1">
        <v>236300</v>
      </c>
      <c r="GE968" s="1" t="s">
        <v>210</v>
      </c>
      <c r="GI968" s="1" t="s">
        <v>204</v>
      </c>
      <c r="GJ968" s="1" t="s">
        <v>300</v>
      </c>
      <c r="GK968" s="1" t="s">
        <v>210</v>
      </c>
      <c r="GL968" s="2">
        <v>41976</v>
      </c>
      <c r="GM968" s="1" t="s">
        <v>10550</v>
      </c>
    </row>
    <row r="969" spans="1:195">
      <c r="A969" s="1">
        <v>92000</v>
      </c>
      <c r="B969" s="1" t="s">
        <v>195</v>
      </c>
      <c r="C969" s="1" t="str">
        <f>"08632876"</f>
        <v>08632876</v>
      </c>
      <c r="D969" s="1" t="s">
        <v>196</v>
      </c>
      <c r="F969" s="1" t="str">
        <f>"540"</f>
        <v>540</v>
      </c>
      <c r="G969" s="2">
        <v>41793</v>
      </c>
      <c r="H969" s="1">
        <v>129000</v>
      </c>
      <c r="I969" s="1">
        <v>89000</v>
      </c>
      <c r="J969" s="1">
        <v>92000</v>
      </c>
      <c r="K969" s="2">
        <v>41793</v>
      </c>
      <c r="L969" s="1">
        <v>221</v>
      </c>
      <c r="M969" s="2">
        <v>42013</v>
      </c>
      <c r="N969" s="1">
        <v>221</v>
      </c>
      <c r="O969" s="2">
        <v>42013</v>
      </c>
      <c r="P969" s="1">
        <v>22993</v>
      </c>
      <c r="Q969" s="1" t="s">
        <v>302</v>
      </c>
      <c r="R969" s="2">
        <v>42048</v>
      </c>
      <c r="S969" s="1">
        <v>236849</v>
      </c>
      <c r="U969" s="1" t="s">
        <v>10551</v>
      </c>
      <c r="V969" s="1" t="s">
        <v>10552</v>
      </c>
      <c r="W969" s="1" t="s">
        <v>264</v>
      </c>
      <c r="X969" s="1" t="s">
        <v>527</v>
      </c>
      <c r="Y969" s="1">
        <v>8</v>
      </c>
      <c r="Z969" s="1" t="s">
        <v>249</v>
      </c>
      <c r="AA969" s="1" t="s">
        <v>921</v>
      </c>
      <c r="AB969" s="1">
        <v>60563</v>
      </c>
      <c r="AD969" s="1" t="s">
        <v>10553</v>
      </c>
      <c r="AE969" s="1" t="s">
        <v>10554</v>
      </c>
      <c r="AF969" s="1">
        <v>1981</v>
      </c>
      <c r="AG969" s="1" t="s">
        <v>204</v>
      </c>
      <c r="AH969" s="1" t="s">
        <v>882</v>
      </c>
      <c r="AI969" s="1" t="s">
        <v>206</v>
      </c>
      <c r="AJ969" s="1" t="s">
        <v>924</v>
      </c>
      <c r="AL969" s="1">
        <v>5</v>
      </c>
      <c r="AM969" s="1">
        <v>2</v>
      </c>
      <c r="AN969" s="1">
        <v>2</v>
      </c>
      <c r="AO969" s="1">
        <v>0</v>
      </c>
      <c r="AP969" s="1" t="s">
        <v>209</v>
      </c>
      <c r="AQ969" s="1">
        <v>1</v>
      </c>
      <c r="AR969" s="1" t="s">
        <v>1631</v>
      </c>
      <c r="AS969" s="1" t="s">
        <v>204</v>
      </c>
      <c r="AT969" s="1" t="s">
        <v>211</v>
      </c>
      <c r="AU969" s="1">
        <v>1</v>
      </c>
      <c r="AW969" s="1" t="s">
        <v>204</v>
      </c>
      <c r="AX969" s="1" t="s">
        <v>212</v>
      </c>
      <c r="AZ969" s="1">
        <v>2259</v>
      </c>
      <c r="BA969" s="1">
        <v>2013</v>
      </c>
      <c r="BE969" s="1">
        <v>1136</v>
      </c>
      <c r="BF969" s="1">
        <v>1</v>
      </c>
      <c r="BG969" s="1">
        <v>0</v>
      </c>
      <c r="BL969" s="1">
        <v>257</v>
      </c>
      <c r="BM969" s="1" t="s">
        <v>204</v>
      </c>
      <c r="BN969" s="1" t="s">
        <v>213</v>
      </c>
      <c r="BO969" s="1">
        <v>40</v>
      </c>
      <c r="BP969" s="1" t="s">
        <v>204</v>
      </c>
      <c r="BR969" s="1" t="str">
        <f>"0709414009"</f>
        <v>0709414009</v>
      </c>
      <c r="BT969" s="1" t="s">
        <v>10555</v>
      </c>
      <c r="BU969" s="1" t="s">
        <v>5426</v>
      </c>
      <c r="BV969" s="1" t="s">
        <v>1248</v>
      </c>
      <c r="BW969" s="1" t="s">
        <v>1312</v>
      </c>
      <c r="BX969" s="1">
        <v>204</v>
      </c>
      <c r="BY969" s="1">
        <v>204</v>
      </c>
      <c r="BZ969" s="1">
        <v>204</v>
      </c>
      <c r="CB969" s="1" t="str">
        <f t="shared" ref="CB969:CC969" si="744">"0"</f>
        <v>0</v>
      </c>
      <c r="CC969" s="1" t="str">
        <f t="shared" si="744"/>
        <v>0</v>
      </c>
      <c r="CD969" s="1">
        <v>30</v>
      </c>
      <c r="CE969" s="1">
        <v>5</v>
      </c>
      <c r="CG969" s="1" t="s">
        <v>1737</v>
      </c>
      <c r="CH969" s="1" t="s">
        <v>219</v>
      </c>
      <c r="CK969" s="1" t="s">
        <v>1045</v>
      </c>
      <c r="CL969" s="1" t="s">
        <v>219</v>
      </c>
      <c r="CO969" s="1" t="s">
        <v>409</v>
      </c>
      <c r="CP969" s="1" t="s">
        <v>219</v>
      </c>
      <c r="CS969" s="1" t="s">
        <v>317</v>
      </c>
      <c r="CT969" s="1" t="s">
        <v>219</v>
      </c>
      <c r="CX969" s="1" t="s">
        <v>224</v>
      </c>
      <c r="DB969" s="1" t="s">
        <v>224</v>
      </c>
      <c r="DE969" s="1" t="s">
        <v>1454</v>
      </c>
      <c r="DF969" s="1" t="s">
        <v>219</v>
      </c>
      <c r="DJ969" s="1" t="s">
        <v>224</v>
      </c>
      <c r="DM969" s="1" t="s">
        <v>3011</v>
      </c>
      <c r="DR969" s="1" t="s">
        <v>1773</v>
      </c>
      <c r="DS969" s="1" t="s">
        <v>219</v>
      </c>
      <c r="DW969" s="1" t="s">
        <v>230</v>
      </c>
      <c r="EA969" s="1" t="s">
        <v>230</v>
      </c>
      <c r="EE969" s="1" t="s">
        <v>230</v>
      </c>
      <c r="EI969" s="1" t="s">
        <v>230</v>
      </c>
      <c r="EL969" s="1" t="s">
        <v>231</v>
      </c>
      <c r="EM969" s="1" t="s">
        <v>319</v>
      </c>
      <c r="EN969" s="1" t="s">
        <v>282</v>
      </c>
      <c r="EO969" s="1" t="s">
        <v>234</v>
      </c>
      <c r="EP969" s="1" t="s">
        <v>732</v>
      </c>
      <c r="ER969" s="1" t="s">
        <v>1249</v>
      </c>
      <c r="ES969" s="1" t="s">
        <v>3850</v>
      </c>
      <c r="EU969" s="1" t="s">
        <v>712</v>
      </c>
      <c r="EV969" s="1" t="s">
        <v>240</v>
      </c>
      <c r="EW969" s="1" t="s">
        <v>867</v>
      </c>
      <c r="EZ969" s="1" t="s">
        <v>3011</v>
      </c>
      <c r="FD969" s="1" t="s">
        <v>888</v>
      </c>
      <c r="FE969" s="1" t="s">
        <v>247</v>
      </c>
      <c r="FF969" s="1" t="s">
        <v>248</v>
      </c>
      <c r="FH969" s="1" t="s">
        <v>388</v>
      </c>
      <c r="FJ969" s="1" t="s">
        <v>2046</v>
      </c>
      <c r="FL969" s="1" t="s">
        <v>810</v>
      </c>
      <c r="FM969" s="1" t="s">
        <v>252</v>
      </c>
      <c r="FN969" s="1" t="s">
        <v>213</v>
      </c>
      <c r="FO969" s="1" t="s">
        <v>213</v>
      </c>
      <c r="FQ969" s="1" t="s">
        <v>849</v>
      </c>
      <c r="FR969" s="1" t="s">
        <v>210</v>
      </c>
      <c r="FS969" s="1" t="s">
        <v>10556</v>
      </c>
      <c r="FT969" s="1" t="s">
        <v>295</v>
      </c>
      <c r="FU969" s="1" t="s">
        <v>204</v>
      </c>
      <c r="FW969" s="1" t="s">
        <v>1664</v>
      </c>
      <c r="FX969" s="1">
        <v>24145</v>
      </c>
      <c r="FY969" s="1" t="s">
        <v>1665</v>
      </c>
      <c r="FZ969" s="1" t="s">
        <v>1666</v>
      </c>
      <c r="GA969" s="1">
        <v>233839</v>
      </c>
      <c r="GB969" s="1" t="s">
        <v>1665</v>
      </c>
      <c r="GE969" s="1" t="s">
        <v>210</v>
      </c>
      <c r="GI969" s="1" t="s">
        <v>213</v>
      </c>
      <c r="GJ969" s="1" t="s">
        <v>300</v>
      </c>
      <c r="GK969" s="1" t="s">
        <v>210</v>
      </c>
      <c r="GL969" s="2">
        <v>42051</v>
      </c>
      <c r="GM969" s="1" t="s">
        <v>10557</v>
      </c>
    </row>
    <row r="970" spans="1:195">
      <c r="A970" s="1">
        <v>159900</v>
      </c>
      <c r="B970" s="1" t="s">
        <v>195</v>
      </c>
      <c r="C970" s="1" t="str">
        <f>"08630536"</f>
        <v>08630536</v>
      </c>
      <c r="D970" s="1" t="s">
        <v>196</v>
      </c>
      <c r="F970" s="1" t="str">
        <f>"510"</f>
        <v>510</v>
      </c>
      <c r="G970" s="2">
        <v>41790</v>
      </c>
      <c r="H970" s="1">
        <v>179900</v>
      </c>
      <c r="I970" s="1">
        <v>159900</v>
      </c>
      <c r="J970" s="1">
        <v>159900</v>
      </c>
      <c r="K970" s="2">
        <v>41790</v>
      </c>
      <c r="L970" s="1">
        <v>162</v>
      </c>
      <c r="M970" s="2">
        <v>41951</v>
      </c>
      <c r="N970" s="1">
        <v>162</v>
      </c>
      <c r="O970" s="2">
        <v>41951</v>
      </c>
      <c r="P970" s="1">
        <v>605</v>
      </c>
      <c r="Q970" s="1" t="s">
        <v>423</v>
      </c>
      <c r="R970" s="2">
        <v>42003</v>
      </c>
      <c r="S970" s="1">
        <v>7561</v>
      </c>
      <c r="T970" s="1">
        <v>3000</v>
      </c>
      <c r="U970" s="1">
        <v>227</v>
      </c>
      <c r="V970" s="1" t="s">
        <v>10558</v>
      </c>
      <c r="W970" s="1" t="s">
        <v>449</v>
      </c>
      <c r="Y970" s="1">
        <v>4</v>
      </c>
      <c r="Z970" s="1" t="s">
        <v>200</v>
      </c>
      <c r="AA970" s="1" t="s">
        <v>947</v>
      </c>
      <c r="AB970" s="1">
        <v>60510</v>
      </c>
      <c r="AD970" s="1" t="s">
        <v>10559</v>
      </c>
      <c r="AE970" s="1" t="s">
        <v>10560</v>
      </c>
      <c r="AF970" s="1">
        <v>1984</v>
      </c>
      <c r="AG970" s="1" t="s">
        <v>204</v>
      </c>
      <c r="AH970" s="1" t="s">
        <v>949</v>
      </c>
      <c r="AI970" s="1" t="s">
        <v>665</v>
      </c>
      <c r="AJ970" s="1" t="s">
        <v>949</v>
      </c>
      <c r="AL970" s="1">
        <v>6</v>
      </c>
      <c r="AM970" s="1">
        <v>2</v>
      </c>
      <c r="AN970" s="1">
        <v>2</v>
      </c>
      <c r="AO970" s="1">
        <v>0</v>
      </c>
      <c r="AP970" s="1" t="s">
        <v>667</v>
      </c>
      <c r="AQ970" s="1">
        <v>1</v>
      </c>
      <c r="AR970" s="1" t="s">
        <v>210</v>
      </c>
      <c r="AT970" s="1" t="s">
        <v>375</v>
      </c>
      <c r="AU970" s="1">
        <v>2</v>
      </c>
      <c r="AV970" s="1">
        <v>2</v>
      </c>
      <c r="AW970" s="1" t="s">
        <v>204</v>
      </c>
      <c r="AX970" s="1" t="s">
        <v>10561</v>
      </c>
      <c r="AZ970" s="1">
        <v>5463.42</v>
      </c>
      <c r="BA970" s="1">
        <v>2012</v>
      </c>
      <c r="BB970" s="1" t="s">
        <v>405</v>
      </c>
      <c r="BE970" s="1">
        <v>1677</v>
      </c>
      <c r="BF970" s="1">
        <v>1</v>
      </c>
      <c r="BG970" s="1">
        <v>30</v>
      </c>
      <c r="BL970" s="1">
        <v>135</v>
      </c>
      <c r="BM970" s="1" t="s">
        <v>204</v>
      </c>
      <c r="BN970" s="1" t="s">
        <v>213</v>
      </c>
      <c r="BP970" s="1" t="s">
        <v>204</v>
      </c>
      <c r="BR970" s="1" t="str">
        <f>"1222379096"</f>
        <v>1222379096</v>
      </c>
      <c r="BT970" s="1" t="s">
        <v>10562</v>
      </c>
      <c r="BV970" s="1" t="s">
        <v>6404</v>
      </c>
      <c r="BW970" s="1" t="s">
        <v>6405</v>
      </c>
      <c r="BX970" s="1">
        <v>101</v>
      </c>
      <c r="BY970" s="1">
        <v>101</v>
      </c>
      <c r="BZ970" s="1">
        <v>101</v>
      </c>
      <c r="CB970" s="1" t="str">
        <f t="shared" ref="CB970:CC970" si="745">""</f>
        <v/>
      </c>
      <c r="CC970" s="1" t="str">
        <f t="shared" si="745"/>
        <v/>
      </c>
      <c r="CG970" s="1" t="s">
        <v>1045</v>
      </c>
      <c r="CH970" s="1" t="s">
        <v>219</v>
      </c>
      <c r="CI970" s="1" t="s">
        <v>220</v>
      </c>
      <c r="CJ970" s="1" t="s">
        <v>343</v>
      </c>
      <c r="CK970" s="1" t="s">
        <v>932</v>
      </c>
      <c r="CL970" s="1" t="s">
        <v>219</v>
      </c>
      <c r="CM970" s="1" t="s">
        <v>220</v>
      </c>
      <c r="CN970" s="1" t="s">
        <v>343</v>
      </c>
      <c r="CO970" s="1" t="s">
        <v>837</v>
      </c>
      <c r="CP970" s="1" t="s">
        <v>219</v>
      </c>
      <c r="CQ970" s="1" t="s">
        <v>220</v>
      </c>
      <c r="CS970" s="1" t="s">
        <v>465</v>
      </c>
      <c r="CT970" s="1" t="s">
        <v>219</v>
      </c>
      <c r="CU970" s="1" t="s">
        <v>220</v>
      </c>
      <c r="CV970" s="1" t="s">
        <v>343</v>
      </c>
      <c r="CX970" s="1" t="s">
        <v>224</v>
      </c>
      <c r="DB970" s="1" t="s">
        <v>224</v>
      </c>
      <c r="DE970" s="1" t="s">
        <v>346</v>
      </c>
      <c r="DF970" s="1" t="s">
        <v>219</v>
      </c>
      <c r="DG970" s="1" t="s">
        <v>220</v>
      </c>
      <c r="DH970" s="1" t="s">
        <v>343</v>
      </c>
      <c r="DI970" s="1" t="s">
        <v>3071</v>
      </c>
      <c r="DJ970" s="1" t="s">
        <v>822</v>
      </c>
      <c r="DK970" s="1" t="s">
        <v>220</v>
      </c>
      <c r="DL970" s="1" t="s">
        <v>343</v>
      </c>
      <c r="DS970" s="1" t="s">
        <v>230</v>
      </c>
      <c r="DW970" s="1" t="s">
        <v>230</v>
      </c>
      <c r="EA970" s="1" t="s">
        <v>230</v>
      </c>
      <c r="EE970" s="1" t="s">
        <v>230</v>
      </c>
      <c r="EI970" s="1" t="s">
        <v>230</v>
      </c>
      <c r="EL970" s="1" t="s">
        <v>542</v>
      </c>
      <c r="EM970" s="1" t="s">
        <v>319</v>
      </c>
      <c r="EN970" s="1" t="s">
        <v>282</v>
      </c>
      <c r="EO970" s="1" t="s">
        <v>234</v>
      </c>
      <c r="EP970" s="1" t="s">
        <v>210</v>
      </c>
      <c r="EQ970" s="1" t="s">
        <v>1094</v>
      </c>
      <c r="ER970" s="1" t="s">
        <v>210</v>
      </c>
      <c r="EU970" s="1" t="s">
        <v>239</v>
      </c>
      <c r="EV970" s="1" t="s">
        <v>240</v>
      </c>
      <c r="EW970" s="1" t="s">
        <v>353</v>
      </c>
      <c r="EY970" s="1" t="s">
        <v>242</v>
      </c>
      <c r="EZ970" s="1" t="s">
        <v>287</v>
      </c>
      <c r="FA970" s="1" t="s">
        <v>10563</v>
      </c>
      <c r="FB970" s="1" t="s">
        <v>734</v>
      </c>
      <c r="FC970" s="1" t="s">
        <v>1386</v>
      </c>
      <c r="FD970" s="1" t="s">
        <v>3287</v>
      </c>
      <c r="FE970" s="1" t="s">
        <v>386</v>
      </c>
      <c r="FF970" s="1" t="s">
        <v>248</v>
      </c>
      <c r="FG970" s="1" t="s">
        <v>912</v>
      </c>
      <c r="FH970" s="1" t="s">
        <v>550</v>
      </c>
      <c r="FI970" s="1" t="s">
        <v>473</v>
      </c>
      <c r="FJ970" s="1" t="s">
        <v>518</v>
      </c>
      <c r="FK970" s="1" t="s">
        <v>2076</v>
      </c>
      <c r="FL970" s="1" t="s">
        <v>358</v>
      </c>
      <c r="FM970" s="1" t="s">
        <v>252</v>
      </c>
      <c r="FN970" s="1" t="s">
        <v>213</v>
      </c>
      <c r="FO970" s="1" t="s">
        <v>213</v>
      </c>
      <c r="FQ970" s="1" t="s">
        <v>849</v>
      </c>
      <c r="FR970" s="1" t="s">
        <v>210</v>
      </c>
      <c r="FS970" s="1" t="s">
        <v>10564</v>
      </c>
      <c r="FT970" s="1" t="s">
        <v>10565</v>
      </c>
      <c r="FU970" s="1" t="s">
        <v>204</v>
      </c>
      <c r="FW970" s="1" t="s">
        <v>676</v>
      </c>
      <c r="FX970" s="1">
        <v>30</v>
      </c>
      <c r="FY970" s="1" t="s">
        <v>677</v>
      </c>
      <c r="FZ970" s="1" t="s">
        <v>10566</v>
      </c>
      <c r="GA970" s="1">
        <v>185</v>
      </c>
      <c r="GB970" s="1" t="s">
        <v>10567</v>
      </c>
      <c r="GE970" s="1" t="s">
        <v>1576</v>
      </c>
      <c r="GI970" s="1" t="s">
        <v>213</v>
      </c>
      <c r="GJ970" s="1" t="s">
        <v>260</v>
      </c>
      <c r="GK970" s="1" t="s">
        <v>210</v>
      </c>
      <c r="GL970" s="2">
        <v>42004</v>
      </c>
    </row>
    <row r="971" spans="1:195">
      <c r="A971" s="1">
        <v>114900</v>
      </c>
      <c r="B971" s="1" t="s">
        <v>195</v>
      </c>
      <c r="C971" s="1" t="str">
        <f>"08635214"</f>
        <v>08635214</v>
      </c>
      <c r="D971" s="1" t="s">
        <v>196</v>
      </c>
      <c r="F971" s="1" t="str">
        <f>"190"</f>
        <v>190</v>
      </c>
      <c r="G971" s="2">
        <v>41794</v>
      </c>
      <c r="H971" s="1">
        <v>130000</v>
      </c>
      <c r="I971" s="1">
        <v>114900</v>
      </c>
      <c r="J971" s="1">
        <v>114900</v>
      </c>
      <c r="K971" s="2">
        <v>41792</v>
      </c>
      <c r="L971" s="1">
        <v>152</v>
      </c>
      <c r="M971" s="2">
        <v>41943</v>
      </c>
      <c r="N971" s="1">
        <v>152</v>
      </c>
      <c r="O971" s="2">
        <v>41943</v>
      </c>
      <c r="P971" s="1">
        <v>70263</v>
      </c>
      <c r="Q971" s="1" t="s">
        <v>423</v>
      </c>
      <c r="R971" s="2">
        <v>42013</v>
      </c>
      <c r="S971" s="1">
        <v>702552</v>
      </c>
      <c r="U971" s="1" t="s">
        <v>10568</v>
      </c>
      <c r="V971" s="1" t="s">
        <v>10569</v>
      </c>
      <c r="W971" s="1" t="s">
        <v>504</v>
      </c>
      <c r="X971" s="1">
        <v>2401</v>
      </c>
      <c r="Y971" s="1">
        <v>4</v>
      </c>
      <c r="Z971" s="1" t="s">
        <v>370</v>
      </c>
      <c r="AA971" s="1" t="s">
        <v>1915</v>
      </c>
      <c r="AB971" s="1">
        <v>60190</v>
      </c>
      <c r="AD971" s="1" t="s">
        <v>10570</v>
      </c>
      <c r="AE971" s="1" t="s">
        <v>10571</v>
      </c>
      <c r="AF971" s="1">
        <v>1985</v>
      </c>
      <c r="AG971" s="1" t="s">
        <v>204</v>
      </c>
      <c r="AH971" s="1" t="s">
        <v>987</v>
      </c>
      <c r="AI971" s="1" t="s">
        <v>206</v>
      </c>
      <c r="AJ971" s="1" t="s">
        <v>987</v>
      </c>
      <c r="AL971" s="1">
        <v>6</v>
      </c>
      <c r="AM971" s="1">
        <v>2</v>
      </c>
      <c r="AN971" s="1">
        <v>2</v>
      </c>
      <c r="AO971" s="1">
        <v>0</v>
      </c>
      <c r="AP971" s="1" t="s">
        <v>209</v>
      </c>
      <c r="AR971" s="1" t="s">
        <v>210</v>
      </c>
      <c r="AS971" s="1" t="s">
        <v>204</v>
      </c>
      <c r="AT971" s="1" t="s">
        <v>211</v>
      </c>
      <c r="AU971" s="1">
        <v>1</v>
      </c>
      <c r="AW971" s="1" t="s">
        <v>204</v>
      </c>
      <c r="AX971" s="1" t="s">
        <v>212</v>
      </c>
      <c r="AZ971" s="4">
        <v>4401.08</v>
      </c>
      <c r="BA971" s="1">
        <v>2013</v>
      </c>
      <c r="BE971" s="1">
        <v>1441</v>
      </c>
      <c r="BF971" s="1">
        <v>1</v>
      </c>
      <c r="BG971" s="1">
        <v>0</v>
      </c>
      <c r="BL971" s="1">
        <v>194</v>
      </c>
      <c r="BM971" s="1" t="s">
        <v>213</v>
      </c>
      <c r="BN971" s="1" t="s">
        <v>213</v>
      </c>
      <c r="BO971" s="1">
        <v>0</v>
      </c>
      <c r="BP971" s="1" t="s">
        <v>204</v>
      </c>
      <c r="BR971" s="1" t="str">
        <f>"0401307008"</f>
        <v>0401307008</v>
      </c>
      <c r="BT971" s="1" t="s">
        <v>10572</v>
      </c>
      <c r="BX971" s="1">
        <v>33</v>
      </c>
      <c r="BY971" s="1">
        <v>33</v>
      </c>
      <c r="BZ971" s="1">
        <v>94</v>
      </c>
      <c r="CB971" s="1" t="str">
        <f>"1"</f>
        <v>1</v>
      </c>
      <c r="CC971" s="1" t="str">
        <f>""</f>
        <v/>
      </c>
      <c r="CD971" s="1">
        <v>27</v>
      </c>
      <c r="CG971" s="1" t="s">
        <v>1853</v>
      </c>
      <c r="CH971" s="1" t="s">
        <v>219</v>
      </c>
      <c r="CK971" s="1" t="s">
        <v>221</v>
      </c>
      <c r="CL971" s="1" t="s">
        <v>277</v>
      </c>
      <c r="CO971" s="1" t="s">
        <v>346</v>
      </c>
      <c r="CP971" s="1" t="s">
        <v>219</v>
      </c>
      <c r="CS971" s="1" t="s">
        <v>539</v>
      </c>
      <c r="CT971" s="1" t="s">
        <v>277</v>
      </c>
      <c r="CX971" s="1" t="s">
        <v>224</v>
      </c>
      <c r="DB971" s="1" t="s">
        <v>224</v>
      </c>
      <c r="DE971" s="1" t="s">
        <v>346</v>
      </c>
      <c r="DF971" s="1" t="s">
        <v>219</v>
      </c>
      <c r="DI971" s="1" t="s">
        <v>221</v>
      </c>
      <c r="DJ971" s="1" t="s">
        <v>219</v>
      </c>
      <c r="DM971" s="1" t="s">
        <v>3011</v>
      </c>
      <c r="DR971" s="1" t="s">
        <v>516</v>
      </c>
      <c r="DS971" s="1" t="s">
        <v>219</v>
      </c>
      <c r="DW971" s="1" t="s">
        <v>230</v>
      </c>
      <c r="EA971" s="1" t="s">
        <v>230</v>
      </c>
      <c r="EE971" s="1" t="s">
        <v>230</v>
      </c>
      <c r="EI971" s="1" t="s">
        <v>230</v>
      </c>
      <c r="EL971" s="1" t="s">
        <v>542</v>
      </c>
      <c r="EM971" s="1" t="s">
        <v>319</v>
      </c>
      <c r="EN971" s="1" t="s">
        <v>282</v>
      </c>
      <c r="EO971" s="1" t="s">
        <v>234</v>
      </c>
      <c r="ER971" s="1" t="s">
        <v>210</v>
      </c>
      <c r="EV971" s="1" t="s">
        <v>240</v>
      </c>
      <c r="EW971" s="1" t="s">
        <v>867</v>
      </c>
      <c r="EZ971" s="1" t="s">
        <v>3011</v>
      </c>
      <c r="FB971" s="1" t="s">
        <v>289</v>
      </c>
      <c r="FD971" s="1" t="s">
        <v>246</v>
      </c>
      <c r="FE971" s="1" t="s">
        <v>3771</v>
      </c>
      <c r="FF971" s="1" t="s">
        <v>248</v>
      </c>
      <c r="FH971" s="1" t="s">
        <v>550</v>
      </c>
      <c r="FL971" s="1" t="s">
        <v>358</v>
      </c>
      <c r="FM971" s="1" t="s">
        <v>252</v>
      </c>
      <c r="FN971" s="1" t="s">
        <v>213</v>
      </c>
      <c r="FO971" s="1" t="s">
        <v>213</v>
      </c>
      <c r="FQ971" s="1" t="s">
        <v>849</v>
      </c>
      <c r="FR971" s="1" t="s">
        <v>210</v>
      </c>
      <c r="FS971" s="1" t="s">
        <v>10573</v>
      </c>
      <c r="FT971" s="1" t="s">
        <v>295</v>
      </c>
      <c r="FU971" s="1" t="s">
        <v>204</v>
      </c>
      <c r="FW971" s="1" t="s">
        <v>10574</v>
      </c>
      <c r="FX971" s="1">
        <v>231</v>
      </c>
      <c r="FY971" s="1" t="s">
        <v>10575</v>
      </c>
      <c r="FZ971" s="1" t="s">
        <v>10576</v>
      </c>
      <c r="GA971" s="1">
        <v>301667</v>
      </c>
      <c r="GB971" s="1" t="s">
        <v>10575</v>
      </c>
      <c r="GE971" s="1" t="s">
        <v>210</v>
      </c>
      <c r="GI971" s="1" t="s">
        <v>204</v>
      </c>
      <c r="GJ971" s="1" t="s">
        <v>300</v>
      </c>
      <c r="GK971" s="1" t="s">
        <v>210</v>
      </c>
      <c r="GL971" s="2">
        <v>42013</v>
      </c>
      <c r="GM971" s="1" t="s">
        <v>10577</v>
      </c>
    </row>
    <row r="972" spans="1:195">
      <c r="A972" s="1">
        <v>114000</v>
      </c>
      <c r="B972" s="1" t="s">
        <v>195</v>
      </c>
      <c r="C972" s="1" t="str">
        <f>"08650815"</f>
        <v>08650815</v>
      </c>
      <c r="D972" s="1" t="s">
        <v>196</v>
      </c>
      <c r="F972" s="1" t="str">
        <f>"174"</f>
        <v>174</v>
      </c>
      <c r="G972" s="2">
        <v>41810</v>
      </c>
      <c r="H972" s="1">
        <v>120500</v>
      </c>
      <c r="I972" s="1">
        <v>116000</v>
      </c>
      <c r="J972" s="1">
        <v>114000</v>
      </c>
      <c r="K972" s="2">
        <v>41810</v>
      </c>
      <c r="L972" s="1">
        <v>48</v>
      </c>
      <c r="M972" s="2">
        <v>41857</v>
      </c>
      <c r="N972" s="1">
        <v>48</v>
      </c>
      <c r="O972" s="2">
        <v>41857</v>
      </c>
      <c r="P972" s="1">
        <v>464</v>
      </c>
      <c r="Q972" s="1" t="s">
        <v>197</v>
      </c>
      <c r="R972" s="2">
        <v>42003</v>
      </c>
      <c r="S972" s="1">
        <v>624</v>
      </c>
      <c r="U972" s="1">
        <v>204</v>
      </c>
      <c r="V972" s="1" t="s">
        <v>10578</v>
      </c>
      <c r="W972" s="1" t="s">
        <v>304</v>
      </c>
      <c r="Y972" s="1">
        <v>4</v>
      </c>
      <c r="Z972" s="1" t="s">
        <v>370</v>
      </c>
      <c r="AA972" s="1" t="s">
        <v>879</v>
      </c>
      <c r="AB972" s="1">
        <v>60174</v>
      </c>
      <c r="AD972" s="1" t="s">
        <v>10579</v>
      </c>
      <c r="AE972" s="1" t="s">
        <v>10580</v>
      </c>
      <c r="AF972" s="1">
        <v>1983</v>
      </c>
      <c r="AG972" s="1" t="s">
        <v>204</v>
      </c>
      <c r="AH972" s="1" t="s">
        <v>883</v>
      </c>
      <c r="AI972" s="1" t="s">
        <v>665</v>
      </c>
      <c r="AJ972" s="1" t="s">
        <v>883</v>
      </c>
      <c r="AL972" s="1">
        <v>5</v>
      </c>
      <c r="AM972" s="1">
        <v>2</v>
      </c>
      <c r="AN972" s="1">
        <v>2</v>
      </c>
      <c r="AO972" s="1">
        <v>0</v>
      </c>
      <c r="AP972" s="1" t="s">
        <v>209</v>
      </c>
      <c r="AQ972" s="1">
        <v>1</v>
      </c>
      <c r="AR972" s="1" t="s">
        <v>210</v>
      </c>
      <c r="AS972" s="1" t="s">
        <v>204</v>
      </c>
      <c r="AT972" s="1" t="s">
        <v>211</v>
      </c>
      <c r="AU972" s="1">
        <v>1</v>
      </c>
      <c r="AW972" s="1" t="s">
        <v>204</v>
      </c>
      <c r="AX972" s="1" t="s">
        <v>212</v>
      </c>
      <c r="AZ972" s="1">
        <v>3059.92</v>
      </c>
      <c r="BA972" s="1">
        <v>2013</v>
      </c>
      <c r="BB972" s="1" t="s">
        <v>405</v>
      </c>
      <c r="BE972" s="1">
        <v>1188</v>
      </c>
      <c r="BF972" s="1">
        <v>2</v>
      </c>
      <c r="BG972" s="1">
        <v>30</v>
      </c>
      <c r="BL972" s="1">
        <v>210</v>
      </c>
      <c r="BM972" s="1" t="s">
        <v>204</v>
      </c>
      <c r="BN972" s="1" t="s">
        <v>213</v>
      </c>
      <c r="BO972" s="1">
        <v>100</v>
      </c>
      <c r="BP972" s="1" t="s">
        <v>204</v>
      </c>
      <c r="BR972" s="1" t="str">
        <f>"0928427014"</f>
        <v>0928427014</v>
      </c>
      <c r="BT972" s="1" t="s">
        <v>10581</v>
      </c>
      <c r="BX972" s="1">
        <v>303</v>
      </c>
      <c r="BY972" s="1">
        <v>303</v>
      </c>
      <c r="BZ972" s="1">
        <v>303</v>
      </c>
      <c r="CB972" s="1" t="str">
        <f t="shared" ref="CB972:CC972" si="746">""</f>
        <v/>
      </c>
      <c r="CC972" s="1" t="str">
        <f t="shared" si="746"/>
        <v/>
      </c>
      <c r="CG972" s="1" t="s">
        <v>7425</v>
      </c>
      <c r="CH972" s="1" t="s">
        <v>219</v>
      </c>
      <c r="CI972" s="1" t="s">
        <v>220</v>
      </c>
      <c r="CJ972" s="1" t="s">
        <v>343</v>
      </c>
      <c r="CK972" s="1" t="s">
        <v>344</v>
      </c>
      <c r="CL972" s="1" t="s">
        <v>219</v>
      </c>
      <c r="CM972" s="1" t="s">
        <v>220</v>
      </c>
      <c r="CN972" s="1" t="s">
        <v>439</v>
      </c>
      <c r="CO972" s="1" t="s">
        <v>380</v>
      </c>
      <c r="CP972" s="1" t="s">
        <v>219</v>
      </c>
      <c r="CQ972" s="1" t="s">
        <v>220</v>
      </c>
      <c r="CS972" s="1" t="s">
        <v>379</v>
      </c>
      <c r="CT972" s="1" t="s">
        <v>219</v>
      </c>
      <c r="CU972" s="1" t="s">
        <v>220</v>
      </c>
      <c r="CV972" s="1" t="s">
        <v>439</v>
      </c>
      <c r="CX972" s="1" t="s">
        <v>224</v>
      </c>
      <c r="DB972" s="1" t="s">
        <v>224</v>
      </c>
      <c r="DE972" s="1" t="s">
        <v>1571</v>
      </c>
      <c r="DF972" s="1" t="s">
        <v>219</v>
      </c>
      <c r="DG972" s="1" t="s">
        <v>342</v>
      </c>
      <c r="DH972" s="1" t="s">
        <v>210</v>
      </c>
      <c r="DJ972" s="1" t="s">
        <v>224</v>
      </c>
      <c r="DM972" s="1" t="s">
        <v>3011</v>
      </c>
      <c r="DR972" s="1" t="s">
        <v>2670</v>
      </c>
      <c r="DS972" s="1" t="s">
        <v>219</v>
      </c>
      <c r="DT972" s="1" t="s">
        <v>347</v>
      </c>
      <c r="DU972" s="1" t="s">
        <v>210</v>
      </c>
      <c r="DW972" s="1" t="s">
        <v>230</v>
      </c>
      <c r="EA972" s="1" t="s">
        <v>230</v>
      </c>
      <c r="EE972" s="1" t="s">
        <v>230</v>
      </c>
      <c r="EI972" s="1" t="s">
        <v>230</v>
      </c>
      <c r="EL972" s="1" t="s">
        <v>231</v>
      </c>
      <c r="EM972" s="1" t="s">
        <v>319</v>
      </c>
      <c r="EN972" s="1" t="s">
        <v>282</v>
      </c>
      <c r="EO972" s="1" t="s">
        <v>234</v>
      </c>
      <c r="EP972" s="1" t="s">
        <v>543</v>
      </c>
      <c r="EQ972" s="1" t="s">
        <v>492</v>
      </c>
      <c r="ER972" s="1" t="s">
        <v>210</v>
      </c>
      <c r="ES972" s="1" t="s">
        <v>493</v>
      </c>
      <c r="EV972" s="1" t="s">
        <v>324</v>
      </c>
      <c r="EW972" s="1" t="s">
        <v>867</v>
      </c>
      <c r="EZ972" s="1" t="s">
        <v>3011</v>
      </c>
      <c r="FA972" s="1" t="s">
        <v>4411</v>
      </c>
      <c r="FD972" s="1" t="s">
        <v>246</v>
      </c>
      <c r="FE972" s="1" t="s">
        <v>386</v>
      </c>
      <c r="FF972" s="1" t="s">
        <v>248</v>
      </c>
      <c r="FG972" s="1" t="s">
        <v>912</v>
      </c>
      <c r="FH972" s="1" t="s">
        <v>825</v>
      </c>
      <c r="FI972" s="1" t="s">
        <v>473</v>
      </c>
      <c r="FL972" s="1" t="s">
        <v>414</v>
      </c>
      <c r="FM972" s="1" t="s">
        <v>252</v>
      </c>
      <c r="FN972" s="1" t="s">
        <v>213</v>
      </c>
      <c r="FO972" s="1" t="s">
        <v>213</v>
      </c>
      <c r="FQ972" s="1" t="s">
        <v>2091</v>
      </c>
      <c r="FR972" s="1" t="s">
        <v>360</v>
      </c>
      <c r="FS972" s="1" t="s">
        <v>10582</v>
      </c>
      <c r="FT972" s="1" t="s">
        <v>295</v>
      </c>
      <c r="FU972" s="1" t="s">
        <v>204</v>
      </c>
      <c r="FW972" s="1" t="s">
        <v>585</v>
      </c>
      <c r="FX972" s="1">
        <v>49</v>
      </c>
      <c r="FY972" s="1" t="s">
        <v>2408</v>
      </c>
      <c r="FZ972" s="1" t="s">
        <v>10583</v>
      </c>
      <c r="GA972" s="1">
        <v>8384</v>
      </c>
      <c r="GD972" s="1" t="s">
        <v>10584</v>
      </c>
      <c r="GE972" s="1" t="s">
        <v>480</v>
      </c>
      <c r="GI972" s="1" t="s">
        <v>213</v>
      </c>
      <c r="GJ972" s="1" t="s">
        <v>260</v>
      </c>
      <c r="GK972" s="1" t="s">
        <v>210</v>
      </c>
      <c r="GL972" s="2">
        <v>42003</v>
      </c>
      <c r="GM972" s="1" t="s">
        <v>10585</v>
      </c>
    </row>
    <row r="973" spans="1:195">
      <c r="A973" s="1">
        <v>53118</v>
      </c>
      <c r="B973" s="1" t="s">
        <v>195</v>
      </c>
      <c r="C973" s="1" t="str">
        <f>"08632880"</f>
        <v>08632880</v>
      </c>
      <c r="D973" s="1" t="s">
        <v>196</v>
      </c>
      <c r="F973" s="1" t="str">
        <f>"123"</f>
        <v>123</v>
      </c>
      <c r="G973" s="2">
        <v>41793</v>
      </c>
      <c r="H973" s="1">
        <v>90900</v>
      </c>
      <c r="I973" s="1">
        <v>0</v>
      </c>
      <c r="J973" s="1">
        <v>53118</v>
      </c>
      <c r="K973" s="2">
        <v>41793</v>
      </c>
      <c r="L973" s="1">
        <v>191</v>
      </c>
      <c r="M973" s="2">
        <v>41983</v>
      </c>
      <c r="N973" s="1">
        <v>191</v>
      </c>
      <c r="O973" s="2">
        <v>41983</v>
      </c>
      <c r="P973" s="1">
        <v>49</v>
      </c>
      <c r="Q973" s="1" t="s">
        <v>197</v>
      </c>
      <c r="R973" s="2">
        <v>42018</v>
      </c>
      <c r="S973" s="1">
        <v>8405</v>
      </c>
      <c r="U973" s="1">
        <v>24</v>
      </c>
      <c r="V973" s="1" t="s">
        <v>1595</v>
      </c>
      <c r="W973" s="1" t="s">
        <v>449</v>
      </c>
      <c r="X973" s="1" t="s">
        <v>1000</v>
      </c>
      <c r="Y973" s="1">
        <v>4</v>
      </c>
      <c r="Z973" s="1" t="s">
        <v>200</v>
      </c>
      <c r="AA973" s="1" t="s">
        <v>1173</v>
      </c>
      <c r="AB973" s="1">
        <v>60123</v>
      </c>
      <c r="AE973" s="1" t="s">
        <v>10586</v>
      </c>
      <c r="AF973" s="1">
        <v>1984</v>
      </c>
      <c r="AG973" s="1" t="s">
        <v>204</v>
      </c>
      <c r="AH973" s="1" t="s">
        <v>1175</v>
      </c>
      <c r="AI973" s="1" t="s">
        <v>665</v>
      </c>
      <c r="AJ973" s="1" t="s">
        <v>805</v>
      </c>
      <c r="AL973" s="1">
        <v>5</v>
      </c>
      <c r="AM973" s="1">
        <v>2</v>
      </c>
      <c r="AN973" s="1">
        <v>1</v>
      </c>
      <c r="AO973" s="1">
        <v>0</v>
      </c>
      <c r="AP973" s="1" t="s">
        <v>667</v>
      </c>
      <c r="AR973" s="1" t="s">
        <v>210</v>
      </c>
      <c r="AS973" s="1" t="s">
        <v>204</v>
      </c>
      <c r="AT973" s="1" t="s">
        <v>211</v>
      </c>
      <c r="AU973" s="1">
        <v>1</v>
      </c>
      <c r="AW973" s="1" t="s">
        <v>204</v>
      </c>
      <c r="AX973" s="1" t="s">
        <v>212</v>
      </c>
      <c r="AZ973" s="1">
        <v>2707</v>
      </c>
      <c r="BA973" s="1">
        <v>2012</v>
      </c>
      <c r="BB973" s="1" t="s">
        <v>405</v>
      </c>
      <c r="BE973" s="1">
        <v>0</v>
      </c>
      <c r="BF973" s="1">
        <v>2</v>
      </c>
      <c r="BG973" s="1">
        <v>1</v>
      </c>
      <c r="BL973" s="1">
        <v>168</v>
      </c>
      <c r="BM973" s="1" t="s">
        <v>204</v>
      </c>
      <c r="BN973" s="1" t="s">
        <v>213</v>
      </c>
      <c r="BO973" s="1">
        <v>100</v>
      </c>
      <c r="BP973" s="1" t="s">
        <v>204</v>
      </c>
      <c r="BR973" s="1" t="str">
        <f>"0332400080"</f>
        <v>0332400080</v>
      </c>
      <c r="BT973" s="1" t="s">
        <v>10587</v>
      </c>
      <c r="BX973" s="1">
        <v>46</v>
      </c>
      <c r="BY973" s="1">
        <v>46</v>
      </c>
      <c r="BZ973" s="1">
        <v>46</v>
      </c>
      <c r="CB973" s="1" t="str">
        <f t="shared" ref="CB973:CC973" si="747">""</f>
        <v/>
      </c>
      <c r="CC973" s="1" t="str">
        <f t="shared" si="747"/>
        <v/>
      </c>
      <c r="CG973" s="1" t="s">
        <v>729</v>
      </c>
      <c r="CH973" s="1" t="s">
        <v>277</v>
      </c>
      <c r="CI973" s="1" t="s">
        <v>220</v>
      </c>
      <c r="CJ973" s="1" t="s">
        <v>210</v>
      </c>
      <c r="CK973" s="1" t="s">
        <v>757</v>
      </c>
      <c r="CL973" s="1" t="s">
        <v>277</v>
      </c>
      <c r="CM973" s="1" t="s">
        <v>220</v>
      </c>
      <c r="CN973" s="1" t="s">
        <v>210</v>
      </c>
      <c r="CO973" s="1" t="s">
        <v>380</v>
      </c>
      <c r="CP973" s="1" t="s">
        <v>277</v>
      </c>
      <c r="CQ973" s="1" t="s">
        <v>220</v>
      </c>
      <c r="CR973" s="1" t="s">
        <v>210</v>
      </c>
      <c r="CS973" s="1" t="s">
        <v>346</v>
      </c>
      <c r="CT973" s="1" t="s">
        <v>277</v>
      </c>
      <c r="CU973" s="1" t="s">
        <v>220</v>
      </c>
      <c r="CV973" s="1" t="s">
        <v>210</v>
      </c>
      <c r="CX973" s="1" t="s">
        <v>224</v>
      </c>
      <c r="DB973" s="1" t="s">
        <v>224</v>
      </c>
      <c r="DE973" s="1" t="s">
        <v>786</v>
      </c>
      <c r="DF973" s="1" t="s">
        <v>277</v>
      </c>
      <c r="DG973" s="1" t="s">
        <v>342</v>
      </c>
      <c r="DH973" s="1" t="s">
        <v>210</v>
      </c>
      <c r="DJ973" s="1" t="s">
        <v>224</v>
      </c>
      <c r="DS973" s="1" t="s">
        <v>230</v>
      </c>
      <c r="DW973" s="1" t="s">
        <v>230</v>
      </c>
      <c r="EA973" s="1" t="s">
        <v>230</v>
      </c>
      <c r="EE973" s="1" t="s">
        <v>230</v>
      </c>
      <c r="EI973" s="1" t="s">
        <v>230</v>
      </c>
      <c r="EL973" s="1" t="s">
        <v>542</v>
      </c>
      <c r="EM973" s="1" t="s">
        <v>319</v>
      </c>
      <c r="EN973" s="1" t="s">
        <v>282</v>
      </c>
      <c r="EO973" s="1" t="s">
        <v>234</v>
      </c>
      <c r="ER973" s="1" t="s">
        <v>210</v>
      </c>
      <c r="EW973" s="1" t="s">
        <v>210</v>
      </c>
      <c r="EZ973" s="1" t="s">
        <v>287</v>
      </c>
      <c r="FD973" s="1" t="s">
        <v>246</v>
      </c>
      <c r="FE973" s="1" t="s">
        <v>889</v>
      </c>
      <c r="FF973" s="1" t="s">
        <v>248</v>
      </c>
      <c r="FH973" s="1" t="s">
        <v>249</v>
      </c>
      <c r="FL973" s="1" t="s">
        <v>414</v>
      </c>
      <c r="FM973" s="1" t="s">
        <v>252</v>
      </c>
      <c r="FN973" s="1" t="s">
        <v>213</v>
      </c>
      <c r="FO973" s="1" t="s">
        <v>213</v>
      </c>
      <c r="FQ973" s="1" t="s">
        <v>2562</v>
      </c>
      <c r="FR973" s="1" t="s">
        <v>210</v>
      </c>
      <c r="FS973" s="1" t="s">
        <v>10588</v>
      </c>
      <c r="FT973" s="1" t="s">
        <v>584</v>
      </c>
      <c r="FU973" s="1" t="s">
        <v>204</v>
      </c>
      <c r="FW973" s="1" t="s">
        <v>8990</v>
      </c>
      <c r="FX973" s="1">
        <v>1666</v>
      </c>
      <c r="FY973" s="1" t="s">
        <v>8991</v>
      </c>
      <c r="FZ973" s="1" t="s">
        <v>9680</v>
      </c>
      <c r="GA973" s="1">
        <v>26352</v>
      </c>
      <c r="GB973" s="1" t="s">
        <v>9681</v>
      </c>
      <c r="GE973" s="1" t="s">
        <v>210</v>
      </c>
      <c r="GI973" s="1" t="s">
        <v>213</v>
      </c>
      <c r="GJ973" s="1" t="s">
        <v>260</v>
      </c>
      <c r="GK973" s="1" t="s">
        <v>210</v>
      </c>
      <c r="GL973" s="2">
        <v>42018</v>
      </c>
      <c r="GM973" s="1" t="s">
        <v>10589</v>
      </c>
    </row>
    <row r="974" spans="1:195">
      <c r="A974" s="1">
        <v>190000</v>
      </c>
      <c r="B974" s="1" t="s">
        <v>195</v>
      </c>
      <c r="C974" s="1" t="str">
        <f>"08627506"</f>
        <v>08627506</v>
      </c>
      <c r="D974" s="1" t="s">
        <v>196</v>
      </c>
      <c r="F974" s="1" t="str">
        <f>"540"</f>
        <v>540</v>
      </c>
      <c r="G974" s="2">
        <v>41787</v>
      </c>
      <c r="H974" s="1">
        <v>214900</v>
      </c>
      <c r="I974" s="1">
        <v>200000</v>
      </c>
      <c r="J974" s="1">
        <v>190000</v>
      </c>
      <c r="K974" s="2">
        <v>41787</v>
      </c>
      <c r="L974" s="1">
        <v>256</v>
      </c>
      <c r="M974" s="2">
        <v>42042</v>
      </c>
      <c r="N974" s="1">
        <v>256</v>
      </c>
      <c r="O974" s="2">
        <v>42042</v>
      </c>
      <c r="P974" s="1">
        <v>23773</v>
      </c>
      <c r="Q974" s="1" t="s">
        <v>197</v>
      </c>
      <c r="R974" s="2">
        <v>42069</v>
      </c>
      <c r="S974" s="1">
        <v>226115</v>
      </c>
      <c r="U974" s="1">
        <v>2807</v>
      </c>
      <c r="V974" s="1" t="s">
        <v>10590</v>
      </c>
      <c r="W974" s="1" t="s">
        <v>449</v>
      </c>
      <c r="Y974" s="1">
        <v>4</v>
      </c>
      <c r="Z974" s="1" t="s">
        <v>370</v>
      </c>
      <c r="AA974" s="1" t="s">
        <v>921</v>
      </c>
      <c r="AB974" s="1">
        <v>60564</v>
      </c>
      <c r="AD974" s="1" t="s">
        <v>10591</v>
      </c>
      <c r="AE974" s="1" t="s">
        <v>10592</v>
      </c>
      <c r="AF974" s="1">
        <v>1994</v>
      </c>
      <c r="AG974" s="1" t="s">
        <v>204</v>
      </c>
      <c r="AH974" s="1" t="s">
        <v>924</v>
      </c>
      <c r="AI974" s="1" t="s">
        <v>1800</v>
      </c>
      <c r="AJ974" s="1" t="s">
        <v>1801</v>
      </c>
      <c r="AK974" s="1" t="s">
        <v>10593</v>
      </c>
      <c r="AL974" s="1">
        <v>7</v>
      </c>
      <c r="AM974" s="1">
        <v>2</v>
      </c>
      <c r="AN974" s="1">
        <v>2</v>
      </c>
      <c r="AO974" s="1">
        <v>1</v>
      </c>
      <c r="AP974" s="1" t="s">
        <v>209</v>
      </c>
      <c r="AR974" s="1" t="s">
        <v>209</v>
      </c>
      <c r="AS974" s="1" t="s">
        <v>204</v>
      </c>
      <c r="AT974" s="1" t="s">
        <v>211</v>
      </c>
      <c r="AU974" s="1">
        <v>2</v>
      </c>
      <c r="AW974" s="1" t="s">
        <v>204</v>
      </c>
      <c r="AX974" s="1" t="s">
        <v>212</v>
      </c>
      <c r="AZ974" s="1">
        <v>5048.3599999999997</v>
      </c>
      <c r="BA974" s="1">
        <v>2012</v>
      </c>
      <c r="BE974" s="1">
        <v>1331</v>
      </c>
      <c r="BF974" s="1">
        <v>1</v>
      </c>
      <c r="BG974" s="1">
        <v>0</v>
      </c>
      <c r="BL974" s="1">
        <v>215</v>
      </c>
      <c r="BM974" s="1" t="s">
        <v>413</v>
      </c>
      <c r="BN974" s="1" t="s">
        <v>213</v>
      </c>
      <c r="BO974" s="1">
        <v>0</v>
      </c>
      <c r="BP974" s="1" t="s">
        <v>204</v>
      </c>
      <c r="BR974" s="1" t="str">
        <f>"01023060051000"</f>
        <v>01023060051000</v>
      </c>
      <c r="BT974" s="1" t="s">
        <v>10594</v>
      </c>
      <c r="BU974" s="1" t="s">
        <v>10595</v>
      </c>
      <c r="BV974" s="1" t="s">
        <v>6754</v>
      </c>
      <c r="BW974" s="1" t="s">
        <v>2218</v>
      </c>
      <c r="BX974" s="1">
        <v>204</v>
      </c>
      <c r="BY974" s="1">
        <v>204</v>
      </c>
      <c r="BZ974" s="1">
        <v>204</v>
      </c>
      <c r="CB974" s="1" t="str">
        <f t="shared" ref="CB974:CC974" si="748">""</f>
        <v/>
      </c>
      <c r="CC974" s="1" t="str">
        <f t="shared" si="748"/>
        <v/>
      </c>
      <c r="CG974" s="1" t="s">
        <v>862</v>
      </c>
      <c r="CH974" s="1" t="s">
        <v>219</v>
      </c>
      <c r="CI974" s="1" t="s">
        <v>220</v>
      </c>
      <c r="CK974" s="1" t="s">
        <v>315</v>
      </c>
      <c r="CL974" s="1" t="s">
        <v>277</v>
      </c>
      <c r="CM974" s="1" t="s">
        <v>220</v>
      </c>
      <c r="CO974" s="1" t="s">
        <v>1297</v>
      </c>
      <c r="CP974" s="1" t="s">
        <v>219</v>
      </c>
      <c r="CS974" s="1" t="s">
        <v>465</v>
      </c>
      <c r="CT974" s="1" t="s">
        <v>277</v>
      </c>
      <c r="CW974" s="1" t="s">
        <v>837</v>
      </c>
      <c r="CX974" s="1" t="s">
        <v>43</v>
      </c>
      <c r="CY974" s="1" t="s">
        <v>220</v>
      </c>
      <c r="DB974" s="1" t="s">
        <v>224</v>
      </c>
      <c r="DE974" s="1" t="s">
        <v>465</v>
      </c>
      <c r="DF974" s="1" t="s">
        <v>219</v>
      </c>
      <c r="DI974" s="1" t="s">
        <v>1200</v>
      </c>
      <c r="DJ974" s="1" t="s">
        <v>43</v>
      </c>
      <c r="DK974" s="1" t="s">
        <v>220</v>
      </c>
      <c r="DS974" s="1" t="s">
        <v>230</v>
      </c>
      <c r="DW974" s="1" t="s">
        <v>230</v>
      </c>
      <c r="EA974" s="1" t="s">
        <v>230</v>
      </c>
      <c r="EE974" s="1" t="s">
        <v>230</v>
      </c>
      <c r="EI974" s="1" t="s">
        <v>230</v>
      </c>
      <c r="EL974" s="1" t="s">
        <v>670</v>
      </c>
      <c r="EM974" s="1" t="s">
        <v>232</v>
      </c>
      <c r="EN974" s="1" t="s">
        <v>282</v>
      </c>
      <c r="EO974" s="1" t="s">
        <v>234</v>
      </c>
      <c r="ER974" s="1" t="s">
        <v>8320</v>
      </c>
      <c r="EW974" s="1" t="s">
        <v>7122</v>
      </c>
      <c r="EZ974" s="1" t="s">
        <v>287</v>
      </c>
      <c r="FD974" s="1" t="s">
        <v>246</v>
      </c>
      <c r="FE974" s="1" t="s">
        <v>1031</v>
      </c>
      <c r="FF974" s="1" t="s">
        <v>248</v>
      </c>
      <c r="FH974" s="1" t="s">
        <v>550</v>
      </c>
      <c r="FI974" s="1" t="s">
        <v>357</v>
      </c>
      <c r="FL974" s="1" t="s">
        <v>358</v>
      </c>
      <c r="FM974" s="1" t="s">
        <v>252</v>
      </c>
      <c r="FN974" s="1" t="s">
        <v>213</v>
      </c>
      <c r="FO974" s="1" t="s">
        <v>213</v>
      </c>
      <c r="FQ974" s="1" t="s">
        <v>793</v>
      </c>
      <c r="FR974" s="1" t="s">
        <v>652</v>
      </c>
      <c r="FS974" s="1" t="s">
        <v>10596</v>
      </c>
      <c r="FT974" s="1" t="s">
        <v>1408</v>
      </c>
      <c r="FU974" s="1" t="s">
        <v>213</v>
      </c>
      <c r="FW974" s="1" t="s">
        <v>1898</v>
      </c>
      <c r="FX974" s="1">
        <v>23030</v>
      </c>
      <c r="FY974" s="1" t="s">
        <v>1899</v>
      </c>
      <c r="FZ974" s="1" t="s">
        <v>10597</v>
      </c>
      <c r="GA974" s="1">
        <v>213363</v>
      </c>
      <c r="GB974" s="1" t="s">
        <v>10598</v>
      </c>
      <c r="GE974" s="1" t="s">
        <v>210</v>
      </c>
      <c r="GI974" s="1" t="s">
        <v>213</v>
      </c>
      <c r="GJ974" s="1" t="s">
        <v>260</v>
      </c>
      <c r="GK974" s="1" t="s">
        <v>261</v>
      </c>
      <c r="GL974" s="2">
        <v>42069</v>
      </c>
    </row>
    <row r="975" spans="1:195">
      <c r="A975" s="1">
        <v>73000</v>
      </c>
      <c r="B975" s="1" t="s">
        <v>195</v>
      </c>
      <c r="C975" s="1" t="str">
        <f>"08637598"</f>
        <v>08637598</v>
      </c>
      <c r="D975" s="1" t="s">
        <v>196</v>
      </c>
      <c r="F975" s="1" t="str">
        <f>"162"</f>
        <v>162</v>
      </c>
      <c r="G975" s="2">
        <v>41796</v>
      </c>
      <c r="H975" s="1">
        <v>87500</v>
      </c>
      <c r="I975" s="1">
        <v>87500</v>
      </c>
      <c r="J975" s="1">
        <v>73000</v>
      </c>
      <c r="K975" s="2">
        <v>41796</v>
      </c>
      <c r="L975" s="1">
        <v>214</v>
      </c>
      <c r="M975" s="2">
        <v>42009</v>
      </c>
      <c r="N975" s="1">
        <v>214</v>
      </c>
      <c r="O975" s="2">
        <v>42009</v>
      </c>
      <c r="P975" s="1">
        <v>8555</v>
      </c>
      <c r="Q975" s="1" t="s">
        <v>302</v>
      </c>
      <c r="R975" s="2">
        <v>42016</v>
      </c>
      <c r="S975" s="1">
        <v>923032</v>
      </c>
      <c r="U975" s="1">
        <v>1919</v>
      </c>
      <c r="V975" s="1" t="s">
        <v>5770</v>
      </c>
      <c r="W975" s="1" t="s">
        <v>1056</v>
      </c>
      <c r="X975" s="1" t="s">
        <v>10599</v>
      </c>
      <c r="Y975" s="1">
        <v>95</v>
      </c>
      <c r="Z975" s="1" t="s">
        <v>370</v>
      </c>
      <c r="AA975" s="1" t="s">
        <v>5444</v>
      </c>
      <c r="AB975" s="1">
        <v>60162</v>
      </c>
      <c r="AD975" s="1" t="s">
        <v>10600</v>
      </c>
      <c r="AE975" s="1" t="s">
        <v>10601</v>
      </c>
      <c r="AF975" s="1">
        <v>1970</v>
      </c>
      <c r="AG975" s="1" t="s">
        <v>213</v>
      </c>
      <c r="AH975" s="1" t="s">
        <v>10602</v>
      </c>
      <c r="AI975" s="1" t="s">
        <v>310</v>
      </c>
      <c r="AJ975" s="1" t="s">
        <v>429</v>
      </c>
      <c r="AL975" s="1">
        <v>5</v>
      </c>
      <c r="AM975" s="1">
        <v>2</v>
      </c>
      <c r="AN975" s="1">
        <v>2</v>
      </c>
      <c r="AO975" s="1">
        <v>0</v>
      </c>
      <c r="AP975" s="1" t="s">
        <v>209</v>
      </c>
      <c r="AR975" s="1" t="s">
        <v>210</v>
      </c>
      <c r="AS975" s="1" t="s">
        <v>204</v>
      </c>
      <c r="AT975" s="1" t="s">
        <v>210</v>
      </c>
      <c r="AW975" s="1" t="s">
        <v>204</v>
      </c>
      <c r="AX975" s="1" t="s">
        <v>212</v>
      </c>
      <c r="AZ975" s="1">
        <v>3121.49</v>
      </c>
      <c r="BA975" s="1">
        <v>2012</v>
      </c>
      <c r="BE975" s="1">
        <v>0</v>
      </c>
      <c r="BF975" s="1">
        <v>2</v>
      </c>
      <c r="BG975" s="1">
        <v>0</v>
      </c>
      <c r="BL975" s="1">
        <v>289</v>
      </c>
      <c r="BM975" s="1" t="s">
        <v>204</v>
      </c>
      <c r="BN975" s="1" t="s">
        <v>213</v>
      </c>
      <c r="BO975" s="1">
        <v>0</v>
      </c>
      <c r="BP975" s="1" t="s">
        <v>204</v>
      </c>
      <c r="BR975" s="1" t="str">
        <f>"15203000471054"</f>
        <v>15203000471054</v>
      </c>
      <c r="BT975" s="1" t="s">
        <v>10603</v>
      </c>
      <c r="BX975" s="1">
        <v>93</v>
      </c>
      <c r="BY975" s="1">
        <v>93</v>
      </c>
      <c r="BZ975" s="1">
        <v>209</v>
      </c>
      <c r="CB975" s="1" t="str">
        <f t="shared" ref="CB975:CC975" si="749">""</f>
        <v/>
      </c>
      <c r="CC975" s="1" t="str">
        <f t="shared" si="749"/>
        <v/>
      </c>
      <c r="CG975" s="1" t="s">
        <v>885</v>
      </c>
      <c r="CH975" s="1" t="s">
        <v>219</v>
      </c>
      <c r="CK975" s="1" t="s">
        <v>278</v>
      </c>
      <c r="CL975" s="1" t="s">
        <v>219</v>
      </c>
      <c r="CO975" s="1" t="s">
        <v>10604</v>
      </c>
      <c r="CP975" s="1" t="s">
        <v>219</v>
      </c>
      <c r="CS975" s="1" t="s">
        <v>346</v>
      </c>
      <c r="CT975" s="1" t="s">
        <v>219</v>
      </c>
      <c r="CX975" s="1" t="s">
        <v>224</v>
      </c>
      <c r="DB975" s="1" t="s">
        <v>224</v>
      </c>
      <c r="DE975" s="1" t="s">
        <v>630</v>
      </c>
      <c r="DF975" s="1" t="s">
        <v>219</v>
      </c>
      <c r="DJ975" s="1" t="s">
        <v>224</v>
      </c>
      <c r="DS975" s="1" t="s">
        <v>230</v>
      </c>
      <c r="DW975" s="1" t="s">
        <v>230</v>
      </c>
      <c r="EA975" s="1" t="s">
        <v>230</v>
      </c>
      <c r="EE975" s="1" t="s">
        <v>230</v>
      </c>
      <c r="EI975" s="1" t="s">
        <v>230</v>
      </c>
      <c r="EL975" s="1" t="s">
        <v>605</v>
      </c>
      <c r="EM975" s="1" t="s">
        <v>319</v>
      </c>
      <c r="EN975" s="1" t="s">
        <v>731</v>
      </c>
      <c r="EO975" s="1" t="s">
        <v>234</v>
      </c>
      <c r="ER975" s="1" t="s">
        <v>210</v>
      </c>
      <c r="EW975" s="1" t="s">
        <v>10605</v>
      </c>
      <c r="EZ975" s="1" t="s">
        <v>287</v>
      </c>
      <c r="FD975" s="1" t="s">
        <v>246</v>
      </c>
      <c r="FE975" s="1" t="s">
        <v>247</v>
      </c>
      <c r="FF975" s="1" t="s">
        <v>248</v>
      </c>
      <c r="FH975" s="1" t="s">
        <v>249</v>
      </c>
      <c r="FL975" s="1" t="s">
        <v>414</v>
      </c>
      <c r="FM975" s="1" t="s">
        <v>252</v>
      </c>
      <c r="FN975" s="1" t="s">
        <v>213</v>
      </c>
      <c r="FO975" s="1" t="s">
        <v>213</v>
      </c>
      <c r="FQ975" s="1" t="s">
        <v>1300</v>
      </c>
      <c r="FR975" s="1" t="s">
        <v>210</v>
      </c>
      <c r="FS975" s="1" t="s">
        <v>10606</v>
      </c>
      <c r="FT975" s="1" t="s">
        <v>255</v>
      </c>
      <c r="FU975" s="1" t="s">
        <v>204</v>
      </c>
      <c r="FW975" s="1" t="s">
        <v>1303</v>
      </c>
      <c r="FX975" s="1">
        <v>24072</v>
      </c>
      <c r="FY975" s="1" t="s">
        <v>1304</v>
      </c>
      <c r="FZ975" s="1" t="s">
        <v>1305</v>
      </c>
      <c r="GA975" s="1">
        <v>222267</v>
      </c>
      <c r="GB975" s="1" t="s">
        <v>1304</v>
      </c>
      <c r="GC975" s="1">
        <v>871164</v>
      </c>
      <c r="GE975" s="1" t="s">
        <v>210</v>
      </c>
      <c r="GH975" s="1" t="s">
        <v>421</v>
      </c>
      <c r="GI975" s="1" t="s">
        <v>213</v>
      </c>
      <c r="GJ975" s="1" t="s">
        <v>260</v>
      </c>
      <c r="GK975" s="1" t="s">
        <v>210</v>
      </c>
      <c r="GL975" s="2">
        <v>42017</v>
      </c>
      <c r="GM975" s="1" t="s">
        <v>10607</v>
      </c>
    </row>
    <row r="976" spans="1:195">
      <c r="A976" s="1">
        <v>64900</v>
      </c>
      <c r="B976" s="1" t="s">
        <v>195</v>
      </c>
      <c r="C976" s="1" t="str">
        <f>"08641806"</f>
        <v>08641806</v>
      </c>
      <c r="D976" s="1" t="s">
        <v>196</v>
      </c>
      <c r="F976" s="1" t="str">
        <f>"560"</f>
        <v>560</v>
      </c>
      <c r="G976" s="2">
        <v>41801</v>
      </c>
      <c r="H976" s="1">
        <v>64900</v>
      </c>
      <c r="I976" s="1">
        <v>64900</v>
      </c>
      <c r="J976" s="1">
        <v>64900</v>
      </c>
      <c r="K976" s="2">
        <v>41801</v>
      </c>
      <c r="L976" s="1">
        <v>143</v>
      </c>
      <c r="M976" s="2">
        <v>41943</v>
      </c>
      <c r="N976" s="1">
        <v>143</v>
      </c>
      <c r="O976" s="2">
        <v>41943</v>
      </c>
      <c r="P976" s="1">
        <v>25832</v>
      </c>
      <c r="Q976" s="1" t="s">
        <v>197</v>
      </c>
      <c r="R976" s="2">
        <v>42016</v>
      </c>
      <c r="S976" s="1">
        <v>235783</v>
      </c>
      <c r="U976" s="1">
        <v>234</v>
      </c>
      <c r="V976" s="1" t="s">
        <v>482</v>
      </c>
      <c r="W976" s="1" t="s">
        <v>264</v>
      </c>
      <c r="X976" s="1" t="s">
        <v>4627</v>
      </c>
      <c r="Y976" s="1">
        <v>8</v>
      </c>
      <c r="Z976" s="1" t="s">
        <v>370</v>
      </c>
      <c r="AA976" s="1" t="s">
        <v>484</v>
      </c>
      <c r="AB976" s="1">
        <v>60560</v>
      </c>
      <c r="AD976" s="1" t="s">
        <v>485</v>
      </c>
      <c r="AE976" s="1" t="s">
        <v>10608</v>
      </c>
      <c r="AF976" s="1">
        <v>2006</v>
      </c>
      <c r="AG976" s="1" t="s">
        <v>204</v>
      </c>
      <c r="AH976" s="1" t="s">
        <v>487</v>
      </c>
      <c r="AI976" s="1" t="s">
        <v>453</v>
      </c>
      <c r="AJ976" s="1" t="s">
        <v>454</v>
      </c>
      <c r="AL976" s="1">
        <v>5</v>
      </c>
      <c r="AM976" s="1">
        <v>2</v>
      </c>
      <c r="AN976" s="1">
        <v>2</v>
      </c>
      <c r="AO976" s="1">
        <v>0</v>
      </c>
      <c r="AP976" s="1" t="s">
        <v>209</v>
      </c>
      <c r="AQ976" s="1">
        <v>0</v>
      </c>
      <c r="AR976" s="1" t="s">
        <v>210</v>
      </c>
      <c r="AS976" s="1" t="s">
        <v>204</v>
      </c>
      <c r="AT976" s="1" t="s">
        <v>211</v>
      </c>
      <c r="AU976" s="1">
        <v>1</v>
      </c>
      <c r="AW976" s="1" t="s">
        <v>204</v>
      </c>
      <c r="AX976" s="1" t="s">
        <v>212</v>
      </c>
      <c r="AZ976" s="1">
        <v>3690</v>
      </c>
      <c r="BA976" s="1">
        <v>2012</v>
      </c>
      <c r="BB976" s="1" t="s">
        <v>405</v>
      </c>
      <c r="BE976" s="1">
        <v>1000</v>
      </c>
      <c r="BF976" s="1">
        <v>2</v>
      </c>
      <c r="BG976" s="1">
        <v>0</v>
      </c>
      <c r="BL976" s="1">
        <v>223</v>
      </c>
      <c r="BM976" s="1" t="s">
        <v>204</v>
      </c>
      <c r="BN976" s="1" t="s">
        <v>213</v>
      </c>
      <c r="BO976" s="1">
        <v>999</v>
      </c>
      <c r="BP976" s="1" t="s">
        <v>204</v>
      </c>
      <c r="BR976" s="1" t="str">
        <f>"0204390249"</f>
        <v>0204390249</v>
      </c>
      <c r="BT976" s="1" t="s">
        <v>10609</v>
      </c>
      <c r="BU976" s="1" t="s">
        <v>10610</v>
      </c>
      <c r="BV976" s="1" t="s">
        <v>10611</v>
      </c>
      <c r="BW976" s="1" t="s">
        <v>9633</v>
      </c>
      <c r="BX976" s="1">
        <v>115</v>
      </c>
      <c r="BY976" s="1">
        <v>115</v>
      </c>
      <c r="BZ976" s="1">
        <v>115</v>
      </c>
      <c r="CB976" s="1" t="str">
        <f t="shared" ref="CB976:CC976" si="750">"0"</f>
        <v>0</v>
      </c>
      <c r="CC976" s="1" t="str">
        <f t="shared" si="750"/>
        <v>0</v>
      </c>
      <c r="CD976" s="1">
        <v>42</v>
      </c>
      <c r="CE976" s="1">
        <v>10</v>
      </c>
      <c r="CG976" s="1" t="s">
        <v>344</v>
      </c>
      <c r="CH976" s="1" t="s">
        <v>277</v>
      </c>
      <c r="CI976" s="1" t="s">
        <v>220</v>
      </c>
      <c r="CK976" s="1" t="s">
        <v>278</v>
      </c>
      <c r="CL976" s="1" t="s">
        <v>277</v>
      </c>
      <c r="CM976" s="1" t="s">
        <v>220</v>
      </c>
      <c r="CO976" s="1" t="s">
        <v>489</v>
      </c>
      <c r="CP976" s="1" t="s">
        <v>277</v>
      </c>
      <c r="CQ976" s="1" t="s">
        <v>220</v>
      </c>
      <c r="CS976" s="1" t="s">
        <v>932</v>
      </c>
      <c r="CT976" s="1" t="s">
        <v>277</v>
      </c>
      <c r="CU976" s="1" t="s">
        <v>220</v>
      </c>
      <c r="CX976" s="1" t="s">
        <v>224</v>
      </c>
      <c r="DB976" s="1" t="s">
        <v>224</v>
      </c>
      <c r="DE976" s="1" t="s">
        <v>1534</v>
      </c>
      <c r="DF976" s="1" t="s">
        <v>277</v>
      </c>
      <c r="DG976" s="1" t="s">
        <v>342</v>
      </c>
      <c r="DJ976" s="1" t="s">
        <v>224</v>
      </c>
      <c r="DS976" s="1" t="s">
        <v>230</v>
      </c>
      <c r="DW976" s="1" t="s">
        <v>230</v>
      </c>
      <c r="EA976" s="1" t="s">
        <v>230</v>
      </c>
      <c r="EE976" s="1" t="s">
        <v>230</v>
      </c>
      <c r="EI976" s="1" t="s">
        <v>230</v>
      </c>
      <c r="EL976" s="1" t="s">
        <v>491</v>
      </c>
      <c r="EM976" s="1" t="s">
        <v>319</v>
      </c>
      <c r="EN976" s="1" t="s">
        <v>282</v>
      </c>
      <c r="EO976" s="1" t="s">
        <v>234</v>
      </c>
      <c r="EP976" s="1" t="s">
        <v>10612</v>
      </c>
      <c r="EQ976" s="1" t="s">
        <v>953</v>
      </c>
      <c r="ER976" s="1" t="s">
        <v>210</v>
      </c>
      <c r="EW976" s="1" t="s">
        <v>3255</v>
      </c>
      <c r="EZ976" s="1" t="s">
        <v>287</v>
      </c>
      <c r="FB976" s="1" t="s">
        <v>289</v>
      </c>
      <c r="FD976" s="1" t="s">
        <v>246</v>
      </c>
      <c r="FE976" s="1" t="s">
        <v>247</v>
      </c>
      <c r="FF976" s="1" t="s">
        <v>248</v>
      </c>
      <c r="FH976" s="1" t="s">
        <v>249</v>
      </c>
      <c r="FI976" s="1" t="s">
        <v>473</v>
      </c>
      <c r="FL976" s="1" t="s">
        <v>292</v>
      </c>
      <c r="FM976" s="1" t="s">
        <v>252</v>
      </c>
      <c r="FN976" s="1" t="s">
        <v>213</v>
      </c>
      <c r="FO976" s="1" t="s">
        <v>213</v>
      </c>
      <c r="FQ976" s="1" t="s">
        <v>8299</v>
      </c>
      <c r="FR976" s="1" t="s">
        <v>360</v>
      </c>
      <c r="FS976" s="1" t="s">
        <v>1709</v>
      </c>
      <c r="FT976" s="1" t="s">
        <v>295</v>
      </c>
      <c r="FU976" s="1" t="s">
        <v>204</v>
      </c>
      <c r="FW976" s="1" t="s">
        <v>5648</v>
      </c>
      <c r="FX976" s="1">
        <v>23099</v>
      </c>
      <c r="FY976" s="1" t="s">
        <v>5649</v>
      </c>
      <c r="FZ976" s="1" t="s">
        <v>10613</v>
      </c>
      <c r="GA976" s="1">
        <v>227800</v>
      </c>
      <c r="GB976" s="1" t="s">
        <v>10614</v>
      </c>
      <c r="GE976" s="1" t="s">
        <v>210</v>
      </c>
      <c r="GI976" s="1" t="s">
        <v>213</v>
      </c>
      <c r="GJ976" s="1" t="s">
        <v>260</v>
      </c>
      <c r="GK976" s="1" t="s">
        <v>261</v>
      </c>
      <c r="GL976" s="2">
        <v>42016</v>
      </c>
      <c r="GM976" s="1" t="s">
        <v>10615</v>
      </c>
    </row>
    <row r="977" spans="1:195">
      <c r="A977" s="1">
        <v>235000</v>
      </c>
      <c r="B977" s="1" t="s">
        <v>195</v>
      </c>
      <c r="C977" s="1" t="str">
        <f>"08637916"</f>
        <v>08637916</v>
      </c>
      <c r="D977" s="1" t="s">
        <v>196</v>
      </c>
      <c r="F977" s="1" t="str">
        <f>"115"</f>
        <v>115</v>
      </c>
      <c r="G977" s="2">
        <v>41797</v>
      </c>
      <c r="H977" s="1">
        <v>279900</v>
      </c>
      <c r="I977" s="1">
        <v>244900</v>
      </c>
      <c r="J977" s="1">
        <v>235000</v>
      </c>
      <c r="K977" s="2">
        <v>41796</v>
      </c>
      <c r="L977" s="1">
        <v>196</v>
      </c>
      <c r="M977" s="2">
        <v>41991</v>
      </c>
      <c r="N977" s="1">
        <v>196</v>
      </c>
      <c r="O977" s="2">
        <v>41991</v>
      </c>
      <c r="P977" s="1">
        <v>24809</v>
      </c>
      <c r="Q977" s="1" t="s">
        <v>302</v>
      </c>
      <c r="R977" s="2">
        <v>42030</v>
      </c>
      <c r="S977" s="1">
        <v>237413</v>
      </c>
      <c r="U977" s="1">
        <v>3046</v>
      </c>
      <c r="V977" s="1" t="s">
        <v>7818</v>
      </c>
      <c r="W977" s="1" t="s">
        <v>264</v>
      </c>
      <c r="X977" s="1" t="s">
        <v>5590</v>
      </c>
      <c r="Y977" s="1">
        <v>3</v>
      </c>
      <c r="Z977" s="1" t="s">
        <v>249</v>
      </c>
      <c r="AA977" s="1" t="s">
        <v>2242</v>
      </c>
      <c r="AB977" s="1">
        <v>60115</v>
      </c>
      <c r="AD977" s="1" t="s">
        <v>7818</v>
      </c>
      <c r="AE977" s="1" t="s">
        <v>10616</v>
      </c>
      <c r="AF977" s="1">
        <v>1989</v>
      </c>
      <c r="AG977" s="1" t="s">
        <v>204</v>
      </c>
      <c r="AH977" s="1" t="s">
        <v>2245</v>
      </c>
      <c r="AI977" s="1" t="s">
        <v>2246</v>
      </c>
      <c r="AJ977" s="1" t="s">
        <v>2245</v>
      </c>
      <c r="AL977" s="1">
        <v>8</v>
      </c>
      <c r="AM977" s="1">
        <v>2</v>
      </c>
      <c r="AN977" s="1">
        <v>2</v>
      </c>
      <c r="AO977" s="1">
        <v>1</v>
      </c>
      <c r="AP977" s="1" t="s">
        <v>209</v>
      </c>
      <c r="AQ977" s="1">
        <v>2</v>
      </c>
      <c r="AR977" s="1" t="s">
        <v>1483</v>
      </c>
      <c r="AS977" s="1" t="s">
        <v>213</v>
      </c>
      <c r="AT977" s="1" t="s">
        <v>211</v>
      </c>
      <c r="AU977" s="1">
        <v>3</v>
      </c>
      <c r="AW977" s="1" t="s">
        <v>204</v>
      </c>
      <c r="AX977" s="1" t="s">
        <v>270</v>
      </c>
      <c r="AZ977" s="1">
        <v>7728.06</v>
      </c>
      <c r="BA977" s="1">
        <v>2013</v>
      </c>
      <c r="BB977" s="1" t="s">
        <v>599</v>
      </c>
      <c r="BE977" s="1">
        <v>1910</v>
      </c>
      <c r="BF977" s="1">
        <v>1</v>
      </c>
      <c r="BG977" s="1">
        <v>0</v>
      </c>
      <c r="BL977" s="1">
        <v>160</v>
      </c>
      <c r="BM977" s="1" t="s">
        <v>204</v>
      </c>
      <c r="BN977" s="1" t="s">
        <v>213</v>
      </c>
      <c r="BO977" s="1">
        <v>999</v>
      </c>
      <c r="BP977" s="1" t="s">
        <v>204</v>
      </c>
      <c r="BR977" s="1" t="str">
        <f>"0812112009"</f>
        <v>0812112009</v>
      </c>
      <c r="BT977" s="1" t="s">
        <v>10617</v>
      </c>
      <c r="BX977" s="1">
        <v>428</v>
      </c>
      <c r="BY977" s="1">
        <v>428</v>
      </c>
      <c r="BZ977" s="1">
        <v>428</v>
      </c>
      <c r="CB977" s="1" t="str">
        <f t="shared" ref="CB977:CC977" si="751">""</f>
        <v/>
      </c>
      <c r="CC977" s="1" t="str">
        <f t="shared" si="751"/>
        <v/>
      </c>
      <c r="CH977" s="1" t="s">
        <v>224</v>
      </c>
      <c r="CK977" s="1" t="s">
        <v>2747</v>
      </c>
      <c r="CL977" s="1" t="s">
        <v>219</v>
      </c>
      <c r="CM977" s="1" t="s">
        <v>220</v>
      </c>
      <c r="CN977" s="1" t="s">
        <v>252</v>
      </c>
      <c r="CO977" s="1" t="s">
        <v>629</v>
      </c>
      <c r="CP977" s="1" t="s">
        <v>219</v>
      </c>
      <c r="CS977" s="1" t="s">
        <v>437</v>
      </c>
      <c r="CT977" s="1" t="s">
        <v>219</v>
      </c>
      <c r="CU977" s="1" t="s">
        <v>220</v>
      </c>
      <c r="CV977" s="1" t="s">
        <v>252</v>
      </c>
      <c r="CW977" s="1" t="s">
        <v>932</v>
      </c>
      <c r="CX977" s="1" t="s">
        <v>43</v>
      </c>
      <c r="CY977" s="1" t="s">
        <v>220</v>
      </c>
      <c r="CZ977" s="1" t="s">
        <v>252</v>
      </c>
      <c r="DA977" s="1" t="s">
        <v>1155</v>
      </c>
      <c r="DB977" s="1" t="s">
        <v>43</v>
      </c>
      <c r="DC977" s="1" t="s">
        <v>220</v>
      </c>
      <c r="DD977" s="1" t="s">
        <v>252</v>
      </c>
      <c r="DE977" s="1" t="s">
        <v>437</v>
      </c>
      <c r="DF977" s="1" t="s">
        <v>219</v>
      </c>
      <c r="DG977" s="1" t="s">
        <v>226</v>
      </c>
      <c r="DH977" s="1" t="s">
        <v>252</v>
      </c>
      <c r="DI977" s="1" t="s">
        <v>2763</v>
      </c>
      <c r="DJ977" s="1" t="s">
        <v>822</v>
      </c>
      <c r="DM977" s="1" t="s">
        <v>1676</v>
      </c>
      <c r="DN977" s="1" t="s">
        <v>709</v>
      </c>
      <c r="DO977" s="1" t="s">
        <v>2278</v>
      </c>
      <c r="DP977" s="1" t="s">
        <v>1614</v>
      </c>
      <c r="DQ977" s="1" t="s">
        <v>603</v>
      </c>
      <c r="DR977" s="1" t="s">
        <v>10618</v>
      </c>
      <c r="DS977" s="1" t="s">
        <v>219</v>
      </c>
      <c r="DT977" s="1" t="s">
        <v>438</v>
      </c>
      <c r="DU977" s="1" t="s">
        <v>252</v>
      </c>
      <c r="DV977" s="1" t="s">
        <v>380</v>
      </c>
      <c r="DW977" s="1" t="s">
        <v>219</v>
      </c>
      <c r="DX977" s="1" t="s">
        <v>226</v>
      </c>
      <c r="DY977" s="1" t="s">
        <v>252</v>
      </c>
      <c r="DZ977" s="1" t="s">
        <v>461</v>
      </c>
      <c r="EA977" s="1" t="s">
        <v>822</v>
      </c>
      <c r="ED977" s="1" t="s">
        <v>3808</v>
      </c>
      <c r="EE977" s="1" t="s">
        <v>822</v>
      </c>
      <c r="EH977" s="1" t="s">
        <v>1615</v>
      </c>
      <c r="EI977" s="1" t="s">
        <v>219</v>
      </c>
      <c r="EJ977" s="1" t="s">
        <v>226</v>
      </c>
      <c r="EK977" s="1" t="s">
        <v>252</v>
      </c>
      <c r="EL977" s="1" t="s">
        <v>382</v>
      </c>
      <c r="EM977" s="1" t="s">
        <v>319</v>
      </c>
      <c r="EN977" s="1" t="s">
        <v>282</v>
      </c>
      <c r="EO977" s="1" t="s">
        <v>234</v>
      </c>
      <c r="EQ977" s="1" t="s">
        <v>2188</v>
      </c>
      <c r="ER977" s="1" t="s">
        <v>544</v>
      </c>
      <c r="ES977" s="1" t="s">
        <v>824</v>
      </c>
      <c r="ET977" s="1" t="s">
        <v>1201</v>
      </c>
      <c r="EU977" s="1" t="s">
        <v>10619</v>
      </c>
      <c r="EV977" s="1" t="s">
        <v>240</v>
      </c>
      <c r="EW977" s="1" t="s">
        <v>353</v>
      </c>
      <c r="EZ977" s="1" t="s">
        <v>10620</v>
      </c>
      <c r="FA977" s="1" t="s">
        <v>10621</v>
      </c>
      <c r="FD977" s="1" t="s">
        <v>246</v>
      </c>
      <c r="FE977" s="1" t="s">
        <v>549</v>
      </c>
      <c r="FF977" s="1" t="s">
        <v>248</v>
      </c>
      <c r="FG977" s="1" t="s">
        <v>10622</v>
      </c>
      <c r="FH977" s="1" t="s">
        <v>1316</v>
      </c>
      <c r="FI977" s="1" t="s">
        <v>473</v>
      </c>
      <c r="FL977" s="1" t="s">
        <v>358</v>
      </c>
      <c r="FM977" s="1" t="s">
        <v>252</v>
      </c>
      <c r="FN977" s="1" t="s">
        <v>213</v>
      </c>
      <c r="FO977" s="1" t="s">
        <v>213</v>
      </c>
      <c r="FQ977" s="1" t="s">
        <v>2091</v>
      </c>
      <c r="FR977" s="1" t="s">
        <v>10623</v>
      </c>
      <c r="FS977" s="1" t="s">
        <v>10624</v>
      </c>
      <c r="FT977" s="1" t="s">
        <v>10625</v>
      </c>
      <c r="FU977" s="1" t="s">
        <v>204</v>
      </c>
      <c r="FW977" s="1" t="s">
        <v>958</v>
      </c>
      <c r="FX977" s="1">
        <v>93094</v>
      </c>
      <c r="FY977" s="1" t="s">
        <v>959</v>
      </c>
      <c r="FZ977" s="1" t="s">
        <v>10626</v>
      </c>
      <c r="GA977" s="1">
        <v>930255</v>
      </c>
      <c r="GB977" s="1" t="s">
        <v>10627</v>
      </c>
      <c r="GD977" s="1" t="s">
        <v>10628</v>
      </c>
      <c r="GE977" s="1" t="s">
        <v>210</v>
      </c>
      <c r="GI977" s="1" t="s">
        <v>213</v>
      </c>
      <c r="GJ977" s="1" t="s">
        <v>260</v>
      </c>
      <c r="GK977" s="1" t="s">
        <v>210</v>
      </c>
      <c r="GL977" s="2">
        <v>42031</v>
      </c>
      <c r="GM977" s="1" t="s">
        <v>10629</v>
      </c>
    </row>
    <row r="978" spans="1:195">
      <c r="A978" s="1">
        <v>69900</v>
      </c>
      <c r="B978" s="1" t="s">
        <v>195</v>
      </c>
      <c r="C978" s="1" t="str">
        <f>"08631089"</f>
        <v>08631089</v>
      </c>
      <c r="D978" s="1" t="s">
        <v>196</v>
      </c>
      <c r="F978" s="1" t="str">
        <f>"545"</f>
        <v>545</v>
      </c>
      <c r="G978" s="2">
        <v>41791</v>
      </c>
      <c r="H978" s="1">
        <v>69900</v>
      </c>
      <c r="I978" s="1">
        <v>69900</v>
      </c>
      <c r="J978" s="1">
        <v>69900</v>
      </c>
      <c r="K978" s="2">
        <v>41791</v>
      </c>
      <c r="L978" s="1">
        <v>7</v>
      </c>
      <c r="M978" s="2">
        <v>41797</v>
      </c>
      <c r="N978" s="1">
        <v>7</v>
      </c>
      <c r="O978" s="2">
        <v>41797</v>
      </c>
      <c r="P978" s="1">
        <v>24215</v>
      </c>
      <c r="Q978" s="1" t="s">
        <v>423</v>
      </c>
      <c r="R978" s="2">
        <v>41977</v>
      </c>
      <c r="S978" s="1">
        <v>234368</v>
      </c>
      <c r="U978" s="1">
        <v>4412</v>
      </c>
      <c r="V978" s="1" t="s">
        <v>10630</v>
      </c>
      <c r="W978" s="1" t="s">
        <v>725</v>
      </c>
      <c r="Y978" s="1">
        <v>2</v>
      </c>
      <c r="Z978" s="1" t="s">
        <v>370</v>
      </c>
      <c r="AA978" s="1" t="s">
        <v>1335</v>
      </c>
      <c r="AB978" s="1">
        <v>60545</v>
      </c>
      <c r="AD978" s="1" t="s">
        <v>8499</v>
      </c>
      <c r="AE978" s="1" t="s">
        <v>10631</v>
      </c>
      <c r="AF978" s="1">
        <v>2006</v>
      </c>
      <c r="AG978" s="1" t="s">
        <v>204</v>
      </c>
      <c r="AH978" s="1" t="s">
        <v>1338</v>
      </c>
      <c r="AI978" s="1" t="s">
        <v>453</v>
      </c>
      <c r="AJ978" s="1" t="s">
        <v>1339</v>
      </c>
      <c r="AL978" s="1">
        <v>5</v>
      </c>
      <c r="AM978" s="1">
        <v>2</v>
      </c>
      <c r="AN978" s="1">
        <v>1</v>
      </c>
      <c r="AO978" s="1">
        <v>1</v>
      </c>
      <c r="AP978" s="1" t="s">
        <v>667</v>
      </c>
      <c r="AR978" s="1" t="s">
        <v>210</v>
      </c>
      <c r="AS978" s="1" t="s">
        <v>204</v>
      </c>
      <c r="AT978" s="1" t="s">
        <v>211</v>
      </c>
      <c r="AU978" s="1">
        <v>1</v>
      </c>
      <c r="AW978" s="1" t="s">
        <v>204</v>
      </c>
      <c r="AX978" s="1" t="s">
        <v>10632</v>
      </c>
      <c r="AZ978" s="1">
        <v>3977.04</v>
      </c>
      <c r="BA978" s="1">
        <v>2013</v>
      </c>
      <c r="BE978" s="1">
        <v>0</v>
      </c>
      <c r="BF978" s="1">
        <v>1</v>
      </c>
      <c r="BG978" s="1">
        <v>0</v>
      </c>
      <c r="BL978" s="1">
        <v>35</v>
      </c>
      <c r="BM978" s="1" t="s">
        <v>204</v>
      </c>
      <c r="BN978" s="1" t="s">
        <v>213</v>
      </c>
      <c r="BO978" s="1">
        <v>0</v>
      </c>
      <c r="BP978" s="1" t="s">
        <v>204</v>
      </c>
      <c r="BR978" s="1" t="str">
        <f>"0125227027"</f>
        <v>0125227027</v>
      </c>
      <c r="BT978" s="1" t="s">
        <v>10633</v>
      </c>
      <c r="BX978" s="1">
        <v>88</v>
      </c>
      <c r="BY978" s="1">
        <v>88</v>
      </c>
      <c r="BZ978" s="1">
        <v>88</v>
      </c>
      <c r="CB978" s="1" t="str">
        <f t="shared" ref="CB978:CC978" si="752">""</f>
        <v/>
      </c>
      <c r="CC978" s="1" t="str">
        <f t="shared" si="752"/>
        <v/>
      </c>
      <c r="CG978" s="1" t="s">
        <v>317</v>
      </c>
      <c r="CH978" s="1" t="s">
        <v>219</v>
      </c>
      <c r="CI978" s="1" t="s">
        <v>220</v>
      </c>
      <c r="CK978" s="1" t="s">
        <v>461</v>
      </c>
      <c r="CL978" s="1" t="s">
        <v>219</v>
      </c>
      <c r="CM978" s="1" t="s">
        <v>220</v>
      </c>
      <c r="CO978" s="1" t="s">
        <v>4999</v>
      </c>
      <c r="CP978" s="1" t="s">
        <v>219</v>
      </c>
      <c r="CQ978" s="1" t="s">
        <v>220</v>
      </c>
      <c r="CS978" s="1" t="s">
        <v>318</v>
      </c>
      <c r="CT978" s="1" t="s">
        <v>219</v>
      </c>
      <c r="CU978" s="1" t="s">
        <v>220</v>
      </c>
      <c r="CX978" s="1" t="s">
        <v>224</v>
      </c>
      <c r="DB978" s="1" t="s">
        <v>224</v>
      </c>
      <c r="DE978" s="1" t="s">
        <v>539</v>
      </c>
      <c r="DF978" s="1" t="s">
        <v>219</v>
      </c>
      <c r="DG978" s="1" t="s">
        <v>342</v>
      </c>
      <c r="DJ978" s="1" t="s">
        <v>224</v>
      </c>
      <c r="DS978" s="1" t="s">
        <v>230</v>
      </c>
      <c r="DW978" s="1" t="s">
        <v>230</v>
      </c>
      <c r="EA978" s="1" t="s">
        <v>230</v>
      </c>
      <c r="EE978" s="1" t="s">
        <v>230</v>
      </c>
      <c r="EI978" s="1" t="s">
        <v>230</v>
      </c>
      <c r="EL978" s="1" t="s">
        <v>491</v>
      </c>
      <c r="EM978" s="1" t="s">
        <v>319</v>
      </c>
      <c r="EN978" s="1" t="s">
        <v>282</v>
      </c>
      <c r="EO978" s="1" t="s">
        <v>234</v>
      </c>
      <c r="ER978" s="1" t="s">
        <v>383</v>
      </c>
      <c r="ES978" s="1" t="s">
        <v>1552</v>
      </c>
      <c r="EV978" s="1" t="s">
        <v>240</v>
      </c>
      <c r="EW978" s="1" t="s">
        <v>210</v>
      </c>
      <c r="EY978" s="1" t="s">
        <v>242</v>
      </c>
      <c r="EZ978" s="1" t="s">
        <v>287</v>
      </c>
      <c r="FD978" s="1" t="s">
        <v>246</v>
      </c>
      <c r="FE978" s="1" t="s">
        <v>472</v>
      </c>
      <c r="FF978" s="1" t="s">
        <v>248</v>
      </c>
      <c r="FH978" s="1" t="s">
        <v>442</v>
      </c>
      <c r="FI978" s="1" t="s">
        <v>473</v>
      </c>
      <c r="FL978" s="1" t="s">
        <v>414</v>
      </c>
      <c r="FM978" s="1" t="s">
        <v>252</v>
      </c>
      <c r="FN978" s="1" t="s">
        <v>213</v>
      </c>
      <c r="FO978" s="1" t="s">
        <v>213</v>
      </c>
      <c r="FQ978" s="1" t="s">
        <v>8730</v>
      </c>
      <c r="FR978" s="1" t="s">
        <v>360</v>
      </c>
      <c r="FS978" s="1" t="s">
        <v>636</v>
      </c>
      <c r="FT978" s="1" t="s">
        <v>295</v>
      </c>
      <c r="FU978" s="1" t="s">
        <v>204</v>
      </c>
      <c r="FW978" s="1" t="s">
        <v>8731</v>
      </c>
      <c r="FX978" s="1">
        <v>23836</v>
      </c>
      <c r="FY978" s="1" t="s">
        <v>10634</v>
      </c>
      <c r="FZ978" s="1" t="s">
        <v>8733</v>
      </c>
      <c r="GA978" s="1">
        <v>236067</v>
      </c>
      <c r="GB978" s="1" t="s">
        <v>8734</v>
      </c>
      <c r="GE978" s="1" t="s">
        <v>480</v>
      </c>
      <c r="GI978" s="1" t="s">
        <v>213</v>
      </c>
      <c r="GJ978" s="1" t="s">
        <v>260</v>
      </c>
      <c r="GK978" s="1" t="s">
        <v>210</v>
      </c>
      <c r="GL978" s="2">
        <v>41978</v>
      </c>
      <c r="GM978" s="1" t="s">
        <v>10635</v>
      </c>
    </row>
    <row r="979" spans="1:195">
      <c r="A979" s="1">
        <v>313400</v>
      </c>
      <c r="B979" s="1" t="s">
        <v>195</v>
      </c>
      <c r="C979" s="1" t="str">
        <f>"08627808"</f>
        <v>08627808</v>
      </c>
      <c r="D979" s="1" t="s">
        <v>196</v>
      </c>
      <c r="F979" s="1" t="str">
        <f>"522"</f>
        <v>522</v>
      </c>
      <c r="G979" s="2">
        <v>41788</v>
      </c>
      <c r="H979" s="1">
        <v>360000</v>
      </c>
      <c r="I979" s="1">
        <v>327999</v>
      </c>
      <c r="J979" s="1">
        <v>313400</v>
      </c>
      <c r="K979" s="2">
        <v>41788</v>
      </c>
      <c r="L979" s="1">
        <v>172</v>
      </c>
      <c r="M979" s="2">
        <v>41959</v>
      </c>
      <c r="N979" s="1">
        <v>172</v>
      </c>
      <c r="O979" s="2">
        <v>41959</v>
      </c>
      <c r="P979" s="1">
        <v>20001</v>
      </c>
      <c r="Q979" s="1" t="s">
        <v>197</v>
      </c>
      <c r="R979" s="2">
        <v>41992</v>
      </c>
      <c r="S979" s="1">
        <v>219689</v>
      </c>
      <c r="U979" s="1" t="s">
        <v>10636</v>
      </c>
      <c r="V979" s="1" t="s">
        <v>1645</v>
      </c>
      <c r="W979" s="1" t="s">
        <v>449</v>
      </c>
      <c r="Y979" s="1">
        <v>4</v>
      </c>
      <c r="Z979" s="1" t="s">
        <v>249</v>
      </c>
      <c r="AA979" s="1" t="s">
        <v>698</v>
      </c>
      <c r="AB979" s="1">
        <v>60527</v>
      </c>
      <c r="AE979" s="1" t="s">
        <v>10637</v>
      </c>
      <c r="AF979" s="1">
        <v>2008</v>
      </c>
      <c r="AG979" s="1" t="s">
        <v>204</v>
      </c>
      <c r="AH979" s="1" t="s">
        <v>882</v>
      </c>
      <c r="AI979" s="1" t="s">
        <v>206</v>
      </c>
      <c r="AJ979" s="1" t="s">
        <v>903</v>
      </c>
      <c r="AK979" s="1" t="s">
        <v>4519</v>
      </c>
      <c r="AL979" s="1">
        <v>8</v>
      </c>
      <c r="AM979" s="1">
        <v>2</v>
      </c>
      <c r="AN979" s="1">
        <v>2</v>
      </c>
      <c r="AO979" s="1">
        <v>1</v>
      </c>
      <c r="AP979" s="1" t="s">
        <v>209</v>
      </c>
      <c r="AQ979" s="1">
        <v>1</v>
      </c>
      <c r="AR979" s="1" t="s">
        <v>209</v>
      </c>
      <c r="AS979" s="1" t="s">
        <v>204</v>
      </c>
      <c r="AT979" s="1" t="s">
        <v>211</v>
      </c>
      <c r="AU979" s="1">
        <v>2</v>
      </c>
      <c r="AW979" s="1" t="s">
        <v>204</v>
      </c>
      <c r="AX979" s="1" t="s">
        <v>212</v>
      </c>
      <c r="AZ979" s="1">
        <v>4407.46</v>
      </c>
      <c r="BA979" s="1">
        <v>2013</v>
      </c>
      <c r="BB979" s="1" t="s">
        <v>405</v>
      </c>
      <c r="BE979" s="1">
        <v>1900</v>
      </c>
      <c r="BF979" s="1">
        <v>1</v>
      </c>
      <c r="BG979" s="1">
        <v>30</v>
      </c>
      <c r="BL979" s="1">
        <v>186</v>
      </c>
      <c r="BM979" s="1" t="s">
        <v>204</v>
      </c>
      <c r="BN979" s="1" t="s">
        <v>213</v>
      </c>
      <c r="BO979" s="1">
        <v>50</v>
      </c>
      <c r="BP979" s="1" t="s">
        <v>204</v>
      </c>
      <c r="BR979" s="1" t="str">
        <f>"1002313032"</f>
        <v>1002313032</v>
      </c>
      <c r="BT979" s="1" t="s">
        <v>10638</v>
      </c>
      <c r="BU979" s="1" t="s">
        <v>1423</v>
      </c>
      <c r="BV979" s="1" t="s">
        <v>1424</v>
      </c>
      <c r="BW979" s="1" t="s">
        <v>907</v>
      </c>
      <c r="BX979" s="1">
        <v>180</v>
      </c>
      <c r="BY979" s="1">
        <v>180</v>
      </c>
      <c r="BZ979" s="1">
        <v>86</v>
      </c>
      <c r="CB979" s="1" t="str">
        <f t="shared" ref="CB979:CC979" si="753">"0"</f>
        <v>0</v>
      </c>
      <c r="CC979" s="1" t="str">
        <f t="shared" si="753"/>
        <v>0</v>
      </c>
      <c r="CD979" s="1">
        <v>17</v>
      </c>
      <c r="CE979" s="1">
        <v>10</v>
      </c>
      <c r="CG979" s="1" t="s">
        <v>932</v>
      </c>
      <c r="CH979" s="1" t="s">
        <v>219</v>
      </c>
      <c r="CI979" s="1" t="s">
        <v>220</v>
      </c>
      <c r="CJ979" s="1" t="s">
        <v>252</v>
      </c>
      <c r="CK979" s="1" t="s">
        <v>1178</v>
      </c>
      <c r="CL979" s="1" t="s">
        <v>277</v>
      </c>
      <c r="CM979" s="1" t="s">
        <v>220</v>
      </c>
      <c r="CN979" s="1" t="s">
        <v>252</v>
      </c>
      <c r="CO979" s="1" t="s">
        <v>786</v>
      </c>
      <c r="CP979" s="1" t="s">
        <v>219</v>
      </c>
      <c r="CQ979" s="1" t="s">
        <v>220</v>
      </c>
      <c r="CR979" s="1" t="s">
        <v>252</v>
      </c>
      <c r="CS979" s="1" t="s">
        <v>465</v>
      </c>
      <c r="CT979" s="1" t="s">
        <v>277</v>
      </c>
      <c r="CU979" s="1" t="s">
        <v>220</v>
      </c>
      <c r="CV979" s="1" t="s">
        <v>252</v>
      </c>
      <c r="CW979" s="1" t="s">
        <v>757</v>
      </c>
      <c r="CX979" s="1" t="s">
        <v>43</v>
      </c>
      <c r="CY979" s="1" t="s">
        <v>229</v>
      </c>
      <c r="CZ979" s="1" t="s">
        <v>252</v>
      </c>
      <c r="DB979" s="1" t="s">
        <v>224</v>
      </c>
      <c r="DE979" s="1" t="s">
        <v>5898</v>
      </c>
      <c r="DF979" s="1" t="s">
        <v>219</v>
      </c>
      <c r="DG979" s="1" t="s">
        <v>438</v>
      </c>
      <c r="DH979" s="1" t="s">
        <v>252</v>
      </c>
      <c r="DI979" s="1" t="s">
        <v>8089</v>
      </c>
      <c r="DJ979" s="1" t="s">
        <v>43</v>
      </c>
      <c r="DK979" s="1" t="s">
        <v>229</v>
      </c>
      <c r="DM979" s="1" t="s">
        <v>464</v>
      </c>
      <c r="DR979" s="1" t="s">
        <v>539</v>
      </c>
      <c r="DS979" s="1" t="s">
        <v>277</v>
      </c>
      <c r="DT979" s="1" t="s">
        <v>220</v>
      </c>
      <c r="DU979" s="1" t="s">
        <v>252</v>
      </c>
      <c r="DW979" s="1" t="s">
        <v>230</v>
      </c>
      <c r="EA979" s="1" t="s">
        <v>230</v>
      </c>
      <c r="EE979" s="1" t="s">
        <v>230</v>
      </c>
      <c r="EI979" s="1" t="s">
        <v>230</v>
      </c>
      <c r="EL979" s="1" t="s">
        <v>491</v>
      </c>
      <c r="EM979" s="1" t="s">
        <v>730</v>
      </c>
      <c r="EN979" s="1" t="s">
        <v>282</v>
      </c>
      <c r="EO979" s="1" t="s">
        <v>234</v>
      </c>
      <c r="EQ979" s="1" t="s">
        <v>2188</v>
      </c>
      <c r="ER979" s="1" t="s">
        <v>8396</v>
      </c>
      <c r="ES979" s="1" t="s">
        <v>322</v>
      </c>
      <c r="ET979" s="1" t="s">
        <v>1201</v>
      </c>
      <c r="EU979" s="1" t="s">
        <v>546</v>
      </c>
      <c r="EV979" s="1" t="s">
        <v>240</v>
      </c>
      <c r="EW979" s="1" t="s">
        <v>353</v>
      </c>
      <c r="EY979" s="1" t="s">
        <v>242</v>
      </c>
      <c r="EZ979" s="1" t="s">
        <v>464</v>
      </c>
      <c r="FA979" s="1" t="s">
        <v>938</v>
      </c>
      <c r="FD979" s="1" t="s">
        <v>290</v>
      </c>
      <c r="FE979" s="1" t="s">
        <v>975</v>
      </c>
      <c r="FF979" s="1" t="s">
        <v>2998</v>
      </c>
      <c r="FG979" s="1" t="s">
        <v>871</v>
      </c>
      <c r="FH979" s="1" t="s">
        <v>550</v>
      </c>
      <c r="FI979" s="1" t="s">
        <v>357</v>
      </c>
      <c r="FL979" s="1" t="s">
        <v>358</v>
      </c>
      <c r="FM979" s="1" t="s">
        <v>252</v>
      </c>
      <c r="FN979" s="1" t="s">
        <v>213</v>
      </c>
      <c r="FO979" s="1" t="s">
        <v>213</v>
      </c>
      <c r="FQ979" s="1" t="s">
        <v>10639</v>
      </c>
      <c r="FR979" s="1" t="s">
        <v>652</v>
      </c>
      <c r="FS979" s="1" t="s">
        <v>10640</v>
      </c>
      <c r="FT979" s="1" t="s">
        <v>10641</v>
      </c>
      <c r="FU979" s="1" t="s">
        <v>204</v>
      </c>
      <c r="FV979" s="1" t="s">
        <v>10642</v>
      </c>
      <c r="FW979" s="1" t="s">
        <v>3231</v>
      </c>
      <c r="FX979" s="1">
        <v>24451</v>
      </c>
      <c r="FY979" s="1" t="s">
        <v>3232</v>
      </c>
      <c r="FZ979" s="1" t="s">
        <v>10643</v>
      </c>
      <c r="GA979" s="1">
        <v>256870</v>
      </c>
      <c r="GB979" s="1" t="s">
        <v>3232</v>
      </c>
      <c r="GD979" s="1" t="s">
        <v>10644</v>
      </c>
      <c r="GE979" s="1" t="s">
        <v>210</v>
      </c>
      <c r="GI979" s="1" t="s">
        <v>204</v>
      </c>
      <c r="GJ979" s="1" t="s">
        <v>300</v>
      </c>
      <c r="GK979" s="1" t="s">
        <v>210</v>
      </c>
      <c r="GL979" s="2">
        <v>41992</v>
      </c>
      <c r="GM979" s="1" t="s">
        <v>10645</v>
      </c>
    </row>
    <row r="980" spans="1:195">
      <c r="A980" s="1">
        <v>62000</v>
      </c>
      <c r="B980" s="1" t="s">
        <v>195</v>
      </c>
      <c r="C980" s="1" t="str">
        <f>"08629762"</f>
        <v>08629762</v>
      </c>
      <c r="D980" s="1" t="s">
        <v>196</v>
      </c>
      <c r="F980" s="1" t="str">
        <f>"20"</f>
        <v>20</v>
      </c>
      <c r="G980" s="2">
        <v>41789</v>
      </c>
      <c r="H980" s="1">
        <v>70000</v>
      </c>
      <c r="I980" s="1">
        <v>57000</v>
      </c>
      <c r="J980" s="1">
        <v>62000</v>
      </c>
      <c r="K980" s="2">
        <v>41789</v>
      </c>
      <c r="L980" s="1">
        <v>167</v>
      </c>
      <c r="M980" s="2">
        <v>41955</v>
      </c>
      <c r="N980" s="1">
        <v>167</v>
      </c>
      <c r="O980" s="2">
        <v>41955</v>
      </c>
      <c r="P980" s="1">
        <v>8002</v>
      </c>
      <c r="Q980" s="1" t="s">
        <v>302</v>
      </c>
      <c r="R980" s="2">
        <v>42030</v>
      </c>
      <c r="S980" s="1">
        <v>85793</v>
      </c>
      <c r="U980" s="1">
        <v>7208</v>
      </c>
      <c r="V980" s="1" t="s">
        <v>10646</v>
      </c>
      <c r="W980" s="1" t="s">
        <v>449</v>
      </c>
      <c r="Y980" s="1">
        <v>2</v>
      </c>
      <c r="Z980" s="1" t="s">
        <v>200</v>
      </c>
      <c r="AA980" s="1" t="s">
        <v>592</v>
      </c>
      <c r="AB980" s="1">
        <v>60020</v>
      </c>
      <c r="AE980" s="1" t="s">
        <v>10647</v>
      </c>
      <c r="AF980" s="1">
        <v>1976</v>
      </c>
      <c r="AG980" s="1" t="s">
        <v>213</v>
      </c>
      <c r="AH980" s="1" t="s">
        <v>595</v>
      </c>
      <c r="AI980" s="1" t="s">
        <v>509</v>
      </c>
      <c r="AJ980" s="1" t="s">
        <v>596</v>
      </c>
      <c r="AL980" s="1">
        <v>6</v>
      </c>
      <c r="AM980" s="1">
        <v>2</v>
      </c>
      <c r="AN980" s="1">
        <v>2</v>
      </c>
      <c r="AO980" s="1">
        <v>0</v>
      </c>
      <c r="AP980" s="1" t="s">
        <v>209</v>
      </c>
      <c r="AR980" s="1" t="s">
        <v>210</v>
      </c>
      <c r="AS980" s="1" t="s">
        <v>204</v>
      </c>
      <c r="AT980" s="1" t="s">
        <v>211</v>
      </c>
      <c r="AU980" s="1">
        <v>1</v>
      </c>
      <c r="AW980" s="1" t="s">
        <v>204</v>
      </c>
      <c r="AX980" s="1" t="s">
        <v>212</v>
      </c>
      <c r="AZ980" s="1">
        <v>3840.03</v>
      </c>
      <c r="BA980" s="1">
        <v>2012</v>
      </c>
      <c r="BE980" s="1">
        <v>1705</v>
      </c>
      <c r="BF980" s="1">
        <v>1</v>
      </c>
      <c r="BG980" s="1">
        <v>30</v>
      </c>
      <c r="BL980" s="1">
        <v>411</v>
      </c>
      <c r="BM980" s="1" t="s">
        <v>204</v>
      </c>
      <c r="BN980" s="1" t="s">
        <v>213</v>
      </c>
      <c r="BO980" s="1">
        <v>40</v>
      </c>
      <c r="BP980" s="1" t="s">
        <v>204</v>
      </c>
      <c r="BR980" s="1" t="str">
        <f>"01284011330000"</f>
        <v>01284011330000</v>
      </c>
      <c r="BT980" s="1" t="s">
        <v>10648</v>
      </c>
      <c r="BX980" s="1">
        <v>114</v>
      </c>
      <c r="BY980" s="1">
        <v>114</v>
      </c>
      <c r="BZ980" s="1">
        <v>124</v>
      </c>
      <c r="CB980" s="1" t="str">
        <f t="shared" ref="CB980:CC980" si="754">""</f>
        <v/>
      </c>
      <c r="CC980" s="1" t="str">
        <f t="shared" si="754"/>
        <v/>
      </c>
      <c r="CG980" s="1" t="s">
        <v>3035</v>
      </c>
      <c r="CH980" s="1" t="s">
        <v>219</v>
      </c>
      <c r="CK980" s="1" t="s">
        <v>2934</v>
      </c>
      <c r="CL980" s="1" t="s">
        <v>219</v>
      </c>
      <c r="CO980" s="1" t="s">
        <v>2138</v>
      </c>
      <c r="CP980" s="1" t="s">
        <v>219</v>
      </c>
      <c r="CS980" s="1" t="s">
        <v>1046</v>
      </c>
      <c r="CT980" s="1" t="s">
        <v>219</v>
      </c>
      <c r="CX980" s="1" t="s">
        <v>224</v>
      </c>
      <c r="DB980" s="1" t="s">
        <v>224</v>
      </c>
      <c r="DE980" s="1" t="s">
        <v>1469</v>
      </c>
      <c r="DF980" s="1" t="s">
        <v>219</v>
      </c>
      <c r="DJ980" s="1" t="s">
        <v>224</v>
      </c>
      <c r="DM980" s="1" t="s">
        <v>1005</v>
      </c>
      <c r="DN980" s="1" t="s">
        <v>603</v>
      </c>
      <c r="DR980" s="1" t="s">
        <v>1107</v>
      </c>
      <c r="DS980" s="1" t="s">
        <v>219</v>
      </c>
      <c r="DV980" s="1" t="s">
        <v>225</v>
      </c>
      <c r="DW980" s="1" t="s">
        <v>219</v>
      </c>
      <c r="EA980" s="1" t="s">
        <v>230</v>
      </c>
      <c r="EE980" s="1" t="s">
        <v>230</v>
      </c>
      <c r="EI980" s="1" t="s">
        <v>230</v>
      </c>
      <c r="EL980" s="1" t="s">
        <v>231</v>
      </c>
      <c r="EM980" s="1" t="s">
        <v>761</v>
      </c>
      <c r="EN980" s="1" t="s">
        <v>282</v>
      </c>
      <c r="EO980" s="1" t="s">
        <v>234</v>
      </c>
      <c r="ER980" s="1" t="s">
        <v>210</v>
      </c>
      <c r="EW980" s="1" t="s">
        <v>10649</v>
      </c>
      <c r="EZ980" s="1" t="s">
        <v>10650</v>
      </c>
      <c r="FB980" s="1" t="s">
        <v>244</v>
      </c>
      <c r="FC980" s="1" t="s">
        <v>633</v>
      </c>
      <c r="FD980" s="1" t="s">
        <v>495</v>
      </c>
      <c r="FE980" s="1" t="s">
        <v>472</v>
      </c>
      <c r="FF980" s="1" t="s">
        <v>248</v>
      </c>
      <c r="FH980" s="1" t="s">
        <v>442</v>
      </c>
      <c r="FI980" s="1" t="s">
        <v>357</v>
      </c>
      <c r="FJ980" s="1" t="s">
        <v>197</v>
      </c>
      <c r="FL980" s="1" t="s">
        <v>292</v>
      </c>
      <c r="FM980" s="1" t="s">
        <v>252</v>
      </c>
      <c r="FN980" s="1" t="s">
        <v>213</v>
      </c>
      <c r="FO980" s="1" t="s">
        <v>213</v>
      </c>
      <c r="FQ980" s="1" t="s">
        <v>849</v>
      </c>
      <c r="FR980" s="1" t="s">
        <v>210</v>
      </c>
      <c r="FS980" s="1" t="s">
        <v>10651</v>
      </c>
      <c r="FT980" s="1" t="s">
        <v>295</v>
      </c>
      <c r="FU980" s="1" t="s">
        <v>204</v>
      </c>
      <c r="FW980" s="1" t="s">
        <v>10652</v>
      </c>
      <c r="FX980" s="1">
        <v>5064</v>
      </c>
      <c r="FY980" s="1" t="s">
        <v>10653</v>
      </c>
      <c r="FZ980" s="1" t="s">
        <v>10654</v>
      </c>
      <c r="GA980" s="1">
        <v>55103</v>
      </c>
      <c r="GB980" s="1" t="s">
        <v>10655</v>
      </c>
      <c r="GE980" s="1" t="s">
        <v>210</v>
      </c>
      <c r="GI980" s="1" t="s">
        <v>213</v>
      </c>
      <c r="GJ980" s="1" t="s">
        <v>260</v>
      </c>
      <c r="GK980" s="1" t="s">
        <v>210</v>
      </c>
      <c r="GL980" s="2">
        <v>42032</v>
      </c>
      <c r="GM980" s="1" t="s">
        <v>10656</v>
      </c>
    </row>
    <row r="981" spans="1:195">
      <c r="A981" s="1">
        <v>153000</v>
      </c>
      <c r="B981" s="1" t="s">
        <v>195</v>
      </c>
      <c r="C981" s="1" t="str">
        <f>"08632775"</f>
        <v>08632775</v>
      </c>
      <c r="D981" s="1" t="s">
        <v>196</v>
      </c>
      <c r="F981" s="1" t="str">
        <f>"10"</f>
        <v>10</v>
      </c>
      <c r="G981" s="2">
        <v>41793</v>
      </c>
      <c r="H981" s="1">
        <v>179999</v>
      </c>
      <c r="I981" s="1">
        <v>164500</v>
      </c>
      <c r="J981" s="1">
        <v>153000</v>
      </c>
      <c r="K981" s="2">
        <v>41793</v>
      </c>
      <c r="L981" s="1">
        <v>306</v>
      </c>
      <c r="M981" s="2">
        <v>42098</v>
      </c>
      <c r="N981" s="1">
        <v>306</v>
      </c>
      <c r="O981" s="2">
        <v>42098</v>
      </c>
      <c r="P981" s="1">
        <v>6018</v>
      </c>
      <c r="Q981" s="1" t="s">
        <v>302</v>
      </c>
      <c r="R981" s="2">
        <v>42138</v>
      </c>
      <c r="S981" s="1">
        <v>60705</v>
      </c>
      <c r="U981" s="1">
        <v>401</v>
      </c>
      <c r="V981" s="1" t="s">
        <v>10657</v>
      </c>
      <c r="X981" s="1" t="s">
        <v>1000</v>
      </c>
      <c r="Y981" s="1">
        <v>4</v>
      </c>
      <c r="Z981" s="1" t="s">
        <v>200</v>
      </c>
      <c r="AA981" s="1" t="s">
        <v>1985</v>
      </c>
      <c r="AB981" s="1">
        <v>60010</v>
      </c>
      <c r="AD981" s="1" t="s">
        <v>7204</v>
      </c>
      <c r="AE981" s="1" t="s">
        <v>10658</v>
      </c>
      <c r="AF981" s="1">
        <v>1976</v>
      </c>
      <c r="AG981" s="1" t="s">
        <v>213</v>
      </c>
      <c r="AH981" s="1" t="s">
        <v>6729</v>
      </c>
      <c r="AI981" s="1" t="s">
        <v>509</v>
      </c>
      <c r="AJ981" s="1" t="s">
        <v>1989</v>
      </c>
      <c r="AK981" s="1" t="s">
        <v>1990</v>
      </c>
      <c r="AL981" s="1">
        <v>5</v>
      </c>
      <c r="AM981" s="1">
        <v>2</v>
      </c>
      <c r="AN981" s="1">
        <v>2</v>
      </c>
      <c r="AO981" s="1">
        <v>0</v>
      </c>
      <c r="AP981" s="1" t="s">
        <v>209</v>
      </c>
      <c r="AQ981" s="1">
        <v>1</v>
      </c>
      <c r="AR981" s="1" t="s">
        <v>210</v>
      </c>
      <c r="AS981" s="1" t="s">
        <v>204</v>
      </c>
      <c r="AT981" s="1" t="s">
        <v>211</v>
      </c>
      <c r="AU981" s="1">
        <v>1</v>
      </c>
      <c r="AW981" s="1" t="s">
        <v>213</v>
      </c>
      <c r="AX981" s="1" t="s">
        <v>1265</v>
      </c>
      <c r="AZ981" s="1">
        <v>3016</v>
      </c>
      <c r="BA981" s="1">
        <v>2013</v>
      </c>
      <c r="BB981" s="1" t="s">
        <v>405</v>
      </c>
      <c r="BE981" s="1">
        <v>1154</v>
      </c>
      <c r="BF981" s="1">
        <v>1</v>
      </c>
      <c r="BG981" s="1">
        <v>30</v>
      </c>
      <c r="BJ981" s="1">
        <v>100</v>
      </c>
      <c r="BL981" s="1">
        <v>447</v>
      </c>
      <c r="BM981" s="1" t="s">
        <v>204</v>
      </c>
      <c r="BN981" s="1" t="s">
        <v>213</v>
      </c>
      <c r="BO981" s="1">
        <v>25</v>
      </c>
      <c r="BP981" s="1" t="s">
        <v>204</v>
      </c>
      <c r="BR981" s="1" t="str">
        <f>"13114000770000"</f>
        <v>13114000770000</v>
      </c>
      <c r="BT981" s="1" t="s">
        <v>10659</v>
      </c>
      <c r="BU981" s="1" t="s">
        <v>1992</v>
      </c>
      <c r="BV981" s="1" t="s">
        <v>1993</v>
      </c>
      <c r="BW981" s="1" t="s">
        <v>1994</v>
      </c>
      <c r="BX981" s="1">
        <v>220</v>
      </c>
      <c r="BY981" s="1">
        <v>220</v>
      </c>
      <c r="BZ981" s="1">
        <v>220</v>
      </c>
      <c r="CB981" s="1" t="str">
        <f>"24"</f>
        <v>24</v>
      </c>
      <c r="CC981" s="1" t="str">
        <f>""</f>
        <v/>
      </c>
      <c r="CD981" s="1">
        <v>26</v>
      </c>
      <c r="CG981" s="1" t="s">
        <v>1737</v>
      </c>
      <c r="CH981" s="1" t="s">
        <v>219</v>
      </c>
      <c r="CI981" s="1" t="s">
        <v>438</v>
      </c>
      <c r="CJ981" s="1" t="s">
        <v>210</v>
      </c>
      <c r="CK981" s="1" t="s">
        <v>490</v>
      </c>
      <c r="CL981" s="1" t="s">
        <v>219</v>
      </c>
      <c r="CM981" s="1" t="s">
        <v>220</v>
      </c>
      <c r="CN981" s="1" t="s">
        <v>343</v>
      </c>
      <c r="CO981" s="1" t="s">
        <v>318</v>
      </c>
      <c r="CP981" s="1" t="s">
        <v>219</v>
      </c>
      <c r="CQ981" s="1" t="s">
        <v>438</v>
      </c>
      <c r="CR981" s="1" t="s">
        <v>210</v>
      </c>
      <c r="CS981" s="1" t="s">
        <v>1046</v>
      </c>
      <c r="CT981" s="1" t="s">
        <v>219</v>
      </c>
      <c r="CU981" s="1" t="s">
        <v>220</v>
      </c>
      <c r="CV981" s="1" t="s">
        <v>343</v>
      </c>
      <c r="CX981" s="1" t="s">
        <v>224</v>
      </c>
      <c r="DB981" s="1" t="s">
        <v>224</v>
      </c>
      <c r="DE981" s="1" t="s">
        <v>1297</v>
      </c>
      <c r="DF981" s="1" t="s">
        <v>219</v>
      </c>
      <c r="DG981" s="1" t="s">
        <v>229</v>
      </c>
      <c r="DH981" s="1" t="s">
        <v>210</v>
      </c>
      <c r="DJ981" s="1" t="s">
        <v>224</v>
      </c>
      <c r="DS981" s="1" t="s">
        <v>230</v>
      </c>
      <c r="DW981" s="1" t="s">
        <v>230</v>
      </c>
      <c r="EA981" s="1" t="s">
        <v>230</v>
      </c>
      <c r="EE981" s="1" t="s">
        <v>230</v>
      </c>
      <c r="EI981" s="1" t="s">
        <v>230</v>
      </c>
      <c r="EL981" s="1" t="s">
        <v>231</v>
      </c>
      <c r="EM981" s="1" t="s">
        <v>761</v>
      </c>
      <c r="EN981" s="1" t="s">
        <v>282</v>
      </c>
      <c r="EO981" s="1" t="s">
        <v>234</v>
      </c>
      <c r="EP981" s="1" t="s">
        <v>10660</v>
      </c>
      <c r="EQ981" s="1" t="s">
        <v>468</v>
      </c>
      <c r="ER981" s="1" t="s">
        <v>210</v>
      </c>
      <c r="ES981" s="1" t="s">
        <v>322</v>
      </c>
      <c r="EU981" s="1" t="s">
        <v>239</v>
      </c>
      <c r="EV981" s="1" t="s">
        <v>240</v>
      </c>
      <c r="EW981" s="1" t="s">
        <v>347</v>
      </c>
      <c r="EZ981" s="1" t="s">
        <v>287</v>
      </c>
      <c r="FA981" s="1" t="s">
        <v>4831</v>
      </c>
      <c r="FB981" s="1" t="s">
        <v>244</v>
      </c>
      <c r="FC981" s="1" t="s">
        <v>2002</v>
      </c>
      <c r="FD981" s="1" t="s">
        <v>246</v>
      </c>
      <c r="FE981" s="1" t="s">
        <v>889</v>
      </c>
      <c r="FF981" s="1" t="s">
        <v>1113</v>
      </c>
      <c r="FG981" s="1" t="s">
        <v>939</v>
      </c>
      <c r="FH981" s="1" t="s">
        <v>249</v>
      </c>
      <c r="FJ981" s="1" t="s">
        <v>197</v>
      </c>
      <c r="FL981" s="1" t="s">
        <v>292</v>
      </c>
      <c r="FM981" s="1" t="s">
        <v>252</v>
      </c>
      <c r="FN981" s="1" t="s">
        <v>213</v>
      </c>
      <c r="FO981" s="1" t="s">
        <v>213</v>
      </c>
      <c r="FQ981" s="1" t="s">
        <v>359</v>
      </c>
      <c r="FR981" s="1" t="s">
        <v>210</v>
      </c>
      <c r="FS981" s="1" t="s">
        <v>10661</v>
      </c>
      <c r="FT981" s="1" t="s">
        <v>362</v>
      </c>
      <c r="FU981" s="1" t="s">
        <v>204</v>
      </c>
      <c r="FW981" s="1" t="s">
        <v>915</v>
      </c>
      <c r="FX981" s="1">
        <v>24988</v>
      </c>
      <c r="FY981" s="1" t="s">
        <v>4180</v>
      </c>
      <c r="FZ981" s="1" t="s">
        <v>10662</v>
      </c>
      <c r="GA981" s="1">
        <v>241896</v>
      </c>
      <c r="GE981" s="1" t="s">
        <v>480</v>
      </c>
      <c r="GI981" s="1" t="s">
        <v>213</v>
      </c>
      <c r="GJ981" s="1" t="s">
        <v>260</v>
      </c>
      <c r="GK981" s="1" t="s">
        <v>210</v>
      </c>
      <c r="GL981" s="2">
        <v>42138</v>
      </c>
      <c r="GM981" s="1" t="s">
        <v>10663</v>
      </c>
    </row>
    <row r="982" spans="1:195">
      <c r="A982" s="1">
        <v>75000</v>
      </c>
      <c r="B982" s="1" t="s">
        <v>195</v>
      </c>
      <c r="C982" s="1" t="str">
        <f>"08755954"</f>
        <v>08755954</v>
      </c>
      <c r="D982" s="1" t="s">
        <v>196</v>
      </c>
      <c r="F982" s="1" t="str">
        <f>"540"</f>
        <v>540</v>
      </c>
      <c r="G982" s="2">
        <v>41929</v>
      </c>
      <c r="H982" s="1">
        <v>85000</v>
      </c>
      <c r="I982" s="1">
        <v>75000</v>
      </c>
      <c r="J982" s="1">
        <v>75000</v>
      </c>
      <c r="K982" s="2">
        <v>41929</v>
      </c>
      <c r="L982" s="1">
        <v>56</v>
      </c>
      <c r="M982" s="2">
        <v>41984</v>
      </c>
      <c r="N982" s="1">
        <v>56</v>
      </c>
      <c r="O982" s="2">
        <v>41984</v>
      </c>
      <c r="P982" s="1">
        <v>20114</v>
      </c>
      <c r="Q982" s="1" t="s">
        <v>197</v>
      </c>
      <c r="R982" s="2">
        <v>42033</v>
      </c>
      <c r="S982" s="1">
        <v>232368</v>
      </c>
      <c r="U982" s="1">
        <v>1308</v>
      </c>
      <c r="V982" s="1" t="s">
        <v>10664</v>
      </c>
      <c r="W982" s="1" t="s">
        <v>1056</v>
      </c>
      <c r="X982" s="1">
        <v>102</v>
      </c>
      <c r="Y982" s="1">
        <v>8</v>
      </c>
      <c r="Z982" s="1" t="s">
        <v>370</v>
      </c>
      <c r="AA982" s="1" t="s">
        <v>921</v>
      </c>
      <c r="AB982" s="1">
        <v>60563</v>
      </c>
      <c r="AD982" s="1" t="s">
        <v>7152</v>
      </c>
      <c r="AE982" s="1" t="s">
        <v>10665</v>
      </c>
      <c r="AF982" s="1">
        <v>1985</v>
      </c>
      <c r="AG982" s="1" t="s">
        <v>204</v>
      </c>
      <c r="AH982" s="1" t="s">
        <v>924</v>
      </c>
      <c r="AI982" s="1" t="s">
        <v>206</v>
      </c>
      <c r="AJ982" s="1" t="s">
        <v>924</v>
      </c>
      <c r="AL982" s="1">
        <v>5</v>
      </c>
      <c r="AM982" s="1">
        <v>2</v>
      </c>
      <c r="AN982" s="1">
        <v>2</v>
      </c>
      <c r="AO982" s="1">
        <v>0</v>
      </c>
      <c r="AP982" s="1" t="s">
        <v>209</v>
      </c>
      <c r="AR982" s="1" t="s">
        <v>210</v>
      </c>
      <c r="AS982" s="1" t="s">
        <v>204</v>
      </c>
      <c r="AT982" s="1" t="s">
        <v>271</v>
      </c>
      <c r="AV982" s="1">
        <v>2</v>
      </c>
      <c r="AW982" s="1" t="s">
        <v>204</v>
      </c>
      <c r="AX982" s="1" t="s">
        <v>212</v>
      </c>
      <c r="AZ982" s="1">
        <v>1898.58</v>
      </c>
      <c r="BA982" s="1">
        <v>2013</v>
      </c>
      <c r="BB982" s="1" t="s">
        <v>405</v>
      </c>
      <c r="BE982" s="1">
        <v>966</v>
      </c>
      <c r="BF982" s="1">
        <v>1</v>
      </c>
      <c r="BG982" s="1">
        <v>30</v>
      </c>
      <c r="BL982" s="1">
        <v>275</v>
      </c>
      <c r="BM982" s="1" t="s">
        <v>204</v>
      </c>
      <c r="BN982" s="1" t="s">
        <v>213</v>
      </c>
      <c r="BO982" s="1" t="s">
        <v>402</v>
      </c>
      <c r="BP982" s="1" t="s">
        <v>204</v>
      </c>
      <c r="BR982" s="1" t="str">
        <f>"0710213298"</f>
        <v>0710213298</v>
      </c>
      <c r="BT982" s="1" t="s">
        <v>10666</v>
      </c>
      <c r="BX982" s="1">
        <v>204</v>
      </c>
      <c r="BY982" s="1">
        <v>204</v>
      </c>
      <c r="BZ982" s="1">
        <v>204</v>
      </c>
      <c r="CB982" s="1" t="str">
        <f t="shared" ref="CB982:CC982" si="755">""</f>
        <v/>
      </c>
      <c r="CC982" s="1" t="str">
        <f t="shared" si="755"/>
        <v/>
      </c>
      <c r="CG982" s="1" t="s">
        <v>1045</v>
      </c>
      <c r="CH982" s="1" t="s">
        <v>219</v>
      </c>
      <c r="CI982" s="1" t="s">
        <v>220</v>
      </c>
      <c r="CJ982" s="1" t="s">
        <v>210</v>
      </c>
      <c r="CK982" s="1" t="s">
        <v>465</v>
      </c>
      <c r="CL982" s="1" t="s">
        <v>219</v>
      </c>
      <c r="CM982" s="1" t="s">
        <v>220</v>
      </c>
      <c r="CN982" s="1" t="s">
        <v>210</v>
      </c>
      <c r="CO982" s="1" t="s">
        <v>281</v>
      </c>
      <c r="CP982" s="1" t="s">
        <v>219</v>
      </c>
      <c r="CQ982" s="1" t="s">
        <v>220</v>
      </c>
      <c r="CR982" s="1" t="s">
        <v>210</v>
      </c>
      <c r="CS982" s="1" t="s">
        <v>465</v>
      </c>
      <c r="CT982" s="1" t="s">
        <v>219</v>
      </c>
      <c r="CV982" s="1" t="s">
        <v>210</v>
      </c>
      <c r="CX982" s="1" t="s">
        <v>224</v>
      </c>
      <c r="DB982" s="1" t="s">
        <v>224</v>
      </c>
      <c r="DE982" s="1" t="s">
        <v>540</v>
      </c>
      <c r="DF982" s="1" t="s">
        <v>219</v>
      </c>
      <c r="DG982" s="1" t="s">
        <v>342</v>
      </c>
      <c r="DH982" s="1" t="s">
        <v>210</v>
      </c>
      <c r="DJ982" s="1" t="s">
        <v>224</v>
      </c>
      <c r="DS982" s="1" t="s">
        <v>230</v>
      </c>
      <c r="DW982" s="1" t="s">
        <v>230</v>
      </c>
      <c r="EA982" s="1" t="s">
        <v>230</v>
      </c>
      <c r="EE982" s="1" t="s">
        <v>230</v>
      </c>
      <c r="EI982" s="1" t="s">
        <v>230</v>
      </c>
      <c r="EL982" s="1" t="s">
        <v>542</v>
      </c>
      <c r="EM982" s="1" t="s">
        <v>319</v>
      </c>
      <c r="EN982" s="1" t="s">
        <v>282</v>
      </c>
      <c r="EO982" s="1" t="s">
        <v>234</v>
      </c>
      <c r="EP982" s="1" t="s">
        <v>10667</v>
      </c>
      <c r="EQ982" s="1" t="s">
        <v>1109</v>
      </c>
      <c r="ER982" s="1" t="s">
        <v>210</v>
      </c>
      <c r="ES982" s="1" t="s">
        <v>322</v>
      </c>
      <c r="EV982" s="1" t="s">
        <v>324</v>
      </c>
      <c r="EW982" s="1" t="s">
        <v>6280</v>
      </c>
      <c r="EY982" s="1" t="s">
        <v>242</v>
      </c>
      <c r="EZ982" s="1" t="s">
        <v>287</v>
      </c>
      <c r="FA982" s="1" t="s">
        <v>1554</v>
      </c>
      <c r="FD982" s="1" t="s">
        <v>246</v>
      </c>
      <c r="FE982" s="1" t="s">
        <v>247</v>
      </c>
      <c r="FF982" s="1" t="s">
        <v>248</v>
      </c>
      <c r="FH982" s="1" t="s">
        <v>249</v>
      </c>
      <c r="FL982" s="1" t="s">
        <v>358</v>
      </c>
      <c r="FM982" s="1" t="s">
        <v>252</v>
      </c>
      <c r="FN982" s="1" t="s">
        <v>213</v>
      </c>
      <c r="FO982" s="1" t="s">
        <v>213</v>
      </c>
      <c r="FQ982" s="1" t="s">
        <v>10668</v>
      </c>
      <c r="FR982" s="1" t="s">
        <v>210</v>
      </c>
      <c r="FS982" s="1" t="s">
        <v>10669</v>
      </c>
      <c r="FT982" s="1" t="s">
        <v>295</v>
      </c>
      <c r="FU982" s="1" t="s">
        <v>204</v>
      </c>
      <c r="FW982" s="1" t="s">
        <v>1559</v>
      </c>
      <c r="FX982" s="1">
        <v>23312</v>
      </c>
      <c r="FY982" s="1" t="s">
        <v>3596</v>
      </c>
      <c r="FZ982" s="1" t="s">
        <v>10670</v>
      </c>
      <c r="GA982" s="1">
        <v>219521</v>
      </c>
      <c r="GB982" s="1" t="s">
        <v>10671</v>
      </c>
      <c r="GD982" s="1" t="s">
        <v>10672</v>
      </c>
      <c r="GE982" s="1" t="s">
        <v>1333</v>
      </c>
      <c r="GI982" s="1" t="s">
        <v>213</v>
      </c>
      <c r="GJ982" s="1" t="s">
        <v>260</v>
      </c>
      <c r="GK982" s="1" t="s">
        <v>210</v>
      </c>
      <c r="GL982" s="2">
        <v>42034</v>
      </c>
      <c r="GM982" s="1" t="s">
        <v>10673</v>
      </c>
    </row>
    <row r="983" spans="1:195">
      <c r="A983" s="1">
        <v>42500</v>
      </c>
      <c r="B983" s="1" t="s">
        <v>195</v>
      </c>
      <c r="C983" s="1" t="str">
        <f>"08634273"</f>
        <v>08634273</v>
      </c>
      <c r="D983" s="1" t="s">
        <v>196</v>
      </c>
      <c r="F983" s="1" t="str">
        <f>"2"</f>
        <v>2</v>
      </c>
      <c r="G983" s="2">
        <v>41794</v>
      </c>
      <c r="H983" s="1">
        <v>125500</v>
      </c>
      <c r="I983" s="1">
        <v>89900</v>
      </c>
      <c r="J983" s="1">
        <v>42500</v>
      </c>
      <c r="K983" s="2">
        <v>41793</v>
      </c>
      <c r="L983" s="1">
        <v>185</v>
      </c>
      <c r="M983" s="2">
        <v>41977</v>
      </c>
      <c r="N983" s="1">
        <v>185</v>
      </c>
      <c r="O983" s="2">
        <v>41977</v>
      </c>
      <c r="P983" s="1">
        <v>10687</v>
      </c>
      <c r="Q983" s="1" t="s">
        <v>302</v>
      </c>
      <c r="R983" s="2">
        <v>42009</v>
      </c>
      <c r="S983" s="1">
        <v>133158</v>
      </c>
      <c r="U983" s="1">
        <v>39880</v>
      </c>
      <c r="V983" s="1" t="s">
        <v>5712</v>
      </c>
      <c r="W983" s="1" t="s">
        <v>504</v>
      </c>
      <c r="X983" s="1">
        <v>42</v>
      </c>
      <c r="Y983" s="1">
        <v>4</v>
      </c>
      <c r="Z983" s="1" t="s">
        <v>249</v>
      </c>
      <c r="AA983" s="1" t="s">
        <v>5713</v>
      </c>
      <c r="AB983" s="1">
        <v>60002</v>
      </c>
      <c r="AE983" s="1" t="s">
        <v>10674</v>
      </c>
      <c r="AF983" s="1">
        <v>1979</v>
      </c>
      <c r="AG983" s="1" t="s">
        <v>204</v>
      </c>
      <c r="AH983" s="1" t="s">
        <v>596</v>
      </c>
      <c r="AI983" s="1" t="s">
        <v>509</v>
      </c>
      <c r="AJ983" s="1" t="s">
        <v>1437</v>
      </c>
      <c r="AL983" s="1">
        <v>5</v>
      </c>
      <c r="AM983" s="1">
        <v>2</v>
      </c>
      <c r="AN983" s="1">
        <v>1</v>
      </c>
      <c r="AO983" s="1">
        <v>0</v>
      </c>
      <c r="AP983" s="1" t="s">
        <v>210</v>
      </c>
      <c r="AR983" s="1" t="s">
        <v>210</v>
      </c>
      <c r="AS983" s="1" t="s">
        <v>204</v>
      </c>
      <c r="AT983" s="1" t="s">
        <v>211</v>
      </c>
      <c r="AU983" s="1">
        <v>1</v>
      </c>
      <c r="AW983" s="1" t="s">
        <v>204</v>
      </c>
      <c r="AX983" s="1" t="s">
        <v>212</v>
      </c>
      <c r="AZ983" s="1">
        <v>2489</v>
      </c>
      <c r="BA983" s="1">
        <v>2012</v>
      </c>
      <c r="BE983" s="1">
        <v>0</v>
      </c>
      <c r="BF983" s="1">
        <v>3</v>
      </c>
      <c r="BG983" s="1">
        <v>30</v>
      </c>
      <c r="BL983" s="1">
        <v>290</v>
      </c>
      <c r="BM983" s="1" t="s">
        <v>413</v>
      </c>
      <c r="BN983" s="1" t="s">
        <v>213</v>
      </c>
      <c r="BO983" s="1">
        <v>70</v>
      </c>
      <c r="BP983" s="1" t="s">
        <v>204</v>
      </c>
      <c r="BR983" s="1" t="str">
        <f>"02301000400000"</f>
        <v>02301000400000</v>
      </c>
      <c r="BT983" s="1" t="s">
        <v>10675</v>
      </c>
      <c r="BX983" s="1">
        <v>33</v>
      </c>
      <c r="BY983" s="1">
        <v>33</v>
      </c>
      <c r="BZ983" s="1">
        <v>117</v>
      </c>
      <c r="CB983" s="1" t="str">
        <f t="shared" ref="CB983:CC983" si="756">""</f>
        <v/>
      </c>
      <c r="CC983" s="1" t="str">
        <f t="shared" si="756"/>
        <v/>
      </c>
      <c r="CG983" s="1" t="s">
        <v>885</v>
      </c>
      <c r="CH983" s="1" t="s">
        <v>784</v>
      </c>
      <c r="CK983" s="1" t="s">
        <v>757</v>
      </c>
      <c r="CL983" s="1" t="s">
        <v>784</v>
      </c>
      <c r="CO983" s="1" t="s">
        <v>4148</v>
      </c>
      <c r="CP983" s="1" t="s">
        <v>784</v>
      </c>
      <c r="CS983" s="1" t="s">
        <v>465</v>
      </c>
      <c r="CT983" s="1" t="s">
        <v>784</v>
      </c>
      <c r="CX983" s="1" t="s">
        <v>224</v>
      </c>
      <c r="DB983" s="1" t="s">
        <v>224</v>
      </c>
      <c r="DE983" s="1" t="s">
        <v>379</v>
      </c>
      <c r="DF983" s="1" t="s">
        <v>784</v>
      </c>
      <c r="DJ983" s="1" t="s">
        <v>224</v>
      </c>
      <c r="DS983" s="1" t="s">
        <v>230</v>
      </c>
      <c r="DW983" s="1" t="s">
        <v>230</v>
      </c>
      <c r="EA983" s="1" t="s">
        <v>230</v>
      </c>
      <c r="EE983" s="1" t="s">
        <v>230</v>
      </c>
      <c r="EI983" s="1" t="s">
        <v>230</v>
      </c>
      <c r="EL983" s="1" t="s">
        <v>231</v>
      </c>
      <c r="EM983" s="1" t="s">
        <v>319</v>
      </c>
      <c r="EN983" s="1" t="s">
        <v>210</v>
      </c>
      <c r="EO983" s="1" t="s">
        <v>234</v>
      </c>
      <c r="ER983" s="1" t="s">
        <v>210</v>
      </c>
      <c r="EW983" s="1" t="s">
        <v>887</v>
      </c>
      <c r="EZ983" s="1" t="s">
        <v>287</v>
      </c>
      <c r="FD983" s="1" t="s">
        <v>246</v>
      </c>
      <c r="FE983" s="1" t="s">
        <v>247</v>
      </c>
      <c r="FF983" s="1" t="s">
        <v>248</v>
      </c>
      <c r="FH983" s="1" t="s">
        <v>249</v>
      </c>
      <c r="FL983" s="1" t="s">
        <v>1073</v>
      </c>
      <c r="FM983" s="1" t="s">
        <v>252</v>
      </c>
      <c r="FN983" s="1" t="s">
        <v>213</v>
      </c>
      <c r="FO983" s="1" t="s">
        <v>213</v>
      </c>
      <c r="FQ983" s="1" t="s">
        <v>10676</v>
      </c>
      <c r="FR983" s="1" t="s">
        <v>210</v>
      </c>
      <c r="FS983" s="1" t="s">
        <v>690</v>
      </c>
      <c r="FT983" s="1" t="s">
        <v>362</v>
      </c>
      <c r="FU983" s="1" t="s">
        <v>204</v>
      </c>
      <c r="FW983" s="1" t="s">
        <v>692</v>
      </c>
      <c r="FX983" s="1">
        <v>3510</v>
      </c>
      <c r="FY983" s="1" t="s">
        <v>693</v>
      </c>
      <c r="FZ983" s="1" t="s">
        <v>6834</v>
      </c>
      <c r="GA983" s="1">
        <v>41641</v>
      </c>
      <c r="GE983" s="1" t="s">
        <v>210</v>
      </c>
      <c r="GI983" s="1" t="s">
        <v>213</v>
      </c>
      <c r="GJ983" s="1" t="s">
        <v>260</v>
      </c>
      <c r="GK983" s="1" t="s">
        <v>210</v>
      </c>
      <c r="GL983" s="2">
        <v>42009</v>
      </c>
      <c r="GM983" s="1" t="s">
        <v>10677</v>
      </c>
    </row>
    <row r="984" spans="1:195">
      <c r="A984" s="1">
        <v>110000</v>
      </c>
      <c r="B984" s="1" t="s">
        <v>195</v>
      </c>
      <c r="C984" s="1" t="str">
        <f>"08384789"</f>
        <v>08384789</v>
      </c>
      <c r="D984" s="1" t="s">
        <v>196</v>
      </c>
      <c r="F984" s="1" t="str">
        <f>"174"</f>
        <v>174</v>
      </c>
      <c r="G984" s="2">
        <v>41457</v>
      </c>
      <c r="H984" s="1">
        <v>164500</v>
      </c>
      <c r="I984" s="1">
        <v>129500</v>
      </c>
      <c r="J984" s="1">
        <v>110000</v>
      </c>
      <c r="K984" s="2">
        <v>41455</v>
      </c>
      <c r="L984" s="1">
        <v>523</v>
      </c>
      <c r="M984" s="2">
        <v>41977</v>
      </c>
      <c r="N984" s="1">
        <v>523</v>
      </c>
      <c r="O984" s="2">
        <v>41977</v>
      </c>
      <c r="P984" s="1">
        <v>41</v>
      </c>
      <c r="Q984" s="1" t="s">
        <v>302</v>
      </c>
      <c r="R984" s="2">
        <v>42046</v>
      </c>
      <c r="S984" s="1">
        <v>901</v>
      </c>
      <c r="U984" s="1">
        <v>908</v>
      </c>
      <c r="V984" s="1" t="s">
        <v>10678</v>
      </c>
      <c r="W984" s="1" t="s">
        <v>264</v>
      </c>
      <c r="X984" s="1">
        <v>908</v>
      </c>
      <c r="Y984" s="1">
        <v>4</v>
      </c>
      <c r="Z984" s="1" t="s">
        <v>200</v>
      </c>
      <c r="AA984" s="1" t="s">
        <v>879</v>
      </c>
      <c r="AB984" s="1">
        <v>60174</v>
      </c>
      <c r="AD984" s="1" t="s">
        <v>10679</v>
      </c>
      <c r="AE984" s="1" t="s">
        <v>10680</v>
      </c>
      <c r="AF984" s="1">
        <v>1992</v>
      </c>
      <c r="AG984" s="1" t="s">
        <v>204</v>
      </c>
      <c r="AH984" s="1" t="s">
        <v>883</v>
      </c>
      <c r="AI984" s="1" t="s">
        <v>665</v>
      </c>
      <c r="AJ984" s="1" t="s">
        <v>883</v>
      </c>
      <c r="AL984" s="1">
        <v>5</v>
      </c>
      <c r="AM984" s="1">
        <v>2</v>
      </c>
      <c r="AN984" s="1">
        <v>2</v>
      </c>
      <c r="AO984" s="1">
        <v>0</v>
      </c>
      <c r="AP984" s="1" t="s">
        <v>209</v>
      </c>
      <c r="AQ984" s="1">
        <v>1</v>
      </c>
      <c r="AR984" s="1" t="s">
        <v>209</v>
      </c>
      <c r="AS984" s="1" t="s">
        <v>204</v>
      </c>
      <c r="AT984" s="1" t="s">
        <v>211</v>
      </c>
      <c r="AU984" s="1">
        <v>1</v>
      </c>
      <c r="AW984" s="1" t="s">
        <v>213</v>
      </c>
      <c r="AX984" s="1" t="s">
        <v>212</v>
      </c>
      <c r="AZ984" s="1">
        <v>4240.76</v>
      </c>
      <c r="BA984" s="1">
        <v>2011</v>
      </c>
      <c r="BB984" s="1" t="s">
        <v>405</v>
      </c>
      <c r="BE984" s="1">
        <v>0</v>
      </c>
      <c r="BF984" s="1">
        <v>2</v>
      </c>
      <c r="BG984" s="1">
        <v>0</v>
      </c>
      <c r="BL984" s="1">
        <v>150</v>
      </c>
      <c r="BM984" s="1" t="s">
        <v>213</v>
      </c>
      <c r="BN984" s="1" t="s">
        <v>204</v>
      </c>
      <c r="BP984" s="1" t="s">
        <v>204</v>
      </c>
      <c r="BR984" s="1" t="str">
        <f>"0928153014"</f>
        <v>0928153014</v>
      </c>
      <c r="BT984" s="1" t="s">
        <v>10681</v>
      </c>
      <c r="BU984" s="1" t="s">
        <v>4718</v>
      </c>
      <c r="BW984" s="1" t="s">
        <v>4719</v>
      </c>
      <c r="BX984" s="1">
        <v>303</v>
      </c>
      <c r="BY984" s="1">
        <v>303</v>
      </c>
      <c r="BZ984" s="1">
        <v>303</v>
      </c>
      <c r="CB984" s="1" t="str">
        <f>"3"</f>
        <v>3</v>
      </c>
      <c r="CC984" s="1" t="str">
        <f t="shared" ref="CC984:CC985" si="757">"0"</f>
        <v>0</v>
      </c>
      <c r="CD984" s="1">
        <v>36</v>
      </c>
      <c r="CE984" s="1">
        <v>0</v>
      </c>
      <c r="CG984" s="1" t="s">
        <v>931</v>
      </c>
      <c r="CH984" s="1" t="s">
        <v>277</v>
      </c>
      <c r="CI984" s="1" t="s">
        <v>220</v>
      </c>
      <c r="CJ984" s="1" t="s">
        <v>210</v>
      </c>
      <c r="CK984" s="1" t="s">
        <v>315</v>
      </c>
      <c r="CL984" s="1" t="s">
        <v>277</v>
      </c>
      <c r="CM984" s="1" t="s">
        <v>220</v>
      </c>
      <c r="CN984" s="1" t="s">
        <v>210</v>
      </c>
      <c r="CO984" s="1" t="s">
        <v>318</v>
      </c>
      <c r="CP984" s="1" t="s">
        <v>277</v>
      </c>
      <c r="CQ984" s="1" t="s">
        <v>220</v>
      </c>
      <c r="CR984" s="1" t="s">
        <v>210</v>
      </c>
      <c r="CS984" s="1" t="s">
        <v>465</v>
      </c>
      <c r="CT984" s="1" t="s">
        <v>277</v>
      </c>
      <c r="CU984" s="1" t="s">
        <v>220</v>
      </c>
      <c r="CV984" s="1" t="s">
        <v>210</v>
      </c>
      <c r="CX984" s="1" t="s">
        <v>224</v>
      </c>
      <c r="DB984" s="1" t="s">
        <v>224</v>
      </c>
      <c r="DE984" s="1" t="s">
        <v>933</v>
      </c>
      <c r="DF984" s="1" t="s">
        <v>277</v>
      </c>
      <c r="DG984" s="1" t="s">
        <v>229</v>
      </c>
      <c r="DH984" s="1" t="s">
        <v>210</v>
      </c>
      <c r="DJ984" s="1" t="s">
        <v>224</v>
      </c>
      <c r="DS984" s="1" t="s">
        <v>230</v>
      </c>
      <c r="DW984" s="1" t="s">
        <v>230</v>
      </c>
      <c r="EA984" s="1" t="s">
        <v>230</v>
      </c>
      <c r="EE984" s="1" t="s">
        <v>230</v>
      </c>
      <c r="EI984" s="1" t="s">
        <v>230</v>
      </c>
      <c r="EL984" s="1" t="s">
        <v>382</v>
      </c>
      <c r="EM984" s="1" t="s">
        <v>319</v>
      </c>
      <c r="EN984" s="1" t="s">
        <v>282</v>
      </c>
      <c r="EO984" s="1" t="s">
        <v>234</v>
      </c>
      <c r="EP984" s="1" t="s">
        <v>10682</v>
      </c>
      <c r="ER984" s="1" t="s">
        <v>1249</v>
      </c>
      <c r="ES984" s="1" t="s">
        <v>824</v>
      </c>
      <c r="EU984" s="1" t="s">
        <v>10683</v>
      </c>
      <c r="EV984" s="1" t="s">
        <v>324</v>
      </c>
      <c r="EW984" s="1" t="s">
        <v>353</v>
      </c>
      <c r="EY984" s="1" t="s">
        <v>242</v>
      </c>
      <c r="EZ984" s="1" t="s">
        <v>287</v>
      </c>
      <c r="FA984" s="1" t="s">
        <v>10684</v>
      </c>
      <c r="FB984" s="1" t="s">
        <v>734</v>
      </c>
      <c r="FC984" s="1" t="s">
        <v>633</v>
      </c>
      <c r="FD984" s="1" t="s">
        <v>1112</v>
      </c>
      <c r="FE984" s="1" t="s">
        <v>549</v>
      </c>
      <c r="FF984" s="1" t="s">
        <v>248</v>
      </c>
      <c r="FG984" s="1" t="s">
        <v>1682</v>
      </c>
      <c r="FH984" s="1" t="s">
        <v>249</v>
      </c>
      <c r="FI984" s="1" t="s">
        <v>473</v>
      </c>
      <c r="FL984" s="1" t="s">
        <v>358</v>
      </c>
      <c r="FM984" s="1" t="s">
        <v>252</v>
      </c>
      <c r="FN984" s="1" t="s">
        <v>213</v>
      </c>
      <c r="FO984" s="1" t="s">
        <v>213</v>
      </c>
      <c r="FQ984" s="1" t="s">
        <v>913</v>
      </c>
      <c r="FR984" s="1" t="s">
        <v>360</v>
      </c>
      <c r="FS984" s="1" t="s">
        <v>10685</v>
      </c>
      <c r="FT984" s="1" t="s">
        <v>4361</v>
      </c>
      <c r="FU984" s="1" t="s">
        <v>204</v>
      </c>
      <c r="FW984" s="1" t="s">
        <v>10686</v>
      </c>
      <c r="FX984" s="1">
        <v>7081</v>
      </c>
      <c r="FY984" s="1" t="s">
        <v>10687</v>
      </c>
      <c r="FZ984" s="1" t="s">
        <v>10688</v>
      </c>
      <c r="GA984" s="1">
        <v>77519</v>
      </c>
      <c r="GB984" s="1" t="s">
        <v>10689</v>
      </c>
      <c r="GE984" s="1" t="s">
        <v>210</v>
      </c>
      <c r="GI984" s="1" t="s">
        <v>213</v>
      </c>
      <c r="GJ984" s="1" t="s">
        <v>260</v>
      </c>
      <c r="GK984" s="1" t="s">
        <v>210</v>
      </c>
      <c r="GL984" s="2">
        <v>42048</v>
      </c>
      <c r="GM984" s="1" t="s">
        <v>397</v>
      </c>
    </row>
    <row r="985" spans="1:195">
      <c r="A985" s="1">
        <v>100000</v>
      </c>
      <c r="B985" s="1" t="s">
        <v>195</v>
      </c>
      <c r="C985" s="1" t="str">
        <f>"08391172"</f>
        <v>08391172</v>
      </c>
      <c r="D985" s="1" t="s">
        <v>196</v>
      </c>
      <c r="F985" s="1" t="str">
        <f>"177"</f>
        <v>177</v>
      </c>
      <c r="G985" s="2">
        <v>41466</v>
      </c>
      <c r="H985" s="1">
        <v>109000</v>
      </c>
      <c r="I985" s="1">
        <v>105000</v>
      </c>
      <c r="J985" s="1">
        <v>100000</v>
      </c>
      <c r="K985" s="2">
        <v>41464</v>
      </c>
      <c r="L985" s="1">
        <v>543</v>
      </c>
      <c r="M985" s="2">
        <v>42006</v>
      </c>
      <c r="N985" s="1">
        <v>543</v>
      </c>
      <c r="O985" s="2">
        <v>42006</v>
      </c>
      <c r="P985" s="1">
        <v>41</v>
      </c>
      <c r="Q985" s="1" t="s">
        <v>423</v>
      </c>
      <c r="R985" s="2">
        <v>42094</v>
      </c>
      <c r="S985" s="1">
        <v>894</v>
      </c>
      <c r="T985" s="1">
        <v>3000</v>
      </c>
      <c r="U985" s="1">
        <v>1207</v>
      </c>
      <c r="V985" s="1" t="s">
        <v>10690</v>
      </c>
      <c r="W985" s="1" t="s">
        <v>504</v>
      </c>
      <c r="X985" s="1">
        <v>1207</v>
      </c>
      <c r="Y985" s="1">
        <v>4</v>
      </c>
      <c r="Z985" s="1" t="s">
        <v>249</v>
      </c>
      <c r="AA985" s="1" t="s">
        <v>1461</v>
      </c>
      <c r="AB985" s="1">
        <v>60177</v>
      </c>
      <c r="AD985" s="1" t="s">
        <v>10691</v>
      </c>
      <c r="AE985" s="1" t="s">
        <v>10692</v>
      </c>
      <c r="AF985" s="1">
        <v>1993</v>
      </c>
      <c r="AG985" s="1" t="s">
        <v>204</v>
      </c>
      <c r="AH985" s="1" t="s">
        <v>1464</v>
      </c>
      <c r="AI985" s="1" t="s">
        <v>665</v>
      </c>
      <c r="AJ985" s="1" t="s">
        <v>1175</v>
      </c>
      <c r="AL985" s="1">
        <v>6</v>
      </c>
      <c r="AM985" s="1">
        <v>2</v>
      </c>
      <c r="AN985" s="1">
        <v>1</v>
      </c>
      <c r="AO985" s="1">
        <v>1</v>
      </c>
      <c r="AP985" s="1" t="s">
        <v>667</v>
      </c>
      <c r="AQ985" s="1">
        <v>1</v>
      </c>
      <c r="AR985" s="1" t="s">
        <v>209</v>
      </c>
      <c r="AS985" s="1" t="s">
        <v>204</v>
      </c>
      <c r="AT985" s="1" t="s">
        <v>211</v>
      </c>
      <c r="AU985" s="1">
        <v>1</v>
      </c>
      <c r="AW985" s="1" t="s">
        <v>204</v>
      </c>
      <c r="AX985" s="1" t="s">
        <v>212</v>
      </c>
      <c r="AZ985" s="1">
        <v>3191.92</v>
      </c>
      <c r="BA985" s="1">
        <v>2013</v>
      </c>
      <c r="BB985" s="1" t="s">
        <v>210</v>
      </c>
      <c r="BE985" s="1">
        <v>0</v>
      </c>
      <c r="BF985" s="1">
        <v>1</v>
      </c>
      <c r="BG985" s="1">
        <v>0</v>
      </c>
      <c r="BL985" s="1">
        <v>125</v>
      </c>
      <c r="BM985" s="1" t="s">
        <v>204</v>
      </c>
      <c r="BN985" s="1" t="s">
        <v>213</v>
      </c>
      <c r="BO985" s="1">
        <v>999</v>
      </c>
      <c r="BP985" s="1" t="s">
        <v>204</v>
      </c>
      <c r="BR985" s="1" t="str">
        <f>"0634104052"</f>
        <v>0634104052</v>
      </c>
      <c r="BT985" s="1" t="s">
        <v>10693</v>
      </c>
      <c r="BU985" s="1" t="s">
        <v>6003</v>
      </c>
      <c r="BV985" s="1" t="s">
        <v>1467</v>
      </c>
      <c r="BW985" s="1" t="s">
        <v>1468</v>
      </c>
      <c r="BX985" s="1">
        <v>46</v>
      </c>
      <c r="BY985" s="1">
        <v>46</v>
      </c>
      <c r="BZ985" s="1">
        <v>46</v>
      </c>
      <c r="CB985" s="1" t="str">
        <f>"8"</f>
        <v>8</v>
      </c>
      <c r="CC985" s="1" t="str">
        <f t="shared" si="757"/>
        <v>0</v>
      </c>
      <c r="CD985" s="1">
        <v>35</v>
      </c>
      <c r="CE985" s="1">
        <v>0</v>
      </c>
      <c r="CG985" s="1" t="s">
        <v>729</v>
      </c>
      <c r="CH985" s="1" t="s">
        <v>219</v>
      </c>
      <c r="CI985" s="1" t="s">
        <v>438</v>
      </c>
      <c r="CK985" s="1" t="s">
        <v>218</v>
      </c>
      <c r="CL985" s="1" t="s">
        <v>277</v>
      </c>
      <c r="CM985" s="1" t="s">
        <v>220</v>
      </c>
      <c r="CO985" s="1" t="s">
        <v>409</v>
      </c>
      <c r="CP985" s="1" t="s">
        <v>219</v>
      </c>
      <c r="CQ985" s="1" t="s">
        <v>438</v>
      </c>
      <c r="CS985" s="1" t="s">
        <v>317</v>
      </c>
      <c r="CT985" s="1" t="s">
        <v>277</v>
      </c>
      <c r="CU985" s="1" t="s">
        <v>220</v>
      </c>
      <c r="CX985" s="1" t="s">
        <v>224</v>
      </c>
      <c r="DB985" s="1" t="s">
        <v>224</v>
      </c>
      <c r="DE985" s="1" t="s">
        <v>837</v>
      </c>
      <c r="DF985" s="1" t="s">
        <v>219</v>
      </c>
      <c r="DG985" s="1" t="s">
        <v>226</v>
      </c>
      <c r="DI985" s="1" t="s">
        <v>1996</v>
      </c>
      <c r="DJ985" s="1" t="s">
        <v>43</v>
      </c>
      <c r="DK985" s="1" t="s">
        <v>220</v>
      </c>
      <c r="DS985" s="1" t="s">
        <v>230</v>
      </c>
      <c r="DW985" s="1" t="s">
        <v>230</v>
      </c>
      <c r="EA985" s="1" t="s">
        <v>230</v>
      </c>
      <c r="EE985" s="1" t="s">
        <v>230</v>
      </c>
      <c r="EI985" s="1" t="s">
        <v>230</v>
      </c>
      <c r="EL985" s="1" t="s">
        <v>382</v>
      </c>
      <c r="EM985" s="1" t="s">
        <v>319</v>
      </c>
      <c r="EN985" s="1" t="s">
        <v>282</v>
      </c>
      <c r="EO985" s="1" t="s">
        <v>234</v>
      </c>
      <c r="EP985" s="1" t="s">
        <v>650</v>
      </c>
      <c r="EQ985" s="1" t="s">
        <v>236</v>
      </c>
      <c r="ER985" s="1" t="s">
        <v>544</v>
      </c>
      <c r="EV985" s="1" t="s">
        <v>240</v>
      </c>
      <c r="EW985" s="1" t="s">
        <v>1372</v>
      </c>
      <c r="EY985" s="1" t="s">
        <v>242</v>
      </c>
      <c r="EZ985" s="1" t="s">
        <v>287</v>
      </c>
      <c r="FA985" s="1" t="s">
        <v>10694</v>
      </c>
      <c r="FC985" s="1" t="s">
        <v>548</v>
      </c>
      <c r="FD985" s="1" t="s">
        <v>246</v>
      </c>
      <c r="FE985" s="1" t="s">
        <v>472</v>
      </c>
      <c r="FF985" s="1" t="s">
        <v>248</v>
      </c>
      <c r="FG985" s="1" t="s">
        <v>912</v>
      </c>
      <c r="FH985" s="1" t="s">
        <v>249</v>
      </c>
      <c r="FI985" s="1" t="s">
        <v>473</v>
      </c>
      <c r="FJ985" s="1" t="s">
        <v>518</v>
      </c>
      <c r="FL985" s="1" t="s">
        <v>358</v>
      </c>
      <c r="FM985" s="1" t="s">
        <v>252</v>
      </c>
      <c r="FN985" s="1" t="s">
        <v>213</v>
      </c>
      <c r="FO985" s="1" t="s">
        <v>213</v>
      </c>
      <c r="FQ985" s="1" t="s">
        <v>1032</v>
      </c>
      <c r="FR985" s="1" t="s">
        <v>360</v>
      </c>
      <c r="FS985" s="1" t="s">
        <v>10695</v>
      </c>
      <c r="FT985" s="1" t="s">
        <v>295</v>
      </c>
      <c r="FU985" s="1" t="s">
        <v>204</v>
      </c>
      <c r="FW985" s="1" t="s">
        <v>4596</v>
      </c>
      <c r="FX985" s="1">
        <v>8969</v>
      </c>
      <c r="FY985" s="1" t="s">
        <v>4597</v>
      </c>
      <c r="FZ985" s="1" t="s">
        <v>10696</v>
      </c>
      <c r="GA985" s="1">
        <v>922435</v>
      </c>
      <c r="GE985" s="1" t="s">
        <v>210</v>
      </c>
      <c r="GI985" s="1" t="s">
        <v>213</v>
      </c>
      <c r="GJ985" s="1" t="s">
        <v>260</v>
      </c>
      <c r="GK985" s="1" t="s">
        <v>210</v>
      </c>
      <c r="GL985" s="2">
        <v>42094</v>
      </c>
      <c r="GM985" s="1" t="s">
        <v>10697</v>
      </c>
    </row>
    <row r="986" spans="1:195">
      <c r="A986" s="1">
        <v>90000</v>
      </c>
      <c r="B986" s="1" t="s">
        <v>195</v>
      </c>
      <c r="C986" s="1" t="str">
        <f>"08393189"</f>
        <v>08393189</v>
      </c>
      <c r="D986" s="1" t="s">
        <v>196</v>
      </c>
      <c r="F986" s="1" t="str">
        <f>"30"</f>
        <v>30</v>
      </c>
      <c r="G986" s="2">
        <v>41468</v>
      </c>
      <c r="H986" s="1">
        <v>69000</v>
      </c>
      <c r="I986" s="1">
        <v>89000</v>
      </c>
      <c r="J986" s="1">
        <v>90000</v>
      </c>
      <c r="K986" s="2">
        <v>41466</v>
      </c>
      <c r="L986" s="1">
        <v>461</v>
      </c>
      <c r="M986" s="2">
        <v>41926</v>
      </c>
      <c r="N986" s="1">
        <v>461</v>
      </c>
      <c r="O986" s="2">
        <v>41926</v>
      </c>
      <c r="P986" s="1">
        <v>2626</v>
      </c>
      <c r="Q986" s="1" t="s">
        <v>197</v>
      </c>
      <c r="R986" s="2">
        <v>41983</v>
      </c>
      <c r="S986" s="1">
        <v>20160</v>
      </c>
      <c r="U986" s="1">
        <v>76</v>
      </c>
      <c r="V986" s="1" t="s">
        <v>6088</v>
      </c>
      <c r="Y986" s="1">
        <v>4</v>
      </c>
      <c r="Z986" s="1" t="s">
        <v>370</v>
      </c>
      <c r="AA986" s="1" t="s">
        <v>1628</v>
      </c>
      <c r="AB986" s="1">
        <v>60030</v>
      </c>
      <c r="AC986" s="1">
        <v>73</v>
      </c>
      <c r="AE986" s="1" t="s">
        <v>10698</v>
      </c>
      <c r="AF986" s="1">
        <v>2002</v>
      </c>
      <c r="AG986" s="1" t="s">
        <v>204</v>
      </c>
      <c r="AH986" s="1" t="s">
        <v>1630</v>
      </c>
      <c r="AI986" s="1" t="s">
        <v>509</v>
      </c>
      <c r="AJ986" s="1" t="s">
        <v>1263</v>
      </c>
      <c r="AL986" s="1">
        <v>6</v>
      </c>
      <c r="AM986" s="1">
        <v>2</v>
      </c>
      <c r="AN986" s="1">
        <v>1</v>
      </c>
      <c r="AO986" s="1">
        <v>1</v>
      </c>
      <c r="AP986" s="1" t="s">
        <v>209</v>
      </c>
      <c r="AQ986" s="1">
        <v>1</v>
      </c>
      <c r="AR986" s="1" t="s">
        <v>1631</v>
      </c>
      <c r="AS986" s="1" t="s">
        <v>204</v>
      </c>
      <c r="AT986" s="1" t="s">
        <v>211</v>
      </c>
      <c r="AU986" s="1">
        <v>2</v>
      </c>
      <c r="AW986" s="1" t="s">
        <v>204</v>
      </c>
      <c r="AX986" s="1" t="s">
        <v>1813</v>
      </c>
      <c r="AZ986" s="1">
        <v>3277.09</v>
      </c>
      <c r="BA986" s="1">
        <v>2012</v>
      </c>
      <c r="BE986" s="1">
        <v>897</v>
      </c>
      <c r="BF986" s="1">
        <v>1</v>
      </c>
      <c r="BG986" s="1">
        <v>30</v>
      </c>
      <c r="BL986" s="1">
        <v>200</v>
      </c>
      <c r="BM986" s="1" t="s">
        <v>213</v>
      </c>
      <c r="BN986" s="1" t="s">
        <v>213</v>
      </c>
      <c r="BO986" s="1">
        <v>100</v>
      </c>
      <c r="BP986" s="1" t="s">
        <v>204</v>
      </c>
      <c r="BR986" s="1" t="str">
        <f>"06282080310000"</f>
        <v>06282080310000</v>
      </c>
      <c r="BT986" s="1" t="s">
        <v>10699</v>
      </c>
      <c r="BX986" s="1">
        <v>116</v>
      </c>
      <c r="BY986" s="1">
        <v>116</v>
      </c>
      <c r="BZ986" s="1">
        <v>116</v>
      </c>
      <c r="CB986" s="1" t="str">
        <f t="shared" ref="CB986:CC986" si="758">""</f>
        <v/>
      </c>
      <c r="CC986" s="1" t="str">
        <f t="shared" si="758"/>
        <v/>
      </c>
      <c r="CG986" s="1" t="s">
        <v>465</v>
      </c>
      <c r="CH986" s="1" t="s">
        <v>219</v>
      </c>
      <c r="CK986" s="1" t="s">
        <v>669</v>
      </c>
      <c r="CL986" s="1" t="s">
        <v>277</v>
      </c>
      <c r="CO986" s="1" t="s">
        <v>223</v>
      </c>
      <c r="CP986" s="1" t="s">
        <v>219</v>
      </c>
      <c r="CS986" s="1" t="s">
        <v>461</v>
      </c>
      <c r="CT986" s="1" t="s">
        <v>277</v>
      </c>
      <c r="CX986" s="1" t="s">
        <v>224</v>
      </c>
      <c r="DB986" s="1" t="s">
        <v>224</v>
      </c>
      <c r="DE986" s="1" t="s">
        <v>223</v>
      </c>
      <c r="DF986" s="1" t="s">
        <v>219</v>
      </c>
      <c r="DI986" s="1" t="s">
        <v>837</v>
      </c>
      <c r="DJ986" s="1" t="s">
        <v>219</v>
      </c>
      <c r="DS986" s="1" t="s">
        <v>230</v>
      </c>
      <c r="DW986" s="1" t="s">
        <v>230</v>
      </c>
      <c r="EA986" s="1" t="s">
        <v>230</v>
      </c>
      <c r="EE986" s="1" t="s">
        <v>230</v>
      </c>
      <c r="EI986" s="1" t="s">
        <v>230</v>
      </c>
      <c r="EL986" s="1" t="s">
        <v>466</v>
      </c>
      <c r="EM986" s="1" t="s">
        <v>319</v>
      </c>
      <c r="EN986" s="1" t="s">
        <v>282</v>
      </c>
      <c r="EO986" s="1" t="s">
        <v>234</v>
      </c>
      <c r="ER986" s="1" t="s">
        <v>544</v>
      </c>
      <c r="EW986" s="1" t="s">
        <v>911</v>
      </c>
      <c r="EZ986" s="1" t="s">
        <v>287</v>
      </c>
      <c r="FD986" s="1" t="s">
        <v>246</v>
      </c>
      <c r="FE986" s="1" t="s">
        <v>1006</v>
      </c>
      <c r="FF986" s="1" t="s">
        <v>7408</v>
      </c>
      <c r="FH986" s="1" t="s">
        <v>1428</v>
      </c>
      <c r="FL986" s="1" t="s">
        <v>358</v>
      </c>
      <c r="FM986" s="1" t="s">
        <v>252</v>
      </c>
      <c r="FN986" s="1" t="s">
        <v>213</v>
      </c>
      <c r="FO986" s="1" t="s">
        <v>213</v>
      </c>
      <c r="FQ986" s="1" t="s">
        <v>5689</v>
      </c>
      <c r="FR986" s="1" t="s">
        <v>360</v>
      </c>
      <c r="FS986" s="1" t="s">
        <v>10700</v>
      </c>
      <c r="FT986" s="1" t="s">
        <v>295</v>
      </c>
      <c r="FU986" s="1" t="s">
        <v>204</v>
      </c>
      <c r="FW986" s="1" t="s">
        <v>1637</v>
      </c>
      <c r="FX986" s="1">
        <v>2626</v>
      </c>
      <c r="FY986" s="1" t="s">
        <v>1638</v>
      </c>
      <c r="FZ986" s="1" t="s">
        <v>1639</v>
      </c>
      <c r="GA986" s="1">
        <v>20160</v>
      </c>
      <c r="GB986" s="1" t="s">
        <v>1640</v>
      </c>
      <c r="GE986" s="1" t="s">
        <v>210</v>
      </c>
      <c r="GH986" s="1" t="s">
        <v>589</v>
      </c>
      <c r="GI986" s="1" t="s">
        <v>213</v>
      </c>
      <c r="GJ986" s="1" t="s">
        <v>260</v>
      </c>
      <c r="GK986" s="1" t="s">
        <v>210</v>
      </c>
      <c r="GL986" s="2">
        <v>41983</v>
      </c>
      <c r="GM986" s="1" t="s">
        <v>10701</v>
      </c>
    </row>
    <row r="987" spans="1:195">
      <c r="A987" s="1">
        <v>120000</v>
      </c>
      <c r="B987" s="1" t="s">
        <v>195</v>
      </c>
      <c r="C987" s="1" t="str">
        <f>"08390734"</f>
        <v>08390734</v>
      </c>
      <c r="D987" s="1" t="s">
        <v>196</v>
      </c>
      <c r="F987" s="1" t="str">
        <f>"107"</f>
        <v>107</v>
      </c>
      <c r="G987" s="2">
        <v>41465</v>
      </c>
      <c r="H987" s="1">
        <v>90000</v>
      </c>
      <c r="I987" s="1">
        <v>125000</v>
      </c>
      <c r="J987" s="1">
        <v>120000</v>
      </c>
      <c r="K987" s="2">
        <v>41465</v>
      </c>
      <c r="L987" s="1">
        <v>524</v>
      </c>
      <c r="M987" s="2">
        <v>41988</v>
      </c>
      <c r="N987" s="1">
        <v>524</v>
      </c>
      <c r="O987" s="2">
        <v>41988</v>
      </c>
      <c r="P987" s="1">
        <v>8094</v>
      </c>
      <c r="Q987" s="1" t="s">
        <v>423</v>
      </c>
      <c r="R987" s="2">
        <v>41999</v>
      </c>
      <c r="S987" s="1">
        <v>81985</v>
      </c>
      <c r="U987" s="1">
        <v>215</v>
      </c>
      <c r="V987" s="1" t="s">
        <v>8400</v>
      </c>
      <c r="W987" s="1" t="s">
        <v>449</v>
      </c>
      <c r="Y987" s="1">
        <v>4</v>
      </c>
      <c r="Z987" s="1" t="s">
        <v>370</v>
      </c>
      <c r="AA987" s="1" t="s">
        <v>1211</v>
      </c>
      <c r="AB987" s="1">
        <v>60107</v>
      </c>
      <c r="AD987" s="1" t="s">
        <v>8401</v>
      </c>
      <c r="AE987" s="1" t="s">
        <v>10702</v>
      </c>
      <c r="AF987" s="1">
        <v>1981</v>
      </c>
      <c r="AG987" s="1" t="s">
        <v>204</v>
      </c>
      <c r="AH987" s="1" t="s">
        <v>1214</v>
      </c>
      <c r="AI987" s="1" t="s">
        <v>310</v>
      </c>
      <c r="AJ987" s="1" t="s">
        <v>374</v>
      </c>
      <c r="AL987" s="1">
        <v>5</v>
      </c>
      <c r="AM987" s="1">
        <v>2</v>
      </c>
      <c r="AN987" s="1">
        <v>1</v>
      </c>
      <c r="AO987" s="1">
        <v>1</v>
      </c>
      <c r="AP987" s="1" t="s">
        <v>667</v>
      </c>
      <c r="AQ987" s="1">
        <v>1</v>
      </c>
      <c r="AR987" s="1" t="s">
        <v>210</v>
      </c>
      <c r="AS987" s="1" t="s">
        <v>204</v>
      </c>
      <c r="AT987" s="1" t="s">
        <v>211</v>
      </c>
      <c r="AU987" s="1">
        <v>1</v>
      </c>
      <c r="AW987" s="1" t="s">
        <v>204</v>
      </c>
      <c r="AX987" s="1" t="s">
        <v>212</v>
      </c>
      <c r="AZ987" s="1">
        <v>2938.83</v>
      </c>
      <c r="BA987" s="1">
        <v>2012</v>
      </c>
      <c r="BB987" s="1" t="s">
        <v>405</v>
      </c>
      <c r="BE987" s="1">
        <v>1020</v>
      </c>
      <c r="BF987" s="1">
        <v>1</v>
      </c>
      <c r="BG987" s="1">
        <v>1</v>
      </c>
      <c r="BL987" s="1">
        <v>125</v>
      </c>
      <c r="BM987" s="1" t="s">
        <v>204</v>
      </c>
      <c r="BN987" s="1" t="s">
        <v>213</v>
      </c>
      <c r="BO987" s="1">
        <v>999</v>
      </c>
      <c r="BP987" s="1" t="s">
        <v>204</v>
      </c>
      <c r="BR987" s="1" t="str">
        <f>"06241130220000"</f>
        <v>06241130220000</v>
      </c>
      <c r="BT987" s="1" t="s">
        <v>10703</v>
      </c>
      <c r="BU987" s="1" t="s">
        <v>10704</v>
      </c>
      <c r="BV987" s="1" t="s">
        <v>3557</v>
      </c>
      <c r="BW987" s="1" t="s">
        <v>1217</v>
      </c>
      <c r="BX987" s="1">
        <v>46</v>
      </c>
      <c r="BY987" s="1">
        <v>46</v>
      </c>
      <c r="BZ987" s="1">
        <v>46</v>
      </c>
      <c r="CB987" s="1" t="str">
        <f>"10"</f>
        <v>10</v>
      </c>
      <c r="CC987" s="1" t="str">
        <f>"0"</f>
        <v>0</v>
      </c>
      <c r="CD987" s="1">
        <v>27</v>
      </c>
      <c r="CE987" s="1">
        <v>0</v>
      </c>
      <c r="CG987" s="1" t="s">
        <v>538</v>
      </c>
      <c r="CH987" s="1" t="s">
        <v>219</v>
      </c>
      <c r="CI987" s="1" t="s">
        <v>229</v>
      </c>
      <c r="CJ987" s="1" t="s">
        <v>343</v>
      </c>
      <c r="CK987" s="1" t="s">
        <v>729</v>
      </c>
      <c r="CL987" s="1" t="s">
        <v>277</v>
      </c>
      <c r="CM987" s="1" t="s">
        <v>220</v>
      </c>
      <c r="CN987" s="1" t="s">
        <v>343</v>
      </c>
      <c r="CO987" s="1" t="s">
        <v>489</v>
      </c>
      <c r="CP987" s="1" t="s">
        <v>219</v>
      </c>
      <c r="CQ987" s="1" t="s">
        <v>229</v>
      </c>
      <c r="CR987" s="1" t="s">
        <v>909</v>
      </c>
      <c r="CS987" s="1" t="s">
        <v>1358</v>
      </c>
      <c r="CT987" s="1" t="s">
        <v>277</v>
      </c>
      <c r="CU987" s="1" t="s">
        <v>220</v>
      </c>
      <c r="CV987" s="1" t="s">
        <v>463</v>
      </c>
      <c r="CX987" s="1" t="s">
        <v>224</v>
      </c>
      <c r="DB987" s="1" t="s">
        <v>224</v>
      </c>
      <c r="DE987" s="1" t="s">
        <v>489</v>
      </c>
      <c r="DF987" s="1" t="s">
        <v>219</v>
      </c>
      <c r="DG987" s="1" t="s">
        <v>229</v>
      </c>
      <c r="DH987" s="1" t="s">
        <v>210</v>
      </c>
      <c r="DJ987" s="1" t="s">
        <v>224</v>
      </c>
      <c r="DS987" s="1" t="s">
        <v>230</v>
      </c>
      <c r="DW987" s="1" t="s">
        <v>230</v>
      </c>
      <c r="EA987" s="1" t="s">
        <v>230</v>
      </c>
      <c r="EE987" s="1" t="s">
        <v>230</v>
      </c>
      <c r="EI987" s="1" t="s">
        <v>230</v>
      </c>
      <c r="EL987" s="1" t="s">
        <v>231</v>
      </c>
      <c r="EM987" s="1" t="s">
        <v>232</v>
      </c>
      <c r="EN987" s="1" t="s">
        <v>282</v>
      </c>
      <c r="EO987" s="1" t="s">
        <v>234</v>
      </c>
      <c r="EP987" s="1" t="s">
        <v>210</v>
      </c>
      <c r="EQ987" s="1" t="s">
        <v>1094</v>
      </c>
      <c r="ER987" s="1" t="s">
        <v>383</v>
      </c>
      <c r="ES987" s="1" t="s">
        <v>3719</v>
      </c>
      <c r="ET987" s="1" t="s">
        <v>842</v>
      </c>
      <c r="EU987" s="1" t="s">
        <v>10705</v>
      </c>
      <c r="EV987" s="1" t="s">
        <v>324</v>
      </c>
      <c r="EW987" s="1" t="s">
        <v>353</v>
      </c>
      <c r="EY987" s="1" t="s">
        <v>242</v>
      </c>
      <c r="EZ987" s="1" t="s">
        <v>287</v>
      </c>
      <c r="FA987" s="1" t="s">
        <v>1072</v>
      </c>
      <c r="FB987" s="1" t="s">
        <v>1755</v>
      </c>
      <c r="FC987" s="1" t="s">
        <v>1386</v>
      </c>
      <c r="FD987" s="1" t="s">
        <v>246</v>
      </c>
      <c r="FE987" s="1" t="s">
        <v>472</v>
      </c>
      <c r="FF987" s="1" t="s">
        <v>248</v>
      </c>
      <c r="FH987" s="1" t="s">
        <v>550</v>
      </c>
      <c r="FI987" s="1" t="s">
        <v>473</v>
      </c>
      <c r="FJ987" s="1" t="s">
        <v>518</v>
      </c>
      <c r="FL987" s="1" t="s">
        <v>358</v>
      </c>
      <c r="FM987" s="1" t="s">
        <v>252</v>
      </c>
      <c r="FN987" s="1" t="s">
        <v>204</v>
      </c>
      <c r="FO987" s="1" t="s">
        <v>213</v>
      </c>
      <c r="FQ987" s="1" t="s">
        <v>793</v>
      </c>
      <c r="FR987" s="1" t="s">
        <v>360</v>
      </c>
      <c r="FS987" s="1" t="s">
        <v>552</v>
      </c>
      <c r="FT987" s="1" t="s">
        <v>5439</v>
      </c>
      <c r="FU987" s="1" t="s">
        <v>204</v>
      </c>
      <c r="FW987" s="1" t="s">
        <v>5979</v>
      </c>
      <c r="FX987" s="1">
        <v>8340</v>
      </c>
      <c r="FY987" s="1" t="s">
        <v>5980</v>
      </c>
      <c r="FZ987" s="1" t="s">
        <v>10706</v>
      </c>
      <c r="GA987" s="1">
        <v>87416</v>
      </c>
      <c r="GB987" s="1" t="s">
        <v>10707</v>
      </c>
      <c r="GE987" s="1" t="s">
        <v>335</v>
      </c>
      <c r="GI987" s="1" t="s">
        <v>213</v>
      </c>
      <c r="GJ987" s="1" t="s">
        <v>260</v>
      </c>
      <c r="GK987" s="1" t="s">
        <v>210</v>
      </c>
      <c r="GL987" s="2">
        <v>42002</v>
      </c>
      <c r="GM987" s="1" t="s">
        <v>10708</v>
      </c>
    </row>
    <row r="988" spans="1:195">
      <c r="A988" s="1">
        <v>30000</v>
      </c>
      <c r="B988" s="1" t="s">
        <v>195</v>
      </c>
      <c r="C988" s="1" t="str">
        <f>"08399886"</f>
        <v>08399886</v>
      </c>
      <c r="D988" s="1" t="s">
        <v>196</v>
      </c>
      <c r="F988" s="1" t="str">
        <f>"8043"</f>
        <v>8043</v>
      </c>
      <c r="G988" s="2">
        <v>41476</v>
      </c>
      <c r="H988" s="1">
        <v>39900</v>
      </c>
      <c r="I988" s="1">
        <v>29900</v>
      </c>
      <c r="J988" s="1">
        <v>30000</v>
      </c>
      <c r="K988" s="2">
        <v>41475</v>
      </c>
      <c r="L988" s="1">
        <v>503</v>
      </c>
      <c r="M988" s="2">
        <v>41977</v>
      </c>
      <c r="N988" s="1">
        <v>503</v>
      </c>
      <c r="O988" s="2">
        <v>41977</v>
      </c>
      <c r="P988" s="1">
        <v>16636</v>
      </c>
      <c r="Q988" s="1" t="s">
        <v>302</v>
      </c>
      <c r="R988" s="2">
        <v>42062</v>
      </c>
      <c r="S988" s="1">
        <v>184033</v>
      </c>
      <c r="U988" s="1">
        <v>7135</v>
      </c>
      <c r="V988" s="1" t="s">
        <v>10709</v>
      </c>
      <c r="W988" s="1" t="s">
        <v>425</v>
      </c>
      <c r="X988" s="1">
        <v>2</v>
      </c>
      <c r="Y988" s="1">
        <v>18</v>
      </c>
      <c r="Z988" s="1" t="s">
        <v>249</v>
      </c>
      <c r="AA988" s="1" t="s">
        <v>400</v>
      </c>
      <c r="AB988" s="1">
        <v>60649</v>
      </c>
      <c r="AC988" s="1">
        <v>2423</v>
      </c>
      <c r="AE988" s="1" t="s">
        <v>10710</v>
      </c>
      <c r="AF988" s="1">
        <v>1928</v>
      </c>
      <c r="AG988" s="1" t="s">
        <v>213</v>
      </c>
      <c r="AH988" s="1" t="s">
        <v>403</v>
      </c>
      <c r="AI988" s="1" t="s">
        <v>310</v>
      </c>
      <c r="AJ988" s="1" t="s">
        <v>562</v>
      </c>
      <c r="AK988" s="1" t="s">
        <v>270</v>
      </c>
      <c r="AL988" s="1">
        <v>6</v>
      </c>
      <c r="AM988" s="1">
        <v>2</v>
      </c>
      <c r="AN988" s="1">
        <v>2</v>
      </c>
      <c r="AO988" s="1">
        <v>0</v>
      </c>
      <c r="AP988" s="1" t="s">
        <v>209</v>
      </c>
      <c r="AR988" s="1" t="s">
        <v>209</v>
      </c>
      <c r="AS988" s="1" t="s">
        <v>204</v>
      </c>
      <c r="AT988" s="1" t="s">
        <v>210</v>
      </c>
      <c r="AW988" s="1" t="s">
        <v>204</v>
      </c>
      <c r="AX988" s="1" t="s">
        <v>212</v>
      </c>
      <c r="AZ988" s="1">
        <v>1688.74</v>
      </c>
      <c r="BA988" s="1">
        <v>2012</v>
      </c>
      <c r="BB988" s="1" t="s">
        <v>405</v>
      </c>
      <c r="BE988" s="1">
        <v>1500</v>
      </c>
      <c r="BF988" s="1">
        <v>2</v>
      </c>
      <c r="BG988" s="1">
        <v>15</v>
      </c>
      <c r="BL988" s="1">
        <v>247</v>
      </c>
      <c r="BM988" s="1" t="s">
        <v>204</v>
      </c>
      <c r="BN988" s="1" t="s">
        <v>213</v>
      </c>
      <c r="BO988" s="1">
        <v>0</v>
      </c>
      <c r="BP988" s="1" t="s">
        <v>204</v>
      </c>
      <c r="BR988" s="1" t="str">
        <f>"20251090201008"</f>
        <v>20251090201008</v>
      </c>
      <c r="BT988" s="1" t="s">
        <v>10711</v>
      </c>
      <c r="BX988" s="1">
        <v>299</v>
      </c>
      <c r="BY988" s="1">
        <v>299</v>
      </c>
      <c r="BZ988" s="1">
        <v>299</v>
      </c>
      <c r="CB988" s="1" t="str">
        <f>"0"</f>
        <v>0</v>
      </c>
      <c r="CC988" s="1" t="str">
        <f>"1800"</f>
        <v>1800</v>
      </c>
      <c r="CD988" s="1">
        <v>0</v>
      </c>
      <c r="CE988" s="1">
        <v>7135</v>
      </c>
      <c r="CG988" s="1" t="s">
        <v>1045</v>
      </c>
      <c r="CH988" s="1" t="s">
        <v>219</v>
      </c>
      <c r="CI988" s="1" t="s">
        <v>438</v>
      </c>
      <c r="CK988" s="1" t="s">
        <v>1297</v>
      </c>
      <c r="CL988" s="1" t="s">
        <v>219</v>
      </c>
      <c r="CM988" s="1" t="s">
        <v>438</v>
      </c>
      <c r="CO988" s="1" t="s">
        <v>379</v>
      </c>
      <c r="CP988" s="1" t="s">
        <v>219</v>
      </c>
      <c r="CQ988" s="1" t="s">
        <v>438</v>
      </c>
      <c r="CS988" s="1" t="s">
        <v>1297</v>
      </c>
      <c r="CT988" s="1" t="s">
        <v>219</v>
      </c>
      <c r="CU988" s="1" t="s">
        <v>438</v>
      </c>
      <c r="CX988" s="1" t="s">
        <v>224</v>
      </c>
      <c r="DB988" s="1" t="s">
        <v>224</v>
      </c>
      <c r="DE988" s="1" t="s">
        <v>1358</v>
      </c>
      <c r="DF988" s="1" t="s">
        <v>219</v>
      </c>
      <c r="DG988" s="1" t="s">
        <v>226</v>
      </c>
      <c r="DJ988" s="1" t="s">
        <v>224</v>
      </c>
      <c r="DM988" s="1" t="s">
        <v>227</v>
      </c>
      <c r="DR988" s="1" t="s">
        <v>1571</v>
      </c>
      <c r="DS988" s="1" t="s">
        <v>219</v>
      </c>
      <c r="DT988" s="1" t="s">
        <v>438</v>
      </c>
      <c r="DW988" s="1" t="s">
        <v>230</v>
      </c>
      <c r="EA988" s="1" t="s">
        <v>230</v>
      </c>
      <c r="EE988" s="1" t="s">
        <v>230</v>
      </c>
      <c r="EI988" s="1" t="s">
        <v>230</v>
      </c>
      <c r="EL988" s="1" t="s">
        <v>2154</v>
      </c>
      <c r="EM988" s="1" t="s">
        <v>232</v>
      </c>
      <c r="EN988" s="1" t="s">
        <v>282</v>
      </c>
      <c r="EO988" s="1" t="s">
        <v>234</v>
      </c>
      <c r="EP988" s="1" t="s">
        <v>9544</v>
      </c>
      <c r="EQ988" s="1" t="s">
        <v>492</v>
      </c>
      <c r="ER988" s="1" t="s">
        <v>1249</v>
      </c>
      <c r="ES988" s="1" t="s">
        <v>3850</v>
      </c>
      <c r="ET988" s="1" t="s">
        <v>1752</v>
      </c>
      <c r="EU988" s="1" t="s">
        <v>3703</v>
      </c>
      <c r="EW988" s="1" t="s">
        <v>937</v>
      </c>
      <c r="EY988" s="1" t="s">
        <v>242</v>
      </c>
      <c r="EZ988" s="1" t="s">
        <v>227</v>
      </c>
      <c r="FC988" s="1" t="s">
        <v>633</v>
      </c>
      <c r="FD988" s="1" t="s">
        <v>246</v>
      </c>
      <c r="FE988" s="1" t="s">
        <v>247</v>
      </c>
      <c r="FF988" s="1" t="s">
        <v>248</v>
      </c>
      <c r="FH988" s="1" t="s">
        <v>249</v>
      </c>
      <c r="FJ988" s="1" t="s">
        <v>2046</v>
      </c>
      <c r="FL988" s="1" t="s">
        <v>414</v>
      </c>
      <c r="FM988" s="1" t="s">
        <v>252</v>
      </c>
      <c r="FN988" s="1" t="s">
        <v>213</v>
      </c>
      <c r="FO988" s="1" t="s">
        <v>213</v>
      </c>
      <c r="FQ988" s="1" t="s">
        <v>10712</v>
      </c>
      <c r="FR988" s="1" t="s">
        <v>360</v>
      </c>
      <c r="FS988" s="1" t="s">
        <v>10713</v>
      </c>
      <c r="FT988" s="1" t="s">
        <v>520</v>
      </c>
      <c r="FU988" s="1" t="s">
        <v>204</v>
      </c>
      <c r="FW988" s="1" t="s">
        <v>4227</v>
      </c>
      <c r="FX988" s="1">
        <v>16636</v>
      </c>
      <c r="FY988" s="1" t="s">
        <v>720</v>
      </c>
      <c r="FZ988" s="1" t="s">
        <v>10714</v>
      </c>
      <c r="GA988" s="1">
        <v>184033</v>
      </c>
      <c r="GB988" s="1" t="s">
        <v>10715</v>
      </c>
      <c r="GD988" s="1" t="s">
        <v>10716</v>
      </c>
      <c r="GE988" s="1" t="s">
        <v>1333</v>
      </c>
      <c r="GH988" s="1" t="s">
        <v>421</v>
      </c>
      <c r="GI988" s="1" t="s">
        <v>204</v>
      </c>
      <c r="GJ988" s="1" t="s">
        <v>260</v>
      </c>
      <c r="GK988" s="1" t="s">
        <v>210</v>
      </c>
      <c r="GL988" s="2">
        <v>42062</v>
      </c>
      <c r="GM988" s="1" t="s">
        <v>10717</v>
      </c>
    </row>
    <row r="989" spans="1:195">
      <c r="A989" s="1">
        <v>122000</v>
      </c>
      <c r="B989" s="1" t="s">
        <v>195</v>
      </c>
      <c r="C989" s="1" t="str">
        <f>"08921379"</f>
        <v>08921379</v>
      </c>
      <c r="D989" s="1" t="s">
        <v>196</v>
      </c>
      <c r="F989" s="1" t="str">
        <f>"48"</f>
        <v>48</v>
      </c>
      <c r="G989" s="2">
        <v>42137</v>
      </c>
      <c r="H989" s="1">
        <v>127500</v>
      </c>
      <c r="I989" s="1">
        <v>127500</v>
      </c>
      <c r="J989" s="1">
        <v>122000</v>
      </c>
      <c r="K989" s="2">
        <v>42136</v>
      </c>
      <c r="L989" s="1">
        <v>384</v>
      </c>
      <c r="M989" s="2">
        <v>42137</v>
      </c>
      <c r="N989" s="1">
        <v>2</v>
      </c>
      <c r="O989" s="2">
        <v>42137</v>
      </c>
      <c r="P989" s="1">
        <v>2752</v>
      </c>
      <c r="Q989" s="1" t="s">
        <v>197</v>
      </c>
      <c r="R989" s="2">
        <v>42145</v>
      </c>
      <c r="S989" s="1">
        <v>18274</v>
      </c>
      <c r="U989" s="1">
        <v>146</v>
      </c>
      <c r="V989" s="1" t="s">
        <v>5712</v>
      </c>
      <c r="W989" s="1" t="s">
        <v>1056</v>
      </c>
      <c r="X989" s="1" t="s">
        <v>800</v>
      </c>
      <c r="Y989" s="1">
        <v>4</v>
      </c>
      <c r="Z989" s="1" t="s">
        <v>249</v>
      </c>
      <c r="AA989" s="1" t="s">
        <v>6674</v>
      </c>
      <c r="AB989" s="1">
        <v>60048</v>
      </c>
      <c r="AD989" s="1" t="s">
        <v>10718</v>
      </c>
      <c r="AE989" s="1" t="s">
        <v>10719</v>
      </c>
      <c r="AF989" s="1">
        <v>1985</v>
      </c>
      <c r="AG989" s="1" t="s">
        <v>204</v>
      </c>
      <c r="AH989" s="1" t="s">
        <v>1693</v>
      </c>
      <c r="AI989" s="1" t="s">
        <v>509</v>
      </c>
      <c r="AJ989" s="1" t="s">
        <v>1693</v>
      </c>
      <c r="AK989" s="1" t="s">
        <v>800</v>
      </c>
      <c r="AL989" s="1">
        <v>5</v>
      </c>
      <c r="AM989" s="1">
        <v>2</v>
      </c>
      <c r="AN989" s="1">
        <v>2</v>
      </c>
      <c r="AO989" s="1">
        <v>0</v>
      </c>
      <c r="AP989" s="1" t="s">
        <v>209</v>
      </c>
      <c r="AR989" s="1" t="s">
        <v>210</v>
      </c>
      <c r="AS989" s="1" t="s">
        <v>204</v>
      </c>
      <c r="AT989" s="1" t="s">
        <v>375</v>
      </c>
      <c r="AU989" s="1">
        <v>1</v>
      </c>
      <c r="AV989" s="1">
        <v>1</v>
      </c>
      <c r="AW989" s="1" t="s">
        <v>204</v>
      </c>
      <c r="AX989" s="1" t="s">
        <v>212</v>
      </c>
      <c r="AZ989" s="1">
        <v>3206.84</v>
      </c>
      <c r="BA989" s="1">
        <v>2013</v>
      </c>
      <c r="BB989" s="1" t="s">
        <v>405</v>
      </c>
      <c r="BE989" s="1">
        <v>1138</v>
      </c>
      <c r="BF989" s="1">
        <v>2</v>
      </c>
      <c r="BG989" s="1">
        <v>0</v>
      </c>
      <c r="BL989" s="1">
        <v>264</v>
      </c>
      <c r="BM989" s="1" t="s">
        <v>204</v>
      </c>
      <c r="BN989" s="1" t="s">
        <v>213</v>
      </c>
      <c r="BO989" s="1">
        <v>0</v>
      </c>
      <c r="BP989" s="1" t="s">
        <v>204</v>
      </c>
      <c r="BR989" s="1" t="str">
        <f>"11213021280000"</f>
        <v>11213021280000</v>
      </c>
      <c r="BT989" s="1" t="s">
        <v>10720</v>
      </c>
      <c r="BU989" s="1" t="s">
        <v>10721</v>
      </c>
      <c r="BV989" s="1" t="s">
        <v>6680</v>
      </c>
      <c r="BW989" s="1" t="s">
        <v>1696</v>
      </c>
      <c r="BX989" s="1">
        <v>70</v>
      </c>
      <c r="BY989" s="1">
        <v>70</v>
      </c>
      <c r="BZ989" s="1">
        <v>128</v>
      </c>
      <c r="CB989" s="1" t="str">
        <f t="shared" ref="CB989:CC989" si="759">""</f>
        <v/>
      </c>
      <c r="CC989" s="1" t="str">
        <f t="shared" si="759"/>
        <v/>
      </c>
      <c r="CG989" s="1" t="s">
        <v>538</v>
      </c>
      <c r="CH989" s="1" t="s">
        <v>277</v>
      </c>
      <c r="CI989" s="1" t="s">
        <v>220</v>
      </c>
      <c r="CK989" s="1" t="s">
        <v>317</v>
      </c>
      <c r="CL989" s="1" t="s">
        <v>277</v>
      </c>
      <c r="CM989" s="1" t="s">
        <v>220</v>
      </c>
      <c r="CO989" s="1" t="s">
        <v>516</v>
      </c>
      <c r="CP989" s="1" t="s">
        <v>277</v>
      </c>
      <c r="CQ989" s="1" t="s">
        <v>220</v>
      </c>
      <c r="CS989" s="1" t="s">
        <v>318</v>
      </c>
      <c r="CT989" s="1" t="s">
        <v>277</v>
      </c>
      <c r="CU989" s="1" t="s">
        <v>220</v>
      </c>
      <c r="CX989" s="1" t="s">
        <v>224</v>
      </c>
      <c r="DB989" s="1" t="s">
        <v>224</v>
      </c>
      <c r="DE989" s="1" t="s">
        <v>348</v>
      </c>
      <c r="DF989" s="1" t="s">
        <v>277</v>
      </c>
      <c r="DG989" s="1" t="s">
        <v>342</v>
      </c>
      <c r="DJ989" s="1" t="s">
        <v>224</v>
      </c>
      <c r="DS989" s="1" t="s">
        <v>230</v>
      </c>
      <c r="DW989" s="1" t="s">
        <v>230</v>
      </c>
      <c r="EA989" s="1" t="s">
        <v>230</v>
      </c>
      <c r="EE989" s="1" t="s">
        <v>230</v>
      </c>
      <c r="EI989" s="1" t="s">
        <v>230</v>
      </c>
      <c r="EL989" s="1" t="s">
        <v>542</v>
      </c>
      <c r="EM989" s="1" t="s">
        <v>232</v>
      </c>
      <c r="EN989" s="1" t="s">
        <v>282</v>
      </c>
      <c r="EO989" s="1" t="s">
        <v>840</v>
      </c>
      <c r="EQ989" s="1" t="s">
        <v>468</v>
      </c>
      <c r="ER989" s="1" t="s">
        <v>210</v>
      </c>
      <c r="ET989" s="1" t="s">
        <v>323</v>
      </c>
      <c r="EV989" s="1" t="s">
        <v>352</v>
      </c>
      <c r="EW989" s="1" t="s">
        <v>286</v>
      </c>
      <c r="EY989" s="1" t="s">
        <v>242</v>
      </c>
      <c r="EZ989" s="1" t="s">
        <v>287</v>
      </c>
      <c r="FB989" s="1" t="s">
        <v>289</v>
      </c>
      <c r="FD989" s="1" t="s">
        <v>290</v>
      </c>
      <c r="FE989" s="1" t="s">
        <v>3771</v>
      </c>
      <c r="FF989" s="1" t="s">
        <v>387</v>
      </c>
      <c r="FH989" s="1" t="s">
        <v>249</v>
      </c>
      <c r="FI989" s="1" t="s">
        <v>473</v>
      </c>
      <c r="FK989" s="1" t="s">
        <v>10722</v>
      </c>
      <c r="FL989" s="1" t="s">
        <v>1073</v>
      </c>
      <c r="FM989" s="1" t="s">
        <v>252</v>
      </c>
      <c r="FN989" s="1" t="s">
        <v>213</v>
      </c>
      <c r="FO989" s="1" t="s">
        <v>213</v>
      </c>
      <c r="FQ989" s="1" t="s">
        <v>1074</v>
      </c>
      <c r="FR989" s="1" t="s">
        <v>210</v>
      </c>
      <c r="FS989" s="1" t="s">
        <v>10723</v>
      </c>
      <c r="FT989" s="1" t="s">
        <v>295</v>
      </c>
      <c r="FU989" s="1" t="s">
        <v>204</v>
      </c>
      <c r="FW989" s="1" t="s">
        <v>1077</v>
      </c>
      <c r="FX989" s="1">
        <v>2752</v>
      </c>
      <c r="FY989" s="1" t="s">
        <v>1078</v>
      </c>
      <c r="FZ989" s="1" t="s">
        <v>10724</v>
      </c>
      <c r="GA989" s="1">
        <v>18526</v>
      </c>
      <c r="GB989" s="1" t="s">
        <v>10725</v>
      </c>
      <c r="GD989" s="1" t="s">
        <v>10726</v>
      </c>
      <c r="GE989" s="1" t="s">
        <v>480</v>
      </c>
      <c r="GH989" s="1" t="s">
        <v>589</v>
      </c>
      <c r="GI989" s="1" t="s">
        <v>213</v>
      </c>
      <c r="GJ989" s="1" t="s">
        <v>260</v>
      </c>
      <c r="GK989" s="1" t="s">
        <v>210</v>
      </c>
      <c r="GL989" s="2">
        <v>42146</v>
      </c>
    </row>
    <row r="990" spans="1:195">
      <c r="A990" s="1">
        <v>85000</v>
      </c>
      <c r="B990" s="1" t="s">
        <v>195</v>
      </c>
      <c r="C990" s="1" t="str">
        <f>"08642387"</f>
        <v>08642387</v>
      </c>
      <c r="D990" s="1" t="s">
        <v>196</v>
      </c>
      <c r="F990" s="1" t="str">
        <f>"8064"</f>
        <v>8064</v>
      </c>
      <c r="G990" s="2">
        <v>41801</v>
      </c>
      <c r="H990" s="1">
        <v>87900</v>
      </c>
      <c r="I990" s="1">
        <v>77900</v>
      </c>
      <c r="J990" s="1">
        <v>85000</v>
      </c>
      <c r="K990" s="2">
        <v>41800</v>
      </c>
      <c r="L990" s="1">
        <v>133</v>
      </c>
      <c r="M990" s="2">
        <v>41932</v>
      </c>
      <c r="N990" s="1">
        <v>133</v>
      </c>
      <c r="O990" s="2">
        <v>41932</v>
      </c>
      <c r="P990" s="1">
        <v>85213</v>
      </c>
      <c r="Q990" s="1" t="s">
        <v>197</v>
      </c>
      <c r="R990" s="2">
        <v>42020</v>
      </c>
      <c r="S990" s="1">
        <v>404341</v>
      </c>
      <c r="U990" s="1">
        <v>5743</v>
      </c>
      <c r="V990" s="1" t="s">
        <v>4294</v>
      </c>
      <c r="W990" s="1" t="s">
        <v>725</v>
      </c>
      <c r="X990" s="1" t="s">
        <v>4849</v>
      </c>
      <c r="Y990" s="1">
        <v>6</v>
      </c>
      <c r="Z990" s="1" t="s">
        <v>249</v>
      </c>
      <c r="AA990" s="1" t="s">
        <v>400</v>
      </c>
      <c r="AB990" s="1">
        <v>60638</v>
      </c>
      <c r="AE990" s="1" t="s">
        <v>10727</v>
      </c>
      <c r="AF990" s="1">
        <v>1984</v>
      </c>
      <c r="AG990" s="1" t="s">
        <v>204</v>
      </c>
      <c r="AH990" s="1" t="s">
        <v>403</v>
      </c>
      <c r="AI990" s="1" t="s">
        <v>310</v>
      </c>
      <c r="AJ990" s="1" t="s">
        <v>683</v>
      </c>
      <c r="AL990" s="1">
        <v>5</v>
      </c>
      <c r="AM990" s="1">
        <v>2</v>
      </c>
      <c r="AN990" s="1">
        <v>2</v>
      </c>
      <c r="AO990" s="1">
        <v>0</v>
      </c>
      <c r="AP990" s="1" t="s">
        <v>210</v>
      </c>
      <c r="AR990" s="1" t="s">
        <v>210</v>
      </c>
      <c r="AS990" s="1" t="s">
        <v>204</v>
      </c>
      <c r="AT990" s="1" t="s">
        <v>271</v>
      </c>
      <c r="AV990" s="1">
        <v>1</v>
      </c>
      <c r="AW990" s="1" t="s">
        <v>204</v>
      </c>
      <c r="AX990" s="1" t="s">
        <v>212</v>
      </c>
      <c r="AZ990" s="1">
        <v>1366.91</v>
      </c>
      <c r="BA990" s="1">
        <v>2012</v>
      </c>
      <c r="BB990" s="1" t="s">
        <v>405</v>
      </c>
      <c r="BE990" s="1">
        <v>950</v>
      </c>
      <c r="BF990" s="1">
        <v>2</v>
      </c>
      <c r="BG990" s="1">
        <v>10</v>
      </c>
      <c r="BJ990" s="1">
        <v>100</v>
      </c>
      <c r="BK990" s="1">
        <v>100</v>
      </c>
      <c r="BL990" s="1">
        <v>95</v>
      </c>
      <c r="BM990" s="1" t="s">
        <v>204</v>
      </c>
      <c r="BN990" s="1" t="s">
        <v>213</v>
      </c>
      <c r="BO990" s="1">
        <v>50</v>
      </c>
      <c r="BP990" s="1" t="s">
        <v>204</v>
      </c>
      <c r="BR990" s="1" t="str">
        <f>"19202020461003"</f>
        <v>19202020461003</v>
      </c>
      <c r="BT990" s="1" t="s">
        <v>10728</v>
      </c>
      <c r="BX990" s="1">
        <v>299</v>
      </c>
      <c r="BY990" s="1">
        <v>299</v>
      </c>
      <c r="BZ990" s="1">
        <v>299</v>
      </c>
      <c r="CB990" s="1" t="str">
        <f t="shared" ref="CB990:CC990" si="760">"0"</f>
        <v>0</v>
      </c>
      <c r="CC990" s="1" t="str">
        <f t="shared" si="760"/>
        <v>0</v>
      </c>
      <c r="CD990" s="1">
        <v>5743</v>
      </c>
      <c r="CE990" s="1">
        <v>6300</v>
      </c>
      <c r="CG990" s="1" t="s">
        <v>885</v>
      </c>
      <c r="CH990" s="1" t="s">
        <v>219</v>
      </c>
      <c r="CI990" s="1" t="s">
        <v>220</v>
      </c>
      <c r="CK990" s="1" t="s">
        <v>317</v>
      </c>
      <c r="CL990" s="1" t="s">
        <v>219</v>
      </c>
      <c r="CM990" s="1" t="s">
        <v>220</v>
      </c>
      <c r="CO990" s="1" t="s">
        <v>7610</v>
      </c>
      <c r="CP990" s="1" t="s">
        <v>219</v>
      </c>
      <c r="CQ990" s="1" t="s">
        <v>438</v>
      </c>
      <c r="CS990" s="1" t="s">
        <v>379</v>
      </c>
      <c r="CT990" s="1" t="s">
        <v>219</v>
      </c>
      <c r="CU990" s="1" t="s">
        <v>220</v>
      </c>
      <c r="CX990" s="1" t="s">
        <v>224</v>
      </c>
      <c r="DB990" s="1" t="s">
        <v>224</v>
      </c>
      <c r="DE990" s="1" t="s">
        <v>7610</v>
      </c>
      <c r="DF990" s="1" t="s">
        <v>219</v>
      </c>
      <c r="DG990" s="1" t="s">
        <v>438</v>
      </c>
      <c r="DJ990" s="1" t="s">
        <v>224</v>
      </c>
      <c r="DS990" s="1" t="s">
        <v>230</v>
      </c>
      <c r="DW990" s="1" t="s">
        <v>230</v>
      </c>
      <c r="EA990" s="1" t="s">
        <v>230</v>
      </c>
      <c r="EE990" s="1" t="s">
        <v>230</v>
      </c>
      <c r="EI990" s="1" t="s">
        <v>230</v>
      </c>
      <c r="EL990" s="1" t="s">
        <v>542</v>
      </c>
      <c r="EM990" s="1" t="s">
        <v>232</v>
      </c>
      <c r="EN990" s="1" t="s">
        <v>282</v>
      </c>
      <c r="EO990" s="1" t="s">
        <v>234</v>
      </c>
      <c r="ER990" s="1" t="s">
        <v>210</v>
      </c>
      <c r="EW990" s="1" t="s">
        <v>937</v>
      </c>
      <c r="EZ990" s="1" t="s">
        <v>287</v>
      </c>
      <c r="FD990" s="1" t="s">
        <v>246</v>
      </c>
      <c r="FE990" s="1" t="s">
        <v>247</v>
      </c>
      <c r="FF990" s="1" t="s">
        <v>248</v>
      </c>
      <c r="FH990" s="1" t="s">
        <v>249</v>
      </c>
      <c r="FK990" s="1" t="s">
        <v>2076</v>
      </c>
      <c r="FL990" s="1" t="s">
        <v>358</v>
      </c>
      <c r="FM990" s="1" t="s">
        <v>252</v>
      </c>
      <c r="FN990" s="1" t="s">
        <v>213</v>
      </c>
      <c r="FO990" s="1" t="s">
        <v>213</v>
      </c>
      <c r="FQ990" s="1" t="s">
        <v>689</v>
      </c>
      <c r="FR990" s="1" t="s">
        <v>210</v>
      </c>
      <c r="FS990" s="1" t="s">
        <v>10729</v>
      </c>
      <c r="FT990" s="1" t="s">
        <v>295</v>
      </c>
      <c r="FU990" s="1" t="s">
        <v>204</v>
      </c>
      <c r="FW990" s="1" t="s">
        <v>10730</v>
      </c>
      <c r="FX990" s="1">
        <v>40335</v>
      </c>
      <c r="FY990" s="1" t="s">
        <v>10731</v>
      </c>
      <c r="FZ990" s="1" t="s">
        <v>10732</v>
      </c>
      <c r="GA990" s="1">
        <v>401613</v>
      </c>
      <c r="GB990" s="1" t="s">
        <v>10731</v>
      </c>
      <c r="GC990" s="1">
        <v>408023</v>
      </c>
      <c r="GE990" s="1" t="s">
        <v>210</v>
      </c>
      <c r="GH990" s="1" t="s">
        <v>589</v>
      </c>
      <c r="GI990" s="1" t="s">
        <v>213</v>
      </c>
      <c r="GJ990" s="1" t="s">
        <v>260</v>
      </c>
      <c r="GK990" s="1" t="s">
        <v>210</v>
      </c>
      <c r="GL990" s="2">
        <v>42020</v>
      </c>
      <c r="GM990" s="1" t="s">
        <v>10733</v>
      </c>
    </row>
    <row r="991" spans="1:195">
      <c r="A991" s="1">
        <v>85299</v>
      </c>
      <c r="B991" s="1" t="s">
        <v>195</v>
      </c>
      <c r="C991" s="1" t="str">
        <f>"08631044"</f>
        <v>08631044</v>
      </c>
      <c r="D991" s="1" t="s">
        <v>196</v>
      </c>
      <c r="F991" s="1" t="str">
        <f>"545"</f>
        <v>545</v>
      </c>
      <c r="G991" s="2">
        <v>41791</v>
      </c>
      <c r="H991" s="1">
        <v>110300</v>
      </c>
      <c r="I991" s="1">
        <v>84900</v>
      </c>
      <c r="J991" s="1">
        <v>85299</v>
      </c>
      <c r="K991" s="2">
        <v>41789</v>
      </c>
      <c r="L991" s="1">
        <v>241</v>
      </c>
      <c r="M991" s="2">
        <v>42029</v>
      </c>
      <c r="N991" s="1">
        <v>241</v>
      </c>
      <c r="O991" s="2">
        <v>42029</v>
      </c>
      <c r="P991" s="1">
        <v>23030</v>
      </c>
      <c r="Q991" s="1" t="s">
        <v>302</v>
      </c>
      <c r="R991" s="2">
        <v>42066</v>
      </c>
      <c r="S991" s="1">
        <v>227819</v>
      </c>
      <c r="U991" s="1">
        <v>3830</v>
      </c>
      <c r="V991" s="1" t="s">
        <v>4247</v>
      </c>
      <c r="W991" s="1" t="s">
        <v>725</v>
      </c>
      <c r="X991" s="1">
        <v>4</v>
      </c>
      <c r="Y991" s="1">
        <v>4</v>
      </c>
      <c r="Z991" s="1" t="s">
        <v>370</v>
      </c>
      <c r="AA991" s="1" t="s">
        <v>1335</v>
      </c>
      <c r="AB991" s="1">
        <v>60545</v>
      </c>
      <c r="AD991" s="1" t="s">
        <v>1336</v>
      </c>
      <c r="AE991" s="1" t="s">
        <v>10734</v>
      </c>
      <c r="AF991" s="1">
        <v>2005</v>
      </c>
      <c r="AG991" s="1" t="s">
        <v>204</v>
      </c>
      <c r="AH991" s="1" t="s">
        <v>1338</v>
      </c>
      <c r="AI991" s="1" t="s">
        <v>453</v>
      </c>
      <c r="AJ991" s="1" t="s">
        <v>1339</v>
      </c>
      <c r="AK991" s="1" t="s">
        <v>5452</v>
      </c>
      <c r="AL991" s="1">
        <v>7</v>
      </c>
      <c r="AM991" s="1">
        <v>2</v>
      </c>
      <c r="AN991" s="1">
        <v>2</v>
      </c>
      <c r="AO991" s="1">
        <v>1</v>
      </c>
      <c r="AP991" s="1" t="s">
        <v>209</v>
      </c>
      <c r="AQ991" s="1">
        <v>0</v>
      </c>
      <c r="AR991" s="1" t="s">
        <v>210</v>
      </c>
      <c r="AS991" s="1" t="s">
        <v>204</v>
      </c>
      <c r="AT991" s="1" t="s">
        <v>211</v>
      </c>
      <c r="AU991" s="1">
        <v>2</v>
      </c>
      <c r="AW991" s="1" t="s">
        <v>204</v>
      </c>
      <c r="AX991" s="1" t="s">
        <v>212</v>
      </c>
      <c r="AZ991" s="1">
        <v>4941</v>
      </c>
      <c r="BA991" s="1">
        <v>2012</v>
      </c>
      <c r="BB991" s="1" t="s">
        <v>210</v>
      </c>
      <c r="BE991" s="1">
        <v>1720</v>
      </c>
      <c r="BF991" s="1">
        <v>1</v>
      </c>
      <c r="BG991" s="1">
        <v>5</v>
      </c>
      <c r="BL991" s="1">
        <v>160</v>
      </c>
      <c r="BM991" s="1" t="s">
        <v>413</v>
      </c>
      <c r="BN991" s="1" t="s">
        <v>213</v>
      </c>
      <c r="BO991" s="1">
        <v>30</v>
      </c>
      <c r="BP991" s="1" t="s">
        <v>204</v>
      </c>
      <c r="BR991" s="1" t="str">
        <f>"0125127072"</f>
        <v>0125127072</v>
      </c>
      <c r="BT991" s="1" t="s">
        <v>10735</v>
      </c>
      <c r="BX991" s="1">
        <v>88</v>
      </c>
      <c r="BY991" s="1">
        <v>88</v>
      </c>
      <c r="BZ991" s="1">
        <v>88</v>
      </c>
      <c r="CB991" s="1" t="str">
        <f t="shared" ref="CB991:CC991" si="761">"0"</f>
        <v>0</v>
      </c>
      <c r="CC991" s="1" t="str">
        <f t="shared" si="761"/>
        <v>0</v>
      </c>
      <c r="CD991" s="1">
        <v>47</v>
      </c>
      <c r="CE991" s="1">
        <v>13</v>
      </c>
      <c r="CG991" s="1" t="s">
        <v>461</v>
      </c>
      <c r="CH991" s="1" t="s">
        <v>219</v>
      </c>
      <c r="CI991" s="1" t="s">
        <v>220</v>
      </c>
      <c r="CJ991" s="1" t="s">
        <v>210</v>
      </c>
      <c r="CK991" s="1" t="s">
        <v>315</v>
      </c>
      <c r="CL991" s="1" t="s">
        <v>277</v>
      </c>
      <c r="CM991" s="1" t="s">
        <v>220</v>
      </c>
      <c r="CN991" s="1" t="s">
        <v>210</v>
      </c>
      <c r="CO991" s="1" t="s">
        <v>1297</v>
      </c>
      <c r="CP991" s="1" t="s">
        <v>219</v>
      </c>
      <c r="CQ991" s="1" t="s">
        <v>220</v>
      </c>
      <c r="CR991" s="1" t="s">
        <v>210</v>
      </c>
      <c r="CS991" s="1" t="s">
        <v>346</v>
      </c>
      <c r="CT991" s="1" t="s">
        <v>277</v>
      </c>
      <c r="CU991" s="1" t="s">
        <v>220</v>
      </c>
      <c r="CV991" s="1" t="s">
        <v>210</v>
      </c>
      <c r="CX991" s="1" t="s">
        <v>224</v>
      </c>
      <c r="DB991" s="1" t="s">
        <v>224</v>
      </c>
      <c r="DE991" s="1" t="s">
        <v>465</v>
      </c>
      <c r="DF991" s="1" t="s">
        <v>219</v>
      </c>
      <c r="DG991" s="1" t="s">
        <v>342</v>
      </c>
      <c r="DH991" s="1" t="s">
        <v>210</v>
      </c>
      <c r="DI991" s="1" t="s">
        <v>757</v>
      </c>
      <c r="DJ991" s="1" t="s">
        <v>219</v>
      </c>
      <c r="DK991" s="1" t="s">
        <v>220</v>
      </c>
      <c r="DL991" s="1" t="s">
        <v>210</v>
      </c>
      <c r="DM991" s="1" t="s">
        <v>464</v>
      </c>
      <c r="DR991" s="1" t="s">
        <v>317</v>
      </c>
      <c r="DS991" s="1" t="s">
        <v>277</v>
      </c>
      <c r="DT991" s="1" t="s">
        <v>220</v>
      </c>
      <c r="DU991" s="1" t="s">
        <v>210</v>
      </c>
      <c r="DW991" s="1" t="s">
        <v>230</v>
      </c>
      <c r="EA991" s="1" t="s">
        <v>230</v>
      </c>
      <c r="EE991" s="1" t="s">
        <v>230</v>
      </c>
      <c r="EI991" s="1" t="s">
        <v>230</v>
      </c>
      <c r="EL991" s="1" t="s">
        <v>491</v>
      </c>
      <c r="EM991" s="1" t="s">
        <v>319</v>
      </c>
      <c r="EN991" s="1" t="s">
        <v>282</v>
      </c>
      <c r="EO991" s="1" t="s">
        <v>234</v>
      </c>
      <c r="ER991" s="1" t="s">
        <v>210</v>
      </c>
      <c r="ET991" s="1" t="s">
        <v>2404</v>
      </c>
      <c r="EW991" s="1" t="s">
        <v>3255</v>
      </c>
      <c r="EY991" s="1" t="s">
        <v>1315</v>
      </c>
      <c r="EZ991" s="1" t="s">
        <v>464</v>
      </c>
      <c r="FA991" s="1" t="s">
        <v>4439</v>
      </c>
      <c r="FB991" s="1" t="s">
        <v>289</v>
      </c>
      <c r="FD991" s="1" t="s">
        <v>246</v>
      </c>
      <c r="FE991" s="1" t="s">
        <v>472</v>
      </c>
      <c r="FF991" s="1" t="s">
        <v>248</v>
      </c>
      <c r="FH991" s="1" t="s">
        <v>249</v>
      </c>
      <c r="FI991" s="1" t="s">
        <v>357</v>
      </c>
      <c r="FL991" s="1" t="s">
        <v>358</v>
      </c>
      <c r="FM991" s="1" t="s">
        <v>252</v>
      </c>
      <c r="FN991" s="1" t="s">
        <v>213</v>
      </c>
      <c r="FO991" s="1" t="s">
        <v>213</v>
      </c>
      <c r="FQ991" s="1" t="s">
        <v>582</v>
      </c>
      <c r="FR991" s="1" t="s">
        <v>652</v>
      </c>
      <c r="FS991" s="1" t="s">
        <v>8342</v>
      </c>
      <c r="FT991" s="1" t="s">
        <v>362</v>
      </c>
      <c r="FU991" s="1" t="s">
        <v>204</v>
      </c>
      <c r="FW991" s="1" t="s">
        <v>10736</v>
      </c>
      <c r="FX991" s="1">
        <v>79932</v>
      </c>
      <c r="FY991" s="1" t="s">
        <v>10737</v>
      </c>
      <c r="FZ991" s="1" t="s">
        <v>10738</v>
      </c>
      <c r="GA991" s="1">
        <v>700462</v>
      </c>
      <c r="GB991" s="1" t="s">
        <v>10739</v>
      </c>
      <c r="GE991" s="1" t="s">
        <v>480</v>
      </c>
      <c r="GI991" s="1" t="s">
        <v>213</v>
      </c>
      <c r="GJ991" s="1" t="s">
        <v>260</v>
      </c>
      <c r="GK991" s="1" t="s">
        <v>210</v>
      </c>
      <c r="GL991" s="2">
        <v>42066</v>
      </c>
      <c r="GM991" s="1" t="s">
        <v>10740</v>
      </c>
    </row>
    <row r="992" spans="1:195">
      <c r="A992" s="1">
        <v>87550</v>
      </c>
      <c r="B992" s="1" t="s">
        <v>195</v>
      </c>
      <c r="C992" s="1" t="str">
        <f>"08630126"</f>
        <v>08630126</v>
      </c>
      <c r="D992" s="1" t="s">
        <v>196</v>
      </c>
      <c r="F992" s="1" t="str">
        <f>"73"</f>
        <v>73</v>
      </c>
      <c r="G992" s="2">
        <v>41789</v>
      </c>
      <c r="H992" s="1">
        <v>89000</v>
      </c>
      <c r="I992" s="1">
        <v>85000</v>
      </c>
      <c r="J992" s="1">
        <v>87550</v>
      </c>
      <c r="K992" s="2">
        <v>41789</v>
      </c>
      <c r="L992" s="1">
        <v>138</v>
      </c>
      <c r="M992" s="2">
        <v>41926</v>
      </c>
      <c r="N992" s="1">
        <v>138</v>
      </c>
      <c r="O992" s="2">
        <v>41926</v>
      </c>
      <c r="P992" s="1">
        <v>2296</v>
      </c>
      <c r="Q992" s="1" t="s">
        <v>197</v>
      </c>
      <c r="R992" s="2">
        <v>41995</v>
      </c>
      <c r="S992" s="1">
        <v>20878</v>
      </c>
      <c r="U992" s="1">
        <v>34351</v>
      </c>
      <c r="V992" s="1" t="s">
        <v>10741</v>
      </c>
      <c r="W992" s="1" t="s">
        <v>1056</v>
      </c>
      <c r="Y992" s="1">
        <v>5</v>
      </c>
      <c r="Z992" s="1" t="s">
        <v>370</v>
      </c>
      <c r="AA992" s="1" t="s">
        <v>1259</v>
      </c>
      <c r="AB992" s="1">
        <v>60073</v>
      </c>
      <c r="AD992" s="1" t="s">
        <v>10742</v>
      </c>
      <c r="AE992" s="1" t="s">
        <v>10743</v>
      </c>
      <c r="AF992" s="1">
        <v>2002</v>
      </c>
      <c r="AG992" s="1" t="s">
        <v>204</v>
      </c>
      <c r="AH992" s="1" t="s">
        <v>1262</v>
      </c>
      <c r="AI992" s="1" t="s">
        <v>509</v>
      </c>
      <c r="AJ992" s="1" t="s">
        <v>1016</v>
      </c>
      <c r="AK992" s="1" t="s">
        <v>6170</v>
      </c>
      <c r="AL992" s="1">
        <v>7</v>
      </c>
      <c r="AM992" s="1">
        <v>2</v>
      </c>
      <c r="AN992" s="1">
        <v>1</v>
      </c>
      <c r="AO992" s="1">
        <v>1</v>
      </c>
      <c r="AP992" s="1" t="s">
        <v>209</v>
      </c>
      <c r="AR992" s="1" t="s">
        <v>209</v>
      </c>
      <c r="AS992" s="1" t="s">
        <v>204</v>
      </c>
      <c r="AT992" s="1" t="s">
        <v>211</v>
      </c>
      <c r="AU992" s="1">
        <v>2</v>
      </c>
      <c r="AW992" s="1" t="s">
        <v>204</v>
      </c>
      <c r="AX992" s="1" t="s">
        <v>212</v>
      </c>
      <c r="AZ992" s="1">
        <v>1296</v>
      </c>
      <c r="BA992" s="1">
        <v>2013</v>
      </c>
      <c r="BE992" s="1">
        <v>1280</v>
      </c>
      <c r="BF992" s="1">
        <v>1</v>
      </c>
      <c r="BG992" s="1">
        <v>0</v>
      </c>
      <c r="BL992" s="1">
        <v>195</v>
      </c>
      <c r="BM992" s="1" t="s">
        <v>204</v>
      </c>
      <c r="BN992" s="1" t="s">
        <v>213</v>
      </c>
      <c r="BO992" s="1">
        <v>0</v>
      </c>
      <c r="BP992" s="1" t="s">
        <v>204</v>
      </c>
      <c r="BR992" s="1" t="str">
        <f>"05243050560000"</f>
        <v>05243050560000</v>
      </c>
      <c r="BT992" s="1" t="s">
        <v>10744</v>
      </c>
      <c r="BU992" s="1" t="s">
        <v>6153</v>
      </c>
      <c r="BV992" s="1" t="s">
        <v>6488</v>
      </c>
      <c r="BW992" s="1" t="s">
        <v>2264</v>
      </c>
      <c r="BX992" s="1">
        <v>38</v>
      </c>
      <c r="BY992" s="1">
        <v>38</v>
      </c>
      <c r="BZ992" s="1">
        <v>124</v>
      </c>
      <c r="CB992" s="1" t="str">
        <f t="shared" ref="CB992:CC992" si="762">""</f>
        <v/>
      </c>
      <c r="CC992" s="1" t="str">
        <f t="shared" si="762"/>
        <v/>
      </c>
      <c r="CG992" s="1" t="s">
        <v>1297</v>
      </c>
      <c r="CH992" s="1" t="s">
        <v>219</v>
      </c>
      <c r="CI992" s="1" t="s">
        <v>220</v>
      </c>
      <c r="CJ992" s="1" t="s">
        <v>252</v>
      </c>
      <c r="CK992" s="1" t="s">
        <v>1045</v>
      </c>
      <c r="CL992" s="1" t="s">
        <v>277</v>
      </c>
      <c r="CM992" s="1" t="s">
        <v>220</v>
      </c>
      <c r="CN992" s="1" t="s">
        <v>252</v>
      </c>
      <c r="CO992" s="1" t="s">
        <v>1612</v>
      </c>
      <c r="CP992" s="1" t="s">
        <v>219</v>
      </c>
      <c r="CQ992" s="1" t="s">
        <v>220</v>
      </c>
      <c r="CR992" s="1" t="s">
        <v>210</v>
      </c>
      <c r="CS992" s="1" t="s">
        <v>346</v>
      </c>
      <c r="CT992" s="1" t="s">
        <v>277</v>
      </c>
      <c r="CU992" s="1" t="s">
        <v>229</v>
      </c>
      <c r="CV992" s="1" t="s">
        <v>252</v>
      </c>
      <c r="CX992" s="1" t="s">
        <v>224</v>
      </c>
      <c r="DB992" s="1" t="s">
        <v>224</v>
      </c>
      <c r="DE992" s="1" t="s">
        <v>1045</v>
      </c>
      <c r="DF992" s="1" t="s">
        <v>219</v>
      </c>
      <c r="DG992" s="1" t="s">
        <v>226</v>
      </c>
      <c r="DH992" s="1" t="s">
        <v>252</v>
      </c>
      <c r="DJ992" s="1" t="s">
        <v>224</v>
      </c>
      <c r="DM992" s="1" t="s">
        <v>1005</v>
      </c>
      <c r="DN992" s="1" t="s">
        <v>464</v>
      </c>
      <c r="DR992" s="1" t="s">
        <v>465</v>
      </c>
      <c r="DS992" s="1" t="s">
        <v>822</v>
      </c>
      <c r="DT992" s="1" t="s">
        <v>220</v>
      </c>
      <c r="DU992" s="1" t="s">
        <v>210</v>
      </c>
      <c r="DV992" s="1" t="s">
        <v>409</v>
      </c>
      <c r="DW992" s="1" t="s">
        <v>277</v>
      </c>
      <c r="DX992" s="1" t="s">
        <v>220</v>
      </c>
      <c r="DY992" s="1" t="s">
        <v>210</v>
      </c>
      <c r="EA992" s="1" t="s">
        <v>230</v>
      </c>
      <c r="EE992" s="1" t="s">
        <v>230</v>
      </c>
      <c r="EI992" s="1" t="s">
        <v>230</v>
      </c>
      <c r="EL992" s="1" t="s">
        <v>466</v>
      </c>
      <c r="EM992" s="1" t="s">
        <v>232</v>
      </c>
      <c r="EN992" s="1" t="s">
        <v>282</v>
      </c>
      <c r="EO992" s="1" t="s">
        <v>234</v>
      </c>
      <c r="EQ992" s="1" t="s">
        <v>468</v>
      </c>
      <c r="ER992" s="1" t="s">
        <v>544</v>
      </c>
      <c r="ES992" s="1" t="s">
        <v>824</v>
      </c>
      <c r="EU992" s="1" t="s">
        <v>239</v>
      </c>
      <c r="EV992" s="1" t="s">
        <v>240</v>
      </c>
      <c r="EW992" s="1" t="s">
        <v>353</v>
      </c>
      <c r="EY992" s="1" t="s">
        <v>242</v>
      </c>
      <c r="EZ992" s="1" t="s">
        <v>6712</v>
      </c>
      <c r="FB992" s="1" t="s">
        <v>244</v>
      </c>
      <c r="FC992" s="1" t="s">
        <v>548</v>
      </c>
      <c r="FD992" s="1" t="s">
        <v>246</v>
      </c>
      <c r="FE992" s="1" t="s">
        <v>355</v>
      </c>
      <c r="FF992" s="1" t="s">
        <v>248</v>
      </c>
      <c r="FH992" s="1" t="s">
        <v>550</v>
      </c>
      <c r="FI992" s="1" t="s">
        <v>357</v>
      </c>
      <c r="FJ992" s="1" t="s">
        <v>197</v>
      </c>
      <c r="FL992" s="1" t="s">
        <v>358</v>
      </c>
      <c r="FM992" s="1" t="s">
        <v>252</v>
      </c>
      <c r="FN992" s="1" t="s">
        <v>213</v>
      </c>
      <c r="FO992" s="1" t="s">
        <v>213</v>
      </c>
      <c r="FQ992" s="1" t="s">
        <v>811</v>
      </c>
      <c r="FR992" s="1" t="s">
        <v>360</v>
      </c>
      <c r="FS992" s="1" t="s">
        <v>10745</v>
      </c>
      <c r="FT992" s="1" t="s">
        <v>10746</v>
      </c>
      <c r="FU992" s="1" t="s">
        <v>204</v>
      </c>
      <c r="FW992" s="1" t="s">
        <v>1275</v>
      </c>
      <c r="FX992" s="1">
        <v>2700</v>
      </c>
      <c r="FY992" s="1" t="s">
        <v>1276</v>
      </c>
      <c r="FZ992" s="1" t="s">
        <v>1277</v>
      </c>
      <c r="GA992" s="1">
        <v>19248</v>
      </c>
      <c r="GE992" s="1" t="s">
        <v>210</v>
      </c>
      <c r="GH992" s="1" t="s">
        <v>230</v>
      </c>
      <c r="GI992" s="1" t="s">
        <v>213</v>
      </c>
      <c r="GJ992" s="1" t="s">
        <v>260</v>
      </c>
      <c r="GK992" s="1" t="s">
        <v>210</v>
      </c>
      <c r="GL992" s="2">
        <v>41995</v>
      </c>
      <c r="GM992" s="2" t="s">
        <v>10747</v>
      </c>
    </row>
    <row r="993" spans="1:195">
      <c r="A993" s="1">
        <v>60000</v>
      </c>
      <c r="B993" s="1" t="s">
        <v>195</v>
      </c>
      <c r="C993" s="1" t="str">
        <f>"08636067"</f>
        <v>08636067</v>
      </c>
      <c r="D993" s="1" t="s">
        <v>196</v>
      </c>
      <c r="F993" s="1" t="str">
        <f>"107"</f>
        <v>107</v>
      </c>
      <c r="G993" s="2">
        <v>41795</v>
      </c>
      <c r="H993" s="1">
        <v>72000</v>
      </c>
      <c r="I993" s="1">
        <v>62000</v>
      </c>
      <c r="J993" s="1">
        <v>60000</v>
      </c>
      <c r="K993" s="2">
        <v>41795</v>
      </c>
      <c r="L993" s="1">
        <v>47</v>
      </c>
      <c r="M993" s="2">
        <v>41841</v>
      </c>
      <c r="N993" s="1">
        <v>47</v>
      </c>
      <c r="O993" s="2">
        <v>41841</v>
      </c>
      <c r="P993" s="1">
        <v>264</v>
      </c>
      <c r="Q993" s="1" t="s">
        <v>302</v>
      </c>
      <c r="R993" s="2">
        <v>41995</v>
      </c>
      <c r="S993" s="1">
        <v>2070</v>
      </c>
      <c r="U993" s="1">
        <v>1811</v>
      </c>
      <c r="V993" s="1" t="s">
        <v>6958</v>
      </c>
      <c r="W993" s="1" t="s">
        <v>425</v>
      </c>
      <c r="Y993" s="1">
        <v>6</v>
      </c>
      <c r="Z993" s="1" t="s">
        <v>370</v>
      </c>
      <c r="AA993" s="1" t="s">
        <v>1211</v>
      </c>
      <c r="AB993" s="1">
        <v>60107</v>
      </c>
      <c r="AD993" s="1" t="s">
        <v>6959</v>
      </c>
      <c r="AE993" s="1" t="s">
        <v>10748</v>
      </c>
      <c r="AF993" s="1">
        <v>1973</v>
      </c>
      <c r="AG993" s="1" t="s">
        <v>213</v>
      </c>
      <c r="AH993" s="1" t="s">
        <v>1214</v>
      </c>
      <c r="AI993" s="1" t="s">
        <v>310</v>
      </c>
      <c r="AJ993" s="1" t="s">
        <v>374</v>
      </c>
      <c r="AK993" s="1" t="s">
        <v>2247</v>
      </c>
      <c r="AL993" s="1">
        <v>4</v>
      </c>
      <c r="AM993" s="1">
        <v>2</v>
      </c>
      <c r="AN993" s="1">
        <v>1</v>
      </c>
      <c r="AO993" s="1">
        <v>1</v>
      </c>
      <c r="AP993" s="1" t="s">
        <v>210</v>
      </c>
      <c r="AR993" s="1" t="s">
        <v>210</v>
      </c>
      <c r="AS993" s="1" t="s">
        <v>204</v>
      </c>
      <c r="AT993" s="1" t="s">
        <v>271</v>
      </c>
      <c r="AV993" s="1">
        <v>2</v>
      </c>
      <c r="AW993" s="1" t="s">
        <v>204</v>
      </c>
      <c r="AX993" s="1" t="s">
        <v>10749</v>
      </c>
      <c r="AZ993" s="1">
        <v>3115.16</v>
      </c>
      <c r="BA993" s="1">
        <v>2012</v>
      </c>
      <c r="BB993" s="1" t="s">
        <v>405</v>
      </c>
      <c r="BE993" s="1">
        <v>1042</v>
      </c>
      <c r="BF993" s="1">
        <v>1</v>
      </c>
      <c r="BG993" s="1">
        <v>0</v>
      </c>
      <c r="BL993" s="1">
        <v>170</v>
      </c>
      <c r="BM993" s="1" t="s">
        <v>204</v>
      </c>
      <c r="BN993" s="1" t="s">
        <v>213</v>
      </c>
      <c r="BO993" s="1">
        <v>999</v>
      </c>
      <c r="BP993" s="1" t="s">
        <v>204</v>
      </c>
      <c r="BR993" s="1" t="str">
        <f>"06361230230000"</f>
        <v>06361230230000</v>
      </c>
      <c r="BT993" s="1" t="s">
        <v>10750</v>
      </c>
      <c r="BU993" s="1" t="s">
        <v>6962</v>
      </c>
      <c r="BV993" s="1" t="s">
        <v>3623</v>
      </c>
      <c r="BW993" s="1" t="s">
        <v>1217</v>
      </c>
      <c r="BX993" s="1">
        <v>46</v>
      </c>
      <c r="BY993" s="1">
        <v>46</v>
      </c>
      <c r="BZ993" s="1">
        <v>46</v>
      </c>
      <c r="CB993" s="1" t="str">
        <f>"9"</f>
        <v>9</v>
      </c>
      <c r="CC993" s="1" t="str">
        <f>"0"</f>
        <v>0</v>
      </c>
      <c r="CD993" s="1">
        <v>27</v>
      </c>
      <c r="CE993" s="1">
        <v>0</v>
      </c>
      <c r="CG993" s="1" t="s">
        <v>315</v>
      </c>
      <c r="CH993" s="1" t="s">
        <v>219</v>
      </c>
      <c r="CI993" s="1" t="s">
        <v>229</v>
      </c>
      <c r="CK993" s="1" t="s">
        <v>757</v>
      </c>
      <c r="CL993" s="1" t="s">
        <v>277</v>
      </c>
      <c r="CM993" s="1" t="s">
        <v>220</v>
      </c>
      <c r="CP993" s="1" t="s">
        <v>224</v>
      </c>
      <c r="CS993" s="1" t="s">
        <v>1297</v>
      </c>
      <c r="CT993" s="1" t="s">
        <v>277</v>
      </c>
      <c r="CU993" s="1" t="s">
        <v>220</v>
      </c>
      <c r="CX993" s="1" t="s">
        <v>224</v>
      </c>
      <c r="DB993" s="1" t="s">
        <v>224</v>
      </c>
      <c r="DE993" s="1" t="s">
        <v>757</v>
      </c>
      <c r="DF993" s="1" t="s">
        <v>219</v>
      </c>
      <c r="DG993" s="1" t="s">
        <v>226</v>
      </c>
      <c r="DJ993" s="1" t="s">
        <v>224</v>
      </c>
      <c r="DS993" s="1" t="s">
        <v>230</v>
      </c>
      <c r="DW993" s="1" t="s">
        <v>230</v>
      </c>
      <c r="EA993" s="1" t="s">
        <v>230</v>
      </c>
      <c r="EE993" s="1" t="s">
        <v>230</v>
      </c>
      <c r="EI993" s="1" t="s">
        <v>230</v>
      </c>
      <c r="EL993" s="1" t="s">
        <v>605</v>
      </c>
      <c r="EM993" s="1" t="s">
        <v>232</v>
      </c>
      <c r="EN993" s="1" t="s">
        <v>282</v>
      </c>
      <c r="EO993" s="1" t="s">
        <v>234</v>
      </c>
      <c r="ER993" s="1" t="s">
        <v>210</v>
      </c>
      <c r="ES993" s="1" t="s">
        <v>322</v>
      </c>
      <c r="EW993" s="1" t="s">
        <v>353</v>
      </c>
      <c r="EY993" s="1" t="s">
        <v>242</v>
      </c>
      <c r="EZ993" s="1" t="s">
        <v>287</v>
      </c>
      <c r="FC993" s="1" t="s">
        <v>633</v>
      </c>
      <c r="FD993" s="1" t="s">
        <v>246</v>
      </c>
      <c r="FE993" s="1" t="s">
        <v>247</v>
      </c>
      <c r="FF993" s="1" t="s">
        <v>248</v>
      </c>
      <c r="FH993" s="1" t="s">
        <v>550</v>
      </c>
      <c r="FJ993" s="1" t="s">
        <v>518</v>
      </c>
      <c r="FK993" s="1" t="s">
        <v>291</v>
      </c>
      <c r="FL993" s="1" t="s">
        <v>358</v>
      </c>
      <c r="FM993" s="1" t="s">
        <v>252</v>
      </c>
      <c r="FN993" s="1" t="s">
        <v>213</v>
      </c>
      <c r="FO993" s="1" t="s">
        <v>213</v>
      </c>
      <c r="FQ993" s="1" t="s">
        <v>5060</v>
      </c>
      <c r="FR993" s="1" t="s">
        <v>360</v>
      </c>
      <c r="FS993" s="1" t="s">
        <v>443</v>
      </c>
      <c r="FT993" s="1" t="s">
        <v>295</v>
      </c>
      <c r="FU993" s="1" t="s">
        <v>204</v>
      </c>
      <c r="FW993" s="1" t="s">
        <v>10751</v>
      </c>
      <c r="FX993" s="1">
        <v>8089</v>
      </c>
      <c r="FY993" s="1" t="s">
        <v>10752</v>
      </c>
      <c r="FZ993" s="1" t="s">
        <v>10753</v>
      </c>
      <c r="GA993" s="1">
        <v>26283</v>
      </c>
      <c r="GB993" s="1" t="s">
        <v>10754</v>
      </c>
      <c r="GD993" s="1" t="s">
        <v>10755</v>
      </c>
      <c r="GE993" s="1" t="s">
        <v>210</v>
      </c>
      <c r="GI993" s="1" t="s">
        <v>204</v>
      </c>
      <c r="GJ993" s="1" t="s">
        <v>260</v>
      </c>
      <c r="GK993" s="1" t="s">
        <v>210</v>
      </c>
      <c r="GL993" s="2">
        <v>41996</v>
      </c>
      <c r="GM993" s="1" t="s">
        <v>10756</v>
      </c>
    </row>
    <row r="994" spans="1:195">
      <c r="A994" s="1">
        <v>87500</v>
      </c>
      <c r="B994" s="1" t="s">
        <v>195</v>
      </c>
      <c r="C994" s="1" t="str">
        <f>"08637857"</f>
        <v>08637857</v>
      </c>
      <c r="D994" s="1" t="s">
        <v>196</v>
      </c>
      <c r="F994" s="1" t="str">
        <f>"31"</f>
        <v>31</v>
      </c>
      <c r="G994" s="2">
        <v>41796</v>
      </c>
      <c r="H994" s="1">
        <v>112500</v>
      </c>
      <c r="I994" s="1">
        <v>104500</v>
      </c>
      <c r="J994" s="1">
        <v>87500</v>
      </c>
      <c r="K994" s="2">
        <v>41796</v>
      </c>
      <c r="L994" s="1">
        <v>252</v>
      </c>
      <c r="M994" s="2">
        <v>42047</v>
      </c>
      <c r="N994" s="1">
        <v>252</v>
      </c>
      <c r="O994" s="2">
        <v>42047</v>
      </c>
      <c r="P994" s="1">
        <v>3310</v>
      </c>
      <c r="Q994" s="1" t="s">
        <v>197</v>
      </c>
      <c r="R994" s="2">
        <v>42062</v>
      </c>
      <c r="S994" s="1">
        <v>39288</v>
      </c>
      <c r="U994" s="1">
        <v>658</v>
      </c>
      <c r="V994" s="1" t="s">
        <v>10757</v>
      </c>
      <c r="W994" s="1" t="s">
        <v>304</v>
      </c>
      <c r="Y994" s="1">
        <v>4</v>
      </c>
      <c r="Z994" s="1" t="s">
        <v>370</v>
      </c>
      <c r="AA994" s="1" t="s">
        <v>1057</v>
      </c>
      <c r="AB994" s="1">
        <v>60031</v>
      </c>
      <c r="AD994" s="1" t="s">
        <v>4200</v>
      </c>
      <c r="AE994" s="1" t="s">
        <v>10758</v>
      </c>
      <c r="AF994" s="1">
        <v>1976</v>
      </c>
      <c r="AG994" s="1" t="s">
        <v>213</v>
      </c>
      <c r="AH994" s="1" t="s">
        <v>1060</v>
      </c>
      <c r="AI994" s="1" t="s">
        <v>509</v>
      </c>
      <c r="AJ994" s="1" t="s">
        <v>1061</v>
      </c>
      <c r="AK994" s="1" t="s">
        <v>10759</v>
      </c>
      <c r="AL994" s="1">
        <v>6</v>
      </c>
      <c r="AM994" s="1">
        <v>2</v>
      </c>
      <c r="AN994" s="1">
        <v>2</v>
      </c>
      <c r="AO994" s="1">
        <v>0</v>
      </c>
      <c r="AP994" s="1" t="s">
        <v>209</v>
      </c>
      <c r="AQ994" s="1">
        <v>1</v>
      </c>
      <c r="AR994" s="1" t="s">
        <v>210</v>
      </c>
      <c r="AS994" s="1" t="s">
        <v>204</v>
      </c>
      <c r="AT994" s="1" t="s">
        <v>211</v>
      </c>
      <c r="AU994" s="1">
        <v>1</v>
      </c>
      <c r="AW994" s="1" t="s">
        <v>204</v>
      </c>
      <c r="AX994" s="1" t="s">
        <v>10760</v>
      </c>
      <c r="AZ994" s="1">
        <v>2118.3200000000002</v>
      </c>
      <c r="BA994" s="1">
        <v>2013</v>
      </c>
      <c r="BB994" s="1" t="s">
        <v>405</v>
      </c>
      <c r="BE994" s="1">
        <v>1162</v>
      </c>
      <c r="BF994" s="1">
        <v>1</v>
      </c>
      <c r="BG994" s="1">
        <v>0</v>
      </c>
      <c r="BL994" s="1">
        <v>355</v>
      </c>
      <c r="BM994" s="1" t="s">
        <v>204</v>
      </c>
      <c r="BN994" s="1" t="s">
        <v>213</v>
      </c>
      <c r="BO994" s="1">
        <v>0</v>
      </c>
      <c r="BP994" s="1" t="s">
        <v>204</v>
      </c>
      <c r="BR994" s="1" t="str">
        <f>"07282020200000"</f>
        <v>07282020200000</v>
      </c>
      <c r="BT994" s="1" t="s">
        <v>10761</v>
      </c>
      <c r="BU994" s="1" t="s">
        <v>1064</v>
      </c>
      <c r="BV994" s="1" t="s">
        <v>1065</v>
      </c>
      <c r="BW994" s="1" t="s">
        <v>1066</v>
      </c>
      <c r="BX994" s="1">
        <v>50</v>
      </c>
      <c r="BY994" s="1">
        <v>50</v>
      </c>
      <c r="BZ994" s="1">
        <v>121</v>
      </c>
      <c r="CB994" s="1" t="str">
        <f t="shared" ref="CB994:CC994" si="763">""</f>
        <v/>
      </c>
      <c r="CC994" s="1" t="str">
        <f t="shared" si="763"/>
        <v/>
      </c>
      <c r="CG994" s="1" t="s">
        <v>461</v>
      </c>
      <c r="CH994" s="1" t="s">
        <v>219</v>
      </c>
      <c r="CI994" s="1" t="s">
        <v>220</v>
      </c>
      <c r="CJ994" s="1" t="s">
        <v>343</v>
      </c>
      <c r="CK994" s="1" t="s">
        <v>932</v>
      </c>
      <c r="CL994" s="1" t="s">
        <v>277</v>
      </c>
      <c r="CM994" s="1" t="s">
        <v>220</v>
      </c>
      <c r="CO994" s="1" t="s">
        <v>1297</v>
      </c>
      <c r="CP994" s="1" t="s">
        <v>219</v>
      </c>
      <c r="CQ994" s="1" t="s">
        <v>220</v>
      </c>
      <c r="CS994" s="1" t="s">
        <v>757</v>
      </c>
      <c r="CT994" s="1" t="s">
        <v>219</v>
      </c>
      <c r="CU994" s="1" t="s">
        <v>220</v>
      </c>
      <c r="CV994" s="1" t="s">
        <v>343</v>
      </c>
      <c r="CX994" s="1" t="s">
        <v>224</v>
      </c>
      <c r="DB994" s="1" t="s">
        <v>224</v>
      </c>
      <c r="DE994" s="1" t="s">
        <v>346</v>
      </c>
      <c r="DF994" s="1" t="s">
        <v>219</v>
      </c>
      <c r="DG994" s="1" t="s">
        <v>342</v>
      </c>
      <c r="DH994" s="1" t="s">
        <v>343</v>
      </c>
      <c r="DJ994" s="1" t="s">
        <v>224</v>
      </c>
      <c r="DM994" s="1" t="s">
        <v>10762</v>
      </c>
      <c r="DR994" s="1" t="s">
        <v>821</v>
      </c>
      <c r="DS994" s="1" t="s">
        <v>277</v>
      </c>
      <c r="DT994" s="1" t="s">
        <v>438</v>
      </c>
      <c r="DW994" s="1" t="s">
        <v>230</v>
      </c>
      <c r="EA994" s="1" t="s">
        <v>230</v>
      </c>
      <c r="EE994" s="1" t="s">
        <v>230</v>
      </c>
      <c r="EI994" s="1" t="s">
        <v>230</v>
      </c>
      <c r="EL994" s="1" t="s">
        <v>231</v>
      </c>
      <c r="EM994" s="1" t="s">
        <v>232</v>
      </c>
      <c r="EN994" s="1" t="s">
        <v>282</v>
      </c>
      <c r="EO994" s="1" t="s">
        <v>840</v>
      </c>
      <c r="EP994" s="1" t="s">
        <v>4796</v>
      </c>
      <c r="EQ994" s="1" t="s">
        <v>2901</v>
      </c>
      <c r="ER994" s="1" t="s">
        <v>1069</v>
      </c>
      <c r="ES994" s="1" t="s">
        <v>322</v>
      </c>
      <c r="EU994" s="1" t="s">
        <v>239</v>
      </c>
      <c r="EV994" s="1" t="s">
        <v>240</v>
      </c>
      <c r="EW994" s="1" t="s">
        <v>10763</v>
      </c>
      <c r="EZ994" s="1" t="s">
        <v>10762</v>
      </c>
      <c r="FB994" s="1" t="s">
        <v>289</v>
      </c>
      <c r="FC994" s="1" t="s">
        <v>1386</v>
      </c>
      <c r="FD994" s="1" t="s">
        <v>246</v>
      </c>
      <c r="FE994" s="1" t="s">
        <v>889</v>
      </c>
      <c r="FF994" s="1" t="s">
        <v>248</v>
      </c>
      <c r="FG994" s="1" t="s">
        <v>715</v>
      </c>
      <c r="FH994" s="1" t="s">
        <v>550</v>
      </c>
      <c r="FI994" s="1" t="s">
        <v>473</v>
      </c>
      <c r="FL994" s="1" t="s">
        <v>358</v>
      </c>
      <c r="FM994" s="1" t="s">
        <v>252</v>
      </c>
      <c r="FN994" s="1" t="s">
        <v>213</v>
      </c>
      <c r="FO994" s="1" t="s">
        <v>213</v>
      </c>
      <c r="FQ994" s="1" t="s">
        <v>1286</v>
      </c>
      <c r="FR994" s="1" t="s">
        <v>210</v>
      </c>
      <c r="FS994" s="1" t="s">
        <v>10764</v>
      </c>
      <c r="FT994" s="1" t="s">
        <v>520</v>
      </c>
      <c r="FU994" s="1" t="s">
        <v>204</v>
      </c>
      <c r="FW994" s="1" t="s">
        <v>256</v>
      </c>
      <c r="FX994" s="1">
        <v>2648</v>
      </c>
      <c r="FY994" s="1" t="s">
        <v>1022</v>
      </c>
      <c r="FZ994" s="1" t="s">
        <v>10765</v>
      </c>
      <c r="GA994" s="1">
        <v>16576</v>
      </c>
      <c r="GB994" s="1" t="s">
        <v>10766</v>
      </c>
      <c r="GC994" s="1">
        <v>11581</v>
      </c>
      <c r="GD994" s="1" t="s">
        <v>10767</v>
      </c>
      <c r="GE994" s="1" t="s">
        <v>335</v>
      </c>
      <c r="GI994" s="1" t="s">
        <v>213</v>
      </c>
      <c r="GJ994" s="1" t="s">
        <v>260</v>
      </c>
      <c r="GK994" s="1" t="s">
        <v>210</v>
      </c>
      <c r="GL994" s="2">
        <v>42062</v>
      </c>
    </row>
    <row r="995" spans="1:195">
      <c r="A995" s="1">
        <v>173000</v>
      </c>
      <c r="B995" s="1" t="s">
        <v>195</v>
      </c>
      <c r="C995" s="1" t="str">
        <f>"08637670"</f>
        <v>08637670</v>
      </c>
      <c r="D995" s="1" t="s">
        <v>196</v>
      </c>
      <c r="F995" s="1" t="str">
        <f>"108"</f>
        <v>108</v>
      </c>
      <c r="G995" s="2">
        <v>41796</v>
      </c>
      <c r="H995" s="1">
        <v>199853</v>
      </c>
      <c r="I995" s="1">
        <v>179853</v>
      </c>
      <c r="J995" s="1">
        <v>173000</v>
      </c>
      <c r="K995" s="2">
        <v>41796</v>
      </c>
      <c r="L995" s="1">
        <v>167</v>
      </c>
      <c r="M995" s="2">
        <v>41962</v>
      </c>
      <c r="N995" s="1">
        <v>167</v>
      </c>
      <c r="O995" s="2">
        <v>41962</v>
      </c>
      <c r="P995" s="1">
        <v>25792</v>
      </c>
      <c r="Q995" s="1" t="s">
        <v>302</v>
      </c>
      <c r="R995" s="2">
        <v>41992</v>
      </c>
      <c r="S995" s="1">
        <v>236564</v>
      </c>
      <c r="T995" s="1">
        <v>3000</v>
      </c>
      <c r="U995" s="1">
        <v>222</v>
      </c>
      <c r="V995" s="1" t="s">
        <v>10377</v>
      </c>
      <c r="W995" s="1" t="s">
        <v>504</v>
      </c>
      <c r="Y995" s="1">
        <v>4</v>
      </c>
      <c r="Z995" s="1" t="s">
        <v>370</v>
      </c>
      <c r="AA995" s="1" t="s">
        <v>829</v>
      </c>
      <c r="AB995" s="1">
        <v>60108</v>
      </c>
      <c r="AE995" s="1" t="s">
        <v>10768</v>
      </c>
      <c r="AF995" s="1">
        <v>1988</v>
      </c>
      <c r="AG995" s="1" t="s">
        <v>204</v>
      </c>
      <c r="AH995" s="1" t="s">
        <v>269</v>
      </c>
      <c r="AI995" s="1" t="s">
        <v>206</v>
      </c>
      <c r="AJ995" s="1" t="s">
        <v>269</v>
      </c>
      <c r="AL995" s="1">
        <v>6</v>
      </c>
      <c r="AM995" s="1">
        <v>2</v>
      </c>
      <c r="AN995" s="1">
        <v>2</v>
      </c>
      <c r="AO995" s="1">
        <v>1</v>
      </c>
      <c r="AP995" s="1" t="s">
        <v>209</v>
      </c>
      <c r="AQ995" s="1">
        <v>1</v>
      </c>
      <c r="AR995" s="1" t="s">
        <v>209</v>
      </c>
      <c r="AS995" s="1" t="s">
        <v>204</v>
      </c>
      <c r="AT995" s="1" t="s">
        <v>211</v>
      </c>
      <c r="AU995" s="1">
        <v>2</v>
      </c>
      <c r="AW995" s="1" t="s">
        <v>204</v>
      </c>
      <c r="AX995" s="1" t="s">
        <v>212</v>
      </c>
      <c r="AZ995" s="1">
        <v>5810</v>
      </c>
      <c r="BA995" s="1">
        <v>2013</v>
      </c>
      <c r="BB995" s="1" t="s">
        <v>599</v>
      </c>
      <c r="BE995" s="1">
        <v>1591</v>
      </c>
      <c r="BF995" s="1">
        <v>1</v>
      </c>
      <c r="BG995" s="1">
        <v>0</v>
      </c>
      <c r="BL995" s="1">
        <v>235</v>
      </c>
      <c r="BM995" s="1" t="s">
        <v>204</v>
      </c>
      <c r="BN995" s="1" t="s">
        <v>213</v>
      </c>
      <c r="BO995" s="1">
        <v>999</v>
      </c>
      <c r="BP995" s="1" t="s">
        <v>204</v>
      </c>
      <c r="BR995" s="1" t="str">
        <f>"0223203064"</f>
        <v>0223203064</v>
      </c>
      <c r="BT995" s="1" t="s">
        <v>10769</v>
      </c>
      <c r="BU995" s="1" t="s">
        <v>2014</v>
      </c>
      <c r="BV995" s="1" t="s">
        <v>2015</v>
      </c>
      <c r="BW995" s="1" t="s">
        <v>1935</v>
      </c>
      <c r="BX995" s="1">
        <v>15</v>
      </c>
      <c r="BY995" s="1">
        <v>15</v>
      </c>
      <c r="BZ995" s="1">
        <v>87</v>
      </c>
      <c r="CB995" s="1" t="str">
        <f t="shared" ref="CB995:CC995" si="764">""</f>
        <v/>
      </c>
      <c r="CC995" s="1" t="str">
        <f t="shared" si="764"/>
        <v/>
      </c>
      <c r="CG995" s="1" t="s">
        <v>2402</v>
      </c>
      <c r="CH995" s="1" t="s">
        <v>219</v>
      </c>
      <c r="CI995" s="1" t="s">
        <v>438</v>
      </c>
      <c r="CJ995" s="1" t="s">
        <v>343</v>
      </c>
      <c r="CK995" s="1" t="s">
        <v>221</v>
      </c>
      <c r="CL995" s="1" t="s">
        <v>277</v>
      </c>
      <c r="CM995" s="1" t="s">
        <v>220</v>
      </c>
      <c r="CN995" s="1" t="s">
        <v>343</v>
      </c>
      <c r="CP995" s="1" t="s">
        <v>224</v>
      </c>
      <c r="CS995" s="1" t="s">
        <v>461</v>
      </c>
      <c r="CT995" s="1" t="s">
        <v>277</v>
      </c>
      <c r="CU995" s="1" t="s">
        <v>220</v>
      </c>
      <c r="CV995" s="1" t="s">
        <v>343</v>
      </c>
      <c r="CX995" s="1" t="s">
        <v>224</v>
      </c>
      <c r="DB995" s="1" t="s">
        <v>224</v>
      </c>
      <c r="DE995" s="1" t="s">
        <v>318</v>
      </c>
      <c r="DF995" s="1" t="s">
        <v>219</v>
      </c>
      <c r="DG995" s="1" t="s">
        <v>438</v>
      </c>
      <c r="DH995" s="1" t="s">
        <v>439</v>
      </c>
      <c r="DJ995" s="1" t="s">
        <v>224</v>
      </c>
      <c r="DM995" s="1" t="s">
        <v>464</v>
      </c>
      <c r="DN995" s="1" t="s">
        <v>1359</v>
      </c>
      <c r="DO995" s="1" t="s">
        <v>709</v>
      </c>
      <c r="DP995" s="1" t="s">
        <v>4083</v>
      </c>
      <c r="DR995" s="1" t="s">
        <v>1854</v>
      </c>
      <c r="DS995" s="1" t="s">
        <v>277</v>
      </c>
      <c r="DT995" s="1" t="s">
        <v>229</v>
      </c>
      <c r="DU995" s="1" t="s">
        <v>343</v>
      </c>
      <c r="DV995" s="1" t="s">
        <v>2466</v>
      </c>
      <c r="DW995" s="1" t="s">
        <v>219</v>
      </c>
      <c r="DX995" s="1" t="s">
        <v>347</v>
      </c>
      <c r="DY995" s="1" t="s">
        <v>210</v>
      </c>
      <c r="DZ995" s="1" t="s">
        <v>7487</v>
      </c>
      <c r="EA995" s="1" t="s">
        <v>219</v>
      </c>
      <c r="EB995" s="1" t="s">
        <v>438</v>
      </c>
      <c r="EC995" s="1" t="s">
        <v>210</v>
      </c>
      <c r="ED995" s="1" t="s">
        <v>3316</v>
      </c>
      <c r="EE995" s="1" t="s">
        <v>43</v>
      </c>
      <c r="EF995" s="1" t="s">
        <v>347</v>
      </c>
      <c r="EG995" s="1" t="s">
        <v>210</v>
      </c>
      <c r="EI995" s="1" t="s">
        <v>230</v>
      </c>
      <c r="EL995" s="1" t="s">
        <v>542</v>
      </c>
      <c r="EM995" s="1" t="s">
        <v>319</v>
      </c>
      <c r="EN995" s="1" t="s">
        <v>282</v>
      </c>
      <c r="EO995" s="1" t="s">
        <v>234</v>
      </c>
      <c r="EP995" s="1" t="s">
        <v>650</v>
      </c>
      <c r="ER995" s="1" t="s">
        <v>1249</v>
      </c>
      <c r="ET995" s="1" t="s">
        <v>8850</v>
      </c>
      <c r="EW995" s="1" t="s">
        <v>867</v>
      </c>
      <c r="EY995" s="1" t="s">
        <v>242</v>
      </c>
      <c r="EZ995" s="1" t="s">
        <v>10770</v>
      </c>
      <c r="FA995" s="1" t="s">
        <v>10771</v>
      </c>
      <c r="FB995" s="1" t="s">
        <v>289</v>
      </c>
      <c r="FC995" s="1" t="s">
        <v>326</v>
      </c>
      <c r="FD995" s="1" t="s">
        <v>495</v>
      </c>
      <c r="FE995" s="1" t="s">
        <v>247</v>
      </c>
      <c r="FF995" s="1" t="s">
        <v>2998</v>
      </c>
      <c r="FG995" s="1" t="s">
        <v>2739</v>
      </c>
      <c r="FH995" s="1" t="s">
        <v>550</v>
      </c>
      <c r="FI995" s="1" t="s">
        <v>473</v>
      </c>
      <c r="FJ995" s="1" t="s">
        <v>10772</v>
      </c>
      <c r="FL995" s="1" t="s">
        <v>414</v>
      </c>
      <c r="FM995" s="1" t="s">
        <v>252</v>
      </c>
      <c r="FN995" s="1" t="s">
        <v>213</v>
      </c>
      <c r="FO995" s="1" t="s">
        <v>213</v>
      </c>
      <c r="FQ995" s="1" t="s">
        <v>10773</v>
      </c>
      <c r="FR995" s="1" t="s">
        <v>210</v>
      </c>
      <c r="FS995" s="1" t="s">
        <v>10774</v>
      </c>
      <c r="FT995" s="1" t="s">
        <v>295</v>
      </c>
      <c r="FU995" s="1" t="s">
        <v>213</v>
      </c>
      <c r="FW995" s="1" t="s">
        <v>10775</v>
      </c>
      <c r="FX995" s="1">
        <v>25400</v>
      </c>
      <c r="FY995" s="1" t="s">
        <v>10776</v>
      </c>
      <c r="FZ995" s="1" t="s">
        <v>10777</v>
      </c>
      <c r="GA995" s="1">
        <v>237539</v>
      </c>
      <c r="GB995" s="1" t="s">
        <v>10778</v>
      </c>
      <c r="GD995" s="1" t="s">
        <v>10779</v>
      </c>
      <c r="GE995" s="1" t="s">
        <v>1764</v>
      </c>
      <c r="GI995" s="1" t="s">
        <v>213</v>
      </c>
      <c r="GJ995" s="1" t="s">
        <v>260</v>
      </c>
      <c r="GK995" s="1" t="s">
        <v>210</v>
      </c>
      <c r="GL995" s="2">
        <v>41992</v>
      </c>
      <c r="GM995" s="1" t="s">
        <v>10780</v>
      </c>
    </row>
    <row r="996" spans="1:195">
      <c r="A996" s="1">
        <v>375000</v>
      </c>
      <c r="B996" s="1" t="s">
        <v>195</v>
      </c>
      <c r="C996" s="1" t="str">
        <f>"08640938"</f>
        <v>08640938</v>
      </c>
      <c r="D996" s="1" t="s">
        <v>196</v>
      </c>
      <c r="F996" s="1" t="str">
        <f>"521"</f>
        <v>521</v>
      </c>
      <c r="G996" s="2">
        <v>41800</v>
      </c>
      <c r="H996" s="1">
        <v>385000</v>
      </c>
      <c r="I996" s="1">
        <v>374999</v>
      </c>
      <c r="J996" s="1">
        <v>375000</v>
      </c>
      <c r="K996" s="2">
        <v>41800</v>
      </c>
      <c r="L996" s="1">
        <v>164</v>
      </c>
      <c r="M996" s="2">
        <v>41963</v>
      </c>
      <c r="N996" s="1">
        <v>164</v>
      </c>
      <c r="O996" s="2">
        <v>41963</v>
      </c>
      <c r="P996" s="1">
        <v>22375</v>
      </c>
      <c r="Q996" s="1" t="s">
        <v>302</v>
      </c>
      <c r="R996" s="2">
        <v>42111</v>
      </c>
      <c r="S996" s="1">
        <v>224891</v>
      </c>
      <c r="U996" s="1">
        <v>1401</v>
      </c>
      <c r="V996" s="1" t="s">
        <v>10781</v>
      </c>
      <c r="W996" s="1" t="s">
        <v>1056</v>
      </c>
      <c r="X996" s="1" t="s">
        <v>10782</v>
      </c>
      <c r="Y996" s="1">
        <v>72</v>
      </c>
      <c r="Z996" s="1" t="s">
        <v>249</v>
      </c>
      <c r="AA996" s="1" t="s">
        <v>1538</v>
      </c>
      <c r="AB996" s="1">
        <v>60521</v>
      </c>
      <c r="AD996" s="1" t="s">
        <v>10783</v>
      </c>
      <c r="AE996" s="1" t="s">
        <v>10784</v>
      </c>
      <c r="AF996" s="1">
        <v>1977</v>
      </c>
      <c r="AG996" s="1" t="s">
        <v>213</v>
      </c>
      <c r="AH996" s="1" t="s">
        <v>1541</v>
      </c>
      <c r="AI996" s="1" t="s">
        <v>206</v>
      </c>
      <c r="AJ996" s="1" t="s">
        <v>1608</v>
      </c>
      <c r="AL996" s="1">
        <v>6</v>
      </c>
      <c r="AM996" s="1">
        <v>2</v>
      </c>
      <c r="AN996" s="1">
        <v>2</v>
      </c>
      <c r="AO996" s="1">
        <v>0</v>
      </c>
      <c r="AP996" s="1" t="s">
        <v>209</v>
      </c>
      <c r="AQ996" s="1">
        <v>1</v>
      </c>
      <c r="AR996" s="1" t="s">
        <v>210</v>
      </c>
      <c r="AS996" s="1" t="s">
        <v>204</v>
      </c>
      <c r="AT996" s="1" t="s">
        <v>211</v>
      </c>
      <c r="AU996" s="1">
        <v>2</v>
      </c>
      <c r="AW996" s="1" t="s">
        <v>204</v>
      </c>
      <c r="AX996" s="1" t="s">
        <v>270</v>
      </c>
      <c r="AZ996" s="1">
        <v>3885</v>
      </c>
      <c r="BA996" s="1">
        <v>2013</v>
      </c>
      <c r="BB996" s="1" t="s">
        <v>405</v>
      </c>
      <c r="BE996" s="1">
        <v>0</v>
      </c>
      <c r="BF996" s="1">
        <v>1</v>
      </c>
      <c r="BG996" s="1">
        <v>30</v>
      </c>
      <c r="BL996" s="1">
        <v>351</v>
      </c>
      <c r="BM996" s="1" t="s">
        <v>204</v>
      </c>
      <c r="BN996" s="1" t="s">
        <v>213</v>
      </c>
      <c r="BO996" s="1">
        <v>25</v>
      </c>
      <c r="BP996" s="1" t="s">
        <v>204</v>
      </c>
      <c r="BR996" s="1" t="str">
        <f>"0636407103"</f>
        <v>0636407103</v>
      </c>
      <c r="BT996" s="1" t="s">
        <v>10785</v>
      </c>
      <c r="BX996" s="1">
        <v>181</v>
      </c>
      <c r="BY996" s="1">
        <v>181</v>
      </c>
      <c r="BZ996" s="1">
        <v>86</v>
      </c>
      <c r="CB996" s="1" t="str">
        <f t="shared" ref="CB996:CC996" si="765">"0"</f>
        <v>0</v>
      </c>
      <c r="CC996" s="1" t="str">
        <f t="shared" si="765"/>
        <v>0</v>
      </c>
      <c r="CD996" s="1">
        <v>15</v>
      </c>
      <c r="CE996" s="1">
        <v>3</v>
      </c>
      <c r="CG996" s="1" t="s">
        <v>10786</v>
      </c>
      <c r="CH996" s="1" t="s">
        <v>219</v>
      </c>
      <c r="CI996" s="1" t="s">
        <v>438</v>
      </c>
      <c r="CJ996" s="1" t="s">
        <v>439</v>
      </c>
      <c r="CK996" s="1" t="s">
        <v>908</v>
      </c>
      <c r="CL996" s="1" t="s">
        <v>219</v>
      </c>
      <c r="CM996" s="1" t="s">
        <v>438</v>
      </c>
      <c r="CO996" s="1" t="s">
        <v>564</v>
      </c>
      <c r="CP996" s="1" t="s">
        <v>219</v>
      </c>
      <c r="CQ996" s="1" t="s">
        <v>438</v>
      </c>
      <c r="CR996" s="1" t="s">
        <v>439</v>
      </c>
      <c r="CS996" s="1" t="s">
        <v>344</v>
      </c>
      <c r="CT996" s="1" t="s">
        <v>219</v>
      </c>
      <c r="CU996" s="1" t="s">
        <v>438</v>
      </c>
      <c r="CX996" s="1" t="s">
        <v>224</v>
      </c>
      <c r="DB996" s="1" t="s">
        <v>224</v>
      </c>
      <c r="DE996" s="1" t="s">
        <v>539</v>
      </c>
      <c r="DF996" s="1" t="s">
        <v>219</v>
      </c>
      <c r="DG996" s="1" t="s">
        <v>438</v>
      </c>
      <c r="DH996" s="1" t="s">
        <v>439</v>
      </c>
      <c r="DJ996" s="1" t="s">
        <v>224</v>
      </c>
      <c r="DM996" s="1" t="s">
        <v>709</v>
      </c>
      <c r="DN996" s="1" t="s">
        <v>1548</v>
      </c>
      <c r="DR996" s="1" t="s">
        <v>1774</v>
      </c>
      <c r="DS996" s="1" t="s">
        <v>219</v>
      </c>
      <c r="DV996" s="1" t="s">
        <v>2356</v>
      </c>
      <c r="DW996" s="1" t="s">
        <v>219</v>
      </c>
      <c r="DX996" s="1" t="s">
        <v>438</v>
      </c>
      <c r="DY996" s="1" t="s">
        <v>439</v>
      </c>
      <c r="EA996" s="1" t="s">
        <v>230</v>
      </c>
      <c r="EE996" s="1" t="s">
        <v>230</v>
      </c>
      <c r="EI996" s="1" t="s">
        <v>230</v>
      </c>
      <c r="EL996" s="1" t="s">
        <v>231</v>
      </c>
      <c r="EM996" s="1" t="s">
        <v>232</v>
      </c>
      <c r="EN996" s="1" t="s">
        <v>282</v>
      </c>
      <c r="EO996" s="1" t="s">
        <v>840</v>
      </c>
      <c r="EP996" s="1" t="s">
        <v>10787</v>
      </c>
      <c r="EQ996" s="1" t="s">
        <v>236</v>
      </c>
      <c r="ER996" s="1" t="s">
        <v>210</v>
      </c>
      <c r="ES996" s="1" t="s">
        <v>3850</v>
      </c>
      <c r="ET996" s="1" t="s">
        <v>1201</v>
      </c>
      <c r="EU996" s="1" t="s">
        <v>239</v>
      </c>
      <c r="EV996" s="1" t="s">
        <v>324</v>
      </c>
      <c r="EW996" s="1" t="s">
        <v>10788</v>
      </c>
      <c r="EZ996" s="1" t="s">
        <v>10789</v>
      </c>
      <c r="FA996" s="1" t="s">
        <v>4742</v>
      </c>
      <c r="FB996" s="1" t="s">
        <v>1755</v>
      </c>
      <c r="FC996" s="1" t="s">
        <v>326</v>
      </c>
      <c r="FD996" s="1" t="s">
        <v>246</v>
      </c>
      <c r="FE996" s="1" t="s">
        <v>549</v>
      </c>
      <c r="FF996" s="1" t="s">
        <v>248</v>
      </c>
      <c r="FG996" s="1" t="s">
        <v>871</v>
      </c>
      <c r="FH996" s="1" t="s">
        <v>249</v>
      </c>
      <c r="FI996" s="1" t="s">
        <v>6608</v>
      </c>
      <c r="FL996" s="1" t="s">
        <v>2869</v>
      </c>
      <c r="FM996" s="1" t="s">
        <v>252</v>
      </c>
      <c r="FN996" s="1" t="s">
        <v>213</v>
      </c>
      <c r="FO996" s="1" t="s">
        <v>213</v>
      </c>
      <c r="FQ996" s="1" t="s">
        <v>2293</v>
      </c>
      <c r="FR996" s="1" t="s">
        <v>210</v>
      </c>
      <c r="FS996" s="1" t="s">
        <v>10790</v>
      </c>
      <c r="FT996" s="1" t="s">
        <v>295</v>
      </c>
      <c r="FU996" s="1" t="s">
        <v>204</v>
      </c>
      <c r="FW996" s="1" t="s">
        <v>6737</v>
      </c>
      <c r="FX996" s="1">
        <v>10646</v>
      </c>
      <c r="FY996" s="1" t="s">
        <v>6738</v>
      </c>
      <c r="FZ996" s="1" t="s">
        <v>10791</v>
      </c>
      <c r="GA996" s="1">
        <v>187504</v>
      </c>
      <c r="GB996" s="1" t="s">
        <v>10792</v>
      </c>
      <c r="GE996" s="1" t="s">
        <v>1226</v>
      </c>
      <c r="GI996" s="1" t="s">
        <v>213</v>
      </c>
      <c r="GJ996" s="1" t="s">
        <v>260</v>
      </c>
      <c r="GK996" s="1" t="s">
        <v>210</v>
      </c>
      <c r="GL996" s="2">
        <v>42115</v>
      </c>
    </row>
    <row r="997" spans="1:195">
      <c r="A997" s="1">
        <v>127000</v>
      </c>
      <c r="B997" s="1" t="s">
        <v>195</v>
      </c>
      <c r="C997" s="1" t="str">
        <f>"08642948"</f>
        <v>08642948</v>
      </c>
      <c r="D997" s="1" t="s">
        <v>196</v>
      </c>
      <c r="F997" s="1" t="str">
        <f>"30"</f>
        <v>30</v>
      </c>
      <c r="G997" s="2">
        <v>41802</v>
      </c>
      <c r="H997" s="1">
        <v>152500</v>
      </c>
      <c r="I997" s="1">
        <v>129900</v>
      </c>
      <c r="J997" s="1">
        <v>127000</v>
      </c>
      <c r="K997" s="2">
        <v>41801</v>
      </c>
      <c r="L997" s="1">
        <v>114</v>
      </c>
      <c r="M997" s="2">
        <v>41914</v>
      </c>
      <c r="N997" s="1">
        <v>114</v>
      </c>
      <c r="O997" s="2">
        <v>41914</v>
      </c>
      <c r="P997" s="1">
        <v>1886</v>
      </c>
      <c r="Q997" s="1" t="s">
        <v>197</v>
      </c>
      <c r="R997" s="2">
        <v>41971</v>
      </c>
      <c r="S997" s="1">
        <v>922110</v>
      </c>
      <c r="T997" s="1">
        <v>3500</v>
      </c>
      <c r="U997" s="1">
        <v>333</v>
      </c>
      <c r="V997" s="1" t="s">
        <v>7904</v>
      </c>
      <c r="W997" s="1" t="s">
        <v>264</v>
      </c>
      <c r="Y997" s="1">
        <v>6</v>
      </c>
      <c r="Z997" s="1" t="s">
        <v>370</v>
      </c>
      <c r="AA997" s="1" t="s">
        <v>1628</v>
      </c>
      <c r="AB997" s="1">
        <v>60030</v>
      </c>
      <c r="AE997" s="1" t="s">
        <v>10793</v>
      </c>
      <c r="AF997" s="1">
        <v>2002</v>
      </c>
      <c r="AG997" s="1" t="s">
        <v>204</v>
      </c>
      <c r="AH997" s="1" t="s">
        <v>1630</v>
      </c>
      <c r="AI997" s="1" t="s">
        <v>509</v>
      </c>
      <c r="AJ997" s="1" t="s">
        <v>1263</v>
      </c>
      <c r="AL997" s="1">
        <v>6</v>
      </c>
      <c r="AM997" s="1">
        <v>2</v>
      </c>
      <c r="AN997" s="1">
        <v>2</v>
      </c>
      <c r="AO997" s="1">
        <v>1</v>
      </c>
      <c r="AP997" s="1" t="s">
        <v>209</v>
      </c>
      <c r="AR997" s="1" t="s">
        <v>210</v>
      </c>
      <c r="AS997" s="1" t="s">
        <v>204</v>
      </c>
      <c r="AT997" s="1" t="s">
        <v>211</v>
      </c>
      <c r="AU997" s="1">
        <v>2</v>
      </c>
      <c r="AW997" s="1" t="s">
        <v>204</v>
      </c>
      <c r="AX997" s="1" t="s">
        <v>212</v>
      </c>
      <c r="AZ997" s="1">
        <v>4880</v>
      </c>
      <c r="BA997" s="1">
        <v>2012</v>
      </c>
      <c r="BE997" s="1">
        <v>1674</v>
      </c>
      <c r="BF997" s="1">
        <v>1</v>
      </c>
      <c r="BG997" s="1">
        <v>0</v>
      </c>
      <c r="BL997" s="1">
        <v>221</v>
      </c>
      <c r="BM997" s="1" t="s">
        <v>213</v>
      </c>
      <c r="BN997" s="1" t="s">
        <v>213</v>
      </c>
      <c r="BO997" s="1">
        <v>0</v>
      </c>
      <c r="BP997" s="1" t="s">
        <v>204</v>
      </c>
      <c r="BR997" s="1" t="str">
        <f>"06282110220000"</f>
        <v>06282110220000</v>
      </c>
      <c r="BT997" s="1" t="s">
        <v>10794</v>
      </c>
      <c r="BX997" s="1">
        <v>46</v>
      </c>
      <c r="BY997" s="1">
        <v>46</v>
      </c>
      <c r="BZ997" s="1">
        <v>127</v>
      </c>
      <c r="CB997" s="1" t="str">
        <f t="shared" ref="CB997:CC997" si="766">""</f>
        <v/>
      </c>
      <c r="CC997" s="1" t="str">
        <f t="shared" si="766"/>
        <v/>
      </c>
      <c r="CG997" s="1" t="s">
        <v>5897</v>
      </c>
      <c r="CH997" s="1" t="s">
        <v>219</v>
      </c>
      <c r="CK997" s="1" t="s">
        <v>539</v>
      </c>
      <c r="CL997" s="1" t="s">
        <v>277</v>
      </c>
      <c r="CO997" s="1" t="s">
        <v>1046</v>
      </c>
      <c r="CP997" s="1" t="s">
        <v>219</v>
      </c>
      <c r="CS997" s="1" t="s">
        <v>346</v>
      </c>
      <c r="CT997" s="1" t="s">
        <v>277</v>
      </c>
      <c r="CX997" s="1" t="s">
        <v>224</v>
      </c>
      <c r="DB997" s="1" t="s">
        <v>224</v>
      </c>
      <c r="DE997" s="1" t="s">
        <v>2138</v>
      </c>
      <c r="DF997" s="1" t="s">
        <v>219</v>
      </c>
      <c r="DJ997" s="1" t="s">
        <v>224</v>
      </c>
      <c r="DM997" s="1" t="s">
        <v>464</v>
      </c>
      <c r="DR997" s="1" t="s">
        <v>461</v>
      </c>
      <c r="DS997" s="1" t="s">
        <v>277</v>
      </c>
      <c r="DW997" s="1" t="s">
        <v>230</v>
      </c>
      <c r="EA997" s="1" t="s">
        <v>230</v>
      </c>
      <c r="EE997" s="1" t="s">
        <v>230</v>
      </c>
      <c r="EI997" s="1" t="s">
        <v>230</v>
      </c>
      <c r="EL997" s="1" t="s">
        <v>466</v>
      </c>
      <c r="EM997" s="1" t="s">
        <v>319</v>
      </c>
      <c r="EN997" s="1" t="s">
        <v>282</v>
      </c>
      <c r="EO997" s="1" t="s">
        <v>234</v>
      </c>
      <c r="ER997" s="1" t="s">
        <v>210</v>
      </c>
      <c r="EW997" s="1" t="s">
        <v>7478</v>
      </c>
      <c r="EZ997" s="1" t="s">
        <v>464</v>
      </c>
      <c r="FD997" s="1" t="s">
        <v>246</v>
      </c>
      <c r="FE997" s="1" t="s">
        <v>975</v>
      </c>
      <c r="FF997" s="1" t="s">
        <v>248</v>
      </c>
      <c r="FH997" s="1" t="s">
        <v>550</v>
      </c>
      <c r="FL997" s="1" t="s">
        <v>358</v>
      </c>
      <c r="FM997" s="1" t="s">
        <v>252</v>
      </c>
      <c r="FN997" s="1" t="s">
        <v>213</v>
      </c>
      <c r="FO997" s="1" t="s">
        <v>213</v>
      </c>
      <c r="FQ997" s="1" t="s">
        <v>582</v>
      </c>
      <c r="FR997" s="1" t="s">
        <v>210</v>
      </c>
      <c r="FS997" s="1" t="s">
        <v>1805</v>
      </c>
      <c r="FT997" s="1" t="s">
        <v>584</v>
      </c>
      <c r="FU997" s="1" t="s">
        <v>204</v>
      </c>
      <c r="FW997" s="1" t="s">
        <v>1806</v>
      </c>
      <c r="FX997" s="1">
        <v>25196</v>
      </c>
      <c r="FY997" s="1" t="s">
        <v>1807</v>
      </c>
      <c r="FZ997" s="1" t="s">
        <v>1808</v>
      </c>
      <c r="GA997" s="1">
        <v>214545</v>
      </c>
      <c r="GB997" s="1" t="s">
        <v>1807</v>
      </c>
      <c r="GC997" s="1">
        <v>240114</v>
      </c>
      <c r="GE997" s="1" t="s">
        <v>480</v>
      </c>
      <c r="GI997" s="1" t="s">
        <v>213</v>
      </c>
      <c r="GJ997" s="1" t="s">
        <v>260</v>
      </c>
      <c r="GK997" s="1" t="s">
        <v>210</v>
      </c>
      <c r="GL997" s="2">
        <v>41975</v>
      </c>
      <c r="GM997" s="1" t="s">
        <v>10795</v>
      </c>
    </row>
    <row r="998" spans="1:195">
      <c r="A998" s="1">
        <v>92700</v>
      </c>
      <c r="B998" s="1" t="s">
        <v>195</v>
      </c>
      <c r="C998" s="1" t="str">
        <f>"08643166"</f>
        <v>08643166</v>
      </c>
      <c r="D998" s="1" t="s">
        <v>196</v>
      </c>
      <c r="F998" s="1" t="str">
        <f>"515"</f>
        <v>515</v>
      </c>
      <c r="G998" s="2">
        <v>41802</v>
      </c>
      <c r="H998" s="1">
        <v>95000</v>
      </c>
      <c r="I998" s="1">
        <v>95000</v>
      </c>
      <c r="J998" s="1">
        <v>92700</v>
      </c>
      <c r="K998" s="2">
        <v>41802</v>
      </c>
      <c r="L998" s="1">
        <v>1150</v>
      </c>
      <c r="M998" s="2">
        <v>42045</v>
      </c>
      <c r="N998" s="1">
        <v>244</v>
      </c>
      <c r="O998" s="2">
        <v>42045</v>
      </c>
      <c r="P998" s="1">
        <v>22232</v>
      </c>
      <c r="Q998" s="1" t="s">
        <v>197</v>
      </c>
      <c r="R998" s="2">
        <v>42089</v>
      </c>
      <c r="S998" s="1">
        <v>231144</v>
      </c>
      <c r="U998" s="1">
        <v>2900</v>
      </c>
      <c r="V998" s="1" t="s">
        <v>3963</v>
      </c>
      <c r="W998" s="1" t="s">
        <v>425</v>
      </c>
      <c r="X998" s="1" t="s">
        <v>10796</v>
      </c>
      <c r="Y998" s="1">
        <v>125</v>
      </c>
      <c r="Z998" s="1" t="s">
        <v>249</v>
      </c>
      <c r="AA998" s="1" t="s">
        <v>1294</v>
      </c>
      <c r="AB998" s="1">
        <v>60515</v>
      </c>
      <c r="AD998" s="1" t="s">
        <v>10797</v>
      </c>
      <c r="AE998" s="1" t="s">
        <v>10798</v>
      </c>
      <c r="AF998" s="1">
        <v>1969</v>
      </c>
      <c r="AG998" s="1" t="s">
        <v>213</v>
      </c>
      <c r="AH998" s="1" t="s">
        <v>903</v>
      </c>
      <c r="AI998" s="1" t="s">
        <v>206</v>
      </c>
      <c r="AJ998" s="1" t="s">
        <v>925</v>
      </c>
      <c r="AK998" s="1" t="s">
        <v>10799</v>
      </c>
      <c r="AL998" s="1">
        <v>5</v>
      </c>
      <c r="AM998" s="1">
        <v>2</v>
      </c>
      <c r="AN998" s="1">
        <v>1</v>
      </c>
      <c r="AO998" s="1">
        <v>0</v>
      </c>
      <c r="AP998" s="1" t="s">
        <v>210</v>
      </c>
      <c r="AR998" s="1" t="s">
        <v>210</v>
      </c>
      <c r="AS998" s="1" t="s">
        <v>204</v>
      </c>
      <c r="AT998" s="1" t="s">
        <v>271</v>
      </c>
      <c r="AV998" s="1">
        <v>2</v>
      </c>
      <c r="AW998" s="1" t="s">
        <v>204</v>
      </c>
      <c r="AX998" s="1" t="s">
        <v>212</v>
      </c>
      <c r="AZ998" s="1">
        <v>948</v>
      </c>
      <c r="BA998" s="1">
        <v>2013</v>
      </c>
      <c r="BB998" s="1" t="s">
        <v>405</v>
      </c>
      <c r="BE998" s="1">
        <v>883</v>
      </c>
      <c r="BF998" s="1">
        <v>3</v>
      </c>
      <c r="BG998" s="1">
        <v>30</v>
      </c>
      <c r="BJ998" s="1">
        <v>100</v>
      </c>
      <c r="BL998" s="1">
        <v>152</v>
      </c>
      <c r="BM998" s="1" t="s">
        <v>204</v>
      </c>
      <c r="BN998" s="1" t="s">
        <v>204</v>
      </c>
      <c r="BP998" s="1" t="s">
        <v>204</v>
      </c>
      <c r="BR998" s="1" t="str">
        <f>"0811413073"</f>
        <v>0811413073</v>
      </c>
      <c r="BT998" s="1" t="s">
        <v>10800</v>
      </c>
      <c r="BU998" s="1" t="s">
        <v>5789</v>
      </c>
      <c r="BV998" s="1" t="s">
        <v>5790</v>
      </c>
      <c r="BW998" s="1" t="s">
        <v>5791</v>
      </c>
      <c r="BX998" s="1">
        <v>202</v>
      </c>
      <c r="BY998" s="1">
        <v>202</v>
      </c>
      <c r="BZ998" s="1">
        <v>202</v>
      </c>
      <c r="CB998" s="1" t="str">
        <f t="shared" ref="CB998:CC998" si="767">""</f>
        <v/>
      </c>
      <c r="CC998" s="1" t="str">
        <f t="shared" si="767"/>
        <v/>
      </c>
      <c r="CD998" s="1">
        <v>21</v>
      </c>
      <c r="CE998" s="1">
        <v>5</v>
      </c>
      <c r="CG998" s="1" t="s">
        <v>1045</v>
      </c>
      <c r="CH998" s="1" t="s">
        <v>219</v>
      </c>
      <c r="CI998" s="1" t="s">
        <v>220</v>
      </c>
      <c r="CJ998" s="1" t="s">
        <v>343</v>
      </c>
      <c r="CK998" s="1" t="s">
        <v>315</v>
      </c>
      <c r="CL998" s="1" t="s">
        <v>219</v>
      </c>
      <c r="CM998" s="1" t="s">
        <v>220</v>
      </c>
      <c r="CO998" s="1" t="s">
        <v>348</v>
      </c>
      <c r="CP998" s="1" t="s">
        <v>219</v>
      </c>
      <c r="CQ998" s="1" t="s">
        <v>229</v>
      </c>
      <c r="CS998" s="1" t="s">
        <v>1358</v>
      </c>
      <c r="CT998" s="1" t="s">
        <v>219</v>
      </c>
      <c r="CU998" s="1" t="s">
        <v>220</v>
      </c>
      <c r="CV998" s="1" t="s">
        <v>343</v>
      </c>
      <c r="CX998" s="1" t="s">
        <v>224</v>
      </c>
      <c r="DB998" s="1" t="s">
        <v>224</v>
      </c>
      <c r="DE998" s="1" t="s">
        <v>316</v>
      </c>
      <c r="DF998" s="1" t="s">
        <v>219</v>
      </c>
      <c r="DG998" s="1" t="s">
        <v>229</v>
      </c>
      <c r="DH998" s="1" t="s">
        <v>210</v>
      </c>
      <c r="DJ998" s="1" t="s">
        <v>224</v>
      </c>
      <c r="DS998" s="1" t="s">
        <v>230</v>
      </c>
      <c r="DW998" s="1" t="s">
        <v>230</v>
      </c>
      <c r="EA998" s="1" t="s">
        <v>230</v>
      </c>
      <c r="EE998" s="1" t="s">
        <v>230</v>
      </c>
      <c r="EI998" s="1" t="s">
        <v>230</v>
      </c>
      <c r="EL998" s="1" t="s">
        <v>605</v>
      </c>
      <c r="EM998" s="1" t="s">
        <v>232</v>
      </c>
      <c r="EN998" s="1" t="s">
        <v>282</v>
      </c>
      <c r="EO998" s="1" t="s">
        <v>234</v>
      </c>
      <c r="EP998" s="1" t="s">
        <v>10801</v>
      </c>
      <c r="ER998" s="1" t="s">
        <v>210</v>
      </c>
      <c r="ET998" s="1" t="s">
        <v>609</v>
      </c>
      <c r="EU998" s="1" t="s">
        <v>239</v>
      </c>
      <c r="EW998" s="1" t="s">
        <v>10802</v>
      </c>
      <c r="EZ998" s="1" t="s">
        <v>287</v>
      </c>
      <c r="FB998" s="1" t="s">
        <v>734</v>
      </c>
      <c r="FC998" s="1" t="s">
        <v>326</v>
      </c>
      <c r="FD998" s="1" t="s">
        <v>1112</v>
      </c>
      <c r="FE998" s="1" t="s">
        <v>247</v>
      </c>
      <c r="FF998" s="1" t="s">
        <v>248</v>
      </c>
      <c r="FH998" s="1" t="s">
        <v>249</v>
      </c>
      <c r="FK998" s="1" t="s">
        <v>891</v>
      </c>
      <c r="FL998" s="1" t="s">
        <v>414</v>
      </c>
      <c r="FM998" s="1" t="s">
        <v>252</v>
      </c>
      <c r="FN998" s="1" t="s">
        <v>213</v>
      </c>
      <c r="FO998" s="1" t="s">
        <v>213</v>
      </c>
      <c r="FQ998" s="1" t="s">
        <v>10803</v>
      </c>
      <c r="FR998" s="1" t="s">
        <v>210</v>
      </c>
      <c r="FS998" s="1" t="s">
        <v>10804</v>
      </c>
      <c r="FT998" s="1" t="s">
        <v>295</v>
      </c>
      <c r="FU998" s="1" t="s">
        <v>204</v>
      </c>
      <c r="FW998" s="1" t="s">
        <v>3116</v>
      </c>
      <c r="FX998" s="1">
        <v>21823</v>
      </c>
      <c r="FY998" s="1" t="s">
        <v>3117</v>
      </c>
      <c r="FZ998" s="1" t="s">
        <v>10805</v>
      </c>
      <c r="GA998" s="1">
        <v>221114</v>
      </c>
      <c r="GB998" s="1" t="s">
        <v>10806</v>
      </c>
      <c r="GE998" s="1" t="s">
        <v>623</v>
      </c>
      <c r="GI998" s="1" t="s">
        <v>213</v>
      </c>
      <c r="GJ998" s="1" t="s">
        <v>260</v>
      </c>
      <c r="GK998" s="1" t="s">
        <v>210</v>
      </c>
      <c r="GL998" s="2">
        <v>42089</v>
      </c>
      <c r="GM998" s="1" t="s">
        <v>10807</v>
      </c>
    </row>
    <row r="999" spans="1:195">
      <c r="A999" s="1">
        <v>120000</v>
      </c>
      <c r="B999" s="1" t="s">
        <v>195</v>
      </c>
      <c r="C999" s="1" t="str">
        <f>"08644380"</f>
        <v>08644380</v>
      </c>
      <c r="D999" s="1" t="s">
        <v>196</v>
      </c>
      <c r="F999" s="1" t="str">
        <f>"123"</f>
        <v>123</v>
      </c>
      <c r="G999" s="2">
        <v>41803</v>
      </c>
      <c r="H999" s="1">
        <v>125000</v>
      </c>
      <c r="I999" s="1">
        <v>115000</v>
      </c>
      <c r="J999" s="1">
        <v>120000</v>
      </c>
      <c r="K999" s="2">
        <v>41803</v>
      </c>
      <c r="L999" s="1">
        <v>143</v>
      </c>
      <c r="M999" s="2">
        <v>41945</v>
      </c>
      <c r="N999" s="1">
        <v>143</v>
      </c>
      <c r="O999" s="2">
        <v>41945</v>
      </c>
      <c r="P999" s="1">
        <v>7220</v>
      </c>
      <c r="Q999" s="1" t="s">
        <v>197</v>
      </c>
      <c r="R999" s="2">
        <v>41985</v>
      </c>
      <c r="S999" s="1">
        <v>77038</v>
      </c>
      <c r="U999" s="1">
        <v>811</v>
      </c>
      <c r="V999" s="1" t="s">
        <v>10808</v>
      </c>
      <c r="W999" s="1" t="s">
        <v>264</v>
      </c>
      <c r="Y999" s="1">
        <v>4</v>
      </c>
      <c r="Z999" s="1" t="s">
        <v>200</v>
      </c>
      <c r="AA999" s="1" t="s">
        <v>1173</v>
      </c>
      <c r="AB999" s="1">
        <v>60123</v>
      </c>
      <c r="AE999" s="1" t="s">
        <v>10809</v>
      </c>
      <c r="AF999" s="1">
        <v>1997</v>
      </c>
      <c r="AG999" s="1" t="s">
        <v>204</v>
      </c>
      <c r="AH999" s="1" t="s">
        <v>1175</v>
      </c>
      <c r="AI999" s="1" t="s">
        <v>665</v>
      </c>
      <c r="AJ999" s="1" t="s">
        <v>1175</v>
      </c>
      <c r="AL999" s="1">
        <v>6</v>
      </c>
      <c r="AM999" s="1">
        <v>2</v>
      </c>
      <c r="AN999" s="1">
        <v>2</v>
      </c>
      <c r="AO999" s="1">
        <v>1</v>
      </c>
      <c r="AP999" s="1" t="s">
        <v>209</v>
      </c>
      <c r="AR999" s="1" t="s">
        <v>210</v>
      </c>
      <c r="AS999" s="1" t="s">
        <v>204</v>
      </c>
      <c r="AT999" s="1" t="s">
        <v>211</v>
      </c>
      <c r="AU999" s="1">
        <v>2</v>
      </c>
      <c r="AW999" s="1" t="s">
        <v>204</v>
      </c>
      <c r="AX999" s="1" t="s">
        <v>212</v>
      </c>
      <c r="AZ999" s="1">
        <v>4407</v>
      </c>
      <c r="BA999" s="1">
        <v>2012</v>
      </c>
      <c r="BE999" s="1">
        <v>1400</v>
      </c>
      <c r="BF999" s="1">
        <v>1</v>
      </c>
      <c r="BG999" s="1">
        <v>1</v>
      </c>
      <c r="BL999" s="1">
        <v>185</v>
      </c>
      <c r="BM999" s="1" t="s">
        <v>204</v>
      </c>
      <c r="BN999" s="1" t="s">
        <v>213</v>
      </c>
      <c r="BO999" s="1">
        <v>30</v>
      </c>
      <c r="BP999" s="1" t="s">
        <v>204</v>
      </c>
      <c r="BR999" s="1" t="str">
        <f>"0628127055"</f>
        <v>0628127055</v>
      </c>
      <c r="BT999" s="1" t="s">
        <v>10810</v>
      </c>
      <c r="BX999" s="1">
        <v>46</v>
      </c>
      <c r="BY999" s="1">
        <v>46</v>
      </c>
      <c r="BZ999" s="1">
        <v>46</v>
      </c>
      <c r="CB999" s="1" t="str">
        <f t="shared" ref="CB999:CC999" si="768">""</f>
        <v/>
      </c>
      <c r="CC999" s="1" t="str">
        <f t="shared" si="768"/>
        <v/>
      </c>
      <c r="CG999" s="1" t="s">
        <v>2042</v>
      </c>
      <c r="CH999" s="1" t="s">
        <v>219</v>
      </c>
      <c r="CI999" s="1" t="s">
        <v>220</v>
      </c>
      <c r="CK999" s="1" t="s">
        <v>538</v>
      </c>
      <c r="CL999" s="1" t="s">
        <v>277</v>
      </c>
      <c r="CM999" s="1" t="s">
        <v>220</v>
      </c>
      <c r="CO999" s="1" t="s">
        <v>516</v>
      </c>
      <c r="CP999" s="1" t="s">
        <v>219</v>
      </c>
      <c r="CQ999" s="1" t="s">
        <v>220</v>
      </c>
      <c r="CS999" s="1" t="s">
        <v>1046</v>
      </c>
      <c r="CT999" s="1" t="s">
        <v>219</v>
      </c>
      <c r="CU999" s="1" t="s">
        <v>220</v>
      </c>
      <c r="DE999" s="1" t="s">
        <v>281</v>
      </c>
      <c r="DF999" s="1" t="s">
        <v>219</v>
      </c>
      <c r="DG999" s="1" t="s">
        <v>342</v>
      </c>
      <c r="DJ999" s="1" t="s">
        <v>224</v>
      </c>
      <c r="DM999" s="1" t="s">
        <v>464</v>
      </c>
      <c r="DR999" s="1" t="s">
        <v>757</v>
      </c>
      <c r="DS999" s="1" t="s">
        <v>277</v>
      </c>
      <c r="DT999" s="1" t="s">
        <v>220</v>
      </c>
      <c r="DW999" s="1" t="s">
        <v>230</v>
      </c>
      <c r="EA999" s="1" t="s">
        <v>230</v>
      </c>
      <c r="EE999" s="1" t="s">
        <v>230</v>
      </c>
      <c r="EI999" s="1" t="s">
        <v>230</v>
      </c>
      <c r="EL999" s="1" t="s">
        <v>670</v>
      </c>
      <c r="EM999" s="1" t="s">
        <v>319</v>
      </c>
      <c r="EN999" s="1" t="s">
        <v>282</v>
      </c>
      <c r="EO999" s="1" t="s">
        <v>1020</v>
      </c>
      <c r="ER999" s="1" t="s">
        <v>210</v>
      </c>
      <c r="EW999" s="1" t="s">
        <v>3471</v>
      </c>
      <c r="EZ999" s="1" t="s">
        <v>464</v>
      </c>
      <c r="FD999" s="1" t="s">
        <v>246</v>
      </c>
      <c r="FE999" s="1" t="s">
        <v>472</v>
      </c>
      <c r="FF999" s="1" t="s">
        <v>248</v>
      </c>
      <c r="FH999" s="1" t="s">
        <v>550</v>
      </c>
      <c r="FL999" s="1" t="s">
        <v>810</v>
      </c>
      <c r="FM999" s="1" t="s">
        <v>252</v>
      </c>
      <c r="FN999" s="1" t="s">
        <v>213</v>
      </c>
      <c r="FO999" s="1" t="s">
        <v>213</v>
      </c>
      <c r="FQ999" s="1" t="s">
        <v>849</v>
      </c>
      <c r="FR999" s="1" t="s">
        <v>210</v>
      </c>
      <c r="FS999" s="1" t="s">
        <v>6852</v>
      </c>
      <c r="FT999" s="1" t="s">
        <v>255</v>
      </c>
      <c r="FU999" s="1" t="s">
        <v>204</v>
      </c>
      <c r="FW999" s="1" t="s">
        <v>6853</v>
      </c>
      <c r="FX999" s="1">
        <v>25189</v>
      </c>
      <c r="FY999" s="1" t="s">
        <v>6854</v>
      </c>
      <c r="FZ999" s="1" t="s">
        <v>6855</v>
      </c>
      <c r="GA999" s="1">
        <v>217663</v>
      </c>
      <c r="GB999" s="1" t="s">
        <v>6854</v>
      </c>
      <c r="GD999" s="1" t="s">
        <v>6856</v>
      </c>
      <c r="GE999" s="1" t="s">
        <v>210</v>
      </c>
      <c r="GI999" s="1" t="s">
        <v>213</v>
      </c>
      <c r="GJ999" s="1" t="s">
        <v>260</v>
      </c>
      <c r="GK999" s="1" t="s">
        <v>210</v>
      </c>
      <c r="GL999" s="2">
        <v>41989</v>
      </c>
      <c r="GM999" s="1" t="s">
        <v>10811</v>
      </c>
    </row>
    <row r="1000" spans="1:195">
      <c r="A1000" s="1">
        <v>117000</v>
      </c>
      <c r="B1000" s="1" t="s">
        <v>195</v>
      </c>
      <c r="C1000" s="1" t="str">
        <f>"08636308"</f>
        <v>08636308</v>
      </c>
      <c r="D1000" s="1" t="s">
        <v>196</v>
      </c>
      <c r="F1000" s="1" t="str">
        <f>"560"</f>
        <v>560</v>
      </c>
      <c r="G1000" s="2">
        <v>41795</v>
      </c>
      <c r="H1000" s="1">
        <v>135900</v>
      </c>
      <c r="I1000" s="1">
        <v>118000</v>
      </c>
      <c r="J1000" s="1">
        <v>117000</v>
      </c>
      <c r="K1000" s="2">
        <v>41795</v>
      </c>
      <c r="L1000" s="1">
        <v>210</v>
      </c>
      <c r="M1000" s="2">
        <v>42004</v>
      </c>
      <c r="N1000" s="1">
        <v>210</v>
      </c>
      <c r="O1000" s="2">
        <v>42004</v>
      </c>
      <c r="P1000" s="1">
        <v>22588</v>
      </c>
      <c r="Q1000" s="1" t="s">
        <v>1393</v>
      </c>
      <c r="R1000" s="2">
        <v>42108</v>
      </c>
      <c r="S1000" s="1">
        <v>225498</v>
      </c>
      <c r="U1000" s="1">
        <v>3785</v>
      </c>
      <c r="V1000" s="1" t="s">
        <v>10812</v>
      </c>
      <c r="W1000" s="1" t="s">
        <v>1056</v>
      </c>
      <c r="Y1000" s="1">
        <v>4</v>
      </c>
      <c r="Z1000" s="1" t="s">
        <v>370</v>
      </c>
      <c r="AA1000" s="1" t="s">
        <v>484</v>
      </c>
      <c r="AB1000" s="1">
        <v>60560</v>
      </c>
      <c r="AE1000" s="1" t="s">
        <v>10813</v>
      </c>
      <c r="AF1000" s="1">
        <v>2007</v>
      </c>
      <c r="AG1000" s="1" t="s">
        <v>204</v>
      </c>
      <c r="AH1000" s="1" t="s">
        <v>487</v>
      </c>
      <c r="AI1000" s="1" t="s">
        <v>453</v>
      </c>
      <c r="AJ1000" s="1" t="s">
        <v>454</v>
      </c>
      <c r="AK1000" s="1" t="s">
        <v>10814</v>
      </c>
      <c r="AL1000" s="1">
        <v>6</v>
      </c>
      <c r="AM1000" s="1">
        <v>2</v>
      </c>
      <c r="AN1000" s="1">
        <v>2</v>
      </c>
      <c r="AO1000" s="1">
        <v>1</v>
      </c>
      <c r="AP1000" s="1" t="s">
        <v>209</v>
      </c>
      <c r="AR1000" s="1" t="s">
        <v>1483</v>
      </c>
      <c r="AS1000" s="1" t="s">
        <v>204</v>
      </c>
      <c r="AT1000" s="1" t="s">
        <v>211</v>
      </c>
      <c r="AU1000" s="1">
        <v>2</v>
      </c>
      <c r="AW1000" s="1" t="s">
        <v>204</v>
      </c>
      <c r="AX1000" s="1" t="s">
        <v>212</v>
      </c>
      <c r="AZ1000" s="1">
        <v>3855</v>
      </c>
      <c r="BA1000" s="1">
        <v>2013</v>
      </c>
      <c r="BB1000" s="1" t="s">
        <v>405</v>
      </c>
      <c r="BE1000" s="1">
        <v>1487</v>
      </c>
      <c r="BF1000" s="1">
        <v>1</v>
      </c>
      <c r="BG1000" s="1">
        <v>1</v>
      </c>
      <c r="BL1000" s="1">
        <v>161</v>
      </c>
      <c r="BM1000" s="1" t="s">
        <v>413</v>
      </c>
      <c r="BN1000" s="1" t="s">
        <v>213</v>
      </c>
      <c r="BO1000" s="1">
        <v>999</v>
      </c>
      <c r="BP1000" s="1" t="s">
        <v>204</v>
      </c>
      <c r="BR1000" s="1" t="str">
        <f>"0211351043"</f>
        <v>0211351043</v>
      </c>
      <c r="BT1000" s="1" t="s">
        <v>10815</v>
      </c>
      <c r="BX1000" s="1">
        <v>115</v>
      </c>
      <c r="BY1000" s="1">
        <v>115</v>
      </c>
      <c r="BZ1000" s="1">
        <v>115</v>
      </c>
      <c r="CB1000" s="1" t="str">
        <f t="shared" ref="CB1000:CC1000" si="769">""</f>
        <v/>
      </c>
      <c r="CC1000" s="1" t="str">
        <f t="shared" si="769"/>
        <v/>
      </c>
      <c r="CG1000" s="1" t="s">
        <v>10816</v>
      </c>
      <c r="CH1000" s="1" t="s">
        <v>219</v>
      </c>
      <c r="CI1000" s="1" t="s">
        <v>229</v>
      </c>
      <c r="CJ1000" s="1" t="s">
        <v>343</v>
      </c>
      <c r="CK1000" s="1" t="s">
        <v>461</v>
      </c>
      <c r="CL1000" s="1" t="s">
        <v>277</v>
      </c>
      <c r="CM1000" s="1" t="s">
        <v>220</v>
      </c>
      <c r="CN1000" s="1" t="s">
        <v>343</v>
      </c>
      <c r="CP1000" s="1" t="s">
        <v>224</v>
      </c>
      <c r="CS1000" s="1" t="s">
        <v>1358</v>
      </c>
      <c r="CT1000" s="1" t="s">
        <v>277</v>
      </c>
      <c r="CU1000" s="1" t="s">
        <v>220</v>
      </c>
      <c r="CV1000" s="1" t="s">
        <v>343</v>
      </c>
      <c r="CX1000" s="1" t="s">
        <v>224</v>
      </c>
      <c r="DB1000" s="1" t="s">
        <v>224</v>
      </c>
      <c r="DE1000" s="1" t="s">
        <v>317</v>
      </c>
      <c r="DF1000" s="1" t="s">
        <v>219</v>
      </c>
      <c r="DG1000" s="1" t="s">
        <v>226</v>
      </c>
      <c r="DJ1000" s="1" t="s">
        <v>224</v>
      </c>
      <c r="DM1000" s="1" t="s">
        <v>381</v>
      </c>
      <c r="DN1000" s="1" t="s">
        <v>411</v>
      </c>
      <c r="DR1000" s="1" t="s">
        <v>2138</v>
      </c>
      <c r="DS1000" s="1" t="s">
        <v>219</v>
      </c>
      <c r="DT1000" s="1" t="s">
        <v>226</v>
      </c>
      <c r="DV1000" s="1" t="s">
        <v>1403</v>
      </c>
      <c r="DW1000" s="1" t="s">
        <v>43</v>
      </c>
      <c r="DX1000" s="1" t="s">
        <v>229</v>
      </c>
      <c r="DY1000" s="1" t="s">
        <v>343</v>
      </c>
      <c r="EA1000" s="1" t="s">
        <v>230</v>
      </c>
      <c r="EE1000" s="1" t="s">
        <v>230</v>
      </c>
      <c r="EI1000" s="1" t="s">
        <v>230</v>
      </c>
      <c r="EL1000" s="1" t="s">
        <v>491</v>
      </c>
      <c r="EM1000" s="1" t="s">
        <v>319</v>
      </c>
      <c r="EN1000" s="1" t="s">
        <v>282</v>
      </c>
      <c r="EO1000" s="1" t="s">
        <v>234</v>
      </c>
      <c r="EP1000" s="1" t="s">
        <v>650</v>
      </c>
      <c r="EQ1000" s="1" t="s">
        <v>953</v>
      </c>
      <c r="ER1000" s="1" t="s">
        <v>544</v>
      </c>
      <c r="ES1000" s="1" t="s">
        <v>824</v>
      </c>
      <c r="ET1000" s="1" t="s">
        <v>842</v>
      </c>
      <c r="EU1000" s="1" t="s">
        <v>8340</v>
      </c>
      <c r="EW1000" s="1" t="s">
        <v>887</v>
      </c>
      <c r="EZ1000" s="1" t="s">
        <v>10817</v>
      </c>
      <c r="FB1000" s="1" t="s">
        <v>289</v>
      </c>
      <c r="FD1000" s="1" t="s">
        <v>495</v>
      </c>
      <c r="FE1000" s="1" t="s">
        <v>975</v>
      </c>
      <c r="FF1000" s="1" t="s">
        <v>248</v>
      </c>
      <c r="FH1000" s="1" t="s">
        <v>550</v>
      </c>
      <c r="FI1000" s="1" t="s">
        <v>473</v>
      </c>
      <c r="FL1000" s="1" t="s">
        <v>358</v>
      </c>
      <c r="FM1000" s="1" t="s">
        <v>252</v>
      </c>
      <c r="FN1000" s="1" t="s">
        <v>213</v>
      </c>
      <c r="FO1000" s="1" t="s">
        <v>213</v>
      </c>
      <c r="FQ1000" s="1" t="s">
        <v>2091</v>
      </c>
      <c r="FR1000" s="1" t="s">
        <v>360</v>
      </c>
      <c r="FS1000" s="1" t="s">
        <v>5252</v>
      </c>
      <c r="FT1000" s="1" t="s">
        <v>295</v>
      </c>
      <c r="FU1000" s="1" t="s">
        <v>204</v>
      </c>
      <c r="FW1000" s="1" t="s">
        <v>813</v>
      </c>
      <c r="FX1000" s="1">
        <v>22588</v>
      </c>
      <c r="FY1000" s="1" t="s">
        <v>2685</v>
      </c>
      <c r="FZ1000" s="1" t="s">
        <v>10818</v>
      </c>
      <c r="GA1000" s="1">
        <v>230326</v>
      </c>
      <c r="GB1000" s="1" t="s">
        <v>10819</v>
      </c>
      <c r="GD1000" s="1" t="s">
        <v>10820</v>
      </c>
      <c r="GE1000" s="1" t="s">
        <v>480</v>
      </c>
      <c r="GI1000" s="1" t="s">
        <v>213</v>
      </c>
      <c r="GJ1000" s="1" t="s">
        <v>260</v>
      </c>
      <c r="GK1000" s="1" t="s">
        <v>210</v>
      </c>
      <c r="GL1000" s="2">
        <v>42108</v>
      </c>
      <c r="GM1000" s="1" t="s">
        <v>10821</v>
      </c>
    </row>
    <row r="1001" spans="1:195">
      <c r="A1001" s="1">
        <v>83500</v>
      </c>
      <c r="B1001" s="1" t="s">
        <v>195</v>
      </c>
      <c r="C1001" s="1" t="str">
        <f>"08637883"</f>
        <v>08637883</v>
      </c>
      <c r="D1001" s="1" t="s">
        <v>196</v>
      </c>
      <c r="F1001" s="1" t="str">
        <f>"8064"</f>
        <v>8064</v>
      </c>
      <c r="G1001" s="2">
        <v>41796</v>
      </c>
      <c r="H1001" s="1">
        <v>169900</v>
      </c>
      <c r="I1001" s="1">
        <v>99900</v>
      </c>
      <c r="J1001" s="1">
        <v>83500</v>
      </c>
      <c r="K1001" s="2">
        <v>41793</v>
      </c>
      <c r="L1001" s="1">
        <v>158</v>
      </c>
      <c r="M1001" s="2">
        <v>41950</v>
      </c>
      <c r="N1001" s="1">
        <v>158</v>
      </c>
      <c r="O1001" s="2">
        <v>41950</v>
      </c>
      <c r="P1001" s="1">
        <v>21933</v>
      </c>
      <c r="Q1001" s="1" t="s">
        <v>302</v>
      </c>
      <c r="R1001" s="2">
        <v>42030</v>
      </c>
      <c r="S1001" s="1">
        <v>236576</v>
      </c>
      <c r="U1001" s="1">
        <v>5652</v>
      </c>
      <c r="V1001" s="1" t="s">
        <v>4294</v>
      </c>
      <c r="W1001" s="1" t="s">
        <v>725</v>
      </c>
      <c r="X1001" s="1" t="s">
        <v>4923</v>
      </c>
      <c r="Y1001" s="1">
        <v>6</v>
      </c>
      <c r="Z1001" s="1" t="s">
        <v>249</v>
      </c>
      <c r="AA1001" s="1" t="s">
        <v>400</v>
      </c>
      <c r="AB1001" s="1">
        <v>60638</v>
      </c>
      <c r="AE1001" s="1" t="s">
        <v>10822</v>
      </c>
      <c r="AF1001" s="1">
        <v>2006</v>
      </c>
      <c r="AG1001" s="1" t="s">
        <v>204</v>
      </c>
      <c r="AH1001" s="1" t="s">
        <v>403</v>
      </c>
      <c r="AI1001" s="1" t="s">
        <v>310</v>
      </c>
      <c r="AJ1001" s="1" t="s">
        <v>404</v>
      </c>
      <c r="AL1001" s="1">
        <v>5</v>
      </c>
      <c r="AM1001" s="1">
        <v>2</v>
      </c>
      <c r="AN1001" s="1">
        <v>2</v>
      </c>
      <c r="AO1001" s="1">
        <v>0</v>
      </c>
      <c r="AP1001" s="1" t="s">
        <v>209</v>
      </c>
      <c r="AQ1001" s="1">
        <v>1</v>
      </c>
      <c r="AR1001" s="1" t="s">
        <v>210</v>
      </c>
      <c r="AS1001" s="1" t="s">
        <v>204</v>
      </c>
      <c r="AT1001" s="1" t="s">
        <v>271</v>
      </c>
      <c r="AV1001" s="1">
        <v>1</v>
      </c>
      <c r="AW1001" s="1" t="s">
        <v>204</v>
      </c>
      <c r="AX1001" s="1" t="s">
        <v>212</v>
      </c>
      <c r="AZ1001" s="1">
        <v>1571.56</v>
      </c>
      <c r="BA1001" s="1">
        <v>2012</v>
      </c>
      <c r="BB1001" s="1" t="s">
        <v>405</v>
      </c>
      <c r="BE1001" s="1">
        <v>1100</v>
      </c>
      <c r="BF1001" s="1">
        <v>3</v>
      </c>
      <c r="BG1001" s="1">
        <v>15</v>
      </c>
      <c r="BL1001" s="1">
        <v>125</v>
      </c>
      <c r="BM1001" s="1" t="s">
        <v>204</v>
      </c>
      <c r="BN1001" s="1" t="s">
        <v>213</v>
      </c>
      <c r="BO1001" s="1">
        <v>0</v>
      </c>
      <c r="BP1001" s="1" t="s">
        <v>204</v>
      </c>
      <c r="BR1001" s="1" t="str">
        <f>"19174300441006"</f>
        <v>19174300441006</v>
      </c>
      <c r="BT1001" s="1" t="s">
        <v>10823</v>
      </c>
      <c r="BX1001" s="1">
        <v>299</v>
      </c>
      <c r="BY1001" s="1">
        <v>299</v>
      </c>
      <c r="BZ1001" s="1">
        <v>299</v>
      </c>
      <c r="CB1001" s="1" t="str">
        <f t="shared" ref="CB1001:CC1001" si="770">"0"</f>
        <v>0</v>
      </c>
      <c r="CC1001" s="1" t="str">
        <f t="shared" si="770"/>
        <v>0</v>
      </c>
      <c r="CD1001" s="1">
        <v>5652</v>
      </c>
      <c r="CE1001" s="1">
        <v>6300</v>
      </c>
      <c r="CG1001" s="1" t="s">
        <v>4556</v>
      </c>
      <c r="CH1001" s="1" t="s">
        <v>784</v>
      </c>
      <c r="CI1001" s="1" t="s">
        <v>438</v>
      </c>
      <c r="CK1001" s="1" t="s">
        <v>1267</v>
      </c>
      <c r="CL1001" s="1" t="s">
        <v>784</v>
      </c>
      <c r="CM1001" s="1" t="s">
        <v>220</v>
      </c>
      <c r="CO1001" s="1" t="s">
        <v>318</v>
      </c>
      <c r="CP1001" s="1" t="s">
        <v>784</v>
      </c>
      <c r="CQ1001" s="1" t="s">
        <v>438</v>
      </c>
      <c r="CS1001" s="1" t="s">
        <v>669</v>
      </c>
      <c r="CT1001" s="1" t="s">
        <v>784</v>
      </c>
      <c r="CU1001" s="1" t="s">
        <v>220</v>
      </c>
      <c r="CX1001" s="1" t="s">
        <v>224</v>
      </c>
      <c r="DB1001" s="1" t="s">
        <v>224</v>
      </c>
      <c r="DE1001" s="1" t="s">
        <v>377</v>
      </c>
      <c r="DF1001" s="1" t="s">
        <v>784</v>
      </c>
      <c r="DG1001" s="1" t="s">
        <v>438</v>
      </c>
      <c r="DJ1001" s="1" t="s">
        <v>224</v>
      </c>
      <c r="DS1001" s="1" t="s">
        <v>230</v>
      </c>
      <c r="DW1001" s="1" t="s">
        <v>230</v>
      </c>
      <c r="EA1001" s="1" t="s">
        <v>230</v>
      </c>
      <c r="EE1001" s="1" t="s">
        <v>230</v>
      </c>
      <c r="EI1001" s="1" t="s">
        <v>230</v>
      </c>
      <c r="EL1001" s="1" t="s">
        <v>491</v>
      </c>
      <c r="EM1001" s="1" t="s">
        <v>232</v>
      </c>
      <c r="EN1001" s="1" t="s">
        <v>282</v>
      </c>
      <c r="EO1001" s="1" t="s">
        <v>840</v>
      </c>
      <c r="EP1001" s="1" t="s">
        <v>1047</v>
      </c>
      <c r="EQ1001" s="1" t="s">
        <v>10824</v>
      </c>
      <c r="ER1001" s="1" t="s">
        <v>210</v>
      </c>
      <c r="ES1001" s="1" t="s">
        <v>493</v>
      </c>
      <c r="ET1001" s="1" t="s">
        <v>1752</v>
      </c>
      <c r="EU1001" s="1" t="s">
        <v>5503</v>
      </c>
      <c r="EV1001" s="1" t="s">
        <v>240</v>
      </c>
      <c r="EW1001" s="1" t="s">
        <v>286</v>
      </c>
      <c r="EY1001" s="1" t="s">
        <v>790</v>
      </c>
      <c r="EZ1001" s="1" t="s">
        <v>287</v>
      </c>
      <c r="FA1001" s="1" t="s">
        <v>1203</v>
      </c>
      <c r="FB1001" s="1" t="s">
        <v>734</v>
      </c>
      <c r="FC1001" s="1" t="s">
        <v>3646</v>
      </c>
      <c r="FD1001" s="1" t="s">
        <v>495</v>
      </c>
      <c r="FE1001" s="1" t="s">
        <v>247</v>
      </c>
      <c r="FF1001" s="1" t="s">
        <v>387</v>
      </c>
      <c r="FG1001" s="1" t="s">
        <v>871</v>
      </c>
      <c r="FH1001" s="1" t="s">
        <v>249</v>
      </c>
      <c r="FJ1001" s="1" t="s">
        <v>2046</v>
      </c>
      <c r="FK1001" s="1" t="s">
        <v>291</v>
      </c>
      <c r="FL1001" s="1" t="s">
        <v>358</v>
      </c>
      <c r="FM1001" s="1" t="s">
        <v>252</v>
      </c>
      <c r="FN1001" s="1" t="s">
        <v>213</v>
      </c>
      <c r="FO1001" s="1" t="s">
        <v>213</v>
      </c>
      <c r="FQ1001" s="1" t="s">
        <v>6332</v>
      </c>
      <c r="FR1001" s="1" t="s">
        <v>360</v>
      </c>
      <c r="FS1001" s="1" t="s">
        <v>10825</v>
      </c>
      <c r="FT1001" s="1" t="s">
        <v>255</v>
      </c>
      <c r="FU1001" s="1" t="s">
        <v>204</v>
      </c>
      <c r="FV1001" s="1" t="s">
        <v>10826</v>
      </c>
      <c r="FW1001" s="1" t="s">
        <v>10827</v>
      </c>
      <c r="FX1001" s="1">
        <v>40191</v>
      </c>
      <c r="FY1001" s="1" t="s">
        <v>10828</v>
      </c>
      <c r="FZ1001" s="1" t="s">
        <v>10829</v>
      </c>
      <c r="GA1001" s="1">
        <v>400732</v>
      </c>
      <c r="GB1001" s="1" t="s">
        <v>10828</v>
      </c>
      <c r="GD1001" s="1" t="s">
        <v>10830</v>
      </c>
      <c r="GE1001" s="1" t="s">
        <v>210</v>
      </c>
      <c r="GH1001" s="1" t="s">
        <v>589</v>
      </c>
      <c r="GI1001" s="1" t="s">
        <v>213</v>
      </c>
      <c r="GJ1001" s="1" t="s">
        <v>260</v>
      </c>
      <c r="GK1001" s="1" t="s">
        <v>210</v>
      </c>
      <c r="GL1001" s="2">
        <v>42031</v>
      </c>
      <c r="GM1001" s="1" t="s">
        <v>10831</v>
      </c>
    </row>
    <row r="1002" spans="1:195">
      <c r="A1002" s="1">
        <v>147000</v>
      </c>
      <c r="B1002" s="1" t="s">
        <v>195</v>
      </c>
      <c r="C1002" s="1" t="str">
        <f>"08640852"</f>
        <v>08640852</v>
      </c>
      <c r="D1002" s="1" t="s">
        <v>196</v>
      </c>
      <c r="F1002" s="1" t="str">
        <f>"185"</f>
        <v>185</v>
      </c>
      <c r="G1002" s="2">
        <v>41800</v>
      </c>
      <c r="H1002" s="1">
        <v>176000</v>
      </c>
      <c r="I1002" s="1">
        <v>152000</v>
      </c>
      <c r="J1002" s="1">
        <v>147000</v>
      </c>
      <c r="K1002" s="2">
        <v>41800</v>
      </c>
      <c r="L1002" s="1">
        <v>121</v>
      </c>
      <c r="M1002" s="2">
        <v>41920</v>
      </c>
      <c r="N1002" s="1">
        <v>121</v>
      </c>
      <c r="O1002" s="2">
        <v>41920</v>
      </c>
      <c r="P1002" s="1">
        <v>23030</v>
      </c>
      <c r="Q1002" s="1" t="s">
        <v>197</v>
      </c>
      <c r="R1002" s="2">
        <v>41969</v>
      </c>
      <c r="S1002" s="1">
        <v>255837</v>
      </c>
      <c r="U1002" s="1">
        <v>906</v>
      </c>
      <c r="V1002" s="1" t="s">
        <v>10832</v>
      </c>
      <c r="W1002" s="1" t="s">
        <v>264</v>
      </c>
      <c r="X1002" s="1">
        <v>4</v>
      </c>
      <c r="Y1002" s="1">
        <v>4</v>
      </c>
      <c r="Z1002" s="1" t="s">
        <v>370</v>
      </c>
      <c r="AA1002" s="1" t="s">
        <v>10833</v>
      </c>
      <c r="AB1002" s="1">
        <v>60185</v>
      </c>
      <c r="AE1002" s="1" t="s">
        <v>10834</v>
      </c>
      <c r="AF1002" s="1">
        <v>1998</v>
      </c>
      <c r="AG1002" s="1" t="s">
        <v>204</v>
      </c>
      <c r="AH1002" s="1" t="s">
        <v>10835</v>
      </c>
      <c r="AI1002" s="1" t="s">
        <v>206</v>
      </c>
      <c r="AJ1002" s="1" t="s">
        <v>2654</v>
      </c>
      <c r="AL1002" s="1">
        <v>8</v>
      </c>
      <c r="AM1002" s="1">
        <v>2</v>
      </c>
      <c r="AN1002" s="1">
        <v>2</v>
      </c>
      <c r="AO1002" s="1">
        <v>1</v>
      </c>
      <c r="AP1002" s="1" t="s">
        <v>209</v>
      </c>
      <c r="AR1002" s="1" t="s">
        <v>209</v>
      </c>
      <c r="AS1002" s="1" t="s">
        <v>204</v>
      </c>
      <c r="AT1002" s="1" t="s">
        <v>211</v>
      </c>
      <c r="AU1002" s="1">
        <v>2</v>
      </c>
      <c r="AW1002" s="1" t="s">
        <v>204</v>
      </c>
      <c r="AX1002" s="1" t="s">
        <v>212</v>
      </c>
      <c r="AZ1002" s="1">
        <v>5020.84</v>
      </c>
      <c r="BA1002" s="1">
        <v>2012</v>
      </c>
      <c r="BB1002" s="1" t="s">
        <v>405</v>
      </c>
      <c r="BE1002" s="1">
        <v>1373</v>
      </c>
      <c r="BF1002" s="1">
        <v>1</v>
      </c>
      <c r="BG1002" s="1">
        <v>1</v>
      </c>
      <c r="BL1002" s="1">
        <v>203</v>
      </c>
      <c r="BM1002" s="1" t="s">
        <v>204</v>
      </c>
      <c r="BN1002" s="1" t="s">
        <v>213</v>
      </c>
      <c r="BO1002" s="1">
        <v>0</v>
      </c>
      <c r="BP1002" s="1" t="s">
        <v>204</v>
      </c>
      <c r="BR1002" s="1" t="str">
        <f>"0133416093"</f>
        <v>0133416093</v>
      </c>
      <c r="BT1002" s="1" t="s">
        <v>10836</v>
      </c>
      <c r="BX1002" s="1">
        <v>33</v>
      </c>
      <c r="BY1002" s="1">
        <v>33</v>
      </c>
      <c r="BZ1002" s="1">
        <v>94</v>
      </c>
      <c r="CB1002" s="1" t="str">
        <f t="shared" ref="CB1002:CC1002" si="771">""</f>
        <v/>
      </c>
      <c r="CC1002" s="1" t="str">
        <f t="shared" si="771"/>
        <v/>
      </c>
      <c r="CG1002" s="1" t="s">
        <v>221</v>
      </c>
      <c r="CH1002" s="1" t="s">
        <v>219</v>
      </c>
      <c r="CK1002" s="1" t="s">
        <v>344</v>
      </c>
      <c r="CL1002" s="1" t="s">
        <v>277</v>
      </c>
      <c r="CO1002" s="1" t="s">
        <v>379</v>
      </c>
      <c r="CP1002" s="1" t="s">
        <v>219</v>
      </c>
      <c r="CS1002" s="1" t="s">
        <v>379</v>
      </c>
      <c r="CT1002" s="1" t="s">
        <v>277</v>
      </c>
      <c r="CX1002" s="1" t="s">
        <v>224</v>
      </c>
      <c r="DB1002" s="1" t="s">
        <v>224</v>
      </c>
      <c r="DE1002" s="1" t="s">
        <v>346</v>
      </c>
      <c r="DF1002" s="1" t="s">
        <v>219</v>
      </c>
      <c r="DI1002" s="1" t="s">
        <v>317</v>
      </c>
      <c r="DJ1002" s="1" t="s">
        <v>43</v>
      </c>
      <c r="DM1002" s="1" t="s">
        <v>464</v>
      </c>
      <c r="DN1002" s="1" t="s">
        <v>934</v>
      </c>
      <c r="DR1002" s="1" t="s">
        <v>281</v>
      </c>
      <c r="DS1002" s="1" t="s">
        <v>277</v>
      </c>
      <c r="DT1002" s="1" t="s">
        <v>220</v>
      </c>
      <c r="DV1002" s="1" t="s">
        <v>669</v>
      </c>
      <c r="DW1002" s="1" t="s">
        <v>43</v>
      </c>
      <c r="EA1002" s="1" t="s">
        <v>230</v>
      </c>
      <c r="EE1002" s="1" t="s">
        <v>230</v>
      </c>
      <c r="EI1002" s="1" t="s">
        <v>230</v>
      </c>
      <c r="EL1002" s="1" t="s">
        <v>670</v>
      </c>
      <c r="EM1002" s="1" t="s">
        <v>319</v>
      </c>
      <c r="EN1002" s="1" t="s">
        <v>282</v>
      </c>
      <c r="EO1002" s="1" t="s">
        <v>234</v>
      </c>
      <c r="ER1002" s="1" t="s">
        <v>351</v>
      </c>
      <c r="EU1002" s="1" t="s">
        <v>239</v>
      </c>
      <c r="EW1002" s="1" t="s">
        <v>353</v>
      </c>
      <c r="EZ1002" s="1" t="s">
        <v>3875</v>
      </c>
      <c r="FB1002" s="1" t="s">
        <v>289</v>
      </c>
      <c r="FD1002" s="1" t="s">
        <v>495</v>
      </c>
      <c r="FE1002" s="1" t="s">
        <v>975</v>
      </c>
      <c r="FF1002" s="1" t="s">
        <v>248</v>
      </c>
      <c r="FH1002" s="1" t="s">
        <v>550</v>
      </c>
      <c r="FI1002" s="1" t="s">
        <v>2827</v>
      </c>
      <c r="FJ1002" s="1" t="s">
        <v>10837</v>
      </c>
      <c r="FL1002" s="1" t="s">
        <v>358</v>
      </c>
      <c r="FM1002" s="1" t="s">
        <v>252</v>
      </c>
      <c r="FN1002" s="1" t="s">
        <v>213</v>
      </c>
      <c r="FO1002" s="1" t="s">
        <v>213</v>
      </c>
      <c r="FQ1002" s="1" t="s">
        <v>582</v>
      </c>
      <c r="FR1002" s="1" t="s">
        <v>210</v>
      </c>
      <c r="FS1002" s="1" t="s">
        <v>10838</v>
      </c>
      <c r="FT1002" s="1" t="s">
        <v>584</v>
      </c>
      <c r="FU1002" s="1" t="s">
        <v>204</v>
      </c>
      <c r="FW1002" s="1" t="s">
        <v>3428</v>
      </c>
      <c r="FX1002" s="1">
        <v>14750</v>
      </c>
      <c r="FY1002" s="1" t="s">
        <v>3429</v>
      </c>
      <c r="FZ1002" s="1" t="s">
        <v>3430</v>
      </c>
      <c r="GA1002" s="1">
        <v>122383</v>
      </c>
      <c r="GC1002" s="1">
        <v>181645</v>
      </c>
      <c r="GE1002" s="1" t="s">
        <v>210</v>
      </c>
      <c r="GI1002" s="1" t="s">
        <v>213</v>
      </c>
      <c r="GJ1002" s="1" t="s">
        <v>260</v>
      </c>
      <c r="GK1002" s="1" t="s">
        <v>210</v>
      </c>
      <c r="GL1002" s="2">
        <v>41969</v>
      </c>
      <c r="GM1002" s="1" t="s">
        <v>10839</v>
      </c>
    </row>
    <row r="1003" spans="1:195">
      <c r="A1003" s="1">
        <v>93000</v>
      </c>
      <c r="B1003" s="1" t="s">
        <v>195</v>
      </c>
      <c r="C1003" s="1" t="str">
        <f>"08651083"</f>
        <v>08651083</v>
      </c>
      <c r="D1003" s="1" t="s">
        <v>196</v>
      </c>
      <c r="F1003" s="1" t="str">
        <f>"115"</f>
        <v>115</v>
      </c>
      <c r="G1003" s="2">
        <v>41810</v>
      </c>
      <c r="H1003" s="1">
        <v>105000</v>
      </c>
      <c r="I1003" s="1">
        <v>95000</v>
      </c>
      <c r="J1003" s="1">
        <v>93000</v>
      </c>
      <c r="K1003" s="2">
        <v>41810</v>
      </c>
      <c r="L1003" s="1">
        <v>389</v>
      </c>
      <c r="M1003" s="2">
        <v>41990</v>
      </c>
      <c r="N1003" s="1">
        <v>181</v>
      </c>
      <c r="O1003" s="2">
        <v>41990</v>
      </c>
      <c r="P1003" s="1">
        <v>93099</v>
      </c>
      <c r="Q1003" s="1" t="s">
        <v>302</v>
      </c>
      <c r="R1003" s="2">
        <v>42110</v>
      </c>
      <c r="S1003" s="1">
        <v>930261</v>
      </c>
      <c r="U1003" s="1">
        <v>1500</v>
      </c>
      <c r="V1003" s="1" t="s">
        <v>10840</v>
      </c>
      <c r="W1003" s="1" t="s">
        <v>264</v>
      </c>
      <c r="X1003" s="1">
        <v>3</v>
      </c>
      <c r="Y1003" s="1">
        <v>4</v>
      </c>
      <c r="Z1003" s="1" t="s">
        <v>370</v>
      </c>
      <c r="AA1003" s="1" t="s">
        <v>2242</v>
      </c>
      <c r="AB1003" s="1">
        <v>60115</v>
      </c>
      <c r="AE1003" s="1" t="s">
        <v>10841</v>
      </c>
      <c r="AF1003" s="1">
        <v>2004</v>
      </c>
      <c r="AG1003" s="1" t="s">
        <v>204</v>
      </c>
      <c r="AH1003" s="1" t="s">
        <v>2245</v>
      </c>
      <c r="AI1003" s="1" t="s">
        <v>2246</v>
      </c>
      <c r="AJ1003" s="1" t="s">
        <v>2245</v>
      </c>
      <c r="AK1003" s="1" t="s">
        <v>10842</v>
      </c>
      <c r="AL1003" s="1">
        <v>5</v>
      </c>
      <c r="AM1003" s="1">
        <v>2</v>
      </c>
      <c r="AN1003" s="1">
        <v>2</v>
      </c>
      <c r="AO1003" s="1">
        <v>1</v>
      </c>
      <c r="AP1003" s="1" t="s">
        <v>209</v>
      </c>
      <c r="AR1003" s="1" t="s">
        <v>210</v>
      </c>
      <c r="AS1003" s="1" t="s">
        <v>204</v>
      </c>
      <c r="AT1003" s="1" t="s">
        <v>211</v>
      </c>
      <c r="AU1003" s="1">
        <v>2</v>
      </c>
      <c r="AW1003" s="1" t="s">
        <v>204</v>
      </c>
      <c r="AX1003" s="1" t="s">
        <v>212</v>
      </c>
      <c r="AZ1003" s="1">
        <v>3846.3</v>
      </c>
      <c r="BA1003" s="1">
        <v>2013</v>
      </c>
      <c r="BE1003" s="1">
        <v>0</v>
      </c>
      <c r="BF1003" s="1">
        <v>1</v>
      </c>
      <c r="BG1003" s="1">
        <v>0</v>
      </c>
      <c r="BL1003" s="1">
        <v>94</v>
      </c>
      <c r="BM1003" s="1" t="s">
        <v>204</v>
      </c>
      <c r="BN1003" s="1" t="s">
        <v>213</v>
      </c>
      <c r="BO1003" s="1">
        <v>999</v>
      </c>
      <c r="BP1003" s="1" t="s">
        <v>204</v>
      </c>
      <c r="BR1003" s="1" t="str">
        <f>"0813322045"</f>
        <v>0813322045</v>
      </c>
      <c r="BT1003" s="1" t="s">
        <v>10843</v>
      </c>
      <c r="BX1003" s="1">
        <v>428</v>
      </c>
      <c r="BY1003" s="1">
        <v>428</v>
      </c>
      <c r="BZ1003" s="1">
        <v>428</v>
      </c>
      <c r="CB1003" s="1" t="str">
        <f t="shared" ref="CB1003:CC1003" si="772">""</f>
        <v/>
      </c>
      <c r="CC1003" s="1" t="str">
        <f t="shared" si="772"/>
        <v/>
      </c>
      <c r="CG1003" s="1" t="s">
        <v>1936</v>
      </c>
      <c r="CH1003" s="1" t="s">
        <v>219</v>
      </c>
      <c r="CI1003" s="1" t="s">
        <v>220</v>
      </c>
      <c r="CJ1003" s="1" t="s">
        <v>343</v>
      </c>
      <c r="CK1003" s="1" t="s">
        <v>1936</v>
      </c>
      <c r="CL1003" s="1" t="s">
        <v>277</v>
      </c>
      <c r="CM1003" s="1" t="s">
        <v>220</v>
      </c>
      <c r="CN1003" s="1" t="s">
        <v>343</v>
      </c>
      <c r="CO1003" s="1" t="s">
        <v>951</v>
      </c>
      <c r="CP1003" s="1" t="s">
        <v>219</v>
      </c>
      <c r="CQ1003" s="1" t="s">
        <v>342</v>
      </c>
      <c r="CR1003" s="1" t="s">
        <v>210</v>
      </c>
      <c r="CS1003" s="1" t="s">
        <v>1854</v>
      </c>
      <c r="CT1003" s="1" t="s">
        <v>277</v>
      </c>
      <c r="CU1003" s="1" t="s">
        <v>220</v>
      </c>
      <c r="CV1003" s="1" t="s">
        <v>343</v>
      </c>
      <c r="CX1003" s="1" t="s">
        <v>224</v>
      </c>
      <c r="DB1003" s="1" t="s">
        <v>224</v>
      </c>
      <c r="DE1003" s="1" t="s">
        <v>409</v>
      </c>
      <c r="DF1003" s="1" t="s">
        <v>219</v>
      </c>
      <c r="DG1003" s="1" t="s">
        <v>342</v>
      </c>
      <c r="DH1003" s="1" t="s">
        <v>210</v>
      </c>
      <c r="DJ1003" s="1" t="s">
        <v>224</v>
      </c>
      <c r="DS1003" s="1" t="s">
        <v>230</v>
      </c>
      <c r="DW1003" s="1" t="s">
        <v>230</v>
      </c>
      <c r="EA1003" s="1" t="s">
        <v>230</v>
      </c>
      <c r="EE1003" s="1" t="s">
        <v>230</v>
      </c>
      <c r="EI1003" s="1" t="s">
        <v>230</v>
      </c>
      <c r="EL1003" s="1" t="s">
        <v>491</v>
      </c>
      <c r="EM1003" s="1" t="s">
        <v>319</v>
      </c>
      <c r="EN1003" s="1" t="s">
        <v>282</v>
      </c>
      <c r="EO1003" s="1" t="s">
        <v>234</v>
      </c>
      <c r="EQ1003" s="1" t="s">
        <v>350</v>
      </c>
      <c r="ER1003" s="1" t="s">
        <v>210</v>
      </c>
      <c r="ES1003" s="1" t="s">
        <v>322</v>
      </c>
      <c r="ET1003" s="1" t="s">
        <v>3191</v>
      </c>
      <c r="EV1003" s="1" t="s">
        <v>240</v>
      </c>
      <c r="EW1003" s="1" t="s">
        <v>1250</v>
      </c>
      <c r="EZ1003" s="1" t="s">
        <v>287</v>
      </c>
      <c r="FA1003" s="1" t="s">
        <v>471</v>
      </c>
      <c r="FD1003" s="1" t="s">
        <v>246</v>
      </c>
      <c r="FE1003" s="1" t="s">
        <v>472</v>
      </c>
      <c r="FF1003" s="1" t="s">
        <v>248</v>
      </c>
      <c r="FH1003" s="1" t="s">
        <v>550</v>
      </c>
      <c r="FI1003" s="1" t="s">
        <v>473</v>
      </c>
      <c r="FL1003" s="1" t="s">
        <v>358</v>
      </c>
      <c r="FM1003" s="1" t="s">
        <v>252</v>
      </c>
      <c r="FN1003" s="1" t="s">
        <v>213</v>
      </c>
      <c r="FO1003" s="1" t="s">
        <v>213</v>
      </c>
      <c r="FQ1003" s="1" t="s">
        <v>1758</v>
      </c>
      <c r="FR1003" s="1" t="s">
        <v>360</v>
      </c>
      <c r="FS1003" s="1" t="s">
        <v>10844</v>
      </c>
      <c r="FT1003" s="1" t="s">
        <v>295</v>
      </c>
      <c r="FU1003" s="1" t="s">
        <v>204</v>
      </c>
      <c r="FW1003" s="1" t="s">
        <v>676</v>
      </c>
      <c r="FX1003" s="1">
        <v>30</v>
      </c>
      <c r="FY1003" s="1" t="s">
        <v>677</v>
      </c>
      <c r="FZ1003" s="1" t="s">
        <v>10845</v>
      </c>
      <c r="GA1003" s="1">
        <v>7679</v>
      </c>
      <c r="GB1003" s="1" t="s">
        <v>10846</v>
      </c>
      <c r="GC1003" s="1">
        <v>8664</v>
      </c>
      <c r="GE1003" s="1" t="s">
        <v>480</v>
      </c>
      <c r="GI1003" s="1" t="s">
        <v>213</v>
      </c>
      <c r="GJ1003" s="1" t="s">
        <v>260</v>
      </c>
      <c r="GK1003" s="1" t="s">
        <v>210</v>
      </c>
      <c r="GL1003" s="2">
        <v>42115</v>
      </c>
      <c r="GM1003" s="1" t="s">
        <v>10847</v>
      </c>
    </row>
    <row r="1004" spans="1:195">
      <c r="A1004" s="1">
        <v>70000</v>
      </c>
      <c r="B1004" s="1" t="s">
        <v>195</v>
      </c>
      <c r="C1004" s="1" t="str">
        <f>"08645108"</f>
        <v>08645108</v>
      </c>
      <c r="D1004" s="1" t="s">
        <v>196</v>
      </c>
      <c r="F1004" s="1" t="str">
        <f>"103"</f>
        <v>103</v>
      </c>
      <c r="G1004" s="2">
        <v>41804</v>
      </c>
      <c r="H1004" s="1">
        <v>70000</v>
      </c>
      <c r="I1004" s="1">
        <v>70000</v>
      </c>
      <c r="J1004" s="1">
        <v>70000</v>
      </c>
      <c r="K1004" s="2">
        <v>41804</v>
      </c>
      <c r="L1004" s="1">
        <v>4</v>
      </c>
      <c r="M1004" s="2">
        <v>41807</v>
      </c>
      <c r="N1004" s="1">
        <v>4</v>
      </c>
      <c r="O1004" s="2">
        <v>41807</v>
      </c>
      <c r="P1004" s="1">
        <v>25309</v>
      </c>
      <c r="Q1004" s="1" t="s">
        <v>197</v>
      </c>
      <c r="R1004" s="2">
        <v>41969</v>
      </c>
      <c r="S1004" s="1">
        <v>256580</v>
      </c>
      <c r="U1004" s="1">
        <v>1479</v>
      </c>
      <c r="V1004" s="1" t="s">
        <v>10848</v>
      </c>
      <c r="W1004" s="1" t="s">
        <v>264</v>
      </c>
      <c r="X1004" s="1">
        <v>1479</v>
      </c>
      <c r="Y1004" s="1">
        <v>4</v>
      </c>
      <c r="Z1004" s="1" t="s">
        <v>249</v>
      </c>
      <c r="AA1004" s="1" t="s">
        <v>337</v>
      </c>
      <c r="AB1004" s="1">
        <v>60133</v>
      </c>
      <c r="AD1004" s="1" t="s">
        <v>1850</v>
      </c>
      <c r="AE1004" s="1" t="s">
        <v>10849</v>
      </c>
      <c r="AF1004" s="1">
        <v>1974</v>
      </c>
      <c r="AG1004" s="1" t="s">
        <v>213</v>
      </c>
      <c r="AH1004" s="1" t="s">
        <v>339</v>
      </c>
      <c r="AI1004" s="1" t="s">
        <v>206</v>
      </c>
      <c r="AJ1004" s="1" t="s">
        <v>269</v>
      </c>
      <c r="AK1004" s="1" t="s">
        <v>9373</v>
      </c>
      <c r="AL1004" s="1">
        <v>5</v>
      </c>
      <c r="AM1004" s="1">
        <v>2</v>
      </c>
      <c r="AN1004" s="1">
        <v>1</v>
      </c>
      <c r="AO1004" s="1">
        <v>0</v>
      </c>
      <c r="AP1004" s="1" t="s">
        <v>210</v>
      </c>
      <c r="AQ1004" s="1">
        <v>0</v>
      </c>
      <c r="AR1004" s="1" t="s">
        <v>210</v>
      </c>
      <c r="AS1004" s="1" t="s">
        <v>204</v>
      </c>
      <c r="AT1004" s="1" t="s">
        <v>211</v>
      </c>
      <c r="AU1004" s="1">
        <v>1</v>
      </c>
      <c r="AW1004" s="1" t="s">
        <v>204</v>
      </c>
      <c r="AX1004" s="1" t="s">
        <v>212</v>
      </c>
      <c r="AZ1004" s="1">
        <v>2430</v>
      </c>
      <c r="BA1004" s="1">
        <v>2013</v>
      </c>
      <c r="BB1004" s="1" t="s">
        <v>210</v>
      </c>
      <c r="BE1004" s="1">
        <v>956</v>
      </c>
      <c r="BF1004" s="1">
        <v>2</v>
      </c>
      <c r="BG1004" s="1">
        <v>0</v>
      </c>
      <c r="BL1004" s="1">
        <v>228</v>
      </c>
      <c r="BM1004" s="1" t="s">
        <v>204</v>
      </c>
      <c r="BN1004" s="1" t="s">
        <v>213</v>
      </c>
      <c r="BO1004" s="1">
        <v>100</v>
      </c>
      <c r="BP1004" s="1" t="s">
        <v>204</v>
      </c>
      <c r="BR1004" s="1" t="str">
        <f>"0206104004"</f>
        <v>0206104004</v>
      </c>
      <c r="BT1004" s="1" t="s">
        <v>10850</v>
      </c>
      <c r="BU1004" s="1" t="s">
        <v>341</v>
      </c>
      <c r="BV1004" s="1" t="s">
        <v>274</v>
      </c>
      <c r="BW1004" s="1" t="s">
        <v>275</v>
      </c>
      <c r="BX1004" s="1">
        <v>20</v>
      </c>
      <c r="BY1004" s="1">
        <v>20</v>
      </c>
      <c r="BZ1004" s="1">
        <v>108</v>
      </c>
      <c r="CB1004" s="1" t="str">
        <f>"7"</f>
        <v>7</v>
      </c>
      <c r="CC1004" s="1" t="str">
        <f>"0"</f>
        <v>0</v>
      </c>
      <c r="CD1004" s="1">
        <v>26</v>
      </c>
      <c r="CE1004" s="1">
        <v>0</v>
      </c>
      <c r="CG1004" s="1" t="s">
        <v>1004</v>
      </c>
      <c r="CH1004" s="1" t="s">
        <v>277</v>
      </c>
      <c r="CK1004" s="1" t="s">
        <v>539</v>
      </c>
      <c r="CL1004" s="1" t="s">
        <v>277</v>
      </c>
      <c r="CM1004" s="1" t="s">
        <v>220</v>
      </c>
      <c r="CO1004" s="1" t="s">
        <v>318</v>
      </c>
      <c r="CP1004" s="1" t="s">
        <v>277</v>
      </c>
      <c r="CQ1004" s="1" t="s">
        <v>347</v>
      </c>
      <c r="CS1004" s="1" t="s">
        <v>465</v>
      </c>
      <c r="CT1004" s="1" t="s">
        <v>277</v>
      </c>
      <c r="CU1004" s="1" t="s">
        <v>220</v>
      </c>
      <c r="CX1004" s="1" t="s">
        <v>224</v>
      </c>
      <c r="DB1004" s="1" t="s">
        <v>224</v>
      </c>
      <c r="DE1004" s="1" t="s">
        <v>3034</v>
      </c>
      <c r="DF1004" s="1" t="s">
        <v>277</v>
      </c>
      <c r="DG1004" s="1" t="s">
        <v>342</v>
      </c>
      <c r="DJ1004" s="1" t="s">
        <v>224</v>
      </c>
      <c r="DM1004" s="1" t="s">
        <v>709</v>
      </c>
      <c r="DR1004" s="1" t="s">
        <v>1750</v>
      </c>
      <c r="DS1004" s="1" t="s">
        <v>219</v>
      </c>
      <c r="DT1004" s="1" t="s">
        <v>342</v>
      </c>
      <c r="DW1004" s="1" t="s">
        <v>230</v>
      </c>
      <c r="EA1004" s="1" t="s">
        <v>230</v>
      </c>
      <c r="EE1004" s="1" t="s">
        <v>230</v>
      </c>
      <c r="EI1004" s="1" t="s">
        <v>230</v>
      </c>
      <c r="EL1004" s="1" t="s">
        <v>231</v>
      </c>
      <c r="EM1004" s="1" t="s">
        <v>730</v>
      </c>
      <c r="EN1004" s="1" t="s">
        <v>282</v>
      </c>
      <c r="EO1004" s="1" t="s">
        <v>234</v>
      </c>
      <c r="EP1004" s="1" t="s">
        <v>6649</v>
      </c>
      <c r="EQ1004" s="1" t="s">
        <v>468</v>
      </c>
      <c r="ER1004" s="1" t="s">
        <v>210</v>
      </c>
      <c r="ES1004" s="1" t="s">
        <v>545</v>
      </c>
      <c r="EU1004" s="1" t="s">
        <v>6227</v>
      </c>
      <c r="EV1004" s="1" t="s">
        <v>240</v>
      </c>
      <c r="EW1004" s="1" t="s">
        <v>991</v>
      </c>
      <c r="EY1004" s="1" t="s">
        <v>242</v>
      </c>
      <c r="EZ1004" s="1" t="s">
        <v>709</v>
      </c>
      <c r="FB1004" s="1" t="s">
        <v>289</v>
      </c>
      <c r="FD1004" s="1" t="s">
        <v>246</v>
      </c>
      <c r="FE1004" s="1" t="s">
        <v>355</v>
      </c>
      <c r="FF1004" s="1" t="s">
        <v>248</v>
      </c>
      <c r="FH1004" s="1" t="s">
        <v>10851</v>
      </c>
      <c r="FL1004" s="1" t="s">
        <v>358</v>
      </c>
      <c r="FM1004" s="1" t="s">
        <v>252</v>
      </c>
      <c r="FN1004" s="1" t="s">
        <v>213</v>
      </c>
      <c r="FO1004" s="1" t="s">
        <v>213</v>
      </c>
      <c r="FQ1004" s="1" t="s">
        <v>3560</v>
      </c>
      <c r="FR1004" s="1" t="s">
        <v>360</v>
      </c>
      <c r="FS1004" s="1" t="s">
        <v>10852</v>
      </c>
      <c r="FT1004" s="1" t="s">
        <v>691</v>
      </c>
      <c r="FU1004" s="1" t="s">
        <v>204</v>
      </c>
      <c r="FW1004" s="1" t="s">
        <v>873</v>
      </c>
      <c r="FX1004" s="1">
        <v>25309</v>
      </c>
      <c r="FY1004" s="1" t="s">
        <v>874</v>
      </c>
      <c r="FZ1004" s="1" t="s">
        <v>10853</v>
      </c>
      <c r="GA1004" s="1">
        <v>256580</v>
      </c>
      <c r="GB1004" s="1" t="s">
        <v>10854</v>
      </c>
      <c r="GE1004" s="1" t="s">
        <v>1256</v>
      </c>
      <c r="GI1004" s="1" t="s">
        <v>213</v>
      </c>
      <c r="GJ1004" s="1" t="s">
        <v>260</v>
      </c>
      <c r="GK1004" s="1" t="s">
        <v>210</v>
      </c>
      <c r="GL1004" s="2">
        <v>41969</v>
      </c>
      <c r="GM1004" s="1" t="s">
        <v>10855</v>
      </c>
    </row>
    <row r="1005" spans="1:195">
      <c r="A1005" s="1">
        <v>255000</v>
      </c>
      <c r="B1005" s="1" t="s">
        <v>195</v>
      </c>
      <c r="C1005" s="1" t="str">
        <f>"08643732"</f>
        <v>08643732</v>
      </c>
      <c r="D1005" s="1" t="s">
        <v>196</v>
      </c>
      <c r="F1005" s="1" t="str">
        <f>"134"</f>
        <v>134</v>
      </c>
      <c r="G1005" s="2">
        <v>41803</v>
      </c>
      <c r="H1005" s="1">
        <v>309500</v>
      </c>
      <c r="I1005" s="1">
        <v>269000</v>
      </c>
      <c r="J1005" s="1">
        <v>255000</v>
      </c>
      <c r="K1005" s="2">
        <v>41803</v>
      </c>
      <c r="L1005" s="1">
        <v>245</v>
      </c>
      <c r="M1005" s="2">
        <v>42047</v>
      </c>
      <c r="N1005" s="1">
        <v>245</v>
      </c>
      <c r="O1005" s="2">
        <v>42047</v>
      </c>
      <c r="P1005" s="1">
        <v>23120</v>
      </c>
      <c r="Q1005" s="1" t="s">
        <v>302</v>
      </c>
      <c r="R1005" s="2">
        <v>42063</v>
      </c>
      <c r="S1005" s="1">
        <v>227850</v>
      </c>
      <c r="U1005" s="1">
        <v>200</v>
      </c>
      <c r="V1005" s="1" t="s">
        <v>5295</v>
      </c>
      <c r="W1005" s="1" t="s">
        <v>504</v>
      </c>
      <c r="X1005" s="1">
        <v>408</v>
      </c>
      <c r="Y1005" s="1">
        <v>40</v>
      </c>
      <c r="Z1005" s="1" t="s">
        <v>200</v>
      </c>
      <c r="AA1005" s="1" t="s">
        <v>661</v>
      </c>
      <c r="AB1005" s="1">
        <v>60134</v>
      </c>
      <c r="AD1005" s="1" t="s">
        <v>10856</v>
      </c>
      <c r="AE1005" s="1" t="s">
        <v>10857</v>
      </c>
      <c r="AF1005" s="1">
        <v>1999</v>
      </c>
      <c r="AG1005" s="1" t="s">
        <v>204</v>
      </c>
      <c r="AH1005" s="1" t="s">
        <v>664</v>
      </c>
      <c r="AI1005" s="1" t="s">
        <v>665</v>
      </c>
      <c r="AJ1005" s="1" t="s">
        <v>664</v>
      </c>
      <c r="AK1005" s="1" t="s">
        <v>10309</v>
      </c>
      <c r="AL1005" s="1">
        <v>6</v>
      </c>
      <c r="AM1005" s="1">
        <v>2</v>
      </c>
      <c r="AN1005" s="1">
        <v>2</v>
      </c>
      <c r="AO1005" s="1">
        <v>1</v>
      </c>
      <c r="AP1005" s="1" t="s">
        <v>209</v>
      </c>
      <c r="AQ1005" s="1">
        <v>1</v>
      </c>
      <c r="AR1005" s="1" t="s">
        <v>210</v>
      </c>
      <c r="AS1005" s="1" t="s">
        <v>204</v>
      </c>
      <c r="AT1005" s="1" t="s">
        <v>211</v>
      </c>
      <c r="AU1005" s="1">
        <v>1</v>
      </c>
      <c r="AW1005" s="1" t="s">
        <v>204</v>
      </c>
      <c r="AX1005" s="1" t="s">
        <v>270</v>
      </c>
      <c r="AZ1005" s="1">
        <v>8817</v>
      </c>
      <c r="BA1005" s="1">
        <v>2013</v>
      </c>
      <c r="BB1005" s="1" t="s">
        <v>210</v>
      </c>
      <c r="BE1005" s="1">
        <v>1747</v>
      </c>
      <c r="BF1005" s="1">
        <v>4</v>
      </c>
      <c r="BG1005" s="1">
        <v>0</v>
      </c>
      <c r="BL1005" s="1">
        <v>366</v>
      </c>
      <c r="BM1005" s="1" t="s">
        <v>204</v>
      </c>
      <c r="BN1005" s="1" t="s">
        <v>213</v>
      </c>
      <c r="BO1005" s="1">
        <v>25</v>
      </c>
      <c r="BP1005" s="1" t="s">
        <v>204</v>
      </c>
      <c r="BR1005" s="1" t="str">
        <f>"1203427058"</f>
        <v>1203427058</v>
      </c>
      <c r="BT1005" s="1" t="s">
        <v>10858</v>
      </c>
      <c r="BW1005" s="1" t="s">
        <v>2448</v>
      </c>
      <c r="BX1005" s="1">
        <v>304</v>
      </c>
      <c r="BY1005" s="1">
        <v>304</v>
      </c>
      <c r="BZ1005" s="1">
        <v>304</v>
      </c>
      <c r="CB1005" s="1" t="str">
        <f t="shared" ref="CB1005:CC1005" si="773">""</f>
        <v/>
      </c>
      <c r="CC1005" s="1" t="str">
        <f t="shared" si="773"/>
        <v/>
      </c>
      <c r="CG1005" s="1" t="s">
        <v>10859</v>
      </c>
      <c r="CH1005" s="1" t="s">
        <v>219</v>
      </c>
      <c r="CI1005" s="1" t="s">
        <v>220</v>
      </c>
      <c r="CJ1005" s="1" t="s">
        <v>343</v>
      </c>
      <c r="CK1005" s="1" t="s">
        <v>1178</v>
      </c>
      <c r="CL1005" s="1" t="s">
        <v>219</v>
      </c>
      <c r="CM1005" s="1" t="s">
        <v>220</v>
      </c>
      <c r="CO1005" s="1" t="s">
        <v>629</v>
      </c>
      <c r="CP1005" s="1" t="s">
        <v>219</v>
      </c>
      <c r="CQ1005" s="1" t="s">
        <v>220</v>
      </c>
      <c r="CS1005" s="1" t="s">
        <v>490</v>
      </c>
      <c r="CT1005" s="1" t="s">
        <v>219</v>
      </c>
      <c r="CU1005" s="1" t="s">
        <v>220</v>
      </c>
      <c r="CX1005" s="1" t="s">
        <v>224</v>
      </c>
      <c r="DB1005" s="1" t="s">
        <v>224</v>
      </c>
      <c r="DE1005" s="1" t="s">
        <v>1297</v>
      </c>
      <c r="DF1005" s="1" t="s">
        <v>219</v>
      </c>
      <c r="DG1005" s="1" t="s">
        <v>226</v>
      </c>
      <c r="DH1005" s="1" t="s">
        <v>343</v>
      </c>
      <c r="DJ1005" s="1" t="s">
        <v>224</v>
      </c>
      <c r="DM1005" s="1" t="s">
        <v>1005</v>
      </c>
      <c r="DR1005" s="1" t="s">
        <v>408</v>
      </c>
      <c r="DS1005" s="1" t="s">
        <v>219</v>
      </c>
      <c r="DT1005" s="1" t="s">
        <v>220</v>
      </c>
      <c r="DW1005" s="1" t="s">
        <v>230</v>
      </c>
      <c r="EA1005" s="1" t="s">
        <v>230</v>
      </c>
      <c r="EE1005" s="1" t="s">
        <v>230</v>
      </c>
      <c r="EI1005" s="1" t="s">
        <v>230</v>
      </c>
      <c r="EL1005" s="1" t="s">
        <v>670</v>
      </c>
      <c r="EM1005" s="1" t="s">
        <v>319</v>
      </c>
      <c r="EN1005" s="1" t="s">
        <v>282</v>
      </c>
      <c r="EO1005" s="1" t="s">
        <v>234</v>
      </c>
      <c r="EP1005" s="1" t="s">
        <v>7418</v>
      </c>
      <c r="EQ1005" s="1" t="s">
        <v>492</v>
      </c>
      <c r="ER1005" s="1" t="s">
        <v>210</v>
      </c>
      <c r="ES1005" s="1" t="s">
        <v>493</v>
      </c>
      <c r="EV1005" s="1" t="s">
        <v>240</v>
      </c>
      <c r="EW1005" s="1" t="s">
        <v>10860</v>
      </c>
      <c r="EY1005" s="1" t="s">
        <v>242</v>
      </c>
      <c r="EZ1005" s="1" t="s">
        <v>1005</v>
      </c>
      <c r="FB1005" s="1" t="s">
        <v>289</v>
      </c>
      <c r="FC1005" s="1" t="s">
        <v>633</v>
      </c>
      <c r="FD1005" s="1" t="s">
        <v>495</v>
      </c>
      <c r="FE1005" s="1" t="s">
        <v>247</v>
      </c>
      <c r="FF1005" s="1" t="s">
        <v>248</v>
      </c>
      <c r="FG1005" s="1" t="s">
        <v>912</v>
      </c>
      <c r="FH1005" s="1" t="s">
        <v>249</v>
      </c>
      <c r="FI1005" s="1" t="s">
        <v>848</v>
      </c>
      <c r="FL1005" s="1" t="s">
        <v>358</v>
      </c>
      <c r="FM1005" s="1" t="s">
        <v>252</v>
      </c>
      <c r="FN1005" s="1" t="s">
        <v>213</v>
      </c>
      <c r="FO1005" s="1" t="s">
        <v>213</v>
      </c>
      <c r="FQ1005" s="1" t="s">
        <v>8382</v>
      </c>
      <c r="FR1005" s="1" t="s">
        <v>652</v>
      </c>
      <c r="FS1005" s="1" t="s">
        <v>10861</v>
      </c>
      <c r="FT1005" s="1" t="s">
        <v>295</v>
      </c>
      <c r="FU1005" s="1" t="s">
        <v>204</v>
      </c>
      <c r="FW1005" s="1" t="s">
        <v>2420</v>
      </c>
      <c r="FX1005" s="1">
        <v>41</v>
      </c>
      <c r="FY1005" s="1" t="s">
        <v>2421</v>
      </c>
      <c r="FZ1005" s="1" t="s">
        <v>7815</v>
      </c>
      <c r="GA1005" s="1">
        <v>1988</v>
      </c>
      <c r="GB1005" s="1" t="s">
        <v>7816</v>
      </c>
      <c r="GC1005" s="1">
        <v>7786</v>
      </c>
      <c r="GE1005" s="1" t="s">
        <v>1256</v>
      </c>
      <c r="GH1005" s="1" t="s">
        <v>230</v>
      </c>
      <c r="GI1005" s="1" t="s">
        <v>213</v>
      </c>
      <c r="GJ1005" s="1" t="s">
        <v>260</v>
      </c>
      <c r="GK1005" s="1" t="s">
        <v>210</v>
      </c>
      <c r="GL1005" s="2">
        <v>42064</v>
      </c>
      <c r="GM1005" s="1" t="s">
        <v>10862</v>
      </c>
    </row>
    <row r="1006" spans="1:195">
      <c r="A1006" s="1">
        <v>223000</v>
      </c>
      <c r="B1006" s="1" t="s">
        <v>195</v>
      </c>
      <c r="C1006" s="1" t="str">
        <f>"08642334"</f>
        <v>08642334</v>
      </c>
      <c r="D1006" s="1" t="s">
        <v>196</v>
      </c>
      <c r="F1006" s="1" t="str">
        <f>"30"</f>
        <v>30</v>
      </c>
      <c r="G1006" s="2">
        <v>41801</v>
      </c>
      <c r="H1006" s="1">
        <v>259000</v>
      </c>
      <c r="I1006" s="1">
        <v>239900</v>
      </c>
      <c r="J1006" s="1">
        <v>223000</v>
      </c>
      <c r="K1006" s="2">
        <v>41801</v>
      </c>
      <c r="L1006" s="1">
        <v>169</v>
      </c>
      <c r="M1006" s="2">
        <v>41969</v>
      </c>
      <c r="N1006" s="1">
        <v>169</v>
      </c>
      <c r="O1006" s="2">
        <v>41969</v>
      </c>
      <c r="P1006" s="1">
        <v>2648</v>
      </c>
      <c r="Q1006" s="1" t="s">
        <v>197</v>
      </c>
      <c r="R1006" s="2">
        <v>42019</v>
      </c>
      <c r="S1006" s="1">
        <v>18093</v>
      </c>
      <c r="U1006" s="1">
        <v>206</v>
      </c>
      <c r="V1006" s="1" t="s">
        <v>10863</v>
      </c>
      <c r="W1006" s="1" t="s">
        <v>504</v>
      </c>
      <c r="Y1006" s="1">
        <v>6</v>
      </c>
      <c r="Z1006" s="1" t="s">
        <v>370</v>
      </c>
      <c r="AA1006" s="1" t="s">
        <v>1834</v>
      </c>
      <c r="AB1006" s="1">
        <v>60030</v>
      </c>
      <c r="AD1006" s="1" t="s">
        <v>9231</v>
      </c>
      <c r="AE1006" s="1" t="s">
        <v>10864</v>
      </c>
      <c r="AF1006" s="1">
        <v>2002</v>
      </c>
      <c r="AG1006" s="1" t="s">
        <v>204</v>
      </c>
      <c r="AH1006" s="1" t="s">
        <v>1837</v>
      </c>
      <c r="AI1006" s="1" t="s">
        <v>509</v>
      </c>
      <c r="AJ1006" s="1" t="s">
        <v>1263</v>
      </c>
      <c r="AK1006" s="1" t="s">
        <v>1088</v>
      </c>
      <c r="AL1006" s="1">
        <v>10</v>
      </c>
      <c r="AM1006" s="1">
        <v>2</v>
      </c>
      <c r="AN1006" s="1">
        <v>3</v>
      </c>
      <c r="AO1006" s="1">
        <v>0</v>
      </c>
      <c r="AP1006" s="1" t="s">
        <v>209</v>
      </c>
      <c r="AQ1006" s="1">
        <v>1</v>
      </c>
      <c r="AR1006" s="1" t="s">
        <v>209</v>
      </c>
      <c r="AS1006" s="1" t="s">
        <v>213</v>
      </c>
      <c r="AT1006" s="1" t="s">
        <v>211</v>
      </c>
      <c r="AU1006" s="1">
        <v>2</v>
      </c>
      <c r="AW1006" s="1" t="s">
        <v>204</v>
      </c>
      <c r="AX1006" s="1" t="s">
        <v>212</v>
      </c>
      <c r="AZ1006" s="1">
        <v>7057.26</v>
      </c>
      <c r="BA1006" s="1">
        <v>2012</v>
      </c>
      <c r="BB1006" s="1" t="s">
        <v>405</v>
      </c>
      <c r="BE1006" s="1">
        <v>1606</v>
      </c>
      <c r="BF1006" s="1">
        <v>1</v>
      </c>
      <c r="BG1006" s="1">
        <v>1</v>
      </c>
      <c r="BL1006" s="1">
        <v>287</v>
      </c>
      <c r="BM1006" s="1" t="s">
        <v>204</v>
      </c>
      <c r="BN1006" s="1" t="s">
        <v>213</v>
      </c>
      <c r="BO1006" s="1">
        <v>50</v>
      </c>
      <c r="BP1006" s="1" t="s">
        <v>204</v>
      </c>
      <c r="BR1006" s="1" t="str">
        <f>"06143080290000"</f>
        <v>06143080290000</v>
      </c>
      <c r="BT1006" s="1" t="s">
        <v>10865</v>
      </c>
      <c r="BX1006" s="1">
        <v>46</v>
      </c>
      <c r="BY1006" s="1">
        <v>46</v>
      </c>
      <c r="BZ1006" s="1">
        <v>127</v>
      </c>
      <c r="CB1006" s="1" t="str">
        <f t="shared" ref="CB1006:CC1006" si="774">""</f>
        <v/>
      </c>
      <c r="CC1006" s="1" t="str">
        <f t="shared" si="774"/>
        <v/>
      </c>
      <c r="CF1006" s="1" t="s">
        <v>7909</v>
      </c>
      <c r="CG1006" s="1" t="s">
        <v>4571</v>
      </c>
      <c r="CH1006" s="1" t="s">
        <v>219</v>
      </c>
      <c r="CI1006" s="1" t="s">
        <v>438</v>
      </c>
      <c r="CK1006" s="1" t="s">
        <v>3100</v>
      </c>
      <c r="CL1006" s="1" t="s">
        <v>219</v>
      </c>
      <c r="CM1006" s="1" t="s">
        <v>438</v>
      </c>
      <c r="CO1006" s="1" t="s">
        <v>629</v>
      </c>
      <c r="CP1006" s="1" t="s">
        <v>219</v>
      </c>
      <c r="CQ1006" s="1" t="s">
        <v>438</v>
      </c>
      <c r="CS1006" s="1" t="s">
        <v>602</v>
      </c>
      <c r="CT1006" s="1" t="s">
        <v>219</v>
      </c>
      <c r="CU1006" s="1" t="s">
        <v>220</v>
      </c>
      <c r="CW1006" s="1" t="s">
        <v>729</v>
      </c>
      <c r="CX1006" s="1" t="s">
        <v>43</v>
      </c>
      <c r="CY1006" s="1" t="s">
        <v>220</v>
      </c>
      <c r="DA1006" s="1" t="s">
        <v>228</v>
      </c>
      <c r="DB1006" s="1" t="s">
        <v>43</v>
      </c>
      <c r="DC1006" s="1" t="s">
        <v>220</v>
      </c>
      <c r="DE1006" s="1" t="s">
        <v>539</v>
      </c>
      <c r="DF1006" s="1" t="s">
        <v>219</v>
      </c>
      <c r="DG1006" s="1" t="s">
        <v>438</v>
      </c>
      <c r="DI1006" s="1" t="s">
        <v>1045</v>
      </c>
      <c r="DJ1006" s="1" t="s">
        <v>219</v>
      </c>
      <c r="DK1006" s="1" t="s">
        <v>438</v>
      </c>
      <c r="DM1006" s="1" t="s">
        <v>381</v>
      </c>
      <c r="DN1006" s="1" t="s">
        <v>709</v>
      </c>
      <c r="DO1006" s="1" t="s">
        <v>934</v>
      </c>
      <c r="DR1006" s="1" t="s">
        <v>4648</v>
      </c>
      <c r="DS1006" s="1" t="s">
        <v>219</v>
      </c>
      <c r="DT1006" s="1" t="s">
        <v>438</v>
      </c>
      <c r="DV1006" s="1" t="s">
        <v>4408</v>
      </c>
      <c r="DW1006" s="1" t="s">
        <v>219</v>
      </c>
      <c r="DX1006" s="1" t="s">
        <v>438</v>
      </c>
      <c r="DZ1006" s="1" t="s">
        <v>1737</v>
      </c>
      <c r="EA1006" s="1" t="s">
        <v>43</v>
      </c>
      <c r="EB1006" s="1" t="s">
        <v>220</v>
      </c>
      <c r="EE1006" s="1" t="s">
        <v>230</v>
      </c>
      <c r="EI1006" s="1" t="s">
        <v>230</v>
      </c>
      <c r="EL1006" s="1" t="s">
        <v>466</v>
      </c>
      <c r="EM1006" s="1" t="s">
        <v>730</v>
      </c>
      <c r="EN1006" s="1" t="s">
        <v>282</v>
      </c>
      <c r="EO1006" s="1" t="s">
        <v>840</v>
      </c>
      <c r="EP1006" s="1" t="s">
        <v>10866</v>
      </c>
      <c r="EQ1006" s="1" t="s">
        <v>236</v>
      </c>
      <c r="ER1006" s="1" t="s">
        <v>8320</v>
      </c>
      <c r="ES1006" s="1" t="s">
        <v>824</v>
      </c>
      <c r="ET1006" s="1" t="s">
        <v>238</v>
      </c>
      <c r="EU1006" s="1" t="s">
        <v>5594</v>
      </c>
      <c r="EV1006" s="1" t="s">
        <v>240</v>
      </c>
      <c r="EW1006" s="1" t="s">
        <v>3255</v>
      </c>
      <c r="EY1006" s="1" t="s">
        <v>242</v>
      </c>
      <c r="EZ1006" s="1" t="s">
        <v>10867</v>
      </c>
      <c r="FA1006" s="1" t="s">
        <v>10868</v>
      </c>
      <c r="FB1006" s="1" t="s">
        <v>10869</v>
      </c>
      <c r="FC1006" s="1" t="s">
        <v>1405</v>
      </c>
      <c r="FD1006" s="1" t="s">
        <v>246</v>
      </c>
      <c r="FE1006" s="1" t="s">
        <v>386</v>
      </c>
      <c r="FF1006" s="1" t="s">
        <v>387</v>
      </c>
      <c r="FG1006" s="1" t="s">
        <v>10870</v>
      </c>
      <c r="FH1006" s="1" t="s">
        <v>825</v>
      </c>
      <c r="FI1006" s="1" t="s">
        <v>473</v>
      </c>
      <c r="FJ1006" s="1" t="s">
        <v>1620</v>
      </c>
      <c r="FL1006" s="1" t="s">
        <v>358</v>
      </c>
      <c r="FM1006" s="1" t="s">
        <v>252</v>
      </c>
      <c r="FN1006" s="1" t="s">
        <v>213</v>
      </c>
      <c r="FO1006" s="1" t="s">
        <v>213</v>
      </c>
      <c r="FQ1006" s="1" t="s">
        <v>1286</v>
      </c>
      <c r="FR1006" s="1" t="s">
        <v>652</v>
      </c>
      <c r="FS1006" s="1" t="s">
        <v>10871</v>
      </c>
      <c r="FT1006" s="1" t="s">
        <v>1408</v>
      </c>
      <c r="FU1006" s="1" t="s">
        <v>204</v>
      </c>
      <c r="FW1006" s="1" t="s">
        <v>256</v>
      </c>
      <c r="FX1006" s="1">
        <v>2648</v>
      </c>
      <c r="FY1006" s="1" t="s">
        <v>1022</v>
      </c>
      <c r="FZ1006" s="1" t="s">
        <v>7914</v>
      </c>
      <c r="GA1006" s="1">
        <v>18414</v>
      </c>
      <c r="GB1006" s="1" t="s">
        <v>7915</v>
      </c>
      <c r="GC1006" s="1">
        <v>21233</v>
      </c>
      <c r="GD1006" s="1" t="s">
        <v>9239</v>
      </c>
      <c r="GE1006" s="1" t="s">
        <v>1379</v>
      </c>
      <c r="GI1006" s="1" t="s">
        <v>213</v>
      </c>
      <c r="GJ1006" s="1" t="s">
        <v>260</v>
      </c>
      <c r="GK1006" s="1" t="s">
        <v>210</v>
      </c>
      <c r="GL1006" s="2">
        <v>42020</v>
      </c>
      <c r="GM1006" s="1" t="s">
        <v>10872</v>
      </c>
    </row>
    <row r="1007" spans="1:195">
      <c r="A1007" s="1">
        <v>115000</v>
      </c>
      <c r="B1007" s="1" t="s">
        <v>195</v>
      </c>
      <c r="C1007" s="1" t="str">
        <f>"08643853"</f>
        <v>08643853</v>
      </c>
      <c r="D1007" s="1" t="s">
        <v>196</v>
      </c>
      <c r="F1007" s="1" t="str">
        <f t="shared" ref="F1007:F1008" si="775">"8041"</f>
        <v>8041</v>
      </c>
      <c r="G1007" s="2">
        <v>41803</v>
      </c>
      <c r="H1007" s="1">
        <v>149000</v>
      </c>
      <c r="I1007" s="1">
        <v>129000</v>
      </c>
      <c r="J1007" s="1">
        <v>115000</v>
      </c>
      <c r="K1007" s="2">
        <v>41803</v>
      </c>
      <c r="L1007" s="1">
        <v>183</v>
      </c>
      <c r="M1007" s="2">
        <v>41985</v>
      </c>
      <c r="N1007" s="1">
        <v>183</v>
      </c>
      <c r="O1007" s="2">
        <v>41985</v>
      </c>
      <c r="P1007" s="1">
        <v>84077</v>
      </c>
      <c r="Q1007" s="1" t="s">
        <v>197</v>
      </c>
      <c r="R1007" s="2">
        <v>42026</v>
      </c>
      <c r="S1007" s="1">
        <v>175275</v>
      </c>
      <c r="U1007" s="1">
        <v>5417</v>
      </c>
      <c r="V1007" s="1" t="s">
        <v>10873</v>
      </c>
      <c r="W1007" s="1" t="s">
        <v>425</v>
      </c>
      <c r="X1007" s="1" t="s">
        <v>2798</v>
      </c>
      <c r="Y1007" s="1">
        <v>24</v>
      </c>
      <c r="Z1007" s="1" t="s">
        <v>249</v>
      </c>
      <c r="AA1007" s="1" t="s">
        <v>400</v>
      </c>
      <c r="AB1007" s="1">
        <v>60615</v>
      </c>
      <c r="AE1007" s="1" t="s">
        <v>10874</v>
      </c>
      <c r="AF1007" s="1" t="s">
        <v>402</v>
      </c>
      <c r="AG1007" s="1" t="s">
        <v>213</v>
      </c>
      <c r="AH1007" s="1" t="s">
        <v>403</v>
      </c>
      <c r="AI1007" s="1" t="s">
        <v>310</v>
      </c>
      <c r="AJ1007" s="1" t="s">
        <v>562</v>
      </c>
      <c r="AL1007" s="1">
        <v>5</v>
      </c>
      <c r="AM1007" s="1">
        <v>2</v>
      </c>
      <c r="AN1007" s="1">
        <v>1</v>
      </c>
      <c r="AO1007" s="1">
        <v>0</v>
      </c>
      <c r="AP1007" s="1" t="s">
        <v>210</v>
      </c>
      <c r="AQ1007" s="1">
        <v>1</v>
      </c>
      <c r="AR1007" s="1" t="s">
        <v>210</v>
      </c>
      <c r="AS1007" s="1" t="s">
        <v>204</v>
      </c>
      <c r="AT1007" s="1" t="s">
        <v>210</v>
      </c>
      <c r="AW1007" s="1" t="s">
        <v>204</v>
      </c>
      <c r="AX1007" s="1" t="s">
        <v>212</v>
      </c>
      <c r="AZ1007" s="1">
        <v>1519.5</v>
      </c>
      <c r="BA1007" s="1">
        <v>2012</v>
      </c>
      <c r="BB1007" s="1" t="s">
        <v>210</v>
      </c>
      <c r="BC1007" s="1">
        <v>0</v>
      </c>
      <c r="BE1007" s="1">
        <v>850</v>
      </c>
      <c r="BF1007" s="1">
        <v>3</v>
      </c>
      <c r="BG1007" s="1">
        <v>30</v>
      </c>
      <c r="BL1007" s="1">
        <v>383</v>
      </c>
      <c r="BM1007" s="1" t="s">
        <v>204</v>
      </c>
      <c r="BN1007" s="1" t="s">
        <v>213</v>
      </c>
      <c r="BO1007" s="1">
        <v>0</v>
      </c>
      <c r="BP1007" s="1" t="s">
        <v>204</v>
      </c>
      <c r="BR1007" s="1" t="str">
        <f>"20114240451009"</f>
        <v>20114240451009</v>
      </c>
      <c r="BT1007" s="1" t="s">
        <v>10875</v>
      </c>
      <c r="BU1007" s="1" t="s">
        <v>10876</v>
      </c>
      <c r="BX1007" s="1">
        <v>299</v>
      </c>
      <c r="BY1007" s="1">
        <v>299</v>
      </c>
      <c r="BZ1007" s="1">
        <v>299</v>
      </c>
      <c r="CB1007" s="1" t="str">
        <f t="shared" ref="CB1007:CB1009" si="776">"0"</f>
        <v>0</v>
      </c>
      <c r="CC1007" s="1" t="str">
        <f>"1400"</f>
        <v>1400</v>
      </c>
      <c r="CD1007" s="1">
        <v>0</v>
      </c>
      <c r="CE1007" s="1">
        <v>5417</v>
      </c>
      <c r="CG1007" s="1" t="s">
        <v>602</v>
      </c>
      <c r="CH1007" s="1" t="s">
        <v>219</v>
      </c>
      <c r="CI1007" s="1" t="s">
        <v>438</v>
      </c>
      <c r="CK1007" s="1" t="s">
        <v>2466</v>
      </c>
      <c r="CL1007" s="1" t="s">
        <v>219</v>
      </c>
      <c r="CM1007" s="1" t="s">
        <v>438</v>
      </c>
      <c r="CO1007" s="1" t="s">
        <v>318</v>
      </c>
      <c r="CP1007" s="1" t="s">
        <v>219</v>
      </c>
      <c r="CQ1007" s="1" t="s">
        <v>438</v>
      </c>
      <c r="CS1007" s="1" t="s">
        <v>630</v>
      </c>
      <c r="CT1007" s="1" t="s">
        <v>219</v>
      </c>
      <c r="CU1007" s="1" t="s">
        <v>438</v>
      </c>
      <c r="CX1007" s="1" t="s">
        <v>224</v>
      </c>
      <c r="DB1007" s="1" t="s">
        <v>224</v>
      </c>
      <c r="DE1007" s="1" t="s">
        <v>951</v>
      </c>
      <c r="DF1007" s="1" t="s">
        <v>219</v>
      </c>
      <c r="DJ1007" s="1" t="s">
        <v>224</v>
      </c>
      <c r="DS1007" s="1" t="s">
        <v>230</v>
      </c>
      <c r="DW1007" s="1" t="s">
        <v>230</v>
      </c>
      <c r="EA1007" s="1" t="s">
        <v>230</v>
      </c>
      <c r="EE1007" s="1" t="s">
        <v>230</v>
      </c>
      <c r="EI1007" s="1" t="s">
        <v>230</v>
      </c>
      <c r="EL1007" s="1" t="s">
        <v>413</v>
      </c>
      <c r="EM1007" s="1" t="s">
        <v>730</v>
      </c>
      <c r="EN1007" s="1" t="s">
        <v>731</v>
      </c>
      <c r="EO1007" s="1" t="s">
        <v>234</v>
      </c>
      <c r="EP1007" s="1" t="s">
        <v>10877</v>
      </c>
      <c r="EQ1007" s="1" t="s">
        <v>350</v>
      </c>
      <c r="ER1007" s="1" t="s">
        <v>210</v>
      </c>
      <c r="ES1007" s="1" t="s">
        <v>3763</v>
      </c>
      <c r="EV1007" s="1" t="s">
        <v>324</v>
      </c>
      <c r="EW1007" s="1" t="s">
        <v>4815</v>
      </c>
      <c r="EZ1007" s="1" t="s">
        <v>287</v>
      </c>
      <c r="FA1007" s="1" t="s">
        <v>1048</v>
      </c>
      <c r="FB1007" s="1" t="s">
        <v>289</v>
      </c>
      <c r="FD1007" s="1" t="s">
        <v>246</v>
      </c>
      <c r="FE1007" s="1" t="s">
        <v>247</v>
      </c>
      <c r="FF1007" s="1" t="s">
        <v>248</v>
      </c>
      <c r="FG1007" s="1" t="s">
        <v>10878</v>
      </c>
      <c r="FH1007" s="1" t="s">
        <v>249</v>
      </c>
      <c r="FL1007" s="1" t="s">
        <v>10249</v>
      </c>
      <c r="FM1007" s="1" t="s">
        <v>252</v>
      </c>
      <c r="FN1007" s="1" t="s">
        <v>213</v>
      </c>
      <c r="FO1007" s="1" t="s">
        <v>213</v>
      </c>
      <c r="FQ1007" s="1" t="s">
        <v>329</v>
      </c>
      <c r="FR1007" s="1" t="s">
        <v>210</v>
      </c>
      <c r="FS1007" s="1" t="s">
        <v>10879</v>
      </c>
      <c r="FT1007" s="1" t="s">
        <v>362</v>
      </c>
      <c r="FU1007" s="1" t="s">
        <v>204</v>
      </c>
      <c r="FW1007" s="1" t="s">
        <v>2006</v>
      </c>
      <c r="FX1007" s="1">
        <v>17665</v>
      </c>
      <c r="FY1007" s="1" t="s">
        <v>10880</v>
      </c>
      <c r="FZ1007" s="1" t="s">
        <v>10881</v>
      </c>
      <c r="GA1007" s="1">
        <v>136353</v>
      </c>
      <c r="GB1007" s="1" t="s">
        <v>10882</v>
      </c>
      <c r="GE1007" s="1" t="s">
        <v>210</v>
      </c>
      <c r="GH1007" s="1" t="s">
        <v>421</v>
      </c>
      <c r="GI1007" s="1" t="s">
        <v>213</v>
      </c>
      <c r="GJ1007" s="1" t="s">
        <v>260</v>
      </c>
      <c r="GK1007" s="1" t="s">
        <v>210</v>
      </c>
      <c r="GL1007" s="2">
        <v>42026</v>
      </c>
      <c r="GM1007" s="1" t="s">
        <v>10883</v>
      </c>
    </row>
    <row r="1008" spans="1:195">
      <c r="A1008" s="1">
        <v>150000</v>
      </c>
      <c r="B1008" s="1" t="s">
        <v>195</v>
      </c>
      <c r="C1008" s="1" t="str">
        <f>"08656559"</f>
        <v>08656559</v>
      </c>
      <c r="D1008" s="1" t="s">
        <v>196</v>
      </c>
      <c r="F1008" s="1" t="str">
        <f t="shared" si="775"/>
        <v>8041</v>
      </c>
      <c r="G1008" s="2">
        <v>41816</v>
      </c>
      <c r="H1008" s="1">
        <v>159000</v>
      </c>
      <c r="I1008" s="1">
        <v>155000</v>
      </c>
      <c r="J1008" s="1">
        <v>150000</v>
      </c>
      <c r="K1008" s="2">
        <v>41816</v>
      </c>
      <c r="L1008" s="1">
        <v>172</v>
      </c>
      <c r="M1008" s="2">
        <v>41987</v>
      </c>
      <c r="N1008" s="1">
        <v>172</v>
      </c>
      <c r="O1008" s="2">
        <v>41987</v>
      </c>
      <c r="P1008" s="1">
        <v>12937</v>
      </c>
      <c r="Q1008" s="1" t="s">
        <v>302</v>
      </c>
      <c r="R1008" s="2">
        <v>42025</v>
      </c>
      <c r="S1008" s="1">
        <v>119804</v>
      </c>
      <c r="U1008" s="1">
        <v>5201</v>
      </c>
      <c r="V1008" s="1" t="s">
        <v>10884</v>
      </c>
      <c r="W1008" s="1" t="s">
        <v>425</v>
      </c>
      <c r="X1008" s="1" t="s">
        <v>6946</v>
      </c>
      <c r="Y1008" s="1">
        <v>148</v>
      </c>
      <c r="Z1008" s="1" t="s">
        <v>249</v>
      </c>
      <c r="AA1008" s="1" t="s">
        <v>400</v>
      </c>
      <c r="AB1008" s="1">
        <v>60615</v>
      </c>
      <c r="AE1008" s="1" t="s">
        <v>10885</v>
      </c>
      <c r="AF1008" s="1">
        <v>1969</v>
      </c>
      <c r="AG1008" s="1" t="s">
        <v>213</v>
      </c>
      <c r="AH1008" s="1" t="s">
        <v>403</v>
      </c>
      <c r="AI1008" s="1" t="s">
        <v>310</v>
      </c>
      <c r="AJ1008" s="1" t="s">
        <v>562</v>
      </c>
      <c r="AL1008" s="1">
        <v>5</v>
      </c>
      <c r="AM1008" s="1">
        <v>2</v>
      </c>
      <c r="AN1008" s="1">
        <v>2</v>
      </c>
      <c r="AO1008" s="1">
        <v>0</v>
      </c>
      <c r="AP1008" s="1" t="s">
        <v>209</v>
      </c>
      <c r="AR1008" s="1" t="s">
        <v>209</v>
      </c>
      <c r="AS1008" s="1" t="s">
        <v>213</v>
      </c>
      <c r="AT1008" s="1" t="s">
        <v>211</v>
      </c>
      <c r="AU1008" s="1">
        <v>1</v>
      </c>
      <c r="AW1008" s="1" t="s">
        <v>204</v>
      </c>
      <c r="AX1008" s="1" t="s">
        <v>10886</v>
      </c>
      <c r="AZ1008" s="1">
        <v>1946.11</v>
      </c>
      <c r="BA1008" s="1">
        <v>2012</v>
      </c>
      <c r="BB1008" s="1" t="s">
        <v>210</v>
      </c>
      <c r="BE1008" s="1">
        <v>1200</v>
      </c>
      <c r="BF1008" s="1">
        <v>14</v>
      </c>
      <c r="BG1008" s="1">
        <v>30</v>
      </c>
      <c r="BI1008" s="1">
        <v>125</v>
      </c>
      <c r="BL1008" s="1">
        <v>871</v>
      </c>
      <c r="BM1008" s="1" t="s">
        <v>204</v>
      </c>
      <c r="BN1008" s="1" t="s">
        <v>213</v>
      </c>
      <c r="BO1008" s="1">
        <v>999</v>
      </c>
      <c r="BP1008" s="1" t="s">
        <v>204</v>
      </c>
      <c r="BR1008" s="1" t="str">
        <f>"20121080391135"</f>
        <v>20121080391135</v>
      </c>
      <c r="BT1008" s="1" t="s">
        <v>10887</v>
      </c>
      <c r="BX1008" s="1">
        <v>299</v>
      </c>
      <c r="BY1008" s="1">
        <v>299</v>
      </c>
      <c r="BZ1008" s="1">
        <v>299</v>
      </c>
      <c r="CB1008" s="1" t="str">
        <f t="shared" si="776"/>
        <v>0</v>
      </c>
      <c r="CC1008" s="1" t="str">
        <f>"1600"</f>
        <v>1600</v>
      </c>
      <c r="CD1008" s="1">
        <v>0</v>
      </c>
      <c r="CE1008" s="1">
        <v>5201</v>
      </c>
      <c r="CG1008" s="1" t="s">
        <v>669</v>
      </c>
      <c r="CH1008" s="1" t="s">
        <v>219</v>
      </c>
      <c r="CI1008" s="1" t="s">
        <v>438</v>
      </c>
      <c r="CK1008" s="1" t="s">
        <v>602</v>
      </c>
      <c r="CL1008" s="1" t="s">
        <v>219</v>
      </c>
      <c r="CM1008" s="1" t="s">
        <v>220</v>
      </c>
      <c r="CO1008" s="1" t="s">
        <v>1533</v>
      </c>
      <c r="CP1008" s="1" t="s">
        <v>219</v>
      </c>
      <c r="CQ1008" s="1" t="s">
        <v>438</v>
      </c>
      <c r="CS1008" s="1" t="s">
        <v>379</v>
      </c>
      <c r="CT1008" s="1" t="s">
        <v>219</v>
      </c>
      <c r="CU1008" s="1" t="s">
        <v>220</v>
      </c>
      <c r="CX1008" s="1" t="s">
        <v>224</v>
      </c>
      <c r="DB1008" s="1" t="s">
        <v>224</v>
      </c>
      <c r="DE1008" s="1" t="s">
        <v>1571</v>
      </c>
      <c r="DF1008" s="1" t="s">
        <v>219</v>
      </c>
      <c r="DJ1008" s="1" t="s">
        <v>224</v>
      </c>
      <c r="DS1008" s="1" t="s">
        <v>230</v>
      </c>
      <c r="DW1008" s="1" t="s">
        <v>230</v>
      </c>
      <c r="EA1008" s="1" t="s">
        <v>230</v>
      </c>
      <c r="EE1008" s="1" t="s">
        <v>230</v>
      </c>
      <c r="EI1008" s="1" t="s">
        <v>230</v>
      </c>
      <c r="EL1008" s="1" t="s">
        <v>605</v>
      </c>
      <c r="EM1008" s="1" t="s">
        <v>232</v>
      </c>
      <c r="EN1008" s="1" t="s">
        <v>282</v>
      </c>
      <c r="EO1008" s="1" t="s">
        <v>234</v>
      </c>
      <c r="EP1008" s="1" t="s">
        <v>10888</v>
      </c>
      <c r="EQ1008" s="1" t="s">
        <v>953</v>
      </c>
      <c r="ER1008" s="1" t="s">
        <v>544</v>
      </c>
      <c r="ES1008" s="1" t="s">
        <v>322</v>
      </c>
      <c r="EU1008" s="1" t="s">
        <v>2059</v>
      </c>
      <c r="EV1008" s="1" t="s">
        <v>240</v>
      </c>
      <c r="EW1008" s="1" t="s">
        <v>10889</v>
      </c>
      <c r="EY1008" s="1" t="s">
        <v>441</v>
      </c>
      <c r="EZ1008" s="1" t="s">
        <v>287</v>
      </c>
      <c r="FC1008" s="1" t="s">
        <v>10890</v>
      </c>
      <c r="FD1008" s="1" t="s">
        <v>246</v>
      </c>
      <c r="FE1008" s="1" t="s">
        <v>10891</v>
      </c>
      <c r="FF1008" s="1" t="s">
        <v>248</v>
      </c>
      <c r="FH1008" s="1" t="s">
        <v>2432</v>
      </c>
      <c r="FI1008" s="1" t="s">
        <v>250</v>
      </c>
      <c r="FJ1008" s="1" t="s">
        <v>197</v>
      </c>
      <c r="FL1008" s="1" t="s">
        <v>5090</v>
      </c>
      <c r="FM1008" s="1" t="s">
        <v>252</v>
      </c>
      <c r="FN1008" s="1" t="s">
        <v>213</v>
      </c>
      <c r="FO1008" s="1" t="s">
        <v>213</v>
      </c>
      <c r="FQ1008" s="1" t="s">
        <v>3784</v>
      </c>
      <c r="FR1008" s="1" t="s">
        <v>210</v>
      </c>
      <c r="FS1008" s="1" t="s">
        <v>10892</v>
      </c>
      <c r="FT1008" s="1" t="s">
        <v>1182</v>
      </c>
      <c r="FU1008" s="1" t="s">
        <v>204</v>
      </c>
      <c r="FW1008" s="1" t="s">
        <v>10893</v>
      </c>
      <c r="FX1008" s="1">
        <v>85110</v>
      </c>
      <c r="FY1008" s="1" t="s">
        <v>10894</v>
      </c>
      <c r="FZ1008" s="1" t="s">
        <v>10895</v>
      </c>
      <c r="GA1008" s="1">
        <v>184554</v>
      </c>
      <c r="GB1008" s="1" t="s">
        <v>10896</v>
      </c>
      <c r="GD1008" s="1" t="s">
        <v>10897</v>
      </c>
      <c r="GE1008" s="1" t="s">
        <v>2504</v>
      </c>
      <c r="GH1008" s="1" t="s">
        <v>421</v>
      </c>
      <c r="GI1008" s="1" t="s">
        <v>213</v>
      </c>
      <c r="GJ1008" s="1" t="s">
        <v>260</v>
      </c>
      <c r="GK1008" s="1" t="s">
        <v>210</v>
      </c>
      <c r="GL1008" s="2">
        <v>42025</v>
      </c>
      <c r="GM1008" s="1" t="s">
        <v>10898</v>
      </c>
    </row>
    <row r="1009" spans="1:195">
      <c r="A1009" s="1">
        <v>110000</v>
      </c>
      <c r="B1009" s="1" t="s">
        <v>195</v>
      </c>
      <c r="C1009" s="1" t="str">
        <f>"08645719"</f>
        <v>08645719</v>
      </c>
      <c r="D1009" s="1" t="s">
        <v>196</v>
      </c>
      <c r="F1009" s="1" t="str">
        <f>"8056"</f>
        <v>8056</v>
      </c>
      <c r="G1009" s="2">
        <v>41806</v>
      </c>
      <c r="H1009" s="1">
        <v>131900</v>
      </c>
      <c r="I1009" s="1">
        <v>114900</v>
      </c>
      <c r="J1009" s="1">
        <v>110000</v>
      </c>
      <c r="K1009" s="2">
        <v>41803</v>
      </c>
      <c r="L1009" s="1">
        <v>230</v>
      </c>
      <c r="M1009" s="2">
        <v>42032</v>
      </c>
      <c r="N1009" s="1">
        <v>230</v>
      </c>
      <c r="O1009" s="2">
        <v>42032</v>
      </c>
      <c r="P1009" s="1">
        <v>85636</v>
      </c>
      <c r="Q1009" s="1" t="s">
        <v>197</v>
      </c>
      <c r="R1009" s="2">
        <v>42038</v>
      </c>
      <c r="S1009" s="1">
        <v>154469</v>
      </c>
      <c r="U1009" s="1">
        <v>5710</v>
      </c>
      <c r="V1009" s="1" t="s">
        <v>3144</v>
      </c>
      <c r="W1009" s="1" t="s">
        <v>425</v>
      </c>
      <c r="X1009" s="1" t="s">
        <v>4883</v>
      </c>
      <c r="Y1009" s="1">
        <v>11</v>
      </c>
      <c r="Z1009" s="1" t="s">
        <v>200</v>
      </c>
      <c r="AA1009" s="1" t="s">
        <v>400</v>
      </c>
      <c r="AB1009" s="1">
        <v>60638</v>
      </c>
      <c r="AE1009" s="1" t="s">
        <v>10899</v>
      </c>
      <c r="AF1009" s="1">
        <v>1976</v>
      </c>
      <c r="AG1009" s="1" t="s">
        <v>213</v>
      </c>
      <c r="AH1009" s="1" t="s">
        <v>403</v>
      </c>
      <c r="AI1009" s="1" t="s">
        <v>310</v>
      </c>
      <c r="AJ1009" s="1" t="s">
        <v>683</v>
      </c>
      <c r="AK1009" s="1" t="s">
        <v>270</v>
      </c>
      <c r="AL1009" s="1">
        <v>4</v>
      </c>
      <c r="AM1009" s="1">
        <v>2</v>
      </c>
      <c r="AN1009" s="1">
        <v>1</v>
      </c>
      <c r="AO1009" s="1">
        <v>0</v>
      </c>
      <c r="AP1009" s="1" t="s">
        <v>210</v>
      </c>
      <c r="AQ1009" s="1">
        <v>0</v>
      </c>
      <c r="AR1009" s="1" t="s">
        <v>210</v>
      </c>
      <c r="AS1009" s="1" t="s">
        <v>204</v>
      </c>
      <c r="AT1009" s="1" t="s">
        <v>271</v>
      </c>
      <c r="AV1009" s="1">
        <v>2</v>
      </c>
      <c r="AW1009" s="1" t="s">
        <v>204</v>
      </c>
      <c r="AX1009" s="1" t="s">
        <v>212</v>
      </c>
      <c r="AZ1009" s="1">
        <v>805</v>
      </c>
      <c r="BA1009" s="1">
        <v>2012</v>
      </c>
      <c r="BB1009" s="1" t="s">
        <v>3262</v>
      </c>
      <c r="BC1009" s="1">
        <v>0</v>
      </c>
      <c r="BE1009" s="1">
        <v>0</v>
      </c>
      <c r="BF1009" s="1">
        <v>1</v>
      </c>
      <c r="BG1009" s="1">
        <v>7</v>
      </c>
      <c r="BJ1009" s="1">
        <v>98</v>
      </c>
      <c r="BK1009" s="1">
        <v>100</v>
      </c>
      <c r="BL1009" s="1">
        <v>135</v>
      </c>
      <c r="BM1009" s="1" t="s">
        <v>204</v>
      </c>
      <c r="BN1009" s="1" t="s">
        <v>213</v>
      </c>
      <c r="BO1009" s="1">
        <v>30</v>
      </c>
      <c r="BP1009" s="1" t="s">
        <v>204</v>
      </c>
      <c r="BR1009" s="1" t="str">
        <f>"19093140301003"</f>
        <v>19093140301003</v>
      </c>
      <c r="BT1009" s="1" t="s">
        <v>10900</v>
      </c>
      <c r="BX1009" s="1">
        <v>299</v>
      </c>
      <c r="BY1009" s="1">
        <v>299</v>
      </c>
      <c r="BZ1009" s="1">
        <v>299</v>
      </c>
      <c r="CB1009" s="1" t="str">
        <f t="shared" si="776"/>
        <v>0</v>
      </c>
      <c r="CC1009" s="1" t="str">
        <f>"0"</f>
        <v>0</v>
      </c>
      <c r="CD1009" s="1">
        <v>5300</v>
      </c>
      <c r="CE1009" s="1">
        <v>5710</v>
      </c>
      <c r="CG1009" s="1" t="s">
        <v>228</v>
      </c>
      <c r="CH1009" s="1" t="s">
        <v>219</v>
      </c>
      <c r="CI1009" s="1" t="s">
        <v>220</v>
      </c>
      <c r="CJ1009" s="1" t="s">
        <v>252</v>
      </c>
      <c r="CK1009" s="1" t="s">
        <v>932</v>
      </c>
      <c r="CL1009" s="1" t="s">
        <v>219</v>
      </c>
      <c r="CM1009" s="1" t="s">
        <v>220</v>
      </c>
      <c r="CN1009" s="1" t="s">
        <v>252</v>
      </c>
      <c r="CP1009" s="1" t="s">
        <v>224</v>
      </c>
      <c r="CS1009" s="1" t="s">
        <v>346</v>
      </c>
      <c r="CT1009" s="1" t="s">
        <v>219</v>
      </c>
      <c r="CU1009" s="1" t="s">
        <v>220</v>
      </c>
      <c r="CV1009" s="1" t="s">
        <v>252</v>
      </c>
      <c r="CX1009" s="1" t="s">
        <v>224</v>
      </c>
      <c r="DB1009" s="1" t="s">
        <v>224</v>
      </c>
      <c r="DE1009" s="1" t="s">
        <v>223</v>
      </c>
      <c r="DF1009" s="1" t="s">
        <v>219</v>
      </c>
      <c r="DG1009" s="1" t="s">
        <v>226</v>
      </c>
      <c r="DH1009" s="1" t="s">
        <v>210</v>
      </c>
      <c r="DJ1009" s="1" t="s">
        <v>224</v>
      </c>
      <c r="DS1009" s="1" t="s">
        <v>230</v>
      </c>
      <c r="DW1009" s="1" t="s">
        <v>230</v>
      </c>
      <c r="EA1009" s="1" t="s">
        <v>230</v>
      </c>
      <c r="EE1009" s="1" t="s">
        <v>230</v>
      </c>
      <c r="EI1009" s="1" t="s">
        <v>230</v>
      </c>
      <c r="EL1009" s="1" t="s">
        <v>231</v>
      </c>
      <c r="EM1009" s="1" t="s">
        <v>232</v>
      </c>
      <c r="EN1009" s="1" t="s">
        <v>282</v>
      </c>
      <c r="EO1009" s="1" t="s">
        <v>840</v>
      </c>
      <c r="EQ1009" s="1" t="s">
        <v>2994</v>
      </c>
      <c r="ER1009" s="1" t="s">
        <v>210</v>
      </c>
      <c r="ES1009" s="1" t="s">
        <v>545</v>
      </c>
      <c r="EV1009" s="1" t="s">
        <v>324</v>
      </c>
      <c r="EW1009" s="1" t="s">
        <v>937</v>
      </c>
      <c r="EY1009" s="1" t="s">
        <v>242</v>
      </c>
      <c r="EZ1009" s="1" t="s">
        <v>287</v>
      </c>
      <c r="FC1009" s="1" t="s">
        <v>1362</v>
      </c>
      <c r="FD1009" s="1" t="s">
        <v>290</v>
      </c>
      <c r="FE1009" s="1" t="s">
        <v>247</v>
      </c>
      <c r="FF1009" s="1" t="s">
        <v>248</v>
      </c>
      <c r="FH1009" s="1" t="s">
        <v>249</v>
      </c>
      <c r="FJ1009" s="1" t="s">
        <v>518</v>
      </c>
      <c r="FK1009" s="1" t="s">
        <v>688</v>
      </c>
      <c r="FL1009" s="1" t="s">
        <v>1826</v>
      </c>
      <c r="FM1009" s="1" t="s">
        <v>252</v>
      </c>
      <c r="FN1009" s="1" t="s">
        <v>213</v>
      </c>
      <c r="FO1009" s="1" t="s">
        <v>213</v>
      </c>
      <c r="FQ1009" s="1" t="s">
        <v>4425</v>
      </c>
      <c r="FR1009" s="1" t="s">
        <v>652</v>
      </c>
      <c r="FS1009" s="1" t="s">
        <v>10901</v>
      </c>
      <c r="FT1009" s="1" t="s">
        <v>255</v>
      </c>
      <c r="FU1009" s="1" t="s">
        <v>204</v>
      </c>
      <c r="FW1009" s="1" t="s">
        <v>10902</v>
      </c>
      <c r="FX1009" s="1">
        <v>24945</v>
      </c>
      <c r="FY1009" s="1" t="s">
        <v>10903</v>
      </c>
      <c r="FZ1009" s="1" t="s">
        <v>10904</v>
      </c>
      <c r="GA1009" s="1">
        <v>601321</v>
      </c>
      <c r="GB1009" s="1" t="s">
        <v>10905</v>
      </c>
      <c r="GD1009" s="1" t="s">
        <v>10906</v>
      </c>
      <c r="GE1009" s="1" t="s">
        <v>2504</v>
      </c>
      <c r="GH1009" s="1" t="s">
        <v>421</v>
      </c>
      <c r="GI1009" s="1" t="s">
        <v>213</v>
      </c>
      <c r="GJ1009" s="1" t="s">
        <v>260</v>
      </c>
      <c r="GK1009" s="1" t="s">
        <v>210</v>
      </c>
      <c r="GL1009" s="2">
        <v>42039</v>
      </c>
      <c r="GM1009" s="1" t="s">
        <v>10907</v>
      </c>
    </row>
    <row r="1010" spans="1:195">
      <c r="A1010" s="1">
        <v>168500</v>
      </c>
      <c r="B1010" s="1" t="s">
        <v>195</v>
      </c>
      <c r="C1010" s="1" t="str">
        <f>"08651486"</f>
        <v>08651486</v>
      </c>
      <c r="D1010" s="1" t="s">
        <v>196</v>
      </c>
      <c r="F1010" s="1" t="str">
        <f>"164"</f>
        <v>164</v>
      </c>
      <c r="G1010" s="2">
        <v>41810</v>
      </c>
      <c r="H1010" s="1">
        <v>169900</v>
      </c>
      <c r="I1010" s="1">
        <v>169900</v>
      </c>
      <c r="J1010" s="1">
        <v>168500</v>
      </c>
      <c r="K1010" s="2">
        <v>41810</v>
      </c>
      <c r="L1010" s="1">
        <v>82</v>
      </c>
      <c r="M1010" s="2">
        <v>41891</v>
      </c>
      <c r="N1010" s="1">
        <v>82</v>
      </c>
      <c r="O1010" s="2">
        <v>41891</v>
      </c>
      <c r="P1010" s="1">
        <v>84729</v>
      </c>
      <c r="Q1010" s="1" t="s">
        <v>197</v>
      </c>
      <c r="R1010" s="2">
        <v>42039</v>
      </c>
      <c r="S1010" s="1">
        <v>849154</v>
      </c>
      <c r="U1010" s="1">
        <v>77</v>
      </c>
      <c r="V1010" s="1" t="s">
        <v>5770</v>
      </c>
      <c r="W1010" s="1" t="s">
        <v>1056</v>
      </c>
      <c r="X1010" s="1">
        <v>612</v>
      </c>
      <c r="Y1010" s="1">
        <v>60</v>
      </c>
      <c r="Z1010" s="1" t="s">
        <v>249</v>
      </c>
      <c r="AA1010" s="1" t="s">
        <v>5771</v>
      </c>
      <c r="AB1010" s="1">
        <v>60164</v>
      </c>
      <c r="AD1010" s="1" t="s">
        <v>10908</v>
      </c>
      <c r="AE1010" s="1" t="s">
        <v>10909</v>
      </c>
      <c r="AF1010" s="1">
        <v>2008</v>
      </c>
      <c r="AG1010" s="1" t="s">
        <v>204</v>
      </c>
      <c r="AH1010" s="1" t="s">
        <v>5773</v>
      </c>
      <c r="AI1010" s="1" t="s">
        <v>310</v>
      </c>
      <c r="AJ1010" s="1" t="s">
        <v>311</v>
      </c>
      <c r="AK1010" s="1" t="s">
        <v>9907</v>
      </c>
      <c r="AL1010" s="1">
        <v>5</v>
      </c>
      <c r="AM1010" s="1">
        <v>2</v>
      </c>
      <c r="AN1010" s="1">
        <v>2</v>
      </c>
      <c r="AO1010" s="1">
        <v>0</v>
      </c>
      <c r="AP1010" s="1" t="s">
        <v>209</v>
      </c>
      <c r="AR1010" s="1" t="s">
        <v>210</v>
      </c>
      <c r="AT1010" s="1" t="s">
        <v>375</v>
      </c>
      <c r="AU1010" s="1">
        <v>1</v>
      </c>
      <c r="AV1010" s="1">
        <v>1</v>
      </c>
      <c r="AW1010" s="1" t="s">
        <v>204</v>
      </c>
      <c r="AX1010" s="1">
        <v>0</v>
      </c>
      <c r="AZ1010" s="1">
        <v>545.04</v>
      </c>
      <c r="BA1010" s="1">
        <v>2012</v>
      </c>
      <c r="BB1010" s="1" t="s">
        <v>210</v>
      </c>
      <c r="BE1010" s="1">
        <v>1240</v>
      </c>
      <c r="BF1010" s="1">
        <v>612</v>
      </c>
      <c r="BG1010" s="1">
        <v>0</v>
      </c>
      <c r="BL1010" s="1">
        <v>250</v>
      </c>
      <c r="BM1010" s="1" t="s">
        <v>204</v>
      </c>
      <c r="BN1010" s="1" t="s">
        <v>213</v>
      </c>
      <c r="BO1010" s="1">
        <v>50</v>
      </c>
      <c r="BP1010" s="1" t="s">
        <v>204</v>
      </c>
      <c r="BR1010" s="1" t="str">
        <f>"12323210201060"</f>
        <v>12323210201060</v>
      </c>
      <c r="BT1010" s="1" t="s">
        <v>10910</v>
      </c>
      <c r="BV1010" s="1" t="s">
        <v>2760</v>
      </c>
      <c r="BW1010" s="1" t="s">
        <v>5776</v>
      </c>
      <c r="BX1010" s="1">
        <v>87</v>
      </c>
      <c r="BY1010" s="1">
        <v>87</v>
      </c>
      <c r="BZ1010" s="1">
        <v>212</v>
      </c>
      <c r="CB1010" s="1" t="str">
        <f t="shared" ref="CB1010:CC1010" si="777">""</f>
        <v/>
      </c>
      <c r="CC1010" s="1" t="str">
        <f t="shared" si="777"/>
        <v/>
      </c>
      <c r="CG1010" s="1" t="s">
        <v>3035</v>
      </c>
      <c r="CH1010" s="1" t="s">
        <v>219</v>
      </c>
      <c r="CI1010" s="1" t="s">
        <v>220</v>
      </c>
      <c r="CJ1010" s="1" t="s">
        <v>210</v>
      </c>
      <c r="CK1010" s="1" t="s">
        <v>539</v>
      </c>
      <c r="CL1010" s="1" t="s">
        <v>219</v>
      </c>
      <c r="CM1010" s="1" t="s">
        <v>220</v>
      </c>
      <c r="CN1010" s="1" t="s">
        <v>210</v>
      </c>
      <c r="CO1010" s="1" t="s">
        <v>629</v>
      </c>
      <c r="CP1010" s="1" t="s">
        <v>219</v>
      </c>
      <c r="CQ1010" s="1" t="s">
        <v>220</v>
      </c>
      <c r="CR1010" s="1" t="s">
        <v>210</v>
      </c>
      <c r="CS1010" s="1" t="s">
        <v>465</v>
      </c>
      <c r="CT1010" s="1" t="s">
        <v>219</v>
      </c>
      <c r="CU1010" s="1" t="s">
        <v>220</v>
      </c>
      <c r="CV1010" s="1" t="s">
        <v>210</v>
      </c>
      <c r="CX1010" s="1" t="s">
        <v>224</v>
      </c>
      <c r="DB1010" s="1" t="s">
        <v>224</v>
      </c>
      <c r="DE1010" s="1" t="s">
        <v>972</v>
      </c>
      <c r="DF1010" s="1" t="s">
        <v>219</v>
      </c>
      <c r="DG1010" s="1" t="s">
        <v>342</v>
      </c>
      <c r="DH1010" s="1" t="s">
        <v>210</v>
      </c>
      <c r="DJ1010" s="1" t="s">
        <v>224</v>
      </c>
      <c r="DM1010" s="1" t="s">
        <v>838</v>
      </c>
      <c r="DR1010" s="1" t="s">
        <v>8909</v>
      </c>
      <c r="DS1010" s="1" t="s">
        <v>219</v>
      </c>
      <c r="DW1010" s="1" t="s">
        <v>230</v>
      </c>
      <c r="EA1010" s="1" t="s">
        <v>230</v>
      </c>
      <c r="EE1010" s="1" t="s">
        <v>230</v>
      </c>
      <c r="EI1010" s="1" t="s">
        <v>230</v>
      </c>
      <c r="EL1010" s="1" t="s">
        <v>491</v>
      </c>
      <c r="EM1010" s="1" t="s">
        <v>319</v>
      </c>
      <c r="EN1010" s="1" t="s">
        <v>282</v>
      </c>
      <c r="EO1010" s="1" t="s">
        <v>234</v>
      </c>
      <c r="EP1010" s="1" t="s">
        <v>10476</v>
      </c>
      <c r="ER1010" s="1" t="s">
        <v>210</v>
      </c>
      <c r="EW1010" s="1" t="s">
        <v>10911</v>
      </c>
      <c r="EY1010" s="1" t="s">
        <v>242</v>
      </c>
      <c r="EZ1010" s="1" t="s">
        <v>838</v>
      </c>
      <c r="FB1010" s="1" t="s">
        <v>289</v>
      </c>
      <c r="FC1010" s="1" t="s">
        <v>633</v>
      </c>
      <c r="FD1010" s="1" t="s">
        <v>246</v>
      </c>
      <c r="FE1010" s="1" t="s">
        <v>247</v>
      </c>
      <c r="FF1010" s="1" t="s">
        <v>248</v>
      </c>
      <c r="FH1010" s="1" t="s">
        <v>249</v>
      </c>
      <c r="FI1010" s="1" t="s">
        <v>634</v>
      </c>
      <c r="FJ1010" s="1" t="s">
        <v>10912</v>
      </c>
      <c r="FK1010" s="1" t="s">
        <v>10913</v>
      </c>
      <c r="FL1010" s="1" t="s">
        <v>414</v>
      </c>
      <c r="FM1010" s="1" t="s">
        <v>252</v>
      </c>
      <c r="FN1010" s="1" t="s">
        <v>213</v>
      </c>
      <c r="FO1010" s="1" t="s">
        <v>213</v>
      </c>
      <c r="FQ1010" s="1" t="s">
        <v>10914</v>
      </c>
      <c r="FR1010" s="1" t="s">
        <v>210</v>
      </c>
      <c r="FS1010" s="1" t="s">
        <v>10915</v>
      </c>
      <c r="FT1010" s="1" t="s">
        <v>295</v>
      </c>
      <c r="FU1010" s="1" t="s">
        <v>204</v>
      </c>
      <c r="FW1010" s="1" t="s">
        <v>10916</v>
      </c>
      <c r="FX1010" s="1">
        <v>85277</v>
      </c>
      <c r="FY1010" s="1" t="s">
        <v>10917</v>
      </c>
      <c r="FZ1010" s="1" t="s">
        <v>10918</v>
      </c>
      <c r="GA1010" s="1">
        <v>840837</v>
      </c>
      <c r="GB1010" s="1" t="s">
        <v>10917</v>
      </c>
      <c r="GD1010" s="1" t="s">
        <v>10919</v>
      </c>
      <c r="GE1010" s="1" t="s">
        <v>210</v>
      </c>
      <c r="GH1010" s="1" t="s">
        <v>230</v>
      </c>
      <c r="GI1010" s="1" t="s">
        <v>213</v>
      </c>
      <c r="GJ1010" s="1" t="s">
        <v>260</v>
      </c>
      <c r="GK1010" s="1" t="s">
        <v>210</v>
      </c>
      <c r="GL1010" s="2">
        <v>42048</v>
      </c>
      <c r="GM1010" s="1" t="s">
        <v>10920</v>
      </c>
    </row>
    <row r="1011" spans="1:195">
      <c r="A1011" s="1">
        <v>24000</v>
      </c>
      <c r="B1011" s="1" t="s">
        <v>195</v>
      </c>
      <c r="C1011" s="1" t="str">
        <f>"08649246"</f>
        <v>08649246</v>
      </c>
      <c r="D1011" s="1" t="s">
        <v>196</v>
      </c>
      <c r="F1011" s="1" t="str">
        <f>"153"</f>
        <v>153</v>
      </c>
      <c r="G1011" s="2">
        <v>41808</v>
      </c>
      <c r="H1011" s="1">
        <v>29900</v>
      </c>
      <c r="I1011" s="1">
        <v>29900</v>
      </c>
      <c r="J1011" s="1">
        <v>24000</v>
      </c>
      <c r="K1011" s="2">
        <v>41808</v>
      </c>
      <c r="L1011" s="1">
        <v>208</v>
      </c>
      <c r="M1011" s="2">
        <v>42015</v>
      </c>
      <c r="N1011" s="1">
        <v>208</v>
      </c>
      <c r="O1011" s="2">
        <v>42015</v>
      </c>
      <c r="P1011" s="1">
        <v>24417</v>
      </c>
      <c r="Q1011" s="1" t="s">
        <v>302</v>
      </c>
      <c r="R1011" s="2">
        <v>42048</v>
      </c>
      <c r="S1011" s="1">
        <v>223815</v>
      </c>
      <c r="U1011" s="1">
        <v>1204</v>
      </c>
      <c r="V1011" s="1" t="s">
        <v>4244</v>
      </c>
      <c r="W1011" s="1" t="s">
        <v>425</v>
      </c>
      <c r="X1011" s="1" t="s">
        <v>1688</v>
      </c>
      <c r="Y1011" s="1">
        <v>4</v>
      </c>
      <c r="Z1011" s="1" t="s">
        <v>200</v>
      </c>
      <c r="AA1011" s="1" t="s">
        <v>7462</v>
      </c>
      <c r="AB1011" s="1">
        <v>60153</v>
      </c>
      <c r="AE1011" s="1" t="s">
        <v>10921</v>
      </c>
      <c r="AF1011" s="1">
        <v>1954</v>
      </c>
      <c r="AG1011" s="1" t="s">
        <v>213</v>
      </c>
      <c r="AH1011" s="1" t="s">
        <v>7464</v>
      </c>
      <c r="AI1011" s="1" t="s">
        <v>310</v>
      </c>
      <c r="AJ1011" s="1" t="s">
        <v>429</v>
      </c>
      <c r="AL1011" s="1">
        <v>4</v>
      </c>
      <c r="AM1011" s="1">
        <v>2</v>
      </c>
      <c r="AN1011" s="1">
        <v>1</v>
      </c>
      <c r="AO1011" s="1">
        <v>0</v>
      </c>
      <c r="AP1011" s="1" t="s">
        <v>210</v>
      </c>
      <c r="AR1011" s="1" t="s">
        <v>209</v>
      </c>
      <c r="AS1011" s="1" t="s">
        <v>204</v>
      </c>
      <c r="AT1011" s="1" t="s">
        <v>271</v>
      </c>
      <c r="AV1011" s="1">
        <v>1</v>
      </c>
      <c r="AW1011" s="1" t="s">
        <v>204</v>
      </c>
      <c r="AX1011" s="1" t="s">
        <v>10922</v>
      </c>
      <c r="AZ1011" s="1">
        <v>3013.94</v>
      </c>
      <c r="BA1011" s="1">
        <v>2012</v>
      </c>
      <c r="BE1011" s="1">
        <v>1000</v>
      </c>
      <c r="BF1011" s="1">
        <v>1</v>
      </c>
      <c r="BG1011" s="1">
        <v>0</v>
      </c>
      <c r="BL1011" s="1">
        <v>0</v>
      </c>
      <c r="BM1011" s="1" t="s">
        <v>204</v>
      </c>
      <c r="BN1011" s="1" t="s">
        <v>213</v>
      </c>
      <c r="BO1011" s="1">
        <v>50</v>
      </c>
      <c r="BP1011" s="1" t="s">
        <v>204</v>
      </c>
      <c r="BR1011" s="1" t="str">
        <f>"15152090360000"</f>
        <v>15152090360000</v>
      </c>
      <c r="BT1011" s="1" t="s">
        <v>10923</v>
      </c>
      <c r="BX1011" s="1">
        <v>89</v>
      </c>
      <c r="BY1011" s="1">
        <v>89</v>
      </c>
      <c r="BZ1011" s="1">
        <v>209</v>
      </c>
      <c r="CB1011" s="1" t="str">
        <f t="shared" ref="CB1011:CC1011" si="778">""</f>
        <v/>
      </c>
      <c r="CC1011" s="1" t="str">
        <f t="shared" si="778"/>
        <v/>
      </c>
      <c r="CD1011" s="1">
        <v>1600</v>
      </c>
      <c r="CE1011" s="1">
        <v>1200</v>
      </c>
      <c r="CG1011" s="1" t="s">
        <v>1358</v>
      </c>
      <c r="CH1011" s="1" t="s">
        <v>219</v>
      </c>
      <c r="CI1011" s="1" t="s">
        <v>220</v>
      </c>
      <c r="CJ1011" s="1" t="s">
        <v>252</v>
      </c>
      <c r="CK1011" s="1" t="s">
        <v>379</v>
      </c>
      <c r="CL1011" s="1" t="s">
        <v>277</v>
      </c>
      <c r="CM1011" s="1" t="s">
        <v>220</v>
      </c>
      <c r="CN1011" s="1" t="s">
        <v>252</v>
      </c>
      <c r="CP1011" s="1" t="s">
        <v>224</v>
      </c>
      <c r="CS1011" s="1" t="s">
        <v>346</v>
      </c>
      <c r="CT1011" s="1" t="s">
        <v>277</v>
      </c>
      <c r="CU1011" s="1" t="s">
        <v>220</v>
      </c>
      <c r="CV1011" s="1" t="s">
        <v>252</v>
      </c>
      <c r="CX1011" s="1" t="s">
        <v>224</v>
      </c>
      <c r="DB1011" s="1" t="s">
        <v>224</v>
      </c>
      <c r="DE1011" s="1" t="s">
        <v>318</v>
      </c>
      <c r="DF1011" s="1" t="s">
        <v>219</v>
      </c>
      <c r="DG1011" s="1" t="s">
        <v>342</v>
      </c>
      <c r="DH1011" s="1" t="s">
        <v>252</v>
      </c>
      <c r="DJ1011" s="1" t="s">
        <v>224</v>
      </c>
      <c r="DS1011" s="1" t="s">
        <v>230</v>
      </c>
      <c r="DW1011" s="1" t="s">
        <v>230</v>
      </c>
      <c r="EA1011" s="1" t="s">
        <v>230</v>
      </c>
      <c r="EE1011" s="1" t="s">
        <v>230</v>
      </c>
      <c r="EI1011" s="1" t="s">
        <v>230</v>
      </c>
      <c r="EL1011" s="1" t="s">
        <v>649</v>
      </c>
      <c r="EM1011" s="1" t="s">
        <v>232</v>
      </c>
      <c r="EN1011" s="1" t="s">
        <v>210</v>
      </c>
      <c r="EO1011" s="1" t="s">
        <v>234</v>
      </c>
      <c r="ER1011" s="1" t="s">
        <v>544</v>
      </c>
      <c r="EW1011" s="1" t="s">
        <v>210</v>
      </c>
      <c r="EZ1011" s="1" t="s">
        <v>287</v>
      </c>
      <c r="FB1011" s="1" t="s">
        <v>734</v>
      </c>
      <c r="FD1011" s="1" t="s">
        <v>385</v>
      </c>
      <c r="FE1011" s="1" t="s">
        <v>247</v>
      </c>
      <c r="FF1011" s="1" t="s">
        <v>248</v>
      </c>
      <c r="FH1011" s="1" t="s">
        <v>442</v>
      </c>
      <c r="FL1011" s="1" t="s">
        <v>810</v>
      </c>
      <c r="FM1011" s="1" t="s">
        <v>252</v>
      </c>
      <c r="FN1011" s="1" t="s">
        <v>213</v>
      </c>
      <c r="FO1011" s="1" t="s">
        <v>213</v>
      </c>
      <c r="FQ1011" s="1" t="s">
        <v>8299</v>
      </c>
      <c r="FR1011" s="1" t="s">
        <v>210</v>
      </c>
      <c r="FS1011" s="1" t="s">
        <v>10924</v>
      </c>
      <c r="FT1011" s="1" t="s">
        <v>362</v>
      </c>
      <c r="FU1011" s="1" t="s">
        <v>204</v>
      </c>
      <c r="FW1011" s="1" t="s">
        <v>10925</v>
      </c>
      <c r="FX1011" s="1">
        <v>21215</v>
      </c>
      <c r="FY1011" s="1" t="s">
        <v>10926</v>
      </c>
      <c r="FZ1011" s="1" t="s">
        <v>10927</v>
      </c>
      <c r="GA1011" s="1">
        <v>223977</v>
      </c>
      <c r="GB1011" s="1" t="s">
        <v>10926</v>
      </c>
      <c r="GE1011" s="1" t="s">
        <v>210</v>
      </c>
      <c r="GH1011" s="1" t="s">
        <v>421</v>
      </c>
      <c r="GI1011" s="1" t="s">
        <v>213</v>
      </c>
      <c r="GJ1011" s="1" t="s">
        <v>300</v>
      </c>
      <c r="GK1011" s="1" t="s">
        <v>210</v>
      </c>
      <c r="GL1011" s="2">
        <v>42048</v>
      </c>
      <c r="GM1011" s="1" t="s">
        <v>10928</v>
      </c>
    </row>
    <row r="1012" spans="1:195">
      <c r="A1012" s="1">
        <v>198000</v>
      </c>
      <c r="B1012" s="1" t="s">
        <v>195</v>
      </c>
      <c r="C1012" s="1" t="str">
        <f>"08651674"</f>
        <v>08651674</v>
      </c>
      <c r="D1012" s="1" t="s">
        <v>196</v>
      </c>
      <c r="F1012" s="1" t="str">
        <f>"540"</f>
        <v>540</v>
      </c>
      <c r="G1012" s="2">
        <v>41810</v>
      </c>
      <c r="H1012" s="1">
        <v>234900</v>
      </c>
      <c r="I1012" s="1">
        <v>209900</v>
      </c>
      <c r="J1012" s="1">
        <v>198000</v>
      </c>
      <c r="K1012" s="2">
        <v>41810</v>
      </c>
      <c r="L1012" s="1">
        <v>177</v>
      </c>
      <c r="M1012" s="2">
        <v>41986</v>
      </c>
      <c r="N1012" s="1">
        <v>177</v>
      </c>
      <c r="O1012" s="2">
        <v>41986</v>
      </c>
      <c r="P1012" s="1">
        <v>23156</v>
      </c>
      <c r="Q1012" s="1" t="s">
        <v>197</v>
      </c>
      <c r="R1012" s="2">
        <v>42026</v>
      </c>
      <c r="S1012" s="1">
        <v>218669</v>
      </c>
      <c r="U1012" s="1">
        <v>1016</v>
      </c>
      <c r="V1012" s="1" t="s">
        <v>7851</v>
      </c>
      <c r="W1012" s="1" t="s">
        <v>425</v>
      </c>
      <c r="Y1012" s="1">
        <v>2</v>
      </c>
      <c r="Z1012" s="1" t="s">
        <v>370</v>
      </c>
      <c r="AA1012" s="1" t="s">
        <v>921</v>
      </c>
      <c r="AB1012" s="1">
        <v>60540</v>
      </c>
      <c r="AD1012" s="1" t="s">
        <v>10929</v>
      </c>
      <c r="AE1012" s="1" t="s">
        <v>10930</v>
      </c>
      <c r="AF1012" s="1">
        <v>1985</v>
      </c>
      <c r="AG1012" s="1" t="s">
        <v>204</v>
      </c>
      <c r="AH1012" s="1" t="s">
        <v>924</v>
      </c>
      <c r="AI1012" s="1" t="s">
        <v>206</v>
      </c>
      <c r="AJ1012" s="1" t="s">
        <v>924</v>
      </c>
      <c r="AK1012" s="1" t="s">
        <v>1088</v>
      </c>
      <c r="AL1012" s="1">
        <v>5</v>
      </c>
      <c r="AM1012" s="1">
        <v>2</v>
      </c>
      <c r="AN1012" s="1">
        <v>1</v>
      </c>
      <c r="AO1012" s="1">
        <v>0</v>
      </c>
      <c r="AP1012" s="1" t="s">
        <v>209</v>
      </c>
      <c r="AR1012" s="1" t="s">
        <v>210</v>
      </c>
      <c r="AT1012" s="1" t="s">
        <v>211</v>
      </c>
      <c r="AU1012" s="1">
        <v>2</v>
      </c>
      <c r="AW1012" s="1" t="s">
        <v>204</v>
      </c>
      <c r="AX1012" s="1" t="s">
        <v>10931</v>
      </c>
      <c r="AZ1012" s="1">
        <v>4535</v>
      </c>
      <c r="BA1012" s="1">
        <v>2013</v>
      </c>
      <c r="BB1012" s="1" t="s">
        <v>405</v>
      </c>
      <c r="BE1012" s="1">
        <v>1180</v>
      </c>
      <c r="BF1012" s="1">
        <v>1</v>
      </c>
      <c r="BG1012" s="1">
        <v>0</v>
      </c>
      <c r="BL1012" s="1">
        <v>20</v>
      </c>
      <c r="BM1012" s="1" t="s">
        <v>204</v>
      </c>
      <c r="BN1012" s="1" t="s">
        <v>213</v>
      </c>
      <c r="BO1012" s="1">
        <v>999</v>
      </c>
      <c r="BP1012" s="1" t="s">
        <v>204</v>
      </c>
      <c r="BR1012" s="1" t="str">
        <f>"0724120013"</f>
        <v>0724120013</v>
      </c>
      <c r="BT1012" s="1" t="s">
        <v>10932</v>
      </c>
      <c r="BU1012" s="1" t="s">
        <v>928</v>
      </c>
      <c r="BV1012" s="1" t="s">
        <v>929</v>
      </c>
      <c r="BW1012" s="1" t="s">
        <v>930</v>
      </c>
      <c r="BX1012" s="1">
        <v>203</v>
      </c>
      <c r="BY1012" s="1">
        <v>203</v>
      </c>
      <c r="BZ1012" s="1">
        <v>203</v>
      </c>
      <c r="CB1012" s="1" t="str">
        <f t="shared" ref="CB1012:CC1012" si="779">"0"</f>
        <v>0</v>
      </c>
      <c r="CC1012" s="1" t="str">
        <f t="shared" si="779"/>
        <v>0</v>
      </c>
      <c r="CD1012" s="1">
        <v>27</v>
      </c>
      <c r="CE1012" s="1">
        <v>6</v>
      </c>
      <c r="CG1012" s="1" t="s">
        <v>218</v>
      </c>
      <c r="CH1012" s="1" t="s">
        <v>219</v>
      </c>
      <c r="CI1012" s="1" t="s">
        <v>220</v>
      </c>
      <c r="CJ1012" s="1" t="s">
        <v>252</v>
      </c>
      <c r="CK1012" s="1" t="s">
        <v>1533</v>
      </c>
      <c r="CL1012" s="1" t="s">
        <v>219</v>
      </c>
      <c r="CM1012" s="1" t="s">
        <v>220</v>
      </c>
      <c r="CN1012" s="1" t="s">
        <v>252</v>
      </c>
      <c r="CO1012" s="1" t="s">
        <v>379</v>
      </c>
      <c r="CP1012" s="1" t="s">
        <v>219</v>
      </c>
      <c r="CQ1012" s="1" t="s">
        <v>220</v>
      </c>
      <c r="CR1012" s="1" t="s">
        <v>252</v>
      </c>
      <c r="CS1012" s="1" t="s">
        <v>1358</v>
      </c>
      <c r="CT1012" s="1" t="s">
        <v>219</v>
      </c>
      <c r="CU1012" s="1" t="s">
        <v>220</v>
      </c>
      <c r="CV1012" s="1" t="s">
        <v>252</v>
      </c>
      <c r="CX1012" s="1" t="s">
        <v>224</v>
      </c>
      <c r="DB1012" s="1" t="s">
        <v>224</v>
      </c>
      <c r="DE1012" s="1" t="s">
        <v>437</v>
      </c>
      <c r="DF1012" s="1" t="s">
        <v>219</v>
      </c>
      <c r="DG1012" s="1" t="s">
        <v>226</v>
      </c>
      <c r="DH1012" s="1" t="s">
        <v>210</v>
      </c>
      <c r="DJ1012" s="1" t="s">
        <v>224</v>
      </c>
      <c r="DS1012" s="1" t="s">
        <v>230</v>
      </c>
      <c r="DW1012" s="1" t="s">
        <v>230</v>
      </c>
      <c r="EA1012" s="1" t="s">
        <v>230</v>
      </c>
      <c r="EE1012" s="1" t="s">
        <v>230</v>
      </c>
      <c r="EI1012" s="1" t="s">
        <v>230</v>
      </c>
      <c r="EL1012" s="1" t="s">
        <v>542</v>
      </c>
      <c r="EM1012" s="1" t="s">
        <v>232</v>
      </c>
      <c r="EN1012" s="1" t="s">
        <v>282</v>
      </c>
      <c r="EO1012" s="1" t="s">
        <v>840</v>
      </c>
      <c r="EP1012" s="1" t="s">
        <v>1268</v>
      </c>
      <c r="EQ1012" s="1" t="s">
        <v>1094</v>
      </c>
      <c r="ER1012" s="1" t="s">
        <v>383</v>
      </c>
      <c r="ES1012" s="1" t="s">
        <v>322</v>
      </c>
      <c r="EU1012" s="1" t="s">
        <v>5043</v>
      </c>
      <c r="EV1012" s="1" t="s">
        <v>324</v>
      </c>
      <c r="EW1012" s="1" t="s">
        <v>347</v>
      </c>
      <c r="EY1012" s="1" t="s">
        <v>790</v>
      </c>
      <c r="EZ1012" s="1" t="s">
        <v>287</v>
      </c>
      <c r="FA1012" s="1" t="s">
        <v>3624</v>
      </c>
      <c r="FB1012" s="1" t="s">
        <v>734</v>
      </c>
      <c r="FC1012" s="1" t="s">
        <v>1386</v>
      </c>
      <c r="FD1012" s="1" t="s">
        <v>246</v>
      </c>
      <c r="FE1012" s="1" t="s">
        <v>355</v>
      </c>
      <c r="FF1012" s="1" t="s">
        <v>248</v>
      </c>
      <c r="FH1012" s="1" t="s">
        <v>442</v>
      </c>
      <c r="FI1012" s="1" t="s">
        <v>250</v>
      </c>
      <c r="FJ1012" s="1" t="s">
        <v>1135</v>
      </c>
      <c r="FL1012" s="1" t="s">
        <v>358</v>
      </c>
      <c r="FM1012" s="1" t="s">
        <v>252</v>
      </c>
      <c r="FN1012" s="1" t="s">
        <v>213</v>
      </c>
      <c r="FO1012" s="1" t="s">
        <v>213</v>
      </c>
      <c r="FQ1012" s="1" t="s">
        <v>5932</v>
      </c>
      <c r="FR1012" s="1" t="s">
        <v>210</v>
      </c>
      <c r="FS1012" s="1" t="s">
        <v>3605</v>
      </c>
      <c r="FT1012" s="1" t="s">
        <v>295</v>
      </c>
      <c r="FU1012" s="1" t="s">
        <v>204</v>
      </c>
      <c r="FW1012" s="1" t="s">
        <v>1140</v>
      </c>
      <c r="FX1012" s="1">
        <v>21621</v>
      </c>
      <c r="FY1012" s="1" t="s">
        <v>1141</v>
      </c>
      <c r="FZ1012" s="1" t="s">
        <v>10933</v>
      </c>
      <c r="GA1012" s="1">
        <v>233344</v>
      </c>
      <c r="GB1012" s="1" t="s">
        <v>10934</v>
      </c>
      <c r="GC1012" s="1">
        <v>242583</v>
      </c>
      <c r="GD1012" s="1" t="s">
        <v>10935</v>
      </c>
      <c r="GE1012" s="1" t="s">
        <v>1576</v>
      </c>
      <c r="GI1012" s="1" t="s">
        <v>213</v>
      </c>
      <c r="GJ1012" s="1" t="s">
        <v>260</v>
      </c>
      <c r="GK1012" s="1" t="s">
        <v>210</v>
      </c>
      <c r="GL1012" s="2">
        <v>42027</v>
      </c>
    </row>
    <row r="1013" spans="1:195">
      <c r="A1013" s="1">
        <v>115000</v>
      </c>
      <c r="B1013" s="1" t="s">
        <v>195</v>
      </c>
      <c r="C1013" s="1" t="str">
        <f>"08652097"</f>
        <v>08652097</v>
      </c>
      <c r="D1013" s="1" t="s">
        <v>196</v>
      </c>
      <c r="F1013" s="1" t="str">
        <f>"635"</f>
        <v>635</v>
      </c>
      <c r="G1013" s="2">
        <v>41811</v>
      </c>
      <c r="H1013" s="1">
        <v>139000</v>
      </c>
      <c r="I1013" s="1">
        <v>129000</v>
      </c>
      <c r="J1013" s="1">
        <v>115000</v>
      </c>
      <c r="K1013" s="2">
        <v>41811</v>
      </c>
      <c r="L1013" s="1">
        <v>138</v>
      </c>
      <c r="M1013" s="2">
        <v>41948</v>
      </c>
      <c r="N1013" s="1">
        <v>138</v>
      </c>
      <c r="O1013" s="2">
        <v>41948</v>
      </c>
      <c r="P1013" s="1">
        <v>18562</v>
      </c>
      <c r="Q1013" s="1" t="s">
        <v>197</v>
      </c>
      <c r="R1013" s="2">
        <v>42013</v>
      </c>
      <c r="S1013" s="1">
        <v>130013</v>
      </c>
      <c r="U1013" s="1">
        <v>2530</v>
      </c>
      <c r="V1013" s="1" t="s">
        <v>5684</v>
      </c>
      <c r="W1013" s="1" t="s">
        <v>304</v>
      </c>
      <c r="X1013" s="1" t="s">
        <v>2518</v>
      </c>
      <c r="Y1013" s="1">
        <v>6</v>
      </c>
      <c r="Z1013" s="1" t="s">
        <v>249</v>
      </c>
      <c r="AA1013" s="1" t="s">
        <v>2377</v>
      </c>
      <c r="AB1013" s="1">
        <v>60707</v>
      </c>
      <c r="AE1013" s="1" t="s">
        <v>10936</v>
      </c>
      <c r="AF1013" s="1">
        <v>1991</v>
      </c>
      <c r="AG1013" s="1" t="s">
        <v>204</v>
      </c>
      <c r="AH1013" s="1" t="s">
        <v>5686</v>
      </c>
      <c r="AI1013" s="1" t="s">
        <v>310</v>
      </c>
      <c r="AJ1013" s="1" t="s">
        <v>311</v>
      </c>
      <c r="AL1013" s="1">
        <v>5</v>
      </c>
      <c r="AM1013" s="1">
        <v>2</v>
      </c>
      <c r="AN1013" s="1">
        <v>2</v>
      </c>
      <c r="AO1013" s="1">
        <v>0</v>
      </c>
      <c r="AP1013" s="1" t="s">
        <v>209</v>
      </c>
      <c r="AR1013" s="1" t="s">
        <v>209</v>
      </c>
      <c r="AS1013" s="1" t="s">
        <v>204</v>
      </c>
      <c r="AT1013" s="1" t="s">
        <v>211</v>
      </c>
      <c r="AU1013" s="1">
        <v>1</v>
      </c>
      <c r="AW1013" s="1" t="s">
        <v>204</v>
      </c>
      <c r="AX1013" s="1" t="s">
        <v>7383</v>
      </c>
      <c r="AZ1013" s="1">
        <v>864</v>
      </c>
      <c r="BA1013" s="1">
        <v>2012</v>
      </c>
      <c r="BB1013" s="1" t="s">
        <v>3262</v>
      </c>
      <c r="BE1013" s="1">
        <v>0</v>
      </c>
      <c r="BF1013" s="1">
        <v>2</v>
      </c>
      <c r="BG1013" s="1">
        <v>0</v>
      </c>
      <c r="BL1013" s="1">
        <v>175</v>
      </c>
      <c r="BM1013" s="1" t="s">
        <v>204</v>
      </c>
      <c r="BN1013" s="1" t="s">
        <v>204</v>
      </c>
      <c r="BP1013" s="1" t="s">
        <v>204</v>
      </c>
      <c r="BR1013" s="1" t="str">
        <f>"12254220381005"</f>
        <v>12254220381005</v>
      </c>
      <c r="BT1013" s="1" t="s">
        <v>10937</v>
      </c>
      <c r="BU1013" s="1" t="s">
        <v>10938</v>
      </c>
      <c r="BV1013" s="1" t="s">
        <v>928</v>
      </c>
      <c r="BW1013" s="1" t="s">
        <v>8102</v>
      </c>
      <c r="BX1013" s="1">
        <v>401</v>
      </c>
      <c r="BY1013" s="1">
        <v>401</v>
      </c>
      <c r="BZ1013" s="1">
        <v>401</v>
      </c>
      <c r="CB1013" s="1" t="str">
        <f>"2"</f>
        <v>2</v>
      </c>
      <c r="CC1013" s="1" t="str">
        <f>"0"</f>
        <v>0</v>
      </c>
      <c r="CD1013" s="1">
        <v>9</v>
      </c>
      <c r="CE1013" s="1">
        <v>0</v>
      </c>
      <c r="CG1013" s="1" t="s">
        <v>1936</v>
      </c>
      <c r="CH1013" s="1" t="s">
        <v>277</v>
      </c>
      <c r="CI1013" s="1" t="s">
        <v>220</v>
      </c>
      <c r="CJ1013" s="1" t="s">
        <v>210</v>
      </c>
      <c r="CK1013" s="1" t="s">
        <v>437</v>
      </c>
      <c r="CL1013" s="1" t="s">
        <v>277</v>
      </c>
      <c r="CM1013" s="1" t="s">
        <v>220</v>
      </c>
      <c r="CN1013" s="1" t="s">
        <v>210</v>
      </c>
      <c r="CO1013" s="1" t="s">
        <v>1358</v>
      </c>
      <c r="CP1013" s="1" t="s">
        <v>277</v>
      </c>
      <c r="CQ1013" s="1" t="s">
        <v>220</v>
      </c>
      <c r="CR1013" s="1" t="s">
        <v>210</v>
      </c>
      <c r="CS1013" s="1" t="s">
        <v>757</v>
      </c>
      <c r="CT1013" s="1" t="s">
        <v>277</v>
      </c>
      <c r="CU1013" s="1" t="s">
        <v>220</v>
      </c>
      <c r="CV1013" s="1" t="s">
        <v>210</v>
      </c>
      <c r="CX1013" s="1" t="s">
        <v>224</v>
      </c>
      <c r="DB1013" s="1" t="s">
        <v>224</v>
      </c>
      <c r="DE1013" s="1" t="s">
        <v>932</v>
      </c>
      <c r="DF1013" s="1" t="s">
        <v>277</v>
      </c>
      <c r="DH1013" s="1" t="s">
        <v>210</v>
      </c>
      <c r="DJ1013" s="1" t="s">
        <v>224</v>
      </c>
      <c r="DS1013" s="1" t="s">
        <v>230</v>
      </c>
      <c r="DW1013" s="1" t="s">
        <v>230</v>
      </c>
      <c r="EA1013" s="1" t="s">
        <v>230</v>
      </c>
      <c r="EE1013" s="1" t="s">
        <v>230</v>
      </c>
      <c r="EI1013" s="1" t="s">
        <v>230</v>
      </c>
      <c r="EL1013" s="1" t="s">
        <v>382</v>
      </c>
      <c r="EM1013" s="1" t="s">
        <v>730</v>
      </c>
      <c r="EN1013" s="1" t="s">
        <v>282</v>
      </c>
      <c r="EO1013" s="1" t="s">
        <v>234</v>
      </c>
      <c r="EP1013" s="1" t="s">
        <v>7720</v>
      </c>
      <c r="EQ1013" s="1" t="s">
        <v>350</v>
      </c>
      <c r="ER1013" s="1" t="s">
        <v>544</v>
      </c>
      <c r="ES1013" s="1" t="s">
        <v>3850</v>
      </c>
      <c r="EV1013" s="1" t="s">
        <v>324</v>
      </c>
      <c r="EW1013" s="1" t="s">
        <v>937</v>
      </c>
      <c r="EY1013" s="1" t="s">
        <v>242</v>
      </c>
      <c r="EZ1013" s="1" t="s">
        <v>287</v>
      </c>
      <c r="FA1013" s="1" t="s">
        <v>10939</v>
      </c>
      <c r="FB1013" s="1" t="s">
        <v>2888</v>
      </c>
      <c r="FC1013" s="1" t="s">
        <v>1386</v>
      </c>
      <c r="FD1013" s="1" t="s">
        <v>1112</v>
      </c>
      <c r="FE1013" s="1" t="s">
        <v>247</v>
      </c>
      <c r="FF1013" s="1" t="s">
        <v>1113</v>
      </c>
      <c r="FH1013" s="1" t="s">
        <v>249</v>
      </c>
      <c r="FI1013" s="1" t="s">
        <v>473</v>
      </c>
      <c r="FJ1013" s="1" t="s">
        <v>1472</v>
      </c>
      <c r="FL1013" s="1" t="s">
        <v>810</v>
      </c>
      <c r="FM1013" s="1" t="s">
        <v>252</v>
      </c>
      <c r="FN1013" s="1" t="s">
        <v>213</v>
      </c>
      <c r="FO1013" s="1" t="s">
        <v>213</v>
      </c>
      <c r="FQ1013" s="1" t="s">
        <v>3545</v>
      </c>
      <c r="FR1013" s="1" t="s">
        <v>210</v>
      </c>
      <c r="FS1013" s="1" t="s">
        <v>10940</v>
      </c>
      <c r="FT1013" s="1" t="s">
        <v>255</v>
      </c>
      <c r="FU1013" s="1" t="s">
        <v>204</v>
      </c>
      <c r="FW1013" s="1" t="s">
        <v>3416</v>
      </c>
      <c r="FX1013" s="1">
        <v>8815</v>
      </c>
      <c r="FY1013" s="1" t="s">
        <v>3417</v>
      </c>
      <c r="FZ1013" s="1" t="s">
        <v>10941</v>
      </c>
      <c r="GA1013" s="1">
        <v>80211</v>
      </c>
      <c r="GB1013" s="1" t="s">
        <v>10942</v>
      </c>
      <c r="GE1013" s="1" t="s">
        <v>210</v>
      </c>
      <c r="GH1013" s="1" t="s">
        <v>230</v>
      </c>
      <c r="GI1013" s="1" t="s">
        <v>213</v>
      </c>
      <c r="GJ1013" s="1" t="s">
        <v>260</v>
      </c>
      <c r="GK1013" s="1" t="s">
        <v>210</v>
      </c>
      <c r="GL1013" s="2">
        <v>42013</v>
      </c>
      <c r="GM1013" s="1" t="s">
        <v>10943</v>
      </c>
    </row>
    <row r="1014" spans="1:195">
      <c r="A1014" s="1">
        <v>70000</v>
      </c>
      <c r="B1014" s="1" t="s">
        <v>195</v>
      </c>
      <c r="C1014" s="1" t="str">
        <f>"08641961"</f>
        <v>08641961</v>
      </c>
      <c r="D1014" s="1" t="s">
        <v>196</v>
      </c>
      <c r="F1014" s="1" t="str">
        <f>"517"</f>
        <v>517</v>
      </c>
      <c r="G1014" s="2">
        <v>41801</v>
      </c>
      <c r="H1014" s="1">
        <v>69000</v>
      </c>
      <c r="I1014" s="1">
        <v>60000</v>
      </c>
      <c r="J1014" s="1">
        <v>70000</v>
      </c>
      <c r="K1014" s="2">
        <v>41801</v>
      </c>
      <c r="L1014" s="1">
        <v>128</v>
      </c>
      <c r="M1014" s="2">
        <v>41928</v>
      </c>
      <c r="N1014" s="1">
        <v>128</v>
      </c>
      <c r="O1014" s="2">
        <v>41928</v>
      </c>
      <c r="P1014" s="1">
        <v>8340</v>
      </c>
      <c r="Q1014" s="1" t="s">
        <v>302</v>
      </c>
      <c r="R1014" s="2">
        <v>42018</v>
      </c>
      <c r="S1014" s="1">
        <v>26024</v>
      </c>
      <c r="U1014" s="1">
        <v>2054</v>
      </c>
      <c r="V1014" s="1" t="s">
        <v>7960</v>
      </c>
      <c r="W1014" s="1" t="s">
        <v>264</v>
      </c>
      <c r="X1014" s="1" t="s">
        <v>10944</v>
      </c>
      <c r="Y1014" s="1">
        <v>8</v>
      </c>
      <c r="Z1014" s="1" t="s">
        <v>200</v>
      </c>
      <c r="AA1014" s="1" t="s">
        <v>2850</v>
      </c>
      <c r="AB1014" s="1">
        <v>60517</v>
      </c>
      <c r="AE1014" s="1" t="s">
        <v>10945</v>
      </c>
      <c r="AF1014" s="1" t="s">
        <v>402</v>
      </c>
      <c r="AG1014" s="1" t="s">
        <v>213</v>
      </c>
      <c r="AH1014" s="1" t="s">
        <v>2853</v>
      </c>
      <c r="AI1014" s="1" t="s">
        <v>206</v>
      </c>
      <c r="AJ1014" s="1" t="s">
        <v>925</v>
      </c>
      <c r="AL1014" s="1">
        <v>5</v>
      </c>
      <c r="AM1014" s="1">
        <v>2</v>
      </c>
      <c r="AN1014" s="1">
        <v>1</v>
      </c>
      <c r="AO1014" s="1">
        <v>1</v>
      </c>
      <c r="AP1014" s="1" t="s">
        <v>210</v>
      </c>
      <c r="AR1014" s="1" t="s">
        <v>210</v>
      </c>
      <c r="AS1014" s="1" t="s">
        <v>204</v>
      </c>
      <c r="AT1014" s="1" t="s">
        <v>271</v>
      </c>
      <c r="AV1014" s="1">
        <v>2</v>
      </c>
      <c r="AW1014" s="1" t="s">
        <v>204</v>
      </c>
      <c r="AX1014" s="1" t="s">
        <v>212</v>
      </c>
      <c r="AZ1014" s="1">
        <v>1966.26</v>
      </c>
      <c r="BA1014" s="1">
        <v>2013</v>
      </c>
      <c r="BB1014" s="1" t="s">
        <v>405</v>
      </c>
      <c r="BE1014" s="1">
        <v>0</v>
      </c>
      <c r="BF1014" s="1">
        <v>1</v>
      </c>
      <c r="BG1014" s="1">
        <v>0</v>
      </c>
      <c r="BL1014" s="1">
        <v>333</v>
      </c>
      <c r="BM1014" s="1" t="s">
        <v>204</v>
      </c>
      <c r="BN1014" s="1" t="s">
        <v>204</v>
      </c>
      <c r="BP1014" s="1" t="s">
        <v>204</v>
      </c>
      <c r="BR1014" s="1" t="str">
        <f>"0825420079"</f>
        <v>0825420079</v>
      </c>
      <c r="BT1014" s="1" t="s">
        <v>10946</v>
      </c>
      <c r="BX1014" s="1">
        <v>68</v>
      </c>
      <c r="BY1014" s="1">
        <v>68</v>
      </c>
      <c r="BZ1014" s="1">
        <v>69</v>
      </c>
      <c r="CB1014" s="1" t="str">
        <f t="shared" ref="CB1014:CC1014" si="780">""</f>
        <v/>
      </c>
      <c r="CC1014" s="1" t="str">
        <f t="shared" si="780"/>
        <v/>
      </c>
      <c r="CG1014" s="1" t="s">
        <v>1045</v>
      </c>
      <c r="CH1014" s="1" t="s">
        <v>219</v>
      </c>
      <c r="CK1014" s="1" t="s">
        <v>1454</v>
      </c>
      <c r="CL1014" s="1" t="s">
        <v>277</v>
      </c>
      <c r="CO1014" s="1" t="s">
        <v>2277</v>
      </c>
      <c r="CP1014" s="1" t="s">
        <v>219</v>
      </c>
      <c r="CS1014" s="1" t="s">
        <v>3264</v>
      </c>
      <c r="CT1014" s="1" t="s">
        <v>277</v>
      </c>
      <c r="CX1014" s="1" t="s">
        <v>224</v>
      </c>
      <c r="DB1014" s="1" t="s">
        <v>224</v>
      </c>
      <c r="DE1014" s="1" t="s">
        <v>2231</v>
      </c>
      <c r="DF1014" s="1" t="s">
        <v>219</v>
      </c>
      <c r="DJ1014" s="1" t="s">
        <v>224</v>
      </c>
      <c r="DS1014" s="1" t="s">
        <v>230</v>
      </c>
      <c r="DW1014" s="1" t="s">
        <v>230</v>
      </c>
      <c r="EA1014" s="1" t="s">
        <v>230</v>
      </c>
      <c r="EE1014" s="1" t="s">
        <v>230</v>
      </c>
      <c r="EI1014" s="1" t="s">
        <v>230</v>
      </c>
      <c r="EL1014" s="1" t="s">
        <v>605</v>
      </c>
      <c r="EM1014" s="1" t="s">
        <v>319</v>
      </c>
      <c r="EN1014" s="1" t="s">
        <v>282</v>
      </c>
      <c r="EO1014" s="1" t="s">
        <v>234</v>
      </c>
      <c r="ER1014" s="1" t="s">
        <v>210</v>
      </c>
      <c r="EW1014" s="1" t="s">
        <v>10947</v>
      </c>
      <c r="EZ1014" s="1" t="s">
        <v>287</v>
      </c>
      <c r="FD1014" s="1" t="s">
        <v>1112</v>
      </c>
      <c r="FE1014" s="1" t="s">
        <v>247</v>
      </c>
      <c r="FF1014" s="1" t="s">
        <v>248</v>
      </c>
      <c r="FH1014" s="1" t="s">
        <v>550</v>
      </c>
      <c r="FL1014" s="1" t="s">
        <v>358</v>
      </c>
      <c r="FM1014" s="1" t="s">
        <v>252</v>
      </c>
      <c r="FN1014" s="1" t="s">
        <v>213</v>
      </c>
      <c r="FO1014" s="1" t="s">
        <v>213</v>
      </c>
      <c r="FQ1014" s="1" t="s">
        <v>2142</v>
      </c>
      <c r="FR1014" s="1" t="s">
        <v>360</v>
      </c>
      <c r="FS1014" s="1" t="s">
        <v>10948</v>
      </c>
      <c r="FT1014" s="1" t="s">
        <v>10949</v>
      </c>
      <c r="FU1014" s="1" t="s">
        <v>204</v>
      </c>
      <c r="FW1014" s="1" t="s">
        <v>5979</v>
      </c>
      <c r="FX1014" s="1">
        <v>8340</v>
      </c>
      <c r="FY1014" s="1" t="s">
        <v>5980</v>
      </c>
      <c r="FZ1014" s="1" t="s">
        <v>10950</v>
      </c>
      <c r="GA1014" s="1">
        <v>26024</v>
      </c>
      <c r="GB1014" s="1" t="s">
        <v>10951</v>
      </c>
      <c r="GE1014" s="1" t="s">
        <v>210</v>
      </c>
      <c r="GI1014" s="1" t="s">
        <v>213</v>
      </c>
      <c r="GJ1014" s="1" t="s">
        <v>260</v>
      </c>
      <c r="GK1014" s="1" t="s">
        <v>210</v>
      </c>
      <c r="GL1014" s="2">
        <v>42020</v>
      </c>
      <c r="GM1014" s="1" t="s">
        <v>10952</v>
      </c>
    </row>
    <row r="1015" spans="1:195">
      <c r="A1015" s="1">
        <v>115000</v>
      </c>
      <c r="B1015" s="1" t="s">
        <v>195</v>
      </c>
      <c r="C1015" s="1" t="str">
        <f>"08648041"</f>
        <v>08648041</v>
      </c>
      <c r="D1015" s="1" t="s">
        <v>196</v>
      </c>
      <c r="F1015" s="1" t="str">
        <f>"187"</f>
        <v>187</v>
      </c>
      <c r="G1015" s="2">
        <v>41807</v>
      </c>
      <c r="H1015" s="1">
        <v>129900</v>
      </c>
      <c r="I1015" s="1">
        <v>109000</v>
      </c>
      <c r="J1015" s="1">
        <v>115000</v>
      </c>
      <c r="K1015" s="2">
        <v>41807</v>
      </c>
      <c r="L1015" s="1">
        <v>138</v>
      </c>
      <c r="M1015" s="2">
        <v>41944</v>
      </c>
      <c r="N1015" s="1">
        <v>138</v>
      </c>
      <c r="O1015" s="2">
        <v>41944</v>
      </c>
      <c r="P1015" s="1">
        <v>25088</v>
      </c>
      <c r="Q1015" s="1" t="s">
        <v>302</v>
      </c>
      <c r="R1015" s="2">
        <v>42003</v>
      </c>
      <c r="S1015" s="1">
        <v>251165</v>
      </c>
      <c r="U1015" s="1">
        <v>1497</v>
      </c>
      <c r="V1015" s="1" t="s">
        <v>10953</v>
      </c>
      <c r="W1015" s="1" t="s">
        <v>264</v>
      </c>
      <c r="X1015" s="1" t="s">
        <v>1000</v>
      </c>
      <c r="Y1015" s="1">
        <v>4</v>
      </c>
      <c r="Z1015" s="1" t="s">
        <v>370</v>
      </c>
      <c r="AA1015" s="1" t="s">
        <v>964</v>
      </c>
      <c r="AB1015" s="1">
        <v>60189</v>
      </c>
      <c r="AD1015" s="1" t="s">
        <v>6443</v>
      </c>
      <c r="AE1015" s="1" t="s">
        <v>10954</v>
      </c>
      <c r="AF1015" s="1">
        <v>1980</v>
      </c>
      <c r="AG1015" s="1" t="s">
        <v>204</v>
      </c>
      <c r="AH1015" s="1" t="s">
        <v>967</v>
      </c>
      <c r="AI1015" s="1" t="s">
        <v>206</v>
      </c>
      <c r="AJ1015" s="1" t="s">
        <v>207</v>
      </c>
      <c r="AL1015" s="1">
        <v>5</v>
      </c>
      <c r="AM1015" s="1">
        <v>2</v>
      </c>
      <c r="AN1015" s="1">
        <v>1</v>
      </c>
      <c r="AO1015" s="1">
        <v>0</v>
      </c>
      <c r="AP1015" s="1" t="s">
        <v>667</v>
      </c>
      <c r="AQ1015" s="1">
        <v>1</v>
      </c>
      <c r="AR1015" s="1" t="s">
        <v>210</v>
      </c>
      <c r="AS1015" s="1" t="s">
        <v>204</v>
      </c>
      <c r="AT1015" s="1" t="s">
        <v>211</v>
      </c>
      <c r="AU1015" s="1">
        <v>1</v>
      </c>
      <c r="AW1015" s="1" t="s">
        <v>204</v>
      </c>
      <c r="AX1015" s="1" t="s">
        <v>9761</v>
      </c>
      <c r="AZ1015" s="1">
        <v>2772</v>
      </c>
      <c r="BA1015" s="1">
        <v>2013</v>
      </c>
      <c r="BB1015" s="1" t="s">
        <v>405</v>
      </c>
      <c r="BE1015" s="1">
        <v>1056</v>
      </c>
      <c r="BF1015" s="1">
        <v>2</v>
      </c>
      <c r="BG1015" s="1">
        <v>30</v>
      </c>
      <c r="BL1015" s="1">
        <v>293</v>
      </c>
      <c r="BM1015" s="1" t="s">
        <v>204</v>
      </c>
      <c r="BN1015" s="1" t="s">
        <v>213</v>
      </c>
      <c r="BO1015" s="1">
        <v>50</v>
      </c>
      <c r="BP1015" s="1" t="s">
        <v>204</v>
      </c>
      <c r="BR1015" s="1" t="str">
        <f>"0521412005"</f>
        <v>0521412005</v>
      </c>
      <c r="BT1015" s="1" t="s">
        <v>10955</v>
      </c>
      <c r="BU1015" s="1" t="s">
        <v>969</v>
      </c>
      <c r="BV1015" s="1" t="s">
        <v>970</v>
      </c>
      <c r="BW1015" s="1" t="s">
        <v>971</v>
      </c>
      <c r="BX1015" s="1">
        <v>200</v>
      </c>
      <c r="BY1015" s="1">
        <v>200</v>
      </c>
      <c r="BZ1015" s="1">
        <v>200</v>
      </c>
      <c r="CB1015" s="1" t="str">
        <f t="shared" ref="CB1015:CC1015" si="781">""</f>
        <v/>
      </c>
      <c r="CC1015" s="1" t="str">
        <f t="shared" si="781"/>
        <v/>
      </c>
      <c r="CG1015" s="1" t="s">
        <v>1357</v>
      </c>
      <c r="CH1015" s="1" t="s">
        <v>277</v>
      </c>
      <c r="CI1015" s="1" t="s">
        <v>438</v>
      </c>
      <c r="CK1015" s="1" t="s">
        <v>602</v>
      </c>
      <c r="CL1015" s="1" t="s">
        <v>277</v>
      </c>
      <c r="CM1015" s="1" t="s">
        <v>220</v>
      </c>
      <c r="CO1015" s="1" t="s">
        <v>346</v>
      </c>
      <c r="CP1015" s="1" t="s">
        <v>277</v>
      </c>
      <c r="CQ1015" s="1" t="s">
        <v>438</v>
      </c>
      <c r="CS1015" s="1" t="s">
        <v>1297</v>
      </c>
      <c r="CT1015" s="1" t="s">
        <v>277</v>
      </c>
      <c r="CU1015" s="1" t="s">
        <v>220</v>
      </c>
      <c r="CX1015" s="1" t="s">
        <v>224</v>
      </c>
      <c r="DB1015" s="1" t="s">
        <v>224</v>
      </c>
      <c r="DE1015" s="1" t="s">
        <v>318</v>
      </c>
      <c r="DF1015" s="1" t="s">
        <v>277</v>
      </c>
      <c r="DG1015" s="1" t="s">
        <v>226</v>
      </c>
      <c r="DJ1015" s="1" t="s">
        <v>224</v>
      </c>
      <c r="DS1015" s="1" t="s">
        <v>230</v>
      </c>
      <c r="DW1015" s="1" t="s">
        <v>230</v>
      </c>
      <c r="EA1015" s="1" t="s">
        <v>230</v>
      </c>
      <c r="EE1015" s="1" t="s">
        <v>230</v>
      </c>
      <c r="EI1015" s="1" t="s">
        <v>230</v>
      </c>
      <c r="EL1015" s="1" t="s">
        <v>231</v>
      </c>
      <c r="EM1015" s="1" t="s">
        <v>232</v>
      </c>
      <c r="EN1015" s="1" t="s">
        <v>282</v>
      </c>
      <c r="EO1015" s="1" t="s">
        <v>234</v>
      </c>
      <c r="EQ1015" s="1" t="s">
        <v>468</v>
      </c>
      <c r="ER1015" s="1" t="s">
        <v>210</v>
      </c>
      <c r="EW1015" s="1" t="s">
        <v>353</v>
      </c>
      <c r="EZ1015" s="1" t="s">
        <v>287</v>
      </c>
      <c r="FD1015" s="1" t="s">
        <v>246</v>
      </c>
      <c r="FE1015" s="1" t="s">
        <v>549</v>
      </c>
      <c r="FF1015" s="1" t="s">
        <v>248</v>
      </c>
      <c r="FG1015" s="1" t="s">
        <v>2406</v>
      </c>
      <c r="FH1015" s="1" t="s">
        <v>6378</v>
      </c>
      <c r="FL1015" s="1" t="s">
        <v>414</v>
      </c>
      <c r="FM1015" s="1" t="s">
        <v>252</v>
      </c>
      <c r="FN1015" s="1" t="s">
        <v>213</v>
      </c>
      <c r="FO1015" s="1" t="s">
        <v>213</v>
      </c>
      <c r="FQ1015" s="1" t="s">
        <v>849</v>
      </c>
      <c r="FR1015" s="1" t="s">
        <v>360</v>
      </c>
      <c r="FS1015" s="1" t="s">
        <v>3352</v>
      </c>
      <c r="FT1015" s="1" t="s">
        <v>295</v>
      </c>
      <c r="FU1015" s="1" t="s">
        <v>204</v>
      </c>
      <c r="FW1015" s="1" t="s">
        <v>393</v>
      </c>
      <c r="FX1015" s="1">
        <v>24250</v>
      </c>
      <c r="FY1015" s="1" t="s">
        <v>394</v>
      </c>
      <c r="FZ1015" s="1" t="s">
        <v>10956</v>
      </c>
      <c r="GA1015" s="1">
        <v>89907</v>
      </c>
      <c r="GB1015" s="1" t="s">
        <v>10957</v>
      </c>
      <c r="GD1015" s="1" t="s">
        <v>10958</v>
      </c>
      <c r="GE1015" s="1" t="s">
        <v>210</v>
      </c>
      <c r="GI1015" s="1" t="s">
        <v>204</v>
      </c>
      <c r="GJ1015" s="1" t="s">
        <v>260</v>
      </c>
      <c r="GK1015" s="1" t="s">
        <v>210</v>
      </c>
      <c r="GL1015" s="2">
        <v>42008</v>
      </c>
      <c r="GM1015" s="1" t="s">
        <v>10959</v>
      </c>
    </row>
    <row r="1016" spans="1:195">
      <c r="A1016" s="1">
        <v>620000</v>
      </c>
      <c r="B1016" s="1" t="s">
        <v>195</v>
      </c>
      <c r="C1016" s="1" t="str">
        <f>"08644154"</f>
        <v>08644154</v>
      </c>
      <c r="D1016" s="1" t="s">
        <v>196</v>
      </c>
      <c r="F1016" s="1" t="str">
        <f>"558"</f>
        <v>558</v>
      </c>
      <c r="G1016" s="2">
        <v>41803</v>
      </c>
      <c r="H1016" s="1">
        <v>639900</v>
      </c>
      <c r="I1016" s="1">
        <v>639900</v>
      </c>
      <c r="J1016" s="1">
        <v>620000</v>
      </c>
      <c r="K1016" s="2">
        <v>41803</v>
      </c>
      <c r="L1016" s="1">
        <v>104</v>
      </c>
      <c r="M1016" s="2">
        <v>41906</v>
      </c>
      <c r="N1016" s="1">
        <v>104</v>
      </c>
      <c r="O1016" s="2">
        <v>41906</v>
      </c>
      <c r="P1016" s="1">
        <v>22205</v>
      </c>
      <c r="Q1016" s="1" t="s">
        <v>197</v>
      </c>
      <c r="R1016" s="2">
        <v>41978</v>
      </c>
      <c r="S1016" s="1">
        <v>221379</v>
      </c>
      <c r="U1016" s="1">
        <v>1009</v>
      </c>
      <c r="V1016" s="1" t="s">
        <v>10960</v>
      </c>
      <c r="W1016" s="1" t="s">
        <v>264</v>
      </c>
      <c r="Y1016" s="1">
        <v>4</v>
      </c>
      <c r="Z1016" s="1" t="s">
        <v>249</v>
      </c>
      <c r="AA1016" s="1" t="s">
        <v>2490</v>
      </c>
      <c r="AB1016" s="1">
        <v>60558</v>
      </c>
      <c r="AD1016" s="1" t="s">
        <v>4056</v>
      </c>
      <c r="AE1016" s="1" t="s">
        <v>10961</v>
      </c>
      <c r="AF1016" s="1">
        <v>2007</v>
      </c>
      <c r="AG1016" s="1" t="s">
        <v>204</v>
      </c>
      <c r="AH1016" s="1" t="s">
        <v>2493</v>
      </c>
      <c r="AI1016" s="1" t="s">
        <v>310</v>
      </c>
      <c r="AJ1016" s="1" t="s">
        <v>702</v>
      </c>
      <c r="AL1016" s="1">
        <v>9</v>
      </c>
      <c r="AM1016" s="1">
        <v>2</v>
      </c>
      <c r="AN1016" s="1">
        <v>3</v>
      </c>
      <c r="AO1016" s="1">
        <v>1</v>
      </c>
      <c r="AP1016" s="1" t="s">
        <v>209</v>
      </c>
      <c r="AQ1016" s="1">
        <v>2</v>
      </c>
      <c r="AR1016" s="1" t="s">
        <v>209</v>
      </c>
      <c r="AS1016" s="1" t="s">
        <v>213</v>
      </c>
      <c r="AT1016" s="1" t="s">
        <v>211</v>
      </c>
      <c r="AU1016" s="1">
        <v>2</v>
      </c>
      <c r="AW1016" s="1" t="s">
        <v>204</v>
      </c>
      <c r="AX1016" s="1" t="s">
        <v>212</v>
      </c>
      <c r="AZ1016" s="1">
        <v>8791.08</v>
      </c>
      <c r="BA1016" s="1">
        <v>2012</v>
      </c>
      <c r="BE1016" s="1">
        <v>0</v>
      </c>
      <c r="BF1016" s="1">
        <v>1</v>
      </c>
      <c r="BG1016" s="1">
        <v>0</v>
      </c>
      <c r="BL1016" s="1">
        <v>380</v>
      </c>
      <c r="BM1016" s="1" t="s">
        <v>204</v>
      </c>
      <c r="BN1016" s="1" t="s">
        <v>213</v>
      </c>
      <c r="BO1016" s="1">
        <v>150</v>
      </c>
      <c r="BP1016" s="1" t="s">
        <v>204</v>
      </c>
      <c r="BR1016" s="1" t="str">
        <f>"18184060170000"</f>
        <v>18184060170000</v>
      </c>
      <c r="BT1016" s="1" t="s">
        <v>10962</v>
      </c>
      <c r="BX1016" s="1">
        <v>106</v>
      </c>
      <c r="BY1016" s="1">
        <v>106</v>
      </c>
      <c r="BZ1016" s="1">
        <v>204</v>
      </c>
      <c r="CB1016" s="1" t="str">
        <f t="shared" ref="CB1016:CC1016" si="782">""</f>
        <v/>
      </c>
      <c r="CC1016" s="1" t="str">
        <f t="shared" si="782"/>
        <v/>
      </c>
      <c r="CG1016" s="1" t="s">
        <v>377</v>
      </c>
      <c r="CH1016" s="1" t="s">
        <v>219</v>
      </c>
      <c r="CI1016" s="1" t="s">
        <v>438</v>
      </c>
      <c r="CK1016" s="1" t="s">
        <v>861</v>
      </c>
      <c r="CL1016" s="1" t="s">
        <v>219</v>
      </c>
      <c r="CM1016" s="1" t="s">
        <v>438</v>
      </c>
      <c r="CO1016" s="1" t="s">
        <v>221</v>
      </c>
      <c r="CP1016" s="1" t="s">
        <v>219</v>
      </c>
      <c r="CQ1016" s="1" t="s">
        <v>438</v>
      </c>
      <c r="CS1016" s="1" t="s">
        <v>221</v>
      </c>
      <c r="CT1016" s="1" t="s">
        <v>277</v>
      </c>
      <c r="CU1016" s="1" t="s">
        <v>220</v>
      </c>
      <c r="CW1016" s="1" t="s">
        <v>461</v>
      </c>
      <c r="CX1016" s="1" t="s">
        <v>43</v>
      </c>
      <c r="CY1016" s="1" t="s">
        <v>220</v>
      </c>
      <c r="DB1016" s="1" t="s">
        <v>224</v>
      </c>
      <c r="DE1016" s="1" t="s">
        <v>972</v>
      </c>
      <c r="DF1016" s="1" t="s">
        <v>219</v>
      </c>
      <c r="DG1016" s="1" t="s">
        <v>438</v>
      </c>
      <c r="DI1016" s="1" t="s">
        <v>5058</v>
      </c>
      <c r="DJ1016" s="1" t="s">
        <v>43</v>
      </c>
      <c r="DK1016" s="1" t="s">
        <v>220</v>
      </c>
      <c r="DM1016" s="1" t="s">
        <v>464</v>
      </c>
      <c r="DO1016" s="1" t="s">
        <v>8319</v>
      </c>
      <c r="DP1016" s="1" t="s">
        <v>1676</v>
      </c>
      <c r="DR1016" s="1" t="s">
        <v>3100</v>
      </c>
      <c r="DS1016" s="1" t="s">
        <v>277</v>
      </c>
      <c r="DT1016" s="1" t="s">
        <v>220</v>
      </c>
      <c r="DW1016" s="1" t="s">
        <v>230</v>
      </c>
      <c r="DZ1016" s="1" t="s">
        <v>972</v>
      </c>
      <c r="EA1016" s="1" t="s">
        <v>43</v>
      </c>
      <c r="ED1016" s="1" t="s">
        <v>5058</v>
      </c>
      <c r="EE1016" s="1" t="s">
        <v>219</v>
      </c>
      <c r="EF1016" s="1" t="s">
        <v>438</v>
      </c>
      <c r="EI1016" s="1" t="s">
        <v>230</v>
      </c>
      <c r="EL1016" s="1" t="s">
        <v>491</v>
      </c>
      <c r="EM1016" s="1" t="s">
        <v>232</v>
      </c>
      <c r="EN1016" s="1" t="s">
        <v>282</v>
      </c>
      <c r="EO1016" s="1" t="s">
        <v>234</v>
      </c>
      <c r="ER1016" s="1" t="s">
        <v>544</v>
      </c>
      <c r="ET1016" s="1" t="s">
        <v>323</v>
      </c>
      <c r="EW1016" s="1" t="s">
        <v>887</v>
      </c>
      <c r="EZ1016" s="1" t="s">
        <v>10963</v>
      </c>
      <c r="FD1016" s="1" t="s">
        <v>246</v>
      </c>
      <c r="FE1016" s="1" t="s">
        <v>247</v>
      </c>
      <c r="FF1016" s="1" t="s">
        <v>248</v>
      </c>
      <c r="FH1016" s="1" t="s">
        <v>550</v>
      </c>
      <c r="FI1016" s="1" t="s">
        <v>473</v>
      </c>
      <c r="FL1016" s="1" t="s">
        <v>358</v>
      </c>
      <c r="FM1016" s="1" t="s">
        <v>252</v>
      </c>
      <c r="FN1016" s="1" t="s">
        <v>213</v>
      </c>
      <c r="FO1016" s="1" t="s">
        <v>213</v>
      </c>
      <c r="FQ1016" s="1" t="s">
        <v>10964</v>
      </c>
      <c r="FR1016" s="1" t="s">
        <v>210</v>
      </c>
      <c r="FS1016" s="1" t="s">
        <v>10965</v>
      </c>
      <c r="FT1016" s="1" t="s">
        <v>295</v>
      </c>
      <c r="FU1016" s="1" t="s">
        <v>204</v>
      </c>
      <c r="FW1016" s="1" t="s">
        <v>10191</v>
      </c>
      <c r="FX1016" s="1">
        <v>23830</v>
      </c>
      <c r="FY1016" s="1" t="s">
        <v>10192</v>
      </c>
      <c r="FZ1016" s="1" t="s">
        <v>10966</v>
      </c>
      <c r="GA1016" s="1">
        <v>237355</v>
      </c>
      <c r="GB1016" s="1" t="s">
        <v>10967</v>
      </c>
      <c r="GE1016" s="1" t="s">
        <v>210</v>
      </c>
      <c r="GI1016" s="1" t="s">
        <v>213</v>
      </c>
      <c r="GJ1016" s="1" t="s">
        <v>260</v>
      </c>
      <c r="GK1016" s="1" t="s">
        <v>210</v>
      </c>
      <c r="GL1016" s="2">
        <v>41978</v>
      </c>
      <c r="GM1016" s="1" t="s">
        <v>10968</v>
      </c>
    </row>
    <row r="1017" spans="1:195">
      <c r="A1017" s="1">
        <v>200000</v>
      </c>
      <c r="B1017" s="1" t="s">
        <v>195</v>
      </c>
      <c r="C1017" s="1" t="str">
        <f>"08655973"</f>
        <v>08655973</v>
      </c>
      <c r="D1017" s="1" t="s">
        <v>196</v>
      </c>
      <c r="F1017" s="1" t="str">
        <f>"60"</f>
        <v>60</v>
      </c>
      <c r="G1017" s="2">
        <v>41816</v>
      </c>
      <c r="H1017" s="1">
        <v>212000</v>
      </c>
      <c r="I1017" s="1">
        <v>209900</v>
      </c>
      <c r="J1017" s="1">
        <v>200000</v>
      </c>
      <c r="K1017" s="2">
        <v>41816</v>
      </c>
      <c r="L1017" s="1">
        <v>185</v>
      </c>
      <c r="M1017" s="2">
        <v>41926</v>
      </c>
      <c r="N1017" s="1">
        <v>111</v>
      </c>
      <c r="O1017" s="2">
        <v>41926</v>
      </c>
      <c r="P1017" s="1">
        <v>8052</v>
      </c>
      <c r="Q1017" s="1" t="s">
        <v>197</v>
      </c>
      <c r="R1017" s="2">
        <v>41969</v>
      </c>
      <c r="S1017" s="1">
        <v>241642</v>
      </c>
      <c r="U1017" s="1">
        <v>706</v>
      </c>
      <c r="V1017" s="1" t="s">
        <v>10969</v>
      </c>
      <c r="W1017" s="1" t="s">
        <v>1056</v>
      </c>
      <c r="X1017" s="1">
        <v>3</v>
      </c>
      <c r="Y1017" s="1">
        <v>6</v>
      </c>
      <c r="Z1017" s="1" t="s">
        <v>200</v>
      </c>
      <c r="AA1017" s="1" t="s">
        <v>1689</v>
      </c>
      <c r="AB1017" s="1">
        <v>60060</v>
      </c>
      <c r="AD1017" s="1" t="s">
        <v>10970</v>
      </c>
      <c r="AE1017" s="1" t="s">
        <v>10971</v>
      </c>
      <c r="AF1017" s="1">
        <v>1993</v>
      </c>
      <c r="AG1017" s="1" t="s">
        <v>204</v>
      </c>
      <c r="AH1017" s="1" t="s">
        <v>1692</v>
      </c>
      <c r="AI1017" s="1" t="s">
        <v>509</v>
      </c>
      <c r="AJ1017" s="1" t="s">
        <v>5836</v>
      </c>
      <c r="AL1017" s="1">
        <v>6</v>
      </c>
      <c r="AM1017" s="1">
        <v>2</v>
      </c>
      <c r="AN1017" s="1">
        <v>2</v>
      </c>
      <c r="AO1017" s="1">
        <v>0</v>
      </c>
      <c r="AP1017" s="1" t="s">
        <v>209</v>
      </c>
      <c r="AR1017" s="1" t="s">
        <v>210</v>
      </c>
      <c r="AS1017" s="1" t="s">
        <v>204</v>
      </c>
      <c r="AT1017" s="1" t="s">
        <v>211</v>
      </c>
      <c r="AU1017" s="1">
        <v>2</v>
      </c>
      <c r="AW1017" s="1" t="s">
        <v>213</v>
      </c>
      <c r="AX1017" s="1" t="s">
        <v>1813</v>
      </c>
      <c r="AZ1017" s="1">
        <v>6991</v>
      </c>
      <c r="BA1017" s="1">
        <v>2013</v>
      </c>
      <c r="BE1017" s="1">
        <v>1400</v>
      </c>
      <c r="BF1017" s="1">
        <v>2</v>
      </c>
      <c r="BG1017" s="1">
        <v>5</v>
      </c>
      <c r="BJ1017" s="1">
        <v>100</v>
      </c>
      <c r="BL1017" s="1">
        <v>327</v>
      </c>
      <c r="BM1017" s="1" t="s">
        <v>204</v>
      </c>
      <c r="BN1017" s="1" t="s">
        <v>213</v>
      </c>
      <c r="BO1017" s="1">
        <v>40</v>
      </c>
      <c r="BP1017" s="1" t="s">
        <v>204</v>
      </c>
      <c r="BR1017" s="1" t="str">
        <f>"11311250070000"</f>
        <v>11311250070000</v>
      </c>
      <c r="BT1017" s="1" t="s">
        <v>10972</v>
      </c>
      <c r="BX1017" s="1">
        <v>76</v>
      </c>
      <c r="BY1017" s="1">
        <v>76</v>
      </c>
      <c r="BZ1017" s="1">
        <v>120</v>
      </c>
      <c r="CB1017" s="1" t="str">
        <f>"26"</f>
        <v>26</v>
      </c>
      <c r="CC1017" s="1" t="str">
        <f>""</f>
        <v/>
      </c>
      <c r="CD1017" s="1">
        <v>19</v>
      </c>
      <c r="CG1017" s="1" t="s">
        <v>377</v>
      </c>
      <c r="CH1017" s="1" t="s">
        <v>219</v>
      </c>
      <c r="CI1017" s="1" t="s">
        <v>438</v>
      </c>
      <c r="CJ1017" s="1" t="s">
        <v>343</v>
      </c>
      <c r="CK1017" s="1" t="s">
        <v>1045</v>
      </c>
      <c r="CL1017" s="1" t="s">
        <v>219</v>
      </c>
      <c r="CM1017" s="1" t="s">
        <v>220</v>
      </c>
      <c r="CO1017" s="1" t="s">
        <v>1612</v>
      </c>
      <c r="CP1017" s="1" t="s">
        <v>219</v>
      </c>
      <c r="CQ1017" s="1" t="s">
        <v>438</v>
      </c>
      <c r="CR1017" s="1" t="s">
        <v>343</v>
      </c>
      <c r="CS1017" s="1" t="s">
        <v>757</v>
      </c>
      <c r="CT1017" s="1" t="s">
        <v>219</v>
      </c>
      <c r="CU1017" s="1" t="s">
        <v>220</v>
      </c>
      <c r="CX1017" s="1" t="s">
        <v>224</v>
      </c>
      <c r="DB1017" s="1" t="s">
        <v>224</v>
      </c>
      <c r="DE1017" s="1" t="s">
        <v>1297</v>
      </c>
      <c r="DF1017" s="1" t="s">
        <v>219</v>
      </c>
      <c r="DG1017" s="1" t="s">
        <v>438</v>
      </c>
      <c r="DI1017" s="1" t="s">
        <v>540</v>
      </c>
      <c r="DJ1017" s="1" t="s">
        <v>219</v>
      </c>
      <c r="DK1017" s="1" t="s">
        <v>438</v>
      </c>
      <c r="DL1017" s="1" t="s">
        <v>343</v>
      </c>
      <c r="DM1017" s="1" t="s">
        <v>603</v>
      </c>
      <c r="DR1017" s="1" t="s">
        <v>540</v>
      </c>
      <c r="DS1017" s="1" t="s">
        <v>219</v>
      </c>
      <c r="DT1017" s="1" t="s">
        <v>229</v>
      </c>
      <c r="DW1017" s="1" t="s">
        <v>230</v>
      </c>
      <c r="EA1017" s="1" t="s">
        <v>230</v>
      </c>
      <c r="EE1017" s="1" t="s">
        <v>230</v>
      </c>
      <c r="EI1017" s="1" t="s">
        <v>230</v>
      </c>
      <c r="EL1017" s="1" t="s">
        <v>382</v>
      </c>
      <c r="EM1017" s="1" t="s">
        <v>232</v>
      </c>
      <c r="EN1017" s="1" t="s">
        <v>282</v>
      </c>
      <c r="EO1017" s="1" t="s">
        <v>234</v>
      </c>
      <c r="EQ1017" s="1" t="s">
        <v>10973</v>
      </c>
      <c r="ER1017" s="1" t="s">
        <v>383</v>
      </c>
      <c r="ES1017" s="1" t="s">
        <v>322</v>
      </c>
      <c r="EV1017" s="1" t="s">
        <v>240</v>
      </c>
      <c r="EW1017" s="1" t="s">
        <v>10974</v>
      </c>
      <c r="EZ1017" s="1" t="s">
        <v>603</v>
      </c>
      <c r="FB1017" s="1" t="s">
        <v>244</v>
      </c>
      <c r="FD1017" s="1" t="s">
        <v>246</v>
      </c>
      <c r="FE1017" s="1" t="s">
        <v>355</v>
      </c>
      <c r="FF1017" s="1" t="s">
        <v>248</v>
      </c>
      <c r="FH1017" s="1" t="s">
        <v>249</v>
      </c>
      <c r="FL1017" s="1" t="s">
        <v>414</v>
      </c>
      <c r="FM1017" s="1" t="s">
        <v>252</v>
      </c>
      <c r="FN1017" s="1" t="s">
        <v>213</v>
      </c>
      <c r="FO1017" s="1" t="s">
        <v>213</v>
      </c>
      <c r="FQ1017" s="1" t="s">
        <v>10975</v>
      </c>
      <c r="FR1017" s="1" t="s">
        <v>210</v>
      </c>
      <c r="FS1017" s="1" t="s">
        <v>10976</v>
      </c>
      <c r="FT1017" s="1" t="s">
        <v>1408</v>
      </c>
      <c r="FU1017" s="1" t="s">
        <v>213</v>
      </c>
      <c r="FV1017" s="1" t="s">
        <v>10977</v>
      </c>
      <c r="FW1017" s="1" t="s">
        <v>10978</v>
      </c>
      <c r="FX1017" s="1">
        <v>25609</v>
      </c>
      <c r="FY1017" s="1" t="s">
        <v>10979</v>
      </c>
      <c r="FZ1017" s="1" t="s">
        <v>10980</v>
      </c>
      <c r="GA1017" s="1">
        <v>239483</v>
      </c>
      <c r="GE1017" s="1" t="s">
        <v>480</v>
      </c>
      <c r="GI1017" s="1" t="s">
        <v>213</v>
      </c>
      <c r="GJ1017" s="1" t="s">
        <v>260</v>
      </c>
      <c r="GK1017" s="1" t="s">
        <v>210</v>
      </c>
      <c r="GL1017" s="2">
        <v>41974</v>
      </c>
      <c r="GM1017" s="1" t="s">
        <v>10981</v>
      </c>
    </row>
    <row r="1018" spans="1:195">
      <c r="A1018" s="1">
        <v>89900</v>
      </c>
      <c r="B1018" s="1" t="s">
        <v>195</v>
      </c>
      <c r="C1018" s="1" t="str">
        <f>"08648784"</f>
        <v>08648784</v>
      </c>
      <c r="D1018" s="1" t="s">
        <v>196</v>
      </c>
      <c r="F1018" s="1" t="str">
        <f>"540"</f>
        <v>540</v>
      </c>
      <c r="G1018" s="2">
        <v>41808</v>
      </c>
      <c r="H1018" s="1">
        <v>94900</v>
      </c>
      <c r="I1018" s="1">
        <v>89900</v>
      </c>
      <c r="J1018" s="1">
        <v>89900</v>
      </c>
      <c r="K1018" s="2">
        <v>41808</v>
      </c>
      <c r="L1018" s="1">
        <v>70</v>
      </c>
      <c r="M1018" s="2">
        <v>41877</v>
      </c>
      <c r="N1018" s="1">
        <v>70</v>
      </c>
      <c r="O1018" s="2">
        <v>41877</v>
      </c>
      <c r="P1018" s="1">
        <v>84467</v>
      </c>
      <c r="Q1018" s="1" t="s">
        <v>197</v>
      </c>
      <c r="R1018" s="2">
        <v>41992</v>
      </c>
      <c r="S1018" s="1">
        <v>131740</v>
      </c>
      <c r="U1018" s="1" t="s">
        <v>5278</v>
      </c>
      <c r="V1018" s="1" t="s">
        <v>5281</v>
      </c>
      <c r="W1018" s="1" t="s">
        <v>504</v>
      </c>
      <c r="X1018" s="1" t="s">
        <v>10982</v>
      </c>
      <c r="Y1018" s="1">
        <v>25</v>
      </c>
      <c r="Z1018" s="1" t="s">
        <v>249</v>
      </c>
      <c r="AA1018" s="1" t="s">
        <v>921</v>
      </c>
      <c r="AB1018" s="1">
        <v>60563</v>
      </c>
      <c r="AD1018" s="1" t="s">
        <v>5281</v>
      </c>
      <c r="AE1018" s="1" t="s">
        <v>10983</v>
      </c>
      <c r="AF1018" s="1">
        <v>1974</v>
      </c>
      <c r="AG1018" s="1" t="s">
        <v>213</v>
      </c>
      <c r="AH1018" s="1" t="s">
        <v>882</v>
      </c>
      <c r="AI1018" s="1" t="s">
        <v>206</v>
      </c>
      <c r="AJ1018" s="1" t="s">
        <v>924</v>
      </c>
      <c r="AL1018" s="1">
        <v>5</v>
      </c>
      <c r="AM1018" s="1">
        <v>2</v>
      </c>
      <c r="AN1018" s="1">
        <v>1</v>
      </c>
      <c r="AO1018" s="1">
        <v>1</v>
      </c>
      <c r="AP1018" s="1" t="s">
        <v>1234</v>
      </c>
      <c r="AR1018" s="1" t="s">
        <v>210</v>
      </c>
      <c r="AS1018" s="1" t="s">
        <v>204</v>
      </c>
      <c r="AT1018" s="1" t="s">
        <v>211</v>
      </c>
      <c r="AU1018" s="1">
        <v>2</v>
      </c>
      <c r="AW1018" s="1" t="s">
        <v>204</v>
      </c>
      <c r="AX1018" s="1" t="s">
        <v>212</v>
      </c>
      <c r="AZ1018" s="1">
        <v>1597</v>
      </c>
      <c r="BA1018" s="1">
        <v>2013</v>
      </c>
      <c r="BB1018" s="1" t="s">
        <v>599</v>
      </c>
      <c r="BE1018" s="1">
        <v>1095</v>
      </c>
      <c r="BF1018" s="1">
        <v>3</v>
      </c>
      <c r="BG1018" s="1">
        <v>0</v>
      </c>
      <c r="BL1018" s="1">
        <v>350</v>
      </c>
      <c r="BM1018" s="1" t="s">
        <v>204</v>
      </c>
      <c r="BN1018" s="1" t="s">
        <v>213</v>
      </c>
      <c r="BP1018" s="1" t="s">
        <v>204</v>
      </c>
      <c r="BR1018" s="1" t="str">
        <f>"0709219061"</f>
        <v>0709219061</v>
      </c>
      <c r="BT1018" s="1" t="s">
        <v>10984</v>
      </c>
      <c r="BU1018" s="1" t="s">
        <v>1247</v>
      </c>
      <c r="BV1018" s="1" t="s">
        <v>1248</v>
      </c>
      <c r="BW1018" s="1" t="s">
        <v>1131</v>
      </c>
      <c r="BX1018" s="1">
        <v>204</v>
      </c>
      <c r="BY1018" s="1">
        <v>204</v>
      </c>
      <c r="BZ1018" s="1">
        <v>204</v>
      </c>
      <c r="CB1018" s="1" t="str">
        <f t="shared" ref="CB1018:CC1018" si="783">"0"</f>
        <v>0</v>
      </c>
      <c r="CC1018" s="1" t="str">
        <f t="shared" si="783"/>
        <v>0</v>
      </c>
      <c r="CD1018" s="1">
        <v>30</v>
      </c>
      <c r="CE1018" s="1">
        <v>5</v>
      </c>
      <c r="CG1018" s="1" t="s">
        <v>1936</v>
      </c>
      <c r="CH1018" s="1" t="s">
        <v>219</v>
      </c>
      <c r="CI1018" s="1" t="s">
        <v>229</v>
      </c>
      <c r="CJ1018" s="1" t="s">
        <v>252</v>
      </c>
      <c r="CK1018" s="1" t="s">
        <v>932</v>
      </c>
      <c r="CL1018" s="1" t="s">
        <v>219</v>
      </c>
      <c r="CM1018" s="1" t="s">
        <v>220</v>
      </c>
      <c r="CN1018" s="1" t="s">
        <v>252</v>
      </c>
      <c r="CO1018" s="1" t="s">
        <v>837</v>
      </c>
      <c r="CP1018" s="1" t="s">
        <v>219</v>
      </c>
      <c r="CQ1018" s="1" t="s">
        <v>220</v>
      </c>
      <c r="CR1018" s="1" t="s">
        <v>252</v>
      </c>
      <c r="CS1018" s="1" t="s">
        <v>379</v>
      </c>
      <c r="CT1018" s="1" t="s">
        <v>219</v>
      </c>
      <c r="CU1018" s="1" t="s">
        <v>220</v>
      </c>
      <c r="CV1018" s="1" t="s">
        <v>252</v>
      </c>
      <c r="CX1018" s="1" t="s">
        <v>224</v>
      </c>
      <c r="DB1018" s="1" t="s">
        <v>224</v>
      </c>
      <c r="DE1018" s="1" t="s">
        <v>348</v>
      </c>
      <c r="DF1018" s="1" t="s">
        <v>219</v>
      </c>
      <c r="DG1018" s="1" t="s">
        <v>342</v>
      </c>
      <c r="DJ1018" s="1" t="s">
        <v>224</v>
      </c>
      <c r="DS1018" s="1" t="s">
        <v>230</v>
      </c>
      <c r="DW1018" s="1" t="s">
        <v>230</v>
      </c>
      <c r="EA1018" s="1" t="s">
        <v>230</v>
      </c>
      <c r="EE1018" s="1" t="s">
        <v>230</v>
      </c>
      <c r="EI1018" s="1" t="s">
        <v>230</v>
      </c>
      <c r="EL1018" s="1" t="s">
        <v>231</v>
      </c>
      <c r="EM1018" s="1" t="s">
        <v>232</v>
      </c>
      <c r="EN1018" s="1" t="s">
        <v>282</v>
      </c>
      <c r="EO1018" s="1" t="s">
        <v>234</v>
      </c>
      <c r="EP1018" s="1" t="s">
        <v>10985</v>
      </c>
      <c r="EQ1018" s="1" t="s">
        <v>1094</v>
      </c>
      <c r="ER1018" s="1" t="s">
        <v>210</v>
      </c>
      <c r="ES1018" s="1" t="s">
        <v>545</v>
      </c>
      <c r="EV1018" s="1" t="s">
        <v>240</v>
      </c>
      <c r="EW1018" s="1" t="s">
        <v>10986</v>
      </c>
      <c r="EZ1018" s="1" t="s">
        <v>287</v>
      </c>
      <c r="FA1018" s="1" t="s">
        <v>288</v>
      </c>
      <c r="FB1018" s="1" t="s">
        <v>289</v>
      </c>
      <c r="FC1018" s="1" t="s">
        <v>1386</v>
      </c>
      <c r="FD1018" s="1" t="s">
        <v>736</v>
      </c>
      <c r="FE1018" s="1" t="s">
        <v>247</v>
      </c>
      <c r="FF1018" s="1" t="s">
        <v>1113</v>
      </c>
      <c r="FH1018" s="1" t="s">
        <v>249</v>
      </c>
      <c r="FI1018" s="1" t="s">
        <v>250</v>
      </c>
      <c r="FJ1018" s="1" t="s">
        <v>197</v>
      </c>
      <c r="FL1018" s="1" t="s">
        <v>358</v>
      </c>
      <c r="FM1018" s="1" t="s">
        <v>252</v>
      </c>
      <c r="FN1018" s="1" t="s">
        <v>213</v>
      </c>
      <c r="FO1018" s="1" t="s">
        <v>213</v>
      </c>
      <c r="FQ1018" s="1" t="s">
        <v>10987</v>
      </c>
      <c r="FR1018" s="1" t="s">
        <v>210</v>
      </c>
      <c r="FS1018" s="1" t="s">
        <v>10988</v>
      </c>
      <c r="FT1018" s="1" t="s">
        <v>10989</v>
      </c>
      <c r="FU1018" s="1" t="s">
        <v>204</v>
      </c>
      <c r="FW1018" s="1" t="s">
        <v>585</v>
      </c>
      <c r="FX1018" s="1">
        <v>60021</v>
      </c>
      <c r="FY1018" s="1" t="s">
        <v>2502</v>
      </c>
      <c r="FZ1018" s="1" t="s">
        <v>10990</v>
      </c>
      <c r="GA1018" s="1">
        <v>606016</v>
      </c>
      <c r="GB1018" s="1" t="s">
        <v>10991</v>
      </c>
      <c r="GE1018" s="1" t="s">
        <v>658</v>
      </c>
      <c r="GI1018" s="1" t="s">
        <v>213</v>
      </c>
      <c r="GJ1018" s="1" t="s">
        <v>260</v>
      </c>
      <c r="GK1018" s="1" t="s">
        <v>210</v>
      </c>
      <c r="GL1018" s="2">
        <v>41992</v>
      </c>
      <c r="GM1018" s="1" t="s">
        <v>10992</v>
      </c>
    </row>
    <row r="1019" spans="1:195">
      <c r="A1019" s="1">
        <v>87000</v>
      </c>
      <c r="B1019" s="1" t="s">
        <v>195</v>
      </c>
      <c r="C1019" s="1" t="str">
        <f>"08649592"</f>
        <v>08649592</v>
      </c>
      <c r="D1019" s="1" t="s">
        <v>196</v>
      </c>
      <c r="F1019" s="1" t="str">
        <f>"507"</f>
        <v>507</v>
      </c>
      <c r="G1019" s="2">
        <v>41809</v>
      </c>
      <c r="H1019" s="1">
        <v>89900</v>
      </c>
      <c r="I1019" s="1">
        <v>85000</v>
      </c>
      <c r="J1019" s="1">
        <v>87000</v>
      </c>
      <c r="K1019" s="2">
        <v>41809</v>
      </c>
      <c r="L1019" s="1">
        <v>149</v>
      </c>
      <c r="M1019" s="2">
        <v>41957</v>
      </c>
      <c r="N1019" s="1">
        <v>149</v>
      </c>
      <c r="O1019" s="2">
        <v>41957</v>
      </c>
      <c r="P1019" s="1">
        <v>22029</v>
      </c>
      <c r="Q1019" s="1" t="s">
        <v>197</v>
      </c>
      <c r="R1019" s="2">
        <v>42012</v>
      </c>
      <c r="S1019" s="1">
        <v>217801</v>
      </c>
      <c r="T1019" s="1">
        <v>3550</v>
      </c>
      <c r="U1019" s="1">
        <v>1081</v>
      </c>
      <c r="V1019" s="1" t="s">
        <v>8337</v>
      </c>
      <c r="W1019" s="1" t="s">
        <v>264</v>
      </c>
      <c r="X1019" s="1">
        <v>1081</v>
      </c>
      <c r="Y1019" s="1">
        <v>4</v>
      </c>
      <c r="Z1019" s="1" t="s">
        <v>370</v>
      </c>
      <c r="AA1019" s="1" t="s">
        <v>1123</v>
      </c>
      <c r="AB1019" s="1">
        <v>60506</v>
      </c>
      <c r="AD1019" s="1" t="s">
        <v>10993</v>
      </c>
      <c r="AE1019" s="1" t="s">
        <v>10994</v>
      </c>
      <c r="AF1019" s="1">
        <v>1973</v>
      </c>
      <c r="AG1019" s="1" t="s">
        <v>213</v>
      </c>
      <c r="AH1019" s="1" t="s">
        <v>1126</v>
      </c>
      <c r="AI1019" s="1" t="s">
        <v>665</v>
      </c>
      <c r="AJ1019" s="1" t="s">
        <v>1126</v>
      </c>
      <c r="AL1019" s="1">
        <v>5</v>
      </c>
      <c r="AM1019" s="1">
        <v>2</v>
      </c>
      <c r="AN1019" s="1">
        <v>2</v>
      </c>
      <c r="AO1019" s="1">
        <v>0</v>
      </c>
      <c r="AP1019" s="1" t="s">
        <v>210</v>
      </c>
      <c r="AR1019" s="1" t="s">
        <v>209</v>
      </c>
      <c r="AS1019" s="1" t="s">
        <v>213</v>
      </c>
      <c r="AT1019" s="1" t="s">
        <v>211</v>
      </c>
      <c r="AU1019" s="1">
        <v>1</v>
      </c>
      <c r="AW1019" s="1" t="s">
        <v>204</v>
      </c>
      <c r="AX1019" s="1" t="s">
        <v>10995</v>
      </c>
      <c r="AZ1019" s="1">
        <v>1260.26</v>
      </c>
      <c r="BA1019" s="1">
        <v>2013</v>
      </c>
      <c r="BB1019" s="1" t="s">
        <v>405</v>
      </c>
      <c r="BE1019" s="1">
        <v>836</v>
      </c>
      <c r="BF1019" s="1">
        <v>1</v>
      </c>
      <c r="BG1019" s="1">
        <v>5</v>
      </c>
      <c r="BL1019" s="1">
        <v>200</v>
      </c>
      <c r="BM1019" s="1" t="s">
        <v>204</v>
      </c>
      <c r="BN1019" s="1" t="s">
        <v>213</v>
      </c>
      <c r="BO1019" s="1">
        <v>999</v>
      </c>
      <c r="BP1019" s="1" t="s">
        <v>204</v>
      </c>
      <c r="BR1019" s="1" t="str">
        <f>"1517103008"</f>
        <v>1517103008</v>
      </c>
      <c r="BT1019" s="1" t="s">
        <v>10996</v>
      </c>
      <c r="BX1019" s="1">
        <v>129</v>
      </c>
      <c r="BY1019" s="1">
        <v>129</v>
      </c>
      <c r="BZ1019" s="1">
        <v>129</v>
      </c>
      <c r="CB1019" s="1" t="str">
        <f t="shared" ref="CB1019:CC1019" si="784">""</f>
        <v/>
      </c>
      <c r="CC1019" s="1" t="str">
        <f t="shared" si="784"/>
        <v/>
      </c>
      <c r="CD1019" s="1">
        <v>37</v>
      </c>
      <c r="CE1019" s="1">
        <v>6</v>
      </c>
      <c r="CG1019" s="1" t="s">
        <v>344</v>
      </c>
      <c r="CH1019" s="1" t="s">
        <v>219</v>
      </c>
      <c r="CI1019" s="1" t="s">
        <v>226</v>
      </c>
      <c r="CK1019" s="1" t="s">
        <v>1358</v>
      </c>
      <c r="CL1019" s="1" t="s">
        <v>219</v>
      </c>
      <c r="CM1019" s="1" t="s">
        <v>226</v>
      </c>
      <c r="CP1019" s="1" t="s">
        <v>224</v>
      </c>
      <c r="CS1019" s="1" t="s">
        <v>539</v>
      </c>
      <c r="CT1019" s="1" t="s">
        <v>219</v>
      </c>
      <c r="CU1019" s="1" t="s">
        <v>226</v>
      </c>
      <c r="CX1019" s="1" t="s">
        <v>224</v>
      </c>
      <c r="DB1019" s="1" t="s">
        <v>224</v>
      </c>
      <c r="DE1019" s="1" t="s">
        <v>223</v>
      </c>
      <c r="DF1019" s="1" t="s">
        <v>219</v>
      </c>
      <c r="DG1019" s="1" t="s">
        <v>229</v>
      </c>
      <c r="DJ1019" s="1" t="s">
        <v>224</v>
      </c>
      <c r="DM1019" s="1" t="s">
        <v>10997</v>
      </c>
      <c r="DR1019" s="1" t="s">
        <v>465</v>
      </c>
      <c r="DS1019" s="1" t="s">
        <v>43</v>
      </c>
      <c r="DT1019" s="1" t="s">
        <v>347</v>
      </c>
      <c r="DW1019" s="1" t="s">
        <v>230</v>
      </c>
      <c r="EA1019" s="1" t="s">
        <v>230</v>
      </c>
      <c r="EE1019" s="1" t="s">
        <v>230</v>
      </c>
      <c r="EI1019" s="1" t="s">
        <v>230</v>
      </c>
      <c r="EL1019" s="1" t="s">
        <v>605</v>
      </c>
      <c r="EM1019" s="1" t="s">
        <v>319</v>
      </c>
      <c r="EN1019" s="1" t="s">
        <v>282</v>
      </c>
      <c r="EO1019" s="1" t="s">
        <v>234</v>
      </c>
      <c r="EP1019" s="1" t="s">
        <v>6649</v>
      </c>
      <c r="EQ1019" s="1" t="s">
        <v>492</v>
      </c>
      <c r="ER1019" s="1" t="s">
        <v>544</v>
      </c>
      <c r="ES1019" s="1" t="s">
        <v>322</v>
      </c>
      <c r="EU1019" s="1" t="s">
        <v>546</v>
      </c>
      <c r="EW1019" s="1" t="s">
        <v>7793</v>
      </c>
      <c r="EZ1019" s="1" t="s">
        <v>10997</v>
      </c>
      <c r="FA1019" s="1" t="s">
        <v>2358</v>
      </c>
      <c r="FB1019" s="1" t="s">
        <v>289</v>
      </c>
      <c r="FD1019" s="1" t="s">
        <v>246</v>
      </c>
      <c r="FE1019" s="1" t="s">
        <v>549</v>
      </c>
      <c r="FF1019" s="1" t="s">
        <v>248</v>
      </c>
      <c r="FH1019" s="1" t="s">
        <v>825</v>
      </c>
      <c r="FI1019" s="1" t="s">
        <v>473</v>
      </c>
      <c r="FL1019" s="1" t="s">
        <v>358</v>
      </c>
      <c r="FM1019" s="1" t="s">
        <v>252</v>
      </c>
      <c r="FN1019" s="1" t="s">
        <v>213</v>
      </c>
      <c r="FO1019" s="1" t="s">
        <v>213</v>
      </c>
      <c r="FQ1019" s="1" t="s">
        <v>1032</v>
      </c>
      <c r="FR1019" s="1" t="s">
        <v>210</v>
      </c>
      <c r="FS1019" s="1" t="s">
        <v>1318</v>
      </c>
      <c r="FT1019" s="1" t="s">
        <v>675</v>
      </c>
      <c r="FU1019" s="1" t="s">
        <v>204</v>
      </c>
      <c r="FW1019" s="1" t="s">
        <v>2093</v>
      </c>
      <c r="FX1019" s="1">
        <v>31580</v>
      </c>
      <c r="FY1019" s="1" t="s">
        <v>2094</v>
      </c>
      <c r="FZ1019" s="1" t="s">
        <v>2095</v>
      </c>
      <c r="GA1019" s="1">
        <v>8171</v>
      </c>
      <c r="GB1019" s="1" t="s">
        <v>2096</v>
      </c>
      <c r="GC1019" s="1">
        <v>8327</v>
      </c>
      <c r="GE1019" s="1" t="s">
        <v>335</v>
      </c>
      <c r="GI1019" s="1" t="s">
        <v>213</v>
      </c>
      <c r="GJ1019" s="1" t="s">
        <v>260</v>
      </c>
      <c r="GK1019" s="1" t="s">
        <v>210</v>
      </c>
      <c r="GL1019" s="2">
        <v>42013</v>
      </c>
      <c r="GM1019" s="1" t="s">
        <v>10998</v>
      </c>
    </row>
    <row r="1020" spans="1:195">
      <c r="A1020" s="1">
        <v>212000</v>
      </c>
      <c r="B1020" s="1" t="s">
        <v>195</v>
      </c>
      <c r="C1020" s="1" t="str">
        <f>"08649465"</f>
        <v>08649465</v>
      </c>
      <c r="D1020" s="1" t="s">
        <v>196</v>
      </c>
      <c r="F1020" s="1" t="str">
        <f>"540"</f>
        <v>540</v>
      </c>
      <c r="G1020" s="2">
        <v>41809</v>
      </c>
      <c r="H1020" s="1">
        <v>235000</v>
      </c>
      <c r="I1020" s="1">
        <v>219500</v>
      </c>
      <c r="J1020" s="1">
        <v>212000</v>
      </c>
      <c r="K1020" s="2">
        <v>41809</v>
      </c>
      <c r="L1020" s="1">
        <v>131</v>
      </c>
      <c r="M1020" s="2">
        <v>41939</v>
      </c>
      <c r="N1020" s="1">
        <v>131</v>
      </c>
      <c r="O1020" s="2">
        <v>41939</v>
      </c>
      <c r="P1020" s="1">
        <v>23265</v>
      </c>
      <c r="Q1020" s="1" t="s">
        <v>197</v>
      </c>
      <c r="R1020" s="2">
        <v>41975</v>
      </c>
      <c r="S1020" s="1">
        <v>212343</v>
      </c>
      <c r="U1020" s="1">
        <v>3005</v>
      </c>
      <c r="V1020" s="1" t="s">
        <v>10999</v>
      </c>
      <c r="W1020" s="1" t="s">
        <v>1056</v>
      </c>
      <c r="Y1020" s="1">
        <v>6</v>
      </c>
      <c r="Z1020" s="1" t="s">
        <v>370</v>
      </c>
      <c r="AA1020" s="1" t="s">
        <v>921</v>
      </c>
      <c r="AB1020" s="1">
        <v>60564</v>
      </c>
      <c r="AD1020" s="1" t="s">
        <v>11000</v>
      </c>
      <c r="AE1020" s="1" t="s">
        <v>11001</v>
      </c>
      <c r="AF1020" s="1">
        <v>2000</v>
      </c>
      <c r="AG1020" s="1" t="s">
        <v>204</v>
      </c>
      <c r="AH1020" s="1" t="s">
        <v>924</v>
      </c>
      <c r="AI1020" s="1" t="s">
        <v>1800</v>
      </c>
      <c r="AJ1020" s="1" t="s">
        <v>1801</v>
      </c>
      <c r="AK1020" s="1" t="s">
        <v>11002</v>
      </c>
      <c r="AL1020" s="1">
        <v>6</v>
      </c>
      <c r="AM1020" s="1">
        <v>2</v>
      </c>
      <c r="AN1020" s="1">
        <v>2</v>
      </c>
      <c r="AO1020" s="1">
        <v>1</v>
      </c>
      <c r="AP1020" s="1" t="s">
        <v>209</v>
      </c>
      <c r="AQ1020" s="1">
        <v>1</v>
      </c>
      <c r="AR1020" s="1" t="s">
        <v>209</v>
      </c>
      <c r="AS1020" s="1" t="s">
        <v>204</v>
      </c>
      <c r="AT1020" s="1" t="s">
        <v>211</v>
      </c>
      <c r="AU1020" s="1">
        <v>2</v>
      </c>
      <c r="AW1020" s="1" t="s">
        <v>204</v>
      </c>
      <c r="AX1020" s="1" t="s">
        <v>212</v>
      </c>
      <c r="AZ1020" s="1">
        <v>4988.3599999999997</v>
      </c>
      <c r="BA1020" s="1">
        <v>2013</v>
      </c>
      <c r="BB1020" s="1" t="s">
        <v>405</v>
      </c>
      <c r="BE1020" s="1">
        <v>1500</v>
      </c>
      <c r="BF1020" s="1">
        <v>1</v>
      </c>
      <c r="BG1020" s="1">
        <v>0</v>
      </c>
      <c r="BL1020" s="1">
        <v>190</v>
      </c>
      <c r="BM1020" s="1" t="s">
        <v>204</v>
      </c>
      <c r="BN1020" s="1" t="s">
        <v>213</v>
      </c>
      <c r="BO1020" s="1">
        <v>999</v>
      </c>
      <c r="BP1020" s="1" t="s">
        <v>204</v>
      </c>
      <c r="BR1020" s="1" t="str">
        <f>"01092030310000"</f>
        <v>01092030310000</v>
      </c>
      <c r="BT1020" s="1" t="s">
        <v>11003</v>
      </c>
      <c r="BU1020" s="1" t="s">
        <v>7599</v>
      </c>
      <c r="BV1020" s="1" t="s">
        <v>2217</v>
      </c>
      <c r="BW1020" s="1" t="s">
        <v>1312</v>
      </c>
      <c r="BX1020" s="1">
        <v>204</v>
      </c>
      <c r="BY1020" s="1">
        <v>204</v>
      </c>
      <c r="BZ1020" s="1">
        <v>204</v>
      </c>
      <c r="CB1020" s="1" t="str">
        <f t="shared" ref="CB1020:CC1020" si="785">"0"</f>
        <v>0</v>
      </c>
      <c r="CC1020" s="1" t="str">
        <f t="shared" si="785"/>
        <v>0</v>
      </c>
      <c r="CD1020" s="1">
        <v>30</v>
      </c>
      <c r="CE1020" s="1">
        <v>11</v>
      </c>
      <c r="CG1020" s="1" t="s">
        <v>1533</v>
      </c>
      <c r="CH1020" s="1" t="s">
        <v>219</v>
      </c>
      <c r="CI1020" s="1" t="s">
        <v>566</v>
      </c>
      <c r="CK1020" s="1" t="s">
        <v>221</v>
      </c>
      <c r="CL1020" s="1" t="s">
        <v>277</v>
      </c>
      <c r="CO1020" s="1" t="s">
        <v>1046</v>
      </c>
      <c r="CP1020" s="1" t="s">
        <v>219</v>
      </c>
      <c r="CQ1020" s="1" t="s">
        <v>566</v>
      </c>
      <c r="CS1020" s="1" t="s">
        <v>1046</v>
      </c>
      <c r="CT1020" s="1" t="s">
        <v>277</v>
      </c>
      <c r="CX1020" s="1" t="s">
        <v>224</v>
      </c>
      <c r="DB1020" s="1" t="s">
        <v>224</v>
      </c>
      <c r="DE1020" s="1" t="s">
        <v>972</v>
      </c>
      <c r="DF1020" s="1" t="s">
        <v>219</v>
      </c>
      <c r="DG1020" s="1" t="s">
        <v>438</v>
      </c>
      <c r="DJ1020" s="1" t="s">
        <v>224</v>
      </c>
      <c r="DM1020" s="1" t="s">
        <v>464</v>
      </c>
      <c r="DR1020" s="1" t="s">
        <v>932</v>
      </c>
      <c r="DS1020" s="1" t="s">
        <v>277</v>
      </c>
      <c r="DW1020" s="1" t="s">
        <v>230</v>
      </c>
      <c r="EA1020" s="1" t="s">
        <v>230</v>
      </c>
      <c r="EE1020" s="1" t="s">
        <v>230</v>
      </c>
      <c r="EI1020" s="1" t="s">
        <v>230</v>
      </c>
      <c r="EL1020" s="1" t="s">
        <v>466</v>
      </c>
      <c r="EM1020" s="1" t="s">
        <v>232</v>
      </c>
      <c r="EN1020" s="1" t="s">
        <v>282</v>
      </c>
      <c r="EO1020" s="1" t="s">
        <v>234</v>
      </c>
      <c r="EQ1020" s="1" t="s">
        <v>492</v>
      </c>
      <c r="ER1020" s="1" t="s">
        <v>1249</v>
      </c>
      <c r="ES1020" s="1" t="s">
        <v>954</v>
      </c>
      <c r="EU1020" s="1" t="s">
        <v>239</v>
      </c>
      <c r="EV1020" s="1" t="s">
        <v>324</v>
      </c>
      <c r="EW1020" s="1" t="s">
        <v>353</v>
      </c>
      <c r="EY1020" s="1" t="s">
        <v>242</v>
      </c>
      <c r="EZ1020" s="1" t="s">
        <v>464</v>
      </c>
      <c r="FC1020" s="1" t="s">
        <v>1362</v>
      </c>
      <c r="FD1020" s="1" t="s">
        <v>246</v>
      </c>
      <c r="FE1020" s="1" t="s">
        <v>472</v>
      </c>
      <c r="FF1020" s="1" t="s">
        <v>2998</v>
      </c>
      <c r="FG1020" s="1" t="s">
        <v>871</v>
      </c>
      <c r="FH1020" s="1" t="s">
        <v>550</v>
      </c>
      <c r="FI1020" s="1" t="s">
        <v>357</v>
      </c>
      <c r="FL1020" s="1" t="s">
        <v>358</v>
      </c>
      <c r="FM1020" s="1" t="s">
        <v>252</v>
      </c>
      <c r="FN1020" s="1" t="s">
        <v>213</v>
      </c>
      <c r="FO1020" s="1" t="s">
        <v>213</v>
      </c>
      <c r="FQ1020" s="1" t="s">
        <v>11004</v>
      </c>
      <c r="FR1020" s="1" t="s">
        <v>210</v>
      </c>
      <c r="FS1020" s="1" t="s">
        <v>11005</v>
      </c>
      <c r="FT1020" s="1" t="s">
        <v>362</v>
      </c>
      <c r="FU1020" s="1" t="s">
        <v>204</v>
      </c>
      <c r="FW1020" s="1" t="s">
        <v>1559</v>
      </c>
      <c r="FX1020" s="1">
        <v>4110</v>
      </c>
      <c r="FY1020" s="1" t="s">
        <v>11006</v>
      </c>
      <c r="FZ1020" s="1" t="s">
        <v>11007</v>
      </c>
      <c r="GA1020" s="1">
        <v>39867</v>
      </c>
      <c r="GB1020" s="1" t="s">
        <v>11008</v>
      </c>
      <c r="GE1020" s="1" t="s">
        <v>210</v>
      </c>
      <c r="GI1020" s="1" t="s">
        <v>213</v>
      </c>
      <c r="GJ1020" s="1" t="s">
        <v>260</v>
      </c>
      <c r="GK1020" s="1" t="s">
        <v>210</v>
      </c>
      <c r="GL1020" s="2">
        <v>42004</v>
      </c>
    </row>
    <row r="1021" spans="1:195">
      <c r="A1021" s="1">
        <v>109000</v>
      </c>
      <c r="B1021" s="1" t="s">
        <v>195</v>
      </c>
      <c r="C1021" s="1" t="str">
        <f>"08658719"</f>
        <v>08658719</v>
      </c>
      <c r="D1021" s="1" t="s">
        <v>196</v>
      </c>
      <c r="F1021" s="1" t="str">
        <f>"115"</f>
        <v>115</v>
      </c>
      <c r="G1021" s="2">
        <v>41819</v>
      </c>
      <c r="H1021" s="1">
        <v>119900</v>
      </c>
      <c r="I1021" s="1">
        <v>114400</v>
      </c>
      <c r="J1021" s="1">
        <v>109000</v>
      </c>
      <c r="K1021" s="2">
        <v>41819</v>
      </c>
      <c r="L1021" s="1">
        <v>191</v>
      </c>
      <c r="M1021" s="2">
        <v>42009</v>
      </c>
      <c r="N1021" s="1">
        <v>191</v>
      </c>
      <c r="O1021" s="2">
        <v>42009</v>
      </c>
      <c r="P1021" s="1" t="s">
        <v>1039</v>
      </c>
      <c r="Q1021" s="1" t="s">
        <v>302</v>
      </c>
      <c r="R1021" s="2">
        <v>42034</v>
      </c>
      <c r="S1021" s="1">
        <v>99999</v>
      </c>
      <c r="U1021" s="1">
        <v>2123</v>
      </c>
      <c r="V1021" s="1" t="s">
        <v>2241</v>
      </c>
      <c r="W1021" s="1" t="s">
        <v>504</v>
      </c>
      <c r="X1021" s="1">
        <v>2123</v>
      </c>
      <c r="Y1021" s="1">
        <v>4</v>
      </c>
      <c r="Z1021" s="1" t="s">
        <v>370</v>
      </c>
      <c r="AA1021" s="1" t="s">
        <v>2242</v>
      </c>
      <c r="AB1021" s="1">
        <v>60115</v>
      </c>
      <c r="AD1021" s="1" t="s">
        <v>2243</v>
      </c>
      <c r="AE1021" s="1" t="s">
        <v>2244</v>
      </c>
      <c r="AF1021" s="1">
        <v>2004</v>
      </c>
      <c r="AG1021" s="1" t="s">
        <v>204</v>
      </c>
      <c r="AH1021" s="1" t="s">
        <v>2245</v>
      </c>
      <c r="AI1021" s="1" t="s">
        <v>2246</v>
      </c>
      <c r="AJ1021" s="1" t="s">
        <v>2245</v>
      </c>
      <c r="AK1021" s="1" t="s">
        <v>2247</v>
      </c>
      <c r="AL1021" s="1">
        <v>5</v>
      </c>
      <c r="AM1021" s="1">
        <v>2</v>
      </c>
      <c r="AN1021" s="1">
        <v>2</v>
      </c>
      <c r="AO1021" s="1">
        <v>1</v>
      </c>
      <c r="AP1021" s="1" t="s">
        <v>667</v>
      </c>
      <c r="AQ1021" s="1">
        <v>1</v>
      </c>
      <c r="AR1021" s="1" t="s">
        <v>209</v>
      </c>
      <c r="AS1021" s="1" t="s">
        <v>213</v>
      </c>
      <c r="AT1021" s="1" t="s">
        <v>211</v>
      </c>
      <c r="AU1021" s="1">
        <v>1</v>
      </c>
      <c r="AW1021" s="1" t="s">
        <v>204</v>
      </c>
      <c r="AX1021" s="1" t="s">
        <v>2248</v>
      </c>
      <c r="AZ1021" s="1">
        <v>3929.68</v>
      </c>
      <c r="BA1021" s="1">
        <v>2013</v>
      </c>
      <c r="BB1021" s="1" t="s">
        <v>405</v>
      </c>
      <c r="BE1021" s="1">
        <v>1300</v>
      </c>
      <c r="BF1021" s="1">
        <v>1</v>
      </c>
      <c r="BG1021" s="1">
        <v>30</v>
      </c>
      <c r="BL1021" s="1">
        <v>65</v>
      </c>
      <c r="BM1021" s="1" t="s">
        <v>413</v>
      </c>
      <c r="BN1021" s="1" t="s">
        <v>213</v>
      </c>
      <c r="BO1021" s="1">
        <v>30</v>
      </c>
      <c r="BP1021" s="1" t="s">
        <v>204</v>
      </c>
      <c r="BR1021" s="1" t="str">
        <f>"0834228061"</f>
        <v>0834228061</v>
      </c>
      <c r="BT1021" s="1" t="s">
        <v>11009</v>
      </c>
      <c r="BX1021" s="1">
        <v>428</v>
      </c>
      <c r="BY1021" s="1">
        <v>428</v>
      </c>
      <c r="BZ1021" s="1">
        <v>428</v>
      </c>
      <c r="CB1021" s="1" t="str">
        <f t="shared" ref="CB1021:CC1021" si="786">""</f>
        <v/>
      </c>
      <c r="CC1021" s="1" t="str">
        <f t="shared" si="786"/>
        <v/>
      </c>
      <c r="CG1021" s="1" t="s">
        <v>2250</v>
      </c>
      <c r="CH1021" s="1" t="s">
        <v>219</v>
      </c>
      <c r="CI1021" s="1" t="s">
        <v>220</v>
      </c>
      <c r="CJ1021" s="1" t="s">
        <v>343</v>
      </c>
      <c r="CK1021" s="1" t="s">
        <v>462</v>
      </c>
      <c r="CL1021" s="1" t="s">
        <v>277</v>
      </c>
      <c r="CM1021" s="1" t="s">
        <v>220</v>
      </c>
      <c r="CN1021" s="1" t="s">
        <v>343</v>
      </c>
      <c r="CP1021" s="1" t="s">
        <v>224</v>
      </c>
      <c r="CS1021" s="1" t="s">
        <v>280</v>
      </c>
      <c r="CT1021" s="1" t="s">
        <v>277</v>
      </c>
      <c r="CU1021" s="1" t="s">
        <v>220</v>
      </c>
      <c r="CV1021" s="1" t="s">
        <v>343</v>
      </c>
      <c r="CX1021" s="1" t="s">
        <v>224</v>
      </c>
      <c r="DB1021" s="1" t="s">
        <v>224</v>
      </c>
      <c r="DE1021" s="1" t="s">
        <v>490</v>
      </c>
      <c r="DF1021" s="1" t="s">
        <v>219</v>
      </c>
      <c r="DG1021" s="1" t="s">
        <v>438</v>
      </c>
      <c r="DH1021" s="1" t="s">
        <v>210</v>
      </c>
      <c r="DI1021" s="1" t="s">
        <v>11010</v>
      </c>
      <c r="DJ1021" s="1" t="s">
        <v>43</v>
      </c>
      <c r="DK1021" s="1" t="s">
        <v>220</v>
      </c>
      <c r="DL1021" s="1" t="s">
        <v>210</v>
      </c>
      <c r="DN1021" s="1" t="s">
        <v>1770</v>
      </c>
      <c r="DS1021" s="1" t="s">
        <v>230</v>
      </c>
      <c r="DV1021" s="1" t="s">
        <v>839</v>
      </c>
      <c r="DW1021" s="1" t="s">
        <v>277</v>
      </c>
      <c r="DX1021" s="1" t="s">
        <v>342</v>
      </c>
      <c r="DY1021" s="1" t="s">
        <v>210</v>
      </c>
      <c r="EA1021" s="1" t="s">
        <v>230</v>
      </c>
      <c r="EE1021" s="1" t="s">
        <v>230</v>
      </c>
      <c r="EI1021" s="1" t="s">
        <v>230</v>
      </c>
      <c r="EL1021" s="1" t="s">
        <v>491</v>
      </c>
      <c r="EM1021" s="1" t="s">
        <v>319</v>
      </c>
      <c r="EN1021" s="1" t="s">
        <v>282</v>
      </c>
      <c r="EO1021" s="1" t="s">
        <v>234</v>
      </c>
      <c r="EP1021" s="1" t="s">
        <v>210</v>
      </c>
      <c r="EQ1021" s="1" t="s">
        <v>236</v>
      </c>
      <c r="ER1021" s="1" t="s">
        <v>544</v>
      </c>
      <c r="ES1021" s="1" t="s">
        <v>3914</v>
      </c>
      <c r="ET1021" s="1" t="s">
        <v>1161</v>
      </c>
      <c r="EW1021" s="1" t="s">
        <v>1250</v>
      </c>
      <c r="EY1021" s="1" t="s">
        <v>242</v>
      </c>
      <c r="EZ1021" s="1" t="s">
        <v>1770</v>
      </c>
      <c r="FA1021" s="1" t="s">
        <v>2251</v>
      </c>
      <c r="FB1021" s="1" t="s">
        <v>289</v>
      </c>
      <c r="FC1021" s="1" t="s">
        <v>548</v>
      </c>
      <c r="FD1021" s="1" t="s">
        <v>2252</v>
      </c>
      <c r="FE1021" s="1" t="s">
        <v>975</v>
      </c>
      <c r="FF1021" s="1" t="s">
        <v>248</v>
      </c>
      <c r="FG1021" s="1" t="s">
        <v>11011</v>
      </c>
      <c r="FH1021" s="1" t="s">
        <v>356</v>
      </c>
      <c r="FI1021" s="1" t="s">
        <v>357</v>
      </c>
      <c r="FL1021" s="1" t="s">
        <v>358</v>
      </c>
      <c r="FM1021" s="1" t="s">
        <v>252</v>
      </c>
      <c r="FN1021" s="1" t="s">
        <v>213</v>
      </c>
      <c r="FO1021" s="1" t="s">
        <v>204</v>
      </c>
      <c r="FQ1021" s="1" t="s">
        <v>1896</v>
      </c>
      <c r="FR1021" s="1" t="s">
        <v>652</v>
      </c>
      <c r="FS1021" s="1" t="s">
        <v>11012</v>
      </c>
      <c r="FT1021" s="1" t="s">
        <v>295</v>
      </c>
      <c r="FU1021" s="1" t="s">
        <v>204</v>
      </c>
      <c r="FW1021" s="1" t="s">
        <v>813</v>
      </c>
      <c r="FX1021" s="1">
        <v>93043</v>
      </c>
      <c r="FY1021" s="1" t="s">
        <v>2255</v>
      </c>
      <c r="FZ1021" s="1" t="s">
        <v>11013</v>
      </c>
      <c r="GA1021" s="1">
        <v>930128</v>
      </c>
      <c r="GB1021" s="1" t="s">
        <v>11014</v>
      </c>
      <c r="GE1021" s="1" t="s">
        <v>776</v>
      </c>
      <c r="GI1021" s="1" t="s">
        <v>213</v>
      </c>
      <c r="GJ1021" s="1" t="s">
        <v>260</v>
      </c>
      <c r="GK1021" s="1" t="s">
        <v>210</v>
      </c>
      <c r="GL1021" s="2">
        <v>42035</v>
      </c>
      <c r="GM1021" s="1" t="s">
        <v>11015</v>
      </c>
    </row>
    <row r="1022" spans="1:195">
      <c r="A1022" s="1">
        <v>265500</v>
      </c>
      <c r="B1022" s="1" t="s">
        <v>195</v>
      </c>
      <c r="C1022" s="1" t="str">
        <f>"08660196"</f>
        <v>08660196</v>
      </c>
      <c r="D1022" s="1" t="s">
        <v>196</v>
      </c>
      <c r="F1022" s="1" t="str">
        <f>"540"</f>
        <v>540</v>
      </c>
      <c r="G1022" s="2">
        <v>41821</v>
      </c>
      <c r="H1022" s="1">
        <v>282900</v>
      </c>
      <c r="I1022" s="1">
        <v>269900</v>
      </c>
      <c r="J1022" s="1">
        <v>265500</v>
      </c>
      <c r="K1022" s="2">
        <v>41821</v>
      </c>
      <c r="L1022" s="1">
        <v>114</v>
      </c>
      <c r="M1022" s="2">
        <v>41934</v>
      </c>
      <c r="N1022" s="1">
        <v>114</v>
      </c>
      <c r="O1022" s="2">
        <v>41934</v>
      </c>
      <c r="P1022" s="1">
        <v>24695</v>
      </c>
      <c r="Q1022" s="1" t="s">
        <v>197</v>
      </c>
      <c r="R1022" s="2">
        <v>41976</v>
      </c>
      <c r="S1022" s="1">
        <v>215236</v>
      </c>
      <c r="U1022" s="1">
        <v>1150</v>
      </c>
      <c r="V1022" s="1" t="s">
        <v>11016</v>
      </c>
      <c r="W1022" s="1" t="s">
        <v>504</v>
      </c>
      <c r="Y1022" s="1">
        <v>5</v>
      </c>
      <c r="Z1022" s="1" t="s">
        <v>370</v>
      </c>
      <c r="AA1022" s="1" t="s">
        <v>921</v>
      </c>
      <c r="AB1022" s="1">
        <v>60540</v>
      </c>
      <c r="AD1022" s="1" t="s">
        <v>11017</v>
      </c>
      <c r="AE1022" s="1" t="s">
        <v>11018</v>
      </c>
      <c r="AF1022" s="1">
        <v>1989</v>
      </c>
      <c r="AG1022" s="1" t="s">
        <v>204</v>
      </c>
      <c r="AH1022" s="1" t="s">
        <v>924</v>
      </c>
      <c r="AI1022" s="1" t="s">
        <v>206</v>
      </c>
      <c r="AJ1022" s="1" t="s">
        <v>924</v>
      </c>
      <c r="AK1022" s="1" t="s">
        <v>3587</v>
      </c>
      <c r="AL1022" s="1">
        <v>9</v>
      </c>
      <c r="AM1022" s="1">
        <v>2</v>
      </c>
      <c r="AN1022" s="1">
        <v>3</v>
      </c>
      <c r="AO1022" s="1">
        <v>1</v>
      </c>
      <c r="AP1022" s="1" t="s">
        <v>209</v>
      </c>
      <c r="AQ1022" s="1">
        <v>1</v>
      </c>
      <c r="AR1022" s="1" t="s">
        <v>209</v>
      </c>
      <c r="AS1022" s="1" t="s">
        <v>213</v>
      </c>
      <c r="AT1022" s="1" t="s">
        <v>211</v>
      </c>
      <c r="AU1022" s="1">
        <v>2</v>
      </c>
      <c r="AW1022" s="1" t="s">
        <v>204</v>
      </c>
      <c r="AX1022" s="1" t="s">
        <v>11019</v>
      </c>
      <c r="AZ1022" s="1">
        <v>5156</v>
      </c>
      <c r="BA1022" s="1">
        <v>2013</v>
      </c>
      <c r="BB1022" s="1" t="s">
        <v>405</v>
      </c>
      <c r="BE1022" s="1">
        <v>1629</v>
      </c>
      <c r="BF1022" s="1">
        <v>1</v>
      </c>
      <c r="BG1022" s="1">
        <v>0</v>
      </c>
      <c r="BL1022" s="1">
        <v>230</v>
      </c>
      <c r="BM1022" s="1" t="s">
        <v>204</v>
      </c>
      <c r="BN1022" s="1" t="s">
        <v>213</v>
      </c>
      <c r="BO1022" s="1">
        <v>999</v>
      </c>
      <c r="BP1022" s="1" t="s">
        <v>204</v>
      </c>
      <c r="BR1022" s="1" t="str">
        <f>"0726211022"</f>
        <v>0726211022</v>
      </c>
      <c r="BT1022" s="1" t="s">
        <v>11020</v>
      </c>
      <c r="BU1022" s="1" t="s">
        <v>3988</v>
      </c>
      <c r="BV1022" s="1" t="s">
        <v>1248</v>
      </c>
      <c r="BW1022" s="1" t="s">
        <v>1131</v>
      </c>
      <c r="BX1022" s="1">
        <v>204</v>
      </c>
      <c r="BY1022" s="1">
        <v>204</v>
      </c>
      <c r="BZ1022" s="1">
        <v>204</v>
      </c>
      <c r="CB1022" s="1" t="str">
        <f t="shared" ref="CB1022:CC1022" si="787">"0"</f>
        <v>0</v>
      </c>
      <c r="CC1022" s="1" t="str">
        <f t="shared" si="787"/>
        <v>0</v>
      </c>
      <c r="CD1022" s="1">
        <v>28</v>
      </c>
      <c r="CE1022" s="1">
        <v>8</v>
      </c>
      <c r="CG1022" s="1" t="s">
        <v>862</v>
      </c>
      <c r="CH1022" s="1" t="s">
        <v>219</v>
      </c>
      <c r="CI1022" s="1" t="s">
        <v>438</v>
      </c>
      <c r="CJ1022" s="1" t="s">
        <v>252</v>
      </c>
      <c r="CK1022" s="1" t="s">
        <v>885</v>
      </c>
      <c r="CL1022" s="1" t="s">
        <v>277</v>
      </c>
      <c r="CM1022" s="1" t="s">
        <v>220</v>
      </c>
      <c r="CN1022" s="1" t="s">
        <v>252</v>
      </c>
      <c r="CO1022" s="1" t="s">
        <v>317</v>
      </c>
      <c r="CP1022" s="1" t="s">
        <v>219</v>
      </c>
      <c r="CQ1022" s="1" t="s">
        <v>438</v>
      </c>
      <c r="CR1022" s="1" t="s">
        <v>252</v>
      </c>
      <c r="CS1022" s="1" t="s">
        <v>379</v>
      </c>
      <c r="CT1022" s="1" t="s">
        <v>277</v>
      </c>
      <c r="CU1022" s="1" t="s">
        <v>220</v>
      </c>
      <c r="CV1022" s="1" t="s">
        <v>252</v>
      </c>
      <c r="CW1022" s="1" t="s">
        <v>278</v>
      </c>
      <c r="CX1022" s="1" t="s">
        <v>43</v>
      </c>
      <c r="CY1022" s="1" t="s">
        <v>220</v>
      </c>
      <c r="CZ1022" s="1" t="s">
        <v>252</v>
      </c>
      <c r="DB1022" s="1" t="s">
        <v>224</v>
      </c>
      <c r="DE1022" s="1" t="s">
        <v>729</v>
      </c>
      <c r="DF1022" s="1" t="s">
        <v>219</v>
      </c>
      <c r="DG1022" s="1" t="s">
        <v>226</v>
      </c>
      <c r="DH1022" s="1" t="s">
        <v>252</v>
      </c>
      <c r="DJ1022" s="1" t="s">
        <v>224</v>
      </c>
      <c r="DM1022" s="1" t="s">
        <v>1005</v>
      </c>
      <c r="DN1022" s="1" t="s">
        <v>227</v>
      </c>
      <c r="DO1022" s="1" t="s">
        <v>934</v>
      </c>
      <c r="DP1022" s="1" t="s">
        <v>1614</v>
      </c>
      <c r="DR1022" s="1" t="s">
        <v>346</v>
      </c>
      <c r="DS1022" s="1" t="s">
        <v>219</v>
      </c>
      <c r="DT1022" s="1" t="s">
        <v>438</v>
      </c>
      <c r="DU1022" s="1" t="s">
        <v>252</v>
      </c>
      <c r="DV1022" s="1" t="s">
        <v>11021</v>
      </c>
      <c r="DW1022" s="1" t="s">
        <v>43</v>
      </c>
      <c r="DX1022" s="1" t="s">
        <v>220</v>
      </c>
      <c r="DZ1022" s="1" t="s">
        <v>1155</v>
      </c>
      <c r="EA1022" s="1" t="s">
        <v>822</v>
      </c>
      <c r="EB1022" s="1" t="s">
        <v>220</v>
      </c>
      <c r="ED1022" s="1" t="s">
        <v>1297</v>
      </c>
      <c r="EE1022" s="1" t="s">
        <v>43</v>
      </c>
      <c r="EF1022" s="1" t="s">
        <v>347</v>
      </c>
      <c r="EI1022" s="1" t="s">
        <v>230</v>
      </c>
      <c r="EL1022" s="1" t="s">
        <v>382</v>
      </c>
      <c r="EM1022" s="1" t="s">
        <v>232</v>
      </c>
      <c r="EN1022" s="1" t="s">
        <v>282</v>
      </c>
      <c r="EO1022" s="1" t="s">
        <v>840</v>
      </c>
      <c r="EP1022" s="1" t="s">
        <v>650</v>
      </c>
      <c r="EQ1022" s="1" t="s">
        <v>2188</v>
      </c>
      <c r="ER1022" s="1" t="s">
        <v>544</v>
      </c>
      <c r="ES1022" s="1" t="s">
        <v>824</v>
      </c>
      <c r="ET1022" s="1" t="s">
        <v>1201</v>
      </c>
      <c r="EU1022" s="1" t="s">
        <v>3670</v>
      </c>
      <c r="EV1022" s="1" t="s">
        <v>324</v>
      </c>
      <c r="EW1022" s="1" t="s">
        <v>353</v>
      </c>
      <c r="EY1022" s="1" t="s">
        <v>242</v>
      </c>
      <c r="EZ1022" s="1" t="s">
        <v>11022</v>
      </c>
      <c r="FA1022" s="1" t="s">
        <v>2173</v>
      </c>
      <c r="FB1022" s="1" t="s">
        <v>289</v>
      </c>
      <c r="FC1022" s="1" t="s">
        <v>245</v>
      </c>
      <c r="FD1022" s="1" t="s">
        <v>246</v>
      </c>
      <c r="FE1022" s="1" t="s">
        <v>1006</v>
      </c>
      <c r="FF1022" s="1" t="s">
        <v>248</v>
      </c>
      <c r="FG1022" s="1" t="s">
        <v>1271</v>
      </c>
      <c r="FH1022" s="1" t="s">
        <v>550</v>
      </c>
      <c r="FI1022" s="1" t="s">
        <v>473</v>
      </c>
      <c r="FJ1022" s="1" t="s">
        <v>518</v>
      </c>
      <c r="FL1022" s="1" t="s">
        <v>358</v>
      </c>
      <c r="FM1022" s="1" t="s">
        <v>252</v>
      </c>
      <c r="FN1022" s="1" t="s">
        <v>213</v>
      </c>
      <c r="FO1022" s="1" t="s">
        <v>213</v>
      </c>
      <c r="FQ1022" s="1" t="s">
        <v>5932</v>
      </c>
      <c r="FR1022" s="1" t="s">
        <v>210</v>
      </c>
      <c r="FS1022" s="1" t="s">
        <v>11023</v>
      </c>
      <c r="FT1022" s="1" t="s">
        <v>295</v>
      </c>
      <c r="FU1022" s="1" t="s">
        <v>204</v>
      </c>
      <c r="FW1022" s="1" t="s">
        <v>1140</v>
      </c>
      <c r="FX1022" s="1">
        <v>21621</v>
      </c>
      <c r="FY1022" s="1" t="s">
        <v>1141</v>
      </c>
      <c r="FZ1022" s="1" t="s">
        <v>10933</v>
      </c>
      <c r="GA1022" s="1">
        <v>233344</v>
      </c>
      <c r="GB1022" s="1" t="s">
        <v>10934</v>
      </c>
      <c r="GC1022" s="1">
        <v>242583</v>
      </c>
      <c r="GD1022" s="1" t="s">
        <v>10935</v>
      </c>
      <c r="GE1022" s="1" t="s">
        <v>658</v>
      </c>
      <c r="GI1022" s="1" t="s">
        <v>213</v>
      </c>
      <c r="GJ1022" s="1" t="s">
        <v>260</v>
      </c>
      <c r="GK1022" s="1" t="s">
        <v>210</v>
      </c>
      <c r="GL1022" s="2">
        <v>41978</v>
      </c>
    </row>
    <row r="1023" spans="1:195">
      <c r="A1023" s="1">
        <v>71250</v>
      </c>
      <c r="B1023" s="1" t="s">
        <v>195</v>
      </c>
      <c r="C1023" s="1" t="str">
        <f>"08649527"</f>
        <v>08649527</v>
      </c>
      <c r="D1023" s="1" t="s">
        <v>196</v>
      </c>
      <c r="F1023" s="1" t="str">
        <f>"176"</f>
        <v>176</v>
      </c>
      <c r="G1023" s="2">
        <v>41809</v>
      </c>
      <c r="H1023" s="1">
        <v>74900</v>
      </c>
      <c r="I1023" s="1">
        <v>65000</v>
      </c>
      <c r="J1023" s="1">
        <v>71250</v>
      </c>
      <c r="K1023" s="2">
        <v>41809</v>
      </c>
      <c r="L1023" s="1">
        <v>180</v>
      </c>
      <c r="M1023" s="2">
        <v>41988</v>
      </c>
      <c r="N1023" s="1">
        <v>180</v>
      </c>
      <c r="O1023" s="2">
        <v>41988</v>
      </c>
      <c r="P1023" s="1">
        <v>14316</v>
      </c>
      <c r="Q1023" s="1" t="s">
        <v>302</v>
      </c>
      <c r="R1023" s="2">
        <v>42009</v>
      </c>
      <c r="S1023" s="1">
        <v>133470</v>
      </c>
      <c r="U1023" s="1">
        <v>9438</v>
      </c>
      <c r="V1023" s="1" t="s">
        <v>10175</v>
      </c>
      <c r="W1023" s="1" t="s">
        <v>504</v>
      </c>
      <c r="X1023" s="1">
        <v>3245</v>
      </c>
      <c r="Y1023" s="1">
        <v>6</v>
      </c>
      <c r="Z1023" s="1" t="s">
        <v>249</v>
      </c>
      <c r="AA1023" s="1" t="s">
        <v>306</v>
      </c>
      <c r="AB1023" s="1">
        <v>60176</v>
      </c>
      <c r="AD1023" s="1" t="s">
        <v>11024</v>
      </c>
      <c r="AE1023" s="1" t="s">
        <v>11025</v>
      </c>
      <c r="AF1023" s="1">
        <v>1970</v>
      </c>
      <c r="AG1023" s="1" t="s">
        <v>213</v>
      </c>
      <c r="AH1023" s="1" t="s">
        <v>309</v>
      </c>
      <c r="AI1023" s="1" t="s">
        <v>310</v>
      </c>
      <c r="AJ1023" s="1" t="s">
        <v>311</v>
      </c>
      <c r="AL1023" s="1">
        <v>5</v>
      </c>
      <c r="AM1023" s="1">
        <v>2</v>
      </c>
      <c r="AN1023" s="1">
        <v>1</v>
      </c>
      <c r="AO1023" s="1">
        <v>0</v>
      </c>
      <c r="AP1023" s="1" t="s">
        <v>210</v>
      </c>
      <c r="AR1023" s="1" t="s">
        <v>210</v>
      </c>
      <c r="AS1023" s="1" t="s">
        <v>204</v>
      </c>
      <c r="AT1023" s="1" t="s">
        <v>271</v>
      </c>
      <c r="AV1023" s="1">
        <v>2</v>
      </c>
      <c r="AW1023" s="1" t="s">
        <v>204</v>
      </c>
      <c r="AX1023" s="1" t="s">
        <v>212</v>
      </c>
      <c r="AZ1023" s="1">
        <v>2813.81</v>
      </c>
      <c r="BA1023" s="1">
        <v>2013</v>
      </c>
      <c r="BE1023" s="1">
        <v>800</v>
      </c>
      <c r="BF1023" s="1">
        <v>3</v>
      </c>
      <c r="BG1023" s="1">
        <v>0</v>
      </c>
      <c r="BL1023" s="1">
        <v>202</v>
      </c>
      <c r="BM1023" s="1" t="s">
        <v>204</v>
      </c>
      <c r="BN1023" s="1" t="s">
        <v>213</v>
      </c>
      <c r="BO1023" s="1" t="s">
        <v>432</v>
      </c>
      <c r="BP1023" s="1" t="s">
        <v>204</v>
      </c>
      <c r="BR1023" s="1" t="str">
        <f>"12103120371046"</f>
        <v>12103120371046</v>
      </c>
      <c r="BT1023" s="1" t="s">
        <v>11026</v>
      </c>
      <c r="BX1023" s="1">
        <v>81</v>
      </c>
      <c r="BY1023" s="1">
        <v>81</v>
      </c>
      <c r="BZ1023" s="1">
        <v>212</v>
      </c>
      <c r="CB1023" s="1" t="str">
        <f>"4800"</f>
        <v>4800</v>
      </c>
      <c r="CC1023" s="1" t="str">
        <f>"0"</f>
        <v>0</v>
      </c>
      <c r="CD1023" s="1">
        <v>9438</v>
      </c>
      <c r="CE1023" s="1">
        <v>0</v>
      </c>
      <c r="CG1023" s="1" t="s">
        <v>757</v>
      </c>
      <c r="CH1023" s="1" t="s">
        <v>784</v>
      </c>
      <c r="CK1023" s="1" t="s">
        <v>1297</v>
      </c>
      <c r="CL1023" s="1" t="s">
        <v>784</v>
      </c>
      <c r="CO1023" s="1" t="s">
        <v>785</v>
      </c>
      <c r="CP1023" s="1" t="s">
        <v>784</v>
      </c>
      <c r="CS1023" s="1" t="s">
        <v>1297</v>
      </c>
      <c r="CT1023" s="1" t="s">
        <v>784</v>
      </c>
      <c r="CX1023" s="1" t="s">
        <v>224</v>
      </c>
      <c r="DB1023" s="1" t="s">
        <v>224</v>
      </c>
      <c r="DE1023" s="1" t="s">
        <v>516</v>
      </c>
      <c r="DF1023" s="1" t="s">
        <v>784</v>
      </c>
      <c r="DJ1023" s="1" t="s">
        <v>224</v>
      </c>
      <c r="DS1023" s="1" t="s">
        <v>230</v>
      </c>
      <c r="DW1023" s="1" t="s">
        <v>230</v>
      </c>
      <c r="EA1023" s="1" t="s">
        <v>230</v>
      </c>
      <c r="EE1023" s="1" t="s">
        <v>230</v>
      </c>
      <c r="EI1023" s="1" t="s">
        <v>230</v>
      </c>
      <c r="EL1023" s="1" t="s">
        <v>605</v>
      </c>
      <c r="EM1023" s="1" t="s">
        <v>730</v>
      </c>
      <c r="EN1023" s="1" t="s">
        <v>282</v>
      </c>
      <c r="EO1023" s="1" t="s">
        <v>234</v>
      </c>
      <c r="EP1023" s="1" t="s">
        <v>650</v>
      </c>
      <c r="ER1023" s="1" t="s">
        <v>210</v>
      </c>
      <c r="EV1023" s="1" t="s">
        <v>240</v>
      </c>
      <c r="EW1023" s="1" t="s">
        <v>887</v>
      </c>
      <c r="EZ1023" s="1" t="s">
        <v>287</v>
      </c>
      <c r="FB1023" s="1" t="s">
        <v>244</v>
      </c>
      <c r="FD1023" s="1" t="s">
        <v>246</v>
      </c>
      <c r="FE1023" s="1" t="s">
        <v>247</v>
      </c>
      <c r="FF1023" s="1" t="s">
        <v>248</v>
      </c>
      <c r="FH1023" s="1" t="s">
        <v>249</v>
      </c>
      <c r="FJ1023" s="1" t="s">
        <v>2046</v>
      </c>
      <c r="FL1023" s="1" t="s">
        <v>292</v>
      </c>
      <c r="FM1023" s="1" t="s">
        <v>252</v>
      </c>
      <c r="FN1023" s="1" t="s">
        <v>213</v>
      </c>
      <c r="FO1023" s="1" t="s">
        <v>213</v>
      </c>
      <c r="FQ1023" s="1" t="s">
        <v>673</v>
      </c>
      <c r="FR1023" s="1" t="s">
        <v>210</v>
      </c>
      <c r="FS1023" s="1" t="s">
        <v>8977</v>
      </c>
      <c r="FT1023" s="1" t="s">
        <v>295</v>
      </c>
      <c r="FU1023" s="1" t="s">
        <v>204</v>
      </c>
      <c r="FW1023" s="1" t="s">
        <v>1637</v>
      </c>
      <c r="FX1023" s="1">
        <v>8055</v>
      </c>
      <c r="FY1023" s="1" t="s">
        <v>1728</v>
      </c>
      <c r="FZ1023" s="1" t="s">
        <v>2311</v>
      </c>
      <c r="GA1023" s="1">
        <v>82542</v>
      </c>
      <c r="GB1023" s="1" t="s">
        <v>2312</v>
      </c>
      <c r="GE1023" s="1" t="s">
        <v>2504</v>
      </c>
      <c r="GH1023" s="1" t="s">
        <v>589</v>
      </c>
      <c r="GI1023" s="1" t="s">
        <v>213</v>
      </c>
      <c r="GJ1023" s="1" t="s">
        <v>260</v>
      </c>
      <c r="GK1023" s="1" t="s">
        <v>210</v>
      </c>
      <c r="GL1023" s="2">
        <v>42010</v>
      </c>
      <c r="GM1023" s="1" t="s">
        <v>11027</v>
      </c>
    </row>
    <row r="1024" spans="1:195">
      <c r="A1024" s="1">
        <v>131000</v>
      </c>
      <c r="B1024" s="1" t="s">
        <v>195</v>
      </c>
      <c r="C1024" s="1" t="str">
        <f>"08662115"</f>
        <v>08662115</v>
      </c>
      <c r="D1024" s="1" t="s">
        <v>196</v>
      </c>
      <c r="F1024" s="1" t="str">
        <f>"562"</f>
        <v>562</v>
      </c>
      <c r="G1024" s="2">
        <v>41822</v>
      </c>
      <c r="H1024" s="1">
        <v>139900</v>
      </c>
      <c r="I1024" s="1">
        <v>139900</v>
      </c>
      <c r="J1024" s="1">
        <v>131000</v>
      </c>
      <c r="K1024" s="2">
        <v>41822</v>
      </c>
      <c r="L1024" s="1">
        <v>115</v>
      </c>
      <c r="M1024" s="2">
        <v>41936</v>
      </c>
      <c r="N1024" s="1">
        <v>115</v>
      </c>
      <c r="O1024" s="2">
        <v>41936</v>
      </c>
      <c r="P1024" s="1">
        <v>14703</v>
      </c>
      <c r="Q1024" s="1" t="s">
        <v>197</v>
      </c>
      <c r="R1024" s="2">
        <v>41978</v>
      </c>
      <c r="S1024" s="1">
        <v>117721</v>
      </c>
      <c r="U1024" s="1">
        <v>7707</v>
      </c>
      <c r="V1024" s="1" t="s">
        <v>11028</v>
      </c>
      <c r="W1024" s="1" t="s">
        <v>264</v>
      </c>
      <c r="X1024" s="1" t="s">
        <v>11029</v>
      </c>
      <c r="Y1024" s="1">
        <v>6</v>
      </c>
      <c r="Z1024" s="1" t="s">
        <v>370</v>
      </c>
      <c r="AA1024" s="1" t="s">
        <v>899</v>
      </c>
      <c r="AB1024" s="1">
        <v>60561</v>
      </c>
      <c r="AD1024" s="1" t="s">
        <v>11030</v>
      </c>
      <c r="AE1024" s="1" t="s">
        <v>11031</v>
      </c>
      <c r="AF1024" s="1">
        <v>1979</v>
      </c>
      <c r="AG1024" s="1" t="s">
        <v>204</v>
      </c>
      <c r="AH1024" s="1" t="s">
        <v>902</v>
      </c>
      <c r="AI1024" s="1" t="s">
        <v>206</v>
      </c>
      <c r="AJ1024" s="1" t="s">
        <v>903</v>
      </c>
      <c r="AL1024" s="1">
        <v>5</v>
      </c>
      <c r="AM1024" s="1">
        <v>2</v>
      </c>
      <c r="AN1024" s="1">
        <v>2</v>
      </c>
      <c r="AO1024" s="1">
        <v>0</v>
      </c>
      <c r="AP1024" s="1" t="s">
        <v>209</v>
      </c>
      <c r="AQ1024" s="1">
        <v>1</v>
      </c>
      <c r="AR1024" s="1" t="s">
        <v>210</v>
      </c>
      <c r="AS1024" s="1" t="s">
        <v>204</v>
      </c>
      <c r="AT1024" s="1" t="s">
        <v>211</v>
      </c>
      <c r="AU1024" s="1">
        <v>1</v>
      </c>
      <c r="AW1024" s="1" t="s">
        <v>204</v>
      </c>
      <c r="AX1024" s="1" t="s">
        <v>212</v>
      </c>
      <c r="AZ1024" s="1">
        <v>2080.84</v>
      </c>
      <c r="BA1024" s="1">
        <v>2013</v>
      </c>
      <c r="BB1024" s="1" t="s">
        <v>405</v>
      </c>
      <c r="BE1024" s="1">
        <v>1400</v>
      </c>
      <c r="BF1024" s="1">
        <v>3</v>
      </c>
      <c r="BG1024" s="1">
        <v>30</v>
      </c>
      <c r="BJ1024" s="1">
        <v>100</v>
      </c>
      <c r="BL1024" s="1">
        <v>245</v>
      </c>
      <c r="BM1024" s="1" t="s">
        <v>204</v>
      </c>
      <c r="BN1024" s="1" t="s">
        <v>213</v>
      </c>
      <c r="BO1024" s="1">
        <v>0</v>
      </c>
      <c r="BP1024" s="1" t="s">
        <v>204</v>
      </c>
      <c r="BR1024" s="1" t="str">
        <f>"0927416012"</f>
        <v>0927416012</v>
      </c>
      <c r="BT1024" s="1" t="s">
        <v>11032</v>
      </c>
      <c r="BU1024" s="1" t="s">
        <v>3097</v>
      </c>
      <c r="BV1024" s="1" t="s">
        <v>3098</v>
      </c>
      <c r="BW1024" s="1" t="s">
        <v>907</v>
      </c>
      <c r="BX1024" s="1">
        <v>61</v>
      </c>
      <c r="BY1024" s="1">
        <v>61</v>
      </c>
      <c r="BZ1024" s="1">
        <v>86</v>
      </c>
      <c r="CB1024" s="1" t="str">
        <f t="shared" ref="CB1024:CC1024" si="788">""</f>
        <v/>
      </c>
      <c r="CC1024" s="1" t="str">
        <f t="shared" si="788"/>
        <v/>
      </c>
      <c r="CG1024" s="1" t="s">
        <v>3035</v>
      </c>
      <c r="CH1024" s="1" t="s">
        <v>219</v>
      </c>
      <c r="CI1024" s="1" t="s">
        <v>220</v>
      </c>
      <c r="CJ1024" s="1" t="s">
        <v>252</v>
      </c>
      <c r="CK1024" s="1" t="s">
        <v>437</v>
      </c>
      <c r="CL1024" s="1" t="s">
        <v>219</v>
      </c>
      <c r="CM1024" s="1" t="s">
        <v>220</v>
      </c>
      <c r="CN1024" s="1" t="s">
        <v>252</v>
      </c>
      <c r="CO1024" s="1" t="s">
        <v>1046</v>
      </c>
      <c r="CP1024" s="1" t="s">
        <v>219</v>
      </c>
      <c r="CQ1024" s="1" t="s">
        <v>220</v>
      </c>
      <c r="CR1024" s="1" t="s">
        <v>252</v>
      </c>
      <c r="CS1024" s="1" t="s">
        <v>315</v>
      </c>
      <c r="CT1024" s="1" t="s">
        <v>219</v>
      </c>
      <c r="CU1024" s="1" t="s">
        <v>220</v>
      </c>
      <c r="CV1024" s="1" t="s">
        <v>252</v>
      </c>
      <c r="CX1024" s="1" t="s">
        <v>224</v>
      </c>
      <c r="DB1024" s="1" t="s">
        <v>224</v>
      </c>
      <c r="DE1024" s="1" t="s">
        <v>1107</v>
      </c>
      <c r="DF1024" s="1" t="s">
        <v>219</v>
      </c>
      <c r="DG1024" s="1" t="s">
        <v>342</v>
      </c>
      <c r="DH1024" s="1" t="s">
        <v>252</v>
      </c>
      <c r="DJ1024" s="1" t="s">
        <v>224</v>
      </c>
      <c r="DS1024" s="1" t="s">
        <v>230</v>
      </c>
      <c r="DW1024" s="1" t="s">
        <v>230</v>
      </c>
      <c r="EA1024" s="1" t="s">
        <v>230</v>
      </c>
      <c r="EE1024" s="1" t="s">
        <v>230</v>
      </c>
      <c r="EI1024" s="1" t="s">
        <v>230</v>
      </c>
      <c r="EL1024" s="1" t="s">
        <v>231</v>
      </c>
      <c r="EM1024" s="1" t="s">
        <v>232</v>
      </c>
      <c r="EN1024" s="1" t="s">
        <v>282</v>
      </c>
      <c r="EO1024" s="1" t="s">
        <v>234</v>
      </c>
      <c r="EQ1024" s="1" t="s">
        <v>236</v>
      </c>
      <c r="ER1024" s="1" t="s">
        <v>210</v>
      </c>
      <c r="ES1024" s="1" t="s">
        <v>322</v>
      </c>
      <c r="EV1024" s="1" t="s">
        <v>6425</v>
      </c>
      <c r="EW1024" s="1" t="s">
        <v>3113</v>
      </c>
      <c r="EY1024" s="1" t="s">
        <v>242</v>
      </c>
      <c r="EZ1024" s="1" t="s">
        <v>287</v>
      </c>
      <c r="FA1024" s="1" t="s">
        <v>471</v>
      </c>
      <c r="FB1024" s="1" t="s">
        <v>289</v>
      </c>
      <c r="FD1024" s="1" t="s">
        <v>736</v>
      </c>
      <c r="FE1024" s="1" t="s">
        <v>247</v>
      </c>
      <c r="FF1024" s="1" t="s">
        <v>248</v>
      </c>
      <c r="FG1024" s="1" t="s">
        <v>912</v>
      </c>
      <c r="FH1024" s="1" t="s">
        <v>249</v>
      </c>
      <c r="FI1024" s="1" t="s">
        <v>473</v>
      </c>
      <c r="FL1024" s="1" t="s">
        <v>358</v>
      </c>
      <c r="FM1024" s="1" t="s">
        <v>252</v>
      </c>
      <c r="FN1024" s="1" t="s">
        <v>213</v>
      </c>
      <c r="FO1024" s="1" t="s">
        <v>213</v>
      </c>
      <c r="FQ1024" s="1" t="s">
        <v>5000</v>
      </c>
      <c r="FR1024" s="1" t="s">
        <v>210</v>
      </c>
      <c r="FS1024" s="1" t="s">
        <v>11033</v>
      </c>
      <c r="FT1024" s="1" t="s">
        <v>295</v>
      </c>
      <c r="FU1024" s="1" t="s">
        <v>204</v>
      </c>
      <c r="FW1024" s="1" t="s">
        <v>585</v>
      </c>
      <c r="FX1024" s="1">
        <v>20001</v>
      </c>
      <c r="FY1024" s="1" t="s">
        <v>5002</v>
      </c>
      <c r="FZ1024" s="1" t="s">
        <v>5003</v>
      </c>
      <c r="GA1024" s="1">
        <v>214345</v>
      </c>
      <c r="GB1024" s="1" t="s">
        <v>5004</v>
      </c>
      <c r="GD1024" s="1" t="s">
        <v>11034</v>
      </c>
      <c r="GE1024" s="1" t="s">
        <v>480</v>
      </c>
      <c r="GI1024" s="1" t="s">
        <v>213</v>
      </c>
      <c r="GJ1024" s="1" t="s">
        <v>260</v>
      </c>
      <c r="GK1024" s="1" t="s">
        <v>210</v>
      </c>
      <c r="GL1024" s="2">
        <v>41978</v>
      </c>
      <c r="GM1024" s="1" t="s">
        <v>11035</v>
      </c>
    </row>
    <row r="1025" spans="1:195">
      <c r="A1025" s="1">
        <v>161000</v>
      </c>
      <c r="B1025" s="1" t="s">
        <v>195</v>
      </c>
      <c r="C1025" s="1" t="str">
        <f>"08652118"</f>
        <v>08652118</v>
      </c>
      <c r="D1025" s="1" t="s">
        <v>196</v>
      </c>
      <c r="F1025" s="1" t="str">
        <f>"8062"</f>
        <v>8062</v>
      </c>
      <c r="G1025" s="2">
        <v>41811</v>
      </c>
      <c r="H1025" s="1">
        <v>199000</v>
      </c>
      <c r="I1025" s="1">
        <v>199000</v>
      </c>
      <c r="J1025" s="1">
        <v>161000</v>
      </c>
      <c r="K1025" s="2">
        <v>41811</v>
      </c>
      <c r="L1025" s="1">
        <v>95</v>
      </c>
      <c r="M1025" s="2">
        <v>41905</v>
      </c>
      <c r="N1025" s="1">
        <v>95</v>
      </c>
      <c r="O1025" s="2">
        <v>41905</v>
      </c>
      <c r="P1025" s="1">
        <v>16936</v>
      </c>
      <c r="Q1025" s="1" t="s">
        <v>197</v>
      </c>
      <c r="R1025" s="2">
        <v>41991</v>
      </c>
      <c r="S1025" s="1">
        <v>101946</v>
      </c>
      <c r="U1025" s="1">
        <v>3621</v>
      </c>
      <c r="V1025" s="1" t="s">
        <v>11036</v>
      </c>
      <c r="W1025" s="1" t="s">
        <v>779</v>
      </c>
      <c r="Y1025" s="1">
        <v>4</v>
      </c>
      <c r="Z1025" s="1" t="s">
        <v>249</v>
      </c>
      <c r="AA1025" s="1" t="s">
        <v>400</v>
      </c>
      <c r="AB1025" s="1">
        <v>60632</v>
      </c>
      <c r="AE1025" s="1" t="s">
        <v>11037</v>
      </c>
      <c r="AF1025" s="1">
        <v>2008</v>
      </c>
      <c r="AG1025" s="1" t="s">
        <v>204</v>
      </c>
      <c r="AH1025" s="1" t="s">
        <v>403</v>
      </c>
      <c r="AI1025" s="1" t="s">
        <v>310</v>
      </c>
      <c r="AJ1025" s="1" t="s">
        <v>683</v>
      </c>
      <c r="AK1025" s="1" t="s">
        <v>6151</v>
      </c>
      <c r="AL1025" s="1">
        <v>6</v>
      </c>
      <c r="AM1025" s="1">
        <v>2</v>
      </c>
      <c r="AN1025" s="1">
        <v>2</v>
      </c>
      <c r="AO1025" s="1">
        <v>1</v>
      </c>
      <c r="AP1025" s="1" t="s">
        <v>209</v>
      </c>
      <c r="AR1025" s="1" t="s">
        <v>210</v>
      </c>
      <c r="AS1025" s="1" t="s">
        <v>204</v>
      </c>
      <c r="AT1025" s="1" t="s">
        <v>211</v>
      </c>
      <c r="AU1025" s="1">
        <v>2</v>
      </c>
      <c r="AW1025" s="1" t="s">
        <v>204</v>
      </c>
      <c r="AX1025" s="1" t="s">
        <v>212</v>
      </c>
      <c r="AZ1025" s="1" t="s">
        <v>751</v>
      </c>
      <c r="BA1025" s="1">
        <v>2012</v>
      </c>
      <c r="BE1025" s="1">
        <v>2411</v>
      </c>
      <c r="BF1025" s="1">
        <v>1</v>
      </c>
      <c r="BG1025" s="1">
        <v>0</v>
      </c>
      <c r="BL1025" s="1">
        <v>0</v>
      </c>
      <c r="BM1025" s="1" t="s">
        <v>204</v>
      </c>
      <c r="BN1025" s="1" t="s">
        <v>213</v>
      </c>
      <c r="BO1025" s="1">
        <v>80</v>
      </c>
      <c r="BP1025" s="1" t="s">
        <v>204</v>
      </c>
      <c r="BR1025" s="1" t="str">
        <f>"19111230180000"</f>
        <v>19111230180000</v>
      </c>
      <c r="BT1025" s="1" t="s">
        <v>11038</v>
      </c>
      <c r="BX1025" s="1">
        <v>299</v>
      </c>
      <c r="BY1025" s="1">
        <v>299</v>
      </c>
      <c r="BZ1025" s="1">
        <v>299</v>
      </c>
      <c r="CB1025" s="1" t="str">
        <f t="shared" ref="CB1025:CC1025" si="789">"0"</f>
        <v>0</v>
      </c>
      <c r="CC1025" s="1" t="str">
        <f t="shared" si="789"/>
        <v>0</v>
      </c>
      <c r="CD1025" s="1">
        <v>2536</v>
      </c>
      <c r="CE1025" s="1">
        <v>5000</v>
      </c>
      <c r="CG1025" s="1" t="s">
        <v>931</v>
      </c>
      <c r="CH1025" s="1" t="s">
        <v>277</v>
      </c>
      <c r="CI1025" s="1" t="s">
        <v>438</v>
      </c>
      <c r="CK1025" s="1" t="s">
        <v>344</v>
      </c>
      <c r="CL1025" s="1" t="s">
        <v>784</v>
      </c>
      <c r="CM1025" s="1" t="s">
        <v>220</v>
      </c>
      <c r="CO1025" s="1" t="s">
        <v>1598</v>
      </c>
      <c r="CP1025" s="1" t="s">
        <v>277</v>
      </c>
      <c r="CQ1025" s="1" t="s">
        <v>438</v>
      </c>
      <c r="CS1025" s="1" t="s">
        <v>1358</v>
      </c>
      <c r="CT1025" s="1" t="s">
        <v>784</v>
      </c>
      <c r="CU1025" s="1" t="s">
        <v>220</v>
      </c>
      <c r="CX1025" s="1" t="s">
        <v>224</v>
      </c>
      <c r="DB1025" s="1" t="s">
        <v>224</v>
      </c>
      <c r="DE1025" s="1" t="s">
        <v>3100</v>
      </c>
      <c r="DF1025" s="1" t="s">
        <v>277</v>
      </c>
      <c r="DG1025" s="1" t="s">
        <v>438</v>
      </c>
      <c r="DI1025" s="1" t="s">
        <v>729</v>
      </c>
      <c r="DJ1025" s="1" t="s">
        <v>219</v>
      </c>
      <c r="DK1025" s="1" t="s">
        <v>220</v>
      </c>
      <c r="DM1025" s="1" t="s">
        <v>838</v>
      </c>
      <c r="DR1025" s="1" t="s">
        <v>318</v>
      </c>
      <c r="DS1025" s="1" t="s">
        <v>784</v>
      </c>
      <c r="DT1025" s="1" t="s">
        <v>347</v>
      </c>
      <c r="DW1025" s="1" t="s">
        <v>230</v>
      </c>
      <c r="EA1025" s="1" t="s">
        <v>230</v>
      </c>
      <c r="EE1025" s="1" t="s">
        <v>230</v>
      </c>
      <c r="EI1025" s="1" t="s">
        <v>230</v>
      </c>
      <c r="EL1025" s="1" t="s">
        <v>491</v>
      </c>
      <c r="EM1025" s="1" t="s">
        <v>319</v>
      </c>
      <c r="EN1025" s="1" t="s">
        <v>282</v>
      </c>
      <c r="EO1025" s="1" t="s">
        <v>234</v>
      </c>
      <c r="ER1025" s="1" t="s">
        <v>210</v>
      </c>
      <c r="ES1025" s="1" t="s">
        <v>469</v>
      </c>
      <c r="ET1025" s="1" t="s">
        <v>238</v>
      </c>
      <c r="EW1025" s="1" t="s">
        <v>210</v>
      </c>
      <c r="EY1025" s="1" t="s">
        <v>242</v>
      </c>
      <c r="EZ1025" s="1" t="s">
        <v>838</v>
      </c>
      <c r="FD1025" s="1" t="s">
        <v>246</v>
      </c>
      <c r="FE1025" s="1" t="s">
        <v>247</v>
      </c>
      <c r="FF1025" s="1" t="s">
        <v>248</v>
      </c>
      <c r="FH1025" s="1" t="s">
        <v>1428</v>
      </c>
      <c r="FL1025" s="1" t="s">
        <v>358</v>
      </c>
      <c r="FM1025" s="1" t="s">
        <v>252</v>
      </c>
      <c r="FN1025" s="1" t="s">
        <v>213</v>
      </c>
      <c r="FO1025" s="1" t="s">
        <v>213</v>
      </c>
      <c r="FQ1025" s="1" t="s">
        <v>11039</v>
      </c>
      <c r="FR1025" s="1" t="s">
        <v>210</v>
      </c>
      <c r="FS1025" s="1" t="s">
        <v>11040</v>
      </c>
      <c r="FT1025" s="1" t="s">
        <v>295</v>
      </c>
      <c r="FU1025" s="1" t="s">
        <v>204</v>
      </c>
      <c r="FW1025" s="1" t="s">
        <v>11041</v>
      </c>
      <c r="FX1025" s="1">
        <v>15623</v>
      </c>
      <c r="FY1025" s="1" t="s">
        <v>11042</v>
      </c>
      <c r="FZ1025" s="1" t="s">
        <v>11043</v>
      </c>
      <c r="GA1025" s="1">
        <v>148517</v>
      </c>
      <c r="GB1025" s="1" t="s">
        <v>11044</v>
      </c>
      <c r="GE1025" s="1" t="s">
        <v>210</v>
      </c>
      <c r="GH1025" s="1" t="s">
        <v>589</v>
      </c>
      <c r="GI1025" s="1" t="s">
        <v>213</v>
      </c>
      <c r="GJ1025" s="1" t="s">
        <v>260</v>
      </c>
      <c r="GK1025" s="1" t="s">
        <v>210</v>
      </c>
      <c r="GL1025" s="2">
        <v>41996</v>
      </c>
      <c r="GM1025" s="1" t="s">
        <v>11040</v>
      </c>
    </row>
    <row r="1026" spans="1:195">
      <c r="A1026" s="1">
        <v>179900</v>
      </c>
      <c r="B1026" s="1" t="s">
        <v>195</v>
      </c>
      <c r="C1026" s="1" t="str">
        <f>"08645112"</f>
        <v>08645112</v>
      </c>
      <c r="D1026" s="1" t="s">
        <v>196</v>
      </c>
      <c r="F1026" s="1" t="str">
        <f>"177"</f>
        <v>177</v>
      </c>
      <c r="G1026" s="2">
        <v>41804</v>
      </c>
      <c r="H1026" s="1">
        <v>186900</v>
      </c>
      <c r="I1026" s="1">
        <v>179900</v>
      </c>
      <c r="J1026" s="1">
        <v>179900</v>
      </c>
      <c r="K1026" s="2">
        <v>41804</v>
      </c>
      <c r="L1026" s="1">
        <v>573</v>
      </c>
      <c r="M1026" s="2">
        <v>42016</v>
      </c>
      <c r="N1026" s="1">
        <v>213</v>
      </c>
      <c r="O1026" s="2">
        <v>42016</v>
      </c>
      <c r="P1026" s="1">
        <v>5170</v>
      </c>
      <c r="Q1026" s="1" t="s">
        <v>197</v>
      </c>
      <c r="R1026" s="2">
        <v>42055</v>
      </c>
      <c r="S1026" s="1">
        <v>55734</v>
      </c>
      <c r="U1026" s="1">
        <v>10</v>
      </c>
      <c r="V1026" s="1" t="s">
        <v>9569</v>
      </c>
      <c r="W1026" s="1" t="s">
        <v>725</v>
      </c>
      <c r="X1026" s="1">
        <v>307</v>
      </c>
      <c r="Y1026" s="1">
        <v>45</v>
      </c>
      <c r="Z1026" s="1" t="s">
        <v>200</v>
      </c>
      <c r="AA1026" s="1" t="s">
        <v>1461</v>
      </c>
      <c r="AB1026" s="1">
        <v>60177</v>
      </c>
      <c r="AD1026" s="1" t="s">
        <v>5986</v>
      </c>
      <c r="AE1026" s="1" t="s">
        <v>11045</v>
      </c>
      <c r="AF1026" s="1" t="s">
        <v>402</v>
      </c>
      <c r="AG1026" s="1" t="s">
        <v>204</v>
      </c>
      <c r="AH1026" s="1" t="s">
        <v>1464</v>
      </c>
      <c r="AI1026" s="1" t="s">
        <v>665</v>
      </c>
      <c r="AJ1026" s="1" t="s">
        <v>1175</v>
      </c>
      <c r="AK1026" s="1" t="s">
        <v>11046</v>
      </c>
      <c r="AL1026" s="1">
        <v>5</v>
      </c>
      <c r="AM1026" s="1">
        <v>2</v>
      </c>
      <c r="AN1026" s="1">
        <v>2</v>
      </c>
      <c r="AO1026" s="1">
        <v>1</v>
      </c>
      <c r="AP1026" s="1" t="s">
        <v>209</v>
      </c>
      <c r="AR1026" s="1" t="s">
        <v>210</v>
      </c>
      <c r="AS1026" s="1" t="s">
        <v>204</v>
      </c>
      <c r="AT1026" s="1" t="s">
        <v>211</v>
      </c>
      <c r="AU1026" s="1">
        <v>1</v>
      </c>
      <c r="AW1026" s="1" t="s">
        <v>204</v>
      </c>
      <c r="AX1026" s="1">
        <v>0</v>
      </c>
      <c r="AZ1026" s="1">
        <v>146.6</v>
      </c>
      <c r="BA1026" s="1">
        <v>2013</v>
      </c>
      <c r="BB1026" s="1" t="s">
        <v>599</v>
      </c>
      <c r="BE1026" s="1">
        <v>1820</v>
      </c>
      <c r="BF1026" s="1">
        <v>3</v>
      </c>
      <c r="BG1026" s="1">
        <v>0</v>
      </c>
      <c r="BL1026" s="1">
        <v>173</v>
      </c>
      <c r="BM1026" s="1" t="s">
        <v>204</v>
      </c>
      <c r="BN1026" s="1" t="s">
        <v>213</v>
      </c>
      <c r="BO1026" s="1">
        <v>30</v>
      </c>
      <c r="BP1026" s="1" t="s">
        <v>213</v>
      </c>
      <c r="BQ1026" s="2">
        <v>41969</v>
      </c>
      <c r="BR1026" s="1" t="str">
        <f>"0635258046"</f>
        <v>0635258046</v>
      </c>
      <c r="BT1026" s="1" t="s">
        <v>11047</v>
      </c>
      <c r="BX1026" s="1">
        <v>46</v>
      </c>
      <c r="BY1026" s="1">
        <v>46</v>
      </c>
      <c r="BZ1026" s="1">
        <v>46</v>
      </c>
      <c r="CB1026" s="1" t="str">
        <f>"8"</f>
        <v>8</v>
      </c>
      <c r="CC1026" s="1" t="str">
        <f>"0"</f>
        <v>0</v>
      </c>
      <c r="CD1026" s="1">
        <v>34</v>
      </c>
      <c r="CE1026" s="1">
        <v>0</v>
      </c>
      <c r="CG1026" s="1" t="s">
        <v>3873</v>
      </c>
      <c r="CH1026" s="1" t="s">
        <v>219</v>
      </c>
      <c r="CK1026" s="1" t="s">
        <v>669</v>
      </c>
      <c r="CL1026" s="1" t="s">
        <v>219</v>
      </c>
      <c r="CO1026" s="1" t="s">
        <v>629</v>
      </c>
      <c r="CP1026" s="1" t="s">
        <v>219</v>
      </c>
      <c r="CS1026" s="1" t="s">
        <v>932</v>
      </c>
      <c r="CT1026" s="1" t="s">
        <v>219</v>
      </c>
      <c r="CX1026" s="1" t="s">
        <v>224</v>
      </c>
      <c r="DB1026" s="1" t="s">
        <v>224</v>
      </c>
      <c r="DE1026" s="1" t="s">
        <v>461</v>
      </c>
      <c r="DF1026" s="1" t="s">
        <v>219</v>
      </c>
      <c r="DJ1026" s="1" t="s">
        <v>224</v>
      </c>
      <c r="DM1026" s="1" t="s">
        <v>838</v>
      </c>
      <c r="DN1026" s="1" t="s">
        <v>709</v>
      </c>
      <c r="DR1026" s="1" t="s">
        <v>379</v>
      </c>
      <c r="DS1026" s="1" t="s">
        <v>219</v>
      </c>
      <c r="DV1026" s="1" t="s">
        <v>972</v>
      </c>
      <c r="DW1026" s="1" t="s">
        <v>219</v>
      </c>
      <c r="EA1026" s="1" t="s">
        <v>230</v>
      </c>
      <c r="EE1026" s="1" t="s">
        <v>230</v>
      </c>
      <c r="EI1026" s="1" t="s">
        <v>230</v>
      </c>
      <c r="EL1026" s="1" t="s">
        <v>1455</v>
      </c>
      <c r="EM1026" s="1" t="s">
        <v>319</v>
      </c>
      <c r="EN1026" s="1" t="s">
        <v>282</v>
      </c>
      <c r="EO1026" s="1" t="s">
        <v>234</v>
      </c>
      <c r="EP1026" s="1" t="s">
        <v>11048</v>
      </c>
      <c r="EQ1026" s="1" t="s">
        <v>236</v>
      </c>
      <c r="ER1026" s="1" t="s">
        <v>210</v>
      </c>
      <c r="ES1026" s="1" t="s">
        <v>3914</v>
      </c>
      <c r="EU1026" s="1" t="s">
        <v>1314</v>
      </c>
      <c r="EV1026" s="1" t="s">
        <v>240</v>
      </c>
      <c r="EW1026" s="1" t="s">
        <v>11049</v>
      </c>
      <c r="EY1026" s="1" t="s">
        <v>242</v>
      </c>
      <c r="EZ1026" s="1" t="s">
        <v>3826</v>
      </c>
      <c r="FA1026" s="1" t="s">
        <v>1163</v>
      </c>
      <c r="FB1026" s="1" t="s">
        <v>244</v>
      </c>
      <c r="FD1026" s="1" t="s">
        <v>290</v>
      </c>
      <c r="FE1026" s="1" t="s">
        <v>247</v>
      </c>
      <c r="FF1026" s="1" t="s">
        <v>387</v>
      </c>
      <c r="FH1026" s="1" t="s">
        <v>716</v>
      </c>
      <c r="FI1026" s="1" t="s">
        <v>250</v>
      </c>
      <c r="FJ1026" s="1" t="s">
        <v>11050</v>
      </c>
      <c r="FL1026" s="1" t="s">
        <v>414</v>
      </c>
      <c r="FM1026" s="1" t="s">
        <v>252</v>
      </c>
      <c r="FN1026" s="1" t="s">
        <v>213</v>
      </c>
      <c r="FO1026" s="1" t="s">
        <v>213</v>
      </c>
      <c r="FQ1026" s="1" t="s">
        <v>1683</v>
      </c>
      <c r="FR1026" s="1" t="s">
        <v>652</v>
      </c>
      <c r="FS1026" s="1" t="s">
        <v>9576</v>
      </c>
      <c r="FT1026" s="1" t="s">
        <v>1408</v>
      </c>
      <c r="FU1026" s="1" t="s">
        <v>204</v>
      </c>
      <c r="FW1026" s="1" t="s">
        <v>585</v>
      </c>
      <c r="FX1026" s="1">
        <v>49</v>
      </c>
      <c r="FY1026" s="1" t="s">
        <v>2408</v>
      </c>
      <c r="FZ1026" s="1" t="s">
        <v>9578</v>
      </c>
      <c r="GA1026" s="1">
        <v>1222</v>
      </c>
      <c r="GB1026" s="1" t="s">
        <v>9579</v>
      </c>
      <c r="GE1026" s="1" t="s">
        <v>623</v>
      </c>
      <c r="GH1026" s="1" t="s">
        <v>230</v>
      </c>
      <c r="GI1026" s="1" t="s">
        <v>204</v>
      </c>
      <c r="GJ1026" s="1" t="s">
        <v>260</v>
      </c>
      <c r="GK1026" s="1" t="s">
        <v>210</v>
      </c>
      <c r="GL1026" s="2">
        <v>42055</v>
      </c>
      <c r="GM1026" s="1" t="s">
        <v>11051</v>
      </c>
    </row>
    <row r="1027" spans="1:195">
      <c r="A1027" s="1">
        <v>56500</v>
      </c>
      <c r="B1027" s="1" t="s">
        <v>195</v>
      </c>
      <c r="C1027" s="1" t="str">
        <f>"08653653"</f>
        <v>08653653</v>
      </c>
      <c r="D1027" s="1" t="s">
        <v>196</v>
      </c>
      <c r="F1027" s="1" t="str">
        <f>"178"</f>
        <v>178</v>
      </c>
      <c r="G1027" s="2">
        <v>41813</v>
      </c>
      <c r="H1027" s="1">
        <v>80000</v>
      </c>
      <c r="I1027" s="1">
        <v>56500</v>
      </c>
      <c r="J1027" s="1">
        <v>56500</v>
      </c>
      <c r="K1027" s="2">
        <v>41813</v>
      </c>
      <c r="L1027" s="1">
        <v>171</v>
      </c>
      <c r="M1027" s="2">
        <v>41983</v>
      </c>
      <c r="N1027" s="1">
        <v>171</v>
      </c>
      <c r="O1027" s="2">
        <v>41983</v>
      </c>
      <c r="P1027" s="1">
        <v>93043</v>
      </c>
      <c r="Q1027" s="1" t="s">
        <v>302</v>
      </c>
      <c r="R1027" s="2">
        <v>41992</v>
      </c>
      <c r="S1027" s="1">
        <v>931568</v>
      </c>
      <c r="U1027" s="1">
        <v>965</v>
      </c>
      <c r="V1027" s="1" t="s">
        <v>11052</v>
      </c>
      <c r="W1027" s="1" t="s">
        <v>504</v>
      </c>
      <c r="X1027" s="1" t="s">
        <v>4627</v>
      </c>
      <c r="Y1027" s="1">
        <v>6</v>
      </c>
      <c r="Z1027" s="1" t="s">
        <v>370</v>
      </c>
      <c r="AA1027" s="1" t="s">
        <v>3334</v>
      </c>
      <c r="AB1027" s="1">
        <v>60178</v>
      </c>
      <c r="AE1027" s="1" t="s">
        <v>11053</v>
      </c>
      <c r="AF1027" s="1">
        <v>2001</v>
      </c>
      <c r="AG1027" s="1" t="s">
        <v>204</v>
      </c>
      <c r="AH1027" s="1" t="s">
        <v>3336</v>
      </c>
      <c r="AI1027" s="1" t="s">
        <v>2246</v>
      </c>
      <c r="AJ1027" s="1" t="s">
        <v>3337</v>
      </c>
      <c r="AL1027" s="1">
        <v>5</v>
      </c>
      <c r="AM1027" s="1">
        <v>2</v>
      </c>
      <c r="AN1027" s="1">
        <v>2</v>
      </c>
      <c r="AO1027" s="1">
        <v>0</v>
      </c>
      <c r="AP1027" s="1" t="s">
        <v>209</v>
      </c>
      <c r="AQ1027" s="1">
        <v>1</v>
      </c>
      <c r="AR1027" s="1" t="s">
        <v>210</v>
      </c>
      <c r="AS1027" s="1" t="s">
        <v>204</v>
      </c>
      <c r="AT1027" s="1" t="s">
        <v>211</v>
      </c>
      <c r="AU1027" s="1">
        <v>1</v>
      </c>
      <c r="AW1027" s="1" t="s">
        <v>204</v>
      </c>
      <c r="AX1027" s="1" t="s">
        <v>212</v>
      </c>
      <c r="AZ1027" s="1">
        <v>2666.54</v>
      </c>
      <c r="BA1027" s="1">
        <v>2013</v>
      </c>
      <c r="BE1027" s="1">
        <v>1210</v>
      </c>
      <c r="BF1027" s="1">
        <v>2</v>
      </c>
      <c r="BG1027" s="1">
        <v>0</v>
      </c>
      <c r="BL1027" s="1">
        <v>110</v>
      </c>
      <c r="BM1027" s="1" t="s">
        <v>204</v>
      </c>
      <c r="BN1027" s="1" t="s">
        <v>213</v>
      </c>
      <c r="BO1027" s="1">
        <v>999</v>
      </c>
      <c r="BP1027" s="1" t="s">
        <v>204</v>
      </c>
      <c r="BR1027" s="1" t="str">
        <f>"0906201060"</f>
        <v>0906201060</v>
      </c>
      <c r="BT1027" s="1" t="s">
        <v>11054</v>
      </c>
      <c r="BX1027" s="1">
        <v>427</v>
      </c>
      <c r="BY1027" s="1">
        <v>427</v>
      </c>
      <c r="BZ1027" s="1">
        <v>427</v>
      </c>
      <c r="CB1027" s="1" t="str">
        <f t="shared" ref="CB1027:CC1027" si="790">""</f>
        <v/>
      </c>
      <c r="CC1027" s="1" t="str">
        <f t="shared" si="790"/>
        <v/>
      </c>
      <c r="CG1027" s="1" t="s">
        <v>601</v>
      </c>
      <c r="CH1027" s="1" t="s">
        <v>277</v>
      </c>
      <c r="CK1027" s="1" t="s">
        <v>1533</v>
      </c>
      <c r="CL1027" s="1" t="s">
        <v>277</v>
      </c>
      <c r="CO1027" s="1" t="s">
        <v>629</v>
      </c>
      <c r="CP1027" s="1" t="s">
        <v>277</v>
      </c>
      <c r="CS1027" s="1" t="s">
        <v>1046</v>
      </c>
      <c r="CT1027" s="1" t="s">
        <v>277</v>
      </c>
      <c r="CX1027" s="1" t="s">
        <v>224</v>
      </c>
      <c r="DB1027" s="1" t="s">
        <v>224</v>
      </c>
      <c r="DE1027" s="1" t="s">
        <v>581</v>
      </c>
      <c r="DF1027" s="1" t="s">
        <v>277</v>
      </c>
      <c r="DJ1027" s="1" t="s">
        <v>224</v>
      </c>
      <c r="DS1027" s="1" t="s">
        <v>230</v>
      </c>
      <c r="DW1027" s="1" t="s">
        <v>230</v>
      </c>
      <c r="EA1027" s="1" t="s">
        <v>230</v>
      </c>
      <c r="EE1027" s="1" t="s">
        <v>230</v>
      </c>
      <c r="EI1027" s="1" t="s">
        <v>230</v>
      </c>
      <c r="EL1027" s="1" t="s">
        <v>466</v>
      </c>
      <c r="EM1027" s="1" t="s">
        <v>319</v>
      </c>
      <c r="EN1027" s="1" t="s">
        <v>282</v>
      </c>
      <c r="EO1027" s="1" t="s">
        <v>234</v>
      </c>
      <c r="ER1027" s="1" t="s">
        <v>210</v>
      </c>
      <c r="EW1027" s="1" t="s">
        <v>353</v>
      </c>
      <c r="EZ1027" s="1" t="s">
        <v>287</v>
      </c>
      <c r="FD1027" s="1" t="s">
        <v>246</v>
      </c>
      <c r="FE1027" s="1" t="s">
        <v>975</v>
      </c>
      <c r="FF1027" s="1" t="s">
        <v>248</v>
      </c>
      <c r="FH1027" s="1" t="s">
        <v>249</v>
      </c>
      <c r="FL1027" s="1" t="s">
        <v>358</v>
      </c>
      <c r="FM1027" s="1" t="s">
        <v>252</v>
      </c>
      <c r="FN1027" s="1" t="s">
        <v>213</v>
      </c>
      <c r="FO1027" s="1" t="s">
        <v>213</v>
      </c>
      <c r="FQ1027" s="1" t="s">
        <v>11055</v>
      </c>
      <c r="FR1027" s="1" t="s">
        <v>210</v>
      </c>
      <c r="FS1027" s="1" t="s">
        <v>3061</v>
      </c>
      <c r="FT1027" s="1" t="s">
        <v>295</v>
      </c>
      <c r="FU1027" s="1" t="s">
        <v>204</v>
      </c>
      <c r="FW1027" s="1" t="s">
        <v>2563</v>
      </c>
      <c r="FX1027" s="1">
        <v>24093</v>
      </c>
      <c r="FY1027" s="1" t="s">
        <v>2564</v>
      </c>
      <c r="FZ1027" s="1" t="s">
        <v>11056</v>
      </c>
      <c r="GA1027" s="1">
        <v>233556</v>
      </c>
      <c r="GB1027" s="1" t="s">
        <v>11057</v>
      </c>
      <c r="GE1027" s="1" t="s">
        <v>210</v>
      </c>
      <c r="GI1027" s="1" t="s">
        <v>204</v>
      </c>
      <c r="GJ1027" s="1" t="s">
        <v>260</v>
      </c>
      <c r="GK1027" s="1" t="s">
        <v>210</v>
      </c>
      <c r="GL1027" s="2">
        <v>42006</v>
      </c>
      <c r="GM1027" s="1" t="s">
        <v>11058</v>
      </c>
    </row>
    <row r="1028" spans="1:195">
      <c r="A1028" s="1">
        <v>185000</v>
      </c>
      <c r="B1028" s="1" t="s">
        <v>195</v>
      </c>
      <c r="C1028" s="1" t="str">
        <f>"08669094"</f>
        <v>08669094</v>
      </c>
      <c r="D1028" s="1" t="s">
        <v>196</v>
      </c>
      <c r="F1028" s="1" t="str">
        <f>"119"</f>
        <v>119</v>
      </c>
      <c r="G1028" s="2">
        <v>41830</v>
      </c>
      <c r="H1028" s="1">
        <v>203000</v>
      </c>
      <c r="I1028" s="1">
        <v>195900</v>
      </c>
      <c r="J1028" s="1">
        <v>185000</v>
      </c>
      <c r="K1028" s="2">
        <v>41830</v>
      </c>
      <c r="L1028" s="1">
        <v>161</v>
      </c>
      <c r="M1028" s="2">
        <v>41956</v>
      </c>
      <c r="N1028" s="1">
        <v>127</v>
      </c>
      <c r="O1028" s="2">
        <v>41956</v>
      </c>
      <c r="P1028" s="1">
        <v>358</v>
      </c>
      <c r="Q1028" s="1" t="s">
        <v>302</v>
      </c>
      <c r="R1028" s="2">
        <v>41975</v>
      </c>
      <c r="S1028" s="1">
        <v>347</v>
      </c>
      <c r="U1028" s="1">
        <v>1202</v>
      </c>
      <c r="V1028" s="1" t="s">
        <v>11059</v>
      </c>
      <c r="W1028" s="1" t="s">
        <v>449</v>
      </c>
      <c r="X1028" s="1" t="s">
        <v>11060</v>
      </c>
      <c r="Y1028" s="1">
        <v>2</v>
      </c>
      <c r="Z1028" s="1" t="s">
        <v>370</v>
      </c>
      <c r="AA1028" s="1" t="s">
        <v>9117</v>
      </c>
      <c r="AB1028" s="1">
        <v>60119</v>
      </c>
      <c r="AD1028" s="1" t="s">
        <v>11061</v>
      </c>
      <c r="AE1028" s="1" t="s">
        <v>11062</v>
      </c>
      <c r="AF1028" s="1">
        <v>2007</v>
      </c>
      <c r="AG1028" s="1" t="s">
        <v>204</v>
      </c>
      <c r="AH1028" s="1" t="s">
        <v>9119</v>
      </c>
      <c r="AI1028" s="1" t="s">
        <v>665</v>
      </c>
      <c r="AJ1028" s="1" t="s">
        <v>2443</v>
      </c>
      <c r="AK1028" s="1" t="s">
        <v>1088</v>
      </c>
      <c r="AL1028" s="1">
        <v>4</v>
      </c>
      <c r="AM1028" s="1">
        <v>2</v>
      </c>
      <c r="AN1028" s="1">
        <v>2</v>
      </c>
      <c r="AO1028" s="1">
        <v>0</v>
      </c>
      <c r="AP1028" s="1" t="s">
        <v>209</v>
      </c>
      <c r="AQ1028" s="1">
        <v>1</v>
      </c>
      <c r="AR1028" s="1" t="s">
        <v>209</v>
      </c>
      <c r="AS1028" s="1" t="s">
        <v>204</v>
      </c>
      <c r="AT1028" s="1" t="s">
        <v>211</v>
      </c>
      <c r="AU1028" s="1">
        <v>2</v>
      </c>
      <c r="AW1028" s="1" t="s">
        <v>204</v>
      </c>
      <c r="AX1028" s="1" t="s">
        <v>11063</v>
      </c>
      <c r="AZ1028" s="1">
        <v>6027.78</v>
      </c>
      <c r="BA1028" s="1">
        <v>2013</v>
      </c>
      <c r="BE1028" s="1">
        <v>1478</v>
      </c>
      <c r="BF1028" s="1">
        <v>1</v>
      </c>
      <c r="BG1028" s="1">
        <v>0</v>
      </c>
      <c r="BL1028" s="1">
        <v>110</v>
      </c>
      <c r="BM1028" s="1" t="s">
        <v>204</v>
      </c>
      <c r="BN1028" s="1" t="s">
        <v>213</v>
      </c>
      <c r="BO1028" s="1">
        <v>999</v>
      </c>
      <c r="BP1028" s="1" t="s">
        <v>204</v>
      </c>
      <c r="BR1028" s="1" t="str">
        <f>"1109101014"</f>
        <v>1109101014</v>
      </c>
      <c r="BT1028" s="1" t="s">
        <v>11064</v>
      </c>
      <c r="BU1028" s="1" t="s">
        <v>11065</v>
      </c>
      <c r="BX1028" s="1">
        <v>302</v>
      </c>
      <c r="BY1028" s="1">
        <v>302</v>
      </c>
      <c r="BZ1028" s="1">
        <v>302</v>
      </c>
      <c r="CB1028" s="1" t="str">
        <f t="shared" ref="CB1028:CC1028" si="791">"0"</f>
        <v>0</v>
      </c>
      <c r="CC1028" s="1" t="str">
        <f t="shared" si="791"/>
        <v>0</v>
      </c>
      <c r="CE1028" s="1">
        <v>0</v>
      </c>
      <c r="CG1028" s="1" t="s">
        <v>9820</v>
      </c>
      <c r="CH1028" s="1" t="s">
        <v>219</v>
      </c>
      <c r="CI1028" s="1" t="s">
        <v>220</v>
      </c>
      <c r="CJ1028" s="1" t="s">
        <v>343</v>
      </c>
      <c r="CK1028" s="1" t="s">
        <v>228</v>
      </c>
      <c r="CL1028" s="1" t="s">
        <v>219</v>
      </c>
      <c r="CM1028" s="1" t="s">
        <v>220</v>
      </c>
      <c r="CN1028" s="1" t="s">
        <v>463</v>
      </c>
      <c r="CP1028" s="1" t="s">
        <v>224</v>
      </c>
      <c r="CS1028" s="1" t="s">
        <v>378</v>
      </c>
      <c r="CT1028" s="1" t="s">
        <v>219</v>
      </c>
      <c r="CU1028" s="1" t="s">
        <v>220</v>
      </c>
      <c r="CV1028" s="1" t="s">
        <v>909</v>
      </c>
      <c r="CX1028" s="1" t="s">
        <v>224</v>
      </c>
      <c r="DB1028" s="1" t="s">
        <v>224</v>
      </c>
      <c r="DE1028" s="1" t="s">
        <v>1358</v>
      </c>
      <c r="DF1028" s="1" t="s">
        <v>219</v>
      </c>
      <c r="DG1028" s="1" t="s">
        <v>438</v>
      </c>
      <c r="DH1028" s="1" t="s">
        <v>210</v>
      </c>
      <c r="DJ1028" s="1" t="s">
        <v>224</v>
      </c>
      <c r="DS1028" s="1" t="s">
        <v>230</v>
      </c>
      <c r="DW1028" s="1" t="s">
        <v>230</v>
      </c>
      <c r="EA1028" s="1" t="s">
        <v>230</v>
      </c>
      <c r="EE1028" s="1" t="s">
        <v>230</v>
      </c>
      <c r="EI1028" s="1" t="s">
        <v>230</v>
      </c>
      <c r="EL1028" s="1" t="s">
        <v>491</v>
      </c>
      <c r="EM1028" s="1" t="s">
        <v>319</v>
      </c>
      <c r="EN1028" s="1" t="s">
        <v>282</v>
      </c>
      <c r="EO1028" s="1" t="s">
        <v>234</v>
      </c>
      <c r="EP1028" s="1" t="s">
        <v>2682</v>
      </c>
      <c r="EQ1028" s="1" t="s">
        <v>671</v>
      </c>
      <c r="ER1028" s="1" t="s">
        <v>1249</v>
      </c>
      <c r="ES1028" s="1" t="s">
        <v>493</v>
      </c>
      <c r="EV1028" s="1" t="s">
        <v>240</v>
      </c>
      <c r="EW1028" s="1" t="s">
        <v>1250</v>
      </c>
      <c r="EY1028" s="1" t="s">
        <v>790</v>
      </c>
      <c r="EZ1028" s="1" t="s">
        <v>287</v>
      </c>
      <c r="FA1028" s="1" t="s">
        <v>5405</v>
      </c>
      <c r="FD1028" s="1" t="s">
        <v>246</v>
      </c>
      <c r="FE1028" s="1" t="s">
        <v>247</v>
      </c>
      <c r="FF1028" s="1" t="s">
        <v>248</v>
      </c>
      <c r="FG1028" s="1" t="s">
        <v>1204</v>
      </c>
      <c r="FH1028" s="1" t="s">
        <v>442</v>
      </c>
      <c r="FL1028" s="1" t="s">
        <v>414</v>
      </c>
      <c r="FM1028" s="1" t="s">
        <v>252</v>
      </c>
      <c r="FN1028" s="1" t="s">
        <v>213</v>
      </c>
      <c r="FO1028" s="1" t="s">
        <v>213</v>
      </c>
      <c r="FQ1028" s="1" t="s">
        <v>2091</v>
      </c>
      <c r="FR1028" s="1" t="s">
        <v>210</v>
      </c>
      <c r="FS1028" s="1" t="s">
        <v>3605</v>
      </c>
      <c r="FT1028" s="1" t="s">
        <v>295</v>
      </c>
      <c r="FU1028" s="1" t="s">
        <v>204</v>
      </c>
      <c r="FW1028" s="1" t="s">
        <v>11066</v>
      </c>
      <c r="FX1028" s="1">
        <v>107</v>
      </c>
      <c r="FY1028" s="1" t="s">
        <v>11067</v>
      </c>
      <c r="FZ1028" s="1" t="s">
        <v>11068</v>
      </c>
      <c r="GA1028" s="1">
        <v>8798</v>
      </c>
      <c r="GB1028" s="1" t="s">
        <v>11069</v>
      </c>
      <c r="GE1028" s="1" t="s">
        <v>1256</v>
      </c>
      <c r="GI1028" s="1" t="s">
        <v>204</v>
      </c>
      <c r="GJ1028" s="1" t="s">
        <v>260</v>
      </c>
      <c r="GK1028" s="1" t="s">
        <v>210</v>
      </c>
      <c r="GL1028" s="2">
        <v>41976</v>
      </c>
      <c r="GM1028" s="1" t="s">
        <v>11070</v>
      </c>
    </row>
    <row r="1029" spans="1:195">
      <c r="A1029" s="1">
        <v>77000</v>
      </c>
      <c r="B1029" s="1" t="s">
        <v>195</v>
      </c>
      <c r="C1029" s="1" t="str">
        <f>"08674079"</f>
        <v>08674079</v>
      </c>
      <c r="D1029" s="1" t="s">
        <v>196</v>
      </c>
      <c r="F1029" s="1" t="str">
        <f>"527"</f>
        <v>527</v>
      </c>
      <c r="G1029" s="2">
        <v>41836</v>
      </c>
      <c r="H1029" s="1">
        <v>108000</v>
      </c>
      <c r="I1029" s="1">
        <v>85000</v>
      </c>
      <c r="J1029" s="1">
        <v>77000</v>
      </c>
      <c r="K1029" s="2">
        <v>41836</v>
      </c>
      <c r="L1029" s="1">
        <v>169</v>
      </c>
      <c r="M1029" s="2">
        <v>42004</v>
      </c>
      <c r="N1029" s="1">
        <v>169</v>
      </c>
      <c r="O1029" s="2">
        <v>42004</v>
      </c>
      <c r="P1029" s="1">
        <v>24007</v>
      </c>
      <c r="Q1029" s="1" t="s">
        <v>197</v>
      </c>
      <c r="R1029" s="2">
        <v>42118</v>
      </c>
      <c r="S1029" s="1">
        <v>242393</v>
      </c>
      <c r="U1029" s="1">
        <v>6700</v>
      </c>
      <c r="V1029" s="1" t="s">
        <v>8161</v>
      </c>
      <c r="W1029" s="1" t="s">
        <v>425</v>
      </c>
      <c r="X1029" s="1">
        <v>118</v>
      </c>
      <c r="Y1029" s="1">
        <v>124</v>
      </c>
      <c r="Z1029" s="1" t="s">
        <v>249</v>
      </c>
      <c r="AA1029" s="1" t="s">
        <v>5962</v>
      </c>
      <c r="AB1029" s="1">
        <v>60525</v>
      </c>
      <c r="AE1029" s="1" t="s">
        <v>11071</v>
      </c>
      <c r="AF1029" s="1">
        <v>1972</v>
      </c>
      <c r="AG1029" s="1" t="s">
        <v>213</v>
      </c>
      <c r="AH1029" s="1" t="s">
        <v>5964</v>
      </c>
      <c r="AI1029" s="1" t="s">
        <v>310</v>
      </c>
      <c r="AJ1029" s="1" t="s">
        <v>702</v>
      </c>
      <c r="AL1029" s="1">
        <v>5</v>
      </c>
      <c r="AM1029" s="1">
        <v>2</v>
      </c>
      <c r="AN1029" s="1">
        <v>1</v>
      </c>
      <c r="AO1029" s="1">
        <v>0</v>
      </c>
      <c r="AP1029" s="1" t="s">
        <v>210</v>
      </c>
      <c r="AR1029" s="1" t="s">
        <v>210</v>
      </c>
      <c r="AS1029" s="1" t="s">
        <v>204</v>
      </c>
      <c r="AT1029" s="1" t="s">
        <v>375</v>
      </c>
      <c r="AU1029" s="1">
        <v>1</v>
      </c>
      <c r="AV1029" s="1">
        <v>1</v>
      </c>
      <c r="AW1029" s="1" t="s">
        <v>204</v>
      </c>
      <c r="AX1029" s="1">
        <v>0</v>
      </c>
      <c r="AZ1029" s="1">
        <v>2272.42</v>
      </c>
      <c r="BA1029" s="1">
        <v>2013</v>
      </c>
      <c r="BB1029" s="1" t="s">
        <v>405</v>
      </c>
      <c r="BE1029" s="1">
        <v>917</v>
      </c>
      <c r="BF1029" s="1">
        <v>1</v>
      </c>
      <c r="BG1029" s="1">
        <v>0</v>
      </c>
      <c r="BL1029" s="1">
        <v>294</v>
      </c>
      <c r="BM1029" s="1" t="s">
        <v>204</v>
      </c>
      <c r="BN1029" s="1" t="s">
        <v>213</v>
      </c>
      <c r="BP1029" s="1" t="s">
        <v>204</v>
      </c>
      <c r="BR1029" s="1" t="str">
        <f>"18202010411018"</f>
        <v>18202010411018</v>
      </c>
      <c r="BT1029" s="1" t="s">
        <v>11072</v>
      </c>
      <c r="BX1029" s="1">
        <v>105</v>
      </c>
      <c r="BY1029" s="1">
        <v>105</v>
      </c>
      <c r="BZ1029" s="1">
        <v>204</v>
      </c>
      <c r="CB1029" s="1" t="str">
        <f t="shared" ref="CB1029:CC1029" si="792">""</f>
        <v/>
      </c>
      <c r="CC1029" s="1" t="str">
        <f t="shared" si="792"/>
        <v/>
      </c>
      <c r="CD1029" s="1">
        <v>13</v>
      </c>
      <c r="CE1029" s="1">
        <v>7</v>
      </c>
      <c r="CG1029" s="1" t="s">
        <v>1995</v>
      </c>
      <c r="CH1029" s="1" t="s">
        <v>219</v>
      </c>
      <c r="CI1029" s="1" t="s">
        <v>220</v>
      </c>
      <c r="CK1029" s="1" t="s">
        <v>3316</v>
      </c>
      <c r="CL1029" s="1" t="s">
        <v>219</v>
      </c>
      <c r="CM1029" s="1" t="s">
        <v>220</v>
      </c>
      <c r="CO1029" s="1" t="s">
        <v>1469</v>
      </c>
      <c r="CP1029" s="1" t="s">
        <v>219</v>
      </c>
      <c r="CQ1029" s="1" t="s">
        <v>347</v>
      </c>
      <c r="CR1029" s="1" t="s">
        <v>210</v>
      </c>
      <c r="CS1029" s="1" t="s">
        <v>1046</v>
      </c>
      <c r="CT1029" s="1" t="s">
        <v>219</v>
      </c>
      <c r="CU1029" s="1" t="s">
        <v>220</v>
      </c>
      <c r="CX1029" s="1" t="s">
        <v>224</v>
      </c>
      <c r="DB1029" s="1" t="s">
        <v>224</v>
      </c>
      <c r="DE1029" s="1" t="s">
        <v>345</v>
      </c>
      <c r="DF1029" s="1" t="s">
        <v>219</v>
      </c>
      <c r="DG1029" s="1" t="s">
        <v>226</v>
      </c>
      <c r="DH1029" s="1" t="s">
        <v>210</v>
      </c>
      <c r="DJ1029" s="1" t="s">
        <v>224</v>
      </c>
      <c r="DS1029" s="1" t="s">
        <v>230</v>
      </c>
      <c r="DW1029" s="1" t="s">
        <v>230</v>
      </c>
      <c r="EA1029" s="1" t="s">
        <v>230</v>
      </c>
      <c r="EE1029" s="1" t="s">
        <v>230</v>
      </c>
      <c r="EI1029" s="1" t="s">
        <v>230</v>
      </c>
      <c r="EL1029" s="1" t="s">
        <v>605</v>
      </c>
      <c r="EM1029" s="1" t="s">
        <v>232</v>
      </c>
      <c r="EN1029" s="1" t="s">
        <v>282</v>
      </c>
      <c r="EO1029" s="1" t="s">
        <v>234</v>
      </c>
      <c r="EP1029" s="1" t="s">
        <v>11073</v>
      </c>
      <c r="ER1029" s="1" t="s">
        <v>210</v>
      </c>
      <c r="EW1029" s="1" t="s">
        <v>241</v>
      </c>
      <c r="EY1029" s="1" t="s">
        <v>242</v>
      </c>
      <c r="EZ1029" s="1" t="s">
        <v>287</v>
      </c>
      <c r="FB1029" s="1" t="s">
        <v>289</v>
      </c>
      <c r="FC1029" s="1" t="s">
        <v>326</v>
      </c>
      <c r="FD1029" s="1" t="s">
        <v>736</v>
      </c>
      <c r="FE1029" s="1" t="s">
        <v>247</v>
      </c>
      <c r="FF1029" s="1" t="s">
        <v>248</v>
      </c>
      <c r="FH1029" s="1" t="s">
        <v>249</v>
      </c>
      <c r="FI1029" s="1" t="s">
        <v>1114</v>
      </c>
      <c r="FJ1029" s="1" t="s">
        <v>197</v>
      </c>
      <c r="FK1029" s="1" t="s">
        <v>11074</v>
      </c>
      <c r="FL1029" s="1" t="s">
        <v>292</v>
      </c>
      <c r="FM1029" s="1" t="s">
        <v>252</v>
      </c>
      <c r="FN1029" s="1" t="s">
        <v>213</v>
      </c>
      <c r="FO1029" s="1" t="s">
        <v>213</v>
      </c>
      <c r="FQ1029" s="1" t="s">
        <v>582</v>
      </c>
      <c r="FR1029" s="1" t="s">
        <v>360</v>
      </c>
      <c r="FS1029" s="1" t="s">
        <v>1709</v>
      </c>
      <c r="FT1029" s="1" t="s">
        <v>295</v>
      </c>
      <c r="FU1029" s="1" t="s">
        <v>204</v>
      </c>
      <c r="FW1029" s="1" t="s">
        <v>9156</v>
      </c>
      <c r="FX1029" s="1">
        <v>60830</v>
      </c>
      <c r="FY1029" s="1" t="s">
        <v>9157</v>
      </c>
      <c r="FZ1029" s="1" t="s">
        <v>9158</v>
      </c>
      <c r="GA1029" s="1">
        <v>228457</v>
      </c>
      <c r="GB1029" s="1" t="s">
        <v>9159</v>
      </c>
      <c r="GE1029" s="1" t="s">
        <v>210</v>
      </c>
      <c r="GH1029" s="1" t="s">
        <v>421</v>
      </c>
      <c r="GI1029" s="1" t="s">
        <v>213</v>
      </c>
      <c r="GJ1029" s="1" t="s">
        <v>260</v>
      </c>
      <c r="GK1029" s="1" t="s">
        <v>210</v>
      </c>
      <c r="GL1029" s="2">
        <v>42121</v>
      </c>
      <c r="GM1029" s="2" t="s">
        <v>11075</v>
      </c>
    </row>
    <row r="1030" spans="1:195">
      <c r="A1030" s="1">
        <v>119900</v>
      </c>
      <c r="B1030" s="1" t="s">
        <v>195</v>
      </c>
      <c r="C1030" s="1" t="str">
        <f>"08650474"</f>
        <v>08650474</v>
      </c>
      <c r="D1030" s="1" t="s">
        <v>196</v>
      </c>
      <c r="F1030" s="1" t="str">
        <f>"507"</f>
        <v>507</v>
      </c>
      <c r="G1030" s="2">
        <v>41809</v>
      </c>
      <c r="H1030" s="1">
        <v>129900</v>
      </c>
      <c r="I1030" s="1">
        <v>119900</v>
      </c>
      <c r="J1030" s="1">
        <v>119900</v>
      </c>
      <c r="K1030" s="2">
        <v>41809</v>
      </c>
      <c r="L1030" s="1">
        <v>131</v>
      </c>
      <c r="M1030" s="2">
        <v>41939</v>
      </c>
      <c r="N1030" s="1">
        <v>131</v>
      </c>
      <c r="O1030" s="2">
        <v>41939</v>
      </c>
      <c r="P1030" s="1">
        <v>60120</v>
      </c>
      <c r="Q1030" s="1" t="s">
        <v>423</v>
      </c>
      <c r="R1030" s="2">
        <v>41991</v>
      </c>
      <c r="S1030" s="1">
        <v>225519</v>
      </c>
      <c r="U1030" s="1">
        <v>1125</v>
      </c>
      <c r="V1030" s="1" t="s">
        <v>11076</v>
      </c>
      <c r="W1030" s="1" t="s">
        <v>4046</v>
      </c>
      <c r="X1030" s="1">
        <v>3</v>
      </c>
      <c r="Y1030" s="1">
        <v>6</v>
      </c>
      <c r="Z1030" s="1" t="s">
        <v>370</v>
      </c>
      <c r="AA1030" s="1" t="s">
        <v>1123</v>
      </c>
      <c r="AB1030" s="1">
        <v>60506</v>
      </c>
      <c r="AD1030" s="1" t="s">
        <v>11077</v>
      </c>
      <c r="AE1030" s="1" t="s">
        <v>11078</v>
      </c>
      <c r="AF1030" s="1">
        <v>1999</v>
      </c>
      <c r="AG1030" s="1" t="s">
        <v>204</v>
      </c>
      <c r="AH1030" s="1" t="s">
        <v>1126</v>
      </c>
      <c r="AI1030" s="1" t="s">
        <v>665</v>
      </c>
      <c r="AJ1030" s="1" t="s">
        <v>3240</v>
      </c>
      <c r="AK1030" s="1" t="s">
        <v>4049</v>
      </c>
      <c r="AL1030" s="1">
        <v>6</v>
      </c>
      <c r="AM1030" s="1">
        <v>2</v>
      </c>
      <c r="AN1030" s="1">
        <v>1</v>
      </c>
      <c r="AO1030" s="1">
        <v>1</v>
      </c>
      <c r="AP1030" s="1" t="s">
        <v>210</v>
      </c>
      <c r="AR1030" s="1" t="s">
        <v>2165</v>
      </c>
      <c r="AS1030" s="1" t="s">
        <v>204</v>
      </c>
      <c r="AT1030" s="1" t="s">
        <v>211</v>
      </c>
      <c r="AU1030" s="1">
        <v>2</v>
      </c>
      <c r="AW1030" s="1" t="s">
        <v>204</v>
      </c>
      <c r="AX1030" s="1" t="s">
        <v>212</v>
      </c>
      <c r="AZ1030" s="1">
        <v>4502</v>
      </c>
      <c r="BA1030" s="1">
        <v>2013</v>
      </c>
      <c r="BB1030" s="1" t="s">
        <v>405</v>
      </c>
      <c r="BE1030" s="1">
        <v>1250</v>
      </c>
      <c r="BF1030" s="1">
        <v>1</v>
      </c>
      <c r="BG1030" s="1">
        <v>0</v>
      </c>
      <c r="BL1030" s="1">
        <v>154</v>
      </c>
      <c r="BM1030" s="1" t="s">
        <v>204</v>
      </c>
      <c r="BN1030" s="1" t="s">
        <v>213</v>
      </c>
      <c r="BO1030" s="1" t="s">
        <v>2932</v>
      </c>
      <c r="BP1030" s="1" t="s">
        <v>204</v>
      </c>
      <c r="BR1030" s="1" t="str">
        <f>"1413231039"</f>
        <v>1413231039</v>
      </c>
      <c r="BT1030" s="1" t="s">
        <v>11079</v>
      </c>
      <c r="BU1030" s="1" t="s">
        <v>3928</v>
      </c>
      <c r="BV1030" s="1" t="s">
        <v>4097</v>
      </c>
      <c r="BW1030" s="1" t="s">
        <v>3930</v>
      </c>
      <c r="BX1030" s="1">
        <v>129</v>
      </c>
      <c r="BY1030" s="1">
        <v>129</v>
      </c>
      <c r="BZ1030" s="1">
        <v>129</v>
      </c>
      <c r="CB1030" s="1" t="str">
        <f t="shared" ref="CB1030:CC1030" si="793">"0"</f>
        <v>0</v>
      </c>
      <c r="CC1030" s="1" t="str">
        <f t="shared" si="793"/>
        <v>0</v>
      </c>
      <c r="CD1030" s="1">
        <v>39</v>
      </c>
      <c r="CE1030" s="1">
        <v>6</v>
      </c>
      <c r="CG1030" s="1" t="s">
        <v>2934</v>
      </c>
      <c r="CH1030" s="1" t="s">
        <v>219</v>
      </c>
      <c r="CI1030" s="1" t="s">
        <v>220</v>
      </c>
      <c r="CK1030" s="1" t="s">
        <v>1788</v>
      </c>
      <c r="CL1030" s="1" t="s">
        <v>277</v>
      </c>
      <c r="CM1030" s="1" t="s">
        <v>220</v>
      </c>
      <c r="CO1030" s="1" t="s">
        <v>1360</v>
      </c>
      <c r="CP1030" s="1" t="s">
        <v>219</v>
      </c>
      <c r="CQ1030" s="1" t="s">
        <v>229</v>
      </c>
      <c r="CS1030" s="1" t="s">
        <v>836</v>
      </c>
      <c r="CT1030" s="1" t="s">
        <v>277</v>
      </c>
      <c r="CU1030" s="1" t="s">
        <v>220</v>
      </c>
      <c r="CX1030" s="1" t="s">
        <v>224</v>
      </c>
      <c r="DB1030" s="1" t="s">
        <v>224</v>
      </c>
      <c r="DE1030" s="1" t="s">
        <v>3318</v>
      </c>
      <c r="DF1030" s="1" t="s">
        <v>219</v>
      </c>
      <c r="DG1030" s="1" t="s">
        <v>226</v>
      </c>
      <c r="DI1030" s="1" t="s">
        <v>318</v>
      </c>
      <c r="DJ1030" s="1" t="s">
        <v>822</v>
      </c>
      <c r="DK1030" s="1" t="s">
        <v>226</v>
      </c>
      <c r="DS1030" s="1" t="s">
        <v>230</v>
      </c>
      <c r="DW1030" s="1" t="s">
        <v>230</v>
      </c>
      <c r="EA1030" s="1" t="s">
        <v>230</v>
      </c>
      <c r="EE1030" s="1" t="s">
        <v>230</v>
      </c>
      <c r="EI1030" s="1" t="s">
        <v>230</v>
      </c>
      <c r="EL1030" s="1" t="s">
        <v>466</v>
      </c>
      <c r="EM1030" s="1" t="s">
        <v>319</v>
      </c>
      <c r="EN1030" s="1" t="s">
        <v>282</v>
      </c>
      <c r="EO1030" s="1" t="s">
        <v>234</v>
      </c>
      <c r="EP1030" s="1" t="s">
        <v>936</v>
      </c>
      <c r="EQ1030" s="1" t="s">
        <v>1094</v>
      </c>
      <c r="ER1030" s="1" t="s">
        <v>351</v>
      </c>
      <c r="ES1030" s="1" t="s">
        <v>608</v>
      </c>
      <c r="EV1030" s="1" t="s">
        <v>324</v>
      </c>
      <c r="EW1030" s="1" t="s">
        <v>887</v>
      </c>
      <c r="EY1030" s="1" t="s">
        <v>2455</v>
      </c>
      <c r="EZ1030" s="1" t="s">
        <v>287</v>
      </c>
      <c r="FB1030" s="1" t="s">
        <v>289</v>
      </c>
      <c r="FD1030" s="1" t="s">
        <v>246</v>
      </c>
      <c r="FE1030" s="1" t="s">
        <v>472</v>
      </c>
      <c r="FF1030" s="1" t="s">
        <v>248</v>
      </c>
      <c r="FH1030" s="1" t="s">
        <v>550</v>
      </c>
      <c r="FI1030" s="1" t="s">
        <v>357</v>
      </c>
      <c r="FJ1030" s="1" t="s">
        <v>1251</v>
      </c>
      <c r="FL1030" s="1" t="s">
        <v>358</v>
      </c>
      <c r="FM1030" s="1" t="s">
        <v>252</v>
      </c>
      <c r="FN1030" s="1" t="s">
        <v>213</v>
      </c>
      <c r="FO1030" s="1" t="s">
        <v>213</v>
      </c>
      <c r="FQ1030" s="1" t="s">
        <v>892</v>
      </c>
      <c r="FR1030" s="1" t="s">
        <v>210</v>
      </c>
      <c r="FS1030" s="1" t="s">
        <v>11080</v>
      </c>
      <c r="FT1030" s="1" t="s">
        <v>295</v>
      </c>
      <c r="FU1030" s="1" t="s">
        <v>204</v>
      </c>
      <c r="FW1030" s="1" t="s">
        <v>676</v>
      </c>
      <c r="FX1030" s="1">
        <v>30</v>
      </c>
      <c r="FY1030" s="1" t="s">
        <v>677</v>
      </c>
      <c r="FZ1030" s="1" t="s">
        <v>3935</v>
      </c>
      <c r="GA1030" s="1">
        <v>8173</v>
      </c>
      <c r="GB1030" s="1" t="s">
        <v>3936</v>
      </c>
      <c r="GE1030" s="1" t="s">
        <v>210</v>
      </c>
      <c r="GI1030" s="1" t="s">
        <v>213</v>
      </c>
      <c r="GJ1030" s="1" t="s">
        <v>260</v>
      </c>
      <c r="GK1030" s="1" t="s">
        <v>210</v>
      </c>
      <c r="GL1030" s="2">
        <v>41991</v>
      </c>
      <c r="GM1030" s="1" t="s">
        <v>11081</v>
      </c>
    </row>
    <row r="1031" spans="1:195">
      <c r="A1031" s="1">
        <v>242000</v>
      </c>
      <c r="B1031" s="1" t="s">
        <v>195</v>
      </c>
      <c r="C1031" s="1" t="str">
        <f>"08654341"</f>
        <v>08654341</v>
      </c>
      <c r="D1031" s="1" t="s">
        <v>196</v>
      </c>
      <c r="F1031" s="1" t="str">
        <f>"523"</f>
        <v>523</v>
      </c>
      <c r="G1031" s="2">
        <v>41814</v>
      </c>
      <c r="H1031" s="1">
        <v>289900</v>
      </c>
      <c r="I1031" s="1">
        <v>224900</v>
      </c>
      <c r="J1031" s="1">
        <v>242000</v>
      </c>
      <c r="K1031" s="2">
        <v>41814</v>
      </c>
      <c r="L1031" s="1">
        <v>289</v>
      </c>
      <c r="M1031" s="2">
        <v>42102</v>
      </c>
      <c r="N1031" s="1">
        <v>289</v>
      </c>
      <c r="O1031" s="2">
        <v>42102</v>
      </c>
      <c r="P1031" s="1">
        <v>40335</v>
      </c>
      <c r="Q1031" s="1" t="s">
        <v>302</v>
      </c>
      <c r="R1031" s="2">
        <v>42137</v>
      </c>
      <c r="S1031" s="1">
        <v>407595</v>
      </c>
      <c r="U1031" s="1" t="s">
        <v>11082</v>
      </c>
      <c r="V1031" s="1" t="s">
        <v>4615</v>
      </c>
      <c r="W1031" s="1" t="s">
        <v>425</v>
      </c>
      <c r="X1031" s="1" t="s">
        <v>800</v>
      </c>
      <c r="Y1031" s="1">
        <v>4</v>
      </c>
      <c r="Z1031" s="1" t="s">
        <v>370</v>
      </c>
      <c r="AA1031" s="1" t="s">
        <v>3818</v>
      </c>
      <c r="AB1031" s="1">
        <v>60523</v>
      </c>
      <c r="AE1031" s="1" t="s">
        <v>11083</v>
      </c>
      <c r="AF1031" s="1">
        <v>1970</v>
      </c>
      <c r="AG1031" s="1" t="s">
        <v>213</v>
      </c>
      <c r="AH1031" s="1" t="s">
        <v>882</v>
      </c>
      <c r="AI1031" s="1" t="s">
        <v>206</v>
      </c>
      <c r="AJ1031" s="1" t="s">
        <v>1608</v>
      </c>
      <c r="AL1031" s="1">
        <v>5</v>
      </c>
      <c r="AM1031" s="1">
        <v>2</v>
      </c>
      <c r="AN1031" s="1">
        <v>1</v>
      </c>
      <c r="AO1031" s="1">
        <v>1</v>
      </c>
      <c r="AP1031" s="1" t="s">
        <v>667</v>
      </c>
      <c r="AR1031" s="1" t="s">
        <v>1631</v>
      </c>
      <c r="AS1031" s="1" t="s">
        <v>204</v>
      </c>
      <c r="AT1031" s="1" t="s">
        <v>211</v>
      </c>
      <c r="AU1031" s="1">
        <v>1</v>
      </c>
      <c r="AW1031" s="1" t="s">
        <v>204</v>
      </c>
      <c r="AX1031" s="1" t="s">
        <v>3387</v>
      </c>
      <c r="AZ1031" s="1">
        <v>4122</v>
      </c>
      <c r="BA1031" s="1">
        <v>2013</v>
      </c>
      <c r="BE1031" s="1">
        <v>1644</v>
      </c>
      <c r="BF1031" s="1">
        <v>1</v>
      </c>
      <c r="BG1031" s="1">
        <v>30</v>
      </c>
      <c r="BL1031" s="1">
        <v>2060</v>
      </c>
      <c r="BM1031" s="1" t="s">
        <v>204</v>
      </c>
      <c r="BN1031" s="1" t="s">
        <v>213</v>
      </c>
      <c r="BO1031" s="1">
        <v>30</v>
      </c>
      <c r="BP1031" s="1" t="s">
        <v>204</v>
      </c>
      <c r="BR1031" s="1" t="str">
        <f>"0629407011"</f>
        <v>0629407011</v>
      </c>
      <c r="BT1031" s="1" t="s">
        <v>11084</v>
      </c>
      <c r="BX1031" s="1">
        <v>58</v>
      </c>
      <c r="BY1031" s="1">
        <v>58</v>
      </c>
      <c r="BZ1031" s="1">
        <v>99</v>
      </c>
      <c r="CB1031" s="1" t="str">
        <f t="shared" ref="CB1031:CC1031" si="794">""</f>
        <v/>
      </c>
      <c r="CC1031" s="1" t="str">
        <f t="shared" si="794"/>
        <v/>
      </c>
      <c r="CG1031" s="1" t="s">
        <v>931</v>
      </c>
      <c r="CH1031" s="1" t="s">
        <v>219</v>
      </c>
      <c r="CK1031" s="1" t="s">
        <v>315</v>
      </c>
      <c r="CL1031" s="1" t="s">
        <v>277</v>
      </c>
      <c r="CO1031" s="1" t="s">
        <v>223</v>
      </c>
      <c r="CP1031" s="1" t="s">
        <v>219</v>
      </c>
      <c r="CS1031" s="1" t="s">
        <v>437</v>
      </c>
      <c r="CT1031" s="1" t="s">
        <v>277</v>
      </c>
      <c r="CX1031" s="1" t="s">
        <v>224</v>
      </c>
      <c r="DB1031" s="1" t="s">
        <v>224</v>
      </c>
      <c r="DE1031" s="1" t="s">
        <v>516</v>
      </c>
      <c r="DF1031" s="1" t="s">
        <v>219</v>
      </c>
      <c r="DJ1031" s="1" t="s">
        <v>224</v>
      </c>
      <c r="DS1031" s="1" t="s">
        <v>230</v>
      </c>
      <c r="DW1031" s="1" t="s">
        <v>230</v>
      </c>
      <c r="EA1031" s="1" t="s">
        <v>230</v>
      </c>
      <c r="EE1031" s="1" t="s">
        <v>230</v>
      </c>
      <c r="EI1031" s="1" t="s">
        <v>230</v>
      </c>
      <c r="EL1031" s="1" t="s">
        <v>605</v>
      </c>
      <c r="EM1031" s="1" t="s">
        <v>319</v>
      </c>
      <c r="EN1031" s="1" t="s">
        <v>282</v>
      </c>
      <c r="EO1031" s="1" t="s">
        <v>234</v>
      </c>
      <c r="ER1031" s="1" t="s">
        <v>544</v>
      </c>
      <c r="EW1031" s="1" t="s">
        <v>11085</v>
      </c>
      <c r="EZ1031" s="1" t="s">
        <v>287</v>
      </c>
      <c r="FD1031" s="1" t="s">
        <v>246</v>
      </c>
      <c r="FE1031" s="1" t="s">
        <v>247</v>
      </c>
      <c r="FF1031" s="1" t="s">
        <v>248</v>
      </c>
      <c r="FH1031" s="1" t="s">
        <v>550</v>
      </c>
      <c r="FJ1031" s="1" t="s">
        <v>1472</v>
      </c>
      <c r="FL1031" s="1" t="s">
        <v>414</v>
      </c>
      <c r="FM1031" s="1" t="s">
        <v>252</v>
      </c>
      <c r="FN1031" s="1" t="s">
        <v>213</v>
      </c>
      <c r="FO1031" s="1" t="s">
        <v>213</v>
      </c>
      <c r="FQ1031" s="1" t="s">
        <v>2417</v>
      </c>
      <c r="FR1031" s="1" t="s">
        <v>210</v>
      </c>
      <c r="FS1031" s="1" t="s">
        <v>3352</v>
      </c>
      <c r="FT1031" s="1" t="s">
        <v>295</v>
      </c>
      <c r="FU1031" s="1" t="s">
        <v>204</v>
      </c>
      <c r="FW1031" s="1" t="s">
        <v>3353</v>
      </c>
      <c r="FX1031" s="1">
        <v>8658</v>
      </c>
      <c r="FY1031" s="1" t="s">
        <v>3354</v>
      </c>
      <c r="FZ1031" s="1" t="s">
        <v>3355</v>
      </c>
      <c r="GA1031" s="1">
        <v>84760</v>
      </c>
      <c r="GB1031" s="1" t="s">
        <v>3354</v>
      </c>
      <c r="GD1031" s="1" t="s">
        <v>3356</v>
      </c>
      <c r="GE1031" s="1" t="s">
        <v>210</v>
      </c>
      <c r="GI1031" s="1" t="s">
        <v>213</v>
      </c>
      <c r="GJ1031" s="1" t="s">
        <v>260</v>
      </c>
      <c r="GK1031" s="1" t="s">
        <v>210</v>
      </c>
      <c r="GL1031" s="2">
        <v>42143</v>
      </c>
      <c r="GM1031" s="1" t="s">
        <v>11086</v>
      </c>
    </row>
    <row r="1032" spans="1:195">
      <c r="A1032" s="1">
        <v>110000</v>
      </c>
      <c r="B1032" s="1" t="s">
        <v>195</v>
      </c>
      <c r="C1032" s="1" t="str">
        <f>"08650563"</f>
        <v>08650563</v>
      </c>
      <c r="D1032" s="1" t="s">
        <v>196</v>
      </c>
      <c r="F1032" s="1" t="str">
        <f>"507"</f>
        <v>507</v>
      </c>
      <c r="G1032" s="2">
        <v>41810</v>
      </c>
      <c r="H1032" s="1">
        <v>119900</v>
      </c>
      <c r="I1032" s="1">
        <v>109900</v>
      </c>
      <c r="J1032" s="1">
        <v>110000</v>
      </c>
      <c r="K1032" s="2">
        <v>41810</v>
      </c>
      <c r="L1032" s="1">
        <v>98</v>
      </c>
      <c r="M1032" s="2">
        <v>41907</v>
      </c>
      <c r="N1032" s="1">
        <v>98</v>
      </c>
      <c r="O1032" s="2">
        <v>41907</v>
      </c>
      <c r="P1032" s="1">
        <v>22039</v>
      </c>
      <c r="Q1032" s="1" t="s">
        <v>197</v>
      </c>
      <c r="R1032" s="2">
        <v>42111</v>
      </c>
      <c r="S1032" s="1">
        <v>216850</v>
      </c>
      <c r="U1032" s="1">
        <v>2443</v>
      </c>
      <c r="V1032" s="1" t="s">
        <v>11087</v>
      </c>
      <c r="W1032" s="1" t="s">
        <v>449</v>
      </c>
      <c r="X1032" s="1">
        <v>4</v>
      </c>
      <c r="Y1032" s="1">
        <v>8</v>
      </c>
      <c r="Z1032" s="1" t="s">
        <v>200</v>
      </c>
      <c r="AA1032" s="1" t="s">
        <v>1123</v>
      </c>
      <c r="AB1032" s="1">
        <v>60506</v>
      </c>
      <c r="AD1032" s="1" t="s">
        <v>4047</v>
      </c>
      <c r="AE1032" s="1" t="s">
        <v>11088</v>
      </c>
      <c r="AF1032" s="1">
        <v>1999</v>
      </c>
      <c r="AG1032" s="1" t="s">
        <v>204</v>
      </c>
      <c r="AH1032" s="1" t="s">
        <v>1126</v>
      </c>
      <c r="AI1032" s="1" t="s">
        <v>665</v>
      </c>
      <c r="AJ1032" s="1" t="s">
        <v>3240</v>
      </c>
      <c r="AK1032" s="1" t="s">
        <v>3188</v>
      </c>
      <c r="AL1032" s="1">
        <v>7</v>
      </c>
      <c r="AM1032" s="1">
        <v>2</v>
      </c>
      <c r="AN1032" s="1">
        <v>2</v>
      </c>
      <c r="AO1032" s="1">
        <v>1</v>
      </c>
      <c r="AP1032" s="1" t="s">
        <v>209</v>
      </c>
      <c r="AQ1032" s="1">
        <v>0</v>
      </c>
      <c r="AR1032" s="1" t="s">
        <v>1421</v>
      </c>
      <c r="AS1032" s="1" t="s">
        <v>204</v>
      </c>
      <c r="AT1032" s="1" t="s">
        <v>211</v>
      </c>
      <c r="AU1032" s="1">
        <v>2</v>
      </c>
      <c r="AW1032" s="1" t="s">
        <v>204</v>
      </c>
      <c r="AX1032" s="1" t="s">
        <v>212</v>
      </c>
      <c r="AZ1032" s="1">
        <v>4650</v>
      </c>
      <c r="BA1032" s="1">
        <v>2013</v>
      </c>
      <c r="BB1032" s="1" t="s">
        <v>405</v>
      </c>
      <c r="BE1032" s="1">
        <v>1503</v>
      </c>
      <c r="BF1032" s="1">
        <v>1</v>
      </c>
      <c r="BG1032" s="1">
        <v>0</v>
      </c>
      <c r="BL1032" s="1">
        <v>187</v>
      </c>
      <c r="BM1032" s="1" t="s">
        <v>204</v>
      </c>
      <c r="BN1032" s="1" t="s">
        <v>213</v>
      </c>
      <c r="BO1032" s="1">
        <v>0</v>
      </c>
      <c r="BP1032" s="1" t="s">
        <v>204</v>
      </c>
      <c r="BR1032" s="1" t="str">
        <f>"1413230028"</f>
        <v>1413230028</v>
      </c>
      <c r="BT1032" s="1" t="s">
        <v>11089</v>
      </c>
      <c r="BX1032" s="1">
        <v>129</v>
      </c>
      <c r="BY1032" s="1">
        <v>129</v>
      </c>
      <c r="BZ1032" s="1">
        <v>129</v>
      </c>
      <c r="CB1032" s="1" t="str">
        <f t="shared" ref="CB1032:CC1032" si="795">"0"</f>
        <v>0</v>
      </c>
      <c r="CC1032" s="1" t="str">
        <f t="shared" si="795"/>
        <v>0</v>
      </c>
      <c r="CD1032" s="1">
        <v>39</v>
      </c>
      <c r="CE1032" s="1">
        <v>6</v>
      </c>
      <c r="CG1032" s="1" t="s">
        <v>1533</v>
      </c>
      <c r="CH1032" s="1" t="s">
        <v>219</v>
      </c>
      <c r="CI1032" s="1" t="s">
        <v>229</v>
      </c>
      <c r="CK1032" s="1" t="s">
        <v>344</v>
      </c>
      <c r="CL1032" s="1" t="s">
        <v>277</v>
      </c>
      <c r="CM1032" s="1" t="s">
        <v>220</v>
      </c>
      <c r="CO1032" s="1" t="s">
        <v>348</v>
      </c>
      <c r="CP1032" s="1" t="s">
        <v>219</v>
      </c>
      <c r="CQ1032" s="1" t="s">
        <v>229</v>
      </c>
      <c r="CS1032" s="1" t="s">
        <v>378</v>
      </c>
      <c r="CT1032" s="1" t="s">
        <v>277</v>
      </c>
      <c r="CU1032" s="1" t="s">
        <v>220</v>
      </c>
      <c r="CX1032" s="1" t="s">
        <v>224</v>
      </c>
      <c r="DB1032" s="1" t="s">
        <v>224</v>
      </c>
      <c r="DE1032" s="1" t="s">
        <v>409</v>
      </c>
      <c r="DF1032" s="1" t="s">
        <v>219</v>
      </c>
      <c r="DG1032" s="1" t="s">
        <v>226</v>
      </c>
      <c r="DI1032" s="1" t="s">
        <v>437</v>
      </c>
      <c r="DJ1032" s="1" t="s">
        <v>219</v>
      </c>
      <c r="DK1032" s="1" t="s">
        <v>229</v>
      </c>
      <c r="DM1032" s="1" t="s">
        <v>1005</v>
      </c>
      <c r="DR1032" s="1" t="s">
        <v>836</v>
      </c>
      <c r="DS1032" s="1" t="s">
        <v>822</v>
      </c>
      <c r="DT1032" s="1" t="s">
        <v>220</v>
      </c>
      <c r="DW1032" s="1" t="s">
        <v>230</v>
      </c>
      <c r="EA1032" s="1" t="s">
        <v>230</v>
      </c>
      <c r="EE1032" s="1" t="s">
        <v>230</v>
      </c>
      <c r="EI1032" s="1" t="s">
        <v>230</v>
      </c>
      <c r="EL1032" s="1" t="s">
        <v>466</v>
      </c>
      <c r="EM1032" s="1" t="s">
        <v>319</v>
      </c>
      <c r="EN1032" s="1" t="s">
        <v>282</v>
      </c>
      <c r="EO1032" s="1" t="s">
        <v>234</v>
      </c>
      <c r="EP1032" s="1" t="s">
        <v>3782</v>
      </c>
      <c r="EQ1032" s="1" t="s">
        <v>284</v>
      </c>
      <c r="ER1032" s="1" t="s">
        <v>544</v>
      </c>
      <c r="ES1032" s="1" t="s">
        <v>3932</v>
      </c>
      <c r="ET1032" s="1" t="s">
        <v>2404</v>
      </c>
      <c r="EW1032" s="1" t="s">
        <v>353</v>
      </c>
      <c r="EZ1032" s="1" t="s">
        <v>1005</v>
      </c>
      <c r="FA1032" s="1" t="s">
        <v>354</v>
      </c>
      <c r="FB1032" s="1" t="s">
        <v>289</v>
      </c>
      <c r="FC1032" s="1" t="s">
        <v>1386</v>
      </c>
      <c r="FD1032" s="1" t="s">
        <v>246</v>
      </c>
      <c r="FE1032" s="1" t="s">
        <v>355</v>
      </c>
      <c r="FF1032" s="1" t="s">
        <v>248</v>
      </c>
      <c r="FH1032" s="1" t="s">
        <v>249</v>
      </c>
      <c r="FI1032" s="1" t="s">
        <v>473</v>
      </c>
      <c r="FL1032" s="1" t="s">
        <v>358</v>
      </c>
      <c r="FM1032" s="1" t="s">
        <v>252</v>
      </c>
      <c r="FN1032" s="1" t="s">
        <v>213</v>
      </c>
      <c r="FO1032" s="1" t="s">
        <v>204</v>
      </c>
      <c r="FQ1032" s="1" t="s">
        <v>11090</v>
      </c>
      <c r="FR1032" s="1" t="s">
        <v>360</v>
      </c>
      <c r="FS1032" s="1" t="s">
        <v>11091</v>
      </c>
      <c r="FT1032" s="1" t="s">
        <v>1778</v>
      </c>
      <c r="FU1032" s="1" t="s">
        <v>204</v>
      </c>
      <c r="FW1032" s="1" t="s">
        <v>1409</v>
      </c>
      <c r="FX1032" s="1">
        <v>22667</v>
      </c>
      <c r="FY1032" s="1" t="s">
        <v>1410</v>
      </c>
      <c r="FZ1032" s="1" t="s">
        <v>1411</v>
      </c>
      <c r="GA1032" s="1">
        <v>220614</v>
      </c>
      <c r="GB1032" s="1" t="s">
        <v>1412</v>
      </c>
      <c r="GC1032" s="1">
        <v>228882</v>
      </c>
      <c r="GD1032" s="1">
        <v>220614</v>
      </c>
      <c r="GE1032" s="1" t="s">
        <v>480</v>
      </c>
      <c r="GI1032" s="1" t="s">
        <v>204</v>
      </c>
      <c r="GJ1032" s="1" t="s">
        <v>260</v>
      </c>
      <c r="GK1032" s="1" t="s">
        <v>1413</v>
      </c>
      <c r="GL1032" s="2">
        <v>42113</v>
      </c>
      <c r="GM1032" s="1" t="s">
        <v>11092</v>
      </c>
    </row>
    <row r="1033" spans="1:195">
      <c r="A1033" s="1">
        <v>73000</v>
      </c>
      <c r="B1033" s="1" t="s">
        <v>195</v>
      </c>
      <c r="C1033" s="1" t="str">
        <f>"08429249"</f>
        <v>08429249</v>
      </c>
      <c r="D1033" s="1" t="s">
        <v>196</v>
      </c>
      <c r="F1033" s="1" t="str">
        <f>"123"</f>
        <v>123</v>
      </c>
      <c r="G1033" s="2">
        <v>41510</v>
      </c>
      <c r="H1033" s="1">
        <v>149900</v>
      </c>
      <c r="I1033" s="1">
        <v>73000</v>
      </c>
      <c r="J1033" s="1">
        <v>73000</v>
      </c>
      <c r="K1033" s="2">
        <v>41510</v>
      </c>
      <c r="L1033" s="1">
        <v>396</v>
      </c>
      <c r="M1033" s="2">
        <v>41905</v>
      </c>
      <c r="N1033" s="1">
        <v>396</v>
      </c>
      <c r="O1033" s="2">
        <v>41905</v>
      </c>
      <c r="P1033" s="1">
        <v>212</v>
      </c>
      <c r="Q1033" s="1" t="s">
        <v>302</v>
      </c>
      <c r="R1033" s="2">
        <v>41991</v>
      </c>
      <c r="S1033" s="1">
        <v>77682</v>
      </c>
      <c r="U1033" s="1">
        <v>352</v>
      </c>
      <c r="V1033" s="1" t="s">
        <v>3768</v>
      </c>
      <c r="W1033" s="1" t="s">
        <v>449</v>
      </c>
      <c r="X1033" s="1" t="s">
        <v>1000</v>
      </c>
      <c r="Y1033" s="1">
        <v>4</v>
      </c>
      <c r="Z1033" s="1" t="s">
        <v>249</v>
      </c>
      <c r="AA1033" s="1" t="s">
        <v>1173</v>
      </c>
      <c r="AB1033" s="1">
        <v>60120</v>
      </c>
      <c r="AE1033" s="1" t="s">
        <v>11093</v>
      </c>
      <c r="AF1033" s="1" t="s">
        <v>402</v>
      </c>
      <c r="AG1033" s="1" t="s">
        <v>204</v>
      </c>
      <c r="AH1033" s="1" t="s">
        <v>1175</v>
      </c>
      <c r="AI1033" s="1" t="s">
        <v>310</v>
      </c>
      <c r="AJ1033" s="1" t="s">
        <v>374</v>
      </c>
      <c r="AL1033" s="1">
        <v>5</v>
      </c>
      <c r="AM1033" s="1">
        <v>2</v>
      </c>
      <c r="AN1033" s="1">
        <v>2</v>
      </c>
      <c r="AO1033" s="1">
        <v>0</v>
      </c>
      <c r="AP1033" s="1" t="s">
        <v>209</v>
      </c>
      <c r="AR1033" s="1" t="s">
        <v>210</v>
      </c>
      <c r="AS1033" s="1" t="s">
        <v>204</v>
      </c>
      <c r="AT1033" s="1" t="s">
        <v>211</v>
      </c>
      <c r="AU1033" s="1">
        <v>1</v>
      </c>
      <c r="AW1033" s="1" t="s">
        <v>204</v>
      </c>
      <c r="AX1033" s="1" t="s">
        <v>212</v>
      </c>
      <c r="AZ1033" s="1">
        <v>2170.17</v>
      </c>
      <c r="BA1033" s="1">
        <v>2012</v>
      </c>
      <c r="BE1033" s="1">
        <v>0</v>
      </c>
      <c r="BF1033" s="1">
        <v>2</v>
      </c>
      <c r="BG1033" s="1">
        <v>30</v>
      </c>
      <c r="BL1033" s="1">
        <v>137</v>
      </c>
      <c r="BM1033" s="1" t="s">
        <v>204</v>
      </c>
      <c r="BN1033" s="1" t="s">
        <v>213</v>
      </c>
      <c r="BO1033" s="1">
        <v>50</v>
      </c>
      <c r="BP1033" s="1" t="s">
        <v>204</v>
      </c>
      <c r="BR1033" s="1" t="str">
        <f>"06192100201032"</f>
        <v>06192100201032</v>
      </c>
      <c r="BT1033" s="1" t="s">
        <v>11094</v>
      </c>
      <c r="BX1033" s="1">
        <v>46</v>
      </c>
      <c r="BY1033" s="1">
        <v>46</v>
      </c>
      <c r="BZ1033" s="1">
        <v>46</v>
      </c>
      <c r="CB1033" s="1" t="str">
        <f t="shared" ref="CB1033:CC1033" si="796">""</f>
        <v/>
      </c>
      <c r="CC1033" s="1" t="str">
        <f t="shared" si="796"/>
        <v/>
      </c>
      <c r="CG1033" s="1" t="s">
        <v>538</v>
      </c>
      <c r="CH1033" s="1" t="s">
        <v>219</v>
      </c>
      <c r="CI1033" s="1" t="s">
        <v>220</v>
      </c>
      <c r="CK1033" s="1" t="s">
        <v>932</v>
      </c>
      <c r="CL1033" s="1" t="s">
        <v>219</v>
      </c>
      <c r="CM1033" s="1" t="s">
        <v>220</v>
      </c>
      <c r="CO1033" s="1" t="s">
        <v>348</v>
      </c>
      <c r="CP1033" s="1" t="s">
        <v>219</v>
      </c>
      <c r="CQ1033" s="1" t="s">
        <v>220</v>
      </c>
      <c r="CS1033" s="1" t="s">
        <v>318</v>
      </c>
      <c r="CT1033" s="1" t="s">
        <v>219</v>
      </c>
      <c r="CU1033" s="1" t="s">
        <v>220</v>
      </c>
      <c r="CX1033" s="1" t="s">
        <v>224</v>
      </c>
      <c r="DB1033" s="1" t="s">
        <v>224</v>
      </c>
      <c r="DE1033" s="1" t="s">
        <v>348</v>
      </c>
      <c r="DF1033" s="1" t="s">
        <v>219</v>
      </c>
      <c r="DG1033" s="1" t="s">
        <v>226</v>
      </c>
      <c r="DJ1033" s="1" t="s">
        <v>224</v>
      </c>
      <c r="DS1033" s="1" t="s">
        <v>230</v>
      </c>
      <c r="DW1033" s="1" t="s">
        <v>230</v>
      </c>
      <c r="EA1033" s="1" t="s">
        <v>230</v>
      </c>
      <c r="EE1033" s="1" t="s">
        <v>230</v>
      </c>
      <c r="EI1033" s="1" t="s">
        <v>230</v>
      </c>
      <c r="EL1033" s="1" t="s">
        <v>413</v>
      </c>
      <c r="EM1033" s="1" t="s">
        <v>232</v>
      </c>
      <c r="EN1033" s="1" t="s">
        <v>282</v>
      </c>
      <c r="EO1033" s="1" t="s">
        <v>234</v>
      </c>
      <c r="EQ1033" s="1" t="s">
        <v>1094</v>
      </c>
      <c r="ER1033" s="1" t="s">
        <v>210</v>
      </c>
      <c r="ES1033" s="1" t="s">
        <v>493</v>
      </c>
      <c r="EW1033" s="1" t="s">
        <v>353</v>
      </c>
      <c r="EZ1033" s="1" t="s">
        <v>287</v>
      </c>
      <c r="FD1033" s="1" t="s">
        <v>888</v>
      </c>
      <c r="FE1033" s="1" t="s">
        <v>386</v>
      </c>
      <c r="FF1033" s="1" t="s">
        <v>11095</v>
      </c>
      <c r="FH1033" s="1" t="s">
        <v>249</v>
      </c>
      <c r="FJ1033" s="1" t="s">
        <v>1472</v>
      </c>
      <c r="FL1033" s="1" t="s">
        <v>358</v>
      </c>
      <c r="FM1033" s="1" t="s">
        <v>252</v>
      </c>
      <c r="FN1033" s="1" t="s">
        <v>213</v>
      </c>
      <c r="FO1033" s="1" t="s">
        <v>204</v>
      </c>
      <c r="FQ1033" s="1" t="s">
        <v>689</v>
      </c>
      <c r="FR1033" s="1" t="s">
        <v>360</v>
      </c>
      <c r="FS1033" s="1" t="s">
        <v>11096</v>
      </c>
      <c r="FT1033" s="1" t="s">
        <v>11097</v>
      </c>
      <c r="FU1033" s="1" t="s">
        <v>204</v>
      </c>
      <c r="FW1033" s="1" t="s">
        <v>10902</v>
      </c>
      <c r="FX1033" s="1">
        <v>24945</v>
      </c>
      <c r="FY1033" s="1" t="s">
        <v>10903</v>
      </c>
      <c r="FZ1033" s="1" t="s">
        <v>11098</v>
      </c>
      <c r="GA1033" s="1">
        <v>230605</v>
      </c>
      <c r="GB1033" s="1" t="s">
        <v>11099</v>
      </c>
      <c r="GE1033" s="1" t="s">
        <v>210</v>
      </c>
      <c r="GI1033" s="1" t="s">
        <v>213</v>
      </c>
      <c r="GJ1033" s="1" t="s">
        <v>260</v>
      </c>
      <c r="GK1033" s="1" t="s">
        <v>210</v>
      </c>
      <c r="GL1033" s="2">
        <v>41991</v>
      </c>
      <c r="GM1033" s="1" t="s">
        <v>11100</v>
      </c>
    </row>
    <row r="1034" spans="1:195">
      <c r="A1034" s="1">
        <v>136000</v>
      </c>
      <c r="B1034" s="1" t="s">
        <v>195</v>
      </c>
      <c r="C1034" s="1" t="str">
        <f>"08848413"</f>
        <v>08848413</v>
      </c>
      <c r="D1034" s="1" t="s">
        <v>196</v>
      </c>
      <c r="F1034" s="1" t="str">
        <f>"139"</f>
        <v>139</v>
      </c>
      <c r="G1034" s="2">
        <v>42062</v>
      </c>
      <c r="H1034" s="1">
        <v>136500</v>
      </c>
      <c r="I1034" s="1">
        <v>136500</v>
      </c>
      <c r="J1034" s="1">
        <v>136000</v>
      </c>
      <c r="K1034" s="2">
        <v>42062</v>
      </c>
      <c r="L1034" s="1">
        <v>205</v>
      </c>
      <c r="M1034" s="2">
        <v>42068</v>
      </c>
      <c r="N1034" s="1">
        <v>7</v>
      </c>
      <c r="O1034" s="2">
        <v>42068</v>
      </c>
      <c r="P1034" s="1">
        <v>21777</v>
      </c>
      <c r="Q1034" s="1" t="s">
        <v>423</v>
      </c>
      <c r="R1034" s="2">
        <v>42117</v>
      </c>
      <c r="S1034" s="1">
        <v>215509</v>
      </c>
      <c r="T1034" s="1">
        <v>4000</v>
      </c>
      <c r="U1034" s="1">
        <v>1458</v>
      </c>
      <c r="V1034" s="1" t="s">
        <v>8536</v>
      </c>
      <c r="W1034" s="1" t="s">
        <v>264</v>
      </c>
      <c r="X1034" s="1">
        <v>1458</v>
      </c>
      <c r="Y1034" s="1">
        <v>4</v>
      </c>
      <c r="Z1034" s="1" t="s">
        <v>370</v>
      </c>
      <c r="AA1034" s="1" t="s">
        <v>1732</v>
      </c>
      <c r="AB1034" s="1">
        <v>60139</v>
      </c>
      <c r="AD1034" s="1" t="s">
        <v>8696</v>
      </c>
      <c r="AE1034" s="1" t="s">
        <v>11101</v>
      </c>
      <c r="AF1034" s="1">
        <v>1985</v>
      </c>
      <c r="AG1034" s="1" t="s">
        <v>204</v>
      </c>
      <c r="AH1034" s="1" t="s">
        <v>1735</v>
      </c>
      <c r="AI1034" s="1" t="s">
        <v>206</v>
      </c>
      <c r="AJ1034" s="1" t="s">
        <v>269</v>
      </c>
      <c r="AL1034" s="1">
        <v>5</v>
      </c>
      <c r="AM1034" s="1">
        <v>2</v>
      </c>
      <c r="AN1034" s="1">
        <v>2</v>
      </c>
      <c r="AO1034" s="1">
        <v>1</v>
      </c>
      <c r="AP1034" s="1" t="s">
        <v>209</v>
      </c>
      <c r="AQ1034" s="1">
        <v>1</v>
      </c>
      <c r="AR1034" s="1" t="s">
        <v>210</v>
      </c>
      <c r="AS1034" s="1" t="s">
        <v>204</v>
      </c>
      <c r="AT1034" s="1" t="s">
        <v>211</v>
      </c>
      <c r="AU1034" s="1">
        <v>1</v>
      </c>
      <c r="AW1034" s="1" t="s">
        <v>204</v>
      </c>
      <c r="AX1034" s="1" t="s">
        <v>212</v>
      </c>
      <c r="AZ1034" s="1">
        <v>4180</v>
      </c>
      <c r="BA1034" s="1">
        <v>2013</v>
      </c>
      <c r="BE1034" s="1">
        <v>1010</v>
      </c>
      <c r="BF1034" s="1">
        <v>1</v>
      </c>
      <c r="BG1034" s="1">
        <v>30</v>
      </c>
      <c r="BL1034" s="1">
        <v>198</v>
      </c>
      <c r="BM1034" s="1" t="s">
        <v>204</v>
      </c>
      <c r="BN1034" s="1" t="s">
        <v>213</v>
      </c>
      <c r="BO1034" s="1">
        <v>0</v>
      </c>
      <c r="BP1034" s="1" t="s">
        <v>204</v>
      </c>
      <c r="BR1034" s="1" t="str">
        <f>"0233204096"</f>
        <v>0233204096</v>
      </c>
      <c r="BT1034" s="1" t="s">
        <v>11102</v>
      </c>
      <c r="BV1034" s="1" t="s">
        <v>3645</v>
      </c>
      <c r="BW1034" s="1" t="s">
        <v>2169</v>
      </c>
      <c r="BX1034" s="1">
        <v>16</v>
      </c>
      <c r="BY1034" s="1">
        <v>16</v>
      </c>
      <c r="BZ1034" s="1">
        <v>87</v>
      </c>
      <c r="CB1034" s="1" t="str">
        <f>"2"</f>
        <v>2</v>
      </c>
      <c r="CC1034" s="1" t="str">
        <f>"0"</f>
        <v>0</v>
      </c>
      <c r="CD1034" s="1">
        <v>24</v>
      </c>
      <c r="CE1034" s="1">
        <v>0</v>
      </c>
      <c r="CG1034" s="1" t="s">
        <v>1200</v>
      </c>
      <c r="CH1034" s="1" t="s">
        <v>219</v>
      </c>
      <c r="CI1034" s="1" t="s">
        <v>220</v>
      </c>
      <c r="CK1034" s="1" t="s">
        <v>539</v>
      </c>
      <c r="CL1034" s="1" t="s">
        <v>277</v>
      </c>
      <c r="CM1034" s="1" t="s">
        <v>220</v>
      </c>
      <c r="CO1034" s="1" t="s">
        <v>629</v>
      </c>
      <c r="CP1034" s="1" t="s">
        <v>219</v>
      </c>
      <c r="CQ1034" s="1" t="s">
        <v>220</v>
      </c>
      <c r="CS1034" s="1" t="s">
        <v>1297</v>
      </c>
      <c r="CT1034" s="1" t="s">
        <v>277</v>
      </c>
      <c r="CU1034" s="1" t="s">
        <v>220</v>
      </c>
      <c r="CX1034" s="1" t="s">
        <v>224</v>
      </c>
      <c r="DB1034" s="1" t="s">
        <v>224</v>
      </c>
      <c r="DE1034" s="1" t="s">
        <v>516</v>
      </c>
      <c r="DF1034" s="1" t="s">
        <v>219</v>
      </c>
      <c r="DG1034" s="1" t="s">
        <v>229</v>
      </c>
      <c r="DJ1034" s="1" t="s">
        <v>224</v>
      </c>
      <c r="DS1034" s="1" t="s">
        <v>230</v>
      </c>
      <c r="DW1034" s="1" t="s">
        <v>230</v>
      </c>
      <c r="EA1034" s="1" t="s">
        <v>230</v>
      </c>
      <c r="EE1034" s="1" t="s">
        <v>230</v>
      </c>
      <c r="EI1034" s="1" t="s">
        <v>230</v>
      </c>
      <c r="EL1034" s="1" t="s">
        <v>542</v>
      </c>
      <c r="EM1034" s="1" t="s">
        <v>319</v>
      </c>
      <c r="EN1034" s="1" t="s">
        <v>282</v>
      </c>
      <c r="EO1034" s="1" t="s">
        <v>234</v>
      </c>
      <c r="EQ1034" s="1" t="s">
        <v>236</v>
      </c>
      <c r="ER1034" s="1" t="s">
        <v>210</v>
      </c>
      <c r="ES1034" s="1" t="s">
        <v>3719</v>
      </c>
      <c r="EW1034" s="1" t="s">
        <v>517</v>
      </c>
      <c r="EY1034" s="1" t="s">
        <v>441</v>
      </c>
      <c r="EZ1034" s="1" t="s">
        <v>287</v>
      </c>
      <c r="FB1034" s="1" t="s">
        <v>244</v>
      </c>
      <c r="FD1034" s="1" t="s">
        <v>246</v>
      </c>
      <c r="FE1034" s="1" t="s">
        <v>549</v>
      </c>
      <c r="FF1034" s="1" t="s">
        <v>248</v>
      </c>
      <c r="FG1034" s="1" t="s">
        <v>871</v>
      </c>
      <c r="FH1034" s="1" t="s">
        <v>550</v>
      </c>
      <c r="FI1034" s="1" t="s">
        <v>473</v>
      </c>
      <c r="FL1034" s="1" t="s">
        <v>358</v>
      </c>
      <c r="FM1034" s="1" t="s">
        <v>252</v>
      </c>
      <c r="FN1034" s="1" t="s">
        <v>213</v>
      </c>
      <c r="FO1034" s="1" t="s">
        <v>213</v>
      </c>
      <c r="FQ1034" s="1" t="s">
        <v>8700</v>
      </c>
      <c r="FR1034" s="1" t="s">
        <v>210</v>
      </c>
      <c r="FS1034" s="1" t="s">
        <v>11103</v>
      </c>
      <c r="FT1034" s="1" t="s">
        <v>675</v>
      </c>
      <c r="FU1034" s="1" t="s">
        <v>204</v>
      </c>
      <c r="FW1034" s="1" t="s">
        <v>5648</v>
      </c>
      <c r="FX1034" s="1">
        <v>23099</v>
      </c>
      <c r="FY1034" s="1" t="s">
        <v>5649</v>
      </c>
      <c r="FZ1034" s="1" t="s">
        <v>8702</v>
      </c>
      <c r="GA1034" s="1">
        <v>256407</v>
      </c>
      <c r="GB1034" s="1" t="s">
        <v>8703</v>
      </c>
      <c r="GE1034" s="1" t="s">
        <v>210</v>
      </c>
      <c r="GI1034" s="1" t="s">
        <v>213</v>
      </c>
      <c r="GJ1034" s="1" t="s">
        <v>260</v>
      </c>
      <c r="GK1034" s="1" t="s">
        <v>261</v>
      </c>
      <c r="GL1034" s="2">
        <v>42118</v>
      </c>
    </row>
    <row r="1035" spans="1:195">
      <c r="A1035" s="1">
        <v>115500</v>
      </c>
      <c r="B1035" s="1" t="s">
        <v>195</v>
      </c>
      <c r="C1035" s="1" t="str">
        <f>"08837792"</f>
        <v>08837792</v>
      </c>
      <c r="D1035" s="1" t="s">
        <v>196</v>
      </c>
      <c r="F1035" s="1" t="str">
        <f>"108"</f>
        <v>108</v>
      </c>
      <c r="G1035" s="2">
        <v>42047</v>
      </c>
      <c r="H1035" s="1">
        <v>115500</v>
      </c>
      <c r="I1035" s="1">
        <v>115500</v>
      </c>
      <c r="J1035" s="1">
        <v>115500</v>
      </c>
      <c r="K1035" s="2">
        <v>42047</v>
      </c>
      <c r="L1035" s="1">
        <v>9</v>
      </c>
      <c r="M1035" s="2">
        <v>42055</v>
      </c>
      <c r="N1035" s="1">
        <v>9</v>
      </c>
      <c r="O1035" s="2">
        <v>42055</v>
      </c>
      <c r="P1035" s="1">
        <v>24213</v>
      </c>
      <c r="Q1035" s="1" t="s">
        <v>197</v>
      </c>
      <c r="R1035" s="2">
        <v>42110</v>
      </c>
      <c r="S1035" s="1">
        <v>243991</v>
      </c>
      <c r="U1035" s="1">
        <v>104</v>
      </c>
      <c r="V1035" s="1" t="s">
        <v>11104</v>
      </c>
      <c r="W1035" s="1" t="s">
        <v>264</v>
      </c>
      <c r="X1035" s="1">
        <v>207</v>
      </c>
      <c r="Y1035" s="1">
        <v>8</v>
      </c>
      <c r="Z1035" s="1" t="s">
        <v>249</v>
      </c>
      <c r="AA1035" s="1" t="s">
        <v>829</v>
      </c>
      <c r="AB1035" s="1">
        <v>60108</v>
      </c>
      <c r="AE1035" s="1" t="s">
        <v>11105</v>
      </c>
      <c r="AF1035" s="1">
        <v>1989</v>
      </c>
      <c r="AG1035" s="1" t="s">
        <v>204</v>
      </c>
      <c r="AH1035" s="1" t="s">
        <v>269</v>
      </c>
      <c r="AI1035" s="1" t="s">
        <v>206</v>
      </c>
      <c r="AJ1035" s="1" t="s">
        <v>269</v>
      </c>
      <c r="AL1035" s="1">
        <v>5</v>
      </c>
      <c r="AM1035" s="1">
        <v>2</v>
      </c>
      <c r="AN1035" s="1">
        <v>2</v>
      </c>
      <c r="AO1035" s="1">
        <v>0</v>
      </c>
      <c r="AP1035" s="1" t="s">
        <v>209</v>
      </c>
      <c r="AQ1035" s="1">
        <v>1</v>
      </c>
      <c r="AR1035" s="1" t="s">
        <v>210</v>
      </c>
      <c r="AT1035" s="1" t="s">
        <v>271</v>
      </c>
      <c r="AV1035" s="1">
        <v>2</v>
      </c>
      <c r="AW1035" s="1" t="s">
        <v>204</v>
      </c>
      <c r="AX1035" s="1" t="s">
        <v>212</v>
      </c>
      <c r="AZ1035" s="1">
        <v>3119</v>
      </c>
      <c r="BA1035" s="1">
        <v>2013</v>
      </c>
      <c r="BE1035" s="1">
        <v>943</v>
      </c>
      <c r="BF1035" s="1">
        <v>2</v>
      </c>
      <c r="BG1035" s="1">
        <v>45</v>
      </c>
      <c r="BL1035" s="1">
        <v>200</v>
      </c>
      <c r="BM1035" s="1" t="s">
        <v>204</v>
      </c>
      <c r="BN1035" s="1" t="s">
        <v>213</v>
      </c>
      <c r="BO1035" s="1">
        <v>999</v>
      </c>
      <c r="BP1035" s="1" t="s">
        <v>204</v>
      </c>
      <c r="BR1035" s="1" t="str">
        <f>"0221110131"</f>
        <v>0221110131</v>
      </c>
      <c r="BT1035" s="1" t="s">
        <v>11106</v>
      </c>
      <c r="BX1035" s="1">
        <v>93</v>
      </c>
      <c r="BY1035" s="1">
        <v>93</v>
      </c>
      <c r="BZ1035" s="1">
        <v>87</v>
      </c>
      <c r="CB1035" s="1" t="str">
        <f t="shared" ref="CB1035:CC1035" si="797">""</f>
        <v/>
      </c>
      <c r="CC1035" s="1" t="str">
        <f t="shared" si="797"/>
        <v/>
      </c>
      <c r="CG1035" s="1" t="s">
        <v>729</v>
      </c>
      <c r="CH1035" s="1" t="s">
        <v>219</v>
      </c>
      <c r="CI1035" s="1" t="s">
        <v>220</v>
      </c>
      <c r="CK1035" s="1" t="s">
        <v>378</v>
      </c>
      <c r="CL1035" s="1" t="s">
        <v>219</v>
      </c>
      <c r="CM1035" s="1" t="s">
        <v>220</v>
      </c>
      <c r="CO1035" s="1" t="s">
        <v>409</v>
      </c>
      <c r="CP1035" s="1" t="s">
        <v>219</v>
      </c>
      <c r="CQ1035" s="1" t="s">
        <v>220</v>
      </c>
      <c r="CS1035" s="1" t="s">
        <v>378</v>
      </c>
      <c r="CT1035" s="1" t="s">
        <v>219</v>
      </c>
      <c r="CX1035" s="1" t="s">
        <v>224</v>
      </c>
      <c r="DB1035" s="1" t="s">
        <v>224</v>
      </c>
      <c r="DE1035" s="1" t="s">
        <v>1133</v>
      </c>
      <c r="DF1035" s="1" t="s">
        <v>219</v>
      </c>
      <c r="DG1035" s="1" t="s">
        <v>226</v>
      </c>
      <c r="DJ1035" s="1" t="s">
        <v>224</v>
      </c>
      <c r="DS1035" s="1" t="s">
        <v>230</v>
      </c>
      <c r="DW1035" s="1" t="s">
        <v>230</v>
      </c>
      <c r="EA1035" s="1" t="s">
        <v>230</v>
      </c>
      <c r="EE1035" s="1" t="s">
        <v>230</v>
      </c>
      <c r="EI1035" s="1" t="s">
        <v>230</v>
      </c>
      <c r="EL1035" s="1" t="s">
        <v>542</v>
      </c>
      <c r="EM1035" s="1" t="s">
        <v>232</v>
      </c>
      <c r="EN1035" s="1" t="s">
        <v>282</v>
      </c>
      <c r="EO1035" s="1" t="s">
        <v>840</v>
      </c>
      <c r="ER1035" s="1" t="s">
        <v>210</v>
      </c>
      <c r="EW1035" s="1" t="s">
        <v>7194</v>
      </c>
      <c r="EZ1035" s="1" t="s">
        <v>287</v>
      </c>
      <c r="FD1035" s="1" t="s">
        <v>246</v>
      </c>
      <c r="FE1035" s="1" t="s">
        <v>247</v>
      </c>
      <c r="FF1035" s="1" t="s">
        <v>248</v>
      </c>
      <c r="FG1035" s="1" t="s">
        <v>912</v>
      </c>
      <c r="FH1035" s="1" t="s">
        <v>249</v>
      </c>
      <c r="FL1035" s="1" t="s">
        <v>358</v>
      </c>
      <c r="FM1035" s="1" t="s">
        <v>252</v>
      </c>
      <c r="FN1035" s="1" t="s">
        <v>213</v>
      </c>
      <c r="FO1035" s="1" t="s">
        <v>213</v>
      </c>
      <c r="FQ1035" s="1" t="s">
        <v>689</v>
      </c>
      <c r="FR1035" s="1" t="s">
        <v>210</v>
      </c>
      <c r="FS1035" s="1" t="s">
        <v>11107</v>
      </c>
      <c r="FT1035" s="1" t="s">
        <v>584</v>
      </c>
      <c r="FU1035" s="1" t="s">
        <v>204</v>
      </c>
      <c r="FW1035" s="1" t="s">
        <v>11108</v>
      </c>
      <c r="FX1035" s="1">
        <v>17497</v>
      </c>
      <c r="FY1035" s="1" t="s">
        <v>11109</v>
      </c>
      <c r="FZ1035" s="1" t="s">
        <v>11110</v>
      </c>
      <c r="GA1035" s="1">
        <v>131652</v>
      </c>
      <c r="GB1035" s="1" t="s">
        <v>11111</v>
      </c>
      <c r="GE1035" s="1" t="s">
        <v>210</v>
      </c>
      <c r="GI1035" s="1" t="s">
        <v>213</v>
      </c>
      <c r="GJ1035" s="1" t="s">
        <v>260</v>
      </c>
      <c r="GK1035" s="1" t="s">
        <v>210</v>
      </c>
      <c r="GL1035" s="2">
        <v>42110</v>
      </c>
      <c r="GM1035" s="1" t="s">
        <v>11112</v>
      </c>
    </row>
    <row r="1036" spans="1:195">
      <c r="A1036" s="1">
        <v>90000</v>
      </c>
      <c r="B1036" s="1" t="s">
        <v>195</v>
      </c>
      <c r="C1036" s="1" t="str">
        <f>"08838357"</f>
        <v>08838357</v>
      </c>
      <c r="D1036" s="1" t="s">
        <v>196</v>
      </c>
      <c r="F1036" s="1" t="str">
        <f>"137"</f>
        <v>137</v>
      </c>
      <c r="G1036" s="2">
        <v>42048</v>
      </c>
      <c r="H1036" s="1">
        <v>100000</v>
      </c>
      <c r="I1036" s="1">
        <v>100000</v>
      </c>
      <c r="J1036" s="1">
        <v>90000</v>
      </c>
      <c r="K1036" s="2">
        <v>42048</v>
      </c>
      <c r="L1036" s="1">
        <v>12</v>
      </c>
      <c r="M1036" s="2">
        <v>42059</v>
      </c>
      <c r="N1036" s="1">
        <v>12</v>
      </c>
      <c r="O1036" s="2">
        <v>42059</v>
      </c>
      <c r="P1036" s="1">
        <v>25003</v>
      </c>
      <c r="Q1036" s="1" t="s">
        <v>302</v>
      </c>
      <c r="R1036" s="2">
        <v>42129</v>
      </c>
      <c r="S1036" s="1">
        <v>216886</v>
      </c>
      <c r="T1036" s="1">
        <v>1000</v>
      </c>
      <c r="U1036" s="1">
        <v>450</v>
      </c>
      <c r="V1036" s="1" t="s">
        <v>1101</v>
      </c>
      <c r="W1036" s="1" t="s">
        <v>304</v>
      </c>
      <c r="X1036" s="1" t="s">
        <v>369</v>
      </c>
      <c r="Y1036" s="1">
        <v>48</v>
      </c>
      <c r="Z1036" s="1" t="s">
        <v>249</v>
      </c>
      <c r="AA1036" s="1" t="s">
        <v>201</v>
      </c>
      <c r="AB1036" s="1">
        <v>60137</v>
      </c>
      <c r="AE1036" s="1" t="s">
        <v>11113</v>
      </c>
      <c r="AF1036" s="1">
        <v>1971</v>
      </c>
      <c r="AG1036" s="1" t="s">
        <v>213</v>
      </c>
      <c r="AH1036" s="1" t="s">
        <v>205</v>
      </c>
      <c r="AI1036" s="1" t="s">
        <v>206</v>
      </c>
      <c r="AJ1036" s="1" t="s">
        <v>207</v>
      </c>
      <c r="AL1036" s="1">
        <v>5</v>
      </c>
      <c r="AM1036" s="1">
        <v>2</v>
      </c>
      <c r="AN1036" s="1">
        <v>2</v>
      </c>
      <c r="AO1036" s="1">
        <v>0</v>
      </c>
      <c r="AP1036" s="1" t="s">
        <v>209</v>
      </c>
      <c r="AQ1036" s="1">
        <v>0</v>
      </c>
      <c r="AR1036" s="1" t="s">
        <v>210</v>
      </c>
      <c r="AT1036" s="1" t="s">
        <v>271</v>
      </c>
      <c r="AV1036" s="1">
        <v>2</v>
      </c>
      <c r="AW1036" s="1" t="s">
        <v>204</v>
      </c>
      <c r="AX1036" s="1" t="s">
        <v>212</v>
      </c>
      <c r="AZ1036" s="3">
        <v>2542</v>
      </c>
      <c r="BA1036" s="1">
        <v>2013</v>
      </c>
      <c r="BE1036" s="1">
        <v>1300</v>
      </c>
      <c r="BF1036" s="1">
        <v>2</v>
      </c>
      <c r="BG1036" s="1">
        <v>0</v>
      </c>
      <c r="BL1036" s="1">
        <v>303</v>
      </c>
      <c r="BM1036" s="1" t="s">
        <v>204</v>
      </c>
      <c r="BN1036" s="1" t="s">
        <v>204</v>
      </c>
      <c r="BP1036" s="1" t="s">
        <v>204</v>
      </c>
      <c r="BR1036" s="1" t="str">
        <f>"0523321088"</f>
        <v>0523321088</v>
      </c>
      <c r="BT1036" s="1" t="s">
        <v>11114</v>
      </c>
      <c r="BX1036" s="1">
        <v>89</v>
      </c>
      <c r="BY1036" s="1">
        <v>89</v>
      </c>
      <c r="BZ1036" s="1">
        <v>87</v>
      </c>
      <c r="CB1036" s="1" t="str">
        <f t="shared" ref="CB1036:CC1036" si="798">""</f>
        <v/>
      </c>
      <c r="CC1036" s="1" t="str">
        <f t="shared" si="798"/>
        <v/>
      </c>
      <c r="CG1036" s="1" t="s">
        <v>228</v>
      </c>
      <c r="CH1036" s="1" t="s">
        <v>219</v>
      </c>
      <c r="CK1036" s="1" t="s">
        <v>757</v>
      </c>
      <c r="CL1036" s="1" t="s">
        <v>219</v>
      </c>
      <c r="CO1036" s="1" t="s">
        <v>379</v>
      </c>
      <c r="CP1036" s="1" t="s">
        <v>219</v>
      </c>
      <c r="CS1036" s="1" t="s">
        <v>378</v>
      </c>
      <c r="CT1036" s="1" t="s">
        <v>219</v>
      </c>
      <c r="CX1036" s="1" t="s">
        <v>224</v>
      </c>
      <c r="DB1036" s="1" t="s">
        <v>224</v>
      </c>
      <c r="DE1036" s="1" t="s">
        <v>378</v>
      </c>
      <c r="DF1036" s="1" t="s">
        <v>219</v>
      </c>
      <c r="DJ1036" s="1" t="s">
        <v>224</v>
      </c>
      <c r="DS1036" s="1" t="s">
        <v>230</v>
      </c>
      <c r="DW1036" s="1" t="s">
        <v>230</v>
      </c>
      <c r="EA1036" s="1" t="s">
        <v>230</v>
      </c>
      <c r="EE1036" s="1" t="s">
        <v>230</v>
      </c>
      <c r="EI1036" s="1" t="s">
        <v>230</v>
      </c>
      <c r="EL1036" s="1" t="s">
        <v>605</v>
      </c>
      <c r="EM1036" s="1" t="s">
        <v>319</v>
      </c>
      <c r="EN1036" s="1" t="s">
        <v>282</v>
      </c>
      <c r="EO1036" s="1" t="s">
        <v>234</v>
      </c>
      <c r="ER1036" s="1" t="s">
        <v>210</v>
      </c>
      <c r="EV1036" s="1" t="s">
        <v>324</v>
      </c>
      <c r="EW1036" s="1" t="s">
        <v>11115</v>
      </c>
      <c r="EZ1036" s="1" t="s">
        <v>287</v>
      </c>
      <c r="FB1036" s="1" t="s">
        <v>244</v>
      </c>
      <c r="FD1036" s="1" t="s">
        <v>1112</v>
      </c>
      <c r="FE1036" s="1" t="s">
        <v>247</v>
      </c>
      <c r="FF1036" s="1" t="s">
        <v>248</v>
      </c>
      <c r="FH1036" s="1" t="s">
        <v>249</v>
      </c>
      <c r="FK1036" s="1" t="s">
        <v>891</v>
      </c>
      <c r="FL1036" s="1" t="s">
        <v>358</v>
      </c>
      <c r="FM1036" s="1" t="s">
        <v>252</v>
      </c>
      <c r="FN1036" s="1" t="s">
        <v>213</v>
      </c>
      <c r="FO1036" s="1" t="s">
        <v>213</v>
      </c>
      <c r="FQ1036" s="1" t="s">
        <v>689</v>
      </c>
      <c r="FR1036" s="1" t="s">
        <v>652</v>
      </c>
      <c r="FS1036" s="1" t="s">
        <v>6634</v>
      </c>
      <c r="FT1036" s="1" t="s">
        <v>295</v>
      </c>
      <c r="FU1036" s="1" t="s">
        <v>204</v>
      </c>
      <c r="FW1036" s="1" t="s">
        <v>1857</v>
      </c>
      <c r="FX1036" s="1">
        <v>22993</v>
      </c>
      <c r="FY1036" s="1" t="s">
        <v>1858</v>
      </c>
      <c r="FZ1036" s="1" t="s">
        <v>1859</v>
      </c>
      <c r="GA1036" s="1">
        <v>233401</v>
      </c>
      <c r="GB1036" s="1" t="s">
        <v>1858</v>
      </c>
      <c r="GD1036" s="1" t="s">
        <v>1860</v>
      </c>
      <c r="GE1036" s="1" t="s">
        <v>1145</v>
      </c>
      <c r="GI1036" s="1" t="s">
        <v>213</v>
      </c>
      <c r="GJ1036" s="1" t="s">
        <v>260</v>
      </c>
      <c r="GK1036" s="1" t="s">
        <v>210</v>
      </c>
      <c r="GL1036" s="2">
        <v>42129</v>
      </c>
      <c r="GM1036" s="1" t="s">
        <v>11116</v>
      </c>
    </row>
    <row r="1037" spans="1:195">
      <c r="A1037" s="1">
        <v>176500</v>
      </c>
      <c r="B1037" s="1" t="s">
        <v>195</v>
      </c>
      <c r="C1037" s="1" t="str">
        <f>"08840319"</f>
        <v>08840319</v>
      </c>
      <c r="D1037" s="1" t="s">
        <v>196</v>
      </c>
      <c r="F1037" s="1" t="str">
        <f>"542"</f>
        <v>542</v>
      </c>
      <c r="G1037" s="2">
        <v>42052</v>
      </c>
      <c r="H1037" s="1">
        <v>180000</v>
      </c>
      <c r="I1037" s="1">
        <v>180000</v>
      </c>
      <c r="J1037" s="1">
        <v>176500</v>
      </c>
      <c r="K1037" s="2">
        <v>42052</v>
      </c>
      <c r="L1037" s="1">
        <v>16</v>
      </c>
      <c r="M1037" s="2">
        <v>42067</v>
      </c>
      <c r="N1037" s="1">
        <v>16</v>
      </c>
      <c r="O1037" s="2">
        <v>42067</v>
      </c>
      <c r="P1037" s="1">
        <v>771</v>
      </c>
      <c r="Q1037" s="1" t="s">
        <v>197</v>
      </c>
      <c r="R1037" s="2">
        <v>42130</v>
      </c>
      <c r="S1037" s="1">
        <v>313</v>
      </c>
      <c r="U1037" s="1">
        <v>40</v>
      </c>
      <c r="V1037" s="1" t="s">
        <v>4587</v>
      </c>
      <c r="W1037" s="1" t="s">
        <v>264</v>
      </c>
      <c r="Y1037" s="1">
        <v>2</v>
      </c>
      <c r="Z1037" s="1" t="s">
        <v>370</v>
      </c>
      <c r="AA1037" s="1" t="s">
        <v>6071</v>
      </c>
      <c r="AB1037" s="1">
        <v>60542</v>
      </c>
      <c r="AD1037" s="1" t="s">
        <v>11117</v>
      </c>
      <c r="AE1037" s="1" t="s">
        <v>11118</v>
      </c>
      <c r="AF1037" s="1">
        <v>2003</v>
      </c>
      <c r="AG1037" s="1" t="s">
        <v>204</v>
      </c>
      <c r="AH1037" s="1" t="s">
        <v>6074</v>
      </c>
      <c r="AI1037" s="1" t="s">
        <v>665</v>
      </c>
      <c r="AJ1037" s="1" t="s">
        <v>1126</v>
      </c>
      <c r="AL1037" s="1">
        <v>5</v>
      </c>
      <c r="AM1037" s="1">
        <v>2</v>
      </c>
      <c r="AN1037" s="1">
        <v>2</v>
      </c>
      <c r="AO1037" s="1">
        <v>0</v>
      </c>
      <c r="AP1037" s="1" t="s">
        <v>209</v>
      </c>
      <c r="AR1037" s="1" t="s">
        <v>209</v>
      </c>
      <c r="AS1037" s="1" t="s">
        <v>204</v>
      </c>
      <c r="AT1037" s="1" t="s">
        <v>211</v>
      </c>
      <c r="AU1037" s="1">
        <v>2</v>
      </c>
      <c r="AW1037" s="1" t="s">
        <v>204</v>
      </c>
      <c r="AX1037" s="1" t="s">
        <v>11119</v>
      </c>
      <c r="AZ1037" s="1">
        <v>4447.3</v>
      </c>
      <c r="BA1037" s="1">
        <v>2013</v>
      </c>
      <c r="BB1037" s="1" t="s">
        <v>405</v>
      </c>
      <c r="BE1037" s="1">
        <v>1506</v>
      </c>
      <c r="BF1037" s="1">
        <v>1</v>
      </c>
      <c r="BG1037" s="1">
        <v>0</v>
      </c>
      <c r="BL1037" s="1">
        <v>65</v>
      </c>
      <c r="BM1037" s="1" t="s">
        <v>213</v>
      </c>
      <c r="BN1037" s="1" t="s">
        <v>213</v>
      </c>
      <c r="BO1037" s="1">
        <v>99</v>
      </c>
      <c r="BP1037" s="1" t="s">
        <v>204</v>
      </c>
      <c r="BR1037" s="1" t="str">
        <f>"1505283031"</f>
        <v>1505283031</v>
      </c>
      <c r="BT1037" s="1" t="s">
        <v>11120</v>
      </c>
      <c r="BX1037" s="1">
        <v>129</v>
      </c>
      <c r="BY1037" s="1">
        <v>129</v>
      </c>
      <c r="BZ1037" s="1">
        <v>129</v>
      </c>
      <c r="CB1037" s="1" t="str">
        <f t="shared" ref="CB1037:CC1037" si="799">""</f>
        <v/>
      </c>
      <c r="CC1037" s="1" t="str">
        <f t="shared" si="799"/>
        <v/>
      </c>
      <c r="CG1037" s="1" t="s">
        <v>564</v>
      </c>
      <c r="CH1037" s="1" t="s">
        <v>219</v>
      </c>
      <c r="CI1037" s="1" t="s">
        <v>220</v>
      </c>
      <c r="CJ1037" s="1" t="s">
        <v>343</v>
      </c>
      <c r="CK1037" s="1" t="s">
        <v>1737</v>
      </c>
      <c r="CL1037" s="1" t="s">
        <v>219</v>
      </c>
      <c r="CM1037" s="1" t="s">
        <v>220</v>
      </c>
      <c r="CN1037" s="1" t="s">
        <v>343</v>
      </c>
      <c r="CO1037" s="1" t="s">
        <v>378</v>
      </c>
      <c r="CP1037" s="1" t="s">
        <v>219</v>
      </c>
      <c r="CQ1037" s="1" t="s">
        <v>220</v>
      </c>
      <c r="CR1037" s="1" t="s">
        <v>343</v>
      </c>
      <c r="CS1037" s="1" t="s">
        <v>539</v>
      </c>
      <c r="CT1037" s="1" t="s">
        <v>219</v>
      </c>
      <c r="CU1037" s="1" t="s">
        <v>220</v>
      </c>
      <c r="CV1037" s="1" t="s">
        <v>343</v>
      </c>
      <c r="CX1037" s="1" t="s">
        <v>224</v>
      </c>
      <c r="DB1037" s="1" t="s">
        <v>224</v>
      </c>
      <c r="DE1037" s="1" t="s">
        <v>278</v>
      </c>
      <c r="DF1037" s="1" t="s">
        <v>219</v>
      </c>
      <c r="DG1037" s="1" t="s">
        <v>342</v>
      </c>
      <c r="DH1037" s="1" t="s">
        <v>343</v>
      </c>
      <c r="DJ1037" s="1" t="s">
        <v>224</v>
      </c>
      <c r="DS1037" s="1" t="s">
        <v>230</v>
      </c>
      <c r="DW1037" s="1" t="s">
        <v>230</v>
      </c>
      <c r="EA1037" s="1" t="s">
        <v>230</v>
      </c>
      <c r="EE1037" s="1" t="s">
        <v>230</v>
      </c>
      <c r="EI1037" s="1" t="s">
        <v>230</v>
      </c>
      <c r="EL1037" s="1" t="s">
        <v>466</v>
      </c>
      <c r="EM1037" s="1" t="s">
        <v>319</v>
      </c>
      <c r="EN1037" s="1" t="s">
        <v>282</v>
      </c>
      <c r="EO1037" s="1" t="s">
        <v>234</v>
      </c>
      <c r="EQ1037" s="1" t="s">
        <v>1094</v>
      </c>
      <c r="ER1037" s="1" t="s">
        <v>11121</v>
      </c>
      <c r="ES1037" s="1" t="s">
        <v>824</v>
      </c>
      <c r="ET1037" s="1" t="s">
        <v>609</v>
      </c>
      <c r="EV1037" s="1" t="s">
        <v>240</v>
      </c>
      <c r="EW1037" s="1" t="s">
        <v>347</v>
      </c>
      <c r="EY1037" s="1" t="s">
        <v>242</v>
      </c>
      <c r="EZ1037" s="1" t="s">
        <v>287</v>
      </c>
      <c r="FA1037" s="1" t="s">
        <v>6559</v>
      </c>
      <c r="FD1037" s="1" t="s">
        <v>246</v>
      </c>
      <c r="FE1037" s="1" t="s">
        <v>472</v>
      </c>
      <c r="FF1037" s="1" t="s">
        <v>248</v>
      </c>
      <c r="FH1037" s="1" t="s">
        <v>442</v>
      </c>
      <c r="FI1037" s="1" t="s">
        <v>357</v>
      </c>
      <c r="FJ1037" s="1" t="s">
        <v>1251</v>
      </c>
      <c r="FL1037" s="1" t="s">
        <v>358</v>
      </c>
      <c r="FM1037" s="1" t="s">
        <v>252</v>
      </c>
      <c r="FN1037" s="1" t="s">
        <v>213</v>
      </c>
      <c r="FO1037" s="1" t="s">
        <v>213</v>
      </c>
      <c r="FQ1037" s="1" t="s">
        <v>793</v>
      </c>
      <c r="FR1037" s="1" t="s">
        <v>210</v>
      </c>
      <c r="FS1037" s="1" t="s">
        <v>11122</v>
      </c>
      <c r="FT1037" s="1" t="s">
        <v>1408</v>
      </c>
      <c r="FU1037" s="1" t="s">
        <v>204</v>
      </c>
      <c r="FW1037" s="1" t="s">
        <v>676</v>
      </c>
      <c r="FX1037" s="1">
        <v>30</v>
      </c>
      <c r="FY1037" s="1" t="s">
        <v>677</v>
      </c>
      <c r="FZ1037" s="1" t="s">
        <v>11123</v>
      </c>
      <c r="GA1037" s="1">
        <v>607</v>
      </c>
      <c r="GB1037" s="1" t="s">
        <v>11124</v>
      </c>
      <c r="GE1037" s="1" t="s">
        <v>623</v>
      </c>
      <c r="GH1037" s="1" t="s">
        <v>421</v>
      </c>
      <c r="GI1037" s="1" t="s">
        <v>213</v>
      </c>
      <c r="GJ1037" s="1" t="s">
        <v>260</v>
      </c>
      <c r="GK1037" s="1" t="s">
        <v>210</v>
      </c>
      <c r="GL1037" s="2">
        <v>42142</v>
      </c>
      <c r="GM1037" s="1" t="s">
        <v>11125</v>
      </c>
    </row>
    <row r="1038" spans="1:195">
      <c r="A1038" s="1">
        <v>192500</v>
      </c>
      <c r="B1038" s="1" t="s">
        <v>195</v>
      </c>
      <c r="C1038" s="1" t="str">
        <f>"08837641"</f>
        <v>08837641</v>
      </c>
      <c r="D1038" s="1" t="s">
        <v>196</v>
      </c>
      <c r="F1038" s="1" t="str">
        <f>"143"</f>
        <v>143</v>
      </c>
      <c r="G1038" s="2">
        <v>42047</v>
      </c>
      <c r="H1038" s="1">
        <v>199900</v>
      </c>
      <c r="I1038" s="1">
        <v>199900</v>
      </c>
      <c r="J1038" s="1">
        <v>192500</v>
      </c>
      <c r="K1038" s="2">
        <v>42047</v>
      </c>
      <c r="L1038" s="1">
        <v>30</v>
      </c>
      <c r="M1038" s="2">
        <v>42076</v>
      </c>
      <c r="N1038" s="1">
        <v>30</v>
      </c>
      <c r="O1038" s="2">
        <v>42076</v>
      </c>
      <c r="P1038" s="1">
        <v>8969</v>
      </c>
      <c r="Q1038" s="1" t="s">
        <v>302</v>
      </c>
      <c r="R1038" s="2">
        <v>42109</v>
      </c>
      <c r="S1038" s="1">
        <v>82280</v>
      </c>
      <c r="U1038" s="1">
        <v>210</v>
      </c>
      <c r="V1038" s="1" t="s">
        <v>11126</v>
      </c>
      <c r="Y1038" s="1">
        <v>4</v>
      </c>
      <c r="Z1038" s="1" t="s">
        <v>370</v>
      </c>
      <c r="AA1038" s="1" t="s">
        <v>7871</v>
      </c>
      <c r="AB1038" s="1">
        <v>60143</v>
      </c>
      <c r="AD1038" s="1" t="s">
        <v>11127</v>
      </c>
      <c r="AE1038" s="1" t="s">
        <v>11128</v>
      </c>
      <c r="AF1038" s="1">
        <v>1994</v>
      </c>
      <c r="AG1038" s="1" t="s">
        <v>204</v>
      </c>
      <c r="AH1038" s="1" t="s">
        <v>7873</v>
      </c>
      <c r="AI1038" s="1" t="s">
        <v>206</v>
      </c>
      <c r="AJ1038" s="1" t="s">
        <v>1233</v>
      </c>
      <c r="AL1038" s="1">
        <v>5</v>
      </c>
      <c r="AM1038" s="1">
        <v>2</v>
      </c>
      <c r="AN1038" s="1">
        <v>1</v>
      </c>
      <c r="AO1038" s="1">
        <v>0</v>
      </c>
      <c r="AP1038" s="1" t="s">
        <v>210</v>
      </c>
      <c r="AR1038" s="1" t="s">
        <v>210</v>
      </c>
      <c r="AS1038" s="1" t="s">
        <v>204</v>
      </c>
      <c r="AT1038" s="1" t="s">
        <v>211</v>
      </c>
      <c r="AU1038" s="1">
        <v>2</v>
      </c>
      <c r="AW1038" s="1" t="s">
        <v>204</v>
      </c>
      <c r="AX1038" s="1">
        <v>4826</v>
      </c>
      <c r="AZ1038" s="1">
        <v>3332.02</v>
      </c>
      <c r="BA1038" s="1">
        <v>2013</v>
      </c>
      <c r="BB1038" s="1" t="s">
        <v>405</v>
      </c>
      <c r="BE1038" s="1">
        <v>1000</v>
      </c>
      <c r="BF1038" s="1">
        <v>1</v>
      </c>
      <c r="BG1038" s="1">
        <v>0</v>
      </c>
      <c r="BL1038" s="1">
        <v>188</v>
      </c>
      <c r="BM1038" s="1" t="s">
        <v>204</v>
      </c>
      <c r="BN1038" s="1" t="s">
        <v>213</v>
      </c>
      <c r="BO1038" s="1">
        <v>99</v>
      </c>
      <c r="BP1038" s="1" t="s">
        <v>204</v>
      </c>
      <c r="BR1038" s="1" t="str">
        <f>"0305313013"</f>
        <v>0305313013</v>
      </c>
      <c r="BT1038" s="1" t="s">
        <v>11129</v>
      </c>
      <c r="BU1038" s="1" t="s">
        <v>11130</v>
      </c>
      <c r="BV1038" s="1" t="s">
        <v>7877</v>
      </c>
      <c r="BW1038" s="1" t="s">
        <v>275</v>
      </c>
      <c r="BX1038" s="1">
        <v>10</v>
      </c>
      <c r="BY1038" s="1">
        <v>10</v>
      </c>
      <c r="BZ1038" s="1">
        <v>108</v>
      </c>
      <c r="CB1038" s="1" t="str">
        <f t="shared" ref="CB1038:CC1038" si="800">""</f>
        <v/>
      </c>
      <c r="CC1038" s="1" t="str">
        <f t="shared" si="800"/>
        <v/>
      </c>
      <c r="CG1038" s="1" t="s">
        <v>885</v>
      </c>
      <c r="CH1038" s="1" t="s">
        <v>219</v>
      </c>
      <c r="CI1038" s="1" t="s">
        <v>438</v>
      </c>
      <c r="CK1038" s="1" t="s">
        <v>278</v>
      </c>
      <c r="CL1038" s="1" t="s">
        <v>219</v>
      </c>
      <c r="CM1038" s="1" t="s">
        <v>438</v>
      </c>
      <c r="CO1038" s="1" t="s">
        <v>346</v>
      </c>
      <c r="CP1038" s="1" t="s">
        <v>219</v>
      </c>
      <c r="CQ1038" s="1" t="s">
        <v>438</v>
      </c>
      <c r="CS1038" s="1" t="s">
        <v>318</v>
      </c>
      <c r="CT1038" s="1" t="s">
        <v>219</v>
      </c>
      <c r="CU1038" s="1" t="s">
        <v>438</v>
      </c>
      <c r="CX1038" s="1" t="s">
        <v>224</v>
      </c>
      <c r="DB1038" s="1" t="s">
        <v>224</v>
      </c>
      <c r="DE1038" s="1" t="s">
        <v>539</v>
      </c>
      <c r="DF1038" s="1" t="s">
        <v>219</v>
      </c>
      <c r="DG1038" s="1" t="s">
        <v>342</v>
      </c>
      <c r="DJ1038" s="1" t="s">
        <v>224</v>
      </c>
      <c r="DS1038" s="1" t="s">
        <v>230</v>
      </c>
      <c r="DW1038" s="1" t="s">
        <v>230</v>
      </c>
      <c r="EA1038" s="1" t="s">
        <v>230</v>
      </c>
      <c r="EE1038" s="1" t="s">
        <v>230</v>
      </c>
      <c r="EI1038" s="1" t="s">
        <v>230</v>
      </c>
      <c r="EL1038" s="1" t="s">
        <v>382</v>
      </c>
      <c r="EM1038" s="1" t="s">
        <v>232</v>
      </c>
      <c r="EN1038" s="1" t="s">
        <v>282</v>
      </c>
      <c r="EO1038" s="1" t="s">
        <v>234</v>
      </c>
      <c r="EQ1038" s="1" t="s">
        <v>11131</v>
      </c>
      <c r="ER1038" s="1" t="s">
        <v>383</v>
      </c>
      <c r="ES1038" s="1" t="s">
        <v>1552</v>
      </c>
      <c r="EU1038" s="1" t="s">
        <v>285</v>
      </c>
      <c r="EV1038" s="1" t="s">
        <v>352</v>
      </c>
      <c r="EW1038" s="1" t="s">
        <v>353</v>
      </c>
      <c r="EZ1038" s="1" t="s">
        <v>287</v>
      </c>
      <c r="FA1038" s="1" t="s">
        <v>1072</v>
      </c>
      <c r="FD1038" s="1" t="s">
        <v>246</v>
      </c>
      <c r="FE1038" s="1" t="s">
        <v>1031</v>
      </c>
      <c r="FF1038" s="1" t="s">
        <v>3103</v>
      </c>
      <c r="FH1038" s="1" t="s">
        <v>1205</v>
      </c>
      <c r="FJ1038" s="1" t="s">
        <v>1251</v>
      </c>
      <c r="FL1038" s="1" t="s">
        <v>358</v>
      </c>
      <c r="FM1038" s="1" t="s">
        <v>252</v>
      </c>
      <c r="FN1038" s="1" t="s">
        <v>213</v>
      </c>
      <c r="FO1038" s="1" t="s">
        <v>213</v>
      </c>
      <c r="FQ1038" s="1" t="s">
        <v>4594</v>
      </c>
      <c r="FR1038" s="1" t="s">
        <v>652</v>
      </c>
      <c r="FS1038" s="1" t="s">
        <v>11132</v>
      </c>
      <c r="FT1038" s="1" t="s">
        <v>295</v>
      </c>
      <c r="FU1038" s="1" t="s">
        <v>204</v>
      </c>
      <c r="FW1038" s="1" t="s">
        <v>4596</v>
      </c>
      <c r="FX1038" s="1">
        <v>8969</v>
      </c>
      <c r="FY1038" s="1" t="s">
        <v>4597</v>
      </c>
      <c r="FZ1038" s="1" t="s">
        <v>4598</v>
      </c>
      <c r="GA1038" s="1">
        <v>82280</v>
      </c>
      <c r="GB1038" s="1" t="s">
        <v>4599</v>
      </c>
      <c r="GE1038" s="1" t="s">
        <v>210</v>
      </c>
      <c r="GI1038" s="1" t="s">
        <v>213</v>
      </c>
      <c r="GJ1038" s="1" t="s">
        <v>260</v>
      </c>
      <c r="GK1038" s="1" t="s">
        <v>210</v>
      </c>
      <c r="GL1038" s="2">
        <v>42109</v>
      </c>
      <c r="GM1038" s="1" t="s">
        <v>11133</v>
      </c>
    </row>
    <row r="1039" spans="1:195">
      <c r="A1039" s="1">
        <v>16500</v>
      </c>
      <c r="B1039" s="1" t="s">
        <v>195</v>
      </c>
      <c r="C1039" s="1" t="str">
        <f>"08837625"</f>
        <v>08837625</v>
      </c>
      <c r="D1039" s="1" t="s">
        <v>196</v>
      </c>
      <c r="F1039" s="1" t="str">
        <f>"8071"</f>
        <v>8071</v>
      </c>
      <c r="G1039" s="2">
        <v>42047</v>
      </c>
      <c r="H1039" s="1">
        <v>14000</v>
      </c>
      <c r="I1039" s="1">
        <v>14000</v>
      </c>
      <c r="J1039" s="1">
        <v>16500</v>
      </c>
      <c r="K1039" s="2">
        <v>42047</v>
      </c>
      <c r="L1039" s="1">
        <v>57</v>
      </c>
      <c r="M1039" s="2">
        <v>42103</v>
      </c>
      <c r="N1039" s="1">
        <v>57</v>
      </c>
      <c r="O1039" s="2">
        <v>42103</v>
      </c>
      <c r="P1039" s="1">
        <v>12278</v>
      </c>
      <c r="Q1039" s="1" t="s">
        <v>302</v>
      </c>
      <c r="R1039" s="2">
        <v>42118</v>
      </c>
      <c r="S1039" s="1">
        <v>119957</v>
      </c>
      <c r="U1039" s="1">
        <v>8720</v>
      </c>
      <c r="V1039" s="1" t="s">
        <v>11134</v>
      </c>
      <c r="W1039" s="1" t="s">
        <v>425</v>
      </c>
      <c r="X1039" s="1" t="s">
        <v>11135</v>
      </c>
      <c r="Y1039" s="1">
        <v>38</v>
      </c>
      <c r="Z1039" s="1" t="s">
        <v>370</v>
      </c>
      <c r="AA1039" s="1" t="s">
        <v>400</v>
      </c>
      <c r="AB1039" s="1">
        <v>60620</v>
      </c>
      <c r="AE1039" s="1" t="s">
        <v>11136</v>
      </c>
      <c r="AF1039" s="1" t="s">
        <v>402</v>
      </c>
      <c r="AG1039" s="1" t="s">
        <v>204</v>
      </c>
      <c r="AH1039" s="1" t="s">
        <v>403</v>
      </c>
      <c r="AI1039" s="1" t="s">
        <v>310</v>
      </c>
      <c r="AJ1039" s="1" t="s">
        <v>404</v>
      </c>
      <c r="AL1039" s="1">
        <v>5</v>
      </c>
      <c r="AM1039" s="1">
        <v>2</v>
      </c>
      <c r="AN1039" s="1">
        <v>1</v>
      </c>
      <c r="AO1039" s="1">
        <v>0</v>
      </c>
      <c r="AP1039" s="1" t="s">
        <v>210</v>
      </c>
      <c r="AR1039" s="1" t="s">
        <v>210</v>
      </c>
      <c r="AS1039" s="1" t="s">
        <v>204</v>
      </c>
      <c r="AT1039" s="1" t="s">
        <v>210</v>
      </c>
      <c r="AW1039" s="1" t="s">
        <v>204</v>
      </c>
      <c r="AX1039" s="1" t="s">
        <v>212</v>
      </c>
      <c r="AZ1039" s="1">
        <v>352</v>
      </c>
      <c r="BA1039" s="1">
        <v>2013</v>
      </c>
      <c r="BE1039" s="1">
        <v>800</v>
      </c>
      <c r="BF1039" s="1">
        <v>2</v>
      </c>
      <c r="BG1039" s="1">
        <v>0</v>
      </c>
      <c r="BL1039" s="1">
        <v>175</v>
      </c>
      <c r="BM1039" s="1" t="s">
        <v>204</v>
      </c>
      <c r="BN1039" s="1" t="s">
        <v>204</v>
      </c>
      <c r="BP1039" s="1" t="s">
        <v>204</v>
      </c>
      <c r="BR1039" s="1" t="str">
        <f>"25062060471031"</f>
        <v>25062060471031</v>
      </c>
      <c r="BT1039" s="1" t="s">
        <v>11137</v>
      </c>
      <c r="BX1039" s="1">
        <v>299</v>
      </c>
      <c r="BY1039" s="1">
        <v>299</v>
      </c>
      <c r="BZ1039" s="1">
        <v>299</v>
      </c>
      <c r="CB1039" s="1" t="str">
        <f t="shared" ref="CB1039:CC1039" si="801">"0"</f>
        <v>0</v>
      </c>
      <c r="CC1039" s="1" t="str">
        <f t="shared" si="801"/>
        <v>0</v>
      </c>
      <c r="CD1039" s="1">
        <v>1600</v>
      </c>
      <c r="CE1039" s="1">
        <v>8720</v>
      </c>
      <c r="CG1039" s="1" t="s">
        <v>437</v>
      </c>
      <c r="CH1039" s="1" t="s">
        <v>219</v>
      </c>
      <c r="CK1039" s="1" t="s">
        <v>346</v>
      </c>
      <c r="CL1039" s="1" t="s">
        <v>219</v>
      </c>
      <c r="CO1039" s="1" t="s">
        <v>1046</v>
      </c>
      <c r="CP1039" s="1" t="s">
        <v>219</v>
      </c>
      <c r="CS1039" s="1" t="s">
        <v>318</v>
      </c>
      <c r="CT1039" s="1" t="s">
        <v>219</v>
      </c>
      <c r="CX1039" s="1" t="s">
        <v>224</v>
      </c>
      <c r="DB1039" s="1" t="s">
        <v>224</v>
      </c>
      <c r="DE1039" s="1" t="s">
        <v>785</v>
      </c>
      <c r="DF1039" s="1" t="s">
        <v>219</v>
      </c>
      <c r="DJ1039" s="1" t="s">
        <v>224</v>
      </c>
      <c r="DS1039" s="1" t="s">
        <v>230</v>
      </c>
      <c r="DW1039" s="1" t="s">
        <v>230</v>
      </c>
      <c r="EA1039" s="1" t="s">
        <v>230</v>
      </c>
      <c r="EE1039" s="1" t="s">
        <v>230</v>
      </c>
      <c r="EI1039" s="1" t="s">
        <v>230</v>
      </c>
      <c r="EL1039" s="1" t="s">
        <v>605</v>
      </c>
      <c r="EM1039" s="1" t="s">
        <v>232</v>
      </c>
      <c r="EN1039" s="1" t="s">
        <v>210</v>
      </c>
      <c r="EO1039" s="1" t="s">
        <v>234</v>
      </c>
      <c r="ER1039" s="1" t="s">
        <v>210</v>
      </c>
      <c r="EW1039" s="1" t="s">
        <v>10169</v>
      </c>
      <c r="EZ1039" s="1" t="s">
        <v>287</v>
      </c>
      <c r="FD1039" s="1" t="s">
        <v>1112</v>
      </c>
      <c r="FE1039" s="1" t="s">
        <v>247</v>
      </c>
      <c r="FF1039" s="1" t="s">
        <v>387</v>
      </c>
      <c r="FH1039" s="1" t="s">
        <v>249</v>
      </c>
      <c r="FJ1039" s="1" t="s">
        <v>2046</v>
      </c>
      <c r="FL1039" s="1" t="s">
        <v>328</v>
      </c>
      <c r="FM1039" s="1" t="s">
        <v>252</v>
      </c>
      <c r="FN1039" s="1" t="s">
        <v>213</v>
      </c>
      <c r="FO1039" s="1" t="s">
        <v>213</v>
      </c>
      <c r="FQ1039" s="1" t="s">
        <v>2959</v>
      </c>
      <c r="FR1039" s="1" t="s">
        <v>210</v>
      </c>
      <c r="FS1039" s="1" t="s">
        <v>11138</v>
      </c>
      <c r="FT1039" s="1" t="s">
        <v>255</v>
      </c>
      <c r="FU1039" s="1" t="s">
        <v>204</v>
      </c>
      <c r="FW1039" s="1" t="s">
        <v>2961</v>
      </c>
      <c r="FX1039" s="1">
        <v>12278</v>
      </c>
      <c r="FY1039" s="1" t="s">
        <v>2962</v>
      </c>
      <c r="FZ1039" s="1" t="s">
        <v>2963</v>
      </c>
      <c r="GA1039" s="1">
        <v>119957</v>
      </c>
      <c r="GB1039" s="1" t="s">
        <v>2962</v>
      </c>
      <c r="GE1039" s="1" t="s">
        <v>210</v>
      </c>
      <c r="GH1039" s="1" t="s">
        <v>421</v>
      </c>
      <c r="GI1039" s="1" t="s">
        <v>213</v>
      </c>
      <c r="GJ1039" s="1" t="s">
        <v>260</v>
      </c>
      <c r="GK1039" s="1" t="s">
        <v>210</v>
      </c>
      <c r="GL1039" s="2">
        <v>42121</v>
      </c>
      <c r="GM1039" s="1" t="s">
        <v>11139</v>
      </c>
    </row>
    <row r="1040" spans="1:195">
      <c r="A1040" s="1">
        <v>179000</v>
      </c>
      <c r="B1040" s="1" t="s">
        <v>195</v>
      </c>
      <c r="C1040" s="1" t="str">
        <f>"08842427"</f>
        <v>08842427</v>
      </c>
      <c r="D1040" s="1" t="s">
        <v>196</v>
      </c>
      <c r="F1040" s="1" t="str">
        <f>"61"</f>
        <v>61</v>
      </c>
      <c r="G1040" s="2">
        <v>42054</v>
      </c>
      <c r="H1040" s="1">
        <v>189000</v>
      </c>
      <c r="I1040" s="1">
        <v>189000</v>
      </c>
      <c r="J1040" s="1">
        <v>179000</v>
      </c>
      <c r="K1040" s="2">
        <v>42054</v>
      </c>
      <c r="L1040" s="1">
        <v>7</v>
      </c>
      <c r="M1040" s="2">
        <v>42060</v>
      </c>
      <c r="N1040" s="1">
        <v>7</v>
      </c>
      <c r="O1040" s="2">
        <v>42060</v>
      </c>
      <c r="P1040" s="1">
        <v>361</v>
      </c>
      <c r="Q1040" s="1" t="s">
        <v>197</v>
      </c>
      <c r="R1040" s="2">
        <v>42125</v>
      </c>
      <c r="S1040" s="1">
        <v>8867</v>
      </c>
      <c r="U1040" s="1">
        <v>912</v>
      </c>
      <c r="V1040" s="1" t="s">
        <v>11140</v>
      </c>
      <c r="W1040" s="1" t="s">
        <v>304</v>
      </c>
      <c r="Y1040" s="1">
        <v>6</v>
      </c>
      <c r="Z1040" s="1" t="s">
        <v>249</v>
      </c>
      <c r="AA1040" s="1" t="s">
        <v>505</v>
      </c>
      <c r="AB1040" s="1">
        <v>60061</v>
      </c>
      <c r="AD1040" s="1" t="s">
        <v>1526</v>
      </c>
      <c r="AE1040" s="1" t="s">
        <v>11141</v>
      </c>
      <c r="AF1040" s="1">
        <v>1993</v>
      </c>
      <c r="AG1040" s="1" t="s">
        <v>204</v>
      </c>
      <c r="AH1040" s="1" t="s">
        <v>508</v>
      </c>
      <c r="AI1040" s="1" t="s">
        <v>509</v>
      </c>
      <c r="AJ1040" s="1" t="s">
        <v>510</v>
      </c>
      <c r="AK1040" s="1" t="s">
        <v>11142</v>
      </c>
      <c r="AL1040" s="1">
        <v>6</v>
      </c>
      <c r="AM1040" s="1">
        <v>2</v>
      </c>
      <c r="AN1040" s="1">
        <v>2</v>
      </c>
      <c r="AO1040" s="1">
        <v>0</v>
      </c>
      <c r="AP1040" s="1" t="s">
        <v>209</v>
      </c>
      <c r="AQ1040" s="1">
        <v>1</v>
      </c>
      <c r="AR1040" s="1" t="s">
        <v>210</v>
      </c>
      <c r="AS1040" s="1" t="s">
        <v>204</v>
      </c>
      <c r="AT1040" s="1" t="s">
        <v>211</v>
      </c>
      <c r="AU1040" s="1">
        <v>2</v>
      </c>
      <c r="AW1040" s="1" t="s">
        <v>204</v>
      </c>
      <c r="AX1040" s="1" t="s">
        <v>1528</v>
      </c>
      <c r="AZ1040" s="1">
        <v>5615</v>
      </c>
      <c r="BA1040" s="1">
        <v>2013</v>
      </c>
      <c r="BE1040" s="1">
        <v>1678</v>
      </c>
      <c r="BF1040" s="1">
        <v>1</v>
      </c>
      <c r="BG1040" s="1">
        <v>0</v>
      </c>
      <c r="BL1040" s="1">
        <v>383</v>
      </c>
      <c r="BM1040" s="1" t="s">
        <v>204</v>
      </c>
      <c r="BN1040" s="1" t="s">
        <v>213</v>
      </c>
      <c r="BO1040" s="1">
        <v>0</v>
      </c>
      <c r="BP1040" s="1" t="s">
        <v>204</v>
      </c>
      <c r="BR1040" s="1" t="str">
        <f>"15062061200000"</f>
        <v>15062061200000</v>
      </c>
      <c r="BT1040" s="1" t="s">
        <v>11143</v>
      </c>
      <c r="BU1040" s="1" t="s">
        <v>1530</v>
      </c>
      <c r="BV1040" s="1" t="s">
        <v>1531</v>
      </c>
      <c r="BW1040" s="1" t="s">
        <v>1532</v>
      </c>
      <c r="BX1040" s="1">
        <v>76</v>
      </c>
      <c r="BY1040" s="1">
        <v>76</v>
      </c>
      <c r="BZ1040" s="1">
        <v>125</v>
      </c>
      <c r="CB1040" s="1" t="str">
        <f>"25"</f>
        <v>25</v>
      </c>
      <c r="CC1040" s="1" t="str">
        <f>"0"</f>
        <v>0</v>
      </c>
      <c r="CD1040" s="1">
        <v>18</v>
      </c>
      <c r="CE1040" s="1">
        <v>0</v>
      </c>
      <c r="CG1040" s="1" t="s">
        <v>1737</v>
      </c>
      <c r="CH1040" s="1" t="s">
        <v>277</v>
      </c>
      <c r="CI1040" s="1" t="s">
        <v>220</v>
      </c>
      <c r="CK1040" s="1" t="s">
        <v>315</v>
      </c>
      <c r="CL1040" s="1" t="s">
        <v>277</v>
      </c>
      <c r="CM1040" s="1" t="s">
        <v>220</v>
      </c>
      <c r="CO1040" s="1" t="s">
        <v>318</v>
      </c>
      <c r="CP1040" s="1" t="s">
        <v>277</v>
      </c>
      <c r="CQ1040" s="1" t="s">
        <v>220</v>
      </c>
      <c r="CS1040" s="1" t="s">
        <v>346</v>
      </c>
      <c r="CT1040" s="1" t="s">
        <v>277</v>
      </c>
      <c r="CU1040" s="1" t="s">
        <v>220</v>
      </c>
      <c r="CX1040" s="1" t="s">
        <v>224</v>
      </c>
      <c r="DB1040" s="1" t="s">
        <v>224</v>
      </c>
      <c r="DE1040" s="1" t="s">
        <v>708</v>
      </c>
      <c r="DF1040" s="1" t="s">
        <v>277</v>
      </c>
      <c r="DG1040" s="1" t="s">
        <v>342</v>
      </c>
      <c r="DI1040" s="1" t="s">
        <v>757</v>
      </c>
      <c r="DJ1040" s="1" t="s">
        <v>277</v>
      </c>
      <c r="DK1040" s="1" t="s">
        <v>220</v>
      </c>
      <c r="DS1040" s="1" t="s">
        <v>230</v>
      </c>
      <c r="DW1040" s="1" t="s">
        <v>230</v>
      </c>
      <c r="EA1040" s="1" t="s">
        <v>230</v>
      </c>
      <c r="EE1040" s="1" t="s">
        <v>230</v>
      </c>
      <c r="EI1040" s="1" t="s">
        <v>230</v>
      </c>
      <c r="EL1040" s="1" t="s">
        <v>382</v>
      </c>
      <c r="EM1040" s="1" t="s">
        <v>319</v>
      </c>
      <c r="EN1040" s="1" t="s">
        <v>282</v>
      </c>
      <c r="EO1040" s="1" t="s">
        <v>234</v>
      </c>
      <c r="EQ1040" s="1" t="s">
        <v>236</v>
      </c>
      <c r="ER1040" s="1" t="s">
        <v>210</v>
      </c>
      <c r="ES1040" s="1" t="s">
        <v>1868</v>
      </c>
      <c r="EV1040" s="1" t="s">
        <v>240</v>
      </c>
      <c r="EW1040" s="1" t="s">
        <v>887</v>
      </c>
      <c r="EZ1040" s="1" t="s">
        <v>287</v>
      </c>
      <c r="FC1040" s="1" t="s">
        <v>633</v>
      </c>
      <c r="FD1040" s="1" t="s">
        <v>246</v>
      </c>
      <c r="FE1040" s="1" t="s">
        <v>975</v>
      </c>
      <c r="FF1040" s="1" t="s">
        <v>248</v>
      </c>
      <c r="FG1040" s="1" t="s">
        <v>2406</v>
      </c>
      <c r="FH1040" s="1" t="s">
        <v>2221</v>
      </c>
      <c r="FJ1040" s="1" t="s">
        <v>197</v>
      </c>
      <c r="FL1040" s="1" t="s">
        <v>358</v>
      </c>
      <c r="FM1040" s="1" t="s">
        <v>252</v>
      </c>
      <c r="FN1040" s="1" t="s">
        <v>213</v>
      </c>
      <c r="FO1040" s="1" t="s">
        <v>213</v>
      </c>
      <c r="FQ1040" s="1" t="s">
        <v>1599</v>
      </c>
      <c r="FR1040" s="1" t="s">
        <v>210</v>
      </c>
      <c r="FS1040" s="1" t="s">
        <v>11144</v>
      </c>
      <c r="FT1040" s="1" t="s">
        <v>11145</v>
      </c>
      <c r="FU1040" s="1" t="s">
        <v>204</v>
      </c>
      <c r="FW1040" s="1" t="s">
        <v>915</v>
      </c>
      <c r="FX1040" s="1">
        <v>3910</v>
      </c>
      <c r="FY1040" s="1" t="s">
        <v>11146</v>
      </c>
      <c r="FZ1040" s="1" t="s">
        <v>11147</v>
      </c>
      <c r="GA1040" s="1">
        <v>39466</v>
      </c>
      <c r="GB1040" s="1" t="s">
        <v>11148</v>
      </c>
      <c r="GD1040" s="1" t="s">
        <v>11149</v>
      </c>
      <c r="GE1040" s="1" t="s">
        <v>210</v>
      </c>
      <c r="GI1040" s="1" t="s">
        <v>213</v>
      </c>
      <c r="GJ1040" s="1" t="s">
        <v>260</v>
      </c>
      <c r="GK1040" s="1" t="s">
        <v>210</v>
      </c>
      <c r="GL1040" s="2">
        <v>42125</v>
      </c>
      <c r="GM1040" s="1" t="s">
        <v>11150</v>
      </c>
    </row>
    <row r="1041" spans="1:195">
      <c r="A1041" s="1">
        <v>135000</v>
      </c>
      <c r="B1041" s="1" t="s">
        <v>195</v>
      </c>
      <c r="C1041" s="1" t="str">
        <f>"08842717"</f>
        <v>08842717</v>
      </c>
      <c r="D1041" s="1" t="s">
        <v>196</v>
      </c>
      <c r="F1041" s="1" t="str">
        <f>"20"</f>
        <v>20</v>
      </c>
      <c r="G1041" s="2">
        <v>42054</v>
      </c>
      <c r="H1041" s="1">
        <v>135000</v>
      </c>
      <c r="I1041" s="1">
        <v>135000</v>
      </c>
      <c r="J1041" s="1">
        <v>135000</v>
      </c>
      <c r="K1041" s="2">
        <v>42054</v>
      </c>
      <c r="L1041" s="1">
        <v>63</v>
      </c>
      <c r="M1041" s="2">
        <v>42116</v>
      </c>
      <c r="N1041" s="1">
        <v>63</v>
      </c>
      <c r="O1041" s="2">
        <v>42116</v>
      </c>
      <c r="P1041" s="1">
        <v>37402</v>
      </c>
      <c r="Q1041" s="1" t="s">
        <v>302</v>
      </c>
      <c r="R1041" s="2">
        <v>42116</v>
      </c>
      <c r="S1041" s="1">
        <v>370419</v>
      </c>
      <c r="U1041" s="1">
        <v>7501</v>
      </c>
      <c r="V1041" s="1" t="s">
        <v>11151</v>
      </c>
      <c r="W1041" s="1" t="s">
        <v>304</v>
      </c>
      <c r="Y1041" s="1">
        <v>2</v>
      </c>
      <c r="Z1041" s="1" t="s">
        <v>370</v>
      </c>
      <c r="AA1041" s="1" t="s">
        <v>592</v>
      </c>
      <c r="AB1041" s="1">
        <v>60020</v>
      </c>
      <c r="AE1041" s="1" t="s">
        <v>11152</v>
      </c>
      <c r="AF1041" s="1">
        <v>1974</v>
      </c>
      <c r="AG1041" s="1" t="s">
        <v>213</v>
      </c>
      <c r="AH1041" s="1" t="s">
        <v>595</v>
      </c>
      <c r="AI1041" s="1" t="s">
        <v>509</v>
      </c>
      <c r="AJ1041" s="1" t="s">
        <v>596</v>
      </c>
      <c r="AL1041" s="1">
        <v>4</v>
      </c>
      <c r="AM1041" s="1">
        <v>2</v>
      </c>
      <c r="AN1041" s="1">
        <v>2</v>
      </c>
      <c r="AO1041" s="1">
        <v>0</v>
      </c>
      <c r="AP1041" s="1" t="s">
        <v>209</v>
      </c>
      <c r="AR1041" s="1" t="s">
        <v>210</v>
      </c>
      <c r="AS1041" s="1" t="s">
        <v>204</v>
      </c>
      <c r="AT1041" s="1" t="s">
        <v>375</v>
      </c>
      <c r="AU1041" s="1">
        <v>1</v>
      </c>
      <c r="AV1041" s="1">
        <v>1</v>
      </c>
      <c r="AW1041" s="1" t="s">
        <v>213</v>
      </c>
      <c r="AX1041" s="1" t="s">
        <v>212</v>
      </c>
      <c r="AZ1041" s="1">
        <v>2800</v>
      </c>
      <c r="BA1041" s="1">
        <v>2013</v>
      </c>
      <c r="BB1041" s="1" t="s">
        <v>405</v>
      </c>
      <c r="BE1041" s="1">
        <v>1306</v>
      </c>
      <c r="BF1041" s="1">
        <v>1</v>
      </c>
      <c r="BG1041" s="1">
        <v>0</v>
      </c>
      <c r="BJ1041" s="1">
        <v>85</v>
      </c>
      <c r="BL1041" s="1">
        <v>330</v>
      </c>
      <c r="BM1041" s="1" t="s">
        <v>204</v>
      </c>
      <c r="BN1041" s="1" t="s">
        <v>213</v>
      </c>
      <c r="BO1041" s="1">
        <v>999</v>
      </c>
      <c r="BP1041" s="1" t="s">
        <v>204</v>
      </c>
      <c r="BR1041" s="1" t="str">
        <f>"01284003330000"</f>
        <v>01284003330000</v>
      </c>
      <c r="BT1041" s="1" t="s">
        <v>11153</v>
      </c>
      <c r="BX1041" s="1">
        <v>114</v>
      </c>
      <c r="BY1041" s="1">
        <v>114</v>
      </c>
      <c r="BZ1041" s="1">
        <v>124</v>
      </c>
      <c r="CB1041" s="1" t="str">
        <f t="shared" ref="CB1041:CC1041" si="802">""</f>
        <v/>
      </c>
      <c r="CC1041" s="1" t="str">
        <f t="shared" si="802"/>
        <v/>
      </c>
      <c r="CG1041" s="1" t="s">
        <v>1105</v>
      </c>
      <c r="CH1041" s="1" t="s">
        <v>219</v>
      </c>
      <c r="CI1041" s="1" t="s">
        <v>220</v>
      </c>
      <c r="CJ1041" s="1" t="s">
        <v>252</v>
      </c>
      <c r="CK1041" s="1" t="s">
        <v>3591</v>
      </c>
      <c r="CL1041" s="1" t="s">
        <v>219</v>
      </c>
      <c r="CM1041" s="1" t="s">
        <v>220</v>
      </c>
      <c r="CN1041" s="1" t="s">
        <v>252</v>
      </c>
      <c r="CP1041" s="1" t="s">
        <v>224</v>
      </c>
      <c r="CS1041" s="1" t="s">
        <v>1854</v>
      </c>
      <c r="CT1041" s="1" t="s">
        <v>219</v>
      </c>
      <c r="CU1041" s="1" t="s">
        <v>220</v>
      </c>
      <c r="CV1041" s="1" t="s">
        <v>252</v>
      </c>
      <c r="CX1041" s="1" t="s">
        <v>224</v>
      </c>
      <c r="DB1041" s="1" t="s">
        <v>224</v>
      </c>
      <c r="DE1041" s="1" t="s">
        <v>1598</v>
      </c>
      <c r="DF1041" s="1" t="s">
        <v>219</v>
      </c>
      <c r="DG1041" s="1" t="s">
        <v>438</v>
      </c>
      <c r="DH1041" s="1" t="s">
        <v>252</v>
      </c>
      <c r="DJ1041" s="1" t="s">
        <v>224</v>
      </c>
      <c r="DM1041" s="1" t="s">
        <v>603</v>
      </c>
      <c r="DR1041" s="1" t="s">
        <v>4852</v>
      </c>
      <c r="DS1041" s="1" t="s">
        <v>219</v>
      </c>
      <c r="DT1041" s="1" t="s">
        <v>220</v>
      </c>
      <c r="DU1041" s="1" t="s">
        <v>252</v>
      </c>
      <c r="DW1041" s="1" t="s">
        <v>230</v>
      </c>
      <c r="EA1041" s="1" t="s">
        <v>230</v>
      </c>
      <c r="EE1041" s="1" t="s">
        <v>230</v>
      </c>
      <c r="EI1041" s="1" t="s">
        <v>230</v>
      </c>
      <c r="EL1041" s="1" t="s">
        <v>605</v>
      </c>
      <c r="EM1041" s="1" t="s">
        <v>319</v>
      </c>
      <c r="EN1041" s="1" t="s">
        <v>282</v>
      </c>
      <c r="EO1041" s="1" t="s">
        <v>234</v>
      </c>
      <c r="EP1041" s="1" t="s">
        <v>11154</v>
      </c>
      <c r="EQ1041" s="1" t="s">
        <v>8454</v>
      </c>
      <c r="ER1041" s="1" t="s">
        <v>210</v>
      </c>
      <c r="ES1041" s="1" t="s">
        <v>322</v>
      </c>
      <c r="EU1041" s="1" t="s">
        <v>11155</v>
      </c>
      <c r="EV1041" s="1" t="s">
        <v>240</v>
      </c>
      <c r="EW1041" s="1" t="s">
        <v>11156</v>
      </c>
      <c r="EY1041" s="1" t="s">
        <v>242</v>
      </c>
      <c r="EZ1041" s="1" t="s">
        <v>603</v>
      </c>
      <c r="FA1041" s="1" t="s">
        <v>672</v>
      </c>
      <c r="FB1041" s="1" t="s">
        <v>613</v>
      </c>
      <c r="FC1041" s="1" t="s">
        <v>11157</v>
      </c>
      <c r="FD1041" s="1" t="s">
        <v>246</v>
      </c>
      <c r="FE1041" s="1" t="s">
        <v>386</v>
      </c>
      <c r="FF1041" s="1" t="s">
        <v>387</v>
      </c>
      <c r="FH1041" s="1" t="s">
        <v>442</v>
      </c>
      <c r="FI1041" s="1" t="s">
        <v>473</v>
      </c>
      <c r="FL1041" s="1" t="s">
        <v>292</v>
      </c>
      <c r="FM1041" s="1" t="s">
        <v>252</v>
      </c>
      <c r="FN1041" s="1" t="s">
        <v>213</v>
      </c>
      <c r="FO1041" s="1" t="s">
        <v>213</v>
      </c>
      <c r="FQ1041" s="1" t="s">
        <v>293</v>
      </c>
      <c r="FR1041" s="1" t="s">
        <v>210</v>
      </c>
      <c r="FS1041" s="1" t="s">
        <v>11158</v>
      </c>
      <c r="FT1041" s="1" t="s">
        <v>362</v>
      </c>
      <c r="FU1041" s="1" t="s">
        <v>204</v>
      </c>
      <c r="FV1041" s="1" t="s">
        <v>11159</v>
      </c>
      <c r="FW1041" s="1" t="s">
        <v>1521</v>
      </c>
      <c r="FX1041" s="1">
        <v>16645</v>
      </c>
      <c r="FY1041" s="1" t="s">
        <v>1522</v>
      </c>
      <c r="FZ1041" s="1" t="s">
        <v>1523</v>
      </c>
      <c r="GA1041" s="1">
        <v>144314</v>
      </c>
      <c r="GB1041" s="1" t="s">
        <v>1522</v>
      </c>
      <c r="GD1041" s="1">
        <v>144314</v>
      </c>
      <c r="GE1041" s="1" t="s">
        <v>623</v>
      </c>
      <c r="GI1041" s="1" t="s">
        <v>204</v>
      </c>
      <c r="GJ1041" s="1" t="s">
        <v>300</v>
      </c>
      <c r="GK1041" s="1" t="s">
        <v>210</v>
      </c>
      <c r="GL1041" s="2">
        <v>42116</v>
      </c>
      <c r="GM1041" s="1" t="s">
        <v>11160</v>
      </c>
    </row>
    <row r="1042" spans="1:195">
      <c r="A1042" s="1">
        <v>99502</v>
      </c>
      <c r="B1042" s="1" t="s">
        <v>195</v>
      </c>
      <c r="C1042" s="1" t="str">
        <f>"08841631"</f>
        <v>08841631</v>
      </c>
      <c r="D1042" s="1" t="s">
        <v>196</v>
      </c>
      <c r="F1042" s="1" t="str">
        <f>"110"</f>
        <v>110</v>
      </c>
      <c r="G1042" s="2">
        <v>42053</v>
      </c>
      <c r="H1042" s="1">
        <v>95800</v>
      </c>
      <c r="I1042" s="1">
        <v>95800</v>
      </c>
      <c r="J1042" s="1">
        <v>99502</v>
      </c>
      <c r="K1042" s="2">
        <v>42053</v>
      </c>
      <c r="L1042" s="1">
        <v>21</v>
      </c>
      <c r="M1042" s="2">
        <v>42073</v>
      </c>
      <c r="N1042" s="1">
        <v>21</v>
      </c>
      <c r="O1042" s="2">
        <v>42073</v>
      </c>
      <c r="P1042" s="1">
        <v>23265</v>
      </c>
      <c r="Q1042" s="1" t="s">
        <v>423</v>
      </c>
      <c r="R1042" s="2">
        <v>42114</v>
      </c>
      <c r="S1042" s="1">
        <v>234125</v>
      </c>
      <c r="T1042" s="1">
        <v>1500</v>
      </c>
      <c r="U1042" s="1">
        <v>2042</v>
      </c>
      <c r="V1042" s="1" t="s">
        <v>802</v>
      </c>
      <c r="W1042" s="1" t="s">
        <v>504</v>
      </c>
      <c r="Y1042" s="1">
        <v>6</v>
      </c>
      <c r="Z1042" s="1" t="s">
        <v>249</v>
      </c>
      <c r="AA1042" s="1" t="s">
        <v>803</v>
      </c>
      <c r="AB1042" s="1">
        <v>60110</v>
      </c>
      <c r="AD1042" s="1" t="s">
        <v>8982</v>
      </c>
      <c r="AE1042" s="1" t="s">
        <v>11161</v>
      </c>
      <c r="AF1042" s="1">
        <v>2003</v>
      </c>
      <c r="AG1042" s="1" t="s">
        <v>204</v>
      </c>
      <c r="AH1042" s="1" t="s">
        <v>2557</v>
      </c>
      <c r="AI1042" s="1" t="s">
        <v>665</v>
      </c>
      <c r="AJ1042" s="1" t="s">
        <v>805</v>
      </c>
      <c r="AL1042" s="1">
        <v>5</v>
      </c>
      <c r="AM1042" s="1">
        <v>2</v>
      </c>
      <c r="AN1042" s="1">
        <v>1</v>
      </c>
      <c r="AO1042" s="1">
        <v>1</v>
      </c>
      <c r="AP1042" s="1" t="s">
        <v>667</v>
      </c>
      <c r="AR1042" s="1" t="s">
        <v>210</v>
      </c>
      <c r="AS1042" s="1" t="s">
        <v>204</v>
      </c>
      <c r="AT1042" s="1" t="s">
        <v>211</v>
      </c>
      <c r="AU1042" s="1">
        <v>1</v>
      </c>
      <c r="AW1042" s="1" t="s">
        <v>204</v>
      </c>
      <c r="AX1042" s="1" t="s">
        <v>11162</v>
      </c>
      <c r="AZ1042" s="1">
        <v>2599.7399999999998</v>
      </c>
      <c r="BA1042" s="1">
        <v>2013</v>
      </c>
      <c r="BE1042" s="1">
        <v>1128</v>
      </c>
      <c r="BF1042" s="1">
        <v>1</v>
      </c>
      <c r="BG1042" s="1">
        <v>0</v>
      </c>
      <c r="BL1042" s="1">
        <v>104</v>
      </c>
      <c r="BM1042" s="1" t="s">
        <v>204</v>
      </c>
      <c r="BN1042" s="1" t="s">
        <v>213</v>
      </c>
      <c r="BO1042" s="1">
        <v>999</v>
      </c>
      <c r="BP1042" s="1" t="s">
        <v>204</v>
      </c>
      <c r="BR1042" s="1" t="str">
        <f>"0302429014"</f>
        <v>0302429014</v>
      </c>
      <c r="BT1042" s="1" t="s">
        <v>11163</v>
      </c>
      <c r="BX1042" s="1">
        <v>300</v>
      </c>
      <c r="BY1042" s="1">
        <v>300</v>
      </c>
      <c r="BZ1042" s="1">
        <v>300</v>
      </c>
      <c r="CB1042" s="1" t="str">
        <f t="shared" ref="CB1042:CC1042" si="803">""</f>
        <v/>
      </c>
      <c r="CC1042" s="1" t="str">
        <f t="shared" si="803"/>
        <v/>
      </c>
      <c r="CG1042" s="1" t="s">
        <v>1045</v>
      </c>
      <c r="CH1042" s="1" t="s">
        <v>219</v>
      </c>
      <c r="CI1042" s="1" t="s">
        <v>229</v>
      </c>
      <c r="CK1042" s="1" t="s">
        <v>437</v>
      </c>
      <c r="CL1042" s="1" t="s">
        <v>277</v>
      </c>
      <c r="CM1042" s="1" t="s">
        <v>220</v>
      </c>
      <c r="CP1042" s="1" t="s">
        <v>224</v>
      </c>
      <c r="CS1042" s="1" t="s">
        <v>346</v>
      </c>
      <c r="CT1042" s="1" t="s">
        <v>277</v>
      </c>
      <c r="CU1042" s="1" t="s">
        <v>220</v>
      </c>
      <c r="CX1042" s="1" t="s">
        <v>224</v>
      </c>
      <c r="DB1042" s="1" t="s">
        <v>224</v>
      </c>
      <c r="DE1042" s="1" t="s">
        <v>379</v>
      </c>
      <c r="DF1042" s="1" t="s">
        <v>219</v>
      </c>
      <c r="DJ1042" s="1" t="s">
        <v>224</v>
      </c>
      <c r="DM1042" s="1" t="s">
        <v>464</v>
      </c>
      <c r="DR1042" s="1" t="s">
        <v>1571</v>
      </c>
      <c r="DS1042" s="1" t="s">
        <v>277</v>
      </c>
      <c r="DT1042" s="1" t="s">
        <v>220</v>
      </c>
      <c r="DW1042" s="1" t="s">
        <v>230</v>
      </c>
      <c r="EA1042" s="1" t="s">
        <v>230</v>
      </c>
      <c r="EE1042" s="1" t="s">
        <v>230</v>
      </c>
      <c r="EI1042" s="1" t="s">
        <v>230</v>
      </c>
      <c r="EL1042" s="1" t="s">
        <v>466</v>
      </c>
      <c r="EM1042" s="1" t="s">
        <v>319</v>
      </c>
      <c r="EN1042" s="1" t="s">
        <v>282</v>
      </c>
      <c r="EO1042" s="1" t="s">
        <v>234</v>
      </c>
      <c r="ER1042" s="1" t="s">
        <v>210</v>
      </c>
      <c r="ES1042" s="1" t="s">
        <v>322</v>
      </c>
      <c r="EU1042" s="1" t="s">
        <v>239</v>
      </c>
      <c r="EW1042" s="1" t="s">
        <v>1372</v>
      </c>
      <c r="EZ1042" s="1" t="s">
        <v>464</v>
      </c>
      <c r="FD1042" s="1" t="s">
        <v>246</v>
      </c>
      <c r="FE1042" s="1" t="s">
        <v>355</v>
      </c>
      <c r="FF1042" s="1" t="s">
        <v>248</v>
      </c>
      <c r="FH1042" s="1" t="s">
        <v>550</v>
      </c>
      <c r="FL1042" s="1" t="s">
        <v>414</v>
      </c>
      <c r="FM1042" s="1" t="s">
        <v>252</v>
      </c>
      <c r="FN1042" s="1" t="s">
        <v>213</v>
      </c>
      <c r="FO1042" s="1" t="s">
        <v>213</v>
      </c>
      <c r="FQ1042" s="1" t="s">
        <v>689</v>
      </c>
      <c r="FR1042" s="1" t="s">
        <v>210</v>
      </c>
      <c r="FS1042" s="1" t="s">
        <v>1008</v>
      </c>
      <c r="FT1042" s="1" t="s">
        <v>654</v>
      </c>
      <c r="FU1042" s="1" t="s">
        <v>204</v>
      </c>
      <c r="FW1042" s="1" t="s">
        <v>554</v>
      </c>
      <c r="FX1042" s="1">
        <v>5040</v>
      </c>
      <c r="FY1042" s="1" t="s">
        <v>2611</v>
      </c>
      <c r="FZ1042" s="1" t="s">
        <v>11164</v>
      </c>
      <c r="GA1042" s="1">
        <v>54168</v>
      </c>
      <c r="GB1042" s="1" t="s">
        <v>11165</v>
      </c>
      <c r="GC1042" s="1">
        <v>55673</v>
      </c>
      <c r="GE1042" s="1" t="s">
        <v>210</v>
      </c>
      <c r="GI1042" s="1" t="s">
        <v>204</v>
      </c>
      <c r="GJ1042" s="1" t="s">
        <v>300</v>
      </c>
      <c r="GK1042" s="1" t="s">
        <v>210</v>
      </c>
      <c r="GL1042" s="2">
        <v>42115</v>
      </c>
      <c r="GM1042" s="1" t="s">
        <v>11166</v>
      </c>
    </row>
    <row r="1043" spans="1:195">
      <c r="A1043" s="1">
        <v>160000</v>
      </c>
      <c r="B1043" s="1" t="s">
        <v>195</v>
      </c>
      <c r="C1043" s="1" t="str">
        <f>"08839796"</f>
        <v>08839796</v>
      </c>
      <c r="D1043" s="1" t="s">
        <v>196</v>
      </c>
      <c r="F1043" s="1" t="str">
        <f>"540"</f>
        <v>540</v>
      </c>
      <c r="G1043" s="2">
        <v>42051</v>
      </c>
      <c r="H1043" s="1">
        <v>169900</v>
      </c>
      <c r="I1043" s="1">
        <v>169900</v>
      </c>
      <c r="J1043" s="1">
        <v>160000</v>
      </c>
      <c r="K1043" s="2">
        <v>42051</v>
      </c>
      <c r="L1043" s="1">
        <v>40</v>
      </c>
      <c r="M1043" s="2">
        <v>42080</v>
      </c>
      <c r="N1043" s="1">
        <v>30</v>
      </c>
      <c r="O1043" s="2">
        <v>42080</v>
      </c>
      <c r="P1043" s="1">
        <v>23076</v>
      </c>
      <c r="Q1043" s="1" t="s">
        <v>197</v>
      </c>
      <c r="R1043" s="2">
        <v>42111</v>
      </c>
      <c r="S1043" s="1">
        <v>234307</v>
      </c>
      <c r="U1043" s="1">
        <v>1207</v>
      </c>
      <c r="V1043" s="1" t="s">
        <v>11167</v>
      </c>
      <c r="W1043" s="1" t="s">
        <v>504</v>
      </c>
      <c r="Y1043" s="1">
        <v>4</v>
      </c>
      <c r="Z1043" s="1" t="s">
        <v>370</v>
      </c>
      <c r="AA1043" s="1" t="s">
        <v>921</v>
      </c>
      <c r="AB1043" s="1">
        <v>60540</v>
      </c>
      <c r="AD1043" s="1" t="s">
        <v>3984</v>
      </c>
      <c r="AE1043" s="1" t="s">
        <v>11168</v>
      </c>
      <c r="AF1043" s="1">
        <v>1990</v>
      </c>
      <c r="AG1043" s="1" t="s">
        <v>204</v>
      </c>
      <c r="AH1043" s="1" t="s">
        <v>924</v>
      </c>
      <c r="AI1043" s="1" t="s">
        <v>206</v>
      </c>
      <c r="AJ1043" s="1" t="s">
        <v>924</v>
      </c>
      <c r="AL1043" s="1">
        <v>4</v>
      </c>
      <c r="AM1043" s="1">
        <v>2</v>
      </c>
      <c r="AN1043" s="1">
        <v>2</v>
      </c>
      <c r="AO1043" s="1">
        <v>1</v>
      </c>
      <c r="AP1043" s="1" t="s">
        <v>209</v>
      </c>
      <c r="AQ1043" s="1">
        <v>1</v>
      </c>
      <c r="AR1043" s="1" t="s">
        <v>210</v>
      </c>
      <c r="AS1043" s="1" t="s">
        <v>204</v>
      </c>
      <c r="AT1043" s="1" t="s">
        <v>211</v>
      </c>
      <c r="AU1043" s="1">
        <v>1</v>
      </c>
      <c r="AW1043" s="1" t="s">
        <v>204</v>
      </c>
      <c r="AX1043" s="1" t="s">
        <v>212</v>
      </c>
      <c r="AZ1043" s="1">
        <v>3646</v>
      </c>
      <c r="BA1043" s="1">
        <v>2013</v>
      </c>
      <c r="BB1043" s="1" t="s">
        <v>405</v>
      </c>
      <c r="BE1043" s="1">
        <v>1274</v>
      </c>
      <c r="BF1043" s="1">
        <v>1</v>
      </c>
      <c r="BG1043" s="1">
        <v>0</v>
      </c>
      <c r="BL1043" s="1">
        <v>233</v>
      </c>
      <c r="BM1043" s="1" t="s">
        <v>204</v>
      </c>
      <c r="BN1043" s="1" t="s">
        <v>213</v>
      </c>
      <c r="BO1043" s="1">
        <v>999</v>
      </c>
      <c r="BP1043" s="1" t="s">
        <v>204</v>
      </c>
      <c r="BR1043" s="1" t="str">
        <f>"0726206102"</f>
        <v>0726206102</v>
      </c>
      <c r="BT1043" s="1" t="s">
        <v>11169</v>
      </c>
      <c r="BX1043" s="1">
        <v>204</v>
      </c>
      <c r="BY1043" s="1">
        <v>204</v>
      </c>
      <c r="BZ1043" s="1">
        <v>204</v>
      </c>
      <c r="CB1043" s="1" t="str">
        <f t="shared" ref="CB1043:CC1043" si="804">""</f>
        <v/>
      </c>
      <c r="CC1043" s="1" t="str">
        <f t="shared" si="804"/>
        <v/>
      </c>
      <c r="CG1043" s="1" t="s">
        <v>1045</v>
      </c>
      <c r="CH1043" s="1" t="s">
        <v>219</v>
      </c>
      <c r="CI1043" s="1" t="s">
        <v>220</v>
      </c>
      <c r="CJ1043" s="1" t="s">
        <v>343</v>
      </c>
      <c r="CK1043" s="1" t="s">
        <v>564</v>
      </c>
      <c r="CL1043" s="1" t="s">
        <v>277</v>
      </c>
      <c r="CM1043" s="1" t="s">
        <v>220</v>
      </c>
      <c r="CN1043" s="1" t="s">
        <v>439</v>
      </c>
      <c r="CP1043" s="1" t="s">
        <v>224</v>
      </c>
      <c r="CS1043" s="1" t="s">
        <v>346</v>
      </c>
      <c r="CT1043" s="1" t="s">
        <v>277</v>
      </c>
      <c r="CU1043" s="1" t="s">
        <v>220</v>
      </c>
      <c r="CX1043" s="1" t="s">
        <v>224</v>
      </c>
      <c r="DB1043" s="1" t="s">
        <v>224</v>
      </c>
      <c r="DE1043" s="1" t="s">
        <v>11170</v>
      </c>
      <c r="DF1043" s="1" t="s">
        <v>219</v>
      </c>
      <c r="DG1043" s="1" t="s">
        <v>342</v>
      </c>
      <c r="DH1043" s="1" t="s">
        <v>343</v>
      </c>
      <c r="DJ1043" s="1" t="s">
        <v>224</v>
      </c>
      <c r="DS1043" s="1" t="s">
        <v>230</v>
      </c>
      <c r="DW1043" s="1" t="s">
        <v>230</v>
      </c>
      <c r="EA1043" s="1" t="s">
        <v>230</v>
      </c>
      <c r="EE1043" s="1" t="s">
        <v>230</v>
      </c>
      <c r="EI1043" s="1" t="s">
        <v>230</v>
      </c>
      <c r="EL1043" s="1" t="s">
        <v>382</v>
      </c>
      <c r="EM1043" s="1" t="s">
        <v>730</v>
      </c>
      <c r="EN1043" s="1" t="s">
        <v>282</v>
      </c>
      <c r="EO1043" s="1" t="s">
        <v>234</v>
      </c>
      <c r="EP1043" s="1" t="s">
        <v>349</v>
      </c>
      <c r="EQ1043" s="1" t="s">
        <v>1094</v>
      </c>
      <c r="ER1043" s="1" t="s">
        <v>210</v>
      </c>
      <c r="ES1043" s="1" t="s">
        <v>322</v>
      </c>
      <c r="EV1043" s="1" t="s">
        <v>240</v>
      </c>
      <c r="EW1043" s="1" t="s">
        <v>11171</v>
      </c>
      <c r="EY1043" s="1" t="s">
        <v>242</v>
      </c>
      <c r="EZ1043" s="1" t="s">
        <v>287</v>
      </c>
      <c r="FD1043" s="1" t="s">
        <v>246</v>
      </c>
      <c r="FE1043" s="1" t="s">
        <v>472</v>
      </c>
      <c r="FF1043" s="1" t="s">
        <v>248</v>
      </c>
      <c r="FG1043" s="1" t="s">
        <v>871</v>
      </c>
      <c r="FH1043" s="1" t="s">
        <v>550</v>
      </c>
      <c r="FI1043" s="1" t="s">
        <v>473</v>
      </c>
      <c r="FL1043" s="1" t="s">
        <v>810</v>
      </c>
      <c r="FM1043" s="1" t="s">
        <v>252</v>
      </c>
      <c r="FN1043" s="1" t="s">
        <v>213</v>
      </c>
      <c r="FO1043" s="1" t="s">
        <v>213</v>
      </c>
      <c r="FQ1043" s="1" t="s">
        <v>673</v>
      </c>
      <c r="FR1043" s="1" t="s">
        <v>210</v>
      </c>
      <c r="FS1043" s="1" t="s">
        <v>11172</v>
      </c>
      <c r="FT1043" s="1" t="s">
        <v>295</v>
      </c>
      <c r="FU1043" s="1" t="s">
        <v>204</v>
      </c>
      <c r="FW1043" s="1" t="s">
        <v>3243</v>
      </c>
      <c r="FX1043" s="1">
        <v>604</v>
      </c>
      <c r="FY1043" s="1" t="s">
        <v>3244</v>
      </c>
      <c r="FZ1043" s="1" t="s">
        <v>11173</v>
      </c>
      <c r="GA1043" s="1">
        <v>7415</v>
      </c>
      <c r="GB1043" s="1" t="s">
        <v>11174</v>
      </c>
      <c r="GD1043" s="1" t="s">
        <v>11175</v>
      </c>
      <c r="GE1043" s="1" t="s">
        <v>210</v>
      </c>
      <c r="GI1043" s="1" t="s">
        <v>213</v>
      </c>
      <c r="GJ1043" s="1" t="s">
        <v>260</v>
      </c>
      <c r="GK1043" s="1" t="s">
        <v>4920</v>
      </c>
      <c r="GL1043" s="2">
        <v>42112</v>
      </c>
      <c r="GM1043" s="1" t="s">
        <v>11176</v>
      </c>
    </row>
    <row r="1044" spans="1:195">
      <c r="A1044" s="1">
        <v>100000</v>
      </c>
      <c r="B1044" s="1" t="s">
        <v>195</v>
      </c>
      <c r="C1044" s="1" t="str">
        <f>"08840013"</f>
        <v>08840013</v>
      </c>
      <c r="D1044" s="1" t="s">
        <v>196</v>
      </c>
      <c r="F1044" s="1" t="str">
        <f>"515"</f>
        <v>515</v>
      </c>
      <c r="G1044" s="2">
        <v>42051</v>
      </c>
      <c r="H1044" s="1">
        <v>112000</v>
      </c>
      <c r="I1044" s="1">
        <v>112000</v>
      </c>
      <c r="J1044" s="1">
        <v>100000</v>
      </c>
      <c r="K1044" s="2">
        <v>42051</v>
      </c>
      <c r="L1044" s="1">
        <v>20</v>
      </c>
      <c r="M1044" s="2">
        <v>42070</v>
      </c>
      <c r="N1044" s="1">
        <v>20</v>
      </c>
      <c r="O1044" s="2">
        <v>42070</v>
      </c>
      <c r="P1044" s="1">
        <v>20199</v>
      </c>
      <c r="Q1044" s="1" t="s">
        <v>302</v>
      </c>
      <c r="R1044" s="2">
        <v>42087</v>
      </c>
      <c r="S1044" s="1">
        <v>234727</v>
      </c>
      <c r="U1044" s="1">
        <v>420</v>
      </c>
      <c r="V1044" s="1" t="s">
        <v>11177</v>
      </c>
      <c r="W1044" s="1" t="s">
        <v>725</v>
      </c>
      <c r="X1044" s="1">
        <v>204</v>
      </c>
      <c r="Y1044" s="1">
        <v>12</v>
      </c>
      <c r="Z1044" s="1" t="s">
        <v>370</v>
      </c>
      <c r="AA1044" s="1" t="s">
        <v>1294</v>
      </c>
      <c r="AB1044" s="1">
        <v>60516</v>
      </c>
      <c r="AD1044" s="1" t="s">
        <v>6872</v>
      </c>
      <c r="AE1044" s="1" t="s">
        <v>11178</v>
      </c>
      <c r="AF1044" s="1">
        <v>1977</v>
      </c>
      <c r="AG1044" s="1" t="s">
        <v>213</v>
      </c>
      <c r="AH1044" s="1" t="s">
        <v>903</v>
      </c>
      <c r="AI1044" s="1" t="s">
        <v>206</v>
      </c>
      <c r="AJ1044" s="1" t="s">
        <v>903</v>
      </c>
      <c r="AL1044" s="1">
        <v>5</v>
      </c>
      <c r="AM1044" s="1">
        <v>2</v>
      </c>
      <c r="AN1044" s="1">
        <v>2</v>
      </c>
      <c r="AO1044" s="1">
        <v>0</v>
      </c>
      <c r="AP1044" s="1" t="s">
        <v>209</v>
      </c>
      <c r="AR1044" s="1" t="s">
        <v>209</v>
      </c>
      <c r="AS1044" s="1" t="s">
        <v>204</v>
      </c>
      <c r="AT1044" s="1" t="s">
        <v>271</v>
      </c>
      <c r="AV1044" s="1">
        <v>1</v>
      </c>
      <c r="AW1044" s="1" t="s">
        <v>213</v>
      </c>
      <c r="AX1044" s="1" t="s">
        <v>212</v>
      </c>
      <c r="AZ1044" s="1">
        <v>1658</v>
      </c>
      <c r="BA1044" s="1">
        <v>2013</v>
      </c>
      <c r="BB1044" s="1" t="s">
        <v>405</v>
      </c>
      <c r="BE1044" s="1">
        <v>0</v>
      </c>
      <c r="BF1044" s="1">
        <v>2</v>
      </c>
      <c r="BG1044" s="1">
        <v>30</v>
      </c>
      <c r="BL1044" s="1">
        <v>334</v>
      </c>
      <c r="BM1044" s="1" t="s">
        <v>204</v>
      </c>
      <c r="BN1044" s="1" t="s">
        <v>213</v>
      </c>
      <c r="BO1044" s="1">
        <v>35</v>
      </c>
      <c r="BP1044" s="1" t="s">
        <v>204</v>
      </c>
      <c r="BR1044" s="1" t="str">
        <f>"0929220022"</f>
        <v>0929220022</v>
      </c>
      <c r="BT1044" s="1" t="s">
        <v>11179</v>
      </c>
      <c r="BV1044" s="1" t="s">
        <v>3098</v>
      </c>
      <c r="BW1044" s="1" t="s">
        <v>3099</v>
      </c>
      <c r="BX1044" s="1">
        <v>61</v>
      </c>
      <c r="BY1044" s="1">
        <v>61</v>
      </c>
      <c r="BZ1044" s="1">
        <v>99</v>
      </c>
      <c r="CB1044" s="1" t="str">
        <f t="shared" ref="CB1044:CC1044" si="805">"0"</f>
        <v>0</v>
      </c>
      <c r="CC1044" s="1" t="str">
        <f t="shared" si="805"/>
        <v>0</v>
      </c>
      <c r="CD1044" s="1">
        <v>19</v>
      </c>
      <c r="CE1044" s="1">
        <v>8</v>
      </c>
      <c r="CG1044" s="1" t="s">
        <v>539</v>
      </c>
      <c r="CH1044" s="1" t="s">
        <v>219</v>
      </c>
      <c r="CI1044" s="1" t="s">
        <v>220</v>
      </c>
      <c r="CK1044" s="1" t="s">
        <v>564</v>
      </c>
      <c r="CL1044" s="1" t="s">
        <v>219</v>
      </c>
      <c r="CM1044" s="1" t="s">
        <v>220</v>
      </c>
      <c r="CO1044" s="1" t="s">
        <v>348</v>
      </c>
      <c r="CP1044" s="1" t="s">
        <v>219</v>
      </c>
      <c r="CQ1044" s="1" t="s">
        <v>220</v>
      </c>
      <c r="CS1044" s="1" t="s">
        <v>1358</v>
      </c>
      <c r="CT1044" s="1" t="s">
        <v>219</v>
      </c>
      <c r="CU1044" s="1" t="s">
        <v>220</v>
      </c>
      <c r="CX1044" s="1" t="s">
        <v>224</v>
      </c>
      <c r="DB1044" s="1" t="s">
        <v>224</v>
      </c>
      <c r="DE1044" s="1" t="s">
        <v>380</v>
      </c>
      <c r="DF1044" s="1" t="s">
        <v>219</v>
      </c>
      <c r="DG1044" s="1" t="s">
        <v>342</v>
      </c>
      <c r="DJ1044" s="1" t="s">
        <v>224</v>
      </c>
      <c r="DS1044" s="1" t="s">
        <v>230</v>
      </c>
      <c r="DW1044" s="1" t="s">
        <v>230</v>
      </c>
      <c r="EA1044" s="1" t="s">
        <v>230</v>
      </c>
      <c r="EE1044" s="1" t="s">
        <v>230</v>
      </c>
      <c r="EI1044" s="1" t="s">
        <v>230</v>
      </c>
      <c r="EL1044" s="1" t="s">
        <v>231</v>
      </c>
      <c r="EM1044" s="1" t="s">
        <v>232</v>
      </c>
      <c r="EN1044" s="1" t="s">
        <v>282</v>
      </c>
      <c r="EO1044" s="1" t="s">
        <v>234</v>
      </c>
      <c r="EP1044" s="1" t="s">
        <v>11180</v>
      </c>
      <c r="EQ1044" s="1" t="s">
        <v>284</v>
      </c>
      <c r="ER1044" s="1" t="s">
        <v>1249</v>
      </c>
      <c r="ES1044" s="1" t="s">
        <v>322</v>
      </c>
      <c r="EV1044" s="1" t="s">
        <v>352</v>
      </c>
      <c r="EW1044" s="1" t="s">
        <v>11181</v>
      </c>
      <c r="EZ1044" s="1" t="s">
        <v>287</v>
      </c>
      <c r="FB1044" s="1" t="s">
        <v>4027</v>
      </c>
      <c r="FD1044" s="1" t="s">
        <v>290</v>
      </c>
      <c r="FE1044" s="1" t="s">
        <v>247</v>
      </c>
      <c r="FF1044" s="1" t="s">
        <v>248</v>
      </c>
      <c r="FH1044" s="1" t="s">
        <v>249</v>
      </c>
      <c r="FK1044" s="1" t="s">
        <v>291</v>
      </c>
      <c r="FL1044" s="1" t="s">
        <v>414</v>
      </c>
      <c r="FM1044" s="1" t="s">
        <v>252</v>
      </c>
      <c r="FN1044" s="1" t="s">
        <v>213</v>
      </c>
      <c r="FO1044" s="1" t="s">
        <v>213</v>
      </c>
      <c r="FQ1044" s="1" t="s">
        <v>2091</v>
      </c>
      <c r="FR1044" s="1" t="s">
        <v>210</v>
      </c>
      <c r="FS1044" s="1" t="s">
        <v>11182</v>
      </c>
      <c r="FT1044" s="1" t="s">
        <v>11183</v>
      </c>
      <c r="FU1044" s="1" t="s">
        <v>204</v>
      </c>
      <c r="FW1044" s="1" t="s">
        <v>11184</v>
      </c>
      <c r="FX1044" s="1">
        <v>20199</v>
      </c>
      <c r="FY1044" s="1" t="s">
        <v>11185</v>
      </c>
      <c r="FZ1044" s="1" t="s">
        <v>11186</v>
      </c>
      <c r="GA1044" s="1">
        <v>211446</v>
      </c>
      <c r="GB1044" s="1" t="s">
        <v>11185</v>
      </c>
      <c r="GD1044" s="1" t="s">
        <v>11187</v>
      </c>
      <c r="GE1044" s="1" t="s">
        <v>210</v>
      </c>
      <c r="GI1044" s="1" t="s">
        <v>213</v>
      </c>
      <c r="GJ1044" s="1" t="s">
        <v>260</v>
      </c>
      <c r="GK1044" s="1" t="s">
        <v>210</v>
      </c>
      <c r="GL1044" s="2">
        <v>42087</v>
      </c>
      <c r="GM1044" s="1" t="s">
        <v>11188</v>
      </c>
    </row>
    <row r="1045" spans="1:195">
      <c r="A1045" s="1">
        <v>220000</v>
      </c>
      <c r="B1045" s="1" t="s">
        <v>195</v>
      </c>
      <c r="C1045" s="1" t="str">
        <f>"08841611"</f>
        <v>08841611</v>
      </c>
      <c r="D1045" s="1" t="s">
        <v>196</v>
      </c>
      <c r="F1045" s="1" t="str">
        <f>"517"</f>
        <v>517</v>
      </c>
      <c r="G1045" s="2">
        <v>42053</v>
      </c>
      <c r="H1045" s="1">
        <v>229900</v>
      </c>
      <c r="I1045" s="1">
        <v>229900</v>
      </c>
      <c r="J1045" s="1">
        <v>220000</v>
      </c>
      <c r="K1045" s="2">
        <v>42053</v>
      </c>
      <c r="L1045" s="1">
        <v>13</v>
      </c>
      <c r="M1045" s="2">
        <v>42065</v>
      </c>
      <c r="N1045" s="1">
        <v>13</v>
      </c>
      <c r="O1045" s="2">
        <v>42065</v>
      </c>
      <c r="P1045" s="1">
        <v>21823</v>
      </c>
      <c r="Q1045" s="1" t="s">
        <v>197</v>
      </c>
      <c r="R1045" s="2">
        <v>42125</v>
      </c>
      <c r="S1045" s="1">
        <v>216687</v>
      </c>
      <c r="T1045" s="1">
        <v>500</v>
      </c>
      <c r="U1045" s="1">
        <v>3248</v>
      </c>
      <c r="V1045" s="1" t="s">
        <v>11189</v>
      </c>
      <c r="W1045" s="1" t="s">
        <v>304</v>
      </c>
      <c r="Y1045" s="1">
        <v>6</v>
      </c>
      <c r="Z1045" s="1" t="s">
        <v>370</v>
      </c>
      <c r="AA1045" s="1" t="s">
        <v>2850</v>
      </c>
      <c r="AB1045" s="1">
        <v>60517</v>
      </c>
      <c r="AD1045" s="1" t="s">
        <v>11190</v>
      </c>
      <c r="AE1045" s="1" t="s">
        <v>11191</v>
      </c>
      <c r="AF1045" s="1">
        <v>1999</v>
      </c>
      <c r="AG1045" s="1" t="s">
        <v>204</v>
      </c>
      <c r="AH1045" s="1" t="s">
        <v>2853</v>
      </c>
      <c r="AI1045" s="1" t="s">
        <v>206</v>
      </c>
      <c r="AJ1045" s="1" t="s">
        <v>925</v>
      </c>
      <c r="AL1045" s="1">
        <v>6</v>
      </c>
      <c r="AM1045" s="1">
        <v>2</v>
      </c>
      <c r="AN1045" s="1">
        <v>2</v>
      </c>
      <c r="AO1045" s="1">
        <v>1</v>
      </c>
      <c r="AP1045" s="1" t="s">
        <v>209</v>
      </c>
      <c r="AQ1045" s="1">
        <v>1</v>
      </c>
      <c r="AR1045" s="1" t="s">
        <v>209</v>
      </c>
      <c r="AS1045" s="1" t="s">
        <v>204</v>
      </c>
      <c r="AT1045" s="1" t="s">
        <v>211</v>
      </c>
      <c r="AU1045" s="1">
        <v>2</v>
      </c>
      <c r="AW1045" s="1" t="s">
        <v>204</v>
      </c>
      <c r="AX1045" s="1" t="s">
        <v>212</v>
      </c>
      <c r="AZ1045" s="1">
        <v>6256</v>
      </c>
      <c r="BA1045" s="1">
        <v>2013</v>
      </c>
      <c r="BB1045" s="1" t="s">
        <v>405</v>
      </c>
      <c r="BE1045" s="1">
        <v>1630</v>
      </c>
      <c r="BF1045" s="1">
        <v>2</v>
      </c>
      <c r="BG1045" s="1">
        <v>20</v>
      </c>
      <c r="BL1045" s="1">
        <v>275</v>
      </c>
      <c r="BM1045" s="1" t="s">
        <v>204</v>
      </c>
      <c r="BN1045" s="1" t="s">
        <v>213</v>
      </c>
      <c r="BO1045" s="1">
        <v>60</v>
      </c>
      <c r="BP1045" s="1" t="s">
        <v>204</v>
      </c>
      <c r="BR1045" s="1" t="str">
        <f>"0826302097"</f>
        <v>0826302097</v>
      </c>
      <c r="BT1045" s="1" t="s">
        <v>11192</v>
      </c>
      <c r="BU1045" s="1" t="s">
        <v>11193</v>
      </c>
      <c r="BV1045" s="1" t="s">
        <v>2856</v>
      </c>
      <c r="BW1045" s="1" t="s">
        <v>3099</v>
      </c>
      <c r="BX1045" s="1">
        <v>68</v>
      </c>
      <c r="BY1045" s="1">
        <v>68</v>
      </c>
      <c r="BZ1045" s="1">
        <v>99</v>
      </c>
      <c r="CB1045" s="1" t="str">
        <f t="shared" ref="CB1045:CC1045" si="806">""</f>
        <v/>
      </c>
      <c r="CC1045" s="1" t="str">
        <f t="shared" si="806"/>
        <v/>
      </c>
      <c r="CG1045" s="1" t="s">
        <v>861</v>
      </c>
      <c r="CH1045" s="1" t="s">
        <v>219</v>
      </c>
      <c r="CI1045" s="1" t="s">
        <v>438</v>
      </c>
      <c r="CJ1045" s="1" t="s">
        <v>252</v>
      </c>
      <c r="CK1045" s="1" t="s">
        <v>581</v>
      </c>
      <c r="CL1045" s="1" t="s">
        <v>277</v>
      </c>
      <c r="CM1045" s="1" t="s">
        <v>220</v>
      </c>
      <c r="CN1045" s="1" t="s">
        <v>252</v>
      </c>
      <c r="CO1045" s="1" t="s">
        <v>465</v>
      </c>
      <c r="CP1045" s="1" t="s">
        <v>219</v>
      </c>
      <c r="CQ1045" s="1" t="s">
        <v>438</v>
      </c>
      <c r="CR1045" s="1" t="s">
        <v>252</v>
      </c>
      <c r="CS1045" s="1" t="s">
        <v>317</v>
      </c>
      <c r="CT1045" s="1" t="s">
        <v>277</v>
      </c>
      <c r="CU1045" s="1" t="s">
        <v>220</v>
      </c>
      <c r="CV1045" s="1" t="s">
        <v>252</v>
      </c>
      <c r="CX1045" s="1" t="s">
        <v>224</v>
      </c>
      <c r="DB1045" s="1" t="s">
        <v>224</v>
      </c>
      <c r="DE1045" s="1" t="s">
        <v>1045</v>
      </c>
      <c r="DF1045" s="1" t="s">
        <v>219</v>
      </c>
      <c r="DG1045" s="1" t="s">
        <v>438</v>
      </c>
      <c r="DH1045" s="1" t="s">
        <v>210</v>
      </c>
      <c r="DJ1045" s="1" t="s">
        <v>224</v>
      </c>
      <c r="DM1045" s="1" t="s">
        <v>464</v>
      </c>
      <c r="DN1045" s="1" t="s">
        <v>709</v>
      </c>
      <c r="DR1045" s="1" t="s">
        <v>1133</v>
      </c>
      <c r="DS1045" s="1" t="s">
        <v>277</v>
      </c>
      <c r="DT1045" s="1" t="s">
        <v>220</v>
      </c>
      <c r="DU1045" s="1" t="s">
        <v>210</v>
      </c>
      <c r="DV1045" s="1" t="s">
        <v>380</v>
      </c>
      <c r="DW1045" s="1" t="s">
        <v>219</v>
      </c>
      <c r="DX1045" s="1" t="s">
        <v>438</v>
      </c>
      <c r="DY1045" s="1" t="s">
        <v>210</v>
      </c>
      <c r="EA1045" s="1" t="s">
        <v>230</v>
      </c>
      <c r="EE1045" s="1" t="s">
        <v>230</v>
      </c>
      <c r="EI1045" s="1" t="s">
        <v>230</v>
      </c>
      <c r="EL1045" s="1" t="s">
        <v>670</v>
      </c>
      <c r="EM1045" s="1" t="s">
        <v>232</v>
      </c>
      <c r="EN1045" s="1" t="s">
        <v>282</v>
      </c>
      <c r="EO1045" s="1" t="s">
        <v>234</v>
      </c>
      <c r="EP1045" s="1" t="s">
        <v>543</v>
      </c>
      <c r="EQ1045" s="1" t="s">
        <v>468</v>
      </c>
      <c r="ER1045" s="1" t="s">
        <v>1249</v>
      </c>
      <c r="ES1045" s="1" t="s">
        <v>322</v>
      </c>
      <c r="ET1045" s="1" t="s">
        <v>323</v>
      </c>
      <c r="EU1045" s="1" t="s">
        <v>610</v>
      </c>
      <c r="EV1045" s="1" t="s">
        <v>6425</v>
      </c>
      <c r="EW1045" s="1" t="s">
        <v>353</v>
      </c>
      <c r="EY1045" s="1" t="s">
        <v>242</v>
      </c>
      <c r="EZ1045" s="1" t="s">
        <v>2549</v>
      </c>
      <c r="FA1045" s="1" t="s">
        <v>471</v>
      </c>
      <c r="FB1045" s="1" t="s">
        <v>289</v>
      </c>
      <c r="FD1045" s="1" t="s">
        <v>290</v>
      </c>
      <c r="FE1045" s="1" t="s">
        <v>549</v>
      </c>
      <c r="FF1045" s="1" t="s">
        <v>248</v>
      </c>
      <c r="FG1045" s="1" t="s">
        <v>871</v>
      </c>
      <c r="FH1045" s="1" t="s">
        <v>550</v>
      </c>
      <c r="FI1045" s="1" t="s">
        <v>473</v>
      </c>
      <c r="FJ1045" s="1" t="s">
        <v>197</v>
      </c>
      <c r="FL1045" s="1" t="s">
        <v>358</v>
      </c>
      <c r="FM1045" s="1" t="s">
        <v>252</v>
      </c>
      <c r="FN1045" s="1" t="s">
        <v>213</v>
      </c>
      <c r="FO1045" s="1" t="s">
        <v>213</v>
      </c>
      <c r="FQ1045" s="1" t="s">
        <v>11194</v>
      </c>
      <c r="FR1045" s="1" t="s">
        <v>210</v>
      </c>
      <c r="FS1045" s="1" t="s">
        <v>11195</v>
      </c>
      <c r="FT1045" s="1" t="s">
        <v>255</v>
      </c>
      <c r="FU1045" s="1" t="s">
        <v>204</v>
      </c>
      <c r="FV1045" s="1" t="s">
        <v>11196</v>
      </c>
      <c r="FW1045" s="1" t="s">
        <v>915</v>
      </c>
      <c r="FX1045" s="1">
        <v>20179</v>
      </c>
      <c r="FY1045" s="1" t="s">
        <v>1944</v>
      </c>
      <c r="FZ1045" s="1" t="s">
        <v>11197</v>
      </c>
      <c r="GA1045" s="1">
        <v>219360</v>
      </c>
      <c r="GB1045" s="1" t="s">
        <v>11198</v>
      </c>
      <c r="GD1045" s="1" t="s">
        <v>11196</v>
      </c>
      <c r="GE1045" s="1" t="s">
        <v>480</v>
      </c>
      <c r="GI1045" s="1" t="s">
        <v>213</v>
      </c>
      <c r="GJ1045" s="1" t="s">
        <v>260</v>
      </c>
      <c r="GK1045" s="1" t="s">
        <v>210</v>
      </c>
      <c r="GL1045" s="2">
        <v>42125</v>
      </c>
      <c r="GM1045" s="1" t="s">
        <v>11199</v>
      </c>
    </row>
    <row r="1046" spans="1:195">
      <c r="A1046" s="1">
        <v>170000</v>
      </c>
      <c r="B1046" s="1" t="s">
        <v>195</v>
      </c>
      <c r="C1046" s="1" t="str">
        <f>"08842846"</f>
        <v>08842846</v>
      </c>
      <c r="D1046" s="1" t="s">
        <v>196</v>
      </c>
      <c r="F1046" s="1" t="str">
        <f>"8041"</f>
        <v>8041</v>
      </c>
      <c r="G1046" s="2">
        <v>42055</v>
      </c>
      <c r="H1046" s="1">
        <v>175000</v>
      </c>
      <c r="I1046" s="1">
        <v>175000</v>
      </c>
      <c r="J1046" s="1">
        <v>170000</v>
      </c>
      <c r="K1046" s="2">
        <v>42055</v>
      </c>
      <c r="L1046" s="1">
        <v>11</v>
      </c>
      <c r="M1046" s="2">
        <v>42065</v>
      </c>
      <c r="N1046" s="1">
        <v>11</v>
      </c>
      <c r="O1046" s="2">
        <v>42065</v>
      </c>
      <c r="P1046" s="1">
        <v>14703</v>
      </c>
      <c r="Q1046" s="1" t="s">
        <v>197</v>
      </c>
      <c r="R1046" s="2">
        <v>42123</v>
      </c>
      <c r="S1046" s="1">
        <v>188925</v>
      </c>
      <c r="U1046" s="1">
        <v>5401</v>
      </c>
      <c r="V1046" s="1" t="s">
        <v>11200</v>
      </c>
      <c r="W1046" s="1" t="s">
        <v>199</v>
      </c>
      <c r="X1046" s="1">
        <v>1104</v>
      </c>
      <c r="Y1046" s="1">
        <v>75</v>
      </c>
      <c r="Z1046" s="1" t="s">
        <v>249</v>
      </c>
      <c r="AA1046" s="1" t="s">
        <v>400</v>
      </c>
      <c r="AB1046" s="1">
        <v>60615</v>
      </c>
      <c r="AE1046" s="1" t="s">
        <v>11201</v>
      </c>
      <c r="AF1046" s="1">
        <v>1964</v>
      </c>
      <c r="AG1046" s="1" t="s">
        <v>213</v>
      </c>
      <c r="AH1046" s="1" t="s">
        <v>403</v>
      </c>
      <c r="AI1046" s="1" t="s">
        <v>310</v>
      </c>
      <c r="AJ1046" s="1" t="s">
        <v>562</v>
      </c>
      <c r="AL1046" s="1">
        <v>5</v>
      </c>
      <c r="AM1046" s="1">
        <v>2</v>
      </c>
      <c r="AN1046" s="1">
        <v>2</v>
      </c>
      <c r="AO1046" s="1">
        <v>0</v>
      </c>
      <c r="AP1046" s="1" t="s">
        <v>209</v>
      </c>
      <c r="AR1046" s="1" t="s">
        <v>210</v>
      </c>
      <c r="AT1046" s="1" t="s">
        <v>211</v>
      </c>
      <c r="AU1046" s="1">
        <v>1</v>
      </c>
      <c r="AW1046" s="1" t="s">
        <v>204</v>
      </c>
      <c r="AX1046" s="1" t="s">
        <v>212</v>
      </c>
      <c r="AZ1046" s="1">
        <v>1607</v>
      </c>
      <c r="BA1046" s="1">
        <v>2013</v>
      </c>
      <c r="BB1046" s="1" t="s">
        <v>405</v>
      </c>
      <c r="BE1046" s="1">
        <v>1100</v>
      </c>
      <c r="BF1046" s="1">
        <v>11</v>
      </c>
      <c r="BG1046" s="1">
        <v>30</v>
      </c>
      <c r="BL1046" s="1">
        <v>622</v>
      </c>
      <c r="BM1046" s="1" t="s">
        <v>204</v>
      </c>
      <c r="BN1046" s="1" t="s">
        <v>213</v>
      </c>
      <c r="BO1046" s="1">
        <v>999</v>
      </c>
      <c r="BP1046" s="1" t="s">
        <v>204</v>
      </c>
      <c r="BR1046" s="1" t="str">
        <f>"20121140541046"</f>
        <v>20121140541046</v>
      </c>
      <c r="BT1046" s="1" t="s">
        <v>11202</v>
      </c>
      <c r="BX1046" s="1">
        <v>299</v>
      </c>
      <c r="BY1046" s="1">
        <v>299</v>
      </c>
      <c r="BZ1046" s="1">
        <v>299</v>
      </c>
      <c r="CB1046" s="1" t="str">
        <f>"0"</f>
        <v>0</v>
      </c>
      <c r="CC1046" s="1" t="str">
        <f>"1700"</f>
        <v>1700</v>
      </c>
      <c r="CD1046" s="1">
        <v>0</v>
      </c>
      <c r="CE1046" s="1">
        <v>5401</v>
      </c>
      <c r="CG1046" s="1" t="s">
        <v>3035</v>
      </c>
      <c r="CH1046" s="1" t="s">
        <v>219</v>
      </c>
      <c r="CI1046" s="1" t="s">
        <v>438</v>
      </c>
      <c r="CJ1046" s="1" t="s">
        <v>343</v>
      </c>
      <c r="CK1046" s="1" t="s">
        <v>972</v>
      </c>
      <c r="CL1046" s="1" t="s">
        <v>219</v>
      </c>
      <c r="CM1046" s="1" t="s">
        <v>438</v>
      </c>
      <c r="CN1046" s="1" t="s">
        <v>343</v>
      </c>
      <c r="CO1046" s="1" t="s">
        <v>516</v>
      </c>
      <c r="CP1046" s="1" t="s">
        <v>219</v>
      </c>
      <c r="CQ1046" s="1" t="s">
        <v>438</v>
      </c>
      <c r="CR1046" s="1" t="s">
        <v>343</v>
      </c>
      <c r="CS1046" s="1" t="s">
        <v>1297</v>
      </c>
      <c r="CT1046" s="1" t="s">
        <v>219</v>
      </c>
      <c r="CU1046" s="1" t="s">
        <v>438</v>
      </c>
      <c r="CV1046" s="1" t="s">
        <v>343</v>
      </c>
      <c r="CX1046" s="1" t="s">
        <v>224</v>
      </c>
      <c r="DB1046" s="1" t="s">
        <v>224</v>
      </c>
      <c r="DE1046" s="1" t="s">
        <v>516</v>
      </c>
      <c r="DF1046" s="1" t="s">
        <v>219</v>
      </c>
      <c r="DG1046" s="1" t="s">
        <v>226</v>
      </c>
      <c r="DH1046" s="1" t="s">
        <v>210</v>
      </c>
      <c r="DJ1046" s="1" t="s">
        <v>224</v>
      </c>
      <c r="DS1046" s="1" t="s">
        <v>230</v>
      </c>
      <c r="DW1046" s="1" t="s">
        <v>230</v>
      </c>
      <c r="EA1046" s="1" t="s">
        <v>230</v>
      </c>
      <c r="EE1046" s="1" t="s">
        <v>230</v>
      </c>
      <c r="EI1046" s="1" t="s">
        <v>230</v>
      </c>
      <c r="EL1046" s="1" t="s">
        <v>649</v>
      </c>
      <c r="EM1046" s="1" t="s">
        <v>232</v>
      </c>
      <c r="EN1046" s="1" t="s">
        <v>233</v>
      </c>
      <c r="EO1046" s="1" t="s">
        <v>234</v>
      </c>
      <c r="EP1046" s="1" t="s">
        <v>11203</v>
      </c>
      <c r="EQ1046" s="1" t="s">
        <v>953</v>
      </c>
      <c r="ER1046" s="1" t="s">
        <v>210</v>
      </c>
      <c r="ES1046" s="1" t="s">
        <v>545</v>
      </c>
      <c r="EV1046" s="1" t="s">
        <v>6425</v>
      </c>
      <c r="EW1046" s="1" t="s">
        <v>11204</v>
      </c>
      <c r="EZ1046" s="1" t="s">
        <v>287</v>
      </c>
      <c r="FA1046" s="1" t="s">
        <v>2723</v>
      </c>
      <c r="FB1046" s="1" t="s">
        <v>289</v>
      </c>
      <c r="FC1046" s="1" t="s">
        <v>2996</v>
      </c>
      <c r="FD1046" s="1" t="s">
        <v>246</v>
      </c>
      <c r="FE1046" s="1" t="s">
        <v>247</v>
      </c>
      <c r="FF1046" s="1" t="s">
        <v>248</v>
      </c>
      <c r="FH1046" s="1" t="s">
        <v>2432</v>
      </c>
      <c r="FL1046" s="1" t="s">
        <v>2233</v>
      </c>
      <c r="FM1046" s="1" t="s">
        <v>252</v>
      </c>
      <c r="FN1046" s="1" t="s">
        <v>213</v>
      </c>
      <c r="FO1046" s="1" t="s">
        <v>213</v>
      </c>
      <c r="FQ1046" s="1" t="s">
        <v>2004</v>
      </c>
      <c r="FR1046" s="1" t="s">
        <v>210</v>
      </c>
      <c r="FS1046" s="1" t="s">
        <v>11205</v>
      </c>
      <c r="FT1046" s="1" t="s">
        <v>295</v>
      </c>
      <c r="FU1046" s="1" t="s">
        <v>204</v>
      </c>
      <c r="FW1046" s="1" t="s">
        <v>2006</v>
      </c>
      <c r="FX1046" s="1">
        <v>14703</v>
      </c>
      <c r="FY1046" s="1" t="s">
        <v>9604</v>
      </c>
      <c r="FZ1046" s="1" t="s">
        <v>11206</v>
      </c>
      <c r="GA1046" s="1">
        <v>188925</v>
      </c>
      <c r="GB1046" s="1" t="s">
        <v>11207</v>
      </c>
      <c r="GC1046" s="1">
        <v>840144</v>
      </c>
      <c r="GE1046" s="1" t="s">
        <v>2504</v>
      </c>
      <c r="GH1046" s="1" t="s">
        <v>421</v>
      </c>
      <c r="GI1046" s="1" t="s">
        <v>213</v>
      </c>
      <c r="GJ1046" s="1" t="s">
        <v>260</v>
      </c>
      <c r="GK1046" s="1" t="s">
        <v>210</v>
      </c>
      <c r="GL1046" s="2">
        <v>42123</v>
      </c>
    </row>
    <row r="1047" spans="1:195">
      <c r="A1047" s="1">
        <v>98000</v>
      </c>
      <c r="B1047" s="1" t="s">
        <v>195</v>
      </c>
      <c r="C1047" s="1" t="str">
        <f>"08843434"</f>
        <v>08843434</v>
      </c>
      <c r="D1047" s="1" t="s">
        <v>196</v>
      </c>
      <c r="F1047" s="1" t="str">
        <f>"540"</f>
        <v>540</v>
      </c>
      <c r="G1047" s="2">
        <v>42055</v>
      </c>
      <c r="H1047" s="1">
        <v>109900</v>
      </c>
      <c r="I1047" s="1">
        <v>109900</v>
      </c>
      <c r="J1047" s="1">
        <v>98000</v>
      </c>
      <c r="K1047" s="2">
        <v>42054</v>
      </c>
      <c r="L1047" s="1">
        <v>35</v>
      </c>
      <c r="M1047" s="2">
        <v>42088</v>
      </c>
      <c r="N1047" s="1">
        <v>35</v>
      </c>
      <c r="O1047" s="2">
        <v>42088</v>
      </c>
      <c r="P1047" s="1">
        <v>23120</v>
      </c>
      <c r="Q1047" s="1" t="s">
        <v>197</v>
      </c>
      <c r="R1047" s="2">
        <v>42132</v>
      </c>
      <c r="S1047" s="1">
        <v>227850</v>
      </c>
      <c r="T1047" s="1">
        <v>2000</v>
      </c>
      <c r="U1047" s="1">
        <v>1041</v>
      </c>
      <c r="V1047" s="1" t="s">
        <v>4567</v>
      </c>
      <c r="W1047" s="1" t="s">
        <v>425</v>
      </c>
      <c r="X1047" s="1" t="s">
        <v>11208</v>
      </c>
      <c r="Y1047" s="1">
        <v>57</v>
      </c>
      <c r="Z1047" s="1" t="s">
        <v>249</v>
      </c>
      <c r="AA1047" s="1" t="s">
        <v>921</v>
      </c>
      <c r="AB1047" s="1">
        <v>60563</v>
      </c>
      <c r="AD1047" s="1" t="s">
        <v>11209</v>
      </c>
      <c r="AE1047" s="1" t="s">
        <v>11210</v>
      </c>
      <c r="AF1047" s="1">
        <v>1979</v>
      </c>
      <c r="AG1047" s="1" t="s">
        <v>204</v>
      </c>
      <c r="AH1047" s="1" t="s">
        <v>924</v>
      </c>
      <c r="AI1047" s="1" t="s">
        <v>206</v>
      </c>
      <c r="AJ1047" s="1" t="s">
        <v>924</v>
      </c>
      <c r="AL1047" s="1">
        <v>5</v>
      </c>
      <c r="AM1047" s="1">
        <v>2</v>
      </c>
      <c r="AN1047" s="1">
        <v>2</v>
      </c>
      <c r="AO1047" s="1">
        <v>0</v>
      </c>
      <c r="AP1047" s="1" t="s">
        <v>209</v>
      </c>
      <c r="AR1047" s="1" t="s">
        <v>210</v>
      </c>
      <c r="AT1047" s="1" t="s">
        <v>271</v>
      </c>
      <c r="AV1047" s="1">
        <v>2</v>
      </c>
      <c r="AW1047" s="1" t="s">
        <v>204</v>
      </c>
      <c r="AX1047" s="1" t="s">
        <v>212</v>
      </c>
      <c r="AZ1047" s="1">
        <v>2220</v>
      </c>
      <c r="BA1047" s="1">
        <v>2013</v>
      </c>
      <c r="BE1047" s="1">
        <v>1050</v>
      </c>
      <c r="BF1047" s="1">
        <v>1</v>
      </c>
      <c r="BG1047" s="1">
        <v>0</v>
      </c>
      <c r="BL1047" s="1">
        <v>358</v>
      </c>
      <c r="BM1047" s="1" t="s">
        <v>204</v>
      </c>
      <c r="BN1047" s="1" t="s">
        <v>213</v>
      </c>
      <c r="BO1047" s="1">
        <v>10</v>
      </c>
      <c r="BP1047" s="1" t="s">
        <v>204</v>
      </c>
      <c r="BR1047" s="1" t="str">
        <f>"0711409057"</f>
        <v>0711409057</v>
      </c>
      <c r="BT1047" s="1" t="s">
        <v>11211</v>
      </c>
      <c r="BX1047" s="1">
        <v>203</v>
      </c>
      <c r="BY1047" s="1">
        <v>203</v>
      </c>
      <c r="BZ1047" s="1">
        <v>203</v>
      </c>
      <c r="CB1047" s="1" t="str">
        <f t="shared" ref="CB1047:CC1047" si="807">""</f>
        <v/>
      </c>
      <c r="CC1047" s="1" t="str">
        <f t="shared" si="807"/>
        <v/>
      </c>
      <c r="CD1047" s="1">
        <v>28</v>
      </c>
      <c r="CE1047" s="1">
        <v>5</v>
      </c>
      <c r="CG1047" s="1" t="s">
        <v>3913</v>
      </c>
      <c r="CH1047" s="1" t="s">
        <v>219</v>
      </c>
      <c r="CI1047" s="1" t="s">
        <v>220</v>
      </c>
      <c r="CJ1047" s="1" t="s">
        <v>463</v>
      </c>
      <c r="CK1047" s="1" t="s">
        <v>2934</v>
      </c>
      <c r="CL1047" s="1" t="s">
        <v>219</v>
      </c>
      <c r="CM1047" s="1" t="s">
        <v>220</v>
      </c>
      <c r="CN1047" s="1" t="s">
        <v>343</v>
      </c>
      <c r="CO1047" s="1" t="s">
        <v>629</v>
      </c>
      <c r="CP1047" s="1" t="s">
        <v>219</v>
      </c>
      <c r="CQ1047" s="1" t="s">
        <v>220</v>
      </c>
      <c r="CR1047" s="1" t="s">
        <v>463</v>
      </c>
      <c r="CS1047" s="1" t="s">
        <v>1469</v>
      </c>
      <c r="CT1047" s="1" t="s">
        <v>219</v>
      </c>
      <c r="CU1047" s="1" t="s">
        <v>220</v>
      </c>
      <c r="CV1047" s="1" t="s">
        <v>343</v>
      </c>
      <c r="CX1047" s="1" t="s">
        <v>224</v>
      </c>
      <c r="DB1047" s="1" t="s">
        <v>224</v>
      </c>
      <c r="DE1047" s="1" t="s">
        <v>1788</v>
      </c>
      <c r="DF1047" s="1" t="s">
        <v>219</v>
      </c>
      <c r="DG1047" s="1" t="s">
        <v>226</v>
      </c>
      <c r="DH1047" s="1" t="s">
        <v>210</v>
      </c>
      <c r="DJ1047" s="1" t="s">
        <v>224</v>
      </c>
      <c r="DS1047" s="1" t="s">
        <v>230</v>
      </c>
      <c r="DW1047" s="1" t="s">
        <v>230</v>
      </c>
      <c r="EA1047" s="1" t="s">
        <v>230</v>
      </c>
      <c r="EE1047" s="1" t="s">
        <v>230</v>
      </c>
      <c r="EI1047" s="1" t="s">
        <v>230</v>
      </c>
      <c r="EL1047" s="1" t="s">
        <v>231</v>
      </c>
      <c r="EM1047" s="1" t="s">
        <v>319</v>
      </c>
      <c r="EN1047" s="1" t="s">
        <v>233</v>
      </c>
      <c r="EO1047" s="1" t="s">
        <v>234</v>
      </c>
      <c r="EP1047" s="1" t="s">
        <v>11212</v>
      </c>
      <c r="EQ1047" s="1" t="s">
        <v>1109</v>
      </c>
      <c r="ER1047" s="1" t="s">
        <v>210</v>
      </c>
      <c r="ES1047" s="1" t="s">
        <v>4122</v>
      </c>
      <c r="ET1047" s="1" t="s">
        <v>323</v>
      </c>
      <c r="EU1047" s="1" t="s">
        <v>239</v>
      </c>
      <c r="EV1047" s="1" t="s">
        <v>240</v>
      </c>
      <c r="EW1047" s="1" t="s">
        <v>844</v>
      </c>
      <c r="EZ1047" s="1" t="s">
        <v>287</v>
      </c>
      <c r="FC1047" s="1" t="s">
        <v>1386</v>
      </c>
      <c r="FD1047" s="1" t="s">
        <v>246</v>
      </c>
      <c r="FE1047" s="1" t="s">
        <v>247</v>
      </c>
      <c r="FF1047" s="1" t="s">
        <v>248</v>
      </c>
      <c r="FH1047" s="1" t="s">
        <v>249</v>
      </c>
      <c r="FJ1047" s="1" t="s">
        <v>197</v>
      </c>
      <c r="FK1047" s="1" t="s">
        <v>4663</v>
      </c>
      <c r="FL1047" s="1" t="s">
        <v>328</v>
      </c>
      <c r="FM1047" s="1" t="s">
        <v>252</v>
      </c>
      <c r="FN1047" s="1" t="s">
        <v>213</v>
      </c>
      <c r="FO1047" s="1" t="s">
        <v>213</v>
      </c>
      <c r="FQ1047" s="1" t="s">
        <v>11213</v>
      </c>
      <c r="FR1047" s="1" t="s">
        <v>210</v>
      </c>
      <c r="FS1047" s="1" t="s">
        <v>11214</v>
      </c>
      <c r="FT1047" s="1" t="s">
        <v>11215</v>
      </c>
      <c r="FU1047" s="1" t="s">
        <v>204</v>
      </c>
      <c r="FW1047" s="1" t="s">
        <v>11216</v>
      </c>
      <c r="FX1047" s="1">
        <v>23426</v>
      </c>
      <c r="FY1047" s="1" t="s">
        <v>11217</v>
      </c>
      <c r="FZ1047" s="1" t="s">
        <v>11218</v>
      </c>
      <c r="GA1047" s="1">
        <v>212021</v>
      </c>
      <c r="GB1047" s="1" t="s">
        <v>11219</v>
      </c>
      <c r="GE1047" s="1" t="s">
        <v>1764</v>
      </c>
      <c r="GH1047" s="1" t="s">
        <v>589</v>
      </c>
      <c r="GI1047" s="1" t="s">
        <v>213</v>
      </c>
      <c r="GJ1047" s="1" t="s">
        <v>260</v>
      </c>
      <c r="GK1047" s="1" t="s">
        <v>210</v>
      </c>
      <c r="GL1047" s="2">
        <v>42132</v>
      </c>
      <c r="GM1047" s="1" t="s">
        <v>11220</v>
      </c>
    </row>
    <row r="1048" spans="1:195">
      <c r="A1048" s="1">
        <v>185000</v>
      </c>
      <c r="B1048" s="1" t="s">
        <v>195</v>
      </c>
      <c r="C1048" s="1" t="str">
        <f>"08843438"</f>
        <v>08843438</v>
      </c>
      <c r="D1048" s="1" t="s">
        <v>196</v>
      </c>
      <c r="F1048" s="1" t="str">
        <f>"108"</f>
        <v>108</v>
      </c>
      <c r="G1048" s="2">
        <v>42055</v>
      </c>
      <c r="H1048" s="1">
        <v>199900</v>
      </c>
      <c r="I1048" s="1">
        <v>199900</v>
      </c>
      <c r="J1048" s="1">
        <v>185000</v>
      </c>
      <c r="K1048" s="2">
        <v>42052</v>
      </c>
      <c r="L1048" s="1">
        <v>48</v>
      </c>
      <c r="M1048" s="2">
        <v>42099</v>
      </c>
      <c r="N1048" s="1">
        <v>48</v>
      </c>
      <c r="O1048" s="2">
        <v>42099</v>
      </c>
      <c r="P1048" s="1">
        <v>85464</v>
      </c>
      <c r="Q1048" s="1" t="s">
        <v>197</v>
      </c>
      <c r="R1048" s="2">
        <v>42139</v>
      </c>
      <c r="S1048" s="1">
        <v>188881</v>
      </c>
      <c r="U1048" s="1">
        <v>120</v>
      </c>
      <c r="V1048" s="1" t="s">
        <v>828</v>
      </c>
      <c r="W1048" s="1" t="s">
        <v>264</v>
      </c>
      <c r="X1048" s="1">
        <v>524</v>
      </c>
      <c r="Y1048" s="1" t="s">
        <v>11221</v>
      </c>
      <c r="Z1048" s="1" t="s">
        <v>200</v>
      </c>
      <c r="AA1048" s="1" t="s">
        <v>829</v>
      </c>
      <c r="AB1048" s="1">
        <v>60108</v>
      </c>
      <c r="AE1048" s="1" t="s">
        <v>11222</v>
      </c>
      <c r="AF1048" s="1">
        <v>1975</v>
      </c>
      <c r="AG1048" s="1" t="s">
        <v>213</v>
      </c>
      <c r="AH1048" s="1" t="s">
        <v>269</v>
      </c>
      <c r="AI1048" s="1" t="s">
        <v>206</v>
      </c>
      <c r="AJ1048" s="1" t="s">
        <v>269</v>
      </c>
      <c r="AL1048" s="1">
        <v>6</v>
      </c>
      <c r="AM1048" s="1">
        <v>2</v>
      </c>
      <c r="AN1048" s="1">
        <v>2</v>
      </c>
      <c r="AO1048" s="1">
        <v>0</v>
      </c>
      <c r="AP1048" s="1" t="s">
        <v>209</v>
      </c>
      <c r="AR1048" s="1" t="s">
        <v>210</v>
      </c>
      <c r="AS1048" s="1" t="s">
        <v>204</v>
      </c>
      <c r="AT1048" s="1" t="s">
        <v>211</v>
      </c>
      <c r="AU1048" s="1">
        <v>2</v>
      </c>
      <c r="AW1048" s="1" t="s">
        <v>213</v>
      </c>
      <c r="AX1048" s="1" t="s">
        <v>11223</v>
      </c>
      <c r="AZ1048" s="1">
        <v>2826.74</v>
      </c>
      <c r="BA1048" s="1">
        <v>2013</v>
      </c>
      <c r="BB1048" s="1" t="s">
        <v>405</v>
      </c>
      <c r="BE1048" s="1">
        <v>1600</v>
      </c>
      <c r="BF1048" s="1">
        <v>5</v>
      </c>
      <c r="BG1048" s="1">
        <v>15</v>
      </c>
      <c r="BL1048" s="1">
        <v>464</v>
      </c>
      <c r="BM1048" s="1" t="s">
        <v>204</v>
      </c>
      <c r="BN1048" s="1" t="s">
        <v>213</v>
      </c>
      <c r="BO1048" s="1">
        <v>25</v>
      </c>
      <c r="BP1048" s="1" t="s">
        <v>204</v>
      </c>
      <c r="BR1048" s="1" t="str">
        <f>"0214119120"</f>
        <v>0214119120</v>
      </c>
      <c r="BT1048" s="1" t="s">
        <v>11224</v>
      </c>
      <c r="BX1048" s="1">
        <v>12</v>
      </c>
      <c r="BY1048" s="1">
        <v>13</v>
      </c>
      <c r="BZ1048" s="1">
        <v>108</v>
      </c>
      <c r="CB1048" s="1" t="str">
        <f t="shared" ref="CB1048:CC1048" si="808">""</f>
        <v/>
      </c>
      <c r="CC1048" s="1" t="str">
        <f t="shared" si="808"/>
        <v/>
      </c>
      <c r="CG1048" s="1" t="s">
        <v>4556</v>
      </c>
      <c r="CH1048" s="1" t="s">
        <v>219</v>
      </c>
      <c r="CI1048" s="1" t="s">
        <v>438</v>
      </c>
      <c r="CJ1048" s="1" t="s">
        <v>343</v>
      </c>
      <c r="CK1048" s="1" t="s">
        <v>581</v>
      </c>
      <c r="CL1048" s="1" t="s">
        <v>219</v>
      </c>
      <c r="CM1048" s="1" t="s">
        <v>220</v>
      </c>
      <c r="CN1048" s="1" t="s">
        <v>343</v>
      </c>
      <c r="CO1048" s="1" t="s">
        <v>379</v>
      </c>
      <c r="CP1048" s="1" t="s">
        <v>219</v>
      </c>
      <c r="CQ1048" s="1" t="s">
        <v>438</v>
      </c>
      <c r="CR1048" s="1" t="s">
        <v>210</v>
      </c>
      <c r="CS1048" s="1" t="s">
        <v>972</v>
      </c>
      <c r="CT1048" s="1" t="s">
        <v>219</v>
      </c>
      <c r="CU1048" s="1" t="s">
        <v>220</v>
      </c>
      <c r="CV1048" s="1" t="s">
        <v>343</v>
      </c>
      <c r="CX1048" s="1" t="s">
        <v>224</v>
      </c>
      <c r="DB1048" s="1" t="s">
        <v>224</v>
      </c>
      <c r="DE1048" s="1" t="s">
        <v>379</v>
      </c>
      <c r="DF1048" s="1" t="s">
        <v>219</v>
      </c>
      <c r="DG1048" s="1" t="s">
        <v>226</v>
      </c>
      <c r="DH1048" s="1" t="s">
        <v>343</v>
      </c>
      <c r="DJ1048" s="1" t="s">
        <v>224</v>
      </c>
      <c r="DM1048" s="1" t="s">
        <v>1005</v>
      </c>
      <c r="DR1048" s="1" t="s">
        <v>6362</v>
      </c>
      <c r="DS1048" s="1" t="s">
        <v>219</v>
      </c>
      <c r="DT1048" s="1" t="s">
        <v>438</v>
      </c>
      <c r="DU1048" s="1" t="s">
        <v>343</v>
      </c>
      <c r="DW1048" s="1" t="s">
        <v>230</v>
      </c>
      <c r="EA1048" s="1" t="s">
        <v>230</v>
      </c>
      <c r="EE1048" s="1" t="s">
        <v>230</v>
      </c>
      <c r="EI1048" s="1" t="s">
        <v>230</v>
      </c>
      <c r="EL1048" s="1" t="s">
        <v>231</v>
      </c>
      <c r="EM1048" s="1" t="s">
        <v>319</v>
      </c>
      <c r="EN1048" s="1" t="s">
        <v>282</v>
      </c>
      <c r="EO1048" s="1" t="s">
        <v>234</v>
      </c>
      <c r="EQ1048" s="1" t="s">
        <v>5876</v>
      </c>
      <c r="ER1048" s="1" t="s">
        <v>210</v>
      </c>
      <c r="EW1048" s="1" t="s">
        <v>11225</v>
      </c>
      <c r="EZ1048" s="1" t="s">
        <v>1005</v>
      </c>
      <c r="FA1048" s="1" t="s">
        <v>3504</v>
      </c>
      <c r="FD1048" s="1" t="s">
        <v>385</v>
      </c>
      <c r="FE1048" s="1" t="s">
        <v>247</v>
      </c>
      <c r="FF1048" s="1" t="s">
        <v>248</v>
      </c>
      <c r="FH1048" s="1" t="s">
        <v>249</v>
      </c>
      <c r="FL1048" s="1" t="s">
        <v>11226</v>
      </c>
      <c r="FM1048" s="1" t="s">
        <v>252</v>
      </c>
      <c r="FN1048" s="1" t="s">
        <v>213</v>
      </c>
      <c r="FO1048" s="1" t="s">
        <v>204</v>
      </c>
      <c r="FQ1048" s="1" t="s">
        <v>3560</v>
      </c>
      <c r="FR1048" s="1" t="s">
        <v>210</v>
      </c>
      <c r="FS1048" s="1" t="s">
        <v>11227</v>
      </c>
      <c r="FT1048" s="1" t="s">
        <v>295</v>
      </c>
      <c r="FU1048" s="1" t="s">
        <v>204</v>
      </c>
      <c r="FW1048" s="1" t="s">
        <v>9279</v>
      </c>
      <c r="FX1048" s="1">
        <v>22739</v>
      </c>
      <c r="FY1048" s="1" t="s">
        <v>9280</v>
      </c>
      <c r="FZ1048" s="1" t="s">
        <v>11228</v>
      </c>
      <c r="GA1048" s="1">
        <v>221406</v>
      </c>
      <c r="GB1048" s="1" t="s">
        <v>11229</v>
      </c>
      <c r="GE1048" s="1" t="s">
        <v>210</v>
      </c>
      <c r="GI1048" s="1" t="s">
        <v>204</v>
      </c>
      <c r="GJ1048" s="1" t="s">
        <v>260</v>
      </c>
      <c r="GK1048" s="1" t="s">
        <v>210</v>
      </c>
      <c r="GL1048" s="2">
        <v>42139</v>
      </c>
    </row>
    <row r="1049" spans="1:195">
      <c r="A1049" s="1">
        <v>145000</v>
      </c>
      <c r="B1049" s="1" t="s">
        <v>195</v>
      </c>
      <c r="C1049" s="1" t="str">
        <f>"08842285"</f>
        <v>08842285</v>
      </c>
      <c r="D1049" s="1" t="s">
        <v>196</v>
      </c>
      <c r="F1049" s="1" t="str">
        <f>"164"</f>
        <v>164</v>
      </c>
      <c r="G1049" s="2">
        <v>42054</v>
      </c>
      <c r="H1049" s="1">
        <v>148900</v>
      </c>
      <c r="I1049" s="1">
        <v>148900</v>
      </c>
      <c r="J1049" s="1">
        <v>145000</v>
      </c>
      <c r="K1049" s="2">
        <v>42054</v>
      </c>
      <c r="L1049" s="1">
        <v>5</v>
      </c>
      <c r="M1049" s="2">
        <v>42058</v>
      </c>
      <c r="N1049" s="1">
        <v>5</v>
      </c>
      <c r="O1049" s="2">
        <v>42058</v>
      </c>
      <c r="P1049" s="1">
        <v>85391</v>
      </c>
      <c r="Q1049" s="1" t="s">
        <v>197</v>
      </c>
      <c r="R1049" s="2">
        <v>42125</v>
      </c>
      <c r="S1049" s="1">
        <v>103362</v>
      </c>
      <c r="U1049" s="1">
        <v>77</v>
      </c>
      <c r="V1049" s="1" t="s">
        <v>2489</v>
      </c>
      <c r="W1049" s="1" t="s">
        <v>1056</v>
      </c>
      <c r="X1049" s="1">
        <v>302</v>
      </c>
      <c r="Y1049" s="1">
        <v>60</v>
      </c>
      <c r="Z1049" s="1" t="s">
        <v>249</v>
      </c>
      <c r="AA1049" s="1" t="s">
        <v>5771</v>
      </c>
      <c r="AB1049" s="1">
        <v>60164</v>
      </c>
      <c r="AE1049" s="1" t="s">
        <v>11230</v>
      </c>
      <c r="AF1049" s="1">
        <v>2008</v>
      </c>
      <c r="AG1049" s="1" t="s">
        <v>204</v>
      </c>
      <c r="AH1049" s="1" t="s">
        <v>5773</v>
      </c>
      <c r="AI1049" s="1" t="s">
        <v>310</v>
      </c>
      <c r="AJ1049" s="1" t="s">
        <v>311</v>
      </c>
      <c r="AL1049" s="1">
        <v>5</v>
      </c>
      <c r="AM1049" s="1">
        <v>2</v>
      </c>
      <c r="AN1049" s="1">
        <v>1</v>
      </c>
      <c r="AO1049" s="1">
        <v>0</v>
      </c>
      <c r="AP1049" s="1" t="s">
        <v>210</v>
      </c>
      <c r="AR1049" s="1" t="s">
        <v>210</v>
      </c>
      <c r="AS1049" s="1" t="s">
        <v>204</v>
      </c>
      <c r="AT1049" s="1" t="s">
        <v>211</v>
      </c>
      <c r="AU1049" s="1">
        <v>1</v>
      </c>
      <c r="AW1049" s="1" t="s">
        <v>204</v>
      </c>
      <c r="AX1049" s="1" t="s">
        <v>4740</v>
      </c>
      <c r="AZ1049" s="1" t="s">
        <v>751</v>
      </c>
      <c r="BA1049" s="1">
        <v>2013</v>
      </c>
      <c r="BB1049" s="1" t="s">
        <v>210</v>
      </c>
      <c r="BE1049" s="1">
        <v>1181</v>
      </c>
      <c r="BF1049" s="1">
        <v>3</v>
      </c>
      <c r="BG1049" s="1">
        <v>0</v>
      </c>
      <c r="BL1049" s="1">
        <v>262</v>
      </c>
      <c r="BM1049" s="1" t="s">
        <v>204</v>
      </c>
      <c r="BN1049" s="1" t="s">
        <v>213</v>
      </c>
      <c r="BO1049" s="1">
        <v>75</v>
      </c>
      <c r="BP1049" s="1" t="s">
        <v>204</v>
      </c>
      <c r="BR1049" s="1" t="str">
        <f>"12323210201014"</f>
        <v>12323210201014</v>
      </c>
      <c r="BT1049" s="1" t="s">
        <v>11231</v>
      </c>
      <c r="BU1049" s="1" t="s">
        <v>2760</v>
      </c>
      <c r="BV1049" s="1" t="s">
        <v>5775</v>
      </c>
      <c r="BW1049" s="1" t="s">
        <v>5776</v>
      </c>
      <c r="BX1049" s="1">
        <v>87</v>
      </c>
      <c r="BY1049" s="1">
        <v>87</v>
      </c>
      <c r="BZ1049" s="1">
        <v>212</v>
      </c>
      <c r="CB1049" s="1" t="str">
        <f>"2"</f>
        <v>2</v>
      </c>
      <c r="CC1049" s="1" t="str">
        <f>"0"</f>
        <v>0</v>
      </c>
      <c r="CD1049" s="1">
        <v>14</v>
      </c>
      <c r="CE1049" s="1">
        <v>0</v>
      </c>
      <c r="CG1049" s="1" t="s">
        <v>4556</v>
      </c>
      <c r="CH1049" s="1" t="s">
        <v>219</v>
      </c>
      <c r="CI1049" s="1" t="s">
        <v>220</v>
      </c>
      <c r="CK1049" s="1" t="s">
        <v>2170</v>
      </c>
      <c r="CL1049" s="1" t="s">
        <v>219</v>
      </c>
      <c r="CM1049" s="1" t="s">
        <v>220</v>
      </c>
      <c r="CO1049" s="1" t="s">
        <v>629</v>
      </c>
      <c r="CP1049" s="1" t="s">
        <v>219</v>
      </c>
      <c r="CS1049" s="1" t="s">
        <v>2170</v>
      </c>
      <c r="CT1049" s="1" t="s">
        <v>219</v>
      </c>
      <c r="CU1049" s="1" t="s">
        <v>220</v>
      </c>
      <c r="CX1049" s="1" t="s">
        <v>224</v>
      </c>
      <c r="DB1049" s="1" t="s">
        <v>224</v>
      </c>
      <c r="DE1049" s="1" t="s">
        <v>378</v>
      </c>
      <c r="DF1049" s="1" t="s">
        <v>219</v>
      </c>
      <c r="DG1049" s="1" t="s">
        <v>342</v>
      </c>
      <c r="DJ1049" s="1" t="s">
        <v>224</v>
      </c>
      <c r="DO1049" s="1" t="s">
        <v>838</v>
      </c>
      <c r="DS1049" s="1" t="s">
        <v>230</v>
      </c>
      <c r="DW1049" s="1" t="s">
        <v>230</v>
      </c>
      <c r="DZ1049" s="1" t="s">
        <v>10027</v>
      </c>
      <c r="EA1049" s="1" t="s">
        <v>219</v>
      </c>
      <c r="EE1049" s="1" t="s">
        <v>230</v>
      </c>
      <c r="EI1049" s="1" t="s">
        <v>230</v>
      </c>
      <c r="EL1049" s="1" t="s">
        <v>491</v>
      </c>
      <c r="EM1049" s="1" t="s">
        <v>232</v>
      </c>
      <c r="EN1049" s="1" t="s">
        <v>282</v>
      </c>
      <c r="EO1049" s="1" t="s">
        <v>234</v>
      </c>
      <c r="EP1049" s="1" t="s">
        <v>11232</v>
      </c>
      <c r="EQ1049" s="1" t="s">
        <v>1109</v>
      </c>
      <c r="ER1049" s="1" t="s">
        <v>210</v>
      </c>
      <c r="ES1049" s="1" t="s">
        <v>322</v>
      </c>
      <c r="EW1049" s="1" t="s">
        <v>11233</v>
      </c>
      <c r="EY1049" s="1" t="s">
        <v>441</v>
      </c>
      <c r="EZ1049" s="1" t="s">
        <v>838</v>
      </c>
      <c r="FA1049" s="1" t="s">
        <v>3690</v>
      </c>
      <c r="FB1049" s="1" t="s">
        <v>289</v>
      </c>
      <c r="FC1049" s="1" t="s">
        <v>633</v>
      </c>
      <c r="FD1049" s="1" t="s">
        <v>246</v>
      </c>
      <c r="FE1049" s="1" t="s">
        <v>247</v>
      </c>
      <c r="FF1049" s="1" t="s">
        <v>248</v>
      </c>
      <c r="FH1049" s="1" t="s">
        <v>249</v>
      </c>
      <c r="FI1049" s="1" t="s">
        <v>1114</v>
      </c>
      <c r="FJ1049" s="1" t="s">
        <v>1251</v>
      </c>
      <c r="FL1049" s="1" t="s">
        <v>10533</v>
      </c>
      <c r="FM1049" s="1" t="s">
        <v>252</v>
      </c>
      <c r="FN1049" s="1" t="s">
        <v>213</v>
      </c>
      <c r="FO1049" s="1" t="s">
        <v>213</v>
      </c>
      <c r="FQ1049" s="1" t="s">
        <v>2004</v>
      </c>
      <c r="FR1049" s="1" t="s">
        <v>210</v>
      </c>
      <c r="FS1049" s="1" t="s">
        <v>5323</v>
      </c>
      <c r="FT1049" s="1" t="s">
        <v>295</v>
      </c>
      <c r="FU1049" s="1" t="s">
        <v>204</v>
      </c>
      <c r="FW1049" s="1" t="s">
        <v>5780</v>
      </c>
      <c r="FX1049" s="1">
        <v>85391</v>
      </c>
      <c r="FY1049" s="1" t="s">
        <v>5781</v>
      </c>
      <c r="FZ1049" s="1" t="s">
        <v>5782</v>
      </c>
      <c r="GA1049" s="1">
        <v>103362</v>
      </c>
      <c r="GB1049" s="1" t="s">
        <v>5783</v>
      </c>
      <c r="GD1049" s="1" t="s">
        <v>11234</v>
      </c>
      <c r="GE1049" s="1" t="s">
        <v>480</v>
      </c>
      <c r="GH1049" s="1" t="s">
        <v>230</v>
      </c>
      <c r="GI1049" s="1" t="s">
        <v>213</v>
      </c>
      <c r="GJ1049" s="1" t="s">
        <v>260</v>
      </c>
      <c r="GK1049" s="1" t="s">
        <v>210</v>
      </c>
      <c r="GL1049" s="2">
        <v>42128</v>
      </c>
      <c r="GM1049" s="1" t="s">
        <v>11235</v>
      </c>
    </row>
    <row r="1050" spans="1:195">
      <c r="A1050" s="1">
        <v>96500</v>
      </c>
      <c r="B1050" s="1" t="s">
        <v>195</v>
      </c>
      <c r="C1050" s="1" t="str">
        <f>"08842324"</f>
        <v>08842324</v>
      </c>
      <c r="D1050" s="1" t="s">
        <v>196</v>
      </c>
      <c r="F1050" s="1" t="str">
        <f>"545"</f>
        <v>545</v>
      </c>
      <c r="G1050" s="2">
        <v>42054</v>
      </c>
      <c r="H1050" s="1">
        <v>99900</v>
      </c>
      <c r="I1050" s="1">
        <v>99900</v>
      </c>
      <c r="J1050" s="1">
        <v>96500</v>
      </c>
      <c r="K1050" s="2">
        <v>42054</v>
      </c>
      <c r="L1050" s="1">
        <v>35</v>
      </c>
      <c r="M1050" s="2">
        <v>42088</v>
      </c>
      <c r="N1050" s="1">
        <v>35</v>
      </c>
      <c r="O1050" s="2">
        <v>42088</v>
      </c>
      <c r="P1050" s="1">
        <v>23076</v>
      </c>
      <c r="Q1050" s="1" t="s">
        <v>423</v>
      </c>
      <c r="R1050" s="2">
        <v>42123</v>
      </c>
      <c r="S1050" s="1">
        <v>243125</v>
      </c>
      <c r="T1050" s="1">
        <v>4000</v>
      </c>
      <c r="U1050" s="1">
        <v>217</v>
      </c>
      <c r="V1050" s="1" t="s">
        <v>11236</v>
      </c>
      <c r="W1050" s="1" t="s">
        <v>304</v>
      </c>
      <c r="Y1050" s="1">
        <v>4</v>
      </c>
      <c r="Z1050" s="1" t="s">
        <v>200</v>
      </c>
      <c r="AA1050" s="1" t="s">
        <v>1335</v>
      </c>
      <c r="AB1050" s="1">
        <v>60545</v>
      </c>
      <c r="AD1050" s="1" t="s">
        <v>11237</v>
      </c>
      <c r="AE1050" s="1" t="s">
        <v>11238</v>
      </c>
      <c r="AF1050" s="1">
        <v>1990</v>
      </c>
      <c r="AG1050" s="1" t="s">
        <v>204</v>
      </c>
      <c r="AH1050" s="1" t="s">
        <v>1338</v>
      </c>
      <c r="AI1050" s="1" t="s">
        <v>453</v>
      </c>
      <c r="AJ1050" s="1" t="s">
        <v>1339</v>
      </c>
      <c r="AL1050" s="1">
        <v>7</v>
      </c>
      <c r="AM1050" s="1">
        <v>2</v>
      </c>
      <c r="AN1050" s="1">
        <v>2</v>
      </c>
      <c r="AO1050" s="1">
        <v>0</v>
      </c>
      <c r="AP1050" s="1" t="s">
        <v>210</v>
      </c>
      <c r="AQ1050" s="1">
        <v>0</v>
      </c>
      <c r="AR1050" s="1" t="s">
        <v>209</v>
      </c>
      <c r="AS1050" s="1" t="s">
        <v>204</v>
      </c>
      <c r="AT1050" s="1" t="s">
        <v>211</v>
      </c>
      <c r="AU1050" s="1">
        <v>1</v>
      </c>
      <c r="AW1050" s="1" t="s">
        <v>204</v>
      </c>
      <c r="AX1050" s="1" t="s">
        <v>11239</v>
      </c>
      <c r="AZ1050" s="1">
        <v>3835</v>
      </c>
      <c r="BA1050" s="1">
        <v>2013</v>
      </c>
      <c r="BB1050" s="1" t="s">
        <v>405</v>
      </c>
      <c r="BC1050" s="1">
        <v>0</v>
      </c>
      <c r="BD1050" s="1">
        <v>0</v>
      </c>
      <c r="BE1050" s="1">
        <v>1200</v>
      </c>
      <c r="BF1050" s="1">
        <v>1</v>
      </c>
      <c r="BG1050" s="1">
        <v>1</v>
      </c>
      <c r="BL1050" s="1">
        <v>0</v>
      </c>
      <c r="BM1050" s="1" t="s">
        <v>204</v>
      </c>
      <c r="BN1050" s="1" t="s">
        <v>213</v>
      </c>
      <c r="BO1050" s="1">
        <v>999</v>
      </c>
      <c r="BP1050" s="1" t="s">
        <v>204</v>
      </c>
      <c r="BR1050" s="1" t="str">
        <f>"0128253045"</f>
        <v>0128253045</v>
      </c>
      <c r="BT1050" s="1" t="s">
        <v>11240</v>
      </c>
      <c r="BU1050" s="1" t="s">
        <v>11241</v>
      </c>
      <c r="BV1050" s="1" t="s">
        <v>8503</v>
      </c>
      <c r="BW1050" s="1" t="s">
        <v>8504</v>
      </c>
      <c r="BX1050" s="1">
        <v>88</v>
      </c>
      <c r="BY1050" s="1">
        <v>88</v>
      </c>
      <c r="BZ1050" s="1">
        <v>88</v>
      </c>
      <c r="CB1050" s="1" t="str">
        <f t="shared" ref="CB1050:CC1050" si="809">"0"</f>
        <v>0</v>
      </c>
      <c r="CC1050" s="1" t="str">
        <f t="shared" si="809"/>
        <v>0</v>
      </c>
      <c r="CD1050" s="1">
        <v>0</v>
      </c>
      <c r="CE1050" s="1">
        <v>0</v>
      </c>
      <c r="CG1050" s="1" t="s">
        <v>461</v>
      </c>
      <c r="CH1050" s="1" t="s">
        <v>219</v>
      </c>
      <c r="CI1050" s="1" t="s">
        <v>220</v>
      </c>
      <c r="CK1050" s="1" t="s">
        <v>461</v>
      </c>
      <c r="CL1050" s="1" t="s">
        <v>277</v>
      </c>
      <c r="CM1050" s="1" t="s">
        <v>220</v>
      </c>
      <c r="CO1050" s="1" t="s">
        <v>465</v>
      </c>
      <c r="CP1050" s="1" t="s">
        <v>219</v>
      </c>
      <c r="CQ1050" s="1" t="s">
        <v>220</v>
      </c>
      <c r="CS1050" s="1" t="s">
        <v>346</v>
      </c>
      <c r="CT1050" s="1" t="s">
        <v>277</v>
      </c>
      <c r="CU1050" s="1" t="s">
        <v>220</v>
      </c>
      <c r="CX1050" s="1" t="s">
        <v>224</v>
      </c>
      <c r="DB1050" s="1" t="s">
        <v>224</v>
      </c>
      <c r="DE1050" s="1" t="s">
        <v>2231</v>
      </c>
      <c r="DF1050" s="1" t="s">
        <v>219</v>
      </c>
      <c r="DG1050" s="1" t="s">
        <v>342</v>
      </c>
      <c r="DH1050" s="1" t="s">
        <v>210</v>
      </c>
      <c r="DI1050" s="1" t="s">
        <v>6085</v>
      </c>
      <c r="DJ1050" s="1" t="s">
        <v>43</v>
      </c>
      <c r="DK1050" s="1" t="s">
        <v>220</v>
      </c>
      <c r="DL1050" s="1" t="s">
        <v>210</v>
      </c>
      <c r="DM1050" s="1" t="s">
        <v>411</v>
      </c>
      <c r="DR1050" s="1" t="s">
        <v>1046</v>
      </c>
      <c r="DS1050" s="1" t="s">
        <v>43</v>
      </c>
      <c r="DT1050" s="1" t="s">
        <v>220</v>
      </c>
      <c r="DW1050" s="1" t="s">
        <v>230</v>
      </c>
      <c r="EA1050" s="1" t="s">
        <v>230</v>
      </c>
      <c r="EE1050" s="1" t="s">
        <v>230</v>
      </c>
      <c r="EI1050" s="1" t="s">
        <v>230</v>
      </c>
      <c r="EL1050" s="1" t="s">
        <v>382</v>
      </c>
      <c r="EM1050" s="1" t="s">
        <v>319</v>
      </c>
      <c r="EN1050" s="1" t="s">
        <v>282</v>
      </c>
      <c r="EO1050" s="1" t="s">
        <v>234</v>
      </c>
      <c r="EP1050" s="1" t="s">
        <v>210</v>
      </c>
      <c r="EQ1050" s="1" t="s">
        <v>350</v>
      </c>
      <c r="ER1050" s="1" t="s">
        <v>544</v>
      </c>
      <c r="ES1050" s="1" t="s">
        <v>493</v>
      </c>
      <c r="EV1050" s="1" t="s">
        <v>240</v>
      </c>
      <c r="EW1050" s="1" t="s">
        <v>210</v>
      </c>
      <c r="EY1050" s="1" t="s">
        <v>790</v>
      </c>
      <c r="EZ1050" s="1" t="s">
        <v>411</v>
      </c>
      <c r="FA1050" s="1" t="s">
        <v>354</v>
      </c>
      <c r="FD1050" s="1" t="s">
        <v>246</v>
      </c>
      <c r="FE1050" s="1" t="s">
        <v>472</v>
      </c>
      <c r="FF1050" s="1" t="s">
        <v>248</v>
      </c>
      <c r="FH1050" s="1" t="s">
        <v>550</v>
      </c>
      <c r="FI1050" s="1" t="s">
        <v>357</v>
      </c>
      <c r="FL1050" s="1" t="s">
        <v>358</v>
      </c>
      <c r="FM1050" s="1" t="s">
        <v>252</v>
      </c>
      <c r="FN1050" s="1" t="s">
        <v>213</v>
      </c>
      <c r="FO1050" s="1" t="s">
        <v>213</v>
      </c>
      <c r="FQ1050" s="1" t="s">
        <v>6202</v>
      </c>
      <c r="FR1050" s="1" t="s">
        <v>210</v>
      </c>
      <c r="FS1050" s="1" t="s">
        <v>11242</v>
      </c>
      <c r="FT1050" s="1" t="s">
        <v>362</v>
      </c>
      <c r="FU1050" s="1" t="s">
        <v>204</v>
      </c>
      <c r="FW1050" s="1" t="s">
        <v>11243</v>
      </c>
      <c r="FX1050" s="1">
        <v>23294</v>
      </c>
      <c r="FY1050" s="1" t="s">
        <v>11244</v>
      </c>
      <c r="FZ1050" s="1" t="s">
        <v>11245</v>
      </c>
      <c r="GA1050" s="1">
        <v>234097</v>
      </c>
      <c r="GB1050" s="1" t="s">
        <v>11246</v>
      </c>
      <c r="GE1050" s="1" t="s">
        <v>210</v>
      </c>
      <c r="GI1050" s="1" t="s">
        <v>213</v>
      </c>
      <c r="GJ1050" s="1" t="s">
        <v>260</v>
      </c>
      <c r="GK1050" s="1" t="s">
        <v>210</v>
      </c>
      <c r="GL1050" s="2">
        <v>42123</v>
      </c>
      <c r="GM1050" s="1" t="s">
        <v>11247</v>
      </c>
    </row>
    <row r="1051" spans="1:195">
      <c r="A1051" s="1">
        <v>147000</v>
      </c>
      <c r="B1051" s="1" t="s">
        <v>195</v>
      </c>
      <c r="C1051" s="1" t="str">
        <f>"08851103"</f>
        <v>08851103</v>
      </c>
      <c r="D1051" s="1" t="s">
        <v>196</v>
      </c>
      <c r="F1051" s="1" t="str">
        <f>"46"</f>
        <v>46</v>
      </c>
      <c r="G1051" s="2">
        <v>42066</v>
      </c>
      <c r="H1051" s="1">
        <v>149900</v>
      </c>
      <c r="I1051" s="1">
        <v>149900</v>
      </c>
      <c r="J1051" s="1">
        <v>147000</v>
      </c>
      <c r="K1051" s="2">
        <v>42066</v>
      </c>
      <c r="L1051" s="1">
        <v>3</v>
      </c>
      <c r="M1051" s="2">
        <v>42068</v>
      </c>
      <c r="N1051" s="1">
        <v>3</v>
      </c>
      <c r="O1051" s="2">
        <v>42068</v>
      </c>
      <c r="P1051" s="1">
        <v>2050</v>
      </c>
      <c r="Q1051" s="1" t="s">
        <v>423</v>
      </c>
      <c r="R1051" s="2">
        <v>42124</v>
      </c>
      <c r="S1051" s="1">
        <v>18891</v>
      </c>
      <c r="U1051" s="1">
        <v>602</v>
      </c>
      <c r="V1051" s="1" t="s">
        <v>11248</v>
      </c>
      <c r="W1051" s="1" t="s">
        <v>1056</v>
      </c>
      <c r="Y1051" s="1">
        <v>3</v>
      </c>
      <c r="Z1051" s="1" t="s">
        <v>370</v>
      </c>
      <c r="AA1051" s="1" t="s">
        <v>6887</v>
      </c>
      <c r="AB1051" s="1">
        <v>60046</v>
      </c>
      <c r="AD1051" s="1" t="s">
        <v>6888</v>
      </c>
      <c r="AE1051" s="1" t="s">
        <v>11249</v>
      </c>
      <c r="AF1051" s="1">
        <v>1999</v>
      </c>
      <c r="AG1051" s="1" t="s">
        <v>204</v>
      </c>
      <c r="AH1051" s="1" t="s">
        <v>1437</v>
      </c>
      <c r="AI1051" s="1" t="s">
        <v>509</v>
      </c>
      <c r="AJ1051" s="1" t="s">
        <v>1437</v>
      </c>
      <c r="AK1051" s="1" t="s">
        <v>8446</v>
      </c>
      <c r="AL1051" s="1">
        <v>6</v>
      </c>
      <c r="AM1051" s="1">
        <v>2</v>
      </c>
      <c r="AN1051" s="1">
        <v>2</v>
      </c>
      <c r="AO1051" s="1">
        <v>1</v>
      </c>
      <c r="AP1051" s="1" t="s">
        <v>209</v>
      </c>
      <c r="AQ1051" s="1">
        <v>1</v>
      </c>
      <c r="AR1051" s="1" t="s">
        <v>1421</v>
      </c>
      <c r="AS1051" s="1" t="s">
        <v>204</v>
      </c>
      <c r="AT1051" s="1" t="s">
        <v>211</v>
      </c>
      <c r="AU1051" s="1">
        <v>2</v>
      </c>
      <c r="AW1051" s="1" t="s">
        <v>204</v>
      </c>
      <c r="AX1051" s="1" t="s">
        <v>1528</v>
      </c>
      <c r="AZ1051" s="1">
        <v>3902.95</v>
      </c>
      <c r="BA1051" s="1">
        <v>2013</v>
      </c>
      <c r="BE1051" s="1">
        <v>1588</v>
      </c>
      <c r="BF1051" s="1">
        <v>1</v>
      </c>
      <c r="BG1051" s="1">
        <v>2</v>
      </c>
      <c r="BL1051" s="1">
        <v>171</v>
      </c>
      <c r="BM1051" s="1" t="s">
        <v>204</v>
      </c>
      <c r="BN1051" s="1" t="s">
        <v>213</v>
      </c>
      <c r="BO1051" s="1">
        <v>0</v>
      </c>
      <c r="BP1051" s="1" t="s">
        <v>204</v>
      </c>
      <c r="BR1051" s="1" t="str">
        <f>"02282011550000"</f>
        <v>02282011550000</v>
      </c>
      <c r="BT1051" s="1" t="s">
        <v>11250</v>
      </c>
      <c r="BX1051" s="1">
        <v>34</v>
      </c>
      <c r="BY1051" s="1">
        <v>34</v>
      </c>
      <c r="BZ1051" s="1">
        <v>117</v>
      </c>
      <c r="CB1051" s="1" t="str">
        <f t="shared" ref="CB1051:CC1051" si="810">""</f>
        <v/>
      </c>
      <c r="CC1051" s="1" t="str">
        <f t="shared" si="810"/>
        <v/>
      </c>
      <c r="CG1051" s="1" t="s">
        <v>669</v>
      </c>
      <c r="CH1051" s="1" t="s">
        <v>219</v>
      </c>
      <c r="CI1051" s="1" t="s">
        <v>438</v>
      </c>
      <c r="CK1051" s="1" t="s">
        <v>669</v>
      </c>
      <c r="CL1051" s="1" t="s">
        <v>277</v>
      </c>
      <c r="CM1051" s="1" t="s">
        <v>220</v>
      </c>
      <c r="CO1051" s="1" t="s">
        <v>379</v>
      </c>
      <c r="CP1051" s="1" t="s">
        <v>219</v>
      </c>
      <c r="CQ1051" s="1" t="s">
        <v>438</v>
      </c>
      <c r="CS1051" s="1" t="s">
        <v>1046</v>
      </c>
      <c r="CT1051" s="1" t="s">
        <v>277</v>
      </c>
      <c r="CU1051" s="1" t="s">
        <v>220</v>
      </c>
      <c r="CX1051" s="1" t="s">
        <v>224</v>
      </c>
      <c r="DB1051" s="1" t="s">
        <v>224</v>
      </c>
      <c r="DE1051" s="1" t="s">
        <v>281</v>
      </c>
      <c r="DF1051" s="1" t="s">
        <v>219</v>
      </c>
      <c r="DG1051" s="1" t="s">
        <v>438</v>
      </c>
      <c r="DI1051" s="1" t="s">
        <v>437</v>
      </c>
      <c r="DJ1051" s="1" t="s">
        <v>277</v>
      </c>
      <c r="DK1051" s="1" t="s">
        <v>220</v>
      </c>
      <c r="DS1051" s="1" t="s">
        <v>230</v>
      </c>
      <c r="DW1051" s="1" t="s">
        <v>230</v>
      </c>
      <c r="EA1051" s="1" t="s">
        <v>230</v>
      </c>
      <c r="EE1051" s="1" t="s">
        <v>230</v>
      </c>
      <c r="EI1051" s="1" t="s">
        <v>230</v>
      </c>
      <c r="EL1051" s="1" t="s">
        <v>670</v>
      </c>
      <c r="EM1051" s="1" t="s">
        <v>319</v>
      </c>
      <c r="EN1051" s="1" t="s">
        <v>282</v>
      </c>
      <c r="EO1051" s="1" t="s">
        <v>234</v>
      </c>
      <c r="ER1051" s="1" t="s">
        <v>1249</v>
      </c>
      <c r="EV1051" s="1" t="s">
        <v>240</v>
      </c>
      <c r="EW1051" s="1" t="s">
        <v>353</v>
      </c>
      <c r="EZ1051" s="1" t="s">
        <v>287</v>
      </c>
      <c r="FD1051" s="1" t="s">
        <v>495</v>
      </c>
      <c r="FE1051" s="1" t="s">
        <v>386</v>
      </c>
      <c r="FF1051" s="1" t="s">
        <v>248</v>
      </c>
      <c r="FH1051" s="1" t="s">
        <v>550</v>
      </c>
      <c r="FJ1051" s="1" t="s">
        <v>518</v>
      </c>
      <c r="FL1051" s="1" t="s">
        <v>358</v>
      </c>
      <c r="FM1051" s="1" t="s">
        <v>252</v>
      </c>
      <c r="FN1051" s="1" t="s">
        <v>213</v>
      </c>
      <c r="FO1051" s="1" t="s">
        <v>213</v>
      </c>
      <c r="FQ1051" s="1" t="s">
        <v>1074</v>
      </c>
      <c r="FR1051" s="1" t="s">
        <v>210</v>
      </c>
      <c r="FS1051" s="1" t="s">
        <v>443</v>
      </c>
      <c r="FT1051" s="1" t="s">
        <v>362</v>
      </c>
      <c r="FU1051" s="1" t="s">
        <v>204</v>
      </c>
      <c r="FW1051" s="1" t="s">
        <v>1077</v>
      </c>
      <c r="FX1051" s="1">
        <v>2752</v>
      </c>
      <c r="FY1051" s="1" t="s">
        <v>1078</v>
      </c>
      <c r="FZ1051" s="1" t="s">
        <v>11251</v>
      </c>
      <c r="GA1051" s="1">
        <v>18089</v>
      </c>
      <c r="GB1051" s="1" t="s">
        <v>11252</v>
      </c>
      <c r="GE1051" s="1" t="s">
        <v>480</v>
      </c>
      <c r="GI1051" s="1" t="s">
        <v>213</v>
      </c>
      <c r="GJ1051" s="1" t="s">
        <v>260</v>
      </c>
      <c r="GK1051" s="1" t="s">
        <v>210</v>
      </c>
      <c r="GL1051" s="2">
        <v>42125</v>
      </c>
      <c r="GM1051" s="1" t="s">
        <v>11253</v>
      </c>
    </row>
    <row r="1052" spans="1:195">
      <c r="A1052" s="1">
        <v>205000</v>
      </c>
      <c r="B1052" s="1" t="s">
        <v>195</v>
      </c>
      <c r="C1052" s="1" t="str">
        <f>"08841078"</f>
        <v>08841078</v>
      </c>
      <c r="D1052" s="1" t="s">
        <v>196</v>
      </c>
      <c r="F1052" s="1" t="str">
        <f>"540"</f>
        <v>540</v>
      </c>
      <c r="G1052" s="2">
        <v>42053</v>
      </c>
      <c r="H1052" s="1">
        <v>214900</v>
      </c>
      <c r="I1052" s="1">
        <v>214900</v>
      </c>
      <c r="J1052" s="1">
        <v>205000</v>
      </c>
      <c r="K1052" s="2">
        <v>42053</v>
      </c>
      <c r="L1052" s="1">
        <v>42</v>
      </c>
      <c r="M1052" s="2">
        <v>42094</v>
      </c>
      <c r="N1052" s="1">
        <v>42</v>
      </c>
      <c r="O1052" s="2">
        <v>42094</v>
      </c>
      <c r="P1052" s="1">
        <v>23099</v>
      </c>
      <c r="Q1052" s="1" t="s">
        <v>197</v>
      </c>
      <c r="R1052" s="2">
        <v>42150</v>
      </c>
      <c r="S1052" s="1">
        <v>226102</v>
      </c>
      <c r="U1052" s="1">
        <v>1935</v>
      </c>
      <c r="V1052" s="1" t="s">
        <v>11254</v>
      </c>
      <c r="W1052" s="1" t="s">
        <v>504</v>
      </c>
      <c r="X1052" s="1">
        <v>1935</v>
      </c>
      <c r="Y1052" s="1">
        <v>4</v>
      </c>
      <c r="Z1052" s="1" t="s">
        <v>249</v>
      </c>
      <c r="AA1052" s="1" t="s">
        <v>921</v>
      </c>
      <c r="AB1052" s="1">
        <v>60563</v>
      </c>
      <c r="AD1052" s="1" t="s">
        <v>1244</v>
      </c>
      <c r="AE1052" s="1" t="s">
        <v>11255</v>
      </c>
      <c r="AF1052" s="1">
        <v>2000</v>
      </c>
      <c r="AG1052" s="1" t="s">
        <v>204</v>
      </c>
      <c r="AH1052" s="1" t="s">
        <v>924</v>
      </c>
      <c r="AI1052" s="1" t="s">
        <v>206</v>
      </c>
      <c r="AJ1052" s="1" t="s">
        <v>924</v>
      </c>
      <c r="AL1052" s="1">
        <v>6</v>
      </c>
      <c r="AM1052" s="1">
        <v>2</v>
      </c>
      <c r="AN1052" s="1">
        <v>2</v>
      </c>
      <c r="AO1052" s="1">
        <v>1</v>
      </c>
      <c r="AP1052" s="1" t="s">
        <v>209</v>
      </c>
      <c r="AQ1052" s="1">
        <v>0</v>
      </c>
      <c r="AR1052" s="1" t="s">
        <v>210</v>
      </c>
      <c r="AS1052" s="1" t="s">
        <v>204</v>
      </c>
      <c r="AT1052" s="1" t="s">
        <v>211</v>
      </c>
      <c r="AU1052" s="1">
        <v>2</v>
      </c>
      <c r="AW1052" s="1" t="s">
        <v>204</v>
      </c>
      <c r="AX1052" s="1" t="s">
        <v>212</v>
      </c>
      <c r="AZ1052" s="1">
        <v>3983</v>
      </c>
      <c r="BA1052" s="1">
        <v>2013</v>
      </c>
      <c r="BB1052" s="1" t="s">
        <v>405</v>
      </c>
      <c r="BC1052" s="1">
        <v>0</v>
      </c>
      <c r="BE1052" s="1">
        <v>1432</v>
      </c>
      <c r="BF1052" s="1">
        <v>1</v>
      </c>
      <c r="BG1052" s="1">
        <v>30</v>
      </c>
      <c r="BL1052" s="1">
        <v>209</v>
      </c>
      <c r="BM1052" s="1" t="s">
        <v>204</v>
      </c>
      <c r="BN1052" s="1" t="s">
        <v>213</v>
      </c>
      <c r="BO1052" s="1">
        <v>999</v>
      </c>
      <c r="BP1052" s="1" t="s">
        <v>204</v>
      </c>
      <c r="BR1052" s="1" t="str">
        <f>"0715107094"</f>
        <v>0715107094</v>
      </c>
      <c r="BT1052" s="1" t="s">
        <v>11256</v>
      </c>
      <c r="BU1052" s="1" t="s">
        <v>1247</v>
      </c>
      <c r="BV1052" s="1" t="s">
        <v>1248</v>
      </c>
      <c r="BW1052" s="1" t="s">
        <v>1312</v>
      </c>
      <c r="BX1052" s="1">
        <v>204</v>
      </c>
      <c r="BY1052" s="1">
        <v>204</v>
      </c>
      <c r="BZ1052" s="1">
        <v>204</v>
      </c>
      <c r="CB1052" s="1" t="str">
        <f t="shared" ref="CB1052:CC1052" si="811">"0"</f>
        <v>0</v>
      </c>
      <c r="CC1052" s="1" t="str">
        <f t="shared" si="811"/>
        <v>0</v>
      </c>
      <c r="CD1052" s="1">
        <v>29</v>
      </c>
      <c r="CE1052" s="1">
        <v>5</v>
      </c>
      <c r="CG1052" s="1" t="s">
        <v>581</v>
      </c>
      <c r="CH1052" s="1" t="s">
        <v>219</v>
      </c>
      <c r="CI1052" s="1" t="s">
        <v>229</v>
      </c>
      <c r="CK1052" s="1" t="s">
        <v>729</v>
      </c>
      <c r="CL1052" s="1" t="s">
        <v>277</v>
      </c>
      <c r="CM1052" s="1" t="s">
        <v>220</v>
      </c>
      <c r="CO1052" s="1" t="s">
        <v>346</v>
      </c>
      <c r="CP1052" s="1" t="s">
        <v>219</v>
      </c>
      <c r="CQ1052" s="1" t="s">
        <v>229</v>
      </c>
      <c r="CS1052" s="1" t="s">
        <v>1046</v>
      </c>
      <c r="CT1052" s="1" t="s">
        <v>277</v>
      </c>
      <c r="CU1052" s="1" t="s">
        <v>220</v>
      </c>
      <c r="CX1052" s="1" t="s">
        <v>224</v>
      </c>
      <c r="DB1052" s="1" t="s">
        <v>224</v>
      </c>
      <c r="DE1052" s="1" t="s">
        <v>465</v>
      </c>
      <c r="DF1052" s="1" t="s">
        <v>219</v>
      </c>
      <c r="DG1052" s="1" t="s">
        <v>342</v>
      </c>
      <c r="DJ1052" s="1" t="s">
        <v>224</v>
      </c>
      <c r="DM1052" s="1" t="s">
        <v>464</v>
      </c>
      <c r="DR1052" s="1" t="s">
        <v>317</v>
      </c>
      <c r="DS1052" s="1" t="s">
        <v>277</v>
      </c>
      <c r="DT1052" s="1" t="s">
        <v>220</v>
      </c>
      <c r="DW1052" s="1" t="s">
        <v>230</v>
      </c>
      <c r="EA1052" s="1" t="s">
        <v>230</v>
      </c>
      <c r="EE1052" s="1" t="s">
        <v>230</v>
      </c>
      <c r="EI1052" s="1" t="s">
        <v>230</v>
      </c>
      <c r="EL1052" s="1" t="s">
        <v>466</v>
      </c>
      <c r="EM1052" s="1" t="s">
        <v>232</v>
      </c>
      <c r="EN1052" s="1" t="s">
        <v>282</v>
      </c>
      <c r="EO1052" s="1" t="s">
        <v>234</v>
      </c>
      <c r="EP1052" s="1" t="s">
        <v>650</v>
      </c>
      <c r="EQ1052" s="1" t="s">
        <v>1094</v>
      </c>
      <c r="ER1052" s="1" t="s">
        <v>210</v>
      </c>
      <c r="ES1052" s="1" t="s">
        <v>1552</v>
      </c>
      <c r="ET1052" s="1" t="s">
        <v>323</v>
      </c>
      <c r="EV1052" s="1" t="s">
        <v>352</v>
      </c>
      <c r="EW1052" s="1" t="s">
        <v>353</v>
      </c>
      <c r="EZ1052" s="1" t="s">
        <v>464</v>
      </c>
      <c r="FB1052" s="1" t="s">
        <v>289</v>
      </c>
      <c r="FC1052" s="1" t="s">
        <v>1386</v>
      </c>
      <c r="FD1052" s="1" t="s">
        <v>495</v>
      </c>
      <c r="FE1052" s="1" t="s">
        <v>355</v>
      </c>
      <c r="FF1052" s="1" t="s">
        <v>248</v>
      </c>
      <c r="FH1052" s="1" t="s">
        <v>249</v>
      </c>
      <c r="FL1052" s="1" t="s">
        <v>358</v>
      </c>
      <c r="FM1052" s="1" t="s">
        <v>252</v>
      </c>
      <c r="FN1052" s="1" t="s">
        <v>213</v>
      </c>
      <c r="FO1052" s="1" t="s">
        <v>213</v>
      </c>
      <c r="FQ1052" s="1" t="s">
        <v>329</v>
      </c>
      <c r="FR1052" s="1" t="s">
        <v>210</v>
      </c>
      <c r="FS1052" s="1" t="s">
        <v>11257</v>
      </c>
      <c r="FT1052" s="1" t="s">
        <v>295</v>
      </c>
      <c r="FU1052" s="1" t="s">
        <v>204</v>
      </c>
      <c r="FW1052" s="1" t="s">
        <v>8484</v>
      </c>
      <c r="FX1052" s="1">
        <v>8965</v>
      </c>
      <c r="FY1052" s="1" t="s">
        <v>8485</v>
      </c>
      <c r="FZ1052" s="1" t="s">
        <v>11258</v>
      </c>
      <c r="GA1052" s="1">
        <v>88569</v>
      </c>
      <c r="GB1052" s="1" t="s">
        <v>11259</v>
      </c>
      <c r="GE1052" s="1" t="s">
        <v>1333</v>
      </c>
      <c r="GI1052" s="1" t="s">
        <v>213</v>
      </c>
      <c r="GJ1052" s="1" t="s">
        <v>260</v>
      </c>
      <c r="GK1052" s="1" t="s">
        <v>210</v>
      </c>
      <c r="GL1052" s="2">
        <v>42150</v>
      </c>
      <c r="GM1052" s="1" t="s">
        <v>11260</v>
      </c>
    </row>
    <row r="1053" spans="1:195">
      <c r="A1053" s="1">
        <v>87900</v>
      </c>
      <c r="B1053" s="1" t="s">
        <v>195</v>
      </c>
      <c r="C1053" s="1" t="str">
        <f>"08842261"</f>
        <v>08842261</v>
      </c>
      <c r="D1053" s="1" t="s">
        <v>196</v>
      </c>
      <c r="F1053" s="1" t="str">
        <f>"31"</f>
        <v>31</v>
      </c>
      <c r="G1053" s="2">
        <v>42054</v>
      </c>
      <c r="H1053" s="1">
        <v>87000</v>
      </c>
      <c r="I1053" s="1">
        <v>87000</v>
      </c>
      <c r="J1053" s="1">
        <v>87900</v>
      </c>
      <c r="K1053" s="2">
        <v>42054</v>
      </c>
      <c r="L1053" s="1">
        <v>6</v>
      </c>
      <c r="M1053" s="2">
        <v>42059</v>
      </c>
      <c r="N1053" s="1">
        <v>6</v>
      </c>
      <c r="O1053" s="2">
        <v>42059</v>
      </c>
      <c r="P1053" s="1">
        <v>8052</v>
      </c>
      <c r="Q1053" s="1" t="s">
        <v>197</v>
      </c>
      <c r="R1053" s="2">
        <v>42115</v>
      </c>
      <c r="S1053" s="1">
        <v>83272</v>
      </c>
      <c r="T1053" s="1">
        <v>2637</v>
      </c>
      <c r="U1053" s="1">
        <v>690</v>
      </c>
      <c r="V1053" s="1" t="s">
        <v>1055</v>
      </c>
      <c r="W1053" s="1" t="s">
        <v>1056</v>
      </c>
      <c r="X1053" s="1">
        <v>101</v>
      </c>
      <c r="Y1053" s="1">
        <v>48</v>
      </c>
      <c r="Z1053" s="1" t="s">
        <v>249</v>
      </c>
      <c r="AA1053" s="1" t="s">
        <v>1057</v>
      </c>
      <c r="AB1053" s="1">
        <v>60031</v>
      </c>
      <c r="AD1053" s="1" t="s">
        <v>1058</v>
      </c>
      <c r="AE1053" s="1" t="s">
        <v>11261</v>
      </c>
      <c r="AF1053" s="1">
        <v>1977</v>
      </c>
      <c r="AG1053" s="1" t="s">
        <v>213</v>
      </c>
      <c r="AH1053" s="1" t="s">
        <v>1060</v>
      </c>
      <c r="AI1053" s="1" t="s">
        <v>509</v>
      </c>
      <c r="AJ1053" s="1" t="s">
        <v>1061</v>
      </c>
      <c r="AK1053" s="1" t="s">
        <v>11262</v>
      </c>
      <c r="AL1053" s="1">
        <v>5</v>
      </c>
      <c r="AM1053" s="1">
        <v>2</v>
      </c>
      <c r="AN1053" s="1">
        <v>2</v>
      </c>
      <c r="AO1053" s="1">
        <v>0</v>
      </c>
      <c r="AP1053" s="1" t="s">
        <v>209</v>
      </c>
      <c r="AR1053" s="1" t="s">
        <v>210</v>
      </c>
      <c r="AS1053" s="1" t="s">
        <v>204</v>
      </c>
      <c r="AT1053" s="1" t="s">
        <v>211</v>
      </c>
      <c r="AU1053" s="1">
        <v>1</v>
      </c>
      <c r="AW1053" s="1" t="s">
        <v>204</v>
      </c>
      <c r="AX1053" s="1" t="s">
        <v>579</v>
      </c>
      <c r="AZ1053" s="1">
        <v>1666.23</v>
      </c>
      <c r="BA1053" s="1">
        <v>2013</v>
      </c>
      <c r="BB1053" s="1" t="s">
        <v>599</v>
      </c>
      <c r="BE1053" s="1">
        <v>1380</v>
      </c>
      <c r="BF1053" s="1">
        <v>1</v>
      </c>
      <c r="BG1053" s="1">
        <v>0</v>
      </c>
      <c r="BL1053" s="1">
        <v>429</v>
      </c>
      <c r="BM1053" s="1" t="s">
        <v>204</v>
      </c>
      <c r="BN1053" s="1" t="s">
        <v>213</v>
      </c>
      <c r="BP1053" s="1" t="s">
        <v>204</v>
      </c>
      <c r="BR1053" s="1" t="str">
        <f>"07282060010000"</f>
        <v>07282060010000</v>
      </c>
      <c r="BT1053" s="1" t="s">
        <v>11263</v>
      </c>
      <c r="BX1053" s="1">
        <v>50</v>
      </c>
      <c r="BY1053" s="1">
        <v>50</v>
      </c>
      <c r="BZ1053" s="1">
        <v>121</v>
      </c>
      <c r="CB1053" s="1" t="str">
        <f>"33"</f>
        <v>33</v>
      </c>
      <c r="CC1053" s="1" t="str">
        <f>"16"</f>
        <v>16</v>
      </c>
      <c r="CG1053" s="1" t="s">
        <v>4460</v>
      </c>
      <c r="CH1053" s="1" t="s">
        <v>219</v>
      </c>
      <c r="CI1053" s="1" t="s">
        <v>220</v>
      </c>
      <c r="CJ1053" s="1" t="s">
        <v>909</v>
      </c>
      <c r="CK1053" s="1" t="s">
        <v>538</v>
      </c>
      <c r="CL1053" s="1" t="s">
        <v>219</v>
      </c>
      <c r="CM1053" s="1" t="s">
        <v>220</v>
      </c>
      <c r="CN1053" s="1" t="s">
        <v>909</v>
      </c>
      <c r="CO1053" s="1" t="s">
        <v>409</v>
      </c>
      <c r="CP1053" s="1" t="s">
        <v>219</v>
      </c>
      <c r="CQ1053" s="1" t="s">
        <v>229</v>
      </c>
      <c r="CR1053" s="1" t="s">
        <v>909</v>
      </c>
      <c r="CS1053" s="1" t="s">
        <v>461</v>
      </c>
      <c r="CT1053" s="1" t="s">
        <v>219</v>
      </c>
      <c r="CU1053" s="1" t="s">
        <v>220</v>
      </c>
      <c r="CV1053" s="1" t="s">
        <v>909</v>
      </c>
      <c r="CX1053" s="1" t="s">
        <v>224</v>
      </c>
      <c r="DB1053" s="1" t="s">
        <v>224</v>
      </c>
      <c r="DE1053" s="1" t="s">
        <v>380</v>
      </c>
      <c r="DF1053" s="1" t="s">
        <v>219</v>
      </c>
      <c r="DG1053" s="1" t="s">
        <v>342</v>
      </c>
      <c r="DJ1053" s="1" t="s">
        <v>224</v>
      </c>
      <c r="DS1053" s="1" t="s">
        <v>230</v>
      </c>
      <c r="DW1053" s="1" t="s">
        <v>230</v>
      </c>
      <c r="EA1053" s="1" t="s">
        <v>230</v>
      </c>
      <c r="EE1053" s="1" t="s">
        <v>230</v>
      </c>
      <c r="EI1053" s="1" t="s">
        <v>230</v>
      </c>
      <c r="EL1053" s="1" t="s">
        <v>231</v>
      </c>
      <c r="EM1053" s="1" t="s">
        <v>319</v>
      </c>
      <c r="EN1053" s="1" t="s">
        <v>282</v>
      </c>
      <c r="EO1053" s="1" t="s">
        <v>234</v>
      </c>
      <c r="EP1053" s="1" t="s">
        <v>11264</v>
      </c>
      <c r="EQ1053" s="1" t="s">
        <v>468</v>
      </c>
      <c r="ER1053" s="1" t="s">
        <v>210</v>
      </c>
      <c r="ES1053" s="1" t="s">
        <v>322</v>
      </c>
      <c r="EV1053" s="1" t="s">
        <v>324</v>
      </c>
      <c r="EW1053" s="1" t="s">
        <v>6280</v>
      </c>
      <c r="EZ1053" s="1" t="s">
        <v>287</v>
      </c>
      <c r="FB1053" s="1" t="s">
        <v>289</v>
      </c>
      <c r="FD1053" s="1" t="s">
        <v>736</v>
      </c>
      <c r="FE1053" s="1" t="s">
        <v>247</v>
      </c>
      <c r="FF1053" s="1" t="s">
        <v>248</v>
      </c>
      <c r="FH1053" s="1" t="s">
        <v>249</v>
      </c>
      <c r="FJ1053" s="1" t="s">
        <v>1179</v>
      </c>
      <c r="FL1053" s="1" t="s">
        <v>1073</v>
      </c>
      <c r="FM1053" s="1" t="s">
        <v>252</v>
      </c>
      <c r="FN1053" s="1" t="s">
        <v>213</v>
      </c>
      <c r="FO1053" s="1" t="s">
        <v>213</v>
      </c>
      <c r="FQ1053" s="1" t="s">
        <v>11265</v>
      </c>
      <c r="FR1053" s="1" t="s">
        <v>210</v>
      </c>
      <c r="FS1053" s="1" t="s">
        <v>11266</v>
      </c>
      <c r="FT1053" s="1" t="s">
        <v>11267</v>
      </c>
      <c r="FU1053" s="1" t="s">
        <v>204</v>
      </c>
      <c r="FW1053" s="1" t="s">
        <v>1275</v>
      </c>
      <c r="FX1053" s="1">
        <v>2411</v>
      </c>
      <c r="FY1053" s="1" t="s">
        <v>1276</v>
      </c>
      <c r="FZ1053" s="1" t="s">
        <v>11268</v>
      </c>
      <c r="GA1053" s="1">
        <v>10439</v>
      </c>
      <c r="GB1053" s="1" t="s">
        <v>11269</v>
      </c>
      <c r="GE1053" s="1" t="s">
        <v>1145</v>
      </c>
      <c r="GI1053" s="1" t="s">
        <v>213</v>
      </c>
      <c r="GJ1053" s="1" t="s">
        <v>260</v>
      </c>
      <c r="GK1053" s="1" t="s">
        <v>210</v>
      </c>
      <c r="GL1053" s="2">
        <v>42115</v>
      </c>
      <c r="GM1053" s="1" t="s">
        <v>11270</v>
      </c>
    </row>
    <row r="1054" spans="1:195">
      <c r="A1054" s="1">
        <v>285900</v>
      </c>
      <c r="B1054" s="1" t="s">
        <v>195</v>
      </c>
      <c r="C1054" s="1" t="str">
        <f>"08842375"</f>
        <v>08842375</v>
      </c>
      <c r="D1054" s="1" t="s">
        <v>196</v>
      </c>
      <c r="F1054" s="1" t="str">
        <f>"532"</f>
        <v>532</v>
      </c>
      <c r="G1054" s="2">
        <v>42054</v>
      </c>
      <c r="H1054" s="1">
        <v>319900</v>
      </c>
      <c r="I1054" s="1">
        <v>299999</v>
      </c>
      <c r="J1054" s="1">
        <v>285900</v>
      </c>
      <c r="K1054" s="2">
        <v>42054</v>
      </c>
      <c r="L1054" s="1">
        <v>38</v>
      </c>
      <c r="M1054" s="2">
        <v>42091</v>
      </c>
      <c r="N1054" s="1">
        <v>38</v>
      </c>
      <c r="O1054" s="2">
        <v>42091</v>
      </c>
      <c r="P1054" s="1">
        <v>238</v>
      </c>
      <c r="Q1054" s="1" t="s">
        <v>423</v>
      </c>
      <c r="R1054" s="2">
        <v>42146</v>
      </c>
      <c r="S1054" s="1">
        <v>8186</v>
      </c>
      <c r="U1054" s="1">
        <v>446</v>
      </c>
      <c r="V1054" s="1" t="s">
        <v>11271</v>
      </c>
      <c r="W1054" s="1" t="s">
        <v>504</v>
      </c>
      <c r="X1054" s="1">
        <v>446</v>
      </c>
      <c r="Y1054" s="1">
        <v>2</v>
      </c>
      <c r="Z1054" s="1" t="s">
        <v>200</v>
      </c>
      <c r="AA1054" s="1" t="s">
        <v>1566</v>
      </c>
      <c r="AB1054" s="1">
        <v>60532</v>
      </c>
      <c r="AD1054" s="1" t="s">
        <v>11272</v>
      </c>
      <c r="AE1054" s="1" t="s">
        <v>11273</v>
      </c>
      <c r="AF1054" s="1">
        <v>2001</v>
      </c>
      <c r="AG1054" s="1" t="s">
        <v>204</v>
      </c>
      <c r="AH1054" s="1" t="s">
        <v>925</v>
      </c>
      <c r="AI1054" s="1" t="s">
        <v>206</v>
      </c>
      <c r="AJ1054" s="1" t="s">
        <v>925</v>
      </c>
      <c r="AK1054" s="1" t="s">
        <v>6218</v>
      </c>
      <c r="AL1054" s="1">
        <v>7</v>
      </c>
      <c r="AM1054" s="1">
        <v>2</v>
      </c>
      <c r="AN1054" s="1">
        <v>3</v>
      </c>
      <c r="AO1054" s="1">
        <v>1</v>
      </c>
      <c r="AP1054" s="1" t="s">
        <v>209</v>
      </c>
      <c r="AQ1054" s="1">
        <v>0</v>
      </c>
      <c r="AR1054" s="1" t="s">
        <v>1483</v>
      </c>
      <c r="AS1054" s="1" t="s">
        <v>213</v>
      </c>
      <c r="AT1054" s="1" t="s">
        <v>211</v>
      </c>
      <c r="AU1054" s="1">
        <v>2</v>
      </c>
      <c r="AW1054" s="1" t="s">
        <v>204</v>
      </c>
      <c r="AX1054" s="1" t="s">
        <v>11274</v>
      </c>
      <c r="AZ1054" s="1">
        <v>5801</v>
      </c>
      <c r="BA1054" s="1">
        <v>2013</v>
      </c>
      <c r="BB1054" s="1" t="s">
        <v>405</v>
      </c>
      <c r="BE1054" s="1">
        <v>1887</v>
      </c>
      <c r="BF1054" s="1">
        <v>1</v>
      </c>
      <c r="BG1054" s="1">
        <v>0</v>
      </c>
      <c r="BL1054" s="1">
        <v>260</v>
      </c>
      <c r="BM1054" s="1" t="s">
        <v>204</v>
      </c>
      <c r="BN1054" s="1" t="s">
        <v>213</v>
      </c>
      <c r="BO1054" s="1">
        <v>999</v>
      </c>
      <c r="BP1054" s="1" t="s">
        <v>204</v>
      </c>
      <c r="BR1054" s="1" t="str">
        <f>"0814213058"</f>
        <v>0814213058</v>
      </c>
      <c r="BT1054" s="1" t="s">
        <v>11275</v>
      </c>
      <c r="BU1054" s="1" t="s">
        <v>5789</v>
      </c>
      <c r="BV1054" s="1" t="s">
        <v>5790</v>
      </c>
      <c r="BW1054" s="1" t="s">
        <v>5791</v>
      </c>
      <c r="BX1054" s="1">
        <v>202</v>
      </c>
      <c r="BY1054" s="1">
        <v>202</v>
      </c>
      <c r="BZ1054" s="1">
        <v>202</v>
      </c>
      <c r="CB1054" s="1" t="str">
        <f t="shared" ref="CB1054:CC1054" si="812">"0"</f>
        <v>0</v>
      </c>
      <c r="CC1054" s="1" t="str">
        <f t="shared" si="812"/>
        <v>0</v>
      </c>
      <c r="CD1054" s="1">
        <v>20</v>
      </c>
      <c r="CE1054" s="1">
        <v>7</v>
      </c>
      <c r="CG1054" s="1" t="s">
        <v>862</v>
      </c>
      <c r="CH1054" s="1" t="s">
        <v>219</v>
      </c>
      <c r="CI1054" s="1" t="s">
        <v>220</v>
      </c>
      <c r="CK1054" s="1" t="s">
        <v>228</v>
      </c>
      <c r="CL1054" s="1" t="s">
        <v>277</v>
      </c>
      <c r="CM1054" s="1" t="s">
        <v>220</v>
      </c>
      <c r="CO1054" s="1" t="s">
        <v>629</v>
      </c>
      <c r="CP1054" s="1" t="s">
        <v>219</v>
      </c>
      <c r="CQ1054" s="1" t="s">
        <v>220</v>
      </c>
      <c r="CS1054" s="1" t="s">
        <v>378</v>
      </c>
      <c r="CT1054" s="1" t="s">
        <v>277</v>
      </c>
      <c r="CU1054" s="1" t="s">
        <v>220</v>
      </c>
      <c r="CX1054" s="1" t="s">
        <v>224</v>
      </c>
      <c r="DB1054" s="1" t="s">
        <v>224</v>
      </c>
      <c r="DE1054" s="1" t="s">
        <v>1425</v>
      </c>
      <c r="DF1054" s="1" t="s">
        <v>219</v>
      </c>
      <c r="DG1054" s="1" t="s">
        <v>438</v>
      </c>
      <c r="DJ1054" s="1" t="s">
        <v>224</v>
      </c>
      <c r="DM1054" s="1" t="s">
        <v>934</v>
      </c>
      <c r="DN1054" s="1" t="s">
        <v>464</v>
      </c>
      <c r="DR1054" s="1" t="s">
        <v>11276</v>
      </c>
      <c r="DS1054" s="1" t="s">
        <v>822</v>
      </c>
      <c r="DT1054" s="1" t="s">
        <v>220</v>
      </c>
      <c r="DU1054" s="1" t="s">
        <v>210</v>
      </c>
      <c r="DV1054" s="1" t="s">
        <v>228</v>
      </c>
      <c r="DW1054" s="1" t="s">
        <v>277</v>
      </c>
      <c r="DX1054" s="1" t="s">
        <v>220</v>
      </c>
      <c r="EA1054" s="1" t="s">
        <v>230</v>
      </c>
      <c r="EE1054" s="1" t="s">
        <v>230</v>
      </c>
      <c r="EI1054" s="1" t="s">
        <v>230</v>
      </c>
      <c r="EL1054" s="1" t="s">
        <v>466</v>
      </c>
      <c r="EM1054" s="1" t="s">
        <v>232</v>
      </c>
      <c r="EN1054" s="1" t="s">
        <v>282</v>
      </c>
      <c r="EO1054" s="1" t="s">
        <v>840</v>
      </c>
      <c r="EP1054" s="1" t="s">
        <v>283</v>
      </c>
      <c r="EQ1054" s="1" t="s">
        <v>236</v>
      </c>
      <c r="ER1054" s="1" t="s">
        <v>544</v>
      </c>
      <c r="ES1054" s="1" t="s">
        <v>322</v>
      </c>
      <c r="ET1054" s="1" t="s">
        <v>238</v>
      </c>
      <c r="EV1054" s="1" t="s">
        <v>240</v>
      </c>
      <c r="EW1054" s="1" t="s">
        <v>10053</v>
      </c>
      <c r="EY1054" s="1" t="s">
        <v>441</v>
      </c>
      <c r="EZ1054" s="1" t="s">
        <v>3875</v>
      </c>
      <c r="FA1054" s="1" t="s">
        <v>354</v>
      </c>
      <c r="FB1054" s="1" t="s">
        <v>289</v>
      </c>
      <c r="FC1054" s="1" t="s">
        <v>548</v>
      </c>
      <c r="FD1054" s="1" t="s">
        <v>246</v>
      </c>
      <c r="FE1054" s="1" t="s">
        <v>549</v>
      </c>
      <c r="FF1054" s="1" t="s">
        <v>248</v>
      </c>
      <c r="FH1054" s="1" t="s">
        <v>550</v>
      </c>
      <c r="FI1054" s="1" t="s">
        <v>473</v>
      </c>
      <c r="FJ1054" s="1" t="s">
        <v>518</v>
      </c>
      <c r="FL1054" s="1" t="s">
        <v>358</v>
      </c>
      <c r="FM1054" s="1" t="s">
        <v>252</v>
      </c>
      <c r="FN1054" s="1" t="s">
        <v>213</v>
      </c>
      <c r="FO1054" s="1" t="s">
        <v>213</v>
      </c>
      <c r="FQ1054" s="1" t="s">
        <v>2004</v>
      </c>
      <c r="FR1054" s="1" t="s">
        <v>210</v>
      </c>
      <c r="FS1054" s="1" t="s">
        <v>11277</v>
      </c>
      <c r="FT1054" s="1" t="s">
        <v>362</v>
      </c>
      <c r="FU1054" s="1" t="s">
        <v>204</v>
      </c>
      <c r="FW1054" s="1" t="s">
        <v>11278</v>
      </c>
      <c r="FX1054" s="1">
        <v>25816</v>
      </c>
      <c r="FY1054" s="1" t="s">
        <v>11279</v>
      </c>
      <c r="FZ1054" s="1" t="s">
        <v>11280</v>
      </c>
      <c r="GA1054" s="1">
        <v>214136</v>
      </c>
      <c r="GB1054" s="1" t="s">
        <v>11281</v>
      </c>
      <c r="GC1054" s="1">
        <v>246009</v>
      </c>
      <c r="GE1054" s="1" t="s">
        <v>210</v>
      </c>
      <c r="GI1054" s="1" t="s">
        <v>204</v>
      </c>
      <c r="GJ1054" s="1" t="s">
        <v>260</v>
      </c>
      <c r="GK1054" s="1" t="s">
        <v>210</v>
      </c>
      <c r="GL1054" s="2">
        <v>42147</v>
      </c>
    </row>
    <row r="1055" spans="1:195">
      <c r="A1055" s="1">
        <v>165000</v>
      </c>
      <c r="B1055" s="1" t="s">
        <v>195</v>
      </c>
      <c r="C1055" s="1" t="str">
        <f>"08844086"</f>
        <v>08844086</v>
      </c>
      <c r="D1055" s="1" t="s">
        <v>196</v>
      </c>
      <c r="F1055" s="1" t="str">
        <f>"104"</f>
        <v>104</v>
      </c>
      <c r="G1055" s="2">
        <v>42057</v>
      </c>
      <c r="H1055" s="1">
        <v>167900</v>
      </c>
      <c r="I1055" s="1">
        <v>167900</v>
      </c>
      <c r="J1055" s="1">
        <v>165000</v>
      </c>
      <c r="K1055" s="2">
        <v>42057</v>
      </c>
      <c r="L1055" s="1">
        <v>4</v>
      </c>
      <c r="M1055" s="2">
        <v>42060</v>
      </c>
      <c r="N1055" s="1">
        <v>4</v>
      </c>
      <c r="O1055" s="2">
        <v>42060</v>
      </c>
      <c r="P1055" s="1">
        <v>25215</v>
      </c>
      <c r="Q1055" s="1" t="s">
        <v>197</v>
      </c>
      <c r="R1055" s="2">
        <v>42114</v>
      </c>
      <c r="S1055" s="1">
        <v>236610</v>
      </c>
      <c r="U1055" s="1">
        <v>334</v>
      </c>
      <c r="V1055" s="1" t="s">
        <v>6004</v>
      </c>
      <c r="W1055" s="1" t="s">
        <v>449</v>
      </c>
      <c r="X1055" s="1" t="s">
        <v>11282</v>
      </c>
      <c r="Y1055" s="1">
        <v>4</v>
      </c>
      <c r="Z1055" s="1" t="s">
        <v>249</v>
      </c>
      <c r="AA1055" s="1" t="s">
        <v>371</v>
      </c>
      <c r="AB1055" s="1">
        <v>60103</v>
      </c>
      <c r="AD1055" s="1" t="s">
        <v>11283</v>
      </c>
      <c r="AE1055" s="1" t="s">
        <v>11284</v>
      </c>
      <c r="AF1055" s="1">
        <v>1992</v>
      </c>
      <c r="AG1055" s="1" t="s">
        <v>204</v>
      </c>
      <c r="AH1055" s="1" t="s">
        <v>373</v>
      </c>
      <c r="AI1055" s="1" t="s">
        <v>206</v>
      </c>
      <c r="AJ1055" s="1" t="s">
        <v>2654</v>
      </c>
      <c r="AK1055" s="1" t="s">
        <v>4117</v>
      </c>
      <c r="AL1055" s="1">
        <v>6</v>
      </c>
      <c r="AM1055" s="1">
        <v>2</v>
      </c>
      <c r="AN1055" s="1">
        <v>2</v>
      </c>
      <c r="AO1055" s="1">
        <v>0</v>
      </c>
      <c r="AP1055" s="1" t="s">
        <v>209</v>
      </c>
      <c r="AQ1055" s="1">
        <v>1</v>
      </c>
      <c r="AR1055" s="1" t="s">
        <v>210</v>
      </c>
      <c r="AS1055" s="1" t="s">
        <v>204</v>
      </c>
      <c r="AT1055" s="1" t="s">
        <v>211</v>
      </c>
      <c r="AU1055" s="1">
        <v>2</v>
      </c>
      <c r="AW1055" s="1" t="s">
        <v>204</v>
      </c>
      <c r="AX1055" s="1">
        <v>1578</v>
      </c>
      <c r="AZ1055" s="1">
        <v>5104</v>
      </c>
      <c r="BA1055" s="1">
        <v>2013</v>
      </c>
      <c r="BB1055" s="1" t="s">
        <v>210</v>
      </c>
      <c r="BE1055" s="1">
        <v>1578</v>
      </c>
      <c r="BF1055" s="1">
        <v>1</v>
      </c>
      <c r="BG1055" s="1">
        <v>1</v>
      </c>
      <c r="BL1055" s="1">
        <v>262</v>
      </c>
      <c r="BM1055" s="1" t="s">
        <v>204</v>
      </c>
      <c r="BN1055" s="1" t="s">
        <v>213</v>
      </c>
      <c r="BO1055" s="1">
        <v>999</v>
      </c>
      <c r="BP1055" s="1" t="s">
        <v>204</v>
      </c>
      <c r="BR1055" s="1" t="str">
        <f>"0114430121"</f>
        <v>0114430121</v>
      </c>
      <c r="BT1055" s="1" t="s">
        <v>11285</v>
      </c>
      <c r="BX1055" s="1">
        <v>46</v>
      </c>
      <c r="BY1055" s="1">
        <v>46</v>
      </c>
      <c r="BZ1055" s="1">
        <v>46</v>
      </c>
      <c r="CB1055" s="1" t="str">
        <f>"5"</f>
        <v>5</v>
      </c>
      <c r="CC1055" s="1" t="str">
        <f t="shared" ref="CC1055:CC1056" si="813">""</f>
        <v/>
      </c>
      <c r="CD1055" s="1">
        <v>28</v>
      </c>
      <c r="CG1055" s="1" t="s">
        <v>3100</v>
      </c>
      <c r="CH1055" s="1" t="s">
        <v>219</v>
      </c>
      <c r="CI1055" s="1" t="s">
        <v>220</v>
      </c>
      <c r="CJ1055" s="1" t="s">
        <v>252</v>
      </c>
      <c r="CK1055" s="1" t="s">
        <v>757</v>
      </c>
      <c r="CL1055" s="1" t="s">
        <v>219</v>
      </c>
      <c r="CM1055" s="1" t="s">
        <v>220</v>
      </c>
      <c r="CN1055" s="1" t="s">
        <v>252</v>
      </c>
      <c r="CO1055" s="1" t="s">
        <v>1046</v>
      </c>
      <c r="CP1055" s="1" t="s">
        <v>219</v>
      </c>
      <c r="CQ1055" s="1" t="s">
        <v>220</v>
      </c>
      <c r="CR1055" s="1" t="s">
        <v>210</v>
      </c>
      <c r="CS1055" s="1" t="s">
        <v>379</v>
      </c>
      <c r="CT1055" s="1" t="s">
        <v>219</v>
      </c>
      <c r="CU1055" s="1" t="s">
        <v>220</v>
      </c>
      <c r="CV1055" s="1" t="s">
        <v>252</v>
      </c>
      <c r="CX1055" s="1" t="s">
        <v>224</v>
      </c>
      <c r="DB1055" s="1" t="s">
        <v>224</v>
      </c>
      <c r="DE1055" s="1" t="s">
        <v>757</v>
      </c>
      <c r="DF1055" s="1" t="s">
        <v>219</v>
      </c>
      <c r="DG1055" s="1" t="s">
        <v>342</v>
      </c>
      <c r="DH1055" s="1" t="s">
        <v>252</v>
      </c>
      <c r="DJ1055" s="1" t="s">
        <v>224</v>
      </c>
      <c r="DM1055" s="1" t="s">
        <v>464</v>
      </c>
      <c r="DR1055" s="1" t="s">
        <v>1358</v>
      </c>
      <c r="DS1055" s="1" t="s">
        <v>219</v>
      </c>
      <c r="DT1055" s="1" t="s">
        <v>220</v>
      </c>
      <c r="DU1055" s="1" t="s">
        <v>252</v>
      </c>
      <c r="DW1055" s="1" t="s">
        <v>230</v>
      </c>
      <c r="EA1055" s="1" t="s">
        <v>230</v>
      </c>
      <c r="EE1055" s="1" t="s">
        <v>230</v>
      </c>
      <c r="EI1055" s="1" t="s">
        <v>230</v>
      </c>
      <c r="EL1055" s="1" t="s">
        <v>382</v>
      </c>
      <c r="EM1055" s="1" t="s">
        <v>319</v>
      </c>
      <c r="EN1055" s="1" t="s">
        <v>282</v>
      </c>
      <c r="EO1055" s="1" t="s">
        <v>234</v>
      </c>
      <c r="EP1055" s="1" t="s">
        <v>543</v>
      </c>
      <c r="EQ1055" s="1" t="s">
        <v>11286</v>
      </c>
      <c r="ER1055" s="1" t="s">
        <v>383</v>
      </c>
      <c r="ES1055" s="1" t="s">
        <v>322</v>
      </c>
      <c r="ET1055" s="1" t="s">
        <v>2404</v>
      </c>
      <c r="EU1055" s="1" t="s">
        <v>239</v>
      </c>
      <c r="EV1055" s="1" t="s">
        <v>240</v>
      </c>
      <c r="EW1055" s="1" t="s">
        <v>911</v>
      </c>
      <c r="EY1055" s="1" t="s">
        <v>242</v>
      </c>
      <c r="EZ1055" s="1" t="s">
        <v>464</v>
      </c>
      <c r="FA1055" s="1" t="s">
        <v>11287</v>
      </c>
      <c r="FB1055" s="1" t="s">
        <v>289</v>
      </c>
      <c r="FD1055" s="1" t="s">
        <v>246</v>
      </c>
      <c r="FE1055" s="1" t="s">
        <v>975</v>
      </c>
      <c r="FF1055" s="1" t="s">
        <v>248</v>
      </c>
      <c r="FG1055" s="1" t="s">
        <v>3685</v>
      </c>
      <c r="FH1055" s="1" t="s">
        <v>249</v>
      </c>
      <c r="FI1055" s="1" t="s">
        <v>473</v>
      </c>
      <c r="FJ1055" s="1" t="s">
        <v>197</v>
      </c>
      <c r="FL1055" s="1" t="s">
        <v>358</v>
      </c>
      <c r="FM1055" s="1" t="s">
        <v>252</v>
      </c>
      <c r="FN1055" s="1" t="s">
        <v>213</v>
      </c>
      <c r="FO1055" s="1" t="s">
        <v>213</v>
      </c>
      <c r="FQ1055" s="1" t="s">
        <v>329</v>
      </c>
      <c r="FR1055" s="1" t="s">
        <v>210</v>
      </c>
      <c r="FS1055" s="1" t="s">
        <v>11288</v>
      </c>
      <c r="FT1055" s="1" t="s">
        <v>295</v>
      </c>
      <c r="FU1055" s="1" t="s">
        <v>204</v>
      </c>
      <c r="FW1055" s="1" t="s">
        <v>4125</v>
      </c>
      <c r="FX1055" s="1">
        <v>8073</v>
      </c>
      <c r="FY1055" s="1" t="s">
        <v>4126</v>
      </c>
      <c r="FZ1055" s="1" t="s">
        <v>11289</v>
      </c>
      <c r="GA1055" s="1">
        <v>85260</v>
      </c>
      <c r="GB1055" s="1" t="s">
        <v>11290</v>
      </c>
      <c r="GD1055" s="1" t="s">
        <v>11291</v>
      </c>
      <c r="GE1055" s="1" t="s">
        <v>480</v>
      </c>
      <c r="GI1055" s="1" t="s">
        <v>213</v>
      </c>
      <c r="GJ1055" s="1" t="s">
        <v>260</v>
      </c>
      <c r="GK1055" s="1" t="s">
        <v>210</v>
      </c>
      <c r="GL1055" s="2">
        <v>42114</v>
      </c>
      <c r="GM1055" s="1" t="s">
        <v>11292</v>
      </c>
    </row>
    <row r="1056" spans="1:195">
      <c r="A1056" s="1">
        <v>158000</v>
      </c>
      <c r="B1056" s="1" t="s">
        <v>195</v>
      </c>
      <c r="C1056" s="1" t="str">
        <f>"08843524"</f>
        <v>08843524</v>
      </c>
      <c r="D1056" s="1" t="s">
        <v>196</v>
      </c>
      <c r="F1056" s="1" t="str">
        <f>"188"</f>
        <v>188</v>
      </c>
      <c r="G1056" s="2">
        <v>42055</v>
      </c>
      <c r="H1056" s="1">
        <v>159896</v>
      </c>
      <c r="I1056" s="1">
        <v>159896</v>
      </c>
      <c r="J1056" s="1">
        <v>158000</v>
      </c>
      <c r="K1056" s="2">
        <v>42055</v>
      </c>
      <c r="L1056" s="1">
        <v>8</v>
      </c>
      <c r="M1056" s="2">
        <v>42062</v>
      </c>
      <c r="N1056" s="1">
        <v>8</v>
      </c>
      <c r="O1056" s="2">
        <v>42062</v>
      </c>
      <c r="P1056" s="1">
        <v>28</v>
      </c>
      <c r="Q1056" s="1" t="s">
        <v>197</v>
      </c>
      <c r="R1056" s="2">
        <v>42095</v>
      </c>
      <c r="S1056" s="1">
        <v>7816</v>
      </c>
      <c r="U1056" s="1">
        <v>790</v>
      </c>
      <c r="V1056" s="1" t="s">
        <v>4678</v>
      </c>
      <c r="W1056" s="1" t="s">
        <v>304</v>
      </c>
      <c r="Y1056" s="1">
        <v>2</v>
      </c>
      <c r="Z1056" s="1" t="s">
        <v>200</v>
      </c>
      <c r="AA1056" s="1" t="s">
        <v>1084</v>
      </c>
      <c r="AB1056" s="1">
        <v>60188</v>
      </c>
      <c r="AE1056" s="1" t="s">
        <v>11293</v>
      </c>
      <c r="AF1056" s="1">
        <v>1989</v>
      </c>
      <c r="AG1056" s="1" t="s">
        <v>204</v>
      </c>
      <c r="AH1056" s="1" t="s">
        <v>1087</v>
      </c>
      <c r="AI1056" s="1" t="s">
        <v>206</v>
      </c>
      <c r="AJ1056" s="1" t="s">
        <v>2654</v>
      </c>
      <c r="AK1056" s="1" t="s">
        <v>1088</v>
      </c>
      <c r="AL1056" s="1">
        <v>6</v>
      </c>
      <c r="AM1056" s="1">
        <v>2</v>
      </c>
      <c r="AN1056" s="1">
        <v>1</v>
      </c>
      <c r="AO1056" s="1">
        <v>1</v>
      </c>
      <c r="AP1056" s="1" t="s">
        <v>455</v>
      </c>
      <c r="AQ1056" s="1">
        <v>0</v>
      </c>
      <c r="AR1056" s="1" t="s">
        <v>210</v>
      </c>
      <c r="AS1056" s="1" t="s">
        <v>204</v>
      </c>
      <c r="AT1056" s="1" t="s">
        <v>211</v>
      </c>
      <c r="AU1056" s="1">
        <v>1</v>
      </c>
      <c r="AW1056" s="1" t="s">
        <v>204</v>
      </c>
      <c r="AX1056" s="1" t="s">
        <v>11294</v>
      </c>
      <c r="AZ1056" s="1">
        <v>3537</v>
      </c>
      <c r="BA1056" s="1">
        <v>2013</v>
      </c>
      <c r="BB1056" s="1" t="s">
        <v>599</v>
      </c>
      <c r="BE1056" s="1">
        <v>1293</v>
      </c>
      <c r="BF1056" s="1">
        <v>1</v>
      </c>
      <c r="BG1056" s="1">
        <v>0</v>
      </c>
      <c r="BL1056" s="1">
        <v>0</v>
      </c>
      <c r="BM1056" s="1" t="s">
        <v>204</v>
      </c>
      <c r="BN1056" s="1" t="s">
        <v>213</v>
      </c>
      <c r="BO1056" s="1">
        <v>999</v>
      </c>
      <c r="BP1056" s="1" t="s">
        <v>204</v>
      </c>
      <c r="BR1056" s="1" t="str">
        <f>"0124416021"</f>
        <v>0124416021</v>
      </c>
      <c r="BT1056" s="1" t="s">
        <v>11295</v>
      </c>
      <c r="BU1056" s="1" t="s">
        <v>1090</v>
      </c>
      <c r="BV1056" s="1" t="s">
        <v>1091</v>
      </c>
      <c r="BX1056" s="1">
        <v>93</v>
      </c>
      <c r="BY1056" s="1">
        <v>93</v>
      </c>
      <c r="BZ1056" s="1">
        <v>87</v>
      </c>
      <c r="CB1056" s="1" t="str">
        <f>"4"</f>
        <v>4</v>
      </c>
      <c r="CC1056" s="1" t="str">
        <f t="shared" si="813"/>
        <v/>
      </c>
      <c r="CD1056" s="1">
        <v>26</v>
      </c>
      <c r="CG1056" s="1" t="s">
        <v>1178</v>
      </c>
      <c r="CH1056" s="1" t="s">
        <v>219</v>
      </c>
      <c r="CI1056" s="1" t="s">
        <v>220</v>
      </c>
      <c r="CJ1056" s="1" t="s">
        <v>343</v>
      </c>
      <c r="CK1056" s="1" t="s">
        <v>932</v>
      </c>
      <c r="CL1056" s="1" t="s">
        <v>219</v>
      </c>
      <c r="CM1056" s="1" t="s">
        <v>220</v>
      </c>
      <c r="CN1056" s="1" t="s">
        <v>343</v>
      </c>
      <c r="CO1056" s="1" t="s">
        <v>317</v>
      </c>
      <c r="CP1056" s="1" t="s">
        <v>219</v>
      </c>
      <c r="CQ1056" s="1" t="s">
        <v>220</v>
      </c>
      <c r="CR1056" s="1" t="s">
        <v>210</v>
      </c>
      <c r="CS1056" s="1" t="s">
        <v>378</v>
      </c>
      <c r="CT1056" s="1" t="s">
        <v>219</v>
      </c>
      <c r="CU1056" s="1" t="s">
        <v>220</v>
      </c>
      <c r="CV1056" s="1" t="s">
        <v>343</v>
      </c>
      <c r="CX1056" s="1" t="s">
        <v>224</v>
      </c>
      <c r="DB1056" s="1" t="s">
        <v>224</v>
      </c>
      <c r="DE1056" s="1" t="s">
        <v>465</v>
      </c>
      <c r="DF1056" s="1" t="s">
        <v>219</v>
      </c>
      <c r="DG1056" s="1" t="s">
        <v>226</v>
      </c>
      <c r="DH1056" s="1" t="s">
        <v>210</v>
      </c>
      <c r="DI1056" s="1" t="s">
        <v>581</v>
      </c>
      <c r="DJ1056" s="1" t="s">
        <v>219</v>
      </c>
      <c r="DK1056" s="1" t="s">
        <v>229</v>
      </c>
      <c r="DL1056" s="1" t="s">
        <v>343</v>
      </c>
      <c r="DS1056" s="1" t="s">
        <v>230</v>
      </c>
      <c r="DW1056" s="1" t="s">
        <v>230</v>
      </c>
      <c r="EA1056" s="1" t="s">
        <v>230</v>
      </c>
      <c r="EE1056" s="1" t="s">
        <v>230</v>
      </c>
      <c r="EI1056" s="1" t="s">
        <v>230</v>
      </c>
      <c r="EL1056" s="1" t="s">
        <v>542</v>
      </c>
      <c r="EM1056" s="1" t="s">
        <v>232</v>
      </c>
      <c r="EN1056" s="1" t="s">
        <v>282</v>
      </c>
      <c r="EO1056" s="1" t="s">
        <v>234</v>
      </c>
      <c r="EQ1056" s="1" t="s">
        <v>2188</v>
      </c>
      <c r="ER1056" s="1" t="s">
        <v>210</v>
      </c>
      <c r="ES1056" s="1" t="s">
        <v>322</v>
      </c>
      <c r="EU1056" s="1" t="s">
        <v>546</v>
      </c>
      <c r="EV1056" s="1" t="s">
        <v>240</v>
      </c>
      <c r="EW1056" s="1" t="s">
        <v>210</v>
      </c>
      <c r="EY1056" s="1" t="s">
        <v>242</v>
      </c>
      <c r="EZ1056" s="1" t="s">
        <v>287</v>
      </c>
      <c r="FA1056" s="1" t="s">
        <v>1726</v>
      </c>
      <c r="FD1056" s="1" t="s">
        <v>246</v>
      </c>
      <c r="FE1056" s="1" t="s">
        <v>1031</v>
      </c>
      <c r="FF1056" s="1" t="s">
        <v>1113</v>
      </c>
      <c r="FH1056" s="1" t="s">
        <v>5479</v>
      </c>
      <c r="FI1056" s="1" t="s">
        <v>473</v>
      </c>
      <c r="FL1056" s="1" t="s">
        <v>358</v>
      </c>
      <c r="FM1056" s="1" t="s">
        <v>252</v>
      </c>
      <c r="FN1056" s="1" t="s">
        <v>213</v>
      </c>
      <c r="FO1056" s="1" t="s">
        <v>213</v>
      </c>
      <c r="FQ1056" s="1" t="s">
        <v>11296</v>
      </c>
      <c r="FR1056" s="1" t="s">
        <v>652</v>
      </c>
      <c r="FS1056" s="1" t="s">
        <v>3919</v>
      </c>
      <c r="FT1056" s="1" t="s">
        <v>255</v>
      </c>
      <c r="FU1056" s="1" t="s">
        <v>204</v>
      </c>
      <c r="FV1056" s="1" t="s">
        <v>11297</v>
      </c>
      <c r="FW1056" s="1" t="s">
        <v>4288</v>
      </c>
      <c r="FX1056" s="1">
        <v>24475</v>
      </c>
      <c r="FY1056" s="1" t="s">
        <v>4289</v>
      </c>
      <c r="FZ1056" s="1" t="s">
        <v>11298</v>
      </c>
      <c r="GA1056" s="1">
        <v>244478</v>
      </c>
      <c r="GB1056" s="1" t="s">
        <v>11299</v>
      </c>
      <c r="GE1056" s="1" t="s">
        <v>480</v>
      </c>
      <c r="GI1056" s="1" t="s">
        <v>213</v>
      </c>
      <c r="GJ1056" s="1" t="s">
        <v>260</v>
      </c>
      <c r="GK1056" s="1" t="s">
        <v>210</v>
      </c>
      <c r="GL1056" s="2">
        <v>42095</v>
      </c>
    </row>
    <row r="1057" spans="1:195">
      <c r="A1057" s="1">
        <v>192000</v>
      </c>
      <c r="B1057" s="1" t="s">
        <v>195</v>
      </c>
      <c r="C1057" s="1" t="str">
        <f>"08858839"</f>
        <v>08858839</v>
      </c>
      <c r="D1057" s="1" t="s">
        <v>196</v>
      </c>
      <c r="F1057" s="1" t="str">
        <f>"48"</f>
        <v>48</v>
      </c>
      <c r="G1057" s="2">
        <v>42074</v>
      </c>
      <c r="H1057" s="1">
        <v>200000</v>
      </c>
      <c r="I1057" s="1">
        <v>200000</v>
      </c>
      <c r="J1057" s="1">
        <v>192000</v>
      </c>
      <c r="K1057" s="2">
        <v>42074</v>
      </c>
      <c r="L1057" s="1">
        <v>1</v>
      </c>
      <c r="M1057" s="2">
        <v>42074</v>
      </c>
      <c r="N1057" s="1">
        <v>1</v>
      </c>
      <c r="O1057" s="2">
        <v>42074</v>
      </c>
      <c r="P1057" s="1">
        <v>25752</v>
      </c>
      <c r="Q1057" s="1" t="s">
        <v>302</v>
      </c>
      <c r="R1057" s="2">
        <v>42102</v>
      </c>
      <c r="S1057" s="1">
        <v>240066</v>
      </c>
      <c r="U1057" s="1">
        <v>1208</v>
      </c>
      <c r="V1057" s="1" t="s">
        <v>11300</v>
      </c>
      <c r="W1057" s="1" t="s">
        <v>4046</v>
      </c>
      <c r="X1057" s="1">
        <v>1208</v>
      </c>
      <c r="Y1057" s="1">
        <v>2</v>
      </c>
      <c r="Z1057" s="1" t="s">
        <v>249</v>
      </c>
      <c r="AA1057" s="1" t="s">
        <v>6674</v>
      </c>
      <c r="AB1057" s="1">
        <v>60048</v>
      </c>
      <c r="AE1057" s="1" t="s">
        <v>11301</v>
      </c>
      <c r="AF1057" s="1">
        <v>1986</v>
      </c>
      <c r="AG1057" s="1" t="s">
        <v>204</v>
      </c>
      <c r="AH1057" s="1" t="s">
        <v>1693</v>
      </c>
      <c r="AI1057" s="1" t="s">
        <v>509</v>
      </c>
      <c r="AJ1057" s="1" t="s">
        <v>1693</v>
      </c>
      <c r="AL1057" s="1">
        <v>6</v>
      </c>
      <c r="AM1057" s="1">
        <v>2</v>
      </c>
      <c r="AN1057" s="1">
        <v>2</v>
      </c>
      <c r="AO1057" s="1">
        <v>0</v>
      </c>
      <c r="AP1057" s="1" t="s">
        <v>209</v>
      </c>
      <c r="AR1057" s="1" t="s">
        <v>210</v>
      </c>
      <c r="AS1057" s="1" t="s">
        <v>204</v>
      </c>
      <c r="AT1057" s="1" t="s">
        <v>211</v>
      </c>
      <c r="AU1057" s="1">
        <v>2</v>
      </c>
      <c r="AW1057" s="1" t="s">
        <v>204</v>
      </c>
      <c r="AX1057" s="1" t="s">
        <v>212</v>
      </c>
      <c r="AZ1057" s="1">
        <v>4901.71</v>
      </c>
      <c r="BA1057" s="1">
        <v>2013</v>
      </c>
      <c r="BE1057" s="1">
        <v>1808</v>
      </c>
      <c r="BF1057" s="1">
        <v>1</v>
      </c>
      <c r="BG1057" s="1">
        <v>0</v>
      </c>
      <c r="BL1057" s="1">
        <v>425</v>
      </c>
      <c r="BM1057" s="1" t="s">
        <v>413</v>
      </c>
      <c r="BN1057" s="1" t="s">
        <v>213</v>
      </c>
      <c r="BO1057" s="1">
        <v>0</v>
      </c>
      <c r="BP1057" s="1" t="s">
        <v>204</v>
      </c>
      <c r="BR1057" s="1" t="str">
        <f>"11271070220000"</f>
        <v>11271070220000</v>
      </c>
      <c r="BT1057" s="1" t="s">
        <v>11302</v>
      </c>
      <c r="BX1057" s="1">
        <v>73</v>
      </c>
      <c r="BY1057" s="1">
        <v>73</v>
      </c>
      <c r="BZ1057" s="1">
        <v>128</v>
      </c>
      <c r="CB1057" s="1" t="str">
        <f t="shared" ref="CB1057:CC1057" si="814">""</f>
        <v/>
      </c>
      <c r="CC1057" s="1" t="str">
        <f t="shared" si="814"/>
        <v/>
      </c>
      <c r="CG1057" s="1" t="s">
        <v>218</v>
      </c>
      <c r="CH1057" s="1" t="s">
        <v>219</v>
      </c>
      <c r="CI1057" s="1" t="s">
        <v>220</v>
      </c>
      <c r="CK1057" s="1" t="s">
        <v>729</v>
      </c>
      <c r="CL1057" s="1" t="s">
        <v>219</v>
      </c>
      <c r="CM1057" s="1" t="s">
        <v>220</v>
      </c>
      <c r="CO1057" s="1" t="s">
        <v>379</v>
      </c>
      <c r="CP1057" s="1" t="s">
        <v>219</v>
      </c>
      <c r="CQ1057" s="1" t="s">
        <v>220</v>
      </c>
      <c r="CS1057" s="1" t="s">
        <v>461</v>
      </c>
      <c r="CT1057" s="1" t="s">
        <v>219</v>
      </c>
      <c r="CU1057" s="1" t="s">
        <v>220</v>
      </c>
      <c r="CX1057" s="1" t="s">
        <v>224</v>
      </c>
      <c r="DB1057" s="1" t="s">
        <v>224</v>
      </c>
      <c r="DE1057" s="1" t="s">
        <v>317</v>
      </c>
      <c r="DF1057" s="1" t="s">
        <v>219</v>
      </c>
      <c r="DG1057" s="1" t="s">
        <v>229</v>
      </c>
      <c r="DI1057" s="1" t="s">
        <v>1425</v>
      </c>
      <c r="DJ1057" s="1" t="s">
        <v>219</v>
      </c>
      <c r="DK1057" s="1" t="s">
        <v>1236</v>
      </c>
      <c r="DS1057" s="1" t="s">
        <v>230</v>
      </c>
      <c r="DW1057" s="1" t="s">
        <v>230</v>
      </c>
      <c r="EA1057" s="1" t="s">
        <v>230</v>
      </c>
      <c r="EE1057" s="1" t="s">
        <v>230</v>
      </c>
      <c r="EI1057" s="1" t="s">
        <v>230</v>
      </c>
      <c r="EL1057" s="1" t="s">
        <v>542</v>
      </c>
      <c r="EM1057" s="1" t="s">
        <v>319</v>
      </c>
      <c r="EN1057" s="1" t="s">
        <v>282</v>
      </c>
      <c r="EO1057" s="1" t="s">
        <v>234</v>
      </c>
      <c r="EQ1057" s="1" t="s">
        <v>468</v>
      </c>
      <c r="ER1057" s="1" t="s">
        <v>210</v>
      </c>
      <c r="ES1057" s="1" t="s">
        <v>824</v>
      </c>
      <c r="EU1057" s="1" t="s">
        <v>5594</v>
      </c>
      <c r="EV1057" s="1" t="s">
        <v>324</v>
      </c>
      <c r="EW1057" s="1" t="s">
        <v>9621</v>
      </c>
      <c r="EZ1057" s="1" t="s">
        <v>287</v>
      </c>
      <c r="FA1057" s="1" t="s">
        <v>3624</v>
      </c>
      <c r="FD1057" s="1" t="s">
        <v>246</v>
      </c>
      <c r="FE1057" s="1" t="s">
        <v>889</v>
      </c>
      <c r="FF1057" s="1" t="s">
        <v>248</v>
      </c>
      <c r="FH1057" s="1" t="s">
        <v>1316</v>
      </c>
      <c r="FI1057" s="1" t="s">
        <v>473</v>
      </c>
      <c r="FL1057" s="1" t="s">
        <v>358</v>
      </c>
      <c r="FM1057" s="1" t="s">
        <v>252</v>
      </c>
      <c r="FN1057" s="1" t="s">
        <v>213</v>
      </c>
      <c r="FO1057" s="1" t="s">
        <v>213</v>
      </c>
      <c r="FQ1057" s="1" t="s">
        <v>11303</v>
      </c>
      <c r="FR1057" s="1" t="s">
        <v>210</v>
      </c>
      <c r="FS1057" s="1" t="s">
        <v>4138</v>
      </c>
      <c r="FT1057" s="1" t="s">
        <v>1408</v>
      </c>
      <c r="FU1057" s="1" t="s">
        <v>204</v>
      </c>
      <c r="FW1057" s="1" t="s">
        <v>2006</v>
      </c>
      <c r="FX1057" s="1">
        <v>25752</v>
      </c>
      <c r="FY1057" s="1" t="s">
        <v>4745</v>
      </c>
      <c r="FZ1057" s="1" t="s">
        <v>11304</v>
      </c>
      <c r="GA1057" s="1">
        <v>20581</v>
      </c>
      <c r="GB1057" s="1" t="s">
        <v>11305</v>
      </c>
      <c r="GE1057" s="1" t="s">
        <v>210</v>
      </c>
      <c r="GI1057" s="1" t="s">
        <v>213</v>
      </c>
      <c r="GJ1057" s="1" t="s">
        <v>260</v>
      </c>
      <c r="GK1057" s="1" t="s">
        <v>210</v>
      </c>
      <c r="GL1057" s="2">
        <v>42103</v>
      </c>
    </row>
    <row r="1058" spans="1:195">
      <c r="A1058" s="1">
        <v>123500</v>
      </c>
      <c r="B1058" s="1" t="s">
        <v>195</v>
      </c>
      <c r="C1058" s="1" t="str">
        <f>"08846595"</f>
        <v>08846595</v>
      </c>
      <c r="D1058" s="1" t="s">
        <v>196</v>
      </c>
      <c r="F1058" s="1" t="str">
        <f>"516"</f>
        <v>516</v>
      </c>
      <c r="G1058" s="2">
        <v>42060</v>
      </c>
      <c r="H1058" s="1">
        <v>130000</v>
      </c>
      <c r="I1058" s="1">
        <v>129900</v>
      </c>
      <c r="J1058" s="1">
        <v>123500</v>
      </c>
      <c r="K1058" s="2">
        <v>42059</v>
      </c>
      <c r="L1058" s="1">
        <v>27</v>
      </c>
      <c r="M1058" s="2">
        <v>42085</v>
      </c>
      <c r="N1058" s="1">
        <v>27</v>
      </c>
      <c r="O1058" s="2">
        <v>42085</v>
      </c>
      <c r="P1058" s="1">
        <v>22300</v>
      </c>
      <c r="Q1058" s="1" t="s">
        <v>197</v>
      </c>
      <c r="R1058" s="2">
        <v>42131</v>
      </c>
      <c r="S1058" s="1">
        <v>224002</v>
      </c>
      <c r="U1058" s="1">
        <v>6425</v>
      </c>
      <c r="V1058" s="1" t="s">
        <v>2693</v>
      </c>
      <c r="W1058" s="1" t="s">
        <v>1056</v>
      </c>
      <c r="X1058" s="1">
        <v>313</v>
      </c>
      <c r="Y1058" s="1">
        <v>60</v>
      </c>
      <c r="Z1058" s="1" t="s">
        <v>249</v>
      </c>
      <c r="AA1058" s="1" t="s">
        <v>1417</v>
      </c>
      <c r="AB1058" s="1">
        <v>60527</v>
      </c>
      <c r="AE1058" s="1" t="s">
        <v>11306</v>
      </c>
      <c r="AF1058" s="1">
        <v>1979</v>
      </c>
      <c r="AG1058" s="1" t="s">
        <v>204</v>
      </c>
      <c r="AH1058" s="1" t="s">
        <v>1419</v>
      </c>
      <c r="AI1058" s="1" t="s">
        <v>206</v>
      </c>
      <c r="AJ1058" s="1" t="s">
        <v>903</v>
      </c>
      <c r="AL1058" s="1">
        <v>5</v>
      </c>
      <c r="AM1058" s="1">
        <v>2</v>
      </c>
      <c r="AN1058" s="1">
        <v>2</v>
      </c>
      <c r="AO1058" s="1">
        <v>0</v>
      </c>
      <c r="AP1058" s="1" t="s">
        <v>209</v>
      </c>
      <c r="AR1058" s="1" t="s">
        <v>210</v>
      </c>
      <c r="AT1058" s="1" t="s">
        <v>211</v>
      </c>
      <c r="AU1058" s="1">
        <v>1</v>
      </c>
      <c r="AW1058" s="1" t="s">
        <v>204</v>
      </c>
      <c r="AX1058" s="1" t="s">
        <v>212</v>
      </c>
      <c r="AZ1058" s="1">
        <v>1436</v>
      </c>
      <c r="BA1058" s="1">
        <v>2013</v>
      </c>
      <c r="BB1058" s="1" t="s">
        <v>210</v>
      </c>
      <c r="BE1058" s="1">
        <v>950</v>
      </c>
      <c r="BF1058" s="1">
        <v>3</v>
      </c>
      <c r="BG1058" s="1">
        <v>30</v>
      </c>
      <c r="BJ1058" s="1">
        <v>100</v>
      </c>
      <c r="BL1058" s="1">
        <v>354</v>
      </c>
      <c r="BM1058" s="1" t="s">
        <v>213</v>
      </c>
      <c r="BN1058" s="1" t="s">
        <v>213</v>
      </c>
      <c r="BO1058" s="1">
        <v>30</v>
      </c>
      <c r="BP1058" s="1" t="s">
        <v>204</v>
      </c>
      <c r="BR1058" s="1" t="str">
        <f>"0923117054"</f>
        <v>0923117054</v>
      </c>
      <c r="BT1058" s="1" t="s">
        <v>11307</v>
      </c>
      <c r="BU1058" s="1" t="s">
        <v>2980</v>
      </c>
      <c r="BV1058" s="1" t="s">
        <v>2981</v>
      </c>
      <c r="BW1058" s="1" t="s">
        <v>1546</v>
      </c>
      <c r="BX1058" s="1">
        <v>60</v>
      </c>
      <c r="BY1058" s="1">
        <v>60</v>
      </c>
      <c r="BZ1058" s="1">
        <v>86</v>
      </c>
      <c r="CB1058" s="1" t="str">
        <f t="shared" ref="CB1058:CC1058" si="815">""</f>
        <v/>
      </c>
      <c r="CC1058" s="1" t="str">
        <f t="shared" si="815"/>
        <v/>
      </c>
      <c r="CG1058" s="1" t="s">
        <v>1155</v>
      </c>
      <c r="CH1058" s="1" t="s">
        <v>784</v>
      </c>
      <c r="CI1058" s="1" t="s">
        <v>220</v>
      </c>
      <c r="CJ1058" s="1" t="s">
        <v>343</v>
      </c>
      <c r="CK1058" s="1" t="s">
        <v>581</v>
      </c>
      <c r="CL1058" s="1" t="s">
        <v>784</v>
      </c>
      <c r="CM1058" s="1" t="s">
        <v>220</v>
      </c>
      <c r="CN1058" s="1" t="s">
        <v>343</v>
      </c>
      <c r="CO1058" s="1" t="s">
        <v>1297</v>
      </c>
      <c r="CP1058" s="1" t="s">
        <v>784</v>
      </c>
      <c r="CQ1058" s="1" t="s">
        <v>220</v>
      </c>
      <c r="CS1058" s="1" t="s">
        <v>2231</v>
      </c>
      <c r="CT1058" s="1" t="s">
        <v>784</v>
      </c>
      <c r="CU1058" s="1" t="s">
        <v>220</v>
      </c>
      <c r="CV1058" s="1" t="s">
        <v>343</v>
      </c>
      <c r="CX1058" s="1" t="s">
        <v>224</v>
      </c>
      <c r="DB1058" s="1" t="s">
        <v>224</v>
      </c>
      <c r="DE1058" s="1" t="s">
        <v>379</v>
      </c>
      <c r="DF1058" s="1" t="s">
        <v>784</v>
      </c>
      <c r="DG1058" s="1" t="s">
        <v>226</v>
      </c>
      <c r="DJ1058" s="1" t="s">
        <v>224</v>
      </c>
      <c r="DS1058" s="1" t="s">
        <v>230</v>
      </c>
      <c r="DW1058" s="1" t="s">
        <v>230</v>
      </c>
      <c r="EA1058" s="1" t="s">
        <v>230</v>
      </c>
      <c r="EE1058" s="1" t="s">
        <v>230</v>
      </c>
      <c r="EI1058" s="1" t="s">
        <v>230</v>
      </c>
      <c r="EL1058" s="1" t="s">
        <v>231</v>
      </c>
      <c r="EM1058" s="1" t="s">
        <v>232</v>
      </c>
      <c r="EN1058" s="1" t="s">
        <v>282</v>
      </c>
      <c r="EO1058" s="1" t="s">
        <v>234</v>
      </c>
      <c r="ER1058" s="1" t="s">
        <v>210</v>
      </c>
      <c r="EW1058" s="1" t="s">
        <v>844</v>
      </c>
      <c r="EY1058" s="1" t="s">
        <v>242</v>
      </c>
      <c r="EZ1058" s="1" t="s">
        <v>287</v>
      </c>
      <c r="FB1058" s="1" t="s">
        <v>289</v>
      </c>
      <c r="FC1058" s="1" t="s">
        <v>548</v>
      </c>
      <c r="FD1058" s="1" t="s">
        <v>290</v>
      </c>
      <c r="FE1058" s="1" t="s">
        <v>247</v>
      </c>
      <c r="FF1058" s="1" t="s">
        <v>248</v>
      </c>
      <c r="FH1058" s="1" t="s">
        <v>249</v>
      </c>
      <c r="FJ1058" s="1" t="s">
        <v>197</v>
      </c>
      <c r="FL1058" s="1" t="s">
        <v>358</v>
      </c>
      <c r="FM1058" s="1" t="s">
        <v>252</v>
      </c>
      <c r="FN1058" s="1" t="s">
        <v>213</v>
      </c>
      <c r="FO1058" s="1" t="s">
        <v>213</v>
      </c>
      <c r="FQ1058" s="1" t="s">
        <v>11308</v>
      </c>
      <c r="FR1058" s="1" t="s">
        <v>210</v>
      </c>
      <c r="FS1058" s="1" t="s">
        <v>11309</v>
      </c>
      <c r="FT1058" s="1" t="s">
        <v>295</v>
      </c>
      <c r="FU1058" s="1" t="s">
        <v>204</v>
      </c>
      <c r="FV1058" s="1" t="s">
        <v>11310</v>
      </c>
      <c r="FW1058" s="1" t="s">
        <v>6907</v>
      </c>
      <c r="FX1058" s="1">
        <v>22010</v>
      </c>
      <c r="FY1058" s="1" t="s">
        <v>6908</v>
      </c>
      <c r="FZ1058" s="1" t="s">
        <v>11311</v>
      </c>
      <c r="GA1058" s="1">
        <v>221442</v>
      </c>
      <c r="GB1058" s="1" t="s">
        <v>11312</v>
      </c>
      <c r="GD1058" s="1" t="s">
        <v>11313</v>
      </c>
      <c r="GE1058" s="1" t="s">
        <v>335</v>
      </c>
      <c r="GI1058" s="1" t="s">
        <v>213</v>
      </c>
      <c r="GJ1058" s="1" t="s">
        <v>260</v>
      </c>
      <c r="GK1058" s="1" t="s">
        <v>210</v>
      </c>
      <c r="GL1058" s="2">
        <v>42131</v>
      </c>
      <c r="GM1058" s="1" t="s">
        <v>11314</v>
      </c>
    </row>
    <row r="1059" spans="1:195">
      <c r="A1059" s="1">
        <v>166250</v>
      </c>
      <c r="B1059" s="1" t="s">
        <v>195</v>
      </c>
      <c r="C1059" s="1" t="str">
        <f>"08842465"</f>
        <v>08842465</v>
      </c>
      <c r="D1059" s="1" t="s">
        <v>196</v>
      </c>
      <c r="F1059" s="1" t="str">
        <f>"123"</f>
        <v>123</v>
      </c>
      <c r="G1059" s="2">
        <v>42054</v>
      </c>
      <c r="H1059" s="1">
        <v>174900</v>
      </c>
      <c r="I1059" s="1">
        <v>174900</v>
      </c>
      <c r="J1059" s="1">
        <v>166250</v>
      </c>
      <c r="K1059" s="2">
        <v>42054</v>
      </c>
      <c r="L1059" s="1">
        <v>21</v>
      </c>
      <c r="M1059" s="2">
        <v>42074</v>
      </c>
      <c r="N1059" s="1">
        <v>21</v>
      </c>
      <c r="O1059" s="2">
        <v>42074</v>
      </c>
      <c r="P1059" s="1">
        <v>1946</v>
      </c>
      <c r="Q1059" s="1" t="s">
        <v>197</v>
      </c>
      <c r="R1059" s="2">
        <v>42128</v>
      </c>
      <c r="S1059" s="1">
        <v>243632</v>
      </c>
      <c r="U1059" s="1">
        <v>1475</v>
      </c>
      <c r="V1059" s="1" t="s">
        <v>11315</v>
      </c>
      <c r="W1059" s="1" t="s">
        <v>304</v>
      </c>
      <c r="Y1059" s="1">
        <v>6</v>
      </c>
      <c r="Z1059" s="1" t="s">
        <v>370</v>
      </c>
      <c r="AA1059" s="1" t="s">
        <v>1173</v>
      </c>
      <c r="AB1059" s="1">
        <v>60120</v>
      </c>
      <c r="AD1059" s="1" t="s">
        <v>5007</v>
      </c>
      <c r="AE1059" s="1" t="s">
        <v>11316</v>
      </c>
      <c r="AF1059" s="1">
        <v>2000</v>
      </c>
      <c r="AG1059" s="1" t="s">
        <v>204</v>
      </c>
      <c r="AH1059" s="1" t="s">
        <v>339</v>
      </c>
      <c r="AI1059" s="1" t="s">
        <v>310</v>
      </c>
      <c r="AJ1059" s="1" t="s">
        <v>374</v>
      </c>
      <c r="AL1059" s="1">
        <v>6</v>
      </c>
      <c r="AM1059" s="1">
        <v>2</v>
      </c>
      <c r="AN1059" s="1">
        <v>2</v>
      </c>
      <c r="AO1059" s="1">
        <v>1</v>
      </c>
      <c r="AP1059" s="1" t="s">
        <v>209</v>
      </c>
      <c r="AR1059" s="1" t="s">
        <v>210</v>
      </c>
      <c r="AS1059" s="1" t="s">
        <v>204</v>
      </c>
      <c r="AT1059" s="1" t="s">
        <v>211</v>
      </c>
      <c r="AU1059" s="1">
        <v>2</v>
      </c>
      <c r="AW1059" s="1" t="s">
        <v>204</v>
      </c>
      <c r="AX1059" s="1" t="s">
        <v>212</v>
      </c>
      <c r="AZ1059" s="1">
        <v>2631.46</v>
      </c>
      <c r="BA1059" s="1">
        <v>2013</v>
      </c>
      <c r="BB1059" s="1" t="s">
        <v>405</v>
      </c>
      <c r="BE1059" s="1">
        <v>0</v>
      </c>
      <c r="BF1059" s="1">
        <v>1</v>
      </c>
      <c r="BG1059" s="1">
        <v>0</v>
      </c>
      <c r="BL1059" s="1">
        <v>179</v>
      </c>
      <c r="BM1059" s="1" t="s">
        <v>204</v>
      </c>
      <c r="BN1059" s="1" t="s">
        <v>213</v>
      </c>
      <c r="BO1059" s="1">
        <v>999</v>
      </c>
      <c r="BP1059" s="1" t="s">
        <v>204</v>
      </c>
      <c r="BR1059" s="1" t="str">
        <f>"06202080181238"</f>
        <v>06202080181238</v>
      </c>
      <c r="BT1059" s="1" t="s">
        <v>11317</v>
      </c>
      <c r="BX1059" s="1">
        <v>46</v>
      </c>
      <c r="BY1059" s="1">
        <v>46</v>
      </c>
      <c r="BZ1059" s="1">
        <v>46</v>
      </c>
      <c r="CB1059" s="1" t="str">
        <f t="shared" ref="CB1059:CC1059" si="816">""</f>
        <v/>
      </c>
      <c r="CC1059" s="1" t="str">
        <f t="shared" si="816"/>
        <v/>
      </c>
      <c r="CG1059" s="1" t="s">
        <v>669</v>
      </c>
      <c r="CH1059" s="1" t="s">
        <v>219</v>
      </c>
      <c r="CI1059" s="1" t="s">
        <v>438</v>
      </c>
      <c r="CJ1059" s="1" t="s">
        <v>343</v>
      </c>
      <c r="CK1059" s="1" t="s">
        <v>462</v>
      </c>
      <c r="CL1059" s="1" t="s">
        <v>277</v>
      </c>
      <c r="CM1059" s="1" t="s">
        <v>220</v>
      </c>
      <c r="CN1059" s="1" t="s">
        <v>463</v>
      </c>
      <c r="CO1059" s="1" t="s">
        <v>346</v>
      </c>
      <c r="CP1059" s="1" t="s">
        <v>219</v>
      </c>
      <c r="CQ1059" s="1" t="s">
        <v>438</v>
      </c>
      <c r="CR1059" s="1" t="s">
        <v>463</v>
      </c>
      <c r="CS1059" s="1" t="s">
        <v>465</v>
      </c>
      <c r="CT1059" s="1" t="s">
        <v>277</v>
      </c>
      <c r="CU1059" s="1" t="s">
        <v>220</v>
      </c>
      <c r="CV1059" s="1" t="s">
        <v>463</v>
      </c>
      <c r="CX1059" s="1" t="s">
        <v>224</v>
      </c>
      <c r="DB1059" s="1" t="s">
        <v>224</v>
      </c>
      <c r="DE1059" s="1" t="s">
        <v>379</v>
      </c>
      <c r="DF1059" s="1" t="s">
        <v>219</v>
      </c>
      <c r="DG1059" s="1" t="s">
        <v>438</v>
      </c>
      <c r="DJ1059" s="1" t="s">
        <v>224</v>
      </c>
      <c r="DM1059" s="1" t="s">
        <v>464</v>
      </c>
      <c r="DR1059" s="1" t="s">
        <v>2466</v>
      </c>
      <c r="DS1059" s="1" t="s">
        <v>277</v>
      </c>
      <c r="DT1059" s="1" t="s">
        <v>220</v>
      </c>
      <c r="DU1059" s="1" t="s">
        <v>343</v>
      </c>
      <c r="DW1059" s="1" t="s">
        <v>230</v>
      </c>
      <c r="EA1059" s="1" t="s">
        <v>230</v>
      </c>
      <c r="EE1059" s="1" t="s">
        <v>230</v>
      </c>
      <c r="EI1059" s="1" t="s">
        <v>230</v>
      </c>
      <c r="EL1059" s="1" t="s">
        <v>466</v>
      </c>
      <c r="EM1059" s="1" t="s">
        <v>232</v>
      </c>
      <c r="EN1059" s="1" t="s">
        <v>282</v>
      </c>
      <c r="EO1059" s="1" t="s">
        <v>234</v>
      </c>
      <c r="EP1059" s="1" t="s">
        <v>650</v>
      </c>
      <c r="EQ1059" s="1" t="s">
        <v>492</v>
      </c>
      <c r="ER1059" s="1" t="s">
        <v>210</v>
      </c>
      <c r="ES1059" s="1" t="s">
        <v>322</v>
      </c>
      <c r="EV1059" s="1" t="s">
        <v>352</v>
      </c>
      <c r="EW1059" s="1" t="s">
        <v>887</v>
      </c>
      <c r="EZ1059" s="1" t="s">
        <v>464</v>
      </c>
      <c r="FA1059" s="1" t="s">
        <v>4285</v>
      </c>
      <c r="FD1059" s="1" t="s">
        <v>495</v>
      </c>
      <c r="FE1059" s="1" t="s">
        <v>355</v>
      </c>
      <c r="FF1059" s="1" t="s">
        <v>248</v>
      </c>
      <c r="FH1059" s="1" t="s">
        <v>550</v>
      </c>
      <c r="FI1059" s="1" t="s">
        <v>357</v>
      </c>
      <c r="FL1059" s="1" t="s">
        <v>358</v>
      </c>
      <c r="FM1059" s="1" t="s">
        <v>252</v>
      </c>
      <c r="FN1059" s="1" t="s">
        <v>213</v>
      </c>
      <c r="FO1059" s="1" t="s">
        <v>213</v>
      </c>
      <c r="FQ1059" s="1" t="s">
        <v>253</v>
      </c>
      <c r="FR1059" s="1" t="s">
        <v>210</v>
      </c>
      <c r="FS1059" s="1" t="s">
        <v>11318</v>
      </c>
      <c r="FT1059" s="1" t="s">
        <v>295</v>
      </c>
      <c r="FU1059" s="1" t="s">
        <v>204</v>
      </c>
      <c r="FW1059" s="1" t="s">
        <v>1637</v>
      </c>
      <c r="FX1059" s="1">
        <v>8055</v>
      </c>
      <c r="FY1059" s="1" t="s">
        <v>1728</v>
      </c>
      <c r="FZ1059" s="1" t="s">
        <v>11319</v>
      </c>
      <c r="GA1059" s="1">
        <v>922859</v>
      </c>
      <c r="GB1059" s="1" t="s">
        <v>11320</v>
      </c>
      <c r="GE1059" s="1" t="s">
        <v>210</v>
      </c>
      <c r="GI1059" s="1" t="s">
        <v>213</v>
      </c>
      <c r="GJ1059" s="1" t="s">
        <v>260</v>
      </c>
      <c r="GK1059" s="1" t="s">
        <v>210</v>
      </c>
      <c r="GL1059" s="2">
        <v>42129</v>
      </c>
      <c r="GM1059" s="1" t="s">
        <v>11321</v>
      </c>
    </row>
    <row r="1060" spans="1:195">
      <c r="A1060" s="1">
        <v>416000</v>
      </c>
      <c r="B1060" s="1" t="s">
        <v>195</v>
      </c>
      <c r="C1060" s="1" t="str">
        <f>"08850015"</f>
        <v>08850015</v>
      </c>
      <c r="D1060" s="1" t="s">
        <v>196</v>
      </c>
      <c r="F1060" s="1" t="str">
        <f>"126"</f>
        <v>126</v>
      </c>
      <c r="G1060" s="2">
        <v>42065</v>
      </c>
      <c r="H1060" s="1">
        <v>429900</v>
      </c>
      <c r="I1060" s="1">
        <v>429900</v>
      </c>
      <c r="J1060" s="1">
        <v>416000</v>
      </c>
      <c r="K1060" s="2">
        <v>42065</v>
      </c>
      <c r="L1060" s="1">
        <v>1</v>
      </c>
      <c r="M1060" s="2">
        <v>42065</v>
      </c>
      <c r="N1060" s="1">
        <v>1</v>
      </c>
      <c r="O1060" s="2">
        <v>42065</v>
      </c>
      <c r="P1060" s="1">
        <v>24042</v>
      </c>
      <c r="Q1060" s="1" t="s">
        <v>197</v>
      </c>
      <c r="R1060" s="2">
        <v>42139</v>
      </c>
      <c r="S1060" s="1">
        <v>222049</v>
      </c>
      <c r="U1060" s="1">
        <v>190</v>
      </c>
      <c r="V1060" s="1" t="s">
        <v>2631</v>
      </c>
      <c r="W1060" s="1" t="s">
        <v>425</v>
      </c>
      <c r="Y1060" s="1">
        <v>7</v>
      </c>
      <c r="Z1060" s="1" t="s">
        <v>370</v>
      </c>
      <c r="AA1060" s="1" t="s">
        <v>3169</v>
      </c>
      <c r="AB1060" s="1">
        <v>60126</v>
      </c>
      <c r="AD1060" s="1" t="s">
        <v>10037</v>
      </c>
      <c r="AE1060" s="1" t="s">
        <v>11322</v>
      </c>
      <c r="AF1060" s="1">
        <v>1998</v>
      </c>
      <c r="AG1060" s="1" t="s">
        <v>204</v>
      </c>
      <c r="AH1060" s="1" t="s">
        <v>3172</v>
      </c>
      <c r="AI1060" s="1" t="s">
        <v>206</v>
      </c>
      <c r="AJ1060" s="1" t="s">
        <v>1608</v>
      </c>
      <c r="AL1060" s="1">
        <v>7</v>
      </c>
      <c r="AM1060" s="1">
        <v>2</v>
      </c>
      <c r="AN1060" s="1">
        <v>2</v>
      </c>
      <c r="AO1060" s="1">
        <v>1</v>
      </c>
      <c r="AP1060" s="1" t="s">
        <v>209</v>
      </c>
      <c r="AQ1060" s="1">
        <v>1</v>
      </c>
      <c r="AR1060" s="1" t="s">
        <v>209</v>
      </c>
      <c r="AS1060" s="1" t="s">
        <v>204</v>
      </c>
      <c r="AT1060" s="1" t="s">
        <v>211</v>
      </c>
      <c r="AU1060" s="1">
        <v>2</v>
      </c>
      <c r="AW1060" s="1" t="s">
        <v>204</v>
      </c>
      <c r="AX1060" s="1" t="s">
        <v>11323</v>
      </c>
      <c r="AZ1060" s="1">
        <v>7212</v>
      </c>
      <c r="BA1060" s="1">
        <v>2013</v>
      </c>
      <c r="BB1060" s="1" t="s">
        <v>405</v>
      </c>
      <c r="BE1060" s="1">
        <v>2067</v>
      </c>
      <c r="BF1060" s="1">
        <v>1</v>
      </c>
      <c r="BG1060" s="1">
        <v>0</v>
      </c>
      <c r="BL1060" s="1">
        <v>340</v>
      </c>
      <c r="BM1060" s="1" t="s">
        <v>204</v>
      </c>
      <c r="BN1060" s="1" t="s">
        <v>213</v>
      </c>
      <c r="BO1060" s="1">
        <v>0</v>
      </c>
      <c r="BP1060" s="1" t="s">
        <v>204</v>
      </c>
      <c r="BR1060" s="1" t="str">
        <f>"0602213033"</f>
        <v>0602213033</v>
      </c>
      <c r="BT1060" s="1" t="s">
        <v>11324</v>
      </c>
      <c r="BU1060" s="1" t="s">
        <v>3174</v>
      </c>
      <c r="BV1060" s="1" t="s">
        <v>3175</v>
      </c>
      <c r="BW1060" s="1" t="s">
        <v>3176</v>
      </c>
      <c r="BX1060" s="1">
        <v>205</v>
      </c>
      <c r="BY1060" s="1">
        <v>205</v>
      </c>
      <c r="BZ1060" s="1">
        <v>205</v>
      </c>
      <c r="CB1060" s="1" t="str">
        <f t="shared" ref="CB1060:CC1060" si="817">""</f>
        <v/>
      </c>
      <c r="CC1060" s="1" t="str">
        <f t="shared" si="817"/>
        <v/>
      </c>
      <c r="CG1060" s="1" t="s">
        <v>11325</v>
      </c>
      <c r="CH1060" s="1" t="s">
        <v>277</v>
      </c>
      <c r="CI1060" s="1" t="s">
        <v>438</v>
      </c>
      <c r="CK1060" s="1" t="s">
        <v>1267</v>
      </c>
      <c r="CL1060" s="1" t="s">
        <v>784</v>
      </c>
      <c r="CM1060" s="1" t="s">
        <v>220</v>
      </c>
      <c r="CO1060" s="1" t="s">
        <v>461</v>
      </c>
      <c r="CP1060" s="1" t="s">
        <v>277</v>
      </c>
      <c r="CQ1060" s="1" t="s">
        <v>438</v>
      </c>
      <c r="CS1060" s="1" t="s">
        <v>278</v>
      </c>
      <c r="CT1060" s="1" t="s">
        <v>784</v>
      </c>
      <c r="CU1060" s="1" t="s">
        <v>220</v>
      </c>
      <c r="CX1060" s="1" t="s">
        <v>224</v>
      </c>
      <c r="DB1060" s="1" t="s">
        <v>224</v>
      </c>
      <c r="DE1060" s="1" t="s">
        <v>465</v>
      </c>
      <c r="DF1060" s="1" t="s">
        <v>277</v>
      </c>
      <c r="DG1060" s="1" t="s">
        <v>438</v>
      </c>
      <c r="DI1060" s="1" t="s">
        <v>1267</v>
      </c>
      <c r="DJ1060" s="1" t="s">
        <v>219</v>
      </c>
      <c r="DK1060" s="1" t="s">
        <v>220</v>
      </c>
      <c r="DM1060" s="1" t="s">
        <v>934</v>
      </c>
      <c r="DR1060" s="1" t="s">
        <v>669</v>
      </c>
      <c r="DS1060" s="1" t="s">
        <v>43</v>
      </c>
      <c r="DT1060" s="1" t="s">
        <v>226</v>
      </c>
      <c r="DW1060" s="1" t="s">
        <v>230</v>
      </c>
      <c r="EA1060" s="1" t="s">
        <v>230</v>
      </c>
      <c r="EE1060" s="1" t="s">
        <v>230</v>
      </c>
      <c r="EI1060" s="1" t="s">
        <v>230</v>
      </c>
      <c r="EL1060" s="1" t="s">
        <v>670</v>
      </c>
      <c r="EM1060" s="1" t="s">
        <v>232</v>
      </c>
      <c r="EN1060" s="1" t="s">
        <v>282</v>
      </c>
      <c r="EO1060" s="1" t="s">
        <v>234</v>
      </c>
      <c r="EP1060" s="1" t="s">
        <v>650</v>
      </c>
      <c r="EQ1060" s="1" t="s">
        <v>492</v>
      </c>
      <c r="ER1060" s="1" t="s">
        <v>544</v>
      </c>
      <c r="ES1060" s="1" t="s">
        <v>493</v>
      </c>
      <c r="ET1060" s="1" t="s">
        <v>866</v>
      </c>
      <c r="EV1060" s="1" t="s">
        <v>352</v>
      </c>
      <c r="EW1060" s="1" t="s">
        <v>887</v>
      </c>
      <c r="EY1060" s="1" t="s">
        <v>242</v>
      </c>
      <c r="EZ1060" s="1" t="s">
        <v>934</v>
      </c>
      <c r="FA1060" s="1" t="s">
        <v>1072</v>
      </c>
      <c r="FB1060" s="1" t="s">
        <v>289</v>
      </c>
      <c r="FD1060" s="1" t="s">
        <v>246</v>
      </c>
      <c r="FE1060" s="1" t="s">
        <v>847</v>
      </c>
      <c r="FF1060" s="1" t="s">
        <v>248</v>
      </c>
      <c r="FH1060" s="1" t="s">
        <v>1428</v>
      </c>
      <c r="FI1060" s="1" t="s">
        <v>473</v>
      </c>
      <c r="FL1060" s="1" t="s">
        <v>358</v>
      </c>
      <c r="FM1060" s="1" t="s">
        <v>252</v>
      </c>
      <c r="FN1060" s="1" t="s">
        <v>213</v>
      </c>
      <c r="FO1060" s="1" t="s">
        <v>213</v>
      </c>
      <c r="FQ1060" s="1" t="s">
        <v>913</v>
      </c>
      <c r="FR1060" s="1" t="s">
        <v>210</v>
      </c>
      <c r="FS1060" s="1" t="s">
        <v>475</v>
      </c>
      <c r="FT1060" s="1" t="s">
        <v>295</v>
      </c>
      <c r="FU1060" s="1" t="s">
        <v>204</v>
      </c>
      <c r="FW1060" s="1" t="s">
        <v>915</v>
      </c>
      <c r="FX1060" s="1">
        <v>24042</v>
      </c>
      <c r="FY1060" s="1" t="s">
        <v>8521</v>
      </c>
      <c r="FZ1060" s="1" t="s">
        <v>11326</v>
      </c>
      <c r="GA1060" s="1">
        <v>222049</v>
      </c>
      <c r="GB1060" s="1" t="s">
        <v>11327</v>
      </c>
      <c r="GE1060" s="1" t="s">
        <v>1764</v>
      </c>
      <c r="GH1060" s="1" t="s">
        <v>230</v>
      </c>
      <c r="GI1060" s="1" t="s">
        <v>213</v>
      </c>
      <c r="GJ1060" s="1" t="s">
        <v>260</v>
      </c>
      <c r="GK1060" s="1" t="s">
        <v>210</v>
      </c>
      <c r="GL1060" s="2">
        <v>42139</v>
      </c>
      <c r="GM1060" s="1" t="s">
        <v>7175</v>
      </c>
    </row>
    <row r="1061" spans="1:195">
      <c r="A1061" s="1">
        <v>59000</v>
      </c>
      <c r="B1061" s="1" t="s">
        <v>195</v>
      </c>
      <c r="C1061" s="1" t="str">
        <f>"08845616"</f>
        <v>08845616</v>
      </c>
      <c r="D1061" s="1" t="s">
        <v>196</v>
      </c>
      <c r="F1061" s="1" t="str">
        <f>"73"</f>
        <v>73</v>
      </c>
      <c r="G1061" s="2">
        <v>42059</v>
      </c>
      <c r="H1061" s="1">
        <v>63000</v>
      </c>
      <c r="I1061" s="1">
        <v>63000</v>
      </c>
      <c r="J1061" s="1">
        <v>59000</v>
      </c>
      <c r="K1061" s="2">
        <v>42058</v>
      </c>
      <c r="L1061" s="1">
        <v>5</v>
      </c>
      <c r="M1061" s="2">
        <v>42062</v>
      </c>
      <c r="N1061" s="1">
        <v>5</v>
      </c>
      <c r="O1061" s="2">
        <v>42062</v>
      </c>
      <c r="P1061" s="1">
        <v>2512</v>
      </c>
      <c r="Q1061" s="1" t="s">
        <v>302</v>
      </c>
      <c r="R1061" s="2">
        <v>42101</v>
      </c>
      <c r="S1061" s="1">
        <v>11383</v>
      </c>
      <c r="U1061" s="1">
        <v>1584</v>
      </c>
      <c r="V1061" s="1" t="s">
        <v>11328</v>
      </c>
      <c r="W1061" s="1" t="s">
        <v>304</v>
      </c>
      <c r="X1061" s="1" t="s">
        <v>4883</v>
      </c>
      <c r="Y1061" s="1">
        <v>24</v>
      </c>
      <c r="Z1061" s="1" t="s">
        <v>249</v>
      </c>
      <c r="AA1061" s="1" t="s">
        <v>1027</v>
      </c>
      <c r="AB1061" s="1">
        <v>60073</v>
      </c>
      <c r="AC1061" s="1">
        <v>4642</v>
      </c>
      <c r="AD1061" s="1" t="s">
        <v>7669</v>
      </c>
      <c r="AE1061" s="1" t="s">
        <v>11329</v>
      </c>
      <c r="AF1061" s="1">
        <v>2001</v>
      </c>
      <c r="AG1061" s="1" t="s">
        <v>204</v>
      </c>
      <c r="AH1061" s="1" t="s">
        <v>1029</v>
      </c>
      <c r="AI1061" s="1" t="s">
        <v>509</v>
      </c>
      <c r="AJ1061" s="1" t="s">
        <v>1263</v>
      </c>
      <c r="AL1061" s="1">
        <v>5</v>
      </c>
      <c r="AM1061" s="1">
        <v>2</v>
      </c>
      <c r="AN1061" s="1">
        <v>1</v>
      </c>
      <c r="AO1061" s="1">
        <v>0</v>
      </c>
      <c r="AP1061" s="1" t="s">
        <v>210</v>
      </c>
      <c r="AR1061" s="1" t="s">
        <v>210</v>
      </c>
      <c r="AS1061" s="1" t="s">
        <v>204</v>
      </c>
      <c r="AT1061" s="1" t="s">
        <v>211</v>
      </c>
      <c r="AU1061" s="1">
        <v>1</v>
      </c>
      <c r="AW1061" s="1" t="s">
        <v>204</v>
      </c>
      <c r="AX1061" s="1" t="s">
        <v>212</v>
      </c>
      <c r="AZ1061" s="1">
        <v>3596.29</v>
      </c>
      <c r="BA1061" s="1">
        <v>2013</v>
      </c>
      <c r="BB1061" s="1" t="s">
        <v>210</v>
      </c>
      <c r="BE1061" s="1">
        <v>944</v>
      </c>
      <c r="BF1061" s="1">
        <v>1</v>
      </c>
      <c r="BG1061" s="1">
        <v>0</v>
      </c>
      <c r="BL1061" s="1">
        <v>182</v>
      </c>
      <c r="BM1061" s="1" t="s">
        <v>204</v>
      </c>
      <c r="BN1061" s="1" t="s">
        <v>213</v>
      </c>
      <c r="BO1061" s="1">
        <v>999</v>
      </c>
      <c r="BP1061" s="1" t="s">
        <v>204</v>
      </c>
      <c r="BR1061" s="1" t="str">
        <f>"06191051640000"</f>
        <v>06191051640000</v>
      </c>
      <c r="BT1061" s="1" t="s">
        <v>11330</v>
      </c>
      <c r="BX1061" s="1">
        <v>116</v>
      </c>
      <c r="BY1061" s="1">
        <v>116</v>
      </c>
      <c r="BZ1061" s="1">
        <v>116</v>
      </c>
      <c r="CA1061" s="1">
        <v>532</v>
      </c>
      <c r="CB1061" s="1" t="str">
        <f>"34"</f>
        <v>34</v>
      </c>
      <c r="CC1061" s="1" t="str">
        <f t="shared" ref="CC1061:CC1062" si="818">"0"</f>
        <v>0</v>
      </c>
      <c r="CD1061" s="1">
        <v>24</v>
      </c>
      <c r="CE1061" s="1">
        <v>0</v>
      </c>
      <c r="CF1061" s="1" t="s">
        <v>11331</v>
      </c>
      <c r="CG1061" s="1" t="s">
        <v>932</v>
      </c>
      <c r="CH1061" s="1" t="s">
        <v>219</v>
      </c>
      <c r="CI1061" s="1" t="s">
        <v>229</v>
      </c>
      <c r="CJ1061" s="1" t="s">
        <v>343</v>
      </c>
      <c r="CK1061" s="1" t="s">
        <v>1297</v>
      </c>
      <c r="CL1061" s="1" t="s">
        <v>219</v>
      </c>
      <c r="CM1061" s="1" t="s">
        <v>220</v>
      </c>
      <c r="CN1061" s="1" t="s">
        <v>343</v>
      </c>
      <c r="CO1061" s="1" t="s">
        <v>8146</v>
      </c>
      <c r="CP1061" s="1" t="s">
        <v>219</v>
      </c>
      <c r="CQ1061" s="1" t="s">
        <v>229</v>
      </c>
      <c r="CR1061" s="1" t="s">
        <v>210</v>
      </c>
      <c r="CS1061" s="1" t="s">
        <v>346</v>
      </c>
      <c r="CT1061" s="1" t="s">
        <v>219</v>
      </c>
      <c r="CU1061" s="1" t="s">
        <v>220</v>
      </c>
      <c r="CV1061" s="1" t="s">
        <v>343</v>
      </c>
      <c r="CX1061" s="1" t="s">
        <v>224</v>
      </c>
      <c r="DB1061" s="1" t="s">
        <v>224</v>
      </c>
      <c r="DE1061" s="1" t="s">
        <v>380</v>
      </c>
      <c r="DF1061" s="1" t="s">
        <v>219</v>
      </c>
      <c r="DG1061" s="1" t="s">
        <v>229</v>
      </c>
      <c r="DH1061" s="1" t="s">
        <v>210</v>
      </c>
      <c r="DJ1061" s="1" t="s">
        <v>224</v>
      </c>
      <c r="DS1061" s="1" t="s">
        <v>230</v>
      </c>
      <c r="DW1061" s="1" t="s">
        <v>230</v>
      </c>
      <c r="EA1061" s="1" t="s">
        <v>230</v>
      </c>
      <c r="EE1061" s="1" t="s">
        <v>230</v>
      </c>
      <c r="EI1061" s="1" t="s">
        <v>230</v>
      </c>
      <c r="EL1061" s="1" t="s">
        <v>466</v>
      </c>
      <c r="EM1061" s="1" t="s">
        <v>319</v>
      </c>
      <c r="EN1061" s="1" t="s">
        <v>1158</v>
      </c>
      <c r="EO1061" s="1" t="s">
        <v>234</v>
      </c>
      <c r="EP1061" s="1" t="s">
        <v>1047</v>
      </c>
      <c r="EQ1061" s="1" t="s">
        <v>1094</v>
      </c>
      <c r="ER1061" s="1" t="s">
        <v>210</v>
      </c>
      <c r="EU1061" s="1" t="s">
        <v>239</v>
      </c>
      <c r="EV1061" s="1" t="s">
        <v>240</v>
      </c>
      <c r="EW1061" s="1" t="s">
        <v>286</v>
      </c>
      <c r="EY1061" s="1" t="s">
        <v>242</v>
      </c>
      <c r="EZ1061" s="1" t="s">
        <v>287</v>
      </c>
      <c r="FA1061" s="1" t="s">
        <v>471</v>
      </c>
      <c r="FC1061" s="1" t="s">
        <v>548</v>
      </c>
      <c r="FD1061" s="1" t="s">
        <v>246</v>
      </c>
      <c r="FE1061" s="1" t="s">
        <v>247</v>
      </c>
      <c r="FF1061" s="1" t="s">
        <v>248</v>
      </c>
      <c r="FH1061" s="1" t="s">
        <v>249</v>
      </c>
      <c r="FI1061" s="1" t="s">
        <v>357</v>
      </c>
      <c r="FJ1061" s="1" t="s">
        <v>518</v>
      </c>
      <c r="FL1061" s="1" t="s">
        <v>614</v>
      </c>
      <c r="FM1061" s="1" t="s">
        <v>252</v>
      </c>
      <c r="FN1061" s="1" t="s">
        <v>213</v>
      </c>
      <c r="FO1061" s="1" t="s">
        <v>213</v>
      </c>
      <c r="FQ1061" s="1" t="s">
        <v>11332</v>
      </c>
      <c r="FR1061" s="1" t="s">
        <v>652</v>
      </c>
      <c r="FS1061" s="1" t="s">
        <v>1429</v>
      </c>
      <c r="FT1061" s="1" t="s">
        <v>520</v>
      </c>
      <c r="FU1061" s="1" t="s">
        <v>204</v>
      </c>
      <c r="FW1061" s="1" t="s">
        <v>1275</v>
      </c>
      <c r="FX1061" s="1">
        <v>2411</v>
      </c>
      <c r="FY1061" s="1" t="s">
        <v>1276</v>
      </c>
      <c r="FZ1061" s="1" t="s">
        <v>11333</v>
      </c>
      <c r="GA1061" s="1">
        <v>19211</v>
      </c>
      <c r="GB1061" s="1" t="s">
        <v>11334</v>
      </c>
      <c r="GD1061" s="1" t="s">
        <v>11335</v>
      </c>
      <c r="GE1061" s="1" t="s">
        <v>1256</v>
      </c>
      <c r="GH1061" s="1" t="s">
        <v>589</v>
      </c>
      <c r="GI1061" s="1" t="s">
        <v>213</v>
      </c>
      <c r="GJ1061" s="1" t="s">
        <v>260</v>
      </c>
      <c r="GK1061" s="1" t="s">
        <v>210</v>
      </c>
      <c r="GL1061" s="2">
        <v>42101</v>
      </c>
      <c r="GM1061" s="1" t="s">
        <v>11336</v>
      </c>
    </row>
    <row r="1062" spans="1:195">
      <c r="A1062" s="1">
        <v>133000</v>
      </c>
      <c r="B1062" s="1" t="s">
        <v>195</v>
      </c>
      <c r="C1062" s="1" t="str">
        <f>"08847896"</f>
        <v>08847896</v>
      </c>
      <c r="D1062" s="1" t="s">
        <v>196</v>
      </c>
      <c r="F1062" s="1" t="str">
        <f>"110"</f>
        <v>110</v>
      </c>
      <c r="G1062" s="2">
        <v>42062</v>
      </c>
      <c r="H1062" s="1">
        <v>134900</v>
      </c>
      <c r="I1062" s="1">
        <v>134900</v>
      </c>
      <c r="J1062" s="1">
        <v>133000</v>
      </c>
      <c r="K1062" s="2">
        <v>42062</v>
      </c>
      <c r="L1062" s="1">
        <v>2</v>
      </c>
      <c r="M1062" s="2">
        <v>42063</v>
      </c>
      <c r="N1062" s="1">
        <v>2</v>
      </c>
      <c r="O1062" s="2">
        <v>42063</v>
      </c>
      <c r="P1062" s="1">
        <v>355</v>
      </c>
      <c r="Q1062" s="1" t="s">
        <v>197</v>
      </c>
      <c r="R1062" s="2">
        <v>42094</v>
      </c>
      <c r="S1062" s="1">
        <v>77887</v>
      </c>
      <c r="T1062" s="1">
        <v>1500</v>
      </c>
      <c r="U1062" s="1">
        <v>8306</v>
      </c>
      <c r="V1062" s="1" t="s">
        <v>11337</v>
      </c>
      <c r="W1062" s="1" t="s">
        <v>504</v>
      </c>
      <c r="X1062" s="1">
        <v>8306</v>
      </c>
      <c r="Y1062" s="1">
        <v>4</v>
      </c>
      <c r="Z1062" s="1" t="s">
        <v>249</v>
      </c>
      <c r="AA1062" s="1" t="s">
        <v>803</v>
      </c>
      <c r="AB1062" s="1">
        <v>60110</v>
      </c>
      <c r="AD1062" s="1" t="s">
        <v>11338</v>
      </c>
      <c r="AE1062" s="1" t="s">
        <v>11339</v>
      </c>
      <c r="AF1062" s="1">
        <v>2000</v>
      </c>
      <c r="AG1062" s="1" t="s">
        <v>204</v>
      </c>
      <c r="AH1062" s="1" t="s">
        <v>2557</v>
      </c>
      <c r="AI1062" s="1" t="s">
        <v>665</v>
      </c>
      <c r="AJ1062" s="1" t="s">
        <v>805</v>
      </c>
      <c r="AL1062" s="1">
        <v>6</v>
      </c>
      <c r="AM1062" s="1">
        <v>2</v>
      </c>
      <c r="AN1062" s="1">
        <v>1</v>
      </c>
      <c r="AO1062" s="1">
        <v>1</v>
      </c>
      <c r="AP1062" s="1" t="s">
        <v>209</v>
      </c>
      <c r="AQ1062" s="1">
        <v>1</v>
      </c>
      <c r="AR1062" s="1" t="s">
        <v>210</v>
      </c>
      <c r="AS1062" s="1" t="s">
        <v>204</v>
      </c>
      <c r="AT1062" s="1" t="s">
        <v>211</v>
      </c>
      <c r="AU1062" s="1">
        <v>2</v>
      </c>
      <c r="AW1062" s="1" t="s">
        <v>204</v>
      </c>
      <c r="AX1062" s="1" t="s">
        <v>212</v>
      </c>
      <c r="AZ1062" s="1">
        <v>4165</v>
      </c>
      <c r="BA1062" s="1">
        <v>2013</v>
      </c>
      <c r="BB1062" s="1" t="s">
        <v>405</v>
      </c>
      <c r="BE1062" s="1">
        <v>1558</v>
      </c>
      <c r="BF1062" s="1">
        <v>1</v>
      </c>
      <c r="BG1062" s="1">
        <v>0</v>
      </c>
      <c r="BL1062" s="1">
        <v>166</v>
      </c>
      <c r="BM1062" s="1" t="s">
        <v>204</v>
      </c>
      <c r="BN1062" s="1" t="s">
        <v>213</v>
      </c>
      <c r="BO1062" s="1">
        <v>999</v>
      </c>
      <c r="BP1062" s="1" t="s">
        <v>204</v>
      </c>
      <c r="BR1062" s="1" t="str">
        <f>"0317102031"</f>
        <v>0317102031</v>
      </c>
      <c r="BT1062" s="1" t="s">
        <v>11340</v>
      </c>
      <c r="BU1062" s="1" t="s">
        <v>6711</v>
      </c>
      <c r="BV1062" s="1" t="s">
        <v>2667</v>
      </c>
      <c r="BW1062" s="1" t="s">
        <v>2668</v>
      </c>
      <c r="BX1062" s="1">
        <v>300</v>
      </c>
      <c r="BY1062" s="1">
        <v>300</v>
      </c>
      <c r="BZ1062" s="1">
        <v>300</v>
      </c>
      <c r="CB1062" s="1" t="str">
        <f>"17"</f>
        <v>17</v>
      </c>
      <c r="CC1062" s="1" t="str">
        <f t="shared" si="818"/>
        <v>0</v>
      </c>
      <c r="CD1062" s="1">
        <v>37</v>
      </c>
      <c r="CE1062" s="1">
        <v>0</v>
      </c>
      <c r="CG1062" s="1" t="s">
        <v>490</v>
      </c>
      <c r="CH1062" s="1" t="s">
        <v>219</v>
      </c>
      <c r="CI1062" s="1" t="s">
        <v>220</v>
      </c>
      <c r="CJ1062" s="1" t="s">
        <v>252</v>
      </c>
      <c r="CK1062" s="1" t="s">
        <v>1402</v>
      </c>
      <c r="CL1062" s="1" t="s">
        <v>277</v>
      </c>
      <c r="CM1062" s="1" t="s">
        <v>220</v>
      </c>
      <c r="CN1062" s="1" t="s">
        <v>252</v>
      </c>
      <c r="CO1062" s="1" t="s">
        <v>318</v>
      </c>
      <c r="CP1062" s="1" t="s">
        <v>219</v>
      </c>
      <c r="CQ1062" s="1" t="s">
        <v>220</v>
      </c>
      <c r="CR1062" s="1" t="s">
        <v>252</v>
      </c>
      <c r="CS1062" s="1" t="s">
        <v>379</v>
      </c>
      <c r="CT1062" s="1" t="s">
        <v>277</v>
      </c>
      <c r="CU1062" s="1" t="s">
        <v>220</v>
      </c>
      <c r="CV1062" s="1" t="s">
        <v>252</v>
      </c>
      <c r="CX1062" s="1" t="s">
        <v>224</v>
      </c>
      <c r="DB1062" s="1" t="s">
        <v>224</v>
      </c>
      <c r="DE1062" s="1" t="s">
        <v>1402</v>
      </c>
      <c r="DF1062" s="1" t="s">
        <v>219</v>
      </c>
      <c r="DG1062" s="1" t="s">
        <v>226</v>
      </c>
      <c r="DJ1062" s="1" t="s">
        <v>224</v>
      </c>
      <c r="DM1062" s="1" t="s">
        <v>464</v>
      </c>
      <c r="DR1062" s="1" t="s">
        <v>318</v>
      </c>
      <c r="DS1062" s="1" t="s">
        <v>277</v>
      </c>
      <c r="DT1062" s="1" t="s">
        <v>220</v>
      </c>
      <c r="DU1062" s="1" t="s">
        <v>252</v>
      </c>
      <c r="DW1062" s="1" t="s">
        <v>230</v>
      </c>
      <c r="EA1062" s="1" t="s">
        <v>230</v>
      </c>
      <c r="EE1062" s="1" t="s">
        <v>230</v>
      </c>
      <c r="EI1062" s="1" t="s">
        <v>230</v>
      </c>
      <c r="EL1062" s="1" t="s">
        <v>466</v>
      </c>
      <c r="EM1062" s="1" t="s">
        <v>319</v>
      </c>
      <c r="EN1062" s="1" t="s">
        <v>282</v>
      </c>
      <c r="EO1062" s="1" t="s">
        <v>234</v>
      </c>
      <c r="EP1062" s="1" t="s">
        <v>650</v>
      </c>
      <c r="EQ1062" s="1" t="s">
        <v>236</v>
      </c>
      <c r="ER1062" s="1" t="s">
        <v>210</v>
      </c>
      <c r="ES1062" s="1" t="s">
        <v>322</v>
      </c>
      <c r="ET1062" s="1" t="s">
        <v>1404</v>
      </c>
      <c r="EU1062" s="1" t="s">
        <v>239</v>
      </c>
      <c r="EV1062" s="1" t="s">
        <v>240</v>
      </c>
      <c r="EW1062" s="1" t="s">
        <v>887</v>
      </c>
      <c r="EY1062" s="1" t="s">
        <v>242</v>
      </c>
      <c r="EZ1062" s="1" t="s">
        <v>464</v>
      </c>
      <c r="FA1062" s="1" t="s">
        <v>672</v>
      </c>
      <c r="FD1062" s="1" t="s">
        <v>246</v>
      </c>
      <c r="FE1062" s="1" t="s">
        <v>870</v>
      </c>
      <c r="FF1062" s="1" t="s">
        <v>248</v>
      </c>
      <c r="FG1062" s="1" t="s">
        <v>871</v>
      </c>
      <c r="FH1062" s="1" t="s">
        <v>550</v>
      </c>
      <c r="FI1062" s="1" t="s">
        <v>473</v>
      </c>
      <c r="FL1062" s="1" t="s">
        <v>358</v>
      </c>
      <c r="FM1062" s="1" t="s">
        <v>252</v>
      </c>
      <c r="FN1062" s="1" t="s">
        <v>213</v>
      </c>
      <c r="FO1062" s="1" t="s">
        <v>213</v>
      </c>
      <c r="FQ1062" s="1" t="s">
        <v>3560</v>
      </c>
      <c r="FR1062" s="1" t="s">
        <v>652</v>
      </c>
      <c r="FS1062" s="1" t="s">
        <v>11341</v>
      </c>
      <c r="FT1062" s="1" t="s">
        <v>520</v>
      </c>
      <c r="FU1062" s="1" t="s">
        <v>204</v>
      </c>
      <c r="FW1062" s="1" t="s">
        <v>256</v>
      </c>
      <c r="FX1062" s="1">
        <v>8101</v>
      </c>
      <c r="FY1062" s="1" t="s">
        <v>11342</v>
      </c>
      <c r="FZ1062" s="1" t="s">
        <v>11343</v>
      </c>
      <c r="GA1062" s="1">
        <v>80545</v>
      </c>
      <c r="GB1062" s="1" t="s">
        <v>11344</v>
      </c>
      <c r="GE1062" s="1" t="s">
        <v>210</v>
      </c>
      <c r="GI1062" s="1" t="s">
        <v>213</v>
      </c>
      <c r="GJ1062" s="1" t="s">
        <v>260</v>
      </c>
      <c r="GK1062" s="1" t="s">
        <v>210</v>
      </c>
      <c r="GL1062" s="2">
        <v>42094</v>
      </c>
    </row>
    <row r="1063" spans="1:195">
      <c r="A1063" s="1">
        <v>170500</v>
      </c>
      <c r="B1063" s="1" t="s">
        <v>195</v>
      </c>
      <c r="C1063" s="1" t="str">
        <f>"08848573"</f>
        <v>08848573</v>
      </c>
      <c r="D1063" s="1" t="s">
        <v>196</v>
      </c>
      <c r="F1063" s="1" t="str">
        <f>"148"</f>
        <v>148</v>
      </c>
      <c r="G1063" s="2">
        <v>42062</v>
      </c>
      <c r="H1063" s="1">
        <v>184900</v>
      </c>
      <c r="I1063" s="1">
        <v>184900</v>
      </c>
      <c r="J1063" s="1">
        <v>170500</v>
      </c>
      <c r="K1063" s="2">
        <v>42062</v>
      </c>
      <c r="L1063" s="1">
        <v>26</v>
      </c>
      <c r="M1063" s="2">
        <v>42087</v>
      </c>
      <c r="N1063" s="1">
        <v>26</v>
      </c>
      <c r="O1063" s="2">
        <v>42087</v>
      </c>
      <c r="P1063" s="1">
        <v>4518</v>
      </c>
      <c r="Q1063" s="1" t="s">
        <v>197</v>
      </c>
      <c r="R1063" s="2">
        <v>42123</v>
      </c>
      <c r="S1063" s="1">
        <v>30447</v>
      </c>
      <c r="U1063" s="1">
        <v>1134</v>
      </c>
      <c r="V1063" s="1" t="s">
        <v>8563</v>
      </c>
      <c r="W1063" s="1" t="s">
        <v>504</v>
      </c>
      <c r="X1063" s="1">
        <v>1134</v>
      </c>
      <c r="Y1063" s="1">
        <v>5</v>
      </c>
      <c r="Z1063" s="1" t="s">
        <v>249</v>
      </c>
      <c r="AA1063" s="1" t="s">
        <v>1927</v>
      </c>
      <c r="AB1063" s="1">
        <v>60148</v>
      </c>
      <c r="AD1063" s="1" t="s">
        <v>8563</v>
      </c>
      <c r="AE1063" s="1" t="s">
        <v>11345</v>
      </c>
      <c r="AF1063" s="1">
        <v>1993</v>
      </c>
      <c r="AG1063" s="1" t="s">
        <v>204</v>
      </c>
      <c r="AH1063" s="1" t="s">
        <v>1930</v>
      </c>
      <c r="AI1063" s="1" t="s">
        <v>206</v>
      </c>
      <c r="AJ1063" s="1" t="s">
        <v>1608</v>
      </c>
      <c r="AL1063" s="1">
        <v>5</v>
      </c>
      <c r="AM1063" s="1">
        <v>2</v>
      </c>
      <c r="AN1063" s="1">
        <v>2</v>
      </c>
      <c r="AO1063" s="1">
        <v>0</v>
      </c>
      <c r="AP1063" s="1" t="s">
        <v>209</v>
      </c>
      <c r="AQ1063" s="1">
        <v>1</v>
      </c>
      <c r="AR1063" s="1" t="s">
        <v>210</v>
      </c>
      <c r="AS1063" s="1" t="s">
        <v>204</v>
      </c>
      <c r="AT1063" s="1" t="s">
        <v>211</v>
      </c>
      <c r="AU1063" s="1">
        <v>1</v>
      </c>
      <c r="AW1063" s="1" t="s">
        <v>204</v>
      </c>
      <c r="AX1063" s="1" t="s">
        <v>212</v>
      </c>
      <c r="AZ1063" s="1">
        <v>4133</v>
      </c>
      <c r="BA1063" s="1">
        <v>2013</v>
      </c>
      <c r="BB1063" s="1" t="s">
        <v>405</v>
      </c>
      <c r="BE1063" s="1">
        <v>1143</v>
      </c>
      <c r="BF1063" s="1">
        <v>1</v>
      </c>
      <c r="BG1063" s="1">
        <v>30</v>
      </c>
      <c r="BL1063" s="1">
        <v>148</v>
      </c>
      <c r="BM1063" s="1" t="s">
        <v>204</v>
      </c>
      <c r="BN1063" s="1" t="s">
        <v>213</v>
      </c>
      <c r="BO1063" s="1">
        <v>999</v>
      </c>
      <c r="BP1063" s="1" t="s">
        <v>204</v>
      </c>
      <c r="BR1063" s="1" t="str">
        <f>"0616119252"</f>
        <v>0616119252</v>
      </c>
      <c r="BT1063" s="1" t="s">
        <v>11346</v>
      </c>
      <c r="BX1063" s="1">
        <v>45</v>
      </c>
      <c r="BY1063" s="1">
        <v>45</v>
      </c>
      <c r="BZ1063" s="1">
        <v>88</v>
      </c>
      <c r="CB1063" s="1" t="str">
        <f t="shared" ref="CB1063:CC1063" si="819">"0"</f>
        <v>0</v>
      </c>
      <c r="CC1063" s="1" t="str">
        <f t="shared" si="819"/>
        <v>0</v>
      </c>
      <c r="CD1063" s="1">
        <v>18</v>
      </c>
      <c r="CE1063" s="1">
        <v>0</v>
      </c>
      <c r="CG1063" s="1" t="s">
        <v>1132</v>
      </c>
      <c r="CH1063" s="1" t="s">
        <v>219</v>
      </c>
      <c r="CI1063" s="1" t="s">
        <v>220</v>
      </c>
      <c r="CK1063" s="1" t="s">
        <v>932</v>
      </c>
      <c r="CL1063" s="1" t="s">
        <v>219</v>
      </c>
      <c r="CM1063" s="1" t="s">
        <v>220</v>
      </c>
      <c r="CO1063" s="1" t="s">
        <v>629</v>
      </c>
      <c r="CP1063" s="1" t="s">
        <v>219</v>
      </c>
      <c r="CQ1063" s="1" t="s">
        <v>220</v>
      </c>
      <c r="CS1063" s="1" t="s">
        <v>318</v>
      </c>
      <c r="CT1063" s="1" t="s">
        <v>219</v>
      </c>
      <c r="CU1063" s="1" t="s">
        <v>220</v>
      </c>
      <c r="CX1063" s="1" t="s">
        <v>224</v>
      </c>
      <c r="DB1063" s="1" t="s">
        <v>224</v>
      </c>
      <c r="DE1063" s="1" t="s">
        <v>379</v>
      </c>
      <c r="DF1063" s="1" t="s">
        <v>219</v>
      </c>
      <c r="DG1063" s="1" t="s">
        <v>226</v>
      </c>
      <c r="DJ1063" s="1" t="s">
        <v>224</v>
      </c>
      <c r="DM1063" s="1" t="s">
        <v>3011</v>
      </c>
      <c r="DN1063" s="1" t="s">
        <v>709</v>
      </c>
      <c r="DR1063" s="1" t="s">
        <v>910</v>
      </c>
      <c r="DS1063" s="1" t="s">
        <v>219</v>
      </c>
      <c r="DV1063" s="1" t="s">
        <v>1774</v>
      </c>
      <c r="DW1063" s="1" t="s">
        <v>219</v>
      </c>
      <c r="DX1063" s="1" t="s">
        <v>226</v>
      </c>
      <c r="EA1063" s="1" t="s">
        <v>230</v>
      </c>
      <c r="EE1063" s="1" t="s">
        <v>230</v>
      </c>
      <c r="EI1063" s="1" t="s">
        <v>230</v>
      </c>
      <c r="EL1063" s="1" t="s">
        <v>382</v>
      </c>
      <c r="EM1063" s="1" t="s">
        <v>232</v>
      </c>
      <c r="EN1063" s="1" t="s">
        <v>282</v>
      </c>
      <c r="EO1063" s="1" t="s">
        <v>234</v>
      </c>
      <c r="EP1063" s="1" t="s">
        <v>210</v>
      </c>
      <c r="EQ1063" s="1" t="s">
        <v>236</v>
      </c>
      <c r="ER1063" s="1" t="s">
        <v>210</v>
      </c>
      <c r="ES1063" s="1" t="s">
        <v>608</v>
      </c>
      <c r="EU1063" s="1" t="s">
        <v>239</v>
      </c>
      <c r="EV1063" s="1" t="s">
        <v>240</v>
      </c>
      <c r="EW1063" s="1" t="s">
        <v>1372</v>
      </c>
      <c r="EZ1063" s="1" t="s">
        <v>11347</v>
      </c>
      <c r="FD1063" s="1" t="s">
        <v>246</v>
      </c>
      <c r="FE1063" s="1" t="s">
        <v>247</v>
      </c>
      <c r="FF1063" s="1" t="s">
        <v>248</v>
      </c>
      <c r="FH1063" s="1" t="s">
        <v>825</v>
      </c>
      <c r="FL1063" s="1" t="s">
        <v>358</v>
      </c>
      <c r="FM1063" s="1" t="s">
        <v>252</v>
      </c>
      <c r="FN1063" s="1" t="s">
        <v>213</v>
      </c>
      <c r="FO1063" s="1" t="s">
        <v>213</v>
      </c>
      <c r="FQ1063" s="1" t="s">
        <v>1286</v>
      </c>
      <c r="FR1063" s="1" t="s">
        <v>210</v>
      </c>
      <c r="FS1063" s="1" t="s">
        <v>1709</v>
      </c>
      <c r="FT1063" s="1" t="s">
        <v>362</v>
      </c>
      <c r="FU1063" s="1" t="s">
        <v>204</v>
      </c>
      <c r="FW1063" s="1" t="s">
        <v>11348</v>
      </c>
      <c r="FX1063" s="1">
        <v>85906</v>
      </c>
      <c r="FY1063" s="1" t="s">
        <v>11349</v>
      </c>
      <c r="FZ1063" s="1" t="s">
        <v>11350</v>
      </c>
      <c r="GA1063" s="1">
        <v>168727</v>
      </c>
      <c r="GB1063" s="1" t="s">
        <v>11349</v>
      </c>
      <c r="GE1063" s="1" t="s">
        <v>210</v>
      </c>
      <c r="GH1063" s="1" t="s">
        <v>421</v>
      </c>
      <c r="GI1063" s="1" t="s">
        <v>204</v>
      </c>
      <c r="GJ1063" s="1" t="s">
        <v>260</v>
      </c>
      <c r="GK1063" s="1" t="s">
        <v>210</v>
      </c>
      <c r="GL1063" s="2">
        <v>42138</v>
      </c>
    </row>
    <row r="1064" spans="1:195">
      <c r="A1064" s="1">
        <v>161000</v>
      </c>
      <c r="B1064" s="1" t="s">
        <v>195</v>
      </c>
      <c r="C1064" s="1" t="str">
        <f>"08849055"</f>
        <v>08849055</v>
      </c>
      <c r="D1064" s="1" t="s">
        <v>196</v>
      </c>
      <c r="F1064" s="1" t="str">
        <f>"516"</f>
        <v>516</v>
      </c>
      <c r="G1064" s="2">
        <v>42064</v>
      </c>
      <c r="H1064" s="1">
        <v>175000</v>
      </c>
      <c r="I1064" s="1">
        <v>175000</v>
      </c>
      <c r="J1064" s="1">
        <v>161000</v>
      </c>
      <c r="K1064" s="2">
        <v>42063</v>
      </c>
      <c r="L1064" s="1">
        <v>9</v>
      </c>
      <c r="M1064" s="2">
        <v>42071</v>
      </c>
      <c r="N1064" s="1">
        <v>9</v>
      </c>
      <c r="O1064" s="2">
        <v>42071</v>
      </c>
      <c r="P1064" s="1">
        <v>23030</v>
      </c>
      <c r="Q1064" s="1" t="s">
        <v>302</v>
      </c>
      <c r="R1064" s="2">
        <v>42095</v>
      </c>
      <c r="S1064" s="1">
        <v>240696</v>
      </c>
      <c r="U1064" s="1">
        <v>101</v>
      </c>
      <c r="V1064" s="1" t="s">
        <v>11351</v>
      </c>
      <c r="W1064" s="1" t="s">
        <v>264</v>
      </c>
      <c r="X1064" s="1">
        <v>209</v>
      </c>
      <c r="Y1064" s="1">
        <v>54</v>
      </c>
      <c r="Z1064" s="1" t="s">
        <v>370</v>
      </c>
      <c r="AA1064" s="1" t="s">
        <v>1417</v>
      </c>
      <c r="AB1064" s="1">
        <v>60527</v>
      </c>
      <c r="AD1064" s="1" t="s">
        <v>11352</v>
      </c>
      <c r="AE1064" s="1" t="s">
        <v>11353</v>
      </c>
      <c r="AF1064" s="1">
        <v>1971</v>
      </c>
      <c r="AG1064" s="1" t="s">
        <v>213</v>
      </c>
      <c r="AH1064" s="1" t="s">
        <v>1419</v>
      </c>
      <c r="AI1064" s="1" t="s">
        <v>206</v>
      </c>
      <c r="AJ1064" s="1" t="s">
        <v>903</v>
      </c>
      <c r="AL1064" s="1">
        <v>5</v>
      </c>
      <c r="AM1064" s="1">
        <v>2</v>
      </c>
      <c r="AN1064" s="1">
        <v>2</v>
      </c>
      <c r="AO1064" s="1">
        <v>0</v>
      </c>
      <c r="AP1064" s="1" t="s">
        <v>209</v>
      </c>
      <c r="AQ1064" s="1">
        <v>0</v>
      </c>
      <c r="AR1064" s="1" t="s">
        <v>210</v>
      </c>
      <c r="AS1064" s="1" t="s">
        <v>204</v>
      </c>
      <c r="AT1064" s="1" t="s">
        <v>211</v>
      </c>
      <c r="AU1064" s="1">
        <v>1</v>
      </c>
      <c r="AW1064" s="1" t="s">
        <v>213</v>
      </c>
      <c r="AX1064" s="1">
        <v>0</v>
      </c>
      <c r="AZ1064" s="1">
        <v>1484</v>
      </c>
      <c r="BA1064" s="1">
        <v>2013</v>
      </c>
      <c r="BB1064" s="1" t="s">
        <v>2694</v>
      </c>
      <c r="BE1064" s="1">
        <v>0</v>
      </c>
      <c r="BF1064" s="1">
        <v>2</v>
      </c>
      <c r="BG1064" s="1">
        <v>30</v>
      </c>
      <c r="BL1064" s="1">
        <v>487</v>
      </c>
      <c r="BM1064" s="1" t="s">
        <v>204</v>
      </c>
      <c r="BN1064" s="1" t="s">
        <v>213</v>
      </c>
      <c r="BO1064" s="1">
        <v>25</v>
      </c>
      <c r="BP1064" s="1" t="s">
        <v>204</v>
      </c>
      <c r="BR1064" s="1" t="str">
        <f>"0923109022"</f>
        <v>0923109022</v>
      </c>
      <c r="BT1064" s="1" t="s">
        <v>11354</v>
      </c>
      <c r="BU1064" s="1" t="s">
        <v>6602</v>
      </c>
      <c r="BV1064" s="1" t="s">
        <v>6603</v>
      </c>
      <c r="BW1064" s="1" t="s">
        <v>1546</v>
      </c>
      <c r="BX1064" s="1">
        <v>62</v>
      </c>
      <c r="BY1064" s="1">
        <v>62</v>
      </c>
      <c r="BZ1064" s="1">
        <v>86</v>
      </c>
      <c r="CB1064" s="1" t="str">
        <f t="shared" ref="CB1064:CC1064" si="820">""</f>
        <v/>
      </c>
      <c r="CC1064" s="1" t="str">
        <f t="shared" si="820"/>
        <v/>
      </c>
      <c r="CD1064" s="1">
        <v>16</v>
      </c>
      <c r="CE1064" s="1">
        <v>7</v>
      </c>
      <c r="CG1064" s="1" t="s">
        <v>314</v>
      </c>
      <c r="CH1064" s="1" t="s">
        <v>219</v>
      </c>
      <c r="CI1064" s="1" t="s">
        <v>220</v>
      </c>
      <c r="CK1064" s="1" t="s">
        <v>1178</v>
      </c>
      <c r="CL1064" s="1" t="s">
        <v>219</v>
      </c>
      <c r="CM1064" s="1" t="s">
        <v>220</v>
      </c>
      <c r="CN1064" s="1" t="s">
        <v>439</v>
      </c>
      <c r="CO1064" s="1" t="s">
        <v>281</v>
      </c>
      <c r="CP1064" s="1" t="s">
        <v>219</v>
      </c>
      <c r="CQ1064" s="1" t="s">
        <v>220</v>
      </c>
      <c r="CS1064" s="1" t="s">
        <v>379</v>
      </c>
      <c r="CT1064" s="1" t="s">
        <v>219</v>
      </c>
      <c r="CU1064" s="1" t="s">
        <v>220</v>
      </c>
      <c r="CX1064" s="1" t="s">
        <v>224</v>
      </c>
      <c r="DB1064" s="1" t="s">
        <v>224</v>
      </c>
      <c r="DE1064" s="1" t="s">
        <v>1612</v>
      </c>
      <c r="DF1064" s="1" t="s">
        <v>219</v>
      </c>
      <c r="DG1064" s="1" t="s">
        <v>229</v>
      </c>
      <c r="DJ1064" s="1" t="s">
        <v>224</v>
      </c>
      <c r="DS1064" s="1" t="s">
        <v>230</v>
      </c>
      <c r="DW1064" s="1" t="s">
        <v>230</v>
      </c>
      <c r="EA1064" s="1" t="s">
        <v>230</v>
      </c>
      <c r="EE1064" s="1" t="s">
        <v>230</v>
      </c>
      <c r="EI1064" s="1" t="s">
        <v>230</v>
      </c>
      <c r="EL1064" s="1" t="s">
        <v>605</v>
      </c>
      <c r="EM1064" s="1" t="s">
        <v>232</v>
      </c>
      <c r="EN1064" s="1" t="s">
        <v>282</v>
      </c>
      <c r="EO1064" s="1" t="s">
        <v>234</v>
      </c>
      <c r="ER1064" s="1" t="s">
        <v>210</v>
      </c>
      <c r="ES1064" s="1" t="s">
        <v>493</v>
      </c>
      <c r="EU1064" s="1" t="s">
        <v>11355</v>
      </c>
      <c r="EV1064" s="1" t="s">
        <v>352</v>
      </c>
      <c r="EW1064" s="1" t="s">
        <v>11356</v>
      </c>
      <c r="EY1064" s="1" t="s">
        <v>242</v>
      </c>
      <c r="EZ1064" s="1" t="s">
        <v>287</v>
      </c>
      <c r="FC1064" s="1" t="s">
        <v>11357</v>
      </c>
      <c r="FD1064" s="1" t="s">
        <v>246</v>
      </c>
      <c r="FE1064" s="1" t="s">
        <v>247</v>
      </c>
      <c r="FF1064" s="1" t="s">
        <v>248</v>
      </c>
      <c r="FH1064" s="1" t="s">
        <v>249</v>
      </c>
      <c r="FI1064" s="1" t="s">
        <v>1114</v>
      </c>
      <c r="FL1064" s="1" t="s">
        <v>810</v>
      </c>
      <c r="FM1064" s="1" t="s">
        <v>252</v>
      </c>
      <c r="FN1064" s="1" t="s">
        <v>213</v>
      </c>
      <c r="FO1064" s="1" t="s">
        <v>213</v>
      </c>
      <c r="FQ1064" s="1" t="s">
        <v>11358</v>
      </c>
      <c r="FR1064" s="1" t="s">
        <v>210</v>
      </c>
      <c r="FS1064" s="1" t="s">
        <v>11359</v>
      </c>
      <c r="FT1064" s="1" t="s">
        <v>295</v>
      </c>
      <c r="FU1064" s="1" t="s">
        <v>204</v>
      </c>
      <c r="FW1064" s="1" t="s">
        <v>11360</v>
      </c>
      <c r="FX1064" s="1">
        <v>25089</v>
      </c>
      <c r="FY1064" s="1" t="s">
        <v>11361</v>
      </c>
      <c r="FZ1064" s="1" t="s">
        <v>11362</v>
      </c>
      <c r="GA1064" s="1">
        <v>227766</v>
      </c>
      <c r="GB1064" s="1" t="s">
        <v>11363</v>
      </c>
      <c r="GE1064" s="1" t="s">
        <v>210</v>
      </c>
      <c r="GI1064" s="1" t="s">
        <v>213</v>
      </c>
      <c r="GJ1064" s="1" t="s">
        <v>260</v>
      </c>
      <c r="GK1064" s="1" t="s">
        <v>4920</v>
      </c>
      <c r="GL1064" s="2">
        <v>42095</v>
      </c>
    </row>
    <row r="1065" spans="1:195">
      <c r="A1065" s="1">
        <v>202000</v>
      </c>
      <c r="B1065" s="1" t="s">
        <v>195</v>
      </c>
      <c r="C1065" s="1" t="str">
        <f>"08854975"</f>
        <v>08854975</v>
      </c>
      <c r="D1065" s="1" t="s">
        <v>196</v>
      </c>
      <c r="F1065" s="1" t="str">
        <f>"540"</f>
        <v>540</v>
      </c>
      <c r="G1065" s="2">
        <v>42069</v>
      </c>
      <c r="H1065" s="1">
        <v>200000</v>
      </c>
      <c r="I1065" s="1">
        <v>200000</v>
      </c>
      <c r="J1065" s="1">
        <v>202000</v>
      </c>
      <c r="K1065" s="2">
        <v>42069</v>
      </c>
      <c r="L1065" s="1">
        <v>7</v>
      </c>
      <c r="M1065" s="2">
        <v>42075</v>
      </c>
      <c r="N1065" s="1">
        <v>7</v>
      </c>
      <c r="O1065" s="2">
        <v>42075</v>
      </c>
      <c r="P1065" s="1">
        <v>21823</v>
      </c>
      <c r="Q1065" s="1" t="s">
        <v>197</v>
      </c>
      <c r="R1065" s="2">
        <v>42118</v>
      </c>
      <c r="S1065" s="1">
        <v>219119</v>
      </c>
      <c r="T1065" s="1">
        <v>2000</v>
      </c>
      <c r="U1065" s="1">
        <v>961</v>
      </c>
      <c r="V1065" s="1" t="s">
        <v>11364</v>
      </c>
      <c r="W1065" s="1" t="s">
        <v>449</v>
      </c>
      <c r="Y1065" s="1">
        <v>4</v>
      </c>
      <c r="Z1065" s="1" t="s">
        <v>249</v>
      </c>
      <c r="AA1065" s="1" t="s">
        <v>921</v>
      </c>
      <c r="AB1065" s="1">
        <v>60563</v>
      </c>
      <c r="AD1065" s="1" t="s">
        <v>11365</v>
      </c>
      <c r="AE1065" s="1" t="s">
        <v>11366</v>
      </c>
      <c r="AF1065" s="1">
        <v>1997</v>
      </c>
      <c r="AG1065" s="1" t="s">
        <v>204</v>
      </c>
      <c r="AH1065" s="1" t="s">
        <v>924</v>
      </c>
      <c r="AI1065" s="1" t="s">
        <v>206</v>
      </c>
      <c r="AJ1065" s="1" t="s">
        <v>924</v>
      </c>
      <c r="AK1065" s="1" t="s">
        <v>987</v>
      </c>
      <c r="AL1065" s="1">
        <v>6</v>
      </c>
      <c r="AM1065" s="1">
        <v>2</v>
      </c>
      <c r="AN1065" s="1">
        <v>2</v>
      </c>
      <c r="AO1065" s="1">
        <v>1</v>
      </c>
      <c r="AP1065" s="1" t="s">
        <v>209</v>
      </c>
      <c r="AQ1065" s="1">
        <v>1</v>
      </c>
      <c r="AR1065" s="1" t="s">
        <v>210</v>
      </c>
      <c r="AS1065" s="1" t="s">
        <v>204</v>
      </c>
      <c r="AT1065" s="1" t="s">
        <v>211</v>
      </c>
      <c r="AU1065" s="1">
        <v>2</v>
      </c>
      <c r="AW1065" s="1" t="s">
        <v>204</v>
      </c>
      <c r="AX1065" s="1" t="s">
        <v>212</v>
      </c>
      <c r="AZ1065" s="1">
        <v>4406</v>
      </c>
      <c r="BA1065" s="1">
        <v>2013</v>
      </c>
      <c r="BB1065" s="1" t="s">
        <v>405</v>
      </c>
      <c r="BE1065" s="1">
        <v>1715</v>
      </c>
      <c r="BF1065" s="1">
        <v>1</v>
      </c>
      <c r="BG1065" s="1">
        <v>0</v>
      </c>
      <c r="BL1065" s="1">
        <v>177</v>
      </c>
      <c r="BM1065" s="1" t="s">
        <v>204</v>
      </c>
      <c r="BN1065" s="1" t="s">
        <v>213</v>
      </c>
      <c r="BO1065" s="1">
        <v>999</v>
      </c>
      <c r="BP1065" s="1" t="s">
        <v>204</v>
      </c>
      <c r="BR1065" s="1" t="str">
        <f>"0710311046"</f>
        <v>0710311046</v>
      </c>
      <c r="BT1065" s="1" t="s">
        <v>11367</v>
      </c>
      <c r="BU1065" s="1" t="s">
        <v>1247</v>
      </c>
      <c r="BV1065" s="1" t="s">
        <v>1248</v>
      </c>
      <c r="BW1065" s="1" t="s">
        <v>1131</v>
      </c>
      <c r="BX1065" s="1">
        <v>204</v>
      </c>
      <c r="BY1065" s="1">
        <v>204</v>
      </c>
      <c r="BZ1065" s="1">
        <v>204</v>
      </c>
      <c r="CB1065" s="1" t="str">
        <f t="shared" ref="CB1065:CC1065" si="821">""</f>
        <v/>
      </c>
      <c r="CC1065" s="1" t="str">
        <f t="shared" si="821"/>
        <v/>
      </c>
      <c r="CG1065" s="1" t="s">
        <v>2560</v>
      </c>
      <c r="CH1065" s="1" t="s">
        <v>219</v>
      </c>
      <c r="CI1065" s="1" t="s">
        <v>229</v>
      </c>
      <c r="CJ1065" s="1" t="s">
        <v>343</v>
      </c>
      <c r="CK1065" s="1" t="s">
        <v>1533</v>
      </c>
      <c r="CL1065" s="1" t="s">
        <v>277</v>
      </c>
      <c r="CM1065" s="1" t="s">
        <v>220</v>
      </c>
      <c r="CN1065" s="1" t="s">
        <v>343</v>
      </c>
      <c r="CO1065" s="1" t="s">
        <v>1854</v>
      </c>
      <c r="CP1065" s="1" t="s">
        <v>219</v>
      </c>
      <c r="CQ1065" s="1" t="s">
        <v>229</v>
      </c>
      <c r="CR1065" s="1" t="s">
        <v>343</v>
      </c>
      <c r="CS1065" s="1" t="s">
        <v>378</v>
      </c>
      <c r="CT1065" s="1" t="s">
        <v>277</v>
      </c>
      <c r="CU1065" s="1" t="s">
        <v>220</v>
      </c>
      <c r="CV1065" s="1" t="s">
        <v>343</v>
      </c>
      <c r="CX1065" s="1" t="s">
        <v>224</v>
      </c>
      <c r="DB1065" s="1" t="s">
        <v>224</v>
      </c>
      <c r="DE1065" s="1" t="s">
        <v>407</v>
      </c>
      <c r="DF1065" s="1" t="s">
        <v>219</v>
      </c>
      <c r="DG1065" s="1" t="s">
        <v>229</v>
      </c>
      <c r="DJ1065" s="1" t="s">
        <v>224</v>
      </c>
      <c r="DM1065" s="1" t="s">
        <v>709</v>
      </c>
      <c r="DN1065" s="1" t="s">
        <v>464</v>
      </c>
      <c r="DR1065" s="1" t="s">
        <v>11368</v>
      </c>
      <c r="DS1065" s="1" t="s">
        <v>219</v>
      </c>
      <c r="DT1065" s="1" t="s">
        <v>229</v>
      </c>
      <c r="DV1065" s="1" t="s">
        <v>348</v>
      </c>
      <c r="DW1065" s="1" t="s">
        <v>277</v>
      </c>
      <c r="DX1065" s="1" t="s">
        <v>220</v>
      </c>
      <c r="EA1065" s="1" t="s">
        <v>230</v>
      </c>
      <c r="EE1065" s="1" t="s">
        <v>230</v>
      </c>
      <c r="EI1065" s="1" t="s">
        <v>230</v>
      </c>
      <c r="EL1065" s="1" t="s">
        <v>670</v>
      </c>
      <c r="EM1065" s="1" t="s">
        <v>232</v>
      </c>
      <c r="EN1065" s="1" t="s">
        <v>282</v>
      </c>
      <c r="EO1065" s="1" t="s">
        <v>234</v>
      </c>
      <c r="EP1065" s="1" t="s">
        <v>650</v>
      </c>
      <c r="EQ1065" s="1" t="s">
        <v>236</v>
      </c>
      <c r="ER1065" s="1" t="s">
        <v>210</v>
      </c>
      <c r="ES1065" s="1" t="s">
        <v>1552</v>
      </c>
      <c r="ET1065" s="1" t="s">
        <v>866</v>
      </c>
      <c r="EU1065" s="1" t="s">
        <v>610</v>
      </c>
      <c r="EV1065" s="1" t="s">
        <v>324</v>
      </c>
      <c r="EW1065" s="1" t="s">
        <v>937</v>
      </c>
      <c r="EZ1065" s="1" t="s">
        <v>2549</v>
      </c>
      <c r="FA1065" s="1" t="s">
        <v>471</v>
      </c>
      <c r="FC1065" s="1" t="s">
        <v>1386</v>
      </c>
      <c r="FD1065" s="1" t="s">
        <v>246</v>
      </c>
      <c r="FE1065" s="1" t="s">
        <v>472</v>
      </c>
      <c r="FF1065" s="1" t="s">
        <v>248</v>
      </c>
      <c r="FG1065" s="1" t="s">
        <v>939</v>
      </c>
      <c r="FH1065" s="1" t="s">
        <v>550</v>
      </c>
      <c r="FI1065" s="1" t="s">
        <v>473</v>
      </c>
      <c r="FL1065" s="1" t="s">
        <v>358</v>
      </c>
      <c r="FM1065" s="1" t="s">
        <v>252</v>
      </c>
      <c r="FN1065" s="1" t="s">
        <v>213</v>
      </c>
      <c r="FO1065" s="1" t="s">
        <v>213</v>
      </c>
      <c r="FQ1065" s="1" t="s">
        <v>5242</v>
      </c>
      <c r="FR1065" s="1" t="s">
        <v>210</v>
      </c>
      <c r="FS1065" s="1" t="s">
        <v>11369</v>
      </c>
      <c r="FT1065" s="1" t="s">
        <v>295</v>
      </c>
      <c r="FU1065" s="1" t="s">
        <v>204</v>
      </c>
      <c r="FW1065" s="1" t="s">
        <v>6570</v>
      </c>
      <c r="FX1065" s="1">
        <v>23290</v>
      </c>
      <c r="FY1065" s="1" t="s">
        <v>6571</v>
      </c>
      <c r="FZ1065" s="1" t="s">
        <v>11370</v>
      </c>
      <c r="GA1065" s="1">
        <v>228925</v>
      </c>
      <c r="GB1065" s="1" t="s">
        <v>11371</v>
      </c>
      <c r="GE1065" s="1" t="s">
        <v>480</v>
      </c>
      <c r="GI1065" s="1" t="s">
        <v>213</v>
      </c>
      <c r="GJ1065" s="1" t="s">
        <v>260</v>
      </c>
      <c r="GK1065" s="1" t="s">
        <v>210</v>
      </c>
      <c r="GL1065" s="2">
        <v>42121</v>
      </c>
      <c r="GM1065" s="1" t="s">
        <v>11372</v>
      </c>
    </row>
    <row r="1066" spans="1:195">
      <c r="A1066" s="1">
        <v>117000</v>
      </c>
      <c r="B1066" s="1" t="s">
        <v>195</v>
      </c>
      <c r="C1066" s="1" t="str">
        <f>"08853737"</f>
        <v>08853737</v>
      </c>
      <c r="D1066" s="1" t="s">
        <v>196</v>
      </c>
      <c r="F1066" s="1" t="str">
        <f>"531"</f>
        <v>531</v>
      </c>
      <c r="G1066" s="2">
        <v>42068</v>
      </c>
      <c r="H1066" s="1">
        <v>119000</v>
      </c>
      <c r="I1066" s="1">
        <v>119000</v>
      </c>
      <c r="J1066" s="1">
        <v>117000</v>
      </c>
      <c r="K1066" s="2">
        <v>42065</v>
      </c>
      <c r="L1066" s="1">
        <v>9</v>
      </c>
      <c r="M1066" s="2">
        <v>42073</v>
      </c>
      <c r="N1066" s="1">
        <v>9</v>
      </c>
      <c r="O1066" s="2">
        <v>42073</v>
      </c>
      <c r="P1066" s="1">
        <v>22049</v>
      </c>
      <c r="Q1066" s="1" t="s">
        <v>197</v>
      </c>
      <c r="R1066" s="2">
        <v>42116</v>
      </c>
      <c r="S1066" s="1">
        <v>211835</v>
      </c>
      <c r="U1066" s="1">
        <v>6818</v>
      </c>
      <c r="V1066" s="1" t="s">
        <v>11373</v>
      </c>
      <c r="W1066" s="1" t="s">
        <v>1056</v>
      </c>
      <c r="X1066" s="1">
        <v>2</v>
      </c>
      <c r="Y1066" s="1">
        <v>12</v>
      </c>
      <c r="Z1066" s="1" t="s">
        <v>249</v>
      </c>
      <c r="AA1066" s="1" t="s">
        <v>2326</v>
      </c>
      <c r="AB1066" s="1">
        <v>60525</v>
      </c>
      <c r="AD1066" s="1" t="s">
        <v>11374</v>
      </c>
      <c r="AE1066" s="1" t="s">
        <v>11375</v>
      </c>
      <c r="AF1066" s="1">
        <v>1984</v>
      </c>
      <c r="AG1066" s="1" t="s">
        <v>204</v>
      </c>
      <c r="AH1066" s="1" t="s">
        <v>2329</v>
      </c>
      <c r="AI1066" s="1" t="s">
        <v>310</v>
      </c>
      <c r="AJ1066" s="1" t="s">
        <v>702</v>
      </c>
      <c r="AK1066" s="1" t="s">
        <v>1088</v>
      </c>
      <c r="AL1066" s="1">
        <v>5</v>
      </c>
      <c r="AM1066" s="1">
        <v>2</v>
      </c>
      <c r="AN1066" s="1">
        <v>1</v>
      </c>
      <c r="AO1066" s="1">
        <v>1</v>
      </c>
      <c r="AP1066" s="1" t="s">
        <v>210</v>
      </c>
      <c r="AQ1066" s="1">
        <v>0</v>
      </c>
      <c r="AR1066" s="1" t="s">
        <v>210</v>
      </c>
      <c r="AS1066" s="1" t="s">
        <v>204</v>
      </c>
      <c r="AT1066" s="1" t="s">
        <v>271</v>
      </c>
      <c r="AV1066" s="1">
        <v>1</v>
      </c>
      <c r="AW1066" s="1" t="s">
        <v>213</v>
      </c>
      <c r="AX1066" s="1" t="s">
        <v>212</v>
      </c>
      <c r="AZ1066" s="1">
        <v>2358</v>
      </c>
      <c r="BA1066" s="1">
        <v>2013</v>
      </c>
      <c r="BB1066" s="1" t="s">
        <v>405</v>
      </c>
      <c r="BE1066" s="1">
        <v>0</v>
      </c>
      <c r="BF1066" s="1">
        <v>1</v>
      </c>
      <c r="BG1066" s="1">
        <v>30</v>
      </c>
      <c r="BL1066" s="1">
        <v>195</v>
      </c>
      <c r="BM1066" s="1" t="s">
        <v>413</v>
      </c>
      <c r="BN1066" s="1" t="s">
        <v>213</v>
      </c>
      <c r="BO1066" s="1">
        <v>0</v>
      </c>
      <c r="BP1066" s="1" t="s">
        <v>204</v>
      </c>
      <c r="BR1066" s="1" t="str">
        <f>"18201000801014"</f>
        <v>18201000801014</v>
      </c>
      <c r="BT1066" s="1" t="s">
        <v>11376</v>
      </c>
      <c r="BU1066" s="1" t="s">
        <v>704</v>
      </c>
      <c r="BV1066" s="1" t="s">
        <v>705</v>
      </c>
      <c r="BW1066" s="1" t="s">
        <v>706</v>
      </c>
      <c r="BX1066" s="1">
        <v>107</v>
      </c>
      <c r="BY1066" s="1">
        <v>107</v>
      </c>
      <c r="BZ1066" s="1">
        <v>204</v>
      </c>
      <c r="CB1066" s="1" t="str">
        <f t="shared" ref="CB1066:CC1066" si="822">"0"</f>
        <v>0</v>
      </c>
      <c r="CC1066" s="1" t="str">
        <f t="shared" si="822"/>
        <v>0</v>
      </c>
      <c r="CD1066" s="1">
        <v>13</v>
      </c>
      <c r="CE1066" s="1">
        <v>7</v>
      </c>
      <c r="CG1066" s="1" t="s">
        <v>1004</v>
      </c>
      <c r="CH1066" s="1" t="s">
        <v>219</v>
      </c>
      <c r="CI1066" s="1" t="s">
        <v>438</v>
      </c>
      <c r="CJ1066" s="1" t="s">
        <v>252</v>
      </c>
      <c r="CK1066" s="1" t="s">
        <v>437</v>
      </c>
      <c r="CL1066" s="1" t="s">
        <v>219</v>
      </c>
      <c r="CM1066" s="1" t="s">
        <v>438</v>
      </c>
      <c r="CN1066" s="1" t="s">
        <v>252</v>
      </c>
      <c r="CO1066" s="1" t="s">
        <v>348</v>
      </c>
      <c r="CP1066" s="1" t="s">
        <v>219</v>
      </c>
      <c r="CQ1066" s="1" t="s">
        <v>438</v>
      </c>
      <c r="CR1066" s="1" t="s">
        <v>252</v>
      </c>
      <c r="CS1066" s="1" t="s">
        <v>465</v>
      </c>
      <c r="CT1066" s="1" t="s">
        <v>219</v>
      </c>
      <c r="CU1066" s="1" t="s">
        <v>438</v>
      </c>
      <c r="CV1066" s="1" t="s">
        <v>252</v>
      </c>
      <c r="CX1066" s="1" t="s">
        <v>224</v>
      </c>
      <c r="DB1066" s="1" t="s">
        <v>224</v>
      </c>
      <c r="DE1066" s="1" t="s">
        <v>540</v>
      </c>
      <c r="DF1066" s="1" t="s">
        <v>219</v>
      </c>
      <c r="DG1066" s="1" t="s">
        <v>226</v>
      </c>
      <c r="DH1066" s="1" t="s">
        <v>252</v>
      </c>
      <c r="DJ1066" s="1" t="s">
        <v>224</v>
      </c>
      <c r="DS1066" s="1" t="s">
        <v>230</v>
      </c>
      <c r="DW1066" s="1" t="s">
        <v>230</v>
      </c>
      <c r="EA1066" s="1" t="s">
        <v>230</v>
      </c>
      <c r="EE1066" s="1" t="s">
        <v>230</v>
      </c>
      <c r="EI1066" s="1" t="s">
        <v>230</v>
      </c>
      <c r="EL1066" s="1" t="s">
        <v>231</v>
      </c>
      <c r="EM1066" s="1" t="s">
        <v>232</v>
      </c>
      <c r="EN1066" s="1" t="s">
        <v>282</v>
      </c>
      <c r="EO1066" s="1" t="s">
        <v>234</v>
      </c>
      <c r="EP1066" s="1" t="s">
        <v>11377</v>
      </c>
      <c r="EQ1066" s="1" t="s">
        <v>492</v>
      </c>
      <c r="ER1066" s="1" t="s">
        <v>210</v>
      </c>
      <c r="ES1066" s="1" t="s">
        <v>1160</v>
      </c>
      <c r="EU1066" s="1" t="s">
        <v>1314</v>
      </c>
      <c r="EV1066" s="1" t="s">
        <v>324</v>
      </c>
      <c r="EW1066" s="1" t="s">
        <v>4357</v>
      </c>
      <c r="EY1066" s="1" t="s">
        <v>242</v>
      </c>
      <c r="EZ1066" s="1" t="s">
        <v>287</v>
      </c>
      <c r="FA1066" s="1" t="s">
        <v>3573</v>
      </c>
      <c r="FB1066" s="1" t="s">
        <v>289</v>
      </c>
      <c r="FC1066" s="1" t="s">
        <v>326</v>
      </c>
      <c r="FD1066" s="1" t="s">
        <v>246</v>
      </c>
      <c r="FE1066" s="1" t="s">
        <v>2016</v>
      </c>
      <c r="FF1066" s="1" t="s">
        <v>248</v>
      </c>
      <c r="FH1066" s="1" t="s">
        <v>716</v>
      </c>
      <c r="FK1066" s="1" t="s">
        <v>389</v>
      </c>
      <c r="FL1066" s="1" t="s">
        <v>358</v>
      </c>
      <c r="FM1066" s="1" t="s">
        <v>252</v>
      </c>
      <c r="FN1066" s="1" t="s">
        <v>213</v>
      </c>
      <c r="FO1066" s="1" t="s">
        <v>213</v>
      </c>
      <c r="FQ1066" s="1" t="s">
        <v>9347</v>
      </c>
      <c r="FR1066" s="1" t="s">
        <v>210</v>
      </c>
      <c r="FS1066" s="1" t="s">
        <v>11378</v>
      </c>
      <c r="FT1066" s="1" t="s">
        <v>1139</v>
      </c>
      <c r="FU1066" s="1" t="s">
        <v>204</v>
      </c>
      <c r="FW1066" s="1" t="s">
        <v>1475</v>
      </c>
      <c r="FX1066" s="1">
        <v>23265</v>
      </c>
      <c r="FY1066" s="1" t="s">
        <v>1476</v>
      </c>
      <c r="FZ1066" s="1" t="s">
        <v>11379</v>
      </c>
      <c r="GA1066" s="1">
        <v>212343</v>
      </c>
      <c r="GB1066" s="1" t="s">
        <v>11380</v>
      </c>
      <c r="GE1066" s="1" t="s">
        <v>1145</v>
      </c>
      <c r="GI1066" s="1" t="s">
        <v>213</v>
      </c>
      <c r="GJ1066" s="1" t="s">
        <v>260</v>
      </c>
      <c r="GK1066" s="1" t="s">
        <v>261</v>
      </c>
      <c r="GL1066" s="2">
        <v>42116</v>
      </c>
    </row>
    <row r="1067" spans="1:195">
      <c r="A1067" s="1">
        <v>178000</v>
      </c>
      <c r="B1067" s="1" t="s">
        <v>195</v>
      </c>
      <c r="C1067" s="1" t="str">
        <f>"08848870"</f>
        <v>08848870</v>
      </c>
      <c r="D1067" s="1" t="s">
        <v>196</v>
      </c>
      <c r="F1067" s="1" t="str">
        <f>"562"</f>
        <v>562</v>
      </c>
      <c r="G1067" s="2">
        <v>42063</v>
      </c>
      <c r="H1067" s="1">
        <v>185000</v>
      </c>
      <c r="I1067" s="1">
        <v>185000</v>
      </c>
      <c r="J1067" s="1">
        <v>178000</v>
      </c>
      <c r="K1067" s="2">
        <v>42063</v>
      </c>
      <c r="L1067" s="1">
        <v>6</v>
      </c>
      <c r="M1067" s="2">
        <v>42068</v>
      </c>
      <c r="N1067" s="1">
        <v>6</v>
      </c>
      <c r="O1067" s="2">
        <v>42068</v>
      </c>
      <c r="P1067" s="1">
        <v>25113</v>
      </c>
      <c r="Q1067" s="1" t="s">
        <v>197</v>
      </c>
      <c r="R1067" s="2">
        <v>42139</v>
      </c>
      <c r="S1067" s="1">
        <v>214121</v>
      </c>
      <c r="U1067" s="1">
        <v>8332</v>
      </c>
      <c r="V1067" s="1" t="s">
        <v>11381</v>
      </c>
      <c r="W1067" s="1" t="s">
        <v>264</v>
      </c>
      <c r="Y1067" s="1">
        <v>7</v>
      </c>
      <c r="Z1067" s="1" t="s">
        <v>370</v>
      </c>
      <c r="AA1067" s="1" t="s">
        <v>899</v>
      </c>
      <c r="AB1067" s="1">
        <v>60561</v>
      </c>
      <c r="AD1067" s="1" t="s">
        <v>11382</v>
      </c>
      <c r="AE1067" s="1" t="s">
        <v>11383</v>
      </c>
      <c r="AF1067" s="1">
        <v>1990</v>
      </c>
      <c r="AG1067" s="1" t="s">
        <v>204</v>
      </c>
      <c r="AH1067" s="1" t="s">
        <v>902</v>
      </c>
      <c r="AI1067" s="1" t="s">
        <v>206</v>
      </c>
      <c r="AJ1067" s="1" t="s">
        <v>903</v>
      </c>
      <c r="AL1067" s="1">
        <v>6</v>
      </c>
      <c r="AM1067" s="1">
        <v>2</v>
      </c>
      <c r="AN1067" s="1">
        <v>2</v>
      </c>
      <c r="AO1067" s="1">
        <v>1</v>
      </c>
      <c r="AP1067" s="1" t="s">
        <v>209</v>
      </c>
      <c r="AQ1067" s="1">
        <v>1</v>
      </c>
      <c r="AR1067" s="1" t="s">
        <v>209</v>
      </c>
      <c r="AS1067" s="1" t="s">
        <v>213</v>
      </c>
      <c r="AT1067" s="1" t="s">
        <v>211</v>
      </c>
      <c r="AU1067" s="1">
        <v>2</v>
      </c>
      <c r="AW1067" s="1" t="s">
        <v>204</v>
      </c>
      <c r="AX1067" s="1" t="s">
        <v>212</v>
      </c>
      <c r="AZ1067" s="1">
        <v>2926</v>
      </c>
      <c r="BA1067" s="1">
        <v>2013</v>
      </c>
      <c r="BB1067" s="1" t="s">
        <v>599</v>
      </c>
      <c r="BE1067" s="1">
        <v>1820</v>
      </c>
      <c r="BF1067" s="1">
        <v>1</v>
      </c>
      <c r="BG1067" s="1">
        <v>0</v>
      </c>
      <c r="BJ1067" s="1">
        <v>100</v>
      </c>
      <c r="BL1067" s="1">
        <v>200</v>
      </c>
      <c r="BM1067" s="1" t="s">
        <v>204</v>
      </c>
      <c r="BN1067" s="1" t="s">
        <v>213</v>
      </c>
      <c r="BO1067" s="1">
        <v>30</v>
      </c>
      <c r="BP1067" s="1" t="s">
        <v>204</v>
      </c>
      <c r="BR1067" s="1" t="str">
        <f>"0934414011"</f>
        <v>0934414011</v>
      </c>
      <c r="BT1067" s="1" t="s">
        <v>11384</v>
      </c>
      <c r="BU1067" s="1" t="s">
        <v>2882</v>
      </c>
      <c r="BV1067" s="1" t="s">
        <v>2883</v>
      </c>
      <c r="BW1067" s="1" t="s">
        <v>907</v>
      </c>
      <c r="BX1067" s="1">
        <v>63</v>
      </c>
      <c r="BY1067" s="1">
        <v>63</v>
      </c>
      <c r="BZ1067" s="1">
        <v>86</v>
      </c>
      <c r="CB1067" s="1" t="str">
        <f t="shared" ref="CB1067:CC1067" si="823">""</f>
        <v/>
      </c>
      <c r="CC1067" s="1" t="str">
        <f t="shared" si="823"/>
        <v/>
      </c>
      <c r="CD1067" s="1">
        <v>17</v>
      </c>
      <c r="CE1067" s="1">
        <v>9</v>
      </c>
      <c r="CG1067" s="1" t="s">
        <v>1004</v>
      </c>
      <c r="CH1067" s="1" t="s">
        <v>219</v>
      </c>
      <c r="CI1067" s="1" t="s">
        <v>220</v>
      </c>
      <c r="CJ1067" s="1" t="s">
        <v>252</v>
      </c>
      <c r="CK1067" s="1" t="s">
        <v>377</v>
      </c>
      <c r="CL1067" s="1" t="s">
        <v>219</v>
      </c>
      <c r="CM1067" s="1" t="s">
        <v>220</v>
      </c>
      <c r="CN1067" s="1" t="s">
        <v>252</v>
      </c>
      <c r="CO1067" s="1" t="s">
        <v>1046</v>
      </c>
      <c r="CP1067" s="1" t="s">
        <v>219</v>
      </c>
      <c r="CQ1067" s="1" t="s">
        <v>220</v>
      </c>
      <c r="CS1067" s="1" t="s">
        <v>465</v>
      </c>
      <c r="CT1067" s="1" t="s">
        <v>219</v>
      </c>
      <c r="CU1067" s="1" t="s">
        <v>220</v>
      </c>
      <c r="CV1067" s="1" t="s">
        <v>252</v>
      </c>
      <c r="CX1067" s="1" t="s">
        <v>224</v>
      </c>
      <c r="DB1067" s="1" t="s">
        <v>224</v>
      </c>
      <c r="DE1067" s="1" t="s">
        <v>278</v>
      </c>
      <c r="DF1067" s="1" t="s">
        <v>219</v>
      </c>
      <c r="DG1067" s="1" t="s">
        <v>226</v>
      </c>
      <c r="DI1067" s="1" t="s">
        <v>11385</v>
      </c>
      <c r="DJ1067" s="1" t="s">
        <v>822</v>
      </c>
      <c r="DK1067" s="1" t="s">
        <v>220</v>
      </c>
      <c r="DL1067" s="1" t="s">
        <v>252</v>
      </c>
      <c r="DM1067" s="1" t="s">
        <v>838</v>
      </c>
      <c r="DR1067" s="1" t="s">
        <v>2466</v>
      </c>
      <c r="DS1067" s="1" t="s">
        <v>219</v>
      </c>
      <c r="DW1067" s="1" t="s">
        <v>230</v>
      </c>
      <c r="EA1067" s="1" t="s">
        <v>230</v>
      </c>
      <c r="EE1067" s="1" t="s">
        <v>230</v>
      </c>
      <c r="EI1067" s="1" t="s">
        <v>230</v>
      </c>
      <c r="EL1067" s="1" t="s">
        <v>382</v>
      </c>
      <c r="EM1067" s="1" t="s">
        <v>232</v>
      </c>
      <c r="EN1067" s="1" t="s">
        <v>282</v>
      </c>
      <c r="EO1067" s="1" t="s">
        <v>234</v>
      </c>
      <c r="EQ1067" s="1" t="s">
        <v>236</v>
      </c>
      <c r="ER1067" s="1" t="s">
        <v>823</v>
      </c>
      <c r="ES1067" s="1" t="s">
        <v>824</v>
      </c>
      <c r="EU1067" s="1" t="s">
        <v>239</v>
      </c>
      <c r="EV1067" s="1" t="s">
        <v>352</v>
      </c>
      <c r="EW1067" s="1" t="s">
        <v>353</v>
      </c>
      <c r="EZ1067" s="1" t="s">
        <v>838</v>
      </c>
      <c r="FA1067" s="1" t="s">
        <v>471</v>
      </c>
      <c r="FB1067" s="1" t="s">
        <v>734</v>
      </c>
      <c r="FD1067" s="1" t="s">
        <v>888</v>
      </c>
      <c r="FE1067" s="1" t="s">
        <v>247</v>
      </c>
      <c r="FF1067" s="1" t="s">
        <v>248</v>
      </c>
      <c r="FG1067" s="1" t="s">
        <v>871</v>
      </c>
      <c r="FH1067" s="1" t="s">
        <v>550</v>
      </c>
      <c r="FI1067" s="1" t="s">
        <v>357</v>
      </c>
      <c r="FL1067" s="1" t="s">
        <v>358</v>
      </c>
      <c r="FM1067" s="1" t="s">
        <v>252</v>
      </c>
      <c r="FN1067" s="1" t="s">
        <v>213</v>
      </c>
      <c r="FO1067" s="1" t="s">
        <v>213</v>
      </c>
      <c r="FQ1067" s="1" t="s">
        <v>1115</v>
      </c>
      <c r="FR1067" s="1" t="s">
        <v>210</v>
      </c>
      <c r="FS1067" s="1" t="s">
        <v>11386</v>
      </c>
      <c r="FT1067" s="1" t="s">
        <v>1139</v>
      </c>
      <c r="FU1067" s="1" t="s">
        <v>204</v>
      </c>
      <c r="FW1067" s="1" t="s">
        <v>1898</v>
      </c>
      <c r="FX1067" s="1">
        <v>23030</v>
      </c>
      <c r="FY1067" s="1" t="s">
        <v>1899</v>
      </c>
      <c r="FZ1067" s="1" t="s">
        <v>11387</v>
      </c>
      <c r="GA1067" s="1">
        <v>232983</v>
      </c>
      <c r="GB1067" s="1" t="s">
        <v>11388</v>
      </c>
      <c r="GE1067" s="1" t="s">
        <v>480</v>
      </c>
      <c r="GI1067" s="1" t="s">
        <v>213</v>
      </c>
      <c r="GJ1067" s="1" t="s">
        <v>260</v>
      </c>
      <c r="GK1067" s="1" t="s">
        <v>210</v>
      </c>
      <c r="GL1067" s="2">
        <v>42139</v>
      </c>
    </row>
    <row r="1068" spans="1:195">
      <c r="A1068" s="1">
        <v>86000</v>
      </c>
      <c r="B1068" s="1" t="s">
        <v>195</v>
      </c>
      <c r="C1068" s="1" t="str">
        <f>"08849352"</f>
        <v>08849352</v>
      </c>
      <c r="D1068" s="1" t="s">
        <v>196</v>
      </c>
      <c r="F1068" s="1" t="str">
        <f t="shared" ref="F1068:F1069" si="824">"540"</f>
        <v>540</v>
      </c>
      <c r="G1068" s="2">
        <v>42064</v>
      </c>
      <c r="H1068" s="1">
        <v>89888</v>
      </c>
      <c r="I1068" s="1">
        <v>89888</v>
      </c>
      <c r="J1068" s="1">
        <v>86000</v>
      </c>
      <c r="K1068" s="2">
        <v>42064</v>
      </c>
      <c r="L1068" s="1">
        <v>24</v>
      </c>
      <c r="M1068" s="2">
        <v>42087</v>
      </c>
      <c r="N1068" s="1">
        <v>24</v>
      </c>
      <c r="O1068" s="2">
        <v>42087</v>
      </c>
      <c r="P1068" s="1">
        <v>21933</v>
      </c>
      <c r="Q1068" s="1" t="s">
        <v>302</v>
      </c>
      <c r="R1068" s="2">
        <v>42104</v>
      </c>
      <c r="S1068" s="1">
        <v>234246</v>
      </c>
      <c r="U1068" s="1">
        <v>510</v>
      </c>
      <c r="V1068" s="1" t="s">
        <v>1903</v>
      </c>
      <c r="W1068" s="1" t="s">
        <v>1056</v>
      </c>
      <c r="X1068" s="1">
        <v>101</v>
      </c>
      <c r="Y1068" s="1">
        <v>8</v>
      </c>
      <c r="Z1068" s="1" t="s">
        <v>249</v>
      </c>
      <c r="AA1068" s="1" t="s">
        <v>921</v>
      </c>
      <c r="AB1068" s="1">
        <v>60565</v>
      </c>
      <c r="AD1068" s="1" t="s">
        <v>11389</v>
      </c>
      <c r="AE1068" s="1" t="s">
        <v>11390</v>
      </c>
      <c r="AF1068" s="1">
        <v>1977</v>
      </c>
      <c r="AG1068" s="1" t="s">
        <v>213</v>
      </c>
      <c r="AH1068" s="1" t="s">
        <v>924</v>
      </c>
      <c r="AI1068" s="1" t="s">
        <v>206</v>
      </c>
      <c r="AJ1068" s="1" t="s">
        <v>925</v>
      </c>
      <c r="AL1068" s="1">
        <v>5</v>
      </c>
      <c r="AM1068" s="1">
        <v>2</v>
      </c>
      <c r="AN1068" s="1">
        <v>2</v>
      </c>
      <c r="AO1068" s="1">
        <v>0</v>
      </c>
      <c r="AP1068" s="1" t="s">
        <v>209</v>
      </c>
      <c r="AR1068" s="1" t="s">
        <v>210</v>
      </c>
      <c r="AS1068" s="1" t="s">
        <v>204</v>
      </c>
      <c r="AT1068" s="1" t="s">
        <v>211</v>
      </c>
      <c r="AU1068" s="1">
        <v>1</v>
      </c>
      <c r="AW1068" s="1" t="s">
        <v>204</v>
      </c>
      <c r="AX1068" s="1" t="s">
        <v>212</v>
      </c>
      <c r="AZ1068" s="1">
        <v>1409</v>
      </c>
      <c r="BA1068" s="1">
        <v>2013</v>
      </c>
      <c r="BB1068" s="1" t="s">
        <v>210</v>
      </c>
      <c r="BE1068" s="1">
        <v>1026</v>
      </c>
      <c r="BF1068" s="1">
        <v>1</v>
      </c>
      <c r="BG1068" s="1">
        <v>1</v>
      </c>
      <c r="BL1068" s="1">
        <v>298</v>
      </c>
      <c r="BM1068" s="1" t="s">
        <v>204</v>
      </c>
      <c r="BN1068" s="1" t="s">
        <v>213</v>
      </c>
      <c r="BO1068" s="1">
        <v>50</v>
      </c>
      <c r="BP1068" s="1" t="s">
        <v>204</v>
      </c>
      <c r="BR1068" s="1" t="str">
        <f>"0832111009"</f>
        <v>0832111009</v>
      </c>
      <c r="BT1068" s="1" t="s">
        <v>11391</v>
      </c>
      <c r="BU1068" s="1" t="s">
        <v>8878</v>
      </c>
      <c r="BV1068" s="1" t="s">
        <v>8879</v>
      </c>
      <c r="BW1068" s="1" t="s">
        <v>930</v>
      </c>
      <c r="BX1068" s="1">
        <v>203</v>
      </c>
      <c r="BY1068" s="1">
        <v>203</v>
      </c>
      <c r="BZ1068" s="1">
        <v>203</v>
      </c>
      <c r="CB1068" s="1" t="str">
        <f t="shared" ref="CB1068:CC1068" si="825">"0"</f>
        <v>0</v>
      </c>
      <c r="CC1068" s="1" t="str">
        <f t="shared" si="825"/>
        <v>0</v>
      </c>
      <c r="CD1068" s="1">
        <v>25</v>
      </c>
      <c r="CE1068" s="1">
        <v>9</v>
      </c>
      <c r="CG1068" s="1" t="s">
        <v>601</v>
      </c>
      <c r="CH1068" s="1" t="s">
        <v>219</v>
      </c>
      <c r="CI1068" s="1" t="s">
        <v>229</v>
      </c>
      <c r="CK1068" s="1" t="s">
        <v>581</v>
      </c>
      <c r="CL1068" s="1" t="s">
        <v>219</v>
      </c>
      <c r="CM1068" s="1" t="s">
        <v>229</v>
      </c>
      <c r="CO1068" s="1" t="s">
        <v>409</v>
      </c>
      <c r="CP1068" s="1" t="s">
        <v>219</v>
      </c>
      <c r="CQ1068" s="1" t="s">
        <v>229</v>
      </c>
      <c r="CR1068" s="1" t="s">
        <v>210</v>
      </c>
      <c r="CS1068" s="1" t="s">
        <v>1469</v>
      </c>
      <c r="CT1068" s="1" t="s">
        <v>219</v>
      </c>
      <c r="CU1068" s="1" t="s">
        <v>229</v>
      </c>
      <c r="CX1068" s="1" t="s">
        <v>224</v>
      </c>
      <c r="DB1068" s="1" t="s">
        <v>224</v>
      </c>
      <c r="DE1068" s="1" t="s">
        <v>1470</v>
      </c>
      <c r="DF1068" s="1" t="s">
        <v>219</v>
      </c>
      <c r="DG1068" s="1" t="s">
        <v>229</v>
      </c>
      <c r="DH1068" s="1" t="s">
        <v>210</v>
      </c>
      <c r="DJ1068" s="1" t="s">
        <v>224</v>
      </c>
      <c r="DS1068" s="1" t="s">
        <v>230</v>
      </c>
      <c r="DW1068" s="1" t="s">
        <v>230</v>
      </c>
      <c r="EA1068" s="1" t="s">
        <v>230</v>
      </c>
      <c r="EE1068" s="1" t="s">
        <v>230</v>
      </c>
      <c r="EI1068" s="1" t="s">
        <v>230</v>
      </c>
      <c r="EL1068" s="1" t="s">
        <v>231</v>
      </c>
      <c r="EM1068" s="1" t="s">
        <v>232</v>
      </c>
      <c r="EN1068" s="1" t="s">
        <v>1158</v>
      </c>
      <c r="EO1068" s="1" t="s">
        <v>234</v>
      </c>
      <c r="EP1068" s="1" t="s">
        <v>11392</v>
      </c>
      <c r="EQ1068" s="1" t="s">
        <v>350</v>
      </c>
      <c r="ER1068" s="1" t="s">
        <v>210</v>
      </c>
      <c r="ES1068" s="1" t="s">
        <v>1160</v>
      </c>
      <c r="EV1068" s="1" t="s">
        <v>324</v>
      </c>
      <c r="EW1068" s="1" t="s">
        <v>2792</v>
      </c>
      <c r="EY1068" s="1" t="s">
        <v>242</v>
      </c>
      <c r="EZ1068" s="1" t="s">
        <v>287</v>
      </c>
      <c r="FA1068" s="1" t="s">
        <v>4439</v>
      </c>
      <c r="FC1068" s="1" t="s">
        <v>548</v>
      </c>
      <c r="FD1068" s="1" t="s">
        <v>246</v>
      </c>
      <c r="FE1068" s="1" t="s">
        <v>549</v>
      </c>
      <c r="FF1068" s="1" t="s">
        <v>387</v>
      </c>
      <c r="FH1068" s="1" t="s">
        <v>249</v>
      </c>
      <c r="FI1068" s="1" t="s">
        <v>2827</v>
      </c>
      <c r="FL1068" s="1" t="s">
        <v>328</v>
      </c>
      <c r="FM1068" s="1" t="s">
        <v>252</v>
      </c>
      <c r="FN1068" s="1" t="s">
        <v>213</v>
      </c>
      <c r="FO1068" s="1" t="s">
        <v>213</v>
      </c>
      <c r="FQ1068" s="1" t="s">
        <v>6135</v>
      </c>
      <c r="FR1068" s="1" t="s">
        <v>210</v>
      </c>
      <c r="FS1068" s="1" t="s">
        <v>11393</v>
      </c>
      <c r="FT1068" s="1" t="s">
        <v>295</v>
      </c>
      <c r="FU1068" s="1" t="s">
        <v>204</v>
      </c>
      <c r="FW1068" s="1" t="s">
        <v>5648</v>
      </c>
      <c r="FX1068" s="1">
        <v>23099</v>
      </c>
      <c r="FY1068" s="1" t="s">
        <v>5649</v>
      </c>
      <c r="FZ1068" s="1" t="s">
        <v>6137</v>
      </c>
      <c r="GA1068" s="1">
        <v>218883</v>
      </c>
      <c r="GB1068" s="1" t="s">
        <v>6138</v>
      </c>
      <c r="GE1068" s="1" t="s">
        <v>210</v>
      </c>
      <c r="GH1068" s="1" t="s">
        <v>800</v>
      </c>
      <c r="GI1068" s="1" t="s">
        <v>213</v>
      </c>
      <c r="GJ1068" s="1" t="s">
        <v>260</v>
      </c>
      <c r="GK1068" s="1" t="s">
        <v>210</v>
      </c>
      <c r="GL1068" s="2">
        <v>42104</v>
      </c>
      <c r="GM1068" s="1" t="s">
        <v>11394</v>
      </c>
    </row>
    <row r="1069" spans="1:195">
      <c r="A1069" s="1">
        <v>166500</v>
      </c>
      <c r="B1069" s="1" t="s">
        <v>195</v>
      </c>
      <c r="C1069" s="1" t="str">
        <f>"08868732"</f>
        <v>08868732</v>
      </c>
      <c r="D1069" s="1" t="s">
        <v>196</v>
      </c>
      <c r="F1069" s="1" t="str">
        <f t="shared" si="824"/>
        <v>540</v>
      </c>
      <c r="G1069" s="2">
        <v>42085</v>
      </c>
      <c r="H1069" s="1">
        <v>169900</v>
      </c>
      <c r="I1069" s="1">
        <v>169900</v>
      </c>
      <c r="J1069" s="1">
        <v>166500</v>
      </c>
      <c r="K1069" s="2">
        <v>42085</v>
      </c>
      <c r="L1069" s="1">
        <v>2</v>
      </c>
      <c r="M1069" s="2">
        <v>42086</v>
      </c>
      <c r="N1069" s="1">
        <v>2</v>
      </c>
      <c r="O1069" s="2">
        <v>42086</v>
      </c>
      <c r="P1069" s="1">
        <v>23265</v>
      </c>
      <c r="Q1069" s="1" t="s">
        <v>197</v>
      </c>
      <c r="R1069" s="2">
        <v>42118</v>
      </c>
      <c r="S1069" s="1">
        <v>225977</v>
      </c>
      <c r="T1069" s="1">
        <v>500</v>
      </c>
      <c r="U1069" s="1">
        <v>2808</v>
      </c>
      <c r="V1069" s="1" t="s">
        <v>11395</v>
      </c>
      <c r="W1069" s="1" t="s">
        <v>304</v>
      </c>
      <c r="X1069" s="1">
        <v>2808</v>
      </c>
      <c r="Y1069" s="1">
        <v>6</v>
      </c>
      <c r="Z1069" s="1" t="s">
        <v>249</v>
      </c>
      <c r="AA1069" s="1" t="s">
        <v>921</v>
      </c>
      <c r="AB1069" s="1">
        <v>60564</v>
      </c>
      <c r="AD1069" s="1" t="s">
        <v>7504</v>
      </c>
      <c r="AE1069" s="1" t="s">
        <v>11396</v>
      </c>
      <c r="AF1069" s="1">
        <v>1998</v>
      </c>
      <c r="AG1069" s="1" t="s">
        <v>204</v>
      </c>
      <c r="AH1069" s="1" t="s">
        <v>924</v>
      </c>
      <c r="AI1069" s="1" t="s">
        <v>206</v>
      </c>
      <c r="AJ1069" s="1" t="s">
        <v>924</v>
      </c>
      <c r="AL1069" s="1">
        <v>6</v>
      </c>
      <c r="AM1069" s="1">
        <v>2</v>
      </c>
      <c r="AN1069" s="1">
        <v>2</v>
      </c>
      <c r="AO1069" s="1">
        <v>0</v>
      </c>
      <c r="AP1069" s="1" t="s">
        <v>209</v>
      </c>
      <c r="AR1069" s="1" t="s">
        <v>210</v>
      </c>
      <c r="AS1069" s="1" t="s">
        <v>204</v>
      </c>
      <c r="AT1069" s="1" t="s">
        <v>211</v>
      </c>
      <c r="AU1069" s="1">
        <v>1</v>
      </c>
      <c r="AW1069" s="1" t="s">
        <v>204</v>
      </c>
      <c r="AX1069" s="1" t="s">
        <v>212</v>
      </c>
      <c r="AZ1069" s="1">
        <v>3761</v>
      </c>
      <c r="BA1069" s="1">
        <v>2013</v>
      </c>
      <c r="BE1069" s="1">
        <v>1414</v>
      </c>
      <c r="BF1069" s="1">
        <v>2</v>
      </c>
      <c r="BG1069" s="1">
        <v>30</v>
      </c>
      <c r="BL1069" s="1">
        <v>182</v>
      </c>
      <c r="BM1069" s="1" t="s">
        <v>413</v>
      </c>
      <c r="BN1069" s="1" t="s">
        <v>213</v>
      </c>
      <c r="BO1069" s="1">
        <v>999</v>
      </c>
      <c r="BP1069" s="1" t="s">
        <v>204</v>
      </c>
      <c r="BR1069" s="1" t="str">
        <f>"0734314173"</f>
        <v>0734314173</v>
      </c>
      <c r="BT1069" s="1" t="s">
        <v>11397</v>
      </c>
      <c r="BU1069" s="1" t="s">
        <v>2216</v>
      </c>
      <c r="BV1069" s="1" t="s">
        <v>2217</v>
      </c>
      <c r="BW1069" s="1" t="s">
        <v>2218</v>
      </c>
      <c r="BX1069" s="1">
        <v>204</v>
      </c>
      <c r="BY1069" s="1">
        <v>204</v>
      </c>
      <c r="BZ1069" s="1">
        <v>204</v>
      </c>
      <c r="CB1069" s="1" t="str">
        <f t="shared" ref="CB1069:CC1069" si="826">""</f>
        <v/>
      </c>
      <c r="CC1069" s="1" t="str">
        <f t="shared" si="826"/>
        <v/>
      </c>
      <c r="CD1069" s="1">
        <v>29</v>
      </c>
      <c r="CE1069" s="1">
        <v>10</v>
      </c>
      <c r="CG1069" s="1" t="s">
        <v>1132</v>
      </c>
      <c r="CH1069" s="1" t="s">
        <v>277</v>
      </c>
      <c r="CI1069" s="1" t="s">
        <v>438</v>
      </c>
      <c r="CK1069" s="1" t="s">
        <v>1533</v>
      </c>
      <c r="CL1069" s="1" t="s">
        <v>277</v>
      </c>
      <c r="CM1069" s="1" t="s">
        <v>220</v>
      </c>
      <c r="CO1069" s="1" t="s">
        <v>629</v>
      </c>
      <c r="CP1069" s="1" t="s">
        <v>277</v>
      </c>
      <c r="CQ1069" s="1" t="s">
        <v>438</v>
      </c>
      <c r="CS1069" s="1" t="s">
        <v>346</v>
      </c>
      <c r="CT1069" s="1" t="s">
        <v>277</v>
      </c>
      <c r="CU1069" s="1" t="s">
        <v>220</v>
      </c>
      <c r="CX1069" s="1" t="s">
        <v>224</v>
      </c>
      <c r="DB1069" s="1" t="s">
        <v>224</v>
      </c>
      <c r="DE1069" s="1" t="s">
        <v>278</v>
      </c>
      <c r="DF1069" s="1" t="s">
        <v>277</v>
      </c>
      <c r="DG1069" s="1" t="s">
        <v>229</v>
      </c>
      <c r="DI1069" s="1" t="s">
        <v>932</v>
      </c>
      <c r="DJ1069" s="1" t="s">
        <v>277</v>
      </c>
      <c r="DK1069" s="1" t="s">
        <v>229</v>
      </c>
      <c r="DS1069" s="1" t="s">
        <v>230</v>
      </c>
      <c r="DW1069" s="1" t="s">
        <v>230</v>
      </c>
      <c r="EA1069" s="1" t="s">
        <v>230</v>
      </c>
      <c r="EE1069" s="1" t="s">
        <v>230</v>
      </c>
      <c r="EI1069" s="1" t="s">
        <v>230</v>
      </c>
      <c r="EL1069" s="1" t="s">
        <v>670</v>
      </c>
      <c r="EM1069" s="1" t="s">
        <v>232</v>
      </c>
      <c r="EN1069" s="1" t="s">
        <v>282</v>
      </c>
      <c r="EO1069" s="1" t="s">
        <v>234</v>
      </c>
      <c r="EQ1069" s="1" t="s">
        <v>492</v>
      </c>
      <c r="ER1069" s="1" t="s">
        <v>210</v>
      </c>
      <c r="ES1069" s="1" t="s">
        <v>954</v>
      </c>
      <c r="EU1069" s="1" t="s">
        <v>11398</v>
      </c>
      <c r="EV1069" s="1" t="s">
        <v>240</v>
      </c>
      <c r="EW1069" s="1" t="s">
        <v>937</v>
      </c>
      <c r="EZ1069" s="1" t="s">
        <v>287</v>
      </c>
      <c r="FB1069" s="1" t="s">
        <v>289</v>
      </c>
      <c r="FD1069" s="1" t="s">
        <v>246</v>
      </c>
      <c r="FE1069" s="1" t="s">
        <v>870</v>
      </c>
      <c r="FF1069" s="1" t="s">
        <v>248</v>
      </c>
      <c r="FH1069" s="1" t="s">
        <v>249</v>
      </c>
      <c r="FJ1069" s="1" t="s">
        <v>518</v>
      </c>
      <c r="FL1069" s="1" t="s">
        <v>358</v>
      </c>
      <c r="FM1069" s="1" t="s">
        <v>252</v>
      </c>
      <c r="FN1069" s="1" t="s">
        <v>213</v>
      </c>
      <c r="FO1069" s="1" t="s">
        <v>213</v>
      </c>
      <c r="FQ1069" s="1" t="s">
        <v>1599</v>
      </c>
      <c r="FR1069" s="1" t="s">
        <v>210</v>
      </c>
      <c r="FS1069" s="1" t="s">
        <v>11399</v>
      </c>
      <c r="FT1069" s="1" t="s">
        <v>295</v>
      </c>
      <c r="FU1069" s="1" t="s">
        <v>204</v>
      </c>
      <c r="FW1069" s="1" t="s">
        <v>1475</v>
      </c>
      <c r="FX1069" s="1">
        <v>23265</v>
      </c>
      <c r="FY1069" s="1" t="s">
        <v>1476</v>
      </c>
      <c r="FZ1069" s="1" t="s">
        <v>3606</v>
      </c>
      <c r="GA1069" s="1">
        <v>232884</v>
      </c>
      <c r="GB1069" s="1" t="s">
        <v>3607</v>
      </c>
      <c r="GE1069" s="1" t="s">
        <v>480</v>
      </c>
      <c r="GI1069" s="1" t="s">
        <v>213</v>
      </c>
      <c r="GJ1069" s="1" t="s">
        <v>300</v>
      </c>
      <c r="GK1069" s="1" t="s">
        <v>210</v>
      </c>
      <c r="GL1069" s="2">
        <v>42118</v>
      </c>
      <c r="GM1069" s="1" t="s">
        <v>11400</v>
      </c>
    </row>
    <row r="1070" spans="1:195">
      <c r="A1070" s="1">
        <v>95000</v>
      </c>
      <c r="B1070" s="1" t="s">
        <v>195</v>
      </c>
      <c r="C1070" s="1" t="str">
        <f>"08853127"</f>
        <v>08853127</v>
      </c>
      <c r="D1070" s="1" t="s">
        <v>196</v>
      </c>
      <c r="F1070" s="1" t="str">
        <f>"101"</f>
        <v>101</v>
      </c>
      <c r="G1070" s="2">
        <v>42068</v>
      </c>
      <c r="H1070" s="1">
        <v>89900</v>
      </c>
      <c r="I1070" s="1">
        <v>89900</v>
      </c>
      <c r="J1070" s="1">
        <v>95000</v>
      </c>
      <c r="K1070" s="2">
        <v>42068</v>
      </c>
      <c r="L1070" s="1">
        <v>3</v>
      </c>
      <c r="M1070" s="2">
        <v>42070</v>
      </c>
      <c r="N1070" s="1">
        <v>3</v>
      </c>
      <c r="O1070" s="2">
        <v>42070</v>
      </c>
      <c r="P1070" s="1">
        <v>24330</v>
      </c>
      <c r="Q1070" s="1" t="s">
        <v>197</v>
      </c>
      <c r="R1070" s="2">
        <v>42128</v>
      </c>
      <c r="S1070" s="1">
        <v>244588</v>
      </c>
      <c r="U1070" s="1">
        <v>728</v>
      </c>
      <c r="V1070" s="1" t="s">
        <v>7029</v>
      </c>
      <c r="W1070" s="1" t="s">
        <v>504</v>
      </c>
      <c r="X1070" s="1">
        <v>2</v>
      </c>
      <c r="Y1070" s="1">
        <v>18</v>
      </c>
      <c r="Z1070" s="1" t="s">
        <v>249</v>
      </c>
      <c r="AA1070" s="1" t="s">
        <v>2631</v>
      </c>
      <c r="AB1070" s="1">
        <v>60101</v>
      </c>
      <c r="AD1070" s="1" t="s">
        <v>7030</v>
      </c>
      <c r="AE1070" s="1" t="s">
        <v>11401</v>
      </c>
      <c r="AF1070" s="1">
        <v>1980</v>
      </c>
      <c r="AG1070" s="1" t="s">
        <v>204</v>
      </c>
      <c r="AH1070" s="1" t="s">
        <v>1233</v>
      </c>
      <c r="AI1070" s="1" t="s">
        <v>206</v>
      </c>
      <c r="AJ1070" s="1" t="s">
        <v>1233</v>
      </c>
      <c r="AK1070" s="1" t="s">
        <v>11402</v>
      </c>
      <c r="AL1070" s="1">
        <v>5</v>
      </c>
      <c r="AM1070" s="1">
        <v>2</v>
      </c>
      <c r="AN1070" s="1">
        <v>2</v>
      </c>
      <c r="AO1070" s="1">
        <v>0</v>
      </c>
      <c r="AP1070" s="1" t="s">
        <v>209</v>
      </c>
      <c r="AR1070" s="1" t="s">
        <v>210</v>
      </c>
      <c r="AS1070" s="1" t="s">
        <v>204</v>
      </c>
      <c r="AT1070" s="1" t="s">
        <v>271</v>
      </c>
      <c r="AV1070" s="1">
        <v>1</v>
      </c>
      <c r="AW1070" s="1" t="s">
        <v>204</v>
      </c>
      <c r="AX1070" s="1" t="s">
        <v>212</v>
      </c>
      <c r="AZ1070" s="1">
        <v>1702</v>
      </c>
      <c r="BA1070" s="1">
        <v>2013</v>
      </c>
      <c r="BB1070" s="1" t="s">
        <v>405</v>
      </c>
      <c r="BE1070" s="1">
        <v>980</v>
      </c>
      <c r="BF1070" s="1">
        <v>1</v>
      </c>
      <c r="BG1070" s="1">
        <v>0</v>
      </c>
      <c r="BL1070" s="1">
        <v>219</v>
      </c>
      <c r="BM1070" s="1" t="s">
        <v>204</v>
      </c>
      <c r="BN1070" s="1" t="s">
        <v>213</v>
      </c>
      <c r="BO1070" s="1">
        <v>30</v>
      </c>
      <c r="BP1070" s="1" t="s">
        <v>204</v>
      </c>
      <c r="BR1070" s="1" t="str">
        <f>"0320420122"</f>
        <v>0320420122</v>
      </c>
      <c r="BT1070" s="1" t="s">
        <v>11403</v>
      </c>
      <c r="BU1070" s="1" t="s">
        <v>7033</v>
      </c>
      <c r="BV1070" s="1" t="s">
        <v>2720</v>
      </c>
      <c r="BW1070" s="1" t="s">
        <v>2721</v>
      </c>
      <c r="BX1070" s="1">
        <v>4</v>
      </c>
      <c r="BY1070" s="1">
        <v>4</v>
      </c>
      <c r="BZ1070" s="1">
        <v>88</v>
      </c>
      <c r="CB1070" s="1" t="str">
        <f t="shared" ref="CB1070:CC1070" si="827">""</f>
        <v/>
      </c>
      <c r="CC1070" s="1" t="str">
        <f t="shared" si="827"/>
        <v/>
      </c>
      <c r="CG1070" s="1" t="s">
        <v>6531</v>
      </c>
      <c r="CH1070" s="1" t="s">
        <v>219</v>
      </c>
      <c r="CI1070" s="1" t="s">
        <v>220</v>
      </c>
      <c r="CJ1070" s="1" t="s">
        <v>252</v>
      </c>
      <c r="CK1070" s="1" t="s">
        <v>344</v>
      </c>
      <c r="CL1070" s="1" t="s">
        <v>219</v>
      </c>
      <c r="CM1070" s="1" t="s">
        <v>220</v>
      </c>
      <c r="CO1070" s="1" t="s">
        <v>629</v>
      </c>
      <c r="CP1070" s="1" t="s">
        <v>219</v>
      </c>
      <c r="CS1070" s="1" t="s">
        <v>465</v>
      </c>
      <c r="CT1070" s="1" t="s">
        <v>219</v>
      </c>
      <c r="CU1070" s="1" t="s">
        <v>220</v>
      </c>
      <c r="CX1070" s="1" t="s">
        <v>224</v>
      </c>
      <c r="DB1070" s="1" t="s">
        <v>224</v>
      </c>
      <c r="DE1070" s="1" t="s">
        <v>3264</v>
      </c>
      <c r="DF1070" s="1" t="s">
        <v>219</v>
      </c>
      <c r="DG1070" s="1" t="s">
        <v>226</v>
      </c>
      <c r="DJ1070" s="1" t="s">
        <v>224</v>
      </c>
      <c r="DS1070" s="1" t="s">
        <v>230</v>
      </c>
      <c r="DW1070" s="1" t="s">
        <v>230</v>
      </c>
      <c r="EA1070" s="1" t="s">
        <v>230</v>
      </c>
      <c r="EE1070" s="1" t="s">
        <v>230</v>
      </c>
      <c r="EI1070" s="1" t="s">
        <v>230</v>
      </c>
      <c r="EL1070" s="1" t="s">
        <v>231</v>
      </c>
      <c r="EM1070" s="1" t="s">
        <v>319</v>
      </c>
      <c r="EN1070" s="1" t="s">
        <v>1158</v>
      </c>
      <c r="EO1070" s="1" t="s">
        <v>234</v>
      </c>
      <c r="ER1070" s="1" t="s">
        <v>210</v>
      </c>
      <c r="EW1070" s="1" t="s">
        <v>6385</v>
      </c>
      <c r="EY1070" s="1" t="s">
        <v>242</v>
      </c>
      <c r="EZ1070" s="1" t="s">
        <v>287</v>
      </c>
      <c r="FB1070" s="1" t="s">
        <v>289</v>
      </c>
      <c r="FD1070" s="1" t="s">
        <v>888</v>
      </c>
      <c r="FE1070" s="1" t="s">
        <v>247</v>
      </c>
      <c r="FF1070" s="1" t="s">
        <v>387</v>
      </c>
      <c r="FH1070" s="1" t="s">
        <v>249</v>
      </c>
      <c r="FK1070" s="1" t="s">
        <v>2806</v>
      </c>
      <c r="FL1070" s="1" t="s">
        <v>292</v>
      </c>
      <c r="FM1070" s="1" t="s">
        <v>252</v>
      </c>
      <c r="FN1070" s="1" t="s">
        <v>213</v>
      </c>
      <c r="FO1070" s="1" t="s">
        <v>213</v>
      </c>
      <c r="FQ1070" s="1" t="s">
        <v>359</v>
      </c>
      <c r="FR1070" s="1" t="s">
        <v>210</v>
      </c>
      <c r="FS1070" s="1" t="s">
        <v>11404</v>
      </c>
      <c r="FT1070" s="1" t="s">
        <v>295</v>
      </c>
      <c r="FU1070" s="1" t="s">
        <v>204</v>
      </c>
      <c r="FW1070" s="1" t="s">
        <v>585</v>
      </c>
      <c r="FX1070" s="1">
        <v>6485</v>
      </c>
      <c r="FY1070" s="1" t="s">
        <v>8303</v>
      </c>
      <c r="FZ1070" s="1" t="s">
        <v>11405</v>
      </c>
      <c r="GA1070" s="1">
        <v>63185</v>
      </c>
      <c r="GB1070" s="1" t="s">
        <v>11406</v>
      </c>
      <c r="GE1070" s="1" t="s">
        <v>210</v>
      </c>
      <c r="GH1070" s="1" t="s">
        <v>230</v>
      </c>
      <c r="GI1070" s="1" t="s">
        <v>213</v>
      </c>
      <c r="GJ1070" s="1" t="s">
        <v>260</v>
      </c>
      <c r="GK1070" s="1" t="s">
        <v>210</v>
      </c>
      <c r="GL1070" s="2">
        <v>42128</v>
      </c>
      <c r="GM1070" s="1" t="s">
        <v>2132</v>
      </c>
    </row>
    <row r="1071" spans="1:195">
      <c r="A1071" s="1">
        <v>76100</v>
      </c>
      <c r="B1071" s="1" t="s">
        <v>195</v>
      </c>
      <c r="C1071" s="1" t="str">
        <f>"08846815"</f>
        <v>08846815</v>
      </c>
      <c r="D1071" s="1" t="s">
        <v>196</v>
      </c>
      <c r="F1071" s="1" t="str">
        <f>"123"</f>
        <v>123</v>
      </c>
      <c r="G1071" s="2">
        <v>42060</v>
      </c>
      <c r="H1071" s="1">
        <v>79900</v>
      </c>
      <c r="I1071" s="1">
        <v>79900</v>
      </c>
      <c r="J1071" s="1">
        <v>76100</v>
      </c>
      <c r="K1071" s="2">
        <v>42060</v>
      </c>
      <c r="L1071" s="1">
        <v>15</v>
      </c>
      <c r="M1071" s="2">
        <v>42074</v>
      </c>
      <c r="N1071" s="1">
        <v>15</v>
      </c>
      <c r="O1071" s="2">
        <v>42074</v>
      </c>
      <c r="P1071" s="1">
        <v>7661</v>
      </c>
      <c r="Q1071" s="1" t="s">
        <v>197</v>
      </c>
      <c r="R1071" s="2">
        <v>42111</v>
      </c>
      <c r="S1071" s="1">
        <v>77445</v>
      </c>
      <c r="T1071" s="1">
        <v>300</v>
      </c>
      <c r="U1071" s="1">
        <v>1816</v>
      </c>
      <c r="V1071" s="1" t="s">
        <v>11407</v>
      </c>
      <c r="W1071" s="1" t="s">
        <v>425</v>
      </c>
      <c r="X1071" s="1" t="s">
        <v>483</v>
      </c>
      <c r="Y1071" s="1">
        <v>4</v>
      </c>
      <c r="Z1071" s="1" t="s">
        <v>370</v>
      </c>
      <c r="AA1071" s="1" t="s">
        <v>1173</v>
      </c>
      <c r="AB1071" s="1">
        <v>60123</v>
      </c>
      <c r="AE1071" s="1" t="s">
        <v>11408</v>
      </c>
      <c r="AF1071" s="1">
        <v>1992</v>
      </c>
      <c r="AG1071" s="1" t="s">
        <v>204</v>
      </c>
      <c r="AH1071" s="1" t="s">
        <v>1175</v>
      </c>
      <c r="AI1071" s="1" t="s">
        <v>665</v>
      </c>
      <c r="AJ1071" s="1" t="s">
        <v>1175</v>
      </c>
      <c r="AL1071" s="1">
        <v>5</v>
      </c>
      <c r="AM1071" s="1">
        <v>2</v>
      </c>
      <c r="AN1071" s="1">
        <v>1</v>
      </c>
      <c r="AO1071" s="1">
        <v>0</v>
      </c>
      <c r="AP1071" s="1" t="s">
        <v>210</v>
      </c>
      <c r="AQ1071" s="1">
        <v>1</v>
      </c>
      <c r="AR1071" s="1" t="s">
        <v>210</v>
      </c>
      <c r="AS1071" s="1" t="s">
        <v>204</v>
      </c>
      <c r="AT1071" s="1" t="s">
        <v>211</v>
      </c>
      <c r="AU1071" s="1">
        <v>2</v>
      </c>
      <c r="AW1071" s="1" t="s">
        <v>204</v>
      </c>
      <c r="AX1071" s="1" t="s">
        <v>212</v>
      </c>
      <c r="AZ1071" s="1">
        <v>2708.14</v>
      </c>
      <c r="BA1071" s="1">
        <v>2013</v>
      </c>
      <c r="BB1071" s="1" t="s">
        <v>210</v>
      </c>
      <c r="BE1071" s="1">
        <v>1178</v>
      </c>
      <c r="BF1071" s="1">
        <v>2</v>
      </c>
      <c r="BG1071" s="1">
        <v>10</v>
      </c>
      <c r="BL1071" s="1">
        <v>142</v>
      </c>
      <c r="BM1071" s="1" t="s">
        <v>204</v>
      </c>
      <c r="BN1071" s="1" t="s">
        <v>213</v>
      </c>
      <c r="BO1071" s="1">
        <v>999</v>
      </c>
      <c r="BP1071" s="1" t="s">
        <v>204</v>
      </c>
      <c r="BR1071" s="1" t="str">
        <f>"0616232021"</f>
        <v>0616232021</v>
      </c>
      <c r="BT1071" s="1" t="s">
        <v>11409</v>
      </c>
      <c r="BX1071" s="1">
        <v>46</v>
      </c>
      <c r="BY1071" s="1">
        <v>46</v>
      </c>
      <c r="BZ1071" s="1">
        <v>46</v>
      </c>
      <c r="CB1071" s="1" t="str">
        <f>"11"</f>
        <v>11</v>
      </c>
      <c r="CC1071" s="1" t="str">
        <f>""</f>
        <v/>
      </c>
      <c r="CD1071" s="1">
        <v>36</v>
      </c>
      <c r="CG1071" s="1" t="s">
        <v>8089</v>
      </c>
      <c r="CH1071" s="1" t="s">
        <v>784</v>
      </c>
      <c r="CI1071" s="1" t="s">
        <v>220</v>
      </c>
      <c r="CK1071" s="1" t="s">
        <v>1402</v>
      </c>
      <c r="CL1071" s="1" t="s">
        <v>784</v>
      </c>
      <c r="CM1071" s="1" t="s">
        <v>220</v>
      </c>
      <c r="CO1071" s="1" t="s">
        <v>409</v>
      </c>
      <c r="CP1071" s="1" t="s">
        <v>784</v>
      </c>
      <c r="CQ1071" s="1" t="s">
        <v>220</v>
      </c>
      <c r="CS1071" s="1" t="s">
        <v>602</v>
      </c>
      <c r="CT1071" s="1" t="s">
        <v>784</v>
      </c>
      <c r="CU1071" s="1" t="s">
        <v>220</v>
      </c>
      <c r="CX1071" s="1" t="s">
        <v>224</v>
      </c>
      <c r="DB1071" s="1" t="s">
        <v>224</v>
      </c>
      <c r="DE1071" s="1" t="s">
        <v>1571</v>
      </c>
      <c r="DF1071" s="1" t="s">
        <v>784</v>
      </c>
      <c r="DG1071" s="1" t="s">
        <v>226</v>
      </c>
      <c r="DJ1071" s="1" t="s">
        <v>224</v>
      </c>
      <c r="DS1071" s="1" t="s">
        <v>230</v>
      </c>
      <c r="DW1071" s="1" t="s">
        <v>230</v>
      </c>
      <c r="EA1071" s="1" t="s">
        <v>230</v>
      </c>
      <c r="EE1071" s="1" t="s">
        <v>230</v>
      </c>
      <c r="EI1071" s="1" t="s">
        <v>230</v>
      </c>
      <c r="EL1071" s="1" t="s">
        <v>382</v>
      </c>
      <c r="EM1071" s="1" t="s">
        <v>319</v>
      </c>
      <c r="EN1071" s="1" t="s">
        <v>282</v>
      </c>
      <c r="EO1071" s="1" t="s">
        <v>234</v>
      </c>
      <c r="ER1071" s="1" t="s">
        <v>210</v>
      </c>
      <c r="EW1071" s="1" t="s">
        <v>887</v>
      </c>
      <c r="EZ1071" s="1" t="s">
        <v>287</v>
      </c>
      <c r="FD1071" s="1" t="s">
        <v>246</v>
      </c>
      <c r="FE1071" s="1" t="s">
        <v>386</v>
      </c>
      <c r="FF1071" s="1" t="s">
        <v>248</v>
      </c>
      <c r="FH1071" s="1" t="s">
        <v>249</v>
      </c>
      <c r="FJ1071" s="1" t="s">
        <v>197</v>
      </c>
      <c r="FL1071" s="1" t="s">
        <v>358</v>
      </c>
      <c r="FM1071" s="1" t="s">
        <v>252</v>
      </c>
      <c r="FN1071" s="1" t="s">
        <v>213</v>
      </c>
      <c r="FO1071" s="1" t="s">
        <v>213</v>
      </c>
      <c r="FQ1071" s="1" t="s">
        <v>849</v>
      </c>
      <c r="FR1071" s="1" t="s">
        <v>210</v>
      </c>
      <c r="FS1071" s="1" t="s">
        <v>11410</v>
      </c>
      <c r="FT1071" s="1" t="s">
        <v>295</v>
      </c>
      <c r="FU1071" s="1" t="s">
        <v>204</v>
      </c>
      <c r="FW1071" s="1" t="s">
        <v>11108</v>
      </c>
      <c r="FX1071" s="1">
        <v>17497</v>
      </c>
      <c r="FY1071" s="1" t="s">
        <v>11109</v>
      </c>
      <c r="FZ1071" s="1" t="s">
        <v>11411</v>
      </c>
      <c r="GA1071" s="1">
        <v>840006</v>
      </c>
      <c r="GB1071" s="1" t="s">
        <v>11412</v>
      </c>
      <c r="GE1071" s="1" t="s">
        <v>2504</v>
      </c>
      <c r="GH1071" s="1" t="s">
        <v>589</v>
      </c>
      <c r="GI1071" s="1" t="s">
        <v>204</v>
      </c>
      <c r="GJ1071" s="1" t="s">
        <v>260</v>
      </c>
      <c r="GK1071" s="1" t="s">
        <v>210</v>
      </c>
      <c r="GL1071" s="2">
        <v>42111</v>
      </c>
      <c r="GM1071" s="1" t="s">
        <v>11413</v>
      </c>
    </row>
    <row r="1072" spans="1:195">
      <c r="A1072" s="1">
        <v>337000</v>
      </c>
      <c r="B1072" s="1" t="s">
        <v>195</v>
      </c>
      <c r="C1072" s="1" t="str">
        <f>"08850203"</f>
        <v>08850203</v>
      </c>
      <c r="D1072" s="1" t="s">
        <v>196</v>
      </c>
      <c r="F1072" s="1" t="str">
        <f>"531"</f>
        <v>531</v>
      </c>
      <c r="G1072" s="2">
        <v>42065</v>
      </c>
      <c r="H1072" s="1">
        <v>339000</v>
      </c>
      <c r="I1072" s="1">
        <v>339000</v>
      </c>
      <c r="J1072" s="1">
        <v>337000</v>
      </c>
      <c r="K1072" s="2">
        <v>42065</v>
      </c>
      <c r="L1072" s="1">
        <v>1</v>
      </c>
      <c r="M1072" s="2">
        <v>42065</v>
      </c>
      <c r="N1072" s="1">
        <v>1</v>
      </c>
      <c r="O1072" s="2">
        <v>42065</v>
      </c>
      <c r="P1072" s="1">
        <v>22049</v>
      </c>
      <c r="Q1072" s="1" t="s">
        <v>302</v>
      </c>
      <c r="R1072" s="2">
        <v>42107</v>
      </c>
      <c r="S1072" s="1">
        <v>221428</v>
      </c>
      <c r="U1072" s="1">
        <v>112</v>
      </c>
      <c r="V1072" s="1" t="s">
        <v>11414</v>
      </c>
      <c r="W1072" s="1" t="s">
        <v>304</v>
      </c>
      <c r="X1072" s="1" t="s">
        <v>527</v>
      </c>
      <c r="Y1072" s="1">
        <v>5</v>
      </c>
      <c r="Z1072" s="1" t="s">
        <v>370</v>
      </c>
      <c r="AA1072" s="1" t="s">
        <v>2326</v>
      </c>
      <c r="AB1072" s="1">
        <v>60525</v>
      </c>
      <c r="AD1072" s="1" t="s">
        <v>11415</v>
      </c>
      <c r="AE1072" s="1" t="s">
        <v>11416</v>
      </c>
      <c r="AF1072" s="1">
        <v>1996</v>
      </c>
      <c r="AG1072" s="1" t="s">
        <v>204</v>
      </c>
      <c r="AH1072" s="1" t="s">
        <v>2329</v>
      </c>
      <c r="AI1072" s="1" t="s">
        <v>310</v>
      </c>
      <c r="AJ1072" s="1" t="s">
        <v>702</v>
      </c>
      <c r="AK1072" s="1" t="s">
        <v>11417</v>
      </c>
      <c r="AL1072" s="1">
        <v>8</v>
      </c>
      <c r="AM1072" s="1">
        <v>2</v>
      </c>
      <c r="AN1072" s="1">
        <v>2</v>
      </c>
      <c r="AO1072" s="1">
        <v>0</v>
      </c>
      <c r="AP1072" s="1" t="s">
        <v>209</v>
      </c>
      <c r="AR1072" s="1" t="s">
        <v>2275</v>
      </c>
      <c r="AS1072" s="1" t="s">
        <v>204</v>
      </c>
      <c r="AT1072" s="1" t="s">
        <v>211</v>
      </c>
      <c r="AU1072" s="1">
        <v>2</v>
      </c>
      <c r="AW1072" s="1" t="s">
        <v>213</v>
      </c>
      <c r="AX1072" s="1" t="s">
        <v>212</v>
      </c>
      <c r="AZ1072" s="1">
        <v>6273.09</v>
      </c>
      <c r="BA1072" s="1">
        <v>2013</v>
      </c>
      <c r="BB1072" s="1" t="s">
        <v>599</v>
      </c>
      <c r="BE1072" s="1">
        <v>1600</v>
      </c>
      <c r="BF1072" s="1">
        <v>1</v>
      </c>
      <c r="BG1072" s="1">
        <v>0</v>
      </c>
      <c r="BL1072" s="1">
        <v>325</v>
      </c>
      <c r="BM1072" s="1" t="s">
        <v>213</v>
      </c>
      <c r="BN1072" s="1" t="s">
        <v>213</v>
      </c>
      <c r="BO1072" s="1">
        <v>0</v>
      </c>
      <c r="BP1072" s="1" t="s">
        <v>204</v>
      </c>
      <c r="BR1072" s="1" t="str">
        <f>"18173130530000"</f>
        <v>18173130530000</v>
      </c>
      <c r="BT1072" s="1" t="s">
        <v>11418</v>
      </c>
      <c r="BU1072" s="1" t="s">
        <v>2495</v>
      </c>
      <c r="BV1072" s="1" t="s">
        <v>2496</v>
      </c>
      <c r="BW1072" s="1" t="s">
        <v>706</v>
      </c>
      <c r="BX1072" s="1">
        <v>106</v>
      </c>
      <c r="BY1072" s="1">
        <v>106</v>
      </c>
      <c r="BZ1072" s="1">
        <v>204</v>
      </c>
      <c r="CB1072" s="1" t="str">
        <f t="shared" ref="CB1072:CC1072" si="828">""</f>
        <v/>
      </c>
      <c r="CC1072" s="1" t="str">
        <f t="shared" si="828"/>
        <v/>
      </c>
      <c r="CG1072" s="1" t="s">
        <v>1615</v>
      </c>
      <c r="CH1072" s="1" t="s">
        <v>219</v>
      </c>
      <c r="CI1072" s="1" t="s">
        <v>220</v>
      </c>
      <c r="CK1072" s="1" t="s">
        <v>3316</v>
      </c>
      <c r="CL1072" s="1" t="s">
        <v>219</v>
      </c>
      <c r="CM1072" s="1" t="s">
        <v>220</v>
      </c>
      <c r="CP1072" s="1" t="s">
        <v>224</v>
      </c>
      <c r="CQ1072" s="1" t="s">
        <v>220</v>
      </c>
      <c r="CS1072" s="1" t="s">
        <v>379</v>
      </c>
      <c r="CT1072" s="1" t="s">
        <v>219</v>
      </c>
      <c r="CU1072" s="1" t="s">
        <v>220</v>
      </c>
      <c r="CX1072" s="1" t="s">
        <v>224</v>
      </c>
      <c r="DB1072" s="1" t="s">
        <v>224</v>
      </c>
      <c r="DE1072" s="1" t="s">
        <v>602</v>
      </c>
      <c r="DF1072" s="1" t="s">
        <v>219</v>
      </c>
      <c r="DJ1072" s="1" t="s">
        <v>224</v>
      </c>
      <c r="DM1072" s="1" t="s">
        <v>1548</v>
      </c>
      <c r="DN1072" s="1" t="s">
        <v>1005</v>
      </c>
      <c r="DO1072" s="1" t="s">
        <v>4083</v>
      </c>
      <c r="DP1072" s="1" t="s">
        <v>934</v>
      </c>
      <c r="DR1072" s="1" t="s">
        <v>516</v>
      </c>
      <c r="DS1072" s="1" t="s">
        <v>219</v>
      </c>
      <c r="DV1072" s="1" t="s">
        <v>346</v>
      </c>
      <c r="DW1072" s="1" t="s">
        <v>219</v>
      </c>
      <c r="DZ1072" s="1" t="s">
        <v>315</v>
      </c>
      <c r="EA1072" s="1" t="s">
        <v>822</v>
      </c>
      <c r="ED1072" s="1" t="s">
        <v>11419</v>
      </c>
      <c r="EE1072" s="1" t="s">
        <v>822</v>
      </c>
      <c r="EI1072" s="1" t="s">
        <v>230</v>
      </c>
      <c r="EL1072" s="1" t="s">
        <v>670</v>
      </c>
      <c r="EM1072" s="1" t="s">
        <v>730</v>
      </c>
      <c r="EN1072" s="1" t="s">
        <v>282</v>
      </c>
      <c r="EO1072" s="1" t="s">
        <v>234</v>
      </c>
      <c r="ER1072" s="1" t="s">
        <v>544</v>
      </c>
      <c r="ET1072" s="1" t="s">
        <v>238</v>
      </c>
      <c r="EW1072" s="1" t="s">
        <v>11420</v>
      </c>
      <c r="EY1072" s="1" t="s">
        <v>242</v>
      </c>
      <c r="EZ1072" s="1" t="s">
        <v>11421</v>
      </c>
      <c r="FB1072" s="1" t="s">
        <v>289</v>
      </c>
      <c r="FD1072" s="1" t="s">
        <v>246</v>
      </c>
      <c r="FE1072" s="1" t="s">
        <v>549</v>
      </c>
      <c r="FF1072" s="1" t="s">
        <v>248</v>
      </c>
      <c r="FH1072" s="1" t="s">
        <v>825</v>
      </c>
      <c r="FI1072" s="1" t="s">
        <v>357</v>
      </c>
      <c r="FJ1072" s="1" t="s">
        <v>197</v>
      </c>
      <c r="FL1072" s="1" t="s">
        <v>358</v>
      </c>
      <c r="FM1072" s="1" t="s">
        <v>252</v>
      </c>
      <c r="FN1072" s="1" t="s">
        <v>213</v>
      </c>
      <c r="FO1072" s="1" t="s">
        <v>213</v>
      </c>
      <c r="FQ1072" s="1" t="s">
        <v>615</v>
      </c>
      <c r="FR1072" s="1" t="s">
        <v>210</v>
      </c>
      <c r="FS1072" s="1" t="s">
        <v>552</v>
      </c>
      <c r="FT1072" s="1" t="s">
        <v>362</v>
      </c>
      <c r="FU1072" s="1" t="s">
        <v>204</v>
      </c>
      <c r="FW1072" s="1" t="s">
        <v>915</v>
      </c>
      <c r="FX1072" s="1">
        <v>22049</v>
      </c>
      <c r="FY1072" s="1" t="s">
        <v>4731</v>
      </c>
      <c r="FZ1072" s="1" t="s">
        <v>8008</v>
      </c>
      <c r="GA1072" s="1">
        <v>221428</v>
      </c>
      <c r="GB1072" s="1" t="s">
        <v>8009</v>
      </c>
      <c r="GC1072" s="1">
        <v>224157</v>
      </c>
      <c r="GE1072" s="1" t="s">
        <v>1764</v>
      </c>
      <c r="GI1072" s="1" t="s">
        <v>213</v>
      </c>
      <c r="GJ1072" s="1" t="s">
        <v>260</v>
      </c>
      <c r="GK1072" s="1" t="s">
        <v>210</v>
      </c>
      <c r="GL1072" s="2">
        <v>42107</v>
      </c>
      <c r="GM1072" s="1" t="s">
        <v>11422</v>
      </c>
    </row>
    <row r="1073" spans="1:195">
      <c r="A1073" s="1">
        <v>100000</v>
      </c>
      <c r="B1073" s="1" t="s">
        <v>195</v>
      </c>
      <c r="C1073" s="1" t="str">
        <f>"08850057"</f>
        <v>08850057</v>
      </c>
      <c r="D1073" s="1" t="s">
        <v>196</v>
      </c>
      <c r="F1073" s="1" t="str">
        <f t="shared" ref="F1073:F1074" si="829">"8039"</f>
        <v>8039</v>
      </c>
      <c r="G1073" s="2">
        <v>42065</v>
      </c>
      <c r="H1073" s="1">
        <v>109900</v>
      </c>
      <c r="I1073" s="1">
        <v>109900</v>
      </c>
      <c r="J1073" s="1">
        <v>100000</v>
      </c>
      <c r="K1073" s="2">
        <v>42065</v>
      </c>
      <c r="L1073" s="1">
        <v>149</v>
      </c>
      <c r="M1073" s="2">
        <v>42091</v>
      </c>
      <c r="N1073" s="1">
        <v>27</v>
      </c>
      <c r="O1073" s="2">
        <v>42091</v>
      </c>
      <c r="P1073" s="1">
        <v>18080</v>
      </c>
      <c r="Q1073" s="1" t="s">
        <v>197</v>
      </c>
      <c r="R1073" s="2">
        <v>42138</v>
      </c>
      <c r="S1073" s="1">
        <v>111431</v>
      </c>
      <c r="U1073" s="1">
        <v>4746</v>
      </c>
      <c r="V1073" s="1" t="s">
        <v>11423</v>
      </c>
      <c r="W1073" s="1" t="s">
        <v>425</v>
      </c>
      <c r="X1073" s="1" t="s">
        <v>11424</v>
      </c>
      <c r="Y1073" s="1">
        <v>8</v>
      </c>
      <c r="Z1073" s="1" t="s">
        <v>249</v>
      </c>
      <c r="AA1073" s="1" t="s">
        <v>400</v>
      </c>
      <c r="AB1073" s="1">
        <v>60615</v>
      </c>
      <c r="AE1073" s="1" t="s">
        <v>11425</v>
      </c>
      <c r="AF1073" s="1" t="s">
        <v>402</v>
      </c>
      <c r="AG1073" s="1" t="s">
        <v>213</v>
      </c>
      <c r="AH1073" s="1" t="s">
        <v>403</v>
      </c>
      <c r="AI1073" s="1" t="s">
        <v>310</v>
      </c>
      <c r="AJ1073" s="1" t="s">
        <v>562</v>
      </c>
      <c r="AK1073" s="1" t="s">
        <v>2614</v>
      </c>
      <c r="AL1073" s="1">
        <v>4</v>
      </c>
      <c r="AM1073" s="1">
        <v>2</v>
      </c>
      <c r="AN1073" s="1">
        <v>2</v>
      </c>
      <c r="AO1073" s="1">
        <v>0</v>
      </c>
      <c r="AP1073" s="1" t="s">
        <v>209</v>
      </c>
      <c r="AQ1073" s="1">
        <v>0</v>
      </c>
      <c r="AR1073" s="1" t="s">
        <v>210</v>
      </c>
      <c r="AS1073" s="1" t="s">
        <v>204</v>
      </c>
      <c r="AT1073" s="1" t="s">
        <v>210</v>
      </c>
      <c r="AW1073" s="1" t="s">
        <v>204</v>
      </c>
      <c r="AX1073" s="1" t="s">
        <v>212</v>
      </c>
      <c r="AZ1073" s="5">
        <v>2091.89</v>
      </c>
      <c r="BA1073" s="1">
        <v>2013</v>
      </c>
      <c r="BB1073" s="1" t="s">
        <v>210</v>
      </c>
      <c r="BC1073" s="1">
        <v>0</v>
      </c>
      <c r="BE1073" s="1">
        <v>0</v>
      </c>
      <c r="BF1073" s="1" t="s">
        <v>4806</v>
      </c>
      <c r="BG1073" s="1">
        <v>0</v>
      </c>
      <c r="BJ1073" s="1">
        <v>88</v>
      </c>
      <c r="BL1073" s="1">
        <v>204</v>
      </c>
      <c r="BM1073" s="1" t="s">
        <v>204</v>
      </c>
      <c r="BN1073" s="1" t="s">
        <v>213</v>
      </c>
      <c r="BO1073" s="1">
        <v>999</v>
      </c>
      <c r="BP1073" s="1" t="s">
        <v>204</v>
      </c>
      <c r="BR1073" s="1" t="str">
        <f>"20111020311001"</f>
        <v>20111020311001</v>
      </c>
      <c r="BT1073" s="1" t="s">
        <v>11426</v>
      </c>
      <c r="BX1073" s="1">
        <v>299</v>
      </c>
      <c r="BY1073" s="1">
        <v>299</v>
      </c>
      <c r="BZ1073" s="1">
        <v>299</v>
      </c>
      <c r="CB1073" s="1" t="str">
        <f t="shared" ref="CB1073:CB1075" si="830">"0"</f>
        <v>0</v>
      </c>
      <c r="CC1073" s="1" t="str">
        <f>"1000"</f>
        <v>1000</v>
      </c>
      <c r="CD1073" s="1">
        <v>0</v>
      </c>
      <c r="CE1073" s="1">
        <v>4746</v>
      </c>
      <c r="CG1073" s="1" t="s">
        <v>9820</v>
      </c>
      <c r="CH1073" s="1" t="s">
        <v>822</v>
      </c>
      <c r="CI1073" s="1" t="s">
        <v>438</v>
      </c>
      <c r="CJ1073" s="1" t="s">
        <v>343</v>
      </c>
      <c r="CK1073" s="1" t="s">
        <v>932</v>
      </c>
      <c r="CL1073" s="1" t="s">
        <v>822</v>
      </c>
      <c r="CM1073" s="1" t="s">
        <v>220</v>
      </c>
      <c r="CP1073" s="1" t="s">
        <v>224</v>
      </c>
      <c r="CS1073" s="1" t="s">
        <v>2138</v>
      </c>
      <c r="CT1073" s="1" t="s">
        <v>822</v>
      </c>
      <c r="CU1073" s="1" t="s">
        <v>220</v>
      </c>
      <c r="CV1073" s="1" t="s">
        <v>343</v>
      </c>
      <c r="CX1073" s="1" t="s">
        <v>224</v>
      </c>
      <c r="DB1073" s="1" t="s">
        <v>224</v>
      </c>
      <c r="DE1073" s="1" t="s">
        <v>316</v>
      </c>
      <c r="DF1073" s="1" t="s">
        <v>822</v>
      </c>
      <c r="DG1073" s="1" t="s">
        <v>226</v>
      </c>
      <c r="DH1073" s="1" t="s">
        <v>343</v>
      </c>
      <c r="DJ1073" s="1" t="s">
        <v>224</v>
      </c>
      <c r="DS1073" s="1" t="s">
        <v>230</v>
      </c>
      <c r="DW1073" s="1" t="s">
        <v>230</v>
      </c>
      <c r="EA1073" s="1" t="s">
        <v>230</v>
      </c>
      <c r="EE1073" s="1" t="s">
        <v>230</v>
      </c>
      <c r="EI1073" s="1" t="s">
        <v>230</v>
      </c>
      <c r="EL1073" s="1" t="s">
        <v>413</v>
      </c>
      <c r="EM1073" s="1" t="s">
        <v>730</v>
      </c>
      <c r="EN1073" s="1" t="s">
        <v>282</v>
      </c>
      <c r="EO1073" s="1" t="s">
        <v>234</v>
      </c>
      <c r="EQ1073" s="1" t="s">
        <v>492</v>
      </c>
      <c r="ER1073" s="1" t="s">
        <v>210</v>
      </c>
      <c r="ES1073" s="1" t="s">
        <v>322</v>
      </c>
      <c r="ET1073" s="1" t="s">
        <v>1404</v>
      </c>
      <c r="EW1073" s="1" t="s">
        <v>937</v>
      </c>
      <c r="EY1073" s="1" t="s">
        <v>790</v>
      </c>
      <c r="EZ1073" s="1" t="s">
        <v>287</v>
      </c>
      <c r="FA1073" s="1" t="s">
        <v>5547</v>
      </c>
      <c r="FB1073" s="1" t="s">
        <v>734</v>
      </c>
      <c r="FC1073" s="1" t="s">
        <v>1739</v>
      </c>
      <c r="FD1073" s="1" t="s">
        <v>246</v>
      </c>
      <c r="FE1073" s="1" t="s">
        <v>247</v>
      </c>
      <c r="FF1073" s="1" t="s">
        <v>248</v>
      </c>
      <c r="FH1073" s="1" t="s">
        <v>11427</v>
      </c>
      <c r="FJ1073" s="1" t="s">
        <v>1472</v>
      </c>
      <c r="FL1073" s="1" t="s">
        <v>358</v>
      </c>
      <c r="FM1073" s="1" t="s">
        <v>252</v>
      </c>
      <c r="FN1073" s="1" t="s">
        <v>213</v>
      </c>
      <c r="FO1073" s="1" t="s">
        <v>213</v>
      </c>
      <c r="FQ1073" s="1" t="s">
        <v>1758</v>
      </c>
      <c r="FR1073" s="1" t="s">
        <v>210</v>
      </c>
      <c r="FS1073" s="1" t="s">
        <v>11428</v>
      </c>
      <c r="FT1073" s="1" t="s">
        <v>295</v>
      </c>
      <c r="FU1073" s="1" t="s">
        <v>204</v>
      </c>
      <c r="FW1073" s="1" t="s">
        <v>795</v>
      </c>
      <c r="FX1073" s="1">
        <v>85175</v>
      </c>
      <c r="FY1073" s="1" t="s">
        <v>796</v>
      </c>
      <c r="FZ1073" s="1" t="s">
        <v>11429</v>
      </c>
      <c r="GA1073" s="1">
        <v>154012</v>
      </c>
      <c r="GB1073" s="1" t="s">
        <v>11430</v>
      </c>
      <c r="GD1073" s="1" t="s">
        <v>11431</v>
      </c>
      <c r="GE1073" s="1" t="s">
        <v>210</v>
      </c>
      <c r="GH1073" s="1" t="s">
        <v>421</v>
      </c>
      <c r="GI1073" s="1" t="s">
        <v>213</v>
      </c>
      <c r="GJ1073" s="1" t="s">
        <v>260</v>
      </c>
      <c r="GK1073" s="1" t="s">
        <v>210</v>
      </c>
      <c r="GL1073" s="2">
        <v>42138</v>
      </c>
      <c r="GM1073" s="1" t="s">
        <v>11432</v>
      </c>
    </row>
    <row r="1074" spans="1:195">
      <c r="A1074" s="1">
        <v>125000</v>
      </c>
      <c r="B1074" s="1" t="s">
        <v>195</v>
      </c>
      <c r="C1074" s="1" t="str">
        <f>"08843567"</f>
        <v>08843567</v>
      </c>
      <c r="D1074" s="1" t="s">
        <v>196</v>
      </c>
      <c r="F1074" s="1" t="str">
        <f t="shared" si="829"/>
        <v>8039</v>
      </c>
      <c r="G1074" s="2">
        <v>42055</v>
      </c>
      <c r="H1074" s="1">
        <v>119900</v>
      </c>
      <c r="I1074" s="1">
        <v>119900</v>
      </c>
      <c r="J1074" s="1">
        <v>125000</v>
      </c>
      <c r="K1074" s="2">
        <v>42055</v>
      </c>
      <c r="L1074" s="1">
        <v>8</v>
      </c>
      <c r="M1074" s="2">
        <v>42062</v>
      </c>
      <c r="N1074" s="1">
        <v>8</v>
      </c>
      <c r="O1074" s="2">
        <v>42062</v>
      </c>
      <c r="P1074" s="1">
        <v>85442</v>
      </c>
      <c r="Q1074" s="1" t="s">
        <v>302</v>
      </c>
      <c r="R1074" s="2">
        <v>42121</v>
      </c>
      <c r="S1074" s="1">
        <v>861444</v>
      </c>
      <c r="U1074" s="1">
        <v>4530</v>
      </c>
      <c r="V1074" s="1" t="s">
        <v>11433</v>
      </c>
      <c r="W1074" s="1" t="s">
        <v>425</v>
      </c>
      <c r="X1074" s="1">
        <v>1009</v>
      </c>
      <c r="Y1074" s="1">
        <v>10</v>
      </c>
      <c r="Z1074" s="1" t="s">
        <v>370</v>
      </c>
      <c r="AA1074" s="1" t="s">
        <v>400</v>
      </c>
      <c r="AB1074" s="1">
        <v>60653</v>
      </c>
      <c r="AD1074" s="1" t="s">
        <v>11434</v>
      </c>
      <c r="AE1074" s="1" t="s">
        <v>11435</v>
      </c>
      <c r="AF1074" s="1">
        <v>1996</v>
      </c>
      <c r="AG1074" s="1" t="s">
        <v>204</v>
      </c>
      <c r="AH1074" s="1" t="s">
        <v>403</v>
      </c>
      <c r="AI1074" s="1" t="s">
        <v>310</v>
      </c>
      <c r="AJ1074" s="1" t="s">
        <v>562</v>
      </c>
      <c r="AL1074" s="1">
        <v>6</v>
      </c>
      <c r="AM1074" s="1">
        <v>2</v>
      </c>
      <c r="AN1074" s="1">
        <v>1</v>
      </c>
      <c r="AO1074" s="1">
        <v>1</v>
      </c>
      <c r="AP1074" s="1" t="s">
        <v>210</v>
      </c>
      <c r="AQ1074" s="1">
        <v>1</v>
      </c>
      <c r="AR1074" s="1" t="s">
        <v>210</v>
      </c>
      <c r="AT1074" s="1" t="s">
        <v>211</v>
      </c>
      <c r="AU1074" s="1">
        <v>1</v>
      </c>
      <c r="AW1074" s="1" t="s">
        <v>204</v>
      </c>
      <c r="AX1074" s="1">
        <v>799</v>
      </c>
      <c r="AZ1074" s="1">
        <v>2400.61</v>
      </c>
      <c r="BA1074" s="1">
        <v>2012</v>
      </c>
      <c r="BE1074" s="1">
        <v>1256</v>
      </c>
      <c r="BF1074" s="1">
        <v>1</v>
      </c>
      <c r="BG1074" s="1">
        <v>30</v>
      </c>
      <c r="BL1074" s="1">
        <v>153</v>
      </c>
      <c r="BM1074" s="1" t="s">
        <v>204</v>
      </c>
      <c r="BN1074" s="1" t="s">
        <v>204</v>
      </c>
      <c r="BP1074" s="1" t="s">
        <v>204</v>
      </c>
      <c r="BR1074" s="1" t="str">
        <f>"20023140560000"</f>
        <v>20023140560000</v>
      </c>
      <c r="BT1074" s="1" t="s">
        <v>11436</v>
      </c>
      <c r="BX1074" s="1">
        <v>299</v>
      </c>
      <c r="BY1074" s="1">
        <v>299</v>
      </c>
      <c r="BZ1074" s="1">
        <v>299</v>
      </c>
      <c r="CB1074" s="1" t="str">
        <f t="shared" si="830"/>
        <v>0</v>
      </c>
      <c r="CC1074" s="1" t="str">
        <f>"1200"</f>
        <v>1200</v>
      </c>
      <c r="CD1074" s="1">
        <v>0</v>
      </c>
      <c r="CE1074" s="1">
        <v>4530</v>
      </c>
      <c r="CG1074" s="1" t="s">
        <v>933</v>
      </c>
      <c r="CH1074" s="1" t="s">
        <v>277</v>
      </c>
      <c r="CI1074" s="1" t="s">
        <v>438</v>
      </c>
      <c r="CJ1074" s="1" t="s">
        <v>343</v>
      </c>
      <c r="CK1074" s="1" t="s">
        <v>465</v>
      </c>
      <c r="CL1074" s="1" t="s">
        <v>784</v>
      </c>
      <c r="CM1074" s="1" t="s">
        <v>438</v>
      </c>
      <c r="CN1074" s="1" t="s">
        <v>343</v>
      </c>
      <c r="CO1074" s="1" t="s">
        <v>629</v>
      </c>
      <c r="CP1074" s="1" t="s">
        <v>277</v>
      </c>
      <c r="CQ1074" s="1" t="s">
        <v>438</v>
      </c>
      <c r="CR1074" s="1" t="s">
        <v>343</v>
      </c>
      <c r="CS1074" s="1" t="s">
        <v>281</v>
      </c>
      <c r="CT1074" s="1" t="s">
        <v>784</v>
      </c>
      <c r="CU1074" s="1" t="s">
        <v>438</v>
      </c>
      <c r="CV1074" s="1" t="s">
        <v>343</v>
      </c>
      <c r="CX1074" s="1" t="s">
        <v>224</v>
      </c>
      <c r="DB1074" s="1" t="s">
        <v>224</v>
      </c>
      <c r="DE1074" s="1" t="s">
        <v>281</v>
      </c>
      <c r="DF1074" s="1" t="s">
        <v>277</v>
      </c>
      <c r="DG1074" s="1" t="s">
        <v>438</v>
      </c>
      <c r="DH1074" s="1" t="s">
        <v>343</v>
      </c>
      <c r="DI1074" s="1" t="s">
        <v>408</v>
      </c>
      <c r="DJ1074" s="1" t="s">
        <v>219</v>
      </c>
      <c r="DK1074" s="1" t="s">
        <v>220</v>
      </c>
      <c r="DL1074" s="1" t="s">
        <v>343</v>
      </c>
      <c r="DS1074" s="1" t="s">
        <v>230</v>
      </c>
      <c r="DW1074" s="1" t="s">
        <v>230</v>
      </c>
      <c r="EA1074" s="1" t="s">
        <v>230</v>
      </c>
      <c r="EE1074" s="1" t="s">
        <v>230</v>
      </c>
      <c r="EI1074" s="1" t="s">
        <v>230</v>
      </c>
      <c r="EL1074" s="1" t="s">
        <v>670</v>
      </c>
      <c r="EM1074" s="1" t="s">
        <v>232</v>
      </c>
      <c r="EN1074" s="1" t="s">
        <v>282</v>
      </c>
      <c r="EO1074" s="1" t="s">
        <v>234</v>
      </c>
      <c r="EQ1074" s="1" t="s">
        <v>8017</v>
      </c>
      <c r="ER1074" s="1" t="s">
        <v>210</v>
      </c>
      <c r="ES1074" s="1" t="s">
        <v>322</v>
      </c>
      <c r="EW1074" s="1" t="s">
        <v>7034</v>
      </c>
      <c r="EZ1074" s="1" t="s">
        <v>287</v>
      </c>
      <c r="FC1074" s="1" t="s">
        <v>633</v>
      </c>
      <c r="FD1074" s="1" t="s">
        <v>1112</v>
      </c>
      <c r="FE1074" s="1" t="s">
        <v>247</v>
      </c>
      <c r="FF1074" s="1" t="s">
        <v>248</v>
      </c>
      <c r="FH1074" s="1" t="s">
        <v>1428</v>
      </c>
      <c r="FL1074" s="1" t="s">
        <v>414</v>
      </c>
      <c r="FM1074" s="1" t="s">
        <v>252</v>
      </c>
      <c r="FN1074" s="1" t="s">
        <v>213</v>
      </c>
      <c r="FO1074" s="1" t="s">
        <v>213</v>
      </c>
      <c r="FQ1074" s="1" t="s">
        <v>6847</v>
      </c>
      <c r="FR1074" s="1" t="s">
        <v>210</v>
      </c>
      <c r="FS1074" s="1" t="s">
        <v>2459</v>
      </c>
      <c r="FT1074" s="1" t="s">
        <v>295</v>
      </c>
      <c r="FU1074" s="1" t="s">
        <v>204</v>
      </c>
      <c r="FW1074" s="1" t="s">
        <v>11437</v>
      </c>
      <c r="FX1074" s="1">
        <v>84340</v>
      </c>
      <c r="FY1074" s="1" t="s">
        <v>11438</v>
      </c>
      <c r="FZ1074" s="1" t="s">
        <v>11439</v>
      </c>
      <c r="GA1074" s="1">
        <v>108645</v>
      </c>
      <c r="GB1074" s="1" t="s">
        <v>11438</v>
      </c>
      <c r="GE1074" s="1" t="s">
        <v>2504</v>
      </c>
      <c r="GH1074" s="1" t="s">
        <v>421</v>
      </c>
      <c r="GI1074" s="1" t="s">
        <v>204</v>
      </c>
      <c r="GJ1074" s="1" t="s">
        <v>260</v>
      </c>
      <c r="GK1074" s="1" t="s">
        <v>210</v>
      </c>
      <c r="GL1074" s="2">
        <v>42141</v>
      </c>
      <c r="GM1074" s="1" t="s">
        <v>11440</v>
      </c>
    </row>
    <row r="1075" spans="1:195">
      <c r="A1075" s="1">
        <v>60000</v>
      </c>
      <c r="B1075" s="1" t="s">
        <v>195</v>
      </c>
      <c r="C1075" s="1" t="str">
        <f>"08840399"</f>
        <v>08840399</v>
      </c>
      <c r="D1075" s="1" t="s">
        <v>196</v>
      </c>
      <c r="F1075" s="1" t="str">
        <f>"8042"</f>
        <v>8042</v>
      </c>
      <c r="G1075" s="2">
        <v>42052</v>
      </c>
      <c r="H1075" s="1">
        <v>68000</v>
      </c>
      <c r="I1075" s="1">
        <v>68000</v>
      </c>
      <c r="J1075" s="1">
        <v>60000</v>
      </c>
      <c r="K1075" s="2">
        <v>42050</v>
      </c>
      <c r="L1075" s="1">
        <v>18</v>
      </c>
      <c r="M1075" s="2">
        <v>42067</v>
      </c>
      <c r="N1075" s="1">
        <v>18</v>
      </c>
      <c r="O1075" s="2">
        <v>42067</v>
      </c>
      <c r="P1075" s="1" t="s">
        <v>1039</v>
      </c>
      <c r="Q1075" s="1" t="s">
        <v>302</v>
      </c>
      <c r="R1075" s="2">
        <v>42075</v>
      </c>
      <c r="S1075" s="1">
        <v>99999</v>
      </c>
      <c r="U1075" s="1">
        <v>6608</v>
      </c>
      <c r="V1075" s="1" t="s">
        <v>6183</v>
      </c>
      <c r="W1075" s="1" t="s">
        <v>425</v>
      </c>
      <c r="X1075" s="1" t="s">
        <v>4376</v>
      </c>
      <c r="Y1075" s="1">
        <v>6</v>
      </c>
      <c r="Z1075" s="1" t="s">
        <v>249</v>
      </c>
      <c r="AA1075" s="1" t="s">
        <v>400</v>
      </c>
      <c r="AB1075" s="1">
        <v>60637</v>
      </c>
      <c r="AC1075" s="1">
        <v>4285</v>
      </c>
      <c r="AE1075" s="1" t="s">
        <v>6184</v>
      </c>
      <c r="AF1075" s="1">
        <v>2007</v>
      </c>
      <c r="AG1075" s="1" t="s">
        <v>204</v>
      </c>
      <c r="AH1075" s="1" t="s">
        <v>403</v>
      </c>
      <c r="AI1075" s="1" t="s">
        <v>310</v>
      </c>
      <c r="AJ1075" s="1" t="s">
        <v>404</v>
      </c>
      <c r="AL1075" s="1">
        <v>5</v>
      </c>
      <c r="AM1075" s="1">
        <v>2</v>
      </c>
      <c r="AN1075" s="1">
        <v>2</v>
      </c>
      <c r="AO1075" s="1">
        <v>0</v>
      </c>
      <c r="AP1075" s="1" t="s">
        <v>209</v>
      </c>
      <c r="AQ1075" s="1">
        <v>1</v>
      </c>
      <c r="AR1075" s="1" t="s">
        <v>210</v>
      </c>
      <c r="AS1075" s="1" t="s">
        <v>204</v>
      </c>
      <c r="AT1075" s="1" t="s">
        <v>271</v>
      </c>
      <c r="AV1075" s="1">
        <v>1</v>
      </c>
      <c r="AW1075" s="1" t="s">
        <v>204</v>
      </c>
      <c r="AX1075" s="1" t="s">
        <v>6185</v>
      </c>
      <c r="AZ1075" s="5">
        <v>2579.31</v>
      </c>
      <c r="BA1075" s="1">
        <v>2013</v>
      </c>
      <c r="BC1075" s="1">
        <v>0</v>
      </c>
      <c r="BE1075" s="1">
        <v>1200</v>
      </c>
      <c r="BF1075" s="1">
        <v>3</v>
      </c>
      <c r="BG1075" s="1">
        <v>0</v>
      </c>
      <c r="BL1075" s="1">
        <v>150</v>
      </c>
      <c r="BM1075" s="1" t="s">
        <v>204</v>
      </c>
      <c r="BN1075" s="1" t="s">
        <v>213</v>
      </c>
      <c r="BO1075" s="1">
        <v>50</v>
      </c>
      <c r="BP1075" s="1" t="s">
        <v>204</v>
      </c>
      <c r="BR1075" s="1" t="str">
        <f>"20231200441006"</f>
        <v>20231200441006</v>
      </c>
      <c r="BT1075" s="1" t="s">
        <v>6186</v>
      </c>
      <c r="BX1075" s="1">
        <v>299</v>
      </c>
      <c r="BY1075" s="1">
        <v>299</v>
      </c>
      <c r="BZ1075" s="1">
        <v>299</v>
      </c>
      <c r="CB1075" s="1" t="str">
        <f t="shared" si="830"/>
        <v>0</v>
      </c>
      <c r="CC1075" s="1" t="str">
        <f>"850"</f>
        <v>850</v>
      </c>
      <c r="CD1075" s="1">
        <v>0</v>
      </c>
      <c r="CE1075" s="1">
        <v>6608</v>
      </c>
      <c r="CG1075" s="1" t="s">
        <v>3913</v>
      </c>
      <c r="CH1075" s="1" t="s">
        <v>219</v>
      </c>
      <c r="CK1075" s="1" t="s">
        <v>3591</v>
      </c>
      <c r="CL1075" s="1" t="s">
        <v>219</v>
      </c>
      <c r="CO1075" s="1" t="s">
        <v>629</v>
      </c>
      <c r="CP1075" s="1" t="s">
        <v>219</v>
      </c>
      <c r="CS1075" s="1" t="s">
        <v>1107</v>
      </c>
      <c r="CT1075" s="1" t="s">
        <v>219</v>
      </c>
      <c r="CX1075" s="1" t="s">
        <v>224</v>
      </c>
      <c r="DB1075" s="1" t="s">
        <v>224</v>
      </c>
      <c r="DE1075" s="1" t="s">
        <v>1358</v>
      </c>
      <c r="DF1075" s="1" t="s">
        <v>219</v>
      </c>
      <c r="DJ1075" s="1" t="s">
        <v>224</v>
      </c>
      <c r="DS1075" s="1" t="s">
        <v>230</v>
      </c>
      <c r="DW1075" s="1" t="s">
        <v>230</v>
      </c>
      <c r="EA1075" s="1" t="s">
        <v>230</v>
      </c>
      <c r="EE1075" s="1" t="s">
        <v>230</v>
      </c>
      <c r="EI1075" s="1" t="s">
        <v>230</v>
      </c>
      <c r="EL1075" s="1" t="s">
        <v>491</v>
      </c>
      <c r="EM1075" s="1" t="s">
        <v>319</v>
      </c>
      <c r="EN1075" s="1" t="s">
        <v>282</v>
      </c>
      <c r="EO1075" s="1" t="s">
        <v>234</v>
      </c>
      <c r="EP1075" s="1" t="s">
        <v>1614</v>
      </c>
      <c r="ER1075" s="1" t="s">
        <v>210</v>
      </c>
      <c r="EV1075" s="1" t="s">
        <v>240</v>
      </c>
      <c r="EW1075" s="1" t="s">
        <v>937</v>
      </c>
      <c r="EZ1075" s="1" t="s">
        <v>287</v>
      </c>
      <c r="FB1075" s="1" t="s">
        <v>734</v>
      </c>
      <c r="FD1075" s="1" t="s">
        <v>246</v>
      </c>
      <c r="FE1075" s="1" t="s">
        <v>247</v>
      </c>
      <c r="FF1075" s="1" t="s">
        <v>387</v>
      </c>
      <c r="FH1075" s="1" t="s">
        <v>249</v>
      </c>
      <c r="FK1075" s="1" t="s">
        <v>291</v>
      </c>
      <c r="FL1075" s="1" t="s">
        <v>414</v>
      </c>
      <c r="FM1075" s="1" t="s">
        <v>252</v>
      </c>
      <c r="FN1075" s="1" t="s">
        <v>213</v>
      </c>
      <c r="FO1075" s="1" t="s">
        <v>213</v>
      </c>
      <c r="FQ1075" s="1" t="s">
        <v>3545</v>
      </c>
      <c r="FR1075" s="1" t="s">
        <v>210</v>
      </c>
      <c r="FS1075" s="1" t="s">
        <v>11441</v>
      </c>
      <c r="FT1075" s="1" t="s">
        <v>255</v>
      </c>
      <c r="FU1075" s="1" t="s">
        <v>204</v>
      </c>
      <c r="FW1075" s="1" t="s">
        <v>6189</v>
      </c>
      <c r="FX1075" s="1">
        <v>85481</v>
      </c>
      <c r="FY1075" s="1" t="s">
        <v>6190</v>
      </c>
      <c r="FZ1075" s="1" t="s">
        <v>6191</v>
      </c>
      <c r="GA1075" s="1">
        <v>144398</v>
      </c>
      <c r="GE1075" s="1" t="s">
        <v>210</v>
      </c>
      <c r="GH1075" s="1" t="s">
        <v>421</v>
      </c>
      <c r="GI1075" s="1" t="s">
        <v>213</v>
      </c>
      <c r="GJ1075" s="1" t="s">
        <v>300</v>
      </c>
      <c r="GK1075" s="1" t="s">
        <v>210</v>
      </c>
      <c r="GL1075" s="2">
        <v>42079</v>
      </c>
      <c r="GM1075" s="1" t="s">
        <v>11442</v>
      </c>
    </row>
    <row r="1076" spans="1:195">
      <c r="A1076" s="1">
        <v>177500</v>
      </c>
      <c r="B1076" s="1" t="s">
        <v>195</v>
      </c>
      <c r="C1076" s="1" t="str">
        <f>"08853968"</f>
        <v>08853968</v>
      </c>
      <c r="D1076" s="1" t="s">
        <v>196</v>
      </c>
      <c r="F1076" s="1" t="str">
        <f>"510"</f>
        <v>510</v>
      </c>
      <c r="G1076" s="2">
        <v>42068</v>
      </c>
      <c r="H1076" s="1">
        <v>182700</v>
      </c>
      <c r="I1076" s="1">
        <v>182700</v>
      </c>
      <c r="J1076" s="1">
        <v>177500</v>
      </c>
      <c r="K1076" s="2">
        <v>42068</v>
      </c>
      <c r="L1076" s="1">
        <v>10</v>
      </c>
      <c r="M1076" s="2">
        <v>42077</v>
      </c>
      <c r="N1076" s="1">
        <v>10</v>
      </c>
      <c r="O1076" s="2">
        <v>42077</v>
      </c>
      <c r="P1076" s="1">
        <v>771</v>
      </c>
      <c r="Q1076" s="1" t="s">
        <v>197</v>
      </c>
      <c r="R1076" s="2">
        <v>42118</v>
      </c>
      <c r="S1076" s="1">
        <v>796</v>
      </c>
      <c r="U1076" s="1">
        <v>1134</v>
      </c>
      <c r="V1076" s="1" t="s">
        <v>11443</v>
      </c>
      <c r="W1076" s="1" t="s">
        <v>725</v>
      </c>
      <c r="Y1076" s="1">
        <v>2</v>
      </c>
      <c r="Z1076" s="1" t="s">
        <v>200</v>
      </c>
      <c r="AA1076" s="1" t="s">
        <v>947</v>
      </c>
      <c r="AB1076" s="1">
        <v>60510</v>
      </c>
      <c r="AE1076" s="1" t="s">
        <v>11444</v>
      </c>
      <c r="AF1076" s="1">
        <v>1990</v>
      </c>
      <c r="AG1076" s="1" t="s">
        <v>204</v>
      </c>
      <c r="AH1076" s="1" t="s">
        <v>949</v>
      </c>
      <c r="AI1076" s="1" t="s">
        <v>665</v>
      </c>
      <c r="AJ1076" s="1" t="s">
        <v>949</v>
      </c>
      <c r="AL1076" s="1">
        <v>6</v>
      </c>
      <c r="AM1076" s="1">
        <v>2</v>
      </c>
      <c r="AN1076" s="1">
        <v>3</v>
      </c>
      <c r="AO1076" s="1">
        <v>0</v>
      </c>
      <c r="AP1076" s="1" t="s">
        <v>209</v>
      </c>
      <c r="AQ1076" s="1">
        <v>1</v>
      </c>
      <c r="AR1076" s="1" t="s">
        <v>209</v>
      </c>
      <c r="AS1076" s="1" t="s">
        <v>213</v>
      </c>
      <c r="AT1076" s="1" t="s">
        <v>211</v>
      </c>
      <c r="AU1076" s="1">
        <v>1</v>
      </c>
      <c r="AW1076" s="1" t="s">
        <v>204</v>
      </c>
      <c r="AX1076" s="1" t="s">
        <v>11445</v>
      </c>
      <c r="AZ1076" s="1">
        <v>5410.62</v>
      </c>
      <c r="BA1076" s="1">
        <v>2013</v>
      </c>
      <c r="BB1076" s="1" t="s">
        <v>599</v>
      </c>
      <c r="BE1076" s="1">
        <v>1314</v>
      </c>
      <c r="BF1076" s="1">
        <v>1</v>
      </c>
      <c r="BG1076" s="1">
        <v>1</v>
      </c>
      <c r="BL1076" s="1">
        <v>0</v>
      </c>
      <c r="BM1076" s="1" t="s">
        <v>204</v>
      </c>
      <c r="BN1076" s="1" t="s">
        <v>213</v>
      </c>
      <c r="BO1076" s="1">
        <v>999</v>
      </c>
      <c r="BP1076" s="1" t="s">
        <v>204</v>
      </c>
      <c r="BR1076" s="1" t="str">
        <f>"1221253014"</f>
        <v>1221253014</v>
      </c>
      <c r="BT1076" s="1" t="s">
        <v>11446</v>
      </c>
      <c r="BU1076" s="1" t="s">
        <v>11447</v>
      </c>
      <c r="BV1076" s="1" t="s">
        <v>6404</v>
      </c>
      <c r="BW1076" s="1" t="s">
        <v>6405</v>
      </c>
      <c r="BX1076" s="1">
        <v>101</v>
      </c>
      <c r="BY1076" s="1">
        <v>101</v>
      </c>
      <c r="BZ1076" s="1">
        <v>101</v>
      </c>
      <c r="CB1076" s="1" t="str">
        <f t="shared" ref="CB1076:CC1076" si="831">""</f>
        <v/>
      </c>
      <c r="CC1076" s="1" t="str">
        <f t="shared" si="831"/>
        <v/>
      </c>
      <c r="CG1076" s="1" t="s">
        <v>538</v>
      </c>
      <c r="CH1076" s="1" t="s">
        <v>219</v>
      </c>
      <c r="CI1076" s="1" t="s">
        <v>220</v>
      </c>
      <c r="CJ1076" s="1" t="s">
        <v>252</v>
      </c>
      <c r="CK1076" s="1" t="s">
        <v>2935</v>
      </c>
      <c r="CL1076" s="1" t="s">
        <v>219</v>
      </c>
      <c r="CM1076" s="1" t="s">
        <v>220</v>
      </c>
      <c r="CN1076" s="1" t="s">
        <v>252</v>
      </c>
      <c r="CO1076" s="1" t="s">
        <v>380</v>
      </c>
      <c r="CP1076" s="1" t="s">
        <v>219</v>
      </c>
      <c r="CQ1076" s="1" t="s">
        <v>220</v>
      </c>
      <c r="CR1076" s="1" t="s">
        <v>252</v>
      </c>
      <c r="CS1076" s="1" t="s">
        <v>1469</v>
      </c>
      <c r="CT1076" s="1" t="s">
        <v>219</v>
      </c>
      <c r="CU1076" s="1" t="s">
        <v>220</v>
      </c>
      <c r="CV1076" s="1" t="s">
        <v>252</v>
      </c>
      <c r="CX1076" s="1" t="s">
        <v>224</v>
      </c>
      <c r="DB1076" s="1" t="s">
        <v>224</v>
      </c>
      <c r="DE1076" s="1" t="s">
        <v>1045</v>
      </c>
      <c r="DF1076" s="1" t="s">
        <v>219</v>
      </c>
      <c r="DG1076" s="1" t="s">
        <v>342</v>
      </c>
      <c r="DH1076" s="1" t="s">
        <v>252</v>
      </c>
      <c r="DJ1076" s="1" t="s">
        <v>224</v>
      </c>
      <c r="DM1076" s="1" t="s">
        <v>934</v>
      </c>
      <c r="DR1076" s="1" t="s">
        <v>11448</v>
      </c>
      <c r="DS1076" s="1" t="s">
        <v>43</v>
      </c>
      <c r="DT1076" s="1" t="s">
        <v>220</v>
      </c>
      <c r="DU1076" s="1" t="s">
        <v>252</v>
      </c>
      <c r="DW1076" s="1" t="s">
        <v>230</v>
      </c>
      <c r="EA1076" s="1" t="s">
        <v>230</v>
      </c>
      <c r="EE1076" s="1" t="s">
        <v>230</v>
      </c>
      <c r="EI1076" s="1" t="s">
        <v>230</v>
      </c>
      <c r="EL1076" s="1" t="s">
        <v>382</v>
      </c>
      <c r="EM1076" s="1" t="s">
        <v>319</v>
      </c>
      <c r="EN1076" s="1" t="s">
        <v>282</v>
      </c>
      <c r="EO1076" s="1" t="s">
        <v>234</v>
      </c>
      <c r="EP1076" s="1" t="s">
        <v>210</v>
      </c>
      <c r="EQ1076" s="1" t="s">
        <v>284</v>
      </c>
      <c r="ER1076" s="1" t="s">
        <v>351</v>
      </c>
      <c r="ES1076" s="1" t="s">
        <v>322</v>
      </c>
      <c r="ET1076" s="1" t="s">
        <v>1752</v>
      </c>
      <c r="EV1076" s="1" t="s">
        <v>240</v>
      </c>
      <c r="EW1076" s="1" t="s">
        <v>210</v>
      </c>
      <c r="EY1076" s="1" t="s">
        <v>242</v>
      </c>
      <c r="EZ1076" s="1" t="s">
        <v>934</v>
      </c>
      <c r="FA1076" s="1" t="s">
        <v>11449</v>
      </c>
      <c r="FD1076" s="1" t="s">
        <v>246</v>
      </c>
      <c r="FE1076" s="1" t="s">
        <v>386</v>
      </c>
      <c r="FF1076" s="1" t="s">
        <v>248</v>
      </c>
      <c r="FG1076" s="1" t="s">
        <v>11450</v>
      </c>
      <c r="FH1076" s="1" t="s">
        <v>442</v>
      </c>
      <c r="FI1076" s="1" t="s">
        <v>473</v>
      </c>
      <c r="FJ1076" s="1" t="s">
        <v>518</v>
      </c>
      <c r="FL1076" s="1" t="s">
        <v>358</v>
      </c>
      <c r="FM1076" s="1" t="s">
        <v>252</v>
      </c>
      <c r="FN1076" s="1" t="s">
        <v>213</v>
      </c>
      <c r="FO1076" s="1" t="s">
        <v>213</v>
      </c>
      <c r="FQ1076" s="1" t="s">
        <v>1884</v>
      </c>
      <c r="FR1076" s="1" t="s">
        <v>210</v>
      </c>
      <c r="FS1076" s="1" t="s">
        <v>11451</v>
      </c>
      <c r="FT1076" s="1" t="s">
        <v>295</v>
      </c>
      <c r="FU1076" s="1" t="s">
        <v>204</v>
      </c>
      <c r="FW1076" s="1" t="s">
        <v>915</v>
      </c>
      <c r="FX1076" s="1">
        <v>23591</v>
      </c>
      <c r="FY1076" s="1" t="s">
        <v>1710</v>
      </c>
      <c r="FZ1076" s="1" t="s">
        <v>11452</v>
      </c>
      <c r="GA1076" s="1">
        <v>245649</v>
      </c>
      <c r="GB1076" s="1" t="s">
        <v>11453</v>
      </c>
      <c r="GC1076" s="1">
        <v>235512</v>
      </c>
      <c r="GD1076" s="1" t="s">
        <v>11454</v>
      </c>
      <c r="GE1076" s="1" t="s">
        <v>480</v>
      </c>
      <c r="GI1076" s="1" t="s">
        <v>213</v>
      </c>
      <c r="GJ1076" s="1" t="s">
        <v>260</v>
      </c>
      <c r="GK1076" s="1" t="s">
        <v>210</v>
      </c>
      <c r="GL1076" s="2">
        <v>42118</v>
      </c>
      <c r="GM1076" s="1" t="s">
        <v>11455</v>
      </c>
    </row>
    <row r="1077" spans="1:195">
      <c r="A1077" s="1">
        <v>67175</v>
      </c>
      <c r="B1077" s="1" t="s">
        <v>195</v>
      </c>
      <c r="C1077" s="1" t="str">
        <f>"08840146"</f>
        <v>08840146</v>
      </c>
      <c r="D1077" s="1" t="s">
        <v>196</v>
      </c>
      <c r="F1077" s="1" t="str">
        <f>"635"</f>
        <v>635</v>
      </c>
      <c r="G1077" s="2">
        <v>42052</v>
      </c>
      <c r="H1077" s="1">
        <v>74900</v>
      </c>
      <c r="I1077" s="1">
        <v>74900</v>
      </c>
      <c r="J1077" s="1">
        <v>67175</v>
      </c>
      <c r="K1077" s="2">
        <v>42052</v>
      </c>
      <c r="L1077" s="1">
        <v>10</v>
      </c>
      <c r="M1077" s="2">
        <v>42061</v>
      </c>
      <c r="N1077" s="1">
        <v>10</v>
      </c>
      <c r="O1077" s="2">
        <v>42061</v>
      </c>
      <c r="P1077" s="1">
        <v>14316</v>
      </c>
      <c r="Q1077" s="1" t="s">
        <v>302</v>
      </c>
      <c r="R1077" s="2">
        <v>42083</v>
      </c>
      <c r="S1077" s="1">
        <v>127880</v>
      </c>
      <c r="U1077" s="1">
        <v>39</v>
      </c>
      <c r="V1077" s="1" t="s">
        <v>11456</v>
      </c>
      <c r="W1077" s="1" t="s">
        <v>4046</v>
      </c>
      <c r="X1077" s="1" t="s">
        <v>5917</v>
      </c>
      <c r="Y1077" s="1">
        <v>8</v>
      </c>
      <c r="Z1077" s="1" t="s">
        <v>249</v>
      </c>
      <c r="AA1077" s="1" t="s">
        <v>2377</v>
      </c>
      <c r="AB1077" s="1">
        <v>60707</v>
      </c>
      <c r="AE1077" s="1" t="s">
        <v>11457</v>
      </c>
      <c r="AF1077" s="1">
        <v>1965</v>
      </c>
      <c r="AG1077" s="1" t="s">
        <v>213</v>
      </c>
      <c r="AH1077" s="1" t="s">
        <v>5686</v>
      </c>
      <c r="AI1077" s="1" t="s">
        <v>310</v>
      </c>
      <c r="AJ1077" s="1" t="s">
        <v>311</v>
      </c>
      <c r="AL1077" s="1">
        <v>4</v>
      </c>
      <c r="AM1077" s="1">
        <v>2</v>
      </c>
      <c r="AN1077" s="1">
        <v>1</v>
      </c>
      <c r="AO1077" s="1">
        <v>0</v>
      </c>
      <c r="AP1077" s="1" t="s">
        <v>210</v>
      </c>
      <c r="AR1077" s="1" t="s">
        <v>210</v>
      </c>
      <c r="AS1077" s="1" t="s">
        <v>204</v>
      </c>
      <c r="AT1077" s="1" t="s">
        <v>210</v>
      </c>
      <c r="AW1077" s="1" t="s">
        <v>204</v>
      </c>
      <c r="AX1077" s="1" t="s">
        <v>212</v>
      </c>
      <c r="AZ1077" s="1">
        <v>2344.52</v>
      </c>
      <c r="BA1077" s="1">
        <v>2012</v>
      </c>
      <c r="BB1077" s="1" t="s">
        <v>405</v>
      </c>
      <c r="BE1077" s="1">
        <v>0</v>
      </c>
      <c r="BF1077" s="1">
        <v>1</v>
      </c>
      <c r="BG1077" s="1">
        <v>1</v>
      </c>
      <c r="BL1077" s="1">
        <v>270</v>
      </c>
      <c r="BM1077" s="1" t="s">
        <v>204</v>
      </c>
      <c r="BN1077" s="1" t="s">
        <v>204</v>
      </c>
      <c r="BP1077" s="1" t="s">
        <v>204</v>
      </c>
      <c r="BR1077" s="1" t="str">
        <f>"12253140511003"</f>
        <v>12253140511003</v>
      </c>
      <c r="BT1077" s="1" t="s">
        <v>11458</v>
      </c>
      <c r="BX1077" s="1">
        <v>401</v>
      </c>
      <c r="BY1077" s="1">
        <v>401</v>
      </c>
      <c r="BZ1077" s="1">
        <v>401</v>
      </c>
      <c r="CB1077" s="1" t="str">
        <f t="shared" ref="CB1077:CC1077" si="832">""</f>
        <v/>
      </c>
      <c r="CC1077" s="1" t="str">
        <f t="shared" si="832"/>
        <v/>
      </c>
      <c r="CG1077" s="1" t="s">
        <v>437</v>
      </c>
      <c r="CH1077" s="1" t="s">
        <v>219</v>
      </c>
      <c r="CI1077" s="1" t="s">
        <v>438</v>
      </c>
      <c r="CK1077" s="1" t="s">
        <v>346</v>
      </c>
      <c r="CL1077" s="1" t="s">
        <v>219</v>
      </c>
      <c r="CM1077" s="1" t="s">
        <v>438</v>
      </c>
      <c r="CP1077" s="1" t="s">
        <v>224</v>
      </c>
      <c r="CS1077" s="1" t="s">
        <v>786</v>
      </c>
      <c r="CT1077" s="1" t="s">
        <v>219</v>
      </c>
      <c r="CU1077" s="1" t="s">
        <v>438</v>
      </c>
      <c r="CX1077" s="1" t="s">
        <v>224</v>
      </c>
      <c r="DB1077" s="1" t="s">
        <v>224</v>
      </c>
      <c r="DE1077" s="1" t="s">
        <v>317</v>
      </c>
      <c r="DF1077" s="1" t="s">
        <v>219</v>
      </c>
      <c r="DG1077" s="1" t="s">
        <v>342</v>
      </c>
      <c r="DJ1077" s="1" t="s">
        <v>224</v>
      </c>
      <c r="DS1077" s="1" t="s">
        <v>230</v>
      </c>
      <c r="DW1077" s="1" t="s">
        <v>230</v>
      </c>
      <c r="EA1077" s="1" t="s">
        <v>230</v>
      </c>
      <c r="EE1077" s="1" t="s">
        <v>230</v>
      </c>
      <c r="EI1077" s="1" t="s">
        <v>230</v>
      </c>
      <c r="EL1077" s="1" t="s">
        <v>605</v>
      </c>
      <c r="EM1077" s="1" t="s">
        <v>319</v>
      </c>
      <c r="EN1077" s="1" t="s">
        <v>731</v>
      </c>
      <c r="EO1077" s="1" t="s">
        <v>234</v>
      </c>
      <c r="EP1077" s="1" t="s">
        <v>4323</v>
      </c>
      <c r="ER1077" s="1" t="s">
        <v>210</v>
      </c>
      <c r="ES1077" s="1" t="s">
        <v>322</v>
      </c>
      <c r="EW1077" s="1" t="s">
        <v>713</v>
      </c>
      <c r="EZ1077" s="1" t="s">
        <v>287</v>
      </c>
      <c r="FB1077" s="1" t="s">
        <v>289</v>
      </c>
      <c r="FD1077" s="1" t="s">
        <v>1112</v>
      </c>
      <c r="FE1077" s="1" t="s">
        <v>247</v>
      </c>
      <c r="FF1077" s="1" t="s">
        <v>248</v>
      </c>
      <c r="FH1077" s="1" t="s">
        <v>249</v>
      </c>
      <c r="FL1077" s="1" t="s">
        <v>328</v>
      </c>
      <c r="FM1077" s="1" t="s">
        <v>252</v>
      </c>
      <c r="FN1077" s="1" t="s">
        <v>213</v>
      </c>
      <c r="FO1077" s="1" t="s">
        <v>213</v>
      </c>
      <c r="FQ1077" s="1" t="s">
        <v>10964</v>
      </c>
      <c r="FR1077" s="1" t="s">
        <v>652</v>
      </c>
      <c r="FS1077" s="1" t="s">
        <v>1429</v>
      </c>
      <c r="FT1077" s="1" t="s">
        <v>295</v>
      </c>
      <c r="FU1077" s="1" t="s">
        <v>204</v>
      </c>
      <c r="FW1077" s="1" t="s">
        <v>11459</v>
      </c>
      <c r="FX1077" s="1">
        <v>1408</v>
      </c>
      <c r="FY1077" s="1" t="s">
        <v>11460</v>
      </c>
      <c r="FZ1077" s="1" t="s">
        <v>11461</v>
      </c>
      <c r="GA1077" s="1">
        <v>83196</v>
      </c>
      <c r="GB1077" s="1" t="s">
        <v>11462</v>
      </c>
      <c r="GC1077" s="1">
        <v>84246</v>
      </c>
      <c r="GD1077" s="1" t="s">
        <v>11463</v>
      </c>
      <c r="GE1077" s="1" t="s">
        <v>210</v>
      </c>
      <c r="GH1077" s="1" t="s">
        <v>589</v>
      </c>
      <c r="GI1077" s="1" t="s">
        <v>213</v>
      </c>
      <c r="GJ1077" s="1" t="s">
        <v>260</v>
      </c>
      <c r="GK1077" s="1" t="s">
        <v>210</v>
      </c>
      <c r="GL1077" s="2">
        <v>42083</v>
      </c>
      <c r="GM1077" s="1" t="s">
        <v>11464</v>
      </c>
    </row>
    <row r="1078" spans="1:195">
      <c r="A1078" s="1">
        <v>131000</v>
      </c>
      <c r="B1078" s="1" t="s">
        <v>195</v>
      </c>
      <c r="C1078" s="1" t="str">
        <f>"08842225"</f>
        <v>08842225</v>
      </c>
      <c r="D1078" s="1" t="s">
        <v>196</v>
      </c>
      <c r="F1078" s="1" t="str">
        <f>"31"</f>
        <v>31</v>
      </c>
      <c r="G1078" s="2">
        <v>42054</v>
      </c>
      <c r="H1078" s="1">
        <v>146900</v>
      </c>
      <c r="I1078" s="1">
        <v>134500</v>
      </c>
      <c r="J1078" s="1">
        <v>131000</v>
      </c>
      <c r="K1078" s="2">
        <v>42053</v>
      </c>
      <c r="L1078" s="1">
        <v>50</v>
      </c>
      <c r="M1078" s="2">
        <v>42102</v>
      </c>
      <c r="N1078" s="1">
        <v>50</v>
      </c>
      <c r="O1078" s="2">
        <v>42102</v>
      </c>
      <c r="P1078" s="1">
        <v>2643</v>
      </c>
      <c r="Q1078" s="1" t="s">
        <v>423</v>
      </c>
      <c r="R1078" s="2">
        <v>42150</v>
      </c>
      <c r="S1078" s="1">
        <v>12693</v>
      </c>
      <c r="T1078" s="1">
        <v>4700</v>
      </c>
      <c r="U1078" s="1">
        <v>1830</v>
      </c>
      <c r="V1078" s="1" t="s">
        <v>6442</v>
      </c>
      <c r="W1078" s="1" t="s">
        <v>304</v>
      </c>
      <c r="Y1078" s="1">
        <v>6</v>
      </c>
      <c r="Z1078" s="1" t="s">
        <v>370</v>
      </c>
      <c r="AA1078" s="1" t="s">
        <v>1057</v>
      </c>
      <c r="AB1078" s="1">
        <v>60031</v>
      </c>
      <c r="AD1078" s="1" t="s">
        <v>11465</v>
      </c>
      <c r="AE1078" s="1" t="s">
        <v>11466</v>
      </c>
      <c r="AF1078" s="1">
        <v>1989</v>
      </c>
      <c r="AG1078" s="1" t="s">
        <v>204</v>
      </c>
      <c r="AH1078" s="1" t="s">
        <v>1060</v>
      </c>
      <c r="AI1078" s="1" t="s">
        <v>509</v>
      </c>
      <c r="AJ1078" s="1" t="s">
        <v>1061</v>
      </c>
      <c r="AL1078" s="1">
        <v>6</v>
      </c>
      <c r="AM1078" s="1">
        <v>2</v>
      </c>
      <c r="AN1078" s="1">
        <v>2</v>
      </c>
      <c r="AO1078" s="1">
        <v>1</v>
      </c>
      <c r="AP1078" s="1" t="s">
        <v>209</v>
      </c>
      <c r="AQ1078" s="1">
        <v>1</v>
      </c>
      <c r="AR1078" s="1" t="s">
        <v>210</v>
      </c>
      <c r="AT1078" s="1" t="s">
        <v>211</v>
      </c>
      <c r="AU1078" s="1">
        <v>1</v>
      </c>
      <c r="AW1078" s="1" t="s">
        <v>204</v>
      </c>
      <c r="AX1078" s="1" t="s">
        <v>11467</v>
      </c>
      <c r="AZ1078" s="1">
        <v>3455.24</v>
      </c>
      <c r="BA1078" s="1">
        <v>2013</v>
      </c>
      <c r="BB1078" s="1" t="s">
        <v>405</v>
      </c>
      <c r="BE1078" s="1">
        <v>1556</v>
      </c>
      <c r="BF1078" s="1">
        <v>1</v>
      </c>
      <c r="BG1078" s="1">
        <v>0</v>
      </c>
      <c r="BL1078" s="1">
        <v>195</v>
      </c>
      <c r="BM1078" s="1" t="s">
        <v>204</v>
      </c>
      <c r="BN1078" s="1" t="s">
        <v>213</v>
      </c>
      <c r="BO1078" s="1">
        <v>0</v>
      </c>
      <c r="BP1078" s="1" t="s">
        <v>204</v>
      </c>
      <c r="BR1078" s="1" t="str">
        <f>"07094060280000"</f>
        <v>07094060280000</v>
      </c>
      <c r="BT1078" s="1" t="s">
        <v>11468</v>
      </c>
      <c r="BU1078" s="1" t="s">
        <v>1064</v>
      </c>
      <c r="BV1078" s="1" t="s">
        <v>1065</v>
      </c>
      <c r="BW1078" s="1" t="s">
        <v>1066</v>
      </c>
      <c r="BX1078" s="1">
        <v>50</v>
      </c>
      <c r="BY1078" s="1">
        <v>50</v>
      </c>
      <c r="BZ1078" s="1">
        <v>121</v>
      </c>
      <c r="CB1078" s="1" t="str">
        <f>"36"</f>
        <v>36</v>
      </c>
      <c r="CC1078" s="1" t="str">
        <f>"0"</f>
        <v>0</v>
      </c>
      <c r="CD1078" s="1">
        <v>16</v>
      </c>
      <c r="CE1078" s="1">
        <v>0</v>
      </c>
      <c r="CG1078" s="1" t="s">
        <v>581</v>
      </c>
      <c r="CH1078" s="1" t="s">
        <v>219</v>
      </c>
      <c r="CI1078" s="1" t="s">
        <v>229</v>
      </c>
      <c r="CK1078" s="1" t="s">
        <v>315</v>
      </c>
      <c r="CL1078" s="1" t="s">
        <v>277</v>
      </c>
      <c r="CM1078" s="1" t="s">
        <v>220</v>
      </c>
      <c r="CO1078" s="1" t="s">
        <v>409</v>
      </c>
      <c r="CP1078" s="1" t="s">
        <v>219</v>
      </c>
      <c r="CQ1078" s="1" t="s">
        <v>229</v>
      </c>
      <c r="CS1078" s="1" t="s">
        <v>317</v>
      </c>
      <c r="CT1078" s="1" t="s">
        <v>277</v>
      </c>
      <c r="CU1078" s="1" t="s">
        <v>220</v>
      </c>
      <c r="CX1078" s="1" t="s">
        <v>224</v>
      </c>
      <c r="DB1078" s="1" t="s">
        <v>224</v>
      </c>
      <c r="DE1078" s="1" t="s">
        <v>3072</v>
      </c>
      <c r="DF1078" s="1" t="s">
        <v>219</v>
      </c>
      <c r="DG1078" s="1" t="s">
        <v>226</v>
      </c>
      <c r="DJ1078" s="1" t="s">
        <v>224</v>
      </c>
      <c r="DM1078" s="1" t="s">
        <v>464</v>
      </c>
      <c r="DR1078" s="1" t="s">
        <v>1133</v>
      </c>
      <c r="DS1078" s="1" t="s">
        <v>277</v>
      </c>
      <c r="DT1078" s="1" t="s">
        <v>220</v>
      </c>
      <c r="DW1078" s="1" t="s">
        <v>230</v>
      </c>
      <c r="EA1078" s="1" t="s">
        <v>230</v>
      </c>
      <c r="EE1078" s="1" t="s">
        <v>230</v>
      </c>
      <c r="EI1078" s="1" t="s">
        <v>230</v>
      </c>
      <c r="EL1078" s="1" t="s">
        <v>542</v>
      </c>
      <c r="EM1078" s="1" t="s">
        <v>319</v>
      </c>
      <c r="EN1078" s="1" t="s">
        <v>282</v>
      </c>
      <c r="EO1078" s="1" t="s">
        <v>234</v>
      </c>
      <c r="ER1078" s="1" t="s">
        <v>210</v>
      </c>
      <c r="ES1078" s="1" t="s">
        <v>824</v>
      </c>
      <c r="EU1078" s="1" t="s">
        <v>239</v>
      </c>
      <c r="EW1078" s="1" t="s">
        <v>210</v>
      </c>
      <c r="EZ1078" s="1" t="s">
        <v>464</v>
      </c>
      <c r="FA1078" s="1" t="s">
        <v>1072</v>
      </c>
      <c r="FC1078" s="1" t="s">
        <v>1386</v>
      </c>
      <c r="FD1078" s="1" t="s">
        <v>246</v>
      </c>
      <c r="FE1078" s="1" t="s">
        <v>247</v>
      </c>
      <c r="FF1078" s="1" t="s">
        <v>248</v>
      </c>
      <c r="FG1078" s="1" t="s">
        <v>939</v>
      </c>
      <c r="FH1078" s="1" t="s">
        <v>550</v>
      </c>
      <c r="FL1078" s="1" t="s">
        <v>414</v>
      </c>
      <c r="FM1078" s="1" t="s">
        <v>252</v>
      </c>
      <c r="FN1078" s="1" t="s">
        <v>213</v>
      </c>
      <c r="FO1078" s="1" t="s">
        <v>213</v>
      </c>
      <c r="FQ1078" s="1" t="s">
        <v>582</v>
      </c>
      <c r="FR1078" s="1" t="s">
        <v>210</v>
      </c>
      <c r="FS1078" s="1" t="s">
        <v>1805</v>
      </c>
      <c r="FT1078" s="1" t="s">
        <v>11469</v>
      </c>
      <c r="FU1078" s="1" t="s">
        <v>204</v>
      </c>
      <c r="FW1078" s="1" t="s">
        <v>1806</v>
      </c>
      <c r="FX1078" s="1">
        <v>25196</v>
      </c>
      <c r="FY1078" s="1" t="s">
        <v>1807</v>
      </c>
      <c r="FZ1078" s="1" t="s">
        <v>1808</v>
      </c>
      <c r="GA1078" s="1">
        <v>214545</v>
      </c>
      <c r="GB1078" s="1" t="s">
        <v>1807</v>
      </c>
      <c r="GC1078" s="1">
        <v>232216</v>
      </c>
      <c r="GE1078" s="1" t="s">
        <v>480</v>
      </c>
      <c r="GI1078" s="1" t="s">
        <v>213</v>
      </c>
      <c r="GJ1078" s="1" t="s">
        <v>260</v>
      </c>
      <c r="GK1078" s="1" t="s">
        <v>210</v>
      </c>
      <c r="GL1078" s="2">
        <v>42150</v>
      </c>
      <c r="GM1078" s="1" t="s">
        <v>11470</v>
      </c>
    </row>
    <row r="1079" spans="1:195">
      <c r="A1079" s="1">
        <v>205000</v>
      </c>
      <c r="B1079" s="1" t="s">
        <v>195</v>
      </c>
      <c r="C1079" s="1" t="str">
        <f>"08841123"</f>
        <v>08841123</v>
      </c>
      <c r="D1079" s="1" t="s">
        <v>196</v>
      </c>
      <c r="F1079" s="1" t="str">
        <f>"148"</f>
        <v>148</v>
      </c>
      <c r="G1079" s="2">
        <v>42053</v>
      </c>
      <c r="H1079" s="1">
        <v>216900</v>
      </c>
      <c r="I1079" s="1">
        <v>216900</v>
      </c>
      <c r="J1079" s="1">
        <v>205000</v>
      </c>
      <c r="K1079" s="2">
        <v>42053</v>
      </c>
      <c r="L1079" s="1">
        <v>68</v>
      </c>
      <c r="M1079" s="2">
        <v>42073</v>
      </c>
      <c r="N1079" s="1">
        <v>68</v>
      </c>
      <c r="O1079" s="2">
        <v>42073</v>
      </c>
      <c r="P1079" s="1">
        <v>25089</v>
      </c>
      <c r="Q1079" s="1" t="s">
        <v>197</v>
      </c>
      <c r="R1079" s="2">
        <v>42117</v>
      </c>
      <c r="S1079" s="1">
        <v>225337</v>
      </c>
      <c r="U1079" s="1">
        <v>2085</v>
      </c>
      <c r="V1079" s="1" t="s">
        <v>2662</v>
      </c>
      <c r="W1079" s="1" t="s">
        <v>425</v>
      </c>
      <c r="X1079" s="1">
        <v>2085</v>
      </c>
      <c r="Y1079" s="1">
        <v>6</v>
      </c>
      <c r="Z1079" s="1" t="s">
        <v>200</v>
      </c>
      <c r="AA1079" s="1" t="s">
        <v>1927</v>
      </c>
      <c r="AB1079" s="1">
        <v>60148</v>
      </c>
      <c r="AD1079" s="1" t="s">
        <v>11471</v>
      </c>
      <c r="AE1079" s="1" t="s">
        <v>11472</v>
      </c>
      <c r="AF1079" s="1">
        <v>1996</v>
      </c>
      <c r="AG1079" s="1" t="s">
        <v>204</v>
      </c>
      <c r="AH1079" s="1" t="s">
        <v>1930</v>
      </c>
      <c r="AI1079" s="1" t="s">
        <v>206</v>
      </c>
      <c r="AJ1079" s="1" t="s">
        <v>1608</v>
      </c>
      <c r="AK1079" s="1" t="s">
        <v>4117</v>
      </c>
      <c r="AL1079" s="1">
        <v>9</v>
      </c>
      <c r="AM1079" s="1">
        <v>2</v>
      </c>
      <c r="AN1079" s="1">
        <v>2</v>
      </c>
      <c r="AO1079" s="1">
        <v>1</v>
      </c>
      <c r="AP1079" s="1" t="s">
        <v>209</v>
      </c>
      <c r="AQ1079" s="1">
        <v>0</v>
      </c>
      <c r="AR1079" s="1" t="s">
        <v>2275</v>
      </c>
      <c r="AS1079" s="1" t="s">
        <v>204</v>
      </c>
      <c r="AT1079" s="1" t="s">
        <v>211</v>
      </c>
      <c r="AU1079" s="1">
        <v>1</v>
      </c>
      <c r="AW1079" s="1" t="s">
        <v>204</v>
      </c>
      <c r="AX1079" s="1" t="s">
        <v>212</v>
      </c>
      <c r="AZ1079" s="1">
        <v>4611</v>
      </c>
      <c r="BA1079" s="1">
        <v>2013</v>
      </c>
      <c r="BB1079" s="1" t="s">
        <v>405</v>
      </c>
      <c r="BE1079" s="1">
        <v>0</v>
      </c>
      <c r="BF1079" s="1">
        <v>1</v>
      </c>
      <c r="BG1079" s="1">
        <v>7</v>
      </c>
      <c r="BJ1079" s="1">
        <v>100</v>
      </c>
      <c r="BL1079" s="1">
        <v>176</v>
      </c>
      <c r="BM1079" s="1" t="s">
        <v>204</v>
      </c>
      <c r="BN1079" s="1" t="s">
        <v>213</v>
      </c>
      <c r="BO1079" s="1">
        <v>999</v>
      </c>
      <c r="BP1079" s="1" t="s">
        <v>204</v>
      </c>
      <c r="BR1079" s="1" t="str">
        <f>"0619412047"</f>
        <v>0619412047</v>
      </c>
      <c r="BT1079" s="1" t="s">
        <v>11473</v>
      </c>
      <c r="BU1079" s="1" t="s">
        <v>1933</v>
      </c>
      <c r="BV1079" s="1" t="s">
        <v>1934</v>
      </c>
      <c r="BW1079" s="1" t="s">
        <v>1935</v>
      </c>
      <c r="BX1079" s="1">
        <v>44</v>
      </c>
      <c r="BY1079" s="1">
        <v>44</v>
      </c>
      <c r="BZ1079" s="1">
        <v>87</v>
      </c>
      <c r="CB1079" s="1" t="str">
        <f t="shared" ref="CB1079:CC1079" si="833">"0"</f>
        <v>0</v>
      </c>
      <c r="CC1079" s="1" t="str">
        <f t="shared" si="833"/>
        <v>0</v>
      </c>
      <c r="CD1079" s="1">
        <v>20</v>
      </c>
      <c r="CE1079" s="1">
        <v>1</v>
      </c>
      <c r="CG1079" s="1" t="s">
        <v>278</v>
      </c>
      <c r="CH1079" s="1" t="s">
        <v>219</v>
      </c>
      <c r="CI1079" s="1" t="s">
        <v>438</v>
      </c>
      <c r="CK1079" s="1" t="s">
        <v>278</v>
      </c>
      <c r="CL1079" s="1" t="s">
        <v>277</v>
      </c>
      <c r="CM1079" s="1" t="s">
        <v>438</v>
      </c>
      <c r="CO1079" s="1" t="s">
        <v>951</v>
      </c>
      <c r="CP1079" s="1" t="s">
        <v>219</v>
      </c>
      <c r="CQ1079" s="1" t="s">
        <v>438</v>
      </c>
      <c r="CS1079" s="1" t="s">
        <v>344</v>
      </c>
      <c r="CT1079" s="1" t="s">
        <v>277</v>
      </c>
      <c r="CU1079" s="1" t="s">
        <v>438</v>
      </c>
      <c r="CX1079" s="1" t="s">
        <v>224</v>
      </c>
      <c r="DB1079" s="1" t="s">
        <v>224</v>
      </c>
      <c r="DE1079" s="1" t="s">
        <v>1571</v>
      </c>
      <c r="DF1079" s="1" t="s">
        <v>219</v>
      </c>
      <c r="DG1079" s="1" t="s">
        <v>4958</v>
      </c>
      <c r="DI1079" s="1" t="s">
        <v>1803</v>
      </c>
      <c r="DJ1079" s="1" t="s">
        <v>4450</v>
      </c>
      <c r="DK1079" s="1" t="s">
        <v>438</v>
      </c>
      <c r="DM1079" s="1" t="s">
        <v>1548</v>
      </c>
      <c r="DN1079" s="1" t="s">
        <v>411</v>
      </c>
      <c r="DO1079" s="1" t="s">
        <v>1005</v>
      </c>
      <c r="DR1079" s="1" t="s">
        <v>2308</v>
      </c>
      <c r="DS1079" s="1" t="s">
        <v>219</v>
      </c>
      <c r="DT1079" s="1" t="s">
        <v>438</v>
      </c>
      <c r="DV1079" s="1" t="s">
        <v>6174</v>
      </c>
      <c r="DW1079" s="1" t="s">
        <v>822</v>
      </c>
      <c r="DZ1079" s="1" t="s">
        <v>380</v>
      </c>
      <c r="EA1079" s="1" t="s">
        <v>822</v>
      </c>
      <c r="EB1079" s="1" t="s">
        <v>438</v>
      </c>
      <c r="EE1079" s="1" t="s">
        <v>230</v>
      </c>
      <c r="EI1079" s="1" t="s">
        <v>230</v>
      </c>
      <c r="EL1079" s="1" t="s">
        <v>670</v>
      </c>
      <c r="EM1079" s="1" t="s">
        <v>730</v>
      </c>
      <c r="EN1079" s="1" t="s">
        <v>282</v>
      </c>
      <c r="EO1079" s="1" t="s">
        <v>840</v>
      </c>
      <c r="EP1079" s="1" t="s">
        <v>11474</v>
      </c>
      <c r="EQ1079" s="1" t="s">
        <v>468</v>
      </c>
      <c r="ER1079" s="1" t="s">
        <v>544</v>
      </c>
      <c r="ES1079" s="1" t="s">
        <v>322</v>
      </c>
      <c r="EV1079" s="1" t="s">
        <v>240</v>
      </c>
      <c r="EW1079" s="1" t="s">
        <v>887</v>
      </c>
      <c r="EY1079" s="1" t="s">
        <v>790</v>
      </c>
      <c r="EZ1079" s="1" t="s">
        <v>11475</v>
      </c>
      <c r="FA1079" s="1" t="s">
        <v>9743</v>
      </c>
      <c r="FB1079" s="1" t="s">
        <v>1505</v>
      </c>
      <c r="FD1079" s="1" t="s">
        <v>246</v>
      </c>
      <c r="FE1079" s="1" t="s">
        <v>247</v>
      </c>
      <c r="FF1079" s="1" t="s">
        <v>248</v>
      </c>
      <c r="FH1079" s="1" t="s">
        <v>550</v>
      </c>
      <c r="FL1079" s="1" t="s">
        <v>358</v>
      </c>
      <c r="FM1079" s="1" t="s">
        <v>252</v>
      </c>
      <c r="FN1079" s="1" t="s">
        <v>213</v>
      </c>
      <c r="FO1079" s="1" t="s">
        <v>213</v>
      </c>
      <c r="FQ1079" s="1" t="s">
        <v>11476</v>
      </c>
      <c r="FR1079" s="1" t="s">
        <v>210</v>
      </c>
      <c r="FS1079" s="1" t="s">
        <v>11477</v>
      </c>
      <c r="FT1079" s="1" t="s">
        <v>362</v>
      </c>
      <c r="FU1079" s="1" t="s">
        <v>204</v>
      </c>
      <c r="FV1079" s="1" t="s">
        <v>11478</v>
      </c>
      <c r="FW1079" s="1" t="s">
        <v>1521</v>
      </c>
      <c r="FX1079" s="1">
        <v>16645</v>
      </c>
      <c r="FY1079" s="1" t="s">
        <v>1522</v>
      </c>
      <c r="FZ1079" s="1" t="s">
        <v>1523</v>
      </c>
      <c r="GA1079" s="1">
        <v>144314</v>
      </c>
      <c r="GB1079" s="1" t="s">
        <v>1522</v>
      </c>
      <c r="GD1079" s="1">
        <v>144314</v>
      </c>
      <c r="GE1079" s="1" t="s">
        <v>210</v>
      </c>
      <c r="GH1079" s="1" t="s">
        <v>421</v>
      </c>
      <c r="GI1079" s="1" t="s">
        <v>204</v>
      </c>
      <c r="GJ1079" s="1" t="s">
        <v>300</v>
      </c>
      <c r="GK1079" s="1" t="s">
        <v>210</v>
      </c>
      <c r="GL1079" s="2">
        <v>42120</v>
      </c>
      <c r="GM1079" s="1" t="s">
        <v>11479</v>
      </c>
    </row>
    <row r="1080" spans="1:195">
      <c r="A1080" s="1">
        <v>180900</v>
      </c>
      <c r="B1080" s="1" t="s">
        <v>195</v>
      </c>
      <c r="C1080" s="1" t="str">
        <f>"08839406"</f>
        <v>08839406</v>
      </c>
      <c r="D1080" s="1" t="s">
        <v>196</v>
      </c>
      <c r="F1080" s="1" t="str">
        <f>"531"</f>
        <v>531</v>
      </c>
      <c r="G1080" s="2">
        <v>42051</v>
      </c>
      <c r="H1080" s="1">
        <v>184900</v>
      </c>
      <c r="I1080" s="1">
        <v>184900</v>
      </c>
      <c r="J1080" s="1">
        <v>180900</v>
      </c>
      <c r="K1080" s="2">
        <v>42050</v>
      </c>
      <c r="L1080" s="1">
        <v>7</v>
      </c>
      <c r="M1080" s="2">
        <v>42056</v>
      </c>
      <c r="N1080" s="1">
        <v>7</v>
      </c>
      <c r="O1080" s="2">
        <v>42056</v>
      </c>
      <c r="P1080" s="1">
        <v>22049</v>
      </c>
      <c r="Q1080" s="1" t="s">
        <v>197</v>
      </c>
      <c r="R1080" s="2">
        <v>42109</v>
      </c>
      <c r="S1080" s="1">
        <v>223474</v>
      </c>
      <c r="U1080" s="1">
        <v>129</v>
      </c>
      <c r="V1080" s="1" t="s">
        <v>6937</v>
      </c>
      <c r="W1080" s="1" t="s">
        <v>449</v>
      </c>
      <c r="X1080" s="1">
        <v>201</v>
      </c>
      <c r="Y1080" s="1">
        <v>48</v>
      </c>
      <c r="Z1080" s="1" t="s">
        <v>249</v>
      </c>
      <c r="AA1080" s="1" t="s">
        <v>2326</v>
      </c>
      <c r="AB1080" s="1">
        <v>60525</v>
      </c>
      <c r="AE1080" s="1" t="s">
        <v>11480</v>
      </c>
      <c r="AF1080" s="1" t="s">
        <v>402</v>
      </c>
      <c r="AG1080" s="1" t="s">
        <v>204</v>
      </c>
      <c r="AH1080" s="1" t="s">
        <v>2329</v>
      </c>
      <c r="AI1080" s="1" t="s">
        <v>310</v>
      </c>
      <c r="AJ1080" s="1" t="s">
        <v>702</v>
      </c>
      <c r="AL1080" s="1">
        <v>5</v>
      </c>
      <c r="AM1080" s="1">
        <v>2</v>
      </c>
      <c r="AN1080" s="1">
        <v>2</v>
      </c>
      <c r="AO1080" s="1">
        <v>0</v>
      </c>
      <c r="AP1080" s="1" t="s">
        <v>209</v>
      </c>
      <c r="AQ1080" s="1">
        <v>1</v>
      </c>
      <c r="AR1080" s="1" t="s">
        <v>210</v>
      </c>
      <c r="AS1080" s="1" t="s">
        <v>204</v>
      </c>
      <c r="AT1080" s="1" t="s">
        <v>211</v>
      </c>
      <c r="AU1080" s="1">
        <v>1</v>
      </c>
      <c r="AW1080" s="1" t="s">
        <v>204</v>
      </c>
      <c r="AX1080" s="1" t="s">
        <v>212</v>
      </c>
      <c r="AZ1080" s="1">
        <v>3367</v>
      </c>
      <c r="BA1080" s="1">
        <v>2013</v>
      </c>
      <c r="BE1080" s="1">
        <v>1715</v>
      </c>
      <c r="BF1080" s="1">
        <v>2</v>
      </c>
      <c r="BG1080" s="1">
        <v>30</v>
      </c>
      <c r="BL1080" s="1">
        <v>348</v>
      </c>
      <c r="BM1080" s="1" t="s">
        <v>204</v>
      </c>
      <c r="BN1080" s="1" t="s">
        <v>204</v>
      </c>
      <c r="BP1080" s="1" t="s">
        <v>204</v>
      </c>
      <c r="BR1080" s="1" t="str">
        <f>"18201000791059"</f>
        <v>18201000791059</v>
      </c>
      <c r="BT1080" s="1" t="s">
        <v>11481</v>
      </c>
      <c r="BU1080" s="1" t="s">
        <v>2495</v>
      </c>
      <c r="BV1080" s="1" t="s">
        <v>2496</v>
      </c>
      <c r="BW1080" s="1" t="s">
        <v>706</v>
      </c>
      <c r="BX1080" s="1">
        <v>106</v>
      </c>
      <c r="BY1080" s="1">
        <v>106</v>
      </c>
      <c r="BZ1080" s="1">
        <v>204</v>
      </c>
      <c r="CB1080" s="1" t="str">
        <f t="shared" ref="CB1080:CC1080" si="834">""</f>
        <v/>
      </c>
      <c r="CC1080" s="1" t="str">
        <f t="shared" si="834"/>
        <v/>
      </c>
      <c r="CG1080" s="1" t="s">
        <v>1995</v>
      </c>
      <c r="CH1080" s="1" t="s">
        <v>219</v>
      </c>
      <c r="CI1080" s="1" t="s">
        <v>220</v>
      </c>
      <c r="CJ1080" s="1" t="s">
        <v>343</v>
      </c>
      <c r="CK1080" s="1" t="s">
        <v>1853</v>
      </c>
      <c r="CL1080" s="1" t="s">
        <v>219</v>
      </c>
      <c r="CM1080" s="1" t="s">
        <v>220</v>
      </c>
      <c r="CN1080" s="1" t="s">
        <v>343</v>
      </c>
      <c r="CO1080" s="1" t="s">
        <v>932</v>
      </c>
      <c r="CP1080" s="1" t="s">
        <v>219</v>
      </c>
      <c r="CQ1080" s="1" t="s">
        <v>220</v>
      </c>
      <c r="CR1080" s="1" t="s">
        <v>210</v>
      </c>
      <c r="CS1080" s="1" t="s">
        <v>2170</v>
      </c>
      <c r="CT1080" s="1" t="s">
        <v>219</v>
      </c>
      <c r="CU1080" s="1" t="s">
        <v>220</v>
      </c>
      <c r="CV1080" s="1" t="s">
        <v>343</v>
      </c>
      <c r="CX1080" s="1" t="s">
        <v>224</v>
      </c>
      <c r="DB1080" s="1" t="s">
        <v>224</v>
      </c>
      <c r="DE1080" s="1" t="s">
        <v>11482</v>
      </c>
      <c r="DF1080" s="1" t="s">
        <v>219</v>
      </c>
      <c r="DG1080" s="1" t="s">
        <v>226</v>
      </c>
      <c r="DH1080" s="1" t="s">
        <v>343</v>
      </c>
      <c r="DJ1080" s="1" t="s">
        <v>224</v>
      </c>
      <c r="DM1080" s="1" t="s">
        <v>709</v>
      </c>
      <c r="DR1080" s="1" t="s">
        <v>410</v>
      </c>
      <c r="DS1080" s="1" t="s">
        <v>219</v>
      </c>
      <c r="DW1080" s="1" t="s">
        <v>230</v>
      </c>
      <c r="EA1080" s="1" t="s">
        <v>230</v>
      </c>
      <c r="EE1080" s="1" t="s">
        <v>230</v>
      </c>
      <c r="EI1080" s="1" t="s">
        <v>230</v>
      </c>
      <c r="EL1080" s="1" t="s">
        <v>542</v>
      </c>
      <c r="EM1080" s="1" t="s">
        <v>232</v>
      </c>
      <c r="EN1080" s="1" t="s">
        <v>282</v>
      </c>
      <c r="EO1080" s="1" t="s">
        <v>234</v>
      </c>
      <c r="ER1080" s="1" t="s">
        <v>210</v>
      </c>
      <c r="EW1080" s="1" t="s">
        <v>11483</v>
      </c>
      <c r="EZ1080" s="1" t="s">
        <v>709</v>
      </c>
      <c r="FB1080" s="1" t="s">
        <v>289</v>
      </c>
      <c r="FD1080" s="1" t="s">
        <v>1112</v>
      </c>
      <c r="FE1080" s="1" t="s">
        <v>247</v>
      </c>
      <c r="FF1080" s="1" t="s">
        <v>248</v>
      </c>
      <c r="FH1080" s="1" t="s">
        <v>249</v>
      </c>
      <c r="FL1080" s="1" t="s">
        <v>414</v>
      </c>
      <c r="FM1080" s="1" t="s">
        <v>252</v>
      </c>
      <c r="FN1080" s="1" t="s">
        <v>204</v>
      </c>
      <c r="FO1080" s="1" t="s">
        <v>213</v>
      </c>
      <c r="FQ1080" s="1" t="s">
        <v>11484</v>
      </c>
      <c r="FR1080" s="1" t="s">
        <v>210</v>
      </c>
      <c r="FS1080" s="1" t="s">
        <v>475</v>
      </c>
      <c r="FT1080" s="1" t="s">
        <v>295</v>
      </c>
      <c r="FU1080" s="1" t="s">
        <v>204</v>
      </c>
      <c r="FW1080" s="1" t="s">
        <v>915</v>
      </c>
      <c r="FX1080" s="1">
        <v>22049</v>
      </c>
      <c r="FY1080" s="1" t="s">
        <v>4731</v>
      </c>
      <c r="FZ1080" s="1" t="s">
        <v>11485</v>
      </c>
      <c r="GA1080" s="1">
        <v>223474</v>
      </c>
      <c r="GB1080" s="1" t="s">
        <v>11486</v>
      </c>
      <c r="GE1080" s="1" t="s">
        <v>4021</v>
      </c>
      <c r="GI1080" s="1" t="s">
        <v>213</v>
      </c>
      <c r="GJ1080" s="1" t="s">
        <v>260</v>
      </c>
      <c r="GK1080" s="1" t="s">
        <v>210</v>
      </c>
      <c r="GL1080" s="2">
        <v>42115</v>
      </c>
    </row>
    <row r="1081" spans="1:195">
      <c r="A1081" s="1">
        <v>173000</v>
      </c>
      <c r="B1081" s="1" t="s">
        <v>195</v>
      </c>
      <c r="C1081" s="1" t="str">
        <f>"08841508"</f>
        <v>08841508</v>
      </c>
      <c r="D1081" s="1" t="s">
        <v>196</v>
      </c>
      <c r="F1081" s="1" t="str">
        <f>"525"</f>
        <v>525</v>
      </c>
      <c r="G1081" s="2">
        <v>42053</v>
      </c>
      <c r="H1081" s="1">
        <v>184900</v>
      </c>
      <c r="I1081" s="1">
        <v>184900</v>
      </c>
      <c r="J1081" s="1">
        <v>173000</v>
      </c>
      <c r="K1081" s="2">
        <v>42052</v>
      </c>
      <c r="L1081" s="1">
        <v>45</v>
      </c>
      <c r="M1081" s="2">
        <v>42096</v>
      </c>
      <c r="N1081" s="1">
        <v>45</v>
      </c>
      <c r="O1081" s="2">
        <v>42096</v>
      </c>
      <c r="P1081" s="1">
        <v>22375</v>
      </c>
      <c r="Q1081" s="1" t="s">
        <v>197</v>
      </c>
      <c r="R1081" s="2">
        <v>42132</v>
      </c>
      <c r="S1081" s="1">
        <v>222265</v>
      </c>
      <c r="U1081" s="1">
        <v>141</v>
      </c>
      <c r="V1081" s="1" t="s">
        <v>1148</v>
      </c>
      <c r="W1081" s="1" t="s">
        <v>1056</v>
      </c>
      <c r="X1081" s="1">
        <v>203</v>
      </c>
      <c r="Y1081" s="1">
        <v>54</v>
      </c>
      <c r="Z1081" s="1" t="s">
        <v>370</v>
      </c>
      <c r="AA1081" s="1" t="s">
        <v>1148</v>
      </c>
      <c r="AB1081" s="1">
        <v>60525</v>
      </c>
      <c r="AE1081" s="1" t="s">
        <v>11487</v>
      </c>
      <c r="AF1081" s="1">
        <v>1964</v>
      </c>
      <c r="AG1081" s="1" t="s">
        <v>213</v>
      </c>
      <c r="AH1081" s="1" t="s">
        <v>1150</v>
      </c>
      <c r="AI1081" s="1" t="s">
        <v>310</v>
      </c>
      <c r="AJ1081" s="1" t="s">
        <v>702</v>
      </c>
      <c r="AL1081" s="1">
        <v>5</v>
      </c>
      <c r="AM1081" s="1">
        <v>2</v>
      </c>
      <c r="AN1081" s="1">
        <v>2</v>
      </c>
      <c r="AO1081" s="1">
        <v>0</v>
      </c>
      <c r="AP1081" s="1" t="s">
        <v>209</v>
      </c>
      <c r="AR1081" s="1" t="s">
        <v>210</v>
      </c>
      <c r="AS1081" s="1" t="s">
        <v>204</v>
      </c>
      <c r="AT1081" s="1" t="s">
        <v>271</v>
      </c>
      <c r="AV1081" s="1">
        <v>1</v>
      </c>
      <c r="AW1081" s="1" t="s">
        <v>204</v>
      </c>
      <c r="AX1081" s="1" t="s">
        <v>212</v>
      </c>
      <c r="AZ1081" s="1">
        <v>2456</v>
      </c>
      <c r="BA1081" s="1">
        <v>2013</v>
      </c>
      <c r="BB1081" s="1" t="s">
        <v>405</v>
      </c>
      <c r="BE1081" s="1">
        <v>1100</v>
      </c>
      <c r="BF1081" s="1">
        <v>2</v>
      </c>
      <c r="BG1081" s="1">
        <v>30</v>
      </c>
      <c r="BJ1081" s="1">
        <v>100</v>
      </c>
      <c r="BL1081" s="1">
        <v>317</v>
      </c>
      <c r="BM1081" s="1" t="s">
        <v>204</v>
      </c>
      <c r="BN1081" s="1" t="s">
        <v>204</v>
      </c>
      <c r="BP1081" s="1" t="s">
        <v>204</v>
      </c>
      <c r="BR1081" s="1" t="str">
        <f>"18042000381019"</f>
        <v>18042000381019</v>
      </c>
      <c r="BT1081" s="1" t="s">
        <v>11488</v>
      </c>
      <c r="BX1081" s="1">
        <v>102</v>
      </c>
      <c r="BY1081" s="1">
        <v>102</v>
      </c>
      <c r="BZ1081" s="1">
        <v>204</v>
      </c>
      <c r="CB1081" s="1" t="str">
        <f t="shared" ref="CB1081:CC1081" si="835">""</f>
        <v/>
      </c>
      <c r="CC1081" s="1" t="str">
        <f t="shared" si="835"/>
        <v/>
      </c>
      <c r="CG1081" s="1" t="s">
        <v>4556</v>
      </c>
      <c r="CH1081" s="1" t="s">
        <v>219</v>
      </c>
      <c r="CI1081" s="1" t="s">
        <v>229</v>
      </c>
      <c r="CJ1081" s="1" t="s">
        <v>463</v>
      </c>
      <c r="CK1081" s="1" t="s">
        <v>581</v>
      </c>
      <c r="CL1081" s="1" t="s">
        <v>219</v>
      </c>
      <c r="CM1081" s="1" t="s">
        <v>220</v>
      </c>
      <c r="CN1081" s="1" t="s">
        <v>463</v>
      </c>
      <c r="CO1081" s="1" t="s">
        <v>3318</v>
      </c>
      <c r="CP1081" s="1" t="s">
        <v>219</v>
      </c>
      <c r="CQ1081" s="1" t="s">
        <v>229</v>
      </c>
      <c r="CR1081" s="1" t="s">
        <v>210</v>
      </c>
      <c r="CS1081" s="1" t="s">
        <v>437</v>
      </c>
      <c r="CT1081" s="1" t="s">
        <v>219</v>
      </c>
      <c r="CU1081" s="1" t="s">
        <v>220</v>
      </c>
      <c r="CV1081" s="1" t="s">
        <v>463</v>
      </c>
      <c r="CX1081" s="1" t="s">
        <v>224</v>
      </c>
      <c r="DB1081" s="1" t="s">
        <v>224</v>
      </c>
      <c r="DE1081" s="1" t="s">
        <v>2982</v>
      </c>
      <c r="DF1081" s="1" t="s">
        <v>219</v>
      </c>
      <c r="DG1081" s="1" t="s">
        <v>229</v>
      </c>
      <c r="DH1081" s="1" t="s">
        <v>210</v>
      </c>
      <c r="DJ1081" s="1" t="s">
        <v>224</v>
      </c>
      <c r="DS1081" s="1" t="s">
        <v>230</v>
      </c>
      <c r="DW1081" s="1" t="s">
        <v>230</v>
      </c>
      <c r="EA1081" s="1" t="s">
        <v>230</v>
      </c>
      <c r="EE1081" s="1" t="s">
        <v>230</v>
      </c>
      <c r="EI1081" s="1" t="s">
        <v>230</v>
      </c>
      <c r="EL1081" s="1" t="s">
        <v>649</v>
      </c>
      <c r="EM1081" s="1" t="s">
        <v>232</v>
      </c>
      <c r="EN1081" s="1" t="s">
        <v>282</v>
      </c>
      <c r="EO1081" s="1" t="s">
        <v>234</v>
      </c>
      <c r="EP1081" s="1" t="s">
        <v>11489</v>
      </c>
      <c r="ER1081" s="1" t="s">
        <v>210</v>
      </c>
      <c r="EW1081" s="1" t="s">
        <v>937</v>
      </c>
      <c r="EY1081" s="1" t="s">
        <v>441</v>
      </c>
      <c r="EZ1081" s="1" t="s">
        <v>287</v>
      </c>
      <c r="FB1081" s="1" t="s">
        <v>734</v>
      </c>
      <c r="FC1081" s="1" t="s">
        <v>633</v>
      </c>
      <c r="FD1081" s="1" t="s">
        <v>1112</v>
      </c>
      <c r="FE1081" s="1" t="s">
        <v>247</v>
      </c>
      <c r="FF1081" s="1" t="s">
        <v>248</v>
      </c>
      <c r="FH1081" s="1" t="s">
        <v>2432</v>
      </c>
      <c r="FJ1081" s="1" t="s">
        <v>197</v>
      </c>
      <c r="FK1081" s="1" t="s">
        <v>291</v>
      </c>
      <c r="FL1081" s="1" t="s">
        <v>10258</v>
      </c>
      <c r="FM1081" s="1" t="s">
        <v>252</v>
      </c>
      <c r="FN1081" s="1" t="s">
        <v>213</v>
      </c>
      <c r="FO1081" s="1" t="s">
        <v>213</v>
      </c>
      <c r="FQ1081" s="1" t="s">
        <v>11490</v>
      </c>
      <c r="FR1081" s="1" t="s">
        <v>210</v>
      </c>
      <c r="FS1081" s="1" t="s">
        <v>2902</v>
      </c>
      <c r="FT1081" s="1" t="s">
        <v>295</v>
      </c>
      <c r="FU1081" s="1" t="s">
        <v>213</v>
      </c>
      <c r="FW1081" s="1" t="s">
        <v>4007</v>
      </c>
      <c r="FX1081" s="1">
        <v>21754</v>
      </c>
      <c r="FY1081" s="1" t="s">
        <v>4008</v>
      </c>
      <c r="FZ1081" s="1" t="s">
        <v>11491</v>
      </c>
      <c r="GA1081" s="1">
        <v>237722</v>
      </c>
      <c r="GB1081" s="1" t="s">
        <v>11492</v>
      </c>
      <c r="GE1081" s="1" t="s">
        <v>1333</v>
      </c>
      <c r="GH1081" s="1" t="s">
        <v>230</v>
      </c>
      <c r="GI1081" s="1" t="s">
        <v>213</v>
      </c>
      <c r="GJ1081" s="1" t="s">
        <v>260</v>
      </c>
      <c r="GK1081" s="1" t="s">
        <v>210</v>
      </c>
      <c r="GL1081" s="2">
        <v>42132</v>
      </c>
      <c r="GM1081" s="1" t="s">
        <v>11493</v>
      </c>
    </row>
    <row r="1082" spans="1:195">
      <c r="A1082" s="1">
        <v>35000</v>
      </c>
      <c r="B1082" s="1" t="s">
        <v>195</v>
      </c>
      <c r="C1082" s="1" t="str">
        <f>"08842099"</f>
        <v>08842099</v>
      </c>
      <c r="D1082" s="1" t="s">
        <v>196</v>
      </c>
      <c r="F1082" s="1" t="str">
        <f>"20"</f>
        <v>20</v>
      </c>
      <c r="G1082" s="2">
        <v>42054</v>
      </c>
      <c r="H1082" s="1">
        <v>42900</v>
      </c>
      <c r="I1082" s="1">
        <v>42900</v>
      </c>
      <c r="J1082" s="1">
        <v>35000</v>
      </c>
      <c r="K1082" s="2">
        <v>42052</v>
      </c>
      <c r="L1082" s="1">
        <v>9</v>
      </c>
      <c r="M1082" s="2">
        <v>42060</v>
      </c>
      <c r="N1082" s="1">
        <v>9</v>
      </c>
      <c r="O1082" s="2">
        <v>42060</v>
      </c>
      <c r="P1082" s="1">
        <v>30401</v>
      </c>
      <c r="Q1082" s="1" t="s">
        <v>302</v>
      </c>
      <c r="R1082" s="2">
        <v>42074</v>
      </c>
      <c r="S1082" s="1">
        <v>304018</v>
      </c>
      <c r="U1082" s="1">
        <v>15</v>
      </c>
      <c r="V1082" s="1" t="s">
        <v>11494</v>
      </c>
      <c r="X1082" s="1">
        <v>1</v>
      </c>
      <c r="Y1082" s="1">
        <v>7</v>
      </c>
      <c r="Z1082" s="1" t="s">
        <v>249</v>
      </c>
      <c r="AA1082" s="1" t="s">
        <v>592</v>
      </c>
      <c r="AB1082" s="1">
        <v>60020</v>
      </c>
      <c r="AD1082" s="1" t="s">
        <v>11495</v>
      </c>
      <c r="AE1082" s="1" t="s">
        <v>11496</v>
      </c>
      <c r="AF1082" s="1">
        <v>1970</v>
      </c>
      <c r="AG1082" s="1" t="s">
        <v>213</v>
      </c>
      <c r="AH1082" s="1" t="s">
        <v>595</v>
      </c>
      <c r="AI1082" s="1" t="s">
        <v>509</v>
      </c>
      <c r="AJ1082" s="1" t="s">
        <v>596</v>
      </c>
      <c r="AK1082" s="1" t="s">
        <v>11497</v>
      </c>
      <c r="AL1082" s="1">
        <v>5</v>
      </c>
      <c r="AM1082" s="1">
        <v>2</v>
      </c>
      <c r="AN1082" s="1">
        <v>1</v>
      </c>
      <c r="AO1082" s="1">
        <v>0</v>
      </c>
      <c r="AP1082" s="1" t="s">
        <v>210</v>
      </c>
      <c r="AQ1082" s="1">
        <v>0</v>
      </c>
      <c r="AR1082" s="1" t="s">
        <v>210</v>
      </c>
      <c r="AS1082" s="1" t="s">
        <v>204</v>
      </c>
      <c r="AT1082" s="1" t="s">
        <v>271</v>
      </c>
      <c r="AV1082" s="1">
        <v>2</v>
      </c>
      <c r="AW1082" s="1" t="s">
        <v>213</v>
      </c>
      <c r="AX1082" s="1" t="s">
        <v>212</v>
      </c>
      <c r="AZ1082" s="1">
        <v>977.34</v>
      </c>
      <c r="BA1082" s="1">
        <v>2013</v>
      </c>
      <c r="BB1082" s="1" t="s">
        <v>210</v>
      </c>
      <c r="BE1082" s="1">
        <v>690</v>
      </c>
      <c r="BF1082" s="1">
        <v>1</v>
      </c>
      <c r="BG1082" s="1">
        <v>7</v>
      </c>
      <c r="BL1082" s="1">
        <v>344</v>
      </c>
      <c r="BM1082" s="1" t="s">
        <v>204</v>
      </c>
      <c r="BN1082" s="1" t="s">
        <v>213</v>
      </c>
      <c r="BO1082" s="1">
        <v>80</v>
      </c>
      <c r="BP1082" s="1" t="s">
        <v>204</v>
      </c>
      <c r="BR1082" s="1" t="str">
        <f>"01331005340000"</f>
        <v>01331005340000</v>
      </c>
      <c r="BT1082" s="1" t="s">
        <v>11498</v>
      </c>
      <c r="BU1082" s="1" t="s">
        <v>2262</v>
      </c>
      <c r="BV1082" s="1" t="s">
        <v>2263</v>
      </c>
      <c r="BW1082" s="1" t="s">
        <v>2264</v>
      </c>
      <c r="BX1082" s="1">
        <v>114</v>
      </c>
      <c r="BY1082" s="1">
        <v>114</v>
      </c>
      <c r="BZ1082" s="1">
        <v>124</v>
      </c>
      <c r="CB1082" s="1" t="str">
        <f t="shared" ref="CB1082:CC1082" si="836">""</f>
        <v/>
      </c>
      <c r="CC1082" s="1" t="str">
        <f t="shared" si="836"/>
        <v/>
      </c>
      <c r="CG1082" s="1" t="s">
        <v>7335</v>
      </c>
      <c r="CH1082" s="1" t="s">
        <v>219</v>
      </c>
      <c r="CI1082" s="1" t="s">
        <v>229</v>
      </c>
      <c r="CJ1082" s="1" t="s">
        <v>463</v>
      </c>
      <c r="CK1082" s="1" t="s">
        <v>378</v>
      </c>
      <c r="CL1082" s="1" t="s">
        <v>277</v>
      </c>
      <c r="CM1082" s="1" t="s">
        <v>229</v>
      </c>
      <c r="CN1082" s="1" t="s">
        <v>463</v>
      </c>
      <c r="CO1082" s="1" t="s">
        <v>629</v>
      </c>
      <c r="CP1082" s="1" t="s">
        <v>219</v>
      </c>
      <c r="CQ1082" s="1" t="s">
        <v>229</v>
      </c>
      <c r="CR1082" s="1" t="s">
        <v>463</v>
      </c>
      <c r="CS1082" s="1" t="s">
        <v>408</v>
      </c>
      <c r="CT1082" s="1" t="s">
        <v>277</v>
      </c>
      <c r="CU1082" s="1" t="s">
        <v>229</v>
      </c>
      <c r="CV1082" s="1" t="s">
        <v>463</v>
      </c>
      <c r="CX1082" s="1" t="s">
        <v>224</v>
      </c>
      <c r="DB1082" s="1" t="s">
        <v>224</v>
      </c>
      <c r="DE1082" s="1" t="s">
        <v>7848</v>
      </c>
      <c r="DF1082" s="1" t="s">
        <v>219</v>
      </c>
      <c r="DG1082" s="1" t="s">
        <v>229</v>
      </c>
      <c r="DH1082" s="1" t="s">
        <v>210</v>
      </c>
      <c r="DJ1082" s="1" t="s">
        <v>224</v>
      </c>
      <c r="DM1082" s="1" t="s">
        <v>838</v>
      </c>
      <c r="DR1082" s="1" t="s">
        <v>11499</v>
      </c>
      <c r="DS1082" s="1" t="s">
        <v>277</v>
      </c>
      <c r="DT1082" s="1" t="s">
        <v>347</v>
      </c>
      <c r="DU1082" s="1" t="s">
        <v>210</v>
      </c>
      <c r="DW1082" s="1" t="s">
        <v>230</v>
      </c>
      <c r="EA1082" s="1" t="s">
        <v>230</v>
      </c>
      <c r="EE1082" s="1" t="s">
        <v>230</v>
      </c>
      <c r="EI1082" s="1" t="s">
        <v>230</v>
      </c>
      <c r="EL1082" s="1" t="s">
        <v>605</v>
      </c>
      <c r="EM1082" s="1" t="s">
        <v>319</v>
      </c>
      <c r="EN1082" s="1" t="s">
        <v>282</v>
      </c>
      <c r="EO1082" s="1" t="s">
        <v>234</v>
      </c>
      <c r="EP1082" s="1" t="s">
        <v>11500</v>
      </c>
      <c r="EQ1082" s="1" t="s">
        <v>11501</v>
      </c>
      <c r="ER1082" s="1" t="s">
        <v>210</v>
      </c>
      <c r="ES1082" s="1" t="s">
        <v>493</v>
      </c>
      <c r="EU1082" s="1" t="s">
        <v>11502</v>
      </c>
      <c r="EV1082" s="1" t="s">
        <v>240</v>
      </c>
      <c r="EW1082" s="1" t="s">
        <v>11503</v>
      </c>
      <c r="EY1082" s="1" t="s">
        <v>242</v>
      </c>
      <c r="EZ1082" s="1" t="s">
        <v>838</v>
      </c>
      <c r="FA1082" s="1" t="s">
        <v>1427</v>
      </c>
      <c r="FB1082" s="1" t="s">
        <v>244</v>
      </c>
      <c r="FC1082" s="1" t="s">
        <v>11504</v>
      </c>
      <c r="FD1082" s="1" t="s">
        <v>290</v>
      </c>
      <c r="FE1082" s="1" t="s">
        <v>889</v>
      </c>
      <c r="FF1082" s="1" t="s">
        <v>248</v>
      </c>
      <c r="FH1082" s="1" t="s">
        <v>249</v>
      </c>
      <c r="FK1082" s="1" t="s">
        <v>4663</v>
      </c>
      <c r="FL1082" s="1" t="s">
        <v>614</v>
      </c>
      <c r="FM1082" s="1" t="s">
        <v>252</v>
      </c>
      <c r="FN1082" s="1" t="s">
        <v>213</v>
      </c>
      <c r="FO1082" s="1" t="s">
        <v>213</v>
      </c>
      <c r="FQ1082" s="1" t="s">
        <v>11505</v>
      </c>
      <c r="FR1082" s="1" t="s">
        <v>210</v>
      </c>
      <c r="FS1082" s="1" t="s">
        <v>11506</v>
      </c>
      <c r="FT1082" s="1" t="s">
        <v>362</v>
      </c>
      <c r="FU1082" s="1" t="s">
        <v>204</v>
      </c>
      <c r="FW1082" s="1" t="s">
        <v>2269</v>
      </c>
      <c r="FX1082" s="1">
        <v>2424</v>
      </c>
      <c r="FY1082" s="1" t="s">
        <v>2270</v>
      </c>
      <c r="FZ1082" s="1" t="s">
        <v>2271</v>
      </c>
      <c r="GA1082" s="1">
        <v>923399</v>
      </c>
      <c r="GB1082" s="1" t="s">
        <v>2272</v>
      </c>
      <c r="GE1082" s="1" t="s">
        <v>1256</v>
      </c>
      <c r="GI1082" s="1" t="s">
        <v>213</v>
      </c>
      <c r="GJ1082" s="1" t="s">
        <v>260</v>
      </c>
      <c r="GK1082" s="1" t="s">
        <v>210</v>
      </c>
      <c r="GL1082" s="2">
        <v>42074</v>
      </c>
      <c r="GM1082" s="1" t="s">
        <v>11507</v>
      </c>
    </row>
    <row r="1083" spans="1:195">
      <c r="A1083" s="1">
        <v>200000</v>
      </c>
      <c r="B1083" s="1" t="s">
        <v>195</v>
      </c>
      <c r="C1083" s="1" t="str">
        <f>"08840914"</f>
        <v>08840914</v>
      </c>
      <c r="D1083" s="1" t="s">
        <v>196</v>
      </c>
      <c r="F1083" s="1" t="str">
        <f>"107"</f>
        <v>107</v>
      </c>
      <c r="G1083" s="2">
        <v>42052</v>
      </c>
      <c r="H1083" s="1">
        <v>215000</v>
      </c>
      <c r="I1083" s="1">
        <v>215000</v>
      </c>
      <c r="J1083" s="1">
        <v>200000</v>
      </c>
      <c r="K1083" s="2">
        <v>42052</v>
      </c>
      <c r="L1083" s="1">
        <v>26</v>
      </c>
      <c r="M1083" s="2">
        <v>42077</v>
      </c>
      <c r="N1083" s="1">
        <v>26</v>
      </c>
      <c r="O1083" s="2">
        <v>42077</v>
      </c>
      <c r="P1083" s="1">
        <v>24303</v>
      </c>
      <c r="Q1083" s="1" t="s">
        <v>197</v>
      </c>
      <c r="R1083" s="2">
        <v>42117</v>
      </c>
      <c r="S1083" s="1">
        <v>225726</v>
      </c>
      <c r="T1083" s="1">
        <v>6000</v>
      </c>
      <c r="U1083" s="1">
        <v>1515</v>
      </c>
      <c r="V1083" s="1" t="s">
        <v>11508</v>
      </c>
      <c r="W1083" s="1" t="s">
        <v>264</v>
      </c>
      <c r="Y1083" s="1">
        <v>2</v>
      </c>
      <c r="Z1083" s="1" t="s">
        <v>370</v>
      </c>
      <c r="AA1083" s="1" t="s">
        <v>1211</v>
      </c>
      <c r="AB1083" s="1">
        <v>60107</v>
      </c>
      <c r="AE1083" s="1" t="s">
        <v>11509</v>
      </c>
      <c r="AF1083" s="1">
        <v>1994</v>
      </c>
      <c r="AG1083" s="1" t="s">
        <v>204</v>
      </c>
      <c r="AH1083" s="1" t="s">
        <v>1214</v>
      </c>
      <c r="AI1083" s="1" t="s">
        <v>310</v>
      </c>
      <c r="AJ1083" s="1" t="s">
        <v>374</v>
      </c>
      <c r="AL1083" s="1">
        <v>7</v>
      </c>
      <c r="AM1083" s="1">
        <v>2</v>
      </c>
      <c r="AN1083" s="1">
        <v>2</v>
      </c>
      <c r="AO1083" s="1">
        <v>1</v>
      </c>
      <c r="AP1083" s="1" t="s">
        <v>209</v>
      </c>
      <c r="AR1083" s="1" t="s">
        <v>210</v>
      </c>
      <c r="AT1083" s="1" t="s">
        <v>211</v>
      </c>
      <c r="AU1083" s="1">
        <v>2</v>
      </c>
      <c r="AW1083" s="1" t="s">
        <v>204</v>
      </c>
      <c r="AX1083" s="1" t="s">
        <v>11510</v>
      </c>
      <c r="AZ1083" s="1">
        <v>6412.44</v>
      </c>
      <c r="BA1083" s="1">
        <v>2013</v>
      </c>
      <c r="BE1083" s="1">
        <v>2345</v>
      </c>
      <c r="BF1083" s="1">
        <v>1</v>
      </c>
      <c r="BG1083" s="1">
        <v>0</v>
      </c>
      <c r="BL1083" s="1">
        <v>124</v>
      </c>
      <c r="BM1083" s="1" t="s">
        <v>204</v>
      </c>
      <c r="BN1083" s="1" t="s">
        <v>213</v>
      </c>
      <c r="BO1083" s="1">
        <v>999</v>
      </c>
      <c r="BP1083" s="1" t="s">
        <v>204</v>
      </c>
      <c r="BR1083" s="1" t="str">
        <f>"06282010820000"</f>
        <v>06282010820000</v>
      </c>
      <c r="BT1083" s="1" t="s">
        <v>11511</v>
      </c>
      <c r="BX1083" s="1">
        <v>46</v>
      </c>
      <c r="BY1083" s="1">
        <v>46</v>
      </c>
      <c r="BZ1083" s="1">
        <v>46</v>
      </c>
      <c r="CB1083" s="1" t="str">
        <f t="shared" ref="CB1083:CC1083" si="837">""</f>
        <v/>
      </c>
      <c r="CC1083" s="1" t="str">
        <f t="shared" si="837"/>
        <v/>
      </c>
      <c r="CG1083" s="1" t="s">
        <v>1106</v>
      </c>
      <c r="CH1083" s="1" t="s">
        <v>219</v>
      </c>
      <c r="CI1083" s="1" t="s">
        <v>220</v>
      </c>
      <c r="CJ1083" s="1" t="s">
        <v>343</v>
      </c>
      <c r="CK1083" s="1" t="s">
        <v>1853</v>
      </c>
      <c r="CL1083" s="1" t="s">
        <v>277</v>
      </c>
      <c r="CM1083" s="1" t="s">
        <v>220</v>
      </c>
      <c r="CN1083" s="1" t="s">
        <v>343</v>
      </c>
      <c r="CO1083" s="1" t="s">
        <v>465</v>
      </c>
      <c r="CP1083" s="1" t="s">
        <v>219</v>
      </c>
      <c r="CQ1083" s="1" t="s">
        <v>4958</v>
      </c>
      <c r="CR1083" s="1" t="s">
        <v>343</v>
      </c>
      <c r="CS1083" s="1" t="s">
        <v>1106</v>
      </c>
      <c r="CT1083" s="1" t="s">
        <v>277</v>
      </c>
      <c r="CU1083" s="1" t="s">
        <v>220</v>
      </c>
      <c r="CV1083" s="1" t="s">
        <v>343</v>
      </c>
      <c r="CX1083" s="1" t="s">
        <v>224</v>
      </c>
      <c r="DB1083" s="1" t="s">
        <v>224</v>
      </c>
      <c r="DE1083" s="1" t="s">
        <v>465</v>
      </c>
      <c r="DF1083" s="1" t="s">
        <v>219</v>
      </c>
      <c r="DG1083" s="1" t="s">
        <v>4958</v>
      </c>
      <c r="DH1083" s="1" t="s">
        <v>343</v>
      </c>
      <c r="DI1083" s="1" t="s">
        <v>10816</v>
      </c>
      <c r="DJ1083" s="1" t="s">
        <v>219</v>
      </c>
      <c r="DK1083" s="1" t="s">
        <v>220</v>
      </c>
      <c r="DL1083" s="1" t="s">
        <v>343</v>
      </c>
      <c r="DM1083" s="1" t="s">
        <v>464</v>
      </c>
      <c r="DR1083" s="1" t="s">
        <v>2935</v>
      </c>
      <c r="DS1083" s="1" t="s">
        <v>277</v>
      </c>
      <c r="DT1083" s="1" t="s">
        <v>220</v>
      </c>
      <c r="DU1083" s="1" t="s">
        <v>343</v>
      </c>
      <c r="DW1083" s="1" t="s">
        <v>230</v>
      </c>
      <c r="EA1083" s="1" t="s">
        <v>230</v>
      </c>
      <c r="EE1083" s="1" t="s">
        <v>230</v>
      </c>
      <c r="EI1083" s="1" t="s">
        <v>230</v>
      </c>
      <c r="EL1083" s="1" t="s">
        <v>382</v>
      </c>
      <c r="EM1083" s="1" t="s">
        <v>730</v>
      </c>
      <c r="EN1083" s="1" t="s">
        <v>282</v>
      </c>
      <c r="EO1083" s="1" t="s">
        <v>234</v>
      </c>
      <c r="ER1083" s="1" t="s">
        <v>383</v>
      </c>
      <c r="EW1083" s="1" t="s">
        <v>867</v>
      </c>
      <c r="EZ1083" s="1" t="s">
        <v>464</v>
      </c>
      <c r="FD1083" s="1" t="s">
        <v>3472</v>
      </c>
      <c r="FE1083" s="1" t="s">
        <v>975</v>
      </c>
      <c r="FF1083" s="1" t="s">
        <v>3103</v>
      </c>
      <c r="FH1083" s="1" t="s">
        <v>442</v>
      </c>
      <c r="FL1083" s="1" t="s">
        <v>358</v>
      </c>
      <c r="FM1083" s="1" t="s">
        <v>252</v>
      </c>
      <c r="FN1083" s="1" t="s">
        <v>213</v>
      </c>
      <c r="FO1083" s="1" t="s">
        <v>213</v>
      </c>
      <c r="FQ1083" s="1" t="s">
        <v>689</v>
      </c>
      <c r="FR1083" s="1" t="s">
        <v>210</v>
      </c>
      <c r="FS1083" s="1" t="s">
        <v>11512</v>
      </c>
      <c r="FT1083" s="1" t="s">
        <v>11513</v>
      </c>
      <c r="FU1083" s="1" t="s">
        <v>213</v>
      </c>
      <c r="FV1083" s="1" t="s">
        <v>11514</v>
      </c>
      <c r="FW1083" s="1" t="s">
        <v>11515</v>
      </c>
      <c r="FX1083" s="1">
        <v>84613</v>
      </c>
      <c r="FY1083" s="1" t="s">
        <v>11516</v>
      </c>
      <c r="FZ1083" s="1" t="s">
        <v>11517</v>
      </c>
      <c r="GA1083" s="1">
        <v>840866</v>
      </c>
      <c r="GD1083" s="1" t="s">
        <v>11518</v>
      </c>
      <c r="GE1083" s="1" t="s">
        <v>210</v>
      </c>
      <c r="GI1083" s="1" t="s">
        <v>213</v>
      </c>
      <c r="GJ1083" s="1" t="s">
        <v>260</v>
      </c>
      <c r="GK1083" s="1" t="s">
        <v>210</v>
      </c>
      <c r="GL1083" s="2">
        <v>42117</v>
      </c>
      <c r="GM1083" s="1" t="s">
        <v>11519</v>
      </c>
    </row>
    <row r="1084" spans="1:195">
      <c r="A1084" s="1">
        <v>157500</v>
      </c>
      <c r="B1084" s="1" t="s">
        <v>195</v>
      </c>
      <c r="C1084" s="1" t="str">
        <f>"08842223"</f>
        <v>08842223</v>
      </c>
      <c r="D1084" s="1" t="s">
        <v>196</v>
      </c>
      <c r="F1084" s="1" t="str">
        <f>"61"</f>
        <v>61</v>
      </c>
      <c r="G1084" s="2">
        <v>42054</v>
      </c>
      <c r="H1084" s="1">
        <v>164900</v>
      </c>
      <c r="I1084" s="1">
        <v>159900</v>
      </c>
      <c r="J1084" s="1">
        <v>157500</v>
      </c>
      <c r="K1084" s="2">
        <v>42052</v>
      </c>
      <c r="L1084" s="1">
        <v>40</v>
      </c>
      <c r="M1084" s="2">
        <v>42091</v>
      </c>
      <c r="N1084" s="1">
        <v>40</v>
      </c>
      <c r="O1084" s="2">
        <v>42091</v>
      </c>
      <c r="P1084" s="1">
        <v>2648</v>
      </c>
      <c r="Q1084" s="1" t="s">
        <v>197</v>
      </c>
      <c r="R1084" s="2">
        <v>42138</v>
      </c>
      <c r="S1084" s="1">
        <v>12029</v>
      </c>
      <c r="U1084" s="1">
        <v>886</v>
      </c>
      <c r="V1084" s="1" t="s">
        <v>1525</v>
      </c>
      <c r="W1084" s="1" t="s">
        <v>504</v>
      </c>
      <c r="Y1084" s="1">
        <v>6</v>
      </c>
      <c r="Z1084" s="1" t="s">
        <v>370</v>
      </c>
      <c r="AA1084" s="1" t="s">
        <v>505</v>
      </c>
      <c r="AB1084" s="1">
        <v>60061</v>
      </c>
      <c r="AD1084" s="1" t="s">
        <v>5040</v>
      </c>
      <c r="AE1084" s="1" t="s">
        <v>11520</v>
      </c>
      <c r="AF1084" s="1">
        <v>1991</v>
      </c>
      <c r="AG1084" s="1" t="s">
        <v>204</v>
      </c>
      <c r="AH1084" s="1" t="s">
        <v>508</v>
      </c>
      <c r="AI1084" s="1" t="s">
        <v>509</v>
      </c>
      <c r="AJ1084" s="1" t="s">
        <v>510</v>
      </c>
      <c r="AK1084" s="1" t="s">
        <v>11521</v>
      </c>
      <c r="AL1084" s="1">
        <v>5</v>
      </c>
      <c r="AM1084" s="1">
        <v>2</v>
      </c>
      <c r="AN1084" s="1">
        <v>1</v>
      </c>
      <c r="AO1084" s="1">
        <v>0</v>
      </c>
      <c r="AP1084" s="1" t="s">
        <v>455</v>
      </c>
      <c r="AQ1084" s="1">
        <v>1</v>
      </c>
      <c r="AR1084" s="1" t="s">
        <v>1631</v>
      </c>
      <c r="AS1084" s="1" t="s">
        <v>204</v>
      </c>
      <c r="AT1084" s="1" t="s">
        <v>375</v>
      </c>
      <c r="AU1084" s="1">
        <v>1</v>
      </c>
      <c r="AV1084" s="1">
        <v>3</v>
      </c>
      <c r="AW1084" s="1" t="s">
        <v>204</v>
      </c>
      <c r="AX1084" s="1" t="s">
        <v>579</v>
      </c>
      <c r="AZ1084" s="1">
        <v>4168.74</v>
      </c>
      <c r="BA1084" s="1">
        <v>2013</v>
      </c>
      <c r="BB1084" s="1" t="s">
        <v>599</v>
      </c>
      <c r="BE1084" s="1">
        <v>1300</v>
      </c>
      <c r="BF1084" s="1">
        <v>2</v>
      </c>
      <c r="BG1084" s="1">
        <v>30</v>
      </c>
      <c r="BL1084" s="1">
        <v>315</v>
      </c>
      <c r="BM1084" s="1" t="s">
        <v>413</v>
      </c>
      <c r="BN1084" s="1" t="s">
        <v>213</v>
      </c>
      <c r="BO1084" s="1">
        <v>999</v>
      </c>
      <c r="BP1084" s="1" t="s">
        <v>204</v>
      </c>
      <c r="BR1084" s="1" t="str">
        <f>"15062060050000"</f>
        <v>15062060050000</v>
      </c>
      <c r="BT1084" s="1" t="s">
        <v>11522</v>
      </c>
      <c r="BU1084" s="1" t="s">
        <v>1530</v>
      </c>
      <c r="BV1084" s="1" t="s">
        <v>1531</v>
      </c>
      <c r="BW1084" s="1" t="s">
        <v>1532</v>
      </c>
      <c r="BX1084" s="1">
        <v>76</v>
      </c>
      <c r="BY1084" s="1">
        <v>76</v>
      </c>
      <c r="BZ1084" s="1">
        <v>125</v>
      </c>
      <c r="CB1084" s="1" t="str">
        <f>"25"</f>
        <v>25</v>
      </c>
      <c r="CC1084" s="1" t="str">
        <f>""</f>
        <v/>
      </c>
      <c r="CD1084" s="1">
        <v>18</v>
      </c>
      <c r="CG1084" s="1" t="s">
        <v>1737</v>
      </c>
      <c r="CH1084" s="1" t="s">
        <v>277</v>
      </c>
      <c r="CI1084" s="1" t="s">
        <v>220</v>
      </c>
      <c r="CJ1084" s="1" t="s">
        <v>343</v>
      </c>
      <c r="CK1084" s="1" t="s">
        <v>1045</v>
      </c>
      <c r="CL1084" s="1" t="s">
        <v>277</v>
      </c>
      <c r="CM1084" s="1" t="s">
        <v>220</v>
      </c>
      <c r="CN1084" s="1" t="s">
        <v>343</v>
      </c>
      <c r="CO1084" s="1" t="s">
        <v>318</v>
      </c>
      <c r="CP1084" s="1" t="s">
        <v>219</v>
      </c>
      <c r="CQ1084" s="1" t="s">
        <v>220</v>
      </c>
      <c r="CR1084" s="1" t="s">
        <v>343</v>
      </c>
      <c r="CS1084" s="1" t="s">
        <v>465</v>
      </c>
      <c r="CT1084" s="1" t="s">
        <v>277</v>
      </c>
      <c r="CU1084" s="1" t="s">
        <v>220</v>
      </c>
      <c r="CV1084" s="1" t="s">
        <v>343</v>
      </c>
      <c r="CX1084" s="1" t="s">
        <v>224</v>
      </c>
      <c r="DB1084" s="1" t="s">
        <v>224</v>
      </c>
      <c r="DE1084" s="1" t="s">
        <v>1454</v>
      </c>
      <c r="DF1084" s="1" t="s">
        <v>277</v>
      </c>
      <c r="DG1084" s="1" t="s">
        <v>347</v>
      </c>
      <c r="DH1084" s="1" t="s">
        <v>343</v>
      </c>
      <c r="DJ1084" s="1" t="s">
        <v>224</v>
      </c>
      <c r="DM1084" s="1" t="s">
        <v>709</v>
      </c>
      <c r="DN1084" s="1" t="s">
        <v>1614</v>
      </c>
      <c r="DR1084" s="1" t="s">
        <v>2547</v>
      </c>
      <c r="DS1084" s="1" t="s">
        <v>219</v>
      </c>
      <c r="DT1084" s="1" t="s">
        <v>347</v>
      </c>
      <c r="DV1084" s="1" t="s">
        <v>4829</v>
      </c>
      <c r="DW1084" s="1" t="s">
        <v>43</v>
      </c>
      <c r="DX1084" s="1" t="s">
        <v>347</v>
      </c>
      <c r="EA1084" s="1" t="s">
        <v>230</v>
      </c>
      <c r="EE1084" s="1" t="s">
        <v>230</v>
      </c>
      <c r="EI1084" s="1" t="s">
        <v>230</v>
      </c>
      <c r="EL1084" s="1" t="s">
        <v>382</v>
      </c>
      <c r="EM1084" s="1" t="s">
        <v>730</v>
      </c>
      <c r="EN1084" s="1" t="s">
        <v>282</v>
      </c>
      <c r="EO1084" s="1" t="s">
        <v>234</v>
      </c>
      <c r="EQ1084" s="1" t="s">
        <v>11523</v>
      </c>
      <c r="ER1084" s="1" t="s">
        <v>5456</v>
      </c>
      <c r="ES1084" s="1" t="s">
        <v>954</v>
      </c>
      <c r="EV1084" s="1" t="s">
        <v>240</v>
      </c>
      <c r="EW1084" s="1" t="s">
        <v>3967</v>
      </c>
      <c r="EY1084" s="1" t="s">
        <v>242</v>
      </c>
      <c r="EZ1084" s="1" t="s">
        <v>11524</v>
      </c>
      <c r="FA1084" s="1" t="s">
        <v>3624</v>
      </c>
      <c r="FC1084" s="1" t="s">
        <v>1362</v>
      </c>
      <c r="FD1084" s="1" t="s">
        <v>246</v>
      </c>
      <c r="FE1084" s="1" t="s">
        <v>870</v>
      </c>
      <c r="FF1084" s="1" t="s">
        <v>248</v>
      </c>
      <c r="FG1084" s="1" t="s">
        <v>1682</v>
      </c>
      <c r="FH1084" s="1" t="s">
        <v>550</v>
      </c>
      <c r="FI1084" s="1" t="s">
        <v>473</v>
      </c>
      <c r="FK1084" s="1" t="s">
        <v>768</v>
      </c>
      <c r="FL1084" s="1" t="s">
        <v>358</v>
      </c>
      <c r="FM1084" s="1" t="s">
        <v>252</v>
      </c>
      <c r="FN1084" s="1" t="s">
        <v>213</v>
      </c>
      <c r="FO1084" s="1" t="s">
        <v>213</v>
      </c>
      <c r="FQ1084" s="1" t="s">
        <v>11525</v>
      </c>
      <c r="FR1084" s="1" t="s">
        <v>210</v>
      </c>
      <c r="FS1084" s="1" t="s">
        <v>11526</v>
      </c>
      <c r="FT1084" s="1" t="s">
        <v>2589</v>
      </c>
      <c r="FU1084" s="1" t="s">
        <v>213</v>
      </c>
      <c r="FW1084" s="1" t="s">
        <v>11527</v>
      </c>
      <c r="FX1084" s="1">
        <v>2154</v>
      </c>
      <c r="FY1084" s="1" t="s">
        <v>11528</v>
      </c>
      <c r="FZ1084" s="1" t="s">
        <v>11529</v>
      </c>
      <c r="GA1084" s="1">
        <v>19023</v>
      </c>
      <c r="GB1084" s="1" t="s">
        <v>11530</v>
      </c>
      <c r="GE1084" s="1" t="s">
        <v>1256</v>
      </c>
      <c r="GI1084" s="1" t="s">
        <v>213</v>
      </c>
      <c r="GJ1084" s="1" t="s">
        <v>260</v>
      </c>
      <c r="GK1084" s="1" t="s">
        <v>210</v>
      </c>
      <c r="GL1084" s="2">
        <v>42142</v>
      </c>
      <c r="GM1084" s="1" t="s">
        <v>11531</v>
      </c>
    </row>
    <row r="1085" spans="1:195">
      <c r="A1085" s="1">
        <v>26000</v>
      </c>
      <c r="B1085" s="1" t="s">
        <v>195</v>
      </c>
      <c r="C1085" s="1" t="str">
        <f>"08843530"</f>
        <v>08843530</v>
      </c>
      <c r="D1085" s="1" t="s">
        <v>196</v>
      </c>
      <c r="F1085" s="1" t="str">
        <f>"8070"</f>
        <v>8070</v>
      </c>
      <c r="G1085" s="2">
        <v>42055</v>
      </c>
      <c r="H1085" s="1">
        <v>30000</v>
      </c>
      <c r="I1085" s="1">
        <v>30000</v>
      </c>
      <c r="J1085" s="1">
        <v>26000</v>
      </c>
      <c r="K1085" s="2">
        <v>42055</v>
      </c>
      <c r="L1085" s="1">
        <v>32</v>
      </c>
      <c r="M1085" s="2">
        <v>42086</v>
      </c>
      <c r="N1085" s="1">
        <v>32</v>
      </c>
      <c r="O1085" s="2">
        <v>42086</v>
      </c>
      <c r="P1085" s="1">
        <v>84301</v>
      </c>
      <c r="Q1085" s="1" t="s">
        <v>302</v>
      </c>
      <c r="R1085" s="2">
        <v>42128</v>
      </c>
      <c r="S1085" s="1">
        <v>125145</v>
      </c>
      <c r="U1085" s="1">
        <v>8000</v>
      </c>
      <c r="V1085" s="1" t="s">
        <v>11532</v>
      </c>
      <c r="W1085" s="1" t="s">
        <v>1056</v>
      </c>
      <c r="X1085" s="1">
        <v>301</v>
      </c>
      <c r="Y1085" s="1">
        <v>18</v>
      </c>
      <c r="Z1085" s="1" t="s">
        <v>200</v>
      </c>
      <c r="AA1085" s="1" t="s">
        <v>400</v>
      </c>
      <c r="AB1085" s="1">
        <v>60652</v>
      </c>
      <c r="AE1085" s="1" t="s">
        <v>11533</v>
      </c>
      <c r="AF1085" s="1">
        <v>1967</v>
      </c>
      <c r="AG1085" s="1" t="s">
        <v>213</v>
      </c>
      <c r="AH1085" s="1" t="s">
        <v>403</v>
      </c>
      <c r="AI1085" s="1" t="s">
        <v>310</v>
      </c>
      <c r="AJ1085" s="1" t="s">
        <v>683</v>
      </c>
      <c r="AL1085" s="1">
        <v>5</v>
      </c>
      <c r="AM1085" s="1">
        <v>2</v>
      </c>
      <c r="AN1085" s="1">
        <v>1</v>
      </c>
      <c r="AO1085" s="1">
        <v>0</v>
      </c>
      <c r="AP1085" s="1" t="s">
        <v>210</v>
      </c>
      <c r="AR1085" s="1" t="s">
        <v>210</v>
      </c>
      <c r="AS1085" s="1" t="s">
        <v>204</v>
      </c>
      <c r="AT1085" s="1" t="s">
        <v>271</v>
      </c>
      <c r="AV1085" s="1">
        <v>1</v>
      </c>
      <c r="AW1085" s="1" t="s">
        <v>204</v>
      </c>
      <c r="AX1085" s="1" t="s">
        <v>212</v>
      </c>
      <c r="AZ1085" s="1">
        <v>318</v>
      </c>
      <c r="BA1085" s="1">
        <v>2013</v>
      </c>
      <c r="BE1085" s="1">
        <v>756</v>
      </c>
      <c r="BF1085" s="1">
        <v>3</v>
      </c>
      <c r="BG1085" s="1">
        <v>15</v>
      </c>
      <c r="BL1085" s="1">
        <v>160</v>
      </c>
      <c r="BM1085" s="1" t="s">
        <v>204</v>
      </c>
      <c r="BN1085" s="1" t="s">
        <v>213</v>
      </c>
      <c r="BO1085" s="1">
        <v>45</v>
      </c>
      <c r="BP1085" s="1" t="s">
        <v>204</v>
      </c>
      <c r="BR1085" s="1" t="str">
        <f>"19342150841013"</f>
        <v>19342150841013</v>
      </c>
      <c r="BT1085" s="1" t="s">
        <v>11534</v>
      </c>
      <c r="BX1085" s="1">
        <v>299</v>
      </c>
      <c r="BY1085" s="1">
        <v>299</v>
      </c>
      <c r="BZ1085" s="1">
        <v>299</v>
      </c>
      <c r="CB1085" s="1" t="str">
        <f t="shared" ref="CB1085:CC1085" si="838">"0"</f>
        <v>0</v>
      </c>
      <c r="CC1085" s="1" t="str">
        <f t="shared" si="838"/>
        <v>0</v>
      </c>
      <c r="CD1085" s="1">
        <v>4000</v>
      </c>
      <c r="CE1085" s="1">
        <v>8000</v>
      </c>
      <c r="CG1085" s="1" t="s">
        <v>3460</v>
      </c>
      <c r="CH1085" s="1" t="s">
        <v>219</v>
      </c>
      <c r="CK1085" s="1" t="s">
        <v>836</v>
      </c>
      <c r="CL1085" s="1" t="s">
        <v>219</v>
      </c>
      <c r="CO1085" s="1" t="s">
        <v>348</v>
      </c>
      <c r="CP1085" s="1" t="s">
        <v>219</v>
      </c>
      <c r="CS1085" s="1" t="s">
        <v>836</v>
      </c>
      <c r="CT1085" s="1" t="s">
        <v>219</v>
      </c>
      <c r="CX1085" s="1" t="s">
        <v>224</v>
      </c>
      <c r="DB1085" s="1" t="s">
        <v>224</v>
      </c>
      <c r="DE1085" s="1" t="s">
        <v>318</v>
      </c>
      <c r="DF1085" s="1" t="s">
        <v>219</v>
      </c>
      <c r="DJ1085" s="1" t="s">
        <v>224</v>
      </c>
      <c r="DS1085" s="1" t="s">
        <v>230</v>
      </c>
      <c r="DW1085" s="1" t="s">
        <v>230</v>
      </c>
      <c r="EA1085" s="1" t="s">
        <v>230</v>
      </c>
      <c r="EE1085" s="1" t="s">
        <v>230</v>
      </c>
      <c r="EI1085" s="1" t="s">
        <v>230</v>
      </c>
      <c r="EL1085" s="1" t="s">
        <v>605</v>
      </c>
      <c r="EM1085" s="1" t="s">
        <v>319</v>
      </c>
      <c r="EN1085" s="1" t="s">
        <v>210</v>
      </c>
      <c r="EO1085" s="1" t="s">
        <v>234</v>
      </c>
      <c r="EQ1085" s="1" t="s">
        <v>5566</v>
      </c>
      <c r="ER1085" s="1" t="s">
        <v>210</v>
      </c>
      <c r="ES1085" s="1" t="s">
        <v>493</v>
      </c>
      <c r="EV1085" s="1" t="s">
        <v>324</v>
      </c>
      <c r="EW1085" s="1" t="s">
        <v>11535</v>
      </c>
      <c r="EZ1085" s="1" t="s">
        <v>287</v>
      </c>
      <c r="FB1085" s="1" t="s">
        <v>289</v>
      </c>
      <c r="FC1085" s="1" t="s">
        <v>1555</v>
      </c>
      <c r="FD1085" s="1" t="s">
        <v>246</v>
      </c>
      <c r="FE1085" s="1" t="s">
        <v>247</v>
      </c>
      <c r="FF1085" s="1" t="s">
        <v>248</v>
      </c>
      <c r="FH1085" s="1" t="s">
        <v>249</v>
      </c>
      <c r="FK1085" s="1" t="s">
        <v>291</v>
      </c>
      <c r="FL1085" s="1" t="s">
        <v>292</v>
      </c>
      <c r="FM1085" s="1" t="s">
        <v>252</v>
      </c>
      <c r="FN1085" s="1" t="s">
        <v>213</v>
      </c>
      <c r="FO1085" s="1" t="s">
        <v>213</v>
      </c>
      <c r="FQ1085" s="1" t="s">
        <v>2417</v>
      </c>
      <c r="FR1085" s="1" t="s">
        <v>210</v>
      </c>
      <c r="FS1085" s="1" t="s">
        <v>2541</v>
      </c>
      <c r="FT1085" s="1" t="s">
        <v>654</v>
      </c>
      <c r="FU1085" s="1" t="s">
        <v>204</v>
      </c>
      <c r="FW1085" s="1" t="s">
        <v>11536</v>
      </c>
      <c r="FX1085" s="1">
        <v>13909</v>
      </c>
      <c r="FY1085" s="1" t="s">
        <v>11537</v>
      </c>
      <c r="FZ1085" s="1" t="s">
        <v>11538</v>
      </c>
      <c r="GA1085" s="1">
        <v>126761</v>
      </c>
      <c r="GB1085" s="1" t="s">
        <v>11537</v>
      </c>
      <c r="GE1085" s="1" t="s">
        <v>210</v>
      </c>
      <c r="GH1085" s="1" t="s">
        <v>421</v>
      </c>
      <c r="GI1085" s="1" t="s">
        <v>213</v>
      </c>
      <c r="GJ1085" s="1" t="s">
        <v>260</v>
      </c>
      <c r="GK1085" s="1" t="s">
        <v>210</v>
      </c>
      <c r="GL1085" s="2">
        <v>42129</v>
      </c>
      <c r="GM1085" s="1" t="s">
        <v>11539</v>
      </c>
    </row>
    <row r="1086" spans="1:195">
      <c r="A1086" s="1">
        <v>140000</v>
      </c>
      <c r="B1086" s="1" t="s">
        <v>195</v>
      </c>
      <c r="C1086" s="1" t="str">
        <f>"08848497"</f>
        <v>08848497</v>
      </c>
      <c r="D1086" s="1" t="s">
        <v>196</v>
      </c>
      <c r="F1086" s="1" t="str">
        <f>"48"</f>
        <v>48</v>
      </c>
      <c r="G1086" s="2">
        <v>42062</v>
      </c>
      <c r="H1086" s="1">
        <v>154900</v>
      </c>
      <c r="I1086" s="1">
        <v>154900</v>
      </c>
      <c r="J1086" s="1">
        <v>140000</v>
      </c>
      <c r="K1086" s="2">
        <v>42062</v>
      </c>
      <c r="L1086" s="1">
        <v>34</v>
      </c>
      <c r="M1086" s="2">
        <v>42095</v>
      </c>
      <c r="N1086" s="1">
        <v>34</v>
      </c>
      <c r="O1086" s="2">
        <v>42095</v>
      </c>
      <c r="P1086" s="1">
        <v>2648</v>
      </c>
      <c r="Q1086" s="1" t="s">
        <v>302</v>
      </c>
      <c r="R1086" s="2">
        <v>42144</v>
      </c>
      <c r="S1086" s="1">
        <v>18093</v>
      </c>
      <c r="U1086" s="1">
        <v>1635</v>
      </c>
      <c r="V1086" s="1" t="s">
        <v>6673</v>
      </c>
      <c r="W1086" s="1" t="s">
        <v>425</v>
      </c>
      <c r="X1086" s="1">
        <v>403</v>
      </c>
      <c r="Y1086" s="1">
        <v>22</v>
      </c>
      <c r="Z1086" s="1" t="s">
        <v>249</v>
      </c>
      <c r="AA1086" s="1" t="s">
        <v>6674</v>
      </c>
      <c r="AB1086" s="1">
        <v>60048</v>
      </c>
      <c r="AD1086" s="1" t="s">
        <v>11540</v>
      </c>
      <c r="AE1086" s="1" t="s">
        <v>11541</v>
      </c>
      <c r="AF1086" s="1">
        <v>2000</v>
      </c>
      <c r="AG1086" s="1" t="s">
        <v>204</v>
      </c>
      <c r="AH1086" s="1" t="s">
        <v>1693</v>
      </c>
      <c r="AI1086" s="1" t="s">
        <v>509</v>
      </c>
      <c r="AJ1086" s="1" t="s">
        <v>1693</v>
      </c>
      <c r="AL1086" s="1">
        <v>5</v>
      </c>
      <c r="AM1086" s="1">
        <v>2</v>
      </c>
      <c r="AN1086" s="1">
        <v>1</v>
      </c>
      <c r="AO1086" s="1">
        <v>0</v>
      </c>
      <c r="AP1086" s="1" t="s">
        <v>667</v>
      </c>
      <c r="AR1086" s="1" t="s">
        <v>210</v>
      </c>
      <c r="AS1086" s="1" t="s">
        <v>204</v>
      </c>
      <c r="AT1086" s="1" t="s">
        <v>375</v>
      </c>
      <c r="AU1086" s="1">
        <v>1</v>
      </c>
      <c r="AV1086" s="1">
        <v>1</v>
      </c>
      <c r="AW1086" s="1" t="s">
        <v>204</v>
      </c>
      <c r="AX1086" s="1" t="s">
        <v>212</v>
      </c>
      <c r="AZ1086" s="1">
        <v>3467</v>
      </c>
      <c r="BA1086" s="1">
        <v>2013</v>
      </c>
      <c r="BB1086" s="1" t="s">
        <v>210</v>
      </c>
      <c r="BE1086" s="1">
        <v>975</v>
      </c>
      <c r="BF1086" s="1">
        <v>4</v>
      </c>
      <c r="BG1086" s="1">
        <v>0</v>
      </c>
      <c r="BL1086" s="1">
        <v>218</v>
      </c>
      <c r="BM1086" s="1" t="s">
        <v>204</v>
      </c>
      <c r="BN1086" s="1" t="s">
        <v>213</v>
      </c>
      <c r="BO1086" s="1">
        <v>35</v>
      </c>
      <c r="BP1086" s="1" t="s">
        <v>204</v>
      </c>
      <c r="BR1086" s="1" t="str">
        <f>"11093001520000"</f>
        <v>11093001520000</v>
      </c>
      <c r="BT1086" s="1" t="s">
        <v>11542</v>
      </c>
      <c r="BU1086" s="1" t="s">
        <v>6679</v>
      </c>
      <c r="BV1086" s="1" t="s">
        <v>6680</v>
      </c>
      <c r="BW1086" s="1" t="s">
        <v>1696</v>
      </c>
      <c r="BX1086" s="1">
        <v>70</v>
      </c>
      <c r="BY1086" s="1">
        <v>70</v>
      </c>
      <c r="BZ1086" s="1">
        <v>128</v>
      </c>
      <c r="CB1086" s="1" t="str">
        <f t="shared" ref="CB1086:CC1086" si="839">""</f>
        <v/>
      </c>
      <c r="CC1086" s="1" t="str">
        <f t="shared" si="839"/>
        <v/>
      </c>
      <c r="CG1086" s="1" t="s">
        <v>11543</v>
      </c>
      <c r="CH1086" s="1" t="s">
        <v>219</v>
      </c>
      <c r="CI1086" s="1" t="s">
        <v>220</v>
      </c>
      <c r="CJ1086" s="1" t="s">
        <v>343</v>
      </c>
      <c r="CK1086" s="1" t="s">
        <v>462</v>
      </c>
      <c r="CL1086" s="1" t="s">
        <v>219</v>
      </c>
      <c r="CM1086" s="1" t="s">
        <v>220</v>
      </c>
      <c r="CN1086" s="1" t="s">
        <v>343</v>
      </c>
      <c r="CO1086" s="1" t="s">
        <v>629</v>
      </c>
      <c r="CP1086" s="1" t="s">
        <v>219</v>
      </c>
      <c r="CQ1086" s="1" t="s">
        <v>220</v>
      </c>
      <c r="CR1086" s="1" t="s">
        <v>210</v>
      </c>
      <c r="CS1086" s="1" t="s">
        <v>408</v>
      </c>
      <c r="CT1086" s="1" t="s">
        <v>219</v>
      </c>
      <c r="CU1086" s="1" t="s">
        <v>220</v>
      </c>
      <c r="CV1086" s="1" t="s">
        <v>210</v>
      </c>
      <c r="CX1086" s="1" t="s">
        <v>224</v>
      </c>
      <c r="DB1086" s="1" t="s">
        <v>224</v>
      </c>
      <c r="DE1086" s="1" t="s">
        <v>1297</v>
      </c>
      <c r="DF1086" s="1" t="s">
        <v>219</v>
      </c>
      <c r="DG1086" s="1" t="s">
        <v>226</v>
      </c>
      <c r="DH1086" s="1" t="s">
        <v>210</v>
      </c>
      <c r="DJ1086" s="1" t="s">
        <v>224</v>
      </c>
      <c r="DM1086" s="1" t="s">
        <v>838</v>
      </c>
      <c r="DR1086" s="1" t="s">
        <v>2031</v>
      </c>
      <c r="DS1086" s="1" t="s">
        <v>219</v>
      </c>
      <c r="DT1086" s="1" t="s">
        <v>220</v>
      </c>
      <c r="DU1086" s="1" t="s">
        <v>210</v>
      </c>
      <c r="DW1086" s="1" t="s">
        <v>230</v>
      </c>
      <c r="EA1086" s="1" t="s">
        <v>230</v>
      </c>
      <c r="EE1086" s="1" t="s">
        <v>230</v>
      </c>
      <c r="EI1086" s="1" t="s">
        <v>230</v>
      </c>
      <c r="EL1086" s="1" t="s">
        <v>466</v>
      </c>
      <c r="EM1086" s="1" t="s">
        <v>232</v>
      </c>
      <c r="EN1086" s="1" t="s">
        <v>282</v>
      </c>
      <c r="EO1086" s="1" t="s">
        <v>234</v>
      </c>
      <c r="EP1086" s="1" t="s">
        <v>11544</v>
      </c>
      <c r="EQ1086" s="1" t="s">
        <v>1094</v>
      </c>
      <c r="ER1086" s="1" t="s">
        <v>210</v>
      </c>
      <c r="EU1086" s="1" t="s">
        <v>239</v>
      </c>
      <c r="EV1086" s="1" t="s">
        <v>240</v>
      </c>
      <c r="EW1086" s="1" t="s">
        <v>11545</v>
      </c>
      <c r="EZ1086" s="1" t="s">
        <v>838</v>
      </c>
      <c r="FA1086" s="1" t="s">
        <v>3690</v>
      </c>
      <c r="FB1086" s="1" t="s">
        <v>289</v>
      </c>
      <c r="FC1086" s="1" t="s">
        <v>1739</v>
      </c>
      <c r="FD1086" s="1" t="s">
        <v>290</v>
      </c>
      <c r="FE1086" s="1" t="s">
        <v>247</v>
      </c>
      <c r="FF1086" s="1" t="s">
        <v>248</v>
      </c>
      <c r="FH1086" s="1" t="s">
        <v>249</v>
      </c>
      <c r="FI1086" s="1" t="s">
        <v>473</v>
      </c>
      <c r="FK1086" s="1" t="s">
        <v>891</v>
      </c>
      <c r="FL1086" s="1" t="s">
        <v>292</v>
      </c>
      <c r="FM1086" s="1" t="s">
        <v>252</v>
      </c>
      <c r="FN1086" s="1" t="s">
        <v>213</v>
      </c>
      <c r="FO1086" s="1" t="s">
        <v>204</v>
      </c>
      <c r="FQ1086" s="1" t="s">
        <v>6294</v>
      </c>
      <c r="FR1086" s="1" t="s">
        <v>210</v>
      </c>
      <c r="FS1086" s="1" t="s">
        <v>11546</v>
      </c>
      <c r="FT1086" s="1" t="s">
        <v>362</v>
      </c>
      <c r="FU1086" s="1" t="s">
        <v>204</v>
      </c>
      <c r="FW1086" s="1" t="s">
        <v>1275</v>
      </c>
      <c r="FX1086" s="1">
        <v>3460</v>
      </c>
      <c r="FY1086" s="1" t="s">
        <v>1276</v>
      </c>
      <c r="FZ1086" s="1" t="s">
        <v>11547</v>
      </c>
      <c r="GA1086" s="1">
        <v>30456</v>
      </c>
      <c r="GB1086" s="1" t="s">
        <v>11548</v>
      </c>
      <c r="GD1086" s="1" t="s">
        <v>11549</v>
      </c>
      <c r="GE1086" s="1" t="s">
        <v>1764</v>
      </c>
      <c r="GH1086" s="1" t="s">
        <v>230</v>
      </c>
      <c r="GI1086" s="1" t="s">
        <v>213</v>
      </c>
      <c r="GJ1086" s="1" t="s">
        <v>260</v>
      </c>
      <c r="GK1086" s="1" t="s">
        <v>210</v>
      </c>
      <c r="GL1086" s="2">
        <v>42144</v>
      </c>
      <c r="GM1086" s="1" t="s">
        <v>11550</v>
      </c>
    </row>
    <row r="1087" spans="1:195">
      <c r="A1087" s="1">
        <v>145000</v>
      </c>
      <c r="B1087" s="1" t="s">
        <v>195</v>
      </c>
      <c r="C1087" s="1" t="str">
        <f>"08846492"</f>
        <v>08846492</v>
      </c>
      <c r="D1087" s="1" t="s">
        <v>196</v>
      </c>
      <c r="F1087" s="1" t="str">
        <f>"191"</f>
        <v>191</v>
      </c>
      <c r="G1087" s="2">
        <v>42060</v>
      </c>
      <c r="H1087" s="1">
        <v>149900</v>
      </c>
      <c r="I1087" s="1">
        <v>149900</v>
      </c>
      <c r="J1087" s="1">
        <v>145000</v>
      </c>
      <c r="K1087" s="2">
        <v>42060</v>
      </c>
      <c r="L1087" s="1">
        <v>3</v>
      </c>
      <c r="M1087" s="2">
        <v>42062</v>
      </c>
      <c r="N1087" s="1">
        <v>3</v>
      </c>
      <c r="O1087" s="2">
        <v>42062</v>
      </c>
      <c r="P1087" s="1">
        <v>24383</v>
      </c>
      <c r="Q1087" s="1" t="s">
        <v>302</v>
      </c>
      <c r="R1087" s="2">
        <v>42089</v>
      </c>
      <c r="S1087" s="1">
        <v>225669</v>
      </c>
      <c r="U1087" s="1">
        <v>445</v>
      </c>
      <c r="V1087" s="1" t="s">
        <v>11551</v>
      </c>
      <c r="W1087" s="1" t="s">
        <v>504</v>
      </c>
      <c r="X1087" s="1">
        <v>445</v>
      </c>
      <c r="Y1087" s="1">
        <v>8</v>
      </c>
      <c r="Z1087" s="1" t="s">
        <v>370</v>
      </c>
      <c r="AA1087" s="1" t="s">
        <v>1966</v>
      </c>
      <c r="AB1087" s="1">
        <v>60191</v>
      </c>
      <c r="AD1087" s="1" t="s">
        <v>7540</v>
      </c>
      <c r="AE1087" s="1" t="s">
        <v>11552</v>
      </c>
      <c r="AF1087" s="1">
        <v>1966</v>
      </c>
      <c r="AG1087" s="1" t="s">
        <v>213</v>
      </c>
      <c r="AH1087" s="1" t="s">
        <v>1969</v>
      </c>
      <c r="AI1087" s="1" t="s">
        <v>206</v>
      </c>
      <c r="AJ1087" s="1" t="s">
        <v>1233</v>
      </c>
      <c r="AL1087" s="1">
        <v>6</v>
      </c>
      <c r="AM1087" s="1">
        <v>2</v>
      </c>
      <c r="AN1087" s="1">
        <v>1</v>
      </c>
      <c r="AO1087" s="1">
        <v>1</v>
      </c>
      <c r="AP1087" s="1" t="s">
        <v>210</v>
      </c>
      <c r="AR1087" s="1" t="s">
        <v>209</v>
      </c>
      <c r="AS1087" s="1" t="s">
        <v>204</v>
      </c>
      <c r="AT1087" s="1" t="s">
        <v>271</v>
      </c>
      <c r="AV1087" s="1">
        <v>2</v>
      </c>
      <c r="AW1087" s="1" t="s">
        <v>204</v>
      </c>
      <c r="AX1087" s="1">
        <v>0</v>
      </c>
      <c r="AZ1087" s="1">
        <v>1986</v>
      </c>
      <c r="BA1087" s="1">
        <v>2013</v>
      </c>
      <c r="BB1087" s="1" t="s">
        <v>405</v>
      </c>
      <c r="BE1087" s="1">
        <v>1044</v>
      </c>
      <c r="BF1087" s="1">
        <v>1</v>
      </c>
      <c r="BG1087" s="1">
        <v>0</v>
      </c>
      <c r="BL1087" s="1">
        <v>210</v>
      </c>
      <c r="BM1087" s="1" t="s">
        <v>204</v>
      </c>
      <c r="BN1087" s="1" t="s">
        <v>213</v>
      </c>
      <c r="BO1087" s="1">
        <v>999</v>
      </c>
      <c r="BP1087" s="1" t="s">
        <v>204</v>
      </c>
      <c r="BR1087" s="1" t="str">
        <f>"0316107019"</f>
        <v>0316107019</v>
      </c>
      <c r="BT1087" s="1" t="s">
        <v>11553</v>
      </c>
      <c r="BU1087" s="1" t="s">
        <v>1971</v>
      </c>
      <c r="BV1087" s="1" t="s">
        <v>1972</v>
      </c>
      <c r="BW1087" s="1" t="s">
        <v>1973</v>
      </c>
      <c r="BX1087" s="1">
        <v>7</v>
      </c>
      <c r="BY1087" s="1">
        <v>7</v>
      </c>
      <c r="BZ1087" s="1">
        <v>100</v>
      </c>
      <c r="CB1087" s="1" t="str">
        <f>"5"</f>
        <v>5</v>
      </c>
      <c r="CC1087" s="1" t="str">
        <f>"0"</f>
        <v>0</v>
      </c>
      <c r="CD1087" s="1">
        <v>18</v>
      </c>
      <c r="CE1087" s="1">
        <v>0</v>
      </c>
      <c r="CG1087" s="1" t="s">
        <v>538</v>
      </c>
      <c r="CH1087" s="1" t="s">
        <v>219</v>
      </c>
      <c r="CI1087" s="1" t="s">
        <v>229</v>
      </c>
      <c r="CK1087" s="1" t="s">
        <v>1737</v>
      </c>
      <c r="CL1087" s="1" t="s">
        <v>277</v>
      </c>
      <c r="CM1087" s="1" t="s">
        <v>220</v>
      </c>
      <c r="CO1087" s="1" t="s">
        <v>629</v>
      </c>
      <c r="CP1087" s="1" t="s">
        <v>219</v>
      </c>
      <c r="CQ1087" s="1" t="s">
        <v>229</v>
      </c>
      <c r="CS1087" s="1" t="s">
        <v>1469</v>
      </c>
      <c r="CT1087" s="1" t="s">
        <v>277</v>
      </c>
      <c r="CU1087" s="1" t="s">
        <v>220</v>
      </c>
      <c r="CX1087" s="1" t="s">
        <v>224</v>
      </c>
      <c r="DB1087" s="1" t="s">
        <v>224</v>
      </c>
      <c r="DE1087" s="1" t="s">
        <v>933</v>
      </c>
      <c r="DF1087" s="1" t="s">
        <v>219</v>
      </c>
      <c r="DG1087" s="1" t="s">
        <v>229</v>
      </c>
      <c r="DI1087" s="1" t="s">
        <v>4808</v>
      </c>
      <c r="DJ1087" s="1" t="s">
        <v>43</v>
      </c>
      <c r="DK1087" s="1" t="s">
        <v>229</v>
      </c>
      <c r="DM1087" s="1" t="s">
        <v>1771</v>
      </c>
      <c r="DN1087" s="1" t="s">
        <v>1614</v>
      </c>
      <c r="DR1087" s="1" t="s">
        <v>2670</v>
      </c>
      <c r="DS1087" s="1" t="s">
        <v>277</v>
      </c>
      <c r="DT1087" s="1" t="s">
        <v>220</v>
      </c>
      <c r="DV1087" s="1" t="s">
        <v>318</v>
      </c>
      <c r="DW1087" s="1" t="s">
        <v>43</v>
      </c>
      <c r="DX1087" s="1" t="s">
        <v>342</v>
      </c>
      <c r="EA1087" s="1" t="s">
        <v>230</v>
      </c>
      <c r="EE1087" s="1" t="s">
        <v>230</v>
      </c>
      <c r="EI1087" s="1" t="s">
        <v>230</v>
      </c>
      <c r="EL1087" s="1" t="s">
        <v>605</v>
      </c>
      <c r="EM1087" s="1" t="s">
        <v>232</v>
      </c>
      <c r="EN1087" s="1" t="s">
        <v>282</v>
      </c>
      <c r="EO1087" s="1" t="s">
        <v>234</v>
      </c>
      <c r="EP1087" s="1" t="s">
        <v>2204</v>
      </c>
      <c r="EQ1087" s="1" t="s">
        <v>492</v>
      </c>
      <c r="ER1087" s="1" t="s">
        <v>544</v>
      </c>
      <c r="ES1087" s="1" t="s">
        <v>322</v>
      </c>
      <c r="EU1087" s="1" t="s">
        <v>546</v>
      </c>
      <c r="EV1087" s="1" t="s">
        <v>352</v>
      </c>
      <c r="EW1087" s="1" t="s">
        <v>1662</v>
      </c>
      <c r="EY1087" s="1" t="s">
        <v>441</v>
      </c>
      <c r="EZ1087" s="1" t="s">
        <v>5864</v>
      </c>
      <c r="FA1087" s="1" t="s">
        <v>471</v>
      </c>
      <c r="FB1087" s="1" t="s">
        <v>244</v>
      </c>
      <c r="FC1087" s="1" t="s">
        <v>548</v>
      </c>
      <c r="FD1087" s="1" t="s">
        <v>246</v>
      </c>
      <c r="FE1087" s="1" t="s">
        <v>247</v>
      </c>
      <c r="FF1087" s="1" t="s">
        <v>248</v>
      </c>
      <c r="FH1087" s="1" t="s">
        <v>249</v>
      </c>
      <c r="FJ1087" s="1" t="s">
        <v>518</v>
      </c>
      <c r="FK1087" s="1" t="s">
        <v>291</v>
      </c>
      <c r="FL1087" s="1" t="s">
        <v>292</v>
      </c>
      <c r="FM1087" s="1" t="s">
        <v>252</v>
      </c>
      <c r="FN1087" s="1" t="s">
        <v>213</v>
      </c>
      <c r="FO1087" s="1" t="s">
        <v>213</v>
      </c>
      <c r="FQ1087" s="1" t="s">
        <v>793</v>
      </c>
      <c r="FR1087" s="1" t="s">
        <v>652</v>
      </c>
      <c r="FS1087" s="1" t="s">
        <v>11554</v>
      </c>
      <c r="FT1087" s="1" t="s">
        <v>295</v>
      </c>
      <c r="FU1087" s="1" t="s">
        <v>204</v>
      </c>
      <c r="FW1087" s="1" t="s">
        <v>4125</v>
      </c>
      <c r="FX1087" s="1">
        <v>8073</v>
      </c>
      <c r="FY1087" s="1" t="s">
        <v>4126</v>
      </c>
      <c r="FZ1087" s="1" t="s">
        <v>11555</v>
      </c>
      <c r="GA1087" s="1">
        <v>253331</v>
      </c>
      <c r="GB1087" s="1" t="s">
        <v>11556</v>
      </c>
      <c r="GD1087" s="1" t="s">
        <v>11557</v>
      </c>
      <c r="GE1087" s="1" t="s">
        <v>210</v>
      </c>
      <c r="GI1087" s="1" t="s">
        <v>213</v>
      </c>
      <c r="GJ1087" s="1" t="s">
        <v>260</v>
      </c>
      <c r="GK1087" s="1" t="s">
        <v>210</v>
      </c>
      <c r="GL1087" s="2">
        <v>42089</v>
      </c>
      <c r="GM1087" s="1" t="s">
        <v>11558</v>
      </c>
    </row>
    <row r="1088" spans="1:195">
      <c r="A1088" s="1">
        <v>49500</v>
      </c>
      <c r="B1088" s="1" t="s">
        <v>195</v>
      </c>
      <c r="C1088" s="1" t="str">
        <f>"08842540"</f>
        <v>08842540</v>
      </c>
      <c r="D1088" s="1" t="s">
        <v>196</v>
      </c>
      <c r="F1088" s="1" t="str">
        <f>"8065"</f>
        <v>8065</v>
      </c>
      <c r="G1088" s="2">
        <v>42054</v>
      </c>
      <c r="H1088" s="1">
        <v>49500</v>
      </c>
      <c r="I1088" s="1">
        <v>49500</v>
      </c>
      <c r="J1088" s="1">
        <v>49500</v>
      </c>
      <c r="K1088" s="2">
        <v>42051</v>
      </c>
      <c r="L1088" s="1">
        <v>10</v>
      </c>
      <c r="M1088" s="2">
        <v>42060</v>
      </c>
      <c r="N1088" s="1">
        <v>10</v>
      </c>
      <c r="O1088" s="2">
        <v>42060</v>
      </c>
      <c r="P1088" s="1">
        <v>15920</v>
      </c>
      <c r="Q1088" s="1" t="s">
        <v>197</v>
      </c>
      <c r="R1088" s="2">
        <v>42130</v>
      </c>
      <c r="S1088" s="1">
        <v>125398</v>
      </c>
      <c r="T1088" s="1">
        <v>1485</v>
      </c>
      <c r="U1088" s="1">
        <v>4061</v>
      </c>
      <c r="V1088" s="1" t="s">
        <v>4294</v>
      </c>
      <c r="W1088" s="1" t="s">
        <v>725</v>
      </c>
      <c r="X1088" s="1" t="s">
        <v>9641</v>
      </c>
      <c r="Y1088" s="1">
        <v>6</v>
      </c>
      <c r="Z1088" s="1" t="s">
        <v>370</v>
      </c>
      <c r="AA1088" s="1" t="s">
        <v>400</v>
      </c>
      <c r="AB1088" s="1">
        <v>60629</v>
      </c>
      <c r="AE1088" s="1" t="s">
        <v>11559</v>
      </c>
      <c r="AF1088" s="1" t="s">
        <v>402</v>
      </c>
      <c r="AG1088" s="1" t="s">
        <v>213</v>
      </c>
      <c r="AH1088" s="1" t="s">
        <v>403</v>
      </c>
      <c r="AI1088" s="1" t="s">
        <v>310</v>
      </c>
      <c r="AJ1088" s="1" t="s">
        <v>683</v>
      </c>
      <c r="AL1088" s="1">
        <v>4</v>
      </c>
      <c r="AM1088" s="1">
        <v>2</v>
      </c>
      <c r="AN1088" s="1">
        <v>1</v>
      </c>
      <c r="AO1088" s="1">
        <v>0</v>
      </c>
      <c r="AP1088" s="1" t="s">
        <v>210</v>
      </c>
      <c r="AR1088" s="1" t="s">
        <v>210</v>
      </c>
      <c r="AS1088" s="1" t="s">
        <v>204</v>
      </c>
      <c r="AT1088" s="1" t="s">
        <v>271</v>
      </c>
      <c r="AV1088" s="1">
        <v>1</v>
      </c>
      <c r="AW1088" s="1" t="s">
        <v>204</v>
      </c>
      <c r="AX1088" s="1" t="s">
        <v>11560</v>
      </c>
      <c r="AZ1088" s="1">
        <v>1085</v>
      </c>
      <c r="BA1088" s="1">
        <v>2013</v>
      </c>
      <c r="BB1088" s="1" t="s">
        <v>210</v>
      </c>
      <c r="BE1088" s="1">
        <v>760</v>
      </c>
      <c r="BF1088" s="1">
        <v>1</v>
      </c>
      <c r="BG1088" s="1">
        <v>0</v>
      </c>
      <c r="BL1088" s="1">
        <v>250</v>
      </c>
      <c r="BM1088" s="1" t="s">
        <v>413</v>
      </c>
      <c r="BN1088" s="1" t="s">
        <v>204</v>
      </c>
      <c r="BP1088" s="1" t="s">
        <v>204</v>
      </c>
      <c r="BR1088" s="1" t="str">
        <f>"19222060411002"</f>
        <v>19222060411002</v>
      </c>
      <c r="BT1088" s="1" t="s">
        <v>11561</v>
      </c>
      <c r="BX1088" s="1">
        <v>299</v>
      </c>
      <c r="BY1088" s="1">
        <v>299</v>
      </c>
      <c r="BZ1088" s="1">
        <v>299</v>
      </c>
      <c r="CB1088" s="1" t="str">
        <f t="shared" ref="CB1088:CC1088" si="840">"0"</f>
        <v>0</v>
      </c>
      <c r="CC1088" s="1" t="str">
        <f t="shared" si="840"/>
        <v>0</v>
      </c>
      <c r="CD1088" s="1">
        <v>4061</v>
      </c>
      <c r="CE1088" s="1">
        <v>6300</v>
      </c>
      <c r="CG1088" s="1" t="s">
        <v>280</v>
      </c>
      <c r="CH1088" s="1" t="s">
        <v>219</v>
      </c>
      <c r="CI1088" s="1" t="s">
        <v>438</v>
      </c>
      <c r="CK1088" s="1" t="s">
        <v>1107</v>
      </c>
      <c r="CL1088" s="1" t="s">
        <v>219</v>
      </c>
      <c r="CM1088" s="1" t="s">
        <v>438</v>
      </c>
      <c r="CP1088" s="1" t="s">
        <v>224</v>
      </c>
      <c r="CS1088" s="1" t="s">
        <v>1046</v>
      </c>
      <c r="CT1088" s="1" t="s">
        <v>219</v>
      </c>
      <c r="CU1088" s="1" t="s">
        <v>438</v>
      </c>
      <c r="CX1088" s="1" t="s">
        <v>224</v>
      </c>
      <c r="DB1088" s="1" t="s">
        <v>224</v>
      </c>
      <c r="DE1088" s="1" t="s">
        <v>318</v>
      </c>
      <c r="DF1088" s="1" t="s">
        <v>219</v>
      </c>
      <c r="DJ1088" s="1" t="s">
        <v>224</v>
      </c>
      <c r="DS1088" s="1" t="s">
        <v>230</v>
      </c>
      <c r="DW1088" s="1" t="s">
        <v>230</v>
      </c>
      <c r="EA1088" s="1" t="s">
        <v>230</v>
      </c>
      <c r="EE1088" s="1" t="s">
        <v>230</v>
      </c>
      <c r="EI1088" s="1" t="s">
        <v>230</v>
      </c>
      <c r="EL1088" s="1" t="s">
        <v>413</v>
      </c>
      <c r="EM1088" s="1" t="s">
        <v>232</v>
      </c>
      <c r="EN1088" s="1" t="s">
        <v>210</v>
      </c>
      <c r="EO1088" s="1" t="s">
        <v>234</v>
      </c>
      <c r="ER1088" s="1" t="s">
        <v>210</v>
      </c>
      <c r="EU1088" s="1" t="s">
        <v>1820</v>
      </c>
      <c r="EW1088" s="1" t="s">
        <v>11562</v>
      </c>
      <c r="EZ1088" s="1" t="s">
        <v>287</v>
      </c>
      <c r="FD1088" s="1" t="s">
        <v>1112</v>
      </c>
      <c r="FE1088" s="1" t="s">
        <v>247</v>
      </c>
      <c r="FF1088" s="1" t="s">
        <v>248</v>
      </c>
      <c r="FH1088" s="1" t="s">
        <v>249</v>
      </c>
      <c r="FK1088" s="1" t="s">
        <v>2076</v>
      </c>
      <c r="FL1088" s="1" t="s">
        <v>414</v>
      </c>
      <c r="FM1088" s="1" t="s">
        <v>252</v>
      </c>
      <c r="FN1088" s="1" t="s">
        <v>213</v>
      </c>
      <c r="FO1088" s="1" t="s">
        <v>213</v>
      </c>
      <c r="FQ1088" s="1" t="s">
        <v>582</v>
      </c>
      <c r="FR1088" s="1" t="s">
        <v>210</v>
      </c>
      <c r="FS1088" s="1" t="s">
        <v>552</v>
      </c>
      <c r="FT1088" s="1" t="s">
        <v>584</v>
      </c>
      <c r="FU1088" s="1" t="s">
        <v>204</v>
      </c>
      <c r="FW1088" s="1" t="s">
        <v>8768</v>
      </c>
      <c r="FX1088" s="1">
        <v>15920</v>
      </c>
      <c r="FY1088" s="1" t="s">
        <v>8769</v>
      </c>
      <c r="FZ1088" s="1" t="s">
        <v>8770</v>
      </c>
      <c r="GA1088" s="1">
        <v>125398</v>
      </c>
      <c r="GB1088" s="1" t="s">
        <v>8769</v>
      </c>
      <c r="GE1088" s="1" t="s">
        <v>210</v>
      </c>
      <c r="GH1088" s="1" t="s">
        <v>589</v>
      </c>
      <c r="GI1088" s="1" t="s">
        <v>204</v>
      </c>
      <c r="GJ1088" s="1" t="s">
        <v>260</v>
      </c>
      <c r="GK1088" s="1" t="s">
        <v>210</v>
      </c>
      <c r="GL1088" s="2">
        <v>42133</v>
      </c>
      <c r="GM1088" s="1" t="s">
        <v>11563</v>
      </c>
    </row>
    <row r="1089" spans="1:195">
      <c r="A1089" s="1">
        <v>108000</v>
      </c>
      <c r="B1089" s="1" t="s">
        <v>195</v>
      </c>
      <c r="C1089" s="1" t="str">
        <f>"08843572"</f>
        <v>08843572</v>
      </c>
      <c r="D1089" s="1" t="s">
        <v>196</v>
      </c>
      <c r="F1089" s="1" t="str">
        <f>"46"</f>
        <v>46</v>
      </c>
      <c r="G1089" s="2">
        <v>42055</v>
      </c>
      <c r="H1089" s="1">
        <v>109900</v>
      </c>
      <c r="I1089" s="1">
        <v>109900</v>
      </c>
      <c r="J1089" s="1">
        <v>108000</v>
      </c>
      <c r="K1089" s="2">
        <v>42055</v>
      </c>
      <c r="L1089" s="1">
        <v>65</v>
      </c>
      <c r="M1089" s="2">
        <v>42065</v>
      </c>
      <c r="N1089" s="1">
        <v>11</v>
      </c>
      <c r="O1089" s="2">
        <v>42065</v>
      </c>
      <c r="P1089" s="1">
        <v>2512</v>
      </c>
      <c r="Q1089" s="1" t="s">
        <v>423</v>
      </c>
      <c r="R1089" s="2">
        <v>42117</v>
      </c>
      <c r="S1089" s="1">
        <v>11383</v>
      </c>
      <c r="U1089" s="1">
        <v>3091</v>
      </c>
      <c r="V1089" s="1" t="s">
        <v>2771</v>
      </c>
      <c r="W1089" s="1" t="s">
        <v>504</v>
      </c>
      <c r="Y1089" s="1">
        <v>6</v>
      </c>
      <c r="Z1089" s="1" t="s">
        <v>370</v>
      </c>
      <c r="AA1089" s="1" t="s">
        <v>2772</v>
      </c>
      <c r="AB1089" s="1">
        <v>60046</v>
      </c>
      <c r="AD1089" s="1" t="s">
        <v>2773</v>
      </c>
      <c r="AE1089" s="1" t="s">
        <v>11564</v>
      </c>
      <c r="AF1089" s="1">
        <v>1999</v>
      </c>
      <c r="AG1089" s="1" t="s">
        <v>204</v>
      </c>
      <c r="AH1089" s="1" t="s">
        <v>2775</v>
      </c>
      <c r="AI1089" s="1" t="s">
        <v>509</v>
      </c>
      <c r="AJ1089" s="1" t="s">
        <v>1437</v>
      </c>
      <c r="AL1089" s="1">
        <v>5</v>
      </c>
      <c r="AM1089" s="1">
        <v>2</v>
      </c>
      <c r="AN1089" s="1">
        <v>2</v>
      </c>
      <c r="AO1089" s="1">
        <v>0</v>
      </c>
      <c r="AP1089" s="1" t="s">
        <v>667</v>
      </c>
      <c r="AQ1089" s="1">
        <v>1</v>
      </c>
      <c r="AR1089" s="1" t="s">
        <v>210</v>
      </c>
      <c r="AS1089" s="1" t="s">
        <v>204</v>
      </c>
      <c r="AT1089" s="1" t="s">
        <v>211</v>
      </c>
      <c r="AU1089" s="1">
        <v>1</v>
      </c>
      <c r="AW1089" s="1" t="s">
        <v>204</v>
      </c>
      <c r="AX1089" s="1" t="s">
        <v>212</v>
      </c>
      <c r="AZ1089" s="1">
        <v>2547.86</v>
      </c>
      <c r="BA1089" s="1">
        <v>2013</v>
      </c>
      <c r="BE1089" s="1">
        <v>1203</v>
      </c>
      <c r="BF1089" s="1">
        <v>1</v>
      </c>
      <c r="BG1089" s="1">
        <v>0</v>
      </c>
      <c r="BL1089" s="1">
        <v>150</v>
      </c>
      <c r="BM1089" s="1" t="s">
        <v>413</v>
      </c>
      <c r="BN1089" s="1" t="s">
        <v>213</v>
      </c>
      <c r="BO1089" s="1">
        <v>0</v>
      </c>
      <c r="BP1089" s="1" t="s">
        <v>204</v>
      </c>
      <c r="BR1089" s="1" t="str">
        <f>"06014040630000"</f>
        <v>06014040630000</v>
      </c>
      <c r="BT1089" s="1" t="s">
        <v>11565</v>
      </c>
      <c r="BX1089" s="1">
        <v>24</v>
      </c>
      <c r="BY1089" s="1">
        <v>24</v>
      </c>
      <c r="BZ1089" s="1">
        <v>127</v>
      </c>
      <c r="CB1089" s="1" t="str">
        <f t="shared" ref="CB1089:CC1089" si="841">""</f>
        <v/>
      </c>
      <c r="CC1089" s="1" t="str">
        <f t="shared" si="841"/>
        <v/>
      </c>
      <c r="CG1089" s="1" t="s">
        <v>539</v>
      </c>
      <c r="CH1089" s="1" t="s">
        <v>219</v>
      </c>
      <c r="CI1089" s="1" t="s">
        <v>220</v>
      </c>
      <c r="CK1089" s="1" t="s">
        <v>317</v>
      </c>
      <c r="CL1089" s="1" t="s">
        <v>219</v>
      </c>
      <c r="CM1089" s="1" t="s">
        <v>220</v>
      </c>
      <c r="CO1089" s="1" t="s">
        <v>539</v>
      </c>
      <c r="CP1089" s="1" t="s">
        <v>219</v>
      </c>
      <c r="CQ1089" s="1" t="s">
        <v>220</v>
      </c>
      <c r="CS1089" s="1" t="s">
        <v>346</v>
      </c>
      <c r="CT1089" s="1" t="s">
        <v>219</v>
      </c>
      <c r="CU1089" s="1" t="s">
        <v>220</v>
      </c>
      <c r="CX1089" s="1" t="s">
        <v>224</v>
      </c>
      <c r="DB1089" s="1" t="s">
        <v>224</v>
      </c>
      <c r="DE1089" s="1" t="s">
        <v>630</v>
      </c>
      <c r="DF1089" s="1" t="s">
        <v>219</v>
      </c>
      <c r="DG1089" s="1" t="s">
        <v>342</v>
      </c>
      <c r="DJ1089" s="1" t="s">
        <v>224</v>
      </c>
      <c r="DS1089" s="1" t="s">
        <v>230</v>
      </c>
      <c r="DW1089" s="1" t="s">
        <v>230</v>
      </c>
      <c r="EA1089" s="1" t="s">
        <v>230</v>
      </c>
      <c r="EE1089" s="1" t="s">
        <v>230</v>
      </c>
      <c r="EI1089" s="1" t="s">
        <v>230</v>
      </c>
      <c r="EL1089" s="1" t="s">
        <v>670</v>
      </c>
      <c r="EM1089" s="1" t="s">
        <v>319</v>
      </c>
      <c r="EN1089" s="1" t="s">
        <v>282</v>
      </c>
      <c r="EO1089" s="1" t="s">
        <v>234</v>
      </c>
      <c r="ER1089" s="1" t="s">
        <v>210</v>
      </c>
      <c r="EW1089" s="1" t="s">
        <v>11566</v>
      </c>
      <c r="EZ1089" s="1" t="s">
        <v>287</v>
      </c>
      <c r="FD1089" s="1" t="s">
        <v>246</v>
      </c>
      <c r="FE1089" s="1" t="s">
        <v>1031</v>
      </c>
      <c r="FF1089" s="1" t="s">
        <v>248</v>
      </c>
      <c r="FH1089" s="1" t="s">
        <v>550</v>
      </c>
      <c r="FL1089" s="1" t="s">
        <v>358</v>
      </c>
      <c r="FM1089" s="1" t="s">
        <v>252</v>
      </c>
      <c r="FN1089" s="1" t="s">
        <v>213</v>
      </c>
      <c r="FO1089" s="1" t="s">
        <v>213</v>
      </c>
      <c r="FQ1089" s="1" t="s">
        <v>582</v>
      </c>
      <c r="FR1089" s="1" t="s">
        <v>210</v>
      </c>
      <c r="FS1089" s="1" t="s">
        <v>583</v>
      </c>
      <c r="FT1089" s="1" t="s">
        <v>1828</v>
      </c>
      <c r="FU1089" s="1" t="s">
        <v>204</v>
      </c>
      <c r="FW1089" s="1" t="s">
        <v>585</v>
      </c>
      <c r="FX1089" s="1">
        <v>2050</v>
      </c>
      <c r="FY1089" s="1" t="s">
        <v>4207</v>
      </c>
      <c r="FZ1089" s="1" t="s">
        <v>5766</v>
      </c>
      <c r="GA1089" s="1">
        <v>18950</v>
      </c>
      <c r="GB1089" s="1" t="s">
        <v>5767</v>
      </c>
      <c r="GC1089" s="1">
        <v>35055</v>
      </c>
      <c r="GD1089" s="1" t="s">
        <v>5768</v>
      </c>
      <c r="GE1089" s="1" t="s">
        <v>210</v>
      </c>
      <c r="GI1089" s="1" t="s">
        <v>213</v>
      </c>
      <c r="GJ1089" s="1" t="s">
        <v>260</v>
      </c>
      <c r="GK1089" s="1" t="s">
        <v>210</v>
      </c>
      <c r="GL1089" s="2">
        <v>42117</v>
      </c>
      <c r="GM1089" s="1" t="s">
        <v>11567</v>
      </c>
    </row>
    <row r="1090" spans="1:195">
      <c r="A1090" s="1">
        <v>167000</v>
      </c>
      <c r="B1090" s="1" t="s">
        <v>195</v>
      </c>
      <c r="C1090" s="1" t="str">
        <f>"08843975"</f>
        <v>08843975</v>
      </c>
      <c r="D1090" s="1" t="s">
        <v>196</v>
      </c>
      <c r="F1090" s="1" t="str">
        <f>"188"</f>
        <v>188</v>
      </c>
      <c r="G1090" s="2">
        <v>42057</v>
      </c>
      <c r="H1090" s="1">
        <v>166000</v>
      </c>
      <c r="I1090" s="1">
        <v>166000</v>
      </c>
      <c r="J1090" s="1">
        <v>167000</v>
      </c>
      <c r="K1090" s="2">
        <v>42057</v>
      </c>
      <c r="L1090" s="1">
        <v>415</v>
      </c>
      <c r="M1090" s="2">
        <v>42061</v>
      </c>
      <c r="N1090" s="1">
        <v>5</v>
      </c>
      <c r="O1090" s="2">
        <v>42061</v>
      </c>
      <c r="P1090" s="1">
        <v>25244</v>
      </c>
      <c r="Q1090" s="1" t="s">
        <v>423</v>
      </c>
      <c r="R1090" s="2">
        <v>42118</v>
      </c>
      <c r="S1090" s="1">
        <v>253833</v>
      </c>
      <c r="U1090" s="1">
        <v>243</v>
      </c>
      <c r="V1090" s="1" t="s">
        <v>3639</v>
      </c>
      <c r="W1090" s="1" t="s">
        <v>504</v>
      </c>
      <c r="X1090" s="1">
        <v>243</v>
      </c>
      <c r="Y1090" s="1">
        <v>5</v>
      </c>
      <c r="Z1090" s="1" t="s">
        <v>249</v>
      </c>
      <c r="AA1090" s="1" t="s">
        <v>1084</v>
      </c>
      <c r="AB1090" s="1">
        <v>60188</v>
      </c>
      <c r="AD1090" s="1" t="s">
        <v>11568</v>
      </c>
      <c r="AE1090" s="1" t="s">
        <v>11569</v>
      </c>
      <c r="AF1090" s="1">
        <v>1996</v>
      </c>
      <c r="AG1090" s="1" t="s">
        <v>204</v>
      </c>
      <c r="AH1090" s="1" t="s">
        <v>1087</v>
      </c>
      <c r="AI1090" s="1" t="s">
        <v>206</v>
      </c>
      <c r="AJ1090" s="1" t="s">
        <v>207</v>
      </c>
      <c r="AK1090" s="1" t="s">
        <v>4729</v>
      </c>
      <c r="AL1090" s="1">
        <v>6</v>
      </c>
      <c r="AM1090" s="1">
        <v>2</v>
      </c>
      <c r="AN1090" s="1">
        <v>2</v>
      </c>
      <c r="AO1090" s="1">
        <v>1</v>
      </c>
      <c r="AP1090" s="1" t="s">
        <v>209</v>
      </c>
      <c r="AQ1090" s="1">
        <v>1</v>
      </c>
      <c r="AR1090" s="1" t="s">
        <v>210</v>
      </c>
      <c r="AS1090" s="1" t="s">
        <v>204</v>
      </c>
      <c r="AT1090" s="1" t="s">
        <v>211</v>
      </c>
      <c r="AU1090" s="1">
        <v>1</v>
      </c>
      <c r="AW1090" s="1" t="s">
        <v>204</v>
      </c>
      <c r="AX1090" s="1" t="s">
        <v>212</v>
      </c>
      <c r="AZ1090" s="1">
        <v>4808</v>
      </c>
      <c r="BA1090" s="1">
        <v>2013</v>
      </c>
      <c r="BE1090" s="1">
        <v>1660</v>
      </c>
      <c r="BF1090" s="1">
        <v>1</v>
      </c>
      <c r="BG1090" s="1">
        <v>0</v>
      </c>
      <c r="BL1090" s="1">
        <v>163</v>
      </c>
      <c r="BM1090" s="1" t="s">
        <v>204</v>
      </c>
      <c r="BN1090" s="1" t="s">
        <v>213</v>
      </c>
      <c r="BO1090" s="1" t="s">
        <v>432</v>
      </c>
      <c r="BP1090" s="1" t="s">
        <v>204</v>
      </c>
      <c r="BR1090" s="1" t="str">
        <f>"0503110197"</f>
        <v>0503110197</v>
      </c>
      <c r="BT1090" s="1" t="s">
        <v>11570</v>
      </c>
      <c r="BU1090" s="1" t="s">
        <v>2167</v>
      </c>
      <c r="BV1090" s="1" t="s">
        <v>2168</v>
      </c>
      <c r="BW1090" s="1" t="s">
        <v>1092</v>
      </c>
      <c r="BX1090" s="1">
        <v>41</v>
      </c>
      <c r="BY1090" s="1">
        <v>41</v>
      </c>
      <c r="BZ1090" s="1">
        <v>87</v>
      </c>
      <c r="CB1090" s="1" t="str">
        <f t="shared" ref="CB1090:CC1090" si="842">""</f>
        <v/>
      </c>
      <c r="CC1090" s="1" t="str">
        <f t="shared" si="842"/>
        <v/>
      </c>
      <c r="CG1090" s="1" t="s">
        <v>648</v>
      </c>
      <c r="CH1090" s="1" t="s">
        <v>219</v>
      </c>
      <c r="CK1090" s="1" t="s">
        <v>437</v>
      </c>
      <c r="CL1090" s="1" t="s">
        <v>277</v>
      </c>
      <c r="CO1090" s="1" t="s">
        <v>2031</v>
      </c>
      <c r="CP1090" s="1" t="s">
        <v>219</v>
      </c>
      <c r="CS1090" s="1" t="s">
        <v>346</v>
      </c>
      <c r="CT1090" s="1" t="s">
        <v>277</v>
      </c>
      <c r="CX1090" s="1" t="s">
        <v>224</v>
      </c>
      <c r="DB1090" s="1" t="s">
        <v>224</v>
      </c>
      <c r="DE1090" s="1" t="s">
        <v>951</v>
      </c>
      <c r="DF1090" s="1" t="s">
        <v>219</v>
      </c>
      <c r="DJ1090" s="1" t="s">
        <v>224</v>
      </c>
      <c r="DM1090" s="1" t="s">
        <v>464</v>
      </c>
      <c r="DR1090" s="1" t="s">
        <v>786</v>
      </c>
      <c r="DS1090" s="1" t="s">
        <v>277</v>
      </c>
      <c r="DW1090" s="1" t="s">
        <v>230</v>
      </c>
      <c r="EA1090" s="1" t="s">
        <v>230</v>
      </c>
      <c r="EE1090" s="1" t="s">
        <v>230</v>
      </c>
      <c r="EI1090" s="1" t="s">
        <v>230</v>
      </c>
      <c r="EL1090" s="1" t="s">
        <v>670</v>
      </c>
      <c r="EM1090" s="1" t="s">
        <v>319</v>
      </c>
      <c r="EN1090" s="1" t="s">
        <v>282</v>
      </c>
      <c r="EO1090" s="1" t="s">
        <v>234</v>
      </c>
      <c r="ER1090" s="1" t="s">
        <v>383</v>
      </c>
      <c r="ES1090" s="1" t="s">
        <v>322</v>
      </c>
      <c r="EV1090" s="1" t="s">
        <v>240</v>
      </c>
      <c r="EW1090" s="1" t="s">
        <v>353</v>
      </c>
      <c r="EZ1090" s="1" t="s">
        <v>464</v>
      </c>
      <c r="FB1090" s="1" t="s">
        <v>289</v>
      </c>
      <c r="FC1090" s="1" t="s">
        <v>1386</v>
      </c>
      <c r="FD1090" s="1" t="s">
        <v>246</v>
      </c>
      <c r="FE1090" s="1" t="s">
        <v>1220</v>
      </c>
      <c r="FF1090" s="1" t="s">
        <v>248</v>
      </c>
      <c r="FG1090" s="1" t="s">
        <v>871</v>
      </c>
      <c r="FH1090" s="1" t="s">
        <v>249</v>
      </c>
      <c r="FI1090" s="1" t="s">
        <v>473</v>
      </c>
      <c r="FL1090" s="1" t="s">
        <v>358</v>
      </c>
      <c r="FM1090" s="1" t="s">
        <v>252</v>
      </c>
      <c r="FN1090" s="1" t="s">
        <v>213</v>
      </c>
      <c r="FO1090" s="1" t="s">
        <v>213</v>
      </c>
      <c r="FQ1090" s="1" t="s">
        <v>2091</v>
      </c>
      <c r="FR1090" s="1" t="s">
        <v>360</v>
      </c>
      <c r="FS1090" s="1" t="s">
        <v>11571</v>
      </c>
      <c r="FT1090" s="1" t="s">
        <v>675</v>
      </c>
      <c r="FU1090" s="1" t="s">
        <v>204</v>
      </c>
      <c r="FW1090" s="1" t="s">
        <v>11572</v>
      </c>
      <c r="FX1090" s="1">
        <v>21517</v>
      </c>
      <c r="FY1090" s="1" t="s">
        <v>11573</v>
      </c>
      <c r="FZ1090" s="1" t="s">
        <v>11574</v>
      </c>
      <c r="GA1090" s="1">
        <v>221157</v>
      </c>
      <c r="GB1090" s="1" t="s">
        <v>11573</v>
      </c>
      <c r="GE1090" s="1" t="s">
        <v>480</v>
      </c>
      <c r="GI1090" s="1" t="s">
        <v>213</v>
      </c>
      <c r="GJ1090" s="1" t="s">
        <v>260</v>
      </c>
      <c r="GK1090" s="1" t="s">
        <v>210</v>
      </c>
      <c r="GL1090" s="2">
        <v>42118</v>
      </c>
      <c r="GM1090" s="1" t="s">
        <v>11575</v>
      </c>
    </row>
    <row r="1091" spans="1:195">
      <c r="A1091" s="1">
        <v>155000</v>
      </c>
      <c r="B1091" s="1" t="s">
        <v>195</v>
      </c>
      <c r="C1091" s="1" t="str">
        <f>"08847319"</f>
        <v>08847319</v>
      </c>
      <c r="D1091" s="1" t="s">
        <v>196</v>
      </c>
      <c r="F1091" s="1" t="str">
        <f>"177"</f>
        <v>177</v>
      </c>
      <c r="G1091" s="2">
        <v>42061</v>
      </c>
      <c r="H1091" s="1">
        <v>159000</v>
      </c>
      <c r="I1091" s="1">
        <v>159000</v>
      </c>
      <c r="J1091" s="1">
        <v>155000</v>
      </c>
      <c r="K1091" s="2">
        <v>42061</v>
      </c>
      <c r="L1091" s="1">
        <v>101</v>
      </c>
      <c r="M1091" s="2">
        <v>42075</v>
      </c>
      <c r="N1091" s="1">
        <v>15</v>
      </c>
      <c r="O1091" s="2">
        <v>42075</v>
      </c>
      <c r="P1091" s="1">
        <v>30</v>
      </c>
      <c r="Q1091" s="1" t="s">
        <v>197</v>
      </c>
      <c r="R1091" s="2">
        <v>42136</v>
      </c>
      <c r="S1091" s="1">
        <v>783</v>
      </c>
      <c r="U1091" s="1">
        <v>210</v>
      </c>
      <c r="V1091" s="1" t="s">
        <v>11576</v>
      </c>
      <c r="W1091" s="1" t="s">
        <v>264</v>
      </c>
      <c r="X1091" s="1" t="s">
        <v>483</v>
      </c>
      <c r="Y1091" s="1">
        <v>6</v>
      </c>
      <c r="Z1091" s="1" t="s">
        <v>249</v>
      </c>
      <c r="AA1091" s="1" t="s">
        <v>1461</v>
      </c>
      <c r="AB1091" s="1">
        <v>60177</v>
      </c>
      <c r="AD1091" s="1" t="s">
        <v>10678</v>
      </c>
      <c r="AE1091" s="1" t="s">
        <v>11577</v>
      </c>
      <c r="AF1091" s="1">
        <v>2001</v>
      </c>
      <c r="AG1091" s="1" t="s">
        <v>204</v>
      </c>
      <c r="AH1091" s="1" t="s">
        <v>1464</v>
      </c>
      <c r="AI1091" s="1" t="s">
        <v>665</v>
      </c>
      <c r="AJ1091" s="1" t="s">
        <v>1175</v>
      </c>
      <c r="AL1091" s="1">
        <v>6</v>
      </c>
      <c r="AM1091" s="1">
        <v>2</v>
      </c>
      <c r="AN1091" s="1">
        <v>2</v>
      </c>
      <c r="AO1091" s="1">
        <v>1</v>
      </c>
      <c r="AP1091" s="1" t="s">
        <v>209</v>
      </c>
      <c r="AR1091" s="1" t="s">
        <v>210</v>
      </c>
      <c r="AS1091" s="1" t="s">
        <v>204</v>
      </c>
      <c r="AT1091" s="1" t="s">
        <v>211</v>
      </c>
      <c r="AU1091" s="1">
        <v>2</v>
      </c>
      <c r="AW1091" s="1" t="s">
        <v>204</v>
      </c>
      <c r="AX1091" s="1" t="s">
        <v>212</v>
      </c>
      <c r="AZ1091" s="1">
        <v>4475</v>
      </c>
      <c r="BA1091" s="1">
        <v>2013</v>
      </c>
      <c r="BB1091" s="1" t="s">
        <v>210</v>
      </c>
      <c r="BE1091" s="1">
        <v>1442</v>
      </c>
      <c r="BF1091" s="1">
        <v>1</v>
      </c>
      <c r="BG1091" s="1">
        <v>0</v>
      </c>
      <c r="BJ1091" s="1">
        <v>100</v>
      </c>
      <c r="BL1091" s="1">
        <v>146</v>
      </c>
      <c r="BM1091" s="1" t="s">
        <v>204</v>
      </c>
      <c r="BN1091" s="1" t="s">
        <v>213</v>
      </c>
      <c r="BO1091" s="1">
        <v>999</v>
      </c>
      <c r="BP1091" s="1" t="s">
        <v>204</v>
      </c>
      <c r="BR1091" s="1" t="str">
        <f>"0632327013"</f>
        <v>0632327013</v>
      </c>
      <c r="BT1091" s="1" t="s">
        <v>11578</v>
      </c>
      <c r="BU1091" s="1" t="s">
        <v>8222</v>
      </c>
      <c r="BV1091" s="1" t="s">
        <v>11579</v>
      </c>
      <c r="BW1091" s="1" t="s">
        <v>4719</v>
      </c>
      <c r="BX1091" s="1">
        <v>303</v>
      </c>
      <c r="BY1091" s="1">
        <v>303</v>
      </c>
      <c r="BZ1091" s="1">
        <v>303</v>
      </c>
      <c r="CB1091" s="1" t="str">
        <f>"8"</f>
        <v>8</v>
      </c>
      <c r="CC1091" s="1" t="str">
        <f>"0"</f>
        <v>0</v>
      </c>
      <c r="CD1091" s="1">
        <v>37</v>
      </c>
      <c r="CE1091" s="1">
        <v>0</v>
      </c>
      <c r="CG1091" s="1" t="s">
        <v>9891</v>
      </c>
      <c r="CH1091" s="1" t="s">
        <v>219</v>
      </c>
      <c r="CI1091" s="1" t="s">
        <v>229</v>
      </c>
      <c r="CK1091" s="1" t="s">
        <v>757</v>
      </c>
      <c r="CL1091" s="1" t="s">
        <v>277</v>
      </c>
      <c r="CM1091" s="1" t="s">
        <v>220</v>
      </c>
      <c r="CO1091" s="1" t="s">
        <v>281</v>
      </c>
      <c r="CP1091" s="1" t="s">
        <v>219</v>
      </c>
      <c r="CQ1091" s="1" t="s">
        <v>229</v>
      </c>
      <c r="CS1091" s="1" t="s">
        <v>1297</v>
      </c>
      <c r="CT1091" s="1" t="s">
        <v>277</v>
      </c>
      <c r="CU1091" s="1" t="s">
        <v>220</v>
      </c>
      <c r="CX1091" s="1" t="s">
        <v>224</v>
      </c>
      <c r="DB1091" s="1" t="s">
        <v>224</v>
      </c>
      <c r="DE1091" s="1" t="s">
        <v>786</v>
      </c>
      <c r="DF1091" s="1" t="s">
        <v>219</v>
      </c>
      <c r="DG1091" s="1" t="s">
        <v>226</v>
      </c>
      <c r="DH1091" s="1" t="s">
        <v>210</v>
      </c>
      <c r="DJ1091" s="1" t="s">
        <v>224</v>
      </c>
      <c r="DM1091" s="1" t="s">
        <v>464</v>
      </c>
      <c r="DR1091" s="1" t="s">
        <v>346</v>
      </c>
      <c r="DS1091" s="1" t="s">
        <v>277</v>
      </c>
      <c r="DT1091" s="1" t="s">
        <v>220</v>
      </c>
      <c r="DW1091" s="1" t="s">
        <v>230</v>
      </c>
      <c r="EA1091" s="1" t="s">
        <v>230</v>
      </c>
      <c r="EE1091" s="1" t="s">
        <v>230</v>
      </c>
      <c r="EI1091" s="1" t="s">
        <v>230</v>
      </c>
      <c r="EL1091" s="1" t="s">
        <v>466</v>
      </c>
      <c r="EM1091" s="1" t="s">
        <v>319</v>
      </c>
      <c r="EN1091" s="1" t="s">
        <v>282</v>
      </c>
      <c r="EO1091" s="1" t="s">
        <v>234</v>
      </c>
      <c r="EP1091" s="1" t="s">
        <v>11580</v>
      </c>
      <c r="EQ1091" s="1" t="s">
        <v>468</v>
      </c>
      <c r="ER1091" s="1" t="s">
        <v>383</v>
      </c>
      <c r="ES1091" s="1" t="s">
        <v>1552</v>
      </c>
      <c r="EU1091" s="1" t="s">
        <v>239</v>
      </c>
      <c r="EV1091" s="1" t="s">
        <v>324</v>
      </c>
      <c r="EW1091" s="1" t="s">
        <v>3255</v>
      </c>
      <c r="EY1091" s="1" t="s">
        <v>790</v>
      </c>
      <c r="EZ1091" s="1" t="s">
        <v>464</v>
      </c>
      <c r="FA1091" s="1" t="s">
        <v>4742</v>
      </c>
      <c r="FB1091" s="1" t="s">
        <v>289</v>
      </c>
      <c r="FD1091" s="1" t="s">
        <v>246</v>
      </c>
      <c r="FE1091" s="1" t="s">
        <v>975</v>
      </c>
      <c r="FF1091" s="1" t="s">
        <v>248</v>
      </c>
      <c r="FH1091" s="1" t="s">
        <v>550</v>
      </c>
      <c r="FI1091" s="1" t="s">
        <v>473</v>
      </c>
      <c r="FJ1091" s="1" t="s">
        <v>197</v>
      </c>
      <c r="FL1091" s="1" t="s">
        <v>358</v>
      </c>
      <c r="FM1091" s="1" t="s">
        <v>252</v>
      </c>
      <c r="FN1091" s="1" t="s">
        <v>213</v>
      </c>
      <c r="FO1091" s="1" t="s">
        <v>213</v>
      </c>
      <c r="FQ1091" s="1" t="s">
        <v>293</v>
      </c>
      <c r="FR1091" s="1" t="s">
        <v>652</v>
      </c>
      <c r="FS1091" s="1" t="s">
        <v>11581</v>
      </c>
      <c r="FT1091" s="1" t="s">
        <v>295</v>
      </c>
      <c r="FU1091" s="1" t="s">
        <v>204</v>
      </c>
      <c r="FW1091" s="1" t="s">
        <v>256</v>
      </c>
      <c r="FX1091" s="1">
        <v>8079</v>
      </c>
      <c r="FY1091" s="1" t="s">
        <v>3625</v>
      </c>
      <c r="FZ1091" s="1" t="s">
        <v>5062</v>
      </c>
      <c r="GA1091" s="1">
        <v>920884</v>
      </c>
      <c r="GB1091" s="1" t="s">
        <v>5063</v>
      </c>
      <c r="GE1091" s="1" t="s">
        <v>210</v>
      </c>
      <c r="GI1091" s="1" t="s">
        <v>213</v>
      </c>
      <c r="GJ1091" s="1" t="s">
        <v>260</v>
      </c>
      <c r="GK1091" s="1" t="s">
        <v>261</v>
      </c>
      <c r="GL1091" s="2">
        <v>42136</v>
      </c>
    </row>
    <row r="1092" spans="1:195">
      <c r="A1092" s="1">
        <v>73000</v>
      </c>
      <c r="B1092" s="1" t="s">
        <v>195</v>
      </c>
      <c r="C1092" s="1" t="str">
        <f>"08851231"</f>
        <v>08851231</v>
      </c>
      <c r="D1092" s="1" t="s">
        <v>196</v>
      </c>
      <c r="F1092" s="1" t="str">
        <f>"515"</f>
        <v>515</v>
      </c>
      <c r="G1092" s="2">
        <v>42066</v>
      </c>
      <c r="H1092" s="1">
        <v>85000</v>
      </c>
      <c r="I1092" s="1">
        <v>85000</v>
      </c>
      <c r="J1092" s="1">
        <v>73000</v>
      </c>
      <c r="K1092" s="2">
        <v>42065</v>
      </c>
      <c r="L1092" s="1">
        <v>5</v>
      </c>
      <c r="M1092" s="2">
        <v>42069</v>
      </c>
      <c r="N1092" s="1">
        <v>5</v>
      </c>
      <c r="O1092" s="2">
        <v>42069</v>
      </c>
      <c r="P1092" s="1">
        <v>22667</v>
      </c>
      <c r="Q1092" s="1" t="s">
        <v>302</v>
      </c>
      <c r="R1092" s="2">
        <v>42089</v>
      </c>
      <c r="S1092" s="1">
        <v>228882</v>
      </c>
      <c r="T1092" s="1">
        <v>1955</v>
      </c>
      <c r="U1092" s="1">
        <v>2800</v>
      </c>
      <c r="V1092" s="1" t="s">
        <v>3963</v>
      </c>
      <c r="W1092" s="1" t="s">
        <v>425</v>
      </c>
      <c r="X1092" s="1" t="s">
        <v>11582</v>
      </c>
      <c r="Y1092" s="1">
        <v>108</v>
      </c>
      <c r="Z1092" s="1" t="s">
        <v>249</v>
      </c>
      <c r="AA1092" s="1" t="s">
        <v>1294</v>
      </c>
      <c r="AB1092" s="1">
        <v>60515</v>
      </c>
      <c r="AD1092" s="1" t="s">
        <v>10797</v>
      </c>
      <c r="AE1092" s="1" t="s">
        <v>11583</v>
      </c>
      <c r="AF1092" s="1">
        <v>1966</v>
      </c>
      <c r="AG1092" s="1" t="s">
        <v>213</v>
      </c>
      <c r="AH1092" s="1" t="s">
        <v>903</v>
      </c>
      <c r="AI1092" s="1" t="s">
        <v>206</v>
      </c>
      <c r="AJ1092" s="1" t="s">
        <v>903</v>
      </c>
      <c r="AK1092" s="1" t="s">
        <v>11584</v>
      </c>
      <c r="AL1092" s="1">
        <v>5</v>
      </c>
      <c r="AM1092" s="1">
        <v>2</v>
      </c>
      <c r="AN1092" s="1">
        <v>1</v>
      </c>
      <c r="AO1092" s="1">
        <v>0</v>
      </c>
      <c r="AP1092" s="1" t="s">
        <v>210</v>
      </c>
      <c r="AR1092" s="1" t="s">
        <v>210</v>
      </c>
      <c r="AT1092" s="1" t="s">
        <v>271</v>
      </c>
      <c r="AV1092" s="1">
        <v>1</v>
      </c>
      <c r="AW1092" s="1" t="s">
        <v>204</v>
      </c>
      <c r="AX1092" s="1" t="s">
        <v>212</v>
      </c>
      <c r="AZ1092" s="1">
        <v>1041</v>
      </c>
      <c r="BA1092" s="1">
        <v>2013</v>
      </c>
      <c r="BB1092" s="1" t="s">
        <v>2694</v>
      </c>
      <c r="BE1092" s="1">
        <v>900</v>
      </c>
      <c r="BF1092" s="1">
        <v>3</v>
      </c>
      <c r="BG1092" s="1">
        <v>7</v>
      </c>
      <c r="BL1092" s="1">
        <v>197</v>
      </c>
      <c r="BM1092" s="1" t="s">
        <v>204</v>
      </c>
      <c r="BN1092" s="1" t="s">
        <v>204</v>
      </c>
      <c r="BP1092" s="1" t="s">
        <v>204</v>
      </c>
      <c r="BR1092" s="1" t="str">
        <f>"0814207089"</f>
        <v>0814207089</v>
      </c>
      <c r="BT1092" s="1" t="s">
        <v>11585</v>
      </c>
      <c r="BX1092" s="1">
        <v>202</v>
      </c>
      <c r="BY1092" s="1">
        <v>202</v>
      </c>
      <c r="BZ1092" s="1">
        <v>202</v>
      </c>
      <c r="CB1092" s="1" t="str">
        <f t="shared" ref="CB1092:CC1092" si="843">""</f>
        <v/>
      </c>
      <c r="CC1092" s="1" t="str">
        <f t="shared" si="843"/>
        <v/>
      </c>
      <c r="CG1092" s="1" t="s">
        <v>228</v>
      </c>
      <c r="CH1092" s="1" t="s">
        <v>219</v>
      </c>
      <c r="CI1092" s="1" t="s">
        <v>220</v>
      </c>
      <c r="CK1092" s="1" t="s">
        <v>1297</v>
      </c>
      <c r="CL1092" s="1" t="s">
        <v>219</v>
      </c>
      <c r="CO1092" s="1" t="s">
        <v>516</v>
      </c>
      <c r="CP1092" s="1" t="s">
        <v>219</v>
      </c>
      <c r="CQ1092" s="1" t="s">
        <v>220</v>
      </c>
      <c r="CS1092" s="1" t="s">
        <v>1297</v>
      </c>
      <c r="CT1092" s="1" t="s">
        <v>219</v>
      </c>
      <c r="CX1092" s="1" t="s">
        <v>224</v>
      </c>
      <c r="DB1092" s="1" t="s">
        <v>224</v>
      </c>
      <c r="DE1092" s="1" t="s">
        <v>516</v>
      </c>
      <c r="DF1092" s="1" t="s">
        <v>219</v>
      </c>
      <c r="DJ1092" s="1" t="s">
        <v>224</v>
      </c>
      <c r="DS1092" s="1" t="s">
        <v>230</v>
      </c>
      <c r="DW1092" s="1" t="s">
        <v>230</v>
      </c>
      <c r="EA1092" s="1" t="s">
        <v>230</v>
      </c>
      <c r="EE1092" s="1" t="s">
        <v>230</v>
      </c>
      <c r="EI1092" s="1" t="s">
        <v>230</v>
      </c>
      <c r="EL1092" s="1" t="s">
        <v>605</v>
      </c>
      <c r="EM1092" s="1" t="s">
        <v>232</v>
      </c>
      <c r="EN1092" s="1" t="s">
        <v>282</v>
      </c>
      <c r="EO1092" s="1" t="s">
        <v>234</v>
      </c>
      <c r="EQ1092" s="1" t="s">
        <v>1109</v>
      </c>
      <c r="ER1092" s="1" t="s">
        <v>210</v>
      </c>
      <c r="EU1092" s="1" t="s">
        <v>239</v>
      </c>
      <c r="EV1092" s="1" t="s">
        <v>240</v>
      </c>
      <c r="EW1092" s="1" t="s">
        <v>286</v>
      </c>
      <c r="EZ1092" s="1" t="s">
        <v>287</v>
      </c>
      <c r="FA1092" s="1" t="s">
        <v>471</v>
      </c>
      <c r="FB1092" s="1" t="s">
        <v>734</v>
      </c>
      <c r="FD1092" s="1" t="s">
        <v>1112</v>
      </c>
      <c r="FE1092" s="1" t="s">
        <v>247</v>
      </c>
      <c r="FF1092" s="1" t="s">
        <v>248</v>
      </c>
      <c r="FH1092" s="1" t="s">
        <v>249</v>
      </c>
      <c r="FJ1092" s="1" t="s">
        <v>197</v>
      </c>
      <c r="FK1092" s="1" t="s">
        <v>891</v>
      </c>
      <c r="FL1092" s="1" t="s">
        <v>292</v>
      </c>
      <c r="FM1092" s="1" t="s">
        <v>252</v>
      </c>
      <c r="FN1092" s="1" t="s">
        <v>213</v>
      </c>
      <c r="FO1092" s="1" t="s">
        <v>213</v>
      </c>
      <c r="FQ1092" s="1" t="s">
        <v>11586</v>
      </c>
      <c r="FR1092" s="1" t="s">
        <v>210</v>
      </c>
      <c r="FS1092" s="1" t="s">
        <v>11587</v>
      </c>
      <c r="FT1092" s="1" t="s">
        <v>255</v>
      </c>
      <c r="FU1092" s="1" t="s">
        <v>204</v>
      </c>
      <c r="FW1092" s="1" t="s">
        <v>11588</v>
      </c>
      <c r="FX1092" s="1">
        <v>5100</v>
      </c>
      <c r="FY1092" s="1" t="s">
        <v>11589</v>
      </c>
      <c r="FZ1092" s="1" t="s">
        <v>11590</v>
      </c>
      <c r="GA1092" s="1">
        <v>55418</v>
      </c>
      <c r="GB1092" s="1" t="s">
        <v>11591</v>
      </c>
      <c r="GE1092" s="1" t="s">
        <v>7705</v>
      </c>
      <c r="GI1092" s="1" t="s">
        <v>213</v>
      </c>
      <c r="GJ1092" s="1" t="s">
        <v>260</v>
      </c>
      <c r="GK1092" s="1" t="s">
        <v>210</v>
      </c>
      <c r="GL1092" s="2">
        <v>42089</v>
      </c>
      <c r="GM1092" s="1" t="s">
        <v>11592</v>
      </c>
    </row>
    <row r="1093" spans="1:195">
      <c r="A1093" s="1">
        <v>80000</v>
      </c>
      <c r="B1093" s="1" t="s">
        <v>195</v>
      </c>
      <c r="C1093" s="1" t="str">
        <f>"08844991"</f>
        <v>08844991</v>
      </c>
      <c r="D1093" s="1" t="s">
        <v>196</v>
      </c>
      <c r="F1093" s="1" t="str">
        <f>"560"</f>
        <v>560</v>
      </c>
      <c r="G1093" s="2">
        <v>42058</v>
      </c>
      <c r="H1093" s="1">
        <v>91000</v>
      </c>
      <c r="I1093" s="1">
        <v>91000</v>
      </c>
      <c r="J1093" s="1">
        <v>80000</v>
      </c>
      <c r="K1093" s="2">
        <v>42058</v>
      </c>
      <c r="L1093" s="1">
        <v>26</v>
      </c>
      <c r="M1093" s="2">
        <v>42083</v>
      </c>
      <c r="N1093" s="1">
        <v>26</v>
      </c>
      <c r="O1093" s="2">
        <v>42083</v>
      </c>
      <c r="P1093" s="1">
        <v>24199</v>
      </c>
      <c r="Q1093" s="1" t="s">
        <v>197</v>
      </c>
      <c r="R1093" s="2">
        <v>42146</v>
      </c>
      <c r="S1093" s="1">
        <v>235607</v>
      </c>
      <c r="U1093" s="1">
        <v>1436</v>
      </c>
      <c r="V1093" s="1" t="s">
        <v>11593</v>
      </c>
      <c r="W1093" s="1" t="s">
        <v>504</v>
      </c>
      <c r="X1093" s="1">
        <v>1436</v>
      </c>
      <c r="Y1093" s="1">
        <v>6</v>
      </c>
      <c r="Z1093" s="1" t="s">
        <v>249</v>
      </c>
      <c r="AA1093" s="1" t="s">
        <v>484</v>
      </c>
      <c r="AB1093" s="1">
        <v>60560</v>
      </c>
      <c r="AD1093" s="1" t="s">
        <v>11594</v>
      </c>
      <c r="AE1093" s="1" t="s">
        <v>11595</v>
      </c>
      <c r="AF1093" s="1">
        <v>2007</v>
      </c>
      <c r="AG1093" s="1" t="s">
        <v>204</v>
      </c>
      <c r="AH1093" s="1" t="s">
        <v>487</v>
      </c>
      <c r="AI1093" s="1" t="s">
        <v>453</v>
      </c>
      <c r="AJ1093" s="1" t="s">
        <v>454</v>
      </c>
      <c r="AL1093" s="1">
        <v>6</v>
      </c>
      <c r="AM1093" s="1">
        <v>2</v>
      </c>
      <c r="AN1093" s="1">
        <v>2</v>
      </c>
      <c r="AO1093" s="1">
        <v>1</v>
      </c>
      <c r="AP1093" s="1" t="s">
        <v>209</v>
      </c>
      <c r="AQ1093" s="1">
        <v>0</v>
      </c>
      <c r="AR1093" s="1" t="s">
        <v>210</v>
      </c>
      <c r="AS1093" s="1" t="s">
        <v>204</v>
      </c>
      <c r="AT1093" s="1" t="s">
        <v>211</v>
      </c>
      <c r="AU1093" s="1">
        <v>2</v>
      </c>
      <c r="AW1093" s="1" t="s">
        <v>204</v>
      </c>
      <c r="AX1093" s="1" t="s">
        <v>212</v>
      </c>
      <c r="AZ1093" s="1">
        <v>3823</v>
      </c>
      <c r="BA1093" s="1">
        <v>2013</v>
      </c>
      <c r="BE1093" s="1">
        <v>1498</v>
      </c>
      <c r="BF1093" s="1">
        <v>1</v>
      </c>
      <c r="BG1093" s="1">
        <v>0</v>
      </c>
      <c r="BL1093" s="1">
        <v>166</v>
      </c>
      <c r="BM1093" s="1" t="s">
        <v>204</v>
      </c>
      <c r="BN1093" s="1" t="s">
        <v>213</v>
      </c>
      <c r="BO1093" s="1">
        <v>999</v>
      </c>
      <c r="BP1093" s="1" t="s">
        <v>204</v>
      </c>
      <c r="BR1093" s="1" t="str">
        <f>"0222356043"</f>
        <v>0222356043</v>
      </c>
      <c r="BT1093" s="1" t="s">
        <v>11596</v>
      </c>
      <c r="BX1093" s="1">
        <v>115</v>
      </c>
      <c r="BY1093" s="1">
        <v>115</v>
      </c>
      <c r="BZ1093" s="1">
        <v>115</v>
      </c>
      <c r="CB1093" s="1" t="str">
        <f t="shared" ref="CB1093:CC1093" si="844">""</f>
        <v/>
      </c>
      <c r="CC1093" s="1" t="str">
        <f t="shared" si="844"/>
        <v/>
      </c>
      <c r="CG1093" s="1" t="s">
        <v>885</v>
      </c>
      <c r="CH1093" s="1" t="s">
        <v>219</v>
      </c>
      <c r="CI1093" s="1" t="s">
        <v>220</v>
      </c>
      <c r="CK1093" s="1" t="s">
        <v>538</v>
      </c>
      <c r="CL1093" s="1" t="s">
        <v>277</v>
      </c>
      <c r="CM1093" s="1" t="s">
        <v>220</v>
      </c>
      <c r="CO1093" s="1" t="s">
        <v>516</v>
      </c>
      <c r="CP1093" s="1" t="s">
        <v>219</v>
      </c>
      <c r="CQ1093" s="1" t="s">
        <v>342</v>
      </c>
      <c r="CS1093" s="1" t="s">
        <v>1046</v>
      </c>
      <c r="CT1093" s="1" t="s">
        <v>277</v>
      </c>
      <c r="CU1093" s="1" t="s">
        <v>220</v>
      </c>
      <c r="CX1093" s="1" t="s">
        <v>224</v>
      </c>
      <c r="DB1093" s="1" t="s">
        <v>224</v>
      </c>
      <c r="DE1093" s="1" t="s">
        <v>379</v>
      </c>
      <c r="DF1093" s="1" t="s">
        <v>219</v>
      </c>
      <c r="DG1093" s="1" t="s">
        <v>342</v>
      </c>
      <c r="DJ1093" s="1" t="s">
        <v>224</v>
      </c>
      <c r="DM1093" s="1" t="s">
        <v>464</v>
      </c>
      <c r="DR1093" s="1" t="s">
        <v>461</v>
      </c>
      <c r="DS1093" s="1" t="s">
        <v>277</v>
      </c>
      <c r="DT1093" s="1" t="s">
        <v>220</v>
      </c>
      <c r="DW1093" s="1" t="s">
        <v>230</v>
      </c>
      <c r="EA1093" s="1" t="s">
        <v>230</v>
      </c>
      <c r="EE1093" s="1" t="s">
        <v>230</v>
      </c>
      <c r="EI1093" s="1" t="s">
        <v>230</v>
      </c>
      <c r="EL1093" s="1" t="s">
        <v>491</v>
      </c>
      <c r="EM1093" s="1" t="s">
        <v>319</v>
      </c>
      <c r="EN1093" s="1" t="s">
        <v>282</v>
      </c>
      <c r="EO1093" s="1" t="s">
        <v>234</v>
      </c>
      <c r="ER1093" s="1" t="s">
        <v>383</v>
      </c>
      <c r="EW1093" s="1" t="s">
        <v>353</v>
      </c>
      <c r="EZ1093" s="1" t="s">
        <v>464</v>
      </c>
      <c r="FB1093" s="1" t="s">
        <v>289</v>
      </c>
      <c r="FC1093" s="1" t="s">
        <v>1386</v>
      </c>
      <c r="FD1093" s="1" t="s">
        <v>246</v>
      </c>
      <c r="FE1093" s="1" t="s">
        <v>975</v>
      </c>
      <c r="FF1093" s="1" t="s">
        <v>248</v>
      </c>
      <c r="FH1093" s="1" t="s">
        <v>550</v>
      </c>
      <c r="FI1093" s="1" t="s">
        <v>2827</v>
      </c>
      <c r="FL1093" s="1" t="s">
        <v>358</v>
      </c>
      <c r="FM1093" s="1" t="s">
        <v>252</v>
      </c>
      <c r="FN1093" s="1" t="s">
        <v>213</v>
      </c>
      <c r="FO1093" s="1" t="s">
        <v>213</v>
      </c>
      <c r="FQ1093" s="1" t="s">
        <v>582</v>
      </c>
      <c r="FR1093" s="1" t="s">
        <v>210</v>
      </c>
      <c r="FS1093" s="1" t="s">
        <v>5209</v>
      </c>
      <c r="FT1093" s="1" t="s">
        <v>654</v>
      </c>
      <c r="FU1093" s="1" t="s">
        <v>204</v>
      </c>
      <c r="FW1093" s="1" t="s">
        <v>3015</v>
      </c>
      <c r="FX1093" s="1">
        <v>24199</v>
      </c>
      <c r="FY1093" s="1" t="s">
        <v>3016</v>
      </c>
      <c r="FZ1093" s="1" t="s">
        <v>3017</v>
      </c>
      <c r="GA1093" s="1">
        <v>235607</v>
      </c>
      <c r="GB1093" s="1" t="s">
        <v>3018</v>
      </c>
      <c r="GC1093" s="1">
        <v>237175</v>
      </c>
      <c r="GE1093" s="1" t="s">
        <v>210</v>
      </c>
      <c r="GI1093" s="1" t="s">
        <v>204</v>
      </c>
      <c r="GJ1093" s="1" t="s">
        <v>260</v>
      </c>
      <c r="GK1093" s="1" t="s">
        <v>210</v>
      </c>
      <c r="GL1093" s="2">
        <v>42150</v>
      </c>
      <c r="GM1093" s="1" t="s">
        <v>11597</v>
      </c>
    </row>
    <row r="1094" spans="1:195">
      <c r="A1094" s="1">
        <v>265000</v>
      </c>
      <c r="B1094" s="1" t="s">
        <v>195</v>
      </c>
      <c r="C1094" s="1" t="str">
        <f>"08847556"</f>
        <v>08847556</v>
      </c>
      <c r="D1094" s="1" t="s">
        <v>196</v>
      </c>
      <c r="F1094" s="1" t="str">
        <f>"562"</f>
        <v>562</v>
      </c>
      <c r="G1094" s="2">
        <v>42061</v>
      </c>
      <c r="H1094" s="1">
        <v>269900</v>
      </c>
      <c r="I1094" s="1">
        <v>269900</v>
      </c>
      <c r="J1094" s="1">
        <v>265000</v>
      </c>
      <c r="K1094" s="2">
        <v>42061</v>
      </c>
      <c r="L1094" s="1">
        <v>6</v>
      </c>
      <c r="M1094" s="2">
        <v>42066</v>
      </c>
      <c r="N1094" s="1">
        <v>6</v>
      </c>
      <c r="O1094" s="2">
        <v>42066</v>
      </c>
      <c r="P1094" s="1">
        <v>10840</v>
      </c>
      <c r="Q1094" s="1" t="s">
        <v>197</v>
      </c>
      <c r="R1094" s="2">
        <v>42145</v>
      </c>
      <c r="S1094" s="1">
        <v>164654</v>
      </c>
      <c r="U1094" s="1">
        <v>9305</v>
      </c>
      <c r="V1094" s="1" t="s">
        <v>11598</v>
      </c>
      <c r="W1094" s="1" t="s">
        <v>304</v>
      </c>
      <c r="Y1094" s="1">
        <v>4</v>
      </c>
      <c r="Z1094" s="1" t="s">
        <v>370</v>
      </c>
      <c r="AA1094" s="1" t="s">
        <v>899</v>
      </c>
      <c r="AB1094" s="1">
        <v>60561</v>
      </c>
      <c r="AD1094" s="1" t="s">
        <v>11599</v>
      </c>
      <c r="AE1094" s="1" t="s">
        <v>11600</v>
      </c>
      <c r="AF1094" s="1">
        <v>1998</v>
      </c>
      <c r="AG1094" s="1" t="s">
        <v>204</v>
      </c>
      <c r="AH1094" s="1" t="s">
        <v>902</v>
      </c>
      <c r="AI1094" s="1" t="s">
        <v>206</v>
      </c>
      <c r="AJ1094" s="1" t="s">
        <v>903</v>
      </c>
      <c r="AK1094" s="1" t="s">
        <v>6151</v>
      </c>
      <c r="AL1094" s="1">
        <v>7</v>
      </c>
      <c r="AM1094" s="1">
        <v>2</v>
      </c>
      <c r="AN1094" s="1">
        <v>2</v>
      </c>
      <c r="AO1094" s="1">
        <v>1</v>
      </c>
      <c r="AP1094" s="1" t="s">
        <v>209</v>
      </c>
      <c r="AR1094" s="1" t="s">
        <v>209</v>
      </c>
      <c r="AS1094" s="1" t="s">
        <v>204</v>
      </c>
      <c r="AT1094" s="1" t="s">
        <v>211</v>
      </c>
      <c r="AU1094" s="1">
        <v>2</v>
      </c>
      <c r="AW1094" s="1" t="s">
        <v>204</v>
      </c>
      <c r="AX1094" s="1">
        <v>3162</v>
      </c>
      <c r="AZ1094" s="1">
        <v>4701</v>
      </c>
      <c r="BA1094" s="1">
        <v>2013</v>
      </c>
      <c r="BB1094" s="1" t="s">
        <v>405</v>
      </c>
      <c r="BE1094" s="1">
        <v>1850</v>
      </c>
      <c r="BF1094" s="1">
        <v>1</v>
      </c>
      <c r="BG1094" s="1">
        <v>30</v>
      </c>
      <c r="BL1094" s="1">
        <v>230</v>
      </c>
      <c r="BM1094" s="1" t="s">
        <v>204</v>
      </c>
      <c r="BN1094" s="1" t="s">
        <v>213</v>
      </c>
      <c r="BO1094" s="1">
        <v>999</v>
      </c>
      <c r="BP1094" s="1" t="s">
        <v>204</v>
      </c>
      <c r="BR1094" s="1" t="str">
        <f>"1005404046"</f>
        <v>1005404046</v>
      </c>
      <c r="BT1094" s="1" t="s">
        <v>11601</v>
      </c>
      <c r="BX1094" s="1">
        <v>113</v>
      </c>
      <c r="BY1094" s="1">
        <v>113</v>
      </c>
      <c r="BZ1094" s="1">
        <v>210</v>
      </c>
      <c r="CB1094" s="1" t="str">
        <f t="shared" ref="CB1094:CC1094" si="845">""</f>
        <v/>
      </c>
      <c r="CC1094" s="1" t="str">
        <f t="shared" si="845"/>
        <v/>
      </c>
      <c r="CD1094" s="1">
        <v>18</v>
      </c>
      <c r="CE1094" s="1">
        <v>10</v>
      </c>
      <c r="CG1094" s="1" t="s">
        <v>2992</v>
      </c>
      <c r="CH1094" s="1" t="s">
        <v>219</v>
      </c>
      <c r="CI1094" s="1" t="s">
        <v>438</v>
      </c>
      <c r="CJ1094" s="1" t="s">
        <v>909</v>
      </c>
      <c r="CK1094" s="1" t="s">
        <v>931</v>
      </c>
      <c r="CL1094" s="1" t="s">
        <v>277</v>
      </c>
      <c r="CM1094" s="1" t="s">
        <v>220</v>
      </c>
      <c r="CN1094" s="1" t="s">
        <v>909</v>
      </c>
      <c r="CO1094" s="1" t="s">
        <v>317</v>
      </c>
      <c r="CP1094" s="1" t="s">
        <v>219</v>
      </c>
      <c r="CQ1094" s="1" t="s">
        <v>438</v>
      </c>
      <c r="CR1094" s="1" t="s">
        <v>909</v>
      </c>
      <c r="CS1094" s="1" t="s">
        <v>757</v>
      </c>
      <c r="CT1094" s="1" t="s">
        <v>277</v>
      </c>
      <c r="CX1094" s="1" t="s">
        <v>224</v>
      </c>
      <c r="DB1094" s="1" t="s">
        <v>224</v>
      </c>
      <c r="DE1094" s="1" t="s">
        <v>344</v>
      </c>
      <c r="DF1094" s="1" t="s">
        <v>219</v>
      </c>
      <c r="DG1094" s="1" t="s">
        <v>226</v>
      </c>
      <c r="DH1094" s="1" t="s">
        <v>210</v>
      </c>
      <c r="DJ1094" s="1" t="s">
        <v>224</v>
      </c>
      <c r="DM1094" s="1" t="s">
        <v>464</v>
      </c>
      <c r="DN1094" s="1" t="s">
        <v>934</v>
      </c>
      <c r="DR1094" s="1" t="s">
        <v>465</v>
      </c>
      <c r="DS1094" s="1" t="s">
        <v>277</v>
      </c>
      <c r="DT1094" s="1" t="s">
        <v>220</v>
      </c>
      <c r="DU1094" s="1" t="s">
        <v>909</v>
      </c>
      <c r="DV1094" s="1" t="s">
        <v>8929</v>
      </c>
      <c r="DW1094" s="1" t="s">
        <v>822</v>
      </c>
      <c r="DX1094" s="1" t="s">
        <v>220</v>
      </c>
      <c r="EA1094" s="1" t="s">
        <v>230</v>
      </c>
      <c r="EE1094" s="1" t="s">
        <v>230</v>
      </c>
      <c r="EI1094" s="1" t="s">
        <v>230</v>
      </c>
      <c r="EL1094" s="1" t="s">
        <v>670</v>
      </c>
      <c r="EM1094" s="1" t="s">
        <v>232</v>
      </c>
      <c r="EN1094" s="1" t="s">
        <v>282</v>
      </c>
      <c r="EO1094" s="1" t="s">
        <v>234</v>
      </c>
      <c r="EQ1094" s="1" t="s">
        <v>11602</v>
      </c>
      <c r="ER1094" s="1" t="s">
        <v>544</v>
      </c>
      <c r="ES1094" s="1" t="s">
        <v>608</v>
      </c>
      <c r="ET1094" s="1" t="s">
        <v>842</v>
      </c>
      <c r="EU1094" s="1" t="s">
        <v>11603</v>
      </c>
      <c r="EV1094" s="1" t="s">
        <v>352</v>
      </c>
      <c r="EW1094" s="1" t="s">
        <v>887</v>
      </c>
      <c r="EY1094" s="1" t="s">
        <v>242</v>
      </c>
      <c r="EZ1094" s="1" t="s">
        <v>3875</v>
      </c>
      <c r="FA1094" s="1" t="s">
        <v>6175</v>
      </c>
      <c r="FB1094" s="1" t="s">
        <v>289</v>
      </c>
      <c r="FC1094" s="1" t="s">
        <v>548</v>
      </c>
      <c r="FD1094" s="1" t="s">
        <v>246</v>
      </c>
      <c r="FE1094" s="1" t="s">
        <v>2858</v>
      </c>
      <c r="FF1094" s="1" t="s">
        <v>248</v>
      </c>
      <c r="FH1094" s="1" t="s">
        <v>550</v>
      </c>
      <c r="FI1094" s="1" t="s">
        <v>473</v>
      </c>
      <c r="FL1094" s="1" t="s">
        <v>414</v>
      </c>
      <c r="FM1094" s="1" t="s">
        <v>252</v>
      </c>
      <c r="FN1094" s="1" t="s">
        <v>213</v>
      </c>
      <c r="FO1094" s="1" t="s">
        <v>213</v>
      </c>
      <c r="FQ1094" s="1" t="s">
        <v>956</v>
      </c>
      <c r="FR1094" s="1" t="s">
        <v>210</v>
      </c>
      <c r="FS1094" s="1" t="s">
        <v>11604</v>
      </c>
      <c r="FT1094" s="1" t="s">
        <v>295</v>
      </c>
      <c r="FU1094" s="1" t="s">
        <v>204</v>
      </c>
      <c r="FW1094" s="1" t="s">
        <v>5324</v>
      </c>
      <c r="FX1094" s="1">
        <v>23865</v>
      </c>
      <c r="FY1094" s="1" t="s">
        <v>5325</v>
      </c>
      <c r="FZ1094" s="1" t="s">
        <v>11605</v>
      </c>
      <c r="GA1094" s="1">
        <v>220572</v>
      </c>
      <c r="GB1094" s="1" t="s">
        <v>11606</v>
      </c>
      <c r="GE1094" s="1" t="s">
        <v>1226</v>
      </c>
      <c r="GI1094" s="1" t="s">
        <v>213</v>
      </c>
      <c r="GJ1094" s="1" t="s">
        <v>260</v>
      </c>
      <c r="GK1094" s="1" t="s">
        <v>210</v>
      </c>
      <c r="GL1094" s="2">
        <v>42146</v>
      </c>
      <c r="GM1094" s="1" t="s">
        <v>11607</v>
      </c>
    </row>
    <row r="1095" spans="1:195">
      <c r="A1095" s="1">
        <v>65000</v>
      </c>
      <c r="B1095" s="1" t="s">
        <v>195</v>
      </c>
      <c r="C1095" s="1" t="str">
        <f>"08844299"</f>
        <v>08844299</v>
      </c>
      <c r="D1095" s="1" t="s">
        <v>196</v>
      </c>
      <c r="F1095" s="1" t="str">
        <f>"106"</f>
        <v>106</v>
      </c>
      <c r="G1095" s="2">
        <v>42058</v>
      </c>
      <c r="H1095" s="1">
        <v>64900</v>
      </c>
      <c r="I1095" s="1">
        <v>64900</v>
      </c>
      <c r="J1095" s="1">
        <v>65000</v>
      </c>
      <c r="K1095" s="2">
        <v>42058</v>
      </c>
      <c r="L1095" s="1">
        <v>84</v>
      </c>
      <c r="M1095" s="2">
        <v>42067</v>
      </c>
      <c r="N1095" s="1">
        <v>10</v>
      </c>
      <c r="O1095" s="2">
        <v>42067</v>
      </c>
      <c r="P1095" s="1">
        <v>21277</v>
      </c>
      <c r="Q1095" s="1" t="s">
        <v>197</v>
      </c>
      <c r="R1095" s="2">
        <v>42109</v>
      </c>
      <c r="S1095" s="1">
        <v>219551</v>
      </c>
      <c r="U1095" s="1">
        <v>260</v>
      </c>
      <c r="V1095" s="1" t="s">
        <v>11608</v>
      </c>
      <c r="W1095" s="1" t="s">
        <v>725</v>
      </c>
      <c r="X1095" s="1" t="s">
        <v>6507</v>
      </c>
      <c r="Y1095" s="1">
        <v>6</v>
      </c>
      <c r="Z1095" s="1" t="s">
        <v>249</v>
      </c>
      <c r="AA1095" s="1" t="s">
        <v>1229</v>
      </c>
      <c r="AB1095" s="1">
        <v>60106</v>
      </c>
      <c r="AE1095" s="1" t="s">
        <v>11609</v>
      </c>
      <c r="AF1095" s="1">
        <v>1980</v>
      </c>
      <c r="AG1095" s="1" t="s">
        <v>204</v>
      </c>
      <c r="AH1095" s="1" t="s">
        <v>1232</v>
      </c>
      <c r="AI1095" s="1" t="s">
        <v>206</v>
      </c>
      <c r="AJ1095" s="1" t="s">
        <v>1233</v>
      </c>
      <c r="AL1095" s="1">
        <v>5</v>
      </c>
      <c r="AM1095" s="1">
        <v>2</v>
      </c>
      <c r="AN1095" s="1">
        <v>1</v>
      </c>
      <c r="AO1095" s="1">
        <v>0</v>
      </c>
      <c r="AP1095" s="1" t="s">
        <v>210</v>
      </c>
      <c r="AR1095" s="1" t="s">
        <v>210</v>
      </c>
      <c r="AS1095" s="1" t="s">
        <v>204</v>
      </c>
      <c r="AT1095" s="1" t="s">
        <v>271</v>
      </c>
      <c r="AV1095" s="1">
        <v>2</v>
      </c>
      <c r="AW1095" s="1" t="s">
        <v>204</v>
      </c>
      <c r="AX1095" s="1" t="s">
        <v>212</v>
      </c>
      <c r="AZ1095" s="1">
        <v>1607</v>
      </c>
      <c r="BA1095" s="1">
        <v>2013</v>
      </c>
      <c r="BE1095" s="1">
        <v>0</v>
      </c>
      <c r="BF1095" s="1">
        <v>1</v>
      </c>
      <c r="BG1095" s="1">
        <v>0</v>
      </c>
      <c r="BL1095" s="1">
        <v>279</v>
      </c>
      <c r="BM1095" s="1" t="s">
        <v>204</v>
      </c>
      <c r="BN1095" s="1" t="s">
        <v>204</v>
      </c>
      <c r="BP1095" s="1" t="s">
        <v>204</v>
      </c>
      <c r="BR1095" s="1" t="str">
        <f>"0324313068"</f>
        <v>0324313068</v>
      </c>
      <c r="BT1095" s="1" t="s">
        <v>11610</v>
      </c>
      <c r="BU1095" s="1" t="s">
        <v>11611</v>
      </c>
      <c r="BV1095" s="1" t="s">
        <v>6840</v>
      </c>
      <c r="BW1095" s="1" t="s">
        <v>1973</v>
      </c>
      <c r="BX1095" s="1">
        <v>2</v>
      </c>
      <c r="BY1095" s="1">
        <v>2</v>
      </c>
      <c r="BZ1095" s="1">
        <v>100</v>
      </c>
      <c r="CB1095" s="1" t="str">
        <f>"4"</f>
        <v>4</v>
      </c>
      <c r="CC1095" s="1" t="str">
        <f>"0"</f>
        <v>0</v>
      </c>
      <c r="CD1095" s="1">
        <v>15</v>
      </c>
      <c r="CE1095" s="1">
        <v>0</v>
      </c>
      <c r="CG1095" s="1" t="s">
        <v>437</v>
      </c>
      <c r="CH1095" s="1" t="s">
        <v>219</v>
      </c>
      <c r="CI1095" s="1" t="s">
        <v>229</v>
      </c>
      <c r="CK1095" s="1" t="s">
        <v>344</v>
      </c>
      <c r="CL1095" s="1" t="s">
        <v>219</v>
      </c>
      <c r="CM1095" s="1" t="s">
        <v>220</v>
      </c>
      <c r="CO1095" s="1" t="s">
        <v>1046</v>
      </c>
      <c r="CP1095" s="1" t="s">
        <v>219</v>
      </c>
      <c r="CQ1095" s="1" t="s">
        <v>229</v>
      </c>
      <c r="CS1095" s="1" t="s">
        <v>379</v>
      </c>
      <c r="CT1095" s="1" t="s">
        <v>219</v>
      </c>
      <c r="CU1095" s="1" t="s">
        <v>220</v>
      </c>
      <c r="CX1095" s="1" t="s">
        <v>224</v>
      </c>
      <c r="DB1095" s="1" t="s">
        <v>224</v>
      </c>
      <c r="DE1095" s="1" t="s">
        <v>380</v>
      </c>
      <c r="DF1095" s="1" t="s">
        <v>219</v>
      </c>
      <c r="DG1095" s="1" t="s">
        <v>226</v>
      </c>
      <c r="DJ1095" s="1" t="s">
        <v>224</v>
      </c>
      <c r="DS1095" s="1" t="s">
        <v>230</v>
      </c>
      <c r="DW1095" s="1" t="s">
        <v>230</v>
      </c>
      <c r="EA1095" s="1" t="s">
        <v>230</v>
      </c>
      <c r="EE1095" s="1" t="s">
        <v>230</v>
      </c>
      <c r="EI1095" s="1" t="s">
        <v>230</v>
      </c>
      <c r="EL1095" s="1" t="s">
        <v>231</v>
      </c>
      <c r="EM1095" s="1" t="s">
        <v>232</v>
      </c>
      <c r="EN1095" s="1" t="s">
        <v>1158</v>
      </c>
      <c r="EO1095" s="1" t="s">
        <v>234</v>
      </c>
      <c r="EP1095" s="1" t="s">
        <v>543</v>
      </c>
      <c r="ER1095" s="1" t="s">
        <v>210</v>
      </c>
      <c r="ES1095" s="1" t="s">
        <v>322</v>
      </c>
      <c r="EV1095" s="1" t="s">
        <v>352</v>
      </c>
      <c r="EW1095" s="1" t="s">
        <v>937</v>
      </c>
      <c r="EZ1095" s="1" t="s">
        <v>287</v>
      </c>
      <c r="FD1095" s="1" t="s">
        <v>1112</v>
      </c>
      <c r="FE1095" s="1" t="s">
        <v>3771</v>
      </c>
      <c r="FF1095" s="1" t="s">
        <v>248</v>
      </c>
      <c r="FH1095" s="1" t="s">
        <v>249</v>
      </c>
      <c r="FK1095" s="1" t="s">
        <v>291</v>
      </c>
      <c r="FL1095" s="1" t="s">
        <v>292</v>
      </c>
      <c r="FM1095" s="1" t="s">
        <v>252</v>
      </c>
      <c r="FN1095" s="1" t="s">
        <v>213</v>
      </c>
      <c r="FO1095" s="1" t="s">
        <v>213</v>
      </c>
      <c r="FQ1095" s="1" t="s">
        <v>689</v>
      </c>
      <c r="FR1095" s="1" t="s">
        <v>210</v>
      </c>
      <c r="FS1095" s="1" t="s">
        <v>5033</v>
      </c>
      <c r="FT1095" s="1" t="s">
        <v>295</v>
      </c>
      <c r="FU1095" s="1" t="s">
        <v>204</v>
      </c>
      <c r="FW1095" s="1" t="s">
        <v>5034</v>
      </c>
      <c r="FX1095" s="1">
        <v>3906</v>
      </c>
      <c r="FY1095" s="1" t="s">
        <v>739</v>
      </c>
      <c r="FZ1095" s="1" t="s">
        <v>5035</v>
      </c>
      <c r="GA1095" s="1">
        <v>33715</v>
      </c>
      <c r="GB1095" s="1" t="s">
        <v>5036</v>
      </c>
      <c r="GE1095" s="1" t="s">
        <v>210</v>
      </c>
      <c r="GI1095" s="1" t="s">
        <v>213</v>
      </c>
      <c r="GJ1095" s="1" t="s">
        <v>260</v>
      </c>
      <c r="GK1095" s="1" t="s">
        <v>210</v>
      </c>
      <c r="GL1095" s="2">
        <v>42109</v>
      </c>
      <c r="GM1095" s="1" t="s">
        <v>11612</v>
      </c>
    </row>
    <row r="1096" spans="1:195">
      <c r="A1096" s="1">
        <v>77500</v>
      </c>
      <c r="B1096" s="1" t="s">
        <v>195</v>
      </c>
      <c r="C1096" s="1" t="str">
        <f>"08843332"</f>
        <v>08843332</v>
      </c>
      <c r="D1096" s="1" t="s">
        <v>196</v>
      </c>
      <c r="F1096" s="1" t="str">
        <f>"540"</f>
        <v>540</v>
      </c>
      <c r="G1096" s="2">
        <v>42055</v>
      </c>
      <c r="H1096" s="1">
        <v>80900</v>
      </c>
      <c r="I1096" s="1">
        <v>80900</v>
      </c>
      <c r="J1096" s="1">
        <v>77500</v>
      </c>
      <c r="K1096" s="2">
        <v>42054</v>
      </c>
      <c r="L1096" s="1">
        <v>30</v>
      </c>
      <c r="M1096" s="2">
        <v>42083</v>
      </c>
      <c r="N1096" s="1">
        <v>30</v>
      </c>
      <c r="O1096" s="2">
        <v>42083</v>
      </c>
      <c r="P1096" s="1">
        <v>22029</v>
      </c>
      <c r="Q1096" s="1" t="s">
        <v>197</v>
      </c>
      <c r="R1096" s="2">
        <v>42131</v>
      </c>
      <c r="S1096" s="1">
        <v>216039</v>
      </c>
      <c r="T1096" s="1">
        <v>1440</v>
      </c>
      <c r="U1096" s="1">
        <v>264</v>
      </c>
      <c r="V1096" s="1" t="s">
        <v>10812</v>
      </c>
      <c r="W1096" s="1" t="s">
        <v>1056</v>
      </c>
      <c r="X1096" s="1" t="s">
        <v>1000</v>
      </c>
      <c r="Y1096" s="1">
        <v>11</v>
      </c>
      <c r="Z1096" s="1" t="s">
        <v>249</v>
      </c>
      <c r="AA1096" s="1" t="s">
        <v>921</v>
      </c>
      <c r="AB1096" s="1">
        <v>60565</v>
      </c>
      <c r="AD1096" s="1" t="s">
        <v>11613</v>
      </c>
      <c r="AE1096" s="1" t="s">
        <v>11614</v>
      </c>
      <c r="AF1096" s="1">
        <v>1972</v>
      </c>
      <c r="AG1096" s="1" t="s">
        <v>213</v>
      </c>
      <c r="AH1096" s="1" t="s">
        <v>924</v>
      </c>
      <c r="AI1096" s="1" t="s">
        <v>206</v>
      </c>
      <c r="AJ1096" s="1" t="s">
        <v>924</v>
      </c>
      <c r="AL1096" s="1">
        <v>5</v>
      </c>
      <c r="AM1096" s="1">
        <v>2</v>
      </c>
      <c r="AN1096" s="1">
        <v>1</v>
      </c>
      <c r="AO1096" s="1">
        <v>1</v>
      </c>
      <c r="AP1096" s="1" t="s">
        <v>210</v>
      </c>
      <c r="AR1096" s="1" t="s">
        <v>210</v>
      </c>
      <c r="AS1096" s="1" t="s">
        <v>204</v>
      </c>
      <c r="AT1096" s="1" t="s">
        <v>271</v>
      </c>
      <c r="AV1096" s="1">
        <v>2</v>
      </c>
      <c r="AW1096" s="1" t="s">
        <v>204</v>
      </c>
      <c r="AX1096" s="1" t="s">
        <v>212</v>
      </c>
      <c r="AZ1096" s="1">
        <v>1424</v>
      </c>
      <c r="BA1096" s="1">
        <v>2013</v>
      </c>
      <c r="BB1096" s="1" t="s">
        <v>405</v>
      </c>
      <c r="BE1096" s="1">
        <v>930</v>
      </c>
      <c r="BF1096" s="1">
        <v>1</v>
      </c>
      <c r="BG1096" s="1">
        <v>0</v>
      </c>
      <c r="BL1096" s="1">
        <v>320</v>
      </c>
      <c r="BM1096" s="1" t="s">
        <v>204</v>
      </c>
      <c r="BN1096" s="1" t="s">
        <v>213</v>
      </c>
      <c r="BO1096" s="1">
        <v>100</v>
      </c>
      <c r="BP1096" s="1" t="s">
        <v>204</v>
      </c>
      <c r="BR1096" s="1" t="str">
        <f>"0832110278"</f>
        <v>0832110278</v>
      </c>
      <c r="BT1096" s="1" t="s">
        <v>11615</v>
      </c>
      <c r="BX1096" s="1">
        <v>203</v>
      </c>
      <c r="BY1096" s="1">
        <v>203</v>
      </c>
      <c r="BZ1096" s="1">
        <v>203</v>
      </c>
      <c r="CB1096" s="1" t="str">
        <f t="shared" ref="CB1096:CC1096" si="846">""</f>
        <v/>
      </c>
      <c r="CC1096" s="1" t="str">
        <f t="shared" si="846"/>
        <v/>
      </c>
      <c r="CG1096" s="1" t="s">
        <v>1132</v>
      </c>
      <c r="CH1096" s="1" t="s">
        <v>219</v>
      </c>
      <c r="CK1096" s="1" t="s">
        <v>223</v>
      </c>
      <c r="CL1096" s="1" t="s">
        <v>219</v>
      </c>
      <c r="CO1096" s="1" t="s">
        <v>346</v>
      </c>
      <c r="CP1096" s="1" t="s">
        <v>219</v>
      </c>
      <c r="CS1096" s="1" t="s">
        <v>317</v>
      </c>
      <c r="CT1096" s="1" t="s">
        <v>219</v>
      </c>
      <c r="CX1096" s="1" t="s">
        <v>224</v>
      </c>
      <c r="DB1096" s="1" t="s">
        <v>224</v>
      </c>
      <c r="DE1096" s="1" t="s">
        <v>318</v>
      </c>
      <c r="DF1096" s="1" t="s">
        <v>219</v>
      </c>
      <c r="DJ1096" s="1" t="s">
        <v>224</v>
      </c>
      <c r="DS1096" s="1" t="s">
        <v>230</v>
      </c>
      <c r="DW1096" s="1" t="s">
        <v>230</v>
      </c>
      <c r="EA1096" s="1" t="s">
        <v>230</v>
      </c>
      <c r="EE1096" s="1" t="s">
        <v>230</v>
      </c>
      <c r="EI1096" s="1" t="s">
        <v>230</v>
      </c>
      <c r="EL1096" s="1" t="s">
        <v>605</v>
      </c>
      <c r="EM1096" s="1" t="s">
        <v>319</v>
      </c>
      <c r="EN1096" s="1" t="s">
        <v>1158</v>
      </c>
      <c r="EO1096" s="1" t="s">
        <v>234</v>
      </c>
      <c r="EP1096" s="1" t="s">
        <v>11616</v>
      </c>
      <c r="ER1096" s="1" t="s">
        <v>210</v>
      </c>
      <c r="EW1096" s="1" t="s">
        <v>11617</v>
      </c>
      <c r="EY1096" s="1" t="s">
        <v>242</v>
      </c>
      <c r="EZ1096" s="1" t="s">
        <v>287</v>
      </c>
      <c r="FB1096" s="1" t="s">
        <v>244</v>
      </c>
      <c r="FD1096" s="1" t="s">
        <v>246</v>
      </c>
      <c r="FE1096" s="1" t="s">
        <v>651</v>
      </c>
      <c r="FF1096" s="1" t="s">
        <v>248</v>
      </c>
      <c r="FH1096" s="1" t="s">
        <v>249</v>
      </c>
      <c r="FK1096" s="1" t="s">
        <v>891</v>
      </c>
      <c r="FL1096" s="1" t="s">
        <v>328</v>
      </c>
      <c r="FM1096" s="1" t="s">
        <v>252</v>
      </c>
      <c r="FN1096" s="1" t="s">
        <v>213</v>
      </c>
      <c r="FO1096" s="1" t="s">
        <v>213</v>
      </c>
      <c r="FQ1096" s="1" t="s">
        <v>582</v>
      </c>
      <c r="FR1096" s="1" t="s">
        <v>210</v>
      </c>
      <c r="FS1096" s="1" t="s">
        <v>11618</v>
      </c>
      <c r="FT1096" s="1" t="s">
        <v>584</v>
      </c>
      <c r="FU1096" s="1" t="s">
        <v>204</v>
      </c>
      <c r="FW1096" s="1" t="s">
        <v>1050</v>
      </c>
      <c r="FX1096" s="1">
        <v>23025</v>
      </c>
      <c r="FY1096" s="1" t="s">
        <v>1051</v>
      </c>
      <c r="FZ1096" s="1" t="s">
        <v>1052</v>
      </c>
      <c r="GA1096" s="1">
        <v>233762</v>
      </c>
      <c r="GB1096" s="1" t="s">
        <v>1053</v>
      </c>
      <c r="GE1096" s="1" t="s">
        <v>335</v>
      </c>
      <c r="GH1096" s="1" t="s">
        <v>800</v>
      </c>
      <c r="GI1096" s="1" t="s">
        <v>213</v>
      </c>
      <c r="GJ1096" s="1" t="s">
        <v>260</v>
      </c>
      <c r="GK1096" s="1" t="s">
        <v>210</v>
      </c>
      <c r="GL1096" s="2">
        <v>42131</v>
      </c>
      <c r="GM1096" s="1" t="s">
        <v>11619</v>
      </c>
    </row>
    <row r="1097" spans="1:195">
      <c r="A1097" s="1">
        <v>195000</v>
      </c>
      <c r="B1097" s="1" t="s">
        <v>195</v>
      </c>
      <c r="C1097" s="1" t="str">
        <f>"08851483"</f>
        <v>08851483</v>
      </c>
      <c r="D1097" s="1" t="s">
        <v>196</v>
      </c>
      <c r="F1097" s="1" t="str">
        <f>"516"</f>
        <v>516</v>
      </c>
      <c r="G1097" s="2">
        <v>42066</v>
      </c>
      <c r="H1097" s="1">
        <v>189900</v>
      </c>
      <c r="I1097" s="1">
        <v>189900</v>
      </c>
      <c r="J1097" s="1">
        <v>195000</v>
      </c>
      <c r="K1097" s="2">
        <v>42064</v>
      </c>
      <c r="L1097" s="1">
        <v>53</v>
      </c>
      <c r="M1097" s="2">
        <v>42116</v>
      </c>
      <c r="N1097" s="1">
        <v>53</v>
      </c>
      <c r="O1097" s="2">
        <v>42116</v>
      </c>
      <c r="P1097" s="1">
        <v>11062</v>
      </c>
      <c r="Q1097" s="1" t="s">
        <v>197</v>
      </c>
      <c r="R1097" s="2">
        <v>42143</v>
      </c>
      <c r="S1097" s="1">
        <v>874660</v>
      </c>
      <c r="U1097" s="1" t="s">
        <v>11620</v>
      </c>
      <c r="V1097" s="1" t="s">
        <v>1416</v>
      </c>
      <c r="W1097" s="1" t="s">
        <v>304</v>
      </c>
      <c r="Y1097" s="1">
        <v>4</v>
      </c>
      <c r="Z1097" s="1" t="s">
        <v>370</v>
      </c>
      <c r="AA1097" s="1" t="s">
        <v>1417</v>
      </c>
      <c r="AB1097" s="1">
        <v>60527</v>
      </c>
      <c r="AE1097" s="1" t="s">
        <v>11621</v>
      </c>
      <c r="AF1097" s="1">
        <v>2001</v>
      </c>
      <c r="AG1097" s="1" t="s">
        <v>204</v>
      </c>
      <c r="AH1097" s="1" t="s">
        <v>1419</v>
      </c>
      <c r="AI1097" s="1" t="s">
        <v>206</v>
      </c>
      <c r="AJ1097" s="1" t="s">
        <v>903</v>
      </c>
      <c r="AL1097" s="1">
        <v>7</v>
      </c>
      <c r="AM1097" s="1">
        <v>2</v>
      </c>
      <c r="AN1097" s="1">
        <v>2</v>
      </c>
      <c r="AO1097" s="1">
        <v>1</v>
      </c>
      <c r="AP1097" s="1" t="s">
        <v>209</v>
      </c>
      <c r="AQ1097" s="1">
        <v>1</v>
      </c>
      <c r="AR1097" s="1" t="s">
        <v>1421</v>
      </c>
      <c r="AS1097" s="1" t="s">
        <v>204</v>
      </c>
      <c r="AT1097" s="1" t="s">
        <v>211</v>
      </c>
      <c r="AU1097" s="1">
        <v>2</v>
      </c>
      <c r="AW1097" s="1" t="s">
        <v>204</v>
      </c>
      <c r="AX1097" s="1" t="s">
        <v>212</v>
      </c>
      <c r="AZ1097" s="1">
        <v>3859</v>
      </c>
      <c r="BA1097" s="1">
        <v>2013</v>
      </c>
      <c r="BE1097" s="1">
        <v>1608</v>
      </c>
      <c r="BF1097" s="1">
        <v>1</v>
      </c>
      <c r="BG1097" s="1">
        <v>0</v>
      </c>
      <c r="BL1097" s="1">
        <v>210</v>
      </c>
      <c r="BM1097" s="1" t="s">
        <v>204</v>
      </c>
      <c r="BN1097" s="1" t="s">
        <v>213</v>
      </c>
      <c r="BO1097" s="1">
        <v>999</v>
      </c>
      <c r="BP1097" s="1" t="s">
        <v>204</v>
      </c>
      <c r="BR1097" s="1" t="str">
        <f>"1011303092"</f>
        <v>1011303092</v>
      </c>
      <c r="BT1097" s="1" t="s">
        <v>11622</v>
      </c>
      <c r="BU1097" s="1" t="s">
        <v>1423</v>
      </c>
      <c r="BV1097" s="1" t="s">
        <v>1424</v>
      </c>
      <c r="BW1097" s="1" t="s">
        <v>907</v>
      </c>
      <c r="BX1097" s="1">
        <v>180</v>
      </c>
      <c r="BY1097" s="1">
        <v>180</v>
      </c>
      <c r="BZ1097" s="1">
        <v>86</v>
      </c>
      <c r="CB1097" s="1" t="str">
        <f t="shared" ref="CB1097:CC1097" si="847">""</f>
        <v/>
      </c>
      <c r="CC1097" s="1" t="str">
        <f t="shared" si="847"/>
        <v/>
      </c>
      <c r="CG1097" s="1" t="s">
        <v>757</v>
      </c>
      <c r="CH1097" s="1" t="s">
        <v>219</v>
      </c>
      <c r="CI1097" s="1" t="s">
        <v>220</v>
      </c>
      <c r="CJ1097" s="1" t="s">
        <v>252</v>
      </c>
      <c r="CK1097" s="1" t="s">
        <v>1425</v>
      </c>
      <c r="CL1097" s="1" t="s">
        <v>277</v>
      </c>
      <c r="CM1097" s="1" t="s">
        <v>220</v>
      </c>
      <c r="CN1097" s="1" t="s">
        <v>252</v>
      </c>
      <c r="CO1097" s="1" t="s">
        <v>346</v>
      </c>
      <c r="CP1097" s="1" t="s">
        <v>219</v>
      </c>
      <c r="CQ1097" s="1" t="s">
        <v>220</v>
      </c>
      <c r="CR1097" s="1" t="s">
        <v>210</v>
      </c>
      <c r="CS1097" s="1" t="s">
        <v>1297</v>
      </c>
      <c r="CT1097" s="1" t="s">
        <v>277</v>
      </c>
      <c r="CU1097" s="1" t="s">
        <v>220</v>
      </c>
      <c r="CV1097" s="1" t="s">
        <v>252</v>
      </c>
      <c r="CX1097" s="1" t="s">
        <v>224</v>
      </c>
      <c r="DB1097" s="1" t="s">
        <v>224</v>
      </c>
      <c r="DE1097" s="1" t="s">
        <v>346</v>
      </c>
      <c r="DF1097" s="1" t="s">
        <v>219</v>
      </c>
      <c r="DG1097" s="1" t="s">
        <v>438</v>
      </c>
      <c r="DH1097" s="1" t="s">
        <v>252</v>
      </c>
      <c r="DI1097" s="1" t="s">
        <v>379</v>
      </c>
      <c r="DJ1097" s="1" t="s">
        <v>822</v>
      </c>
      <c r="DK1097" s="1" t="s">
        <v>220</v>
      </c>
      <c r="DL1097" s="1" t="s">
        <v>7316</v>
      </c>
      <c r="DM1097" s="1" t="s">
        <v>1548</v>
      </c>
      <c r="DN1097" s="1" t="s">
        <v>838</v>
      </c>
      <c r="DR1097" s="1" t="s">
        <v>465</v>
      </c>
      <c r="DS1097" s="1" t="s">
        <v>219</v>
      </c>
      <c r="DT1097" s="1" t="s">
        <v>438</v>
      </c>
      <c r="DU1097" s="1" t="s">
        <v>7316</v>
      </c>
      <c r="DV1097" s="1" t="s">
        <v>9678</v>
      </c>
      <c r="DW1097" s="1" t="s">
        <v>219</v>
      </c>
      <c r="DX1097" s="1" t="s">
        <v>347</v>
      </c>
      <c r="DY1097" s="1" t="s">
        <v>210</v>
      </c>
      <c r="EA1097" s="1" t="s">
        <v>230</v>
      </c>
      <c r="EE1097" s="1" t="s">
        <v>230</v>
      </c>
      <c r="EI1097" s="1" t="s">
        <v>230</v>
      </c>
      <c r="EL1097" s="1" t="s">
        <v>466</v>
      </c>
      <c r="EM1097" s="1" t="s">
        <v>232</v>
      </c>
      <c r="EN1097" s="1" t="s">
        <v>282</v>
      </c>
      <c r="EO1097" s="1" t="s">
        <v>234</v>
      </c>
      <c r="EP1097" s="1" t="s">
        <v>283</v>
      </c>
      <c r="EQ1097" s="1" t="s">
        <v>1094</v>
      </c>
      <c r="ER1097" s="1" t="s">
        <v>8320</v>
      </c>
      <c r="ES1097" s="1" t="s">
        <v>824</v>
      </c>
      <c r="ET1097" s="1" t="s">
        <v>11623</v>
      </c>
      <c r="EU1097" s="1" t="s">
        <v>5503</v>
      </c>
      <c r="EV1097" s="1" t="s">
        <v>240</v>
      </c>
      <c r="EW1097" s="1" t="s">
        <v>353</v>
      </c>
      <c r="EZ1097" s="1" t="s">
        <v>8827</v>
      </c>
      <c r="FB1097" s="1" t="s">
        <v>11624</v>
      </c>
      <c r="FD1097" s="1" t="s">
        <v>246</v>
      </c>
      <c r="FE1097" s="1" t="s">
        <v>472</v>
      </c>
      <c r="FF1097" s="1" t="s">
        <v>387</v>
      </c>
      <c r="FG1097" s="1" t="s">
        <v>871</v>
      </c>
      <c r="FH1097" s="1" t="s">
        <v>550</v>
      </c>
      <c r="FL1097" s="1" t="s">
        <v>358</v>
      </c>
      <c r="FM1097" s="1" t="s">
        <v>252</v>
      </c>
      <c r="FN1097" s="1" t="s">
        <v>213</v>
      </c>
      <c r="FO1097" s="1" t="s">
        <v>213</v>
      </c>
      <c r="FQ1097" s="1" t="s">
        <v>2004</v>
      </c>
      <c r="FR1097" s="1" t="s">
        <v>210</v>
      </c>
      <c r="FS1097" s="1" t="s">
        <v>1429</v>
      </c>
      <c r="FT1097" s="1" t="s">
        <v>295</v>
      </c>
      <c r="FU1097" s="1" t="s">
        <v>204</v>
      </c>
      <c r="FW1097" s="1" t="s">
        <v>3495</v>
      </c>
      <c r="FX1097" s="1">
        <v>22145</v>
      </c>
      <c r="FY1097" s="1" t="s">
        <v>3496</v>
      </c>
      <c r="FZ1097" s="1" t="s">
        <v>11625</v>
      </c>
      <c r="GA1097" s="1">
        <v>225070</v>
      </c>
      <c r="GB1097" s="1" t="s">
        <v>11626</v>
      </c>
      <c r="GE1097" s="1" t="s">
        <v>776</v>
      </c>
      <c r="GI1097" s="1" t="s">
        <v>213</v>
      </c>
      <c r="GJ1097" s="1" t="s">
        <v>260</v>
      </c>
      <c r="GK1097" s="1" t="s">
        <v>210</v>
      </c>
      <c r="GL1097" s="2">
        <v>42146</v>
      </c>
    </row>
    <row r="1098" spans="1:195">
      <c r="A1098" s="1">
        <v>146000</v>
      </c>
      <c r="B1098" s="1" t="s">
        <v>195</v>
      </c>
      <c r="C1098" s="1" t="str">
        <f>"08857514"</f>
        <v>08857514</v>
      </c>
      <c r="D1098" s="1" t="s">
        <v>196</v>
      </c>
      <c r="F1098" s="1" t="str">
        <f>"190"</f>
        <v>190</v>
      </c>
      <c r="G1098" s="2">
        <v>42073</v>
      </c>
      <c r="H1098" s="1">
        <v>150000</v>
      </c>
      <c r="I1098" s="1">
        <v>150000</v>
      </c>
      <c r="J1098" s="1">
        <v>146000</v>
      </c>
      <c r="K1098" s="2">
        <v>42073</v>
      </c>
      <c r="L1098" s="1">
        <v>9</v>
      </c>
      <c r="M1098" s="2">
        <v>42081</v>
      </c>
      <c r="N1098" s="1">
        <v>9</v>
      </c>
      <c r="O1098" s="2">
        <v>42081</v>
      </c>
      <c r="P1098" s="1">
        <v>25088</v>
      </c>
      <c r="Q1098" s="1" t="s">
        <v>197</v>
      </c>
      <c r="R1098" s="2">
        <v>42117</v>
      </c>
      <c r="S1098" s="1">
        <v>255038</v>
      </c>
      <c r="U1098" s="1" t="s">
        <v>11627</v>
      </c>
      <c r="V1098" s="1" t="s">
        <v>1914</v>
      </c>
      <c r="W1098" s="1" t="s">
        <v>1056</v>
      </c>
      <c r="X1098" s="1">
        <v>3102</v>
      </c>
      <c r="Y1098" s="1">
        <v>4</v>
      </c>
      <c r="Z1098" s="1" t="s">
        <v>249</v>
      </c>
      <c r="AA1098" s="1" t="s">
        <v>1915</v>
      </c>
      <c r="AB1098" s="1">
        <v>60190</v>
      </c>
      <c r="AD1098" s="1" t="s">
        <v>1916</v>
      </c>
      <c r="AE1098" s="1" t="s">
        <v>11628</v>
      </c>
      <c r="AF1098" s="1">
        <v>1989</v>
      </c>
      <c r="AG1098" s="1" t="s">
        <v>204</v>
      </c>
      <c r="AH1098" s="1" t="s">
        <v>987</v>
      </c>
      <c r="AI1098" s="1" t="s">
        <v>206</v>
      </c>
      <c r="AJ1098" s="1" t="s">
        <v>987</v>
      </c>
      <c r="AL1098" s="1">
        <v>5</v>
      </c>
      <c r="AM1098" s="1">
        <v>2</v>
      </c>
      <c r="AN1098" s="1">
        <v>2</v>
      </c>
      <c r="AO1098" s="1">
        <v>0</v>
      </c>
      <c r="AP1098" s="1" t="s">
        <v>209</v>
      </c>
      <c r="AQ1098" s="1">
        <v>1</v>
      </c>
      <c r="AR1098" s="1" t="s">
        <v>210</v>
      </c>
      <c r="AS1098" s="1" t="s">
        <v>204</v>
      </c>
      <c r="AT1098" s="1" t="s">
        <v>211</v>
      </c>
      <c r="AU1098" s="1">
        <v>1</v>
      </c>
      <c r="AW1098" s="1" t="s">
        <v>213</v>
      </c>
      <c r="AX1098" s="1" t="s">
        <v>212</v>
      </c>
      <c r="AZ1098" s="1">
        <v>3794.62</v>
      </c>
      <c r="BA1098" s="1">
        <v>2013</v>
      </c>
      <c r="BB1098" s="1" t="s">
        <v>405</v>
      </c>
      <c r="BE1098" s="1">
        <v>968</v>
      </c>
      <c r="BF1098" s="1">
        <v>1</v>
      </c>
      <c r="BG1098" s="1">
        <v>0</v>
      </c>
      <c r="BL1098" s="1">
        <v>183</v>
      </c>
      <c r="BM1098" s="1" t="s">
        <v>204</v>
      </c>
      <c r="BN1098" s="1" t="s">
        <v>213</v>
      </c>
      <c r="BO1098" s="1">
        <v>0</v>
      </c>
      <c r="BP1098" s="1" t="s">
        <v>204</v>
      </c>
      <c r="BR1098" s="1" t="str">
        <f>"0412307218"</f>
        <v>0412307218</v>
      </c>
      <c r="BT1098" s="1" t="s">
        <v>11629</v>
      </c>
      <c r="BU1098" s="1" t="s">
        <v>3162</v>
      </c>
      <c r="BV1098" s="1" t="s">
        <v>3163</v>
      </c>
      <c r="BW1098" s="1" t="s">
        <v>1675</v>
      </c>
      <c r="BX1098" s="1">
        <v>34</v>
      </c>
      <c r="BY1098" s="1">
        <v>34</v>
      </c>
      <c r="BZ1098" s="1">
        <v>94</v>
      </c>
      <c r="CB1098" s="1" t="str">
        <f t="shared" ref="CB1098:CC1098" si="848">"0"</f>
        <v>0</v>
      </c>
      <c r="CC1098" s="1" t="str">
        <f t="shared" si="848"/>
        <v>0</v>
      </c>
      <c r="CD1098" s="1">
        <v>27</v>
      </c>
      <c r="CE1098" s="1">
        <v>0</v>
      </c>
      <c r="CG1098" s="1" t="s">
        <v>538</v>
      </c>
      <c r="CH1098" s="1" t="s">
        <v>219</v>
      </c>
      <c r="CI1098" s="1" t="s">
        <v>220</v>
      </c>
      <c r="CK1098" s="1" t="s">
        <v>539</v>
      </c>
      <c r="CL1098" s="1" t="s">
        <v>219</v>
      </c>
      <c r="CM1098" s="1" t="s">
        <v>220</v>
      </c>
      <c r="CO1098" s="1" t="s">
        <v>409</v>
      </c>
      <c r="CP1098" s="1" t="s">
        <v>219</v>
      </c>
      <c r="CQ1098" s="1" t="s">
        <v>220</v>
      </c>
      <c r="CS1098" s="1" t="s">
        <v>346</v>
      </c>
      <c r="CT1098" s="1" t="s">
        <v>219</v>
      </c>
      <c r="CU1098" s="1" t="s">
        <v>220</v>
      </c>
      <c r="CX1098" s="1" t="s">
        <v>224</v>
      </c>
      <c r="DB1098" s="1" t="s">
        <v>224</v>
      </c>
      <c r="DE1098" s="1" t="s">
        <v>346</v>
      </c>
      <c r="DF1098" s="1" t="s">
        <v>219</v>
      </c>
      <c r="DG1098" s="1" t="s">
        <v>229</v>
      </c>
      <c r="DJ1098" s="1" t="s">
        <v>224</v>
      </c>
      <c r="DS1098" s="1" t="s">
        <v>230</v>
      </c>
      <c r="DW1098" s="1" t="s">
        <v>230</v>
      </c>
      <c r="EA1098" s="1" t="s">
        <v>230</v>
      </c>
      <c r="EE1098" s="1" t="s">
        <v>230</v>
      </c>
      <c r="EI1098" s="1" t="s">
        <v>230</v>
      </c>
      <c r="EL1098" s="1" t="s">
        <v>542</v>
      </c>
      <c r="EM1098" s="1" t="s">
        <v>232</v>
      </c>
      <c r="EN1098" s="1" t="s">
        <v>282</v>
      </c>
      <c r="EO1098" s="1" t="s">
        <v>840</v>
      </c>
      <c r="EP1098" s="1" t="s">
        <v>3012</v>
      </c>
      <c r="EQ1098" s="1" t="s">
        <v>236</v>
      </c>
      <c r="ER1098" s="1" t="s">
        <v>210</v>
      </c>
      <c r="ES1098" s="1" t="s">
        <v>1552</v>
      </c>
      <c r="EU1098" s="1" t="s">
        <v>11630</v>
      </c>
      <c r="EV1098" s="1" t="s">
        <v>352</v>
      </c>
      <c r="EW1098" s="1" t="s">
        <v>11631</v>
      </c>
      <c r="EY1098" s="1" t="s">
        <v>242</v>
      </c>
      <c r="EZ1098" s="1" t="s">
        <v>287</v>
      </c>
      <c r="FA1098" s="1" t="s">
        <v>714</v>
      </c>
      <c r="FB1098" s="1" t="s">
        <v>244</v>
      </c>
      <c r="FC1098" s="1" t="s">
        <v>633</v>
      </c>
      <c r="FD1098" s="1" t="s">
        <v>246</v>
      </c>
      <c r="FE1098" s="1" t="s">
        <v>247</v>
      </c>
      <c r="FF1098" s="1" t="s">
        <v>248</v>
      </c>
      <c r="FG1098" s="1" t="s">
        <v>2739</v>
      </c>
      <c r="FH1098" s="1" t="s">
        <v>249</v>
      </c>
      <c r="FI1098" s="1" t="s">
        <v>473</v>
      </c>
      <c r="FL1098" s="1" t="s">
        <v>358</v>
      </c>
      <c r="FM1098" s="1" t="s">
        <v>252</v>
      </c>
      <c r="FN1098" s="1" t="s">
        <v>213</v>
      </c>
      <c r="FO1098" s="1" t="s">
        <v>213</v>
      </c>
      <c r="FQ1098" s="1" t="s">
        <v>913</v>
      </c>
      <c r="FR1098" s="1" t="s">
        <v>210</v>
      </c>
      <c r="FS1098" s="1" t="s">
        <v>976</v>
      </c>
      <c r="FT1098" s="1" t="s">
        <v>295</v>
      </c>
      <c r="FU1098" s="1" t="s">
        <v>204</v>
      </c>
      <c r="FW1098" s="1" t="s">
        <v>977</v>
      </c>
      <c r="FX1098" s="1">
        <v>25266</v>
      </c>
      <c r="FY1098" s="1" t="s">
        <v>978</v>
      </c>
      <c r="FZ1098" s="1" t="s">
        <v>979</v>
      </c>
      <c r="GA1098" s="1">
        <v>231049</v>
      </c>
      <c r="GB1098" s="1" t="s">
        <v>980</v>
      </c>
      <c r="GE1098" s="1" t="s">
        <v>1333</v>
      </c>
      <c r="GI1098" s="1" t="s">
        <v>213</v>
      </c>
      <c r="GJ1098" s="1" t="s">
        <v>260</v>
      </c>
      <c r="GK1098" s="1" t="s">
        <v>210</v>
      </c>
      <c r="GL1098" s="2">
        <v>42118</v>
      </c>
      <c r="GM1098" s="1" t="s">
        <v>11632</v>
      </c>
    </row>
    <row r="1099" spans="1:195">
      <c r="A1099" s="1">
        <v>230000</v>
      </c>
      <c r="B1099" s="1" t="s">
        <v>195</v>
      </c>
      <c r="C1099" s="1" t="str">
        <f>"08854011"</f>
        <v>08854011</v>
      </c>
      <c r="D1099" s="1" t="s">
        <v>196</v>
      </c>
      <c r="F1099" s="1" t="str">
        <f>"540"</f>
        <v>540</v>
      </c>
      <c r="G1099" s="2">
        <v>42069</v>
      </c>
      <c r="H1099" s="1">
        <v>240000</v>
      </c>
      <c r="I1099" s="1">
        <v>240000</v>
      </c>
      <c r="J1099" s="1">
        <v>230000</v>
      </c>
      <c r="K1099" s="2">
        <v>42069</v>
      </c>
      <c r="L1099" s="1">
        <v>14</v>
      </c>
      <c r="M1099" s="2">
        <v>42082</v>
      </c>
      <c r="N1099" s="1">
        <v>14</v>
      </c>
      <c r="O1099" s="2">
        <v>42082</v>
      </c>
      <c r="P1099" s="1">
        <v>23265</v>
      </c>
      <c r="Q1099" s="1" t="s">
        <v>197</v>
      </c>
      <c r="R1099" s="2">
        <v>42118</v>
      </c>
      <c r="S1099" s="1">
        <v>236423</v>
      </c>
      <c r="T1099" s="1">
        <v>1050</v>
      </c>
      <c r="U1099" s="1">
        <v>1552</v>
      </c>
      <c r="V1099" s="1" t="s">
        <v>2530</v>
      </c>
      <c r="W1099" s="1" t="s">
        <v>304</v>
      </c>
      <c r="X1099" s="1">
        <v>1552</v>
      </c>
      <c r="Y1099" s="1">
        <v>4</v>
      </c>
      <c r="Z1099" s="1" t="s">
        <v>249</v>
      </c>
      <c r="AA1099" s="1" t="s">
        <v>921</v>
      </c>
      <c r="AB1099" s="1">
        <v>60564</v>
      </c>
      <c r="AD1099" s="1" t="s">
        <v>2531</v>
      </c>
      <c r="AE1099" s="1" t="s">
        <v>11633</v>
      </c>
      <c r="AF1099" s="1">
        <v>1990</v>
      </c>
      <c r="AG1099" s="1" t="s">
        <v>204</v>
      </c>
      <c r="AH1099" s="1" t="s">
        <v>1126</v>
      </c>
      <c r="AI1099" s="1" t="s">
        <v>206</v>
      </c>
      <c r="AJ1099" s="1" t="s">
        <v>924</v>
      </c>
      <c r="AK1099" s="1" t="s">
        <v>11634</v>
      </c>
      <c r="AL1099" s="1">
        <v>7</v>
      </c>
      <c r="AM1099" s="1">
        <v>2</v>
      </c>
      <c r="AN1099" s="1">
        <v>2</v>
      </c>
      <c r="AO1099" s="1">
        <v>2</v>
      </c>
      <c r="AP1099" s="1" t="s">
        <v>209</v>
      </c>
      <c r="AR1099" s="1" t="s">
        <v>1483</v>
      </c>
      <c r="AS1099" s="1" t="s">
        <v>213</v>
      </c>
      <c r="AT1099" s="1" t="s">
        <v>211</v>
      </c>
      <c r="AU1099" s="1">
        <v>2</v>
      </c>
      <c r="AW1099" s="1" t="s">
        <v>213</v>
      </c>
      <c r="AX1099" s="1" t="s">
        <v>212</v>
      </c>
      <c r="AZ1099" s="1">
        <v>7240</v>
      </c>
      <c r="BA1099" s="1">
        <v>2013</v>
      </c>
      <c r="BB1099" s="1" t="s">
        <v>405</v>
      </c>
      <c r="BE1099" s="1">
        <v>1595</v>
      </c>
      <c r="BF1099" s="1">
        <v>1</v>
      </c>
      <c r="BG1099" s="1">
        <v>0</v>
      </c>
      <c r="BL1099" s="1">
        <v>345</v>
      </c>
      <c r="BM1099" s="1" t="s">
        <v>204</v>
      </c>
      <c r="BN1099" s="1" t="s">
        <v>213</v>
      </c>
      <c r="BO1099" s="1">
        <v>999</v>
      </c>
      <c r="BP1099" s="1" t="s">
        <v>204</v>
      </c>
      <c r="BR1099" s="1" t="str">
        <f>"0733310034"</f>
        <v>0733310034</v>
      </c>
      <c r="BT1099" s="1" t="s">
        <v>11635</v>
      </c>
      <c r="BU1099" s="1" t="s">
        <v>2534</v>
      </c>
      <c r="BV1099" s="1" t="s">
        <v>2535</v>
      </c>
      <c r="BW1099" s="1" t="s">
        <v>1312</v>
      </c>
      <c r="BX1099" s="1">
        <v>204</v>
      </c>
      <c r="BY1099" s="1">
        <v>204</v>
      </c>
      <c r="BZ1099" s="1">
        <v>204</v>
      </c>
      <c r="CB1099" s="1" t="str">
        <f t="shared" ref="CB1099:CC1099" si="849">"0"</f>
        <v>0</v>
      </c>
      <c r="CC1099" s="1" t="str">
        <f t="shared" si="849"/>
        <v>0</v>
      </c>
      <c r="CD1099" s="1">
        <v>30</v>
      </c>
      <c r="CE1099" s="1">
        <v>9</v>
      </c>
      <c r="CG1099" s="1" t="s">
        <v>5898</v>
      </c>
      <c r="CH1099" s="1" t="s">
        <v>219</v>
      </c>
      <c r="CI1099" s="1" t="s">
        <v>438</v>
      </c>
      <c r="CK1099" s="1" t="s">
        <v>315</v>
      </c>
      <c r="CL1099" s="1" t="s">
        <v>277</v>
      </c>
      <c r="CM1099" s="1" t="s">
        <v>220</v>
      </c>
      <c r="CO1099" s="1" t="s">
        <v>465</v>
      </c>
      <c r="CP1099" s="1" t="s">
        <v>219</v>
      </c>
      <c r="CQ1099" s="1" t="s">
        <v>438</v>
      </c>
      <c r="CS1099" s="1" t="s">
        <v>465</v>
      </c>
      <c r="CT1099" s="1" t="s">
        <v>277</v>
      </c>
      <c r="CU1099" s="1" t="s">
        <v>220</v>
      </c>
      <c r="CX1099" s="1" t="s">
        <v>224</v>
      </c>
      <c r="DB1099" s="1" t="s">
        <v>224</v>
      </c>
      <c r="DE1099" s="1" t="s">
        <v>379</v>
      </c>
      <c r="DF1099" s="1" t="s">
        <v>219</v>
      </c>
      <c r="DG1099" s="1" t="s">
        <v>438</v>
      </c>
      <c r="DI1099" s="1" t="s">
        <v>4082</v>
      </c>
      <c r="DJ1099" s="1" t="s">
        <v>822</v>
      </c>
      <c r="DK1099" s="1" t="s">
        <v>220</v>
      </c>
      <c r="DM1099" s="1" t="s">
        <v>1548</v>
      </c>
      <c r="DR1099" s="1" t="s">
        <v>757</v>
      </c>
      <c r="DS1099" s="1" t="s">
        <v>219</v>
      </c>
      <c r="DT1099" s="1" t="s">
        <v>438</v>
      </c>
      <c r="DW1099" s="1" t="s">
        <v>230</v>
      </c>
      <c r="EA1099" s="1" t="s">
        <v>230</v>
      </c>
      <c r="EE1099" s="1" t="s">
        <v>230</v>
      </c>
      <c r="EI1099" s="1" t="s">
        <v>230</v>
      </c>
      <c r="EL1099" s="1" t="s">
        <v>382</v>
      </c>
      <c r="EM1099" s="1" t="s">
        <v>319</v>
      </c>
      <c r="EN1099" s="1" t="s">
        <v>282</v>
      </c>
      <c r="EO1099" s="1" t="s">
        <v>234</v>
      </c>
      <c r="EP1099" s="1" t="s">
        <v>10095</v>
      </c>
      <c r="EQ1099" s="1" t="s">
        <v>11636</v>
      </c>
      <c r="ER1099" s="1" t="s">
        <v>544</v>
      </c>
      <c r="ES1099" s="1" t="s">
        <v>954</v>
      </c>
      <c r="EU1099" s="1" t="s">
        <v>10619</v>
      </c>
      <c r="EV1099" s="1" t="s">
        <v>324</v>
      </c>
      <c r="EW1099" s="1" t="s">
        <v>11637</v>
      </c>
      <c r="EZ1099" s="1" t="s">
        <v>1548</v>
      </c>
      <c r="FA1099" s="1" t="s">
        <v>4623</v>
      </c>
      <c r="FB1099" s="1" t="s">
        <v>289</v>
      </c>
      <c r="FD1099" s="1" t="s">
        <v>495</v>
      </c>
      <c r="FE1099" s="1" t="s">
        <v>549</v>
      </c>
      <c r="FF1099" s="1" t="s">
        <v>248</v>
      </c>
      <c r="FH1099" s="1" t="s">
        <v>249</v>
      </c>
      <c r="FI1099" s="1" t="s">
        <v>473</v>
      </c>
      <c r="FL1099" s="1" t="s">
        <v>414</v>
      </c>
      <c r="FM1099" s="1" t="s">
        <v>252</v>
      </c>
      <c r="FN1099" s="1" t="s">
        <v>213</v>
      </c>
      <c r="FO1099" s="1" t="s">
        <v>213</v>
      </c>
      <c r="FQ1099" s="1" t="s">
        <v>11638</v>
      </c>
      <c r="FR1099" s="1" t="s">
        <v>652</v>
      </c>
      <c r="FS1099" s="1" t="s">
        <v>11639</v>
      </c>
      <c r="FT1099" s="1" t="s">
        <v>295</v>
      </c>
      <c r="FU1099" s="1" t="s">
        <v>204</v>
      </c>
      <c r="FW1099" s="1" t="s">
        <v>1475</v>
      </c>
      <c r="FX1099" s="1">
        <v>23265</v>
      </c>
      <c r="FY1099" s="1" t="s">
        <v>1476</v>
      </c>
      <c r="FZ1099" s="1" t="s">
        <v>11640</v>
      </c>
      <c r="GA1099" s="1">
        <v>233530</v>
      </c>
      <c r="GB1099" s="1" t="s">
        <v>11641</v>
      </c>
      <c r="GC1099" s="1">
        <v>236423</v>
      </c>
      <c r="GE1099" s="1" t="s">
        <v>1256</v>
      </c>
      <c r="GI1099" s="1" t="s">
        <v>213</v>
      </c>
      <c r="GJ1099" s="1" t="s">
        <v>260</v>
      </c>
      <c r="GK1099" s="1" t="s">
        <v>210</v>
      </c>
      <c r="GL1099" s="2">
        <v>42118</v>
      </c>
      <c r="GM1099" s="1" t="s">
        <v>11642</v>
      </c>
    </row>
    <row r="1100" spans="1:195">
      <c r="A1100" s="1">
        <v>126000</v>
      </c>
      <c r="B1100" s="1" t="s">
        <v>195</v>
      </c>
      <c r="C1100" s="1" t="str">
        <f>"08855039"</f>
        <v>08855039</v>
      </c>
      <c r="D1100" s="1" t="s">
        <v>196</v>
      </c>
      <c r="F1100" s="1" t="str">
        <f>"46"</f>
        <v>46</v>
      </c>
      <c r="G1100" s="2">
        <v>42069</v>
      </c>
      <c r="H1100" s="1">
        <v>129900</v>
      </c>
      <c r="I1100" s="1">
        <v>129900</v>
      </c>
      <c r="J1100" s="1">
        <v>126000</v>
      </c>
      <c r="K1100" s="2">
        <v>42069</v>
      </c>
      <c r="L1100" s="1">
        <v>24</v>
      </c>
      <c r="M1100" s="2">
        <v>42092</v>
      </c>
      <c r="N1100" s="1">
        <v>24</v>
      </c>
      <c r="O1100" s="2">
        <v>42092</v>
      </c>
      <c r="P1100" s="1">
        <v>2648</v>
      </c>
      <c r="Q1100" s="1" t="s">
        <v>197</v>
      </c>
      <c r="R1100" s="2">
        <v>42136</v>
      </c>
      <c r="S1100" s="1">
        <v>13380</v>
      </c>
      <c r="U1100" s="1">
        <v>3080</v>
      </c>
      <c r="V1100" s="1" t="s">
        <v>2771</v>
      </c>
      <c r="W1100" s="1" t="s">
        <v>504</v>
      </c>
      <c r="X1100" s="1">
        <v>3080</v>
      </c>
      <c r="Y1100" s="1">
        <v>5</v>
      </c>
      <c r="Z1100" s="1" t="s">
        <v>370</v>
      </c>
      <c r="AA1100" s="1" t="s">
        <v>2772</v>
      </c>
      <c r="AB1100" s="1">
        <v>60046</v>
      </c>
      <c r="AD1100" s="1" t="s">
        <v>2773</v>
      </c>
      <c r="AE1100" s="1" t="s">
        <v>11643</v>
      </c>
      <c r="AF1100" s="1">
        <v>2001</v>
      </c>
      <c r="AG1100" s="1" t="s">
        <v>204</v>
      </c>
      <c r="AH1100" s="1" t="s">
        <v>2775</v>
      </c>
      <c r="AI1100" s="1" t="s">
        <v>509</v>
      </c>
      <c r="AJ1100" s="1" t="s">
        <v>1437</v>
      </c>
      <c r="AL1100" s="1">
        <v>6</v>
      </c>
      <c r="AM1100" s="1">
        <v>2</v>
      </c>
      <c r="AN1100" s="1">
        <v>2</v>
      </c>
      <c r="AO1100" s="1">
        <v>1</v>
      </c>
      <c r="AP1100" s="1" t="s">
        <v>209</v>
      </c>
      <c r="AQ1100" s="1">
        <v>1</v>
      </c>
      <c r="AR1100" s="1" t="s">
        <v>210</v>
      </c>
      <c r="AS1100" s="1" t="s">
        <v>204</v>
      </c>
      <c r="AT1100" s="1" t="s">
        <v>211</v>
      </c>
      <c r="AU1100" s="1">
        <v>1</v>
      </c>
      <c r="AW1100" s="1" t="s">
        <v>204</v>
      </c>
      <c r="AX1100" s="1" t="s">
        <v>212</v>
      </c>
      <c r="AZ1100" s="1">
        <v>4976</v>
      </c>
      <c r="BA1100" s="1">
        <v>2013</v>
      </c>
      <c r="BB1100" s="1" t="s">
        <v>405</v>
      </c>
      <c r="BE1100" s="1">
        <v>1412</v>
      </c>
      <c r="BF1100" s="1">
        <v>1</v>
      </c>
      <c r="BG1100" s="1">
        <v>0</v>
      </c>
      <c r="BL1100" s="1">
        <v>254</v>
      </c>
      <c r="BM1100" s="1" t="s">
        <v>204</v>
      </c>
      <c r="BN1100" s="1" t="s">
        <v>213</v>
      </c>
      <c r="BO1100" s="1">
        <v>999</v>
      </c>
      <c r="BP1100" s="1" t="s">
        <v>204</v>
      </c>
      <c r="BR1100" s="1" t="str">
        <f>"06014012650000"</f>
        <v>06014012650000</v>
      </c>
      <c r="BT1100" s="1" t="s">
        <v>11644</v>
      </c>
      <c r="BU1100" s="1" t="s">
        <v>9591</v>
      </c>
      <c r="BV1100" s="1" t="s">
        <v>9591</v>
      </c>
      <c r="BW1100" s="1" t="s">
        <v>1843</v>
      </c>
      <c r="BX1100" s="1">
        <v>24</v>
      </c>
      <c r="BY1100" s="1">
        <v>24</v>
      </c>
      <c r="BZ1100" s="1">
        <v>127</v>
      </c>
      <c r="CB1100" s="1" t="str">
        <f t="shared" ref="CB1100:CC1100" si="850">""</f>
        <v/>
      </c>
      <c r="CC1100" s="1" t="str">
        <f t="shared" si="850"/>
        <v/>
      </c>
      <c r="CG1100" s="1" t="s">
        <v>315</v>
      </c>
      <c r="CH1100" s="1" t="s">
        <v>219</v>
      </c>
      <c r="CI1100" s="1" t="s">
        <v>438</v>
      </c>
      <c r="CK1100" s="1" t="s">
        <v>757</v>
      </c>
      <c r="CL1100" s="1" t="s">
        <v>277</v>
      </c>
      <c r="CM1100" s="1" t="s">
        <v>220</v>
      </c>
      <c r="CO1100" s="1" t="s">
        <v>2899</v>
      </c>
      <c r="CP1100" s="1" t="s">
        <v>219</v>
      </c>
      <c r="CQ1100" s="1" t="s">
        <v>438</v>
      </c>
      <c r="CS1100" s="1" t="s">
        <v>465</v>
      </c>
      <c r="CT1100" s="1" t="s">
        <v>277</v>
      </c>
      <c r="CU1100" s="1" t="s">
        <v>220</v>
      </c>
      <c r="CX1100" s="1" t="s">
        <v>224</v>
      </c>
      <c r="DB1100" s="1" t="s">
        <v>224</v>
      </c>
      <c r="DE1100" s="1" t="s">
        <v>951</v>
      </c>
      <c r="DF1100" s="1" t="s">
        <v>219</v>
      </c>
      <c r="DG1100" s="1" t="s">
        <v>226</v>
      </c>
      <c r="DJ1100" s="1" t="s">
        <v>224</v>
      </c>
      <c r="DM1100" s="1" t="s">
        <v>464</v>
      </c>
      <c r="DR1100" s="1" t="s">
        <v>1774</v>
      </c>
      <c r="DS1100" s="1" t="s">
        <v>277</v>
      </c>
      <c r="DT1100" s="1" t="s">
        <v>220</v>
      </c>
      <c r="DW1100" s="1" t="s">
        <v>230</v>
      </c>
      <c r="EA1100" s="1" t="s">
        <v>230</v>
      </c>
      <c r="EE1100" s="1" t="s">
        <v>230</v>
      </c>
      <c r="EI1100" s="1" t="s">
        <v>230</v>
      </c>
      <c r="EL1100" s="1" t="s">
        <v>466</v>
      </c>
      <c r="EM1100" s="1" t="s">
        <v>319</v>
      </c>
      <c r="EN1100" s="1" t="s">
        <v>282</v>
      </c>
      <c r="EO1100" s="1" t="s">
        <v>840</v>
      </c>
      <c r="EP1100" s="1" t="s">
        <v>11645</v>
      </c>
      <c r="EQ1100" s="1" t="s">
        <v>236</v>
      </c>
      <c r="ER1100" s="1" t="s">
        <v>210</v>
      </c>
      <c r="ES1100" s="1" t="s">
        <v>608</v>
      </c>
      <c r="EV1100" s="1" t="s">
        <v>240</v>
      </c>
      <c r="EW1100" s="1" t="s">
        <v>1617</v>
      </c>
      <c r="EY1100" s="1" t="s">
        <v>242</v>
      </c>
      <c r="EZ1100" s="1" t="s">
        <v>464</v>
      </c>
      <c r="FA1100" s="1" t="s">
        <v>3624</v>
      </c>
      <c r="FB1100" s="1" t="s">
        <v>244</v>
      </c>
      <c r="FD1100" s="1" t="s">
        <v>246</v>
      </c>
      <c r="FE1100" s="1" t="s">
        <v>472</v>
      </c>
      <c r="FF1100" s="1" t="s">
        <v>248</v>
      </c>
      <c r="FG1100" s="1" t="s">
        <v>1682</v>
      </c>
      <c r="FH1100" s="1" t="s">
        <v>550</v>
      </c>
      <c r="FI1100" s="1" t="s">
        <v>357</v>
      </c>
      <c r="FL1100" s="1" t="s">
        <v>358</v>
      </c>
      <c r="FM1100" s="1" t="s">
        <v>252</v>
      </c>
      <c r="FN1100" s="1" t="s">
        <v>213</v>
      </c>
      <c r="FO1100" s="1" t="s">
        <v>213</v>
      </c>
      <c r="FQ1100" s="1" t="s">
        <v>1599</v>
      </c>
      <c r="FR1100" s="1" t="s">
        <v>210</v>
      </c>
      <c r="FS1100" s="1" t="s">
        <v>11646</v>
      </c>
      <c r="FT1100" s="1" t="s">
        <v>295</v>
      </c>
      <c r="FU1100" s="1" t="s">
        <v>204</v>
      </c>
      <c r="FW1100" s="1" t="s">
        <v>8332</v>
      </c>
      <c r="FX1100" s="1">
        <v>8103</v>
      </c>
      <c r="FY1100" s="1" t="s">
        <v>8333</v>
      </c>
      <c r="FZ1100" s="1" t="s">
        <v>8334</v>
      </c>
      <c r="GA1100" s="1">
        <v>80959</v>
      </c>
      <c r="GB1100" s="1" t="s">
        <v>8335</v>
      </c>
      <c r="GC1100" s="1">
        <v>922399</v>
      </c>
      <c r="GD1100" s="1" t="s">
        <v>8336</v>
      </c>
      <c r="GE1100" s="1" t="s">
        <v>480</v>
      </c>
      <c r="GI1100" s="1" t="s">
        <v>213</v>
      </c>
      <c r="GJ1100" s="1" t="s">
        <v>260</v>
      </c>
      <c r="GK1100" s="1" t="s">
        <v>210</v>
      </c>
      <c r="GL1100" s="2">
        <v>42136</v>
      </c>
      <c r="GM1100" s="1" t="s">
        <v>11647</v>
      </c>
    </row>
    <row r="1101" spans="1:195">
      <c r="A1101" s="1">
        <v>99900</v>
      </c>
      <c r="B1101" s="1" t="s">
        <v>195</v>
      </c>
      <c r="C1101" s="1" t="str">
        <f>"08849927"</f>
        <v>08849927</v>
      </c>
      <c r="D1101" s="1" t="s">
        <v>196</v>
      </c>
      <c r="F1101" s="1" t="str">
        <f>"531"</f>
        <v>531</v>
      </c>
      <c r="G1101" s="2">
        <v>42065</v>
      </c>
      <c r="H1101" s="1">
        <v>99900</v>
      </c>
      <c r="I1101" s="1">
        <v>99900</v>
      </c>
      <c r="J1101" s="1">
        <v>99900</v>
      </c>
      <c r="K1101" s="2">
        <v>42065</v>
      </c>
      <c r="L1101" s="1">
        <v>5</v>
      </c>
      <c r="M1101" s="2">
        <v>42069</v>
      </c>
      <c r="N1101" s="1">
        <v>5</v>
      </c>
      <c r="O1101" s="2">
        <v>42069</v>
      </c>
      <c r="P1101" s="1">
        <v>25484</v>
      </c>
      <c r="Q1101" s="1" t="s">
        <v>197</v>
      </c>
      <c r="R1101" s="2">
        <v>42109</v>
      </c>
      <c r="S1101" s="1">
        <v>222601</v>
      </c>
      <c r="U1101" s="1">
        <v>7231</v>
      </c>
      <c r="V1101" s="1" t="s">
        <v>5770</v>
      </c>
      <c r="W1101" s="1" t="s">
        <v>1056</v>
      </c>
      <c r="X1101" s="1" t="s">
        <v>11648</v>
      </c>
      <c r="Y1101" s="1">
        <v>48</v>
      </c>
      <c r="Z1101" s="1" t="s">
        <v>200</v>
      </c>
      <c r="AA1101" s="1" t="s">
        <v>2326</v>
      </c>
      <c r="AB1101" s="1">
        <v>60525</v>
      </c>
      <c r="AE1101" s="1" t="s">
        <v>11649</v>
      </c>
      <c r="AF1101" s="1">
        <v>1975</v>
      </c>
      <c r="AG1101" s="1" t="s">
        <v>213</v>
      </c>
      <c r="AH1101" s="1" t="s">
        <v>2329</v>
      </c>
      <c r="AI1101" s="1" t="s">
        <v>310</v>
      </c>
      <c r="AJ1101" s="1" t="s">
        <v>702</v>
      </c>
      <c r="AL1101" s="1">
        <v>5</v>
      </c>
      <c r="AM1101" s="1">
        <v>2</v>
      </c>
      <c r="AN1101" s="1">
        <v>2</v>
      </c>
      <c r="AO1101" s="1">
        <v>0</v>
      </c>
      <c r="AP1101" s="1" t="s">
        <v>209</v>
      </c>
      <c r="AR1101" s="1" t="s">
        <v>210</v>
      </c>
      <c r="AT1101" s="1" t="s">
        <v>271</v>
      </c>
      <c r="AV1101" s="1">
        <v>2</v>
      </c>
      <c r="AW1101" s="1" t="s">
        <v>204</v>
      </c>
      <c r="AX1101" s="1" t="s">
        <v>212</v>
      </c>
      <c r="AZ1101" s="1">
        <v>2101</v>
      </c>
      <c r="BA1101" s="1">
        <v>2013</v>
      </c>
      <c r="BB1101" s="1" t="s">
        <v>210</v>
      </c>
      <c r="BE1101" s="1">
        <v>1121</v>
      </c>
      <c r="BF1101" s="1">
        <v>2</v>
      </c>
      <c r="BG1101" s="1">
        <v>0</v>
      </c>
      <c r="BL1101" s="1">
        <v>292</v>
      </c>
      <c r="BM1101" s="1" t="s">
        <v>204</v>
      </c>
      <c r="BN1101" s="1" t="s">
        <v>213</v>
      </c>
      <c r="BO1101" s="1">
        <v>20</v>
      </c>
      <c r="BP1101" s="1" t="s">
        <v>204</v>
      </c>
      <c r="BR1101" s="1" t="str">
        <f>"18291010171109"</f>
        <v>18291010171109</v>
      </c>
      <c r="BT1101" s="1" t="s">
        <v>11650</v>
      </c>
      <c r="BX1101" s="1">
        <v>107</v>
      </c>
      <c r="BY1101" s="1">
        <v>107</v>
      </c>
      <c r="BZ1101" s="1">
        <v>204</v>
      </c>
      <c r="CB1101" s="1" t="str">
        <f t="shared" ref="CB1101:CC1101" si="851">""</f>
        <v/>
      </c>
      <c r="CC1101" s="1" t="str">
        <f t="shared" si="851"/>
        <v/>
      </c>
      <c r="CG1101" s="1" t="s">
        <v>861</v>
      </c>
      <c r="CH1101" s="1" t="s">
        <v>277</v>
      </c>
      <c r="CI1101" s="1" t="s">
        <v>220</v>
      </c>
      <c r="CK1101" s="1" t="s">
        <v>759</v>
      </c>
      <c r="CL1101" s="1" t="s">
        <v>277</v>
      </c>
      <c r="CO1101" s="1" t="s">
        <v>318</v>
      </c>
      <c r="CP1101" s="1" t="s">
        <v>277</v>
      </c>
      <c r="CQ1101" s="1" t="s">
        <v>220</v>
      </c>
      <c r="CS1101" s="1" t="s">
        <v>2122</v>
      </c>
      <c r="CT1101" s="1" t="s">
        <v>277</v>
      </c>
      <c r="CX1101" s="1" t="s">
        <v>224</v>
      </c>
      <c r="DB1101" s="1" t="s">
        <v>224</v>
      </c>
      <c r="DE1101" s="1" t="s">
        <v>318</v>
      </c>
      <c r="DF1101" s="1" t="s">
        <v>277</v>
      </c>
      <c r="DJ1101" s="1" t="s">
        <v>224</v>
      </c>
      <c r="DS1101" s="1" t="s">
        <v>230</v>
      </c>
      <c r="DW1101" s="1" t="s">
        <v>230</v>
      </c>
      <c r="EA1101" s="1" t="s">
        <v>230</v>
      </c>
      <c r="EE1101" s="1" t="s">
        <v>230</v>
      </c>
      <c r="EI1101" s="1" t="s">
        <v>230</v>
      </c>
      <c r="EL1101" s="1" t="s">
        <v>231</v>
      </c>
      <c r="EM1101" s="1" t="s">
        <v>232</v>
      </c>
      <c r="EN1101" s="1" t="s">
        <v>1158</v>
      </c>
      <c r="EO1101" s="1" t="s">
        <v>234</v>
      </c>
      <c r="ER1101" s="1" t="s">
        <v>210</v>
      </c>
      <c r="EW1101" s="1" t="s">
        <v>6877</v>
      </c>
      <c r="EZ1101" s="1" t="s">
        <v>287</v>
      </c>
      <c r="FD1101" s="1" t="s">
        <v>246</v>
      </c>
      <c r="FE1101" s="1" t="s">
        <v>247</v>
      </c>
      <c r="FF1101" s="1" t="s">
        <v>248</v>
      </c>
      <c r="FH1101" s="1" t="s">
        <v>249</v>
      </c>
      <c r="FL1101" s="1" t="s">
        <v>414</v>
      </c>
      <c r="FM1101" s="1" t="s">
        <v>252</v>
      </c>
      <c r="FN1101" s="1" t="s">
        <v>213</v>
      </c>
      <c r="FO1101" s="1" t="s">
        <v>213</v>
      </c>
      <c r="FQ1101" s="1" t="s">
        <v>11651</v>
      </c>
      <c r="FR1101" s="1" t="s">
        <v>210</v>
      </c>
      <c r="FS1101" s="1" t="s">
        <v>11652</v>
      </c>
      <c r="FT1101" s="1" t="s">
        <v>295</v>
      </c>
      <c r="FU1101" s="1" t="s">
        <v>204</v>
      </c>
      <c r="FW1101" s="1" t="s">
        <v>915</v>
      </c>
      <c r="FX1101" s="1">
        <v>22049</v>
      </c>
      <c r="FY1101" s="1" t="s">
        <v>4731</v>
      </c>
      <c r="FZ1101" s="1" t="s">
        <v>11653</v>
      </c>
      <c r="GA1101" s="1">
        <v>231770</v>
      </c>
      <c r="GB1101" s="1" t="s">
        <v>11654</v>
      </c>
      <c r="GE1101" s="1" t="s">
        <v>480</v>
      </c>
      <c r="GI1101" s="1" t="s">
        <v>213</v>
      </c>
      <c r="GJ1101" s="1" t="s">
        <v>260</v>
      </c>
      <c r="GK1101" s="1" t="s">
        <v>210</v>
      </c>
      <c r="GL1101" s="2">
        <v>42110</v>
      </c>
    </row>
    <row r="1102" spans="1:195">
      <c r="A1102" s="1">
        <v>68500</v>
      </c>
      <c r="B1102" s="1" t="s">
        <v>195</v>
      </c>
      <c r="C1102" s="1" t="str">
        <f>"08850030"</f>
        <v>08850030</v>
      </c>
      <c r="D1102" s="1" t="s">
        <v>196</v>
      </c>
      <c r="F1102" s="1" t="str">
        <f>"103"</f>
        <v>103</v>
      </c>
      <c r="G1102" s="2">
        <v>42065</v>
      </c>
      <c r="H1102" s="1">
        <v>64900</v>
      </c>
      <c r="I1102" s="1">
        <v>64900</v>
      </c>
      <c r="J1102" s="1">
        <v>68500</v>
      </c>
      <c r="K1102" s="2">
        <v>42062</v>
      </c>
      <c r="L1102" s="1">
        <v>315</v>
      </c>
      <c r="M1102" s="2">
        <v>42083</v>
      </c>
      <c r="N1102" s="1">
        <v>22</v>
      </c>
      <c r="O1102" s="2">
        <v>42083</v>
      </c>
      <c r="P1102" s="1">
        <v>1109</v>
      </c>
      <c r="Q1102" s="1" t="s">
        <v>302</v>
      </c>
      <c r="R1102" s="2">
        <v>42111</v>
      </c>
      <c r="S1102" s="1">
        <v>84713</v>
      </c>
      <c r="U1102" s="1">
        <v>1459</v>
      </c>
      <c r="V1102" s="1" t="s">
        <v>10848</v>
      </c>
      <c r="W1102" s="1" t="s">
        <v>264</v>
      </c>
      <c r="X1102" s="7">
        <v>42065</v>
      </c>
      <c r="Y1102" s="1">
        <v>4</v>
      </c>
      <c r="Z1102" s="1" t="s">
        <v>370</v>
      </c>
      <c r="AA1102" s="1" t="s">
        <v>337</v>
      </c>
      <c r="AB1102" s="1">
        <v>60133</v>
      </c>
      <c r="AE1102" s="1" t="s">
        <v>11655</v>
      </c>
      <c r="AF1102" s="1">
        <v>1972</v>
      </c>
      <c r="AG1102" s="1" t="s">
        <v>213</v>
      </c>
      <c r="AH1102" s="1" t="s">
        <v>339</v>
      </c>
      <c r="AI1102" s="1" t="s">
        <v>206</v>
      </c>
      <c r="AJ1102" s="1" t="s">
        <v>269</v>
      </c>
      <c r="AK1102" s="1" t="s">
        <v>2247</v>
      </c>
      <c r="AL1102" s="1">
        <v>5</v>
      </c>
      <c r="AM1102" s="1">
        <v>2</v>
      </c>
      <c r="AN1102" s="1">
        <v>1</v>
      </c>
      <c r="AO1102" s="1">
        <v>1</v>
      </c>
      <c r="AP1102" s="1" t="s">
        <v>210</v>
      </c>
      <c r="AR1102" s="1" t="s">
        <v>210</v>
      </c>
      <c r="AS1102" s="1" t="s">
        <v>204</v>
      </c>
      <c r="AT1102" s="1" t="s">
        <v>211</v>
      </c>
      <c r="AU1102" s="1">
        <v>1</v>
      </c>
      <c r="AW1102" s="1" t="s">
        <v>204</v>
      </c>
      <c r="AX1102" s="1">
        <v>0</v>
      </c>
      <c r="AZ1102" s="1">
        <v>2492</v>
      </c>
      <c r="BA1102" s="1">
        <v>2013</v>
      </c>
      <c r="BB1102" s="1" t="s">
        <v>405</v>
      </c>
      <c r="BE1102" s="1">
        <v>0</v>
      </c>
      <c r="BF1102" s="1">
        <v>1</v>
      </c>
      <c r="BG1102" s="1">
        <v>0</v>
      </c>
      <c r="BL1102" s="1">
        <v>236</v>
      </c>
      <c r="BM1102" s="1" t="s">
        <v>213</v>
      </c>
      <c r="BN1102" s="1" t="s">
        <v>213</v>
      </c>
      <c r="BP1102" s="1" t="s">
        <v>204</v>
      </c>
      <c r="BR1102" s="1" t="str">
        <f>"0206104010"</f>
        <v>0206104010</v>
      </c>
      <c r="BT1102" s="1" t="s">
        <v>11656</v>
      </c>
      <c r="BU1102" s="1" t="s">
        <v>341</v>
      </c>
      <c r="BV1102" s="1" t="s">
        <v>274</v>
      </c>
      <c r="BW1102" s="1" t="s">
        <v>275</v>
      </c>
      <c r="BX1102" s="1">
        <v>20</v>
      </c>
      <c r="BY1102" s="1">
        <v>20</v>
      </c>
      <c r="BZ1102" s="1">
        <v>108</v>
      </c>
      <c r="CB1102" s="1" t="str">
        <f t="shared" ref="CB1102:CC1102" si="852">""</f>
        <v/>
      </c>
      <c r="CC1102" s="1" t="str">
        <f t="shared" si="852"/>
        <v/>
      </c>
      <c r="CG1102" s="1" t="s">
        <v>1267</v>
      </c>
      <c r="CH1102" s="1" t="s">
        <v>219</v>
      </c>
      <c r="CI1102" s="1" t="s">
        <v>220</v>
      </c>
      <c r="CK1102" s="1" t="s">
        <v>378</v>
      </c>
      <c r="CL1102" s="1" t="s">
        <v>277</v>
      </c>
      <c r="CM1102" s="1" t="s">
        <v>220</v>
      </c>
      <c r="CO1102" s="1" t="s">
        <v>1724</v>
      </c>
      <c r="CP1102" s="1" t="s">
        <v>219</v>
      </c>
      <c r="CQ1102" s="1" t="s">
        <v>220</v>
      </c>
      <c r="CS1102" s="1" t="s">
        <v>1297</v>
      </c>
      <c r="CT1102" s="1" t="s">
        <v>277</v>
      </c>
      <c r="CU1102" s="1" t="s">
        <v>220</v>
      </c>
      <c r="CX1102" s="1" t="s">
        <v>224</v>
      </c>
      <c r="DB1102" s="1" t="s">
        <v>224</v>
      </c>
      <c r="DE1102" s="1" t="s">
        <v>565</v>
      </c>
      <c r="DF1102" s="1" t="s">
        <v>219</v>
      </c>
      <c r="DJ1102" s="1" t="s">
        <v>224</v>
      </c>
      <c r="DS1102" s="1" t="s">
        <v>230</v>
      </c>
      <c r="DW1102" s="1" t="s">
        <v>230</v>
      </c>
      <c r="EA1102" s="1" t="s">
        <v>230</v>
      </c>
      <c r="EE1102" s="1" t="s">
        <v>230</v>
      </c>
      <c r="EI1102" s="1" t="s">
        <v>230</v>
      </c>
      <c r="EL1102" s="1" t="s">
        <v>605</v>
      </c>
      <c r="EM1102" s="1" t="s">
        <v>232</v>
      </c>
      <c r="EN1102" s="1" t="s">
        <v>282</v>
      </c>
      <c r="EO1102" s="1" t="s">
        <v>234</v>
      </c>
      <c r="EP1102" s="1" t="s">
        <v>2139</v>
      </c>
      <c r="ER1102" s="1" t="s">
        <v>383</v>
      </c>
      <c r="EV1102" s="1" t="s">
        <v>240</v>
      </c>
      <c r="EW1102" s="1" t="s">
        <v>991</v>
      </c>
      <c r="EZ1102" s="1" t="s">
        <v>287</v>
      </c>
      <c r="FB1102" s="1" t="s">
        <v>4027</v>
      </c>
      <c r="FD1102" s="1" t="s">
        <v>736</v>
      </c>
      <c r="FE1102" s="1" t="s">
        <v>472</v>
      </c>
      <c r="FF1102" s="1" t="s">
        <v>248</v>
      </c>
      <c r="FH1102" s="1" t="s">
        <v>356</v>
      </c>
      <c r="FL1102" s="1" t="s">
        <v>358</v>
      </c>
      <c r="FM1102" s="1" t="s">
        <v>252</v>
      </c>
      <c r="FN1102" s="1" t="s">
        <v>213</v>
      </c>
      <c r="FO1102" s="1" t="s">
        <v>213</v>
      </c>
      <c r="FQ1102" s="1" t="s">
        <v>673</v>
      </c>
      <c r="FR1102" s="1" t="s">
        <v>1301</v>
      </c>
      <c r="FS1102" s="1" t="s">
        <v>4314</v>
      </c>
      <c r="FT1102" s="1" t="s">
        <v>295</v>
      </c>
      <c r="FU1102" s="1" t="s">
        <v>204</v>
      </c>
      <c r="FW1102" s="1" t="s">
        <v>1303</v>
      </c>
      <c r="FX1102" s="1">
        <v>24072</v>
      </c>
      <c r="FY1102" s="1" t="s">
        <v>1304</v>
      </c>
      <c r="FZ1102" s="1" t="s">
        <v>1305</v>
      </c>
      <c r="GA1102" s="1">
        <v>222267</v>
      </c>
      <c r="GB1102" s="1" t="s">
        <v>1304</v>
      </c>
      <c r="GC1102" s="1">
        <v>235600</v>
      </c>
      <c r="GD1102" s="1" t="s">
        <v>11657</v>
      </c>
      <c r="GE1102" s="1" t="s">
        <v>210</v>
      </c>
      <c r="GI1102" s="1" t="s">
        <v>213</v>
      </c>
      <c r="GJ1102" s="1" t="s">
        <v>260</v>
      </c>
      <c r="GK1102" s="1" t="s">
        <v>210</v>
      </c>
      <c r="GL1102" s="2">
        <v>42114</v>
      </c>
      <c r="GM1102" s="1" t="s">
        <v>11658</v>
      </c>
    </row>
    <row r="1103" spans="1:195">
      <c r="A1103" s="1">
        <v>20000</v>
      </c>
      <c r="B1103" s="1" t="s">
        <v>195</v>
      </c>
      <c r="C1103" s="1" t="str">
        <f>"08845539"</f>
        <v>08845539</v>
      </c>
      <c r="D1103" s="1" t="s">
        <v>196</v>
      </c>
      <c r="F1103" s="1" t="str">
        <f>"8071"</f>
        <v>8071</v>
      </c>
      <c r="G1103" s="2">
        <v>42059</v>
      </c>
      <c r="H1103" s="1">
        <v>22000</v>
      </c>
      <c r="I1103" s="1">
        <v>22000</v>
      </c>
      <c r="J1103" s="1">
        <v>20000</v>
      </c>
      <c r="K1103" s="2">
        <v>42059</v>
      </c>
      <c r="L1103" s="1">
        <v>29</v>
      </c>
      <c r="M1103" s="2">
        <v>42087</v>
      </c>
      <c r="N1103" s="1">
        <v>29</v>
      </c>
      <c r="O1103" s="2">
        <v>42087</v>
      </c>
      <c r="P1103" s="1">
        <v>25046</v>
      </c>
      <c r="Q1103" s="1" t="s">
        <v>302</v>
      </c>
      <c r="R1103" s="2">
        <v>42104</v>
      </c>
      <c r="S1103" s="1">
        <v>242203</v>
      </c>
      <c r="U1103" s="1">
        <v>631</v>
      </c>
      <c r="V1103" s="1" t="s">
        <v>5359</v>
      </c>
      <c r="W1103" s="1" t="s">
        <v>725</v>
      </c>
      <c r="Y1103" s="1">
        <v>1</v>
      </c>
      <c r="Z1103" s="1" t="s">
        <v>200</v>
      </c>
      <c r="AA1103" s="1" t="s">
        <v>400</v>
      </c>
      <c r="AB1103" s="1">
        <v>60620</v>
      </c>
      <c r="AE1103" s="1" t="s">
        <v>11659</v>
      </c>
      <c r="AF1103" s="1">
        <v>1967</v>
      </c>
      <c r="AG1103" s="1" t="s">
        <v>213</v>
      </c>
      <c r="AH1103" s="1" t="s">
        <v>403</v>
      </c>
      <c r="AI1103" s="1" t="s">
        <v>310</v>
      </c>
      <c r="AJ1103" s="1" t="s">
        <v>683</v>
      </c>
      <c r="AL1103" s="1">
        <v>4</v>
      </c>
      <c r="AM1103" s="1">
        <v>2</v>
      </c>
      <c r="AN1103" s="1">
        <v>1</v>
      </c>
      <c r="AO1103" s="1">
        <v>0</v>
      </c>
      <c r="AP1103" s="1" t="s">
        <v>667</v>
      </c>
      <c r="AR1103" s="1" t="s">
        <v>210</v>
      </c>
      <c r="AS1103" s="1" t="s">
        <v>204</v>
      </c>
      <c r="AT1103" s="1" t="s">
        <v>210</v>
      </c>
      <c r="AW1103" s="1" t="s">
        <v>204</v>
      </c>
      <c r="AX1103" s="1" t="s">
        <v>5361</v>
      </c>
      <c r="AZ1103" s="1">
        <v>656.68</v>
      </c>
      <c r="BA1103" s="1">
        <v>2013</v>
      </c>
      <c r="BB1103" s="1" t="s">
        <v>405</v>
      </c>
      <c r="BE1103" s="1">
        <v>1008</v>
      </c>
      <c r="BF1103" s="1">
        <v>1</v>
      </c>
      <c r="BG1103" s="1">
        <v>0</v>
      </c>
      <c r="BL1103" s="1">
        <v>0</v>
      </c>
      <c r="BM1103" s="1" t="s">
        <v>204</v>
      </c>
      <c r="BN1103" s="1" t="s">
        <v>213</v>
      </c>
      <c r="BO1103" s="1">
        <v>20</v>
      </c>
      <c r="BP1103" s="1" t="s">
        <v>204</v>
      </c>
      <c r="BR1103" s="1" t="str">
        <f>"20331100450000"</f>
        <v>20331100450000</v>
      </c>
      <c r="BT1103" s="1" t="s">
        <v>5362</v>
      </c>
      <c r="BX1103" s="1">
        <v>299</v>
      </c>
      <c r="BY1103" s="1">
        <v>299</v>
      </c>
      <c r="BZ1103" s="1">
        <v>299</v>
      </c>
      <c r="CB1103" s="1" t="str">
        <f t="shared" ref="CB1103:CC1103" si="853">"0"</f>
        <v>0</v>
      </c>
      <c r="CC1103" s="1" t="str">
        <f t="shared" si="853"/>
        <v>0</v>
      </c>
      <c r="CD1103" s="1">
        <v>631</v>
      </c>
      <c r="CE1103" s="1">
        <v>80</v>
      </c>
      <c r="CG1103" s="1" t="s">
        <v>1177</v>
      </c>
      <c r="CH1103" s="1" t="s">
        <v>219</v>
      </c>
      <c r="CK1103" s="1" t="s">
        <v>1403</v>
      </c>
      <c r="CL1103" s="1" t="s">
        <v>277</v>
      </c>
      <c r="CP1103" s="1" t="s">
        <v>224</v>
      </c>
      <c r="CS1103" s="1" t="s">
        <v>1177</v>
      </c>
      <c r="CT1103" s="1" t="s">
        <v>277</v>
      </c>
      <c r="CX1103" s="1" t="s">
        <v>224</v>
      </c>
      <c r="DB1103" s="1" t="s">
        <v>224</v>
      </c>
      <c r="DE1103" s="1" t="s">
        <v>2170</v>
      </c>
      <c r="DF1103" s="1" t="s">
        <v>219</v>
      </c>
      <c r="DJ1103" s="1" t="s">
        <v>224</v>
      </c>
      <c r="DS1103" s="1" t="s">
        <v>230</v>
      </c>
      <c r="DW1103" s="1" t="s">
        <v>230</v>
      </c>
      <c r="EA1103" s="1" t="s">
        <v>230</v>
      </c>
      <c r="EE1103" s="1" t="s">
        <v>230</v>
      </c>
      <c r="EI1103" s="1" t="s">
        <v>230</v>
      </c>
      <c r="EL1103" s="1" t="s">
        <v>605</v>
      </c>
      <c r="EM1103" s="1" t="s">
        <v>730</v>
      </c>
      <c r="EN1103" s="1" t="s">
        <v>210</v>
      </c>
      <c r="EO1103" s="1" t="s">
        <v>234</v>
      </c>
      <c r="ER1103" s="1" t="s">
        <v>210</v>
      </c>
      <c r="EW1103" s="1" t="s">
        <v>210</v>
      </c>
      <c r="EZ1103" s="1" t="s">
        <v>287</v>
      </c>
      <c r="FD1103" s="1" t="s">
        <v>246</v>
      </c>
      <c r="FE1103" s="1" t="s">
        <v>247</v>
      </c>
      <c r="FF1103" s="1" t="s">
        <v>387</v>
      </c>
      <c r="FH1103" s="1" t="s">
        <v>550</v>
      </c>
      <c r="FJ1103" s="1" t="s">
        <v>1472</v>
      </c>
      <c r="FL1103" s="1" t="s">
        <v>414</v>
      </c>
      <c r="FM1103" s="1" t="s">
        <v>252</v>
      </c>
      <c r="FN1103" s="1" t="s">
        <v>213</v>
      </c>
      <c r="FO1103" s="1" t="s">
        <v>213</v>
      </c>
      <c r="FQ1103" s="1" t="s">
        <v>11660</v>
      </c>
      <c r="FR1103" s="1" t="s">
        <v>210</v>
      </c>
      <c r="FS1103" s="1" t="s">
        <v>11661</v>
      </c>
      <c r="FT1103" s="1" t="s">
        <v>295</v>
      </c>
      <c r="FU1103" s="1" t="s">
        <v>204</v>
      </c>
      <c r="FW1103" s="1" t="s">
        <v>5366</v>
      </c>
      <c r="FX1103" s="1">
        <v>12519</v>
      </c>
      <c r="FY1103" s="1" t="s">
        <v>5367</v>
      </c>
      <c r="FZ1103" s="1" t="s">
        <v>11662</v>
      </c>
      <c r="GA1103" s="1">
        <v>118337</v>
      </c>
      <c r="GE1103" s="1" t="s">
        <v>210</v>
      </c>
      <c r="GH1103" s="1" t="s">
        <v>589</v>
      </c>
      <c r="GI1103" s="1" t="s">
        <v>213</v>
      </c>
      <c r="GJ1103" s="1" t="s">
        <v>260</v>
      </c>
      <c r="GK1103" s="1" t="s">
        <v>210</v>
      </c>
      <c r="GL1103" s="2">
        <v>42114</v>
      </c>
      <c r="GM1103" s="1" t="s">
        <v>11663</v>
      </c>
    </row>
    <row r="1104" spans="1:195">
      <c r="A1104" s="1">
        <v>124000</v>
      </c>
      <c r="B1104" s="1" t="s">
        <v>195</v>
      </c>
      <c r="C1104" s="1" t="str">
        <f>"08851384"</f>
        <v>08851384</v>
      </c>
      <c r="D1104" s="1" t="s">
        <v>196</v>
      </c>
      <c r="F1104" s="1" t="str">
        <f>"137"</f>
        <v>137</v>
      </c>
      <c r="G1104" s="2">
        <v>42066</v>
      </c>
      <c r="H1104" s="1">
        <v>127900</v>
      </c>
      <c r="I1104" s="1">
        <v>127900</v>
      </c>
      <c r="J1104" s="1">
        <v>124000</v>
      </c>
      <c r="K1104" s="2">
        <v>42066</v>
      </c>
      <c r="L1104" s="1">
        <v>4</v>
      </c>
      <c r="M1104" s="2">
        <v>42069</v>
      </c>
      <c r="N1104" s="1">
        <v>4</v>
      </c>
      <c r="O1104" s="2">
        <v>42069</v>
      </c>
      <c r="P1104" s="1">
        <v>21844</v>
      </c>
      <c r="Q1104" s="1" t="s">
        <v>197</v>
      </c>
      <c r="R1104" s="2">
        <v>42097</v>
      </c>
      <c r="S1104" s="1">
        <v>258054</v>
      </c>
      <c r="U1104" s="1">
        <v>440</v>
      </c>
      <c r="V1104" s="1" t="s">
        <v>1101</v>
      </c>
      <c r="W1104" s="1" t="s">
        <v>264</v>
      </c>
      <c r="X1104" s="1" t="s">
        <v>1949</v>
      </c>
      <c r="Y1104" s="1">
        <v>48</v>
      </c>
      <c r="Z1104" s="1" t="s">
        <v>249</v>
      </c>
      <c r="AA1104" s="1" t="s">
        <v>201</v>
      </c>
      <c r="AB1104" s="1">
        <v>60137</v>
      </c>
      <c r="AD1104" s="1" t="s">
        <v>9381</v>
      </c>
      <c r="AE1104" s="1" t="s">
        <v>11664</v>
      </c>
      <c r="AF1104" s="1">
        <v>1974</v>
      </c>
      <c r="AG1104" s="1" t="s">
        <v>213</v>
      </c>
      <c r="AH1104" s="1" t="s">
        <v>205</v>
      </c>
      <c r="AI1104" s="1" t="s">
        <v>206</v>
      </c>
      <c r="AJ1104" s="1" t="s">
        <v>207</v>
      </c>
      <c r="AK1104" s="1" t="s">
        <v>11665</v>
      </c>
      <c r="AL1104" s="1">
        <v>5</v>
      </c>
      <c r="AM1104" s="1">
        <v>2</v>
      </c>
      <c r="AN1104" s="1">
        <v>2</v>
      </c>
      <c r="AO1104" s="1">
        <v>0</v>
      </c>
      <c r="AP1104" s="1" t="s">
        <v>209</v>
      </c>
      <c r="AR1104" s="1" t="s">
        <v>210</v>
      </c>
      <c r="AS1104" s="1" t="s">
        <v>204</v>
      </c>
      <c r="AT1104" s="1" t="s">
        <v>375</v>
      </c>
      <c r="AU1104" s="1">
        <v>1</v>
      </c>
      <c r="AV1104" s="1">
        <v>1</v>
      </c>
      <c r="AW1104" s="1" t="s">
        <v>204</v>
      </c>
      <c r="AX1104" s="1" t="s">
        <v>212</v>
      </c>
      <c r="AZ1104" s="1">
        <v>2423</v>
      </c>
      <c r="BA1104" s="1">
        <v>2013</v>
      </c>
      <c r="BB1104" s="1" t="s">
        <v>405</v>
      </c>
      <c r="BE1104" s="1">
        <v>1215</v>
      </c>
      <c r="BF1104" s="1">
        <v>3</v>
      </c>
      <c r="BG1104" s="1">
        <v>0</v>
      </c>
      <c r="BL1104" s="1">
        <v>342</v>
      </c>
      <c r="BM1104" s="1" t="s">
        <v>204</v>
      </c>
      <c r="BN1104" s="1" t="s">
        <v>204</v>
      </c>
      <c r="BP1104" s="1" t="s">
        <v>204</v>
      </c>
      <c r="BR1104" s="1" t="str">
        <f>"0523321055"</f>
        <v>0523321055</v>
      </c>
      <c r="BT1104" s="1" t="s">
        <v>11666</v>
      </c>
      <c r="BU1104" s="1" t="s">
        <v>215</v>
      </c>
      <c r="BV1104" s="1" t="s">
        <v>216</v>
      </c>
      <c r="BW1104" s="1" t="s">
        <v>217</v>
      </c>
      <c r="BX1104" s="1">
        <v>89</v>
      </c>
      <c r="BY1104" s="1">
        <v>89</v>
      </c>
      <c r="BZ1104" s="1">
        <v>87</v>
      </c>
      <c r="CB1104" s="1" t="str">
        <f t="shared" ref="CB1104:CC1104" si="854">""</f>
        <v/>
      </c>
      <c r="CC1104" s="1" t="str">
        <f t="shared" si="854"/>
        <v/>
      </c>
      <c r="CG1104" s="1" t="s">
        <v>1570</v>
      </c>
      <c r="CH1104" s="1" t="s">
        <v>784</v>
      </c>
      <c r="CI1104" s="1" t="s">
        <v>229</v>
      </c>
      <c r="CJ1104" s="1" t="s">
        <v>463</v>
      </c>
      <c r="CK1104" s="1" t="s">
        <v>581</v>
      </c>
      <c r="CL1104" s="1" t="s">
        <v>784</v>
      </c>
      <c r="CM1104" s="1" t="s">
        <v>220</v>
      </c>
      <c r="CN1104" s="1" t="s">
        <v>463</v>
      </c>
      <c r="CO1104" s="1" t="s">
        <v>318</v>
      </c>
      <c r="CP1104" s="1" t="s">
        <v>784</v>
      </c>
      <c r="CQ1104" s="1" t="s">
        <v>229</v>
      </c>
      <c r="CR1104" s="1" t="s">
        <v>463</v>
      </c>
      <c r="CS1104" s="1" t="s">
        <v>317</v>
      </c>
      <c r="CT1104" s="1" t="s">
        <v>784</v>
      </c>
      <c r="CU1104" s="1" t="s">
        <v>220</v>
      </c>
      <c r="CV1104" s="1" t="s">
        <v>463</v>
      </c>
      <c r="CX1104" s="1" t="s">
        <v>224</v>
      </c>
      <c r="DB1104" s="1" t="s">
        <v>224</v>
      </c>
      <c r="DE1104" s="1" t="s">
        <v>346</v>
      </c>
      <c r="DF1104" s="1" t="s">
        <v>784</v>
      </c>
      <c r="DG1104" s="1" t="s">
        <v>229</v>
      </c>
      <c r="DJ1104" s="1" t="s">
        <v>224</v>
      </c>
      <c r="DM1104" s="1" t="s">
        <v>709</v>
      </c>
      <c r="DN1104" s="1" t="s">
        <v>838</v>
      </c>
      <c r="DR1104" s="1" t="s">
        <v>5717</v>
      </c>
      <c r="DS1104" s="1" t="s">
        <v>784</v>
      </c>
      <c r="DT1104" s="1" t="s">
        <v>229</v>
      </c>
      <c r="DV1104" s="1" t="s">
        <v>910</v>
      </c>
      <c r="DW1104" s="1" t="s">
        <v>784</v>
      </c>
      <c r="DX1104" s="1" t="s">
        <v>220</v>
      </c>
      <c r="DY1104" s="1" t="s">
        <v>210</v>
      </c>
      <c r="EA1104" s="1" t="s">
        <v>230</v>
      </c>
      <c r="EE1104" s="1" t="s">
        <v>230</v>
      </c>
      <c r="EI1104" s="1" t="s">
        <v>230</v>
      </c>
      <c r="EL1104" s="1" t="s">
        <v>605</v>
      </c>
      <c r="EM1104" s="1" t="s">
        <v>232</v>
      </c>
      <c r="EN1104" s="1" t="s">
        <v>282</v>
      </c>
      <c r="EO1104" s="1" t="s">
        <v>1020</v>
      </c>
      <c r="EP1104" s="1" t="s">
        <v>11667</v>
      </c>
      <c r="ER1104" s="1" t="s">
        <v>210</v>
      </c>
      <c r="EU1104" s="1" t="s">
        <v>239</v>
      </c>
      <c r="EW1104" s="1" t="s">
        <v>6280</v>
      </c>
      <c r="EZ1104" s="1" t="s">
        <v>3826</v>
      </c>
      <c r="FB1104" s="1" t="s">
        <v>1755</v>
      </c>
      <c r="FC1104" s="1" t="s">
        <v>548</v>
      </c>
      <c r="FD1104" s="1" t="s">
        <v>1112</v>
      </c>
      <c r="FE1104" s="1" t="s">
        <v>247</v>
      </c>
      <c r="FF1104" s="1" t="s">
        <v>387</v>
      </c>
      <c r="FH1104" s="1" t="s">
        <v>11668</v>
      </c>
      <c r="FI1104" s="1" t="s">
        <v>357</v>
      </c>
      <c r="FK1104" s="1" t="s">
        <v>291</v>
      </c>
      <c r="FL1104" s="1" t="s">
        <v>1073</v>
      </c>
      <c r="FM1104" s="1" t="s">
        <v>252</v>
      </c>
      <c r="FN1104" s="1" t="s">
        <v>213</v>
      </c>
      <c r="FO1104" s="1" t="s">
        <v>213</v>
      </c>
      <c r="FQ1104" s="1" t="s">
        <v>4005</v>
      </c>
      <c r="FR1104" s="1" t="s">
        <v>210</v>
      </c>
      <c r="FS1104" s="1" t="s">
        <v>1759</v>
      </c>
      <c r="FT1104" s="1" t="s">
        <v>11669</v>
      </c>
      <c r="FU1104" s="1" t="s">
        <v>204</v>
      </c>
      <c r="FW1104" s="1" t="s">
        <v>915</v>
      </c>
      <c r="FX1104" s="1">
        <v>25088</v>
      </c>
      <c r="FY1104" s="1" t="s">
        <v>1761</v>
      </c>
      <c r="FZ1104" s="1" t="s">
        <v>1762</v>
      </c>
      <c r="GA1104" s="1">
        <v>253450</v>
      </c>
      <c r="GB1104" s="1" t="s">
        <v>1763</v>
      </c>
      <c r="GE1104" s="1" t="s">
        <v>1120</v>
      </c>
      <c r="GI1104" s="1" t="s">
        <v>213</v>
      </c>
      <c r="GJ1104" s="1" t="s">
        <v>260</v>
      </c>
      <c r="GK1104" s="1" t="s">
        <v>210</v>
      </c>
      <c r="GL1104" s="2">
        <v>42101</v>
      </c>
      <c r="GM1104" s="1" t="s">
        <v>11670</v>
      </c>
    </row>
    <row r="1105" spans="1:195">
      <c r="A1105" s="1">
        <v>155000</v>
      </c>
      <c r="B1105" s="1" t="s">
        <v>195</v>
      </c>
      <c r="C1105" s="1" t="str">
        <f>"08851564"</f>
        <v>08851564</v>
      </c>
      <c r="D1105" s="1" t="s">
        <v>196</v>
      </c>
      <c r="F1105" s="1" t="str">
        <f>"540"</f>
        <v>540</v>
      </c>
      <c r="G1105" s="2">
        <v>42066</v>
      </c>
      <c r="H1105" s="1">
        <v>159900</v>
      </c>
      <c r="I1105" s="1">
        <v>159900</v>
      </c>
      <c r="J1105" s="1">
        <v>155000</v>
      </c>
      <c r="K1105" s="2">
        <v>42066</v>
      </c>
      <c r="L1105" s="1">
        <v>18</v>
      </c>
      <c r="M1105" s="2">
        <v>42083</v>
      </c>
      <c r="N1105" s="1">
        <v>18</v>
      </c>
      <c r="O1105" s="2">
        <v>42083</v>
      </c>
      <c r="P1105" s="1">
        <v>12198</v>
      </c>
      <c r="Q1105" s="1" t="s">
        <v>197</v>
      </c>
      <c r="R1105" s="2">
        <v>42121</v>
      </c>
      <c r="S1105" s="1">
        <v>876147</v>
      </c>
      <c r="U1105" s="1">
        <v>1005</v>
      </c>
      <c r="V1105" s="1" t="s">
        <v>11671</v>
      </c>
      <c r="W1105" s="1" t="s">
        <v>504</v>
      </c>
      <c r="X1105" s="1">
        <v>1005</v>
      </c>
      <c r="Y1105" s="1">
        <v>4</v>
      </c>
      <c r="Z1105" s="1" t="s">
        <v>370</v>
      </c>
      <c r="AA1105" s="1" t="s">
        <v>921</v>
      </c>
      <c r="AB1105" s="1">
        <v>60563</v>
      </c>
      <c r="AD1105" s="1" t="s">
        <v>11672</v>
      </c>
      <c r="AE1105" s="1" t="s">
        <v>11673</v>
      </c>
      <c r="AF1105" s="1">
        <v>2006</v>
      </c>
      <c r="AG1105" s="1" t="s">
        <v>204</v>
      </c>
      <c r="AH1105" s="1" t="s">
        <v>924</v>
      </c>
      <c r="AI1105" s="1" t="s">
        <v>206</v>
      </c>
      <c r="AJ1105" s="1" t="s">
        <v>924</v>
      </c>
      <c r="AK1105" s="1" t="s">
        <v>3188</v>
      </c>
      <c r="AL1105" s="1">
        <v>5</v>
      </c>
      <c r="AM1105" s="1">
        <v>2</v>
      </c>
      <c r="AN1105" s="1">
        <v>2</v>
      </c>
      <c r="AO1105" s="1">
        <v>0</v>
      </c>
      <c r="AP1105" s="1" t="s">
        <v>209</v>
      </c>
      <c r="AQ1105" s="1">
        <v>0</v>
      </c>
      <c r="AR1105" s="1" t="s">
        <v>210</v>
      </c>
      <c r="AT1105" s="1" t="s">
        <v>211</v>
      </c>
      <c r="AU1105" s="1">
        <v>2</v>
      </c>
      <c r="AW1105" s="1" t="s">
        <v>204</v>
      </c>
      <c r="AX1105" s="1" t="s">
        <v>212</v>
      </c>
      <c r="AZ1105" s="1">
        <v>3750</v>
      </c>
      <c r="BA1105" s="1">
        <v>2013</v>
      </c>
      <c r="BB1105" s="1" t="s">
        <v>405</v>
      </c>
      <c r="BE1105" s="1">
        <v>1372</v>
      </c>
      <c r="BF1105" s="1">
        <v>1</v>
      </c>
      <c r="BG1105" s="1">
        <v>0</v>
      </c>
      <c r="BL1105" s="1">
        <v>254</v>
      </c>
      <c r="BM1105" s="1" t="s">
        <v>204</v>
      </c>
      <c r="BN1105" s="1" t="s">
        <v>213</v>
      </c>
      <c r="BO1105" s="1">
        <v>999</v>
      </c>
      <c r="BP1105" s="1" t="s">
        <v>204</v>
      </c>
      <c r="BR1105" s="1" t="str">
        <f>"0709417018"</f>
        <v>0709417018</v>
      </c>
      <c r="BT1105" s="1" t="s">
        <v>11674</v>
      </c>
      <c r="BU1105" s="1" t="s">
        <v>5426</v>
      </c>
      <c r="BV1105" s="1" t="s">
        <v>1248</v>
      </c>
      <c r="BW1105" s="1" t="s">
        <v>1312</v>
      </c>
      <c r="BX1105" s="1">
        <v>204</v>
      </c>
      <c r="BY1105" s="1">
        <v>204</v>
      </c>
      <c r="BZ1105" s="1">
        <v>204</v>
      </c>
      <c r="CB1105" s="1" t="str">
        <f t="shared" ref="CB1105:CC1105" si="855">"0"</f>
        <v>0</v>
      </c>
      <c r="CC1105" s="1" t="str">
        <f t="shared" si="855"/>
        <v>0</v>
      </c>
      <c r="CD1105" s="1">
        <v>30</v>
      </c>
      <c r="CE1105" s="1">
        <v>5</v>
      </c>
      <c r="CG1105" s="1" t="s">
        <v>729</v>
      </c>
      <c r="CH1105" s="1" t="s">
        <v>219</v>
      </c>
      <c r="CI1105" s="1" t="s">
        <v>220</v>
      </c>
      <c r="CK1105" s="1" t="s">
        <v>538</v>
      </c>
      <c r="CL1105" s="1" t="s">
        <v>219</v>
      </c>
      <c r="CM1105" s="1" t="s">
        <v>220</v>
      </c>
      <c r="CO1105" s="1" t="s">
        <v>1045</v>
      </c>
      <c r="CP1105" s="1" t="s">
        <v>219</v>
      </c>
      <c r="CQ1105" s="1" t="s">
        <v>226</v>
      </c>
      <c r="CS1105" s="1" t="s">
        <v>317</v>
      </c>
      <c r="CT1105" s="1" t="s">
        <v>219</v>
      </c>
      <c r="CU1105" s="1" t="s">
        <v>220</v>
      </c>
      <c r="CX1105" s="1" t="s">
        <v>224</v>
      </c>
      <c r="DB1105" s="1" t="s">
        <v>224</v>
      </c>
      <c r="DE1105" s="1" t="s">
        <v>757</v>
      </c>
      <c r="DF1105" s="1" t="s">
        <v>219</v>
      </c>
      <c r="DG1105" s="1" t="s">
        <v>226</v>
      </c>
      <c r="DJ1105" s="1" t="s">
        <v>224</v>
      </c>
      <c r="DS1105" s="1" t="s">
        <v>230</v>
      </c>
      <c r="DW1105" s="1" t="s">
        <v>230</v>
      </c>
      <c r="EA1105" s="1" t="s">
        <v>230</v>
      </c>
      <c r="EE1105" s="1" t="s">
        <v>230</v>
      </c>
      <c r="EI1105" s="1" t="s">
        <v>230</v>
      </c>
      <c r="EL1105" s="1" t="s">
        <v>491</v>
      </c>
      <c r="EM1105" s="1" t="s">
        <v>232</v>
      </c>
      <c r="EN1105" s="1" t="s">
        <v>282</v>
      </c>
      <c r="EO1105" s="1" t="s">
        <v>234</v>
      </c>
      <c r="EP1105" s="1" t="s">
        <v>349</v>
      </c>
      <c r="EQ1105" s="1" t="s">
        <v>2188</v>
      </c>
      <c r="ER1105" s="1" t="s">
        <v>383</v>
      </c>
      <c r="ES1105" s="1" t="s">
        <v>824</v>
      </c>
      <c r="ET1105" s="1" t="s">
        <v>238</v>
      </c>
      <c r="EU1105" s="1" t="s">
        <v>239</v>
      </c>
      <c r="EV1105" s="1" t="s">
        <v>352</v>
      </c>
      <c r="EW1105" s="1" t="s">
        <v>937</v>
      </c>
      <c r="EY1105" s="1" t="s">
        <v>242</v>
      </c>
      <c r="EZ1105" s="1" t="s">
        <v>287</v>
      </c>
      <c r="FA1105" s="1" t="s">
        <v>1270</v>
      </c>
      <c r="FB1105" s="1" t="s">
        <v>289</v>
      </c>
      <c r="FD1105" s="1" t="s">
        <v>246</v>
      </c>
      <c r="FE1105" s="1" t="s">
        <v>247</v>
      </c>
      <c r="FF1105" s="1" t="s">
        <v>248</v>
      </c>
      <c r="FH1105" s="1" t="s">
        <v>3013</v>
      </c>
      <c r="FI1105" s="1" t="s">
        <v>473</v>
      </c>
      <c r="FL1105" s="1" t="s">
        <v>358</v>
      </c>
      <c r="FM1105" s="1" t="s">
        <v>252</v>
      </c>
      <c r="FN1105" s="1" t="s">
        <v>213</v>
      </c>
      <c r="FO1105" s="1" t="s">
        <v>213</v>
      </c>
      <c r="FQ1105" s="1" t="s">
        <v>293</v>
      </c>
      <c r="FR1105" s="1" t="s">
        <v>652</v>
      </c>
      <c r="FS1105" s="1" t="s">
        <v>5061</v>
      </c>
      <c r="FT1105" s="1" t="s">
        <v>295</v>
      </c>
      <c r="FU1105" s="1" t="s">
        <v>204</v>
      </c>
      <c r="FW1105" s="1" t="s">
        <v>256</v>
      </c>
      <c r="FX1105" s="1">
        <v>8079</v>
      </c>
      <c r="FY1105" s="1" t="s">
        <v>3625</v>
      </c>
      <c r="FZ1105" s="1" t="s">
        <v>5062</v>
      </c>
      <c r="GA1105" s="1">
        <v>920884</v>
      </c>
      <c r="GB1105" s="1" t="s">
        <v>5063</v>
      </c>
      <c r="GE1105" s="1" t="s">
        <v>1256</v>
      </c>
      <c r="GI1105" s="1" t="s">
        <v>213</v>
      </c>
      <c r="GJ1105" s="1" t="s">
        <v>260</v>
      </c>
      <c r="GK1105" s="1" t="s">
        <v>261</v>
      </c>
      <c r="GL1105" s="2">
        <v>42122</v>
      </c>
      <c r="GM1105" s="1" t="s">
        <v>11675</v>
      </c>
    </row>
    <row r="1106" spans="1:195">
      <c r="A1106" s="1">
        <v>40000</v>
      </c>
      <c r="B1106" s="1" t="s">
        <v>195</v>
      </c>
      <c r="C1106" s="1" t="str">
        <f>"08851559"</f>
        <v>08851559</v>
      </c>
      <c r="D1106" s="1" t="s">
        <v>196</v>
      </c>
      <c r="F1106" s="1" t="str">
        <f>"507"</f>
        <v>507</v>
      </c>
      <c r="G1106" s="2">
        <v>42066</v>
      </c>
      <c r="H1106" s="1">
        <v>24900</v>
      </c>
      <c r="I1106" s="1">
        <v>24900</v>
      </c>
      <c r="J1106" s="1">
        <v>40000</v>
      </c>
      <c r="K1106" s="2">
        <v>42066</v>
      </c>
      <c r="L1106" s="1">
        <v>9</v>
      </c>
      <c r="M1106" s="2">
        <v>42074</v>
      </c>
      <c r="N1106" s="1">
        <v>9</v>
      </c>
      <c r="O1106" s="2">
        <v>42074</v>
      </c>
      <c r="P1106" s="1">
        <v>74601</v>
      </c>
      <c r="Q1106" s="1" t="s">
        <v>302</v>
      </c>
      <c r="R1106" s="2">
        <v>42090</v>
      </c>
      <c r="S1106" s="1">
        <v>701104</v>
      </c>
      <c r="U1106" s="1">
        <v>1240</v>
      </c>
      <c r="V1106" s="1" t="s">
        <v>4822</v>
      </c>
      <c r="W1106" s="1" t="s">
        <v>304</v>
      </c>
      <c r="Y1106" s="1">
        <v>4</v>
      </c>
      <c r="Z1106" s="1" t="s">
        <v>370</v>
      </c>
      <c r="AA1106" s="1" t="s">
        <v>1123</v>
      </c>
      <c r="AB1106" s="1">
        <v>60505</v>
      </c>
      <c r="AE1106" s="1" t="s">
        <v>11676</v>
      </c>
      <c r="AF1106" s="1">
        <v>1985</v>
      </c>
      <c r="AG1106" s="1" t="s">
        <v>204</v>
      </c>
      <c r="AH1106" s="1" t="s">
        <v>1126</v>
      </c>
      <c r="AI1106" s="1" t="s">
        <v>665</v>
      </c>
      <c r="AJ1106" s="1" t="s">
        <v>1126</v>
      </c>
      <c r="AL1106" s="1">
        <v>4</v>
      </c>
      <c r="AM1106" s="1">
        <v>2</v>
      </c>
      <c r="AN1106" s="1">
        <v>1</v>
      </c>
      <c r="AO1106" s="1">
        <v>1</v>
      </c>
      <c r="AP1106" s="1" t="s">
        <v>210</v>
      </c>
      <c r="AR1106" s="1" t="s">
        <v>210</v>
      </c>
      <c r="AS1106" s="1" t="s">
        <v>204</v>
      </c>
      <c r="AT1106" s="1" t="s">
        <v>271</v>
      </c>
      <c r="AV1106" s="1">
        <v>2</v>
      </c>
      <c r="AW1106" s="1" t="s">
        <v>204</v>
      </c>
      <c r="AX1106" s="1" t="s">
        <v>212</v>
      </c>
      <c r="AZ1106" s="1">
        <v>1597.12</v>
      </c>
      <c r="BA1106" s="1">
        <v>2013</v>
      </c>
      <c r="BE1106" s="1">
        <v>1024</v>
      </c>
      <c r="BF1106" s="1">
        <v>1</v>
      </c>
      <c r="BG1106" s="1">
        <v>30</v>
      </c>
      <c r="BL1106" s="1">
        <v>127</v>
      </c>
      <c r="BM1106" s="1" t="s">
        <v>413</v>
      </c>
      <c r="BN1106" s="1" t="s">
        <v>213</v>
      </c>
      <c r="BO1106" s="1">
        <v>999</v>
      </c>
      <c r="BP1106" s="1" t="s">
        <v>204</v>
      </c>
      <c r="BR1106" s="1" t="str">
        <f>"1511276152"</f>
        <v>1511276152</v>
      </c>
      <c r="BT1106" s="1" t="s">
        <v>11677</v>
      </c>
      <c r="BX1106" s="1">
        <v>131</v>
      </c>
      <c r="BY1106" s="1">
        <v>131</v>
      </c>
      <c r="BZ1106" s="1">
        <v>131</v>
      </c>
      <c r="CB1106" s="1" t="str">
        <f t="shared" ref="CB1106:CC1106" si="856">""</f>
        <v/>
      </c>
      <c r="CC1106" s="1" t="str">
        <f t="shared" si="856"/>
        <v/>
      </c>
      <c r="CG1106" s="1" t="s">
        <v>437</v>
      </c>
      <c r="CH1106" s="1" t="s">
        <v>219</v>
      </c>
      <c r="CK1106" s="1" t="s">
        <v>461</v>
      </c>
      <c r="CL1106" s="1" t="s">
        <v>277</v>
      </c>
      <c r="CP1106" s="1" t="s">
        <v>224</v>
      </c>
      <c r="CS1106" s="1" t="s">
        <v>378</v>
      </c>
      <c r="CT1106" s="1" t="s">
        <v>277</v>
      </c>
      <c r="CX1106" s="1" t="s">
        <v>224</v>
      </c>
      <c r="DB1106" s="1" t="s">
        <v>224</v>
      </c>
      <c r="DE1106" s="1" t="s">
        <v>757</v>
      </c>
      <c r="DF1106" s="1" t="s">
        <v>219</v>
      </c>
      <c r="DJ1106" s="1" t="s">
        <v>224</v>
      </c>
      <c r="DS1106" s="1" t="s">
        <v>230</v>
      </c>
      <c r="DW1106" s="1" t="s">
        <v>230</v>
      </c>
      <c r="EA1106" s="1" t="s">
        <v>230</v>
      </c>
      <c r="EE1106" s="1" t="s">
        <v>230</v>
      </c>
      <c r="EI1106" s="1" t="s">
        <v>230</v>
      </c>
      <c r="EL1106" s="1" t="s">
        <v>542</v>
      </c>
      <c r="EM1106" s="1" t="s">
        <v>319</v>
      </c>
      <c r="EN1106" s="1" t="s">
        <v>282</v>
      </c>
      <c r="EO1106" s="1" t="s">
        <v>234</v>
      </c>
      <c r="ER1106" s="1" t="s">
        <v>210</v>
      </c>
      <c r="EW1106" s="1" t="s">
        <v>384</v>
      </c>
      <c r="EZ1106" s="1" t="s">
        <v>287</v>
      </c>
      <c r="FD1106" s="1" t="s">
        <v>246</v>
      </c>
      <c r="FE1106" s="1" t="s">
        <v>472</v>
      </c>
      <c r="FF1106" s="1" t="s">
        <v>248</v>
      </c>
      <c r="FH1106" s="1" t="s">
        <v>550</v>
      </c>
      <c r="FJ1106" s="1" t="s">
        <v>1472</v>
      </c>
      <c r="FL1106" s="1" t="s">
        <v>810</v>
      </c>
      <c r="FM1106" s="1" t="s">
        <v>252</v>
      </c>
      <c r="FN1106" s="1" t="s">
        <v>213</v>
      </c>
      <c r="FO1106" s="1" t="s">
        <v>213</v>
      </c>
      <c r="FQ1106" s="1" t="s">
        <v>2417</v>
      </c>
      <c r="FR1106" s="1" t="s">
        <v>210</v>
      </c>
      <c r="FS1106" s="1" t="s">
        <v>3352</v>
      </c>
      <c r="FT1106" s="1" t="s">
        <v>295</v>
      </c>
      <c r="FU1106" s="1" t="s">
        <v>204</v>
      </c>
      <c r="FW1106" s="1" t="s">
        <v>3353</v>
      </c>
      <c r="FX1106" s="1">
        <v>8658</v>
      </c>
      <c r="FY1106" s="1" t="s">
        <v>3354</v>
      </c>
      <c r="FZ1106" s="1" t="s">
        <v>3355</v>
      </c>
      <c r="GA1106" s="1">
        <v>84760</v>
      </c>
      <c r="GB1106" s="1" t="s">
        <v>3354</v>
      </c>
      <c r="GE1106" s="1" t="s">
        <v>210</v>
      </c>
      <c r="GI1106" s="1" t="s">
        <v>213</v>
      </c>
      <c r="GJ1106" s="1" t="s">
        <v>260</v>
      </c>
      <c r="GK1106" s="1" t="s">
        <v>210</v>
      </c>
      <c r="GL1106" s="2">
        <v>42094</v>
      </c>
      <c r="GM1106" s="1" t="s">
        <v>11678</v>
      </c>
    </row>
    <row r="1107" spans="1:195">
      <c r="A1107" s="1">
        <v>241900</v>
      </c>
      <c r="B1107" s="1" t="s">
        <v>195</v>
      </c>
      <c r="C1107" s="1" t="str">
        <f>"08849163"</f>
        <v>08849163</v>
      </c>
      <c r="D1107" s="1" t="s">
        <v>196</v>
      </c>
      <c r="F1107" s="1" t="str">
        <f>"143"</f>
        <v>143</v>
      </c>
      <c r="G1107" s="2">
        <v>42064</v>
      </c>
      <c r="H1107" s="1">
        <v>249900</v>
      </c>
      <c r="I1107" s="1">
        <v>249900</v>
      </c>
      <c r="J1107" s="1">
        <v>241900</v>
      </c>
      <c r="K1107" s="2">
        <v>42064</v>
      </c>
      <c r="L1107" s="1">
        <v>5</v>
      </c>
      <c r="M1107" s="2">
        <v>42068</v>
      </c>
      <c r="N1107" s="1">
        <v>5</v>
      </c>
      <c r="O1107" s="2">
        <v>42068</v>
      </c>
      <c r="P1107" s="1">
        <v>8965</v>
      </c>
      <c r="Q1107" s="1" t="s">
        <v>302</v>
      </c>
      <c r="R1107" s="2">
        <v>42095</v>
      </c>
      <c r="S1107" s="1">
        <v>89128</v>
      </c>
      <c r="U1107" s="1">
        <v>414</v>
      </c>
      <c r="V1107" s="1" t="s">
        <v>11679</v>
      </c>
      <c r="W1107" s="1" t="s">
        <v>504</v>
      </c>
      <c r="Y1107" s="1">
        <v>4</v>
      </c>
      <c r="Z1107" s="1" t="s">
        <v>370</v>
      </c>
      <c r="AA1107" s="1" t="s">
        <v>7871</v>
      </c>
      <c r="AB1107" s="1">
        <v>60143</v>
      </c>
      <c r="AD1107" s="1" t="s">
        <v>11680</v>
      </c>
      <c r="AE1107" s="1" t="s">
        <v>11681</v>
      </c>
      <c r="AF1107" s="1">
        <v>1989</v>
      </c>
      <c r="AG1107" s="1" t="s">
        <v>204</v>
      </c>
      <c r="AH1107" s="1" t="s">
        <v>7873</v>
      </c>
      <c r="AI1107" s="1" t="s">
        <v>206</v>
      </c>
      <c r="AJ1107" s="1" t="s">
        <v>1233</v>
      </c>
      <c r="AL1107" s="1">
        <v>6</v>
      </c>
      <c r="AM1107" s="1">
        <v>2</v>
      </c>
      <c r="AN1107" s="1">
        <v>2</v>
      </c>
      <c r="AO1107" s="1">
        <v>1</v>
      </c>
      <c r="AP1107" s="1" t="s">
        <v>209</v>
      </c>
      <c r="AQ1107" s="1">
        <v>1</v>
      </c>
      <c r="AR1107" s="1" t="s">
        <v>210</v>
      </c>
      <c r="AS1107" s="1" t="s">
        <v>204</v>
      </c>
      <c r="AT1107" s="1" t="s">
        <v>211</v>
      </c>
      <c r="AU1107" s="1">
        <v>2</v>
      </c>
      <c r="AW1107" s="1" t="s">
        <v>204</v>
      </c>
      <c r="AX1107" s="1" t="s">
        <v>11682</v>
      </c>
      <c r="AZ1107" s="1">
        <v>3863</v>
      </c>
      <c r="BA1107" s="1">
        <v>2013</v>
      </c>
      <c r="BB1107" s="1" t="s">
        <v>210</v>
      </c>
      <c r="BE1107" s="1">
        <v>1700</v>
      </c>
      <c r="BF1107" s="1">
        <v>2</v>
      </c>
      <c r="BG1107" s="1">
        <v>0</v>
      </c>
      <c r="BL1107" s="1">
        <v>189</v>
      </c>
      <c r="BM1107" s="1" t="s">
        <v>204</v>
      </c>
      <c r="BN1107" s="1" t="s">
        <v>213</v>
      </c>
      <c r="BO1107" s="1">
        <v>0</v>
      </c>
      <c r="BP1107" s="1" t="s">
        <v>204</v>
      </c>
      <c r="BR1107" s="1" t="str">
        <f>"0305304031"</f>
        <v>0305304031</v>
      </c>
      <c r="BT1107" s="1" t="s">
        <v>11683</v>
      </c>
      <c r="BU1107" s="1" t="s">
        <v>11130</v>
      </c>
      <c r="BV1107" s="1" t="s">
        <v>7877</v>
      </c>
      <c r="BW1107" s="1" t="s">
        <v>275</v>
      </c>
      <c r="BX1107" s="1">
        <v>10</v>
      </c>
      <c r="BY1107" s="1">
        <v>10</v>
      </c>
      <c r="BZ1107" s="1">
        <v>108</v>
      </c>
      <c r="CB1107" s="1" t="str">
        <f>"5"</f>
        <v>5</v>
      </c>
      <c r="CC1107" s="1" t="str">
        <f>"0"</f>
        <v>0</v>
      </c>
      <c r="CD1107" s="1">
        <v>17</v>
      </c>
      <c r="CE1107" s="1">
        <v>0</v>
      </c>
      <c r="CG1107" s="1" t="s">
        <v>6248</v>
      </c>
      <c r="CH1107" s="1" t="s">
        <v>219</v>
      </c>
      <c r="CI1107" s="1" t="s">
        <v>220</v>
      </c>
      <c r="CK1107" s="1" t="s">
        <v>315</v>
      </c>
      <c r="CL1107" s="1" t="s">
        <v>277</v>
      </c>
      <c r="CM1107" s="1" t="s">
        <v>220</v>
      </c>
      <c r="CO1107" s="1" t="s">
        <v>346</v>
      </c>
      <c r="CP1107" s="1" t="s">
        <v>219</v>
      </c>
      <c r="CQ1107" s="1" t="s">
        <v>220</v>
      </c>
      <c r="CR1107" s="1" t="s">
        <v>343</v>
      </c>
      <c r="CS1107" s="1" t="s">
        <v>1046</v>
      </c>
      <c r="CT1107" s="1" t="s">
        <v>277</v>
      </c>
      <c r="CU1107" s="1" t="s">
        <v>220</v>
      </c>
      <c r="CX1107" s="1" t="s">
        <v>224</v>
      </c>
      <c r="DB1107" s="1" t="s">
        <v>224</v>
      </c>
      <c r="DE1107" s="1" t="s">
        <v>346</v>
      </c>
      <c r="DF1107" s="1" t="s">
        <v>219</v>
      </c>
      <c r="DG1107" s="1" t="s">
        <v>5665</v>
      </c>
      <c r="DJ1107" s="1" t="s">
        <v>224</v>
      </c>
      <c r="DM1107" s="1" t="s">
        <v>464</v>
      </c>
      <c r="DR1107" s="1" t="s">
        <v>951</v>
      </c>
      <c r="DS1107" s="1" t="s">
        <v>277</v>
      </c>
      <c r="DT1107" s="1" t="s">
        <v>220</v>
      </c>
      <c r="DW1107" s="1" t="s">
        <v>230</v>
      </c>
      <c r="EA1107" s="1" t="s">
        <v>230</v>
      </c>
      <c r="EE1107" s="1" t="s">
        <v>230</v>
      </c>
      <c r="EI1107" s="1" t="s">
        <v>230</v>
      </c>
      <c r="EL1107" s="1" t="s">
        <v>542</v>
      </c>
      <c r="EM1107" s="1" t="s">
        <v>232</v>
      </c>
      <c r="EN1107" s="1" t="s">
        <v>282</v>
      </c>
      <c r="EO1107" s="1" t="s">
        <v>840</v>
      </c>
      <c r="EQ1107" s="1" t="s">
        <v>4356</v>
      </c>
      <c r="ER1107" s="1" t="s">
        <v>383</v>
      </c>
      <c r="ES1107" s="1" t="s">
        <v>608</v>
      </c>
      <c r="ET1107" s="1" t="s">
        <v>323</v>
      </c>
      <c r="EV1107" s="1" t="s">
        <v>324</v>
      </c>
      <c r="EW1107" s="1" t="s">
        <v>887</v>
      </c>
      <c r="EY1107" s="1" t="s">
        <v>242</v>
      </c>
      <c r="EZ1107" s="1" t="s">
        <v>464</v>
      </c>
      <c r="FB1107" s="1" t="s">
        <v>289</v>
      </c>
      <c r="FD1107" s="1" t="s">
        <v>246</v>
      </c>
      <c r="FE1107" s="1" t="s">
        <v>975</v>
      </c>
      <c r="FF1107" s="1" t="s">
        <v>248</v>
      </c>
      <c r="FG1107" s="1" t="s">
        <v>2292</v>
      </c>
      <c r="FH1107" s="1" t="s">
        <v>550</v>
      </c>
      <c r="FI1107" s="1" t="s">
        <v>357</v>
      </c>
      <c r="FL1107" s="1" t="s">
        <v>358</v>
      </c>
      <c r="FM1107" s="1" t="s">
        <v>252</v>
      </c>
      <c r="FN1107" s="1" t="s">
        <v>213</v>
      </c>
      <c r="FO1107" s="1" t="s">
        <v>213</v>
      </c>
      <c r="FQ1107" s="1" t="s">
        <v>359</v>
      </c>
      <c r="FR1107" s="1" t="s">
        <v>210</v>
      </c>
      <c r="FS1107" s="1" t="s">
        <v>11684</v>
      </c>
      <c r="FT1107" s="1" t="s">
        <v>520</v>
      </c>
      <c r="FU1107" s="1" t="s">
        <v>204</v>
      </c>
      <c r="FW1107" s="1" t="s">
        <v>363</v>
      </c>
      <c r="FX1107" s="1">
        <v>8970</v>
      </c>
      <c r="FY1107" s="1" t="s">
        <v>364</v>
      </c>
      <c r="FZ1107" s="1" t="s">
        <v>11685</v>
      </c>
      <c r="GA1107" s="1">
        <v>88021</v>
      </c>
      <c r="GB1107" s="1" t="s">
        <v>11686</v>
      </c>
      <c r="GE1107" s="1" t="s">
        <v>210</v>
      </c>
      <c r="GH1107" s="1" t="s">
        <v>800</v>
      </c>
      <c r="GI1107" s="1" t="s">
        <v>213</v>
      </c>
      <c r="GJ1107" s="1" t="s">
        <v>260</v>
      </c>
      <c r="GK1107" s="1" t="s">
        <v>210</v>
      </c>
      <c r="GL1107" s="2">
        <v>42096</v>
      </c>
      <c r="GM1107" s="1" t="s">
        <v>11687</v>
      </c>
    </row>
    <row r="1108" spans="1:195">
      <c r="A1108" s="1">
        <v>148000</v>
      </c>
      <c r="B1108" s="1" t="s">
        <v>195</v>
      </c>
      <c r="C1108" s="1" t="str">
        <f>"08848069"</f>
        <v>08848069</v>
      </c>
      <c r="D1108" s="1" t="s">
        <v>196</v>
      </c>
      <c r="F1108" s="1" t="str">
        <f>"507"</f>
        <v>507</v>
      </c>
      <c r="G1108" s="2">
        <v>42062</v>
      </c>
      <c r="H1108" s="1">
        <v>159900</v>
      </c>
      <c r="I1108" s="1">
        <v>159900</v>
      </c>
      <c r="J1108" s="1">
        <v>148000</v>
      </c>
      <c r="K1108" s="2">
        <v>42062</v>
      </c>
      <c r="L1108" s="1">
        <v>12</v>
      </c>
      <c r="M1108" s="2">
        <v>42073</v>
      </c>
      <c r="N1108" s="1">
        <v>12</v>
      </c>
      <c r="O1108" s="2">
        <v>42073</v>
      </c>
      <c r="P1108" s="1">
        <v>8068</v>
      </c>
      <c r="Q1108" s="1" t="s">
        <v>197</v>
      </c>
      <c r="R1108" s="2">
        <v>42124</v>
      </c>
      <c r="S1108" s="1">
        <v>240115</v>
      </c>
      <c r="U1108" s="1">
        <v>4084</v>
      </c>
      <c r="V1108" s="1" t="s">
        <v>11688</v>
      </c>
      <c r="W1108" s="1" t="s">
        <v>304</v>
      </c>
      <c r="Y1108" s="1">
        <v>6</v>
      </c>
      <c r="Z1108" s="1" t="s">
        <v>370</v>
      </c>
      <c r="AA1108" s="1" t="s">
        <v>1123</v>
      </c>
      <c r="AB1108" s="1">
        <v>60504</v>
      </c>
      <c r="AD1108" s="1" t="s">
        <v>11689</v>
      </c>
      <c r="AE1108" s="1" t="s">
        <v>11690</v>
      </c>
      <c r="AF1108" s="1">
        <v>2002</v>
      </c>
      <c r="AG1108" s="1" t="s">
        <v>204</v>
      </c>
      <c r="AH1108" s="1" t="s">
        <v>1126</v>
      </c>
      <c r="AI1108" s="1" t="s">
        <v>206</v>
      </c>
      <c r="AJ1108" s="1" t="s">
        <v>924</v>
      </c>
      <c r="AK1108" s="1" t="s">
        <v>11691</v>
      </c>
      <c r="AL1108" s="1">
        <v>6</v>
      </c>
      <c r="AM1108" s="1">
        <v>2</v>
      </c>
      <c r="AN1108" s="1">
        <v>1</v>
      </c>
      <c r="AO1108" s="1">
        <v>1</v>
      </c>
      <c r="AP1108" s="1" t="s">
        <v>667</v>
      </c>
      <c r="AQ1108" s="1">
        <v>0</v>
      </c>
      <c r="AR1108" s="1" t="s">
        <v>210</v>
      </c>
      <c r="AS1108" s="1" t="s">
        <v>204</v>
      </c>
      <c r="AT1108" s="1" t="s">
        <v>211</v>
      </c>
      <c r="AU1108" s="1">
        <v>2</v>
      </c>
      <c r="AW1108" s="1" t="s">
        <v>204</v>
      </c>
      <c r="AX1108" s="1" t="s">
        <v>212</v>
      </c>
      <c r="AZ1108" s="1">
        <v>4199</v>
      </c>
      <c r="BA1108" s="1">
        <v>2013</v>
      </c>
      <c r="BE1108" s="1">
        <v>1600</v>
      </c>
      <c r="BF1108" s="1">
        <v>1</v>
      </c>
      <c r="BG1108" s="1">
        <v>30</v>
      </c>
      <c r="BL1108" s="1">
        <v>150</v>
      </c>
      <c r="BM1108" s="1" t="s">
        <v>204</v>
      </c>
      <c r="BN1108" s="1" t="s">
        <v>213</v>
      </c>
      <c r="BO1108" s="1">
        <v>100</v>
      </c>
      <c r="BP1108" s="1" t="s">
        <v>204</v>
      </c>
      <c r="BR1108" s="1" t="str">
        <f>"0728308127"</f>
        <v>0728308127</v>
      </c>
      <c r="BT1108" s="1" t="s">
        <v>11692</v>
      </c>
      <c r="BU1108" s="1" t="s">
        <v>11693</v>
      </c>
      <c r="BV1108" s="1" t="s">
        <v>2535</v>
      </c>
      <c r="BW1108" s="1" t="s">
        <v>1131</v>
      </c>
      <c r="BX1108" s="1">
        <v>204</v>
      </c>
      <c r="BY1108" s="1">
        <v>204</v>
      </c>
      <c r="BZ1108" s="1">
        <v>204</v>
      </c>
      <c r="CB1108" s="1" t="str">
        <f t="shared" ref="CB1108:CC1108" si="857">""</f>
        <v/>
      </c>
      <c r="CC1108" s="1" t="str">
        <f t="shared" si="857"/>
        <v/>
      </c>
      <c r="CG1108" s="1" t="s">
        <v>1004</v>
      </c>
      <c r="CH1108" s="1" t="s">
        <v>219</v>
      </c>
      <c r="CI1108" s="1" t="s">
        <v>220</v>
      </c>
      <c r="CK1108" s="1" t="s">
        <v>932</v>
      </c>
      <c r="CL1108" s="1" t="s">
        <v>277</v>
      </c>
      <c r="CM1108" s="1" t="s">
        <v>220</v>
      </c>
      <c r="CO1108" s="1" t="s">
        <v>281</v>
      </c>
      <c r="CP1108" s="1" t="s">
        <v>219</v>
      </c>
      <c r="CQ1108" s="1" t="s">
        <v>220</v>
      </c>
      <c r="CS1108" s="1" t="s">
        <v>346</v>
      </c>
      <c r="CT1108" s="1" t="s">
        <v>277</v>
      </c>
      <c r="CU1108" s="1" t="s">
        <v>220</v>
      </c>
      <c r="CX1108" s="1" t="s">
        <v>224</v>
      </c>
      <c r="DB1108" s="1" t="s">
        <v>224</v>
      </c>
      <c r="DE1108" s="1" t="s">
        <v>379</v>
      </c>
      <c r="DF1108" s="1" t="s">
        <v>219</v>
      </c>
      <c r="DG1108" s="1" t="s">
        <v>342</v>
      </c>
      <c r="DJ1108" s="1" t="s">
        <v>224</v>
      </c>
      <c r="DM1108" s="1" t="s">
        <v>464</v>
      </c>
      <c r="DR1108" s="1" t="s">
        <v>10475</v>
      </c>
      <c r="DS1108" s="1" t="s">
        <v>277</v>
      </c>
      <c r="DT1108" s="1" t="s">
        <v>220</v>
      </c>
      <c r="DW1108" s="1" t="s">
        <v>230</v>
      </c>
      <c r="EA1108" s="1" t="s">
        <v>230</v>
      </c>
      <c r="EE1108" s="1" t="s">
        <v>230</v>
      </c>
      <c r="EI1108" s="1" t="s">
        <v>230</v>
      </c>
      <c r="EL1108" s="1" t="s">
        <v>466</v>
      </c>
      <c r="EM1108" s="1" t="s">
        <v>319</v>
      </c>
      <c r="EN1108" s="1" t="s">
        <v>282</v>
      </c>
      <c r="EO1108" s="1" t="s">
        <v>234</v>
      </c>
      <c r="EQ1108" s="1" t="s">
        <v>492</v>
      </c>
      <c r="ER1108" s="1" t="s">
        <v>383</v>
      </c>
      <c r="EW1108" s="1" t="s">
        <v>353</v>
      </c>
      <c r="EZ1108" s="1" t="s">
        <v>464</v>
      </c>
      <c r="FB1108" s="1" t="s">
        <v>289</v>
      </c>
      <c r="FC1108" s="1" t="s">
        <v>548</v>
      </c>
      <c r="FD1108" s="1" t="s">
        <v>246</v>
      </c>
      <c r="FE1108" s="1" t="s">
        <v>472</v>
      </c>
      <c r="FF1108" s="1" t="s">
        <v>248</v>
      </c>
      <c r="FH1108" s="1" t="s">
        <v>550</v>
      </c>
      <c r="FI1108" s="1" t="s">
        <v>473</v>
      </c>
      <c r="FL1108" s="1" t="s">
        <v>358</v>
      </c>
      <c r="FM1108" s="1" t="s">
        <v>252</v>
      </c>
      <c r="FN1108" s="1" t="s">
        <v>204</v>
      </c>
      <c r="FO1108" s="1" t="s">
        <v>204</v>
      </c>
      <c r="FQ1108" s="1" t="s">
        <v>11694</v>
      </c>
      <c r="FR1108" s="1" t="s">
        <v>210</v>
      </c>
      <c r="FS1108" s="1" t="s">
        <v>11695</v>
      </c>
      <c r="FT1108" s="1" t="s">
        <v>362</v>
      </c>
      <c r="FU1108" s="1" t="s">
        <v>204</v>
      </c>
      <c r="FW1108" s="1" t="s">
        <v>3546</v>
      </c>
      <c r="FX1108" s="1">
        <v>24695</v>
      </c>
      <c r="FY1108" s="1" t="s">
        <v>3547</v>
      </c>
      <c r="FZ1108" s="1" t="s">
        <v>11696</v>
      </c>
      <c r="GA1108" s="1">
        <v>241947</v>
      </c>
      <c r="GC1108" s="1">
        <v>231503</v>
      </c>
      <c r="GD1108" s="1" t="s">
        <v>11697</v>
      </c>
      <c r="GE1108" s="1" t="s">
        <v>210</v>
      </c>
      <c r="GI1108" s="1" t="s">
        <v>213</v>
      </c>
      <c r="GJ1108" s="1" t="s">
        <v>260</v>
      </c>
      <c r="GK1108" s="1" t="s">
        <v>210</v>
      </c>
      <c r="GL1108" s="2">
        <v>42124</v>
      </c>
      <c r="GM1108" s="1" t="s">
        <v>11698</v>
      </c>
    </row>
    <row r="1109" spans="1:195">
      <c r="A1109" s="1">
        <v>105000</v>
      </c>
      <c r="B1109" s="1" t="s">
        <v>195</v>
      </c>
      <c r="C1109" s="1" t="str">
        <f>"08846818"</f>
        <v>08846818</v>
      </c>
      <c r="D1109" s="1" t="s">
        <v>196</v>
      </c>
      <c r="F1109" s="1" t="str">
        <f>"148"</f>
        <v>148</v>
      </c>
      <c r="G1109" s="2">
        <v>42060</v>
      </c>
      <c r="H1109" s="1">
        <v>109934</v>
      </c>
      <c r="I1109" s="1">
        <v>109934</v>
      </c>
      <c r="J1109" s="1">
        <v>105000</v>
      </c>
      <c r="K1109" s="2">
        <v>42060</v>
      </c>
      <c r="L1109" s="1">
        <v>21</v>
      </c>
      <c r="M1109" s="2">
        <v>42080</v>
      </c>
      <c r="N1109" s="1">
        <v>21</v>
      </c>
      <c r="O1109" s="2">
        <v>42080</v>
      </c>
      <c r="P1109" s="1">
        <v>1481</v>
      </c>
      <c r="Q1109" s="1" t="s">
        <v>423</v>
      </c>
      <c r="R1109" s="2">
        <v>42123</v>
      </c>
      <c r="S1109" s="1">
        <v>28920</v>
      </c>
      <c r="U1109" s="1">
        <v>2330</v>
      </c>
      <c r="V1109" s="1" t="s">
        <v>11699</v>
      </c>
      <c r="W1109" s="1" t="s">
        <v>3006</v>
      </c>
      <c r="X1109" s="1" t="s">
        <v>1747</v>
      </c>
      <c r="Y1109" s="1">
        <v>18</v>
      </c>
      <c r="Z1109" s="1" t="s">
        <v>249</v>
      </c>
      <c r="AA1109" s="1" t="s">
        <v>1927</v>
      </c>
      <c r="AB1109" s="1">
        <v>60148</v>
      </c>
      <c r="AD1109" s="1" t="s">
        <v>5704</v>
      </c>
      <c r="AE1109" s="1" t="s">
        <v>11700</v>
      </c>
      <c r="AF1109" s="1">
        <v>1980</v>
      </c>
      <c r="AG1109" s="1" t="s">
        <v>204</v>
      </c>
      <c r="AH1109" s="1" t="s">
        <v>1930</v>
      </c>
      <c r="AI1109" s="1" t="s">
        <v>206</v>
      </c>
      <c r="AJ1109" s="1" t="s">
        <v>1608</v>
      </c>
      <c r="AL1109" s="1">
        <v>5</v>
      </c>
      <c r="AM1109" s="1">
        <v>2</v>
      </c>
      <c r="AN1109" s="1">
        <v>1</v>
      </c>
      <c r="AO1109" s="1">
        <v>1</v>
      </c>
      <c r="AP1109" s="1" t="s">
        <v>455</v>
      </c>
      <c r="AQ1109" s="1">
        <v>0</v>
      </c>
      <c r="AR1109" s="1" t="s">
        <v>210</v>
      </c>
      <c r="AS1109" s="1" t="s">
        <v>204</v>
      </c>
      <c r="AT1109" s="1" t="s">
        <v>271</v>
      </c>
      <c r="AV1109" s="1">
        <v>1</v>
      </c>
      <c r="AW1109" s="1" t="s">
        <v>204</v>
      </c>
      <c r="AX1109" s="1" t="s">
        <v>212</v>
      </c>
      <c r="AZ1109" s="1">
        <v>2400</v>
      </c>
      <c r="BA1109" s="1">
        <v>2013</v>
      </c>
      <c r="BB1109" s="1" t="s">
        <v>405</v>
      </c>
      <c r="BE1109" s="1">
        <v>0</v>
      </c>
      <c r="BF1109" s="1">
        <v>3</v>
      </c>
      <c r="BG1109" s="1">
        <v>0</v>
      </c>
      <c r="BL1109" s="1">
        <v>333</v>
      </c>
      <c r="BM1109" s="1" t="s">
        <v>204</v>
      </c>
      <c r="BN1109" s="1" t="s">
        <v>213</v>
      </c>
      <c r="BO1109" s="1">
        <v>15</v>
      </c>
      <c r="BP1109" s="1" t="s">
        <v>204</v>
      </c>
      <c r="BR1109" s="1" t="str">
        <f>"0629106107"</f>
        <v>0629106107</v>
      </c>
      <c r="BT1109" s="1" t="s">
        <v>11701</v>
      </c>
      <c r="BX1109" s="1">
        <v>44</v>
      </c>
      <c r="BY1109" s="1">
        <v>44</v>
      </c>
      <c r="BZ1109" s="1">
        <v>87</v>
      </c>
      <c r="CB1109" s="1" t="str">
        <f t="shared" ref="CB1109:CC1109" si="858">"0"</f>
        <v>0</v>
      </c>
      <c r="CC1109" s="1" t="str">
        <f t="shared" si="858"/>
        <v>0</v>
      </c>
      <c r="CD1109" s="1">
        <v>19</v>
      </c>
      <c r="CE1109" s="1">
        <v>2</v>
      </c>
      <c r="CG1109" s="1" t="s">
        <v>1267</v>
      </c>
      <c r="CH1109" s="1" t="s">
        <v>219</v>
      </c>
      <c r="CI1109" s="1" t="s">
        <v>220</v>
      </c>
      <c r="CJ1109" s="1" t="s">
        <v>252</v>
      </c>
      <c r="CK1109" s="1" t="s">
        <v>2170</v>
      </c>
      <c r="CL1109" s="1" t="s">
        <v>219</v>
      </c>
      <c r="CM1109" s="1" t="s">
        <v>220</v>
      </c>
      <c r="CN1109" s="1" t="s">
        <v>252</v>
      </c>
      <c r="CO1109" s="1" t="s">
        <v>1470</v>
      </c>
      <c r="CP1109" s="1" t="s">
        <v>219</v>
      </c>
      <c r="CQ1109" s="1" t="s">
        <v>220</v>
      </c>
      <c r="CR1109" s="1" t="s">
        <v>252</v>
      </c>
      <c r="CS1109" s="1" t="s">
        <v>1046</v>
      </c>
      <c r="CT1109" s="1" t="s">
        <v>219</v>
      </c>
      <c r="CU1109" s="1" t="s">
        <v>220</v>
      </c>
      <c r="CV1109" s="1" t="s">
        <v>252</v>
      </c>
      <c r="CX1109" s="1" t="s">
        <v>224</v>
      </c>
      <c r="DB1109" s="1" t="s">
        <v>224</v>
      </c>
      <c r="DE1109" s="1" t="s">
        <v>1470</v>
      </c>
      <c r="DF1109" s="1" t="s">
        <v>219</v>
      </c>
      <c r="DG1109" s="1" t="s">
        <v>229</v>
      </c>
      <c r="DH1109" s="1" t="s">
        <v>210</v>
      </c>
      <c r="DJ1109" s="1" t="s">
        <v>224</v>
      </c>
      <c r="DS1109" s="1" t="s">
        <v>230</v>
      </c>
      <c r="DW1109" s="1" t="s">
        <v>230</v>
      </c>
      <c r="EA1109" s="1" t="s">
        <v>230</v>
      </c>
      <c r="EE1109" s="1" t="s">
        <v>230</v>
      </c>
      <c r="EI1109" s="1" t="s">
        <v>230</v>
      </c>
      <c r="EL1109" s="1" t="s">
        <v>231</v>
      </c>
      <c r="EM1109" s="1" t="s">
        <v>232</v>
      </c>
      <c r="EN1109" s="1" t="s">
        <v>282</v>
      </c>
      <c r="EO1109" s="1" t="s">
        <v>234</v>
      </c>
      <c r="EQ1109" s="1" t="s">
        <v>3718</v>
      </c>
      <c r="ER1109" s="1" t="s">
        <v>210</v>
      </c>
      <c r="ES1109" s="1" t="s">
        <v>3932</v>
      </c>
      <c r="EU1109" s="1" t="s">
        <v>4906</v>
      </c>
      <c r="EV1109" s="1" t="s">
        <v>240</v>
      </c>
      <c r="EW1109" s="1" t="s">
        <v>142</v>
      </c>
      <c r="EZ1109" s="1" t="s">
        <v>287</v>
      </c>
      <c r="FA1109" s="1" t="s">
        <v>1048</v>
      </c>
      <c r="FD1109" s="1" t="s">
        <v>385</v>
      </c>
      <c r="FE1109" s="1" t="s">
        <v>847</v>
      </c>
      <c r="FF1109" s="1" t="s">
        <v>2998</v>
      </c>
      <c r="FH1109" s="1" t="s">
        <v>249</v>
      </c>
      <c r="FJ1109" s="1" t="s">
        <v>518</v>
      </c>
      <c r="FK1109" s="1" t="s">
        <v>291</v>
      </c>
      <c r="FL1109" s="1" t="s">
        <v>292</v>
      </c>
      <c r="FM1109" s="1" t="s">
        <v>252</v>
      </c>
      <c r="FN1109" s="1" t="s">
        <v>213</v>
      </c>
      <c r="FO1109" s="1" t="s">
        <v>213</v>
      </c>
      <c r="FQ1109" s="1" t="s">
        <v>793</v>
      </c>
      <c r="FR1109" s="1" t="s">
        <v>652</v>
      </c>
      <c r="FS1109" s="1" t="s">
        <v>11702</v>
      </c>
      <c r="FT1109" s="1" t="s">
        <v>11703</v>
      </c>
      <c r="FU1109" s="1" t="s">
        <v>204</v>
      </c>
      <c r="FV1109" s="1" t="s">
        <v>11704</v>
      </c>
      <c r="FW1109" s="1" t="s">
        <v>3231</v>
      </c>
      <c r="FX1109" s="1">
        <v>24451</v>
      </c>
      <c r="FY1109" s="1" t="s">
        <v>3232</v>
      </c>
      <c r="FZ1109" s="1" t="s">
        <v>10643</v>
      </c>
      <c r="GA1109" s="1">
        <v>256870</v>
      </c>
      <c r="GB1109" s="1" t="s">
        <v>3232</v>
      </c>
      <c r="GD1109" s="1" t="s">
        <v>11705</v>
      </c>
      <c r="GE1109" s="1" t="s">
        <v>1145</v>
      </c>
      <c r="GI1109" s="1" t="s">
        <v>204</v>
      </c>
      <c r="GJ1109" s="1" t="s">
        <v>300</v>
      </c>
      <c r="GK1109" s="1" t="s">
        <v>210</v>
      </c>
      <c r="GL1109" s="2">
        <v>42123</v>
      </c>
      <c r="GM1109" s="1" t="s">
        <v>11706</v>
      </c>
    </row>
    <row r="1110" spans="1:195">
      <c r="A1110" s="1">
        <v>190000</v>
      </c>
      <c r="B1110" s="1" t="s">
        <v>195</v>
      </c>
      <c r="C1110" s="1" t="str">
        <f>"08852292"</f>
        <v>08852292</v>
      </c>
      <c r="D1110" s="1" t="s">
        <v>196</v>
      </c>
      <c r="F1110" s="1" t="str">
        <f>"174"</f>
        <v>174</v>
      </c>
      <c r="G1110" s="2">
        <v>42067</v>
      </c>
      <c r="H1110" s="1">
        <v>199900</v>
      </c>
      <c r="I1110" s="1">
        <v>199900</v>
      </c>
      <c r="J1110" s="1">
        <v>190000</v>
      </c>
      <c r="K1110" s="2">
        <v>42066</v>
      </c>
      <c r="L1110" s="1">
        <v>31</v>
      </c>
      <c r="M1110" s="2">
        <v>42096</v>
      </c>
      <c r="N1110" s="1">
        <v>31</v>
      </c>
      <c r="O1110" s="2">
        <v>42096</v>
      </c>
      <c r="P1110" s="1">
        <v>25795</v>
      </c>
      <c r="Q1110" s="1" t="s">
        <v>197</v>
      </c>
      <c r="R1110" s="2">
        <v>42132</v>
      </c>
      <c r="S1110" s="1">
        <v>214414</v>
      </c>
      <c r="U1110" s="1">
        <v>1449</v>
      </c>
      <c r="V1110" s="1" t="s">
        <v>11707</v>
      </c>
      <c r="W1110" s="1" t="s">
        <v>425</v>
      </c>
      <c r="Y1110" s="1">
        <v>4</v>
      </c>
      <c r="Z1110" s="1" t="s">
        <v>370</v>
      </c>
      <c r="AA1110" s="1" t="s">
        <v>879</v>
      </c>
      <c r="AB1110" s="1">
        <v>60174</v>
      </c>
      <c r="AD1110" s="1" t="s">
        <v>3693</v>
      </c>
      <c r="AE1110" s="1" t="s">
        <v>11708</v>
      </c>
      <c r="AF1110" s="1">
        <v>1994</v>
      </c>
      <c r="AG1110" s="1" t="s">
        <v>204</v>
      </c>
      <c r="AH1110" s="1" t="s">
        <v>883</v>
      </c>
      <c r="AI1110" s="1" t="s">
        <v>665</v>
      </c>
      <c r="AJ1110" s="1" t="s">
        <v>883</v>
      </c>
      <c r="AL1110" s="1">
        <v>5</v>
      </c>
      <c r="AM1110" s="1">
        <v>2</v>
      </c>
      <c r="AN1110" s="1">
        <v>2</v>
      </c>
      <c r="AO1110" s="1">
        <v>1</v>
      </c>
      <c r="AP1110" s="1" t="s">
        <v>209</v>
      </c>
      <c r="AQ1110" s="1">
        <v>1</v>
      </c>
      <c r="AR1110" s="1" t="s">
        <v>210</v>
      </c>
      <c r="AS1110" s="1" t="s">
        <v>204</v>
      </c>
      <c r="AT1110" s="1" t="s">
        <v>211</v>
      </c>
      <c r="AU1110" s="1">
        <v>2</v>
      </c>
      <c r="AW1110" s="1" t="s">
        <v>204</v>
      </c>
      <c r="AX1110" s="1" t="s">
        <v>212</v>
      </c>
      <c r="AZ1110" s="1">
        <v>4769.3999999999996</v>
      </c>
      <c r="BA1110" s="1">
        <v>2013</v>
      </c>
      <c r="BE1110" s="1">
        <v>1488</v>
      </c>
      <c r="BF1110" s="1">
        <v>1</v>
      </c>
      <c r="BG1110" s="1">
        <v>0</v>
      </c>
      <c r="BL1110" s="1">
        <v>184</v>
      </c>
      <c r="BM1110" s="1" t="s">
        <v>204</v>
      </c>
      <c r="BN1110" s="1" t="s">
        <v>213</v>
      </c>
      <c r="BO1110" s="1">
        <v>99</v>
      </c>
      <c r="BP1110" s="1" t="s">
        <v>204</v>
      </c>
      <c r="BR1110" s="1" t="str">
        <f>"0935457040"</f>
        <v>0935457040</v>
      </c>
      <c r="BT1110" s="1" t="s">
        <v>11709</v>
      </c>
      <c r="BX1110" s="1">
        <v>303</v>
      </c>
      <c r="BY1110" s="1">
        <v>303</v>
      </c>
      <c r="BZ1110" s="1">
        <v>303</v>
      </c>
      <c r="CB1110" s="1" t="str">
        <f>"2"</f>
        <v>2</v>
      </c>
      <c r="CC1110" s="1" t="str">
        <f>""</f>
        <v/>
      </c>
      <c r="CD1110" s="1">
        <v>34</v>
      </c>
      <c r="CG1110" s="1" t="s">
        <v>437</v>
      </c>
      <c r="CH1110" s="1" t="s">
        <v>219</v>
      </c>
      <c r="CI1110" s="1" t="s">
        <v>438</v>
      </c>
      <c r="CK1110" s="1" t="s">
        <v>1178</v>
      </c>
      <c r="CL1110" s="1" t="s">
        <v>277</v>
      </c>
      <c r="CM1110" s="1" t="s">
        <v>438</v>
      </c>
      <c r="CO1110" s="1" t="s">
        <v>318</v>
      </c>
      <c r="CP1110" s="1" t="s">
        <v>219</v>
      </c>
      <c r="CQ1110" s="1" t="s">
        <v>438</v>
      </c>
      <c r="CS1110" s="1" t="s">
        <v>346</v>
      </c>
      <c r="CT1110" s="1" t="s">
        <v>277</v>
      </c>
      <c r="CU1110" s="1" t="s">
        <v>438</v>
      </c>
      <c r="CX1110" s="1" t="s">
        <v>224</v>
      </c>
      <c r="DB1110" s="1" t="s">
        <v>224</v>
      </c>
      <c r="DE1110" s="1" t="s">
        <v>4522</v>
      </c>
      <c r="DF1110" s="1" t="s">
        <v>219</v>
      </c>
      <c r="DG1110" s="1" t="s">
        <v>226</v>
      </c>
      <c r="DJ1110" s="1" t="s">
        <v>224</v>
      </c>
      <c r="DS1110" s="1" t="s">
        <v>230</v>
      </c>
      <c r="DW1110" s="1" t="s">
        <v>230</v>
      </c>
      <c r="EA1110" s="1" t="s">
        <v>230</v>
      </c>
      <c r="EE1110" s="1" t="s">
        <v>230</v>
      </c>
      <c r="EI1110" s="1" t="s">
        <v>230</v>
      </c>
      <c r="EL1110" s="1" t="s">
        <v>382</v>
      </c>
      <c r="EM1110" s="1" t="s">
        <v>319</v>
      </c>
      <c r="EN1110" s="1" t="s">
        <v>282</v>
      </c>
      <c r="EO1110" s="1" t="s">
        <v>234</v>
      </c>
      <c r="ER1110" s="1" t="s">
        <v>383</v>
      </c>
      <c r="ET1110" s="1" t="s">
        <v>1752</v>
      </c>
      <c r="EV1110" s="1" t="s">
        <v>324</v>
      </c>
      <c r="EW1110" s="1" t="s">
        <v>1250</v>
      </c>
      <c r="EZ1110" s="1" t="s">
        <v>287</v>
      </c>
      <c r="FD1110" s="1" t="s">
        <v>246</v>
      </c>
      <c r="FE1110" s="1" t="s">
        <v>355</v>
      </c>
      <c r="FF1110" s="1" t="s">
        <v>387</v>
      </c>
      <c r="FG1110" s="1" t="s">
        <v>1682</v>
      </c>
      <c r="FH1110" s="1" t="s">
        <v>550</v>
      </c>
      <c r="FI1110" s="1" t="s">
        <v>357</v>
      </c>
      <c r="FL1110" s="1" t="s">
        <v>358</v>
      </c>
      <c r="FM1110" s="1" t="s">
        <v>252</v>
      </c>
      <c r="FN1110" s="1" t="s">
        <v>213</v>
      </c>
      <c r="FO1110" s="1" t="s">
        <v>213</v>
      </c>
      <c r="FQ1110" s="1" t="s">
        <v>4594</v>
      </c>
      <c r="FR1110" s="1" t="s">
        <v>210</v>
      </c>
      <c r="FS1110" s="1" t="s">
        <v>11710</v>
      </c>
      <c r="FT1110" s="1" t="s">
        <v>617</v>
      </c>
      <c r="FU1110" s="1" t="s">
        <v>204</v>
      </c>
      <c r="FW1110" s="1" t="s">
        <v>11711</v>
      </c>
      <c r="FX1110" s="1">
        <v>256</v>
      </c>
      <c r="FY1110" s="1" t="s">
        <v>11712</v>
      </c>
      <c r="FZ1110" s="1" t="s">
        <v>11713</v>
      </c>
      <c r="GA1110" s="1">
        <v>1004</v>
      </c>
      <c r="GB1110" s="1" t="s">
        <v>11714</v>
      </c>
      <c r="GC1110" s="1">
        <v>1756</v>
      </c>
      <c r="GE1110" s="1" t="s">
        <v>480</v>
      </c>
      <c r="GI1110" s="1" t="s">
        <v>213</v>
      </c>
      <c r="GJ1110" s="1" t="s">
        <v>260</v>
      </c>
      <c r="GK1110" s="1" t="s">
        <v>210</v>
      </c>
      <c r="GL1110" s="2">
        <v>42133</v>
      </c>
      <c r="GM1110" s="1" t="s">
        <v>11715</v>
      </c>
    </row>
    <row r="1111" spans="1:195">
      <c r="A1111" s="1">
        <v>69000</v>
      </c>
      <c r="B1111" s="1" t="s">
        <v>195</v>
      </c>
      <c r="C1111" s="1" t="str">
        <f>"08852127"</f>
        <v>08852127</v>
      </c>
      <c r="D1111" s="1" t="s">
        <v>196</v>
      </c>
      <c r="F1111" s="1" t="str">
        <f>"507"</f>
        <v>507</v>
      </c>
      <c r="G1111" s="2">
        <v>42067</v>
      </c>
      <c r="H1111" s="1">
        <v>73900</v>
      </c>
      <c r="I1111" s="1">
        <v>73900</v>
      </c>
      <c r="J1111" s="1">
        <v>69000</v>
      </c>
      <c r="K1111" s="2">
        <v>42066</v>
      </c>
      <c r="L1111" s="1">
        <v>24</v>
      </c>
      <c r="M1111" s="2">
        <v>42089</v>
      </c>
      <c r="N1111" s="1">
        <v>24</v>
      </c>
      <c r="O1111" s="2">
        <v>42089</v>
      </c>
      <c r="P1111" s="1">
        <v>20131</v>
      </c>
      <c r="Q1111" s="1" t="s">
        <v>197</v>
      </c>
      <c r="R1111" s="2">
        <v>42128</v>
      </c>
      <c r="S1111" s="1">
        <v>216922</v>
      </c>
      <c r="U1111" s="1">
        <v>213</v>
      </c>
      <c r="V1111" s="1" t="s">
        <v>5187</v>
      </c>
      <c r="W1111" s="1" t="s">
        <v>725</v>
      </c>
      <c r="X1111" s="1">
        <v>2</v>
      </c>
      <c r="Y1111" s="1">
        <v>6</v>
      </c>
      <c r="Z1111" s="1" t="s">
        <v>249</v>
      </c>
      <c r="AA1111" s="1" t="s">
        <v>1123</v>
      </c>
      <c r="AB1111" s="1">
        <v>60504</v>
      </c>
      <c r="AE1111" s="1" t="s">
        <v>11716</v>
      </c>
      <c r="AF1111" s="1">
        <v>1979</v>
      </c>
      <c r="AG1111" s="1" t="s">
        <v>204</v>
      </c>
      <c r="AH1111" s="1" t="s">
        <v>1126</v>
      </c>
      <c r="AI1111" s="1" t="s">
        <v>206</v>
      </c>
      <c r="AJ1111" s="1" t="s">
        <v>924</v>
      </c>
      <c r="AL1111" s="1">
        <v>5</v>
      </c>
      <c r="AM1111" s="1">
        <v>2</v>
      </c>
      <c r="AN1111" s="1">
        <v>1</v>
      </c>
      <c r="AO1111" s="1">
        <v>1</v>
      </c>
      <c r="AP1111" s="1" t="s">
        <v>210</v>
      </c>
      <c r="AR1111" s="1" t="s">
        <v>210</v>
      </c>
      <c r="AS1111" s="1" t="s">
        <v>204</v>
      </c>
      <c r="AT1111" s="1" t="s">
        <v>271</v>
      </c>
      <c r="AV1111" s="1">
        <v>2</v>
      </c>
      <c r="AW1111" s="1" t="s">
        <v>204</v>
      </c>
      <c r="AX1111" s="1">
        <v>0</v>
      </c>
      <c r="AZ1111" s="1">
        <v>810</v>
      </c>
      <c r="BA1111" s="1">
        <v>2013</v>
      </c>
      <c r="BE1111" s="1">
        <v>890</v>
      </c>
      <c r="BF1111" s="1">
        <v>1</v>
      </c>
      <c r="BG1111" s="1">
        <v>3</v>
      </c>
      <c r="BL1111" s="1">
        <v>429</v>
      </c>
      <c r="BM1111" s="1" t="s">
        <v>204</v>
      </c>
      <c r="BN1111" s="1" t="s">
        <v>213</v>
      </c>
      <c r="BP1111" s="1" t="s">
        <v>204</v>
      </c>
      <c r="BR1111" s="1" t="str">
        <f>"0721306086"</f>
        <v>0721306086</v>
      </c>
      <c r="BT1111" s="1" t="s">
        <v>11717</v>
      </c>
      <c r="BX1111" s="1">
        <v>204</v>
      </c>
      <c r="BY1111" s="1">
        <v>204</v>
      </c>
      <c r="BZ1111" s="1">
        <v>204</v>
      </c>
      <c r="CB1111" s="1" t="str">
        <f t="shared" ref="CB1111:CC1111" si="859">""</f>
        <v/>
      </c>
      <c r="CC1111" s="1" t="str">
        <f t="shared" si="859"/>
        <v/>
      </c>
      <c r="CG1111" s="1" t="s">
        <v>1615</v>
      </c>
      <c r="CH1111" s="1" t="s">
        <v>219</v>
      </c>
      <c r="CI1111" s="1" t="s">
        <v>229</v>
      </c>
      <c r="CK1111" s="1" t="s">
        <v>344</v>
      </c>
      <c r="CL1111" s="1" t="s">
        <v>219</v>
      </c>
      <c r="CM1111" s="1" t="s">
        <v>229</v>
      </c>
      <c r="CO1111" s="1" t="s">
        <v>629</v>
      </c>
      <c r="CP1111" s="1" t="s">
        <v>219</v>
      </c>
      <c r="CS1111" s="1" t="s">
        <v>346</v>
      </c>
      <c r="CT1111" s="1" t="s">
        <v>219</v>
      </c>
      <c r="CU1111" s="1" t="s">
        <v>229</v>
      </c>
      <c r="CX1111" s="1" t="s">
        <v>224</v>
      </c>
      <c r="DB1111" s="1" t="s">
        <v>224</v>
      </c>
      <c r="DE1111" s="1" t="s">
        <v>379</v>
      </c>
      <c r="DF1111" s="1" t="s">
        <v>219</v>
      </c>
      <c r="DG1111" s="1" t="s">
        <v>229</v>
      </c>
      <c r="DJ1111" s="1" t="s">
        <v>224</v>
      </c>
      <c r="DS1111" s="1" t="s">
        <v>230</v>
      </c>
      <c r="DW1111" s="1" t="s">
        <v>230</v>
      </c>
      <c r="EA1111" s="1" t="s">
        <v>230</v>
      </c>
      <c r="EE1111" s="1" t="s">
        <v>230</v>
      </c>
      <c r="EI1111" s="1" t="s">
        <v>230</v>
      </c>
      <c r="EL1111" s="1" t="s">
        <v>231</v>
      </c>
      <c r="EM1111" s="1" t="s">
        <v>319</v>
      </c>
      <c r="EN1111" s="1" t="s">
        <v>1158</v>
      </c>
      <c r="EO1111" s="1" t="s">
        <v>234</v>
      </c>
      <c r="EQ1111" s="1" t="s">
        <v>236</v>
      </c>
      <c r="ER1111" s="1" t="s">
        <v>210</v>
      </c>
      <c r="EW1111" s="1" t="s">
        <v>2232</v>
      </c>
      <c r="EZ1111" s="1" t="s">
        <v>287</v>
      </c>
      <c r="FB1111" s="1" t="s">
        <v>244</v>
      </c>
      <c r="FD1111" s="1" t="s">
        <v>736</v>
      </c>
      <c r="FE1111" s="1" t="s">
        <v>247</v>
      </c>
      <c r="FF1111" s="1" t="s">
        <v>248</v>
      </c>
      <c r="FH1111" s="1" t="s">
        <v>249</v>
      </c>
      <c r="FJ1111" s="1" t="s">
        <v>197</v>
      </c>
      <c r="FL1111" s="1" t="s">
        <v>6699</v>
      </c>
      <c r="FM1111" s="1" t="s">
        <v>252</v>
      </c>
      <c r="FN1111" s="1" t="s">
        <v>213</v>
      </c>
      <c r="FO1111" s="1" t="s">
        <v>204</v>
      </c>
      <c r="FQ1111" s="1" t="s">
        <v>849</v>
      </c>
      <c r="FR1111" s="1" t="s">
        <v>210</v>
      </c>
      <c r="FS1111" s="1" t="s">
        <v>11718</v>
      </c>
      <c r="FT1111" s="1" t="s">
        <v>295</v>
      </c>
      <c r="FU1111" s="1" t="s">
        <v>204</v>
      </c>
      <c r="FW1111" s="1" t="s">
        <v>1806</v>
      </c>
      <c r="FX1111" s="1">
        <v>21324</v>
      </c>
      <c r="FY1111" s="1" t="s">
        <v>2395</v>
      </c>
      <c r="FZ1111" s="1" t="s">
        <v>11719</v>
      </c>
      <c r="GA1111" s="1">
        <v>230657</v>
      </c>
      <c r="GB1111" s="1" t="s">
        <v>11720</v>
      </c>
      <c r="GE1111" s="1" t="s">
        <v>335</v>
      </c>
      <c r="GI1111" s="1" t="s">
        <v>213</v>
      </c>
      <c r="GJ1111" s="1" t="s">
        <v>260</v>
      </c>
      <c r="GK1111" s="1" t="s">
        <v>210</v>
      </c>
      <c r="GL1111" s="2">
        <v>42129</v>
      </c>
      <c r="GM1111" s="1" t="s">
        <v>11721</v>
      </c>
    </row>
    <row r="1112" spans="1:195">
      <c r="A1112" s="1">
        <v>153000</v>
      </c>
      <c r="B1112" s="1" t="s">
        <v>195</v>
      </c>
      <c r="C1112" s="1" t="str">
        <f>"08846406"</f>
        <v>08846406</v>
      </c>
      <c r="D1112" s="1" t="s">
        <v>196</v>
      </c>
      <c r="F1112" s="1" t="str">
        <f>"134"</f>
        <v>134</v>
      </c>
      <c r="G1112" s="2">
        <v>42060</v>
      </c>
      <c r="H1112" s="1">
        <v>165000</v>
      </c>
      <c r="I1112" s="1">
        <v>155000</v>
      </c>
      <c r="J1112" s="1">
        <v>153000</v>
      </c>
      <c r="K1112" s="2">
        <v>42059</v>
      </c>
      <c r="L1112" s="1">
        <v>28</v>
      </c>
      <c r="M1112" s="2">
        <v>42086</v>
      </c>
      <c r="N1112" s="1">
        <v>28</v>
      </c>
      <c r="O1112" s="2">
        <v>42086</v>
      </c>
      <c r="P1112" s="1">
        <v>23591</v>
      </c>
      <c r="Q1112" s="1" t="s">
        <v>197</v>
      </c>
      <c r="R1112" s="2">
        <v>42118</v>
      </c>
      <c r="S1112" s="1">
        <v>230507</v>
      </c>
      <c r="U1112" s="1">
        <v>1224</v>
      </c>
      <c r="V1112" s="1" t="s">
        <v>11722</v>
      </c>
      <c r="W1112" s="1" t="s">
        <v>304</v>
      </c>
      <c r="Y1112" s="1">
        <v>2</v>
      </c>
      <c r="Z1112" s="1" t="s">
        <v>370</v>
      </c>
      <c r="AA1112" s="1" t="s">
        <v>661</v>
      </c>
      <c r="AB1112" s="1">
        <v>60134</v>
      </c>
      <c r="AE1112" s="1" t="s">
        <v>11723</v>
      </c>
      <c r="AF1112" s="1">
        <v>1993</v>
      </c>
      <c r="AG1112" s="1" t="s">
        <v>204</v>
      </c>
      <c r="AH1112" s="1" t="s">
        <v>664</v>
      </c>
      <c r="AI1112" s="1" t="s">
        <v>665</v>
      </c>
      <c r="AJ1112" s="1" t="s">
        <v>664</v>
      </c>
      <c r="AL1112" s="1">
        <v>8</v>
      </c>
      <c r="AM1112" s="1">
        <v>2</v>
      </c>
      <c r="AN1112" s="1">
        <v>2</v>
      </c>
      <c r="AO1112" s="1">
        <v>0</v>
      </c>
      <c r="AP1112" s="1" t="s">
        <v>210</v>
      </c>
      <c r="AR1112" s="1" t="s">
        <v>209</v>
      </c>
      <c r="AS1112" s="1" t="s">
        <v>213</v>
      </c>
      <c r="AT1112" s="1" t="s">
        <v>375</v>
      </c>
      <c r="AU1112" s="1">
        <v>1</v>
      </c>
      <c r="AV1112" s="1">
        <v>1</v>
      </c>
      <c r="AW1112" s="1" t="s">
        <v>204</v>
      </c>
      <c r="AX1112" s="1" t="s">
        <v>11724</v>
      </c>
      <c r="AZ1112" s="1">
        <v>3813.8</v>
      </c>
      <c r="BA1112" s="1">
        <v>2013</v>
      </c>
      <c r="BB1112" s="1" t="s">
        <v>405</v>
      </c>
      <c r="BE1112" s="1">
        <v>960</v>
      </c>
      <c r="BF1112" s="1">
        <v>1</v>
      </c>
      <c r="BG1112" s="1">
        <v>0</v>
      </c>
      <c r="BL1112" s="1">
        <v>170</v>
      </c>
      <c r="BM1112" s="1" t="s">
        <v>204</v>
      </c>
      <c r="BN1112" s="1" t="s">
        <v>213</v>
      </c>
      <c r="BO1112" s="1">
        <v>999</v>
      </c>
      <c r="BP1112" s="1" t="s">
        <v>204</v>
      </c>
      <c r="BR1112" s="1" t="str">
        <f>"1202226129"</f>
        <v>1202226129</v>
      </c>
      <c r="BT1112" s="1" t="s">
        <v>11725</v>
      </c>
      <c r="BU1112" s="1" t="s">
        <v>11726</v>
      </c>
      <c r="BV1112" s="1" t="s">
        <v>2447</v>
      </c>
      <c r="BW1112" s="1" t="s">
        <v>2448</v>
      </c>
      <c r="BX1112" s="1">
        <v>304</v>
      </c>
      <c r="BY1112" s="1">
        <v>304</v>
      </c>
      <c r="BZ1112" s="1">
        <v>304</v>
      </c>
      <c r="CB1112" s="1" t="str">
        <f t="shared" ref="CB1112:CC1112" si="860">""</f>
        <v/>
      </c>
      <c r="CC1112" s="1" t="str">
        <f t="shared" si="860"/>
        <v/>
      </c>
      <c r="CG1112" s="1" t="s">
        <v>437</v>
      </c>
      <c r="CH1112" s="1" t="s">
        <v>219</v>
      </c>
      <c r="CI1112" s="1" t="s">
        <v>229</v>
      </c>
      <c r="CK1112" s="1" t="s">
        <v>1469</v>
      </c>
      <c r="CL1112" s="1" t="s">
        <v>219</v>
      </c>
      <c r="CM1112" s="1" t="s">
        <v>220</v>
      </c>
      <c r="CO1112" s="1" t="s">
        <v>465</v>
      </c>
      <c r="CP1112" s="1" t="s">
        <v>219</v>
      </c>
      <c r="CQ1112" s="1" t="s">
        <v>229</v>
      </c>
      <c r="CS1112" s="1" t="s">
        <v>1358</v>
      </c>
      <c r="CT1112" s="1" t="s">
        <v>219</v>
      </c>
      <c r="CU1112" s="1" t="s">
        <v>220</v>
      </c>
      <c r="CW1112" s="1" t="s">
        <v>377</v>
      </c>
      <c r="CX1112" s="1" t="s">
        <v>43</v>
      </c>
      <c r="CY1112" s="1" t="s">
        <v>220</v>
      </c>
      <c r="DB1112" s="1" t="s">
        <v>224</v>
      </c>
      <c r="DE1112" s="1" t="s">
        <v>222</v>
      </c>
      <c r="DF1112" s="1" t="s">
        <v>219</v>
      </c>
      <c r="DG1112" s="1" t="s">
        <v>229</v>
      </c>
      <c r="DJ1112" s="1" t="s">
        <v>224</v>
      </c>
      <c r="DM1112" s="1" t="s">
        <v>1548</v>
      </c>
      <c r="DN1112" s="1" t="s">
        <v>934</v>
      </c>
      <c r="DR1112" s="1" t="s">
        <v>409</v>
      </c>
      <c r="DS1112" s="1" t="s">
        <v>219</v>
      </c>
      <c r="DT1112" s="1" t="s">
        <v>229</v>
      </c>
      <c r="DV1112" s="1" t="s">
        <v>515</v>
      </c>
      <c r="DW1112" s="1" t="s">
        <v>43</v>
      </c>
      <c r="DX1112" s="1" t="s">
        <v>220</v>
      </c>
      <c r="EA1112" s="1" t="s">
        <v>230</v>
      </c>
      <c r="EE1112" s="1" t="s">
        <v>230</v>
      </c>
      <c r="EI1112" s="1" t="s">
        <v>230</v>
      </c>
      <c r="EL1112" s="1" t="s">
        <v>382</v>
      </c>
      <c r="EM1112" s="1" t="s">
        <v>319</v>
      </c>
      <c r="EN1112" s="1" t="s">
        <v>282</v>
      </c>
      <c r="EO1112" s="1" t="s">
        <v>234</v>
      </c>
      <c r="EQ1112" s="1" t="s">
        <v>1109</v>
      </c>
      <c r="ER1112" s="1" t="s">
        <v>544</v>
      </c>
      <c r="EW1112" s="1" t="s">
        <v>11727</v>
      </c>
      <c r="EZ1112" s="1" t="s">
        <v>11728</v>
      </c>
      <c r="FA1112" s="1" t="s">
        <v>11729</v>
      </c>
      <c r="FD1112" s="1" t="s">
        <v>246</v>
      </c>
      <c r="FE1112" s="1" t="s">
        <v>386</v>
      </c>
      <c r="FF1112" s="1" t="s">
        <v>248</v>
      </c>
      <c r="FH1112" s="1" t="s">
        <v>442</v>
      </c>
      <c r="FI1112" s="1" t="s">
        <v>473</v>
      </c>
      <c r="FL1112" s="1" t="s">
        <v>358</v>
      </c>
      <c r="FM1112" s="1" t="s">
        <v>252</v>
      </c>
      <c r="FN1112" s="1" t="s">
        <v>213</v>
      </c>
      <c r="FO1112" s="1" t="s">
        <v>213</v>
      </c>
      <c r="FQ1112" s="1" t="s">
        <v>849</v>
      </c>
      <c r="FR1112" s="1" t="s">
        <v>210</v>
      </c>
      <c r="FS1112" s="1" t="s">
        <v>11730</v>
      </c>
      <c r="FT1112" s="1" t="s">
        <v>295</v>
      </c>
      <c r="FU1112" s="1" t="s">
        <v>204</v>
      </c>
      <c r="FW1112" s="1" t="s">
        <v>8814</v>
      </c>
      <c r="FX1112" s="1">
        <v>372</v>
      </c>
      <c r="FY1112" s="1" t="s">
        <v>8815</v>
      </c>
      <c r="FZ1112" s="1" t="s">
        <v>11731</v>
      </c>
      <c r="GA1112" s="1">
        <v>7968</v>
      </c>
      <c r="GB1112" s="1" t="s">
        <v>11732</v>
      </c>
      <c r="GE1112" s="1" t="s">
        <v>480</v>
      </c>
      <c r="GI1112" s="1" t="s">
        <v>213</v>
      </c>
      <c r="GJ1112" s="1" t="s">
        <v>260</v>
      </c>
      <c r="GK1112" s="1" t="s">
        <v>210</v>
      </c>
      <c r="GL1112" s="2">
        <v>42122</v>
      </c>
      <c r="GM1112" s="1" t="s">
        <v>11733</v>
      </c>
    </row>
    <row r="1113" spans="1:195">
      <c r="A1113" s="1">
        <v>155000</v>
      </c>
      <c r="B1113" s="1" t="s">
        <v>195</v>
      </c>
      <c r="C1113" s="1" t="str">
        <f>"08845733"</f>
        <v>08845733</v>
      </c>
      <c r="D1113" s="1" t="s">
        <v>196</v>
      </c>
      <c r="F1113" s="1" t="str">
        <f>"136"</f>
        <v>136</v>
      </c>
      <c r="G1113" s="2">
        <v>42059</v>
      </c>
      <c r="H1113" s="1">
        <v>159000</v>
      </c>
      <c r="I1113" s="1">
        <v>159000</v>
      </c>
      <c r="J1113" s="1">
        <v>155000</v>
      </c>
      <c r="K1113" s="2">
        <v>42058</v>
      </c>
      <c r="L1113" s="1">
        <v>27</v>
      </c>
      <c r="M1113" s="2">
        <v>42084</v>
      </c>
      <c r="N1113" s="1">
        <v>27</v>
      </c>
      <c r="O1113" s="2">
        <v>42084</v>
      </c>
      <c r="P1113" s="1">
        <v>30</v>
      </c>
      <c r="Q1113" s="1" t="s">
        <v>197</v>
      </c>
      <c r="R1113" s="2">
        <v>42139</v>
      </c>
      <c r="S1113" s="1">
        <v>1179</v>
      </c>
      <c r="U1113" s="1">
        <v>561</v>
      </c>
      <c r="V1113" s="1" t="s">
        <v>11734</v>
      </c>
      <c r="W1113" s="1" t="s">
        <v>304</v>
      </c>
      <c r="Y1113" s="1">
        <v>6</v>
      </c>
      <c r="Z1113" s="1" t="s">
        <v>200</v>
      </c>
      <c r="AA1113" s="1" t="s">
        <v>3680</v>
      </c>
      <c r="AB1113" s="1">
        <v>60136</v>
      </c>
      <c r="AD1113" s="1" t="s">
        <v>4056</v>
      </c>
      <c r="AE1113" s="1" t="s">
        <v>11735</v>
      </c>
      <c r="AF1113" s="1">
        <v>2006</v>
      </c>
      <c r="AG1113" s="1" t="s">
        <v>204</v>
      </c>
      <c r="AH1113" s="1" t="s">
        <v>3682</v>
      </c>
      <c r="AI1113" s="1" t="s">
        <v>665</v>
      </c>
      <c r="AJ1113" s="1" t="s">
        <v>748</v>
      </c>
      <c r="AL1113" s="1">
        <v>6</v>
      </c>
      <c r="AM1113" s="1">
        <v>2</v>
      </c>
      <c r="AN1113" s="1">
        <v>2</v>
      </c>
      <c r="AO1113" s="1">
        <v>1</v>
      </c>
      <c r="AP1113" s="1" t="s">
        <v>209</v>
      </c>
      <c r="AQ1113" s="1">
        <v>0</v>
      </c>
      <c r="AR1113" s="1" t="s">
        <v>209</v>
      </c>
      <c r="AS1113" s="1" t="s">
        <v>204</v>
      </c>
      <c r="AT1113" s="1" t="s">
        <v>211</v>
      </c>
      <c r="AU1113" s="1">
        <v>2</v>
      </c>
      <c r="AW1113" s="1" t="s">
        <v>204</v>
      </c>
      <c r="AX1113" s="1" t="s">
        <v>212</v>
      </c>
      <c r="AZ1113" s="1">
        <v>3925</v>
      </c>
      <c r="BA1113" s="1">
        <v>2013</v>
      </c>
      <c r="BE1113" s="1">
        <v>1500</v>
      </c>
      <c r="BF1113" s="1">
        <v>1</v>
      </c>
      <c r="BG1113" s="1">
        <v>0</v>
      </c>
      <c r="BL1113" s="1">
        <v>166</v>
      </c>
      <c r="BM1113" s="1" t="s">
        <v>204</v>
      </c>
      <c r="BN1113" s="1" t="s">
        <v>213</v>
      </c>
      <c r="BO1113" s="1">
        <v>50</v>
      </c>
      <c r="BP1113" s="1" t="s">
        <v>204</v>
      </c>
      <c r="BR1113" s="1" t="str">
        <f>"0225326068"</f>
        <v>0225326068</v>
      </c>
      <c r="BT1113" s="1" t="s">
        <v>11736</v>
      </c>
      <c r="BX1113" s="1">
        <v>300</v>
      </c>
      <c r="BY1113" s="1">
        <v>300</v>
      </c>
      <c r="BZ1113" s="1">
        <v>300</v>
      </c>
      <c r="CB1113" s="1" t="str">
        <f t="shared" ref="CB1113:CC1113" si="861">""</f>
        <v/>
      </c>
      <c r="CC1113" s="1" t="str">
        <f t="shared" si="861"/>
        <v/>
      </c>
      <c r="CG1113" s="1" t="s">
        <v>2307</v>
      </c>
      <c r="CH1113" s="1" t="s">
        <v>219</v>
      </c>
      <c r="CI1113" s="1" t="s">
        <v>220</v>
      </c>
      <c r="CJ1113" s="1" t="s">
        <v>252</v>
      </c>
      <c r="CK1113" s="1" t="s">
        <v>221</v>
      </c>
      <c r="CL1113" s="1" t="s">
        <v>277</v>
      </c>
      <c r="CM1113" s="1" t="s">
        <v>220</v>
      </c>
      <c r="CN1113" s="1" t="s">
        <v>252</v>
      </c>
      <c r="CO1113" s="1" t="s">
        <v>837</v>
      </c>
      <c r="CP1113" s="1" t="s">
        <v>219</v>
      </c>
      <c r="CQ1113" s="1" t="s">
        <v>220</v>
      </c>
      <c r="CR1113" s="1" t="s">
        <v>252</v>
      </c>
      <c r="CS1113" s="1" t="s">
        <v>346</v>
      </c>
      <c r="CT1113" s="1" t="s">
        <v>277</v>
      </c>
      <c r="CU1113" s="1" t="s">
        <v>220</v>
      </c>
      <c r="CV1113" s="1" t="s">
        <v>252</v>
      </c>
      <c r="CX1113" s="1" t="s">
        <v>224</v>
      </c>
      <c r="DB1113" s="1" t="s">
        <v>224</v>
      </c>
      <c r="DE1113" s="1" t="s">
        <v>317</v>
      </c>
      <c r="DF1113" s="1" t="s">
        <v>219</v>
      </c>
      <c r="DJ1113" s="1" t="s">
        <v>224</v>
      </c>
      <c r="DM1113" s="1" t="s">
        <v>464</v>
      </c>
      <c r="DR1113" s="1" t="s">
        <v>465</v>
      </c>
      <c r="DS1113" s="1" t="s">
        <v>277</v>
      </c>
      <c r="DT1113" s="1" t="s">
        <v>220</v>
      </c>
      <c r="DU1113" s="1" t="s">
        <v>252</v>
      </c>
      <c r="DW1113" s="1" t="s">
        <v>230</v>
      </c>
      <c r="EA1113" s="1" t="s">
        <v>230</v>
      </c>
      <c r="EE1113" s="1" t="s">
        <v>230</v>
      </c>
      <c r="EI1113" s="1" t="s">
        <v>230</v>
      </c>
      <c r="EL1113" s="1" t="s">
        <v>491</v>
      </c>
      <c r="EM1113" s="1" t="s">
        <v>319</v>
      </c>
      <c r="EN1113" s="1" t="s">
        <v>282</v>
      </c>
      <c r="EO1113" s="1" t="s">
        <v>234</v>
      </c>
      <c r="EQ1113" s="1" t="s">
        <v>236</v>
      </c>
      <c r="ER1113" s="1" t="s">
        <v>1249</v>
      </c>
      <c r="EV1113" s="1" t="s">
        <v>352</v>
      </c>
      <c r="EW1113" s="1" t="s">
        <v>887</v>
      </c>
      <c r="EZ1113" s="1" t="s">
        <v>464</v>
      </c>
      <c r="FA1113" s="1" t="s">
        <v>5405</v>
      </c>
      <c r="FD1113" s="1" t="s">
        <v>246</v>
      </c>
      <c r="FE1113" s="1" t="s">
        <v>472</v>
      </c>
      <c r="FF1113" s="1" t="s">
        <v>248</v>
      </c>
      <c r="FH1113" s="1" t="s">
        <v>550</v>
      </c>
      <c r="FL1113" s="1" t="s">
        <v>358</v>
      </c>
      <c r="FM1113" s="1" t="s">
        <v>252</v>
      </c>
      <c r="FN1113" s="1" t="s">
        <v>213</v>
      </c>
      <c r="FO1113" s="1" t="s">
        <v>213</v>
      </c>
      <c r="FQ1113" s="1" t="s">
        <v>2293</v>
      </c>
      <c r="FR1113" s="1" t="s">
        <v>210</v>
      </c>
      <c r="FS1113" s="1" t="s">
        <v>11737</v>
      </c>
      <c r="FT1113" s="1" t="s">
        <v>255</v>
      </c>
      <c r="FU1113" s="1" t="s">
        <v>204</v>
      </c>
      <c r="FW1113" s="1" t="s">
        <v>1559</v>
      </c>
      <c r="FX1113" s="1">
        <v>23871</v>
      </c>
      <c r="FY1113" s="1" t="s">
        <v>6964</v>
      </c>
      <c r="FZ1113" s="1" t="s">
        <v>6965</v>
      </c>
      <c r="GA1113" s="1">
        <v>82766</v>
      </c>
      <c r="GB1113" s="1" t="s">
        <v>6966</v>
      </c>
      <c r="GE1113" s="1" t="s">
        <v>210</v>
      </c>
      <c r="GI1113" s="1" t="s">
        <v>213</v>
      </c>
      <c r="GJ1113" s="1" t="s">
        <v>260</v>
      </c>
      <c r="GK1113" s="1" t="s">
        <v>210</v>
      </c>
      <c r="GL1113" s="2">
        <v>42139</v>
      </c>
      <c r="GM1113" s="1" t="s">
        <v>11738</v>
      </c>
    </row>
    <row r="1114" spans="1:195">
      <c r="A1114" s="1">
        <v>85000</v>
      </c>
      <c r="B1114" s="1" t="s">
        <v>195</v>
      </c>
      <c r="C1114" s="1" t="str">
        <f>"08843475"</f>
        <v>08843475</v>
      </c>
      <c r="D1114" s="1" t="s">
        <v>196</v>
      </c>
      <c r="F1114" s="1" t="str">
        <f>"73"</f>
        <v>73</v>
      </c>
      <c r="G1114" s="2">
        <v>42055</v>
      </c>
      <c r="H1114" s="1">
        <v>89700</v>
      </c>
      <c r="I1114" s="1">
        <v>89700</v>
      </c>
      <c r="J1114" s="1">
        <v>85000</v>
      </c>
      <c r="K1114" s="2">
        <v>42055</v>
      </c>
      <c r="L1114" s="1">
        <v>18</v>
      </c>
      <c r="M1114" s="2">
        <v>42072</v>
      </c>
      <c r="N1114" s="1">
        <v>18</v>
      </c>
      <c r="O1114" s="2">
        <v>42072</v>
      </c>
      <c r="P1114" s="1">
        <v>5291</v>
      </c>
      <c r="Q1114" s="1" t="s">
        <v>302</v>
      </c>
      <c r="R1114" s="2">
        <v>42102</v>
      </c>
      <c r="S1114" s="1">
        <v>55640</v>
      </c>
      <c r="T1114" s="1">
        <v>1200</v>
      </c>
      <c r="U1114" s="1">
        <v>34307</v>
      </c>
      <c r="V1114" s="1" t="s">
        <v>10741</v>
      </c>
      <c r="W1114" s="1" t="s">
        <v>1056</v>
      </c>
      <c r="Y1114" s="1">
        <v>4</v>
      </c>
      <c r="Z1114" s="1" t="s">
        <v>249</v>
      </c>
      <c r="AA1114" s="1" t="s">
        <v>1259</v>
      </c>
      <c r="AB1114" s="1">
        <v>60073</v>
      </c>
      <c r="AD1114" s="1" t="s">
        <v>10742</v>
      </c>
      <c r="AE1114" s="1" t="s">
        <v>11739</v>
      </c>
      <c r="AF1114" s="1">
        <v>2003</v>
      </c>
      <c r="AG1114" s="1" t="s">
        <v>204</v>
      </c>
      <c r="AH1114" s="1" t="s">
        <v>1262</v>
      </c>
      <c r="AI1114" s="1" t="s">
        <v>509</v>
      </c>
      <c r="AJ1114" s="1" t="s">
        <v>1016</v>
      </c>
      <c r="AK1114" s="1" t="s">
        <v>11740</v>
      </c>
      <c r="AL1114" s="1">
        <v>7</v>
      </c>
      <c r="AM1114" s="1">
        <v>2</v>
      </c>
      <c r="AN1114" s="1">
        <v>2</v>
      </c>
      <c r="AO1114" s="1">
        <v>1</v>
      </c>
      <c r="AP1114" s="1" t="s">
        <v>209</v>
      </c>
      <c r="AR1114" s="1" t="s">
        <v>2165</v>
      </c>
      <c r="AS1114" s="1" t="s">
        <v>204</v>
      </c>
      <c r="AT1114" s="1" t="s">
        <v>211</v>
      </c>
      <c r="AU1114" s="1">
        <v>2</v>
      </c>
      <c r="AW1114" s="1" t="s">
        <v>204</v>
      </c>
      <c r="AX1114" s="1" t="s">
        <v>1265</v>
      </c>
      <c r="AZ1114" s="1">
        <v>1831.13</v>
      </c>
      <c r="BA1114" s="1">
        <v>2013</v>
      </c>
      <c r="BB1114" s="1" t="s">
        <v>405</v>
      </c>
      <c r="BE1114" s="1">
        <v>1480</v>
      </c>
      <c r="BF1114" s="1">
        <v>1</v>
      </c>
      <c r="BG1114" s="1">
        <v>0</v>
      </c>
      <c r="BL1114" s="1">
        <v>208</v>
      </c>
      <c r="BM1114" s="1" t="s">
        <v>204</v>
      </c>
      <c r="BN1114" s="1" t="s">
        <v>213</v>
      </c>
      <c r="BO1114" s="1" t="s">
        <v>402</v>
      </c>
      <c r="BP1114" s="1" t="s">
        <v>204</v>
      </c>
      <c r="BR1114" s="1" t="str">
        <f>"05243050650000"</f>
        <v>05243050650000</v>
      </c>
      <c r="BT1114" s="1" t="s">
        <v>11741</v>
      </c>
      <c r="BU1114" s="1" t="s">
        <v>6153</v>
      </c>
      <c r="BV1114" s="1" t="s">
        <v>6488</v>
      </c>
      <c r="BW1114" s="1" t="s">
        <v>2264</v>
      </c>
      <c r="BX1114" s="1">
        <v>38</v>
      </c>
      <c r="BY1114" s="1">
        <v>38</v>
      </c>
      <c r="BZ1114" s="1">
        <v>124</v>
      </c>
      <c r="CB1114" s="1" t="str">
        <f>"33"</f>
        <v>33</v>
      </c>
      <c r="CC1114" s="1" t="str">
        <f>"0"</f>
        <v>0</v>
      </c>
      <c r="CD1114" s="1">
        <v>25</v>
      </c>
      <c r="CE1114" s="1">
        <v>0</v>
      </c>
      <c r="CG1114" s="1" t="s">
        <v>628</v>
      </c>
      <c r="CH1114" s="1" t="s">
        <v>219</v>
      </c>
      <c r="CK1114" s="1" t="s">
        <v>1045</v>
      </c>
      <c r="CL1114" s="1" t="s">
        <v>277</v>
      </c>
      <c r="CO1114" s="1" t="s">
        <v>408</v>
      </c>
      <c r="CP1114" s="1" t="s">
        <v>219</v>
      </c>
      <c r="CS1114" s="1" t="s">
        <v>346</v>
      </c>
      <c r="CT1114" s="1" t="s">
        <v>277</v>
      </c>
      <c r="CX1114" s="1" t="s">
        <v>224</v>
      </c>
      <c r="DB1114" s="1" t="s">
        <v>224</v>
      </c>
      <c r="DE1114" s="1" t="s">
        <v>1046</v>
      </c>
      <c r="DF1114" s="1" t="s">
        <v>219</v>
      </c>
      <c r="DI1114" s="1" t="s">
        <v>378</v>
      </c>
      <c r="DJ1114" s="1" t="s">
        <v>822</v>
      </c>
      <c r="DM1114" s="1" t="s">
        <v>464</v>
      </c>
      <c r="DR1114" s="1" t="s">
        <v>2138</v>
      </c>
      <c r="DS1114" s="1" t="s">
        <v>277</v>
      </c>
      <c r="DW1114" s="1" t="s">
        <v>230</v>
      </c>
      <c r="EA1114" s="1" t="s">
        <v>230</v>
      </c>
      <c r="EE1114" s="1" t="s">
        <v>230</v>
      </c>
      <c r="EI1114" s="1" t="s">
        <v>230</v>
      </c>
      <c r="EL1114" s="1" t="s">
        <v>466</v>
      </c>
      <c r="EM1114" s="1" t="s">
        <v>319</v>
      </c>
      <c r="EN1114" s="1" t="s">
        <v>282</v>
      </c>
      <c r="EO1114" s="1" t="s">
        <v>234</v>
      </c>
      <c r="ER1114" s="1" t="s">
        <v>544</v>
      </c>
      <c r="ES1114" s="1" t="s">
        <v>322</v>
      </c>
      <c r="EW1114" s="1" t="s">
        <v>7478</v>
      </c>
      <c r="EZ1114" s="1" t="s">
        <v>464</v>
      </c>
      <c r="FA1114" s="1" t="s">
        <v>471</v>
      </c>
      <c r="FB1114" s="1" t="s">
        <v>289</v>
      </c>
      <c r="FD1114" s="1" t="s">
        <v>246</v>
      </c>
      <c r="FE1114" s="1" t="s">
        <v>1031</v>
      </c>
      <c r="FF1114" s="1" t="s">
        <v>248</v>
      </c>
      <c r="FH1114" s="1" t="s">
        <v>550</v>
      </c>
      <c r="FL1114" s="1" t="s">
        <v>414</v>
      </c>
      <c r="FM1114" s="1" t="s">
        <v>252</v>
      </c>
      <c r="FN1114" s="1" t="s">
        <v>213</v>
      </c>
      <c r="FO1114" s="1" t="s">
        <v>213</v>
      </c>
      <c r="FQ1114" s="1" t="s">
        <v>582</v>
      </c>
      <c r="FR1114" s="1" t="s">
        <v>210</v>
      </c>
      <c r="FS1114" s="1" t="s">
        <v>11742</v>
      </c>
      <c r="FT1114" s="1" t="s">
        <v>654</v>
      </c>
      <c r="FU1114" s="1" t="s">
        <v>204</v>
      </c>
      <c r="FW1114" s="1" t="s">
        <v>5082</v>
      </c>
      <c r="FX1114" s="1">
        <v>1989</v>
      </c>
      <c r="FY1114" s="1" t="s">
        <v>5083</v>
      </c>
      <c r="FZ1114" s="1" t="s">
        <v>5084</v>
      </c>
      <c r="GA1114" s="1">
        <v>81066</v>
      </c>
      <c r="GB1114" s="1" t="s">
        <v>5083</v>
      </c>
      <c r="GC1114" s="1">
        <v>86352</v>
      </c>
      <c r="GD1114" s="1" t="s">
        <v>11743</v>
      </c>
      <c r="GE1114" s="1" t="s">
        <v>210</v>
      </c>
      <c r="GH1114" s="1" t="s">
        <v>230</v>
      </c>
      <c r="GI1114" s="1" t="s">
        <v>204</v>
      </c>
      <c r="GJ1114" s="1" t="s">
        <v>260</v>
      </c>
      <c r="GK1114" s="1" t="s">
        <v>210</v>
      </c>
      <c r="GL1114" s="2">
        <v>42102</v>
      </c>
      <c r="GM1114" s="1" t="s">
        <v>11744</v>
      </c>
    </row>
    <row r="1115" spans="1:195">
      <c r="A1115" s="1">
        <v>25000</v>
      </c>
      <c r="B1115" s="1" t="s">
        <v>195</v>
      </c>
      <c r="C1115" s="1" t="str">
        <f>"08838574"</f>
        <v>08838574</v>
      </c>
      <c r="D1115" s="1" t="s">
        <v>196</v>
      </c>
      <c r="F1115" s="1" t="str">
        <f>"8043"</f>
        <v>8043</v>
      </c>
      <c r="G1115" s="2">
        <v>42048</v>
      </c>
      <c r="H1115" s="1">
        <v>27000</v>
      </c>
      <c r="I1115" s="1">
        <v>25000</v>
      </c>
      <c r="J1115" s="1">
        <v>25000</v>
      </c>
      <c r="K1115" s="2">
        <v>42048</v>
      </c>
      <c r="L1115" s="1">
        <v>98</v>
      </c>
      <c r="M1115" s="2">
        <v>42072</v>
      </c>
      <c r="N1115" s="1">
        <v>25</v>
      </c>
      <c r="O1115" s="2">
        <v>42072</v>
      </c>
      <c r="P1115" s="1">
        <v>12293</v>
      </c>
      <c r="Q1115" s="1" t="s">
        <v>302</v>
      </c>
      <c r="R1115" s="2">
        <v>42111</v>
      </c>
      <c r="S1115" s="1">
        <v>147927</v>
      </c>
      <c r="U1115" s="1">
        <v>6739</v>
      </c>
      <c r="V1115" s="1" t="s">
        <v>11745</v>
      </c>
      <c r="W1115" s="1" t="s">
        <v>425</v>
      </c>
      <c r="X1115" s="1">
        <v>2</v>
      </c>
      <c r="Y1115" s="1">
        <v>4</v>
      </c>
      <c r="Z1115" s="1" t="s">
        <v>200</v>
      </c>
      <c r="AA1115" s="1" t="s">
        <v>400</v>
      </c>
      <c r="AB1115" s="1">
        <v>60649</v>
      </c>
      <c r="AC1115" s="1">
        <v>1298</v>
      </c>
      <c r="AE1115" s="1" t="s">
        <v>11746</v>
      </c>
      <c r="AF1115" s="1">
        <v>2006</v>
      </c>
      <c r="AG1115" s="1" t="s">
        <v>204</v>
      </c>
      <c r="AH1115" s="1" t="s">
        <v>403</v>
      </c>
      <c r="AI1115" s="1" t="s">
        <v>310</v>
      </c>
      <c r="AJ1115" s="1" t="s">
        <v>562</v>
      </c>
      <c r="AL1115" s="1">
        <v>5</v>
      </c>
      <c r="AM1115" s="1">
        <v>2</v>
      </c>
      <c r="AN1115" s="1">
        <v>2</v>
      </c>
      <c r="AO1115" s="1">
        <v>0</v>
      </c>
      <c r="AP1115" s="1" t="s">
        <v>210</v>
      </c>
      <c r="AR1115" s="1" t="s">
        <v>210</v>
      </c>
      <c r="AT1115" s="1" t="s">
        <v>271</v>
      </c>
      <c r="AV1115" s="1">
        <v>1</v>
      </c>
      <c r="AW1115" s="1" t="s">
        <v>204</v>
      </c>
      <c r="AX1115" s="1" t="s">
        <v>11747</v>
      </c>
      <c r="AZ1115" s="1">
        <v>2244</v>
      </c>
      <c r="BA1115" s="1">
        <v>2013</v>
      </c>
      <c r="BE1115" s="1">
        <v>1500</v>
      </c>
      <c r="BF1115" s="1">
        <v>2</v>
      </c>
      <c r="BG1115" s="1">
        <v>0</v>
      </c>
      <c r="BL1115" s="1">
        <v>276</v>
      </c>
      <c r="BM1115" s="1" t="s">
        <v>204</v>
      </c>
      <c r="BN1115" s="1" t="s">
        <v>213</v>
      </c>
      <c r="BO1115" s="1">
        <v>50</v>
      </c>
      <c r="BP1115" s="1" t="s">
        <v>204</v>
      </c>
      <c r="BR1115" s="1" t="str">
        <f>"20244030271002"</f>
        <v>20244030271002</v>
      </c>
      <c r="BT1115" s="1" t="s">
        <v>11748</v>
      </c>
      <c r="BX1115" s="1">
        <v>299</v>
      </c>
      <c r="BY1115" s="1">
        <v>299</v>
      </c>
      <c r="BZ1115" s="1">
        <v>299</v>
      </c>
      <c r="CB1115" s="1" t="str">
        <f>"0"</f>
        <v>0</v>
      </c>
      <c r="CC1115" s="1" t="str">
        <f>"2132"</f>
        <v>2132</v>
      </c>
      <c r="CD1115" s="1">
        <v>0</v>
      </c>
      <c r="CE1115" s="1">
        <v>6700</v>
      </c>
      <c r="CG1115" s="1" t="s">
        <v>931</v>
      </c>
      <c r="CH1115" s="1" t="s">
        <v>219</v>
      </c>
      <c r="CI1115" s="1" t="s">
        <v>438</v>
      </c>
      <c r="CK1115" s="1" t="s">
        <v>1854</v>
      </c>
      <c r="CL1115" s="1" t="s">
        <v>219</v>
      </c>
      <c r="CM1115" s="1" t="s">
        <v>438</v>
      </c>
      <c r="CO1115" s="1" t="s">
        <v>346</v>
      </c>
      <c r="CP1115" s="1" t="s">
        <v>219</v>
      </c>
      <c r="CQ1115" s="1" t="s">
        <v>438</v>
      </c>
      <c r="CS1115" s="1" t="s">
        <v>346</v>
      </c>
      <c r="CT1115" s="1" t="s">
        <v>219</v>
      </c>
      <c r="CU1115" s="1" t="s">
        <v>438</v>
      </c>
      <c r="CX1115" s="1" t="s">
        <v>224</v>
      </c>
      <c r="DB1115" s="1" t="s">
        <v>224</v>
      </c>
      <c r="DE1115" s="1" t="s">
        <v>379</v>
      </c>
      <c r="DF1115" s="1" t="s">
        <v>219</v>
      </c>
      <c r="DG1115" s="1" t="s">
        <v>438</v>
      </c>
      <c r="DJ1115" s="1" t="s">
        <v>224</v>
      </c>
      <c r="DS1115" s="1" t="s">
        <v>230</v>
      </c>
      <c r="DW1115" s="1" t="s">
        <v>230</v>
      </c>
      <c r="EA1115" s="1" t="s">
        <v>230</v>
      </c>
      <c r="EE1115" s="1" t="s">
        <v>230</v>
      </c>
      <c r="EI1115" s="1" t="s">
        <v>230</v>
      </c>
      <c r="EL1115" s="1" t="s">
        <v>491</v>
      </c>
      <c r="EM1115" s="1" t="s">
        <v>319</v>
      </c>
      <c r="EN1115" s="1" t="s">
        <v>282</v>
      </c>
      <c r="EO1115" s="1" t="s">
        <v>234</v>
      </c>
      <c r="ER1115" s="1" t="s">
        <v>210</v>
      </c>
      <c r="EV1115" s="1" t="s">
        <v>324</v>
      </c>
      <c r="EW1115" s="1" t="s">
        <v>5888</v>
      </c>
      <c r="EY1115" s="1" t="s">
        <v>242</v>
      </c>
      <c r="EZ1115" s="1" t="s">
        <v>287</v>
      </c>
      <c r="FD1115" s="1" t="s">
        <v>246</v>
      </c>
      <c r="FE1115" s="1" t="s">
        <v>247</v>
      </c>
      <c r="FF1115" s="1" t="s">
        <v>248</v>
      </c>
      <c r="FH1115" s="1" t="s">
        <v>249</v>
      </c>
      <c r="FL1115" s="1" t="s">
        <v>358</v>
      </c>
      <c r="FM1115" s="1" t="s">
        <v>252</v>
      </c>
      <c r="FN1115" s="1" t="s">
        <v>213</v>
      </c>
      <c r="FO1115" s="1" t="s">
        <v>213</v>
      </c>
      <c r="FQ1115" s="1" t="s">
        <v>849</v>
      </c>
      <c r="FR1115" s="1" t="s">
        <v>210</v>
      </c>
      <c r="FS1115" s="1" t="s">
        <v>10852</v>
      </c>
      <c r="FT1115" s="1" t="s">
        <v>691</v>
      </c>
      <c r="FU1115" s="1" t="s">
        <v>204</v>
      </c>
      <c r="FW1115" s="1" t="s">
        <v>11437</v>
      </c>
      <c r="FX1115" s="1">
        <v>84340</v>
      </c>
      <c r="FY1115" s="1" t="s">
        <v>11438</v>
      </c>
      <c r="FZ1115" s="1" t="s">
        <v>11439</v>
      </c>
      <c r="GA1115" s="1">
        <v>108645</v>
      </c>
      <c r="GB1115" s="1" t="s">
        <v>11438</v>
      </c>
      <c r="GE1115" s="1" t="s">
        <v>210</v>
      </c>
      <c r="GH1115" s="1" t="s">
        <v>421</v>
      </c>
      <c r="GI1115" s="1" t="s">
        <v>204</v>
      </c>
      <c r="GJ1115" s="1" t="s">
        <v>260</v>
      </c>
      <c r="GK1115" s="1" t="s">
        <v>210</v>
      </c>
      <c r="GL1115" s="2">
        <v>42114</v>
      </c>
    </row>
    <row r="1116" spans="1:195">
      <c r="A1116" s="1">
        <v>307001</v>
      </c>
      <c r="B1116" s="1" t="s">
        <v>195</v>
      </c>
      <c r="C1116" s="1" t="str">
        <f>"08839921"</f>
        <v>08839921</v>
      </c>
      <c r="D1116" s="1" t="s">
        <v>196</v>
      </c>
      <c r="F1116" s="1" t="str">
        <f>"137"</f>
        <v>137</v>
      </c>
      <c r="G1116" s="2">
        <v>42051</v>
      </c>
      <c r="H1116" s="1">
        <v>319000</v>
      </c>
      <c r="I1116" s="1">
        <v>319000</v>
      </c>
      <c r="J1116" s="1">
        <v>307001</v>
      </c>
      <c r="K1116" s="2">
        <v>42051</v>
      </c>
      <c r="L1116" s="1">
        <v>115</v>
      </c>
      <c r="M1116" s="2">
        <v>42053</v>
      </c>
      <c r="N1116" s="1">
        <v>3</v>
      </c>
      <c r="O1116" s="2">
        <v>42053</v>
      </c>
      <c r="P1116" s="1">
        <v>23286</v>
      </c>
      <c r="Q1116" s="1" t="s">
        <v>197</v>
      </c>
      <c r="R1116" s="2">
        <v>42093</v>
      </c>
      <c r="S1116" s="1">
        <v>225923</v>
      </c>
      <c r="U1116" s="1">
        <v>497</v>
      </c>
      <c r="V1116" s="1" t="s">
        <v>2161</v>
      </c>
      <c r="W1116" s="1" t="s">
        <v>425</v>
      </c>
      <c r="Y1116" s="1">
        <v>6</v>
      </c>
      <c r="Z1116" s="1" t="s">
        <v>370</v>
      </c>
      <c r="AA1116" s="1" t="s">
        <v>201</v>
      </c>
      <c r="AB1116" s="1">
        <v>60137</v>
      </c>
      <c r="AD1116" s="1" t="s">
        <v>2162</v>
      </c>
      <c r="AE1116" s="1" t="s">
        <v>11749</v>
      </c>
      <c r="AF1116" s="1">
        <v>2014</v>
      </c>
      <c r="AG1116" s="1" t="s">
        <v>204</v>
      </c>
      <c r="AH1116" s="1" t="s">
        <v>205</v>
      </c>
      <c r="AI1116" s="1" t="s">
        <v>206</v>
      </c>
      <c r="AJ1116" s="1" t="s">
        <v>269</v>
      </c>
      <c r="AK1116" s="1" t="s">
        <v>11750</v>
      </c>
      <c r="AL1116" s="1">
        <v>6</v>
      </c>
      <c r="AM1116" s="1">
        <v>2</v>
      </c>
      <c r="AN1116" s="1">
        <v>2</v>
      </c>
      <c r="AO1116" s="1">
        <v>1</v>
      </c>
      <c r="AP1116" s="1" t="s">
        <v>209</v>
      </c>
      <c r="AQ1116" s="1">
        <v>1</v>
      </c>
      <c r="AR1116" s="1" t="s">
        <v>1631</v>
      </c>
      <c r="AS1116" s="1" t="s">
        <v>204</v>
      </c>
      <c r="AT1116" s="1" t="s">
        <v>211</v>
      </c>
      <c r="AU1116" s="1">
        <v>2</v>
      </c>
      <c r="AW1116" s="1" t="s">
        <v>204</v>
      </c>
      <c r="AX1116" s="1" t="s">
        <v>9120</v>
      </c>
      <c r="AZ1116" s="1" t="s">
        <v>751</v>
      </c>
      <c r="BA1116" s="1">
        <v>2013</v>
      </c>
      <c r="BE1116" s="1">
        <v>1730</v>
      </c>
      <c r="BF1116" s="1">
        <v>1</v>
      </c>
      <c r="BG1116" s="1">
        <v>7</v>
      </c>
      <c r="BJ1116" s="1">
        <v>0</v>
      </c>
      <c r="BL1116" s="1">
        <v>225</v>
      </c>
      <c r="BM1116" s="1" t="s">
        <v>204</v>
      </c>
      <c r="BN1116" s="1" t="s">
        <v>213</v>
      </c>
      <c r="BO1116" s="1" t="s">
        <v>432</v>
      </c>
      <c r="BP1116" s="1" t="s">
        <v>213</v>
      </c>
      <c r="BQ1116" s="2">
        <v>42051</v>
      </c>
      <c r="BR1116" s="1" t="str">
        <f>"0510409047"</f>
        <v>0510409047</v>
      </c>
      <c r="BT1116" s="1" t="s">
        <v>11751</v>
      </c>
      <c r="BX1116" s="1">
        <v>41</v>
      </c>
      <c r="BY1116" s="1">
        <v>41</v>
      </c>
      <c r="BZ1116" s="1">
        <v>41</v>
      </c>
      <c r="CB1116" s="1" t="str">
        <f t="shared" ref="CB1116:CC1116" si="862">""</f>
        <v/>
      </c>
      <c r="CC1116" s="1" t="str">
        <f t="shared" si="862"/>
        <v/>
      </c>
      <c r="CG1116" s="1" t="s">
        <v>2934</v>
      </c>
      <c r="CH1116" s="1" t="s">
        <v>219</v>
      </c>
      <c r="CK1116" s="1" t="s">
        <v>344</v>
      </c>
      <c r="CL1116" s="1" t="s">
        <v>277</v>
      </c>
      <c r="CM1116" s="1" t="s">
        <v>220</v>
      </c>
      <c r="CO1116" s="1" t="s">
        <v>348</v>
      </c>
      <c r="CP1116" s="1" t="s">
        <v>219</v>
      </c>
      <c r="CQ1116" s="1" t="s">
        <v>438</v>
      </c>
      <c r="CS1116" s="1" t="s">
        <v>581</v>
      </c>
      <c r="CT1116" s="1" t="s">
        <v>277</v>
      </c>
      <c r="CU1116" s="1" t="s">
        <v>220</v>
      </c>
      <c r="CX1116" s="1" t="s">
        <v>224</v>
      </c>
      <c r="DB1116" s="1" t="s">
        <v>224</v>
      </c>
      <c r="DE1116" s="1" t="s">
        <v>348</v>
      </c>
      <c r="DF1116" s="1" t="s">
        <v>219</v>
      </c>
      <c r="DG1116" s="1" t="s">
        <v>438</v>
      </c>
      <c r="DJ1116" s="1" t="s">
        <v>224</v>
      </c>
      <c r="DK1116" s="1" t="s">
        <v>438</v>
      </c>
      <c r="DM1116" s="1" t="s">
        <v>411</v>
      </c>
      <c r="DR1116" s="1" t="s">
        <v>1297</v>
      </c>
      <c r="DS1116" s="1" t="s">
        <v>822</v>
      </c>
      <c r="DT1116" s="1" t="s">
        <v>220</v>
      </c>
      <c r="DW1116" s="1" t="s">
        <v>230</v>
      </c>
      <c r="EA1116" s="1" t="s">
        <v>230</v>
      </c>
      <c r="EE1116" s="1" t="s">
        <v>230</v>
      </c>
      <c r="EI1116" s="1" t="s">
        <v>230</v>
      </c>
      <c r="EL1116" s="1" t="s">
        <v>1455</v>
      </c>
      <c r="EM1116" s="1" t="s">
        <v>319</v>
      </c>
      <c r="EN1116" s="1" t="s">
        <v>282</v>
      </c>
      <c r="EO1116" s="1" t="s">
        <v>7973</v>
      </c>
      <c r="EP1116" s="1" t="s">
        <v>2172</v>
      </c>
      <c r="EQ1116" s="1" t="s">
        <v>2416</v>
      </c>
      <c r="ER1116" s="1" t="s">
        <v>544</v>
      </c>
      <c r="ES1116" s="1" t="s">
        <v>954</v>
      </c>
      <c r="EW1116" s="1" t="s">
        <v>547</v>
      </c>
      <c r="EZ1116" s="1" t="s">
        <v>411</v>
      </c>
      <c r="FD1116" s="1" t="s">
        <v>246</v>
      </c>
      <c r="FE1116" s="1" t="s">
        <v>247</v>
      </c>
      <c r="FF1116" s="1" t="s">
        <v>248</v>
      </c>
      <c r="FH1116" s="1" t="s">
        <v>1428</v>
      </c>
      <c r="FL1116" s="1" t="s">
        <v>414</v>
      </c>
      <c r="FM1116" s="1" t="s">
        <v>252</v>
      </c>
      <c r="FN1116" s="1" t="s">
        <v>213</v>
      </c>
      <c r="FO1116" s="1" t="s">
        <v>213</v>
      </c>
      <c r="FQ1116" s="1" t="s">
        <v>11752</v>
      </c>
      <c r="FR1116" s="1" t="s">
        <v>210</v>
      </c>
      <c r="FS1116" s="1" t="s">
        <v>11753</v>
      </c>
      <c r="FT1116" s="1" t="s">
        <v>2178</v>
      </c>
      <c r="FU1116" s="1" t="s">
        <v>213</v>
      </c>
      <c r="FW1116" s="1" t="s">
        <v>11754</v>
      </c>
      <c r="FX1116" s="1">
        <v>84234</v>
      </c>
      <c r="FY1116" s="1" t="s">
        <v>11755</v>
      </c>
      <c r="FZ1116" s="1" t="s">
        <v>11756</v>
      </c>
      <c r="GA1116" s="1">
        <v>181635</v>
      </c>
      <c r="GE1116" s="1" t="s">
        <v>1187</v>
      </c>
      <c r="GI1116" s="1" t="s">
        <v>204</v>
      </c>
      <c r="GJ1116" s="1" t="s">
        <v>260</v>
      </c>
      <c r="GK1116" s="1" t="s">
        <v>210</v>
      </c>
      <c r="GL1116" s="2">
        <v>42096</v>
      </c>
    </row>
    <row r="1117" spans="1:195">
      <c r="A1117" s="1">
        <v>71000</v>
      </c>
      <c r="B1117" s="1" t="s">
        <v>195</v>
      </c>
      <c r="C1117" s="1" t="str">
        <f>"08838706"</f>
        <v>08838706</v>
      </c>
      <c r="D1117" s="1" t="s">
        <v>196</v>
      </c>
      <c r="F1117" s="1" t="str">
        <f>"139"</f>
        <v>139</v>
      </c>
      <c r="G1117" s="2">
        <v>42049</v>
      </c>
      <c r="H1117" s="1">
        <v>77999</v>
      </c>
      <c r="I1117" s="1">
        <v>77999</v>
      </c>
      <c r="J1117" s="1">
        <v>71000</v>
      </c>
      <c r="K1117" s="2">
        <v>42049</v>
      </c>
      <c r="L1117" s="1">
        <v>94</v>
      </c>
      <c r="M1117" s="2">
        <v>42062</v>
      </c>
      <c r="N1117" s="1">
        <v>14</v>
      </c>
      <c r="O1117" s="2">
        <v>42062</v>
      </c>
      <c r="P1117" s="1">
        <v>25505</v>
      </c>
      <c r="Q1117" s="1" t="s">
        <v>302</v>
      </c>
      <c r="R1117" s="2">
        <v>42082</v>
      </c>
      <c r="S1117" s="1">
        <v>244918</v>
      </c>
      <c r="U1117" s="1">
        <v>281</v>
      </c>
      <c r="V1117" s="1" t="s">
        <v>5506</v>
      </c>
      <c r="W1117" s="1" t="s">
        <v>264</v>
      </c>
      <c r="X1117" s="1" t="s">
        <v>6507</v>
      </c>
      <c r="Y1117" s="1">
        <v>12</v>
      </c>
      <c r="Z1117" s="1" t="s">
        <v>249</v>
      </c>
      <c r="AA1117" s="1" t="s">
        <v>1732</v>
      </c>
      <c r="AB1117" s="1">
        <v>60139</v>
      </c>
      <c r="AD1117" s="1" t="s">
        <v>5506</v>
      </c>
      <c r="AE1117" s="1" t="s">
        <v>11757</v>
      </c>
      <c r="AF1117" s="1">
        <v>1979</v>
      </c>
      <c r="AG1117" s="1" t="s">
        <v>204</v>
      </c>
      <c r="AH1117" s="1" t="s">
        <v>1735</v>
      </c>
      <c r="AI1117" s="1" t="s">
        <v>206</v>
      </c>
      <c r="AJ1117" s="1" t="s">
        <v>207</v>
      </c>
      <c r="AL1117" s="1">
        <v>5</v>
      </c>
      <c r="AM1117" s="1">
        <v>2</v>
      </c>
      <c r="AN1117" s="1">
        <v>2</v>
      </c>
      <c r="AO1117" s="1">
        <v>0</v>
      </c>
      <c r="AP1117" s="1" t="s">
        <v>209</v>
      </c>
      <c r="AQ1117" s="1">
        <v>0</v>
      </c>
      <c r="AR1117" s="1" t="s">
        <v>210</v>
      </c>
      <c r="AS1117" s="1" t="s">
        <v>204</v>
      </c>
      <c r="AT1117" s="1" t="s">
        <v>271</v>
      </c>
      <c r="AV1117" s="1">
        <v>2</v>
      </c>
      <c r="AW1117" s="1" t="s">
        <v>204</v>
      </c>
      <c r="AX1117" s="1" t="s">
        <v>212</v>
      </c>
      <c r="AZ1117" s="1">
        <v>2031.56</v>
      </c>
      <c r="BA1117" s="1">
        <v>2013</v>
      </c>
      <c r="BB1117" s="1" t="s">
        <v>210</v>
      </c>
      <c r="BE1117" s="1">
        <v>917</v>
      </c>
      <c r="BF1117" s="1">
        <v>2</v>
      </c>
      <c r="BG1117" s="1">
        <v>2</v>
      </c>
      <c r="BL1117" s="1">
        <v>300</v>
      </c>
      <c r="BM1117" s="1" t="s">
        <v>204</v>
      </c>
      <c r="BN1117" s="1" t="s">
        <v>213</v>
      </c>
      <c r="BO1117" s="1">
        <v>30</v>
      </c>
      <c r="BP1117" s="1" t="s">
        <v>204</v>
      </c>
      <c r="BR1117" s="1" t="str">
        <f>"0503207247"</f>
        <v>0503207247</v>
      </c>
      <c r="BT1117" s="1" t="s">
        <v>11758</v>
      </c>
      <c r="BX1117" s="1">
        <v>41</v>
      </c>
      <c r="BY1117" s="1">
        <v>41</v>
      </c>
      <c r="BZ1117" s="1">
        <v>87</v>
      </c>
      <c r="CB1117" s="1" t="str">
        <f>"1"</f>
        <v>1</v>
      </c>
      <c r="CC1117" s="1" t="str">
        <f>""</f>
        <v/>
      </c>
      <c r="CD1117" s="1">
        <v>23</v>
      </c>
      <c r="CG1117" s="1" t="s">
        <v>861</v>
      </c>
      <c r="CH1117" s="1" t="s">
        <v>219</v>
      </c>
      <c r="CK1117" s="1" t="s">
        <v>344</v>
      </c>
      <c r="CL1117" s="1" t="s">
        <v>219</v>
      </c>
      <c r="CO1117" s="1" t="s">
        <v>837</v>
      </c>
      <c r="CP1117" s="1" t="s">
        <v>219</v>
      </c>
      <c r="CS1117" s="1" t="s">
        <v>346</v>
      </c>
      <c r="CT1117" s="1" t="s">
        <v>219</v>
      </c>
      <c r="CX1117" s="1" t="s">
        <v>224</v>
      </c>
      <c r="DB1117" s="1" t="s">
        <v>224</v>
      </c>
      <c r="DE1117" s="1" t="s">
        <v>2031</v>
      </c>
      <c r="DF1117" s="1" t="s">
        <v>219</v>
      </c>
      <c r="DJ1117" s="1" t="s">
        <v>224</v>
      </c>
      <c r="DS1117" s="1" t="s">
        <v>230</v>
      </c>
      <c r="DW1117" s="1" t="s">
        <v>230</v>
      </c>
      <c r="EA1117" s="1" t="s">
        <v>230</v>
      </c>
      <c r="EE1117" s="1" t="s">
        <v>230</v>
      </c>
      <c r="EI1117" s="1" t="s">
        <v>230</v>
      </c>
      <c r="EL1117" s="1" t="s">
        <v>231</v>
      </c>
      <c r="EM1117" s="1" t="s">
        <v>232</v>
      </c>
      <c r="EN1117" s="1" t="s">
        <v>210</v>
      </c>
      <c r="EO1117" s="1" t="s">
        <v>234</v>
      </c>
      <c r="EP1117" s="1" t="s">
        <v>11759</v>
      </c>
      <c r="EQ1117" s="1" t="s">
        <v>4356</v>
      </c>
      <c r="ER1117" s="1" t="s">
        <v>210</v>
      </c>
      <c r="ET1117" s="1" t="s">
        <v>323</v>
      </c>
      <c r="EU1117" s="1" t="s">
        <v>1820</v>
      </c>
      <c r="EV1117" s="1" t="s">
        <v>1553</v>
      </c>
      <c r="EW1117" s="1" t="s">
        <v>11760</v>
      </c>
      <c r="EZ1117" s="1" t="s">
        <v>287</v>
      </c>
      <c r="FB1117" s="1" t="s">
        <v>1755</v>
      </c>
      <c r="FD1117" s="1" t="s">
        <v>290</v>
      </c>
      <c r="FE1117" s="1" t="s">
        <v>247</v>
      </c>
      <c r="FF1117" s="1" t="s">
        <v>248</v>
      </c>
      <c r="FH1117" s="1" t="s">
        <v>716</v>
      </c>
      <c r="FJ1117" s="1" t="s">
        <v>197</v>
      </c>
      <c r="FK1117" s="1" t="s">
        <v>291</v>
      </c>
      <c r="FL1117" s="1" t="s">
        <v>1164</v>
      </c>
      <c r="FM1117" s="1" t="s">
        <v>252</v>
      </c>
      <c r="FN1117" s="1" t="s">
        <v>213</v>
      </c>
      <c r="FO1117" s="1" t="s">
        <v>204</v>
      </c>
      <c r="FQ1117" s="1" t="s">
        <v>3545</v>
      </c>
      <c r="FR1117" s="1" t="s">
        <v>210</v>
      </c>
      <c r="FS1117" s="1" t="s">
        <v>11761</v>
      </c>
      <c r="FT1117" s="1" t="s">
        <v>295</v>
      </c>
      <c r="FU1117" s="1" t="s">
        <v>204</v>
      </c>
      <c r="FW1117" s="1" t="s">
        <v>11762</v>
      </c>
      <c r="FX1117" s="1">
        <v>23773</v>
      </c>
      <c r="FY1117" s="1" t="s">
        <v>11763</v>
      </c>
      <c r="FZ1117" s="1" t="s">
        <v>11764</v>
      </c>
      <c r="GA1117" s="1">
        <v>226115</v>
      </c>
      <c r="GB1117" s="1" t="s">
        <v>11763</v>
      </c>
      <c r="GE1117" s="1" t="s">
        <v>480</v>
      </c>
      <c r="GI1117" s="1" t="s">
        <v>204</v>
      </c>
      <c r="GJ1117" s="1" t="s">
        <v>260</v>
      </c>
      <c r="GK1117" s="1" t="s">
        <v>210</v>
      </c>
      <c r="GL1117" s="2">
        <v>42082</v>
      </c>
    </row>
    <row r="1118" spans="1:195">
      <c r="A1118" s="1">
        <v>162000</v>
      </c>
      <c r="B1118" s="1" t="s">
        <v>195</v>
      </c>
      <c r="C1118" s="1" t="str">
        <f>"08840381"</f>
        <v>08840381</v>
      </c>
      <c r="D1118" s="1" t="s">
        <v>196</v>
      </c>
      <c r="F1118" s="1" t="str">
        <f>"160"</f>
        <v>160</v>
      </c>
      <c r="G1118" s="2">
        <v>42052</v>
      </c>
      <c r="H1118" s="1">
        <v>175000</v>
      </c>
      <c r="I1118" s="1">
        <v>175000</v>
      </c>
      <c r="J1118" s="1">
        <v>162000</v>
      </c>
      <c r="K1118" s="2">
        <v>42052</v>
      </c>
      <c r="L1118" s="1">
        <v>257</v>
      </c>
      <c r="M1118" s="2">
        <v>42062</v>
      </c>
      <c r="N1118" s="1">
        <v>11</v>
      </c>
      <c r="O1118" s="2">
        <v>42062</v>
      </c>
      <c r="P1118" s="1">
        <v>22300</v>
      </c>
      <c r="Q1118" s="1" t="s">
        <v>197</v>
      </c>
      <c r="R1118" s="2">
        <v>42093</v>
      </c>
      <c r="S1118" s="1">
        <v>224487</v>
      </c>
      <c r="U1118" s="1">
        <v>1700</v>
      </c>
      <c r="V1118" s="1" t="s">
        <v>625</v>
      </c>
      <c r="W1118" s="1" t="s">
        <v>264</v>
      </c>
      <c r="X1118" s="1">
        <v>601</v>
      </c>
      <c r="Y1118" s="1">
        <v>120</v>
      </c>
      <c r="Z1118" s="1" t="s">
        <v>249</v>
      </c>
      <c r="AA1118" s="1" t="s">
        <v>426</v>
      </c>
      <c r="AB1118" s="1">
        <v>60160</v>
      </c>
      <c r="AE1118" s="1" t="s">
        <v>11765</v>
      </c>
      <c r="AF1118" s="1">
        <v>2003</v>
      </c>
      <c r="AG1118" s="1" t="s">
        <v>204</v>
      </c>
      <c r="AH1118" s="1" t="s">
        <v>428</v>
      </c>
      <c r="AI1118" s="1" t="s">
        <v>310</v>
      </c>
      <c r="AJ1118" s="1" t="s">
        <v>429</v>
      </c>
      <c r="AL1118" s="1">
        <v>5</v>
      </c>
      <c r="AM1118" s="1">
        <v>2</v>
      </c>
      <c r="AN1118" s="1">
        <v>2</v>
      </c>
      <c r="AO1118" s="1">
        <v>0</v>
      </c>
      <c r="AP1118" s="1" t="s">
        <v>209</v>
      </c>
      <c r="AQ1118" s="1">
        <v>1</v>
      </c>
      <c r="AR1118" s="1" t="s">
        <v>210</v>
      </c>
      <c r="AT1118" s="1" t="s">
        <v>211</v>
      </c>
      <c r="AU1118" s="1">
        <v>1</v>
      </c>
      <c r="AW1118" s="1" t="s">
        <v>204</v>
      </c>
      <c r="AX1118" s="1" t="s">
        <v>212</v>
      </c>
      <c r="AZ1118" s="1">
        <v>1333.92</v>
      </c>
      <c r="BA1118" s="1">
        <v>2013</v>
      </c>
      <c r="BB1118" s="1" t="s">
        <v>599</v>
      </c>
      <c r="BE1118" s="1">
        <v>1292</v>
      </c>
      <c r="BF1118" s="1">
        <v>6</v>
      </c>
      <c r="BG1118" s="1">
        <v>7</v>
      </c>
      <c r="BL1118" s="1">
        <v>282</v>
      </c>
      <c r="BM1118" s="1" t="s">
        <v>204</v>
      </c>
      <c r="BN1118" s="1" t="s">
        <v>213</v>
      </c>
      <c r="BO1118" s="1">
        <v>50</v>
      </c>
      <c r="BP1118" s="1" t="s">
        <v>204</v>
      </c>
      <c r="BR1118" s="1" t="str">
        <f>"15022010131037"</f>
        <v>15022010131037</v>
      </c>
      <c r="BT1118" s="1" t="s">
        <v>11766</v>
      </c>
      <c r="BU1118" s="1" t="s">
        <v>434</v>
      </c>
      <c r="BW1118" s="1" t="s">
        <v>436</v>
      </c>
      <c r="BX1118" s="1">
        <v>89</v>
      </c>
      <c r="BY1118" s="1">
        <v>89</v>
      </c>
      <c r="BZ1118" s="1">
        <v>209</v>
      </c>
      <c r="CB1118" s="1" t="str">
        <f t="shared" ref="CB1118:CC1118" si="863">""</f>
        <v/>
      </c>
      <c r="CC1118" s="1" t="str">
        <f t="shared" si="863"/>
        <v/>
      </c>
      <c r="CG1118" s="1" t="s">
        <v>3035</v>
      </c>
      <c r="CH1118" s="1" t="s">
        <v>219</v>
      </c>
      <c r="CI1118" s="1" t="s">
        <v>438</v>
      </c>
      <c r="CK1118" s="1" t="s">
        <v>278</v>
      </c>
      <c r="CL1118" s="1" t="s">
        <v>219</v>
      </c>
      <c r="CM1118" s="1" t="s">
        <v>220</v>
      </c>
      <c r="CO1118" s="1" t="s">
        <v>629</v>
      </c>
      <c r="CP1118" s="1" t="s">
        <v>219</v>
      </c>
      <c r="CS1118" s="1" t="s">
        <v>1297</v>
      </c>
      <c r="CT1118" s="1" t="s">
        <v>219</v>
      </c>
      <c r="CU1118" s="1" t="s">
        <v>220</v>
      </c>
      <c r="CX1118" s="1" t="s">
        <v>224</v>
      </c>
      <c r="DB1118" s="1" t="s">
        <v>224</v>
      </c>
      <c r="DE1118" s="1" t="s">
        <v>348</v>
      </c>
      <c r="DF1118" s="1" t="s">
        <v>219</v>
      </c>
      <c r="DG1118" s="1" t="s">
        <v>226</v>
      </c>
      <c r="DJ1118" s="1" t="s">
        <v>224</v>
      </c>
      <c r="DM1118" s="1" t="s">
        <v>838</v>
      </c>
      <c r="DN1118" s="1" t="s">
        <v>709</v>
      </c>
      <c r="DR1118" s="1" t="s">
        <v>4214</v>
      </c>
      <c r="DS1118" s="1" t="s">
        <v>219</v>
      </c>
      <c r="DV1118" s="1" t="s">
        <v>6174</v>
      </c>
      <c r="DW1118" s="1" t="s">
        <v>219</v>
      </c>
      <c r="DX1118" s="1" t="s">
        <v>226</v>
      </c>
      <c r="EA1118" s="1" t="s">
        <v>230</v>
      </c>
      <c r="EE1118" s="1" t="s">
        <v>230</v>
      </c>
      <c r="EI1118" s="1" t="s">
        <v>230</v>
      </c>
      <c r="EL1118" s="1" t="s">
        <v>466</v>
      </c>
      <c r="EM1118" s="1" t="s">
        <v>730</v>
      </c>
      <c r="EN1118" s="1" t="s">
        <v>282</v>
      </c>
      <c r="EO1118" s="1" t="s">
        <v>234</v>
      </c>
      <c r="EP1118" s="1" t="s">
        <v>11767</v>
      </c>
      <c r="EQ1118" s="1" t="s">
        <v>2188</v>
      </c>
      <c r="ER1118" s="1" t="s">
        <v>210</v>
      </c>
      <c r="ES1118" s="1" t="s">
        <v>322</v>
      </c>
      <c r="ET1118" s="1" t="s">
        <v>842</v>
      </c>
      <c r="EU1118" s="1" t="s">
        <v>11603</v>
      </c>
      <c r="EV1118" s="1" t="s">
        <v>240</v>
      </c>
      <c r="EW1118" s="1" t="s">
        <v>11768</v>
      </c>
      <c r="EZ1118" s="1" t="s">
        <v>3826</v>
      </c>
      <c r="FB1118" s="1" t="s">
        <v>1505</v>
      </c>
      <c r="FC1118" s="1" t="s">
        <v>548</v>
      </c>
      <c r="FD1118" s="1" t="s">
        <v>290</v>
      </c>
      <c r="FE1118" s="1" t="s">
        <v>247</v>
      </c>
      <c r="FF1118" s="1" t="s">
        <v>248</v>
      </c>
      <c r="FG1118" s="1" t="s">
        <v>912</v>
      </c>
      <c r="FH1118" s="1" t="s">
        <v>249</v>
      </c>
      <c r="FI1118" s="1" t="s">
        <v>1114</v>
      </c>
      <c r="FL1118" s="1" t="s">
        <v>358</v>
      </c>
      <c r="FM1118" s="1" t="s">
        <v>252</v>
      </c>
      <c r="FN1118" s="1" t="s">
        <v>213</v>
      </c>
      <c r="FO1118" s="1" t="s">
        <v>213</v>
      </c>
      <c r="FQ1118" s="1" t="s">
        <v>293</v>
      </c>
      <c r="FR1118" s="1" t="s">
        <v>210</v>
      </c>
      <c r="FS1118" s="1" t="s">
        <v>443</v>
      </c>
      <c r="FT1118" s="1" t="s">
        <v>362</v>
      </c>
      <c r="FU1118" s="1" t="s">
        <v>204</v>
      </c>
      <c r="FW1118" s="1" t="s">
        <v>444</v>
      </c>
      <c r="FX1118" s="1">
        <v>90330</v>
      </c>
      <c r="FY1118" s="1" t="s">
        <v>445</v>
      </c>
      <c r="FZ1118" s="1" t="s">
        <v>11769</v>
      </c>
      <c r="GA1118" s="1">
        <v>901151</v>
      </c>
      <c r="GB1118" s="1" t="s">
        <v>11770</v>
      </c>
      <c r="GE1118" s="1" t="s">
        <v>623</v>
      </c>
      <c r="GI1118" s="1" t="s">
        <v>213</v>
      </c>
      <c r="GJ1118" s="1" t="s">
        <v>260</v>
      </c>
      <c r="GK1118" s="1" t="s">
        <v>210</v>
      </c>
      <c r="GL1118" s="2">
        <v>42093</v>
      </c>
    </row>
    <row r="1119" spans="1:195">
      <c r="A1119" s="1">
        <v>135000</v>
      </c>
      <c r="B1119" s="1" t="s">
        <v>195</v>
      </c>
      <c r="C1119" s="1" t="str">
        <f>"08841184"</f>
        <v>08841184</v>
      </c>
      <c r="D1119" s="1" t="s">
        <v>196</v>
      </c>
      <c r="F1119" s="1" t="str">
        <f>"540"</f>
        <v>540</v>
      </c>
      <c r="G1119" s="2">
        <v>42053</v>
      </c>
      <c r="H1119" s="1">
        <v>136534</v>
      </c>
      <c r="I1119" s="1">
        <v>136534</v>
      </c>
      <c r="J1119" s="1">
        <v>135000</v>
      </c>
      <c r="K1119" s="2">
        <v>42052</v>
      </c>
      <c r="L1119" s="1">
        <v>3</v>
      </c>
      <c r="M1119" s="2">
        <v>42054</v>
      </c>
      <c r="N1119" s="1">
        <v>3</v>
      </c>
      <c r="O1119" s="2">
        <v>42054</v>
      </c>
      <c r="P1119" s="1">
        <v>79784</v>
      </c>
      <c r="Q1119" s="1" t="s">
        <v>302</v>
      </c>
      <c r="R1119" s="2">
        <v>42082</v>
      </c>
      <c r="S1119" s="1">
        <v>703801</v>
      </c>
      <c r="U1119" s="1">
        <v>2927</v>
      </c>
      <c r="V1119" s="1" t="s">
        <v>748</v>
      </c>
      <c r="W1119" s="1" t="s">
        <v>449</v>
      </c>
      <c r="X1119" s="1">
        <v>102</v>
      </c>
      <c r="Y1119" s="1">
        <v>2</v>
      </c>
      <c r="Z1119" s="1" t="s">
        <v>249</v>
      </c>
      <c r="AA1119" s="1" t="s">
        <v>921</v>
      </c>
      <c r="AB1119" s="1">
        <v>60564</v>
      </c>
      <c r="AD1119" s="1" t="s">
        <v>2213</v>
      </c>
      <c r="AE1119" s="1" t="s">
        <v>11771</v>
      </c>
      <c r="AF1119" s="1">
        <v>2002</v>
      </c>
      <c r="AG1119" s="1" t="s">
        <v>204</v>
      </c>
      <c r="AH1119" s="1" t="s">
        <v>924</v>
      </c>
      <c r="AI1119" s="1" t="s">
        <v>1800</v>
      </c>
      <c r="AJ1119" s="1" t="s">
        <v>1801</v>
      </c>
      <c r="AL1119" s="1">
        <v>5</v>
      </c>
      <c r="AM1119" s="1">
        <v>2</v>
      </c>
      <c r="AN1119" s="1">
        <v>2</v>
      </c>
      <c r="AO1119" s="1">
        <v>0</v>
      </c>
      <c r="AP1119" s="1" t="s">
        <v>209</v>
      </c>
      <c r="AR1119" s="1" t="s">
        <v>210</v>
      </c>
      <c r="AT1119" s="1" t="s">
        <v>211</v>
      </c>
      <c r="AU1119" s="1">
        <v>1</v>
      </c>
      <c r="AW1119" s="1" t="s">
        <v>204</v>
      </c>
      <c r="AX1119" s="1" t="s">
        <v>212</v>
      </c>
      <c r="AZ1119" s="1">
        <v>3196.66</v>
      </c>
      <c r="BA1119" s="1">
        <v>2012</v>
      </c>
      <c r="BB1119" s="1" t="s">
        <v>405</v>
      </c>
      <c r="BE1119" s="1">
        <v>0</v>
      </c>
      <c r="BF1119" s="1">
        <v>1</v>
      </c>
      <c r="BG1119" s="1">
        <v>0</v>
      </c>
      <c r="BL1119" s="1">
        <v>219</v>
      </c>
      <c r="BM1119" s="1" t="s">
        <v>204</v>
      </c>
      <c r="BN1119" s="1" t="s">
        <v>213</v>
      </c>
      <c r="BO1119" s="1">
        <v>55</v>
      </c>
      <c r="BP1119" s="1" t="s">
        <v>204</v>
      </c>
      <c r="BR1119" s="1" t="str">
        <f>"01031020561002"</f>
        <v>01031020561002</v>
      </c>
      <c r="BT1119" s="1" t="s">
        <v>11772</v>
      </c>
      <c r="BU1119" s="1" t="s">
        <v>2216</v>
      </c>
      <c r="BV1119" s="1" t="s">
        <v>2217</v>
      </c>
      <c r="BW1119" s="1" t="s">
        <v>2218</v>
      </c>
      <c r="BX1119" s="1">
        <v>204</v>
      </c>
      <c r="BY1119" s="1">
        <v>204</v>
      </c>
      <c r="BZ1119" s="1">
        <v>204</v>
      </c>
      <c r="CB1119" s="1" t="str">
        <f t="shared" ref="CB1119:CC1119" si="864">"0"</f>
        <v>0</v>
      </c>
      <c r="CC1119" s="1" t="str">
        <f t="shared" si="864"/>
        <v>0</v>
      </c>
      <c r="CD1119" s="1">
        <v>29</v>
      </c>
      <c r="CE1119" s="1">
        <v>10</v>
      </c>
      <c r="CG1119" s="1" t="s">
        <v>317</v>
      </c>
      <c r="CH1119" s="1" t="s">
        <v>219</v>
      </c>
      <c r="CI1119" s="1" t="s">
        <v>220</v>
      </c>
      <c r="CK1119" s="1" t="s">
        <v>1358</v>
      </c>
      <c r="CL1119" s="1" t="s">
        <v>219</v>
      </c>
      <c r="CM1119" s="1" t="s">
        <v>220</v>
      </c>
      <c r="CO1119" s="1" t="s">
        <v>1297</v>
      </c>
      <c r="CP1119" s="1" t="s">
        <v>219</v>
      </c>
      <c r="CQ1119" s="1" t="s">
        <v>220</v>
      </c>
      <c r="CS1119" s="1" t="s">
        <v>379</v>
      </c>
      <c r="CT1119" s="1" t="s">
        <v>219</v>
      </c>
      <c r="CU1119" s="1" t="s">
        <v>220</v>
      </c>
      <c r="CX1119" s="1" t="s">
        <v>224</v>
      </c>
      <c r="DB1119" s="1" t="s">
        <v>224</v>
      </c>
      <c r="DE1119" s="1" t="s">
        <v>318</v>
      </c>
      <c r="DF1119" s="1" t="s">
        <v>219</v>
      </c>
      <c r="DG1119" s="1" t="s">
        <v>342</v>
      </c>
      <c r="DJ1119" s="1" t="s">
        <v>224</v>
      </c>
      <c r="DS1119" s="1" t="s">
        <v>230</v>
      </c>
      <c r="DW1119" s="1" t="s">
        <v>230</v>
      </c>
      <c r="EA1119" s="1" t="s">
        <v>230</v>
      </c>
      <c r="EE1119" s="1" t="s">
        <v>230</v>
      </c>
      <c r="EI1119" s="1" t="s">
        <v>230</v>
      </c>
      <c r="EL1119" s="1" t="s">
        <v>466</v>
      </c>
      <c r="EM1119" s="1" t="s">
        <v>232</v>
      </c>
      <c r="EN1119" s="1" t="s">
        <v>282</v>
      </c>
      <c r="EO1119" s="1" t="s">
        <v>234</v>
      </c>
      <c r="EP1119" s="1" t="s">
        <v>650</v>
      </c>
      <c r="EQ1119" s="1" t="s">
        <v>1094</v>
      </c>
      <c r="ER1119" s="1" t="s">
        <v>210</v>
      </c>
      <c r="ES1119" s="1" t="s">
        <v>322</v>
      </c>
      <c r="ET1119" s="1" t="s">
        <v>1752</v>
      </c>
      <c r="EV1119" s="1" t="s">
        <v>240</v>
      </c>
      <c r="EW1119" s="1" t="s">
        <v>11773</v>
      </c>
      <c r="EY1119" s="1" t="s">
        <v>242</v>
      </c>
      <c r="EZ1119" s="1" t="s">
        <v>287</v>
      </c>
      <c r="FA1119" s="1" t="s">
        <v>1554</v>
      </c>
      <c r="FB1119" s="1" t="s">
        <v>289</v>
      </c>
      <c r="FC1119" s="1" t="s">
        <v>1386</v>
      </c>
      <c r="FD1119" s="1" t="s">
        <v>246</v>
      </c>
      <c r="FE1119" s="1" t="s">
        <v>472</v>
      </c>
      <c r="FF1119" s="1" t="s">
        <v>387</v>
      </c>
      <c r="FH1119" s="1" t="s">
        <v>249</v>
      </c>
      <c r="FI1119" s="1" t="s">
        <v>3300</v>
      </c>
      <c r="FL1119" s="1" t="s">
        <v>358</v>
      </c>
      <c r="FM1119" s="1" t="s">
        <v>252</v>
      </c>
      <c r="FN1119" s="1" t="s">
        <v>213</v>
      </c>
      <c r="FO1119" s="1" t="s">
        <v>213</v>
      </c>
      <c r="FQ1119" s="1" t="s">
        <v>6135</v>
      </c>
      <c r="FR1119" s="1" t="s">
        <v>210</v>
      </c>
      <c r="FS1119" s="1" t="s">
        <v>11774</v>
      </c>
      <c r="FT1119" s="1" t="s">
        <v>295</v>
      </c>
      <c r="FU1119" s="1" t="s">
        <v>204</v>
      </c>
      <c r="FW1119" s="1" t="s">
        <v>5648</v>
      </c>
      <c r="FX1119" s="1">
        <v>23099</v>
      </c>
      <c r="FY1119" s="1" t="s">
        <v>5649</v>
      </c>
      <c r="FZ1119" s="1" t="s">
        <v>6137</v>
      </c>
      <c r="GA1119" s="1">
        <v>218883</v>
      </c>
      <c r="GB1119" s="1" t="s">
        <v>6138</v>
      </c>
      <c r="GE1119" s="1" t="s">
        <v>658</v>
      </c>
      <c r="GI1119" s="1" t="s">
        <v>213</v>
      </c>
      <c r="GJ1119" s="1" t="s">
        <v>260</v>
      </c>
      <c r="GK1119" s="1" t="s">
        <v>210</v>
      </c>
      <c r="GL1119" s="2">
        <v>42082</v>
      </c>
      <c r="GM1119" s="1" t="s">
        <v>11775</v>
      </c>
    </row>
    <row r="1120" spans="1:195">
      <c r="A1120" s="1">
        <v>122900</v>
      </c>
      <c r="B1120" s="1" t="s">
        <v>195</v>
      </c>
      <c r="C1120" s="1" t="str">
        <f>"08840964"</f>
        <v>08840964</v>
      </c>
      <c r="D1120" s="1" t="s">
        <v>196</v>
      </c>
      <c r="F1120" s="1" t="str">
        <f>"107"</f>
        <v>107</v>
      </c>
      <c r="G1120" s="2">
        <v>42052</v>
      </c>
      <c r="H1120" s="1">
        <v>119900</v>
      </c>
      <c r="I1120" s="1">
        <v>119900</v>
      </c>
      <c r="J1120" s="1">
        <v>122900</v>
      </c>
      <c r="K1120" s="2">
        <v>42052</v>
      </c>
      <c r="L1120" s="1">
        <v>21</v>
      </c>
      <c r="M1120" s="2">
        <v>42072</v>
      </c>
      <c r="N1120" s="1">
        <v>21</v>
      </c>
      <c r="O1120" s="2">
        <v>42072</v>
      </c>
      <c r="P1120" s="1">
        <v>6026</v>
      </c>
      <c r="Q1120" s="1" t="s">
        <v>197</v>
      </c>
      <c r="R1120" s="2">
        <v>42111</v>
      </c>
      <c r="S1120" s="1">
        <v>40410</v>
      </c>
      <c r="U1120" s="1">
        <v>746</v>
      </c>
      <c r="V1120" s="1" t="s">
        <v>1211</v>
      </c>
      <c r="W1120" s="1" t="s">
        <v>199</v>
      </c>
      <c r="X1120" s="1" t="s">
        <v>1688</v>
      </c>
      <c r="Y1120" s="1">
        <v>8</v>
      </c>
      <c r="Z1120" s="1" t="s">
        <v>249</v>
      </c>
      <c r="AA1120" s="1" t="s">
        <v>1211</v>
      </c>
      <c r="AB1120" s="1">
        <v>60107</v>
      </c>
      <c r="AE1120" s="1" t="s">
        <v>11776</v>
      </c>
      <c r="AF1120" s="1">
        <v>1992</v>
      </c>
      <c r="AG1120" s="1" t="s">
        <v>204</v>
      </c>
      <c r="AH1120" s="1" t="s">
        <v>1214</v>
      </c>
      <c r="AI1120" s="1" t="s">
        <v>310</v>
      </c>
      <c r="AJ1120" s="1" t="s">
        <v>374</v>
      </c>
      <c r="AL1120" s="1">
        <v>5</v>
      </c>
      <c r="AM1120" s="1">
        <v>2</v>
      </c>
      <c r="AN1120" s="1">
        <v>2</v>
      </c>
      <c r="AO1120" s="1">
        <v>0</v>
      </c>
      <c r="AP1120" s="1" t="s">
        <v>209</v>
      </c>
      <c r="AR1120" s="1" t="s">
        <v>210</v>
      </c>
      <c r="AS1120" s="1" t="s">
        <v>204</v>
      </c>
      <c r="AT1120" s="1" t="s">
        <v>211</v>
      </c>
      <c r="AU1120" s="1">
        <v>1</v>
      </c>
      <c r="AW1120" s="1" t="s">
        <v>204</v>
      </c>
      <c r="AX1120" s="1" t="s">
        <v>212</v>
      </c>
      <c r="AZ1120" s="1">
        <v>1962.84</v>
      </c>
      <c r="BA1120" s="1">
        <v>2013</v>
      </c>
      <c r="BE1120" s="1">
        <v>1000</v>
      </c>
      <c r="BF1120" s="1">
        <v>2</v>
      </c>
      <c r="BG1120" s="1">
        <v>0</v>
      </c>
      <c r="BL1120" s="1">
        <v>238</v>
      </c>
      <c r="BM1120" s="1" t="s">
        <v>204</v>
      </c>
      <c r="BN1120" s="1" t="s">
        <v>213</v>
      </c>
      <c r="BO1120" s="1">
        <v>0</v>
      </c>
      <c r="BP1120" s="1" t="s">
        <v>204</v>
      </c>
      <c r="BR1120" s="1" t="str">
        <f>"06223030361036"</f>
        <v>06223030361036</v>
      </c>
      <c r="BT1120" s="1" t="s">
        <v>11777</v>
      </c>
      <c r="BU1120" s="1" t="s">
        <v>3556</v>
      </c>
      <c r="BV1120" s="1" t="s">
        <v>3557</v>
      </c>
      <c r="BW1120" s="1" t="s">
        <v>1217</v>
      </c>
      <c r="BX1120" s="1">
        <v>46</v>
      </c>
      <c r="BY1120" s="1">
        <v>46</v>
      </c>
      <c r="BZ1120" s="1">
        <v>46</v>
      </c>
      <c r="CB1120" s="1" t="str">
        <f>"10"</f>
        <v>10</v>
      </c>
      <c r="CC1120" s="1" t="str">
        <f>""</f>
        <v/>
      </c>
      <c r="CD1120" s="1">
        <v>29</v>
      </c>
      <c r="CG1120" s="1" t="s">
        <v>6197</v>
      </c>
      <c r="CH1120" s="1" t="s">
        <v>219</v>
      </c>
      <c r="CI1120" s="1" t="s">
        <v>220</v>
      </c>
      <c r="CJ1120" s="1" t="s">
        <v>343</v>
      </c>
      <c r="CK1120" s="1" t="s">
        <v>932</v>
      </c>
      <c r="CL1120" s="1" t="s">
        <v>219</v>
      </c>
      <c r="CM1120" s="1" t="s">
        <v>220</v>
      </c>
      <c r="CN1120" s="1" t="s">
        <v>343</v>
      </c>
      <c r="CO1120" s="1" t="s">
        <v>629</v>
      </c>
      <c r="CP1120" s="1" t="s">
        <v>219</v>
      </c>
      <c r="CS1120" s="1" t="s">
        <v>379</v>
      </c>
      <c r="CT1120" s="1" t="s">
        <v>219</v>
      </c>
      <c r="CU1120" s="1" t="s">
        <v>220</v>
      </c>
      <c r="CV1120" s="1" t="s">
        <v>210</v>
      </c>
      <c r="CX1120" s="1" t="s">
        <v>224</v>
      </c>
      <c r="DB1120" s="1" t="s">
        <v>224</v>
      </c>
      <c r="DE1120" s="1" t="s">
        <v>669</v>
      </c>
      <c r="DF1120" s="1" t="s">
        <v>219</v>
      </c>
      <c r="DG1120" s="1" t="s">
        <v>226</v>
      </c>
      <c r="DJ1120" s="1" t="s">
        <v>224</v>
      </c>
      <c r="DS1120" s="1" t="s">
        <v>230</v>
      </c>
      <c r="DW1120" s="1" t="s">
        <v>230</v>
      </c>
      <c r="EA1120" s="1" t="s">
        <v>230</v>
      </c>
      <c r="EE1120" s="1" t="s">
        <v>230</v>
      </c>
      <c r="EI1120" s="1" t="s">
        <v>230</v>
      </c>
      <c r="EL1120" s="1" t="s">
        <v>382</v>
      </c>
      <c r="EM1120" s="1" t="s">
        <v>319</v>
      </c>
      <c r="EN1120" s="1" t="s">
        <v>282</v>
      </c>
      <c r="EO1120" s="1" t="s">
        <v>234</v>
      </c>
      <c r="EP1120" s="1" t="s">
        <v>1268</v>
      </c>
      <c r="ER1120" s="1" t="s">
        <v>210</v>
      </c>
      <c r="EU1120" s="1" t="s">
        <v>712</v>
      </c>
      <c r="EW1120" s="1" t="s">
        <v>937</v>
      </c>
      <c r="EZ1120" s="1" t="s">
        <v>287</v>
      </c>
      <c r="FC1120" s="1" t="s">
        <v>548</v>
      </c>
      <c r="FD1120" s="1" t="s">
        <v>246</v>
      </c>
      <c r="FE1120" s="1" t="s">
        <v>472</v>
      </c>
      <c r="FF1120" s="1" t="s">
        <v>248</v>
      </c>
      <c r="FH1120" s="1" t="s">
        <v>249</v>
      </c>
      <c r="FL1120" s="1" t="s">
        <v>358</v>
      </c>
      <c r="FM1120" s="1" t="s">
        <v>252</v>
      </c>
      <c r="FN1120" s="1" t="s">
        <v>213</v>
      </c>
      <c r="FO1120" s="1" t="s">
        <v>213</v>
      </c>
      <c r="FQ1120" s="1" t="s">
        <v>8812</v>
      </c>
      <c r="FR1120" s="1" t="s">
        <v>210</v>
      </c>
      <c r="FS1120" s="1" t="s">
        <v>11778</v>
      </c>
      <c r="FT1120" s="1" t="s">
        <v>295</v>
      </c>
      <c r="FU1120" s="1" t="s">
        <v>204</v>
      </c>
      <c r="FW1120" s="1" t="s">
        <v>585</v>
      </c>
      <c r="FX1120" s="1">
        <v>8012</v>
      </c>
      <c r="FY1120" s="1" t="s">
        <v>7225</v>
      </c>
      <c r="FZ1120" s="1" t="s">
        <v>11779</v>
      </c>
      <c r="GA1120" s="1">
        <v>28693</v>
      </c>
      <c r="GB1120" s="1" t="s">
        <v>11780</v>
      </c>
      <c r="GC1120" s="1">
        <v>241442</v>
      </c>
      <c r="GE1120" s="1" t="s">
        <v>210</v>
      </c>
      <c r="GH1120" s="1" t="s">
        <v>589</v>
      </c>
      <c r="GI1120" s="1" t="s">
        <v>213</v>
      </c>
      <c r="GJ1120" s="1" t="s">
        <v>260</v>
      </c>
      <c r="GK1120" s="1" t="s">
        <v>210</v>
      </c>
      <c r="GL1120" s="2">
        <v>42114</v>
      </c>
      <c r="GM1120" s="1" t="s">
        <v>11781</v>
      </c>
    </row>
    <row r="1121" spans="1:195">
      <c r="A1121" s="1">
        <v>103000</v>
      </c>
      <c r="B1121" s="1" t="s">
        <v>195</v>
      </c>
      <c r="C1121" s="1" t="str">
        <f>"08842830"</f>
        <v>08842830</v>
      </c>
      <c r="D1121" s="1" t="s">
        <v>196</v>
      </c>
      <c r="F1121" s="1" t="str">
        <f>"176"</f>
        <v>176</v>
      </c>
      <c r="G1121" s="2">
        <v>42055</v>
      </c>
      <c r="H1121" s="1">
        <v>99900</v>
      </c>
      <c r="I1121" s="1">
        <v>99900</v>
      </c>
      <c r="J1121" s="1">
        <v>103000</v>
      </c>
      <c r="K1121" s="2">
        <v>42053</v>
      </c>
      <c r="L1121" s="1">
        <v>4</v>
      </c>
      <c r="M1121" s="2">
        <v>42056</v>
      </c>
      <c r="N1121" s="1">
        <v>4</v>
      </c>
      <c r="O1121" s="2">
        <v>42056</v>
      </c>
      <c r="P1121" s="1">
        <v>18235</v>
      </c>
      <c r="Q1121" s="1" t="s">
        <v>302</v>
      </c>
      <c r="R1121" s="2">
        <v>42090</v>
      </c>
      <c r="S1121" s="1">
        <v>148236</v>
      </c>
      <c r="U1121" s="1">
        <v>9852</v>
      </c>
      <c r="V1121" s="1" t="s">
        <v>11782</v>
      </c>
      <c r="W1121" s="1" t="s">
        <v>304</v>
      </c>
      <c r="X1121" s="1" t="s">
        <v>4376</v>
      </c>
      <c r="Y1121" s="1">
        <v>6</v>
      </c>
      <c r="Z1121" s="1" t="s">
        <v>249</v>
      </c>
      <c r="AA1121" s="1" t="s">
        <v>306</v>
      </c>
      <c r="AB1121" s="1">
        <v>60176</v>
      </c>
      <c r="AD1121" s="1" t="s">
        <v>307</v>
      </c>
      <c r="AE1121" s="1" t="s">
        <v>11783</v>
      </c>
      <c r="AF1121" s="1">
        <v>1984</v>
      </c>
      <c r="AG1121" s="1" t="s">
        <v>204</v>
      </c>
      <c r="AH1121" s="1" t="s">
        <v>309</v>
      </c>
      <c r="AI1121" s="1" t="s">
        <v>310</v>
      </c>
      <c r="AJ1121" s="1" t="s">
        <v>311</v>
      </c>
      <c r="AL1121" s="1">
        <v>4</v>
      </c>
      <c r="AM1121" s="1">
        <v>2</v>
      </c>
      <c r="AN1121" s="1">
        <v>1</v>
      </c>
      <c r="AO1121" s="1">
        <v>0</v>
      </c>
      <c r="AP1121" s="1" t="s">
        <v>210</v>
      </c>
      <c r="AR1121" s="1" t="s">
        <v>210</v>
      </c>
      <c r="AS1121" s="1" t="s">
        <v>204</v>
      </c>
      <c r="AT1121" s="1" t="s">
        <v>271</v>
      </c>
      <c r="AV1121" s="1">
        <v>2</v>
      </c>
      <c r="AW1121" s="1" t="s">
        <v>204</v>
      </c>
      <c r="AX1121" s="1" t="s">
        <v>212</v>
      </c>
      <c r="AZ1121" s="1">
        <v>2258</v>
      </c>
      <c r="BA1121" s="1">
        <v>2013</v>
      </c>
      <c r="BB1121" s="1" t="s">
        <v>405</v>
      </c>
      <c r="BE1121" s="1">
        <v>900</v>
      </c>
      <c r="BF1121" s="1">
        <v>3</v>
      </c>
      <c r="BG1121" s="1">
        <v>0</v>
      </c>
      <c r="BL1121" s="1">
        <v>200</v>
      </c>
      <c r="BM1121" s="1" t="s">
        <v>204</v>
      </c>
      <c r="BN1121" s="1" t="s">
        <v>213</v>
      </c>
      <c r="BO1121" s="1">
        <v>0</v>
      </c>
      <c r="BP1121" s="1" t="s">
        <v>204</v>
      </c>
      <c r="BR1121" s="1" t="str">
        <f>"12162020571006"</f>
        <v>12162020571006</v>
      </c>
      <c r="BT1121" s="1" t="s">
        <v>11784</v>
      </c>
      <c r="BU1121" s="1" t="s">
        <v>2801</v>
      </c>
      <c r="BV1121" s="1" t="s">
        <v>2306</v>
      </c>
      <c r="BW1121" s="1" t="s">
        <v>313</v>
      </c>
      <c r="BX1121" s="1">
        <v>81</v>
      </c>
      <c r="BY1121" s="1">
        <v>81</v>
      </c>
      <c r="BZ1121" s="1">
        <v>212</v>
      </c>
      <c r="CA1121" s="1">
        <v>212</v>
      </c>
      <c r="CB1121" s="1" t="str">
        <f>"4800"</f>
        <v>4800</v>
      </c>
      <c r="CC1121" s="1" t="str">
        <f>"0"</f>
        <v>0</v>
      </c>
      <c r="CD1121" s="1">
        <v>9852</v>
      </c>
      <c r="CE1121" s="1">
        <v>0</v>
      </c>
      <c r="CG1121" s="1" t="s">
        <v>377</v>
      </c>
      <c r="CH1121" s="1" t="s">
        <v>784</v>
      </c>
      <c r="CI1121" s="1" t="s">
        <v>438</v>
      </c>
      <c r="CK1121" s="1" t="s">
        <v>539</v>
      </c>
      <c r="CL1121" s="1" t="s">
        <v>784</v>
      </c>
      <c r="CM1121" s="1" t="s">
        <v>438</v>
      </c>
      <c r="CP1121" s="1" t="s">
        <v>224</v>
      </c>
      <c r="CS1121" s="1" t="s">
        <v>465</v>
      </c>
      <c r="CT1121" s="1" t="s">
        <v>784</v>
      </c>
      <c r="CU1121" s="1" t="s">
        <v>438</v>
      </c>
      <c r="CX1121" s="1" t="s">
        <v>224</v>
      </c>
      <c r="DB1121" s="1" t="s">
        <v>224</v>
      </c>
      <c r="DE1121" s="1" t="s">
        <v>379</v>
      </c>
      <c r="DF1121" s="1" t="s">
        <v>784</v>
      </c>
      <c r="DG1121" s="1" t="s">
        <v>3058</v>
      </c>
      <c r="DJ1121" s="1" t="s">
        <v>224</v>
      </c>
      <c r="DS1121" s="1" t="s">
        <v>230</v>
      </c>
      <c r="DW1121" s="1" t="s">
        <v>230</v>
      </c>
      <c r="EA1121" s="1" t="s">
        <v>230</v>
      </c>
      <c r="EE1121" s="1" t="s">
        <v>230</v>
      </c>
      <c r="EI1121" s="1" t="s">
        <v>230</v>
      </c>
      <c r="EL1121" s="1" t="s">
        <v>231</v>
      </c>
      <c r="EM1121" s="1" t="s">
        <v>232</v>
      </c>
      <c r="EN1121" s="1" t="s">
        <v>282</v>
      </c>
      <c r="EO1121" s="1" t="s">
        <v>234</v>
      </c>
      <c r="EP1121" s="1" t="s">
        <v>5565</v>
      </c>
      <c r="ER1121" s="1" t="s">
        <v>210</v>
      </c>
      <c r="ET1121" s="1" t="s">
        <v>11785</v>
      </c>
      <c r="EU1121" s="1" t="s">
        <v>610</v>
      </c>
      <c r="EW1121" s="1" t="s">
        <v>2765</v>
      </c>
      <c r="EY1121" s="1" t="s">
        <v>242</v>
      </c>
      <c r="EZ1121" s="1" t="s">
        <v>287</v>
      </c>
      <c r="FA1121" s="1" t="s">
        <v>6896</v>
      </c>
      <c r="FB1121" s="1" t="s">
        <v>734</v>
      </c>
      <c r="FC1121" s="1" t="s">
        <v>548</v>
      </c>
      <c r="FD1121" s="1" t="s">
        <v>736</v>
      </c>
      <c r="FE1121" s="1" t="s">
        <v>247</v>
      </c>
      <c r="FF1121" s="1" t="s">
        <v>2998</v>
      </c>
      <c r="FH1121" s="1" t="s">
        <v>249</v>
      </c>
      <c r="FJ1121" s="1" t="s">
        <v>11786</v>
      </c>
      <c r="FK1121" s="1" t="s">
        <v>1825</v>
      </c>
      <c r="FL1121" s="1" t="s">
        <v>1164</v>
      </c>
      <c r="FM1121" s="1" t="s">
        <v>252</v>
      </c>
      <c r="FN1121" s="1" t="s">
        <v>213</v>
      </c>
      <c r="FO1121" s="1" t="s">
        <v>213</v>
      </c>
      <c r="FQ1121" s="1" t="s">
        <v>11787</v>
      </c>
      <c r="FR1121" s="1" t="s">
        <v>652</v>
      </c>
      <c r="FS1121" s="1" t="s">
        <v>11788</v>
      </c>
      <c r="FT1121" s="1" t="s">
        <v>691</v>
      </c>
      <c r="FU1121" s="1" t="s">
        <v>204</v>
      </c>
      <c r="FV1121" s="1" t="s">
        <v>11789</v>
      </c>
      <c r="FW1121" s="1" t="s">
        <v>4288</v>
      </c>
      <c r="FX1121" s="1">
        <v>24475</v>
      </c>
      <c r="FY1121" s="1" t="s">
        <v>4289</v>
      </c>
      <c r="FZ1121" s="1" t="s">
        <v>4290</v>
      </c>
      <c r="GA1121" s="1">
        <v>223030</v>
      </c>
      <c r="GB1121" s="1" t="s">
        <v>4291</v>
      </c>
      <c r="GC1121" s="1">
        <v>221476</v>
      </c>
      <c r="GD1121" s="1" t="s">
        <v>4292</v>
      </c>
      <c r="GE1121" s="1" t="s">
        <v>776</v>
      </c>
      <c r="GI1121" s="1" t="s">
        <v>213</v>
      </c>
      <c r="GJ1121" s="1" t="s">
        <v>260</v>
      </c>
      <c r="GK1121" s="1" t="s">
        <v>210</v>
      </c>
      <c r="GL1121" s="2">
        <v>42091</v>
      </c>
      <c r="GM1121" s="1" t="s">
        <v>11790</v>
      </c>
    </row>
    <row r="1122" spans="1:195">
      <c r="A1122" s="1">
        <v>172000</v>
      </c>
      <c r="B1122" s="1" t="s">
        <v>195</v>
      </c>
      <c r="C1122" s="1" t="str">
        <f>"08840627"</f>
        <v>08840627</v>
      </c>
      <c r="D1122" s="1" t="s">
        <v>196</v>
      </c>
      <c r="F1122" s="1" t="str">
        <f>"507"</f>
        <v>507</v>
      </c>
      <c r="G1122" s="2">
        <v>42052</v>
      </c>
      <c r="H1122" s="1">
        <v>174900</v>
      </c>
      <c r="I1122" s="1">
        <v>174900</v>
      </c>
      <c r="J1122" s="1">
        <v>172000</v>
      </c>
      <c r="K1122" s="2">
        <v>42052</v>
      </c>
      <c r="L1122" s="1">
        <v>237</v>
      </c>
      <c r="M1122" s="2">
        <v>42070</v>
      </c>
      <c r="N1122" s="1">
        <v>19</v>
      </c>
      <c r="O1122" s="2">
        <v>42070</v>
      </c>
      <c r="P1122" s="1">
        <v>23076</v>
      </c>
      <c r="Q1122" s="1" t="s">
        <v>197</v>
      </c>
      <c r="R1122" s="2">
        <v>42111</v>
      </c>
      <c r="S1122" s="1">
        <v>233713</v>
      </c>
      <c r="U1122" s="1">
        <v>1076</v>
      </c>
      <c r="V1122" s="1" t="s">
        <v>11791</v>
      </c>
      <c r="W1122" s="1" t="s">
        <v>449</v>
      </c>
      <c r="X1122" s="1">
        <v>1076</v>
      </c>
      <c r="Y1122" s="1">
        <v>6</v>
      </c>
      <c r="Z1122" s="1" t="s">
        <v>370</v>
      </c>
      <c r="AA1122" s="1" t="s">
        <v>1123</v>
      </c>
      <c r="AB1122" s="1">
        <v>60502</v>
      </c>
      <c r="AD1122" s="1" t="s">
        <v>11792</v>
      </c>
      <c r="AE1122" s="1" t="s">
        <v>11793</v>
      </c>
      <c r="AF1122" s="1">
        <v>2000</v>
      </c>
      <c r="AG1122" s="1" t="s">
        <v>204</v>
      </c>
      <c r="AH1122" s="1" t="s">
        <v>1126</v>
      </c>
      <c r="AI1122" s="1" t="s">
        <v>206</v>
      </c>
      <c r="AJ1122" s="1" t="s">
        <v>924</v>
      </c>
      <c r="AK1122" s="1" t="s">
        <v>9888</v>
      </c>
      <c r="AL1122" s="1">
        <v>6</v>
      </c>
      <c r="AM1122" s="1">
        <v>2</v>
      </c>
      <c r="AN1122" s="1">
        <v>2</v>
      </c>
      <c r="AO1122" s="1">
        <v>1</v>
      </c>
      <c r="AP1122" s="1" t="s">
        <v>209</v>
      </c>
      <c r="AQ1122" s="1">
        <v>1</v>
      </c>
      <c r="AR1122" s="1" t="s">
        <v>210</v>
      </c>
      <c r="AS1122" s="1" t="s">
        <v>204</v>
      </c>
      <c r="AT1122" s="1" t="s">
        <v>211</v>
      </c>
      <c r="AU1122" s="1">
        <v>2</v>
      </c>
      <c r="AW1122" s="1" t="s">
        <v>204</v>
      </c>
      <c r="AX1122" s="1" t="s">
        <v>212</v>
      </c>
      <c r="AZ1122" s="1">
        <v>3960.2</v>
      </c>
      <c r="BA1122" s="1">
        <v>2013</v>
      </c>
      <c r="BB1122" s="1" t="s">
        <v>405</v>
      </c>
      <c r="BE1122" s="1">
        <v>0</v>
      </c>
      <c r="BF1122" s="1">
        <v>1</v>
      </c>
      <c r="BG1122" s="1">
        <v>0</v>
      </c>
      <c r="BL1122" s="1">
        <v>168</v>
      </c>
      <c r="BM1122" s="1" t="s">
        <v>204</v>
      </c>
      <c r="BN1122" s="1" t="s">
        <v>213</v>
      </c>
      <c r="BO1122" s="1">
        <v>999</v>
      </c>
      <c r="BP1122" s="1" t="s">
        <v>204</v>
      </c>
      <c r="BR1122" s="1" t="str">
        <f>"0718413183"</f>
        <v>0718413183</v>
      </c>
      <c r="BT1122" s="1" t="s">
        <v>11794</v>
      </c>
      <c r="BU1122" s="1" t="s">
        <v>1129</v>
      </c>
      <c r="BV1122" s="1" t="s">
        <v>1130</v>
      </c>
      <c r="BW1122" s="1" t="s">
        <v>1131</v>
      </c>
      <c r="BX1122" s="1">
        <v>204</v>
      </c>
      <c r="BY1122" s="1">
        <v>204</v>
      </c>
      <c r="BZ1122" s="1">
        <v>204</v>
      </c>
      <c r="CB1122" s="1" t="str">
        <f t="shared" ref="CB1122:CC1122" si="865">"0"</f>
        <v>0</v>
      </c>
      <c r="CC1122" s="1" t="str">
        <f t="shared" si="865"/>
        <v>0</v>
      </c>
      <c r="CD1122" s="1">
        <v>33</v>
      </c>
      <c r="CE1122" s="1">
        <v>6</v>
      </c>
      <c r="CG1122" s="1" t="s">
        <v>515</v>
      </c>
      <c r="CH1122" s="1" t="s">
        <v>219</v>
      </c>
      <c r="CI1122" s="1" t="s">
        <v>229</v>
      </c>
      <c r="CK1122" s="1" t="s">
        <v>757</v>
      </c>
      <c r="CL1122" s="1" t="s">
        <v>277</v>
      </c>
      <c r="CM1122" s="1" t="s">
        <v>220</v>
      </c>
      <c r="CN1122" s="1" t="s">
        <v>343</v>
      </c>
      <c r="CO1122" s="1" t="s">
        <v>346</v>
      </c>
      <c r="CP1122" s="1" t="s">
        <v>219</v>
      </c>
      <c r="CQ1122" s="1" t="s">
        <v>229</v>
      </c>
      <c r="CS1122" s="1" t="s">
        <v>318</v>
      </c>
      <c r="CT1122" s="1" t="s">
        <v>277</v>
      </c>
      <c r="CU1122" s="1" t="s">
        <v>220</v>
      </c>
      <c r="CV1122" s="1" t="s">
        <v>343</v>
      </c>
      <c r="CX1122" s="1" t="s">
        <v>224</v>
      </c>
      <c r="DB1122" s="1" t="s">
        <v>224</v>
      </c>
      <c r="DE1122" s="1" t="s">
        <v>1358</v>
      </c>
      <c r="DF1122" s="1" t="s">
        <v>219</v>
      </c>
      <c r="DG1122" s="1" t="s">
        <v>229</v>
      </c>
      <c r="DJ1122" s="1" t="s">
        <v>224</v>
      </c>
      <c r="DM1122" s="1" t="s">
        <v>464</v>
      </c>
      <c r="DR1122" s="1" t="s">
        <v>602</v>
      </c>
      <c r="DS1122" s="1" t="s">
        <v>277</v>
      </c>
      <c r="DT1122" s="1" t="s">
        <v>220</v>
      </c>
      <c r="DU1122" s="1" t="s">
        <v>343</v>
      </c>
      <c r="DW1122" s="1" t="s">
        <v>230</v>
      </c>
      <c r="EA1122" s="1" t="s">
        <v>230</v>
      </c>
      <c r="EE1122" s="1" t="s">
        <v>230</v>
      </c>
      <c r="EI1122" s="1" t="s">
        <v>230</v>
      </c>
      <c r="EL1122" s="1" t="s">
        <v>466</v>
      </c>
      <c r="EM1122" s="1" t="s">
        <v>319</v>
      </c>
      <c r="EN1122" s="1" t="s">
        <v>282</v>
      </c>
      <c r="EO1122" s="1" t="s">
        <v>1020</v>
      </c>
      <c r="EP1122" s="1" t="s">
        <v>11795</v>
      </c>
      <c r="EQ1122" s="1" t="s">
        <v>236</v>
      </c>
      <c r="ER1122" s="1" t="s">
        <v>383</v>
      </c>
      <c r="ES1122" s="1" t="s">
        <v>1552</v>
      </c>
      <c r="EU1122" s="1" t="s">
        <v>610</v>
      </c>
      <c r="EV1122" s="1" t="s">
        <v>324</v>
      </c>
      <c r="EW1122" s="1" t="s">
        <v>1617</v>
      </c>
      <c r="EY1122" s="1" t="s">
        <v>242</v>
      </c>
      <c r="EZ1122" s="1" t="s">
        <v>464</v>
      </c>
      <c r="FA1122" s="1" t="s">
        <v>1072</v>
      </c>
      <c r="FB1122" s="1" t="s">
        <v>289</v>
      </c>
      <c r="FD1122" s="1" t="s">
        <v>246</v>
      </c>
      <c r="FE1122" s="1" t="s">
        <v>975</v>
      </c>
      <c r="FF1122" s="1" t="s">
        <v>248</v>
      </c>
      <c r="FG1122" s="1" t="s">
        <v>11796</v>
      </c>
      <c r="FH1122" s="1" t="s">
        <v>550</v>
      </c>
      <c r="FI1122" s="1" t="s">
        <v>357</v>
      </c>
      <c r="FJ1122" s="1" t="s">
        <v>1179</v>
      </c>
      <c r="FL1122" s="1" t="s">
        <v>358</v>
      </c>
      <c r="FM1122" s="1" t="s">
        <v>252</v>
      </c>
      <c r="FN1122" s="1" t="s">
        <v>213</v>
      </c>
      <c r="FO1122" s="1" t="s">
        <v>213</v>
      </c>
      <c r="FQ1122" s="1" t="s">
        <v>11797</v>
      </c>
      <c r="FR1122" s="1" t="s">
        <v>210</v>
      </c>
      <c r="FS1122" s="1" t="s">
        <v>11798</v>
      </c>
      <c r="FT1122" s="1" t="s">
        <v>675</v>
      </c>
      <c r="FU1122" s="1" t="s">
        <v>204</v>
      </c>
      <c r="FW1122" s="1" t="s">
        <v>943</v>
      </c>
      <c r="FX1122" s="1">
        <v>23120</v>
      </c>
      <c r="FY1122" s="1" t="s">
        <v>944</v>
      </c>
      <c r="FZ1122" s="1" t="s">
        <v>11799</v>
      </c>
      <c r="GA1122" s="1">
        <v>217549</v>
      </c>
      <c r="GB1122" s="1" t="s">
        <v>11800</v>
      </c>
      <c r="GC1122" s="1">
        <v>216797</v>
      </c>
      <c r="GE1122" s="1" t="s">
        <v>1256</v>
      </c>
      <c r="GI1122" s="1" t="s">
        <v>213</v>
      </c>
      <c r="GJ1122" s="1" t="s">
        <v>260</v>
      </c>
      <c r="GK1122" s="1" t="s">
        <v>210</v>
      </c>
      <c r="GL1122" s="2">
        <v>42112</v>
      </c>
      <c r="GM1122" s="1" t="s">
        <v>11801</v>
      </c>
    </row>
    <row r="1123" spans="1:195">
      <c r="A1123" s="1">
        <v>118000</v>
      </c>
      <c r="B1123" s="1" t="s">
        <v>195</v>
      </c>
      <c r="C1123" s="1" t="str">
        <f>"08840749"</f>
        <v>08840749</v>
      </c>
      <c r="D1123" s="1" t="s">
        <v>196</v>
      </c>
      <c r="F1123" s="1" t="str">
        <f>"137"</f>
        <v>137</v>
      </c>
      <c r="G1123" s="2">
        <v>42052</v>
      </c>
      <c r="H1123" s="1">
        <v>129000</v>
      </c>
      <c r="I1123" s="1">
        <v>129000</v>
      </c>
      <c r="J1123" s="1">
        <v>118000</v>
      </c>
      <c r="K1123" s="2">
        <v>42052</v>
      </c>
      <c r="L1123" s="1">
        <v>11</v>
      </c>
      <c r="M1123" s="2">
        <v>42062</v>
      </c>
      <c r="N1123" s="1">
        <v>11</v>
      </c>
      <c r="O1123" s="2">
        <v>42062</v>
      </c>
      <c r="P1123" s="1">
        <v>25083</v>
      </c>
      <c r="Q1123" s="1" t="s">
        <v>302</v>
      </c>
      <c r="R1123" s="2">
        <v>42137</v>
      </c>
      <c r="S1123" s="1">
        <v>259585</v>
      </c>
      <c r="U1123" s="1">
        <v>461</v>
      </c>
      <c r="V1123" s="1" t="s">
        <v>1101</v>
      </c>
      <c r="W1123" s="1" t="s">
        <v>304</v>
      </c>
      <c r="X1123" s="1" t="s">
        <v>2010</v>
      </c>
      <c r="Y1123" s="1">
        <v>8</v>
      </c>
      <c r="Z1123" s="1" t="s">
        <v>249</v>
      </c>
      <c r="AA1123" s="1" t="s">
        <v>201</v>
      </c>
      <c r="AB1123" s="1">
        <v>60137</v>
      </c>
      <c r="AC1123" s="1">
        <v>6712</v>
      </c>
      <c r="AD1123" s="1" t="s">
        <v>9381</v>
      </c>
      <c r="AE1123" s="1" t="s">
        <v>11802</v>
      </c>
      <c r="AF1123" s="1">
        <v>1974</v>
      </c>
      <c r="AG1123" s="1" t="s">
        <v>213</v>
      </c>
      <c r="AH1123" s="1" t="s">
        <v>205</v>
      </c>
      <c r="AI1123" s="1" t="s">
        <v>206</v>
      </c>
      <c r="AJ1123" s="1" t="s">
        <v>207</v>
      </c>
      <c r="AL1123" s="1">
        <v>5</v>
      </c>
      <c r="AM1123" s="1">
        <v>2</v>
      </c>
      <c r="AN1123" s="1">
        <v>2</v>
      </c>
      <c r="AO1123" s="1">
        <v>0</v>
      </c>
      <c r="AP1123" s="1" t="s">
        <v>209</v>
      </c>
      <c r="AQ1123" s="1">
        <v>0</v>
      </c>
      <c r="AR1123" s="1" t="s">
        <v>210</v>
      </c>
      <c r="AS1123" s="1" t="s">
        <v>204</v>
      </c>
      <c r="AT1123" s="1" t="s">
        <v>271</v>
      </c>
      <c r="AV1123" s="1">
        <v>2</v>
      </c>
      <c r="AW1123" s="1" t="s">
        <v>204</v>
      </c>
      <c r="AX1123" s="1" t="s">
        <v>212</v>
      </c>
      <c r="AZ1123" s="1">
        <v>2466</v>
      </c>
      <c r="BA1123" s="1">
        <v>2013</v>
      </c>
      <c r="BB1123" s="1" t="s">
        <v>405</v>
      </c>
      <c r="BE1123" s="1">
        <v>1198</v>
      </c>
      <c r="BF1123" s="1">
        <v>1</v>
      </c>
      <c r="BG1123" s="1">
        <v>30</v>
      </c>
      <c r="BL1123" s="1">
        <v>280</v>
      </c>
      <c r="BM1123" s="1" t="s">
        <v>204</v>
      </c>
      <c r="BN1123" s="1" t="s">
        <v>204</v>
      </c>
      <c r="BP1123" s="1" t="s">
        <v>204</v>
      </c>
      <c r="BR1123" s="1" t="str">
        <f>"0523321191"</f>
        <v>0523321191</v>
      </c>
      <c r="BT1123" s="1" t="s">
        <v>11803</v>
      </c>
      <c r="BX1123" s="1">
        <v>89</v>
      </c>
      <c r="BY1123" s="1">
        <v>89</v>
      </c>
      <c r="BZ1123" s="1">
        <v>87</v>
      </c>
      <c r="CB1123" s="1" t="str">
        <f t="shared" ref="CB1123:CC1123" si="866">"0"</f>
        <v>0</v>
      </c>
      <c r="CC1123" s="1" t="str">
        <f t="shared" si="866"/>
        <v>0</v>
      </c>
      <c r="CD1123" s="1">
        <v>22</v>
      </c>
      <c r="CE1123" s="1">
        <v>1</v>
      </c>
      <c r="CG1123" s="1" t="s">
        <v>6197</v>
      </c>
      <c r="CH1123" s="1" t="s">
        <v>219</v>
      </c>
      <c r="CI1123" s="1" t="s">
        <v>438</v>
      </c>
      <c r="CK1123" s="1" t="s">
        <v>278</v>
      </c>
      <c r="CL1123" s="1" t="s">
        <v>219</v>
      </c>
      <c r="CM1123" s="1" t="s">
        <v>220</v>
      </c>
      <c r="CO1123" s="1" t="s">
        <v>837</v>
      </c>
      <c r="CP1123" s="1" t="s">
        <v>219</v>
      </c>
      <c r="CQ1123" s="1" t="s">
        <v>438</v>
      </c>
      <c r="CS1123" s="1" t="s">
        <v>539</v>
      </c>
      <c r="CT1123" s="1" t="s">
        <v>219</v>
      </c>
      <c r="CU1123" s="1" t="s">
        <v>220</v>
      </c>
      <c r="CX1123" s="1" t="s">
        <v>224</v>
      </c>
      <c r="DB1123" s="1" t="s">
        <v>224</v>
      </c>
      <c r="DE1123" s="1" t="s">
        <v>409</v>
      </c>
      <c r="DF1123" s="1" t="s">
        <v>219</v>
      </c>
      <c r="DH1123" s="1" t="s">
        <v>210</v>
      </c>
      <c r="DJ1123" s="1" t="s">
        <v>224</v>
      </c>
      <c r="DS1123" s="1" t="s">
        <v>230</v>
      </c>
      <c r="DW1123" s="1" t="s">
        <v>230</v>
      </c>
      <c r="EA1123" s="1" t="s">
        <v>230</v>
      </c>
      <c r="EE1123" s="1" t="s">
        <v>230</v>
      </c>
      <c r="EI1123" s="1" t="s">
        <v>230</v>
      </c>
      <c r="EL1123" s="1" t="s">
        <v>605</v>
      </c>
      <c r="EM1123" s="1" t="s">
        <v>232</v>
      </c>
      <c r="EN1123" s="1" t="s">
        <v>282</v>
      </c>
      <c r="EO1123" s="1" t="s">
        <v>234</v>
      </c>
      <c r="EP1123" s="1" t="s">
        <v>11804</v>
      </c>
      <c r="EQ1123" s="1" t="s">
        <v>953</v>
      </c>
      <c r="ER1123" s="1" t="s">
        <v>210</v>
      </c>
      <c r="ES1123" s="1" t="s">
        <v>545</v>
      </c>
      <c r="EU1123" s="1" t="s">
        <v>712</v>
      </c>
      <c r="EV1123" s="1" t="s">
        <v>324</v>
      </c>
      <c r="EW1123" s="1" t="s">
        <v>6280</v>
      </c>
      <c r="EY1123" s="1" t="s">
        <v>242</v>
      </c>
      <c r="EZ1123" s="1" t="s">
        <v>287</v>
      </c>
      <c r="FB1123" s="1" t="s">
        <v>7927</v>
      </c>
      <c r="FD1123" s="1" t="s">
        <v>1112</v>
      </c>
      <c r="FE1123" s="1" t="s">
        <v>651</v>
      </c>
      <c r="FF1123" s="1" t="s">
        <v>248</v>
      </c>
      <c r="FH1123" s="1" t="s">
        <v>716</v>
      </c>
      <c r="FK1123" s="1" t="s">
        <v>4663</v>
      </c>
      <c r="FL1123" s="1" t="s">
        <v>414</v>
      </c>
      <c r="FM1123" s="1" t="s">
        <v>252</v>
      </c>
      <c r="FN1123" s="1" t="s">
        <v>213</v>
      </c>
      <c r="FO1123" s="1" t="s">
        <v>213</v>
      </c>
      <c r="FQ1123" s="1" t="s">
        <v>11805</v>
      </c>
      <c r="FR1123" s="1" t="s">
        <v>210</v>
      </c>
      <c r="FS1123" s="1" t="s">
        <v>11806</v>
      </c>
      <c r="FT1123" s="1" t="s">
        <v>362</v>
      </c>
      <c r="FU1123" s="1" t="s">
        <v>213</v>
      </c>
      <c r="FW1123" s="1" t="s">
        <v>11807</v>
      </c>
      <c r="FX1123" s="1">
        <v>12112</v>
      </c>
      <c r="FY1123" s="1" t="s">
        <v>11808</v>
      </c>
      <c r="FZ1123" s="1" t="s">
        <v>11809</v>
      </c>
      <c r="GA1123" s="1">
        <v>188425</v>
      </c>
      <c r="GB1123" s="1" t="s">
        <v>11810</v>
      </c>
      <c r="GD1123" s="1" t="s">
        <v>11811</v>
      </c>
      <c r="GE1123" s="1" t="s">
        <v>1576</v>
      </c>
      <c r="GI1123" s="1" t="s">
        <v>213</v>
      </c>
      <c r="GJ1123" s="1" t="s">
        <v>260</v>
      </c>
      <c r="GK1123" s="1" t="s">
        <v>210</v>
      </c>
      <c r="GL1123" s="2">
        <v>42137</v>
      </c>
      <c r="GM1123" s="1" t="s">
        <v>11812</v>
      </c>
    </row>
    <row r="1124" spans="1:195">
      <c r="A1124" s="1">
        <v>106000</v>
      </c>
      <c r="B1124" s="1" t="s">
        <v>195</v>
      </c>
      <c r="C1124" s="1" t="str">
        <f>"08841686"</f>
        <v>08841686</v>
      </c>
      <c r="D1124" s="1" t="s">
        <v>196</v>
      </c>
      <c r="F1124" s="1" t="str">
        <f>"635"</f>
        <v>635</v>
      </c>
      <c r="G1124" s="2">
        <v>42053</v>
      </c>
      <c r="H1124" s="1">
        <v>110000</v>
      </c>
      <c r="I1124" s="1">
        <v>110000</v>
      </c>
      <c r="J1124" s="1">
        <v>106000</v>
      </c>
      <c r="K1124" s="2">
        <v>42053</v>
      </c>
      <c r="L1124" s="1">
        <v>11</v>
      </c>
      <c r="M1124" s="2">
        <v>42063</v>
      </c>
      <c r="N1124" s="1">
        <v>11</v>
      </c>
      <c r="O1124" s="2">
        <v>42063</v>
      </c>
      <c r="P1124" s="1">
        <v>24587</v>
      </c>
      <c r="Q1124" s="1" t="s">
        <v>197</v>
      </c>
      <c r="R1124" s="2">
        <v>42111</v>
      </c>
      <c r="S1124" s="1">
        <v>241003</v>
      </c>
      <c r="U1124" s="1">
        <v>2016</v>
      </c>
      <c r="V1124" s="1" t="s">
        <v>11813</v>
      </c>
      <c r="W1124" s="1" t="s">
        <v>425</v>
      </c>
      <c r="X1124" s="1" t="s">
        <v>2798</v>
      </c>
      <c r="Y1124" s="1">
        <v>12</v>
      </c>
      <c r="Z1124" s="1" t="s">
        <v>249</v>
      </c>
      <c r="AA1124" s="1" t="s">
        <v>2377</v>
      </c>
      <c r="AB1124" s="1">
        <v>60707</v>
      </c>
      <c r="AE1124" s="1" t="s">
        <v>11814</v>
      </c>
      <c r="AF1124" s="1">
        <v>1975</v>
      </c>
      <c r="AG1124" s="1" t="s">
        <v>213</v>
      </c>
      <c r="AH1124" s="1" t="s">
        <v>5686</v>
      </c>
      <c r="AI1124" s="1" t="s">
        <v>310</v>
      </c>
      <c r="AJ1124" s="1" t="s">
        <v>311</v>
      </c>
      <c r="AL1124" s="1">
        <v>5</v>
      </c>
      <c r="AM1124" s="1">
        <v>2</v>
      </c>
      <c r="AN1124" s="1">
        <v>1</v>
      </c>
      <c r="AO1124" s="1">
        <v>1</v>
      </c>
      <c r="AP1124" s="1" t="s">
        <v>1234</v>
      </c>
      <c r="AR1124" s="1" t="s">
        <v>210</v>
      </c>
      <c r="AT1124" s="1" t="s">
        <v>271</v>
      </c>
      <c r="AV1124" s="1">
        <v>1</v>
      </c>
      <c r="AW1124" s="1" t="s">
        <v>204</v>
      </c>
      <c r="AX1124" s="1" t="s">
        <v>212</v>
      </c>
      <c r="AZ1124" s="1">
        <v>2757</v>
      </c>
      <c r="BA1124" s="1">
        <v>2013</v>
      </c>
      <c r="BB1124" s="1" t="s">
        <v>405</v>
      </c>
      <c r="BE1124" s="1">
        <v>0</v>
      </c>
      <c r="BF1124" s="1">
        <v>3</v>
      </c>
      <c r="BG1124" s="1">
        <v>15</v>
      </c>
      <c r="BJ1124" s="1">
        <v>100</v>
      </c>
      <c r="BL1124" s="1">
        <v>175</v>
      </c>
      <c r="BM1124" s="1" t="s">
        <v>204</v>
      </c>
      <c r="BN1124" s="1" t="s">
        <v>213</v>
      </c>
      <c r="BO1124" s="1">
        <v>999</v>
      </c>
      <c r="BP1124" s="1" t="s">
        <v>204</v>
      </c>
      <c r="BR1124" s="1" t="str">
        <f>"12362310501003"</f>
        <v>12362310501003</v>
      </c>
      <c r="BT1124" s="1" t="s">
        <v>11815</v>
      </c>
      <c r="BX1124" s="1">
        <v>401</v>
      </c>
      <c r="BY1124" s="1">
        <v>401</v>
      </c>
      <c r="BZ1124" s="1">
        <v>401</v>
      </c>
      <c r="CB1124" s="1" t="str">
        <f>"2000"</f>
        <v>2000</v>
      </c>
      <c r="CC1124" s="1" t="str">
        <f>"0"</f>
        <v>0</v>
      </c>
      <c r="CD1124" s="1">
        <v>7300</v>
      </c>
      <c r="CE1124" s="1">
        <v>0</v>
      </c>
      <c r="CG1124" s="1" t="s">
        <v>729</v>
      </c>
      <c r="CH1124" s="1" t="s">
        <v>219</v>
      </c>
      <c r="CI1124" s="1" t="s">
        <v>1236</v>
      </c>
      <c r="CJ1124" s="1" t="s">
        <v>252</v>
      </c>
      <c r="CK1124" s="1" t="s">
        <v>317</v>
      </c>
      <c r="CL1124" s="1" t="s">
        <v>219</v>
      </c>
      <c r="CM1124" s="1" t="s">
        <v>1236</v>
      </c>
      <c r="CN1124" s="1" t="s">
        <v>252</v>
      </c>
      <c r="CO1124" s="1" t="s">
        <v>1046</v>
      </c>
      <c r="CP1124" s="1" t="s">
        <v>219</v>
      </c>
      <c r="CQ1124" s="1" t="s">
        <v>1236</v>
      </c>
      <c r="CR1124" s="1" t="s">
        <v>252</v>
      </c>
      <c r="CS1124" s="1" t="s">
        <v>1046</v>
      </c>
      <c r="CT1124" s="1" t="s">
        <v>219</v>
      </c>
      <c r="CU1124" s="1" t="s">
        <v>1236</v>
      </c>
      <c r="CV1124" s="1" t="s">
        <v>252</v>
      </c>
      <c r="CX1124" s="1" t="s">
        <v>224</v>
      </c>
      <c r="DB1124" s="1" t="s">
        <v>224</v>
      </c>
      <c r="DE1124" s="1" t="s">
        <v>409</v>
      </c>
      <c r="DF1124" s="1" t="s">
        <v>219</v>
      </c>
      <c r="DG1124" s="1" t="s">
        <v>226</v>
      </c>
      <c r="DH1124" s="1" t="s">
        <v>252</v>
      </c>
      <c r="DJ1124" s="1" t="s">
        <v>224</v>
      </c>
      <c r="DS1124" s="1" t="s">
        <v>230</v>
      </c>
      <c r="DW1124" s="1" t="s">
        <v>230</v>
      </c>
      <c r="EA1124" s="1" t="s">
        <v>230</v>
      </c>
      <c r="EE1124" s="1" t="s">
        <v>230</v>
      </c>
      <c r="EI1124" s="1" t="s">
        <v>230</v>
      </c>
      <c r="EL1124" s="1" t="s">
        <v>231</v>
      </c>
      <c r="EM1124" s="1" t="s">
        <v>232</v>
      </c>
      <c r="EN1124" s="1" t="s">
        <v>1158</v>
      </c>
      <c r="EO1124" s="1" t="s">
        <v>234</v>
      </c>
      <c r="EQ1124" s="1" t="s">
        <v>1109</v>
      </c>
      <c r="ER1124" s="1" t="s">
        <v>210</v>
      </c>
      <c r="ES1124" s="1" t="s">
        <v>322</v>
      </c>
      <c r="EV1124" s="1" t="s">
        <v>324</v>
      </c>
      <c r="EW1124" s="1" t="s">
        <v>3792</v>
      </c>
      <c r="EZ1124" s="1" t="s">
        <v>287</v>
      </c>
      <c r="FB1124" s="1" t="s">
        <v>734</v>
      </c>
      <c r="FD1124" s="1" t="s">
        <v>290</v>
      </c>
      <c r="FE1124" s="1" t="s">
        <v>247</v>
      </c>
      <c r="FF1124" s="1" t="s">
        <v>2998</v>
      </c>
      <c r="FH1124" s="1" t="s">
        <v>249</v>
      </c>
      <c r="FK1124" s="1" t="s">
        <v>291</v>
      </c>
      <c r="FL1124" s="1" t="s">
        <v>5090</v>
      </c>
      <c r="FM1124" s="1" t="s">
        <v>252</v>
      </c>
      <c r="FN1124" s="1" t="s">
        <v>213</v>
      </c>
      <c r="FO1124" s="1" t="s">
        <v>204</v>
      </c>
      <c r="FQ1124" s="1" t="s">
        <v>793</v>
      </c>
      <c r="FR1124" s="1" t="s">
        <v>210</v>
      </c>
      <c r="FS1124" s="1" t="s">
        <v>11816</v>
      </c>
      <c r="FT1124" s="1" t="s">
        <v>295</v>
      </c>
      <c r="FU1124" s="1" t="s">
        <v>213</v>
      </c>
      <c r="FW1124" s="1" t="s">
        <v>11817</v>
      </c>
      <c r="FX1124" s="1">
        <v>85240</v>
      </c>
      <c r="FY1124" s="1" t="s">
        <v>11818</v>
      </c>
      <c r="FZ1124" s="1" t="s">
        <v>11819</v>
      </c>
      <c r="GA1124" s="1">
        <v>163391</v>
      </c>
      <c r="GB1124" s="1" t="s">
        <v>11818</v>
      </c>
      <c r="GE1124" s="1" t="s">
        <v>210</v>
      </c>
      <c r="GH1124" s="1" t="s">
        <v>230</v>
      </c>
      <c r="GI1124" s="1" t="s">
        <v>204</v>
      </c>
      <c r="GJ1124" s="1" t="s">
        <v>260</v>
      </c>
      <c r="GK1124" s="1" t="s">
        <v>4920</v>
      </c>
      <c r="GL1124" s="2">
        <v>42112</v>
      </c>
    </row>
    <row r="1125" spans="1:195">
      <c r="A1125" s="1">
        <v>77000</v>
      </c>
      <c r="B1125" s="1" t="s">
        <v>195</v>
      </c>
      <c r="C1125" s="1" t="str">
        <f>"08845168"</f>
        <v>08845168</v>
      </c>
      <c r="D1125" s="1" t="s">
        <v>196</v>
      </c>
      <c r="F1125" s="1" t="str">
        <f>"543"</f>
        <v>543</v>
      </c>
      <c r="G1125" s="2">
        <v>42059</v>
      </c>
      <c r="H1125" s="1">
        <v>89900</v>
      </c>
      <c r="I1125" s="1">
        <v>89900</v>
      </c>
      <c r="J1125" s="1">
        <v>77000</v>
      </c>
      <c r="K1125" s="2">
        <v>42058</v>
      </c>
      <c r="L1125" s="1">
        <v>184</v>
      </c>
      <c r="M1125" s="2">
        <v>42079</v>
      </c>
      <c r="N1125" s="1">
        <v>22</v>
      </c>
      <c r="O1125" s="2">
        <v>42079</v>
      </c>
      <c r="P1125" s="1">
        <v>23099</v>
      </c>
      <c r="Q1125" s="1" t="s">
        <v>197</v>
      </c>
      <c r="R1125" s="2">
        <v>42114</v>
      </c>
      <c r="S1125" s="1">
        <v>233654</v>
      </c>
      <c r="T1125" s="1">
        <v>5973</v>
      </c>
      <c r="U1125" s="1">
        <v>107</v>
      </c>
      <c r="V1125" s="1" t="s">
        <v>3397</v>
      </c>
      <c r="W1125" s="1" t="s">
        <v>304</v>
      </c>
      <c r="Y1125" s="1">
        <v>4</v>
      </c>
      <c r="Z1125" s="1" t="s">
        <v>370</v>
      </c>
      <c r="AA1125" s="1" t="s">
        <v>2639</v>
      </c>
      <c r="AB1125" s="1">
        <v>60543</v>
      </c>
      <c r="AE1125" s="1" t="s">
        <v>11820</v>
      </c>
      <c r="AF1125" s="1">
        <v>1996</v>
      </c>
      <c r="AG1125" s="1" t="s">
        <v>204</v>
      </c>
      <c r="AH1125" s="1" t="s">
        <v>1397</v>
      </c>
      <c r="AI1125" s="1" t="s">
        <v>453</v>
      </c>
      <c r="AJ1125" s="1" t="s">
        <v>1397</v>
      </c>
      <c r="AL1125" s="1">
        <v>5</v>
      </c>
      <c r="AM1125" s="1">
        <v>2</v>
      </c>
      <c r="AN1125" s="1">
        <v>2</v>
      </c>
      <c r="AO1125" s="1">
        <v>1</v>
      </c>
      <c r="AP1125" s="1" t="s">
        <v>209</v>
      </c>
      <c r="AQ1125" s="1">
        <v>1</v>
      </c>
      <c r="AR1125" s="1" t="s">
        <v>210</v>
      </c>
      <c r="AS1125" s="1" t="s">
        <v>204</v>
      </c>
      <c r="AT1125" s="1" t="s">
        <v>211</v>
      </c>
      <c r="AU1125" s="1">
        <v>1</v>
      </c>
      <c r="AW1125" s="1" t="s">
        <v>204</v>
      </c>
      <c r="AX1125" s="1">
        <v>1993</v>
      </c>
      <c r="AZ1125" s="1">
        <v>4003</v>
      </c>
      <c r="BA1125" s="1">
        <v>2013</v>
      </c>
      <c r="BE1125" s="1">
        <v>1392</v>
      </c>
      <c r="BF1125" s="1">
        <v>1</v>
      </c>
      <c r="BG1125" s="1">
        <v>0</v>
      </c>
      <c r="BL1125" s="1">
        <v>142</v>
      </c>
      <c r="BM1125" s="1" t="s">
        <v>413</v>
      </c>
      <c r="BN1125" s="1" t="s">
        <v>213</v>
      </c>
      <c r="BO1125" s="1">
        <v>999</v>
      </c>
      <c r="BP1125" s="1" t="s">
        <v>204</v>
      </c>
      <c r="BR1125" s="1" t="str">
        <f>"0303155031"</f>
        <v>0303155031</v>
      </c>
      <c r="BT1125" s="1" t="s">
        <v>11821</v>
      </c>
      <c r="BX1125" s="1">
        <v>308</v>
      </c>
      <c r="BY1125" s="1">
        <v>308</v>
      </c>
      <c r="BZ1125" s="1">
        <v>308</v>
      </c>
      <c r="CB1125" s="1" t="str">
        <f t="shared" ref="CB1125:CC1125" si="867">""</f>
        <v/>
      </c>
      <c r="CC1125" s="1" t="str">
        <f t="shared" si="867"/>
        <v/>
      </c>
      <c r="CG1125" s="1" t="s">
        <v>5427</v>
      </c>
      <c r="CH1125" s="1" t="s">
        <v>219</v>
      </c>
      <c r="CI1125" s="1" t="s">
        <v>229</v>
      </c>
      <c r="CK1125" s="1" t="s">
        <v>221</v>
      </c>
      <c r="CL1125" s="1" t="s">
        <v>277</v>
      </c>
      <c r="CO1125" s="1" t="s">
        <v>629</v>
      </c>
      <c r="CP1125" s="1" t="s">
        <v>219</v>
      </c>
      <c r="CQ1125" s="1" t="s">
        <v>229</v>
      </c>
      <c r="CS1125" s="1" t="s">
        <v>465</v>
      </c>
      <c r="CT1125" s="1" t="s">
        <v>277</v>
      </c>
      <c r="CX1125" s="1" t="s">
        <v>224</v>
      </c>
      <c r="DB1125" s="1" t="s">
        <v>224</v>
      </c>
      <c r="DE1125" s="1" t="s">
        <v>837</v>
      </c>
      <c r="DF1125" s="1" t="s">
        <v>219</v>
      </c>
      <c r="DJ1125" s="1" t="s">
        <v>224</v>
      </c>
      <c r="DS1125" s="1" t="s">
        <v>230</v>
      </c>
      <c r="DW1125" s="1" t="s">
        <v>230</v>
      </c>
      <c r="EA1125" s="1" t="s">
        <v>230</v>
      </c>
      <c r="EE1125" s="1" t="s">
        <v>230</v>
      </c>
      <c r="EI1125" s="1" t="s">
        <v>230</v>
      </c>
      <c r="EL1125" s="1" t="s">
        <v>670</v>
      </c>
      <c r="EM1125" s="1" t="s">
        <v>319</v>
      </c>
      <c r="EN1125" s="1" t="s">
        <v>282</v>
      </c>
      <c r="EO1125" s="1" t="s">
        <v>234</v>
      </c>
      <c r="ER1125" s="1" t="s">
        <v>210</v>
      </c>
      <c r="EW1125" s="1" t="s">
        <v>867</v>
      </c>
      <c r="EZ1125" s="1" t="s">
        <v>287</v>
      </c>
      <c r="FB1125" s="1" t="s">
        <v>289</v>
      </c>
      <c r="FD1125" s="1" t="s">
        <v>246</v>
      </c>
      <c r="FE1125" s="1" t="s">
        <v>355</v>
      </c>
      <c r="FF1125" s="1" t="s">
        <v>248</v>
      </c>
      <c r="FH1125" s="1" t="s">
        <v>550</v>
      </c>
      <c r="FL1125" s="1" t="s">
        <v>414</v>
      </c>
      <c r="FM1125" s="1" t="s">
        <v>252</v>
      </c>
      <c r="FN1125" s="1" t="s">
        <v>213</v>
      </c>
      <c r="FO1125" s="1" t="s">
        <v>213</v>
      </c>
      <c r="FQ1125" s="1" t="s">
        <v>11822</v>
      </c>
      <c r="FR1125" s="1" t="s">
        <v>210</v>
      </c>
      <c r="FS1125" s="1" t="s">
        <v>11823</v>
      </c>
      <c r="FT1125" s="1" t="s">
        <v>255</v>
      </c>
      <c r="FU1125" s="1" t="s">
        <v>204</v>
      </c>
      <c r="FW1125" s="1" t="s">
        <v>1857</v>
      </c>
      <c r="FX1125" s="1">
        <v>22993</v>
      </c>
      <c r="FY1125" s="1" t="s">
        <v>1858</v>
      </c>
      <c r="FZ1125" s="1" t="s">
        <v>11824</v>
      </c>
      <c r="GA1125" s="1">
        <v>213357</v>
      </c>
      <c r="GB1125" s="1" t="s">
        <v>11825</v>
      </c>
      <c r="GE1125" s="1" t="s">
        <v>210</v>
      </c>
      <c r="GI1125" s="1" t="s">
        <v>204</v>
      </c>
      <c r="GJ1125" s="1" t="s">
        <v>260</v>
      </c>
      <c r="GK1125" s="1" t="s">
        <v>210</v>
      </c>
      <c r="GL1125" s="2">
        <v>42118</v>
      </c>
      <c r="GM1125" s="1" t="s">
        <v>11826</v>
      </c>
    </row>
    <row r="1126" spans="1:195">
      <c r="A1126" s="1">
        <v>166225</v>
      </c>
      <c r="B1126" s="1" t="s">
        <v>195</v>
      </c>
      <c r="C1126" s="1" t="str">
        <f>"08845033"</f>
        <v>08845033</v>
      </c>
      <c r="D1126" s="1" t="s">
        <v>196</v>
      </c>
      <c r="F1126" s="1" t="str">
        <f>"555"</f>
        <v>555</v>
      </c>
      <c r="G1126" s="2">
        <v>42058</v>
      </c>
      <c r="H1126" s="1">
        <v>179000</v>
      </c>
      <c r="I1126" s="1">
        <v>176000</v>
      </c>
      <c r="J1126" s="1">
        <v>166225</v>
      </c>
      <c r="K1126" s="2">
        <v>42058</v>
      </c>
      <c r="L1126" s="1">
        <v>29</v>
      </c>
      <c r="M1126" s="2">
        <v>42086</v>
      </c>
      <c r="N1126" s="1">
        <v>29</v>
      </c>
      <c r="O1126" s="2">
        <v>42086</v>
      </c>
      <c r="P1126" s="1">
        <v>8079</v>
      </c>
      <c r="Q1126" s="1" t="s">
        <v>197</v>
      </c>
      <c r="R1126" s="2">
        <v>42111</v>
      </c>
      <c r="S1126" s="1">
        <v>87946</v>
      </c>
      <c r="T1126" s="1">
        <v>3600</v>
      </c>
      <c r="U1126" s="1" t="s">
        <v>11827</v>
      </c>
      <c r="V1126" s="1" t="s">
        <v>4986</v>
      </c>
      <c r="W1126" s="1" t="s">
        <v>264</v>
      </c>
      <c r="X1126" s="1" t="s">
        <v>11828</v>
      </c>
      <c r="Y1126" s="1">
        <v>4</v>
      </c>
      <c r="Z1126" s="1" t="s">
        <v>370</v>
      </c>
      <c r="AA1126" s="1" t="s">
        <v>984</v>
      </c>
      <c r="AB1126" s="1">
        <v>60555</v>
      </c>
      <c r="AD1126" s="1" t="s">
        <v>11829</v>
      </c>
      <c r="AE1126" s="1" t="s">
        <v>11830</v>
      </c>
      <c r="AF1126" s="1">
        <v>1990</v>
      </c>
      <c r="AG1126" s="1" t="s">
        <v>204</v>
      </c>
      <c r="AH1126" s="1" t="s">
        <v>986</v>
      </c>
      <c r="AI1126" s="1" t="s">
        <v>206</v>
      </c>
      <c r="AJ1126" s="1" t="s">
        <v>987</v>
      </c>
      <c r="AL1126" s="1">
        <v>6</v>
      </c>
      <c r="AM1126" s="1">
        <v>2</v>
      </c>
      <c r="AN1126" s="1">
        <v>1</v>
      </c>
      <c r="AO1126" s="1">
        <v>1</v>
      </c>
      <c r="AP1126" s="1" t="s">
        <v>667</v>
      </c>
      <c r="AQ1126" s="1">
        <v>1</v>
      </c>
      <c r="AR1126" s="1" t="s">
        <v>210</v>
      </c>
      <c r="AS1126" s="1" t="s">
        <v>204</v>
      </c>
      <c r="AT1126" s="1" t="s">
        <v>211</v>
      </c>
      <c r="AU1126" s="1">
        <v>2</v>
      </c>
      <c r="AW1126" s="1" t="s">
        <v>204</v>
      </c>
      <c r="AX1126" s="1" t="s">
        <v>212</v>
      </c>
      <c r="AZ1126" s="1">
        <v>3410</v>
      </c>
      <c r="BA1126" s="1">
        <v>2013</v>
      </c>
      <c r="BB1126" s="1" t="s">
        <v>405</v>
      </c>
      <c r="BE1126" s="1">
        <v>1448</v>
      </c>
      <c r="BF1126" s="1">
        <v>1</v>
      </c>
      <c r="BG1126" s="1">
        <v>0</v>
      </c>
      <c r="BL1126" s="1">
        <v>215</v>
      </c>
      <c r="BM1126" s="1" t="s">
        <v>204</v>
      </c>
      <c r="BN1126" s="1" t="s">
        <v>213</v>
      </c>
      <c r="BP1126" s="1" t="s">
        <v>204</v>
      </c>
      <c r="BR1126" s="1" t="str">
        <f>"0434124054"</f>
        <v>0434124054</v>
      </c>
      <c r="BT1126" s="1" t="s">
        <v>11831</v>
      </c>
      <c r="BU1126" s="1" t="s">
        <v>989</v>
      </c>
      <c r="BV1126" s="1" t="s">
        <v>990</v>
      </c>
      <c r="BW1126" s="1" t="s">
        <v>971</v>
      </c>
      <c r="BX1126" s="1">
        <v>200</v>
      </c>
      <c r="BY1126" s="1">
        <v>200</v>
      </c>
      <c r="BZ1126" s="1">
        <v>200</v>
      </c>
      <c r="CB1126" s="1" t="str">
        <f t="shared" ref="CB1126:CC1126" si="868">"0"</f>
        <v>0</v>
      </c>
      <c r="CC1126" s="1" t="str">
        <f t="shared" si="868"/>
        <v>0</v>
      </c>
      <c r="CD1126" s="1">
        <v>29</v>
      </c>
      <c r="CE1126" s="1">
        <v>3</v>
      </c>
      <c r="CG1126" s="1" t="s">
        <v>538</v>
      </c>
      <c r="CH1126" s="1" t="s">
        <v>219</v>
      </c>
      <c r="CI1126" s="1" t="s">
        <v>220</v>
      </c>
      <c r="CK1126" s="1" t="s">
        <v>931</v>
      </c>
      <c r="CL1126" s="1" t="s">
        <v>277</v>
      </c>
      <c r="CM1126" s="1" t="s">
        <v>220</v>
      </c>
      <c r="CO1126" s="1" t="s">
        <v>409</v>
      </c>
      <c r="CP1126" s="1" t="s">
        <v>219</v>
      </c>
      <c r="CQ1126" s="1" t="s">
        <v>226</v>
      </c>
      <c r="CS1126" s="1" t="s">
        <v>465</v>
      </c>
      <c r="CT1126" s="1" t="s">
        <v>277</v>
      </c>
      <c r="CU1126" s="1" t="s">
        <v>220</v>
      </c>
      <c r="CX1126" s="1" t="s">
        <v>224</v>
      </c>
      <c r="DB1126" s="1" t="s">
        <v>224</v>
      </c>
      <c r="DE1126" s="1" t="s">
        <v>630</v>
      </c>
      <c r="DF1126" s="1" t="s">
        <v>219</v>
      </c>
      <c r="DG1126" s="1" t="s">
        <v>226</v>
      </c>
      <c r="DJ1126" s="1" t="s">
        <v>224</v>
      </c>
      <c r="DM1126" s="1" t="s">
        <v>464</v>
      </c>
      <c r="DR1126" s="1" t="s">
        <v>11832</v>
      </c>
      <c r="DS1126" s="1" t="s">
        <v>277</v>
      </c>
      <c r="DT1126" s="1" t="s">
        <v>220</v>
      </c>
      <c r="DW1126" s="1" t="s">
        <v>230</v>
      </c>
      <c r="EA1126" s="1" t="s">
        <v>230</v>
      </c>
      <c r="EE1126" s="1" t="s">
        <v>230</v>
      </c>
      <c r="EI1126" s="1" t="s">
        <v>230</v>
      </c>
      <c r="EL1126" s="1" t="s">
        <v>382</v>
      </c>
      <c r="EM1126" s="1" t="s">
        <v>319</v>
      </c>
      <c r="EN1126" s="1" t="s">
        <v>282</v>
      </c>
      <c r="EO1126" s="1" t="s">
        <v>234</v>
      </c>
      <c r="EP1126" s="1" t="s">
        <v>1268</v>
      </c>
      <c r="EQ1126" s="1" t="s">
        <v>236</v>
      </c>
      <c r="ER1126" s="1" t="s">
        <v>383</v>
      </c>
      <c r="ES1126" s="1" t="s">
        <v>3285</v>
      </c>
      <c r="ET1126" s="1" t="s">
        <v>238</v>
      </c>
      <c r="EU1126" s="1" t="s">
        <v>1517</v>
      </c>
      <c r="EV1126" s="1" t="s">
        <v>352</v>
      </c>
      <c r="EW1126" s="1" t="s">
        <v>887</v>
      </c>
      <c r="EY1126" s="1" t="s">
        <v>242</v>
      </c>
      <c r="EZ1126" s="1" t="s">
        <v>464</v>
      </c>
      <c r="FA1126" s="1" t="s">
        <v>1427</v>
      </c>
      <c r="FB1126" s="1" t="s">
        <v>289</v>
      </c>
      <c r="FC1126" s="1" t="s">
        <v>11833</v>
      </c>
      <c r="FD1126" s="1" t="s">
        <v>3287</v>
      </c>
      <c r="FE1126" s="1" t="s">
        <v>355</v>
      </c>
      <c r="FF1126" s="1" t="s">
        <v>248</v>
      </c>
      <c r="FG1126" s="1" t="s">
        <v>939</v>
      </c>
      <c r="FH1126" s="1" t="s">
        <v>550</v>
      </c>
      <c r="FI1126" s="1" t="s">
        <v>473</v>
      </c>
      <c r="FJ1126" s="1" t="s">
        <v>518</v>
      </c>
      <c r="FL1126" s="1" t="s">
        <v>358</v>
      </c>
      <c r="FM1126" s="1" t="s">
        <v>252</v>
      </c>
      <c r="FN1126" s="1" t="s">
        <v>213</v>
      </c>
      <c r="FO1126" s="1" t="s">
        <v>213</v>
      </c>
      <c r="FQ1126" s="1" t="s">
        <v>849</v>
      </c>
      <c r="FR1126" s="1" t="s">
        <v>210</v>
      </c>
      <c r="FS1126" s="1" t="s">
        <v>11834</v>
      </c>
      <c r="FT1126" s="1" t="s">
        <v>11835</v>
      </c>
      <c r="FU1126" s="1" t="s">
        <v>204</v>
      </c>
      <c r="FW1126" s="1" t="s">
        <v>719</v>
      </c>
      <c r="FX1126" s="1">
        <v>22029</v>
      </c>
      <c r="FY1126" s="1" t="s">
        <v>720</v>
      </c>
      <c r="FZ1126" s="1" t="s">
        <v>11836</v>
      </c>
      <c r="GA1126" s="1">
        <v>243937</v>
      </c>
      <c r="GE1126" s="1" t="s">
        <v>480</v>
      </c>
      <c r="GI1126" s="1" t="s">
        <v>204</v>
      </c>
      <c r="GJ1126" s="1" t="s">
        <v>260</v>
      </c>
      <c r="GK1126" s="1" t="s">
        <v>210</v>
      </c>
      <c r="GL1126" s="2">
        <v>42111</v>
      </c>
      <c r="GM1126" s="1" t="s">
        <v>11837</v>
      </c>
    </row>
    <row r="1127" spans="1:195">
      <c r="A1127" s="1">
        <v>119000</v>
      </c>
      <c r="B1127" s="1" t="s">
        <v>195</v>
      </c>
      <c r="C1127" s="1" t="str">
        <f>"08844494"</f>
        <v>08844494</v>
      </c>
      <c r="D1127" s="1" t="s">
        <v>196</v>
      </c>
      <c r="F1127" s="1" t="str">
        <f>"8041"</f>
        <v>8041</v>
      </c>
      <c r="G1127" s="2">
        <v>42058</v>
      </c>
      <c r="H1127" s="1">
        <v>135000</v>
      </c>
      <c r="I1127" s="1">
        <v>135000</v>
      </c>
      <c r="J1127" s="1">
        <v>119000</v>
      </c>
      <c r="K1127" s="2">
        <v>42058</v>
      </c>
      <c r="L1127" s="1">
        <v>232</v>
      </c>
      <c r="M1127" s="2">
        <v>42074</v>
      </c>
      <c r="N1127" s="1">
        <v>17</v>
      </c>
      <c r="O1127" s="2">
        <v>42074</v>
      </c>
      <c r="P1127" s="1">
        <v>85646</v>
      </c>
      <c r="Q1127" s="1" t="s">
        <v>197</v>
      </c>
      <c r="R1127" s="2">
        <v>42111</v>
      </c>
      <c r="S1127" s="1">
        <v>116143</v>
      </c>
      <c r="U1127" s="1">
        <v>1450</v>
      </c>
      <c r="V1127" s="1" t="s">
        <v>5725</v>
      </c>
      <c r="W1127" s="1" t="s">
        <v>779</v>
      </c>
      <c r="X1127" s="1" t="s">
        <v>11838</v>
      </c>
      <c r="Y1127" s="1">
        <v>540</v>
      </c>
      <c r="Z1127" s="1" t="s">
        <v>249</v>
      </c>
      <c r="AA1127" s="1" t="s">
        <v>400</v>
      </c>
      <c r="AB1127" s="1">
        <v>60637</v>
      </c>
      <c r="AE1127" s="1" t="s">
        <v>11839</v>
      </c>
      <c r="AF1127" s="1">
        <v>1959</v>
      </c>
      <c r="AG1127" s="1" t="s">
        <v>213</v>
      </c>
      <c r="AH1127" s="1" t="s">
        <v>403</v>
      </c>
      <c r="AI1127" s="1" t="s">
        <v>310</v>
      </c>
      <c r="AJ1127" s="1" t="s">
        <v>562</v>
      </c>
      <c r="AL1127" s="1">
        <v>4</v>
      </c>
      <c r="AM1127" s="1">
        <v>2</v>
      </c>
      <c r="AN1127" s="1">
        <v>2</v>
      </c>
      <c r="AO1127" s="1">
        <v>0</v>
      </c>
      <c r="AP1127" s="1" t="s">
        <v>209</v>
      </c>
      <c r="AR1127" s="1" t="s">
        <v>210</v>
      </c>
      <c r="AS1127" s="1" t="s">
        <v>204</v>
      </c>
      <c r="AT1127" s="1" t="s">
        <v>211</v>
      </c>
      <c r="AU1127" s="1">
        <v>1</v>
      </c>
      <c r="AW1127" s="1" t="s">
        <v>204</v>
      </c>
      <c r="AX1127" s="1" t="s">
        <v>212</v>
      </c>
      <c r="AZ1127" s="1">
        <v>2361</v>
      </c>
      <c r="BA1127" s="1">
        <v>2013</v>
      </c>
      <c r="BB1127" s="1" t="s">
        <v>210</v>
      </c>
      <c r="BE1127" s="1">
        <v>861</v>
      </c>
      <c r="BF1127" s="1">
        <v>10</v>
      </c>
      <c r="BG1127" s="1">
        <v>30</v>
      </c>
      <c r="BL1127" s="1">
        <v>816</v>
      </c>
      <c r="BM1127" s="1" t="s">
        <v>204</v>
      </c>
      <c r="BN1127" s="1" t="s">
        <v>213</v>
      </c>
      <c r="BO1127" s="1">
        <v>50</v>
      </c>
      <c r="BP1127" s="1" t="s">
        <v>204</v>
      </c>
      <c r="BR1127" s="1" t="str">
        <f>"20142020761529"</f>
        <v>20142020761529</v>
      </c>
      <c r="BT1127" s="1" t="s">
        <v>11840</v>
      </c>
      <c r="BX1127" s="1">
        <v>299</v>
      </c>
      <c r="BY1127" s="1">
        <v>299</v>
      </c>
      <c r="BZ1127" s="1">
        <v>299</v>
      </c>
      <c r="CB1127" s="1" t="str">
        <f>"0"</f>
        <v>0</v>
      </c>
      <c r="CC1127" s="1" t="str">
        <f>"1450"</f>
        <v>1450</v>
      </c>
      <c r="CD1127" s="1">
        <v>0</v>
      </c>
      <c r="CE1127" s="1">
        <v>5500</v>
      </c>
      <c r="CG1127" s="1" t="s">
        <v>11448</v>
      </c>
      <c r="CH1127" s="1" t="s">
        <v>219</v>
      </c>
      <c r="CI1127" s="1" t="s">
        <v>229</v>
      </c>
      <c r="CK1127" s="1" t="s">
        <v>228</v>
      </c>
      <c r="CL1127" s="1" t="s">
        <v>219</v>
      </c>
      <c r="CM1127" s="1" t="s">
        <v>438</v>
      </c>
      <c r="CP1127" s="1" t="s">
        <v>224</v>
      </c>
      <c r="CS1127" s="1" t="s">
        <v>346</v>
      </c>
      <c r="CT1127" s="1" t="s">
        <v>219</v>
      </c>
      <c r="CU1127" s="1" t="s">
        <v>438</v>
      </c>
      <c r="CX1127" s="1" t="s">
        <v>224</v>
      </c>
      <c r="DB1127" s="1" t="s">
        <v>224</v>
      </c>
      <c r="DE1127" s="1" t="s">
        <v>516</v>
      </c>
      <c r="DF1127" s="1" t="s">
        <v>219</v>
      </c>
      <c r="DG1127" s="1" t="s">
        <v>4958</v>
      </c>
      <c r="DJ1127" s="1" t="s">
        <v>224</v>
      </c>
      <c r="DS1127" s="1" t="s">
        <v>230</v>
      </c>
      <c r="DW1127" s="1" t="s">
        <v>230</v>
      </c>
      <c r="EA1127" s="1" t="s">
        <v>230</v>
      </c>
      <c r="EE1127" s="1" t="s">
        <v>230</v>
      </c>
      <c r="EI1127" s="1" t="s">
        <v>230</v>
      </c>
      <c r="EL1127" s="1" t="s">
        <v>649</v>
      </c>
      <c r="EM1127" s="1" t="s">
        <v>232</v>
      </c>
      <c r="EN1127" s="1" t="s">
        <v>233</v>
      </c>
      <c r="EO1127" s="1" t="s">
        <v>234</v>
      </c>
      <c r="EP1127" s="1" t="s">
        <v>11841</v>
      </c>
      <c r="EQ1127" s="1" t="s">
        <v>1109</v>
      </c>
      <c r="ER1127" s="1" t="s">
        <v>210</v>
      </c>
      <c r="EV1127" s="1" t="s">
        <v>240</v>
      </c>
      <c r="EW1127" s="1" t="s">
        <v>11842</v>
      </c>
      <c r="EZ1127" s="1" t="s">
        <v>287</v>
      </c>
      <c r="FB1127" s="1" t="s">
        <v>244</v>
      </c>
      <c r="FC1127" s="1" t="s">
        <v>1555</v>
      </c>
      <c r="FD1127" s="1" t="s">
        <v>290</v>
      </c>
      <c r="FE1127" s="1" t="s">
        <v>6104</v>
      </c>
      <c r="FF1127" s="1" t="s">
        <v>248</v>
      </c>
      <c r="FH1127" s="1" t="s">
        <v>249</v>
      </c>
      <c r="FL1127" s="1" t="s">
        <v>2233</v>
      </c>
      <c r="FM1127" s="1" t="s">
        <v>252</v>
      </c>
      <c r="FN1127" s="1" t="s">
        <v>213</v>
      </c>
      <c r="FO1127" s="1" t="s">
        <v>213</v>
      </c>
      <c r="FQ1127" s="1" t="s">
        <v>11843</v>
      </c>
      <c r="FR1127" s="1" t="s">
        <v>210</v>
      </c>
      <c r="FS1127" s="1" t="s">
        <v>11844</v>
      </c>
      <c r="FT1127" s="1" t="s">
        <v>295</v>
      </c>
      <c r="FU1127" s="1" t="s">
        <v>204</v>
      </c>
      <c r="FW1127" s="1" t="s">
        <v>1652</v>
      </c>
      <c r="FX1127" s="1">
        <v>85646</v>
      </c>
      <c r="FY1127" s="1" t="s">
        <v>6107</v>
      </c>
      <c r="FZ1127" s="1" t="s">
        <v>6108</v>
      </c>
      <c r="GA1127" s="1">
        <v>116143</v>
      </c>
      <c r="GB1127" s="1" t="s">
        <v>6109</v>
      </c>
      <c r="GD1127" s="1" t="s">
        <v>6110</v>
      </c>
      <c r="GE1127" s="1" t="s">
        <v>210</v>
      </c>
      <c r="GH1127" s="1" t="s">
        <v>800</v>
      </c>
      <c r="GI1127" s="1" t="s">
        <v>213</v>
      </c>
      <c r="GJ1127" s="1" t="s">
        <v>260</v>
      </c>
      <c r="GK1127" s="1" t="s">
        <v>210</v>
      </c>
      <c r="GL1127" s="2">
        <v>42111</v>
      </c>
      <c r="GM1127" s="1" t="s">
        <v>11845</v>
      </c>
    </row>
    <row r="1128" spans="1:195">
      <c r="A1128" s="1">
        <v>105000</v>
      </c>
      <c r="B1128" s="1" t="s">
        <v>195</v>
      </c>
      <c r="C1128" s="1" t="str">
        <f>"08848976"</f>
        <v>08848976</v>
      </c>
      <c r="D1128" s="1" t="s">
        <v>196</v>
      </c>
      <c r="F1128" s="1" t="str">
        <f>"177"</f>
        <v>177</v>
      </c>
      <c r="G1128" s="2">
        <v>42064</v>
      </c>
      <c r="H1128" s="1">
        <v>109000</v>
      </c>
      <c r="I1128" s="1">
        <v>109000</v>
      </c>
      <c r="J1128" s="1">
        <v>105000</v>
      </c>
      <c r="K1128" s="2">
        <v>42064</v>
      </c>
      <c r="L1128" s="1">
        <v>2</v>
      </c>
      <c r="M1128" s="2">
        <v>42065</v>
      </c>
      <c r="N1128" s="1">
        <v>2</v>
      </c>
      <c r="O1128" s="2">
        <v>42065</v>
      </c>
      <c r="P1128" s="1">
        <v>1166</v>
      </c>
      <c r="Q1128" s="1" t="s">
        <v>423</v>
      </c>
      <c r="R1128" s="2">
        <v>42139</v>
      </c>
      <c r="S1128" s="1">
        <v>241577</v>
      </c>
      <c r="U1128" s="1">
        <v>945</v>
      </c>
      <c r="V1128" s="1" t="s">
        <v>11846</v>
      </c>
      <c r="W1128" s="1" t="s">
        <v>304</v>
      </c>
      <c r="X1128" s="1">
        <v>945</v>
      </c>
      <c r="Y1128" s="1">
        <v>5</v>
      </c>
      <c r="Z1128" s="1" t="s">
        <v>200</v>
      </c>
      <c r="AA1128" s="1" t="s">
        <v>1461</v>
      </c>
      <c r="AB1128" s="1">
        <v>60177</v>
      </c>
      <c r="AC1128" s="1">
        <v>1436</v>
      </c>
      <c r="AE1128" s="1" t="s">
        <v>11847</v>
      </c>
      <c r="AF1128" s="1">
        <v>1984</v>
      </c>
      <c r="AG1128" s="1" t="s">
        <v>204</v>
      </c>
      <c r="AH1128" s="1" t="s">
        <v>1175</v>
      </c>
      <c r="AI1128" s="1" t="s">
        <v>665</v>
      </c>
      <c r="AJ1128" s="1" t="s">
        <v>1175</v>
      </c>
      <c r="AL1128" s="1">
        <v>6</v>
      </c>
      <c r="AM1128" s="1">
        <v>2</v>
      </c>
      <c r="AN1128" s="1">
        <v>1</v>
      </c>
      <c r="AO1128" s="1">
        <v>1</v>
      </c>
      <c r="AP1128" s="1" t="s">
        <v>210</v>
      </c>
      <c r="AQ1128" s="1">
        <v>1</v>
      </c>
      <c r="AR1128" s="1" t="s">
        <v>1631</v>
      </c>
      <c r="AS1128" s="1" t="s">
        <v>204</v>
      </c>
      <c r="AT1128" s="1" t="s">
        <v>211</v>
      </c>
      <c r="AU1128" s="1">
        <v>2.5</v>
      </c>
      <c r="AW1128" s="1" t="s">
        <v>204</v>
      </c>
      <c r="AX1128" s="1" t="s">
        <v>212</v>
      </c>
      <c r="AZ1128" s="1">
        <v>3136.22</v>
      </c>
      <c r="BA1128" s="1">
        <v>2013</v>
      </c>
      <c r="BB1128" s="1" t="s">
        <v>405</v>
      </c>
      <c r="BE1128" s="1">
        <v>1214</v>
      </c>
      <c r="BF1128" s="1">
        <v>1</v>
      </c>
      <c r="BG1128" s="1">
        <v>0</v>
      </c>
      <c r="BL1128" s="1">
        <v>0</v>
      </c>
      <c r="BM1128" s="1" t="s">
        <v>204</v>
      </c>
      <c r="BN1128" s="1" t="s">
        <v>213</v>
      </c>
      <c r="BO1128" s="1">
        <v>999</v>
      </c>
      <c r="BP1128" s="1" t="s">
        <v>204</v>
      </c>
      <c r="BR1128" s="1" t="str">
        <f>"0634127077"</f>
        <v>0634127077</v>
      </c>
      <c r="BT1128" s="1" t="s">
        <v>11848</v>
      </c>
      <c r="BU1128" s="1" t="s">
        <v>11849</v>
      </c>
      <c r="BV1128" s="1" t="s">
        <v>1467</v>
      </c>
      <c r="BW1128" s="1" t="s">
        <v>1468</v>
      </c>
      <c r="BX1128" s="1">
        <v>46</v>
      </c>
      <c r="BY1128" s="1">
        <v>46</v>
      </c>
      <c r="BZ1128" s="1">
        <v>46</v>
      </c>
      <c r="CB1128" s="1" t="str">
        <f>"8"</f>
        <v>8</v>
      </c>
      <c r="CC1128" s="1" t="str">
        <f>"0"</f>
        <v>0</v>
      </c>
      <c r="CD1128" s="1">
        <v>35</v>
      </c>
      <c r="CE1128" s="1">
        <v>0</v>
      </c>
      <c r="CG1128" s="1" t="s">
        <v>708</v>
      </c>
      <c r="CH1128" s="1" t="s">
        <v>219</v>
      </c>
      <c r="CI1128" s="1" t="s">
        <v>220</v>
      </c>
      <c r="CK1128" s="1" t="s">
        <v>317</v>
      </c>
      <c r="CL1128" s="1" t="s">
        <v>277</v>
      </c>
      <c r="CM1128" s="1" t="s">
        <v>347</v>
      </c>
      <c r="CO1128" s="1" t="s">
        <v>837</v>
      </c>
      <c r="CP1128" s="1" t="s">
        <v>219</v>
      </c>
      <c r="CQ1128" s="1" t="s">
        <v>347</v>
      </c>
      <c r="CS1128" s="1" t="s">
        <v>2138</v>
      </c>
      <c r="CT1128" s="1" t="s">
        <v>277</v>
      </c>
      <c r="CU1128" s="1" t="s">
        <v>347</v>
      </c>
      <c r="CX1128" s="1" t="s">
        <v>224</v>
      </c>
      <c r="DB1128" s="1" t="s">
        <v>224</v>
      </c>
      <c r="DE1128" s="1" t="s">
        <v>516</v>
      </c>
      <c r="DF1128" s="1" t="s">
        <v>219</v>
      </c>
      <c r="DG1128" s="1" t="s">
        <v>347</v>
      </c>
      <c r="DH1128" s="1" t="s">
        <v>210</v>
      </c>
      <c r="DJ1128" s="1" t="s">
        <v>224</v>
      </c>
      <c r="DM1128" s="1" t="s">
        <v>464</v>
      </c>
      <c r="DR1128" s="1" t="s">
        <v>837</v>
      </c>
      <c r="DS1128" s="1" t="s">
        <v>277</v>
      </c>
      <c r="DT1128" s="1" t="s">
        <v>220</v>
      </c>
      <c r="DW1128" s="1" t="s">
        <v>230</v>
      </c>
      <c r="EA1128" s="1" t="s">
        <v>230</v>
      </c>
      <c r="EE1128" s="1" t="s">
        <v>230</v>
      </c>
      <c r="EI1128" s="1" t="s">
        <v>230</v>
      </c>
      <c r="EL1128" s="1" t="s">
        <v>231</v>
      </c>
      <c r="EM1128" s="1" t="s">
        <v>319</v>
      </c>
      <c r="EN1128" s="1" t="s">
        <v>282</v>
      </c>
      <c r="EO1128" s="1" t="s">
        <v>234</v>
      </c>
      <c r="EP1128" s="1" t="s">
        <v>650</v>
      </c>
      <c r="EQ1128" s="1" t="s">
        <v>1094</v>
      </c>
      <c r="ER1128" s="1" t="s">
        <v>1069</v>
      </c>
      <c r="ES1128" s="1" t="s">
        <v>545</v>
      </c>
      <c r="EV1128" s="1" t="s">
        <v>324</v>
      </c>
      <c r="EW1128" s="1" t="s">
        <v>210</v>
      </c>
      <c r="EY1128" s="1" t="s">
        <v>242</v>
      </c>
      <c r="EZ1128" s="1" t="s">
        <v>464</v>
      </c>
      <c r="FA1128" s="1" t="s">
        <v>354</v>
      </c>
      <c r="FC1128" s="1" t="s">
        <v>1386</v>
      </c>
      <c r="FD1128" s="1" t="s">
        <v>246</v>
      </c>
      <c r="FE1128" s="1" t="s">
        <v>889</v>
      </c>
      <c r="FF1128" s="1" t="s">
        <v>248</v>
      </c>
      <c r="FG1128" s="1" t="s">
        <v>2739</v>
      </c>
      <c r="FH1128" s="1" t="s">
        <v>550</v>
      </c>
      <c r="FI1128" s="1" t="s">
        <v>357</v>
      </c>
      <c r="FJ1128" s="1" t="s">
        <v>518</v>
      </c>
      <c r="FL1128" s="1" t="s">
        <v>358</v>
      </c>
      <c r="FM1128" s="1" t="s">
        <v>252</v>
      </c>
      <c r="FN1128" s="1" t="s">
        <v>213</v>
      </c>
      <c r="FO1128" s="1" t="s">
        <v>213</v>
      </c>
      <c r="FQ1128" s="1" t="s">
        <v>793</v>
      </c>
      <c r="FR1128" s="1" t="s">
        <v>210</v>
      </c>
      <c r="FS1128" s="1" t="s">
        <v>2902</v>
      </c>
      <c r="FT1128" s="1" t="s">
        <v>11850</v>
      </c>
      <c r="FU1128" s="1" t="s">
        <v>204</v>
      </c>
      <c r="FW1128" s="1" t="s">
        <v>1348</v>
      </c>
      <c r="FX1128" s="1">
        <v>74</v>
      </c>
      <c r="FY1128" s="1" t="s">
        <v>11851</v>
      </c>
      <c r="FZ1128" s="1" t="s">
        <v>11852</v>
      </c>
      <c r="GA1128" s="1">
        <v>8382</v>
      </c>
      <c r="GB1128" s="1" t="s">
        <v>11853</v>
      </c>
      <c r="GE1128" s="1" t="s">
        <v>210</v>
      </c>
      <c r="GI1128" s="1" t="s">
        <v>213</v>
      </c>
      <c r="GJ1128" s="1" t="s">
        <v>260</v>
      </c>
      <c r="GK1128" s="1" t="s">
        <v>210</v>
      </c>
      <c r="GL1128" s="2">
        <v>42140</v>
      </c>
      <c r="GM1128" s="1" t="s">
        <v>11854</v>
      </c>
    </row>
    <row r="1129" spans="1:195">
      <c r="A1129" s="1">
        <v>37500</v>
      </c>
      <c r="B1129" s="1" t="s">
        <v>195</v>
      </c>
      <c r="C1129" s="1" t="str">
        <f>"08844166"</f>
        <v>08844166</v>
      </c>
      <c r="D1129" s="1" t="s">
        <v>196</v>
      </c>
      <c r="F1129" s="1" t="str">
        <f>"2104"</f>
        <v>2104</v>
      </c>
      <c r="G1129" s="2">
        <v>42057</v>
      </c>
      <c r="H1129" s="1">
        <v>45900</v>
      </c>
      <c r="I1129" s="1">
        <v>45900</v>
      </c>
      <c r="J1129" s="1">
        <v>37500</v>
      </c>
      <c r="K1129" s="2">
        <v>42055</v>
      </c>
      <c r="L1129" s="1">
        <v>36</v>
      </c>
      <c r="M1129" s="2">
        <v>42090</v>
      </c>
      <c r="N1129" s="1">
        <v>36</v>
      </c>
      <c r="O1129" s="2">
        <v>42090</v>
      </c>
      <c r="P1129" s="1">
        <v>12139</v>
      </c>
      <c r="Q1129" s="1" t="s">
        <v>302</v>
      </c>
      <c r="R1129" s="2">
        <v>42122</v>
      </c>
      <c r="S1129" s="1">
        <v>189826</v>
      </c>
      <c r="U1129" s="1">
        <v>3619</v>
      </c>
      <c r="V1129" s="1" t="s">
        <v>9089</v>
      </c>
      <c r="W1129" s="1" t="s">
        <v>725</v>
      </c>
      <c r="X1129" s="1" t="s">
        <v>483</v>
      </c>
      <c r="Y1129" s="1">
        <v>4</v>
      </c>
      <c r="Z1129" s="1" t="s">
        <v>200</v>
      </c>
      <c r="AA1129" s="1" t="s">
        <v>3029</v>
      </c>
      <c r="AB1129" s="1">
        <v>60104</v>
      </c>
      <c r="AE1129" s="1" t="s">
        <v>11855</v>
      </c>
      <c r="AF1129" s="1">
        <v>1951</v>
      </c>
      <c r="AG1129" s="1" t="s">
        <v>213</v>
      </c>
      <c r="AH1129" s="1" t="s">
        <v>3031</v>
      </c>
      <c r="AI1129" s="1" t="s">
        <v>310</v>
      </c>
      <c r="AJ1129" s="1" t="s">
        <v>429</v>
      </c>
      <c r="AL1129" s="1">
        <v>4</v>
      </c>
      <c r="AM1129" s="1">
        <v>2</v>
      </c>
      <c r="AN1129" s="1">
        <v>1</v>
      </c>
      <c r="AO1129" s="1">
        <v>1</v>
      </c>
      <c r="AP1129" s="1" t="s">
        <v>210</v>
      </c>
      <c r="AR1129" s="1" t="s">
        <v>209</v>
      </c>
      <c r="AS1129" s="1" t="s">
        <v>204</v>
      </c>
      <c r="AT1129" s="1" t="s">
        <v>271</v>
      </c>
      <c r="AV1129" s="1">
        <v>1</v>
      </c>
      <c r="AW1129" s="1" t="s">
        <v>204</v>
      </c>
      <c r="AX1129" s="1" t="s">
        <v>212</v>
      </c>
      <c r="AZ1129" s="1">
        <v>2797</v>
      </c>
      <c r="BA1129" s="1">
        <v>2013</v>
      </c>
      <c r="BE1129" s="1">
        <v>1181</v>
      </c>
      <c r="BF1129" s="1">
        <v>1</v>
      </c>
      <c r="BG1129" s="1">
        <v>0</v>
      </c>
      <c r="BL1129" s="1">
        <v>0</v>
      </c>
      <c r="BM1129" s="1" t="s">
        <v>204</v>
      </c>
      <c r="BN1129" s="1" t="s">
        <v>213</v>
      </c>
      <c r="BO1129" s="1">
        <v>100</v>
      </c>
      <c r="BP1129" s="1" t="s">
        <v>204</v>
      </c>
      <c r="BR1129" s="1" t="str">
        <f>"15161120460000"</f>
        <v>15161120460000</v>
      </c>
      <c r="BT1129" s="1" t="s">
        <v>11856</v>
      </c>
      <c r="BX1129" s="1">
        <v>88</v>
      </c>
      <c r="BY1129" s="1">
        <v>88</v>
      </c>
      <c r="BZ1129" s="1">
        <v>209</v>
      </c>
      <c r="CB1129" s="1" t="str">
        <f t="shared" ref="CB1129:CC1129" si="869">""</f>
        <v/>
      </c>
      <c r="CC1129" s="1" t="str">
        <f t="shared" si="869"/>
        <v/>
      </c>
      <c r="CG1129" s="1" t="s">
        <v>2122</v>
      </c>
      <c r="CH1129" s="1" t="s">
        <v>219</v>
      </c>
      <c r="CK1129" s="1" t="s">
        <v>757</v>
      </c>
      <c r="CL1129" s="1" t="s">
        <v>277</v>
      </c>
      <c r="CP1129" s="1" t="s">
        <v>224</v>
      </c>
      <c r="CS1129" s="1" t="s">
        <v>346</v>
      </c>
      <c r="CT1129" s="1" t="s">
        <v>277</v>
      </c>
      <c r="CX1129" s="1" t="s">
        <v>224</v>
      </c>
      <c r="DB1129" s="1" t="s">
        <v>224</v>
      </c>
      <c r="DE1129" s="1" t="s">
        <v>821</v>
      </c>
      <c r="DF1129" s="1" t="s">
        <v>219</v>
      </c>
      <c r="DJ1129" s="1" t="s">
        <v>224</v>
      </c>
      <c r="DS1129" s="1" t="s">
        <v>230</v>
      </c>
      <c r="DW1129" s="1" t="s">
        <v>230</v>
      </c>
      <c r="EA1129" s="1" t="s">
        <v>230</v>
      </c>
      <c r="EE1129" s="1" t="s">
        <v>230</v>
      </c>
      <c r="EI1129" s="1" t="s">
        <v>230</v>
      </c>
      <c r="EL1129" s="1" t="s">
        <v>3717</v>
      </c>
      <c r="EM1129" s="1" t="s">
        <v>319</v>
      </c>
      <c r="EN1129" s="1" t="s">
        <v>282</v>
      </c>
      <c r="EO1129" s="1" t="s">
        <v>234</v>
      </c>
      <c r="ER1129" s="1" t="s">
        <v>351</v>
      </c>
      <c r="EW1129" s="1" t="s">
        <v>210</v>
      </c>
      <c r="EZ1129" s="1" t="s">
        <v>287</v>
      </c>
      <c r="FD1129" s="1" t="s">
        <v>246</v>
      </c>
      <c r="FE1129" s="1" t="s">
        <v>247</v>
      </c>
      <c r="FF1129" s="1" t="s">
        <v>248</v>
      </c>
      <c r="FH1129" s="1" t="s">
        <v>550</v>
      </c>
      <c r="FL1129" s="1" t="s">
        <v>358</v>
      </c>
      <c r="FM1129" s="1" t="s">
        <v>252</v>
      </c>
      <c r="FN1129" s="1" t="s">
        <v>213</v>
      </c>
      <c r="FO1129" s="1" t="s">
        <v>213</v>
      </c>
      <c r="FQ1129" s="1" t="s">
        <v>11857</v>
      </c>
      <c r="FR1129" s="1" t="s">
        <v>210</v>
      </c>
      <c r="FS1129" s="1" t="s">
        <v>1429</v>
      </c>
      <c r="FT1129" s="1" t="s">
        <v>295</v>
      </c>
      <c r="FU1129" s="1" t="s">
        <v>204</v>
      </c>
      <c r="FW1129" s="1" t="s">
        <v>10319</v>
      </c>
      <c r="FX1129" s="1">
        <v>18039</v>
      </c>
      <c r="FY1129" s="1" t="s">
        <v>10320</v>
      </c>
      <c r="FZ1129" s="1" t="s">
        <v>10321</v>
      </c>
      <c r="GA1129" s="1">
        <v>154120</v>
      </c>
      <c r="GB1129" s="1" t="s">
        <v>10320</v>
      </c>
      <c r="GE1129" s="1" t="s">
        <v>210</v>
      </c>
      <c r="GI1129" s="1" t="s">
        <v>213</v>
      </c>
      <c r="GJ1129" s="1" t="s">
        <v>260</v>
      </c>
      <c r="GK1129" s="1" t="s">
        <v>210</v>
      </c>
      <c r="GL1129" s="2">
        <v>42130</v>
      </c>
      <c r="GM1129" s="1" t="s">
        <v>11858</v>
      </c>
    </row>
    <row r="1130" spans="1:195">
      <c r="A1130" s="1">
        <v>138000</v>
      </c>
      <c r="B1130" s="1" t="s">
        <v>195</v>
      </c>
      <c r="C1130" s="1" t="str">
        <f>"08852877"</f>
        <v>08852877</v>
      </c>
      <c r="D1130" s="1" t="s">
        <v>196</v>
      </c>
      <c r="F1130" s="1" t="str">
        <f>"540"</f>
        <v>540</v>
      </c>
      <c r="G1130" s="2">
        <v>42068</v>
      </c>
      <c r="H1130" s="1">
        <v>141900</v>
      </c>
      <c r="I1130" s="1">
        <v>141900</v>
      </c>
      <c r="J1130" s="1">
        <v>138000</v>
      </c>
      <c r="K1130" s="2">
        <v>42068</v>
      </c>
      <c r="L1130" s="1">
        <v>6</v>
      </c>
      <c r="M1130" s="2">
        <v>42073</v>
      </c>
      <c r="N1130" s="1">
        <v>6</v>
      </c>
      <c r="O1130" s="2">
        <v>42073</v>
      </c>
      <c r="P1130" s="1">
        <v>20179</v>
      </c>
      <c r="Q1130" s="1" t="s">
        <v>197</v>
      </c>
      <c r="R1130" s="2">
        <v>42115</v>
      </c>
      <c r="S1130" s="1">
        <v>241227</v>
      </c>
      <c r="U1130" s="1">
        <v>403</v>
      </c>
      <c r="V1130" s="1" t="s">
        <v>3065</v>
      </c>
      <c r="W1130" s="1" t="s">
        <v>304</v>
      </c>
      <c r="Y1130" s="1">
        <v>8</v>
      </c>
      <c r="Z1130" s="1" t="s">
        <v>370</v>
      </c>
      <c r="AA1130" s="1" t="s">
        <v>921</v>
      </c>
      <c r="AB1130" s="1">
        <v>60563</v>
      </c>
      <c r="AD1130" s="1" t="s">
        <v>5339</v>
      </c>
      <c r="AE1130" s="1" t="s">
        <v>5340</v>
      </c>
      <c r="AF1130" s="1">
        <v>1987</v>
      </c>
      <c r="AG1130" s="1" t="s">
        <v>204</v>
      </c>
      <c r="AH1130" s="1" t="s">
        <v>924</v>
      </c>
      <c r="AI1130" s="1" t="s">
        <v>206</v>
      </c>
      <c r="AJ1130" s="1" t="s">
        <v>924</v>
      </c>
      <c r="AL1130" s="1">
        <v>5</v>
      </c>
      <c r="AM1130" s="1">
        <v>2</v>
      </c>
      <c r="AN1130" s="1">
        <v>1</v>
      </c>
      <c r="AO1130" s="1">
        <v>1</v>
      </c>
      <c r="AP1130" s="1" t="s">
        <v>210</v>
      </c>
      <c r="AQ1130" s="1">
        <v>1</v>
      </c>
      <c r="AR1130" s="1" t="s">
        <v>210</v>
      </c>
      <c r="AS1130" s="1" t="s">
        <v>204</v>
      </c>
      <c r="AT1130" s="1" t="s">
        <v>211</v>
      </c>
      <c r="AU1130" s="1">
        <v>1</v>
      </c>
      <c r="AW1130" s="1" t="s">
        <v>204</v>
      </c>
      <c r="AX1130" s="1" t="s">
        <v>212</v>
      </c>
      <c r="AZ1130" s="1">
        <v>2279</v>
      </c>
      <c r="BA1130" s="1">
        <v>2013</v>
      </c>
      <c r="BB1130" s="1" t="s">
        <v>210</v>
      </c>
      <c r="BE1130" s="1">
        <v>1100</v>
      </c>
      <c r="BF1130" s="1">
        <v>1</v>
      </c>
      <c r="BG1130" s="1">
        <v>0</v>
      </c>
      <c r="BL1130" s="1">
        <v>146</v>
      </c>
      <c r="BM1130" s="1" t="s">
        <v>204</v>
      </c>
      <c r="BN1130" s="1" t="s">
        <v>213</v>
      </c>
      <c r="BO1130" s="1">
        <v>999</v>
      </c>
      <c r="BP1130" s="1" t="s">
        <v>204</v>
      </c>
      <c r="BR1130" s="1" t="str">
        <f>"0712224002"</f>
        <v>0712224002</v>
      </c>
      <c r="BT1130" s="1" t="s">
        <v>11859</v>
      </c>
      <c r="BU1130" s="1" t="s">
        <v>2823</v>
      </c>
      <c r="BV1130" s="1" t="s">
        <v>2824</v>
      </c>
      <c r="BW1130" s="1" t="s">
        <v>2825</v>
      </c>
      <c r="BX1130" s="1">
        <v>203</v>
      </c>
      <c r="BY1130" s="1">
        <v>203</v>
      </c>
      <c r="BZ1130" s="1">
        <v>203</v>
      </c>
      <c r="CB1130" s="1" t="str">
        <f t="shared" ref="CB1130:CC1130" si="870">"0"</f>
        <v>0</v>
      </c>
      <c r="CC1130" s="1" t="str">
        <f t="shared" si="870"/>
        <v>0</v>
      </c>
      <c r="CD1130" s="1">
        <v>27</v>
      </c>
      <c r="CE1130" s="1">
        <v>5</v>
      </c>
      <c r="CG1130" s="1" t="s">
        <v>221</v>
      </c>
      <c r="CH1130" s="1" t="s">
        <v>219</v>
      </c>
      <c r="CI1130" s="1" t="s">
        <v>438</v>
      </c>
      <c r="CK1130" s="1" t="s">
        <v>538</v>
      </c>
      <c r="CL1130" s="1" t="s">
        <v>277</v>
      </c>
      <c r="CM1130" s="1" t="s">
        <v>220</v>
      </c>
      <c r="CO1130" s="1" t="s">
        <v>4148</v>
      </c>
      <c r="CP1130" s="1" t="s">
        <v>219</v>
      </c>
      <c r="CQ1130" s="1" t="s">
        <v>438</v>
      </c>
      <c r="CS1130" s="1" t="s">
        <v>1297</v>
      </c>
      <c r="CT1130" s="1" t="s">
        <v>277</v>
      </c>
      <c r="CU1130" s="1" t="s">
        <v>220</v>
      </c>
      <c r="CX1130" s="1" t="s">
        <v>224</v>
      </c>
      <c r="DB1130" s="1" t="s">
        <v>224</v>
      </c>
      <c r="DE1130" s="1" t="s">
        <v>2841</v>
      </c>
      <c r="DF1130" s="1" t="s">
        <v>219</v>
      </c>
      <c r="DG1130" s="1" t="s">
        <v>438</v>
      </c>
      <c r="DJ1130" s="1" t="s">
        <v>224</v>
      </c>
      <c r="DM1130" s="1" t="s">
        <v>709</v>
      </c>
      <c r="DR1130" s="1" t="s">
        <v>4213</v>
      </c>
      <c r="DS1130" s="1" t="s">
        <v>219</v>
      </c>
      <c r="DT1130" s="1" t="s">
        <v>438</v>
      </c>
      <c r="DW1130" s="1" t="s">
        <v>230</v>
      </c>
      <c r="EA1130" s="1" t="s">
        <v>230</v>
      </c>
      <c r="EE1130" s="1" t="s">
        <v>230</v>
      </c>
      <c r="EI1130" s="1" t="s">
        <v>230</v>
      </c>
      <c r="EL1130" s="1" t="s">
        <v>542</v>
      </c>
      <c r="EM1130" s="1" t="s">
        <v>232</v>
      </c>
      <c r="EN1130" s="1" t="s">
        <v>282</v>
      </c>
      <c r="EO1130" s="1" t="s">
        <v>840</v>
      </c>
      <c r="EP1130" s="1" t="s">
        <v>650</v>
      </c>
      <c r="EQ1130" s="1" t="s">
        <v>2188</v>
      </c>
      <c r="ER1130" s="1" t="s">
        <v>383</v>
      </c>
      <c r="ES1130" s="1" t="s">
        <v>824</v>
      </c>
      <c r="EU1130" s="1" t="s">
        <v>5342</v>
      </c>
      <c r="EW1130" s="1" t="s">
        <v>353</v>
      </c>
      <c r="EZ1130" s="1" t="s">
        <v>709</v>
      </c>
      <c r="FA1130" s="1" t="s">
        <v>2220</v>
      </c>
      <c r="FD1130" s="1" t="s">
        <v>495</v>
      </c>
      <c r="FE1130" s="1" t="s">
        <v>386</v>
      </c>
      <c r="FF1130" s="1" t="s">
        <v>248</v>
      </c>
      <c r="FG1130" s="1" t="s">
        <v>939</v>
      </c>
      <c r="FH1130" s="1" t="s">
        <v>550</v>
      </c>
      <c r="FI1130" s="1" t="s">
        <v>473</v>
      </c>
      <c r="FL1130" s="1" t="s">
        <v>358</v>
      </c>
      <c r="FM1130" s="1" t="s">
        <v>252</v>
      </c>
      <c r="FN1130" s="1" t="s">
        <v>213</v>
      </c>
      <c r="FO1130" s="1" t="s">
        <v>213</v>
      </c>
      <c r="FQ1130" s="1" t="s">
        <v>2004</v>
      </c>
      <c r="FR1130" s="1" t="s">
        <v>210</v>
      </c>
      <c r="FS1130" s="1" t="s">
        <v>11860</v>
      </c>
      <c r="FT1130" s="1" t="s">
        <v>255</v>
      </c>
      <c r="FU1130" s="1" t="s">
        <v>204</v>
      </c>
      <c r="FW1130" s="1" t="s">
        <v>585</v>
      </c>
      <c r="FX1130" s="1">
        <v>23156</v>
      </c>
      <c r="FY1130" s="1" t="s">
        <v>1253</v>
      </c>
      <c r="FZ1130" s="1" t="s">
        <v>5345</v>
      </c>
      <c r="GA1130" s="1">
        <v>233351</v>
      </c>
      <c r="GB1130" s="1" t="s">
        <v>5346</v>
      </c>
      <c r="GD1130" s="1" t="s">
        <v>5347</v>
      </c>
      <c r="GE1130" s="1" t="s">
        <v>1764</v>
      </c>
      <c r="GI1130" s="1" t="s">
        <v>213</v>
      </c>
      <c r="GJ1130" s="1" t="s">
        <v>260</v>
      </c>
      <c r="GK1130" s="1" t="s">
        <v>261</v>
      </c>
      <c r="GL1130" s="2">
        <v>42115</v>
      </c>
      <c r="GM1130" s="1" t="s">
        <v>11861</v>
      </c>
    </row>
    <row r="1131" spans="1:195">
      <c r="A1131" s="1">
        <v>92000</v>
      </c>
      <c r="B1131" s="1" t="s">
        <v>195</v>
      </c>
      <c r="C1131" s="1" t="str">
        <f>"08844121"</f>
        <v>08844121</v>
      </c>
      <c r="D1131" s="1" t="s">
        <v>196</v>
      </c>
      <c r="F1131" s="1" t="str">
        <f>"148"</f>
        <v>148</v>
      </c>
      <c r="G1131" s="2">
        <v>42057</v>
      </c>
      <c r="H1131" s="1">
        <v>109900</v>
      </c>
      <c r="I1131" s="1">
        <v>109900</v>
      </c>
      <c r="J1131" s="1">
        <v>92000</v>
      </c>
      <c r="K1131" s="2">
        <v>42054</v>
      </c>
      <c r="L1131" s="1">
        <v>8</v>
      </c>
      <c r="M1131" s="2">
        <v>42061</v>
      </c>
      <c r="N1131" s="1">
        <v>8</v>
      </c>
      <c r="O1131" s="2">
        <v>42061</v>
      </c>
      <c r="P1131" s="1">
        <v>23076</v>
      </c>
      <c r="Q1131" s="1" t="s">
        <v>197</v>
      </c>
      <c r="R1131" s="2">
        <v>42132</v>
      </c>
      <c r="S1131" s="1">
        <v>210789</v>
      </c>
      <c r="U1131" s="1">
        <v>2015</v>
      </c>
      <c r="V1131" s="1" t="s">
        <v>2226</v>
      </c>
      <c r="W1131" s="1" t="s">
        <v>1056</v>
      </c>
      <c r="X1131" s="1">
        <v>909</v>
      </c>
      <c r="Y1131" s="1">
        <v>151</v>
      </c>
      <c r="Z1131" s="1" t="s">
        <v>249</v>
      </c>
      <c r="AA1131" s="1" t="s">
        <v>1927</v>
      </c>
      <c r="AB1131" s="1">
        <v>60148</v>
      </c>
      <c r="AD1131" s="1" t="s">
        <v>11862</v>
      </c>
      <c r="AE1131" s="1" t="s">
        <v>11863</v>
      </c>
      <c r="AF1131" s="1">
        <v>1975</v>
      </c>
      <c r="AG1131" s="1" t="s">
        <v>213</v>
      </c>
      <c r="AH1131" s="1" t="s">
        <v>882</v>
      </c>
      <c r="AI1131" s="1" t="s">
        <v>206</v>
      </c>
      <c r="AJ1131" s="1" t="s">
        <v>1608</v>
      </c>
      <c r="AL1131" s="1">
        <v>5</v>
      </c>
      <c r="AM1131" s="1">
        <v>2</v>
      </c>
      <c r="AN1131" s="1">
        <v>2</v>
      </c>
      <c r="AO1131" s="1">
        <v>0</v>
      </c>
      <c r="AP1131" s="1" t="s">
        <v>209</v>
      </c>
      <c r="AR1131" s="1" t="s">
        <v>210</v>
      </c>
      <c r="AS1131" s="1" t="s">
        <v>204</v>
      </c>
      <c r="AT1131" s="1" t="s">
        <v>271</v>
      </c>
      <c r="AV1131" s="1">
        <v>2</v>
      </c>
      <c r="AW1131" s="1" t="s">
        <v>213</v>
      </c>
      <c r="AX1131" s="1" t="s">
        <v>212</v>
      </c>
      <c r="AZ1131" s="1">
        <v>2243</v>
      </c>
      <c r="BA1131" s="1">
        <v>2013</v>
      </c>
      <c r="BE1131" s="1">
        <v>1100</v>
      </c>
      <c r="BF1131" s="1">
        <v>9</v>
      </c>
      <c r="BG1131" s="1">
        <v>30</v>
      </c>
      <c r="BL1131" s="1">
        <v>417</v>
      </c>
      <c r="BM1131" s="1" t="s">
        <v>204</v>
      </c>
      <c r="BN1131" s="1" t="s">
        <v>213</v>
      </c>
      <c r="BP1131" s="1" t="s">
        <v>204</v>
      </c>
      <c r="BR1131" s="1" t="str">
        <f>"0619405113"</f>
        <v>0619405113</v>
      </c>
      <c r="BT1131" s="1" t="s">
        <v>11864</v>
      </c>
      <c r="BX1131" s="1">
        <v>44</v>
      </c>
      <c r="BY1131" s="1">
        <v>44</v>
      </c>
      <c r="BZ1131" s="1">
        <v>87</v>
      </c>
      <c r="CB1131" s="1" t="str">
        <f t="shared" ref="CB1131:CC1131" si="871">""</f>
        <v/>
      </c>
      <c r="CC1131" s="1" t="str">
        <f t="shared" si="871"/>
        <v/>
      </c>
      <c r="CD1131" s="1">
        <v>20</v>
      </c>
      <c r="CE1131" s="1">
        <v>1</v>
      </c>
      <c r="CG1131" s="1" t="s">
        <v>581</v>
      </c>
      <c r="CH1131" s="1" t="s">
        <v>219</v>
      </c>
      <c r="CI1131" s="1" t="s">
        <v>229</v>
      </c>
      <c r="CJ1131" s="1" t="s">
        <v>463</v>
      </c>
      <c r="CK1131" s="1" t="s">
        <v>581</v>
      </c>
      <c r="CL1131" s="1" t="s">
        <v>219</v>
      </c>
      <c r="CM1131" s="1" t="s">
        <v>220</v>
      </c>
      <c r="CN1131" s="1" t="s">
        <v>343</v>
      </c>
      <c r="CO1131" s="1" t="s">
        <v>2104</v>
      </c>
      <c r="CP1131" s="1" t="s">
        <v>219</v>
      </c>
      <c r="CQ1131" s="1" t="s">
        <v>229</v>
      </c>
      <c r="CS1131" s="1" t="s">
        <v>379</v>
      </c>
      <c r="CT1131" s="1" t="s">
        <v>219</v>
      </c>
      <c r="CU1131" s="1" t="s">
        <v>220</v>
      </c>
      <c r="CV1131" s="1" t="s">
        <v>343</v>
      </c>
      <c r="CX1131" s="1" t="s">
        <v>224</v>
      </c>
      <c r="DB1131" s="1" t="s">
        <v>224</v>
      </c>
      <c r="DE1131" s="1" t="s">
        <v>630</v>
      </c>
      <c r="DF1131" s="1" t="s">
        <v>219</v>
      </c>
      <c r="DG1131" s="1" t="s">
        <v>229</v>
      </c>
      <c r="DJ1131" s="1" t="s">
        <v>224</v>
      </c>
      <c r="DS1131" s="1" t="s">
        <v>230</v>
      </c>
      <c r="DW1131" s="1" t="s">
        <v>230</v>
      </c>
      <c r="EA1131" s="1" t="s">
        <v>230</v>
      </c>
      <c r="EE1131" s="1" t="s">
        <v>230</v>
      </c>
      <c r="EI1131" s="1" t="s">
        <v>230</v>
      </c>
      <c r="EL1131" s="1" t="s">
        <v>231</v>
      </c>
      <c r="EM1131" s="1" t="s">
        <v>232</v>
      </c>
      <c r="EN1131" s="1" t="s">
        <v>282</v>
      </c>
      <c r="EO1131" s="1" t="s">
        <v>234</v>
      </c>
      <c r="EP1131" s="1" t="s">
        <v>11865</v>
      </c>
      <c r="EQ1131" s="1" t="s">
        <v>11866</v>
      </c>
      <c r="ER1131" s="1" t="s">
        <v>210</v>
      </c>
      <c r="ES1131" s="1" t="s">
        <v>322</v>
      </c>
      <c r="EV1131" s="1" t="s">
        <v>324</v>
      </c>
      <c r="EW1131" s="1" t="s">
        <v>11867</v>
      </c>
      <c r="EY1131" s="1" t="s">
        <v>2455</v>
      </c>
      <c r="EZ1131" s="1" t="s">
        <v>287</v>
      </c>
      <c r="FA1131" s="1" t="s">
        <v>11868</v>
      </c>
      <c r="FD1131" s="1" t="s">
        <v>736</v>
      </c>
      <c r="FE1131" s="1" t="s">
        <v>11869</v>
      </c>
      <c r="FF1131" s="1" t="s">
        <v>248</v>
      </c>
      <c r="FH1131" s="1" t="s">
        <v>249</v>
      </c>
      <c r="FL1131" s="1" t="s">
        <v>292</v>
      </c>
      <c r="FM1131" s="1" t="s">
        <v>252</v>
      </c>
      <c r="FN1131" s="1" t="s">
        <v>213</v>
      </c>
      <c r="FO1131" s="1" t="s">
        <v>213</v>
      </c>
      <c r="FQ1131" s="1" t="s">
        <v>849</v>
      </c>
      <c r="FR1131" s="1" t="s">
        <v>210</v>
      </c>
      <c r="FS1131" s="1" t="s">
        <v>11870</v>
      </c>
      <c r="FT1131" s="1" t="s">
        <v>295</v>
      </c>
      <c r="FU1131" s="1" t="s">
        <v>204</v>
      </c>
      <c r="FW1131" s="1" t="s">
        <v>719</v>
      </c>
      <c r="FX1131" s="1">
        <v>22029</v>
      </c>
      <c r="FY1131" s="1" t="s">
        <v>720</v>
      </c>
      <c r="FZ1131" s="1" t="s">
        <v>11871</v>
      </c>
      <c r="GA1131" s="1">
        <v>241134</v>
      </c>
      <c r="GB1131" s="1" t="s">
        <v>11872</v>
      </c>
      <c r="GE1131" s="1" t="s">
        <v>335</v>
      </c>
      <c r="GH1131" s="1" t="s">
        <v>421</v>
      </c>
      <c r="GI1131" s="1" t="s">
        <v>204</v>
      </c>
      <c r="GJ1131" s="1" t="s">
        <v>260</v>
      </c>
      <c r="GK1131" s="1" t="s">
        <v>261</v>
      </c>
      <c r="GL1131" s="2">
        <v>42139</v>
      </c>
      <c r="GM1131" s="1" t="s">
        <v>11873</v>
      </c>
    </row>
    <row r="1132" spans="1:195">
      <c r="A1132" s="1">
        <v>150000</v>
      </c>
      <c r="B1132" s="1" t="s">
        <v>195</v>
      </c>
      <c r="C1132" s="1" t="str">
        <f>"08843377"</f>
        <v>08843377</v>
      </c>
      <c r="D1132" s="1" t="s">
        <v>196</v>
      </c>
      <c r="F1132" s="1" t="str">
        <f>"61"</f>
        <v>61</v>
      </c>
      <c r="G1132" s="2">
        <v>42055</v>
      </c>
      <c r="H1132" s="1">
        <v>153900</v>
      </c>
      <c r="I1132" s="1">
        <v>153900</v>
      </c>
      <c r="J1132" s="1">
        <v>150000</v>
      </c>
      <c r="K1132" s="2">
        <v>42055</v>
      </c>
      <c r="L1132" s="1">
        <v>17</v>
      </c>
      <c r="M1132" s="2">
        <v>42071</v>
      </c>
      <c r="N1132" s="1">
        <v>17</v>
      </c>
      <c r="O1132" s="2">
        <v>42071</v>
      </c>
      <c r="P1132" s="1">
        <v>8390</v>
      </c>
      <c r="Q1132" s="1" t="s">
        <v>197</v>
      </c>
      <c r="R1132" s="2">
        <v>42117</v>
      </c>
      <c r="S1132" s="1">
        <v>80503</v>
      </c>
      <c r="U1132" s="1">
        <v>485</v>
      </c>
      <c r="V1132" s="1" t="s">
        <v>4342</v>
      </c>
      <c r="W1132" s="1" t="s">
        <v>449</v>
      </c>
      <c r="Y1132" s="1">
        <v>6</v>
      </c>
      <c r="Z1132" s="1" t="s">
        <v>249</v>
      </c>
      <c r="AA1132" s="1" t="s">
        <v>505</v>
      </c>
      <c r="AB1132" s="1">
        <v>60061</v>
      </c>
      <c r="AD1132" s="1" t="s">
        <v>5040</v>
      </c>
      <c r="AE1132" s="1" t="s">
        <v>11874</v>
      </c>
      <c r="AF1132" s="1">
        <v>1994</v>
      </c>
      <c r="AG1132" s="1" t="s">
        <v>204</v>
      </c>
      <c r="AH1132" s="1" t="s">
        <v>508</v>
      </c>
      <c r="AI1132" s="1" t="s">
        <v>509</v>
      </c>
      <c r="AJ1132" s="1" t="s">
        <v>510</v>
      </c>
      <c r="AL1132" s="1">
        <v>5</v>
      </c>
      <c r="AM1132" s="1">
        <v>2</v>
      </c>
      <c r="AN1132" s="1">
        <v>2</v>
      </c>
      <c r="AO1132" s="1">
        <v>0</v>
      </c>
      <c r="AP1132" s="1" t="s">
        <v>209</v>
      </c>
      <c r="AQ1132" s="1">
        <v>1</v>
      </c>
      <c r="AR1132" s="1" t="s">
        <v>210</v>
      </c>
      <c r="AS1132" s="1" t="s">
        <v>204</v>
      </c>
      <c r="AT1132" s="1" t="s">
        <v>375</v>
      </c>
      <c r="AU1132" s="1">
        <v>1</v>
      </c>
      <c r="AV1132" s="1">
        <v>2</v>
      </c>
      <c r="AW1132" s="1" t="s">
        <v>204</v>
      </c>
      <c r="AX1132" s="1" t="s">
        <v>579</v>
      </c>
      <c r="AZ1132" s="1">
        <v>4778</v>
      </c>
      <c r="BA1132" s="1">
        <v>2013</v>
      </c>
      <c r="BB1132" s="1" t="s">
        <v>210</v>
      </c>
      <c r="BE1132" s="1">
        <v>1234</v>
      </c>
      <c r="BF1132" s="1">
        <v>2</v>
      </c>
      <c r="BG1132" s="1">
        <v>0</v>
      </c>
      <c r="BL1132" s="1">
        <v>314</v>
      </c>
      <c r="BM1132" s="1" t="s">
        <v>204</v>
      </c>
      <c r="BN1132" s="1" t="s">
        <v>213</v>
      </c>
      <c r="BO1132" s="1">
        <v>999</v>
      </c>
      <c r="BP1132" s="1" t="s">
        <v>204</v>
      </c>
      <c r="BR1132" s="1" t="str">
        <f>"15062061540000"</f>
        <v>15062061540000</v>
      </c>
      <c r="BT1132" s="1" t="s">
        <v>11875</v>
      </c>
      <c r="BU1132" s="1" t="s">
        <v>1530</v>
      </c>
      <c r="BV1132" s="1" t="s">
        <v>1531</v>
      </c>
      <c r="BW1132" s="1" t="s">
        <v>1532</v>
      </c>
      <c r="BX1132" s="1">
        <v>76</v>
      </c>
      <c r="BY1132" s="1">
        <v>76</v>
      </c>
      <c r="BZ1132" s="1">
        <v>125</v>
      </c>
      <c r="CB1132" s="1" t="str">
        <f>"25"</f>
        <v>25</v>
      </c>
      <c r="CC1132" s="1" t="str">
        <f>""</f>
        <v/>
      </c>
      <c r="CD1132" s="1">
        <v>18</v>
      </c>
      <c r="CG1132" s="1" t="s">
        <v>1004</v>
      </c>
      <c r="CH1132" s="1" t="s">
        <v>219</v>
      </c>
      <c r="CI1132" s="1" t="s">
        <v>220</v>
      </c>
      <c r="CJ1132" s="1" t="s">
        <v>463</v>
      </c>
      <c r="CK1132" s="1" t="s">
        <v>1533</v>
      </c>
      <c r="CL1132" s="1" t="s">
        <v>219</v>
      </c>
      <c r="CM1132" s="1" t="s">
        <v>220</v>
      </c>
      <c r="CN1132" s="1" t="s">
        <v>343</v>
      </c>
      <c r="CO1132" s="1" t="s">
        <v>380</v>
      </c>
      <c r="CP1132" s="1" t="s">
        <v>219</v>
      </c>
      <c r="CQ1132" s="1" t="s">
        <v>220</v>
      </c>
      <c r="CR1132" s="1" t="s">
        <v>210</v>
      </c>
      <c r="CS1132" s="1" t="s">
        <v>379</v>
      </c>
      <c r="CT1132" s="1" t="s">
        <v>219</v>
      </c>
      <c r="CU1132" s="1" t="s">
        <v>220</v>
      </c>
      <c r="CV1132" s="1" t="s">
        <v>343</v>
      </c>
      <c r="CX1132" s="1" t="s">
        <v>224</v>
      </c>
      <c r="DB1132" s="1" t="s">
        <v>224</v>
      </c>
      <c r="DE1132" s="1" t="s">
        <v>378</v>
      </c>
      <c r="DF1132" s="1" t="s">
        <v>219</v>
      </c>
      <c r="DG1132" s="1" t="s">
        <v>229</v>
      </c>
      <c r="DH1132" s="1" t="s">
        <v>343</v>
      </c>
      <c r="DJ1132" s="1" t="s">
        <v>224</v>
      </c>
      <c r="DS1132" s="1" t="s">
        <v>230</v>
      </c>
      <c r="DW1132" s="1" t="s">
        <v>230</v>
      </c>
      <c r="EA1132" s="1" t="s">
        <v>230</v>
      </c>
      <c r="EE1132" s="1" t="s">
        <v>230</v>
      </c>
      <c r="EI1132" s="1" t="s">
        <v>230</v>
      </c>
      <c r="EL1132" s="1" t="s">
        <v>382</v>
      </c>
      <c r="EM1132" s="1" t="s">
        <v>232</v>
      </c>
      <c r="EN1132" s="1" t="s">
        <v>282</v>
      </c>
      <c r="EO1132" s="1" t="s">
        <v>234</v>
      </c>
      <c r="ER1132" s="1" t="s">
        <v>1069</v>
      </c>
      <c r="EV1132" s="1" t="s">
        <v>240</v>
      </c>
      <c r="EW1132" s="1" t="s">
        <v>937</v>
      </c>
      <c r="EZ1132" s="1" t="s">
        <v>287</v>
      </c>
      <c r="FA1132" s="1" t="s">
        <v>1427</v>
      </c>
      <c r="FB1132" s="1" t="s">
        <v>289</v>
      </c>
      <c r="FD1132" s="1" t="s">
        <v>246</v>
      </c>
      <c r="FE1132" s="1" t="s">
        <v>975</v>
      </c>
      <c r="FF1132" s="1" t="s">
        <v>387</v>
      </c>
      <c r="FG1132" s="1" t="s">
        <v>912</v>
      </c>
      <c r="FH1132" s="1" t="s">
        <v>825</v>
      </c>
      <c r="FK1132" s="1" t="s">
        <v>768</v>
      </c>
      <c r="FL1132" s="1" t="s">
        <v>358</v>
      </c>
      <c r="FM1132" s="1" t="s">
        <v>252</v>
      </c>
      <c r="FN1132" s="1" t="s">
        <v>213</v>
      </c>
      <c r="FO1132" s="1" t="s">
        <v>213</v>
      </c>
      <c r="FQ1132" s="1" t="s">
        <v>11876</v>
      </c>
      <c r="FR1132" s="1" t="s">
        <v>210</v>
      </c>
      <c r="FS1132" s="1" t="s">
        <v>11877</v>
      </c>
      <c r="FT1132" s="1" t="s">
        <v>295</v>
      </c>
      <c r="FU1132" s="1" t="s">
        <v>204</v>
      </c>
      <c r="FW1132" s="1" t="s">
        <v>11878</v>
      </c>
      <c r="FX1132" s="1">
        <v>8390</v>
      </c>
      <c r="FY1132" s="1" t="s">
        <v>11879</v>
      </c>
      <c r="FZ1132" s="1" t="s">
        <v>11880</v>
      </c>
      <c r="GA1132" s="1">
        <v>83350</v>
      </c>
      <c r="GB1132" s="1" t="s">
        <v>11881</v>
      </c>
      <c r="GE1132" s="1" t="s">
        <v>480</v>
      </c>
      <c r="GI1132" s="1" t="s">
        <v>213</v>
      </c>
      <c r="GJ1132" s="1" t="s">
        <v>260</v>
      </c>
      <c r="GK1132" s="1" t="s">
        <v>210</v>
      </c>
      <c r="GL1132" s="2">
        <v>42117</v>
      </c>
      <c r="GM1132" s="1" t="s">
        <v>11882</v>
      </c>
    </row>
    <row r="1133" spans="1:195">
      <c r="A1133" s="1">
        <v>106000</v>
      </c>
      <c r="B1133" s="1" t="s">
        <v>195</v>
      </c>
      <c r="C1133" s="1" t="str">
        <f>"08850360"</f>
        <v>08850360</v>
      </c>
      <c r="D1133" s="1" t="s">
        <v>196</v>
      </c>
      <c r="F1133" s="1" t="str">
        <f>"148"</f>
        <v>148</v>
      </c>
      <c r="G1133" s="2">
        <v>42065</v>
      </c>
      <c r="H1133" s="1">
        <v>119000</v>
      </c>
      <c r="I1133" s="1">
        <v>119000</v>
      </c>
      <c r="J1133" s="1">
        <v>106000</v>
      </c>
      <c r="K1133" s="2">
        <v>42062</v>
      </c>
      <c r="L1133" s="1">
        <v>55</v>
      </c>
      <c r="M1133" s="2">
        <v>42116</v>
      </c>
      <c r="N1133" s="1">
        <v>55</v>
      </c>
      <c r="O1133" s="2">
        <v>42116</v>
      </c>
      <c r="P1133" s="1">
        <v>23120</v>
      </c>
      <c r="Q1133" s="1" t="s">
        <v>302</v>
      </c>
      <c r="R1133" s="2">
        <v>42135</v>
      </c>
      <c r="S1133" s="1">
        <v>242759</v>
      </c>
      <c r="U1133" s="1">
        <v>1150</v>
      </c>
      <c r="V1133" s="1" t="s">
        <v>9089</v>
      </c>
      <c r="W1133" s="1" t="s">
        <v>725</v>
      </c>
      <c r="X1133" s="1" t="s">
        <v>4376</v>
      </c>
      <c r="Y1133" s="1">
        <v>60</v>
      </c>
      <c r="Z1133" s="1" t="s">
        <v>2811</v>
      </c>
      <c r="AA1133" s="1" t="s">
        <v>1927</v>
      </c>
      <c r="AB1133" s="1">
        <v>60148</v>
      </c>
      <c r="AE1133" s="1" t="s">
        <v>11883</v>
      </c>
      <c r="AF1133" s="1">
        <v>1977</v>
      </c>
      <c r="AG1133" s="1" t="s">
        <v>213</v>
      </c>
      <c r="AH1133" s="1" t="s">
        <v>1930</v>
      </c>
      <c r="AI1133" s="1" t="s">
        <v>206</v>
      </c>
      <c r="AJ1133" s="1" t="s">
        <v>1608</v>
      </c>
      <c r="AL1133" s="1">
        <v>5</v>
      </c>
      <c r="AM1133" s="1">
        <v>2</v>
      </c>
      <c r="AN1133" s="1">
        <v>2</v>
      </c>
      <c r="AO1133" s="1">
        <v>0</v>
      </c>
      <c r="AP1133" s="1" t="s">
        <v>209</v>
      </c>
      <c r="AR1133" s="1" t="s">
        <v>210</v>
      </c>
      <c r="AS1133" s="1" t="s">
        <v>204</v>
      </c>
      <c r="AT1133" s="1" t="s">
        <v>211</v>
      </c>
      <c r="AU1133" s="1">
        <v>1</v>
      </c>
      <c r="AW1133" s="1" t="s">
        <v>204</v>
      </c>
      <c r="AX1133" s="1" t="s">
        <v>212</v>
      </c>
      <c r="AZ1133" s="1">
        <v>1936</v>
      </c>
      <c r="BA1133" s="1">
        <v>2013</v>
      </c>
      <c r="BE1133" s="1">
        <v>996</v>
      </c>
      <c r="BF1133" s="1">
        <v>3</v>
      </c>
      <c r="BG1133" s="1">
        <v>30</v>
      </c>
      <c r="BL1133" s="1">
        <v>281</v>
      </c>
      <c r="BM1133" s="1" t="s">
        <v>204</v>
      </c>
      <c r="BN1133" s="1" t="s">
        <v>213</v>
      </c>
      <c r="BO1133" s="1">
        <v>20</v>
      </c>
      <c r="BP1133" s="1" t="s">
        <v>204</v>
      </c>
      <c r="BR1133" s="1" t="str">
        <f>"0616118044"</f>
        <v>0616118044</v>
      </c>
      <c r="BT1133" s="1" t="s">
        <v>11884</v>
      </c>
      <c r="BU1133" s="1" t="s">
        <v>8567</v>
      </c>
      <c r="BV1133" s="1" t="s">
        <v>2200</v>
      </c>
      <c r="BW1133" s="1" t="s">
        <v>2201</v>
      </c>
      <c r="BX1133" s="1">
        <v>45</v>
      </c>
      <c r="BY1133" s="1">
        <v>45</v>
      </c>
      <c r="BZ1133" s="1">
        <v>88</v>
      </c>
      <c r="CB1133" s="1" t="str">
        <f t="shared" ref="CB1133:CC1133" si="872">""</f>
        <v/>
      </c>
      <c r="CC1133" s="1" t="str">
        <f t="shared" si="872"/>
        <v/>
      </c>
      <c r="CG1133" s="1" t="s">
        <v>931</v>
      </c>
      <c r="CH1133" s="1" t="s">
        <v>219</v>
      </c>
      <c r="CI1133" s="1" t="s">
        <v>220</v>
      </c>
      <c r="CJ1133" s="1" t="s">
        <v>210</v>
      </c>
      <c r="CK1133" s="1" t="s">
        <v>564</v>
      </c>
      <c r="CL1133" s="1" t="s">
        <v>219</v>
      </c>
      <c r="CM1133" s="1" t="s">
        <v>220</v>
      </c>
      <c r="CO1133" s="1" t="s">
        <v>348</v>
      </c>
      <c r="CP1133" s="1" t="s">
        <v>219</v>
      </c>
      <c r="CQ1133" s="1" t="s">
        <v>438</v>
      </c>
      <c r="CR1133" s="1" t="s">
        <v>210</v>
      </c>
      <c r="CS1133" s="1" t="s">
        <v>539</v>
      </c>
      <c r="CT1133" s="1" t="s">
        <v>219</v>
      </c>
      <c r="CU1133" s="1" t="s">
        <v>220</v>
      </c>
      <c r="CV1133" s="1" t="s">
        <v>210</v>
      </c>
      <c r="CX1133" s="1" t="s">
        <v>224</v>
      </c>
      <c r="DB1133" s="1" t="s">
        <v>224</v>
      </c>
      <c r="DE1133" s="1" t="s">
        <v>348</v>
      </c>
      <c r="DF1133" s="1" t="s">
        <v>219</v>
      </c>
      <c r="DG1133" s="1" t="s">
        <v>438</v>
      </c>
      <c r="DH1133" s="1" t="s">
        <v>210</v>
      </c>
      <c r="DJ1133" s="1" t="s">
        <v>224</v>
      </c>
      <c r="DS1133" s="1" t="s">
        <v>230</v>
      </c>
      <c r="DW1133" s="1" t="s">
        <v>230</v>
      </c>
      <c r="EA1133" s="1" t="s">
        <v>230</v>
      </c>
      <c r="EE1133" s="1" t="s">
        <v>230</v>
      </c>
      <c r="EI1133" s="1" t="s">
        <v>230</v>
      </c>
      <c r="EL1133" s="1" t="s">
        <v>231</v>
      </c>
      <c r="EM1133" s="1" t="s">
        <v>232</v>
      </c>
      <c r="EN1133" s="1" t="s">
        <v>1158</v>
      </c>
      <c r="EO1133" s="1" t="s">
        <v>234</v>
      </c>
      <c r="EQ1133" s="1" t="s">
        <v>3572</v>
      </c>
      <c r="ER1133" s="1" t="s">
        <v>210</v>
      </c>
      <c r="EW1133" s="1" t="s">
        <v>887</v>
      </c>
      <c r="EZ1133" s="1" t="s">
        <v>287</v>
      </c>
      <c r="FD1133" s="1" t="s">
        <v>246</v>
      </c>
      <c r="FE1133" s="1" t="s">
        <v>247</v>
      </c>
      <c r="FF1133" s="1" t="s">
        <v>248</v>
      </c>
      <c r="FH1133" s="1" t="s">
        <v>249</v>
      </c>
      <c r="FJ1133" s="1" t="s">
        <v>197</v>
      </c>
      <c r="FL1133" s="1" t="s">
        <v>614</v>
      </c>
      <c r="FM1133" s="1" t="s">
        <v>252</v>
      </c>
      <c r="FN1133" s="1" t="s">
        <v>213</v>
      </c>
      <c r="FO1133" s="1" t="s">
        <v>213</v>
      </c>
      <c r="FQ1133" s="1" t="s">
        <v>793</v>
      </c>
      <c r="FR1133" s="1" t="s">
        <v>210</v>
      </c>
      <c r="FS1133" s="1" t="s">
        <v>11885</v>
      </c>
      <c r="FT1133" s="1" t="s">
        <v>1182</v>
      </c>
      <c r="FU1133" s="1" t="s">
        <v>204</v>
      </c>
      <c r="FW1133" s="1" t="s">
        <v>915</v>
      </c>
      <c r="FX1133" s="1">
        <v>24071</v>
      </c>
      <c r="FY1133" s="1" t="s">
        <v>2208</v>
      </c>
      <c r="FZ1133" s="1" t="s">
        <v>8053</v>
      </c>
      <c r="GA1133" s="1">
        <v>245237</v>
      </c>
      <c r="GB1133" s="1" t="s">
        <v>8054</v>
      </c>
      <c r="GE1133" s="1" t="s">
        <v>210</v>
      </c>
      <c r="GH1133" s="1" t="s">
        <v>800</v>
      </c>
      <c r="GI1133" s="1" t="s">
        <v>213</v>
      </c>
      <c r="GJ1133" s="1" t="s">
        <v>260</v>
      </c>
      <c r="GK1133" s="1" t="s">
        <v>210</v>
      </c>
      <c r="GL1133" s="2">
        <v>42136</v>
      </c>
      <c r="GM1133" s="1" t="s">
        <v>11886</v>
      </c>
    </row>
    <row r="1134" spans="1:195">
      <c r="A1134" s="1">
        <v>48000</v>
      </c>
      <c r="B1134" s="1" t="s">
        <v>195</v>
      </c>
      <c r="C1134" s="1" t="str">
        <f>"08843749"</f>
        <v>08843749</v>
      </c>
      <c r="D1134" s="1" t="s">
        <v>196</v>
      </c>
      <c r="F1134" s="1" t="str">
        <f>"507"</f>
        <v>507</v>
      </c>
      <c r="G1134" s="2">
        <v>42056</v>
      </c>
      <c r="H1134" s="1">
        <v>53900</v>
      </c>
      <c r="I1134" s="1">
        <v>53990</v>
      </c>
      <c r="J1134" s="1">
        <v>48000</v>
      </c>
      <c r="K1134" s="2">
        <v>42056</v>
      </c>
      <c r="L1134" s="1">
        <v>31</v>
      </c>
      <c r="M1134" s="2">
        <v>42086</v>
      </c>
      <c r="N1134" s="1">
        <v>31</v>
      </c>
      <c r="O1134" s="2">
        <v>42086</v>
      </c>
      <c r="P1134" s="1">
        <v>74</v>
      </c>
      <c r="Q1134" s="1" t="s">
        <v>302</v>
      </c>
      <c r="R1134" s="2">
        <v>42118</v>
      </c>
      <c r="S1134" s="1">
        <v>1681</v>
      </c>
      <c r="U1134" s="1">
        <v>1855</v>
      </c>
      <c r="V1134" s="1" t="s">
        <v>11887</v>
      </c>
      <c r="W1134" s="1" t="s">
        <v>264</v>
      </c>
      <c r="X1134" s="1">
        <v>2305</v>
      </c>
      <c r="Y1134" s="1">
        <v>12</v>
      </c>
      <c r="Z1134" s="1" t="s">
        <v>370</v>
      </c>
      <c r="AA1134" s="1" t="s">
        <v>1123</v>
      </c>
      <c r="AB1134" s="1">
        <v>60505</v>
      </c>
      <c r="AE1134" s="1" t="s">
        <v>11888</v>
      </c>
      <c r="AF1134" s="1">
        <v>1972</v>
      </c>
      <c r="AG1134" s="1" t="s">
        <v>213</v>
      </c>
      <c r="AH1134" s="1" t="s">
        <v>1126</v>
      </c>
      <c r="AI1134" s="1" t="s">
        <v>665</v>
      </c>
      <c r="AJ1134" s="1" t="s">
        <v>1126</v>
      </c>
      <c r="AL1134" s="1">
        <v>5</v>
      </c>
      <c r="AM1134" s="1">
        <v>2</v>
      </c>
      <c r="AN1134" s="1">
        <v>1</v>
      </c>
      <c r="AO1134" s="1">
        <v>0</v>
      </c>
      <c r="AP1134" s="1" t="s">
        <v>210</v>
      </c>
      <c r="AR1134" s="1" t="s">
        <v>210</v>
      </c>
      <c r="AS1134" s="1" t="s">
        <v>204</v>
      </c>
      <c r="AT1134" s="1" t="s">
        <v>271</v>
      </c>
      <c r="AV1134" s="1">
        <v>1</v>
      </c>
      <c r="AW1134" s="1" t="s">
        <v>204</v>
      </c>
      <c r="AX1134" s="1" t="s">
        <v>212</v>
      </c>
      <c r="AZ1134" s="1">
        <v>0</v>
      </c>
      <c r="BA1134" s="1">
        <v>2013</v>
      </c>
      <c r="BE1134" s="1">
        <v>795</v>
      </c>
      <c r="BF1134" s="1">
        <v>2</v>
      </c>
      <c r="BG1134" s="1">
        <v>10</v>
      </c>
      <c r="BL1134" s="1">
        <v>284</v>
      </c>
      <c r="BM1134" s="1" t="s">
        <v>204</v>
      </c>
      <c r="BN1134" s="1" t="s">
        <v>213</v>
      </c>
      <c r="BO1134" s="1">
        <v>10</v>
      </c>
      <c r="BP1134" s="1" t="s">
        <v>204</v>
      </c>
      <c r="BR1134" s="1" t="str">
        <f>"1512127299"</f>
        <v>1512127299</v>
      </c>
      <c r="BT1134" s="1" t="s">
        <v>11889</v>
      </c>
      <c r="BX1134" s="1">
        <v>131</v>
      </c>
      <c r="BY1134" s="1">
        <v>131</v>
      </c>
      <c r="BZ1134" s="1">
        <v>131</v>
      </c>
      <c r="CB1134" s="1" t="str">
        <f t="shared" ref="CB1134:CC1134" si="873">""</f>
        <v/>
      </c>
      <c r="CC1134" s="1" t="str">
        <f t="shared" si="873"/>
        <v/>
      </c>
      <c r="CG1134" s="1" t="s">
        <v>729</v>
      </c>
      <c r="CH1134" s="1" t="s">
        <v>277</v>
      </c>
      <c r="CK1134" s="1" t="s">
        <v>437</v>
      </c>
      <c r="CL1134" s="1" t="s">
        <v>277</v>
      </c>
      <c r="CO1134" s="1" t="s">
        <v>316</v>
      </c>
      <c r="CP1134" s="1" t="s">
        <v>277</v>
      </c>
      <c r="CS1134" s="1" t="s">
        <v>379</v>
      </c>
      <c r="CT1134" s="1" t="s">
        <v>277</v>
      </c>
      <c r="CX1134" s="1" t="s">
        <v>224</v>
      </c>
      <c r="DB1134" s="1" t="s">
        <v>224</v>
      </c>
      <c r="DE1134" s="1" t="s">
        <v>316</v>
      </c>
      <c r="DF1134" s="1" t="s">
        <v>277</v>
      </c>
      <c r="DJ1134" s="1" t="s">
        <v>224</v>
      </c>
      <c r="DS1134" s="1" t="s">
        <v>230</v>
      </c>
      <c r="DW1134" s="1" t="s">
        <v>230</v>
      </c>
      <c r="EA1134" s="1" t="s">
        <v>230</v>
      </c>
      <c r="EE1134" s="1" t="s">
        <v>230</v>
      </c>
      <c r="EI1134" s="1" t="s">
        <v>230</v>
      </c>
      <c r="EL1134" s="1" t="s">
        <v>605</v>
      </c>
      <c r="EM1134" s="1" t="s">
        <v>319</v>
      </c>
      <c r="EN1134" s="1" t="s">
        <v>282</v>
      </c>
      <c r="EO1134" s="1" t="s">
        <v>234</v>
      </c>
      <c r="ER1134" s="1" t="s">
        <v>210</v>
      </c>
      <c r="EW1134" s="1" t="s">
        <v>11890</v>
      </c>
      <c r="EZ1134" s="1" t="s">
        <v>287</v>
      </c>
      <c r="FD1134" s="1" t="s">
        <v>888</v>
      </c>
      <c r="FE1134" s="1" t="s">
        <v>247</v>
      </c>
      <c r="FF1134" s="1" t="s">
        <v>248</v>
      </c>
      <c r="FH1134" s="1" t="s">
        <v>766</v>
      </c>
      <c r="FJ1134" s="1" t="s">
        <v>1472</v>
      </c>
      <c r="FL1134" s="1" t="s">
        <v>358</v>
      </c>
      <c r="FM1134" s="1" t="s">
        <v>252</v>
      </c>
      <c r="FN1134" s="1" t="s">
        <v>213</v>
      </c>
      <c r="FO1134" s="1" t="s">
        <v>213</v>
      </c>
      <c r="FQ1134" s="1" t="s">
        <v>11891</v>
      </c>
      <c r="FR1134" s="1" t="s">
        <v>210</v>
      </c>
      <c r="FS1134" s="1" t="s">
        <v>8342</v>
      </c>
      <c r="FT1134" s="1" t="s">
        <v>675</v>
      </c>
      <c r="FU1134" s="1" t="s">
        <v>204</v>
      </c>
      <c r="FW1134" s="1" t="s">
        <v>4166</v>
      </c>
      <c r="FX1134" s="1">
        <v>31420</v>
      </c>
      <c r="FY1134" s="1" t="s">
        <v>4167</v>
      </c>
      <c r="FZ1134" s="1" t="s">
        <v>11892</v>
      </c>
      <c r="GA1134" s="1">
        <v>314214</v>
      </c>
      <c r="GB1134" s="1" t="s">
        <v>11893</v>
      </c>
      <c r="GE1134" s="1" t="s">
        <v>210</v>
      </c>
      <c r="GI1134" s="1" t="s">
        <v>213</v>
      </c>
      <c r="GJ1134" s="1" t="s">
        <v>260</v>
      </c>
      <c r="GK1134" s="1" t="s">
        <v>210</v>
      </c>
      <c r="GL1134" s="2">
        <v>42118</v>
      </c>
      <c r="GM1134" s="1" t="s">
        <v>11894</v>
      </c>
    </row>
    <row r="1135" spans="1:195">
      <c r="A1135" s="1">
        <v>92000</v>
      </c>
      <c r="B1135" s="1" t="s">
        <v>195</v>
      </c>
      <c r="C1135" s="1" t="str">
        <f>"08843625"</f>
        <v>08843625</v>
      </c>
      <c r="D1135" s="1" t="s">
        <v>196</v>
      </c>
      <c r="F1135" s="1" t="str">
        <f>"555"</f>
        <v>555</v>
      </c>
      <c r="G1135" s="2">
        <v>42056</v>
      </c>
      <c r="H1135" s="1">
        <v>89900</v>
      </c>
      <c r="I1135" s="1">
        <v>92900</v>
      </c>
      <c r="J1135" s="1">
        <v>92000</v>
      </c>
      <c r="K1135" s="2">
        <v>42056</v>
      </c>
      <c r="L1135" s="1">
        <v>6</v>
      </c>
      <c r="M1135" s="2">
        <v>42061</v>
      </c>
      <c r="N1135" s="1">
        <v>6</v>
      </c>
      <c r="O1135" s="2">
        <v>42061</v>
      </c>
      <c r="P1135" s="1">
        <v>24641</v>
      </c>
      <c r="Q1135" s="1" t="s">
        <v>197</v>
      </c>
      <c r="R1135" s="2">
        <v>42111</v>
      </c>
      <c r="S1135" s="1">
        <v>222481</v>
      </c>
      <c r="U1135" s="1" t="s">
        <v>11895</v>
      </c>
      <c r="V1135" s="1" t="s">
        <v>2134</v>
      </c>
      <c r="W1135" s="1" t="s">
        <v>449</v>
      </c>
      <c r="X1135" s="1">
        <v>2</v>
      </c>
      <c r="Y1135" s="1">
        <v>4</v>
      </c>
      <c r="Z1135" s="1" t="s">
        <v>249</v>
      </c>
      <c r="AA1135" s="1" t="s">
        <v>984</v>
      </c>
      <c r="AB1135" s="1">
        <v>60555</v>
      </c>
      <c r="AE1135" s="1" t="s">
        <v>6718</v>
      </c>
      <c r="AF1135" s="1">
        <v>1974</v>
      </c>
      <c r="AG1135" s="1" t="s">
        <v>213</v>
      </c>
      <c r="AH1135" s="1" t="s">
        <v>986</v>
      </c>
      <c r="AI1135" s="1" t="s">
        <v>206</v>
      </c>
      <c r="AJ1135" s="1" t="s">
        <v>987</v>
      </c>
      <c r="AL1135" s="1">
        <v>6</v>
      </c>
      <c r="AM1135" s="1">
        <v>2</v>
      </c>
      <c r="AN1135" s="1">
        <v>2</v>
      </c>
      <c r="AO1135" s="1">
        <v>0</v>
      </c>
      <c r="AP1135" s="1" t="s">
        <v>210</v>
      </c>
      <c r="AR1135" s="1" t="s">
        <v>209</v>
      </c>
      <c r="AS1135" s="1" t="s">
        <v>213</v>
      </c>
      <c r="AT1135" s="1" t="s">
        <v>211</v>
      </c>
      <c r="AU1135" s="1">
        <v>1</v>
      </c>
      <c r="AW1135" s="1" t="s">
        <v>204</v>
      </c>
      <c r="AX1135" s="1" t="s">
        <v>212</v>
      </c>
      <c r="AZ1135" s="1">
        <v>1676</v>
      </c>
      <c r="BA1135" s="1">
        <v>2013</v>
      </c>
      <c r="BE1135" s="1">
        <v>966</v>
      </c>
      <c r="BF1135" s="1">
        <v>1</v>
      </c>
      <c r="BG1135" s="1">
        <v>0</v>
      </c>
      <c r="BL1135" s="1">
        <v>188</v>
      </c>
      <c r="BM1135" s="1" t="s">
        <v>204</v>
      </c>
      <c r="BN1135" s="1" t="s">
        <v>213</v>
      </c>
      <c r="BO1135" s="1">
        <v>999</v>
      </c>
      <c r="BP1135" s="1" t="s">
        <v>204</v>
      </c>
      <c r="BR1135" s="1" t="str">
        <f>"0427307110"</f>
        <v>0427307110</v>
      </c>
      <c r="BT1135" s="1" t="s">
        <v>11896</v>
      </c>
      <c r="BU1135" s="1" t="s">
        <v>989</v>
      </c>
      <c r="BV1135" s="1" t="s">
        <v>990</v>
      </c>
      <c r="BW1135" s="1" t="s">
        <v>971</v>
      </c>
      <c r="BX1135" s="1">
        <v>200</v>
      </c>
      <c r="BY1135" s="1">
        <v>200</v>
      </c>
      <c r="BZ1135" s="1">
        <v>200</v>
      </c>
      <c r="CB1135" s="1" t="str">
        <f t="shared" ref="CB1135:CC1135" si="874">""</f>
        <v/>
      </c>
      <c r="CC1135" s="1" t="str">
        <f t="shared" si="874"/>
        <v/>
      </c>
      <c r="CG1135" s="1" t="s">
        <v>1737</v>
      </c>
      <c r="CH1135" s="1" t="s">
        <v>219</v>
      </c>
      <c r="CI1135" s="1" t="s">
        <v>229</v>
      </c>
      <c r="CK1135" s="1" t="s">
        <v>317</v>
      </c>
      <c r="CL1135" s="1" t="s">
        <v>822</v>
      </c>
      <c r="CM1135" s="1" t="s">
        <v>220</v>
      </c>
      <c r="CO1135" s="1" t="s">
        <v>2277</v>
      </c>
      <c r="CP1135" s="1" t="s">
        <v>219</v>
      </c>
      <c r="CQ1135" s="1" t="s">
        <v>229</v>
      </c>
      <c r="CS1135" s="1" t="s">
        <v>346</v>
      </c>
      <c r="CT1135" s="1" t="s">
        <v>822</v>
      </c>
      <c r="CU1135" s="1" t="s">
        <v>220</v>
      </c>
      <c r="CX1135" s="1" t="s">
        <v>224</v>
      </c>
      <c r="DB1135" s="1" t="s">
        <v>224</v>
      </c>
      <c r="DE1135" s="1" t="s">
        <v>2231</v>
      </c>
      <c r="DF1135" s="1" t="s">
        <v>219</v>
      </c>
      <c r="DG1135" s="1" t="s">
        <v>229</v>
      </c>
      <c r="DI1135" s="1" t="s">
        <v>1267</v>
      </c>
      <c r="DJ1135" s="1" t="s">
        <v>822</v>
      </c>
      <c r="DK1135" s="1" t="s">
        <v>220</v>
      </c>
      <c r="DS1135" s="1" t="s">
        <v>230</v>
      </c>
      <c r="DW1135" s="1" t="s">
        <v>230</v>
      </c>
      <c r="EA1135" s="1" t="s">
        <v>230</v>
      </c>
      <c r="EE1135" s="1" t="s">
        <v>230</v>
      </c>
      <c r="EI1135" s="1" t="s">
        <v>230</v>
      </c>
      <c r="EL1135" s="1" t="s">
        <v>605</v>
      </c>
      <c r="EM1135" s="1" t="s">
        <v>319</v>
      </c>
      <c r="EN1135" s="1" t="s">
        <v>282</v>
      </c>
      <c r="EO1135" s="1" t="s">
        <v>234</v>
      </c>
      <c r="ER1135" s="1" t="s">
        <v>544</v>
      </c>
      <c r="EW1135" s="1" t="s">
        <v>7369</v>
      </c>
      <c r="EZ1135" s="1" t="s">
        <v>287</v>
      </c>
      <c r="FD1135" s="1" t="s">
        <v>246</v>
      </c>
      <c r="FE1135" s="1" t="s">
        <v>472</v>
      </c>
      <c r="FF1135" s="1" t="s">
        <v>248</v>
      </c>
      <c r="FH1135" s="1" t="s">
        <v>249</v>
      </c>
      <c r="FL1135" s="1" t="s">
        <v>414</v>
      </c>
      <c r="FM1135" s="1" t="s">
        <v>252</v>
      </c>
      <c r="FN1135" s="1" t="s">
        <v>213</v>
      </c>
      <c r="FO1135" s="1" t="s">
        <v>213</v>
      </c>
      <c r="FQ1135" s="1" t="s">
        <v>1032</v>
      </c>
      <c r="FR1135" s="1" t="s">
        <v>210</v>
      </c>
      <c r="FS1135" s="1" t="s">
        <v>8199</v>
      </c>
      <c r="FT1135" s="1" t="s">
        <v>295</v>
      </c>
      <c r="FU1135" s="1" t="s">
        <v>213</v>
      </c>
      <c r="FW1135" s="1" t="s">
        <v>8200</v>
      </c>
      <c r="FX1135" s="1">
        <v>24223</v>
      </c>
      <c r="FY1135" s="1" t="s">
        <v>8201</v>
      </c>
      <c r="FZ1135" s="1" t="s">
        <v>8202</v>
      </c>
      <c r="GA1135" s="1">
        <v>219862</v>
      </c>
      <c r="GE1135" s="1" t="s">
        <v>480</v>
      </c>
      <c r="GI1135" s="1" t="s">
        <v>204</v>
      </c>
      <c r="GJ1135" s="1" t="s">
        <v>260</v>
      </c>
      <c r="GK1135" s="1" t="s">
        <v>210</v>
      </c>
      <c r="GL1135" s="2">
        <v>42116</v>
      </c>
      <c r="GM1135" s="1" t="s">
        <v>8203</v>
      </c>
    </row>
    <row r="1136" spans="1:195">
      <c r="A1136" s="1">
        <v>126000</v>
      </c>
      <c r="B1136" s="1" t="s">
        <v>195</v>
      </c>
      <c r="C1136" s="1" t="str">
        <f>"08844004"</f>
        <v>08844004</v>
      </c>
      <c r="D1136" s="1" t="s">
        <v>196</v>
      </c>
      <c r="F1136" s="1" t="str">
        <f>"110"</f>
        <v>110</v>
      </c>
      <c r="G1136" s="2">
        <v>42057</v>
      </c>
      <c r="H1136" s="1">
        <v>129900</v>
      </c>
      <c r="I1136" s="1">
        <v>129900</v>
      </c>
      <c r="J1136" s="1">
        <v>126000</v>
      </c>
      <c r="K1136" s="2">
        <v>42057</v>
      </c>
      <c r="L1136" s="1">
        <v>326</v>
      </c>
      <c r="M1136" s="2">
        <v>42093</v>
      </c>
      <c r="N1136" s="1">
        <v>37</v>
      </c>
      <c r="O1136" s="2">
        <v>42093</v>
      </c>
      <c r="P1136" s="1">
        <v>8012</v>
      </c>
      <c r="Q1136" s="1" t="s">
        <v>197</v>
      </c>
      <c r="R1136" s="2">
        <v>42136</v>
      </c>
      <c r="S1136" s="1">
        <v>80167</v>
      </c>
      <c r="U1136" s="1">
        <v>3390</v>
      </c>
      <c r="V1136" s="1" t="s">
        <v>11897</v>
      </c>
      <c r="W1136" s="1" t="s">
        <v>264</v>
      </c>
      <c r="Y1136" s="1">
        <v>6</v>
      </c>
      <c r="Z1136" s="1" t="s">
        <v>249</v>
      </c>
      <c r="AA1136" s="1" t="s">
        <v>803</v>
      </c>
      <c r="AB1136" s="1">
        <v>60110</v>
      </c>
      <c r="AD1136" s="1" t="s">
        <v>11898</v>
      </c>
      <c r="AE1136" s="1" t="s">
        <v>11899</v>
      </c>
      <c r="AF1136" s="1">
        <v>1999</v>
      </c>
      <c r="AG1136" s="1" t="s">
        <v>204</v>
      </c>
      <c r="AH1136" s="1" t="s">
        <v>2557</v>
      </c>
      <c r="AI1136" s="1" t="s">
        <v>665</v>
      </c>
      <c r="AJ1136" s="1" t="s">
        <v>805</v>
      </c>
      <c r="AK1136" s="1" t="s">
        <v>9888</v>
      </c>
      <c r="AL1136" s="1">
        <v>6</v>
      </c>
      <c r="AM1136" s="1">
        <v>2</v>
      </c>
      <c r="AN1136" s="1">
        <v>1</v>
      </c>
      <c r="AO1136" s="1">
        <v>1</v>
      </c>
      <c r="AP1136" s="1" t="s">
        <v>667</v>
      </c>
      <c r="AR1136" s="1" t="s">
        <v>210</v>
      </c>
      <c r="AS1136" s="1" t="s">
        <v>204</v>
      </c>
      <c r="AT1136" s="1" t="s">
        <v>211</v>
      </c>
      <c r="AU1136" s="1">
        <v>2</v>
      </c>
      <c r="AW1136" s="1" t="s">
        <v>204</v>
      </c>
      <c r="AX1136" s="1" t="s">
        <v>212</v>
      </c>
      <c r="AZ1136" s="1">
        <v>5201</v>
      </c>
      <c r="BA1136" s="1">
        <v>2013</v>
      </c>
      <c r="BE1136" s="1">
        <v>1348</v>
      </c>
      <c r="BF1136" s="1">
        <v>1</v>
      </c>
      <c r="BG1136" s="1">
        <v>0</v>
      </c>
      <c r="BL1136" s="1">
        <v>141</v>
      </c>
      <c r="BM1136" s="1" t="s">
        <v>204</v>
      </c>
      <c r="BN1136" s="1" t="s">
        <v>213</v>
      </c>
      <c r="BO1136" s="1">
        <v>999</v>
      </c>
      <c r="BP1136" s="1" t="s">
        <v>204</v>
      </c>
      <c r="BR1136" s="1" t="str">
        <f>"0308425021"</f>
        <v>0308425021</v>
      </c>
      <c r="BT1136" s="1" t="s">
        <v>11900</v>
      </c>
      <c r="BU1136" s="1" t="s">
        <v>11901</v>
      </c>
      <c r="BV1136" s="1" t="s">
        <v>2667</v>
      </c>
      <c r="BW1136" s="1" t="s">
        <v>2668</v>
      </c>
      <c r="BX1136" s="1">
        <v>300</v>
      </c>
      <c r="BY1136" s="1">
        <v>300</v>
      </c>
      <c r="BZ1136" s="1">
        <v>300</v>
      </c>
      <c r="CB1136" s="1" t="str">
        <f>"18"</f>
        <v>18</v>
      </c>
      <c r="CC1136" s="1" t="str">
        <f>""</f>
        <v/>
      </c>
      <c r="CD1136" s="1">
        <v>36</v>
      </c>
      <c r="CG1136" s="1" t="s">
        <v>538</v>
      </c>
      <c r="CH1136" s="1" t="s">
        <v>219</v>
      </c>
      <c r="CI1136" s="1" t="s">
        <v>220</v>
      </c>
      <c r="CJ1136" s="1" t="s">
        <v>343</v>
      </c>
      <c r="CK1136" s="1" t="s">
        <v>757</v>
      </c>
      <c r="CL1136" s="1" t="s">
        <v>277</v>
      </c>
      <c r="CM1136" s="1" t="s">
        <v>220</v>
      </c>
      <c r="CN1136" s="1" t="s">
        <v>343</v>
      </c>
      <c r="CO1136" s="1" t="s">
        <v>951</v>
      </c>
      <c r="CP1136" s="1" t="s">
        <v>219</v>
      </c>
      <c r="CQ1136" s="1" t="s">
        <v>220</v>
      </c>
      <c r="CR1136" s="1" t="s">
        <v>343</v>
      </c>
      <c r="CS1136" s="1" t="s">
        <v>346</v>
      </c>
      <c r="CT1136" s="1" t="s">
        <v>277</v>
      </c>
      <c r="CU1136" s="1" t="s">
        <v>220</v>
      </c>
      <c r="CV1136" s="1" t="s">
        <v>343</v>
      </c>
      <c r="CX1136" s="1" t="s">
        <v>224</v>
      </c>
      <c r="DB1136" s="1" t="s">
        <v>224</v>
      </c>
      <c r="DE1136" s="1" t="s">
        <v>972</v>
      </c>
      <c r="DF1136" s="1" t="s">
        <v>219</v>
      </c>
      <c r="DG1136" s="1" t="s">
        <v>229</v>
      </c>
      <c r="DJ1136" s="1" t="s">
        <v>224</v>
      </c>
      <c r="DM1136" s="1" t="s">
        <v>464</v>
      </c>
      <c r="DR1136" s="1" t="s">
        <v>1297</v>
      </c>
      <c r="DS1136" s="1" t="s">
        <v>277</v>
      </c>
      <c r="DT1136" s="1" t="s">
        <v>220</v>
      </c>
      <c r="DU1136" s="1" t="s">
        <v>343</v>
      </c>
      <c r="DW1136" s="1" t="s">
        <v>230</v>
      </c>
      <c r="EA1136" s="1" t="s">
        <v>230</v>
      </c>
      <c r="EE1136" s="1" t="s">
        <v>230</v>
      </c>
      <c r="EI1136" s="1" t="s">
        <v>230</v>
      </c>
      <c r="EL1136" s="1" t="s">
        <v>670</v>
      </c>
      <c r="EM1136" s="1" t="s">
        <v>319</v>
      </c>
      <c r="EN1136" s="1" t="s">
        <v>282</v>
      </c>
      <c r="EO1136" s="1" t="s">
        <v>234</v>
      </c>
      <c r="EP1136" s="1" t="s">
        <v>4619</v>
      </c>
      <c r="EQ1136" s="1" t="s">
        <v>2188</v>
      </c>
      <c r="ER1136" s="1" t="s">
        <v>383</v>
      </c>
      <c r="EV1136" s="1" t="s">
        <v>352</v>
      </c>
      <c r="EW1136" s="1" t="s">
        <v>887</v>
      </c>
      <c r="EY1136" s="1" t="s">
        <v>441</v>
      </c>
      <c r="EZ1136" s="1" t="s">
        <v>464</v>
      </c>
      <c r="FA1136" s="1" t="s">
        <v>471</v>
      </c>
      <c r="FB1136" s="1" t="s">
        <v>289</v>
      </c>
      <c r="FD1136" s="1" t="s">
        <v>495</v>
      </c>
      <c r="FE1136" s="1" t="s">
        <v>975</v>
      </c>
      <c r="FF1136" s="1" t="s">
        <v>248</v>
      </c>
      <c r="FH1136" s="1" t="s">
        <v>940</v>
      </c>
      <c r="FI1136" s="1" t="s">
        <v>473</v>
      </c>
      <c r="FL1136" s="1" t="s">
        <v>358</v>
      </c>
      <c r="FM1136" s="1" t="s">
        <v>252</v>
      </c>
      <c r="FN1136" s="1" t="s">
        <v>213</v>
      </c>
      <c r="FO1136" s="1" t="s">
        <v>213</v>
      </c>
      <c r="FQ1136" s="1" t="s">
        <v>3560</v>
      </c>
      <c r="FR1136" s="1" t="s">
        <v>210</v>
      </c>
      <c r="FS1136" s="1" t="s">
        <v>583</v>
      </c>
      <c r="FT1136" s="1" t="s">
        <v>11902</v>
      </c>
      <c r="FU1136" s="1" t="s">
        <v>204</v>
      </c>
      <c r="FW1136" s="1" t="s">
        <v>585</v>
      </c>
      <c r="FX1136" s="1">
        <v>5014</v>
      </c>
      <c r="FY1136" s="1" t="s">
        <v>3661</v>
      </c>
      <c r="FZ1136" s="1" t="s">
        <v>11903</v>
      </c>
      <c r="GA1136" s="1">
        <v>54214</v>
      </c>
      <c r="GB1136" s="1" t="s">
        <v>11904</v>
      </c>
      <c r="GE1136" s="1" t="s">
        <v>210</v>
      </c>
      <c r="GI1136" s="1" t="s">
        <v>213</v>
      </c>
      <c r="GJ1136" s="1" t="s">
        <v>260</v>
      </c>
      <c r="GK1136" s="1" t="s">
        <v>210</v>
      </c>
      <c r="GL1136" s="2">
        <v>42137</v>
      </c>
    </row>
    <row r="1137" spans="1:195">
      <c r="A1137" s="1">
        <v>135000</v>
      </c>
      <c r="B1137" s="1" t="s">
        <v>195</v>
      </c>
      <c r="C1137" s="1" t="str">
        <f>"08870837"</f>
        <v>08870837</v>
      </c>
      <c r="D1137" s="1" t="s">
        <v>196</v>
      </c>
      <c r="F1137" s="1" t="str">
        <f>"507"</f>
        <v>507</v>
      </c>
      <c r="G1137" s="2">
        <v>42087</v>
      </c>
      <c r="H1137" s="1">
        <v>129000</v>
      </c>
      <c r="I1137" s="1">
        <v>129000</v>
      </c>
      <c r="J1137" s="1">
        <v>135000</v>
      </c>
      <c r="K1137" s="2">
        <v>42087</v>
      </c>
      <c r="L1137" s="1">
        <v>14</v>
      </c>
      <c r="M1137" s="2">
        <v>42100</v>
      </c>
      <c r="N1137" s="1">
        <v>14</v>
      </c>
      <c r="O1137" s="2">
        <v>42100</v>
      </c>
      <c r="P1137" s="1">
        <v>2208</v>
      </c>
      <c r="Q1137" s="1" t="s">
        <v>197</v>
      </c>
      <c r="R1137" s="2">
        <v>42144</v>
      </c>
      <c r="S1137" s="1">
        <v>84565</v>
      </c>
      <c r="U1137" s="1">
        <v>1674</v>
      </c>
      <c r="V1137" s="1" t="s">
        <v>11905</v>
      </c>
      <c r="W1137" s="1" t="s">
        <v>504</v>
      </c>
      <c r="Y1137" s="1">
        <v>6</v>
      </c>
      <c r="Z1137" s="1" t="s">
        <v>370</v>
      </c>
      <c r="AA1137" s="1" t="s">
        <v>1123</v>
      </c>
      <c r="AB1137" s="1">
        <v>60503</v>
      </c>
      <c r="AD1137" s="1" t="s">
        <v>11906</v>
      </c>
      <c r="AE1137" s="1" t="s">
        <v>11907</v>
      </c>
      <c r="AF1137" s="1">
        <v>2005</v>
      </c>
      <c r="AG1137" s="1" t="s">
        <v>204</v>
      </c>
      <c r="AH1137" s="1" t="s">
        <v>1126</v>
      </c>
      <c r="AI1137" s="1" t="s">
        <v>453</v>
      </c>
      <c r="AJ1137" s="1" t="s">
        <v>1397</v>
      </c>
      <c r="AL1137" s="1">
        <v>5</v>
      </c>
      <c r="AM1137" s="1">
        <v>2</v>
      </c>
      <c r="AN1137" s="1">
        <v>2</v>
      </c>
      <c r="AO1137" s="1">
        <v>0</v>
      </c>
      <c r="AP1137" s="1" t="s">
        <v>209</v>
      </c>
      <c r="AR1137" s="1" t="s">
        <v>210</v>
      </c>
      <c r="AS1137" s="1" t="s">
        <v>204</v>
      </c>
      <c r="AT1137" s="1" t="s">
        <v>211</v>
      </c>
      <c r="AU1137" s="1">
        <v>2</v>
      </c>
      <c r="AW1137" s="1" t="s">
        <v>204</v>
      </c>
      <c r="AX1137" s="1" t="s">
        <v>212</v>
      </c>
      <c r="AZ1137" s="1">
        <v>4279.26</v>
      </c>
      <c r="BA1137" s="1">
        <v>2013</v>
      </c>
      <c r="BB1137" s="1" t="s">
        <v>405</v>
      </c>
      <c r="BE1137" s="1">
        <v>1572</v>
      </c>
      <c r="BF1137" s="1">
        <v>2</v>
      </c>
      <c r="BG1137" s="1">
        <v>0</v>
      </c>
      <c r="BL1137" s="1">
        <v>124</v>
      </c>
      <c r="BM1137" s="1" t="s">
        <v>413</v>
      </c>
      <c r="BN1137" s="1" t="s">
        <v>213</v>
      </c>
      <c r="BO1137" s="1">
        <v>999</v>
      </c>
      <c r="BP1137" s="1" t="s">
        <v>204</v>
      </c>
      <c r="BR1137" s="1" t="str">
        <f>"0301327040"</f>
        <v>0301327040</v>
      </c>
      <c r="BT1137" s="1" t="s">
        <v>11908</v>
      </c>
      <c r="BX1137" s="1">
        <v>308</v>
      </c>
      <c r="BY1137" s="1">
        <v>308</v>
      </c>
      <c r="BZ1137" s="1">
        <v>308</v>
      </c>
      <c r="CB1137" s="1" t="str">
        <f t="shared" ref="CB1137:CC1137" si="875">""</f>
        <v/>
      </c>
      <c r="CC1137" s="1" t="str">
        <f t="shared" si="875"/>
        <v/>
      </c>
      <c r="CH1137" s="1" t="s">
        <v>224</v>
      </c>
      <c r="CK1137" s="1" t="s">
        <v>931</v>
      </c>
      <c r="CL1137" s="1" t="s">
        <v>277</v>
      </c>
      <c r="CM1137" s="1" t="s">
        <v>220</v>
      </c>
      <c r="CN1137" s="1" t="s">
        <v>343</v>
      </c>
      <c r="CO1137" s="1" t="s">
        <v>317</v>
      </c>
      <c r="CP1137" s="1" t="s">
        <v>277</v>
      </c>
      <c r="CQ1137" s="1" t="s">
        <v>438</v>
      </c>
      <c r="CR1137" s="1" t="s">
        <v>343</v>
      </c>
      <c r="CS1137" s="1" t="s">
        <v>465</v>
      </c>
      <c r="CT1137" s="1" t="s">
        <v>277</v>
      </c>
      <c r="CU1137" s="1" t="s">
        <v>220</v>
      </c>
      <c r="CV1137" s="1" t="s">
        <v>343</v>
      </c>
      <c r="CX1137" s="1" t="s">
        <v>224</v>
      </c>
      <c r="DB1137" s="1" t="s">
        <v>224</v>
      </c>
      <c r="DE1137" s="1" t="s">
        <v>669</v>
      </c>
      <c r="DF1137" s="1" t="s">
        <v>277</v>
      </c>
      <c r="DG1137" s="1" t="s">
        <v>342</v>
      </c>
      <c r="DH1137" s="1" t="s">
        <v>343</v>
      </c>
      <c r="DI1137" s="1" t="s">
        <v>931</v>
      </c>
      <c r="DJ1137" s="1" t="s">
        <v>277</v>
      </c>
      <c r="DK1137" s="1" t="s">
        <v>438</v>
      </c>
      <c r="DL1137" s="1" t="s">
        <v>343</v>
      </c>
      <c r="DS1137" s="1" t="s">
        <v>230</v>
      </c>
      <c r="DW1137" s="1" t="s">
        <v>230</v>
      </c>
      <c r="EA1137" s="1" t="s">
        <v>230</v>
      </c>
      <c r="EE1137" s="1" t="s">
        <v>230</v>
      </c>
      <c r="EI1137" s="1" t="s">
        <v>230</v>
      </c>
      <c r="EL1137" s="1" t="s">
        <v>491</v>
      </c>
      <c r="EM1137" s="1" t="s">
        <v>319</v>
      </c>
      <c r="EN1137" s="1" t="s">
        <v>282</v>
      </c>
      <c r="EO1137" s="1" t="s">
        <v>234</v>
      </c>
      <c r="EP1137" s="1" t="s">
        <v>650</v>
      </c>
      <c r="EQ1137" s="1" t="s">
        <v>953</v>
      </c>
      <c r="ER1137" s="1" t="s">
        <v>210</v>
      </c>
      <c r="ES1137" s="1" t="s">
        <v>1868</v>
      </c>
      <c r="EV1137" s="1" t="s">
        <v>1553</v>
      </c>
      <c r="EW1137" s="1" t="s">
        <v>353</v>
      </c>
      <c r="EY1137" s="1" t="s">
        <v>242</v>
      </c>
      <c r="EZ1137" s="1" t="s">
        <v>287</v>
      </c>
      <c r="FA1137" s="1" t="s">
        <v>714</v>
      </c>
      <c r="FD1137" s="1" t="s">
        <v>246</v>
      </c>
      <c r="FE1137" s="1" t="s">
        <v>975</v>
      </c>
      <c r="FF1137" s="1" t="s">
        <v>248</v>
      </c>
      <c r="FH1137" s="1" t="s">
        <v>550</v>
      </c>
      <c r="FI1137" s="1" t="s">
        <v>357</v>
      </c>
      <c r="FL1137" s="1" t="s">
        <v>358</v>
      </c>
      <c r="FM1137" s="1" t="s">
        <v>252</v>
      </c>
      <c r="FN1137" s="1" t="s">
        <v>213</v>
      </c>
      <c r="FO1137" s="1" t="s">
        <v>213</v>
      </c>
      <c r="FQ1137" s="1" t="s">
        <v>11909</v>
      </c>
      <c r="FR1137" s="1" t="s">
        <v>210</v>
      </c>
      <c r="FS1137" s="1" t="s">
        <v>11910</v>
      </c>
      <c r="FT1137" s="1" t="s">
        <v>255</v>
      </c>
      <c r="FU1137" s="1" t="s">
        <v>204</v>
      </c>
      <c r="FW1137" s="1" t="s">
        <v>1559</v>
      </c>
      <c r="FX1137" s="1">
        <v>23312</v>
      </c>
      <c r="FY1137" s="1" t="s">
        <v>3596</v>
      </c>
      <c r="FZ1137" s="1" t="s">
        <v>10670</v>
      </c>
      <c r="GA1137" s="1">
        <v>219521</v>
      </c>
      <c r="GB1137" s="1" t="s">
        <v>10671</v>
      </c>
      <c r="GD1137" s="1" t="s">
        <v>10672</v>
      </c>
      <c r="GE1137" s="1" t="s">
        <v>210</v>
      </c>
      <c r="GI1137" s="1" t="s">
        <v>213</v>
      </c>
      <c r="GJ1137" s="1" t="s">
        <v>260</v>
      </c>
      <c r="GK1137" s="1" t="s">
        <v>210</v>
      </c>
      <c r="GL1137" s="2">
        <v>42144</v>
      </c>
      <c r="GM1137" s="1" t="s">
        <v>11911</v>
      </c>
    </row>
    <row r="1138" spans="1:195">
      <c r="A1138" s="1">
        <v>135000</v>
      </c>
      <c r="B1138" s="1" t="s">
        <v>195</v>
      </c>
      <c r="C1138" s="1" t="str">
        <f>"08847891"</f>
        <v>08847891</v>
      </c>
      <c r="D1138" s="1" t="s">
        <v>196</v>
      </c>
      <c r="F1138" s="1" t="str">
        <f>"136"</f>
        <v>136</v>
      </c>
      <c r="G1138" s="2">
        <v>42062</v>
      </c>
      <c r="H1138" s="1">
        <v>148000</v>
      </c>
      <c r="I1138" s="1">
        <v>148000</v>
      </c>
      <c r="J1138" s="1">
        <v>135000</v>
      </c>
      <c r="K1138" s="2">
        <v>42062</v>
      </c>
      <c r="L1138" s="1">
        <v>16</v>
      </c>
      <c r="M1138" s="2">
        <v>42077</v>
      </c>
      <c r="N1138" s="1">
        <v>16</v>
      </c>
      <c r="O1138" s="2">
        <v>42077</v>
      </c>
      <c r="P1138" s="1">
        <v>5157</v>
      </c>
      <c r="Q1138" s="1" t="s">
        <v>423</v>
      </c>
      <c r="R1138" s="2">
        <v>42128</v>
      </c>
      <c r="S1138" s="1">
        <v>55063</v>
      </c>
      <c r="U1138" s="1">
        <v>156</v>
      </c>
      <c r="V1138" s="1" t="s">
        <v>11912</v>
      </c>
      <c r="W1138" s="1" t="s">
        <v>264</v>
      </c>
      <c r="Y1138" s="1">
        <v>6</v>
      </c>
      <c r="Z1138" s="1" t="s">
        <v>370</v>
      </c>
      <c r="AA1138" s="1" t="s">
        <v>3680</v>
      </c>
      <c r="AB1138" s="1">
        <v>60136</v>
      </c>
      <c r="AD1138" s="1" t="s">
        <v>4056</v>
      </c>
      <c r="AE1138" s="1" t="s">
        <v>11913</v>
      </c>
      <c r="AF1138" s="1">
        <v>2004</v>
      </c>
      <c r="AG1138" s="1" t="s">
        <v>204</v>
      </c>
      <c r="AH1138" s="1" t="s">
        <v>3682</v>
      </c>
      <c r="AI1138" s="1" t="s">
        <v>665</v>
      </c>
      <c r="AJ1138" s="1" t="s">
        <v>748</v>
      </c>
      <c r="AK1138" s="1" t="s">
        <v>9888</v>
      </c>
      <c r="AL1138" s="1">
        <v>6</v>
      </c>
      <c r="AM1138" s="1">
        <v>2</v>
      </c>
      <c r="AN1138" s="1">
        <v>2</v>
      </c>
      <c r="AO1138" s="1">
        <v>1</v>
      </c>
      <c r="AP1138" s="1" t="s">
        <v>209</v>
      </c>
      <c r="AR1138" s="1" t="s">
        <v>210</v>
      </c>
      <c r="AT1138" s="1" t="s">
        <v>211</v>
      </c>
      <c r="AU1138" s="1">
        <v>2</v>
      </c>
      <c r="AW1138" s="1" t="s">
        <v>204</v>
      </c>
      <c r="AX1138" s="1" t="s">
        <v>212</v>
      </c>
      <c r="AZ1138" s="1">
        <v>4145.5200000000004</v>
      </c>
      <c r="BA1138" s="1">
        <v>2013</v>
      </c>
      <c r="BB1138" s="1" t="s">
        <v>599</v>
      </c>
      <c r="BE1138" s="1">
        <v>1524</v>
      </c>
      <c r="BF1138" s="1">
        <v>1</v>
      </c>
      <c r="BG1138" s="1">
        <v>5</v>
      </c>
      <c r="BL1138" s="1">
        <v>167</v>
      </c>
      <c r="BM1138" s="1" t="s">
        <v>204</v>
      </c>
      <c r="BN1138" s="1" t="s">
        <v>213</v>
      </c>
      <c r="BP1138" s="1" t="s">
        <v>204</v>
      </c>
      <c r="BR1138" s="1" t="str">
        <f>"0225307023"</f>
        <v>0225307023</v>
      </c>
      <c r="BT1138" s="1" t="s">
        <v>11914</v>
      </c>
      <c r="BU1138" s="1" t="s">
        <v>4061</v>
      </c>
      <c r="BV1138" s="1" t="s">
        <v>754</v>
      </c>
      <c r="BW1138" s="1" t="s">
        <v>755</v>
      </c>
      <c r="BX1138" s="1">
        <v>300</v>
      </c>
      <c r="BY1138" s="1">
        <v>300</v>
      </c>
      <c r="BZ1138" s="1">
        <v>300</v>
      </c>
      <c r="CB1138" s="1" t="str">
        <f t="shared" ref="CB1138:CC1138" si="876">""</f>
        <v/>
      </c>
      <c r="CC1138" s="1" t="str">
        <f t="shared" si="876"/>
        <v/>
      </c>
      <c r="CG1138" s="1" t="s">
        <v>2307</v>
      </c>
      <c r="CH1138" s="1" t="s">
        <v>219</v>
      </c>
      <c r="CI1138" s="1" t="s">
        <v>438</v>
      </c>
      <c r="CJ1138" s="1" t="s">
        <v>343</v>
      </c>
      <c r="CK1138" s="1" t="s">
        <v>757</v>
      </c>
      <c r="CL1138" s="1" t="s">
        <v>277</v>
      </c>
      <c r="CM1138" s="1" t="s">
        <v>220</v>
      </c>
      <c r="CN1138" s="1" t="s">
        <v>343</v>
      </c>
      <c r="CO1138" s="1" t="s">
        <v>281</v>
      </c>
      <c r="CP1138" s="1" t="s">
        <v>219</v>
      </c>
      <c r="CQ1138" s="1" t="s">
        <v>438</v>
      </c>
      <c r="CR1138" s="1" t="s">
        <v>210</v>
      </c>
      <c r="CS1138" s="1" t="s">
        <v>346</v>
      </c>
      <c r="CT1138" s="1" t="s">
        <v>277</v>
      </c>
      <c r="CU1138" s="1" t="s">
        <v>220</v>
      </c>
      <c r="CV1138" s="1" t="s">
        <v>343</v>
      </c>
      <c r="CX1138" s="1" t="s">
        <v>224</v>
      </c>
      <c r="DB1138" s="1" t="s">
        <v>224</v>
      </c>
      <c r="DE1138" s="1" t="s">
        <v>317</v>
      </c>
      <c r="DF1138" s="1" t="s">
        <v>219</v>
      </c>
      <c r="DG1138" s="1" t="s">
        <v>438</v>
      </c>
      <c r="DH1138" s="1" t="s">
        <v>210</v>
      </c>
      <c r="DJ1138" s="1" t="s">
        <v>224</v>
      </c>
      <c r="DM1138" s="1" t="s">
        <v>464</v>
      </c>
      <c r="DN1138" s="1" t="s">
        <v>709</v>
      </c>
      <c r="DR1138" s="1" t="s">
        <v>461</v>
      </c>
      <c r="DS1138" s="1" t="s">
        <v>277</v>
      </c>
      <c r="DT1138" s="1" t="s">
        <v>220</v>
      </c>
      <c r="DU1138" s="1" t="s">
        <v>343</v>
      </c>
      <c r="DV1138" s="1" t="s">
        <v>2451</v>
      </c>
      <c r="DW1138" s="1" t="s">
        <v>219</v>
      </c>
      <c r="DX1138" s="1" t="s">
        <v>438</v>
      </c>
      <c r="DY1138" s="1" t="s">
        <v>210</v>
      </c>
      <c r="EA1138" s="1" t="s">
        <v>230</v>
      </c>
      <c r="EE1138" s="1" t="s">
        <v>230</v>
      </c>
      <c r="EI1138" s="1" t="s">
        <v>230</v>
      </c>
      <c r="EL1138" s="1" t="s">
        <v>466</v>
      </c>
      <c r="EM1138" s="1" t="s">
        <v>319</v>
      </c>
      <c r="EN1138" s="1" t="s">
        <v>282</v>
      </c>
      <c r="EO1138" s="1" t="s">
        <v>234</v>
      </c>
      <c r="EP1138" s="1" t="s">
        <v>2682</v>
      </c>
      <c r="EQ1138" s="1" t="s">
        <v>236</v>
      </c>
      <c r="ER1138" s="1" t="s">
        <v>383</v>
      </c>
      <c r="ES1138" s="1" t="s">
        <v>608</v>
      </c>
      <c r="ET1138" s="1" t="s">
        <v>2404</v>
      </c>
      <c r="EU1138" s="1" t="s">
        <v>712</v>
      </c>
      <c r="EV1138" s="1" t="s">
        <v>352</v>
      </c>
      <c r="EW1138" s="1" t="s">
        <v>937</v>
      </c>
      <c r="EY1138" s="1" t="s">
        <v>2455</v>
      </c>
      <c r="EZ1138" s="1" t="s">
        <v>2549</v>
      </c>
      <c r="FA1138" s="1" t="s">
        <v>6559</v>
      </c>
      <c r="FB1138" s="1" t="s">
        <v>289</v>
      </c>
      <c r="FC1138" s="1" t="s">
        <v>1386</v>
      </c>
      <c r="FD1138" s="1" t="s">
        <v>3287</v>
      </c>
      <c r="FE1138" s="1" t="s">
        <v>9850</v>
      </c>
      <c r="FF1138" s="1" t="s">
        <v>387</v>
      </c>
      <c r="FH1138" s="1" t="s">
        <v>550</v>
      </c>
      <c r="FI1138" s="1" t="s">
        <v>473</v>
      </c>
      <c r="FJ1138" s="1" t="s">
        <v>518</v>
      </c>
      <c r="FL1138" s="1" t="s">
        <v>358</v>
      </c>
      <c r="FM1138" s="1" t="s">
        <v>252</v>
      </c>
      <c r="FN1138" s="1" t="s">
        <v>213</v>
      </c>
      <c r="FO1138" s="1" t="s">
        <v>213</v>
      </c>
      <c r="FQ1138" s="1" t="s">
        <v>11915</v>
      </c>
      <c r="FR1138" s="1" t="s">
        <v>210</v>
      </c>
      <c r="FS1138" s="1" t="s">
        <v>11916</v>
      </c>
      <c r="FT1138" s="1" t="s">
        <v>11917</v>
      </c>
      <c r="FU1138" s="1" t="s">
        <v>204</v>
      </c>
      <c r="FW1138" s="1" t="s">
        <v>8625</v>
      </c>
      <c r="FX1138" s="1">
        <v>37</v>
      </c>
      <c r="FY1138" s="1" t="s">
        <v>8626</v>
      </c>
      <c r="FZ1138" s="1" t="s">
        <v>11918</v>
      </c>
      <c r="GA1138" s="1">
        <v>77292</v>
      </c>
      <c r="GB1138" s="1" t="s">
        <v>11919</v>
      </c>
      <c r="GD1138" s="1" t="s">
        <v>11920</v>
      </c>
      <c r="GE1138" s="1" t="s">
        <v>480</v>
      </c>
      <c r="GI1138" s="1" t="s">
        <v>213</v>
      </c>
      <c r="GJ1138" s="1" t="s">
        <v>260</v>
      </c>
      <c r="GK1138" s="1" t="s">
        <v>261</v>
      </c>
      <c r="GL1138" s="2">
        <v>42129</v>
      </c>
      <c r="GM1138" s="1" t="s">
        <v>11921</v>
      </c>
    </row>
    <row r="1139" spans="1:195">
      <c r="A1139" s="1">
        <v>117000</v>
      </c>
      <c r="B1139" s="1" t="s">
        <v>195</v>
      </c>
      <c r="C1139" s="1" t="str">
        <f>"08847275"</f>
        <v>08847275</v>
      </c>
      <c r="D1139" s="1" t="s">
        <v>196</v>
      </c>
      <c r="F1139" s="1" t="str">
        <f>"517"</f>
        <v>517</v>
      </c>
      <c r="G1139" s="2">
        <v>42061</v>
      </c>
      <c r="H1139" s="1">
        <v>120000</v>
      </c>
      <c r="I1139" s="1">
        <v>120000</v>
      </c>
      <c r="J1139" s="1">
        <v>117000</v>
      </c>
      <c r="K1139" s="2">
        <v>42059</v>
      </c>
      <c r="L1139" s="1">
        <v>9</v>
      </c>
      <c r="M1139" s="2">
        <v>42067</v>
      </c>
      <c r="N1139" s="1">
        <v>9</v>
      </c>
      <c r="O1139" s="2">
        <v>42067</v>
      </c>
      <c r="P1139" s="1">
        <v>20001</v>
      </c>
      <c r="Q1139" s="1" t="s">
        <v>197</v>
      </c>
      <c r="R1139" s="2">
        <v>42111</v>
      </c>
      <c r="S1139" s="1">
        <v>215207</v>
      </c>
      <c r="U1139" s="1">
        <v>2482</v>
      </c>
      <c r="V1139" s="1" t="s">
        <v>11922</v>
      </c>
      <c r="W1139" s="1" t="s">
        <v>449</v>
      </c>
      <c r="X1139" s="1" t="s">
        <v>11923</v>
      </c>
      <c r="Y1139" s="1">
        <v>4</v>
      </c>
      <c r="Z1139" s="1" t="s">
        <v>249</v>
      </c>
      <c r="AA1139" s="1" t="s">
        <v>2850</v>
      </c>
      <c r="AB1139" s="1">
        <v>60517</v>
      </c>
      <c r="AD1139" s="1" t="s">
        <v>11924</v>
      </c>
      <c r="AE1139" s="1" t="s">
        <v>11925</v>
      </c>
      <c r="AF1139" s="1">
        <v>1985</v>
      </c>
      <c r="AG1139" s="1" t="s">
        <v>204</v>
      </c>
      <c r="AH1139" s="1" t="s">
        <v>2853</v>
      </c>
      <c r="AI1139" s="1" t="s">
        <v>206</v>
      </c>
      <c r="AJ1139" s="1" t="s">
        <v>925</v>
      </c>
      <c r="AL1139" s="1">
        <v>5</v>
      </c>
      <c r="AM1139" s="1">
        <v>2</v>
      </c>
      <c r="AN1139" s="1">
        <v>1</v>
      </c>
      <c r="AO1139" s="1">
        <v>0</v>
      </c>
      <c r="AP1139" s="1" t="s">
        <v>210</v>
      </c>
      <c r="AQ1139" s="1">
        <v>1</v>
      </c>
      <c r="AR1139" s="1" t="s">
        <v>210</v>
      </c>
      <c r="AS1139" s="1" t="s">
        <v>204</v>
      </c>
      <c r="AT1139" s="1" t="s">
        <v>211</v>
      </c>
      <c r="AU1139" s="1">
        <v>1</v>
      </c>
      <c r="AW1139" s="1" t="s">
        <v>204</v>
      </c>
      <c r="AX1139" s="1" t="s">
        <v>212</v>
      </c>
      <c r="AZ1139" s="1">
        <v>3332</v>
      </c>
      <c r="BA1139" s="1">
        <v>2013</v>
      </c>
      <c r="BB1139" s="1" t="s">
        <v>405</v>
      </c>
      <c r="BC1139" s="1">
        <v>0</v>
      </c>
      <c r="BD1139" s="1">
        <v>0</v>
      </c>
      <c r="BE1139" s="1">
        <v>1025</v>
      </c>
      <c r="BF1139" s="1">
        <v>1</v>
      </c>
      <c r="BG1139" s="1">
        <v>15</v>
      </c>
      <c r="BL1139" s="1">
        <v>186</v>
      </c>
      <c r="BM1139" s="1" t="s">
        <v>204</v>
      </c>
      <c r="BN1139" s="1" t="s">
        <v>213</v>
      </c>
      <c r="BO1139" s="1">
        <v>50</v>
      </c>
      <c r="BP1139" s="1" t="s">
        <v>204</v>
      </c>
      <c r="BR1139" s="1" t="str">
        <f>"0824325001"</f>
        <v>0824325001</v>
      </c>
      <c r="BT1139" s="1" t="s">
        <v>11926</v>
      </c>
      <c r="BV1139" s="1" t="s">
        <v>2856</v>
      </c>
      <c r="BW1139" s="1" t="s">
        <v>2762</v>
      </c>
      <c r="BX1139" s="1">
        <v>68</v>
      </c>
      <c r="BY1139" s="1">
        <v>68</v>
      </c>
      <c r="BZ1139" s="1">
        <v>99</v>
      </c>
      <c r="CB1139" s="1" t="str">
        <f t="shared" ref="CB1139:CC1139" si="877">"0"</f>
        <v>0</v>
      </c>
      <c r="CC1139" s="1" t="str">
        <f t="shared" si="877"/>
        <v>0</v>
      </c>
      <c r="CD1139" s="1">
        <v>21</v>
      </c>
      <c r="CE1139" s="1">
        <v>7</v>
      </c>
      <c r="CG1139" s="1" t="s">
        <v>1803</v>
      </c>
      <c r="CH1139" s="1" t="s">
        <v>219</v>
      </c>
      <c r="CI1139" s="1" t="s">
        <v>229</v>
      </c>
      <c r="CJ1139" s="1" t="s">
        <v>252</v>
      </c>
      <c r="CK1139" s="1" t="s">
        <v>378</v>
      </c>
      <c r="CL1139" s="1" t="s">
        <v>219</v>
      </c>
      <c r="CM1139" s="1" t="s">
        <v>229</v>
      </c>
      <c r="CN1139" s="1" t="s">
        <v>252</v>
      </c>
      <c r="CO1139" s="1" t="s">
        <v>629</v>
      </c>
      <c r="CP1139" s="1" t="s">
        <v>219</v>
      </c>
      <c r="CQ1139" s="1" t="s">
        <v>229</v>
      </c>
      <c r="CR1139" s="1" t="s">
        <v>252</v>
      </c>
      <c r="CS1139" s="1" t="s">
        <v>379</v>
      </c>
      <c r="CT1139" s="1" t="s">
        <v>219</v>
      </c>
      <c r="CU1139" s="1" t="s">
        <v>229</v>
      </c>
      <c r="CV1139" s="1" t="s">
        <v>252</v>
      </c>
      <c r="CX1139" s="1" t="s">
        <v>224</v>
      </c>
      <c r="DB1139" s="1" t="s">
        <v>224</v>
      </c>
      <c r="DE1139" s="1" t="s">
        <v>3264</v>
      </c>
      <c r="DF1139" s="1" t="s">
        <v>219</v>
      </c>
      <c r="DG1139" s="1" t="s">
        <v>342</v>
      </c>
      <c r="DH1139" s="1" t="s">
        <v>252</v>
      </c>
      <c r="DJ1139" s="1" t="s">
        <v>224</v>
      </c>
      <c r="DS1139" s="1" t="s">
        <v>230</v>
      </c>
      <c r="DW1139" s="1" t="s">
        <v>230</v>
      </c>
      <c r="EA1139" s="1" t="s">
        <v>230</v>
      </c>
      <c r="EE1139" s="1" t="s">
        <v>230</v>
      </c>
      <c r="EI1139" s="1" t="s">
        <v>230</v>
      </c>
      <c r="EL1139" s="1" t="s">
        <v>542</v>
      </c>
      <c r="EM1139" s="1" t="s">
        <v>232</v>
      </c>
      <c r="EN1139" s="1" t="s">
        <v>282</v>
      </c>
      <c r="EO1139" s="1" t="s">
        <v>840</v>
      </c>
      <c r="EP1139" s="1" t="s">
        <v>3782</v>
      </c>
      <c r="EQ1139" s="1" t="s">
        <v>4462</v>
      </c>
      <c r="ER1139" s="1" t="s">
        <v>210</v>
      </c>
      <c r="ES1139" s="1" t="s">
        <v>322</v>
      </c>
      <c r="EU1139" s="1" t="s">
        <v>239</v>
      </c>
      <c r="EV1139" s="1" t="s">
        <v>240</v>
      </c>
      <c r="EW1139" s="1" t="s">
        <v>353</v>
      </c>
      <c r="EY1139" s="1" t="s">
        <v>242</v>
      </c>
      <c r="EZ1139" s="1" t="s">
        <v>287</v>
      </c>
      <c r="FB1139" s="1" t="s">
        <v>289</v>
      </c>
      <c r="FC1139" s="1" t="s">
        <v>1405</v>
      </c>
      <c r="FD1139" s="1" t="s">
        <v>246</v>
      </c>
      <c r="FE1139" s="1" t="s">
        <v>975</v>
      </c>
      <c r="FF1139" s="1" t="s">
        <v>248</v>
      </c>
      <c r="FG1139" s="1" t="s">
        <v>939</v>
      </c>
      <c r="FH1139" s="1" t="s">
        <v>2221</v>
      </c>
      <c r="FI1139" s="1" t="s">
        <v>473</v>
      </c>
      <c r="FL1139" s="1" t="s">
        <v>358</v>
      </c>
      <c r="FM1139" s="1" t="s">
        <v>252</v>
      </c>
      <c r="FN1139" s="1" t="s">
        <v>213</v>
      </c>
      <c r="FO1139" s="1" t="s">
        <v>213</v>
      </c>
      <c r="FQ1139" s="1" t="s">
        <v>8382</v>
      </c>
      <c r="FR1139" s="1" t="s">
        <v>210</v>
      </c>
      <c r="FS1139" s="1" t="s">
        <v>11927</v>
      </c>
      <c r="FT1139" s="1" t="s">
        <v>295</v>
      </c>
      <c r="FU1139" s="1" t="s">
        <v>204</v>
      </c>
      <c r="FW1139" s="1" t="s">
        <v>915</v>
      </c>
      <c r="FX1139" s="1">
        <v>20179</v>
      </c>
      <c r="FY1139" s="1" t="s">
        <v>1944</v>
      </c>
      <c r="FZ1139" s="1" t="s">
        <v>11928</v>
      </c>
      <c r="GA1139" s="1">
        <v>214141</v>
      </c>
      <c r="GB1139" s="1" t="s">
        <v>11929</v>
      </c>
      <c r="GE1139" s="1" t="s">
        <v>2504</v>
      </c>
      <c r="GI1139" s="1" t="s">
        <v>213</v>
      </c>
      <c r="GJ1139" s="1" t="s">
        <v>260</v>
      </c>
      <c r="GK1139" s="1" t="s">
        <v>210</v>
      </c>
      <c r="GL1139" s="2">
        <v>42111</v>
      </c>
      <c r="GM1139" s="1" t="s">
        <v>11930</v>
      </c>
    </row>
    <row r="1140" spans="1:195">
      <c r="A1140" s="1">
        <v>177000</v>
      </c>
      <c r="B1140" s="1" t="s">
        <v>195</v>
      </c>
      <c r="C1140" s="1" t="str">
        <f>"08850307"</f>
        <v>08850307</v>
      </c>
      <c r="D1140" s="1" t="s">
        <v>196</v>
      </c>
      <c r="F1140" s="1" t="str">
        <f>"47"</f>
        <v>47</v>
      </c>
      <c r="G1140" s="2">
        <v>42065</v>
      </c>
      <c r="H1140" s="1">
        <v>189900</v>
      </c>
      <c r="I1140" s="1">
        <v>189900</v>
      </c>
      <c r="J1140" s="1">
        <v>177000</v>
      </c>
      <c r="K1140" s="2">
        <v>42065</v>
      </c>
      <c r="L1140" s="1">
        <v>14</v>
      </c>
      <c r="M1140" s="2">
        <v>42078</v>
      </c>
      <c r="N1140" s="1">
        <v>14</v>
      </c>
      <c r="O1140" s="2">
        <v>42078</v>
      </c>
      <c r="P1140" s="1">
        <v>5547</v>
      </c>
      <c r="Q1140" s="1" t="s">
        <v>197</v>
      </c>
      <c r="R1140" s="2">
        <v>42122</v>
      </c>
      <c r="S1140" s="1">
        <v>54900</v>
      </c>
      <c r="U1140" s="1">
        <v>880</v>
      </c>
      <c r="V1140" s="1" t="s">
        <v>7552</v>
      </c>
      <c r="W1140" s="1" t="s">
        <v>2781</v>
      </c>
      <c r="X1140" s="1">
        <v>200</v>
      </c>
      <c r="Y1140" s="1">
        <v>12</v>
      </c>
      <c r="Z1140" s="1" t="s">
        <v>249</v>
      </c>
      <c r="AA1140" s="1" t="s">
        <v>528</v>
      </c>
      <c r="AB1140" s="1">
        <v>60047</v>
      </c>
      <c r="AD1140" s="1" t="s">
        <v>11931</v>
      </c>
      <c r="AE1140" s="1" t="s">
        <v>11932</v>
      </c>
      <c r="AF1140" s="1">
        <v>2005</v>
      </c>
      <c r="AG1140" s="1" t="s">
        <v>204</v>
      </c>
      <c r="AH1140" s="1" t="s">
        <v>531</v>
      </c>
      <c r="AI1140" s="1" t="s">
        <v>509</v>
      </c>
      <c r="AJ1140" s="1" t="s">
        <v>532</v>
      </c>
      <c r="AL1140" s="1">
        <v>4</v>
      </c>
      <c r="AM1140" s="1">
        <v>2</v>
      </c>
      <c r="AN1140" s="1">
        <v>2</v>
      </c>
      <c r="AO1140" s="1">
        <v>0</v>
      </c>
      <c r="AP1140" s="1" t="s">
        <v>209</v>
      </c>
      <c r="AQ1140" s="1">
        <v>0</v>
      </c>
      <c r="AR1140" s="1" t="s">
        <v>210</v>
      </c>
      <c r="AS1140" s="1" t="s">
        <v>204</v>
      </c>
      <c r="AT1140" s="1" t="s">
        <v>211</v>
      </c>
      <c r="AU1140" s="1">
        <v>1.5</v>
      </c>
      <c r="AW1140" s="1" t="s">
        <v>204</v>
      </c>
      <c r="AX1140" s="1" t="s">
        <v>212</v>
      </c>
      <c r="AZ1140" s="1">
        <v>3978.39</v>
      </c>
      <c r="BA1140" s="1">
        <v>2013</v>
      </c>
      <c r="BB1140" s="1" t="s">
        <v>405</v>
      </c>
      <c r="BE1140" s="1">
        <v>1489</v>
      </c>
      <c r="BF1140" s="1">
        <v>2</v>
      </c>
      <c r="BG1140" s="1">
        <v>0</v>
      </c>
      <c r="BL1140" s="1">
        <v>260</v>
      </c>
      <c r="BM1140" s="1" t="s">
        <v>204</v>
      </c>
      <c r="BN1140" s="1" t="s">
        <v>213</v>
      </c>
      <c r="BO1140" s="1">
        <v>100</v>
      </c>
      <c r="BP1140" s="1" t="s">
        <v>204</v>
      </c>
      <c r="BR1140" s="1" t="str">
        <f>"14201100480000"</f>
        <v>14201100480000</v>
      </c>
      <c r="BT1140" s="1" t="s">
        <v>11933</v>
      </c>
      <c r="BU1140" s="1" t="s">
        <v>535</v>
      </c>
      <c r="BV1140" s="1" t="s">
        <v>536</v>
      </c>
      <c r="BW1140" s="1" t="s">
        <v>537</v>
      </c>
      <c r="BX1140" s="1">
        <v>95</v>
      </c>
      <c r="BY1140" s="1">
        <v>95</v>
      </c>
      <c r="BZ1140" s="1">
        <v>95</v>
      </c>
      <c r="CB1140" s="1" t="str">
        <f t="shared" ref="CB1140:CC1140" si="878">""</f>
        <v/>
      </c>
      <c r="CC1140" s="1" t="str">
        <f t="shared" si="878"/>
        <v/>
      </c>
      <c r="CG1140" s="1" t="s">
        <v>377</v>
      </c>
      <c r="CH1140" s="1" t="s">
        <v>277</v>
      </c>
      <c r="CI1140" s="1" t="s">
        <v>220</v>
      </c>
      <c r="CJ1140" s="1" t="s">
        <v>463</v>
      </c>
      <c r="CK1140" s="1" t="s">
        <v>315</v>
      </c>
      <c r="CL1140" s="1" t="s">
        <v>277</v>
      </c>
      <c r="CM1140" s="1" t="s">
        <v>220</v>
      </c>
      <c r="CP1140" s="1" t="s">
        <v>224</v>
      </c>
      <c r="CS1140" s="1" t="s">
        <v>346</v>
      </c>
      <c r="CT1140" s="1" t="s">
        <v>277</v>
      </c>
      <c r="CU1140" s="1" t="s">
        <v>220</v>
      </c>
      <c r="CX1140" s="1" t="s">
        <v>224</v>
      </c>
      <c r="DB1140" s="1" t="s">
        <v>224</v>
      </c>
      <c r="DE1140" s="1" t="s">
        <v>315</v>
      </c>
      <c r="DF1140" s="1" t="s">
        <v>277</v>
      </c>
      <c r="DG1140" s="1" t="s">
        <v>438</v>
      </c>
      <c r="DJ1140" s="1" t="s">
        <v>224</v>
      </c>
      <c r="DM1140" s="1" t="s">
        <v>709</v>
      </c>
      <c r="DN1140" s="1" t="s">
        <v>347</v>
      </c>
      <c r="DR1140" s="1" t="s">
        <v>6362</v>
      </c>
      <c r="DS1140" s="1" t="s">
        <v>219</v>
      </c>
      <c r="DT1140" s="1" t="s">
        <v>226</v>
      </c>
      <c r="DV1140" s="1" t="s">
        <v>7812</v>
      </c>
      <c r="DW1140" s="1" t="s">
        <v>277</v>
      </c>
      <c r="DX1140" s="1" t="s">
        <v>220</v>
      </c>
      <c r="EA1140" s="1" t="s">
        <v>230</v>
      </c>
      <c r="EE1140" s="1" t="s">
        <v>230</v>
      </c>
      <c r="EI1140" s="1" t="s">
        <v>230</v>
      </c>
      <c r="EL1140" s="1" t="s">
        <v>491</v>
      </c>
      <c r="EM1140" s="1" t="s">
        <v>319</v>
      </c>
      <c r="EN1140" s="1" t="s">
        <v>282</v>
      </c>
      <c r="EO1140" s="1" t="s">
        <v>234</v>
      </c>
      <c r="EQ1140" s="1" t="s">
        <v>1551</v>
      </c>
      <c r="ER1140" s="1" t="s">
        <v>210</v>
      </c>
      <c r="ET1140" s="1" t="s">
        <v>842</v>
      </c>
      <c r="EW1140" s="1" t="s">
        <v>1698</v>
      </c>
      <c r="EZ1140" s="1" t="s">
        <v>11934</v>
      </c>
      <c r="FB1140" s="1" t="s">
        <v>289</v>
      </c>
      <c r="FD1140" s="1" t="s">
        <v>246</v>
      </c>
      <c r="FE1140" s="1" t="s">
        <v>975</v>
      </c>
      <c r="FF1140" s="1" t="s">
        <v>248</v>
      </c>
      <c r="FH1140" s="1" t="s">
        <v>550</v>
      </c>
      <c r="FI1140" s="1" t="s">
        <v>473</v>
      </c>
      <c r="FL1140" s="1" t="s">
        <v>358</v>
      </c>
      <c r="FM1140" s="1" t="s">
        <v>252</v>
      </c>
      <c r="FN1140" s="1" t="s">
        <v>213</v>
      </c>
      <c r="FO1140" s="1" t="s">
        <v>204</v>
      </c>
      <c r="FQ1140" s="1" t="s">
        <v>11935</v>
      </c>
      <c r="FR1140" s="1" t="s">
        <v>210</v>
      </c>
      <c r="FS1140" s="1" t="s">
        <v>11936</v>
      </c>
      <c r="FT1140" s="1" t="s">
        <v>295</v>
      </c>
      <c r="FU1140" s="1" t="s">
        <v>204</v>
      </c>
      <c r="FW1140" s="1" t="s">
        <v>11937</v>
      </c>
      <c r="FX1140" s="1">
        <v>1037</v>
      </c>
      <c r="FY1140" s="1" t="s">
        <v>11938</v>
      </c>
      <c r="FZ1140" s="1" t="s">
        <v>11939</v>
      </c>
      <c r="GA1140" s="1">
        <v>29198</v>
      </c>
      <c r="GB1140" s="1" t="s">
        <v>11940</v>
      </c>
      <c r="GE1140" s="1" t="s">
        <v>480</v>
      </c>
      <c r="GI1140" s="1" t="s">
        <v>204</v>
      </c>
      <c r="GJ1140" s="1" t="s">
        <v>260</v>
      </c>
      <c r="GK1140" s="1" t="s">
        <v>210</v>
      </c>
      <c r="GL1140" s="2">
        <v>42123</v>
      </c>
      <c r="GM1140" s="1" t="s">
        <v>11941</v>
      </c>
    </row>
    <row r="1141" spans="1:195">
      <c r="A1141" s="1">
        <v>188900</v>
      </c>
      <c r="B1141" s="1" t="s">
        <v>195</v>
      </c>
      <c r="C1141" s="1" t="str">
        <f>"08848442"</f>
        <v>08848442</v>
      </c>
      <c r="D1141" s="1" t="s">
        <v>196</v>
      </c>
      <c r="F1141" s="1" t="str">
        <f>"108"</f>
        <v>108</v>
      </c>
      <c r="G1141" s="2">
        <v>42062</v>
      </c>
      <c r="H1141" s="1">
        <v>199900</v>
      </c>
      <c r="I1141" s="1">
        <v>199900</v>
      </c>
      <c r="J1141" s="1">
        <v>188900</v>
      </c>
      <c r="K1141" s="2">
        <v>42062</v>
      </c>
      <c r="L1141" s="1">
        <v>18</v>
      </c>
      <c r="M1141" s="2">
        <v>42079</v>
      </c>
      <c r="N1141" s="1">
        <v>18</v>
      </c>
      <c r="O1141" s="2">
        <v>42079</v>
      </c>
      <c r="P1141" s="1">
        <v>18426</v>
      </c>
      <c r="Q1141" s="1" t="s">
        <v>423</v>
      </c>
      <c r="R1141" s="2">
        <v>42114</v>
      </c>
      <c r="S1141" s="1">
        <v>879336</v>
      </c>
      <c r="U1141" s="1">
        <v>125</v>
      </c>
      <c r="V1141" s="1" t="s">
        <v>828</v>
      </c>
      <c r="W1141" s="1" t="s">
        <v>264</v>
      </c>
      <c r="X1141" s="1">
        <v>304</v>
      </c>
      <c r="Y1141" s="1">
        <v>80</v>
      </c>
      <c r="Z1141" s="1" t="s">
        <v>249</v>
      </c>
      <c r="AA1141" s="1" t="s">
        <v>829</v>
      </c>
      <c r="AB1141" s="1">
        <v>60108</v>
      </c>
      <c r="AE1141" s="1" t="s">
        <v>11942</v>
      </c>
      <c r="AF1141" s="1">
        <v>2008</v>
      </c>
      <c r="AG1141" s="1" t="s">
        <v>204</v>
      </c>
      <c r="AH1141" s="1" t="s">
        <v>269</v>
      </c>
      <c r="AI1141" s="1" t="s">
        <v>206</v>
      </c>
      <c r="AJ1141" s="1" t="s">
        <v>269</v>
      </c>
      <c r="AL1141" s="1">
        <v>5</v>
      </c>
      <c r="AM1141" s="1">
        <v>2</v>
      </c>
      <c r="AN1141" s="1">
        <v>2</v>
      </c>
      <c r="AO1141" s="1">
        <v>0</v>
      </c>
      <c r="AP1141" s="1" t="s">
        <v>209</v>
      </c>
      <c r="AR1141" s="1" t="s">
        <v>210</v>
      </c>
      <c r="AS1141" s="1" t="s">
        <v>204</v>
      </c>
      <c r="AT1141" s="1" t="s">
        <v>375</v>
      </c>
      <c r="AU1141" s="1">
        <v>1</v>
      </c>
      <c r="AV1141" s="1">
        <v>1</v>
      </c>
      <c r="AW1141" s="1" t="s">
        <v>204</v>
      </c>
      <c r="AX1141" s="1" t="s">
        <v>270</v>
      </c>
      <c r="AZ1141" s="1">
        <v>1813.66</v>
      </c>
      <c r="BA1141" s="1">
        <v>2013</v>
      </c>
      <c r="BE1141" s="1">
        <v>1332</v>
      </c>
      <c r="BF1141" s="1">
        <v>3</v>
      </c>
      <c r="BG1141" s="1">
        <v>0</v>
      </c>
      <c r="BL1141" s="1">
        <v>182</v>
      </c>
      <c r="BM1141" s="1" t="s">
        <v>204</v>
      </c>
      <c r="BN1141" s="1" t="s">
        <v>213</v>
      </c>
      <c r="BO1141" s="1">
        <v>999</v>
      </c>
      <c r="BP1141" s="1" t="s">
        <v>204</v>
      </c>
      <c r="BR1141" s="1" t="str">
        <f>"0214120096"</f>
        <v>0214120096</v>
      </c>
      <c r="BT1141" s="1" t="s">
        <v>11943</v>
      </c>
      <c r="BX1141" s="1">
        <v>13</v>
      </c>
      <c r="BY1141" s="1">
        <v>13</v>
      </c>
      <c r="BZ1141" s="1">
        <v>108</v>
      </c>
      <c r="CB1141" s="1" t="str">
        <f t="shared" ref="CB1141:CC1141" si="879">""</f>
        <v/>
      </c>
      <c r="CC1141" s="1" t="str">
        <f t="shared" si="879"/>
        <v/>
      </c>
      <c r="CG1141" s="1" t="s">
        <v>931</v>
      </c>
      <c r="CH1141" s="1" t="s">
        <v>219</v>
      </c>
      <c r="CK1141" s="1" t="s">
        <v>315</v>
      </c>
      <c r="CL1141" s="1" t="s">
        <v>219</v>
      </c>
      <c r="CO1141" s="1" t="s">
        <v>629</v>
      </c>
      <c r="CP1141" s="1" t="s">
        <v>219</v>
      </c>
      <c r="CS1141" s="1" t="s">
        <v>1358</v>
      </c>
      <c r="CT1141" s="1" t="s">
        <v>219</v>
      </c>
      <c r="CX1141" s="1" t="s">
        <v>224</v>
      </c>
      <c r="DB1141" s="1" t="s">
        <v>224</v>
      </c>
      <c r="DE1141" s="1" t="s">
        <v>316</v>
      </c>
      <c r="DF1141" s="1" t="s">
        <v>219</v>
      </c>
      <c r="DJ1141" s="1" t="s">
        <v>224</v>
      </c>
      <c r="DS1141" s="1" t="s">
        <v>230</v>
      </c>
      <c r="DW1141" s="1" t="s">
        <v>230</v>
      </c>
      <c r="EA1141" s="1" t="s">
        <v>230</v>
      </c>
      <c r="EE1141" s="1" t="s">
        <v>230</v>
      </c>
      <c r="EI1141" s="1" t="s">
        <v>230</v>
      </c>
      <c r="EL1141" s="1" t="s">
        <v>491</v>
      </c>
      <c r="EM1141" s="1" t="s">
        <v>319</v>
      </c>
      <c r="EN1141" s="1" t="s">
        <v>282</v>
      </c>
      <c r="EO1141" s="1" t="s">
        <v>234</v>
      </c>
      <c r="ER1141" s="1" t="s">
        <v>210</v>
      </c>
      <c r="EW1141" s="1" t="s">
        <v>7866</v>
      </c>
      <c r="EZ1141" s="1" t="s">
        <v>287</v>
      </c>
      <c r="FD1141" s="1" t="s">
        <v>495</v>
      </c>
      <c r="FE1141" s="1" t="s">
        <v>247</v>
      </c>
      <c r="FF1141" s="1" t="s">
        <v>248</v>
      </c>
      <c r="FH1141" s="1" t="s">
        <v>249</v>
      </c>
      <c r="FL1141" s="1" t="s">
        <v>414</v>
      </c>
      <c r="FM1141" s="1" t="s">
        <v>252</v>
      </c>
      <c r="FN1141" s="1" t="s">
        <v>213</v>
      </c>
      <c r="FO1141" s="1" t="s">
        <v>213</v>
      </c>
      <c r="FQ1141" s="1" t="s">
        <v>849</v>
      </c>
      <c r="FR1141" s="1" t="s">
        <v>210</v>
      </c>
      <c r="FS1141" s="1" t="s">
        <v>11944</v>
      </c>
      <c r="FT1141" s="1" t="s">
        <v>7868</v>
      </c>
      <c r="FU1141" s="1" t="s">
        <v>213</v>
      </c>
      <c r="FW1141" s="1" t="s">
        <v>852</v>
      </c>
      <c r="FX1141" s="1">
        <v>22250</v>
      </c>
      <c r="FY1141" s="1" t="s">
        <v>853</v>
      </c>
      <c r="FZ1141" s="1" t="s">
        <v>854</v>
      </c>
      <c r="GA1141" s="1">
        <v>242148</v>
      </c>
      <c r="GE1141" s="1" t="s">
        <v>480</v>
      </c>
      <c r="GI1141" s="1" t="s">
        <v>213</v>
      </c>
      <c r="GJ1141" s="1" t="s">
        <v>260</v>
      </c>
      <c r="GK1141" s="1" t="s">
        <v>210</v>
      </c>
      <c r="GL1141" s="2">
        <v>42116</v>
      </c>
    </row>
    <row r="1142" spans="1:195">
      <c r="A1142" s="1">
        <v>151500</v>
      </c>
      <c r="B1142" s="1" t="s">
        <v>195</v>
      </c>
      <c r="C1142" s="1" t="str">
        <f>"08848606"</f>
        <v>08848606</v>
      </c>
      <c r="D1142" s="1" t="s">
        <v>196</v>
      </c>
      <c r="F1142" s="1" t="str">
        <f>"540"</f>
        <v>540</v>
      </c>
      <c r="G1142" s="2">
        <v>42063</v>
      </c>
      <c r="H1142" s="1">
        <v>164900</v>
      </c>
      <c r="I1142" s="1">
        <v>163999</v>
      </c>
      <c r="J1142" s="1">
        <v>151500</v>
      </c>
      <c r="K1142" s="2">
        <v>42063</v>
      </c>
      <c r="L1142" s="1">
        <v>52</v>
      </c>
      <c r="M1142" s="2">
        <v>42114</v>
      </c>
      <c r="N1142" s="1">
        <v>52</v>
      </c>
      <c r="O1142" s="2">
        <v>42114</v>
      </c>
      <c r="P1142" s="1">
        <v>1109</v>
      </c>
      <c r="Q1142" s="1" t="s">
        <v>302</v>
      </c>
      <c r="R1142" s="2">
        <v>42139</v>
      </c>
      <c r="S1142" s="1">
        <v>84427</v>
      </c>
      <c r="U1142" s="1">
        <v>874</v>
      </c>
      <c r="V1142" s="1" t="s">
        <v>11945</v>
      </c>
      <c r="W1142" s="1" t="s">
        <v>304</v>
      </c>
      <c r="X1142" s="1">
        <v>111</v>
      </c>
      <c r="Y1142" s="1">
        <v>8</v>
      </c>
      <c r="Z1142" s="1" t="s">
        <v>249</v>
      </c>
      <c r="AA1142" s="1" t="s">
        <v>921</v>
      </c>
      <c r="AB1142" s="1">
        <v>60563</v>
      </c>
      <c r="AD1142" s="1" t="s">
        <v>11946</v>
      </c>
      <c r="AE1142" s="1" t="s">
        <v>11947</v>
      </c>
      <c r="AF1142" s="1">
        <v>1992</v>
      </c>
      <c r="AG1142" s="1" t="s">
        <v>204</v>
      </c>
      <c r="AH1142" s="1" t="s">
        <v>924</v>
      </c>
      <c r="AI1142" s="1" t="s">
        <v>206</v>
      </c>
      <c r="AJ1142" s="1" t="s">
        <v>924</v>
      </c>
      <c r="AK1142" s="1" t="s">
        <v>11948</v>
      </c>
      <c r="AL1142" s="1">
        <v>4</v>
      </c>
      <c r="AM1142" s="1">
        <v>2</v>
      </c>
      <c r="AN1142" s="1">
        <v>2</v>
      </c>
      <c r="AO1142" s="1">
        <v>0</v>
      </c>
      <c r="AP1142" s="1" t="s">
        <v>209</v>
      </c>
      <c r="AQ1142" s="1">
        <v>1</v>
      </c>
      <c r="AR1142" s="1" t="s">
        <v>210</v>
      </c>
      <c r="AS1142" s="1" t="s">
        <v>204</v>
      </c>
      <c r="AT1142" s="1" t="s">
        <v>211</v>
      </c>
      <c r="AU1142" s="1">
        <v>1</v>
      </c>
      <c r="AW1142" s="1" t="s">
        <v>204</v>
      </c>
      <c r="AX1142" s="1" t="s">
        <v>212</v>
      </c>
      <c r="AZ1142" s="1">
        <v>3457</v>
      </c>
      <c r="BA1142" s="1">
        <v>2013</v>
      </c>
      <c r="BE1142" s="1">
        <v>1180</v>
      </c>
      <c r="BF1142" s="1">
        <v>1</v>
      </c>
      <c r="BG1142" s="1">
        <v>0</v>
      </c>
      <c r="BL1142" s="1">
        <v>215</v>
      </c>
      <c r="BM1142" s="1" t="s">
        <v>204</v>
      </c>
      <c r="BN1142" s="1" t="s">
        <v>213</v>
      </c>
      <c r="BO1142" s="1">
        <v>999</v>
      </c>
      <c r="BP1142" s="1" t="s">
        <v>204</v>
      </c>
      <c r="BR1142" s="1" t="str">
        <f>"0710309115"</f>
        <v>0710309115</v>
      </c>
      <c r="BT1142" s="1" t="s">
        <v>11949</v>
      </c>
      <c r="BX1142" s="1">
        <v>204</v>
      </c>
      <c r="BY1142" s="1">
        <v>204</v>
      </c>
      <c r="BZ1142" s="1">
        <v>204</v>
      </c>
      <c r="CB1142" s="1" t="str">
        <f t="shared" ref="CB1142:CC1142" si="880">""</f>
        <v/>
      </c>
      <c r="CC1142" s="1" t="str">
        <f t="shared" si="880"/>
        <v/>
      </c>
      <c r="CG1142" s="1" t="s">
        <v>1570</v>
      </c>
      <c r="CH1142" s="1" t="s">
        <v>219</v>
      </c>
      <c r="CI1142" s="1" t="s">
        <v>220</v>
      </c>
      <c r="CJ1142" s="1" t="s">
        <v>343</v>
      </c>
      <c r="CK1142" s="1" t="s">
        <v>278</v>
      </c>
      <c r="CL1142" s="1" t="s">
        <v>219</v>
      </c>
      <c r="CM1142" s="1" t="s">
        <v>220</v>
      </c>
      <c r="CN1142" s="1" t="s">
        <v>343</v>
      </c>
      <c r="CP1142" s="1" t="s">
        <v>224</v>
      </c>
      <c r="CS1142" s="1" t="s">
        <v>318</v>
      </c>
      <c r="CT1142" s="1" t="s">
        <v>219</v>
      </c>
      <c r="CU1142" s="1" t="s">
        <v>220</v>
      </c>
      <c r="CX1142" s="1" t="s">
        <v>224</v>
      </c>
      <c r="DB1142" s="1" t="s">
        <v>224</v>
      </c>
      <c r="DE1142" s="1" t="s">
        <v>379</v>
      </c>
      <c r="DF1142" s="1" t="s">
        <v>219</v>
      </c>
      <c r="DH1142" s="1" t="s">
        <v>343</v>
      </c>
      <c r="DJ1142" s="1" t="s">
        <v>224</v>
      </c>
      <c r="DS1142" s="1" t="s">
        <v>230</v>
      </c>
      <c r="DW1142" s="1" t="s">
        <v>230</v>
      </c>
      <c r="EA1142" s="1" t="s">
        <v>230</v>
      </c>
      <c r="EE1142" s="1" t="s">
        <v>230</v>
      </c>
      <c r="EI1142" s="1" t="s">
        <v>230</v>
      </c>
      <c r="EL1142" s="1" t="s">
        <v>382</v>
      </c>
      <c r="EM1142" s="1" t="s">
        <v>232</v>
      </c>
      <c r="EN1142" s="1" t="s">
        <v>282</v>
      </c>
      <c r="EO1142" s="1" t="s">
        <v>234</v>
      </c>
      <c r="ER1142" s="1" t="s">
        <v>210</v>
      </c>
      <c r="EW1142" s="1" t="s">
        <v>887</v>
      </c>
      <c r="EZ1142" s="1" t="s">
        <v>287</v>
      </c>
      <c r="FD1142" s="1" t="s">
        <v>246</v>
      </c>
      <c r="FE1142" s="1" t="s">
        <v>386</v>
      </c>
      <c r="FF1142" s="1" t="s">
        <v>248</v>
      </c>
      <c r="FG1142" s="1" t="s">
        <v>1682</v>
      </c>
      <c r="FH1142" s="1" t="s">
        <v>8921</v>
      </c>
      <c r="FI1142" s="1" t="s">
        <v>3300</v>
      </c>
      <c r="FL1142" s="1" t="s">
        <v>358</v>
      </c>
      <c r="FM1142" s="1" t="s">
        <v>252</v>
      </c>
      <c r="FN1142" s="1" t="s">
        <v>213</v>
      </c>
      <c r="FO1142" s="1" t="s">
        <v>213</v>
      </c>
      <c r="FQ1142" s="1" t="s">
        <v>793</v>
      </c>
      <c r="FR1142" s="1" t="s">
        <v>210</v>
      </c>
      <c r="FS1142" s="1" t="s">
        <v>11950</v>
      </c>
      <c r="FT1142" s="1" t="s">
        <v>295</v>
      </c>
      <c r="FU1142" s="1" t="s">
        <v>204</v>
      </c>
      <c r="FW1142" s="1" t="s">
        <v>915</v>
      </c>
      <c r="FX1142" s="1">
        <v>23076</v>
      </c>
      <c r="FY1142" s="1" t="s">
        <v>1909</v>
      </c>
      <c r="FZ1142" s="1" t="s">
        <v>11951</v>
      </c>
      <c r="GA1142" s="1">
        <v>218858</v>
      </c>
      <c r="GB1142" s="1" t="s">
        <v>11952</v>
      </c>
      <c r="GD1142" s="1" t="s">
        <v>11953</v>
      </c>
      <c r="GE1142" s="1" t="s">
        <v>1576</v>
      </c>
      <c r="GI1142" s="1" t="s">
        <v>213</v>
      </c>
      <c r="GJ1142" s="1" t="s">
        <v>260</v>
      </c>
      <c r="GK1142" s="1" t="s">
        <v>210</v>
      </c>
      <c r="GL1142" s="2">
        <v>42140</v>
      </c>
      <c r="GM1142" s="1" t="s">
        <v>11954</v>
      </c>
    </row>
    <row r="1143" spans="1:195">
      <c r="A1143" s="1">
        <v>148000</v>
      </c>
      <c r="B1143" s="1" t="s">
        <v>195</v>
      </c>
      <c r="C1143" s="1" t="str">
        <f>"08845745"</f>
        <v>08845745</v>
      </c>
      <c r="D1143" s="1" t="s">
        <v>196</v>
      </c>
      <c r="F1143" s="1" t="str">
        <f>"123"</f>
        <v>123</v>
      </c>
      <c r="G1143" s="2">
        <v>42059</v>
      </c>
      <c r="H1143" s="1">
        <v>154900</v>
      </c>
      <c r="I1143" s="1">
        <v>154900</v>
      </c>
      <c r="J1143" s="1">
        <v>148000</v>
      </c>
      <c r="K1143" s="2">
        <v>42059</v>
      </c>
      <c r="L1143" s="1">
        <v>45</v>
      </c>
      <c r="M1143" s="2">
        <v>42103</v>
      </c>
      <c r="N1143" s="1">
        <v>45</v>
      </c>
      <c r="O1143" s="2">
        <v>42103</v>
      </c>
      <c r="P1143" s="1">
        <v>7450</v>
      </c>
      <c r="Q1143" s="1" t="s">
        <v>423</v>
      </c>
      <c r="R1143" s="2">
        <v>42146</v>
      </c>
      <c r="S1143" s="1">
        <v>77234</v>
      </c>
      <c r="T1143" s="1">
        <v>3600</v>
      </c>
      <c r="U1143" s="1">
        <v>2017</v>
      </c>
      <c r="V1143" s="1" t="s">
        <v>10296</v>
      </c>
      <c r="W1143" s="1" t="s">
        <v>504</v>
      </c>
      <c r="X1143" s="1">
        <v>2017</v>
      </c>
      <c r="Y1143" s="1">
        <v>4</v>
      </c>
      <c r="Z1143" s="1" t="s">
        <v>249</v>
      </c>
      <c r="AA1143" s="1" t="s">
        <v>1173</v>
      </c>
      <c r="AB1143" s="1">
        <v>60123</v>
      </c>
      <c r="AD1143" s="1" t="s">
        <v>4446</v>
      </c>
      <c r="AE1143" s="1" t="s">
        <v>11955</v>
      </c>
      <c r="AF1143" s="1">
        <v>1996</v>
      </c>
      <c r="AG1143" s="1" t="s">
        <v>204</v>
      </c>
      <c r="AH1143" s="1" t="s">
        <v>1175</v>
      </c>
      <c r="AI1143" s="1" t="s">
        <v>665</v>
      </c>
      <c r="AJ1143" s="1" t="s">
        <v>1175</v>
      </c>
      <c r="AL1143" s="1">
        <v>7</v>
      </c>
      <c r="AM1143" s="1">
        <v>2</v>
      </c>
      <c r="AN1143" s="1">
        <v>2</v>
      </c>
      <c r="AO1143" s="1">
        <v>0</v>
      </c>
      <c r="AP1143" s="1" t="s">
        <v>209</v>
      </c>
      <c r="AQ1143" s="1">
        <v>0</v>
      </c>
      <c r="AR1143" s="1" t="s">
        <v>4448</v>
      </c>
      <c r="AS1143" s="1" t="s">
        <v>213</v>
      </c>
      <c r="AT1143" s="1" t="s">
        <v>211</v>
      </c>
      <c r="AU1143" s="1">
        <v>2</v>
      </c>
      <c r="AW1143" s="1" t="s">
        <v>204</v>
      </c>
      <c r="AX1143" s="1" t="s">
        <v>10299</v>
      </c>
      <c r="AZ1143" s="5">
        <v>3998.1</v>
      </c>
      <c r="BA1143" s="1">
        <v>2013</v>
      </c>
      <c r="BB1143" s="1" t="s">
        <v>405</v>
      </c>
      <c r="BE1143" s="1">
        <v>1688</v>
      </c>
      <c r="BF1143" s="1">
        <v>1</v>
      </c>
      <c r="BG1143" s="1">
        <v>0</v>
      </c>
      <c r="BJ1143" s="1">
        <v>100</v>
      </c>
      <c r="BL1143" s="1">
        <v>230</v>
      </c>
      <c r="BM1143" s="1" t="s">
        <v>204</v>
      </c>
      <c r="BN1143" s="1" t="s">
        <v>213</v>
      </c>
      <c r="BO1143" s="1">
        <v>999</v>
      </c>
      <c r="BP1143" s="1" t="s">
        <v>204</v>
      </c>
      <c r="BR1143" s="1" t="str">
        <f>"0604403021"</f>
        <v>0604403021</v>
      </c>
      <c r="BT1143" s="1" t="s">
        <v>11956</v>
      </c>
      <c r="BX1143" s="1">
        <v>46</v>
      </c>
      <c r="BY1143" s="1">
        <v>46</v>
      </c>
      <c r="BZ1143" s="1">
        <v>46</v>
      </c>
      <c r="CB1143" s="1" t="str">
        <f>"13"</f>
        <v>13</v>
      </c>
      <c r="CC1143" s="1" t="str">
        <f>"0"</f>
        <v>0</v>
      </c>
      <c r="CD1143" s="1">
        <v>36</v>
      </c>
      <c r="CE1143" s="1">
        <v>0</v>
      </c>
      <c r="CG1143" s="1" t="s">
        <v>377</v>
      </c>
      <c r="CH1143" s="1" t="s">
        <v>219</v>
      </c>
      <c r="CI1143" s="1" t="s">
        <v>229</v>
      </c>
      <c r="CK1143" s="1" t="s">
        <v>1178</v>
      </c>
      <c r="CL1143" s="1" t="s">
        <v>277</v>
      </c>
      <c r="CM1143" s="1" t="s">
        <v>220</v>
      </c>
      <c r="CO1143" s="1" t="s">
        <v>630</v>
      </c>
      <c r="CP1143" s="1" t="s">
        <v>219</v>
      </c>
      <c r="CQ1143" s="1" t="s">
        <v>229</v>
      </c>
      <c r="CS1143" s="1" t="s">
        <v>836</v>
      </c>
      <c r="CT1143" s="1" t="s">
        <v>822</v>
      </c>
      <c r="CU1143" s="1" t="s">
        <v>220</v>
      </c>
      <c r="CX1143" s="1" t="s">
        <v>224</v>
      </c>
      <c r="DB1143" s="1" t="s">
        <v>224</v>
      </c>
      <c r="DE1143" s="1" t="s">
        <v>318</v>
      </c>
      <c r="DF1143" s="1" t="s">
        <v>219</v>
      </c>
      <c r="DG1143" s="1" t="s">
        <v>229</v>
      </c>
      <c r="DI1143" s="1" t="s">
        <v>2511</v>
      </c>
      <c r="DJ1143" s="1" t="s">
        <v>822</v>
      </c>
      <c r="DK1143" s="1" t="s">
        <v>220</v>
      </c>
      <c r="DM1143" s="1" t="s">
        <v>464</v>
      </c>
      <c r="DO1143" s="1" t="s">
        <v>709</v>
      </c>
      <c r="DR1143" s="1" t="s">
        <v>11957</v>
      </c>
      <c r="DS1143" s="1" t="s">
        <v>277</v>
      </c>
      <c r="DT1143" s="1" t="s">
        <v>220</v>
      </c>
      <c r="DW1143" s="1" t="s">
        <v>230</v>
      </c>
      <c r="DZ1143" s="1" t="s">
        <v>2219</v>
      </c>
      <c r="EA1143" s="1" t="s">
        <v>219</v>
      </c>
      <c r="EB1143" s="1" t="s">
        <v>226</v>
      </c>
      <c r="EE1143" s="1" t="s">
        <v>230</v>
      </c>
      <c r="EI1143" s="1" t="s">
        <v>230</v>
      </c>
      <c r="EL1143" s="1" t="s">
        <v>670</v>
      </c>
      <c r="EM1143" s="1" t="s">
        <v>319</v>
      </c>
      <c r="EN1143" s="1" t="s">
        <v>282</v>
      </c>
      <c r="EO1143" s="1" t="s">
        <v>234</v>
      </c>
      <c r="EP1143" s="1" t="s">
        <v>650</v>
      </c>
      <c r="EQ1143" s="1" t="s">
        <v>236</v>
      </c>
      <c r="ER1143" s="1" t="s">
        <v>544</v>
      </c>
      <c r="ES1143" s="1" t="s">
        <v>493</v>
      </c>
      <c r="ET1143" s="1" t="s">
        <v>238</v>
      </c>
      <c r="EU1143" s="1" t="s">
        <v>1110</v>
      </c>
      <c r="EV1143" s="1" t="s">
        <v>240</v>
      </c>
      <c r="EW1143" s="1" t="s">
        <v>887</v>
      </c>
      <c r="EY1143" s="1" t="s">
        <v>242</v>
      </c>
      <c r="EZ1143" s="1" t="s">
        <v>2549</v>
      </c>
      <c r="FA1143" s="1" t="s">
        <v>714</v>
      </c>
      <c r="FD1143" s="1" t="s">
        <v>246</v>
      </c>
      <c r="FE1143" s="1" t="s">
        <v>549</v>
      </c>
      <c r="FF1143" s="1" t="s">
        <v>248</v>
      </c>
      <c r="FH1143" s="1" t="s">
        <v>249</v>
      </c>
      <c r="FI1143" s="1" t="s">
        <v>473</v>
      </c>
      <c r="FL1143" s="1" t="s">
        <v>358</v>
      </c>
      <c r="FM1143" s="1" t="s">
        <v>252</v>
      </c>
      <c r="FN1143" s="1" t="s">
        <v>213</v>
      </c>
      <c r="FO1143" s="1" t="s">
        <v>213</v>
      </c>
      <c r="FQ1143" s="1" t="s">
        <v>1032</v>
      </c>
      <c r="FR1143" s="1" t="s">
        <v>652</v>
      </c>
      <c r="FS1143" s="1" t="s">
        <v>11958</v>
      </c>
      <c r="FT1143" s="1" t="s">
        <v>295</v>
      </c>
      <c r="FU1143" s="1" t="s">
        <v>204</v>
      </c>
      <c r="FW1143" s="1" t="s">
        <v>3291</v>
      </c>
      <c r="FX1143" s="1">
        <v>7450</v>
      </c>
      <c r="FY1143" s="1" t="s">
        <v>3292</v>
      </c>
      <c r="FZ1143" s="1" t="s">
        <v>9746</v>
      </c>
      <c r="GA1143" s="1">
        <v>70036</v>
      </c>
      <c r="GB1143" s="1" t="s">
        <v>9747</v>
      </c>
      <c r="GC1143" s="1">
        <v>77640</v>
      </c>
      <c r="GE1143" s="1" t="s">
        <v>1333</v>
      </c>
      <c r="GI1143" s="1" t="s">
        <v>213</v>
      </c>
      <c r="GJ1143" s="1" t="s">
        <v>260</v>
      </c>
      <c r="GK1143" s="1" t="s">
        <v>261</v>
      </c>
      <c r="GL1143" s="2">
        <v>42146</v>
      </c>
      <c r="GM1143" s="1" t="s">
        <v>11959</v>
      </c>
    </row>
    <row r="1144" spans="1:195">
      <c r="A1144" s="1">
        <v>148000</v>
      </c>
      <c r="B1144" s="1" t="s">
        <v>195</v>
      </c>
      <c r="C1144" s="1" t="str">
        <f>"08849970"</f>
        <v>08849970</v>
      </c>
      <c r="D1144" s="1" t="s">
        <v>196</v>
      </c>
      <c r="F1144" s="1" t="str">
        <f t="shared" ref="F1144:F1145" si="881">"507"</f>
        <v>507</v>
      </c>
      <c r="G1144" s="2">
        <v>42065</v>
      </c>
      <c r="H1144" s="1">
        <v>162900</v>
      </c>
      <c r="I1144" s="1">
        <v>152900</v>
      </c>
      <c r="J1144" s="1">
        <v>148000</v>
      </c>
      <c r="K1144" s="2">
        <v>42065</v>
      </c>
      <c r="L1144" s="1">
        <v>20</v>
      </c>
      <c r="M1144" s="2">
        <v>42084</v>
      </c>
      <c r="N1144" s="1">
        <v>20</v>
      </c>
      <c r="O1144" s="2">
        <v>42084</v>
      </c>
      <c r="P1144" s="1">
        <v>21682</v>
      </c>
      <c r="Q1144" s="1" t="s">
        <v>197</v>
      </c>
      <c r="R1144" s="2">
        <v>42138</v>
      </c>
      <c r="S1144" s="1">
        <v>243392</v>
      </c>
      <c r="U1144" s="1">
        <v>160</v>
      </c>
      <c r="V1144" s="1" t="s">
        <v>5295</v>
      </c>
      <c r="W1144" s="1" t="s">
        <v>725</v>
      </c>
      <c r="X1144" s="1">
        <v>207</v>
      </c>
      <c r="Y1144" s="1">
        <v>48</v>
      </c>
      <c r="Z1144" s="1" t="s">
        <v>249</v>
      </c>
      <c r="AA1144" s="1" t="s">
        <v>1123</v>
      </c>
      <c r="AB1144" s="1">
        <v>60506</v>
      </c>
      <c r="AC1144" s="1">
        <v>6074</v>
      </c>
      <c r="AD1144" s="1" t="s">
        <v>11960</v>
      </c>
      <c r="AE1144" s="1" t="s">
        <v>11961</v>
      </c>
      <c r="AF1144" s="1">
        <v>2007</v>
      </c>
      <c r="AG1144" s="1" t="s">
        <v>204</v>
      </c>
      <c r="AH1144" s="1" t="s">
        <v>1126</v>
      </c>
      <c r="AI1144" s="1" t="s">
        <v>665</v>
      </c>
      <c r="AJ1144" s="1" t="s">
        <v>1126</v>
      </c>
      <c r="AL1144" s="1">
        <v>5</v>
      </c>
      <c r="AM1144" s="1">
        <v>2</v>
      </c>
      <c r="AN1144" s="1">
        <v>2</v>
      </c>
      <c r="AO1144" s="1">
        <v>0</v>
      </c>
      <c r="AP1144" s="1" t="s">
        <v>209</v>
      </c>
      <c r="AQ1144" s="1">
        <v>0</v>
      </c>
      <c r="AR1144" s="1" t="s">
        <v>210</v>
      </c>
      <c r="AS1144" s="1" t="s">
        <v>204</v>
      </c>
      <c r="AT1144" s="1" t="s">
        <v>211</v>
      </c>
      <c r="AU1144" s="1">
        <v>1</v>
      </c>
      <c r="AW1144" s="1" t="s">
        <v>213</v>
      </c>
      <c r="AX1144" s="1" t="s">
        <v>212</v>
      </c>
      <c r="AZ1144" s="1">
        <v>4180</v>
      </c>
      <c r="BA1144" s="1">
        <v>2013</v>
      </c>
      <c r="BE1144" s="1">
        <v>1215</v>
      </c>
      <c r="BF1144" s="1">
        <v>2</v>
      </c>
      <c r="BG1144" s="1">
        <v>0</v>
      </c>
      <c r="BL1144" s="1">
        <v>253</v>
      </c>
      <c r="BM1144" s="1" t="s">
        <v>204</v>
      </c>
      <c r="BN1144" s="1" t="s">
        <v>204</v>
      </c>
      <c r="BP1144" s="1" t="s">
        <v>204</v>
      </c>
      <c r="BR1144" s="1" t="str">
        <f>"1521480028"</f>
        <v>1521480028</v>
      </c>
      <c r="BT1144" s="1" t="s">
        <v>11962</v>
      </c>
      <c r="BX1144" s="1">
        <v>129</v>
      </c>
      <c r="BY1144" s="1">
        <v>129</v>
      </c>
      <c r="BZ1144" s="1">
        <v>129</v>
      </c>
      <c r="CB1144" s="1" t="str">
        <f t="shared" ref="CB1144:CC1144" si="882">"0"</f>
        <v>0</v>
      </c>
      <c r="CC1144" s="1" t="str">
        <f t="shared" si="882"/>
        <v>0</v>
      </c>
      <c r="CD1144" s="1">
        <v>35</v>
      </c>
      <c r="CE1144" s="1">
        <v>8</v>
      </c>
      <c r="CG1144" s="1" t="s">
        <v>11963</v>
      </c>
      <c r="CH1144" s="1" t="s">
        <v>219</v>
      </c>
      <c r="CI1144" s="1" t="s">
        <v>438</v>
      </c>
      <c r="CJ1144" s="1" t="s">
        <v>463</v>
      </c>
      <c r="CK1144" s="1" t="s">
        <v>932</v>
      </c>
      <c r="CL1144" s="1" t="s">
        <v>219</v>
      </c>
      <c r="CM1144" s="1" t="s">
        <v>220</v>
      </c>
      <c r="CN1144" s="1" t="s">
        <v>343</v>
      </c>
      <c r="CO1144" s="1" t="s">
        <v>629</v>
      </c>
      <c r="CP1144" s="1" t="s">
        <v>219</v>
      </c>
      <c r="CS1144" s="1" t="s">
        <v>465</v>
      </c>
      <c r="CT1144" s="1" t="s">
        <v>219</v>
      </c>
      <c r="CU1144" s="1" t="s">
        <v>220</v>
      </c>
      <c r="CV1144" s="1" t="s">
        <v>343</v>
      </c>
      <c r="CX1144" s="1" t="s">
        <v>224</v>
      </c>
      <c r="DB1144" s="1" t="s">
        <v>224</v>
      </c>
      <c r="DE1144" s="1" t="s">
        <v>221</v>
      </c>
      <c r="DF1144" s="1" t="s">
        <v>219</v>
      </c>
      <c r="DG1144" s="1" t="s">
        <v>438</v>
      </c>
      <c r="DJ1144" s="1" t="s">
        <v>224</v>
      </c>
      <c r="DS1144" s="1" t="s">
        <v>230</v>
      </c>
      <c r="DW1144" s="1" t="s">
        <v>230</v>
      </c>
      <c r="EA1144" s="1" t="s">
        <v>230</v>
      </c>
      <c r="EE1144" s="1" t="s">
        <v>230</v>
      </c>
      <c r="EI1144" s="1" t="s">
        <v>230</v>
      </c>
      <c r="EL1144" s="1" t="s">
        <v>491</v>
      </c>
      <c r="EM1144" s="1" t="s">
        <v>319</v>
      </c>
      <c r="EN1144" s="1" t="s">
        <v>282</v>
      </c>
      <c r="EO1144" s="1" t="s">
        <v>234</v>
      </c>
      <c r="EP1144" s="1" t="s">
        <v>1047</v>
      </c>
      <c r="EQ1144" s="1" t="s">
        <v>236</v>
      </c>
      <c r="ER1144" s="1" t="s">
        <v>210</v>
      </c>
      <c r="ES1144" s="1" t="s">
        <v>954</v>
      </c>
      <c r="ET1144" s="1" t="s">
        <v>238</v>
      </c>
      <c r="EU1144" s="1" t="s">
        <v>11964</v>
      </c>
      <c r="EV1144" s="1" t="s">
        <v>240</v>
      </c>
      <c r="EW1144" s="1" t="s">
        <v>2765</v>
      </c>
      <c r="EY1144" s="1" t="s">
        <v>441</v>
      </c>
      <c r="EZ1144" s="1" t="s">
        <v>287</v>
      </c>
      <c r="FC1144" s="1" t="s">
        <v>11357</v>
      </c>
      <c r="FD1144" s="1" t="s">
        <v>1112</v>
      </c>
      <c r="FE1144" s="1" t="s">
        <v>247</v>
      </c>
      <c r="FF1144" s="1" t="s">
        <v>387</v>
      </c>
      <c r="FH1144" s="1" t="s">
        <v>249</v>
      </c>
      <c r="FI1144" s="1" t="s">
        <v>1114</v>
      </c>
      <c r="FL1144" s="1" t="s">
        <v>358</v>
      </c>
      <c r="FM1144" s="1" t="s">
        <v>252</v>
      </c>
      <c r="FN1144" s="1" t="s">
        <v>213</v>
      </c>
      <c r="FO1144" s="1" t="s">
        <v>213</v>
      </c>
      <c r="FQ1144" s="1" t="s">
        <v>8776</v>
      </c>
      <c r="FR1144" s="1" t="s">
        <v>652</v>
      </c>
      <c r="FS1144" s="1" t="s">
        <v>11965</v>
      </c>
      <c r="FT1144" s="1" t="s">
        <v>1182</v>
      </c>
      <c r="FU1144" s="1" t="s">
        <v>204</v>
      </c>
      <c r="FW1144" s="1" t="s">
        <v>256</v>
      </c>
      <c r="FX1144" s="1">
        <v>25163</v>
      </c>
      <c r="FY1144" s="1" t="s">
        <v>257</v>
      </c>
      <c r="FZ1144" s="1" t="s">
        <v>11966</v>
      </c>
      <c r="GA1144" s="1">
        <v>250831</v>
      </c>
      <c r="GB1144" s="1" t="s">
        <v>11967</v>
      </c>
      <c r="GD1144" s="1" t="s">
        <v>11968</v>
      </c>
      <c r="GE1144" s="1" t="s">
        <v>210</v>
      </c>
      <c r="GH1144" s="1" t="s">
        <v>421</v>
      </c>
      <c r="GI1144" s="1" t="s">
        <v>213</v>
      </c>
      <c r="GJ1144" s="1" t="s">
        <v>260</v>
      </c>
      <c r="GK1144" s="1" t="s">
        <v>261</v>
      </c>
      <c r="GL1144" s="2">
        <v>42138</v>
      </c>
      <c r="GM1144" s="1" t="s">
        <v>11969</v>
      </c>
    </row>
    <row r="1145" spans="1:195">
      <c r="A1145" s="1">
        <v>65000</v>
      </c>
      <c r="B1145" s="1" t="s">
        <v>195</v>
      </c>
      <c r="C1145" s="1" t="str">
        <f>"08851324"</f>
        <v>08851324</v>
      </c>
      <c r="D1145" s="1" t="s">
        <v>196</v>
      </c>
      <c r="F1145" s="1" t="str">
        <f t="shared" si="881"/>
        <v>507</v>
      </c>
      <c r="G1145" s="2">
        <v>42066</v>
      </c>
      <c r="H1145" s="1">
        <v>70000</v>
      </c>
      <c r="I1145" s="1">
        <v>70000</v>
      </c>
      <c r="J1145" s="1">
        <v>65000</v>
      </c>
      <c r="K1145" s="2">
        <v>42065</v>
      </c>
      <c r="L1145" s="1">
        <v>40</v>
      </c>
      <c r="M1145" s="2">
        <v>42104</v>
      </c>
      <c r="N1145" s="1">
        <v>40</v>
      </c>
      <c r="O1145" s="2">
        <v>42104</v>
      </c>
      <c r="P1145" s="1">
        <v>21933</v>
      </c>
      <c r="Q1145" s="1" t="s">
        <v>302</v>
      </c>
      <c r="R1145" s="2">
        <v>42138</v>
      </c>
      <c r="S1145" s="1">
        <v>234246</v>
      </c>
      <c r="U1145" s="1">
        <v>153</v>
      </c>
      <c r="V1145" s="1" t="s">
        <v>5187</v>
      </c>
      <c r="W1145" s="1" t="s">
        <v>725</v>
      </c>
      <c r="X1145" s="1">
        <v>17</v>
      </c>
      <c r="Y1145" s="1">
        <v>24</v>
      </c>
      <c r="Z1145" s="1" t="s">
        <v>249</v>
      </c>
      <c r="AA1145" s="1" t="s">
        <v>1123</v>
      </c>
      <c r="AB1145" s="1">
        <v>60504</v>
      </c>
      <c r="AD1145" s="1" t="s">
        <v>11970</v>
      </c>
      <c r="AE1145" s="1" t="s">
        <v>11971</v>
      </c>
      <c r="AF1145" s="1">
        <v>1981</v>
      </c>
      <c r="AG1145" s="1" t="s">
        <v>204</v>
      </c>
      <c r="AH1145" s="1" t="s">
        <v>1126</v>
      </c>
      <c r="AI1145" s="1" t="s">
        <v>206</v>
      </c>
      <c r="AJ1145" s="1" t="s">
        <v>924</v>
      </c>
      <c r="AK1145" s="1" t="s">
        <v>270</v>
      </c>
      <c r="AL1145" s="1">
        <v>5</v>
      </c>
      <c r="AM1145" s="1">
        <v>2</v>
      </c>
      <c r="AN1145" s="1">
        <v>1</v>
      </c>
      <c r="AO1145" s="1">
        <v>1</v>
      </c>
      <c r="AP1145" s="1" t="s">
        <v>210</v>
      </c>
      <c r="AQ1145" s="1">
        <v>0</v>
      </c>
      <c r="AR1145" s="1" t="s">
        <v>210</v>
      </c>
      <c r="AS1145" s="1" t="s">
        <v>204</v>
      </c>
      <c r="AT1145" s="1" t="s">
        <v>271</v>
      </c>
      <c r="AV1145" s="1">
        <v>1</v>
      </c>
      <c r="AW1145" s="1" t="s">
        <v>204</v>
      </c>
      <c r="AX1145" s="1" t="s">
        <v>212</v>
      </c>
      <c r="AZ1145" s="1">
        <v>796.74</v>
      </c>
      <c r="BA1145" s="1">
        <v>2013</v>
      </c>
      <c r="BB1145" s="1" t="s">
        <v>405</v>
      </c>
      <c r="BE1145" s="1">
        <v>890</v>
      </c>
      <c r="BF1145" s="1">
        <v>3</v>
      </c>
      <c r="BG1145" s="1">
        <v>20</v>
      </c>
      <c r="BL1145" s="1">
        <v>419</v>
      </c>
      <c r="BM1145" s="1" t="s">
        <v>204</v>
      </c>
      <c r="BN1145" s="1" t="s">
        <v>213</v>
      </c>
      <c r="BP1145" s="1" t="s">
        <v>204</v>
      </c>
      <c r="BR1145" s="1" t="str">
        <f>"0721306185"</f>
        <v>0721306185</v>
      </c>
      <c r="BT1145" s="1" t="s">
        <v>11972</v>
      </c>
      <c r="BU1145" s="1" t="s">
        <v>5190</v>
      </c>
      <c r="BV1145" s="1" t="s">
        <v>1130</v>
      </c>
      <c r="BW1145" s="1" t="s">
        <v>1312</v>
      </c>
      <c r="BX1145" s="1">
        <v>204</v>
      </c>
      <c r="BY1145" s="1">
        <v>204</v>
      </c>
      <c r="BZ1145" s="1">
        <v>204</v>
      </c>
      <c r="CB1145" s="1" t="str">
        <f t="shared" ref="CB1145:CC1145" si="883">""</f>
        <v/>
      </c>
      <c r="CC1145" s="1" t="str">
        <f t="shared" si="883"/>
        <v/>
      </c>
      <c r="CD1145" s="1">
        <v>30</v>
      </c>
      <c r="CE1145" s="1">
        <v>7</v>
      </c>
      <c r="CG1145" s="1" t="s">
        <v>461</v>
      </c>
      <c r="CH1145" s="1" t="s">
        <v>784</v>
      </c>
      <c r="CI1145" s="1" t="s">
        <v>220</v>
      </c>
      <c r="CJ1145" s="1" t="s">
        <v>343</v>
      </c>
      <c r="CK1145" s="1" t="s">
        <v>437</v>
      </c>
      <c r="CL1145" s="1" t="s">
        <v>784</v>
      </c>
      <c r="CM1145" s="1" t="s">
        <v>220</v>
      </c>
      <c r="CN1145" s="1" t="s">
        <v>343</v>
      </c>
      <c r="CO1145" s="1" t="s">
        <v>317</v>
      </c>
      <c r="CP1145" s="1" t="s">
        <v>784</v>
      </c>
      <c r="CQ1145" s="1" t="s">
        <v>226</v>
      </c>
      <c r="CR1145" s="1" t="s">
        <v>210</v>
      </c>
      <c r="CS1145" s="1" t="s">
        <v>821</v>
      </c>
      <c r="CT1145" s="1" t="s">
        <v>784</v>
      </c>
      <c r="CU1145" s="1" t="s">
        <v>220</v>
      </c>
      <c r="CV1145" s="1" t="s">
        <v>343</v>
      </c>
      <c r="CX1145" s="1" t="s">
        <v>224</v>
      </c>
      <c r="DB1145" s="1" t="s">
        <v>224</v>
      </c>
      <c r="DE1145" s="1" t="s">
        <v>687</v>
      </c>
      <c r="DF1145" s="1" t="s">
        <v>784</v>
      </c>
      <c r="DG1145" s="1" t="s">
        <v>226</v>
      </c>
      <c r="DH1145" s="1" t="s">
        <v>210</v>
      </c>
      <c r="DJ1145" s="1" t="s">
        <v>224</v>
      </c>
      <c r="DS1145" s="1" t="s">
        <v>230</v>
      </c>
      <c r="DW1145" s="1" t="s">
        <v>230</v>
      </c>
      <c r="EA1145" s="1" t="s">
        <v>230</v>
      </c>
      <c r="EE1145" s="1" t="s">
        <v>230</v>
      </c>
      <c r="EI1145" s="1" t="s">
        <v>230</v>
      </c>
      <c r="EL1145" s="1" t="s">
        <v>231</v>
      </c>
      <c r="EM1145" s="1" t="s">
        <v>232</v>
      </c>
      <c r="EN1145" s="1" t="s">
        <v>1158</v>
      </c>
      <c r="EO1145" s="1" t="s">
        <v>234</v>
      </c>
      <c r="EQ1145" s="1" t="s">
        <v>2188</v>
      </c>
      <c r="ER1145" s="1" t="s">
        <v>210</v>
      </c>
      <c r="EU1145" s="1" t="s">
        <v>239</v>
      </c>
      <c r="EV1145" s="1" t="s">
        <v>324</v>
      </c>
      <c r="EW1145" s="1" t="s">
        <v>11973</v>
      </c>
      <c r="EY1145" s="1" t="s">
        <v>242</v>
      </c>
      <c r="EZ1145" s="1" t="s">
        <v>287</v>
      </c>
      <c r="FA1145" s="1" t="s">
        <v>5547</v>
      </c>
      <c r="FC1145" s="1" t="s">
        <v>1362</v>
      </c>
      <c r="FD1145" s="1" t="s">
        <v>736</v>
      </c>
      <c r="FE1145" s="1" t="s">
        <v>247</v>
      </c>
      <c r="FF1145" s="1" t="s">
        <v>248</v>
      </c>
      <c r="FH1145" s="1" t="s">
        <v>249</v>
      </c>
      <c r="FJ1145" s="1" t="s">
        <v>197</v>
      </c>
      <c r="FK1145" s="1" t="s">
        <v>891</v>
      </c>
      <c r="FL1145" s="1" t="s">
        <v>11974</v>
      </c>
      <c r="FM1145" s="1" t="s">
        <v>252</v>
      </c>
      <c r="FN1145" s="1" t="s">
        <v>213</v>
      </c>
      <c r="FO1145" s="1" t="s">
        <v>213</v>
      </c>
      <c r="FQ1145" s="1" t="s">
        <v>11975</v>
      </c>
      <c r="FR1145" s="1" t="s">
        <v>210</v>
      </c>
      <c r="FS1145" s="1" t="s">
        <v>11976</v>
      </c>
      <c r="FT1145" s="1" t="s">
        <v>295</v>
      </c>
      <c r="FU1145" s="1" t="s">
        <v>204</v>
      </c>
      <c r="FW1145" s="1" t="s">
        <v>1898</v>
      </c>
      <c r="FX1145" s="1">
        <v>23030</v>
      </c>
      <c r="FY1145" s="1" t="s">
        <v>1899</v>
      </c>
      <c r="FZ1145" s="1" t="s">
        <v>5429</v>
      </c>
      <c r="GA1145" s="1">
        <v>245396</v>
      </c>
      <c r="GB1145" s="1" t="s">
        <v>5430</v>
      </c>
      <c r="GE1145" s="1" t="s">
        <v>210</v>
      </c>
      <c r="GI1145" s="1" t="s">
        <v>213</v>
      </c>
      <c r="GJ1145" s="1" t="s">
        <v>260</v>
      </c>
      <c r="GK1145" s="1" t="s">
        <v>261</v>
      </c>
      <c r="GL1145" s="2">
        <v>42139</v>
      </c>
      <c r="GM1145" s="1" t="s">
        <v>11977</v>
      </c>
    </row>
    <row r="1146" spans="1:195">
      <c r="A1146" s="1">
        <v>119500</v>
      </c>
      <c r="B1146" s="1" t="s">
        <v>195</v>
      </c>
      <c r="C1146" s="1" t="str">
        <f>"08848882"</f>
        <v>08848882</v>
      </c>
      <c r="D1146" s="1" t="s">
        <v>196</v>
      </c>
      <c r="F1146" s="1" t="str">
        <f>"148"</f>
        <v>148</v>
      </c>
      <c r="G1146" s="2">
        <v>42063</v>
      </c>
      <c r="H1146" s="1">
        <v>119500</v>
      </c>
      <c r="I1146" s="1">
        <v>119500</v>
      </c>
      <c r="J1146" s="1">
        <v>119500</v>
      </c>
      <c r="K1146" s="2">
        <v>42062</v>
      </c>
      <c r="L1146" s="1">
        <v>295</v>
      </c>
      <c r="M1146" s="2">
        <v>42093</v>
      </c>
      <c r="N1146" s="1">
        <v>32</v>
      </c>
      <c r="O1146" s="2">
        <v>42093</v>
      </c>
      <c r="P1146" s="1">
        <v>90706</v>
      </c>
      <c r="Q1146" s="1" t="s">
        <v>197</v>
      </c>
      <c r="R1146" s="2">
        <v>42146</v>
      </c>
      <c r="S1146" s="1">
        <v>900519</v>
      </c>
      <c r="U1146" s="1">
        <v>2201</v>
      </c>
      <c r="V1146" s="1" t="s">
        <v>11407</v>
      </c>
      <c r="W1146" s="1" t="s">
        <v>425</v>
      </c>
      <c r="X1146" s="1" t="s">
        <v>11978</v>
      </c>
      <c r="Y1146" s="1">
        <v>80</v>
      </c>
      <c r="Z1146" s="1" t="s">
        <v>249</v>
      </c>
      <c r="AA1146" s="1" t="s">
        <v>1927</v>
      </c>
      <c r="AB1146" s="1">
        <v>60148</v>
      </c>
      <c r="AE1146" s="1" t="s">
        <v>11979</v>
      </c>
      <c r="AF1146" s="1">
        <v>1969</v>
      </c>
      <c r="AG1146" s="1" t="s">
        <v>213</v>
      </c>
      <c r="AH1146" s="1" t="s">
        <v>1930</v>
      </c>
      <c r="AI1146" s="1" t="s">
        <v>206</v>
      </c>
      <c r="AJ1146" s="1" t="s">
        <v>1608</v>
      </c>
      <c r="AL1146" s="1">
        <v>6</v>
      </c>
      <c r="AM1146" s="1">
        <v>2</v>
      </c>
      <c r="AN1146" s="1">
        <v>2</v>
      </c>
      <c r="AO1146" s="1">
        <v>0</v>
      </c>
      <c r="AP1146" s="1" t="s">
        <v>209</v>
      </c>
      <c r="AR1146" s="1" t="s">
        <v>210</v>
      </c>
      <c r="AS1146" s="1" t="s">
        <v>204</v>
      </c>
      <c r="AT1146" s="1" t="s">
        <v>271</v>
      </c>
      <c r="AV1146" s="1">
        <v>2</v>
      </c>
      <c r="AW1146" s="1" t="s">
        <v>204</v>
      </c>
      <c r="AX1146" s="1" t="s">
        <v>212</v>
      </c>
      <c r="AZ1146" s="1">
        <v>2074</v>
      </c>
      <c r="BA1146" s="1">
        <v>2013</v>
      </c>
      <c r="BB1146" s="1" t="s">
        <v>405</v>
      </c>
      <c r="BE1146" s="1">
        <v>1235</v>
      </c>
      <c r="BF1146" s="1">
        <v>5</v>
      </c>
      <c r="BG1146" s="1">
        <v>15</v>
      </c>
      <c r="BL1146" s="1">
        <v>372</v>
      </c>
      <c r="BM1146" s="1" t="s">
        <v>204</v>
      </c>
      <c r="BN1146" s="1" t="s">
        <v>213</v>
      </c>
      <c r="BO1146" s="1">
        <v>30</v>
      </c>
      <c r="BP1146" s="1" t="s">
        <v>204</v>
      </c>
      <c r="BR1146" s="1" t="str">
        <f>"0629107056"</f>
        <v>0629107056</v>
      </c>
      <c r="BT1146" s="1" t="s">
        <v>11980</v>
      </c>
      <c r="BU1146" s="1" t="s">
        <v>1933</v>
      </c>
      <c r="BV1146" s="1" t="s">
        <v>1934</v>
      </c>
      <c r="BW1146" s="1" t="s">
        <v>1935</v>
      </c>
      <c r="BX1146" s="1">
        <v>44</v>
      </c>
      <c r="BY1146" s="1">
        <v>44</v>
      </c>
      <c r="BZ1146" s="1">
        <v>87</v>
      </c>
      <c r="CB1146" s="1" t="str">
        <f t="shared" ref="CB1146:CC1146" si="884">""</f>
        <v/>
      </c>
      <c r="CC1146" s="1" t="str">
        <f t="shared" si="884"/>
        <v/>
      </c>
      <c r="CG1146" s="1" t="s">
        <v>1995</v>
      </c>
      <c r="CH1146" s="1" t="s">
        <v>219</v>
      </c>
      <c r="CI1146" s="1" t="s">
        <v>220</v>
      </c>
      <c r="CK1146" s="1" t="s">
        <v>4225</v>
      </c>
      <c r="CL1146" s="1" t="s">
        <v>219</v>
      </c>
      <c r="CM1146" s="1" t="s">
        <v>220</v>
      </c>
      <c r="CO1146" s="1" t="s">
        <v>2982</v>
      </c>
      <c r="CP1146" s="1" t="s">
        <v>219</v>
      </c>
      <c r="CQ1146" s="1" t="s">
        <v>220</v>
      </c>
      <c r="CR1146" s="1" t="s">
        <v>210</v>
      </c>
      <c r="CS1146" s="1" t="s">
        <v>1403</v>
      </c>
      <c r="CT1146" s="1" t="s">
        <v>219</v>
      </c>
      <c r="CU1146" s="1" t="s">
        <v>220</v>
      </c>
      <c r="CX1146" s="1" t="s">
        <v>224</v>
      </c>
      <c r="DB1146" s="1" t="s">
        <v>224</v>
      </c>
      <c r="DE1146" s="1" t="s">
        <v>837</v>
      </c>
      <c r="DF1146" s="1" t="s">
        <v>219</v>
      </c>
      <c r="DG1146" s="1" t="s">
        <v>226</v>
      </c>
      <c r="DH1146" s="1" t="s">
        <v>210</v>
      </c>
      <c r="DJ1146" s="1" t="s">
        <v>224</v>
      </c>
      <c r="DM1146" s="1" t="s">
        <v>1005</v>
      </c>
      <c r="DR1146" s="1" t="s">
        <v>316</v>
      </c>
      <c r="DS1146" s="1" t="s">
        <v>219</v>
      </c>
      <c r="DT1146" s="1" t="s">
        <v>220</v>
      </c>
      <c r="DU1146" s="1" t="s">
        <v>210</v>
      </c>
      <c r="DW1146" s="1" t="s">
        <v>230</v>
      </c>
      <c r="EA1146" s="1" t="s">
        <v>230</v>
      </c>
      <c r="EE1146" s="1" t="s">
        <v>230</v>
      </c>
      <c r="EI1146" s="1" t="s">
        <v>230</v>
      </c>
      <c r="EL1146" s="1" t="s">
        <v>605</v>
      </c>
      <c r="EM1146" s="1" t="s">
        <v>232</v>
      </c>
      <c r="EN1146" s="1" t="s">
        <v>233</v>
      </c>
      <c r="EO1146" s="1" t="s">
        <v>234</v>
      </c>
      <c r="EP1146" s="1" t="s">
        <v>11981</v>
      </c>
      <c r="EQ1146" s="1" t="s">
        <v>350</v>
      </c>
      <c r="ER1146" s="1" t="s">
        <v>210</v>
      </c>
      <c r="ES1146" s="1" t="s">
        <v>545</v>
      </c>
      <c r="EU1146" s="1" t="s">
        <v>239</v>
      </c>
      <c r="EV1146" s="1" t="s">
        <v>240</v>
      </c>
      <c r="EW1146" s="1" t="s">
        <v>11982</v>
      </c>
      <c r="EY1146" s="1" t="s">
        <v>441</v>
      </c>
      <c r="EZ1146" s="1" t="s">
        <v>1005</v>
      </c>
      <c r="FA1146" s="1" t="s">
        <v>11983</v>
      </c>
      <c r="FB1146" s="1" t="s">
        <v>289</v>
      </c>
      <c r="FD1146" s="1" t="s">
        <v>888</v>
      </c>
      <c r="FE1146" s="1" t="s">
        <v>247</v>
      </c>
      <c r="FF1146" s="1" t="s">
        <v>248</v>
      </c>
      <c r="FH1146" s="1" t="s">
        <v>249</v>
      </c>
      <c r="FK1146" s="1" t="s">
        <v>291</v>
      </c>
      <c r="FL1146" s="1" t="s">
        <v>328</v>
      </c>
      <c r="FM1146" s="1" t="s">
        <v>252</v>
      </c>
      <c r="FN1146" s="1" t="s">
        <v>213</v>
      </c>
      <c r="FO1146" s="1" t="s">
        <v>213</v>
      </c>
      <c r="FQ1146" s="1" t="s">
        <v>2017</v>
      </c>
      <c r="FR1146" s="1" t="s">
        <v>652</v>
      </c>
      <c r="FS1146" s="1" t="s">
        <v>11984</v>
      </c>
      <c r="FT1146" s="1" t="s">
        <v>295</v>
      </c>
      <c r="FU1146" s="1" t="s">
        <v>204</v>
      </c>
      <c r="FW1146" s="1" t="s">
        <v>2019</v>
      </c>
      <c r="FX1146" s="1">
        <v>24007</v>
      </c>
      <c r="FY1146" s="1" t="s">
        <v>2020</v>
      </c>
      <c r="FZ1146" s="1" t="s">
        <v>11985</v>
      </c>
      <c r="GA1146" s="1">
        <v>222366</v>
      </c>
      <c r="GB1146" s="1" t="s">
        <v>11986</v>
      </c>
      <c r="GE1146" s="1" t="s">
        <v>210</v>
      </c>
      <c r="GH1146" s="1" t="s">
        <v>421</v>
      </c>
      <c r="GI1146" s="1" t="s">
        <v>213</v>
      </c>
      <c r="GJ1146" s="1" t="s">
        <v>260</v>
      </c>
      <c r="GK1146" s="1" t="s">
        <v>210</v>
      </c>
      <c r="GL1146" s="2">
        <v>42147</v>
      </c>
      <c r="GM1146" s="1" t="s">
        <v>11987</v>
      </c>
    </row>
    <row r="1147" spans="1:195">
      <c r="A1147" s="1">
        <v>125000</v>
      </c>
      <c r="B1147" s="1" t="s">
        <v>195</v>
      </c>
      <c r="C1147" s="1" t="str">
        <f>"08859042"</f>
        <v>08859042</v>
      </c>
      <c r="D1147" s="1" t="s">
        <v>196</v>
      </c>
      <c r="F1147" s="1" t="str">
        <f>"60"</f>
        <v>60</v>
      </c>
      <c r="G1147" s="2">
        <v>42074</v>
      </c>
      <c r="H1147" s="1">
        <v>134000</v>
      </c>
      <c r="I1147" s="1">
        <v>134000</v>
      </c>
      <c r="J1147" s="1">
        <v>125000</v>
      </c>
      <c r="K1147" s="2">
        <v>42074</v>
      </c>
      <c r="L1147" s="1">
        <v>22</v>
      </c>
      <c r="M1147" s="2">
        <v>42095</v>
      </c>
      <c r="N1147" s="1">
        <v>22</v>
      </c>
      <c r="O1147" s="2">
        <v>42095</v>
      </c>
      <c r="P1147" s="1">
        <v>3104</v>
      </c>
      <c r="Q1147" s="1" t="s">
        <v>302</v>
      </c>
      <c r="R1147" s="2">
        <v>42138</v>
      </c>
      <c r="S1147" s="1">
        <v>33105</v>
      </c>
      <c r="T1147" s="1">
        <v>400</v>
      </c>
      <c r="U1147" s="1">
        <v>1251</v>
      </c>
      <c r="V1147" s="1" t="s">
        <v>11988</v>
      </c>
      <c r="W1147" s="1" t="s">
        <v>504</v>
      </c>
      <c r="X1147" s="1" t="s">
        <v>800</v>
      </c>
      <c r="Y1147" s="1">
        <v>5</v>
      </c>
      <c r="Z1147" s="1" t="s">
        <v>249</v>
      </c>
      <c r="AA1147" s="1" t="s">
        <v>1689</v>
      </c>
      <c r="AB1147" s="1">
        <v>60060</v>
      </c>
      <c r="AD1147" s="1" t="s">
        <v>11989</v>
      </c>
      <c r="AE1147" s="1" t="s">
        <v>11990</v>
      </c>
      <c r="AF1147" s="1">
        <v>1987</v>
      </c>
      <c r="AG1147" s="1" t="s">
        <v>204</v>
      </c>
      <c r="AH1147" s="1" t="s">
        <v>1692</v>
      </c>
      <c r="AI1147" s="1" t="s">
        <v>509</v>
      </c>
      <c r="AJ1147" s="1" t="s">
        <v>1693</v>
      </c>
      <c r="AK1147" s="1" t="s">
        <v>452</v>
      </c>
      <c r="AL1147" s="1">
        <v>5</v>
      </c>
      <c r="AM1147" s="1">
        <v>2</v>
      </c>
      <c r="AN1147" s="1">
        <v>2</v>
      </c>
      <c r="AO1147" s="1">
        <v>0</v>
      </c>
      <c r="AP1147" s="1" t="s">
        <v>209</v>
      </c>
      <c r="AR1147" s="1" t="s">
        <v>210</v>
      </c>
      <c r="AS1147" s="1" t="s">
        <v>204</v>
      </c>
      <c r="AT1147" s="1" t="s">
        <v>211</v>
      </c>
      <c r="AU1147" s="1">
        <v>1</v>
      </c>
      <c r="AW1147" s="1" t="s">
        <v>204</v>
      </c>
      <c r="AX1147" s="1" t="s">
        <v>1528</v>
      </c>
      <c r="AZ1147" s="1">
        <v>3186</v>
      </c>
      <c r="BA1147" s="1">
        <v>2013</v>
      </c>
      <c r="BB1147" s="1" t="s">
        <v>210</v>
      </c>
      <c r="BE1147" s="1">
        <v>1261</v>
      </c>
      <c r="BF1147" s="1">
        <v>2</v>
      </c>
      <c r="BG1147" s="1">
        <v>0</v>
      </c>
      <c r="BL1147" s="1">
        <v>325</v>
      </c>
      <c r="BM1147" s="1" t="s">
        <v>204</v>
      </c>
      <c r="BN1147" s="1" t="s">
        <v>213</v>
      </c>
      <c r="BO1147" s="1">
        <v>35</v>
      </c>
      <c r="BP1147" s="1" t="s">
        <v>204</v>
      </c>
      <c r="BR1147" s="1" t="str">
        <f>"11293000880000"</f>
        <v>11293000880000</v>
      </c>
      <c r="BT1147" s="1" t="s">
        <v>11991</v>
      </c>
      <c r="BW1147" s="1" t="s">
        <v>514</v>
      </c>
      <c r="BX1147" s="1">
        <v>73</v>
      </c>
      <c r="BY1147" s="1">
        <v>73</v>
      </c>
      <c r="BZ1147" s="1">
        <v>128</v>
      </c>
      <c r="CB1147" s="1" t="str">
        <f t="shared" ref="CB1147:CC1147" si="885">""</f>
        <v/>
      </c>
      <c r="CC1147" s="1" t="str">
        <f t="shared" si="885"/>
        <v/>
      </c>
      <c r="CG1147" s="1" t="s">
        <v>1155</v>
      </c>
      <c r="CH1147" s="1" t="s">
        <v>277</v>
      </c>
      <c r="CI1147" s="1" t="s">
        <v>220</v>
      </c>
      <c r="CJ1147" s="1" t="s">
        <v>463</v>
      </c>
      <c r="CK1147" s="1" t="s">
        <v>437</v>
      </c>
      <c r="CL1147" s="1" t="s">
        <v>277</v>
      </c>
      <c r="CM1147" s="1" t="s">
        <v>220</v>
      </c>
      <c r="CO1147" s="1" t="s">
        <v>223</v>
      </c>
      <c r="CP1147" s="1" t="s">
        <v>277</v>
      </c>
      <c r="CQ1147" s="1" t="s">
        <v>220</v>
      </c>
      <c r="CS1147" s="1" t="s">
        <v>465</v>
      </c>
      <c r="CT1147" s="1" t="s">
        <v>277</v>
      </c>
      <c r="CU1147" s="1" t="s">
        <v>220</v>
      </c>
      <c r="CX1147" s="1" t="s">
        <v>224</v>
      </c>
      <c r="DB1147" s="1" t="s">
        <v>224</v>
      </c>
      <c r="DE1147" s="1" t="s">
        <v>379</v>
      </c>
      <c r="DF1147" s="1" t="s">
        <v>277</v>
      </c>
      <c r="DG1147" s="1" t="s">
        <v>229</v>
      </c>
      <c r="DJ1147" s="1" t="s">
        <v>224</v>
      </c>
      <c r="DM1147" s="1" t="s">
        <v>838</v>
      </c>
      <c r="DR1147" s="1" t="s">
        <v>4214</v>
      </c>
      <c r="DS1147" s="1" t="s">
        <v>277</v>
      </c>
      <c r="DW1147" s="1" t="s">
        <v>230</v>
      </c>
      <c r="EA1147" s="1" t="s">
        <v>230</v>
      </c>
      <c r="EE1147" s="1" t="s">
        <v>230</v>
      </c>
      <c r="EI1147" s="1" t="s">
        <v>230</v>
      </c>
      <c r="EL1147" s="1" t="s">
        <v>542</v>
      </c>
      <c r="EM1147" s="1" t="s">
        <v>730</v>
      </c>
      <c r="EN1147" s="1" t="s">
        <v>282</v>
      </c>
      <c r="EO1147" s="1" t="s">
        <v>234</v>
      </c>
      <c r="EP1147" s="1" t="s">
        <v>7792</v>
      </c>
      <c r="EQ1147" s="1" t="s">
        <v>492</v>
      </c>
      <c r="ER1147" s="1" t="s">
        <v>383</v>
      </c>
      <c r="ES1147" s="1" t="s">
        <v>824</v>
      </c>
      <c r="EU1147" s="1" t="s">
        <v>239</v>
      </c>
      <c r="EV1147" s="1" t="s">
        <v>240</v>
      </c>
      <c r="EW1147" s="1" t="s">
        <v>1940</v>
      </c>
      <c r="EY1147" s="1" t="s">
        <v>242</v>
      </c>
      <c r="EZ1147" s="1" t="s">
        <v>838</v>
      </c>
      <c r="FA1147" s="1" t="s">
        <v>471</v>
      </c>
      <c r="FD1147" s="1" t="s">
        <v>246</v>
      </c>
      <c r="FE1147" s="1" t="s">
        <v>472</v>
      </c>
      <c r="FF1147" s="1" t="s">
        <v>248</v>
      </c>
      <c r="FH1147" s="1" t="s">
        <v>249</v>
      </c>
      <c r="FI1147" s="1" t="s">
        <v>357</v>
      </c>
      <c r="FL1147" s="1" t="s">
        <v>414</v>
      </c>
      <c r="FM1147" s="1" t="s">
        <v>252</v>
      </c>
      <c r="FN1147" s="1" t="s">
        <v>213</v>
      </c>
      <c r="FO1147" s="1" t="s">
        <v>213</v>
      </c>
      <c r="FQ1147" s="1" t="s">
        <v>2004</v>
      </c>
      <c r="FR1147" s="1" t="s">
        <v>210</v>
      </c>
      <c r="FS1147" s="1" t="s">
        <v>11992</v>
      </c>
      <c r="FT1147" s="1" t="s">
        <v>362</v>
      </c>
      <c r="FU1147" s="1" t="s">
        <v>204</v>
      </c>
      <c r="FW1147" s="1" t="s">
        <v>11360</v>
      </c>
      <c r="FX1147" s="1">
        <v>25600</v>
      </c>
      <c r="FY1147" s="1" t="s">
        <v>11993</v>
      </c>
      <c r="FZ1147" s="1" t="s">
        <v>11994</v>
      </c>
      <c r="GA1147" s="1">
        <v>243597</v>
      </c>
      <c r="GE1147" s="1" t="s">
        <v>210</v>
      </c>
      <c r="GI1147" s="1" t="s">
        <v>213</v>
      </c>
      <c r="GJ1147" s="1" t="s">
        <v>260</v>
      </c>
      <c r="GK1147" s="1" t="s">
        <v>210</v>
      </c>
      <c r="GL1147" s="2">
        <v>42138</v>
      </c>
      <c r="GM1147" s="1" t="s">
        <v>11995</v>
      </c>
    </row>
    <row r="1148" spans="1:195">
      <c r="A1148" s="1">
        <v>128300</v>
      </c>
      <c r="B1148" s="1" t="s">
        <v>195</v>
      </c>
      <c r="C1148" s="1" t="str">
        <f>"08849716"</f>
        <v>08849716</v>
      </c>
      <c r="D1148" s="1" t="s">
        <v>196</v>
      </c>
      <c r="F1148" s="1" t="str">
        <f>"140"</f>
        <v>140</v>
      </c>
      <c r="G1148" s="2">
        <v>42065</v>
      </c>
      <c r="H1148" s="1">
        <v>136500</v>
      </c>
      <c r="I1148" s="1">
        <v>129000</v>
      </c>
      <c r="J1148" s="1">
        <v>128300</v>
      </c>
      <c r="K1148" s="2">
        <v>42065</v>
      </c>
      <c r="L1148" s="1">
        <v>28</v>
      </c>
      <c r="M1148" s="2">
        <v>42092</v>
      </c>
      <c r="N1148" s="1">
        <v>28</v>
      </c>
      <c r="O1148" s="2">
        <v>42092</v>
      </c>
      <c r="P1148" s="1">
        <v>8081</v>
      </c>
      <c r="Q1148" s="1" t="s">
        <v>197</v>
      </c>
      <c r="R1148" s="2">
        <v>42132</v>
      </c>
      <c r="S1148" s="1">
        <v>80426</v>
      </c>
      <c r="U1148" s="1">
        <v>896</v>
      </c>
      <c r="V1148" s="1" t="s">
        <v>11996</v>
      </c>
      <c r="W1148" s="1" t="s">
        <v>504</v>
      </c>
      <c r="Y1148" s="1">
        <v>6</v>
      </c>
      <c r="Z1148" s="1" t="s">
        <v>370</v>
      </c>
      <c r="AA1148" s="1" t="s">
        <v>744</v>
      </c>
      <c r="AB1148" s="1">
        <v>60140</v>
      </c>
      <c r="AD1148" s="1" t="s">
        <v>745</v>
      </c>
      <c r="AE1148" s="1" t="s">
        <v>11997</v>
      </c>
      <c r="AF1148" s="1">
        <v>2006</v>
      </c>
      <c r="AG1148" s="1" t="s">
        <v>204</v>
      </c>
      <c r="AH1148" s="1" t="s">
        <v>747</v>
      </c>
      <c r="AI1148" s="1" t="s">
        <v>665</v>
      </c>
      <c r="AJ1148" s="1" t="s">
        <v>748</v>
      </c>
      <c r="AK1148" s="1" t="s">
        <v>9267</v>
      </c>
      <c r="AL1148" s="1">
        <v>7</v>
      </c>
      <c r="AM1148" s="1">
        <v>2</v>
      </c>
      <c r="AN1148" s="1">
        <v>1</v>
      </c>
      <c r="AO1148" s="1">
        <v>1</v>
      </c>
      <c r="AP1148" s="1" t="s">
        <v>667</v>
      </c>
      <c r="AQ1148" s="1">
        <v>0</v>
      </c>
      <c r="AR1148" s="1" t="s">
        <v>1421</v>
      </c>
      <c r="AS1148" s="1" t="s">
        <v>204</v>
      </c>
      <c r="AT1148" s="1" t="s">
        <v>211</v>
      </c>
      <c r="AU1148" s="1">
        <v>2</v>
      </c>
      <c r="AW1148" s="1" t="s">
        <v>204</v>
      </c>
      <c r="AX1148" s="1" t="s">
        <v>212</v>
      </c>
      <c r="AZ1148" s="1">
        <v>4528</v>
      </c>
      <c r="BA1148" s="1">
        <v>2013</v>
      </c>
      <c r="BB1148" s="1" t="s">
        <v>405</v>
      </c>
      <c r="BE1148" s="1">
        <v>0</v>
      </c>
      <c r="BF1148" s="1">
        <v>1</v>
      </c>
      <c r="BG1148" s="1">
        <v>0</v>
      </c>
      <c r="BL1148" s="1">
        <v>142</v>
      </c>
      <c r="BM1148" s="1" t="s">
        <v>204</v>
      </c>
      <c r="BN1148" s="1" t="s">
        <v>213</v>
      </c>
      <c r="BO1148" s="1">
        <v>0</v>
      </c>
      <c r="BP1148" s="1" t="s">
        <v>204</v>
      </c>
      <c r="BR1148" s="1" t="str">
        <f>"0228305043"</f>
        <v>0228305043</v>
      </c>
      <c r="BT1148" s="1" t="s">
        <v>11998</v>
      </c>
      <c r="BU1148" s="1" t="s">
        <v>753</v>
      </c>
      <c r="BV1148" s="1" t="s">
        <v>754</v>
      </c>
      <c r="BW1148" s="1" t="s">
        <v>755</v>
      </c>
      <c r="BX1148" s="1">
        <v>300</v>
      </c>
      <c r="BY1148" s="1">
        <v>300</v>
      </c>
      <c r="BZ1148" s="1">
        <v>300</v>
      </c>
      <c r="CB1148" s="1" t="str">
        <f t="shared" ref="CB1148:CC1148" si="886">""</f>
        <v/>
      </c>
      <c r="CC1148" s="1" t="str">
        <f t="shared" si="886"/>
        <v/>
      </c>
      <c r="CD1148" s="1">
        <v>4</v>
      </c>
      <c r="CF1148" s="1" t="s">
        <v>11999</v>
      </c>
      <c r="CG1148" s="1" t="s">
        <v>2402</v>
      </c>
      <c r="CH1148" s="1" t="s">
        <v>219</v>
      </c>
      <c r="CI1148" s="1" t="s">
        <v>220</v>
      </c>
      <c r="CK1148" s="1" t="s">
        <v>885</v>
      </c>
      <c r="CL1148" s="1" t="s">
        <v>277</v>
      </c>
      <c r="CM1148" s="1" t="s">
        <v>220</v>
      </c>
      <c r="CO1148" s="1" t="s">
        <v>629</v>
      </c>
      <c r="CP1148" s="1" t="s">
        <v>219</v>
      </c>
      <c r="CQ1148" s="1" t="s">
        <v>220</v>
      </c>
      <c r="CS1148" s="1" t="s">
        <v>346</v>
      </c>
      <c r="CT1148" s="1" t="s">
        <v>277</v>
      </c>
      <c r="CU1148" s="1" t="s">
        <v>220</v>
      </c>
      <c r="CX1148" s="1" t="s">
        <v>224</v>
      </c>
      <c r="DB1148" s="1" t="s">
        <v>224</v>
      </c>
      <c r="DE1148" s="1" t="s">
        <v>539</v>
      </c>
      <c r="DF1148" s="1" t="s">
        <v>219</v>
      </c>
      <c r="DG1148" s="1" t="s">
        <v>342</v>
      </c>
      <c r="DI1148" s="1" t="s">
        <v>378</v>
      </c>
      <c r="DJ1148" s="1" t="s">
        <v>822</v>
      </c>
      <c r="DK1148" s="1" t="s">
        <v>220</v>
      </c>
      <c r="DM1148" s="1" t="s">
        <v>464</v>
      </c>
      <c r="DR1148" s="1" t="s">
        <v>318</v>
      </c>
      <c r="DS1148" s="1" t="s">
        <v>277</v>
      </c>
      <c r="DT1148" s="1" t="s">
        <v>220</v>
      </c>
      <c r="DW1148" s="1" t="s">
        <v>230</v>
      </c>
      <c r="EA1148" s="1" t="s">
        <v>230</v>
      </c>
      <c r="EE1148" s="1" t="s">
        <v>230</v>
      </c>
      <c r="EI1148" s="1" t="s">
        <v>230</v>
      </c>
      <c r="EL1148" s="1" t="s">
        <v>491</v>
      </c>
      <c r="EM1148" s="1" t="s">
        <v>319</v>
      </c>
      <c r="EN1148" s="1" t="s">
        <v>282</v>
      </c>
      <c r="EO1148" s="1" t="s">
        <v>234</v>
      </c>
      <c r="EP1148" s="1" t="s">
        <v>650</v>
      </c>
      <c r="EQ1148" s="1" t="s">
        <v>953</v>
      </c>
      <c r="ER1148" s="1" t="s">
        <v>823</v>
      </c>
      <c r="ES1148" s="1" t="s">
        <v>954</v>
      </c>
      <c r="EU1148" s="1" t="s">
        <v>239</v>
      </c>
      <c r="EV1148" s="1" t="s">
        <v>240</v>
      </c>
      <c r="EW1148" s="1" t="s">
        <v>12000</v>
      </c>
      <c r="EY1148" s="1" t="s">
        <v>242</v>
      </c>
      <c r="EZ1148" s="1" t="s">
        <v>464</v>
      </c>
      <c r="FA1148" s="1" t="s">
        <v>6559</v>
      </c>
      <c r="FD1148" s="1" t="s">
        <v>246</v>
      </c>
      <c r="FE1148" s="1" t="s">
        <v>386</v>
      </c>
      <c r="FF1148" s="1" t="s">
        <v>248</v>
      </c>
      <c r="FH1148" s="1" t="s">
        <v>12001</v>
      </c>
      <c r="FI1148" s="1" t="s">
        <v>473</v>
      </c>
      <c r="FJ1148" s="1" t="s">
        <v>1620</v>
      </c>
      <c r="FL1148" s="1" t="s">
        <v>358</v>
      </c>
      <c r="FM1148" s="1" t="s">
        <v>252</v>
      </c>
      <c r="FN1148" s="1" t="s">
        <v>213</v>
      </c>
      <c r="FO1148" s="1" t="s">
        <v>213</v>
      </c>
      <c r="FQ1148" s="1" t="s">
        <v>293</v>
      </c>
      <c r="FR1148" s="1" t="s">
        <v>210</v>
      </c>
      <c r="FS1148" s="1" t="s">
        <v>12002</v>
      </c>
      <c r="FT1148" s="1" t="s">
        <v>295</v>
      </c>
      <c r="FU1148" s="1" t="s">
        <v>204</v>
      </c>
      <c r="FW1148" s="1" t="s">
        <v>5979</v>
      </c>
      <c r="FX1148" s="1">
        <v>8340</v>
      </c>
      <c r="FY1148" s="1" t="s">
        <v>5980</v>
      </c>
      <c r="FZ1148" s="1" t="s">
        <v>12003</v>
      </c>
      <c r="GA1148" s="1">
        <v>29978</v>
      </c>
      <c r="GB1148" s="1" t="s">
        <v>12004</v>
      </c>
      <c r="GD1148" s="1" t="s">
        <v>12005</v>
      </c>
      <c r="GE1148" s="1" t="s">
        <v>480</v>
      </c>
      <c r="GI1148" s="1" t="s">
        <v>213</v>
      </c>
      <c r="GJ1148" s="1" t="s">
        <v>260</v>
      </c>
      <c r="GK1148" s="1" t="s">
        <v>210</v>
      </c>
      <c r="GL1148" s="2">
        <v>42135</v>
      </c>
      <c r="GM1148" s="1" t="s">
        <v>12006</v>
      </c>
    </row>
    <row r="1149" spans="1:195">
      <c r="A1149" s="1">
        <v>186000</v>
      </c>
      <c r="B1149" s="1" t="s">
        <v>195</v>
      </c>
      <c r="C1149" s="1" t="str">
        <f>"08853958"</f>
        <v>08853958</v>
      </c>
      <c r="D1149" s="1" t="s">
        <v>196</v>
      </c>
      <c r="F1149" s="1" t="str">
        <f>"507"</f>
        <v>507</v>
      </c>
      <c r="G1149" s="2">
        <v>42068</v>
      </c>
      <c r="H1149" s="1">
        <v>185000</v>
      </c>
      <c r="I1149" s="1">
        <v>185000</v>
      </c>
      <c r="J1149" s="1">
        <v>186000</v>
      </c>
      <c r="K1149" s="2">
        <v>42068</v>
      </c>
      <c r="L1149" s="1">
        <v>8</v>
      </c>
      <c r="M1149" s="2">
        <v>42075</v>
      </c>
      <c r="N1149" s="1">
        <v>8</v>
      </c>
      <c r="O1149" s="2">
        <v>42075</v>
      </c>
      <c r="P1149" s="1">
        <v>23265</v>
      </c>
      <c r="Q1149" s="1" t="s">
        <v>197</v>
      </c>
      <c r="R1149" s="2">
        <v>42125</v>
      </c>
      <c r="S1149" s="1">
        <v>225730</v>
      </c>
      <c r="U1149" s="1">
        <v>449</v>
      </c>
      <c r="V1149" s="1" t="s">
        <v>12007</v>
      </c>
      <c r="W1149" s="1" t="s">
        <v>304</v>
      </c>
      <c r="Y1149" s="1">
        <v>6</v>
      </c>
      <c r="Z1149" s="1" t="s">
        <v>370</v>
      </c>
      <c r="AA1149" s="1" t="s">
        <v>1123</v>
      </c>
      <c r="AB1149" s="1">
        <v>60502</v>
      </c>
      <c r="AD1149" s="1" t="s">
        <v>12008</v>
      </c>
      <c r="AE1149" s="1" t="s">
        <v>12009</v>
      </c>
      <c r="AF1149" s="1">
        <v>2002</v>
      </c>
      <c r="AG1149" s="1" t="s">
        <v>204</v>
      </c>
      <c r="AH1149" s="1" t="s">
        <v>1126</v>
      </c>
      <c r="AI1149" s="1" t="s">
        <v>206</v>
      </c>
      <c r="AJ1149" s="1" t="s">
        <v>924</v>
      </c>
      <c r="AL1149" s="1">
        <v>6</v>
      </c>
      <c r="AM1149" s="1">
        <v>2</v>
      </c>
      <c r="AN1149" s="1">
        <v>2</v>
      </c>
      <c r="AO1149" s="1">
        <v>1</v>
      </c>
      <c r="AP1149" s="1" t="s">
        <v>209</v>
      </c>
      <c r="AR1149" s="1" t="s">
        <v>209</v>
      </c>
      <c r="AS1149" s="1" t="s">
        <v>204</v>
      </c>
      <c r="AT1149" s="1" t="s">
        <v>211</v>
      </c>
      <c r="AU1149" s="1">
        <v>2</v>
      </c>
      <c r="AW1149" s="1" t="s">
        <v>204</v>
      </c>
      <c r="AX1149" s="1" t="s">
        <v>212</v>
      </c>
      <c r="AZ1149" s="1">
        <v>5162</v>
      </c>
      <c r="BA1149" s="1">
        <v>2013</v>
      </c>
      <c r="BB1149" s="1" t="s">
        <v>405</v>
      </c>
      <c r="BE1149" s="1">
        <v>1585</v>
      </c>
      <c r="BF1149" s="1">
        <v>1</v>
      </c>
      <c r="BG1149" s="1">
        <v>0</v>
      </c>
      <c r="BL1149" s="1">
        <v>250</v>
      </c>
      <c r="BM1149" s="1" t="s">
        <v>204</v>
      </c>
      <c r="BN1149" s="1" t="s">
        <v>213</v>
      </c>
      <c r="BO1149" s="1">
        <v>999</v>
      </c>
      <c r="BP1149" s="1" t="s">
        <v>204</v>
      </c>
      <c r="BR1149" s="1" t="str">
        <f>"0719315043"</f>
        <v>0719315043</v>
      </c>
      <c r="BT1149" s="1" t="s">
        <v>12010</v>
      </c>
      <c r="BU1149" s="1" t="s">
        <v>6259</v>
      </c>
      <c r="BV1149" s="1" t="s">
        <v>1130</v>
      </c>
      <c r="BW1149" s="1" t="s">
        <v>1131</v>
      </c>
      <c r="BX1149" s="1">
        <v>204</v>
      </c>
      <c r="BY1149" s="1">
        <v>204</v>
      </c>
      <c r="BZ1149" s="1">
        <v>204</v>
      </c>
      <c r="CB1149" s="1" t="str">
        <f t="shared" ref="CB1149:CC1149" si="887">""</f>
        <v/>
      </c>
      <c r="CC1149" s="1" t="str">
        <f t="shared" si="887"/>
        <v/>
      </c>
      <c r="CG1149" s="1" t="s">
        <v>12011</v>
      </c>
      <c r="CH1149" s="1" t="s">
        <v>219</v>
      </c>
      <c r="CI1149" s="1" t="s">
        <v>220</v>
      </c>
      <c r="CK1149" s="1" t="s">
        <v>461</v>
      </c>
      <c r="CL1149" s="1" t="s">
        <v>277</v>
      </c>
      <c r="CM1149" s="1" t="s">
        <v>220</v>
      </c>
      <c r="CO1149" s="1" t="s">
        <v>281</v>
      </c>
      <c r="CP1149" s="1" t="s">
        <v>219</v>
      </c>
      <c r="CQ1149" s="1" t="s">
        <v>226</v>
      </c>
      <c r="CS1149" s="1" t="s">
        <v>346</v>
      </c>
      <c r="CT1149" s="1" t="s">
        <v>277</v>
      </c>
      <c r="CU1149" s="1" t="s">
        <v>220</v>
      </c>
      <c r="CX1149" s="1" t="s">
        <v>224</v>
      </c>
      <c r="DB1149" s="1" t="s">
        <v>224</v>
      </c>
      <c r="DE1149" s="1" t="s">
        <v>437</v>
      </c>
      <c r="DF1149" s="1" t="s">
        <v>219</v>
      </c>
      <c r="DG1149" s="1" t="s">
        <v>438</v>
      </c>
      <c r="DJ1149" s="1" t="s">
        <v>224</v>
      </c>
      <c r="DM1149" s="1" t="s">
        <v>464</v>
      </c>
      <c r="DR1149" s="1" t="s">
        <v>757</v>
      </c>
      <c r="DS1149" s="1" t="s">
        <v>277</v>
      </c>
      <c r="DT1149" s="1" t="s">
        <v>220</v>
      </c>
      <c r="DW1149" s="1" t="s">
        <v>230</v>
      </c>
      <c r="EA1149" s="1" t="s">
        <v>230</v>
      </c>
      <c r="EE1149" s="1" t="s">
        <v>230</v>
      </c>
      <c r="EI1149" s="1" t="s">
        <v>230</v>
      </c>
      <c r="EL1149" s="1" t="s">
        <v>466</v>
      </c>
      <c r="EM1149" s="1" t="s">
        <v>319</v>
      </c>
      <c r="EN1149" s="1" t="s">
        <v>282</v>
      </c>
      <c r="EO1149" s="1" t="s">
        <v>234</v>
      </c>
      <c r="EP1149" s="1" t="s">
        <v>650</v>
      </c>
      <c r="EQ1149" s="1" t="s">
        <v>2188</v>
      </c>
      <c r="ER1149" s="1" t="s">
        <v>544</v>
      </c>
      <c r="ES1149" s="1" t="s">
        <v>1552</v>
      </c>
      <c r="ET1149" s="1" t="s">
        <v>2404</v>
      </c>
      <c r="EU1149" s="1" t="s">
        <v>10522</v>
      </c>
      <c r="EV1149" s="1" t="s">
        <v>324</v>
      </c>
      <c r="EW1149" s="1" t="s">
        <v>1804</v>
      </c>
      <c r="EZ1149" s="1" t="s">
        <v>464</v>
      </c>
      <c r="FA1149" s="1" t="s">
        <v>5405</v>
      </c>
      <c r="FB1149" s="1" t="s">
        <v>289</v>
      </c>
      <c r="FD1149" s="1" t="s">
        <v>246</v>
      </c>
      <c r="FE1149" s="1" t="s">
        <v>386</v>
      </c>
      <c r="FF1149" s="1" t="s">
        <v>248</v>
      </c>
      <c r="FH1149" s="1" t="s">
        <v>550</v>
      </c>
      <c r="FI1149" s="1" t="s">
        <v>473</v>
      </c>
      <c r="FL1149" s="1" t="s">
        <v>358</v>
      </c>
      <c r="FM1149" s="1" t="s">
        <v>252</v>
      </c>
      <c r="FN1149" s="1" t="s">
        <v>213</v>
      </c>
      <c r="FO1149" s="1" t="s">
        <v>213</v>
      </c>
      <c r="FQ1149" s="1" t="s">
        <v>12012</v>
      </c>
      <c r="FR1149" s="1" t="s">
        <v>210</v>
      </c>
      <c r="FS1149" s="1" t="s">
        <v>12013</v>
      </c>
      <c r="FT1149" s="1" t="s">
        <v>295</v>
      </c>
      <c r="FU1149" s="1" t="s">
        <v>204</v>
      </c>
      <c r="FW1149" s="1" t="s">
        <v>915</v>
      </c>
      <c r="FX1149" s="1">
        <v>23076</v>
      </c>
      <c r="FY1149" s="1" t="s">
        <v>1909</v>
      </c>
      <c r="FZ1149" s="1" t="s">
        <v>12014</v>
      </c>
      <c r="GA1149" s="1">
        <v>217893</v>
      </c>
      <c r="GB1149" s="1" t="s">
        <v>12015</v>
      </c>
      <c r="GD1149" s="1" t="s">
        <v>12016</v>
      </c>
      <c r="GE1149" s="1" t="s">
        <v>480</v>
      </c>
      <c r="GI1149" s="1" t="s">
        <v>213</v>
      </c>
      <c r="GJ1149" s="1" t="s">
        <v>260</v>
      </c>
      <c r="GK1149" s="1" t="s">
        <v>210</v>
      </c>
      <c r="GL1149" s="2">
        <v>42125</v>
      </c>
    </row>
    <row r="1150" spans="1:195">
      <c r="A1150" s="1">
        <v>140000</v>
      </c>
      <c r="B1150" s="1" t="s">
        <v>195</v>
      </c>
      <c r="C1150" s="1" t="str">
        <f>"08851529"</f>
        <v>08851529</v>
      </c>
      <c r="D1150" s="1" t="s">
        <v>196</v>
      </c>
      <c r="F1150" s="1" t="str">
        <f>"513"</f>
        <v>513</v>
      </c>
      <c r="G1150" s="2">
        <v>42066</v>
      </c>
      <c r="H1150" s="1">
        <v>149000</v>
      </c>
      <c r="I1150" s="1">
        <v>144000</v>
      </c>
      <c r="J1150" s="1">
        <v>140000</v>
      </c>
      <c r="K1150" s="2">
        <v>42066</v>
      </c>
      <c r="L1150" s="1">
        <v>55</v>
      </c>
      <c r="M1150" s="2">
        <v>42086</v>
      </c>
      <c r="N1150" s="1">
        <v>21</v>
      </c>
      <c r="O1150" s="2">
        <v>42086</v>
      </c>
      <c r="P1150" s="1">
        <v>22049</v>
      </c>
      <c r="Q1150" s="1" t="s">
        <v>302</v>
      </c>
      <c r="R1150" s="2">
        <v>42107</v>
      </c>
      <c r="S1150" s="1">
        <v>229926</v>
      </c>
      <c r="U1150" s="1">
        <v>9523</v>
      </c>
      <c r="V1150" s="1" t="s">
        <v>12017</v>
      </c>
      <c r="W1150" s="1" t="s">
        <v>425</v>
      </c>
      <c r="Y1150" s="1">
        <v>1</v>
      </c>
      <c r="Z1150" s="1" t="s">
        <v>200</v>
      </c>
      <c r="AA1150" s="1" t="s">
        <v>644</v>
      </c>
      <c r="AB1150" s="1">
        <v>60513</v>
      </c>
      <c r="AE1150" s="1" t="s">
        <v>12018</v>
      </c>
      <c r="AF1150" s="1">
        <v>1952</v>
      </c>
      <c r="AG1150" s="1" t="s">
        <v>213</v>
      </c>
      <c r="AH1150" s="1" t="s">
        <v>646</v>
      </c>
      <c r="AI1150" s="1" t="s">
        <v>310</v>
      </c>
      <c r="AJ1150" s="1" t="s">
        <v>429</v>
      </c>
      <c r="AL1150" s="1">
        <v>4</v>
      </c>
      <c r="AM1150" s="1">
        <v>2</v>
      </c>
      <c r="AN1150" s="1">
        <v>1</v>
      </c>
      <c r="AO1150" s="1">
        <v>0</v>
      </c>
      <c r="AP1150" s="1" t="s">
        <v>210</v>
      </c>
      <c r="AR1150" s="1" t="s">
        <v>210</v>
      </c>
      <c r="AT1150" s="1" t="s">
        <v>211</v>
      </c>
      <c r="AU1150" s="1">
        <v>1</v>
      </c>
      <c r="AW1150" s="1" t="s">
        <v>204</v>
      </c>
      <c r="AX1150" s="1" t="s">
        <v>12019</v>
      </c>
      <c r="AZ1150" s="1">
        <v>4758.1499999999996</v>
      </c>
      <c r="BA1150" s="1">
        <v>2013</v>
      </c>
      <c r="BE1150" s="1">
        <v>1050</v>
      </c>
      <c r="BF1150" s="1">
        <v>1</v>
      </c>
      <c r="BG1150" s="1">
        <v>0</v>
      </c>
      <c r="BL1150" s="1">
        <v>0</v>
      </c>
      <c r="BM1150" s="1" t="s">
        <v>204</v>
      </c>
      <c r="BN1150" s="1" t="s">
        <v>213</v>
      </c>
      <c r="BO1150" s="1">
        <v>0</v>
      </c>
      <c r="BP1150" s="1" t="s">
        <v>204</v>
      </c>
      <c r="BR1150" s="1" t="str">
        <f>"15341090530000"</f>
        <v>15341090530000</v>
      </c>
      <c r="BT1150" s="1" t="s">
        <v>12020</v>
      </c>
      <c r="BX1150" s="1">
        <v>95</v>
      </c>
      <c r="BY1150" s="1">
        <v>95</v>
      </c>
      <c r="BZ1150" s="1">
        <v>208</v>
      </c>
      <c r="CB1150" s="1" t="str">
        <f t="shared" ref="CB1150:CC1150" si="888">""</f>
        <v/>
      </c>
      <c r="CC1150" s="1" t="str">
        <f t="shared" si="888"/>
        <v/>
      </c>
      <c r="CG1150" s="1" t="s">
        <v>377</v>
      </c>
      <c r="CH1150" s="1" t="s">
        <v>219</v>
      </c>
      <c r="CI1150" s="1" t="s">
        <v>438</v>
      </c>
      <c r="CK1150" s="1" t="s">
        <v>1358</v>
      </c>
      <c r="CL1150" s="1" t="s">
        <v>219</v>
      </c>
      <c r="CM1150" s="1" t="s">
        <v>438</v>
      </c>
      <c r="CP1150" s="1" t="s">
        <v>224</v>
      </c>
      <c r="CS1150" s="1" t="s">
        <v>5643</v>
      </c>
      <c r="CT1150" s="1" t="s">
        <v>219</v>
      </c>
      <c r="CU1150" s="1" t="s">
        <v>438</v>
      </c>
      <c r="CX1150" s="1" t="s">
        <v>224</v>
      </c>
      <c r="DB1150" s="1" t="s">
        <v>224</v>
      </c>
      <c r="DE1150" s="1" t="s">
        <v>1854</v>
      </c>
      <c r="DF1150" s="1" t="s">
        <v>219</v>
      </c>
      <c r="DG1150" s="1" t="s">
        <v>438</v>
      </c>
      <c r="DJ1150" s="1" t="s">
        <v>224</v>
      </c>
      <c r="DS1150" s="1" t="s">
        <v>230</v>
      </c>
      <c r="DW1150" s="1" t="s">
        <v>230</v>
      </c>
      <c r="EA1150" s="1" t="s">
        <v>230</v>
      </c>
      <c r="EE1150" s="1" t="s">
        <v>230</v>
      </c>
      <c r="EI1150" s="1" t="s">
        <v>230</v>
      </c>
      <c r="EL1150" s="1" t="s">
        <v>3717</v>
      </c>
      <c r="EM1150" s="1" t="s">
        <v>319</v>
      </c>
      <c r="EN1150" s="1" t="s">
        <v>282</v>
      </c>
      <c r="EO1150" s="1" t="s">
        <v>234</v>
      </c>
      <c r="EQ1150" s="1" t="s">
        <v>1109</v>
      </c>
      <c r="ER1150" s="1" t="s">
        <v>210</v>
      </c>
      <c r="EW1150" s="1" t="s">
        <v>210</v>
      </c>
      <c r="EZ1150" s="1" t="s">
        <v>287</v>
      </c>
      <c r="FD1150" s="1" t="s">
        <v>246</v>
      </c>
      <c r="FE1150" s="1" t="s">
        <v>247</v>
      </c>
      <c r="FF1150" s="1" t="s">
        <v>248</v>
      </c>
      <c r="FH1150" s="1" t="s">
        <v>825</v>
      </c>
      <c r="FL1150" s="1" t="s">
        <v>414</v>
      </c>
      <c r="FM1150" s="1" t="s">
        <v>252</v>
      </c>
      <c r="FN1150" s="1" t="s">
        <v>213</v>
      </c>
      <c r="FO1150" s="1" t="s">
        <v>213</v>
      </c>
      <c r="FQ1150" s="1" t="s">
        <v>329</v>
      </c>
      <c r="FR1150" s="1" t="s">
        <v>210</v>
      </c>
      <c r="FS1150" s="1" t="s">
        <v>1429</v>
      </c>
      <c r="FT1150" s="1" t="s">
        <v>295</v>
      </c>
      <c r="FU1150" s="1" t="s">
        <v>204</v>
      </c>
      <c r="FW1150" s="1" t="s">
        <v>12021</v>
      </c>
      <c r="FX1150" s="1">
        <v>16548</v>
      </c>
      <c r="FY1150" s="1" t="s">
        <v>12022</v>
      </c>
      <c r="FZ1150" s="1" t="s">
        <v>12023</v>
      </c>
      <c r="GA1150" s="1">
        <v>166968</v>
      </c>
      <c r="GB1150" s="1" t="s">
        <v>12024</v>
      </c>
      <c r="GE1150" s="1" t="s">
        <v>210</v>
      </c>
      <c r="GI1150" s="1" t="s">
        <v>204</v>
      </c>
      <c r="GJ1150" s="1" t="s">
        <v>260</v>
      </c>
      <c r="GK1150" s="1" t="s">
        <v>210</v>
      </c>
      <c r="GL1150" s="2">
        <v>42107</v>
      </c>
      <c r="GM1150" s="1" t="s">
        <v>12025</v>
      </c>
    </row>
    <row r="1151" spans="1:195">
      <c r="A1151" s="1">
        <v>135000</v>
      </c>
      <c r="B1151" s="1" t="s">
        <v>195</v>
      </c>
      <c r="C1151" s="1" t="str">
        <f>"08851092"</f>
        <v>08851092</v>
      </c>
      <c r="D1151" s="1" t="s">
        <v>196</v>
      </c>
      <c r="F1151" s="1" t="str">
        <f>"137"</f>
        <v>137</v>
      </c>
      <c r="G1151" s="2">
        <v>42066</v>
      </c>
      <c r="H1151" s="1">
        <v>139900</v>
      </c>
      <c r="I1151" s="1">
        <v>139900</v>
      </c>
      <c r="J1151" s="1">
        <v>135000</v>
      </c>
      <c r="K1151" s="2">
        <v>42066</v>
      </c>
      <c r="L1151" s="1">
        <v>37</v>
      </c>
      <c r="M1151" s="2">
        <v>42102</v>
      </c>
      <c r="N1151" s="1">
        <v>37</v>
      </c>
      <c r="O1151" s="2">
        <v>42102</v>
      </c>
      <c r="P1151" s="1">
        <v>25083</v>
      </c>
      <c r="Q1151" s="1" t="s">
        <v>302</v>
      </c>
      <c r="R1151" s="2">
        <v>42124</v>
      </c>
      <c r="S1151" s="1">
        <v>259593</v>
      </c>
      <c r="U1151" s="1">
        <v>448</v>
      </c>
      <c r="V1151" s="1" t="s">
        <v>1101</v>
      </c>
      <c r="W1151" s="1" t="s">
        <v>304</v>
      </c>
      <c r="X1151" s="1" t="s">
        <v>12026</v>
      </c>
      <c r="Y1151" s="1">
        <v>75</v>
      </c>
      <c r="Z1151" s="1" t="s">
        <v>249</v>
      </c>
      <c r="AA1151" s="1" t="s">
        <v>201</v>
      </c>
      <c r="AB1151" s="1">
        <v>60137</v>
      </c>
      <c r="AD1151" s="1" t="s">
        <v>9381</v>
      </c>
      <c r="AE1151" s="1" t="s">
        <v>12027</v>
      </c>
      <c r="AF1151" s="1">
        <v>1974</v>
      </c>
      <c r="AG1151" s="1" t="s">
        <v>213</v>
      </c>
      <c r="AH1151" s="1" t="s">
        <v>205</v>
      </c>
      <c r="AI1151" s="1" t="s">
        <v>206</v>
      </c>
      <c r="AJ1151" s="1" t="s">
        <v>207</v>
      </c>
      <c r="AK1151" s="1" t="s">
        <v>12028</v>
      </c>
      <c r="AL1151" s="1">
        <v>6</v>
      </c>
      <c r="AM1151" s="1">
        <v>2</v>
      </c>
      <c r="AN1151" s="1">
        <v>2</v>
      </c>
      <c r="AO1151" s="1">
        <v>0</v>
      </c>
      <c r="AP1151" s="1" t="s">
        <v>209</v>
      </c>
      <c r="AR1151" s="1" t="s">
        <v>210</v>
      </c>
      <c r="AT1151" s="1" t="s">
        <v>211</v>
      </c>
      <c r="AU1151" s="1">
        <v>1</v>
      </c>
      <c r="AW1151" s="1" t="s">
        <v>204</v>
      </c>
      <c r="AX1151" s="1" t="s">
        <v>212</v>
      </c>
      <c r="AZ1151" s="1">
        <v>2819.92</v>
      </c>
      <c r="BA1151" s="1">
        <v>2013</v>
      </c>
      <c r="BB1151" s="1" t="s">
        <v>405</v>
      </c>
      <c r="BE1151" s="1">
        <v>1652</v>
      </c>
      <c r="BF1151" s="1">
        <v>5</v>
      </c>
      <c r="BG1151" s="1">
        <v>0</v>
      </c>
      <c r="BJ1151" s="1">
        <v>100</v>
      </c>
      <c r="BL1151" s="1">
        <v>355</v>
      </c>
      <c r="BM1151" s="1" t="s">
        <v>204</v>
      </c>
      <c r="BN1151" s="1" t="s">
        <v>204</v>
      </c>
      <c r="BP1151" s="1" t="s">
        <v>204</v>
      </c>
      <c r="BR1151" s="1" t="str">
        <f>"0523319069"</f>
        <v>0523319069</v>
      </c>
      <c r="BT1151" s="1" t="s">
        <v>12029</v>
      </c>
      <c r="BU1151" s="1" t="s">
        <v>215</v>
      </c>
      <c r="BV1151" s="1" t="s">
        <v>216</v>
      </c>
      <c r="BW1151" s="1" t="s">
        <v>217</v>
      </c>
      <c r="BX1151" s="1">
        <v>89</v>
      </c>
      <c r="BY1151" s="1">
        <v>89</v>
      </c>
      <c r="BZ1151" s="1">
        <v>87</v>
      </c>
      <c r="CB1151" s="1" t="str">
        <f t="shared" ref="CB1151:CC1151" si="889">""</f>
        <v/>
      </c>
      <c r="CC1151" s="1" t="str">
        <f t="shared" si="889"/>
        <v/>
      </c>
      <c r="CD1151" s="1">
        <v>22</v>
      </c>
      <c r="CE1151" s="1">
        <v>1</v>
      </c>
      <c r="CG1151" s="1" t="s">
        <v>8527</v>
      </c>
      <c r="CH1151" s="1" t="s">
        <v>219</v>
      </c>
      <c r="CI1151" s="1" t="s">
        <v>220</v>
      </c>
      <c r="CJ1151" s="1" t="s">
        <v>252</v>
      </c>
      <c r="CK1151" s="1" t="s">
        <v>1004</v>
      </c>
      <c r="CL1151" s="1" t="s">
        <v>219</v>
      </c>
      <c r="CM1151" s="1" t="s">
        <v>220</v>
      </c>
      <c r="CN1151" s="1" t="s">
        <v>252</v>
      </c>
      <c r="CO1151" s="1" t="s">
        <v>465</v>
      </c>
      <c r="CP1151" s="1" t="s">
        <v>219</v>
      </c>
      <c r="CQ1151" s="1" t="s">
        <v>226</v>
      </c>
      <c r="CR1151" s="1" t="s">
        <v>252</v>
      </c>
      <c r="CS1151" s="1" t="s">
        <v>539</v>
      </c>
      <c r="CT1151" s="1" t="s">
        <v>219</v>
      </c>
      <c r="CU1151" s="1" t="s">
        <v>220</v>
      </c>
      <c r="CV1151" s="1" t="s">
        <v>252</v>
      </c>
      <c r="CX1151" s="1" t="s">
        <v>224</v>
      </c>
      <c r="DB1151" s="1" t="s">
        <v>224</v>
      </c>
      <c r="DE1151" s="1" t="s">
        <v>379</v>
      </c>
      <c r="DF1151" s="1" t="s">
        <v>219</v>
      </c>
      <c r="DG1151" s="1" t="s">
        <v>226</v>
      </c>
      <c r="DH1151" s="1" t="s">
        <v>210</v>
      </c>
      <c r="DJ1151" s="1" t="s">
        <v>224</v>
      </c>
      <c r="DM1151" s="1" t="s">
        <v>7771</v>
      </c>
      <c r="DR1151" s="1" t="s">
        <v>379</v>
      </c>
      <c r="DS1151" s="1" t="s">
        <v>219</v>
      </c>
      <c r="DT1151" s="1" t="s">
        <v>220</v>
      </c>
      <c r="DU1151" s="1" t="s">
        <v>210</v>
      </c>
      <c r="DW1151" s="1" t="s">
        <v>230</v>
      </c>
      <c r="EA1151" s="1" t="s">
        <v>230</v>
      </c>
      <c r="EE1151" s="1" t="s">
        <v>230</v>
      </c>
      <c r="EI1151" s="1" t="s">
        <v>230</v>
      </c>
      <c r="EL1151" s="1" t="s">
        <v>605</v>
      </c>
      <c r="EM1151" s="1" t="s">
        <v>232</v>
      </c>
      <c r="EN1151" s="1" t="s">
        <v>282</v>
      </c>
      <c r="EO1151" s="1" t="s">
        <v>234</v>
      </c>
      <c r="EP1151" s="1" t="s">
        <v>12030</v>
      </c>
      <c r="EQ1151" s="1" t="s">
        <v>12031</v>
      </c>
      <c r="ER1151" s="1" t="s">
        <v>210</v>
      </c>
      <c r="ES1151" s="1" t="s">
        <v>545</v>
      </c>
      <c r="EU1151" s="1" t="s">
        <v>239</v>
      </c>
      <c r="EV1151" s="1" t="s">
        <v>324</v>
      </c>
      <c r="EW1151" s="1" t="s">
        <v>1111</v>
      </c>
      <c r="EY1151" s="1" t="s">
        <v>242</v>
      </c>
      <c r="EZ1151" s="1" t="s">
        <v>7771</v>
      </c>
      <c r="FB1151" s="1" t="s">
        <v>289</v>
      </c>
      <c r="FC1151" s="1" t="s">
        <v>633</v>
      </c>
      <c r="FD1151" s="1" t="s">
        <v>1112</v>
      </c>
      <c r="FE1151" s="1" t="s">
        <v>247</v>
      </c>
      <c r="FF1151" s="1" t="s">
        <v>248</v>
      </c>
      <c r="FH1151" s="1" t="s">
        <v>249</v>
      </c>
      <c r="FI1151" s="1" t="s">
        <v>473</v>
      </c>
      <c r="FJ1151" s="1" t="s">
        <v>197</v>
      </c>
      <c r="FL1151" s="1" t="s">
        <v>1073</v>
      </c>
      <c r="FM1151" s="1" t="s">
        <v>252</v>
      </c>
      <c r="FN1151" s="1" t="s">
        <v>213</v>
      </c>
      <c r="FO1151" s="1" t="s">
        <v>213</v>
      </c>
      <c r="FQ1151" s="1" t="s">
        <v>11194</v>
      </c>
      <c r="FR1151" s="1" t="s">
        <v>210</v>
      </c>
      <c r="FS1151" s="1" t="s">
        <v>1429</v>
      </c>
      <c r="FT1151" s="1" t="s">
        <v>520</v>
      </c>
      <c r="FU1151" s="1" t="s">
        <v>204</v>
      </c>
      <c r="FW1151" s="1" t="s">
        <v>915</v>
      </c>
      <c r="FX1151" s="1">
        <v>25088</v>
      </c>
      <c r="FY1151" s="1" t="s">
        <v>1761</v>
      </c>
      <c r="FZ1151" s="1" t="s">
        <v>12032</v>
      </c>
      <c r="GA1151" s="1">
        <v>251884</v>
      </c>
      <c r="GB1151" s="1" t="s">
        <v>12033</v>
      </c>
      <c r="GC1151" s="1">
        <v>254705</v>
      </c>
      <c r="GE1151" s="1" t="s">
        <v>1379</v>
      </c>
      <c r="GI1151" s="1" t="s">
        <v>213</v>
      </c>
      <c r="GJ1151" s="1" t="s">
        <v>260</v>
      </c>
      <c r="GK1151" s="1" t="s">
        <v>210</v>
      </c>
      <c r="GL1151" s="2">
        <v>42124</v>
      </c>
      <c r="GM1151" s="1" t="s">
        <v>12034</v>
      </c>
    </row>
    <row r="1152" spans="1:195">
      <c r="A1152" s="1">
        <v>115000</v>
      </c>
      <c r="B1152" s="1" t="s">
        <v>195</v>
      </c>
      <c r="C1152" s="1" t="str">
        <f>"08848326"</f>
        <v>08848326</v>
      </c>
      <c r="D1152" s="1" t="s">
        <v>196</v>
      </c>
      <c r="F1152" s="1" t="str">
        <f>"61"</f>
        <v>61</v>
      </c>
      <c r="G1152" s="2">
        <v>42062</v>
      </c>
      <c r="H1152" s="1">
        <v>114900</v>
      </c>
      <c r="I1152" s="1">
        <v>114900</v>
      </c>
      <c r="J1152" s="1">
        <v>115000</v>
      </c>
      <c r="K1152" s="2">
        <v>42062</v>
      </c>
      <c r="L1152" s="1">
        <v>8</v>
      </c>
      <c r="M1152" s="2">
        <v>42069</v>
      </c>
      <c r="N1152" s="1">
        <v>8</v>
      </c>
      <c r="O1152" s="2">
        <v>42069</v>
      </c>
      <c r="P1152" s="1">
        <v>6026</v>
      </c>
      <c r="Q1152" s="1" t="s">
        <v>197</v>
      </c>
      <c r="R1152" s="2">
        <v>42108</v>
      </c>
      <c r="S1152" s="1">
        <v>35827</v>
      </c>
      <c r="U1152" s="1">
        <v>1011</v>
      </c>
      <c r="V1152" s="1" t="s">
        <v>12035</v>
      </c>
      <c r="W1152" s="1" t="s">
        <v>304</v>
      </c>
      <c r="X1152" s="1">
        <v>350</v>
      </c>
      <c r="Y1152" s="1">
        <v>4</v>
      </c>
      <c r="Z1152" s="1" t="s">
        <v>370</v>
      </c>
      <c r="AA1152" s="1" t="s">
        <v>505</v>
      </c>
      <c r="AB1152" s="1">
        <v>60061</v>
      </c>
      <c r="AD1152" s="1" t="s">
        <v>4955</v>
      </c>
      <c r="AE1152" s="1" t="s">
        <v>12036</v>
      </c>
      <c r="AF1152" s="1">
        <v>1978</v>
      </c>
      <c r="AG1152" s="1" t="s">
        <v>204</v>
      </c>
      <c r="AH1152" s="1" t="s">
        <v>508</v>
      </c>
      <c r="AI1152" s="1" t="s">
        <v>509</v>
      </c>
      <c r="AJ1152" s="1" t="s">
        <v>1693</v>
      </c>
      <c r="AL1152" s="1">
        <v>5</v>
      </c>
      <c r="AM1152" s="1">
        <v>2</v>
      </c>
      <c r="AN1152" s="1">
        <v>1</v>
      </c>
      <c r="AO1152" s="1">
        <v>0</v>
      </c>
      <c r="AP1152" s="1" t="s">
        <v>210</v>
      </c>
      <c r="AR1152" s="1" t="s">
        <v>210</v>
      </c>
      <c r="AS1152" s="1" t="s">
        <v>204</v>
      </c>
      <c r="AT1152" s="1" t="s">
        <v>211</v>
      </c>
      <c r="AU1152" s="1">
        <v>1</v>
      </c>
      <c r="AW1152" s="1" t="s">
        <v>204</v>
      </c>
      <c r="AX1152" s="1" t="s">
        <v>579</v>
      </c>
      <c r="AZ1152" s="1">
        <v>2830</v>
      </c>
      <c r="BA1152" s="1">
        <v>2013</v>
      </c>
      <c r="BB1152" s="1" t="s">
        <v>405</v>
      </c>
      <c r="BE1152" s="1">
        <v>1050</v>
      </c>
      <c r="BF1152" s="1">
        <v>2</v>
      </c>
      <c r="BG1152" s="1">
        <v>0</v>
      </c>
      <c r="BL1152" s="1">
        <v>185</v>
      </c>
      <c r="BM1152" s="1" t="s">
        <v>204</v>
      </c>
      <c r="BN1152" s="1" t="s">
        <v>213</v>
      </c>
      <c r="BO1152" s="1">
        <v>0</v>
      </c>
      <c r="BP1152" s="1" t="s">
        <v>204</v>
      </c>
      <c r="BR1152" s="1" t="str">
        <f>"11324071150000"</f>
        <v>11324071150000</v>
      </c>
      <c r="BT1152" s="1" t="s">
        <v>12037</v>
      </c>
      <c r="BU1152" s="1" t="s">
        <v>1879</v>
      </c>
      <c r="BV1152" s="1" t="s">
        <v>1880</v>
      </c>
      <c r="BW1152" s="1" t="s">
        <v>514</v>
      </c>
      <c r="BX1152" s="1">
        <v>73</v>
      </c>
      <c r="BY1152" s="1">
        <v>73</v>
      </c>
      <c r="BZ1152" s="1">
        <v>128</v>
      </c>
      <c r="CB1152" s="1" t="str">
        <f t="shared" ref="CB1152:CC1152" si="890">""</f>
        <v/>
      </c>
      <c r="CC1152" s="1" t="str">
        <f t="shared" si="890"/>
        <v/>
      </c>
      <c r="CG1152" s="1" t="s">
        <v>2042</v>
      </c>
      <c r="CH1152" s="1" t="s">
        <v>277</v>
      </c>
      <c r="CI1152" s="1" t="s">
        <v>220</v>
      </c>
      <c r="CK1152" s="1" t="s">
        <v>278</v>
      </c>
      <c r="CL1152" s="1" t="s">
        <v>277</v>
      </c>
      <c r="CM1152" s="1" t="s">
        <v>220</v>
      </c>
      <c r="CO1152" s="1" t="s">
        <v>951</v>
      </c>
      <c r="CP1152" s="1" t="s">
        <v>277</v>
      </c>
      <c r="CQ1152" s="1" t="s">
        <v>220</v>
      </c>
      <c r="CS1152" s="1" t="s">
        <v>379</v>
      </c>
      <c r="CT1152" s="1" t="s">
        <v>277</v>
      </c>
      <c r="CU1152" s="1" t="s">
        <v>220</v>
      </c>
      <c r="CX1152" s="1" t="s">
        <v>224</v>
      </c>
      <c r="DB1152" s="1" t="s">
        <v>224</v>
      </c>
      <c r="DE1152" s="1" t="s">
        <v>951</v>
      </c>
      <c r="DF1152" s="1" t="s">
        <v>277</v>
      </c>
      <c r="DG1152" s="1" t="s">
        <v>342</v>
      </c>
      <c r="DJ1152" s="1" t="s">
        <v>224</v>
      </c>
      <c r="DS1152" s="1" t="s">
        <v>230</v>
      </c>
      <c r="DW1152" s="1" t="s">
        <v>230</v>
      </c>
      <c r="EA1152" s="1" t="s">
        <v>230</v>
      </c>
      <c r="EE1152" s="1" t="s">
        <v>230</v>
      </c>
      <c r="EI1152" s="1" t="s">
        <v>230</v>
      </c>
      <c r="EL1152" s="1" t="s">
        <v>231</v>
      </c>
      <c r="EM1152" s="1" t="s">
        <v>232</v>
      </c>
      <c r="EN1152" s="1" t="s">
        <v>282</v>
      </c>
      <c r="EO1152" s="1" t="s">
        <v>234</v>
      </c>
      <c r="EQ1152" s="1" t="s">
        <v>236</v>
      </c>
      <c r="ER1152" s="1" t="s">
        <v>210</v>
      </c>
      <c r="ES1152" s="1" t="s">
        <v>545</v>
      </c>
      <c r="EV1152" s="1" t="s">
        <v>240</v>
      </c>
      <c r="EW1152" s="1" t="s">
        <v>991</v>
      </c>
      <c r="EZ1152" s="1" t="s">
        <v>287</v>
      </c>
      <c r="FB1152" s="1" t="s">
        <v>289</v>
      </c>
      <c r="FD1152" s="1" t="s">
        <v>888</v>
      </c>
      <c r="FE1152" s="1" t="s">
        <v>386</v>
      </c>
      <c r="FF1152" s="1" t="s">
        <v>248</v>
      </c>
      <c r="FH1152" s="1" t="s">
        <v>825</v>
      </c>
      <c r="FI1152" s="1" t="s">
        <v>473</v>
      </c>
      <c r="FL1152" s="1" t="s">
        <v>358</v>
      </c>
      <c r="FM1152" s="1" t="s">
        <v>252</v>
      </c>
      <c r="FN1152" s="1" t="s">
        <v>213</v>
      </c>
      <c r="FO1152" s="1" t="s">
        <v>213</v>
      </c>
      <c r="FQ1152" s="1" t="s">
        <v>329</v>
      </c>
      <c r="FR1152" s="1" t="s">
        <v>210</v>
      </c>
      <c r="FS1152" s="1" t="s">
        <v>1535</v>
      </c>
      <c r="FT1152" s="1" t="s">
        <v>1408</v>
      </c>
      <c r="FU1152" s="1" t="s">
        <v>204</v>
      </c>
      <c r="FW1152" s="1" t="s">
        <v>256</v>
      </c>
      <c r="FX1152" s="1">
        <v>2648</v>
      </c>
      <c r="FY1152" s="1" t="s">
        <v>1022</v>
      </c>
      <c r="FZ1152" s="1" t="s">
        <v>1023</v>
      </c>
      <c r="GA1152" s="1">
        <v>13380</v>
      </c>
      <c r="GB1152" s="1" t="s">
        <v>1024</v>
      </c>
      <c r="GE1152" s="1" t="s">
        <v>210</v>
      </c>
      <c r="GI1152" s="1" t="s">
        <v>213</v>
      </c>
      <c r="GJ1152" s="1" t="s">
        <v>260</v>
      </c>
      <c r="GK1152" s="1" t="s">
        <v>210</v>
      </c>
      <c r="GL1152" s="2">
        <v>42108</v>
      </c>
      <c r="GM1152" s="1" t="s">
        <v>12038</v>
      </c>
    </row>
    <row r="1153" spans="1:195">
      <c r="A1153" s="1">
        <v>57943</v>
      </c>
      <c r="B1153" s="1" t="s">
        <v>195</v>
      </c>
      <c r="C1153" s="1" t="str">
        <f>"08848425"</f>
        <v>08848425</v>
      </c>
      <c r="D1153" s="1" t="s">
        <v>196</v>
      </c>
      <c r="F1153" s="1" t="str">
        <f>"8042"</f>
        <v>8042</v>
      </c>
      <c r="G1153" s="2">
        <v>42062</v>
      </c>
      <c r="H1153" s="1">
        <v>57900</v>
      </c>
      <c r="I1153" s="1">
        <v>57900</v>
      </c>
      <c r="J1153" s="1">
        <v>57943</v>
      </c>
      <c r="K1153" s="2">
        <v>42062</v>
      </c>
      <c r="L1153" s="1">
        <v>486</v>
      </c>
      <c r="M1153" s="2">
        <v>42131</v>
      </c>
      <c r="N1153" s="1">
        <v>70</v>
      </c>
      <c r="O1153" s="2">
        <v>42131</v>
      </c>
      <c r="P1153" s="1">
        <v>51102</v>
      </c>
      <c r="Q1153" s="1" t="s">
        <v>197</v>
      </c>
      <c r="R1153" s="2">
        <v>42139</v>
      </c>
      <c r="S1153" s="1">
        <v>218861</v>
      </c>
      <c r="U1153" s="1">
        <v>6234</v>
      </c>
      <c r="V1153" s="1" t="s">
        <v>10873</v>
      </c>
      <c r="W1153" s="1" t="s">
        <v>425</v>
      </c>
      <c r="X1153" s="1" t="s">
        <v>11029</v>
      </c>
      <c r="Y1153" s="1">
        <v>12</v>
      </c>
      <c r="Z1153" s="1" t="s">
        <v>249</v>
      </c>
      <c r="AA1153" s="1" t="s">
        <v>400</v>
      </c>
      <c r="AB1153" s="1">
        <v>60637</v>
      </c>
      <c r="AE1153" s="1" t="s">
        <v>12039</v>
      </c>
      <c r="AF1153" s="1" t="s">
        <v>402</v>
      </c>
      <c r="AG1153" s="1" t="s">
        <v>213</v>
      </c>
      <c r="AH1153" s="1" t="s">
        <v>403</v>
      </c>
      <c r="AI1153" s="1" t="s">
        <v>310</v>
      </c>
      <c r="AJ1153" s="1" t="s">
        <v>562</v>
      </c>
      <c r="AL1153" s="1">
        <v>5</v>
      </c>
      <c r="AM1153" s="1">
        <v>2</v>
      </c>
      <c r="AN1153" s="1">
        <v>2</v>
      </c>
      <c r="AO1153" s="1">
        <v>0</v>
      </c>
      <c r="AP1153" s="1" t="s">
        <v>209</v>
      </c>
      <c r="AR1153" s="1" t="s">
        <v>210</v>
      </c>
      <c r="AS1153" s="1" t="s">
        <v>204</v>
      </c>
      <c r="AT1153" s="1" t="s">
        <v>271</v>
      </c>
      <c r="AV1153" s="1">
        <v>1</v>
      </c>
      <c r="AW1153" s="1" t="s">
        <v>204</v>
      </c>
      <c r="AX1153" s="1">
        <v>0</v>
      </c>
      <c r="AZ1153" s="1">
        <v>1721</v>
      </c>
      <c r="BA1153" s="1">
        <v>2013</v>
      </c>
      <c r="BE1153" s="1">
        <v>0</v>
      </c>
      <c r="BF1153" s="1">
        <v>3</v>
      </c>
      <c r="BG1153" s="1">
        <v>1</v>
      </c>
      <c r="BL1153" s="1">
        <v>200</v>
      </c>
      <c r="BM1153" s="1" t="s">
        <v>413</v>
      </c>
      <c r="BN1153" s="1" t="s">
        <v>213</v>
      </c>
      <c r="BO1153" s="1">
        <v>35</v>
      </c>
      <c r="BP1153" s="1" t="s">
        <v>204</v>
      </c>
      <c r="BR1153" s="1" t="str">
        <f>"20144140311012"</f>
        <v>20144140311012</v>
      </c>
      <c r="BT1153" s="1" t="s">
        <v>12040</v>
      </c>
      <c r="BX1153" s="1">
        <v>299</v>
      </c>
      <c r="BY1153" s="1">
        <v>299</v>
      </c>
      <c r="BZ1153" s="1">
        <v>299</v>
      </c>
      <c r="CB1153" s="1" t="str">
        <f t="shared" ref="CB1153:CB1154" si="891">"0"</f>
        <v>0</v>
      </c>
      <c r="CC1153" s="1" t="str">
        <f>"1400"</f>
        <v>1400</v>
      </c>
      <c r="CD1153" s="1">
        <v>0</v>
      </c>
      <c r="CE1153" s="1">
        <v>6234</v>
      </c>
      <c r="CG1153" s="1" t="s">
        <v>6639</v>
      </c>
      <c r="CH1153" s="1" t="s">
        <v>219</v>
      </c>
      <c r="CK1153" s="1" t="s">
        <v>344</v>
      </c>
      <c r="CL1153" s="1" t="s">
        <v>219</v>
      </c>
      <c r="CO1153" s="1" t="s">
        <v>629</v>
      </c>
      <c r="CP1153" s="1" t="s">
        <v>219</v>
      </c>
      <c r="CS1153" s="1" t="s">
        <v>837</v>
      </c>
      <c r="CT1153" s="1" t="s">
        <v>219</v>
      </c>
      <c r="CX1153" s="1" t="s">
        <v>224</v>
      </c>
      <c r="DB1153" s="1" t="s">
        <v>224</v>
      </c>
      <c r="DE1153" s="1" t="s">
        <v>281</v>
      </c>
      <c r="DF1153" s="1" t="s">
        <v>219</v>
      </c>
      <c r="DJ1153" s="1" t="s">
        <v>224</v>
      </c>
      <c r="DS1153" s="1" t="s">
        <v>230</v>
      </c>
      <c r="DW1153" s="1" t="s">
        <v>230</v>
      </c>
      <c r="EA1153" s="1" t="s">
        <v>230</v>
      </c>
      <c r="EE1153" s="1" t="s">
        <v>230</v>
      </c>
      <c r="EI1153" s="1" t="s">
        <v>230</v>
      </c>
      <c r="EL1153" s="1" t="s">
        <v>2154</v>
      </c>
      <c r="EM1153" s="1" t="s">
        <v>730</v>
      </c>
      <c r="EN1153" s="1" t="s">
        <v>282</v>
      </c>
      <c r="EO1153" s="1" t="s">
        <v>234</v>
      </c>
      <c r="ER1153" s="1" t="s">
        <v>210</v>
      </c>
      <c r="EW1153" s="1" t="s">
        <v>9978</v>
      </c>
      <c r="EZ1153" s="1" t="s">
        <v>287</v>
      </c>
      <c r="FD1153" s="1" t="s">
        <v>246</v>
      </c>
      <c r="FE1153" s="1" t="s">
        <v>247</v>
      </c>
      <c r="FF1153" s="1" t="s">
        <v>248</v>
      </c>
      <c r="FH1153" s="1" t="s">
        <v>249</v>
      </c>
      <c r="FK1153" s="1" t="s">
        <v>291</v>
      </c>
      <c r="FL1153" s="1" t="s">
        <v>358</v>
      </c>
      <c r="FM1153" s="1" t="s">
        <v>252</v>
      </c>
      <c r="FN1153" s="1" t="s">
        <v>213</v>
      </c>
      <c r="FO1153" s="1" t="s">
        <v>213</v>
      </c>
      <c r="FQ1153" s="1" t="s">
        <v>689</v>
      </c>
      <c r="FR1153" s="1" t="s">
        <v>210</v>
      </c>
      <c r="FS1153" s="1" t="s">
        <v>1709</v>
      </c>
      <c r="FT1153" s="1" t="s">
        <v>1828</v>
      </c>
      <c r="FU1153" s="1" t="s">
        <v>204</v>
      </c>
      <c r="FW1153" s="1" t="s">
        <v>6737</v>
      </c>
      <c r="FX1153" s="1">
        <v>10646</v>
      </c>
      <c r="FY1153" s="1" t="s">
        <v>6738</v>
      </c>
      <c r="FZ1153" s="1" t="s">
        <v>8181</v>
      </c>
      <c r="GA1153" s="1">
        <v>166674</v>
      </c>
      <c r="GB1153" s="1" t="s">
        <v>8182</v>
      </c>
      <c r="GC1153" s="1">
        <v>130124</v>
      </c>
      <c r="GE1153" s="1" t="s">
        <v>210</v>
      </c>
      <c r="GH1153" s="1" t="s">
        <v>421</v>
      </c>
      <c r="GI1153" s="1" t="s">
        <v>213</v>
      </c>
      <c r="GJ1153" s="1" t="s">
        <v>260</v>
      </c>
      <c r="GK1153" s="1" t="s">
        <v>210</v>
      </c>
      <c r="GL1153" s="2">
        <v>42139</v>
      </c>
      <c r="GM1153" s="1" t="s">
        <v>12041</v>
      </c>
    </row>
    <row r="1154" spans="1:195">
      <c r="A1154" s="1">
        <v>200000</v>
      </c>
      <c r="B1154" s="1" t="s">
        <v>195</v>
      </c>
      <c r="C1154" s="1" t="str">
        <f>"08856506"</f>
        <v>08856506</v>
      </c>
      <c r="D1154" s="1" t="s">
        <v>196</v>
      </c>
      <c r="F1154" s="1" t="str">
        <f>"148"</f>
        <v>148</v>
      </c>
      <c r="G1154" s="2">
        <v>42072</v>
      </c>
      <c r="H1154" s="1">
        <v>205000</v>
      </c>
      <c r="I1154" s="1">
        <v>205000</v>
      </c>
      <c r="J1154" s="1">
        <v>200000</v>
      </c>
      <c r="K1154" s="2">
        <v>42072</v>
      </c>
      <c r="L1154" s="1">
        <v>10</v>
      </c>
      <c r="M1154" s="2">
        <v>42081</v>
      </c>
      <c r="N1154" s="1">
        <v>10</v>
      </c>
      <c r="O1154" s="2">
        <v>42081</v>
      </c>
      <c r="P1154" s="1">
        <v>22076</v>
      </c>
      <c r="Q1154" s="1" t="s">
        <v>197</v>
      </c>
      <c r="R1154" s="2">
        <v>42122</v>
      </c>
      <c r="S1154" s="1">
        <v>225570</v>
      </c>
      <c r="U1154" s="1">
        <v>58</v>
      </c>
      <c r="V1154" s="1" t="s">
        <v>12042</v>
      </c>
      <c r="W1154" s="1" t="s">
        <v>264</v>
      </c>
      <c r="Y1154" s="1">
        <v>6</v>
      </c>
      <c r="Z1154" s="1" t="s">
        <v>370</v>
      </c>
      <c r="AA1154" s="1" t="s">
        <v>1927</v>
      </c>
      <c r="AB1154" s="1">
        <v>60148</v>
      </c>
      <c r="AD1154" s="1" t="s">
        <v>12043</v>
      </c>
      <c r="AE1154" s="1" t="s">
        <v>12044</v>
      </c>
      <c r="AF1154" s="1">
        <v>1995</v>
      </c>
      <c r="AG1154" s="1" t="s">
        <v>204</v>
      </c>
      <c r="AH1154" s="1" t="s">
        <v>1930</v>
      </c>
      <c r="AI1154" s="1" t="s">
        <v>206</v>
      </c>
      <c r="AJ1154" s="1" t="s">
        <v>1608</v>
      </c>
      <c r="AK1154" s="1" t="s">
        <v>12045</v>
      </c>
      <c r="AL1154" s="1">
        <v>5</v>
      </c>
      <c r="AM1154" s="1">
        <v>2</v>
      </c>
      <c r="AN1154" s="1">
        <v>2</v>
      </c>
      <c r="AO1154" s="1">
        <v>1</v>
      </c>
      <c r="AP1154" s="1" t="s">
        <v>209</v>
      </c>
      <c r="AQ1154" s="1">
        <v>1</v>
      </c>
      <c r="AR1154" s="1" t="s">
        <v>210</v>
      </c>
      <c r="AS1154" s="1" t="s">
        <v>204</v>
      </c>
      <c r="AT1154" s="1" t="s">
        <v>211</v>
      </c>
      <c r="AU1154" s="1">
        <v>1</v>
      </c>
      <c r="AW1154" s="1" t="s">
        <v>204</v>
      </c>
      <c r="AX1154" s="1" t="s">
        <v>12046</v>
      </c>
      <c r="AZ1154" s="1">
        <v>3750</v>
      </c>
      <c r="BA1154" s="1">
        <v>2013</v>
      </c>
      <c r="BB1154" s="1" t="s">
        <v>405</v>
      </c>
      <c r="BE1154" s="1">
        <v>1472</v>
      </c>
      <c r="BF1154" s="1">
        <v>1</v>
      </c>
      <c r="BG1154" s="1">
        <v>0</v>
      </c>
      <c r="BL1154" s="1">
        <v>200</v>
      </c>
      <c r="BM1154" s="1" t="s">
        <v>204</v>
      </c>
      <c r="BN1154" s="1" t="s">
        <v>213</v>
      </c>
      <c r="BO1154" s="1">
        <v>100</v>
      </c>
      <c r="BP1154" s="1" t="s">
        <v>204</v>
      </c>
      <c r="BR1154" s="1" t="str">
        <f>"0629109007"</f>
        <v>0629109007</v>
      </c>
      <c r="BT1154" s="1" t="s">
        <v>12047</v>
      </c>
      <c r="BU1154" s="1" t="s">
        <v>1933</v>
      </c>
      <c r="BV1154" s="1" t="s">
        <v>1934</v>
      </c>
      <c r="BW1154" s="1" t="s">
        <v>1935</v>
      </c>
      <c r="BX1154" s="1">
        <v>44</v>
      </c>
      <c r="BY1154" s="1">
        <v>44</v>
      </c>
      <c r="BZ1154" s="1">
        <v>87</v>
      </c>
      <c r="CB1154" s="1" t="str">
        <f t="shared" si="891"/>
        <v>0</v>
      </c>
      <c r="CC1154" s="1" t="str">
        <f>"0"</f>
        <v>0</v>
      </c>
      <c r="CD1154" s="1">
        <v>20</v>
      </c>
      <c r="CE1154" s="1">
        <v>2</v>
      </c>
      <c r="CG1154" s="1" t="s">
        <v>1803</v>
      </c>
      <c r="CH1154" s="1" t="s">
        <v>219</v>
      </c>
      <c r="CI1154" s="1" t="s">
        <v>438</v>
      </c>
      <c r="CJ1154" s="1" t="s">
        <v>252</v>
      </c>
      <c r="CK1154" s="1" t="s">
        <v>228</v>
      </c>
      <c r="CL1154" s="1" t="s">
        <v>277</v>
      </c>
      <c r="CM1154" s="1" t="s">
        <v>438</v>
      </c>
      <c r="CN1154" s="1" t="s">
        <v>252</v>
      </c>
      <c r="CO1154" s="1" t="s">
        <v>629</v>
      </c>
      <c r="CP1154" s="1" t="s">
        <v>219</v>
      </c>
      <c r="CQ1154" s="1" t="s">
        <v>438</v>
      </c>
      <c r="CS1154" s="1" t="s">
        <v>1358</v>
      </c>
      <c r="CT1154" s="1" t="s">
        <v>277</v>
      </c>
      <c r="CU1154" s="1" t="s">
        <v>438</v>
      </c>
      <c r="CV1154" s="1" t="s">
        <v>252</v>
      </c>
      <c r="CX1154" s="1" t="s">
        <v>224</v>
      </c>
      <c r="DB1154" s="1" t="s">
        <v>224</v>
      </c>
      <c r="DE1154" s="1" t="s">
        <v>2138</v>
      </c>
      <c r="DF1154" s="1" t="s">
        <v>219</v>
      </c>
      <c r="DG1154" s="1" t="s">
        <v>226</v>
      </c>
      <c r="DJ1154" s="1" t="s">
        <v>224</v>
      </c>
      <c r="DM1154" s="1" t="s">
        <v>709</v>
      </c>
      <c r="DR1154" s="1" t="s">
        <v>2982</v>
      </c>
      <c r="DS1154" s="1" t="s">
        <v>219</v>
      </c>
      <c r="DT1154" s="1" t="s">
        <v>438</v>
      </c>
      <c r="DU1154" s="1" t="s">
        <v>252</v>
      </c>
      <c r="DW1154" s="1" t="s">
        <v>230</v>
      </c>
      <c r="EA1154" s="1" t="s">
        <v>230</v>
      </c>
      <c r="EE1154" s="1" t="s">
        <v>230</v>
      </c>
      <c r="EI1154" s="1" t="s">
        <v>230</v>
      </c>
      <c r="EL1154" s="1" t="s">
        <v>670</v>
      </c>
      <c r="EM1154" s="1" t="s">
        <v>232</v>
      </c>
      <c r="EN1154" s="1" t="s">
        <v>282</v>
      </c>
      <c r="EO1154" s="1" t="s">
        <v>234</v>
      </c>
      <c r="EQ1154" s="1" t="s">
        <v>468</v>
      </c>
      <c r="ER1154" s="1" t="s">
        <v>383</v>
      </c>
      <c r="ES1154" s="1" t="s">
        <v>545</v>
      </c>
      <c r="EV1154" s="1" t="s">
        <v>240</v>
      </c>
      <c r="EW1154" s="1" t="s">
        <v>353</v>
      </c>
      <c r="EZ1154" s="1" t="s">
        <v>709</v>
      </c>
      <c r="FC1154" s="1" t="s">
        <v>548</v>
      </c>
      <c r="FD1154" s="1" t="s">
        <v>246</v>
      </c>
      <c r="FE1154" s="1" t="s">
        <v>765</v>
      </c>
      <c r="FF1154" s="1" t="s">
        <v>248</v>
      </c>
      <c r="FH1154" s="1" t="s">
        <v>550</v>
      </c>
      <c r="FI1154" s="1" t="s">
        <v>473</v>
      </c>
      <c r="FL1154" s="1" t="s">
        <v>358</v>
      </c>
      <c r="FM1154" s="1" t="s">
        <v>252</v>
      </c>
      <c r="FN1154" s="1" t="s">
        <v>213</v>
      </c>
      <c r="FO1154" s="1" t="s">
        <v>213</v>
      </c>
      <c r="FQ1154" s="1" t="s">
        <v>2870</v>
      </c>
      <c r="FR1154" s="1" t="s">
        <v>210</v>
      </c>
      <c r="FS1154" s="1" t="s">
        <v>7212</v>
      </c>
      <c r="FT1154" s="1" t="s">
        <v>295</v>
      </c>
      <c r="FU1154" s="1" t="s">
        <v>204</v>
      </c>
      <c r="FW1154" s="1" t="s">
        <v>585</v>
      </c>
      <c r="FX1154" s="1">
        <v>25003</v>
      </c>
      <c r="FY1154" s="1" t="s">
        <v>1330</v>
      </c>
      <c r="FZ1154" s="1" t="s">
        <v>12048</v>
      </c>
      <c r="GA1154" s="1">
        <v>235962</v>
      </c>
      <c r="GB1154" s="1" t="s">
        <v>12049</v>
      </c>
      <c r="GE1154" s="1" t="s">
        <v>210</v>
      </c>
      <c r="GI1154" s="1" t="s">
        <v>213</v>
      </c>
      <c r="GJ1154" s="1" t="s">
        <v>260</v>
      </c>
      <c r="GK1154" s="1" t="s">
        <v>210</v>
      </c>
      <c r="GL1154" s="2">
        <v>42123</v>
      </c>
      <c r="GM1154" s="1" t="s">
        <v>12050</v>
      </c>
    </row>
    <row r="1155" spans="1:195">
      <c r="A1155" s="1">
        <v>115000</v>
      </c>
      <c r="B1155" s="1" t="s">
        <v>195</v>
      </c>
      <c r="C1155" s="1" t="str">
        <f>"08850555"</f>
        <v>08850555</v>
      </c>
      <c r="D1155" s="1" t="s">
        <v>196</v>
      </c>
      <c r="F1155" s="1" t="str">
        <f>"507"</f>
        <v>507</v>
      </c>
      <c r="G1155" s="2">
        <v>42065</v>
      </c>
      <c r="H1155" s="1">
        <v>110000</v>
      </c>
      <c r="I1155" s="1">
        <v>110000</v>
      </c>
      <c r="J1155" s="1">
        <v>115000</v>
      </c>
      <c r="K1155" s="2">
        <v>42062</v>
      </c>
      <c r="L1155" s="1">
        <v>23</v>
      </c>
      <c r="M1155" s="2">
        <v>42084</v>
      </c>
      <c r="N1155" s="1">
        <v>23</v>
      </c>
      <c r="O1155" s="2">
        <v>42084</v>
      </c>
      <c r="P1155" s="1">
        <v>357</v>
      </c>
      <c r="Q1155" s="1" t="s">
        <v>302</v>
      </c>
      <c r="R1155" s="2">
        <v>42124</v>
      </c>
      <c r="S1155" s="1">
        <v>884</v>
      </c>
      <c r="U1155" s="1">
        <v>1730</v>
      </c>
      <c r="V1155" s="1" t="s">
        <v>12051</v>
      </c>
      <c r="W1155" s="1" t="s">
        <v>199</v>
      </c>
      <c r="X1155" s="1" t="s">
        <v>12052</v>
      </c>
      <c r="Y1155" s="1">
        <v>34</v>
      </c>
      <c r="Z1155" s="1" t="s">
        <v>370</v>
      </c>
      <c r="AA1155" s="1" t="s">
        <v>1123</v>
      </c>
      <c r="AB1155" s="1">
        <v>60506</v>
      </c>
      <c r="AE1155" s="1" t="s">
        <v>12053</v>
      </c>
      <c r="AF1155" s="1">
        <v>1974</v>
      </c>
      <c r="AG1155" s="1" t="s">
        <v>213</v>
      </c>
      <c r="AH1155" s="1" t="s">
        <v>1126</v>
      </c>
      <c r="AI1155" s="1" t="s">
        <v>665</v>
      </c>
      <c r="AJ1155" s="1" t="s">
        <v>1126</v>
      </c>
      <c r="AL1155" s="1">
        <v>6</v>
      </c>
      <c r="AM1155" s="1">
        <v>2</v>
      </c>
      <c r="AN1155" s="1">
        <v>2</v>
      </c>
      <c r="AO1155" s="1">
        <v>0</v>
      </c>
      <c r="AP1155" s="1" t="s">
        <v>209</v>
      </c>
      <c r="AR1155" s="1" t="s">
        <v>210</v>
      </c>
      <c r="AS1155" s="1" t="s">
        <v>204</v>
      </c>
      <c r="AT1155" s="1" t="s">
        <v>211</v>
      </c>
      <c r="AU1155" s="1">
        <v>1</v>
      </c>
      <c r="AW1155" s="1" t="s">
        <v>204</v>
      </c>
      <c r="AX1155" s="1" t="s">
        <v>12054</v>
      </c>
      <c r="AZ1155" s="1">
        <v>3493.84</v>
      </c>
      <c r="BA1155" s="1">
        <v>2013</v>
      </c>
      <c r="BB1155" s="1" t="s">
        <v>599</v>
      </c>
      <c r="BE1155" s="1">
        <v>1425</v>
      </c>
      <c r="BF1155" s="1">
        <v>3</v>
      </c>
      <c r="BG1155" s="1">
        <v>30</v>
      </c>
      <c r="BL1155" s="1">
        <v>290</v>
      </c>
      <c r="BM1155" s="1" t="s">
        <v>204</v>
      </c>
      <c r="BN1155" s="1" t="s">
        <v>204</v>
      </c>
      <c r="BP1155" s="1" t="s">
        <v>204</v>
      </c>
      <c r="BR1155" s="1" t="str">
        <f>"1520151037"</f>
        <v>1520151037</v>
      </c>
      <c r="BT1155" s="1" t="s">
        <v>12055</v>
      </c>
      <c r="BX1155" s="1">
        <v>129</v>
      </c>
      <c r="BY1155" s="1">
        <v>129</v>
      </c>
      <c r="BZ1155" s="1">
        <v>129</v>
      </c>
      <c r="CB1155" s="1" t="str">
        <f t="shared" ref="CB1155:CC1155" si="892">""</f>
        <v/>
      </c>
      <c r="CC1155" s="1" t="str">
        <f t="shared" si="892"/>
        <v/>
      </c>
      <c r="CG1155" s="1" t="s">
        <v>861</v>
      </c>
      <c r="CH1155" s="1" t="s">
        <v>219</v>
      </c>
      <c r="CI1155" s="1" t="s">
        <v>220</v>
      </c>
      <c r="CJ1155" s="1" t="s">
        <v>252</v>
      </c>
      <c r="CK1155" s="1" t="s">
        <v>437</v>
      </c>
      <c r="CL1155" s="1" t="s">
        <v>219</v>
      </c>
      <c r="CM1155" s="1" t="s">
        <v>220</v>
      </c>
      <c r="CN1155" s="1" t="s">
        <v>252</v>
      </c>
      <c r="CO1155" s="1" t="s">
        <v>346</v>
      </c>
      <c r="CP1155" s="1" t="s">
        <v>219</v>
      </c>
      <c r="CQ1155" s="1" t="s">
        <v>220</v>
      </c>
      <c r="CS1155" s="1" t="s">
        <v>317</v>
      </c>
      <c r="CT1155" s="1" t="s">
        <v>219</v>
      </c>
      <c r="CU1155" s="1" t="s">
        <v>220</v>
      </c>
      <c r="CX1155" s="1" t="s">
        <v>224</v>
      </c>
      <c r="DB1155" s="1" t="s">
        <v>224</v>
      </c>
      <c r="DE1155" s="1" t="s">
        <v>2031</v>
      </c>
      <c r="DF1155" s="1" t="s">
        <v>219</v>
      </c>
      <c r="DI1155" s="1" t="s">
        <v>602</v>
      </c>
      <c r="DJ1155" s="1" t="s">
        <v>219</v>
      </c>
      <c r="DK1155" s="1" t="s">
        <v>220</v>
      </c>
      <c r="DL1155" s="1" t="s">
        <v>252</v>
      </c>
      <c r="DS1155" s="1" t="s">
        <v>230</v>
      </c>
      <c r="DW1155" s="1" t="s">
        <v>230</v>
      </c>
      <c r="EA1155" s="1" t="s">
        <v>230</v>
      </c>
      <c r="EE1155" s="1" t="s">
        <v>230</v>
      </c>
      <c r="EI1155" s="1" t="s">
        <v>230</v>
      </c>
      <c r="EL1155" s="1" t="s">
        <v>605</v>
      </c>
      <c r="EM1155" s="1" t="s">
        <v>319</v>
      </c>
      <c r="EN1155" s="1" t="s">
        <v>282</v>
      </c>
      <c r="EO1155" s="1" t="s">
        <v>234</v>
      </c>
      <c r="EQ1155" s="1" t="s">
        <v>1094</v>
      </c>
      <c r="ER1155" s="1" t="s">
        <v>210</v>
      </c>
      <c r="ES1155" s="1" t="s">
        <v>4437</v>
      </c>
      <c r="EW1155" s="1" t="s">
        <v>12056</v>
      </c>
      <c r="EZ1155" s="1" t="s">
        <v>287</v>
      </c>
      <c r="FD1155" s="1" t="s">
        <v>1112</v>
      </c>
      <c r="FE1155" s="1" t="s">
        <v>247</v>
      </c>
      <c r="FF1155" s="1" t="s">
        <v>248</v>
      </c>
      <c r="FH1155" s="1" t="s">
        <v>249</v>
      </c>
      <c r="FL1155" s="1" t="s">
        <v>358</v>
      </c>
      <c r="FM1155" s="1" t="s">
        <v>252</v>
      </c>
      <c r="FN1155" s="1" t="s">
        <v>213</v>
      </c>
      <c r="FO1155" s="1" t="s">
        <v>213</v>
      </c>
      <c r="FQ1155" s="1" t="s">
        <v>849</v>
      </c>
      <c r="FR1155" s="1" t="s">
        <v>210</v>
      </c>
      <c r="FS1155" s="1" t="s">
        <v>12057</v>
      </c>
      <c r="FT1155" s="1" t="s">
        <v>12058</v>
      </c>
      <c r="FU1155" s="1" t="s">
        <v>204</v>
      </c>
      <c r="FW1155" s="1" t="s">
        <v>2093</v>
      </c>
      <c r="FX1155" s="1">
        <v>31580</v>
      </c>
      <c r="FY1155" s="1" t="s">
        <v>2094</v>
      </c>
      <c r="FZ1155" s="1" t="s">
        <v>12059</v>
      </c>
      <c r="GA1155" s="1">
        <v>315831</v>
      </c>
      <c r="GB1155" s="1" t="s">
        <v>12060</v>
      </c>
      <c r="GE1155" s="1" t="s">
        <v>623</v>
      </c>
      <c r="GH1155" s="1" t="s">
        <v>589</v>
      </c>
      <c r="GI1155" s="1" t="s">
        <v>213</v>
      </c>
      <c r="GJ1155" s="1" t="s">
        <v>260</v>
      </c>
      <c r="GK1155" s="1" t="s">
        <v>210</v>
      </c>
      <c r="GL1155" s="2">
        <v>42128</v>
      </c>
    </row>
    <row r="1156" spans="1:195">
      <c r="A1156" s="1">
        <v>14000</v>
      </c>
      <c r="B1156" s="1" t="s">
        <v>195</v>
      </c>
      <c r="C1156" s="1" t="str">
        <f>"08854679"</f>
        <v>08854679</v>
      </c>
      <c r="D1156" s="1" t="s">
        <v>196</v>
      </c>
      <c r="F1156" s="1" t="str">
        <f>"8043"</f>
        <v>8043</v>
      </c>
      <c r="G1156" s="2">
        <v>42069</v>
      </c>
      <c r="H1156" s="1">
        <v>15500</v>
      </c>
      <c r="I1156" s="1">
        <v>15500</v>
      </c>
      <c r="J1156" s="1">
        <v>14000</v>
      </c>
      <c r="K1156" s="2">
        <v>42069</v>
      </c>
      <c r="L1156" s="1">
        <v>42</v>
      </c>
      <c r="M1156" s="2">
        <v>42110</v>
      </c>
      <c r="N1156" s="1">
        <v>42</v>
      </c>
      <c r="O1156" s="2">
        <v>42110</v>
      </c>
      <c r="P1156" s="1">
        <v>24073</v>
      </c>
      <c r="Q1156" s="1" t="s">
        <v>302</v>
      </c>
      <c r="R1156" s="2">
        <v>42111</v>
      </c>
      <c r="S1156" s="1">
        <v>607441</v>
      </c>
      <c r="U1156" s="1">
        <v>7011</v>
      </c>
      <c r="V1156" s="1" t="s">
        <v>12061</v>
      </c>
      <c r="W1156" s="1" t="s">
        <v>425</v>
      </c>
      <c r="X1156" s="1" t="s">
        <v>483</v>
      </c>
      <c r="Y1156" s="1">
        <v>8</v>
      </c>
      <c r="Z1156" s="1" t="s">
        <v>200</v>
      </c>
      <c r="AA1156" s="1" t="s">
        <v>400</v>
      </c>
      <c r="AB1156" s="1">
        <v>60649</v>
      </c>
      <c r="AE1156" s="1" t="s">
        <v>12062</v>
      </c>
      <c r="AF1156" s="1">
        <v>1962</v>
      </c>
      <c r="AG1156" s="1" t="s">
        <v>213</v>
      </c>
      <c r="AH1156" s="1" t="s">
        <v>403</v>
      </c>
      <c r="AI1156" s="1" t="s">
        <v>310</v>
      </c>
      <c r="AJ1156" s="1" t="s">
        <v>562</v>
      </c>
      <c r="AL1156" s="1">
        <v>5</v>
      </c>
      <c r="AM1156" s="1">
        <v>2</v>
      </c>
      <c r="AN1156" s="1">
        <v>1</v>
      </c>
      <c r="AO1156" s="1">
        <v>1</v>
      </c>
      <c r="AP1156" s="1" t="s">
        <v>210</v>
      </c>
      <c r="AR1156" s="1" t="s">
        <v>209</v>
      </c>
      <c r="AS1156" s="1" t="s">
        <v>204</v>
      </c>
      <c r="AT1156" s="1" t="s">
        <v>210</v>
      </c>
      <c r="AW1156" s="1" t="s">
        <v>204</v>
      </c>
      <c r="AX1156" s="1" t="s">
        <v>212</v>
      </c>
      <c r="AZ1156" s="1">
        <v>1259</v>
      </c>
      <c r="BA1156" s="1">
        <v>2013</v>
      </c>
      <c r="BB1156" s="1" t="s">
        <v>210</v>
      </c>
      <c r="BE1156" s="1">
        <v>955</v>
      </c>
      <c r="BF1156" s="1">
        <v>1</v>
      </c>
      <c r="BG1156" s="1">
        <v>0</v>
      </c>
      <c r="BL1156" s="1">
        <v>0</v>
      </c>
      <c r="BM1156" s="1" t="s">
        <v>204</v>
      </c>
      <c r="BN1156" s="1" t="s">
        <v>213</v>
      </c>
      <c r="BO1156" s="1">
        <v>999</v>
      </c>
      <c r="BP1156" s="1" t="s">
        <v>204</v>
      </c>
      <c r="BR1156" s="1" t="str">
        <f>"20243250490000"</f>
        <v>20243250490000</v>
      </c>
      <c r="BT1156" s="1" t="s">
        <v>12063</v>
      </c>
      <c r="BX1156" s="1">
        <v>299</v>
      </c>
      <c r="BY1156" s="1">
        <v>299</v>
      </c>
      <c r="BZ1156" s="1">
        <v>299</v>
      </c>
      <c r="CB1156" s="1" t="str">
        <f t="shared" ref="CB1156:CB1157" si="893">"0"</f>
        <v>0</v>
      </c>
      <c r="CC1156" s="1" t="str">
        <f>"1700"</f>
        <v>1700</v>
      </c>
      <c r="CD1156" s="1">
        <v>0</v>
      </c>
      <c r="CE1156" s="1">
        <v>7011</v>
      </c>
      <c r="CG1156" s="1" t="s">
        <v>315</v>
      </c>
      <c r="CH1156" s="1" t="s">
        <v>219</v>
      </c>
      <c r="CK1156" s="1" t="s">
        <v>378</v>
      </c>
      <c r="CL1156" s="1" t="s">
        <v>277</v>
      </c>
      <c r="CP1156" s="1" t="s">
        <v>224</v>
      </c>
      <c r="CS1156" s="1" t="s">
        <v>378</v>
      </c>
      <c r="CT1156" s="1" t="s">
        <v>277</v>
      </c>
      <c r="CX1156" s="1" t="s">
        <v>224</v>
      </c>
      <c r="DB1156" s="1" t="s">
        <v>224</v>
      </c>
      <c r="DE1156" s="1" t="s">
        <v>222</v>
      </c>
      <c r="DF1156" s="1" t="s">
        <v>219</v>
      </c>
      <c r="DI1156" s="1" t="s">
        <v>1004</v>
      </c>
      <c r="DJ1156" s="1" t="s">
        <v>822</v>
      </c>
      <c r="DM1156" s="1" t="s">
        <v>2278</v>
      </c>
      <c r="DR1156" s="1" t="s">
        <v>461</v>
      </c>
      <c r="DS1156" s="1" t="s">
        <v>822</v>
      </c>
      <c r="DW1156" s="1" t="s">
        <v>230</v>
      </c>
      <c r="EA1156" s="1" t="s">
        <v>230</v>
      </c>
      <c r="EE1156" s="1" t="s">
        <v>230</v>
      </c>
      <c r="EI1156" s="1" t="s">
        <v>230</v>
      </c>
      <c r="EL1156" s="1" t="s">
        <v>649</v>
      </c>
      <c r="EM1156" s="1" t="s">
        <v>232</v>
      </c>
      <c r="EN1156" s="1" t="s">
        <v>210</v>
      </c>
      <c r="EO1156" s="1" t="s">
        <v>234</v>
      </c>
      <c r="ER1156" s="1" t="s">
        <v>544</v>
      </c>
      <c r="EW1156" s="1" t="s">
        <v>210</v>
      </c>
      <c r="EZ1156" s="1" t="s">
        <v>2278</v>
      </c>
      <c r="FD1156" s="1" t="s">
        <v>246</v>
      </c>
      <c r="FE1156" s="1" t="s">
        <v>247</v>
      </c>
      <c r="FF1156" s="1" t="s">
        <v>248</v>
      </c>
      <c r="FH1156" s="1" t="s">
        <v>550</v>
      </c>
      <c r="FJ1156" s="1" t="s">
        <v>2046</v>
      </c>
      <c r="FL1156" s="1" t="s">
        <v>328</v>
      </c>
      <c r="FM1156" s="1" t="s">
        <v>252</v>
      </c>
      <c r="FN1156" s="1" t="s">
        <v>213</v>
      </c>
      <c r="FO1156" s="1" t="s">
        <v>213</v>
      </c>
      <c r="FQ1156" s="1" t="s">
        <v>12064</v>
      </c>
      <c r="FR1156" s="1" t="s">
        <v>210</v>
      </c>
      <c r="FS1156" s="1" t="s">
        <v>12065</v>
      </c>
      <c r="FT1156" s="1" t="s">
        <v>362</v>
      </c>
      <c r="FU1156" s="1" t="s">
        <v>204</v>
      </c>
      <c r="FW1156" s="1" t="s">
        <v>8579</v>
      </c>
      <c r="FX1156" s="1">
        <v>16734</v>
      </c>
      <c r="FY1156" s="1" t="s">
        <v>8580</v>
      </c>
      <c r="FZ1156" s="1" t="s">
        <v>12066</v>
      </c>
      <c r="GA1156" s="1">
        <v>607441</v>
      </c>
      <c r="GB1156" s="1" t="s">
        <v>12067</v>
      </c>
      <c r="GE1156" s="1" t="s">
        <v>210</v>
      </c>
      <c r="GH1156" s="1" t="s">
        <v>421</v>
      </c>
      <c r="GI1156" s="1" t="s">
        <v>213</v>
      </c>
      <c r="GJ1156" s="1" t="s">
        <v>260</v>
      </c>
      <c r="GK1156" s="1" t="s">
        <v>210</v>
      </c>
      <c r="GL1156" s="2">
        <v>42111</v>
      </c>
      <c r="GM1156" s="1" t="s">
        <v>12068</v>
      </c>
    </row>
    <row r="1157" spans="1:195">
      <c r="A1157" s="1">
        <v>136000</v>
      </c>
      <c r="B1157" s="1" t="s">
        <v>195</v>
      </c>
      <c r="C1157" s="1" t="str">
        <f>"08856238"</f>
        <v>08856238</v>
      </c>
      <c r="D1157" s="1" t="s">
        <v>196</v>
      </c>
      <c r="F1157" s="1" t="str">
        <f>"516"</f>
        <v>516</v>
      </c>
      <c r="G1157" s="2">
        <v>42072</v>
      </c>
      <c r="H1157" s="1">
        <v>149900</v>
      </c>
      <c r="I1157" s="1">
        <v>149900</v>
      </c>
      <c r="J1157" s="1">
        <v>136000</v>
      </c>
      <c r="K1157" s="2">
        <v>42072</v>
      </c>
      <c r="L1157" s="1">
        <v>25</v>
      </c>
      <c r="M1157" s="2">
        <v>42096</v>
      </c>
      <c r="N1157" s="1">
        <v>25</v>
      </c>
      <c r="O1157" s="2">
        <v>42096</v>
      </c>
      <c r="P1157" s="1">
        <v>16390</v>
      </c>
      <c r="Q1157" s="1" t="s">
        <v>197</v>
      </c>
      <c r="R1157" s="2">
        <v>42137</v>
      </c>
      <c r="S1157" s="1">
        <v>841079</v>
      </c>
      <c r="U1157" s="1">
        <v>101</v>
      </c>
      <c r="V1157" s="1" t="s">
        <v>11351</v>
      </c>
      <c r="W1157" s="1" t="s">
        <v>264</v>
      </c>
      <c r="X1157" s="1">
        <v>108</v>
      </c>
      <c r="Y1157" s="1">
        <v>20</v>
      </c>
      <c r="Z1157" s="1" t="s">
        <v>249</v>
      </c>
      <c r="AA1157" s="1" t="s">
        <v>1417</v>
      </c>
      <c r="AB1157" s="1">
        <v>60527</v>
      </c>
      <c r="AD1157" s="1" t="s">
        <v>12069</v>
      </c>
      <c r="AE1157" s="1" t="s">
        <v>12070</v>
      </c>
      <c r="AF1157" s="1">
        <v>1980</v>
      </c>
      <c r="AG1157" s="1" t="s">
        <v>204</v>
      </c>
      <c r="AH1157" s="1" t="s">
        <v>1419</v>
      </c>
      <c r="AI1157" s="1" t="s">
        <v>206</v>
      </c>
      <c r="AJ1157" s="1" t="s">
        <v>903</v>
      </c>
      <c r="AK1157" s="1" t="s">
        <v>270</v>
      </c>
      <c r="AL1157" s="1">
        <v>5</v>
      </c>
      <c r="AM1157" s="1">
        <v>2</v>
      </c>
      <c r="AN1157" s="1">
        <v>2</v>
      </c>
      <c r="AO1157" s="1">
        <v>0</v>
      </c>
      <c r="AP1157" s="1" t="s">
        <v>209</v>
      </c>
      <c r="AR1157" s="1" t="s">
        <v>210</v>
      </c>
      <c r="AS1157" s="1" t="s">
        <v>204</v>
      </c>
      <c r="AT1157" s="1" t="s">
        <v>211</v>
      </c>
      <c r="AU1157" s="1">
        <v>1</v>
      </c>
      <c r="AW1157" s="1" t="s">
        <v>213</v>
      </c>
      <c r="AX1157" s="1" t="s">
        <v>1265</v>
      </c>
      <c r="AZ1157" s="1">
        <v>1426</v>
      </c>
      <c r="BA1157" s="1">
        <v>2013</v>
      </c>
      <c r="BB1157" s="1" t="s">
        <v>599</v>
      </c>
      <c r="BE1157" s="1">
        <v>1171</v>
      </c>
      <c r="BF1157" s="1">
        <v>1</v>
      </c>
      <c r="BG1157" s="1">
        <v>30</v>
      </c>
      <c r="BJ1157" s="1">
        <v>100</v>
      </c>
      <c r="BL1157" s="1">
        <v>466</v>
      </c>
      <c r="BM1157" s="1" t="s">
        <v>204</v>
      </c>
      <c r="BN1157" s="1" t="s">
        <v>213</v>
      </c>
      <c r="BO1157" s="1">
        <v>25</v>
      </c>
      <c r="BP1157" s="1" t="s">
        <v>204</v>
      </c>
      <c r="BR1157" s="1" t="str">
        <f>"0923109007"</f>
        <v>0923109007</v>
      </c>
      <c r="BT1157" s="1" t="s">
        <v>12071</v>
      </c>
      <c r="BU1157" s="1" t="s">
        <v>2980</v>
      </c>
      <c r="BV1157" s="1" t="s">
        <v>2981</v>
      </c>
      <c r="BW1157" s="1" t="s">
        <v>1546</v>
      </c>
      <c r="BX1157" s="1">
        <v>60</v>
      </c>
      <c r="BY1157" s="1">
        <v>60</v>
      </c>
      <c r="BZ1157" s="1">
        <v>86</v>
      </c>
      <c r="CB1157" s="1" t="str">
        <f t="shared" si="893"/>
        <v>0</v>
      </c>
      <c r="CC1157" s="1" t="str">
        <f>"0"</f>
        <v>0</v>
      </c>
      <c r="CD1157" s="1">
        <v>16</v>
      </c>
      <c r="CE1157" s="1">
        <v>7</v>
      </c>
      <c r="CG1157" s="1" t="s">
        <v>314</v>
      </c>
      <c r="CH1157" s="1" t="s">
        <v>219</v>
      </c>
      <c r="CI1157" s="1" t="s">
        <v>220</v>
      </c>
      <c r="CJ1157" s="1" t="s">
        <v>463</v>
      </c>
      <c r="CK1157" s="1" t="s">
        <v>708</v>
      </c>
      <c r="CL1157" s="1" t="s">
        <v>219</v>
      </c>
      <c r="CM1157" s="1" t="s">
        <v>220</v>
      </c>
      <c r="CN1157" s="1" t="s">
        <v>252</v>
      </c>
      <c r="CO1157" s="1" t="s">
        <v>2231</v>
      </c>
      <c r="CP1157" s="1" t="s">
        <v>219</v>
      </c>
      <c r="CQ1157" s="1" t="s">
        <v>220</v>
      </c>
      <c r="CR1157" s="1" t="s">
        <v>210</v>
      </c>
      <c r="CS1157" s="1" t="s">
        <v>379</v>
      </c>
      <c r="CT1157" s="1" t="s">
        <v>219</v>
      </c>
      <c r="CU1157" s="1" t="s">
        <v>220</v>
      </c>
      <c r="CV1157" s="1" t="s">
        <v>252</v>
      </c>
      <c r="CX1157" s="1" t="s">
        <v>224</v>
      </c>
      <c r="DB1157" s="1" t="s">
        <v>224</v>
      </c>
      <c r="DE1157" s="1" t="s">
        <v>3872</v>
      </c>
      <c r="DF1157" s="1" t="s">
        <v>219</v>
      </c>
      <c r="DG1157" s="1" t="s">
        <v>342</v>
      </c>
      <c r="DH1157" s="1" t="s">
        <v>343</v>
      </c>
      <c r="DJ1157" s="1" t="s">
        <v>224</v>
      </c>
      <c r="DS1157" s="1" t="s">
        <v>230</v>
      </c>
      <c r="DW1157" s="1" t="s">
        <v>230</v>
      </c>
      <c r="EA1157" s="1" t="s">
        <v>230</v>
      </c>
      <c r="EE1157" s="1" t="s">
        <v>230</v>
      </c>
      <c r="EI1157" s="1" t="s">
        <v>230</v>
      </c>
      <c r="EL1157" s="1" t="s">
        <v>231</v>
      </c>
      <c r="EM1157" s="1" t="s">
        <v>232</v>
      </c>
      <c r="EN1157" s="1" t="s">
        <v>282</v>
      </c>
      <c r="EO1157" s="1" t="s">
        <v>234</v>
      </c>
      <c r="EP1157" s="1" t="s">
        <v>12072</v>
      </c>
      <c r="EQ1157" s="1" t="s">
        <v>492</v>
      </c>
      <c r="ER1157" s="1" t="s">
        <v>210</v>
      </c>
      <c r="ES1157" s="1" t="s">
        <v>322</v>
      </c>
      <c r="EU1157" s="1" t="s">
        <v>239</v>
      </c>
      <c r="EV1157" s="1" t="s">
        <v>240</v>
      </c>
      <c r="EW1157" s="1" t="s">
        <v>12073</v>
      </c>
      <c r="EY1157" s="1" t="s">
        <v>242</v>
      </c>
      <c r="EZ1157" s="1" t="s">
        <v>287</v>
      </c>
      <c r="FB1157" s="1" t="s">
        <v>244</v>
      </c>
      <c r="FC1157" s="1" t="s">
        <v>548</v>
      </c>
      <c r="FD1157" s="1" t="s">
        <v>246</v>
      </c>
      <c r="FE1157" s="1" t="s">
        <v>247</v>
      </c>
      <c r="FF1157" s="1" t="s">
        <v>248</v>
      </c>
      <c r="FH1157" s="1" t="s">
        <v>249</v>
      </c>
      <c r="FI1157" s="1" t="s">
        <v>1114</v>
      </c>
      <c r="FJ1157" s="1" t="s">
        <v>197</v>
      </c>
      <c r="FL1157" s="1" t="s">
        <v>358</v>
      </c>
      <c r="FM1157" s="1" t="s">
        <v>252</v>
      </c>
      <c r="FN1157" s="1" t="s">
        <v>213</v>
      </c>
      <c r="FO1157" s="1" t="s">
        <v>213</v>
      </c>
      <c r="FQ1157" s="1" t="s">
        <v>2607</v>
      </c>
      <c r="FR1157" s="1" t="s">
        <v>652</v>
      </c>
      <c r="FS1157" s="1" t="s">
        <v>443</v>
      </c>
      <c r="FT1157" s="1" t="s">
        <v>362</v>
      </c>
      <c r="FU1157" s="1" t="s">
        <v>204</v>
      </c>
      <c r="FW1157" s="1" t="s">
        <v>915</v>
      </c>
      <c r="FX1157" s="1">
        <v>60119</v>
      </c>
      <c r="FY1157" s="1" t="s">
        <v>7996</v>
      </c>
      <c r="FZ1157" s="1" t="s">
        <v>12074</v>
      </c>
      <c r="GA1157" s="1">
        <v>605301</v>
      </c>
      <c r="GB1157" s="1" t="s">
        <v>12075</v>
      </c>
      <c r="GE1157" s="1" t="s">
        <v>210</v>
      </c>
      <c r="GI1157" s="1" t="s">
        <v>213</v>
      </c>
      <c r="GJ1157" s="1" t="s">
        <v>260</v>
      </c>
      <c r="GK1157" s="1" t="s">
        <v>210</v>
      </c>
      <c r="GL1157" s="2">
        <v>42137</v>
      </c>
      <c r="GM1157" s="1" t="s">
        <v>12076</v>
      </c>
    </row>
    <row r="1158" spans="1:195">
      <c r="A1158" s="1">
        <v>105000</v>
      </c>
      <c r="B1158" s="1" t="s">
        <v>195</v>
      </c>
      <c r="C1158" s="1" t="str">
        <f>"08844564"</f>
        <v>08844564</v>
      </c>
      <c r="D1158" s="1" t="s">
        <v>196</v>
      </c>
      <c r="F1158" s="1" t="str">
        <f>"507"</f>
        <v>507</v>
      </c>
      <c r="G1158" s="2">
        <v>42058</v>
      </c>
      <c r="H1158" s="1">
        <v>119000</v>
      </c>
      <c r="I1158" s="1">
        <v>119000</v>
      </c>
      <c r="J1158" s="1">
        <v>105000</v>
      </c>
      <c r="K1158" s="2">
        <v>42058</v>
      </c>
      <c r="L1158" s="1">
        <v>13</v>
      </c>
      <c r="M1158" s="2">
        <v>42070</v>
      </c>
      <c r="N1158" s="1">
        <v>13</v>
      </c>
      <c r="O1158" s="2">
        <v>42070</v>
      </c>
      <c r="P1158" s="1">
        <v>31580</v>
      </c>
      <c r="Q1158" s="1" t="s">
        <v>197</v>
      </c>
      <c r="R1158" s="2">
        <v>42118</v>
      </c>
      <c r="S1158" s="1">
        <v>311010</v>
      </c>
      <c r="U1158" s="1">
        <v>1730</v>
      </c>
      <c r="V1158" s="1" t="s">
        <v>12051</v>
      </c>
      <c r="W1158" s="1" t="s">
        <v>199</v>
      </c>
      <c r="X1158" s="1">
        <v>102</v>
      </c>
      <c r="Y1158" s="1">
        <v>34</v>
      </c>
      <c r="Z1158" s="1" t="s">
        <v>370</v>
      </c>
      <c r="AA1158" s="1" t="s">
        <v>1123</v>
      </c>
      <c r="AB1158" s="1">
        <v>60506</v>
      </c>
      <c r="AE1158" s="1" t="s">
        <v>12077</v>
      </c>
      <c r="AF1158" s="1">
        <v>1973</v>
      </c>
      <c r="AG1158" s="1" t="s">
        <v>213</v>
      </c>
      <c r="AH1158" s="1" t="s">
        <v>1126</v>
      </c>
      <c r="AI1158" s="1" t="s">
        <v>665</v>
      </c>
      <c r="AJ1158" s="1" t="s">
        <v>1126</v>
      </c>
      <c r="AL1158" s="1">
        <v>6</v>
      </c>
      <c r="AM1158" s="1">
        <v>2</v>
      </c>
      <c r="AN1158" s="1">
        <v>2</v>
      </c>
      <c r="AO1158" s="1">
        <v>0</v>
      </c>
      <c r="AP1158" s="1" t="s">
        <v>209</v>
      </c>
      <c r="AR1158" s="1" t="s">
        <v>210</v>
      </c>
      <c r="AS1158" s="1" t="s">
        <v>204</v>
      </c>
      <c r="AT1158" s="1" t="s">
        <v>211</v>
      </c>
      <c r="AU1158" s="1">
        <v>1</v>
      </c>
      <c r="AW1158" s="1" t="s">
        <v>204</v>
      </c>
      <c r="AX1158" s="1" t="s">
        <v>270</v>
      </c>
      <c r="AZ1158" s="1">
        <v>3375.86</v>
      </c>
      <c r="BA1158" s="1">
        <v>2013</v>
      </c>
      <c r="BB1158" s="1" t="s">
        <v>599</v>
      </c>
      <c r="BE1158" s="1">
        <v>1425</v>
      </c>
      <c r="BF1158" s="1">
        <v>1</v>
      </c>
      <c r="BG1158" s="1">
        <v>30</v>
      </c>
      <c r="BL1158" s="1">
        <v>290</v>
      </c>
      <c r="BM1158" s="1" t="s">
        <v>204</v>
      </c>
      <c r="BN1158" s="1" t="s">
        <v>204</v>
      </c>
      <c r="BP1158" s="1" t="s">
        <v>204</v>
      </c>
      <c r="BR1158" s="1" t="str">
        <f>"1520151017"</f>
        <v>1520151017</v>
      </c>
      <c r="BT1158" s="1" t="s">
        <v>12078</v>
      </c>
      <c r="BX1158" s="1">
        <v>129</v>
      </c>
      <c r="BY1158" s="1">
        <v>129</v>
      </c>
      <c r="BZ1158" s="1">
        <v>129</v>
      </c>
      <c r="CB1158" s="1" t="str">
        <f t="shared" ref="CB1158:CC1158" si="894">""</f>
        <v/>
      </c>
      <c r="CC1158" s="1" t="str">
        <f t="shared" si="894"/>
        <v/>
      </c>
      <c r="CG1158" s="1" t="s">
        <v>861</v>
      </c>
      <c r="CH1158" s="1" t="s">
        <v>219</v>
      </c>
      <c r="CI1158" s="1" t="s">
        <v>220</v>
      </c>
      <c r="CJ1158" s="1" t="s">
        <v>252</v>
      </c>
      <c r="CK1158" s="1" t="s">
        <v>437</v>
      </c>
      <c r="CL1158" s="1" t="s">
        <v>219</v>
      </c>
      <c r="CM1158" s="1" t="s">
        <v>220</v>
      </c>
      <c r="CN1158" s="1" t="s">
        <v>252</v>
      </c>
      <c r="CO1158" s="1" t="s">
        <v>346</v>
      </c>
      <c r="CP1158" s="1" t="s">
        <v>219</v>
      </c>
      <c r="CQ1158" s="1" t="s">
        <v>220</v>
      </c>
      <c r="CS1158" s="1" t="s">
        <v>317</v>
      </c>
      <c r="CT1158" s="1" t="s">
        <v>219</v>
      </c>
      <c r="CU1158" s="1" t="s">
        <v>220</v>
      </c>
      <c r="CV1158" s="1" t="s">
        <v>252</v>
      </c>
      <c r="CX1158" s="1" t="s">
        <v>224</v>
      </c>
      <c r="DB1158" s="1" t="s">
        <v>224</v>
      </c>
      <c r="DE1158" s="1" t="s">
        <v>2031</v>
      </c>
      <c r="DF1158" s="1" t="s">
        <v>219</v>
      </c>
      <c r="DG1158" s="1" t="s">
        <v>229</v>
      </c>
      <c r="DH1158" s="1" t="s">
        <v>252</v>
      </c>
      <c r="DI1158" s="1" t="s">
        <v>602</v>
      </c>
      <c r="DJ1158" s="1" t="s">
        <v>219</v>
      </c>
      <c r="DK1158" s="1" t="s">
        <v>220</v>
      </c>
      <c r="DL1158" s="1" t="s">
        <v>252</v>
      </c>
      <c r="DS1158" s="1" t="s">
        <v>230</v>
      </c>
      <c r="DW1158" s="1" t="s">
        <v>230</v>
      </c>
      <c r="EA1158" s="1" t="s">
        <v>230</v>
      </c>
      <c r="EE1158" s="1" t="s">
        <v>230</v>
      </c>
      <c r="EI1158" s="1" t="s">
        <v>230</v>
      </c>
      <c r="EL1158" s="1" t="s">
        <v>605</v>
      </c>
      <c r="EM1158" s="1" t="s">
        <v>319</v>
      </c>
      <c r="EN1158" s="1" t="s">
        <v>282</v>
      </c>
      <c r="EO1158" s="1" t="s">
        <v>234</v>
      </c>
      <c r="EQ1158" s="1" t="s">
        <v>1094</v>
      </c>
      <c r="ER1158" s="1" t="s">
        <v>210</v>
      </c>
      <c r="ES1158" s="1" t="s">
        <v>4437</v>
      </c>
      <c r="EW1158" s="1" t="s">
        <v>12056</v>
      </c>
      <c r="EZ1158" s="1" t="s">
        <v>287</v>
      </c>
      <c r="FB1158" s="1" t="s">
        <v>734</v>
      </c>
      <c r="FD1158" s="1" t="s">
        <v>1112</v>
      </c>
      <c r="FE1158" s="1" t="s">
        <v>247</v>
      </c>
      <c r="FF1158" s="1" t="s">
        <v>248</v>
      </c>
      <c r="FH1158" s="1" t="s">
        <v>249</v>
      </c>
      <c r="FL1158" s="1" t="s">
        <v>358</v>
      </c>
      <c r="FM1158" s="1" t="s">
        <v>252</v>
      </c>
      <c r="FN1158" s="1" t="s">
        <v>213</v>
      </c>
      <c r="FO1158" s="1" t="s">
        <v>213</v>
      </c>
      <c r="FQ1158" s="1" t="s">
        <v>673</v>
      </c>
      <c r="FR1158" s="1" t="s">
        <v>210</v>
      </c>
      <c r="FS1158" s="1" t="s">
        <v>12079</v>
      </c>
      <c r="FT1158" s="1" t="s">
        <v>295</v>
      </c>
      <c r="FU1158" s="1" t="s">
        <v>204</v>
      </c>
      <c r="FW1158" s="1" t="s">
        <v>2093</v>
      </c>
      <c r="FX1158" s="1">
        <v>31580</v>
      </c>
      <c r="FY1158" s="1" t="s">
        <v>2094</v>
      </c>
      <c r="FZ1158" s="1" t="s">
        <v>12059</v>
      </c>
      <c r="GA1158" s="1">
        <v>315831</v>
      </c>
      <c r="GB1158" s="1" t="s">
        <v>12060</v>
      </c>
      <c r="GE1158" s="1" t="s">
        <v>623</v>
      </c>
      <c r="GH1158" s="1" t="s">
        <v>589</v>
      </c>
      <c r="GI1158" s="1" t="s">
        <v>213</v>
      </c>
      <c r="GJ1158" s="1" t="s">
        <v>260</v>
      </c>
      <c r="GK1158" s="1" t="s">
        <v>210</v>
      </c>
      <c r="GL1158" s="2">
        <v>42118</v>
      </c>
    </row>
    <row r="1159" spans="1:195">
      <c r="A1159" s="1">
        <v>226000</v>
      </c>
      <c r="B1159" s="1" t="s">
        <v>195</v>
      </c>
      <c r="C1159" s="1" t="str">
        <f>"08845098"</f>
        <v>08845098</v>
      </c>
      <c r="D1159" s="1" t="s">
        <v>196</v>
      </c>
      <c r="F1159" s="1" t="str">
        <f>"528"</f>
        <v>528</v>
      </c>
      <c r="G1159" s="2">
        <v>42058</v>
      </c>
      <c r="H1159" s="1">
        <v>239900</v>
      </c>
      <c r="I1159" s="1">
        <v>239900</v>
      </c>
      <c r="J1159" s="1">
        <v>226000</v>
      </c>
      <c r="K1159" s="2">
        <v>42057</v>
      </c>
      <c r="L1159" s="1">
        <v>149</v>
      </c>
      <c r="M1159" s="2">
        <v>42095</v>
      </c>
      <c r="N1159" s="1">
        <v>39</v>
      </c>
      <c r="O1159" s="2">
        <v>42095</v>
      </c>
      <c r="P1159" s="1">
        <v>349</v>
      </c>
      <c r="Q1159" s="1" t="s">
        <v>197</v>
      </c>
      <c r="R1159" s="2">
        <v>42124</v>
      </c>
      <c r="S1159" s="1">
        <v>8766</v>
      </c>
      <c r="U1159" s="1">
        <v>912</v>
      </c>
      <c r="V1159" s="1" t="s">
        <v>12080</v>
      </c>
      <c r="W1159" s="1" t="s">
        <v>725</v>
      </c>
      <c r="X1159" s="1">
        <v>912</v>
      </c>
      <c r="Y1159" s="1">
        <v>16</v>
      </c>
      <c r="Z1159" s="1" t="s">
        <v>249</v>
      </c>
      <c r="AA1159" s="1" t="s">
        <v>12081</v>
      </c>
      <c r="AB1159" s="1">
        <v>60525</v>
      </c>
      <c r="AE1159" s="1" t="s">
        <v>12082</v>
      </c>
      <c r="AF1159" s="1">
        <v>1988</v>
      </c>
      <c r="AG1159" s="1" t="s">
        <v>204</v>
      </c>
      <c r="AH1159" s="1" t="s">
        <v>12083</v>
      </c>
      <c r="AI1159" s="1" t="s">
        <v>310</v>
      </c>
      <c r="AJ1159" s="1" t="s">
        <v>702</v>
      </c>
      <c r="AL1159" s="1">
        <v>6</v>
      </c>
      <c r="AM1159" s="1">
        <v>2</v>
      </c>
      <c r="AN1159" s="1">
        <v>2</v>
      </c>
      <c r="AO1159" s="1">
        <v>0</v>
      </c>
      <c r="AP1159" s="1" t="s">
        <v>209</v>
      </c>
      <c r="AR1159" s="1" t="s">
        <v>209</v>
      </c>
      <c r="AS1159" s="1" t="s">
        <v>204</v>
      </c>
      <c r="AT1159" s="1" t="s">
        <v>375</v>
      </c>
      <c r="AU1159" s="1">
        <v>1</v>
      </c>
      <c r="AV1159" s="1">
        <v>2</v>
      </c>
      <c r="AW1159" s="1" t="s">
        <v>204</v>
      </c>
      <c r="AX1159" s="1" t="s">
        <v>212</v>
      </c>
      <c r="AZ1159" s="1">
        <v>2036</v>
      </c>
      <c r="BA1159" s="1">
        <v>2013</v>
      </c>
      <c r="BB1159" s="1" t="s">
        <v>3996</v>
      </c>
      <c r="BE1159" s="1">
        <v>1381</v>
      </c>
      <c r="BF1159" s="1">
        <v>1</v>
      </c>
      <c r="BG1159" s="1">
        <v>10</v>
      </c>
      <c r="BL1159" s="1">
        <v>170</v>
      </c>
      <c r="BM1159" s="1" t="s">
        <v>204</v>
      </c>
      <c r="BN1159" s="1" t="s">
        <v>213</v>
      </c>
      <c r="BO1159" s="1">
        <v>999</v>
      </c>
      <c r="BP1159" s="1" t="s">
        <v>204</v>
      </c>
      <c r="BR1159" s="1" t="str">
        <f>"18172070101003"</f>
        <v>18172070101003</v>
      </c>
      <c r="BT1159" s="1" t="s">
        <v>12084</v>
      </c>
      <c r="BU1159" s="1" t="s">
        <v>2495</v>
      </c>
      <c r="BV1159" s="1" t="s">
        <v>2496</v>
      </c>
      <c r="BW1159" s="1" t="s">
        <v>706</v>
      </c>
      <c r="BX1159" s="1">
        <v>106</v>
      </c>
      <c r="BY1159" s="1">
        <v>106</v>
      </c>
      <c r="BZ1159" s="1">
        <v>204</v>
      </c>
      <c r="CB1159" s="1" t="str">
        <f t="shared" ref="CB1159:CC1159" si="895">""</f>
        <v/>
      </c>
      <c r="CC1159" s="1" t="str">
        <f t="shared" si="895"/>
        <v/>
      </c>
      <c r="CG1159" s="1" t="s">
        <v>314</v>
      </c>
      <c r="CH1159" s="1" t="s">
        <v>219</v>
      </c>
      <c r="CI1159" s="1" t="s">
        <v>5665</v>
      </c>
      <c r="CJ1159" s="1" t="s">
        <v>343</v>
      </c>
      <c r="CK1159" s="1" t="s">
        <v>539</v>
      </c>
      <c r="CL1159" s="1" t="s">
        <v>277</v>
      </c>
      <c r="CM1159" s="1" t="s">
        <v>220</v>
      </c>
      <c r="CN1159" s="1" t="s">
        <v>343</v>
      </c>
      <c r="CO1159" s="1" t="s">
        <v>629</v>
      </c>
      <c r="CP1159" s="1" t="s">
        <v>219</v>
      </c>
      <c r="CQ1159" s="1" t="s">
        <v>5665</v>
      </c>
      <c r="CR1159" s="1" t="s">
        <v>210</v>
      </c>
      <c r="CS1159" s="1" t="s">
        <v>378</v>
      </c>
      <c r="CT1159" s="1" t="s">
        <v>219</v>
      </c>
      <c r="CU1159" s="1" t="s">
        <v>220</v>
      </c>
      <c r="CV1159" s="1" t="s">
        <v>343</v>
      </c>
      <c r="CX1159" s="1" t="s">
        <v>224</v>
      </c>
      <c r="DB1159" s="1" t="s">
        <v>224</v>
      </c>
      <c r="DE1159" s="1" t="s">
        <v>786</v>
      </c>
      <c r="DF1159" s="1" t="s">
        <v>219</v>
      </c>
      <c r="DJ1159" s="1" t="s">
        <v>224</v>
      </c>
      <c r="DM1159" s="1" t="s">
        <v>464</v>
      </c>
      <c r="DR1159" s="1" t="s">
        <v>465</v>
      </c>
      <c r="DS1159" s="1" t="s">
        <v>277</v>
      </c>
      <c r="DT1159" s="1" t="s">
        <v>220</v>
      </c>
      <c r="DW1159" s="1" t="s">
        <v>230</v>
      </c>
      <c r="EA1159" s="1" t="s">
        <v>230</v>
      </c>
      <c r="EE1159" s="1" t="s">
        <v>230</v>
      </c>
      <c r="EI1159" s="1" t="s">
        <v>230</v>
      </c>
      <c r="EL1159" s="1" t="s">
        <v>542</v>
      </c>
      <c r="EM1159" s="1" t="s">
        <v>232</v>
      </c>
      <c r="EN1159" s="1" t="s">
        <v>282</v>
      </c>
      <c r="EO1159" s="1" t="s">
        <v>234</v>
      </c>
      <c r="EQ1159" s="1" t="s">
        <v>1439</v>
      </c>
      <c r="ER1159" s="1" t="s">
        <v>1249</v>
      </c>
      <c r="ES1159" s="1" t="s">
        <v>493</v>
      </c>
      <c r="EU1159" s="1" t="s">
        <v>239</v>
      </c>
      <c r="EV1159" s="1" t="s">
        <v>240</v>
      </c>
      <c r="EW1159" s="1" t="s">
        <v>887</v>
      </c>
      <c r="EZ1159" s="1" t="s">
        <v>464</v>
      </c>
      <c r="FD1159" s="1" t="s">
        <v>246</v>
      </c>
      <c r="FE1159" s="1" t="s">
        <v>549</v>
      </c>
      <c r="FF1159" s="1" t="s">
        <v>248</v>
      </c>
      <c r="FH1159" s="1" t="s">
        <v>550</v>
      </c>
      <c r="FI1159" s="1" t="s">
        <v>357</v>
      </c>
      <c r="FK1159" s="1" t="s">
        <v>1136</v>
      </c>
      <c r="FL1159" s="1" t="s">
        <v>358</v>
      </c>
      <c r="FM1159" s="1" t="s">
        <v>252</v>
      </c>
      <c r="FN1159" s="1" t="s">
        <v>213</v>
      </c>
      <c r="FO1159" s="1" t="s">
        <v>213</v>
      </c>
      <c r="FQ1159" s="1" t="s">
        <v>2700</v>
      </c>
      <c r="FR1159" s="1" t="s">
        <v>210</v>
      </c>
      <c r="FS1159" s="1" t="s">
        <v>12085</v>
      </c>
      <c r="FT1159" s="1" t="s">
        <v>295</v>
      </c>
      <c r="FU1159" s="1" t="s">
        <v>204</v>
      </c>
      <c r="FW1159" s="1" t="s">
        <v>915</v>
      </c>
      <c r="FX1159" s="1">
        <v>22205</v>
      </c>
      <c r="FY1159" s="1" t="s">
        <v>2484</v>
      </c>
      <c r="FZ1159" s="1" t="s">
        <v>12086</v>
      </c>
      <c r="GA1159" s="1">
        <v>223740</v>
      </c>
      <c r="GB1159" s="1" t="s">
        <v>12087</v>
      </c>
      <c r="GE1159" s="1" t="s">
        <v>210</v>
      </c>
      <c r="GH1159" s="1" t="s">
        <v>589</v>
      </c>
      <c r="GI1159" s="1" t="s">
        <v>204</v>
      </c>
      <c r="GJ1159" s="1" t="s">
        <v>260</v>
      </c>
      <c r="GK1159" s="1" t="s">
        <v>210</v>
      </c>
      <c r="GL1159" s="2">
        <v>42128</v>
      </c>
    </row>
    <row r="1160" spans="1:195">
      <c r="A1160" s="1">
        <v>98000</v>
      </c>
      <c r="B1160" s="1" t="s">
        <v>195</v>
      </c>
      <c r="C1160" s="1" t="str">
        <f>"08845637"</f>
        <v>08845637</v>
      </c>
      <c r="D1160" s="1" t="s">
        <v>196</v>
      </c>
      <c r="F1160" s="1" t="str">
        <f>"507"</f>
        <v>507</v>
      </c>
      <c r="G1160" s="2">
        <v>42059</v>
      </c>
      <c r="H1160" s="1">
        <v>94800</v>
      </c>
      <c r="I1160" s="1">
        <v>94800</v>
      </c>
      <c r="J1160" s="1">
        <v>98000</v>
      </c>
      <c r="K1160" s="2">
        <v>42059</v>
      </c>
      <c r="L1160" s="1">
        <v>16</v>
      </c>
      <c r="M1160" s="2">
        <v>42074</v>
      </c>
      <c r="N1160" s="1">
        <v>16</v>
      </c>
      <c r="O1160" s="2">
        <v>42074</v>
      </c>
      <c r="P1160" s="1">
        <v>605</v>
      </c>
      <c r="Q1160" s="1" t="s">
        <v>197</v>
      </c>
      <c r="R1160" s="2">
        <v>42144</v>
      </c>
      <c r="S1160" s="1">
        <v>7561</v>
      </c>
      <c r="U1160" s="1">
        <v>843</v>
      </c>
      <c r="V1160" s="1" t="s">
        <v>12088</v>
      </c>
      <c r="W1160" s="1" t="s">
        <v>264</v>
      </c>
      <c r="X1160" s="1">
        <v>843</v>
      </c>
      <c r="Y1160" s="1">
        <v>2</v>
      </c>
      <c r="Z1160" s="1" t="s">
        <v>370</v>
      </c>
      <c r="AA1160" s="1" t="s">
        <v>1123</v>
      </c>
      <c r="AB1160" s="1">
        <v>60504</v>
      </c>
      <c r="AE1160" s="1" t="s">
        <v>12089</v>
      </c>
      <c r="AF1160" s="1">
        <v>2002</v>
      </c>
      <c r="AG1160" s="1" t="s">
        <v>204</v>
      </c>
      <c r="AH1160" s="1" t="s">
        <v>1126</v>
      </c>
      <c r="AI1160" s="1" t="s">
        <v>665</v>
      </c>
      <c r="AJ1160" s="1" t="s">
        <v>1126</v>
      </c>
      <c r="AL1160" s="1">
        <v>5</v>
      </c>
      <c r="AM1160" s="1">
        <v>2</v>
      </c>
      <c r="AN1160" s="1">
        <v>1</v>
      </c>
      <c r="AO1160" s="1">
        <v>1</v>
      </c>
      <c r="AP1160" s="1" t="s">
        <v>210</v>
      </c>
      <c r="AR1160" s="1" t="s">
        <v>210</v>
      </c>
      <c r="AS1160" s="1" t="s">
        <v>204</v>
      </c>
      <c r="AT1160" s="1" t="s">
        <v>211</v>
      </c>
      <c r="AU1160" s="1">
        <v>2</v>
      </c>
      <c r="AW1160" s="1" t="s">
        <v>204</v>
      </c>
      <c r="AX1160" s="1" t="s">
        <v>212</v>
      </c>
      <c r="AZ1160" s="1">
        <v>1443</v>
      </c>
      <c r="BA1160" s="1">
        <v>2013</v>
      </c>
      <c r="BE1160" s="1">
        <v>1194</v>
      </c>
      <c r="BF1160" s="1">
        <v>1</v>
      </c>
      <c r="BG1160" s="1">
        <v>0</v>
      </c>
      <c r="BL1160" s="1">
        <v>187</v>
      </c>
      <c r="BM1160" s="1" t="s">
        <v>413</v>
      </c>
      <c r="BN1160" s="1" t="s">
        <v>213</v>
      </c>
      <c r="BO1160" s="1">
        <v>0</v>
      </c>
      <c r="BP1160" s="1" t="s">
        <v>204</v>
      </c>
      <c r="BR1160" s="1" t="str">
        <f>"1525358025"</f>
        <v>1525358025</v>
      </c>
      <c r="BT1160" s="1" t="s">
        <v>12090</v>
      </c>
      <c r="BX1160" s="1">
        <v>131</v>
      </c>
      <c r="BY1160" s="1">
        <v>131</v>
      </c>
      <c r="BZ1160" s="1">
        <v>131</v>
      </c>
      <c r="CB1160" s="1" t="str">
        <f t="shared" ref="CB1160:CC1160" si="896">""</f>
        <v/>
      </c>
      <c r="CC1160" s="1" t="str">
        <f t="shared" si="896"/>
        <v/>
      </c>
      <c r="CG1160" s="1" t="s">
        <v>344</v>
      </c>
      <c r="CH1160" s="1" t="s">
        <v>219</v>
      </c>
      <c r="CK1160" s="1" t="s">
        <v>539</v>
      </c>
      <c r="CL1160" s="1" t="s">
        <v>277</v>
      </c>
      <c r="CO1160" s="1" t="s">
        <v>539</v>
      </c>
      <c r="CP1160" s="1" t="s">
        <v>219</v>
      </c>
      <c r="CS1160" s="1" t="s">
        <v>348</v>
      </c>
      <c r="CT1160" s="1" t="s">
        <v>277</v>
      </c>
      <c r="CX1160" s="1" t="s">
        <v>224</v>
      </c>
      <c r="DB1160" s="1" t="s">
        <v>224</v>
      </c>
      <c r="DE1160" s="1" t="s">
        <v>316</v>
      </c>
      <c r="DF1160" s="1" t="s">
        <v>219</v>
      </c>
      <c r="DJ1160" s="1" t="s">
        <v>224</v>
      </c>
      <c r="DS1160" s="1" t="s">
        <v>230</v>
      </c>
      <c r="DW1160" s="1" t="s">
        <v>230</v>
      </c>
      <c r="EA1160" s="1" t="s">
        <v>230</v>
      </c>
      <c r="EE1160" s="1" t="s">
        <v>230</v>
      </c>
      <c r="EI1160" s="1" t="s">
        <v>230</v>
      </c>
      <c r="EL1160" s="1" t="s">
        <v>466</v>
      </c>
      <c r="EM1160" s="1" t="s">
        <v>319</v>
      </c>
      <c r="EN1160" s="1" t="s">
        <v>282</v>
      </c>
      <c r="EO1160" s="1" t="s">
        <v>234</v>
      </c>
      <c r="ER1160" s="1" t="s">
        <v>210</v>
      </c>
      <c r="EW1160" s="1" t="s">
        <v>347</v>
      </c>
      <c r="EZ1160" s="1" t="s">
        <v>287</v>
      </c>
      <c r="FD1160" s="1" t="s">
        <v>1649</v>
      </c>
      <c r="FE1160" s="1" t="s">
        <v>496</v>
      </c>
      <c r="FF1160" s="1" t="s">
        <v>248</v>
      </c>
      <c r="FH1160" s="1" t="s">
        <v>550</v>
      </c>
      <c r="FL1160" s="1" t="s">
        <v>358</v>
      </c>
      <c r="FM1160" s="1" t="s">
        <v>252</v>
      </c>
      <c r="FN1160" s="1" t="s">
        <v>213</v>
      </c>
      <c r="FO1160" s="1" t="s">
        <v>213</v>
      </c>
      <c r="FQ1160" s="1" t="s">
        <v>689</v>
      </c>
      <c r="FR1160" s="1" t="s">
        <v>210</v>
      </c>
      <c r="FS1160" s="1" t="s">
        <v>2541</v>
      </c>
      <c r="FT1160" s="1" t="s">
        <v>654</v>
      </c>
      <c r="FU1160" s="1" t="s">
        <v>204</v>
      </c>
      <c r="FW1160" s="1" t="s">
        <v>4399</v>
      </c>
      <c r="FX1160" s="1">
        <v>8698</v>
      </c>
      <c r="FY1160" s="1" t="s">
        <v>4400</v>
      </c>
      <c r="FZ1160" s="1" t="s">
        <v>4401</v>
      </c>
      <c r="GA1160" s="1">
        <v>85273</v>
      </c>
      <c r="GB1160" s="1" t="s">
        <v>4400</v>
      </c>
      <c r="GE1160" s="1" t="s">
        <v>210</v>
      </c>
      <c r="GI1160" s="1" t="s">
        <v>204</v>
      </c>
      <c r="GJ1160" s="1" t="s">
        <v>260</v>
      </c>
      <c r="GK1160" s="1" t="s">
        <v>210</v>
      </c>
      <c r="GL1160" s="2">
        <v>42144</v>
      </c>
      <c r="GM1160" s="1" t="s">
        <v>12091</v>
      </c>
    </row>
    <row r="1161" spans="1:195">
      <c r="A1161" s="1">
        <v>72000</v>
      </c>
      <c r="B1161" s="1" t="s">
        <v>195</v>
      </c>
      <c r="C1161" s="1" t="str">
        <f>"08845581"</f>
        <v>08845581</v>
      </c>
      <c r="D1161" s="1" t="s">
        <v>196</v>
      </c>
      <c r="F1161" s="1" t="str">
        <f>"560"</f>
        <v>560</v>
      </c>
      <c r="G1161" s="2">
        <v>42059</v>
      </c>
      <c r="H1161" s="1">
        <v>74477</v>
      </c>
      <c r="I1161" s="1">
        <v>74477</v>
      </c>
      <c r="J1161" s="1">
        <v>72000</v>
      </c>
      <c r="K1161" s="2">
        <v>42058</v>
      </c>
      <c r="L1161" s="1">
        <v>8</v>
      </c>
      <c r="M1161" s="2">
        <v>42065</v>
      </c>
      <c r="N1161" s="1">
        <v>8</v>
      </c>
      <c r="O1161" s="2">
        <v>42065</v>
      </c>
      <c r="P1161" s="1">
        <v>300</v>
      </c>
      <c r="Q1161" s="1" t="s">
        <v>302</v>
      </c>
      <c r="R1161" s="2">
        <v>42076</v>
      </c>
      <c r="S1161" s="1">
        <v>300914</v>
      </c>
      <c r="U1161" s="1">
        <v>106</v>
      </c>
      <c r="V1161" s="1" t="s">
        <v>12092</v>
      </c>
      <c r="W1161" s="1" t="s">
        <v>4046</v>
      </c>
      <c r="X1161" s="1" t="s">
        <v>483</v>
      </c>
      <c r="Y1161" s="1">
        <v>4</v>
      </c>
      <c r="Z1161" s="1" t="s">
        <v>200</v>
      </c>
      <c r="AA1161" s="1" t="s">
        <v>484</v>
      </c>
      <c r="AB1161" s="1">
        <v>60560</v>
      </c>
      <c r="AE1161" s="1" t="s">
        <v>12093</v>
      </c>
      <c r="AF1161" s="1" t="s">
        <v>402</v>
      </c>
      <c r="AG1161" s="1" t="s">
        <v>204</v>
      </c>
      <c r="AH1161" s="1" t="s">
        <v>487</v>
      </c>
      <c r="AI1161" s="1" t="s">
        <v>453</v>
      </c>
      <c r="AJ1161" s="1" t="s">
        <v>9630</v>
      </c>
      <c r="AL1161" s="1">
        <v>6</v>
      </c>
      <c r="AM1161" s="1">
        <v>2</v>
      </c>
      <c r="AN1161" s="1">
        <v>1</v>
      </c>
      <c r="AO1161" s="1">
        <v>1</v>
      </c>
      <c r="AP1161" s="1" t="s">
        <v>210</v>
      </c>
      <c r="AR1161" s="1" t="s">
        <v>209</v>
      </c>
      <c r="AS1161" s="1" t="s">
        <v>204</v>
      </c>
      <c r="AT1161" s="1" t="s">
        <v>271</v>
      </c>
      <c r="AV1161" s="1">
        <v>2</v>
      </c>
      <c r="AW1161" s="1" t="s">
        <v>204</v>
      </c>
      <c r="AX1161" s="1" t="s">
        <v>212</v>
      </c>
      <c r="AZ1161" s="1">
        <v>3170</v>
      </c>
      <c r="BA1161" s="1">
        <v>2013</v>
      </c>
      <c r="BB1161" s="1" t="s">
        <v>210</v>
      </c>
      <c r="BE1161" s="1">
        <v>950</v>
      </c>
      <c r="BF1161" s="1">
        <v>1</v>
      </c>
      <c r="BG1161" s="1">
        <v>0</v>
      </c>
      <c r="BL1161" s="1">
        <v>65</v>
      </c>
      <c r="BM1161" s="1" t="s">
        <v>204</v>
      </c>
      <c r="BN1161" s="1" t="s">
        <v>213</v>
      </c>
      <c r="BO1161" s="1">
        <v>999</v>
      </c>
      <c r="BP1161" s="1" t="s">
        <v>204</v>
      </c>
      <c r="BR1161" s="1" t="str">
        <f>"0505228010"</f>
        <v>0505228010</v>
      </c>
      <c r="BT1161" s="1" t="s">
        <v>12094</v>
      </c>
      <c r="BX1161" s="1">
        <v>115</v>
      </c>
      <c r="BY1161" s="1">
        <v>115</v>
      </c>
      <c r="BZ1161" s="1">
        <v>115</v>
      </c>
      <c r="CB1161" s="1" t="str">
        <f>"36"</f>
        <v>36</v>
      </c>
      <c r="CC1161" s="1" t="str">
        <f>"7"</f>
        <v>7</v>
      </c>
      <c r="CD1161" s="1">
        <v>0</v>
      </c>
      <c r="CE1161" s="1">
        <v>0</v>
      </c>
      <c r="CG1161" s="1" t="s">
        <v>462</v>
      </c>
      <c r="CH1161" s="1" t="s">
        <v>219</v>
      </c>
      <c r="CI1161" s="1" t="s">
        <v>229</v>
      </c>
      <c r="CK1161" s="1" t="s">
        <v>461</v>
      </c>
      <c r="CL1161" s="1" t="s">
        <v>277</v>
      </c>
      <c r="CM1161" s="1" t="s">
        <v>220</v>
      </c>
      <c r="CN1161" s="1" t="s">
        <v>210</v>
      </c>
      <c r="CP1161" s="1" t="s">
        <v>224</v>
      </c>
      <c r="CS1161" s="1" t="s">
        <v>379</v>
      </c>
      <c r="CT1161" s="1" t="s">
        <v>277</v>
      </c>
      <c r="CU1161" s="1" t="s">
        <v>220</v>
      </c>
      <c r="CV1161" s="1" t="s">
        <v>210</v>
      </c>
      <c r="CX1161" s="1" t="s">
        <v>224</v>
      </c>
      <c r="DB1161" s="1" t="s">
        <v>224</v>
      </c>
      <c r="DE1161" s="1" t="s">
        <v>378</v>
      </c>
      <c r="DF1161" s="1" t="s">
        <v>219</v>
      </c>
      <c r="DG1161" s="1" t="s">
        <v>229</v>
      </c>
      <c r="DI1161" s="1" t="s">
        <v>9969</v>
      </c>
      <c r="DJ1161" s="1" t="s">
        <v>43</v>
      </c>
      <c r="DK1161" s="1" t="s">
        <v>220</v>
      </c>
      <c r="DL1161" s="1" t="s">
        <v>210</v>
      </c>
      <c r="DM1161" s="1" t="s">
        <v>934</v>
      </c>
      <c r="DR1161" s="1" t="s">
        <v>862</v>
      </c>
      <c r="DS1161" s="1" t="s">
        <v>43</v>
      </c>
      <c r="DT1161" s="1" t="s">
        <v>220</v>
      </c>
      <c r="DU1161" s="1" t="s">
        <v>210</v>
      </c>
      <c r="DW1161" s="1" t="s">
        <v>230</v>
      </c>
      <c r="EA1161" s="1" t="s">
        <v>230</v>
      </c>
      <c r="EE1161" s="1" t="s">
        <v>230</v>
      </c>
      <c r="EI1161" s="1" t="s">
        <v>230</v>
      </c>
      <c r="EL1161" s="1" t="s">
        <v>466</v>
      </c>
      <c r="EM1161" s="1" t="s">
        <v>319</v>
      </c>
      <c r="EN1161" s="1" t="s">
        <v>282</v>
      </c>
      <c r="EO1161" s="1" t="s">
        <v>234</v>
      </c>
      <c r="EP1161" s="1" t="s">
        <v>936</v>
      </c>
      <c r="ER1161" s="1" t="s">
        <v>6260</v>
      </c>
      <c r="EU1161" s="1" t="s">
        <v>239</v>
      </c>
      <c r="EW1161" s="1" t="s">
        <v>911</v>
      </c>
      <c r="EY1161" s="1" t="s">
        <v>790</v>
      </c>
      <c r="EZ1161" s="1" t="s">
        <v>934</v>
      </c>
      <c r="FA1161" s="1" t="s">
        <v>5059</v>
      </c>
      <c r="FD1161" s="1" t="s">
        <v>246</v>
      </c>
      <c r="FE1161" s="1" t="s">
        <v>386</v>
      </c>
      <c r="FF1161" s="1" t="s">
        <v>248</v>
      </c>
      <c r="FH1161" s="1" t="s">
        <v>550</v>
      </c>
      <c r="FJ1161" s="1" t="s">
        <v>1620</v>
      </c>
      <c r="FL1161" s="1" t="s">
        <v>358</v>
      </c>
      <c r="FM1161" s="1" t="s">
        <v>252</v>
      </c>
      <c r="FN1161" s="1" t="s">
        <v>213</v>
      </c>
      <c r="FO1161" s="1" t="s">
        <v>213</v>
      </c>
      <c r="FQ1161" s="1" t="s">
        <v>12095</v>
      </c>
      <c r="FR1161" s="1" t="s">
        <v>210</v>
      </c>
      <c r="FS1161" s="1" t="s">
        <v>12096</v>
      </c>
      <c r="FT1161" s="1" t="s">
        <v>520</v>
      </c>
      <c r="FU1161" s="1" t="s">
        <v>204</v>
      </c>
      <c r="FW1161" s="1" t="s">
        <v>8343</v>
      </c>
      <c r="FX1161" s="1">
        <v>30401</v>
      </c>
      <c r="FY1161" s="1" t="s">
        <v>8344</v>
      </c>
      <c r="FZ1161" s="1" t="s">
        <v>12097</v>
      </c>
      <c r="GA1161" s="1">
        <v>317013</v>
      </c>
      <c r="GB1161" s="1" t="s">
        <v>12098</v>
      </c>
      <c r="GE1161" s="1" t="s">
        <v>480</v>
      </c>
      <c r="GI1161" s="1" t="s">
        <v>213</v>
      </c>
      <c r="GJ1161" s="1" t="s">
        <v>260</v>
      </c>
      <c r="GK1161" s="1" t="s">
        <v>210</v>
      </c>
      <c r="GL1161" s="2">
        <v>42077</v>
      </c>
      <c r="GM1161" s="1" t="s">
        <v>12099</v>
      </c>
    </row>
    <row r="1162" spans="1:195">
      <c r="A1162" s="1">
        <v>105500</v>
      </c>
      <c r="B1162" s="1" t="s">
        <v>195</v>
      </c>
      <c r="C1162" s="1" t="str">
        <f>"08863315"</f>
        <v>08863315</v>
      </c>
      <c r="D1162" s="1" t="s">
        <v>196</v>
      </c>
      <c r="F1162" s="1" t="str">
        <f>"540"</f>
        <v>540</v>
      </c>
      <c r="G1162" s="2">
        <v>42079</v>
      </c>
      <c r="H1162" s="1">
        <v>109900</v>
      </c>
      <c r="I1162" s="1">
        <v>109900</v>
      </c>
      <c r="J1162" s="1">
        <v>105500</v>
      </c>
      <c r="K1162" s="2">
        <v>42079</v>
      </c>
      <c r="L1162" s="1">
        <v>7</v>
      </c>
      <c r="M1162" s="2">
        <v>42085</v>
      </c>
      <c r="N1162" s="1">
        <v>7</v>
      </c>
      <c r="O1162" s="2">
        <v>42085</v>
      </c>
      <c r="P1162" s="1">
        <v>49</v>
      </c>
      <c r="Q1162" s="1" t="s">
        <v>197</v>
      </c>
      <c r="R1162" s="2">
        <v>42139</v>
      </c>
      <c r="S1162" s="1">
        <v>8134</v>
      </c>
      <c r="T1162" s="1">
        <v>1500</v>
      </c>
      <c r="U1162" s="1">
        <v>1328</v>
      </c>
      <c r="V1162" s="1" t="s">
        <v>12100</v>
      </c>
      <c r="W1162" s="1" t="s">
        <v>1056</v>
      </c>
      <c r="X1162" s="1">
        <v>204</v>
      </c>
      <c r="Y1162" s="1">
        <v>8</v>
      </c>
      <c r="Z1162" s="1" t="s">
        <v>249</v>
      </c>
      <c r="AA1162" s="1" t="s">
        <v>921</v>
      </c>
      <c r="AB1162" s="1">
        <v>60563</v>
      </c>
      <c r="AD1162" s="1" t="s">
        <v>7152</v>
      </c>
      <c r="AE1162" s="1" t="s">
        <v>12101</v>
      </c>
      <c r="AF1162" s="1">
        <v>1985</v>
      </c>
      <c r="AG1162" s="1" t="s">
        <v>204</v>
      </c>
      <c r="AH1162" s="1" t="s">
        <v>924</v>
      </c>
      <c r="AI1162" s="1" t="s">
        <v>206</v>
      </c>
      <c r="AJ1162" s="1" t="s">
        <v>924</v>
      </c>
      <c r="AK1162" s="1" t="s">
        <v>6170</v>
      </c>
      <c r="AL1162" s="1">
        <v>5</v>
      </c>
      <c r="AM1162" s="1">
        <v>2</v>
      </c>
      <c r="AN1162" s="1">
        <v>1</v>
      </c>
      <c r="AO1162" s="1">
        <v>0</v>
      </c>
      <c r="AP1162" s="1" t="s">
        <v>210</v>
      </c>
      <c r="AR1162" s="1" t="s">
        <v>210</v>
      </c>
      <c r="AS1162" s="1" t="s">
        <v>204</v>
      </c>
      <c r="AT1162" s="1" t="s">
        <v>271</v>
      </c>
      <c r="AV1162" s="1">
        <v>1</v>
      </c>
      <c r="AW1162" s="1" t="s">
        <v>204</v>
      </c>
      <c r="AX1162" s="1" t="s">
        <v>212</v>
      </c>
      <c r="AZ1162" s="1">
        <v>1544.46</v>
      </c>
      <c r="BA1162" s="1">
        <v>2013</v>
      </c>
      <c r="BB1162" s="1" t="s">
        <v>405</v>
      </c>
      <c r="BE1162" s="1">
        <v>809</v>
      </c>
      <c r="BF1162" s="1">
        <v>2</v>
      </c>
      <c r="BG1162" s="1">
        <v>0</v>
      </c>
      <c r="BL1162" s="1">
        <v>243</v>
      </c>
      <c r="BM1162" s="1" t="s">
        <v>204</v>
      </c>
      <c r="BN1162" s="1" t="s">
        <v>213</v>
      </c>
      <c r="BO1162" s="1" t="s">
        <v>3215</v>
      </c>
      <c r="BP1162" s="1" t="s">
        <v>204</v>
      </c>
      <c r="BR1162" s="1" t="str">
        <f>"0710213208"</f>
        <v>0710213208</v>
      </c>
      <c r="BT1162" s="1" t="s">
        <v>12102</v>
      </c>
      <c r="BX1162" s="1">
        <v>204</v>
      </c>
      <c r="BY1162" s="1">
        <v>204</v>
      </c>
      <c r="BZ1162" s="1">
        <v>204</v>
      </c>
      <c r="CB1162" s="1" t="str">
        <f t="shared" ref="CB1162:CC1162" si="897">"0"</f>
        <v>0</v>
      </c>
      <c r="CC1162" s="1" t="str">
        <f t="shared" si="897"/>
        <v>0</v>
      </c>
      <c r="CD1162" s="1">
        <v>29</v>
      </c>
      <c r="CE1162" s="1">
        <v>5</v>
      </c>
      <c r="CG1162" s="1" t="s">
        <v>1045</v>
      </c>
      <c r="CH1162" s="1" t="s">
        <v>219</v>
      </c>
      <c r="CI1162" s="1" t="s">
        <v>220</v>
      </c>
      <c r="CK1162" s="1" t="s">
        <v>344</v>
      </c>
      <c r="CL1162" s="1" t="s">
        <v>219</v>
      </c>
      <c r="CM1162" s="1" t="s">
        <v>220</v>
      </c>
      <c r="CO1162" s="1" t="s">
        <v>516</v>
      </c>
      <c r="CP1162" s="1" t="s">
        <v>219</v>
      </c>
      <c r="CQ1162" s="1" t="s">
        <v>220</v>
      </c>
      <c r="CS1162" s="1" t="s">
        <v>281</v>
      </c>
      <c r="CT1162" s="1" t="s">
        <v>219</v>
      </c>
      <c r="CU1162" s="1" t="s">
        <v>220</v>
      </c>
      <c r="CX1162" s="1" t="s">
        <v>224</v>
      </c>
      <c r="DB1162" s="1" t="s">
        <v>224</v>
      </c>
      <c r="DE1162" s="1" t="s">
        <v>316</v>
      </c>
      <c r="DF1162" s="1" t="s">
        <v>219</v>
      </c>
      <c r="DG1162" s="1" t="s">
        <v>226</v>
      </c>
      <c r="DJ1162" s="1" t="s">
        <v>224</v>
      </c>
      <c r="DS1162" s="1" t="s">
        <v>230</v>
      </c>
      <c r="DW1162" s="1" t="s">
        <v>230</v>
      </c>
      <c r="EA1162" s="1" t="s">
        <v>230</v>
      </c>
      <c r="EE1162" s="1" t="s">
        <v>230</v>
      </c>
      <c r="EI1162" s="1" t="s">
        <v>230</v>
      </c>
      <c r="EL1162" s="1" t="s">
        <v>542</v>
      </c>
      <c r="EM1162" s="1" t="s">
        <v>232</v>
      </c>
      <c r="EN1162" s="1" t="s">
        <v>282</v>
      </c>
      <c r="EO1162" s="1" t="s">
        <v>234</v>
      </c>
      <c r="EP1162" s="1" t="s">
        <v>12103</v>
      </c>
      <c r="EQ1162" s="1" t="s">
        <v>2188</v>
      </c>
      <c r="ER1162" s="1" t="s">
        <v>210</v>
      </c>
      <c r="ES1162" s="1" t="s">
        <v>608</v>
      </c>
      <c r="EU1162" s="1" t="s">
        <v>239</v>
      </c>
      <c r="EW1162" s="1" t="s">
        <v>12104</v>
      </c>
      <c r="EY1162" s="1" t="s">
        <v>790</v>
      </c>
      <c r="EZ1162" s="1" t="s">
        <v>287</v>
      </c>
      <c r="FB1162" s="1" t="s">
        <v>289</v>
      </c>
      <c r="FD1162" s="1" t="s">
        <v>246</v>
      </c>
      <c r="FE1162" s="1" t="s">
        <v>12105</v>
      </c>
      <c r="FF1162" s="1" t="s">
        <v>248</v>
      </c>
      <c r="FH1162" s="1" t="s">
        <v>249</v>
      </c>
      <c r="FK1162" s="1" t="s">
        <v>2309</v>
      </c>
      <c r="FL1162" s="1" t="s">
        <v>358</v>
      </c>
      <c r="FM1162" s="1" t="s">
        <v>252</v>
      </c>
      <c r="FN1162" s="1" t="s">
        <v>213</v>
      </c>
      <c r="FO1162" s="1" t="s">
        <v>213</v>
      </c>
      <c r="FQ1162" s="1" t="s">
        <v>10236</v>
      </c>
      <c r="FR1162" s="1" t="s">
        <v>210</v>
      </c>
      <c r="FS1162" s="1" t="s">
        <v>12106</v>
      </c>
      <c r="FT1162" s="1" t="s">
        <v>295</v>
      </c>
      <c r="FU1162" s="1" t="s">
        <v>204</v>
      </c>
      <c r="FW1162" s="1" t="s">
        <v>1475</v>
      </c>
      <c r="FX1162" s="1">
        <v>23265</v>
      </c>
      <c r="FY1162" s="1" t="s">
        <v>1476</v>
      </c>
      <c r="FZ1162" s="1" t="s">
        <v>2223</v>
      </c>
      <c r="GA1162" s="1">
        <v>229434</v>
      </c>
      <c r="GB1162" s="1" t="s">
        <v>2224</v>
      </c>
      <c r="GE1162" s="1" t="s">
        <v>1379</v>
      </c>
      <c r="GI1162" s="1" t="s">
        <v>213</v>
      </c>
      <c r="GJ1162" s="1" t="s">
        <v>260</v>
      </c>
      <c r="GK1162" s="1" t="s">
        <v>210</v>
      </c>
      <c r="GL1162" s="2">
        <v>42139</v>
      </c>
    </row>
    <row r="1163" spans="1:195">
      <c r="A1163" s="1">
        <v>170000</v>
      </c>
      <c r="B1163" s="1" t="s">
        <v>195</v>
      </c>
      <c r="C1163" s="1" t="str">
        <f>"08848700"</f>
        <v>08848700</v>
      </c>
      <c r="D1163" s="1" t="s">
        <v>196</v>
      </c>
      <c r="F1163" s="1" t="str">
        <f>"31"</f>
        <v>31</v>
      </c>
      <c r="G1163" s="2">
        <v>42063</v>
      </c>
      <c r="H1163" s="1">
        <v>170000</v>
      </c>
      <c r="I1163" s="1">
        <v>170000</v>
      </c>
      <c r="J1163" s="1">
        <v>170000</v>
      </c>
      <c r="K1163" s="2">
        <v>42063</v>
      </c>
      <c r="L1163" s="1">
        <v>3</v>
      </c>
      <c r="M1163" s="2">
        <v>42065</v>
      </c>
      <c r="N1163" s="1">
        <v>3</v>
      </c>
      <c r="O1163" s="2">
        <v>42065</v>
      </c>
      <c r="P1163" s="1">
        <v>4667</v>
      </c>
      <c r="Q1163" s="1" t="s">
        <v>302</v>
      </c>
      <c r="R1163" s="2">
        <v>42111</v>
      </c>
      <c r="S1163" s="1">
        <v>42458</v>
      </c>
      <c r="U1163" s="1">
        <v>6753</v>
      </c>
      <c r="V1163" s="1" t="s">
        <v>12107</v>
      </c>
      <c r="W1163" s="1" t="s">
        <v>304</v>
      </c>
      <c r="Y1163" s="1">
        <v>4</v>
      </c>
      <c r="Z1163" s="1" t="s">
        <v>370</v>
      </c>
      <c r="AA1163" s="1" t="s">
        <v>1057</v>
      </c>
      <c r="AB1163" s="1">
        <v>60031</v>
      </c>
      <c r="AE1163" s="1" t="s">
        <v>12108</v>
      </c>
      <c r="AF1163" s="1">
        <v>1993</v>
      </c>
      <c r="AG1163" s="1" t="s">
        <v>204</v>
      </c>
      <c r="AH1163" s="1" t="s">
        <v>1060</v>
      </c>
      <c r="AI1163" s="1" t="s">
        <v>509</v>
      </c>
      <c r="AJ1163" s="1" t="s">
        <v>1061</v>
      </c>
      <c r="AL1163" s="1">
        <v>6</v>
      </c>
      <c r="AM1163" s="1">
        <v>2</v>
      </c>
      <c r="AN1163" s="1">
        <v>2</v>
      </c>
      <c r="AO1163" s="1">
        <v>0</v>
      </c>
      <c r="AP1163" s="1" t="s">
        <v>209</v>
      </c>
      <c r="AQ1163" s="1">
        <v>1</v>
      </c>
      <c r="AR1163" s="1" t="s">
        <v>210</v>
      </c>
      <c r="AS1163" s="1" t="s">
        <v>204</v>
      </c>
      <c r="AT1163" s="1" t="s">
        <v>211</v>
      </c>
      <c r="AU1163" s="1">
        <v>2</v>
      </c>
      <c r="AW1163" s="1" t="s">
        <v>213</v>
      </c>
      <c r="AX1163" s="1" t="s">
        <v>212</v>
      </c>
      <c r="AZ1163" s="1">
        <v>3472.16</v>
      </c>
      <c r="BA1163" s="1">
        <v>2013</v>
      </c>
      <c r="BE1163" s="1">
        <v>1513</v>
      </c>
      <c r="BF1163" s="1">
        <v>1</v>
      </c>
      <c r="BG1163" s="1">
        <v>0</v>
      </c>
      <c r="BL1163" s="1">
        <v>225</v>
      </c>
      <c r="BM1163" s="1" t="s">
        <v>204</v>
      </c>
      <c r="BN1163" s="1" t="s">
        <v>213</v>
      </c>
      <c r="BO1163" s="1">
        <v>999</v>
      </c>
      <c r="BP1163" s="1" t="s">
        <v>204</v>
      </c>
      <c r="BR1163" s="1" t="str">
        <f>"07172012770000"</f>
        <v>07172012770000</v>
      </c>
      <c r="BT1163" s="1" t="s">
        <v>12109</v>
      </c>
      <c r="BX1163" s="1">
        <v>50</v>
      </c>
      <c r="BY1163" s="1">
        <v>50</v>
      </c>
      <c r="BZ1163" s="1">
        <v>121</v>
      </c>
      <c r="CB1163" s="1" t="str">
        <f t="shared" ref="CB1163:CC1163" si="898">""</f>
        <v/>
      </c>
      <c r="CC1163" s="1" t="str">
        <f t="shared" si="898"/>
        <v/>
      </c>
      <c r="CG1163" s="1" t="s">
        <v>1995</v>
      </c>
      <c r="CH1163" s="1" t="s">
        <v>219</v>
      </c>
      <c r="CI1163" s="1" t="s">
        <v>220</v>
      </c>
      <c r="CJ1163" s="1" t="s">
        <v>343</v>
      </c>
      <c r="CK1163" s="1" t="s">
        <v>708</v>
      </c>
      <c r="CL1163" s="1" t="s">
        <v>219</v>
      </c>
      <c r="CM1163" s="1" t="s">
        <v>220</v>
      </c>
      <c r="CO1163" s="1" t="s">
        <v>1612</v>
      </c>
      <c r="CP1163" s="1" t="s">
        <v>219</v>
      </c>
      <c r="CQ1163" s="1" t="s">
        <v>220</v>
      </c>
      <c r="CR1163" s="1" t="s">
        <v>343</v>
      </c>
      <c r="CS1163" s="1" t="s">
        <v>465</v>
      </c>
      <c r="CT1163" s="1" t="s">
        <v>219</v>
      </c>
      <c r="CU1163" s="1" t="s">
        <v>220</v>
      </c>
      <c r="CX1163" s="1" t="s">
        <v>224</v>
      </c>
      <c r="DB1163" s="1" t="s">
        <v>224</v>
      </c>
      <c r="DE1163" s="1" t="s">
        <v>1454</v>
      </c>
      <c r="DF1163" s="1" t="s">
        <v>219</v>
      </c>
      <c r="DG1163" s="1" t="s">
        <v>342</v>
      </c>
      <c r="DJ1163" s="1" t="s">
        <v>224</v>
      </c>
      <c r="DM1163" s="1" t="s">
        <v>1005</v>
      </c>
      <c r="DR1163" s="1" t="s">
        <v>1046</v>
      </c>
      <c r="DS1163" s="1" t="s">
        <v>219</v>
      </c>
      <c r="DT1163" s="1" t="s">
        <v>220</v>
      </c>
      <c r="DU1163" s="1" t="s">
        <v>343</v>
      </c>
      <c r="DW1163" s="1" t="s">
        <v>230</v>
      </c>
      <c r="EA1163" s="1" t="s">
        <v>230</v>
      </c>
      <c r="EE1163" s="1" t="s">
        <v>230</v>
      </c>
      <c r="EI1163" s="1" t="s">
        <v>230</v>
      </c>
      <c r="EL1163" s="1" t="s">
        <v>382</v>
      </c>
      <c r="EM1163" s="1" t="s">
        <v>730</v>
      </c>
      <c r="EN1163" s="1" t="s">
        <v>282</v>
      </c>
      <c r="EO1163" s="1" t="s">
        <v>234</v>
      </c>
      <c r="EP1163" s="1" t="s">
        <v>1489</v>
      </c>
      <c r="EQ1163" s="1" t="s">
        <v>492</v>
      </c>
      <c r="ER1163" s="1" t="s">
        <v>383</v>
      </c>
      <c r="ES1163" s="1" t="s">
        <v>322</v>
      </c>
      <c r="EV1163" s="1" t="s">
        <v>1553</v>
      </c>
      <c r="EW1163" s="1" t="s">
        <v>353</v>
      </c>
      <c r="EZ1163" s="1" t="s">
        <v>1005</v>
      </c>
      <c r="FB1163" s="1" t="s">
        <v>289</v>
      </c>
      <c r="FC1163" s="1" t="s">
        <v>548</v>
      </c>
      <c r="FD1163" s="1" t="s">
        <v>246</v>
      </c>
      <c r="FE1163" s="1" t="s">
        <v>975</v>
      </c>
      <c r="FF1163" s="1" t="s">
        <v>248</v>
      </c>
      <c r="FG1163" s="1" t="s">
        <v>12110</v>
      </c>
      <c r="FH1163" s="1" t="s">
        <v>825</v>
      </c>
      <c r="FJ1163" s="1" t="s">
        <v>1620</v>
      </c>
      <c r="FL1163" s="1" t="s">
        <v>358</v>
      </c>
      <c r="FM1163" s="1" t="s">
        <v>252</v>
      </c>
      <c r="FN1163" s="1" t="s">
        <v>213</v>
      </c>
      <c r="FO1163" s="1" t="s">
        <v>213</v>
      </c>
      <c r="FQ1163" s="1" t="s">
        <v>6294</v>
      </c>
      <c r="FR1163" s="1" t="s">
        <v>210</v>
      </c>
      <c r="FS1163" s="1" t="s">
        <v>8342</v>
      </c>
      <c r="FT1163" s="1" t="s">
        <v>12111</v>
      </c>
      <c r="FU1163" s="1" t="s">
        <v>204</v>
      </c>
      <c r="FW1163" s="1" t="s">
        <v>1275</v>
      </c>
      <c r="FX1163" s="1">
        <v>2411</v>
      </c>
      <c r="FY1163" s="1" t="s">
        <v>1276</v>
      </c>
      <c r="FZ1163" s="1" t="s">
        <v>12112</v>
      </c>
      <c r="GA1163" s="1">
        <v>21089</v>
      </c>
      <c r="GB1163" s="1" t="s">
        <v>12113</v>
      </c>
      <c r="GE1163" s="1" t="s">
        <v>480</v>
      </c>
      <c r="GH1163" s="1" t="s">
        <v>800</v>
      </c>
      <c r="GI1163" s="1" t="s">
        <v>213</v>
      </c>
      <c r="GJ1163" s="1" t="s">
        <v>260</v>
      </c>
      <c r="GK1163" s="1" t="s">
        <v>210</v>
      </c>
      <c r="GL1163" s="2">
        <v>42111</v>
      </c>
    </row>
    <row r="1164" spans="1:195">
      <c r="A1164" s="1">
        <v>50000</v>
      </c>
      <c r="B1164" s="1" t="s">
        <v>195</v>
      </c>
      <c r="C1164" s="1" t="str">
        <f>"08844627"</f>
        <v>08844627</v>
      </c>
      <c r="D1164" s="1" t="s">
        <v>196</v>
      </c>
      <c r="F1164" s="1" t="str">
        <f>"8038"</f>
        <v>8038</v>
      </c>
      <c r="G1164" s="2">
        <v>42058</v>
      </c>
      <c r="H1164" s="1">
        <v>59000</v>
      </c>
      <c r="I1164" s="1">
        <v>0</v>
      </c>
      <c r="J1164" s="1">
        <v>50000</v>
      </c>
      <c r="K1164" s="2">
        <v>42058</v>
      </c>
      <c r="L1164" s="1">
        <v>196</v>
      </c>
      <c r="M1164" s="2">
        <v>42137</v>
      </c>
      <c r="N1164" s="1">
        <v>80</v>
      </c>
      <c r="O1164" s="2">
        <v>42137</v>
      </c>
      <c r="P1164" s="1">
        <v>16734</v>
      </c>
      <c r="Q1164" s="1" t="s">
        <v>302</v>
      </c>
      <c r="R1164" s="2">
        <v>42138</v>
      </c>
      <c r="S1164" s="1">
        <v>111741</v>
      </c>
      <c r="U1164" s="1">
        <v>4955</v>
      </c>
      <c r="V1164" s="1" t="s">
        <v>4803</v>
      </c>
      <c r="W1164" s="1" t="s">
        <v>425</v>
      </c>
      <c r="X1164" s="1">
        <v>15</v>
      </c>
      <c r="Y1164" s="1">
        <v>6</v>
      </c>
      <c r="Z1164" s="1" t="s">
        <v>249</v>
      </c>
      <c r="AA1164" s="1" t="s">
        <v>400</v>
      </c>
      <c r="AB1164" s="1">
        <v>60615</v>
      </c>
      <c r="AE1164" s="1" t="s">
        <v>12114</v>
      </c>
      <c r="AF1164" s="1">
        <v>1898</v>
      </c>
      <c r="AG1164" s="1" t="s">
        <v>213</v>
      </c>
      <c r="AH1164" s="1" t="s">
        <v>403</v>
      </c>
      <c r="AI1164" s="1" t="s">
        <v>310</v>
      </c>
      <c r="AJ1164" s="1" t="s">
        <v>562</v>
      </c>
      <c r="AL1164" s="1">
        <v>4</v>
      </c>
      <c r="AM1164" s="1">
        <v>2</v>
      </c>
      <c r="AN1164" s="1">
        <v>2</v>
      </c>
      <c r="AO1164" s="1">
        <v>0</v>
      </c>
      <c r="AP1164" s="1" t="s">
        <v>209</v>
      </c>
      <c r="AR1164" s="1" t="s">
        <v>210</v>
      </c>
      <c r="AS1164" s="1" t="s">
        <v>204</v>
      </c>
      <c r="AT1164" s="1" t="s">
        <v>210</v>
      </c>
      <c r="AW1164" s="1" t="s">
        <v>204</v>
      </c>
      <c r="AX1164" s="1" t="s">
        <v>212</v>
      </c>
      <c r="AZ1164" s="1">
        <v>2960</v>
      </c>
      <c r="BA1164" s="1">
        <v>2013</v>
      </c>
      <c r="BB1164" s="1" t="s">
        <v>405</v>
      </c>
      <c r="BE1164" s="1">
        <v>1200</v>
      </c>
      <c r="BF1164" s="1">
        <v>3</v>
      </c>
      <c r="BG1164" s="1">
        <v>0</v>
      </c>
      <c r="BL1164" s="1">
        <v>210</v>
      </c>
      <c r="BM1164" s="1" t="s">
        <v>204</v>
      </c>
      <c r="BN1164" s="1" t="s">
        <v>213</v>
      </c>
      <c r="BO1164" s="1">
        <v>60</v>
      </c>
      <c r="BP1164" s="1" t="s">
        <v>204</v>
      </c>
      <c r="BR1164" s="1" t="str">
        <f>"20101140291015"</f>
        <v>20101140291015</v>
      </c>
      <c r="BT1164" s="1" t="s">
        <v>12115</v>
      </c>
      <c r="BX1164" s="1">
        <v>299</v>
      </c>
      <c r="BY1164" s="1">
        <v>299</v>
      </c>
      <c r="BZ1164" s="1">
        <v>299</v>
      </c>
      <c r="CB1164" s="1" t="str">
        <f t="shared" ref="CB1164:CB1167" si="899">"0"</f>
        <v>0</v>
      </c>
      <c r="CC1164" s="1" t="str">
        <f>"200"</f>
        <v>200</v>
      </c>
      <c r="CD1164" s="1">
        <v>0</v>
      </c>
      <c r="CE1164" s="1">
        <v>4955</v>
      </c>
      <c r="CG1164" s="1" t="s">
        <v>862</v>
      </c>
      <c r="CH1164" s="1" t="s">
        <v>219</v>
      </c>
      <c r="CK1164" s="1" t="s">
        <v>437</v>
      </c>
      <c r="CL1164" s="1" t="s">
        <v>219</v>
      </c>
      <c r="CP1164" s="1" t="s">
        <v>224</v>
      </c>
      <c r="CS1164" s="1" t="s">
        <v>461</v>
      </c>
      <c r="CT1164" s="1" t="s">
        <v>219</v>
      </c>
      <c r="CX1164" s="1" t="s">
        <v>224</v>
      </c>
      <c r="DB1164" s="1" t="s">
        <v>224</v>
      </c>
      <c r="DE1164" s="1" t="s">
        <v>379</v>
      </c>
      <c r="DF1164" s="1" t="s">
        <v>219</v>
      </c>
      <c r="DJ1164" s="1" t="s">
        <v>224</v>
      </c>
      <c r="DS1164" s="1" t="s">
        <v>230</v>
      </c>
      <c r="DW1164" s="1" t="s">
        <v>230</v>
      </c>
      <c r="EA1164" s="1" t="s">
        <v>230</v>
      </c>
      <c r="EE1164" s="1" t="s">
        <v>230</v>
      </c>
      <c r="EI1164" s="1" t="s">
        <v>230</v>
      </c>
      <c r="EL1164" s="1" t="s">
        <v>787</v>
      </c>
      <c r="EM1164" s="1" t="s">
        <v>232</v>
      </c>
      <c r="EN1164" s="1" t="s">
        <v>282</v>
      </c>
      <c r="EO1164" s="1" t="s">
        <v>234</v>
      </c>
      <c r="ER1164" s="1" t="s">
        <v>210</v>
      </c>
      <c r="EW1164" s="1" t="s">
        <v>937</v>
      </c>
      <c r="EZ1164" s="1" t="s">
        <v>287</v>
      </c>
      <c r="FD1164" s="1" t="s">
        <v>888</v>
      </c>
      <c r="FE1164" s="1" t="s">
        <v>247</v>
      </c>
      <c r="FF1164" s="1" t="s">
        <v>248</v>
      </c>
      <c r="FH1164" s="1" t="s">
        <v>716</v>
      </c>
      <c r="FL1164" s="1" t="s">
        <v>414</v>
      </c>
      <c r="FM1164" s="1" t="s">
        <v>252</v>
      </c>
      <c r="FN1164" s="1" t="s">
        <v>213</v>
      </c>
      <c r="FO1164" s="1" t="s">
        <v>213</v>
      </c>
      <c r="FQ1164" s="1" t="s">
        <v>8577</v>
      </c>
      <c r="FR1164" s="1" t="s">
        <v>210</v>
      </c>
      <c r="FS1164" s="1" t="s">
        <v>8578</v>
      </c>
      <c r="FT1164" s="1" t="s">
        <v>584</v>
      </c>
      <c r="FU1164" s="1" t="s">
        <v>204</v>
      </c>
      <c r="FW1164" s="1" t="s">
        <v>8579</v>
      </c>
      <c r="FX1164" s="1">
        <v>16734</v>
      </c>
      <c r="FY1164" s="1" t="s">
        <v>8580</v>
      </c>
      <c r="FZ1164" s="1" t="s">
        <v>8581</v>
      </c>
      <c r="GA1164" s="1">
        <v>111741</v>
      </c>
      <c r="GB1164" s="1" t="s">
        <v>8582</v>
      </c>
      <c r="GE1164" s="1" t="s">
        <v>210</v>
      </c>
      <c r="GH1164" s="1" t="s">
        <v>421</v>
      </c>
      <c r="GI1164" s="1" t="s">
        <v>213</v>
      </c>
      <c r="GJ1164" s="1" t="s">
        <v>260</v>
      </c>
      <c r="GK1164" s="1" t="s">
        <v>210</v>
      </c>
      <c r="GL1164" s="2">
        <v>42138</v>
      </c>
      <c r="GM1164" s="1" t="s">
        <v>12116</v>
      </c>
    </row>
    <row r="1165" spans="1:195">
      <c r="A1165" s="1">
        <v>197500</v>
      </c>
      <c r="B1165" s="1" t="s">
        <v>195</v>
      </c>
      <c r="C1165" s="1" t="str">
        <f>"08870187"</f>
        <v>08870187</v>
      </c>
      <c r="D1165" s="1" t="s">
        <v>196</v>
      </c>
      <c r="F1165" s="1" t="str">
        <f>"540"</f>
        <v>540</v>
      </c>
      <c r="G1165" s="2">
        <v>42087</v>
      </c>
      <c r="H1165" s="1">
        <v>217000</v>
      </c>
      <c r="I1165" s="1">
        <v>209900</v>
      </c>
      <c r="J1165" s="1">
        <v>197500</v>
      </c>
      <c r="K1165" s="2">
        <v>42087</v>
      </c>
      <c r="L1165" s="1">
        <v>217</v>
      </c>
      <c r="M1165" s="2">
        <v>42118</v>
      </c>
      <c r="N1165" s="1">
        <v>32</v>
      </c>
      <c r="O1165" s="2">
        <v>42118</v>
      </c>
      <c r="P1165" s="1">
        <v>23030</v>
      </c>
      <c r="Q1165" s="1" t="s">
        <v>302</v>
      </c>
      <c r="R1165" s="2">
        <v>42142</v>
      </c>
      <c r="S1165" s="1">
        <v>240686</v>
      </c>
      <c r="U1165" s="1">
        <v>3279</v>
      </c>
      <c r="V1165" s="1" t="s">
        <v>12117</v>
      </c>
      <c r="W1165" s="1" t="s">
        <v>304</v>
      </c>
      <c r="X1165" s="1">
        <v>3279</v>
      </c>
      <c r="Y1165" s="1">
        <v>6</v>
      </c>
      <c r="Z1165" s="1" t="s">
        <v>370</v>
      </c>
      <c r="AA1165" s="1" t="s">
        <v>921</v>
      </c>
      <c r="AB1165" s="1">
        <v>60564</v>
      </c>
      <c r="AD1165" s="1" t="s">
        <v>7595</v>
      </c>
      <c r="AE1165" s="1" t="s">
        <v>12118</v>
      </c>
      <c r="AF1165" s="1">
        <v>2000</v>
      </c>
      <c r="AG1165" s="1" t="s">
        <v>204</v>
      </c>
      <c r="AH1165" s="1" t="s">
        <v>924</v>
      </c>
      <c r="AI1165" s="1" t="s">
        <v>1800</v>
      </c>
      <c r="AJ1165" s="1" t="s">
        <v>1801</v>
      </c>
      <c r="AK1165" s="1" t="s">
        <v>11002</v>
      </c>
      <c r="AL1165" s="1">
        <v>7</v>
      </c>
      <c r="AM1165" s="1">
        <v>2</v>
      </c>
      <c r="AN1165" s="1">
        <v>2</v>
      </c>
      <c r="AO1165" s="1">
        <v>1</v>
      </c>
      <c r="AP1165" s="1" t="s">
        <v>209</v>
      </c>
      <c r="AR1165" s="1" t="s">
        <v>210</v>
      </c>
      <c r="AS1165" s="1" t="s">
        <v>204</v>
      </c>
      <c r="AT1165" s="1" t="s">
        <v>211</v>
      </c>
      <c r="AU1165" s="1">
        <v>2</v>
      </c>
      <c r="AW1165" s="1" t="s">
        <v>213</v>
      </c>
      <c r="AX1165" s="1" t="s">
        <v>212</v>
      </c>
      <c r="AZ1165" s="1">
        <v>4569</v>
      </c>
      <c r="BA1165" s="1">
        <v>2013</v>
      </c>
      <c r="BB1165" s="1" t="s">
        <v>405</v>
      </c>
      <c r="BE1165" s="1">
        <v>0</v>
      </c>
      <c r="BF1165" s="1">
        <v>1</v>
      </c>
      <c r="BG1165" s="1">
        <v>0</v>
      </c>
      <c r="BL1165" s="1">
        <v>195</v>
      </c>
      <c r="BM1165" s="1" t="s">
        <v>204</v>
      </c>
      <c r="BN1165" s="1" t="s">
        <v>213</v>
      </c>
      <c r="BO1165" s="1">
        <v>999</v>
      </c>
      <c r="BP1165" s="1" t="s">
        <v>204</v>
      </c>
      <c r="BR1165" s="1" t="str">
        <f>"01092040440000"</f>
        <v>01092040440000</v>
      </c>
      <c r="BT1165" s="1" t="s">
        <v>12119</v>
      </c>
      <c r="BU1165" s="1" t="s">
        <v>7599</v>
      </c>
      <c r="BV1165" s="1" t="s">
        <v>2217</v>
      </c>
      <c r="BW1165" s="1" t="s">
        <v>1312</v>
      </c>
      <c r="BX1165" s="1">
        <v>204</v>
      </c>
      <c r="BY1165" s="1">
        <v>204</v>
      </c>
      <c r="BZ1165" s="1">
        <v>204</v>
      </c>
      <c r="CB1165" s="1" t="str">
        <f t="shared" si="899"/>
        <v>0</v>
      </c>
      <c r="CC1165" s="1" t="str">
        <f t="shared" ref="CC1165:CC1168" si="900">"0"</f>
        <v>0</v>
      </c>
      <c r="CD1165" s="1">
        <v>30</v>
      </c>
      <c r="CE1165" s="1">
        <v>11</v>
      </c>
      <c r="CG1165" s="1" t="s">
        <v>490</v>
      </c>
      <c r="CH1165" s="1" t="s">
        <v>219</v>
      </c>
      <c r="CI1165" s="1" t="s">
        <v>438</v>
      </c>
      <c r="CJ1165" s="1" t="s">
        <v>343</v>
      </c>
      <c r="CK1165" s="1" t="s">
        <v>490</v>
      </c>
      <c r="CL1165" s="1" t="s">
        <v>277</v>
      </c>
      <c r="CM1165" s="1" t="s">
        <v>220</v>
      </c>
      <c r="CN1165" s="1" t="s">
        <v>463</v>
      </c>
      <c r="CO1165" s="1" t="s">
        <v>408</v>
      </c>
      <c r="CP1165" s="1" t="s">
        <v>219</v>
      </c>
      <c r="CQ1165" s="1" t="s">
        <v>438</v>
      </c>
      <c r="CR1165" s="1" t="s">
        <v>463</v>
      </c>
      <c r="CS1165" s="1" t="s">
        <v>408</v>
      </c>
      <c r="CT1165" s="1" t="s">
        <v>277</v>
      </c>
      <c r="CU1165" s="1" t="s">
        <v>220</v>
      </c>
      <c r="CV1165" s="1" t="s">
        <v>463</v>
      </c>
      <c r="CX1165" s="1" t="s">
        <v>224</v>
      </c>
      <c r="DB1165" s="1" t="s">
        <v>224</v>
      </c>
      <c r="DE1165" s="1" t="s">
        <v>408</v>
      </c>
      <c r="DF1165" s="1" t="s">
        <v>219</v>
      </c>
      <c r="DG1165" s="1" t="s">
        <v>342</v>
      </c>
      <c r="DH1165" s="1" t="s">
        <v>210</v>
      </c>
      <c r="DJ1165" s="1" t="s">
        <v>224</v>
      </c>
      <c r="DM1165" s="1" t="s">
        <v>381</v>
      </c>
      <c r="DN1165" s="1" t="s">
        <v>464</v>
      </c>
      <c r="DR1165" s="1" t="s">
        <v>2547</v>
      </c>
      <c r="DS1165" s="1" t="s">
        <v>219</v>
      </c>
      <c r="DT1165" s="1" t="s">
        <v>342</v>
      </c>
      <c r="DU1165" s="1" t="s">
        <v>210</v>
      </c>
      <c r="DV1165" s="1" t="s">
        <v>2138</v>
      </c>
      <c r="DW1165" s="1" t="s">
        <v>277</v>
      </c>
      <c r="DX1165" s="1" t="s">
        <v>220</v>
      </c>
      <c r="DY1165" s="1" t="s">
        <v>210</v>
      </c>
      <c r="EA1165" s="1" t="s">
        <v>230</v>
      </c>
      <c r="EE1165" s="1" t="s">
        <v>230</v>
      </c>
      <c r="EI1165" s="1" t="s">
        <v>230</v>
      </c>
      <c r="EL1165" s="1" t="s">
        <v>466</v>
      </c>
      <c r="EM1165" s="1" t="s">
        <v>319</v>
      </c>
      <c r="EN1165" s="1" t="s">
        <v>282</v>
      </c>
      <c r="EO1165" s="1" t="s">
        <v>234</v>
      </c>
      <c r="EP1165" s="1" t="s">
        <v>650</v>
      </c>
      <c r="EQ1165" s="1" t="s">
        <v>1094</v>
      </c>
      <c r="ER1165" s="1" t="s">
        <v>210</v>
      </c>
      <c r="ES1165" s="1" t="s">
        <v>824</v>
      </c>
      <c r="ET1165" s="1" t="s">
        <v>842</v>
      </c>
      <c r="EU1165" s="1" t="s">
        <v>12120</v>
      </c>
      <c r="EV1165" s="1" t="s">
        <v>324</v>
      </c>
      <c r="EW1165" s="1" t="s">
        <v>353</v>
      </c>
      <c r="EZ1165" s="1" t="s">
        <v>4284</v>
      </c>
      <c r="FA1165" s="1" t="s">
        <v>471</v>
      </c>
      <c r="FC1165" s="1" t="s">
        <v>548</v>
      </c>
      <c r="FD1165" s="1" t="s">
        <v>246</v>
      </c>
      <c r="FE1165" s="1" t="s">
        <v>975</v>
      </c>
      <c r="FF1165" s="1" t="s">
        <v>248</v>
      </c>
      <c r="FH1165" s="1" t="s">
        <v>550</v>
      </c>
      <c r="FI1165" s="1" t="s">
        <v>473</v>
      </c>
      <c r="FL1165" s="1" t="s">
        <v>358</v>
      </c>
      <c r="FM1165" s="1" t="s">
        <v>252</v>
      </c>
      <c r="FN1165" s="1" t="s">
        <v>213</v>
      </c>
      <c r="FO1165" s="1" t="s">
        <v>213</v>
      </c>
      <c r="FQ1165" s="1" t="s">
        <v>10964</v>
      </c>
      <c r="FR1165" s="1" t="s">
        <v>210</v>
      </c>
      <c r="FS1165" s="1" t="s">
        <v>4273</v>
      </c>
      <c r="FT1165" s="1" t="s">
        <v>295</v>
      </c>
      <c r="FU1165" s="1" t="s">
        <v>204</v>
      </c>
      <c r="FW1165" s="1" t="s">
        <v>10191</v>
      </c>
      <c r="FX1165" s="1">
        <v>23830</v>
      </c>
      <c r="FY1165" s="1" t="s">
        <v>10192</v>
      </c>
      <c r="FZ1165" s="1" t="s">
        <v>10193</v>
      </c>
      <c r="GA1165" s="1">
        <v>218461</v>
      </c>
      <c r="GB1165" s="1" t="s">
        <v>10194</v>
      </c>
      <c r="GC1165" s="1">
        <v>234831</v>
      </c>
      <c r="GE1165" s="1" t="s">
        <v>480</v>
      </c>
      <c r="GI1165" s="1" t="s">
        <v>213</v>
      </c>
      <c r="GJ1165" s="1" t="s">
        <v>260</v>
      </c>
      <c r="GK1165" s="1" t="s">
        <v>210</v>
      </c>
      <c r="GL1165" s="2">
        <v>42143</v>
      </c>
      <c r="GM1165" s="1" t="s">
        <v>12121</v>
      </c>
    </row>
    <row r="1166" spans="1:195">
      <c r="A1166" s="1">
        <v>110000</v>
      </c>
      <c r="B1166" s="1" t="s">
        <v>195</v>
      </c>
      <c r="C1166" s="1" t="str">
        <f>"08845341"</f>
        <v>08845341</v>
      </c>
      <c r="D1166" s="1" t="s">
        <v>196</v>
      </c>
      <c r="F1166" s="1" t="str">
        <f>"187"</f>
        <v>187</v>
      </c>
      <c r="G1166" s="2">
        <v>42059</v>
      </c>
      <c r="H1166" s="1">
        <v>114900</v>
      </c>
      <c r="I1166" s="1">
        <v>114900</v>
      </c>
      <c r="J1166" s="1">
        <v>110000</v>
      </c>
      <c r="K1166" s="2">
        <v>42059</v>
      </c>
      <c r="L1166" s="1">
        <v>17</v>
      </c>
      <c r="M1166" s="2">
        <v>42075</v>
      </c>
      <c r="N1166" s="1">
        <v>17</v>
      </c>
      <c r="O1166" s="2">
        <v>42075</v>
      </c>
      <c r="P1166" s="1">
        <v>49</v>
      </c>
      <c r="Q1166" s="1" t="s">
        <v>197</v>
      </c>
      <c r="R1166" s="2">
        <v>42139</v>
      </c>
      <c r="S1166" s="1">
        <v>720</v>
      </c>
      <c r="T1166" s="1">
        <v>600</v>
      </c>
      <c r="U1166" s="1">
        <v>1684</v>
      </c>
      <c r="V1166" s="1" t="s">
        <v>12122</v>
      </c>
      <c r="W1166" s="1" t="s">
        <v>304</v>
      </c>
      <c r="X1166" s="1" t="s">
        <v>1688</v>
      </c>
      <c r="Y1166" s="1">
        <v>4</v>
      </c>
      <c r="Z1166" s="1" t="s">
        <v>370</v>
      </c>
      <c r="AA1166" s="1" t="s">
        <v>964</v>
      </c>
      <c r="AB1166" s="1">
        <v>60189</v>
      </c>
      <c r="AD1166" s="1" t="s">
        <v>965</v>
      </c>
      <c r="AE1166" s="1" t="s">
        <v>12123</v>
      </c>
      <c r="AF1166" s="1">
        <v>1974</v>
      </c>
      <c r="AG1166" s="1" t="s">
        <v>213</v>
      </c>
      <c r="AH1166" s="1" t="s">
        <v>967</v>
      </c>
      <c r="AI1166" s="1" t="s">
        <v>206</v>
      </c>
      <c r="AJ1166" s="1" t="s">
        <v>207</v>
      </c>
      <c r="AL1166" s="1">
        <v>5</v>
      </c>
      <c r="AM1166" s="1">
        <v>2</v>
      </c>
      <c r="AN1166" s="1">
        <v>1</v>
      </c>
      <c r="AO1166" s="1">
        <v>0</v>
      </c>
      <c r="AP1166" s="1" t="s">
        <v>210</v>
      </c>
      <c r="AQ1166" s="1">
        <v>0</v>
      </c>
      <c r="AR1166" s="1" t="s">
        <v>210</v>
      </c>
      <c r="AS1166" s="1" t="s">
        <v>204</v>
      </c>
      <c r="AT1166" s="1" t="s">
        <v>211</v>
      </c>
      <c r="AU1166" s="1">
        <v>1</v>
      </c>
      <c r="AW1166" s="1" t="s">
        <v>204</v>
      </c>
      <c r="AX1166" s="1" t="s">
        <v>212</v>
      </c>
      <c r="AZ1166" s="1">
        <v>2945</v>
      </c>
      <c r="BA1166" s="1">
        <v>2013</v>
      </c>
      <c r="BB1166" s="1" t="s">
        <v>405</v>
      </c>
      <c r="BE1166" s="1">
        <v>968</v>
      </c>
      <c r="BF1166" s="1">
        <v>1</v>
      </c>
      <c r="BG1166" s="1">
        <v>0</v>
      </c>
      <c r="BL1166" s="1">
        <v>179</v>
      </c>
      <c r="BM1166" s="1" t="s">
        <v>204</v>
      </c>
      <c r="BN1166" s="1" t="s">
        <v>213</v>
      </c>
      <c r="BO1166" s="1">
        <v>999</v>
      </c>
      <c r="BP1166" s="1" t="s">
        <v>204</v>
      </c>
      <c r="BR1166" s="1" t="str">
        <f>"0527106050"</f>
        <v>0527106050</v>
      </c>
      <c r="BT1166" s="1" t="s">
        <v>12124</v>
      </c>
      <c r="BU1166" s="1" t="s">
        <v>969</v>
      </c>
      <c r="BV1166" s="1" t="s">
        <v>970</v>
      </c>
      <c r="BW1166" s="1" t="s">
        <v>971</v>
      </c>
      <c r="BX1166" s="1">
        <v>200</v>
      </c>
      <c r="BY1166" s="1">
        <v>200</v>
      </c>
      <c r="BZ1166" s="1">
        <v>200</v>
      </c>
      <c r="CB1166" s="1" t="str">
        <f t="shared" si="899"/>
        <v>0</v>
      </c>
      <c r="CC1166" s="1" t="str">
        <f t="shared" si="900"/>
        <v>0</v>
      </c>
      <c r="CD1166" s="1">
        <v>24</v>
      </c>
      <c r="CE1166" s="1">
        <v>2</v>
      </c>
      <c r="CG1166" s="1" t="s">
        <v>538</v>
      </c>
      <c r="CH1166" s="1" t="s">
        <v>219</v>
      </c>
      <c r="CI1166" s="1" t="s">
        <v>220</v>
      </c>
      <c r="CJ1166" s="1" t="s">
        <v>343</v>
      </c>
      <c r="CK1166" s="1" t="s">
        <v>972</v>
      </c>
      <c r="CL1166" s="1" t="s">
        <v>277</v>
      </c>
      <c r="CM1166" s="1" t="s">
        <v>220</v>
      </c>
      <c r="CN1166" s="1" t="s">
        <v>252</v>
      </c>
      <c r="CO1166" s="1" t="s">
        <v>409</v>
      </c>
      <c r="CP1166" s="1" t="s">
        <v>219</v>
      </c>
      <c r="CQ1166" s="1" t="s">
        <v>229</v>
      </c>
      <c r="CS1166" s="1" t="s">
        <v>346</v>
      </c>
      <c r="CT1166" s="1" t="s">
        <v>277</v>
      </c>
      <c r="CU1166" s="1" t="s">
        <v>220</v>
      </c>
      <c r="CV1166" s="1" t="s">
        <v>343</v>
      </c>
      <c r="CX1166" s="1" t="s">
        <v>224</v>
      </c>
      <c r="DB1166" s="1" t="s">
        <v>224</v>
      </c>
      <c r="DE1166" s="1" t="s">
        <v>379</v>
      </c>
      <c r="DF1166" s="1" t="s">
        <v>219</v>
      </c>
      <c r="DG1166" s="1" t="s">
        <v>229</v>
      </c>
      <c r="DJ1166" s="1" t="s">
        <v>224</v>
      </c>
      <c r="DS1166" s="1" t="s">
        <v>230</v>
      </c>
      <c r="DW1166" s="1" t="s">
        <v>230</v>
      </c>
      <c r="EA1166" s="1" t="s">
        <v>230</v>
      </c>
      <c r="EE1166" s="1" t="s">
        <v>230</v>
      </c>
      <c r="EI1166" s="1" t="s">
        <v>230</v>
      </c>
      <c r="EL1166" s="1" t="s">
        <v>605</v>
      </c>
      <c r="EM1166" s="1" t="s">
        <v>232</v>
      </c>
      <c r="EN1166" s="1" t="s">
        <v>282</v>
      </c>
      <c r="EO1166" s="1" t="s">
        <v>234</v>
      </c>
      <c r="EP1166" s="1" t="s">
        <v>10095</v>
      </c>
      <c r="EQ1166" s="1" t="s">
        <v>492</v>
      </c>
      <c r="ER1166" s="1" t="s">
        <v>1069</v>
      </c>
      <c r="ES1166" s="1" t="s">
        <v>545</v>
      </c>
      <c r="EU1166" s="1" t="s">
        <v>712</v>
      </c>
      <c r="EW1166" s="1" t="s">
        <v>1679</v>
      </c>
      <c r="EY1166" s="1" t="s">
        <v>242</v>
      </c>
      <c r="EZ1166" s="1" t="s">
        <v>287</v>
      </c>
      <c r="FA1166" s="1" t="s">
        <v>1072</v>
      </c>
      <c r="FB1166" s="1" t="s">
        <v>289</v>
      </c>
      <c r="FD1166" s="1" t="s">
        <v>246</v>
      </c>
      <c r="FE1166" s="1" t="s">
        <v>472</v>
      </c>
      <c r="FF1166" s="1" t="s">
        <v>2998</v>
      </c>
      <c r="FH1166" s="1" t="s">
        <v>356</v>
      </c>
      <c r="FJ1166" s="1" t="s">
        <v>197</v>
      </c>
      <c r="FL1166" s="1" t="s">
        <v>358</v>
      </c>
      <c r="FM1166" s="1" t="s">
        <v>252</v>
      </c>
      <c r="FN1166" s="1" t="s">
        <v>213</v>
      </c>
      <c r="FO1166" s="1" t="s">
        <v>213</v>
      </c>
      <c r="FQ1166" s="1" t="s">
        <v>849</v>
      </c>
      <c r="FR1166" s="1" t="s">
        <v>210</v>
      </c>
      <c r="FS1166" s="1" t="s">
        <v>4124</v>
      </c>
      <c r="FT1166" s="1" t="s">
        <v>255</v>
      </c>
      <c r="FU1166" s="1" t="s">
        <v>204</v>
      </c>
      <c r="FW1166" s="1" t="s">
        <v>4125</v>
      </c>
      <c r="FX1166" s="1">
        <v>8073</v>
      </c>
      <c r="FY1166" s="1" t="s">
        <v>4126</v>
      </c>
      <c r="FZ1166" s="1" t="s">
        <v>12125</v>
      </c>
      <c r="GA1166" s="1">
        <v>241962</v>
      </c>
      <c r="GB1166" s="1" t="s">
        <v>12126</v>
      </c>
      <c r="GE1166" s="1" t="s">
        <v>335</v>
      </c>
      <c r="GI1166" s="1" t="s">
        <v>213</v>
      </c>
      <c r="GJ1166" s="1" t="s">
        <v>260</v>
      </c>
      <c r="GK1166" s="1" t="s">
        <v>210</v>
      </c>
      <c r="GL1166" s="2">
        <v>42139</v>
      </c>
      <c r="GM1166" s="1" t="s">
        <v>12127</v>
      </c>
    </row>
    <row r="1167" spans="1:195">
      <c r="A1167" s="1">
        <v>177000</v>
      </c>
      <c r="B1167" s="1" t="s">
        <v>195</v>
      </c>
      <c r="C1167" s="1" t="str">
        <f>"08845907"</f>
        <v>08845907</v>
      </c>
      <c r="D1167" s="1" t="s">
        <v>196</v>
      </c>
      <c r="F1167" s="1" t="str">
        <f>"540"</f>
        <v>540</v>
      </c>
      <c r="G1167" s="2">
        <v>42059</v>
      </c>
      <c r="H1167" s="1">
        <v>185000</v>
      </c>
      <c r="I1167" s="1">
        <v>185000</v>
      </c>
      <c r="J1167" s="1">
        <v>177000</v>
      </c>
      <c r="K1167" s="2">
        <v>42059</v>
      </c>
      <c r="L1167" s="1">
        <v>14</v>
      </c>
      <c r="M1167" s="2">
        <v>42072</v>
      </c>
      <c r="N1167" s="1">
        <v>14</v>
      </c>
      <c r="O1167" s="2">
        <v>42072</v>
      </c>
      <c r="P1167" s="1">
        <v>23076</v>
      </c>
      <c r="Q1167" s="1" t="s">
        <v>302</v>
      </c>
      <c r="R1167" s="2">
        <v>42123</v>
      </c>
      <c r="S1167" s="1">
        <v>230920</v>
      </c>
      <c r="U1167" s="1">
        <v>1203</v>
      </c>
      <c r="V1167" s="1" t="s">
        <v>11167</v>
      </c>
      <c r="W1167" s="1" t="s">
        <v>504</v>
      </c>
      <c r="X1167" s="1">
        <v>1203</v>
      </c>
      <c r="Y1167" s="1">
        <v>5</v>
      </c>
      <c r="Z1167" s="1" t="s">
        <v>249</v>
      </c>
      <c r="AA1167" s="1" t="s">
        <v>921</v>
      </c>
      <c r="AB1167" s="1">
        <v>60540</v>
      </c>
      <c r="AD1167" s="1" t="s">
        <v>11017</v>
      </c>
      <c r="AE1167" s="1" t="s">
        <v>12128</v>
      </c>
      <c r="AF1167" s="1">
        <v>1990</v>
      </c>
      <c r="AG1167" s="1" t="s">
        <v>204</v>
      </c>
      <c r="AH1167" s="1" t="s">
        <v>924</v>
      </c>
      <c r="AI1167" s="1" t="s">
        <v>206</v>
      </c>
      <c r="AJ1167" s="1" t="s">
        <v>924</v>
      </c>
      <c r="AK1167" s="1" t="s">
        <v>666</v>
      </c>
      <c r="AL1167" s="1">
        <v>5</v>
      </c>
      <c r="AM1167" s="1">
        <v>2</v>
      </c>
      <c r="AN1167" s="1">
        <v>2</v>
      </c>
      <c r="AO1167" s="1">
        <v>0</v>
      </c>
      <c r="AP1167" s="1" t="s">
        <v>209</v>
      </c>
      <c r="AQ1167" s="1">
        <v>1</v>
      </c>
      <c r="AR1167" s="1" t="s">
        <v>210</v>
      </c>
      <c r="AS1167" s="1" t="s">
        <v>204</v>
      </c>
      <c r="AT1167" s="1" t="s">
        <v>211</v>
      </c>
      <c r="AU1167" s="1">
        <v>1</v>
      </c>
      <c r="AW1167" s="1" t="s">
        <v>204</v>
      </c>
      <c r="AX1167" s="1" t="s">
        <v>212</v>
      </c>
      <c r="AZ1167" s="1">
        <v>3791</v>
      </c>
      <c r="BA1167" s="1">
        <v>2013</v>
      </c>
      <c r="BB1167" s="1" t="s">
        <v>599</v>
      </c>
      <c r="BE1167" s="1">
        <v>1417</v>
      </c>
      <c r="BF1167" s="1">
        <v>2</v>
      </c>
      <c r="BG1167" s="1">
        <v>0</v>
      </c>
      <c r="BL1167" s="1">
        <v>255</v>
      </c>
      <c r="BM1167" s="1" t="s">
        <v>204</v>
      </c>
      <c r="BN1167" s="1" t="s">
        <v>213</v>
      </c>
      <c r="BO1167" s="1">
        <v>0</v>
      </c>
      <c r="BP1167" s="1" t="s">
        <v>204</v>
      </c>
      <c r="BR1167" s="1" t="str">
        <f>"0726206104"</f>
        <v>0726206104</v>
      </c>
      <c r="BT1167" s="1" t="s">
        <v>12129</v>
      </c>
      <c r="BX1167" s="1">
        <v>204</v>
      </c>
      <c r="BY1167" s="1">
        <v>204</v>
      </c>
      <c r="BZ1167" s="1">
        <v>204</v>
      </c>
      <c r="CB1167" s="1" t="str">
        <f t="shared" si="899"/>
        <v>0</v>
      </c>
      <c r="CC1167" s="1" t="str">
        <f t="shared" si="900"/>
        <v>0</v>
      </c>
      <c r="CD1167" s="1">
        <v>28</v>
      </c>
      <c r="CE1167" s="1">
        <v>8</v>
      </c>
      <c r="CG1167" s="1" t="s">
        <v>7317</v>
      </c>
      <c r="CH1167" s="1" t="s">
        <v>277</v>
      </c>
      <c r="CI1167" s="1" t="s">
        <v>220</v>
      </c>
      <c r="CK1167" s="1" t="s">
        <v>1045</v>
      </c>
      <c r="CL1167" s="1" t="s">
        <v>277</v>
      </c>
      <c r="CM1167" s="1" t="s">
        <v>220</v>
      </c>
      <c r="CO1167" s="1" t="s">
        <v>346</v>
      </c>
      <c r="CP1167" s="1" t="s">
        <v>277</v>
      </c>
      <c r="CQ1167" s="1" t="s">
        <v>220</v>
      </c>
      <c r="CS1167" s="1" t="s">
        <v>379</v>
      </c>
      <c r="CT1167" s="1" t="s">
        <v>277</v>
      </c>
      <c r="CU1167" s="1" t="s">
        <v>220</v>
      </c>
      <c r="CX1167" s="1" t="s">
        <v>224</v>
      </c>
      <c r="DB1167" s="1" t="s">
        <v>224</v>
      </c>
      <c r="DE1167" s="1" t="s">
        <v>223</v>
      </c>
      <c r="DF1167" s="1" t="s">
        <v>277</v>
      </c>
      <c r="DG1167" s="1" t="s">
        <v>226</v>
      </c>
      <c r="DJ1167" s="1" t="s">
        <v>224</v>
      </c>
      <c r="DS1167" s="1" t="s">
        <v>230</v>
      </c>
      <c r="DW1167" s="1" t="s">
        <v>230</v>
      </c>
      <c r="EA1167" s="1" t="s">
        <v>230</v>
      </c>
      <c r="EE1167" s="1" t="s">
        <v>230</v>
      </c>
      <c r="EI1167" s="1" t="s">
        <v>230</v>
      </c>
      <c r="EL1167" s="1" t="s">
        <v>382</v>
      </c>
      <c r="EM1167" s="1" t="s">
        <v>232</v>
      </c>
      <c r="EN1167" s="1" t="s">
        <v>282</v>
      </c>
      <c r="EO1167" s="1" t="s">
        <v>1020</v>
      </c>
      <c r="ER1167" s="1" t="s">
        <v>210</v>
      </c>
      <c r="EW1167" s="1" t="s">
        <v>1804</v>
      </c>
      <c r="EZ1167" s="1" t="s">
        <v>287</v>
      </c>
      <c r="FA1167" s="1" t="s">
        <v>714</v>
      </c>
      <c r="FD1167" s="1" t="s">
        <v>246</v>
      </c>
      <c r="FE1167" s="1" t="s">
        <v>549</v>
      </c>
      <c r="FF1167" s="1" t="s">
        <v>248</v>
      </c>
      <c r="FG1167" s="1" t="s">
        <v>1682</v>
      </c>
      <c r="FH1167" s="1" t="s">
        <v>249</v>
      </c>
      <c r="FL1167" s="1" t="s">
        <v>358</v>
      </c>
      <c r="FM1167" s="1" t="s">
        <v>252</v>
      </c>
      <c r="FN1167" s="1" t="s">
        <v>213</v>
      </c>
      <c r="FO1167" s="1" t="s">
        <v>213</v>
      </c>
      <c r="FQ1167" s="1" t="s">
        <v>1317</v>
      </c>
      <c r="FR1167" s="1" t="s">
        <v>210</v>
      </c>
      <c r="FS1167" s="1" t="s">
        <v>12130</v>
      </c>
      <c r="FT1167" s="1" t="s">
        <v>12131</v>
      </c>
      <c r="FU1167" s="1" t="s">
        <v>204</v>
      </c>
      <c r="FW1167" s="1" t="s">
        <v>2179</v>
      </c>
      <c r="FX1167" s="1">
        <v>22039</v>
      </c>
      <c r="FY1167" s="1" t="s">
        <v>2180</v>
      </c>
      <c r="FZ1167" s="1" t="s">
        <v>12132</v>
      </c>
      <c r="GA1167" s="1">
        <v>238286</v>
      </c>
      <c r="GB1167" s="1" t="s">
        <v>12133</v>
      </c>
      <c r="GC1167" s="1">
        <v>235042</v>
      </c>
      <c r="GE1167" s="1" t="s">
        <v>210</v>
      </c>
      <c r="GI1167" s="1" t="s">
        <v>213</v>
      </c>
      <c r="GJ1167" s="1" t="s">
        <v>260</v>
      </c>
      <c r="GK1167" s="1" t="s">
        <v>261</v>
      </c>
      <c r="GL1167" s="2">
        <v>42123</v>
      </c>
      <c r="GM1167" s="1" t="s">
        <v>12134</v>
      </c>
    </row>
    <row r="1168" spans="1:195">
      <c r="A1168" s="1">
        <v>85000</v>
      </c>
      <c r="B1168" s="1" t="s">
        <v>195</v>
      </c>
      <c r="C1168" s="1" t="str">
        <f>"08854014"</f>
        <v>08854014</v>
      </c>
      <c r="D1168" s="1" t="s">
        <v>196</v>
      </c>
      <c r="F1168" s="1" t="str">
        <f>"171"</f>
        <v>171</v>
      </c>
      <c r="G1168" s="2">
        <v>42069</v>
      </c>
      <c r="H1168" s="1">
        <v>92850</v>
      </c>
      <c r="I1168" s="1">
        <v>92850</v>
      </c>
      <c r="J1168" s="1">
        <v>85000</v>
      </c>
      <c r="K1168" s="2">
        <v>42069</v>
      </c>
      <c r="L1168" s="1">
        <v>6</v>
      </c>
      <c r="M1168" s="2">
        <v>42074</v>
      </c>
      <c r="N1168" s="1">
        <v>6</v>
      </c>
      <c r="O1168" s="2">
        <v>42074</v>
      </c>
      <c r="P1168" s="1">
        <v>25563</v>
      </c>
      <c r="Q1168" s="1" t="s">
        <v>197</v>
      </c>
      <c r="R1168" s="2">
        <v>42122</v>
      </c>
      <c r="S1168" s="1">
        <v>923091</v>
      </c>
      <c r="U1168" s="1">
        <v>8627</v>
      </c>
      <c r="V1168" s="1" t="s">
        <v>6871</v>
      </c>
      <c r="W1168" s="1" t="s">
        <v>425</v>
      </c>
      <c r="X1168" s="1">
        <v>3</v>
      </c>
      <c r="Y1168" s="1">
        <v>10</v>
      </c>
      <c r="Z1168" s="1" t="s">
        <v>249</v>
      </c>
      <c r="AA1168" s="1" t="s">
        <v>2365</v>
      </c>
      <c r="AB1168" s="1">
        <v>60171</v>
      </c>
      <c r="AE1168" s="1" t="s">
        <v>12135</v>
      </c>
      <c r="AF1168" s="1">
        <v>1965</v>
      </c>
      <c r="AG1168" s="1" t="s">
        <v>213</v>
      </c>
      <c r="AH1168" s="1" t="s">
        <v>2367</v>
      </c>
      <c r="AI1168" s="1" t="s">
        <v>310</v>
      </c>
      <c r="AJ1168" s="1" t="s">
        <v>311</v>
      </c>
      <c r="AK1168" s="1" t="s">
        <v>270</v>
      </c>
      <c r="AL1168" s="1">
        <v>5</v>
      </c>
      <c r="AM1168" s="1">
        <v>2</v>
      </c>
      <c r="AN1168" s="1">
        <v>1</v>
      </c>
      <c r="AO1168" s="1">
        <v>0</v>
      </c>
      <c r="AP1168" s="1" t="s">
        <v>210</v>
      </c>
      <c r="AQ1168" s="1">
        <v>0</v>
      </c>
      <c r="AR1168" s="1" t="s">
        <v>210</v>
      </c>
      <c r="AS1168" s="1" t="s">
        <v>204</v>
      </c>
      <c r="AT1168" s="1" t="s">
        <v>271</v>
      </c>
      <c r="AV1168" s="1">
        <v>1</v>
      </c>
      <c r="AW1168" s="1" t="s">
        <v>204</v>
      </c>
      <c r="AX1168" s="1" t="s">
        <v>212</v>
      </c>
      <c r="AZ1168" s="6">
        <v>637</v>
      </c>
      <c r="BA1168" s="1">
        <v>2013</v>
      </c>
      <c r="BB1168" s="1" t="s">
        <v>210</v>
      </c>
      <c r="BC1168" s="1">
        <v>0</v>
      </c>
      <c r="BE1168" s="1">
        <v>0</v>
      </c>
      <c r="BF1168" s="1">
        <v>1</v>
      </c>
      <c r="BG1168" s="1">
        <v>0</v>
      </c>
      <c r="BL1168" s="1">
        <v>192</v>
      </c>
      <c r="BM1168" s="1" t="s">
        <v>204</v>
      </c>
      <c r="BN1168" s="1" t="s">
        <v>213</v>
      </c>
      <c r="BO1168" s="1">
        <v>50</v>
      </c>
      <c r="BP1168" s="1" t="s">
        <v>204</v>
      </c>
      <c r="BR1168" s="1" t="str">
        <f>"12263070361009"</f>
        <v>12263070361009</v>
      </c>
      <c r="BT1168" s="1" t="s">
        <v>12136</v>
      </c>
      <c r="BX1168" s="1">
        <v>85.5</v>
      </c>
      <c r="BY1168" s="1">
        <v>85.5</v>
      </c>
      <c r="BZ1168" s="1">
        <v>212</v>
      </c>
      <c r="CB1168" s="1" t="str">
        <f>"2600"</f>
        <v>2600</v>
      </c>
      <c r="CC1168" s="1" t="str">
        <f t="shared" si="900"/>
        <v>0</v>
      </c>
      <c r="CD1168" s="1">
        <v>8627</v>
      </c>
      <c r="CE1168" s="1">
        <v>0</v>
      </c>
      <c r="CG1168" s="1" t="s">
        <v>669</v>
      </c>
      <c r="CH1168" s="1" t="s">
        <v>219</v>
      </c>
      <c r="CI1168" s="1" t="s">
        <v>229</v>
      </c>
      <c r="CJ1168" s="1" t="s">
        <v>343</v>
      </c>
      <c r="CK1168" s="1" t="s">
        <v>1358</v>
      </c>
      <c r="CL1168" s="1" t="s">
        <v>219</v>
      </c>
      <c r="CM1168" s="1" t="s">
        <v>220</v>
      </c>
      <c r="CN1168" s="1" t="s">
        <v>343</v>
      </c>
      <c r="CO1168" s="1" t="s">
        <v>2308</v>
      </c>
      <c r="CP1168" s="1" t="s">
        <v>219</v>
      </c>
      <c r="CQ1168" s="1" t="s">
        <v>226</v>
      </c>
      <c r="CR1168" s="1" t="s">
        <v>210</v>
      </c>
      <c r="CS1168" s="1" t="s">
        <v>408</v>
      </c>
      <c r="CT1168" s="1" t="s">
        <v>219</v>
      </c>
      <c r="CU1168" s="1" t="s">
        <v>220</v>
      </c>
      <c r="CV1168" s="1" t="s">
        <v>343</v>
      </c>
      <c r="CX1168" s="1" t="s">
        <v>224</v>
      </c>
      <c r="DB1168" s="1" t="s">
        <v>224</v>
      </c>
      <c r="DE1168" s="1" t="s">
        <v>316</v>
      </c>
      <c r="DF1168" s="1" t="s">
        <v>219</v>
      </c>
      <c r="DG1168" s="1" t="s">
        <v>226</v>
      </c>
      <c r="DH1168" s="1" t="s">
        <v>210</v>
      </c>
      <c r="DJ1168" s="1" t="s">
        <v>224</v>
      </c>
      <c r="DS1168" s="1" t="s">
        <v>230</v>
      </c>
      <c r="DW1168" s="1" t="s">
        <v>230</v>
      </c>
      <c r="EA1168" s="1" t="s">
        <v>230</v>
      </c>
      <c r="EE1168" s="1" t="s">
        <v>230</v>
      </c>
      <c r="EI1168" s="1" t="s">
        <v>230</v>
      </c>
      <c r="EL1168" s="1" t="s">
        <v>605</v>
      </c>
      <c r="EM1168" s="1" t="s">
        <v>232</v>
      </c>
      <c r="EN1168" s="1" t="s">
        <v>731</v>
      </c>
      <c r="EO1168" s="1" t="s">
        <v>234</v>
      </c>
      <c r="EP1168" s="1" t="s">
        <v>12137</v>
      </c>
      <c r="EQ1168" s="1" t="s">
        <v>350</v>
      </c>
      <c r="ER1168" s="1" t="s">
        <v>210</v>
      </c>
      <c r="ES1168" s="1" t="s">
        <v>1552</v>
      </c>
      <c r="EV1168" s="1" t="s">
        <v>324</v>
      </c>
      <c r="EW1168" s="1" t="s">
        <v>12138</v>
      </c>
      <c r="EZ1168" s="1" t="s">
        <v>287</v>
      </c>
      <c r="FD1168" s="1" t="s">
        <v>246</v>
      </c>
      <c r="FE1168" s="1" t="s">
        <v>247</v>
      </c>
      <c r="FF1168" s="1" t="s">
        <v>248</v>
      </c>
      <c r="FH1168" s="1" t="s">
        <v>249</v>
      </c>
      <c r="FK1168" s="1" t="s">
        <v>291</v>
      </c>
      <c r="FL1168" s="1" t="s">
        <v>414</v>
      </c>
      <c r="FM1168" s="1" t="s">
        <v>252</v>
      </c>
      <c r="FN1168" s="1" t="s">
        <v>213</v>
      </c>
      <c r="FO1168" s="1" t="s">
        <v>204</v>
      </c>
      <c r="FQ1168" s="1" t="s">
        <v>293</v>
      </c>
      <c r="FR1168" s="1" t="s">
        <v>210</v>
      </c>
      <c r="FS1168" s="1" t="s">
        <v>12139</v>
      </c>
      <c r="FT1168" s="1" t="s">
        <v>295</v>
      </c>
      <c r="FU1168" s="1" t="s">
        <v>204</v>
      </c>
      <c r="FW1168" s="1" t="s">
        <v>12140</v>
      </c>
      <c r="FX1168" s="1">
        <v>18805</v>
      </c>
      <c r="FY1168" s="1" t="s">
        <v>12141</v>
      </c>
      <c r="FZ1168" s="1" t="s">
        <v>12142</v>
      </c>
      <c r="GA1168" s="1">
        <v>170907</v>
      </c>
      <c r="GB1168" s="1" t="s">
        <v>12143</v>
      </c>
      <c r="GC1168" s="1">
        <v>40076</v>
      </c>
      <c r="GD1168" s="1" t="s">
        <v>12144</v>
      </c>
      <c r="GE1168" s="1" t="s">
        <v>480</v>
      </c>
      <c r="GH1168" s="1" t="s">
        <v>589</v>
      </c>
      <c r="GI1168" s="1" t="s">
        <v>213</v>
      </c>
      <c r="GJ1168" s="1" t="s">
        <v>260</v>
      </c>
      <c r="GK1168" s="1" t="s">
        <v>210</v>
      </c>
      <c r="GL1168" s="2">
        <v>42123</v>
      </c>
      <c r="GM1168" s="1" t="s">
        <v>12145</v>
      </c>
    </row>
    <row r="1169" spans="1:195">
      <c r="A1169" s="1">
        <v>272000</v>
      </c>
      <c r="B1169" s="1" t="s">
        <v>195</v>
      </c>
      <c r="C1169" s="1" t="str">
        <f>"08846881"</f>
        <v>08846881</v>
      </c>
      <c r="D1169" s="1" t="s">
        <v>196</v>
      </c>
      <c r="F1169" s="1" t="str">
        <f>"540"</f>
        <v>540</v>
      </c>
      <c r="G1169" s="2">
        <v>42061</v>
      </c>
      <c r="H1169" s="1">
        <v>270000</v>
      </c>
      <c r="I1169" s="1">
        <v>270000</v>
      </c>
      <c r="J1169" s="1">
        <v>272000</v>
      </c>
      <c r="K1169" s="2">
        <v>42061</v>
      </c>
      <c r="L1169" s="1">
        <v>7</v>
      </c>
      <c r="M1169" s="2">
        <v>42067</v>
      </c>
      <c r="N1169" s="1">
        <v>7</v>
      </c>
      <c r="O1169" s="2">
        <v>42067</v>
      </c>
      <c r="P1169" s="1">
        <v>24695</v>
      </c>
      <c r="Q1169" s="1" t="s">
        <v>197</v>
      </c>
      <c r="R1169" s="2">
        <v>42107</v>
      </c>
      <c r="S1169" s="1">
        <v>234503</v>
      </c>
      <c r="U1169" s="1">
        <v>3127</v>
      </c>
      <c r="V1169" s="1" t="s">
        <v>12146</v>
      </c>
      <c r="W1169" s="1" t="s">
        <v>504</v>
      </c>
      <c r="Y1169" s="1">
        <v>3</v>
      </c>
      <c r="Z1169" s="1" t="s">
        <v>370</v>
      </c>
      <c r="AA1169" s="1" t="s">
        <v>921</v>
      </c>
      <c r="AB1169" s="1">
        <v>60564</v>
      </c>
      <c r="AD1169" s="1" t="s">
        <v>12147</v>
      </c>
      <c r="AE1169" s="1" t="s">
        <v>12148</v>
      </c>
      <c r="AF1169" s="1">
        <v>2006</v>
      </c>
      <c r="AG1169" s="1" t="s">
        <v>204</v>
      </c>
      <c r="AH1169" s="1" t="s">
        <v>924</v>
      </c>
      <c r="AI1169" s="1" t="s">
        <v>1800</v>
      </c>
      <c r="AJ1169" s="1" t="s">
        <v>1801</v>
      </c>
      <c r="AK1169" s="1" t="s">
        <v>12149</v>
      </c>
      <c r="AL1169" s="1">
        <v>9</v>
      </c>
      <c r="AM1169" s="1">
        <v>2</v>
      </c>
      <c r="AN1169" s="1">
        <v>2</v>
      </c>
      <c r="AO1169" s="1">
        <v>1</v>
      </c>
      <c r="AP1169" s="1" t="s">
        <v>209</v>
      </c>
      <c r="AQ1169" s="1">
        <v>1</v>
      </c>
      <c r="AR1169" s="1" t="s">
        <v>2275</v>
      </c>
      <c r="AS1169" s="1" t="s">
        <v>213</v>
      </c>
      <c r="AT1169" s="1" t="s">
        <v>211</v>
      </c>
      <c r="AU1169" s="1">
        <v>2</v>
      </c>
      <c r="AW1169" s="1" t="s">
        <v>204</v>
      </c>
      <c r="AX1169" s="1" t="s">
        <v>212</v>
      </c>
      <c r="AZ1169" s="1">
        <v>5387.96</v>
      </c>
      <c r="BA1169" s="1">
        <v>2013</v>
      </c>
      <c r="BB1169" s="1" t="s">
        <v>210</v>
      </c>
      <c r="BE1169" s="1">
        <v>1954</v>
      </c>
      <c r="BF1169" s="1">
        <v>1</v>
      </c>
      <c r="BG1169" s="1">
        <v>30</v>
      </c>
      <c r="BL1169" s="1">
        <v>171</v>
      </c>
      <c r="BM1169" s="1" t="s">
        <v>204</v>
      </c>
      <c r="BN1169" s="1" t="s">
        <v>213</v>
      </c>
      <c r="BO1169" s="1">
        <v>20</v>
      </c>
      <c r="BP1169" s="1" t="s">
        <v>204</v>
      </c>
      <c r="BR1169" s="1" t="str">
        <f>"01094031370000"</f>
        <v>01094031370000</v>
      </c>
      <c r="BT1169" s="1" t="s">
        <v>12150</v>
      </c>
      <c r="BU1169" s="1" t="s">
        <v>7599</v>
      </c>
      <c r="BV1169" s="1" t="s">
        <v>2217</v>
      </c>
      <c r="BW1169" s="1" t="s">
        <v>1312</v>
      </c>
      <c r="BX1169" s="1">
        <v>204</v>
      </c>
      <c r="BY1169" s="1">
        <v>204</v>
      </c>
      <c r="BZ1169" s="1">
        <v>204</v>
      </c>
      <c r="CB1169" s="1" t="str">
        <f t="shared" ref="CB1169:CC1169" si="901">"0"</f>
        <v>0</v>
      </c>
      <c r="CC1169" s="1" t="str">
        <f t="shared" si="901"/>
        <v>0</v>
      </c>
      <c r="CD1169" s="1">
        <v>30</v>
      </c>
      <c r="CE1169" s="1">
        <v>10</v>
      </c>
      <c r="CG1169" s="1" t="s">
        <v>1267</v>
      </c>
      <c r="CH1169" s="1" t="s">
        <v>277</v>
      </c>
      <c r="CI1169" s="1" t="s">
        <v>438</v>
      </c>
      <c r="CJ1169" s="1" t="s">
        <v>439</v>
      </c>
      <c r="CK1169" s="1" t="s">
        <v>3656</v>
      </c>
      <c r="CL1169" s="1" t="s">
        <v>277</v>
      </c>
      <c r="CM1169" s="1" t="s">
        <v>220</v>
      </c>
      <c r="CN1169" s="1" t="s">
        <v>439</v>
      </c>
      <c r="CO1169" s="1" t="s">
        <v>1297</v>
      </c>
      <c r="CP1169" s="1" t="s">
        <v>277</v>
      </c>
      <c r="CQ1169" s="1" t="s">
        <v>438</v>
      </c>
      <c r="CR1169" s="1" t="s">
        <v>343</v>
      </c>
      <c r="CS1169" s="1" t="s">
        <v>669</v>
      </c>
      <c r="CT1169" s="1" t="s">
        <v>219</v>
      </c>
      <c r="CU1169" s="1" t="s">
        <v>220</v>
      </c>
      <c r="CV1169" s="1" t="s">
        <v>439</v>
      </c>
      <c r="CW1169" s="1" t="s">
        <v>669</v>
      </c>
      <c r="CX1169" s="1" t="s">
        <v>43</v>
      </c>
      <c r="CY1169" s="1" t="s">
        <v>220</v>
      </c>
      <c r="DB1169" s="1" t="s">
        <v>224</v>
      </c>
      <c r="DE1169" s="1" t="s">
        <v>786</v>
      </c>
      <c r="DF1169" s="1" t="s">
        <v>277</v>
      </c>
      <c r="DG1169" s="1" t="s">
        <v>438</v>
      </c>
      <c r="DH1169" s="1" t="s">
        <v>252</v>
      </c>
      <c r="DI1169" s="1" t="s">
        <v>862</v>
      </c>
      <c r="DJ1169" s="1" t="s">
        <v>219</v>
      </c>
      <c r="DK1169" s="1" t="s">
        <v>220</v>
      </c>
      <c r="DL1169" s="1" t="s">
        <v>252</v>
      </c>
      <c r="DM1169" s="1" t="s">
        <v>227</v>
      </c>
      <c r="DO1169" s="1" t="s">
        <v>934</v>
      </c>
      <c r="DR1169" s="1" t="s">
        <v>465</v>
      </c>
      <c r="DS1169" s="1" t="s">
        <v>277</v>
      </c>
      <c r="DW1169" s="1" t="s">
        <v>230</v>
      </c>
      <c r="DZ1169" s="1" t="s">
        <v>12151</v>
      </c>
      <c r="EA1169" s="1" t="s">
        <v>43</v>
      </c>
      <c r="EB1169" s="1" t="s">
        <v>220</v>
      </c>
      <c r="EE1169" s="1" t="s">
        <v>230</v>
      </c>
      <c r="EI1169" s="1" t="s">
        <v>230</v>
      </c>
      <c r="EL1169" s="1" t="s">
        <v>491</v>
      </c>
      <c r="EM1169" s="1" t="s">
        <v>319</v>
      </c>
      <c r="EN1169" s="1" t="s">
        <v>282</v>
      </c>
      <c r="EO1169" s="1" t="s">
        <v>234</v>
      </c>
      <c r="EP1169" s="1" t="s">
        <v>12152</v>
      </c>
      <c r="EQ1169" s="1" t="s">
        <v>236</v>
      </c>
      <c r="ER1169" s="1" t="s">
        <v>544</v>
      </c>
      <c r="ES1169" s="1" t="s">
        <v>1791</v>
      </c>
      <c r="ET1169" s="1" t="s">
        <v>12153</v>
      </c>
      <c r="EU1169" s="1" t="s">
        <v>610</v>
      </c>
      <c r="EV1169" s="1" t="s">
        <v>324</v>
      </c>
      <c r="EW1169" s="1" t="s">
        <v>6645</v>
      </c>
      <c r="EZ1169" s="1" t="s">
        <v>6547</v>
      </c>
      <c r="FA1169" s="1" t="s">
        <v>12154</v>
      </c>
      <c r="FC1169" s="1" t="s">
        <v>1405</v>
      </c>
      <c r="FD1169" s="1" t="s">
        <v>246</v>
      </c>
      <c r="FE1169" s="1" t="s">
        <v>975</v>
      </c>
      <c r="FF1169" s="1" t="s">
        <v>248</v>
      </c>
      <c r="FG1169" s="1" t="s">
        <v>2406</v>
      </c>
      <c r="FH1169" s="1" t="s">
        <v>550</v>
      </c>
      <c r="FI1169" s="1" t="s">
        <v>473</v>
      </c>
      <c r="FL1169" s="1" t="s">
        <v>358</v>
      </c>
      <c r="FM1169" s="1" t="s">
        <v>252</v>
      </c>
      <c r="FN1169" s="1" t="s">
        <v>213</v>
      </c>
      <c r="FO1169" s="1" t="s">
        <v>213</v>
      </c>
      <c r="FQ1169" s="1" t="s">
        <v>1896</v>
      </c>
      <c r="FR1169" s="1" t="s">
        <v>210</v>
      </c>
      <c r="FS1169" s="1" t="s">
        <v>12155</v>
      </c>
      <c r="FT1169" s="1" t="s">
        <v>295</v>
      </c>
      <c r="FU1169" s="1" t="s">
        <v>213</v>
      </c>
      <c r="FW1169" s="1" t="s">
        <v>3546</v>
      </c>
      <c r="FX1169" s="1">
        <v>24695</v>
      </c>
      <c r="FY1169" s="1" t="s">
        <v>3547</v>
      </c>
      <c r="FZ1169" s="1" t="s">
        <v>12156</v>
      </c>
      <c r="GA1169" s="1">
        <v>234503</v>
      </c>
      <c r="GB1169" s="1" t="s">
        <v>12157</v>
      </c>
      <c r="GC1169" s="1">
        <v>219907</v>
      </c>
      <c r="GD1169" s="1" t="s">
        <v>12158</v>
      </c>
      <c r="GE1169" s="1" t="s">
        <v>210</v>
      </c>
      <c r="GI1169" s="1" t="s">
        <v>213</v>
      </c>
      <c r="GJ1169" s="1" t="s">
        <v>260</v>
      </c>
      <c r="GK1169" s="1" t="s">
        <v>210</v>
      </c>
      <c r="GL1169" s="2">
        <v>42107</v>
      </c>
      <c r="GM1169" s="1" t="s">
        <v>12159</v>
      </c>
    </row>
    <row r="1170" spans="1:195">
      <c r="A1170" s="1">
        <v>92000</v>
      </c>
      <c r="B1170" s="1" t="s">
        <v>195</v>
      </c>
      <c r="C1170" s="1" t="str">
        <f>"08848635"</f>
        <v>08848635</v>
      </c>
      <c r="D1170" s="1" t="s">
        <v>196</v>
      </c>
      <c r="F1170" s="1" t="str">
        <f>"187"</f>
        <v>187</v>
      </c>
      <c r="G1170" s="2">
        <v>42063</v>
      </c>
      <c r="H1170" s="1">
        <v>195300</v>
      </c>
      <c r="I1170" s="1">
        <v>95300</v>
      </c>
      <c r="J1170" s="1">
        <v>92000</v>
      </c>
      <c r="K1170" s="2">
        <v>42063</v>
      </c>
      <c r="L1170" s="1">
        <v>76</v>
      </c>
      <c r="M1170" s="2">
        <v>42092</v>
      </c>
      <c r="N1170" s="1">
        <v>30</v>
      </c>
      <c r="O1170" s="2">
        <v>42092</v>
      </c>
      <c r="P1170" s="1">
        <v>8970</v>
      </c>
      <c r="Q1170" s="1" t="s">
        <v>302</v>
      </c>
      <c r="R1170" s="2">
        <v>42139</v>
      </c>
      <c r="S1170" s="1">
        <v>89188</v>
      </c>
      <c r="U1170" s="1">
        <v>1000</v>
      </c>
      <c r="V1170" s="1" t="s">
        <v>12160</v>
      </c>
      <c r="W1170" s="1" t="s">
        <v>1056</v>
      </c>
      <c r="X1170" s="1">
        <v>508</v>
      </c>
      <c r="Y1170" s="1">
        <v>66</v>
      </c>
      <c r="Z1170" s="1" t="s">
        <v>249</v>
      </c>
      <c r="AA1170" s="1" t="s">
        <v>964</v>
      </c>
      <c r="AB1170" s="1">
        <v>60189</v>
      </c>
      <c r="AD1170" s="1" t="s">
        <v>12161</v>
      </c>
      <c r="AE1170" s="1" t="s">
        <v>12162</v>
      </c>
      <c r="AF1170" s="1">
        <v>1971</v>
      </c>
      <c r="AG1170" s="1" t="s">
        <v>213</v>
      </c>
      <c r="AH1170" s="1" t="s">
        <v>967</v>
      </c>
      <c r="AI1170" s="1" t="s">
        <v>206</v>
      </c>
      <c r="AJ1170" s="1" t="s">
        <v>207</v>
      </c>
      <c r="AL1170" s="1">
        <v>5</v>
      </c>
      <c r="AM1170" s="1">
        <v>2</v>
      </c>
      <c r="AN1170" s="1">
        <v>1</v>
      </c>
      <c r="AO1170" s="1">
        <v>1</v>
      </c>
      <c r="AP1170" s="1" t="s">
        <v>210</v>
      </c>
      <c r="AR1170" s="1" t="s">
        <v>210</v>
      </c>
      <c r="AS1170" s="1" t="s">
        <v>204</v>
      </c>
      <c r="AT1170" s="1" t="s">
        <v>271</v>
      </c>
      <c r="AV1170" s="1">
        <v>2</v>
      </c>
      <c r="AW1170" s="1" t="s">
        <v>204</v>
      </c>
      <c r="AX1170" s="1" t="s">
        <v>212</v>
      </c>
      <c r="AZ1170" s="1">
        <v>2819.94</v>
      </c>
      <c r="BA1170" s="1">
        <v>2013</v>
      </c>
      <c r="BB1170" s="1" t="s">
        <v>210</v>
      </c>
      <c r="BE1170" s="1">
        <v>967</v>
      </c>
      <c r="BF1170" s="1">
        <v>5</v>
      </c>
      <c r="BG1170" s="1">
        <v>0</v>
      </c>
      <c r="BJ1170" s="1">
        <v>75</v>
      </c>
      <c r="BL1170" s="1">
        <v>310</v>
      </c>
      <c r="BM1170" s="1" t="s">
        <v>204</v>
      </c>
      <c r="BN1170" s="1" t="s">
        <v>213</v>
      </c>
      <c r="BO1170" s="1">
        <v>0</v>
      </c>
      <c r="BP1170" s="1" t="s">
        <v>204</v>
      </c>
      <c r="BR1170" s="1" t="str">
        <f>"0522137065"</f>
        <v>0522137065</v>
      </c>
      <c r="BT1170" s="1" t="s">
        <v>12163</v>
      </c>
      <c r="BX1170" s="1">
        <v>200</v>
      </c>
      <c r="BY1170" s="1">
        <v>200</v>
      </c>
      <c r="BZ1170" s="1">
        <v>200</v>
      </c>
      <c r="CB1170" s="1" t="str">
        <f t="shared" ref="CB1170:CC1170" si="902">""</f>
        <v/>
      </c>
      <c r="CC1170" s="1" t="str">
        <f t="shared" si="902"/>
        <v/>
      </c>
      <c r="CG1170" s="1" t="s">
        <v>7336</v>
      </c>
      <c r="CH1170" s="1" t="s">
        <v>219</v>
      </c>
      <c r="CI1170" s="1" t="s">
        <v>220</v>
      </c>
      <c r="CJ1170" s="1" t="s">
        <v>210</v>
      </c>
      <c r="CK1170" s="1" t="s">
        <v>757</v>
      </c>
      <c r="CL1170" s="1" t="s">
        <v>219</v>
      </c>
      <c r="CM1170" s="1" t="s">
        <v>220</v>
      </c>
      <c r="CN1170" s="1" t="s">
        <v>210</v>
      </c>
      <c r="CO1170" s="1" t="s">
        <v>379</v>
      </c>
      <c r="CP1170" s="1" t="s">
        <v>219</v>
      </c>
      <c r="CQ1170" s="1" t="s">
        <v>438</v>
      </c>
      <c r="CR1170" s="1" t="s">
        <v>210</v>
      </c>
      <c r="CS1170" s="1" t="s">
        <v>317</v>
      </c>
      <c r="CT1170" s="1" t="s">
        <v>219</v>
      </c>
      <c r="CU1170" s="1" t="s">
        <v>220</v>
      </c>
      <c r="CV1170" s="1" t="s">
        <v>210</v>
      </c>
      <c r="CX1170" s="1" t="s">
        <v>224</v>
      </c>
      <c r="DB1170" s="1" t="s">
        <v>224</v>
      </c>
      <c r="DE1170" s="1" t="s">
        <v>316</v>
      </c>
      <c r="DF1170" s="1" t="s">
        <v>219</v>
      </c>
      <c r="DG1170" s="1" t="s">
        <v>438</v>
      </c>
      <c r="DH1170" s="1" t="s">
        <v>210</v>
      </c>
      <c r="DJ1170" s="1" t="s">
        <v>224</v>
      </c>
      <c r="DS1170" s="1" t="s">
        <v>230</v>
      </c>
      <c r="DW1170" s="1" t="s">
        <v>230</v>
      </c>
      <c r="EA1170" s="1" t="s">
        <v>230</v>
      </c>
      <c r="EE1170" s="1" t="s">
        <v>230</v>
      </c>
      <c r="EI1170" s="1" t="s">
        <v>230</v>
      </c>
      <c r="EL1170" s="1" t="s">
        <v>605</v>
      </c>
      <c r="EM1170" s="1" t="s">
        <v>232</v>
      </c>
      <c r="EN1170" s="1" t="s">
        <v>1158</v>
      </c>
      <c r="EO1170" s="1" t="s">
        <v>234</v>
      </c>
      <c r="EQ1170" s="1" t="s">
        <v>492</v>
      </c>
      <c r="ER1170" s="1" t="s">
        <v>210</v>
      </c>
      <c r="ES1170" s="1" t="s">
        <v>322</v>
      </c>
      <c r="EV1170" s="1" t="s">
        <v>240</v>
      </c>
      <c r="EW1170" s="1" t="s">
        <v>12164</v>
      </c>
      <c r="EY1170" s="1" t="s">
        <v>242</v>
      </c>
      <c r="EZ1170" s="1" t="s">
        <v>287</v>
      </c>
      <c r="FB1170" s="1" t="s">
        <v>289</v>
      </c>
      <c r="FD1170" s="1" t="s">
        <v>246</v>
      </c>
      <c r="FE1170" s="1" t="s">
        <v>247</v>
      </c>
      <c r="FF1170" s="1" t="s">
        <v>248</v>
      </c>
      <c r="FH1170" s="1" t="s">
        <v>249</v>
      </c>
      <c r="FK1170" s="1" t="s">
        <v>291</v>
      </c>
      <c r="FL1170" s="1" t="s">
        <v>328</v>
      </c>
      <c r="FM1170" s="1" t="s">
        <v>252</v>
      </c>
      <c r="FN1170" s="1" t="s">
        <v>213</v>
      </c>
      <c r="FO1170" s="1" t="s">
        <v>213</v>
      </c>
      <c r="FQ1170" s="1" t="s">
        <v>359</v>
      </c>
      <c r="FR1170" s="1" t="s">
        <v>210</v>
      </c>
      <c r="FS1170" s="1" t="s">
        <v>12165</v>
      </c>
      <c r="FT1170" s="1" t="s">
        <v>295</v>
      </c>
      <c r="FU1170" s="1" t="s">
        <v>204</v>
      </c>
      <c r="FW1170" s="1" t="s">
        <v>12166</v>
      </c>
      <c r="FX1170" s="1">
        <v>1855</v>
      </c>
      <c r="FY1170" s="1" t="s">
        <v>12167</v>
      </c>
      <c r="FZ1170" s="1" t="s">
        <v>12168</v>
      </c>
      <c r="GA1170" s="1">
        <v>242744</v>
      </c>
      <c r="GB1170" s="1" t="s">
        <v>12169</v>
      </c>
      <c r="GC1170" s="1">
        <v>243024</v>
      </c>
      <c r="GE1170" s="1" t="s">
        <v>335</v>
      </c>
      <c r="GH1170" s="1" t="s">
        <v>421</v>
      </c>
      <c r="GI1170" s="1" t="s">
        <v>204</v>
      </c>
      <c r="GJ1170" s="1" t="s">
        <v>260</v>
      </c>
      <c r="GK1170" s="1" t="s">
        <v>210</v>
      </c>
      <c r="GL1170" s="2">
        <v>42141</v>
      </c>
      <c r="GM1170" s="1" t="s">
        <v>12170</v>
      </c>
    </row>
    <row r="1171" spans="1:195">
      <c r="A1171" s="1">
        <v>130000</v>
      </c>
      <c r="B1171" s="1" t="s">
        <v>195</v>
      </c>
      <c r="C1171" s="1" t="str">
        <f>"08849468"</f>
        <v>08849468</v>
      </c>
      <c r="D1171" s="1" t="s">
        <v>196</v>
      </c>
      <c r="F1171" s="1" t="str">
        <f>"108"</f>
        <v>108</v>
      </c>
      <c r="G1171" s="2">
        <v>42065</v>
      </c>
      <c r="H1171" s="1">
        <v>145900</v>
      </c>
      <c r="I1171" s="1">
        <v>139900</v>
      </c>
      <c r="J1171" s="1">
        <v>130000</v>
      </c>
      <c r="K1171" s="2">
        <v>42064</v>
      </c>
      <c r="L1171" s="1">
        <v>42</v>
      </c>
      <c r="M1171" s="2">
        <v>42105</v>
      </c>
      <c r="N1171" s="1">
        <v>42</v>
      </c>
      <c r="O1171" s="2">
        <v>42105</v>
      </c>
      <c r="P1171" s="1">
        <v>24213</v>
      </c>
      <c r="Q1171" s="1" t="s">
        <v>302</v>
      </c>
      <c r="R1171" s="2">
        <v>42121</v>
      </c>
      <c r="S1171" s="1">
        <v>245381</v>
      </c>
      <c r="U1171" s="1">
        <v>1</v>
      </c>
      <c r="V1171" s="1" t="s">
        <v>269</v>
      </c>
      <c r="W1171" s="1" t="s">
        <v>779</v>
      </c>
      <c r="X1171" s="1">
        <v>211</v>
      </c>
      <c r="Y1171" s="1">
        <v>1</v>
      </c>
      <c r="Z1171" s="1" t="s">
        <v>249</v>
      </c>
      <c r="AA1171" s="1" t="s">
        <v>829</v>
      </c>
      <c r="AB1171" s="1">
        <v>60108</v>
      </c>
      <c r="AD1171" s="1" t="s">
        <v>12171</v>
      </c>
      <c r="AE1171" s="1" t="s">
        <v>12172</v>
      </c>
      <c r="AF1171" s="1">
        <v>1988</v>
      </c>
      <c r="AG1171" s="1" t="s">
        <v>204</v>
      </c>
      <c r="AH1171" s="1" t="s">
        <v>269</v>
      </c>
      <c r="AI1171" s="1" t="s">
        <v>206</v>
      </c>
      <c r="AJ1171" s="1" t="s">
        <v>269</v>
      </c>
      <c r="AL1171" s="1">
        <v>5</v>
      </c>
      <c r="AM1171" s="1">
        <v>2</v>
      </c>
      <c r="AN1171" s="1">
        <v>2</v>
      </c>
      <c r="AO1171" s="1">
        <v>0</v>
      </c>
      <c r="AP1171" s="1" t="s">
        <v>209</v>
      </c>
      <c r="AR1171" s="1" t="s">
        <v>210</v>
      </c>
      <c r="AT1171" s="1" t="s">
        <v>211</v>
      </c>
      <c r="AU1171" s="1">
        <v>2</v>
      </c>
      <c r="AW1171" s="1" t="s">
        <v>204</v>
      </c>
      <c r="AX1171" s="1" t="s">
        <v>212</v>
      </c>
      <c r="AZ1171" s="1">
        <v>2568</v>
      </c>
      <c r="BA1171" s="1">
        <v>2013</v>
      </c>
      <c r="BB1171" s="1" t="s">
        <v>405</v>
      </c>
      <c r="BE1171" s="1">
        <v>1174</v>
      </c>
      <c r="BF1171" s="1">
        <v>2</v>
      </c>
      <c r="BG1171" s="1">
        <v>10</v>
      </c>
      <c r="BL1171" s="1">
        <v>493</v>
      </c>
      <c r="BM1171" s="1" t="s">
        <v>413</v>
      </c>
      <c r="BN1171" s="1" t="s">
        <v>204</v>
      </c>
      <c r="BP1171" s="1" t="s">
        <v>204</v>
      </c>
      <c r="BR1171" s="1" t="str">
        <f>"0216220028"</f>
        <v>0216220028</v>
      </c>
      <c r="BT1171" s="1" t="s">
        <v>12173</v>
      </c>
      <c r="BU1171" s="1" t="s">
        <v>1611</v>
      </c>
      <c r="BV1171" s="1" t="s">
        <v>834</v>
      </c>
      <c r="BW1171" s="1" t="s">
        <v>275</v>
      </c>
      <c r="BX1171" s="1">
        <v>13</v>
      </c>
      <c r="BY1171" s="1">
        <v>13</v>
      </c>
      <c r="BZ1171" s="1">
        <v>108</v>
      </c>
      <c r="CB1171" s="1" t="str">
        <f>"4"</f>
        <v>4</v>
      </c>
      <c r="CC1171" s="1" t="str">
        <f>"0"</f>
        <v>0</v>
      </c>
      <c r="CD1171" s="1">
        <v>22</v>
      </c>
      <c r="CE1171" s="1">
        <v>0</v>
      </c>
      <c r="CG1171" s="1" t="s">
        <v>669</v>
      </c>
      <c r="CH1171" s="1" t="s">
        <v>219</v>
      </c>
      <c r="CI1171" s="1" t="s">
        <v>220</v>
      </c>
      <c r="CK1171" s="1" t="s">
        <v>729</v>
      </c>
      <c r="CL1171" s="1" t="s">
        <v>219</v>
      </c>
      <c r="CM1171" s="1" t="s">
        <v>220</v>
      </c>
      <c r="CO1171" s="1" t="s">
        <v>346</v>
      </c>
      <c r="CP1171" s="1" t="s">
        <v>219</v>
      </c>
      <c r="CQ1171" s="1" t="s">
        <v>220</v>
      </c>
      <c r="CR1171" s="1" t="s">
        <v>210</v>
      </c>
      <c r="CS1171" s="1" t="s">
        <v>346</v>
      </c>
      <c r="CT1171" s="1" t="s">
        <v>219</v>
      </c>
      <c r="CU1171" s="1" t="s">
        <v>220</v>
      </c>
      <c r="CX1171" s="1" t="s">
        <v>224</v>
      </c>
      <c r="DB1171" s="1" t="s">
        <v>224</v>
      </c>
      <c r="DE1171" s="1" t="s">
        <v>951</v>
      </c>
      <c r="DF1171" s="1" t="s">
        <v>219</v>
      </c>
      <c r="DG1171" s="1" t="s">
        <v>342</v>
      </c>
      <c r="DH1171" s="1" t="s">
        <v>210</v>
      </c>
      <c r="DJ1171" s="1" t="s">
        <v>224</v>
      </c>
      <c r="DS1171" s="1" t="s">
        <v>230</v>
      </c>
      <c r="DW1171" s="1" t="s">
        <v>230</v>
      </c>
      <c r="EA1171" s="1" t="s">
        <v>230</v>
      </c>
      <c r="EE1171" s="1" t="s">
        <v>230</v>
      </c>
      <c r="EI1171" s="1" t="s">
        <v>230</v>
      </c>
      <c r="EL1171" s="1" t="s">
        <v>542</v>
      </c>
      <c r="EM1171" s="1" t="s">
        <v>319</v>
      </c>
      <c r="EN1171" s="1" t="s">
        <v>282</v>
      </c>
      <c r="EO1171" s="1" t="s">
        <v>234</v>
      </c>
      <c r="EP1171" s="1" t="s">
        <v>12174</v>
      </c>
      <c r="EQ1171" s="1" t="s">
        <v>468</v>
      </c>
      <c r="ER1171" s="1" t="s">
        <v>210</v>
      </c>
      <c r="ET1171" s="1" t="s">
        <v>323</v>
      </c>
      <c r="EW1171" s="1" t="s">
        <v>12175</v>
      </c>
      <c r="EZ1171" s="1" t="s">
        <v>287</v>
      </c>
      <c r="FA1171" s="1" t="s">
        <v>1270</v>
      </c>
      <c r="FD1171" s="1" t="s">
        <v>1112</v>
      </c>
      <c r="FE1171" s="1" t="s">
        <v>247</v>
      </c>
      <c r="FF1171" s="1" t="s">
        <v>248</v>
      </c>
      <c r="FH1171" s="1" t="s">
        <v>249</v>
      </c>
      <c r="FI1171" s="1" t="s">
        <v>848</v>
      </c>
      <c r="FL1171" s="1" t="s">
        <v>358</v>
      </c>
      <c r="FM1171" s="1" t="s">
        <v>252</v>
      </c>
      <c r="FN1171" s="1" t="s">
        <v>213</v>
      </c>
      <c r="FO1171" s="1" t="s">
        <v>213</v>
      </c>
      <c r="FQ1171" s="1" t="s">
        <v>1473</v>
      </c>
      <c r="FR1171" s="1" t="s">
        <v>210</v>
      </c>
      <c r="FS1171" s="1" t="s">
        <v>12176</v>
      </c>
      <c r="FT1171" s="1" t="s">
        <v>12177</v>
      </c>
      <c r="FU1171" s="1" t="s">
        <v>213</v>
      </c>
      <c r="FW1171" s="1" t="s">
        <v>5648</v>
      </c>
      <c r="FX1171" s="1">
        <v>23099</v>
      </c>
      <c r="FY1171" s="1" t="s">
        <v>5649</v>
      </c>
      <c r="FZ1171" s="1" t="s">
        <v>12178</v>
      </c>
      <c r="GA1171" s="1">
        <v>230042</v>
      </c>
      <c r="GB1171" s="1" t="s">
        <v>12179</v>
      </c>
      <c r="GE1171" s="1" t="s">
        <v>210</v>
      </c>
      <c r="GI1171" s="1" t="s">
        <v>213</v>
      </c>
      <c r="GJ1171" s="1" t="s">
        <v>260</v>
      </c>
      <c r="GK1171" s="1" t="s">
        <v>261</v>
      </c>
      <c r="GL1171" s="2">
        <v>42121</v>
      </c>
      <c r="GM1171" s="1" t="s">
        <v>12180</v>
      </c>
    </row>
    <row r="1172" spans="1:195">
      <c r="A1172" s="1">
        <v>26500</v>
      </c>
      <c r="B1172" s="1" t="s">
        <v>195</v>
      </c>
      <c r="C1172" s="1" t="str">
        <f>"08845996"</f>
        <v>08845996</v>
      </c>
      <c r="D1172" s="1" t="s">
        <v>196</v>
      </c>
      <c r="F1172" s="1" t="str">
        <f>"8043"</f>
        <v>8043</v>
      </c>
      <c r="G1172" s="2">
        <v>42059</v>
      </c>
      <c r="H1172" s="1">
        <v>25200</v>
      </c>
      <c r="I1172" s="1">
        <v>25200</v>
      </c>
      <c r="J1172" s="1">
        <v>26500</v>
      </c>
      <c r="K1172" s="2">
        <v>42059</v>
      </c>
      <c r="L1172" s="1">
        <v>29</v>
      </c>
      <c r="M1172" s="2">
        <v>42087</v>
      </c>
      <c r="N1172" s="1">
        <v>29</v>
      </c>
      <c r="O1172" s="2">
        <v>42087</v>
      </c>
      <c r="P1172" s="1">
        <v>84029</v>
      </c>
      <c r="Q1172" s="1" t="s">
        <v>302</v>
      </c>
      <c r="R1172" s="2">
        <v>42118</v>
      </c>
      <c r="S1172" s="1">
        <v>167553</v>
      </c>
      <c r="U1172" s="1">
        <v>7010</v>
      </c>
      <c r="V1172" s="1" t="s">
        <v>12061</v>
      </c>
      <c r="W1172" s="1" t="s">
        <v>425</v>
      </c>
      <c r="X1172" s="1">
        <v>3</v>
      </c>
      <c r="Y1172" s="1">
        <v>5</v>
      </c>
      <c r="Z1172" s="1" t="s">
        <v>370</v>
      </c>
      <c r="AA1172" s="1" t="s">
        <v>400</v>
      </c>
      <c r="AB1172" s="1">
        <v>60649</v>
      </c>
      <c r="AE1172" s="1" t="s">
        <v>12181</v>
      </c>
      <c r="AF1172" s="1">
        <v>1967</v>
      </c>
      <c r="AG1172" s="1" t="s">
        <v>213</v>
      </c>
      <c r="AH1172" s="1" t="s">
        <v>403</v>
      </c>
      <c r="AI1172" s="1" t="s">
        <v>310</v>
      </c>
      <c r="AJ1172" s="1" t="s">
        <v>562</v>
      </c>
      <c r="AL1172" s="1">
        <v>4</v>
      </c>
      <c r="AM1172" s="1">
        <v>2</v>
      </c>
      <c r="AN1172" s="1">
        <v>1</v>
      </c>
      <c r="AO1172" s="1">
        <v>1</v>
      </c>
      <c r="AP1172" s="1" t="s">
        <v>210</v>
      </c>
      <c r="AR1172" s="1" t="s">
        <v>209</v>
      </c>
      <c r="AS1172" s="1" t="s">
        <v>204</v>
      </c>
      <c r="AT1172" s="1" t="s">
        <v>210</v>
      </c>
      <c r="AW1172" s="1" t="s">
        <v>204</v>
      </c>
      <c r="AX1172" s="1">
        <v>0</v>
      </c>
      <c r="AZ1172" s="1">
        <v>1173.94</v>
      </c>
      <c r="BA1172" s="1">
        <v>2013</v>
      </c>
      <c r="BB1172" s="1" t="s">
        <v>405</v>
      </c>
      <c r="BE1172" s="1">
        <v>884</v>
      </c>
      <c r="BF1172" s="1">
        <v>1</v>
      </c>
      <c r="BG1172" s="1">
        <v>3</v>
      </c>
      <c r="BL1172" s="1">
        <v>80</v>
      </c>
      <c r="BM1172" s="1" t="s">
        <v>204</v>
      </c>
      <c r="BN1172" s="1" t="s">
        <v>213</v>
      </c>
      <c r="BO1172" s="1">
        <v>50</v>
      </c>
      <c r="BP1172" s="1" t="s">
        <v>204</v>
      </c>
      <c r="BR1172" s="1" t="str">
        <f>"20243240371003"</f>
        <v>20243240371003</v>
      </c>
      <c r="BT1172" s="1" t="s">
        <v>12182</v>
      </c>
      <c r="BX1172" s="1">
        <v>299</v>
      </c>
      <c r="BY1172" s="1">
        <v>299</v>
      </c>
      <c r="BZ1172" s="1">
        <v>299</v>
      </c>
      <c r="CB1172" s="1" t="str">
        <f>"0"</f>
        <v>0</v>
      </c>
      <c r="CC1172" s="1" t="str">
        <f>"1700"</f>
        <v>1700</v>
      </c>
      <c r="CD1172" s="1">
        <v>0</v>
      </c>
      <c r="CE1172" s="1">
        <v>7010</v>
      </c>
      <c r="CG1172" s="1" t="s">
        <v>4546</v>
      </c>
      <c r="CH1172" s="1" t="s">
        <v>219</v>
      </c>
      <c r="CK1172" s="1" t="s">
        <v>437</v>
      </c>
      <c r="CL1172" s="1" t="s">
        <v>277</v>
      </c>
      <c r="CP1172" s="1" t="s">
        <v>224</v>
      </c>
      <c r="CS1172" s="1" t="s">
        <v>378</v>
      </c>
      <c r="CT1172" s="1" t="s">
        <v>277</v>
      </c>
      <c r="CX1172" s="1" t="s">
        <v>224</v>
      </c>
      <c r="DB1172" s="1" t="s">
        <v>224</v>
      </c>
      <c r="DE1172" s="1" t="s">
        <v>2170</v>
      </c>
      <c r="DF1172" s="1" t="s">
        <v>219</v>
      </c>
      <c r="DJ1172" s="1" t="s">
        <v>224</v>
      </c>
      <c r="DS1172" s="1" t="s">
        <v>230</v>
      </c>
      <c r="DW1172" s="1" t="s">
        <v>230</v>
      </c>
      <c r="EA1172" s="1" t="s">
        <v>230</v>
      </c>
      <c r="EE1172" s="1" t="s">
        <v>230</v>
      </c>
      <c r="EI1172" s="1" t="s">
        <v>230</v>
      </c>
      <c r="EL1172" s="1" t="s">
        <v>605</v>
      </c>
      <c r="EM1172" s="1" t="s">
        <v>730</v>
      </c>
      <c r="EN1172" s="1" t="s">
        <v>731</v>
      </c>
      <c r="EO1172" s="1" t="s">
        <v>840</v>
      </c>
      <c r="EQ1172" s="1" t="s">
        <v>1109</v>
      </c>
      <c r="ER1172" s="1" t="s">
        <v>544</v>
      </c>
      <c r="ES1172" s="1" t="s">
        <v>545</v>
      </c>
      <c r="EW1172" s="1" t="s">
        <v>1804</v>
      </c>
      <c r="EZ1172" s="1" t="s">
        <v>287</v>
      </c>
      <c r="FB1172" s="1" t="s">
        <v>244</v>
      </c>
      <c r="FD1172" s="1" t="s">
        <v>246</v>
      </c>
      <c r="FE1172" s="1" t="s">
        <v>247</v>
      </c>
      <c r="FF1172" s="1" t="s">
        <v>248</v>
      </c>
      <c r="FH1172" s="1" t="s">
        <v>550</v>
      </c>
      <c r="FL1172" s="1" t="s">
        <v>810</v>
      </c>
      <c r="FM1172" s="1" t="s">
        <v>252</v>
      </c>
      <c r="FN1172" s="1" t="s">
        <v>213</v>
      </c>
      <c r="FO1172" s="1" t="s">
        <v>213</v>
      </c>
      <c r="FQ1172" s="1" t="s">
        <v>582</v>
      </c>
      <c r="FR1172" s="1" t="s">
        <v>210</v>
      </c>
      <c r="FS1172" s="1" t="s">
        <v>2541</v>
      </c>
      <c r="FT1172" s="1" t="s">
        <v>654</v>
      </c>
      <c r="FU1172" s="1" t="s">
        <v>204</v>
      </c>
      <c r="FW1172" s="1" t="s">
        <v>3797</v>
      </c>
      <c r="FX1172" s="1">
        <v>84460</v>
      </c>
      <c r="FY1172" s="1" t="s">
        <v>3798</v>
      </c>
      <c r="FZ1172" s="1" t="s">
        <v>3799</v>
      </c>
      <c r="GA1172" s="1">
        <v>105643</v>
      </c>
      <c r="GB1172" s="1" t="s">
        <v>3800</v>
      </c>
      <c r="GE1172" s="1" t="s">
        <v>210</v>
      </c>
      <c r="GH1172" s="1" t="s">
        <v>421</v>
      </c>
      <c r="GI1172" s="1" t="s">
        <v>213</v>
      </c>
      <c r="GJ1172" s="1" t="s">
        <v>260</v>
      </c>
      <c r="GK1172" s="1" t="s">
        <v>210</v>
      </c>
      <c r="GL1172" s="2">
        <v>42128</v>
      </c>
      <c r="GM1172" s="1" t="s">
        <v>12183</v>
      </c>
    </row>
    <row r="1173" spans="1:195">
      <c r="A1173" s="1">
        <v>130000</v>
      </c>
      <c r="B1173" s="1" t="s">
        <v>195</v>
      </c>
      <c r="C1173" s="1" t="str">
        <f>"08849089"</f>
        <v>08849089</v>
      </c>
      <c r="D1173" s="1" t="s">
        <v>196</v>
      </c>
      <c r="F1173" s="1" t="str">
        <f>"177"</f>
        <v>177</v>
      </c>
      <c r="G1173" s="2">
        <v>42064</v>
      </c>
      <c r="H1173" s="1">
        <v>134900</v>
      </c>
      <c r="I1173" s="1">
        <v>134900</v>
      </c>
      <c r="J1173" s="1">
        <v>130000</v>
      </c>
      <c r="K1173" s="2">
        <v>42064</v>
      </c>
      <c r="L1173" s="1">
        <v>24</v>
      </c>
      <c r="M1173" s="2">
        <v>42087</v>
      </c>
      <c r="N1173" s="1">
        <v>24</v>
      </c>
      <c r="O1173" s="2">
        <v>42087</v>
      </c>
      <c r="P1173" s="1">
        <v>8012</v>
      </c>
      <c r="Q1173" s="1" t="s">
        <v>197</v>
      </c>
      <c r="R1173" s="2">
        <v>42145</v>
      </c>
      <c r="S1173" s="1">
        <v>88519</v>
      </c>
      <c r="U1173" s="1">
        <v>1253</v>
      </c>
      <c r="V1173" s="1" t="s">
        <v>2413</v>
      </c>
      <c r="W1173" s="1" t="s">
        <v>504</v>
      </c>
      <c r="Y1173" s="1">
        <v>4</v>
      </c>
      <c r="Z1173" s="1" t="s">
        <v>370</v>
      </c>
      <c r="AA1173" s="1" t="s">
        <v>1461</v>
      </c>
      <c r="AB1173" s="1">
        <v>60177</v>
      </c>
      <c r="AD1173" s="1" t="s">
        <v>2413</v>
      </c>
      <c r="AE1173" s="1" t="s">
        <v>12184</v>
      </c>
      <c r="AF1173" s="1">
        <v>1993</v>
      </c>
      <c r="AG1173" s="1" t="s">
        <v>204</v>
      </c>
      <c r="AH1173" s="1" t="s">
        <v>1464</v>
      </c>
      <c r="AI1173" s="1" t="s">
        <v>665</v>
      </c>
      <c r="AJ1173" s="1" t="s">
        <v>1175</v>
      </c>
      <c r="AL1173" s="1">
        <v>5</v>
      </c>
      <c r="AM1173" s="1">
        <v>2</v>
      </c>
      <c r="AN1173" s="1">
        <v>1</v>
      </c>
      <c r="AO1173" s="1">
        <v>1</v>
      </c>
      <c r="AP1173" s="1" t="s">
        <v>667</v>
      </c>
      <c r="AQ1173" s="1">
        <v>1</v>
      </c>
      <c r="AR1173" s="1" t="s">
        <v>209</v>
      </c>
      <c r="AS1173" s="1" t="s">
        <v>204</v>
      </c>
      <c r="AT1173" s="1" t="s">
        <v>211</v>
      </c>
      <c r="AU1173" s="1">
        <v>1</v>
      </c>
      <c r="AW1173" s="1" t="s">
        <v>204</v>
      </c>
      <c r="AX1173" s="1" t="s">
        <v>212</v>
      </c>
      <c r="AZ1173" s="1">
        <v>2115</v>
      </c>
      <c r="BA1173" s="1">
        <v>2013</v>
      </c>
      <c r="BB1173" s="1" t="s">
        <v>599</v>
      </c>
      <c r="BE1173" s="1">
        <v>1200</v>
      </c>
      <c r="BF1173" s="1">
        <v>1</v>
      </c>
      <c r="BG1173" s="1">
        <v>0</v>
      </c>
      <c r="BL1173" s="1">
        <v>131</v>
      </c>
      <c r="BM1173" s="1" t="s">
        <v>204</v>
      </c>
      <c r="BN1173" s="1" t="s">
        <v>213</v>
      </c>
      <c r="BO1173" s="1">
        <v>999</v>
      </c>
      <c r="BP1173" s="1" t="s">
        <v>204</v>
      </c>
      <c r="BR1173" s="1" t="str">
        <f>"0634104035"</f>
        <v>0634104035</v>
      </c>
      <c r="BT1173" s="1" t="s">
        <v>12185</v>
      </c>
      <c r="BX1173" s="1">
        <v>46</v>
      </c>
      <c r="BY1173" s="1">
        <v>46</v>
      </c>
      <c r="BZ1173" s="1">
        <v>46</v>
      </c>
      <c r="CB1173" s="1" t="str">
        <f t="shared" ref="CB1173:CC1173" si="903">""</f>
        <v/>
      </c>
      <c r="CC1173" s="1" t="str">
        <f t="shared" si="903"/>
        <v/>
      </c>
      <c r="CG1173" s="1" t="s">
        <v>729</v>
      </c>
      <c r="CH1173" s="1" t="s">
        <v>219</v>
      </c>
      <c r="CI1173" s="1" t="s">
        <v>220</v>
      </c>
      <c r="CJ1173" s="1" t="s">
        <v>252</v>
      </c>
      <c r="CK1173" s="1" t="s">
        <v>1004</v>
      </c>
      <c r="CL1173" s="1" t="s">
        <v>277</v>
      </c>
      <c r="CM1173" s="1" t="s">
        <v>220</v>
      </c>
      <c r="CN1173" s="1" t="s">
        <v>252</v>
      </c>
      <c r="CO1173" s="1" t="s">
        <v>409</v>
      </c>
      <c r="CP1173" s="1" t="s">
        <v>219</v>
      </c>
      <c r="CQ1173" s="1" t="s">
        <v>220</v>
      </c>
      <c r="CR1173" s="1" t="s">
        <v>252</v>
      </c>
      <c r="CS1173" s="1" t="s">
        <v>317</v>
      </c>
      <c r="CT1173" s="1" t="s">
        <v>277</v>
      </c>
      <c r="CU1173" s="1" t="s">
        <v>220</v>
      </c>
      <c r="CV1173" s="1" t="s">
        <v>252</v>
      </c>
      <c r="CX1173" s="1" t="s">
        <v>224</v>
      </c>
      <c r="DB1173" s="1" t="s">
        <v>224</v>
      </c>
      <c r="DE1173" s="1" t="s">
        <v>837</v>
      </c>
      <c r="DF1173" s="1" t="s">
        <v>219</v>
      </c>
      <c r="DG1173" s="1" t="s">
        <v>229</v>
      </c>
      <c r="DJ1173" s="1" t="s">
        <v>224</v>
      </c>
      <c r="DS1173" s="1" t="s">
        <v>230</v>
      </c>
      <c r="DW1173" s="1" t="s">
        <v>230</v>
      </c>
      <c r="EA1173" s="1" t="s">
        <v>230</v>
      </c>
      <c r="EE1173" s="1" t="s">
        <v>230</v>
      </c>
      <c r="EI1173" s="1" t="s">
        <v>230</v>
      </c>
      <c r="EL1173" s="1" t="s">
        <v>382</v>
      </c>
      <c r="EM1173" s="1" t="s">
        <v>319</v>
      </c>
      <c r="EN1173" s="1" t="s">
        <v>282</v>
      </c>
      <c r="EO1173" s="1" t="s">
        <v>234</v>
      </c>
      <c r="EQ1173" s="1" t="s">
        <v>492</v>
      </c>
      <c r="ER1173" s="1" t="s">
        <v>544</v>
      </c>
      <c r="EW1173" s="1" t="s">
        <v>353</v>
      </c>
      <c r="EZ1173" s="1" t="s">
        <v>287</v>
      </c>
      <c r="FD1173" s="1" t="s">
        <v>246</v>
      </c>
      <c r="FE1173" s="1" t="s">
        <v>472</v>
      </c>
      <c r="FF1173" s="1" t="s">
        <v>248</v>
      </c>
      <c r="FH1173" s="1" t="s">
        <v>249</v>
      </c>
      <c r="FJ1173" s="1" t="s">
        <v>518</v>
      </c>
      <c r="FL1173" s="1" t="s">
        <v>358</v>
      </c>
      <c r="FM1173" s="1" t="s">
        <v>252</v>
      </c>
      <c r="FN1173" s="1" t="s">
        <v>213</v>
      </c>
      <c r="FO1173" s="1" t="s">
        <v>213</v>
      </c>
      <c r="FQ1173" s="1" t="s">
        <v>811</v>
      </c>
      <c r="FR1173" s="1" t="s">
        <v>210</v>
      </c>
      <c r="FS1173" s="1" t="s">
        <v>12186</v>
      </c>
      <c r="FT1173" s="1" t="s">
        <v>295</v>
      </c>
      <c r="FU1173" s="1" t="s">
        <v>204</v>
      </c>
      <c r="FW1173" s="1" t="s">
        <v>1097</v>
      </c>
      <c r="FX1173" s="1">
        <v>25981</v>
      </c>
      <c r="FY1173" s="1" t="s">
        <v>9200</v>
      </c>
      <c r="FZ1173" s="1" t="s">
        <v>12187</v>
      </c>
      <c r="GA1173" s="1">
        <v>243255</v>
      </c>
      <c r="GB1173" s="1" t="s">
        <v>12188</v>
      </c>
      <c r="GC1173" s="1">
        <v>256564</v>
      </c>
      <c r="GD1173" s="1" t="s">
        <v>12189</v>
      </c>
      <c r="GE1173" s="1" t="s">
        <v>210</v>
      </c>
      <c r="GI1173" s="1" t="s">
        <v>213</v>
      </c>
      <c r="GJ1173" s="1" t="s">
        <v>260</v>
      </c>
      <c r="GK1173" s="1" t="s">
        <v>261</v>
      </c>
      <c r="GL1173" s="2">
        <v>42145</v>
      </c>
    </row>
    <row r="1174" spans="1:195">
      <c r="A1174" s="1">
        <v>105000</v>
      </c>
      <c r="B1174" s="1" t="s">
        <v>195</v>
      </c>
      <c r="C1174" s="1" t="str">
        <f>"08871595"</f>
        <v>08871595</v>
      </c>
      <c r="D1174" s="1" t="s">
        <v>196</v>
      </c>
      <c r="F1174" s="1" t="str">
        <f>"635"</f>
        <v>635</v>
      </c>
      <c r="G1174" s="2">
        <v>42088</v>
      </c>
      <c r="H1174" s="1">
        <v>109900</v>
      </c>
      <c r="I1174" s="1">
        <v>109900</v>
      </c>
      <c r="J1174" s="1">
        <v>105000</v>
      </c>
      <c r="K1174" s="2">
        <v>42088</v>
      </c>
      <c r="L1174" s="1">
        <v>5</v>
      </c>
      <c r="M1174" s="2">
        <v>42088</v>
      </c>
      <c r="N1174" s="1">
        <v>1</v>
      </c>
      <c r="O1174" s="2">
        <v>42088</v>
      </c>
      <c r="P1174" s="1">
        <v>22067</v>
      </c>
      <c r="Q1174" s="1" t="s">
        <v>302</v>
      </c>
      <c r="R1174" s="2">
        <v>42096</v>
      </c>
      <c r="S1174" s="1">
        <v>88145</v>
      </c>
      <c r="T1174" s="1">
        <v>2500</v>
      </c>
      <c r="U1174" s="1">
        <v>7921</v>
      </c>
      <c r="V1174" s="1" t="s">
        <v>6871</v>
      </c>
      <c r="W1174" s="1" t="s">
        <v>425</v>
      </c>
      <c r="X1174" s="1" t="s">
        <v>577</v>
      </c>
      <c r="Y1174" s="1">
        <v>12</v>
      </c>
      <c r="Z1174" s="1" t="s">
        <v>200</v>
      </c>
      <c r="AA1174" s="1" t="s">
        <v>2377</v>
      </c>
      <c r="AB1174" s="1">
        <v>60707</v>
      </c>
      <c r="AE1174" s="1" t="s">
        <v>12190</v>
      </c>
      <c r="AF1174" s="1">
        <v>1967</v>
      </c>
      <c r="AG1174" s="1" t="s">
        <v>213</v>
      </c>
      <c r="AH1174" s="1" t="s">
        <v>5686</v>
      </c>
      <c r="AI1174" s="1" t="s">
        <v>310</v>
      </c>
      <c r="AJ1174" s="1" t="s">
        <v>311</v>
      </c>
      <c r="AL1174" s="1">
        <v>4</v>
      </c>
      <c r="AM1174" s="1">
        <v>2</v>
      </c>
      <c r="AN1174" s="1">
        <v>1</v>
      </c>
      <c r="AO1174" s="1">
        <v>0</v>
      </c>
      <c r="AP1174" s="1" t="s">
        <v>210</v>
      </c>
      <c r="AR1174" s="1" t="s">
        <v>210</v>
      </c>
      <c r="AT1174" s="1" t="s">
        <v>271</v>
      </c>
      <c r="AV1174" s="1">
        <v>1</v>
      </c>
      <c r="AW1174" s="1" t="s">
        <v>204</v>
      </c>
      <c r="AX1174" s="1" t="s">
        <v>212</v>
      </c>
      <c r="AZ1174" s="1">
        <v>689.87</v>
      </c>
      <c r="BA1174" s="1">
        <v>2013</v>
      </c>
      <c r="BB1174" s="1" t="s">
        <v>405</v>
      </c>
      <c r="BE1174" s="1">
        <v>860</v>
      </c>
      <c r="BF1174" s="1">
        <v>2</v>
      </c>
      <c r="BG1174" s="1">
        <v>5</v>
      </c>
      <c r="BL1174" s="1">
        <v>128</v>
      </c>
      <c r="BM1174" s="1" t="s">
        <v>204</v>
      </c>
      <c r="BN1174" s="1" t="s">
        <v>213</v>
      </c>
      <c r="BO1174" s="1">
        <v>40</v>
      </c>
      <c r="BP1174" s="1" t="s">
        <v>204</v>
      </c>
      <c r="BR1174" s="1" t="str">
        <f>"12253200571005"</f>
        <v>12253200571005</v>
      </c>
      <c r="BT1174" s="1" t="s">
        <v>12191</v>
      </c>
      <c r="BU1174" s="1" t="s">
        <v>928</v>
      </c>
      <c r="BV1174" s="1" t="s">
        <v>8101</v>
      </c>
      <c r="BW1174" s="1" t="s">
        <v>8102</v>
      </c>
      <c r="BX1174" s="1">
        <v>401</v>
      </c>
      <c r="BY1174" s="1">
        <v>401</v>
      </c>
      <c r="BZ1174" s="1">
        <v>401</v>
      </c>
      <c r="CB1174" s="1" t="str">
        <f>"2300"</f>
        <v>2300</v>
      </c>
      <c r="CC1174" s="1" t="str">
        <f>"0"</f>
        <v>0</v>
      </c>
      <c r="CD1174" s="1">
        <v>7921</v>
      </c>
      <c r="CE1174" s="1">
        <v>0</v>
      </c>
      <c r="CG1174" s="1" t="s">
        <v>228</v>
      </c>
      <c r="CH1174" s="1" t="s">
        <v>277</v>
      </c>
      <c r="CI1174" s="1" t="s">
        <v>438</v>
      </c>
      <c r="CK1174" s="1" t="s">
        <v>1358</v>
      </c>
      <c r="CL1174" s="1" t="s">
        <v>277</v>
      </c>
      <c r="CM1174" s="1" t="s">
        <v>438</v>
      </c>
      <c r="CP1174" s="1" t="s">
        <v>224</v>
      </c>
      <c r="CS1174" s="1" t="s">
        <v>318</v>
      </c>
      <c r="CT1174" s="1" t="s">
        <v>277</v>
      </c>
      <c r="CX1174" s="1" t="s">
        <v>224</v>
      </c>
      <c r="DB1174" s="1" t="s">
        <v>224</v>
      </c>
      <c r="DE1174" s="1" t="s">
        <v>2070</v>
      </c>
      <c r="DF1174" s="1" t="s">
        <v>277</v>
      </c>
      <c r="DG1174" s="1" t="s">
        <v>438</v>
      </c>
      <c r="DJ1174" s="1" t="s">
        <v>224</v>
      </c>
      <c r="DS1174" s="1" t="s">
        <v>230</v>
      </c>
      <c r="DW1174" s="1" t="s">
        <v>230</v>
      </c>
      <c r="EA1174" s="1" t="s">
        <v>230</v>
      </c>
      <c r="EE1174" s="1" t="s">
        <v>230</v>
      </c>
      <c r="EI1174" s="1" t="s">
        <v>230</v>
      </c>
      <c r="EL1174" s="1" t="s">
        <v>605</v>
      </c>
      <c r="EM1174" s="1" t="s">
        <v>232</v>
      </c>
      <c r="EN1174" s="1" t="s">
        <v>731</v>
      </c>
      <c r="EO1174" s="1" t="s">
        <v>234</v>
      </c>
      <c r="ER1174" s="1" t="s">
        <v>210</v>
      </c>
      <c r="EW1174" s="1" t="s">
        <v>286</v>
      </c>
      <c r="EZ1174" s="1" t="s">
        <v>287</v>
      </c>
      <c r="FB1174" s="1" t="s">
        <v>734</v>
      </c>
      <c r="FD1174" s="1" t="s">
        <v>246</v>
      </c>
      <c r="FE1174" s="1" t="s">
        <v>247</v>
      </c>
      <c r="FF1174" s="1" t="s">
        <v>248</v>
      </c>
      <c r="FH1174" s="1" t="s">
        <v>249</v>
      </c>
      <c r="FL1174" s="1" t="s">
        <v>292</v>
      </c>
      <c r="FM1174" s="1" t="s">
        <v>252</v>
      </c>
      <c r="FN1174" s="1" t="s">
        <v>213</v>
      </c>
      <c r="FO1174" s="1" t="s">
        <v>213</v>
      </c>
      <c r="FQ1174" s="1" t="s">
        <v>12192</v>
      </c>
      <c r="FR1174" s="1" t="s">
        <v>210</v>
      </c>
      <c r="FS1174" s="1" t="s">
        <v>12193</v>
      </c>
      <c r="FT1174" s="1" t="s">
        <v>362</v>
      </c>
      <c r="FU1174" s="1" t="s">
        <v>204</v>
      </c>
      <c r="FW1174" s="1" t="s">
        <v>6773</v>
      </c>
      <c r="FX1174" s="1">
        <v>90811</v>
      </c>
      <c r="FY1174" s="1" t="s">
        <v>6774</v>
      </c>
      <c r="FZ1174" s="1" t="s">
        <v>6775</v>
      </c>
      <c r="GA1174" s="1">
        <v>901705</v>
      </c>
      <c r="GB1174" s="1" t="s">
        <v>6776</v>
      </c>
      <c r="GE1174" s="1" t="s">
        <v>210</v>
      </c>
      <c r="GH1174" s="1" t="s">
        <v>589</v>
      </c>
      <c r="GI1174" s="1" t="s">
        <v>213</v>
      </c>
      <c r="GJ1174" s="1" t="s">
        <v>260</v>
      </c>
      <c r="GK1174" s="1" t="s">
        <v>210</v>
      </c>
      <c r="GL1174" s="2">
        <v>42096</v>
      </c>
      <c r="GM1174" s="1" t="s">
        <v>12194</v>
      </c>
    </row>
    <row r="1175" spans="1:195">
      <c r="A1175" s="1">
        <v>179900</v>
      </c>
      <c r="B1175" s="1" t="s">
        <v>195</v>
      </c>
      <c r="C1175" s="1" t="str">
        <f>"08851272"</f>
        <v>08851272</v>
      </c>
      <c r="D1175" s="1" t="s">
        <v>196</v>
      </c>
      <c r="F1175" s="1" t="str">
        <f>"562"</f>
        <v>562</v>
      </c>
      <c r="G1175" s="2">
        <v>42066</v>
      </c>
      <c r="H1175" s="1">
        <v>179900</v>
      </c>
      <c r="I1175" s="1">
        <v>179900</v>
      </c>
      <c r="J1175" s="1">
        <v>179900</v>
      </c>
      <c r="K1175" s="2">
        <v>42066</v>
      </c>
      <c r="L1175" s="1">
        <v>11</v>
      </c>
      <c r="M1175" s="2">
        <v>42076</v>
      </c>
      <c r="N1175" s="1">
        <v>11</v>
      </c>
      <c r="O1175" s="2">
        <v>42076</v>
      </c>
      <c r="P1175" s="1">
        <v>23177</v>
      </c>
      <c r="Q1175" s="1" t="s">
        <v>197</v>
      </c>
      <c r="R1175" s="2">
        <v>42121</v>
      </c>
      <c r="S1175" s="1">
        <v>230115</v>
      </c>
      <c r="U1175" s="1">
        <v>1042</v>
      </c>
      <c r="V1175" s="1" t="s">
        <v>12195</v>
      </c>
      <c r="W1175" s="1" t="s">
        <v>264</v>
      </c>
      <c r="X1175" s="1">
        <v>1042</v>
      </c>
      <c r="Y1175" s="1">
        <v>4</v>
      </c>
      <c r="Z1175" s="1" t="s">
        <v>249</v>
      </c>
      <c r="AA1175" s="1" t="s">
        <v>899</v>
      </c>
      <c r="AB1175" s="1">
        <v>60561</v>
      </c>
      <c r="AE1175" s="1" t="s">
        <v>12196</v>
      </c>
      <c r="AF1175" s="1">
        <v>1994</v>
      </c>
      <c r="AG1175" s="1" t="s">
        <v>204</v>
      </c>
      <c r="AH1175" s="1" t="s">
        <v>902</v>
      </c>
      <c r="AI1175" s="1" t="s">
        <v>206</v>
      </c>
      <c r="AJ1175" s="1" t="s">
        <v>903</v>
      </c>
      <c r="AL1175" s="1">
        <v>5</v>
      </c>
      <c r="AM1175" s="1">
        <v>2</v>
      </c>
      <c r="AN1175" s="1">
        <v>2</v>
      </c>
      <c r="AO1175" s="1">
        <v>0</v>
      </c>
      <c r="AP1175" s="1" t="s">
        <v>209</v>
      </c>
      <c r="AR1175" s="1" t="s">
        <v>210</v>
      </c>
      <c r="AT1175" s="1" t="s">
        <v>211</v>
      </c>
      <c r="AU1175" s="1">
        <v>1</v>
      </c>
      <c r="AW1175" s="1" t="s">
        <v>204</v>
      </c>
      <c r="AX1175" s="1" t="s">
        <v>212</v>
      </c>
      <c r="AZ1175" s="1">
        <v>3207</v>
      </c>
      <c r="BA1175" s="1">
        <v>2013</v>
      </c>
      <c r="BE1175" s="1">
        <v>0</v>
      </c>
      <c r="BF1175" s="1">
        <v>1</v>
      </c>
      <c r="BG1175" s="1">
        <v>0</v>
      </c>
      <c r="BL1175" s="1">
        <v>170</v>
      </c>
      <c r="BM1175" s="1" t="s">
        <v>204</v>
      </c>
      <c r="BN1175" s="1" t="s">
        <v>213</v>
      </c>
      <c r="BP1175" s="1" t="s">
        <v>204</v>
      </c>
      <c r="BR1175" s="1" t="str">
        <f>"0934123002"</f>
        <v>0934123002</v>
      </c>
      <c r="BT1175" s="1" t="s">
        <v>12197</v>
      </c>
      <c r="BX1175" s="1">
        <v>63</v>
      </c>
      <c r="BY1175" s="1">
        <v>63</v>
      </c>
      <c r="BZ1175" s="1">
        <v>86</v>
      </c>
      <c r="CB1175" s="1" t="str">
        <f t="shared" ref="CB1175:CC1175" si="904">""</f>
        <v/>
      </c>
      <c r="CC1175" s="1" t="str">
        <f t="shared" si="904"/>
        <v/>
      </c>
      <c r="CG1175" s="1" t="s">
        <v>1132</v>
      </c>
      <c r="CH1175" s="1" t="s">
        <v>219</v>
      </c>
      <c r="CI1175" s="1" t="s">
        <v>220</v>
      </c>
      <c r="CK1175" s="1" t="s">
        <v>602</v>
      </c>
      <c r="CL1175" s="1" t="s">
        <v>219</v>
      </c>
      <c r="CM1175" s="1" t="s">
        <v>220</v>
      </c>
      <c r="CO1175" s="1" t="s">
        <v>629</v>
      </c>
      <c r="CP1175" s="1" t="s">
        <v>219</v>
      </c>
      <c r="CQ1175" s="1" t="s">
        <v>220</v>
      </c>
      <c r="CS1175" s="1" t="s">
        <v>318</v>
      </c>
      <c r="CT1175" s="1" t="s">
        <v>219</v>
      </c>
      <c r="CU1175" s="1" t="s">
        <v>220</v>
      </c>
      <c r="CX1175" s="1" t="s">
        <v>224</v>
      </c>
      <c r="DB1175" s="1" t="s">
        <v>224</v>
      </c>
      <c r="DE1175" s="1" t="s">
        <v>2466</v>
      </c>
      <c r="DF1175" s="1" t="s">
        <v>219</v>
      </c>
      <c r="DG1175" s="1" t="s">
        <v>229</v>
      </c>
      <c r="DJ1175" s="1" t="s">
        <v>224</v>
      </c>
      <c r="DM1175" s="1" t="s">
        <v>709</v>
      </c>
      <c r="DR1175" s="1" t="s">
        <v>7610</v>
      </c>
      <c r="DS1175" s="1" t="s">
        <v>219</v>
      </c>
      <c r="DT1175" s="1" t="s">
        <v>229</v>
      </c>
      <c r="DW1175" s="1" t="s">
        <v>230</v>
      </c>
      <c r="EA1175" s="1" t="s">
        <v>230</v>
      </c>
      <c r="EE1175" s="1" t="s">
        <v>230</v>
      </c>
      <c r="EI1175" s="1" t="s">
        <v>230</v>
      </c>
      <c r="EL1175" s="1" t="s">
        <v>382</v>
      </c>
      <c r="EM1175" s="1" t="s">
        <v>232</v>
      </c>
      <c r="EN1175" s="1" t="s">
        <v>282</v>
      </c>
      <c r="EO1175" s="1" t="s">
        <v>234</v>
      </c>
      <c r="EQ1175" s="1" t="s">
        <v>1109</v>
      </c>
      <c r="ER1175" s="1" t="s">
        <v>210</v>
      </c>
      <c r="ES1175" s="1" t="s">
        <v>493</v>
      </c>
      <c r="EV1175" s="1" t="s">
        <v>240</v>
      </c>
      <c r="EW1175" s="1" t="s">
        <v>887</v>
      </c>
      <c r="EZ1175" s="1" t="s">
        <v>709</v>
      </c>
      <c r="FD1175" s="1" t="s">
        <v>3287</v>
      </c>
      <c r="FE1175" s="1" t="s">
        <v>472</v>
      </c>
      <c r="FF1175" s="1" t="s">
        <v>248</v>
      </c>
      <c r="FH1175" s="1" t="s">
        <v>766</v>
      </c>
      <c r="FL1175" s="1" t="s">
        <v>414</v>
      </c>
      <c r="FM1175" s="1" t="s">
        <v>252</v>
      </c>
      <c r="FN1175" s="1" t="s">
        <v>213</v>
      </c>
      <c r="FO1175" s="1" t="s">
        <v>213</v>
      </c>
      <c r="FQ1175" s="1" t="s">
        <v>1599</v>
      </c>
      <c r="FR1175" s="1" t="s">
        <v>210</v>
      </c>
      <c r="FS1175" s="1" t="s">
        <v>12198</v>
      </c>
      <c r="FT1175" s="1" t="s">
        <v>362</v>
      </c>
      <c r="FU1175" s="1" t="s">
        <v>204</v>
      </c>
      <c r="FW1175" s="1" t="s">
        <v>3495</v>
      </c>
      <c r="FX1175" s="1">
        <v>22145</v>
      </c>
      <c r="FY1175" s="1" t="s">
        <v>3496</v>
      </c>
      <c r="FZ1175" s="1" t="s">
        <v>12199</v>
      </c>
      <c r="GA1175" s="1">
        <v>223540</v>
      </c>
      <c r="GB1175" s="1" t="s">
        <v>12200</v>
      </c>
      <c r="GE1175" s="1" t="s">
        <v>480</v>
      </c>
      <c r="GI1175" s="1" t="s">
        <v>213</v>
      </c>
      <c r="GJ1175" s="1" t="s">
        <v>260</v>
      </c>
      <c r="GK1175" s="1" t="s">
        <v>210</v>
      </c>
      <c r="GL1175" s="2">
        <v>42123</v>
      </c>
      <c r="GM1175" s="1" t="s">
        <v>12201</v>
      </c>
    </row>
    <row r="1176" spans="1:195">
      <c r="A1176" s="1">
        <v>238000</v>
      </c>
      <c r="B1176" s="1" t="s">
        <v>195</v>
      </c>
      <c r="C1176" s="1" t="str">
        <f>"08854527"</f>
        <v>08854527</v>
      </c>
      <c r="D1176" s="1" t="s">
        <v>196</v>
      </c>
      <c r="F1176" s="1" t="str">
        <f>"540"</f>
        <v>540</v>
      </c>
      <c r="G1176" s="2">
        <v>42069</v>
      </c>
      <c r="H1176" s="1">
        <v>244900</v>
      </c>
      <c r="I1176" s="1">
        <v>244900</v>
      </c>
      <c r="J1176" s="1">
        <v>238000</v>
      </c>
      <c r="K1176" s="2">
        <v>42069</v>
      </c>
      <c r="L1176" s="1">
        <v>146</v>
      </c>
      <c r="M1176" s="2">
        <v>42083</v>
      </c>
      <c r="N1176" s="1">
        <v>15</v>
      </c>
      <c r="O1176" s="2">
        <v>42083</v>
      </c>
      <c r="P1176" s="1">
        <v>20131</v>
      </c>
      <c r="Q1176" s="1" t="s">
        <v>302</v>
      </c>
      <c r="R1176" s="2">
        <v>42132</v>
      </c>
      <c r="S1176" s="1">
        <v>232743</v>
      </c>
      <c r="U1176" s="1">
        <v>410</v>
      </c>
      <c r="V1176" s="1" t="s">
        <v>12202</v>
      </c>
      <c r="W1176" s="1" t="s">
        <v>504</v>
      </c>
      <c r="X1176" s="1">
        <v>410</v>
      </c>
      <c r="Y1176" s="1">
        <v>4</v>
      </c>
      <c r="Z1176" s="1" t="s">
        <v>249</v>
      </c>
      <c r="AA1176" s="1" t="s">
        <v>921</v>
      </c>
      <c r="AB1176" s="1">
        <v>60565</v>
      </c>
      <c r="AD1176" s="1" t="s">
        <v>12203</v>
      </c>
      <c r="AE1176" s="1" t="s">
        <v>12204</v>
      </c>
      <c r="AF1176" s="1">
        <v>1996</v>
      </c>
      <c r="AG1176" s="1" t="s">
        <v>204</v>
      </c>
      <c r="AH1176" s="1" t="s">
        <v>924</v>
      </c>
      <c r="AI1176" s="1" t="s">
        <v>206</v>
      </c>
      <c r="AJ1176" s="1" t="s">
        <v>925</v>
      </c>
      <c r="AL1176" s="1">
        <v>7</v>
      </c>
      <c r="AM1176" s="1">
        <v>2</v>
      </c>
      <c r="AN1176" s="1">
        <v>2</v>
      </c>
      <c r="AO1176" s="1">
        <v>0</v>
      </c>
      <c r="AP1176" s="1" t="s">
        <v>209</v>
      </c>
      <c r="AQ1176" s="1">
        <v>1</v>
      </c>
      <c r="AR1176" s="1" t="s">
        <v>209</v>
      </c>
      <c r="AS1176" s="1" t="s">
        <v>204</v>
      </c>
      <c r="AT1176" s="1" t="s">
        <v>211</v>
      </c>
      <c r="AU1176" s="1">
        <v>2</v>
      </c>
      <c r="AW1176" s="1" t="s">
        <v>204</v>
      </c>
      <c r="AX1176" s="1" t="s">
        <v>212</v>
      </c>
      <c r="AZ1176" s="1">
        <v>5755</v>
      </c>
      <c r="BA1176" s="1">
        <v>2013</v>
      </c>
      <c r="BB1176" s="1" t="s">
        <v>210</v>
      </c>
      <c r="BE1176" s="1">
        <v>1617</v>
      </c>
      <c r="BF1176" s="1">
        <v>1</v>
      </c>
      <c r="BG1176" s="1">
        <v>0</v>
      </c>
      <c r="BL1176" s="1">
        <v>300</v>
      </c>
      <c r="BM1176" s="1" t="s">
        <v>204</v>
      </c>
      <c r="BN1176" s="1" t="s">
        <v>213</v>
      </c>
      <c r="BO1176" s="1">
        <v>999</v>
      </c>
      <c r="BP1176" s="1" t="s">
        <v>204</v>
      </c>
      <c r="BR1176" s="1" t="str">
        <f>"0829312111"</f>
        <v>0829312111</v>
      </c>
      <c r="BT1176" s="1" t="s">
        <v>12205</v>
      </c>
      <c r="BU1176" s="1" t="s">
        <v>928</v>
      </c>
      <c r="BV1176" s="1" t="s">
        <v>929</v>
      </c>
      <c r="BW1176" s="1" t="s">
        <v>930</v>
      </c>
      <c r="BX1176" s="1">
        <v>203</v>
      </c>
      <c r="BY1176" s="1">
        <v>203</v>
      </c>
      <c r="BZ1176" s="1">
        <v>203</v>
      </c>
      <c r="CB1176" s="1" t="str">
        <f t="shared" ref="CB1176:CC1176" si="905">""</f>
        <v/>
      </c>
      <c r="CC1176" s="1" t="str">
        <f t="shared" si="905"/>
        <v/>
      </c>
      <c r="CG1176" s="1" t="s">
        <v>757</v>
      </c>
      <c r="CH1176" s="1" t="s">
        <v>219</v>
      </c>
      <c r="CI1176" s="1" t="s">
        <v>220</v>
      </c>
      <c r="CJ1176" s="1" t="s">
        <v>252</v>
      </c>
      <c r="CK1176" s="1" t="s">
        <v>932</v>
      </c>
      <c r="CL1176" s="1" t="s">
        <v>219</v>
      </c>
      <c r="CM1176" s="1" t="s">
        <v>220</v>
      </c>
      <c r="CN1176" s="1" t="s">
        <v>252</v>
      </c>
      <c r="CO1176" s="1" t="s">
        <v>379</v>
      </c>
      <c r="CP1176" s="1" t="s">
        <v>219</v>
      </c>
      <c r="CQ1176" s="1" t="s">
        <v>220</v>
      </c>
      <c r="CR1176" s="1" t="s">
        <v>252</v>
      </c>
      <c r="CS1176" s="1" t="s">
        <v>465</v>
      </c>
      <c r="CT1176" s="1" t="s">
        <v>219</v>
      </c>
      <c r="CU1176" s="1" t="s">
        <v>220</v>
      </c>
      <c r="CV1176" s="1" t="s">
        <v>252</v>
      </c>
      <c r="CX1176" s="1" t="s">
        <v>224</v>
      </c>
      <c r="DB1176" s="1" t="s">
        <v>224</v>
      </c>
      <c r="DE1176" s="1" t="s">
        <v>630</v>
      </c>
      <c r="DF1176" s="1" t="s">
        <v>219</v>
      </c>
      <c r="DG1176" s="1" t="s">
        <v>438</v>
      </c>
      <c r="DH1176" s="1" t="s">
        <v>210</v>
      </c>
      <c r="DJ1176" s="1" t="s">
        <v>224</v>
      </c>
      <c r="DM1176" s="1" t="s">
        <v>1548</v>
      </c>
      <c r="DN1176" s="1" t="s">
        <v>1005</v>
      </c>
      <c r="DR1176" s="1" t="s">
        <v>489</v>
      </c>
      <c r="DS1176" s="1" t="s">
        <v>219</v>
      </c>
      <c r="DT1176" s="1" t="s">
        <v>438</v>
      </c>
      <c r="DU1176" s="1" t="s">
        <v>252</v>
      </c>
      <c r="DV1176" s="1" t="s">
        <v>346</v>
      </c>
      <c r="DW1176" s="1" t="s">
        <v>219</v>
      </c>
      <c r="DX1176" s="1" t="s">
        <v>220</v>
      </c>
      <c r="DY1176" s="1" t="s">
        <v>252</v>
      </c>
      <c r="EA1176" s="1" t="s">
        <v>230</v>
      </c>
      <c r="EE1176" s="1" t="s">
        <v>230</v>
      </c>
      <c r="EI1176" s="1" t="s">
        <v>230</v>
      </c>
      <c r="EL1176" s="1" t="s">
        <v>670</v>
      </c>
      <c r="EM1176" s="1" t="s">
        <v>319</v>
      </c>
      <c r="EN1176" s="1" t="s">
        <v>282</v>
      </c>
      <c r="EO1176" s="1" t="s">
        <v>234</v>
      </c>
      <c r="EP1176" s="1" t="s">
        <v>1268</v>
      </c>
      <c r="EQ1176" s="1" t="s">
        <v>2188</v>
      </c>
      <c r="ER1176" s="1" t="s">
        <v>1249</v>
      </c>
      <c r="ES1176" s="1" t="s">
        <v>322</v>
      </c>
      <c r="ET1176" s="1" t="s">
        <v>842</v>
      </c>
      <c r="EU1176" s="1" t="s">
        <v>12206</v>
      </c>
      <c r="EV1176" s="1" t="s">
        <v>324</v>
      </c>
      <c r="EW1176" s="1" t="s">
        <v>867</v>
      </c>
      <c r="EY1176" s="1" t="s">
        <v>242</v>
      </c>
      <c r="EZ1176" s="1" t="s">
        <v>12207</v>
      </c>
      <c r="FA1176" s="1" t="s">
        <v>12208</v>
      </c>
      <c r="FB1176" s="1" t="s">
        <v>289</v>
      </c>
      <c r="FC1176" s="1" t="s">
        <v>2002</v>
      </c>
      <c r="FD1176" s="1" t="s">
        <v>246</v>
      </c>
      <c r="FE1176" s="1" t="s">
        <v>472</v>
      </c>
      <c r="FF1176" s="1" t="s">
        <v>248</v>
      </c>
      <c r="FG1176" s="1" t="s">
        <v>912</v>
      </c>
      <c r="FH1176" s="1" t="s">
        <v>249</v>
      </c>
      <c r="FI1176" s="1" t="s">
        <v>357</v>
      </c>
      <c r="FJ1176" s="1" t="s">
        <v>518</v>
      </c>
      <c r="FL1176" s="1" t="s">
        <v>358</v>
      </c>
      <c r="FM1176" s="1" t="s">
        <v>252</v>
      </c>
      <c r="FN1176" s="1" t="s">
        <v>213</v>
      </c>
      <c r="FO1176" s="1" t="s">
        <v>213</v>
      </c>
      <c r="FQ1176" s="1" t="s">
        <v>2004</v>
      </c>
      <c r="FR1176" s="1" t="s">
        <v>210</v>
      </c>
      <c r="FS1176" s="1" t="s">
        <v>12209</v>
      </c>
      <c r="FT1176" s="1" t="s">
        <v>295</v>
      </c>
      <c r="FU1176" s="1" t="s">
        <v>204</v>
      </c>
      <c r="FW1176" s="1" t="s">
        <v>585</v>
      </c>
      <c r="FX1176" s="1">
        <v>23156</v>
      </c>
      <c r="FY1176" s="1" t="s">
        <v>1253</v>
      </c>
      <c r="FZ1176" s="1" t="s">
        <v>12210</v>
      </c>
      <c r="GA1176" s="1">
        <v>220324</v>
      </c>
      <c r="GB1176" s="1" t="s">
        <v>12211</v>
      </c>
      <c r="GD1176" s="1" t="s">
        <v>12212</v>
      </c>
      <c r="GE1176" s="1" t="s">
        <v>480</v>
      </c>
      <c r="GI1176" s="1" t="s">
        <v>213</v>
      </c>
      <c r="GJ1176" s="1" t="s">
        <v>260</v>
      </c>
      <c r="GK1176" s="1" t="s">
        <v>210</v>
      </c>
      <c r="GL1176" s="2">
        <v>42135</v>
      </c>
      <c r="GM1176" s="1" t="s">
        <v>12213</v>
      </c>
    </row>
    <row r="1177" spans="1:195">
      <c r="A1177" s="1">
        <v>122500</v>
      </c>
      <c r="B1177" s="1" t="s">
        <v>195</v>
      </c>
      <c r="C1177" s="1" t="str">
        <f>"08852524"</f>
        <v>08852524</v>
      </c>
      <c r="D1177" s="1" t="s">
        <v>196</v>
      </c>
      <c r="F1177" s="1" t="str">
        <f>"136"</f>
        <v>136</v>
      </c>
      <c r="G1177" s="2">
        <v>42067</v>
      </c>
      <c r="H1177" s="1">
        <v>110900</v>
      </c>
      <c r="I1177" s="1">
        <v>110900</v>
      </c>
      <c r="J1177" s="1">
        <v>122500</v>
      </c>
      <c r="K1177" s="2">
        <v>42067</v>
      </c>
      <c r="L1177" s="1">
        <v>179</v>
      </c>
      <c r="M1177" s="2">
        <v>42075</v>
      </c>
      <c r="N1177" s="1">
        <v>9</v>
      </c>
      <c r="O1177" s="2">
        <v>42075</v>
      </c>
      <c r="P1177" s="1">
        <v>7032</v>
      </c>
      <c r="Q1177" s="1" t="s">
        <v>197</v>
      </c>
      <c r="R1177" s="2">
        <v>42118</v>
      </c>
      <c r="S1177" s="1">
        <v>8659</v>
      </c>
      <c r="T1177" s="1">
        <v>2916</v>
      </c>
      <c r="U1177" s="1">
        <v>154</v>
      </c>
      <c r="V1177" s="1" t="s">
        <v>11912</v>
      </c>
      <c r="W1177" s="1" t="s">
        <v>264</v>
      </c>
      <c r="Y1177" s="1">
        <v>6</v>
      </c>
      <c r="Z1177" s="1" t="s">
        <v>249</v>
      </c>
      <c r="AA1177" s="1" t="s">
        <v>3680</v>
      </c>
      <c r="AB1177" s="1">
        <v>60136</v>
      </c>
      <c r="AE1177" s="1" t="s">
        <v>12214</v>
      </c>
      <c r="AF1177" s="1">
        <v>2006</v>
      </c>
      <c r="AG1177" s="1" t="s">
        <v>204</v>
      </c>
      <c r="AH1177" s="1" t="s">
        <v>3682</v>
      </c>
      <c r="AI1177" s="1" t="s">
        <v>665</v>
      </c>
      <c r="AJ1177" s="1" t="s">
        <v>748</v>
      </c>
      <c r="AL1177" s="1">
        <v>7</v>
      </c>
      <c r="AM1177" s="1">
        <v>2</v>
      </c>
      <c r="AN1177" s="1">
        <v>2</v>
      </c>
      <c r="AO1177" s="1">
        <v>1</v>
      </c>
      <c r="AP1177" s="1" t="s">
        <v>209</v>
      </c>
      <c r="AQ1177" s="1">
        <v>1</v>
      </c>
      <c r="AR1177" s="1" t="s">
        <v>210</v>
      </c>
      <c r="AS1177" s="1" t="s">
        <v>204</v>
      </c>
      <c r="AT1177" s="1" t="s">
        <v>211</v>
      </c>
      <c r="AU1177" s="1">
        <v>2</v>
      </c>
      <c r="AW1177" s="1" t="s">
        <v>204</v>
      </c>
      <c r="AX1177" s="1" t="s">
        <v>212</v>
      </c>
      <c r="AZ1177" s="1">
        <v>3883</v>
      </c>
      <c r="BA1177" s="1">
        <v>2013</v>
      </c>
      <c r="BE1177" s="1">
        <v>0</v>
      </c>
      <c r="BF1177" s="1">
        <v>1</v>
      </c>
      <c r="BG1177" s="1">
        <v>0</v>
      </c>
      <c r="BL1177" s="1">
        <v>170</v>
      </c>
      <c r="BM1177" s="1" t="s">
        <v>213</v>
      </c>
      <c r="BN1177" s="1" t="s">
        <v>213</v>
      </c>
      <c r="BO1177" s="1">
        <v>50</v>
      </c>
      <c r="BP1177" s="1" t="s">
        <v>204</v>
      </c>
      <c r="BR1177" s="1" t="str">
        <f>"0225307022"</f>
        <v>0225307022</v>
      </c>
      <c r="BT1177" s="1" t="s">
        <v>12215</v>
      </c>
      <c r="BX1177" s="1">
        <v>300</v>
      </c>
      <c r="BY1177" s="1">
        <v>300</v>
      </c>
      <c r="BZ1177" s="1">
        <v>300</v>
      </c>
      <c r="CB1177" s="1" t="str">
        <f t="shared" ref="CB1177:CC1177" si="906">""</f>
        <v/>
      </c>
      <c r="CC1177" s="1" t="str">
        <f t="shared" si="906"/>
        <v/>
      </c>
      <c r="CG1177" s="1" t="s">
        <v>461</v>
      </c>
      <c r="CH1177" s="1" t="s">
        <v>219</v>
      </c>
      <c r="CK1177" s="1" t="s">
        <v>932</v>
      </c>
      <c r="CL1177" s="1" t="s">
        <v>277</v>
      </c>
      <c r="CO1177" s="1" t="s">
        <v>378</v>
      </c>
      <c r="CP1177" s="1" t="s">
        <v>219</v>
      </c>
      <c r="CS1177" s="1" t="s">
        <v>379</v>
      </c>
      <c r="CT1177" s="1" t="s">
        <v>277</v>
      </c>
      <c r="CX1177" s="1" t="s">
        <v>224</v>
      </c>
      <c r="DB1177" s="1" t="s">
        <v>224</v>
      </c>
      <c r="DE1177" s="1" t="s">
        <v>316</v>
      </c>
      <c r="DF1177" s="1" t="s">
        <v>219</v>
      </c>
      <c r="DI1177" s="1" t="s">
        <v>461</v>
      </c>
      <c r="DJ1177" s="1" t="s">
        <v>219</v>
      </c>
      <c r="DM1177" s="1" t="s">
        <v>464</v>
      </c>
      <c r="DR1177" s="1" t="s">
        <v>378</v>
      </c>
      <c r="DS1177" s="1" t="s">
        <v>277</v>
      </c>
      <c r="DW1177" s="1" t="s">
        <v>230</v>
      </c>
      <c r="EA1177" s="1" t="s">
        <v>230</v>
      </c>
      <c r="EE1177" s="1" t="s">
        <v>230</v>
      </c>
      <c r="EI1177" s="1" t="s">
        <v>230</v>
      </c>
      <c r="EL1177" s="1" t="s">
        <v>491</v>
      </c>
      <c r="EM1177" s="1" t="s">
        <v>319</v>
      </c>
      <c r="EN1177" s="1" t="s">
        <v>282</v>
      </c>
      <c r="EO1177" s="1" t="s">
        <v>234</v>
      </c>
      <c r="ER1177" s="1" t="s">
        <v>210</v>
      </c>
      <c r="EW1177" s="1" t="s">
        <v>353</v>
      </c>
      <c r="EZ1177" s="1" t="s">
        <v>464</v>
      </c>
      <c r="FD1177" s="1" t="s">
        <v>246</v>
      </c>
      <c r="FE1177" s="1" t="s">
        <v>355</v>
      </c>
      <c r="FF1177" s="1" t="s">
        <v>248</v>
      </c>
      <c r="FH1177" s="1" t="s">
        <v>550</v>
      </c>
      <c r="FL1177" s="1" t="s">
        <v>358</v>
      </c>
      <c r="FM1177" s="1" t="s">
        <v>252</v>
      </c>
      <c r="FN1177" s="1" t="s">
        <v>213</v>
      </c>
      <c r="FO1177" s="1" t="s">
        <v>213</v>
      </c>
      <c r="FQ1177" s="1" t="s">
        <v>582</v>
      </c>
      <c r="FR1177" s="1" t="s">
        <v>210</v>
      </c>
      <c r="FS1177" s="1" t="s">
        <v>12216</v>
      </c>
      <c r="FT1177" s="1" t="s">
        <v>295</v>
      </c>
      <c r="FU1177" s="1" t="s">
        <v>204</v>
      </c>
      <c r="FW1177" s="1" t="s">
        <v>813</v>
      </c>
      <c r="FX1177" s="1">
        <v>5030</v>
      </c>
      <c r="FY1177" s="1" t="s">
        <v>814</v>
      </c>
      <c r="FZ1177" s="1" t="s">
        <v>12217</v>
      </c>
      <c r="GA1177" s="1">
        <v>55341</v>
      </c>
      <c r="GE1177" s="1" t="s">
        <v>210</v>
      </c>
      <c r="GI1177" s="1" t="s">
        <v>213</v>
      </c>
      <c r="GJ1177" s="1" t="s">
        <v>260</v>
      </c>
      <c r="GK1177" s="1" t="s">
        <v>210</v>
      </c>
      <c r="GL1177" s="2">
        <v>42118</v>
      </c>
      <c r="GM1177" s="1" t="s">
        <v>12218</v>
      </c>
    </row>
    <row r="1178" spans="1:195">
      <c r="A1178" s="1">
        <v>61000</v>
      </c>
      <c r="B1178" s="1" t="s">
        <v>195</v>
      </c>
      <c r="C1178" s="1" t="str">
        <f>"08851598"</f>
        <v>08851598</v>
      </c>
      <c r="D1178" s="1" t="s">
        <v>196</v>
      </c>
      <c r="F1178" s="1" t="str">
        <f>"139"</f>
        <v>139</v>
      </c>
      <c r="G1178" s="2">
        <v>42066</v>
      </c>
      <c r="H1178" s="1">
        <v>49000</v>
      </c>
      <c r="I1178" s="1">
        <v>49000</v>
      </c>
      <c r="J1178" s="1">
        <v>61000</v>
      </c>
      <c r="K1178" s="2">
        <v>42066</v>
      </c>
      <c r="L1178" s="1">
        <v>14</v>
      </c>
      <c r="M1178" s="2">
        <v>42079</v>
      </c>
      <c r="N1178" s="1">
        <v>14</v>
      </c>
      <c r="O1178" s="2">
        <v>42079</v>
      </c>
      <c r="P1178" s="1">
        <v>22005</v>
      </c>
      <c r="Q1178" s="1" t="s">
        <v>302</v>
      </c>
      <c r="R1178" s="2">
        <v>42109</v>
      </c>
      <c r="S1178" s="1">
        <v>219044</v>
      </c>
      <c r="U1178" s="1">
        <v>685</v>
      </c>
      <c r="V1178" s="1" t="s">
        <v>12219</v>
      </c>
      <c r="W1178" s="1" t="s">
        <v>425</v>
      </c>
      <c r="X1178" s="1" t="s">
        <v>12220</v>
      </c>
      <c r="Y1178" s="1">
        <v>20</v>
      </c>
      <c r="Z1178" s="1" t="s">
        <v>249</v>
      </c>
      <c r="AA1178" s="1" t="s">
        <v>1732</v>
      </c>
      <c r="AB1178" s="1">
        <v>60139</v>
      </c>
      <c r="AE1178" s="1" t="s">
        <v>12221</v>
      </c>
      <c r="AF1178" s="1">
        <v>1970</v>
      </c>
      <c r="AG1178" s="1" t="s">
        <v>213</v>
      </c>
      <c r="AH1178" s="1" t="s">
        <v>1735</v>
      </c>
      <c r="AI1178" s="1" t="s">
        <v>206</v>
      </c>
      <c r="AJ1178" s="1" t="s">
        <v>269</v>
      </c>
      <c r="AL1178" s="1">
        <v>5</v>
      </c>
      <c r="AM1178" s="1">
        <v>2</v>
      </c>
      <c r="AN1178" s="1">
        <v>1</v>
      </c>
      <c r="AO1178" s="1">
        <v>0</v>
      </c>
      <c r="AP1178" s="1" t="s">
        <v>210</v>
      </c>
      <c r="AR1178" s="1" t="s">
        <v>210</v>
      </c>
      <c r="AS1178" s="1" t="s">
        <v>204</v>
      </c>
      <c r="AT1178" s="1" t="s">
        <v>271</v>
      </c>
      <c r="AV1178" s="1">
        <v>1</v>
      </c>
      <c r="AW1178" s="1" t="s">
        <v>204</v>
      </c>
      <c r="AX1178" s="1" t="s">
        <v>212</v>
      </c>
      <c r="AZ1178" s="1">
        <v>769</v>
      </c>
      <c r="BA1178" s="1">
        <v>2013</v>
      </c>
      <c r="BE1178" s="1">
        <v>0</v>
      </c>
      <c r="BF1178" s="1">
        <v>2</v>
      </c>
      <c r="BG1178" s="1">
        <v>10</v>
      </c>
      <c r="BL1178" s="1">
        <v>299</v>
      </c>
      <c r="BM1178" s="1" t="s">
        <v>204</v>
      </c>
      <c r="BN1178" s="1" t="s">
        <v>213</v>
      </c>
      <c r="BO1178" s="1">
        <v>0</v>
      </c>
      <c r="BP1178" s="1" t="s">
        <v>204</v>
      </c>
      <c r="BR1178" s="1" t="str">
        <f>"0235224031"</f>
        <v>0235224031</v>
      </c>
      <c r="BT1178" s="1" t="s">
        <v>12222</v>
      </c>
      <c r="BX1178" s="1">
        <v>15</v>
      </c>
      <c r="BY1178" s="1">
        <v>15</v>
      </c>
      <c r="BZ1178" s="1">
        <v>87</v>
      </c>
      <c r="CB1178" s="1" t="str">
        <f t="shared" ref="CB1178:CC1178" si="907">""</f>
        <v/>
      </c>
      <c r="CC1178" s="1" t="str">
        <f t="shared" si="907"/>
        <v/>
      </c>
      <c r="CG1178" s="1" t="s">
        <v>581</v>
      </c>
      <c r="CH1178" s="1" t="s">
        <v>219</v>
      </c>
      <c r="CK1178" s="1" t="s">
        <v>564</v>
      </c>
      <c r="CL1178" s="1" t="s">
        <v>219</v>
      </c>
      <c r="CO1178" s="1" t="s">
        <v>409</v>
      </c>
      <c r="CP1178" s="1" t="s">
        <v>219</v>
      </c>
      <c r="CS1178" s="1" t="s">
        <v>346</v>
      </c>
      <c r="CT1178" s="1" t="s">
        <v>219</v>
      </c>
      <c r="CX1178" s="1" t="s">
        <v>224</v>
      </c>
      <c r="DB1178" s="1" t="s">
        <v>224</v>
      </c>
      <c r="DE1178" s="1" t="s">
        <v>379</v>
      </c>
      <c r="DF1178" s="1" t="s">
        <v>219</v>
      </c>
      <c r="DJ1178" s="1" t="s">
        <v>224</v>
      </c>
      <c r="DS1178" s="1" t="s">
        <v>230</v>
      </c>
      <c r="DW1178" s="1" t="s">
        <v>230</v>
      </c>
      <c r="EA1178" s="1" t="s">
        <v>230</v>
      </c>
      <c r="EE1178" s="1" t="s">
        <v>230</v>
      </c>
      <c r="EI1178" s="1" t="s">
        <v>230</v>
      </c>
      <c r="EL1178" s="1" t="s">
        <v>605</v>
      </c>
      <c r="EM1178" s="1" t="s">
        <v>319</v>
      </c>
      <c r="EN1178" s="1" t="s">
        <v>210</v>
      </c>
      <c r="EO1178" s="1" t="s">
        <v>234</v>
      </c>
      <c r="ER1178" s="1" t="s">
        <v>210</v>
      </c>
      <c r="EW1178" s="1" t="s">
        <v>12223</v>
      </c>
      <c r="EZ1178" s="1" t="s">
        <v>287</v>
      </c>
      <c r="FD1178" s="1" t="s">
        <v>246</v>
      </c>
      <c r="FE1178" s="1" t="s">
        <v>247</v>
      </c>
      <c r="FF1178" s="1" t="s">
        <v>248</v>
      </c>
      <c r="FH1178" s="1" t="s">
        <v>249</v>
      </c>
      <c r="FL1178" s="1" t="s">
        <v>358</v>
      </c>
      <c r="FM1178" s="1" t="s">
        <v>252</v>
      </c>
      <c r="FN1178" s="1" t="s">
        <v>213</v>
      </c>
      <c r="FO1178" s="1" t="s">
        <v>213</v>
      </c>
      <c r="FQ1178" s="1" t="s">
        <v>673</v>
      </c>
      <c r="FR1178" s="1" t="s">
        <v>210</v>
      </c>
      <c r="FS1178" s="1" t="s">
        <v>12224</v>
      </c>
      <c r="FT1178" s="1" t="s">
        <v>362</v>
      </c>
      <c r="FU1178" s="1" t="s">
        <v>213</v>
      </c>
      <c r="FW1178" s="1" t="s">
        <v>12225</v>
      </c>
      <c r="FX1178" s="1">
        <v>15648</v>
      </c>
      <c r="FY1178" s="1" t="s">
        <v>12226</v>
      </c>
      <c r="FZ1178" s="1" t="s">
        <v>12227</v>
      </c>
      <c r="GA1178" s="1">
        <v>107186</v>
      </c>
      <c r="GB1178" s="1" t="s">
        <v>12228</v>
      </c>
      <c r="GE1178" s="1" t="s">
        <v>210</v>
      </c>
      <c r="GH1178" s="1" t="s">
        <v>800</v>
      </c>
      <c r="GI1178" s="1" t="s">
        <v>213</v>
      </c>
      <c r="GJ1178" s="1" t="s">
        <v>260</v>
      </c>
      <c r="GK1178" s="1" t="s">
        <v>210</v>
      </c>
      <c r="GL1178" s="2">
        <v>42109</v>
      </c>
      <c r="GM1178" s="1" t="s">
        <v>12229</v>
      </c>
    </row>
    <row r="1179" spans="1:195">
      <c r="A1179" s="1">
        <v>209000</v>
      </c>
      <c r="B1179" s="1" t="s">
        <v>195</v>
      </c>
      <c r="C1179" s="1" t="str">
        <f>"08849840"</f>
        <v>08849840</v>
      </c>
      <c r="D1179" s="1" t="s">
        <v>196</v>
      </c>
      <c r="F1179" s="1" t="str">
        <f>"108"</f>
        <v>108</v>
      </c>
      <c r="G1179" s="2">
        <v>42065</v>
      </c>
      <c r="H1179" s="1">
        <v>199900</v>
      </c>
      <c r="I1179" s="1">
        <v>199900</v>
      </c>
      <c r="J1179" s="1">
        <v>209000</v>
      </c>
      <c r="K1179" s="2">
        <v>42065</v>
      </c>
      <c r="L1179" s="1">
        <v>64</v>
      </c>
      <c r="M1179" s="2">
        <v>42072</v>
      </c>
      <c r="N1179" s="1">
        <v>8</v>
      </c>
      <c r="O1179" s="2">
        <v>42072</v>
      </c>
      <c r="P1179" s="1">
        <v>25200</v>
      </c>
      <c r="Q1179" s="1" t="s">
        <v>197</v>
      </c>
      <c r="R1179" s="2">
        <v>42111</v>
      </c>
      <c r="S1179" s="1">
        <v>259409</v>
      </c>
      <c r="U1179" s="1">
        <v>59</v>
      </c>
      <c r="V1179" s="1" t="s">
        <v>12230</v>
      </c>
      <c r="W1179" s="1" t="s">
        <v>504</v>
      </c>
      <c r="Y1179" s="1">
        <v>2</v>
      </c>
      <c r="Z1179" s="1" t="s">
        <v>370</v>
      </c>
      <c r="AA1179" s="1" t="s">
        <v>829</v>
      </c>
      <c r="AB1179" s="1">
        <v>60108</v>
      </c>
      <c r="AD1179" s="1" t="s">
        <v>5496</v>
      </c>
      <c r="AE1179" s="1" t="s">
        <v>12231</v>
      </c>
      <c r="AF1179" s="1">
        <v>1986</v>
      </c>
      <c r="AG1179" s="1" t="s">
        <v>204</v>
      </c>
      <c r="AH1179" s="1" t="s">
        <v>269</v>
      </c>
      <c r="AI1179" s="1" t="s">
        <v>206</v>
      </c>
      <c r="AJ1179" s="1" t="s">
        <v>269</v>
      </c>
      <c r="AL1179" s="1">
        <v>7</v>
      </c>
      <c r="AM1179" s="1">
        <v>2</v>
      </c>
      <c r="AN1179" s="1">
        <v>2</v>
      </c>
      <c r="AO1179" s="1">
        <v>0</v>
      </c>
      <c r="AP1179" s="1" t="s">
        <v>209</v>
      </c>
      <c r="AQ1179" s="1">
        <v>1</v>
      </c>
      <c r="AR1179" s="1" t="s">
        <v>1631</v>
      </c>
      <c r="AS1179" s="1" t="s">
        <v>204</v>
      </c>
      <c r="AT1179" s="1" t="s">
        <v>211</v>
      </c>
      <c r="AU1179" s="1">
        <v>2</v>
      </c>
      <c r="AW1179" s="1" t="s">
        <v>204</v>
      </c>
      <c r="AX1179" s="1" t="s">
        <v>12232</v>
      </c>
      <c r="AZ1179" s="1">
        <v>5208.5600000000004</v>
      </c>
      <c r="BA1179" s="1">
        <v>2013</v>
      </c>
      <c r="BB1179" s="1" t="s">
        <v>599</v>
      </c>
      <c r="BE1179" s="1">
        <v>1882</v>
      </c>
      <c r="BF1179" s="1">
        <v>1</v>
      </c>
      <c r="BG1179" s="1">
        <v>0</v>
      </c>
      <c r="BL1179" s="1">
        <v>245</v>
      </c>
      <c r="BM1179" s="1" t="s">
        <v>204</v>
      </c>
      <c r="BN1179" s="1" t="s">
        <v>213</v>
      </c>
      <c r="BO1179" s="1">
        <v>0</v>
      </c>
      <c r="BP1179" s="1" t="s">
        <v>204</v>
      </c>
      <c r="BR1179" s="1" t="str">
        <f>"0216209044"</f>
        <v>0216209044</v>
      </c>
      <c r="BT1179" s="1" t="s">
        <v>12233</v>
      </c>
      <c r="BU1179" s="1" t="s">
        <v>1611</v>
      </c>
      <c r="BV1179" s="1" t="s">
        <v>834</v>
      </c>
      <c r="BW1179" s="1" t="s">
        <v>275</v>
      </c>
      <c r="BX1179" s="1">
        <v>13</v>
      </c>
      <c r="BY1179" s="1">
        <v>13</v>
      </c>
      <c r="BZ1179" s="1">
        <v>108</v>
      </c>
      <c r="CB1179" s="1" t="str">
        <f>"6"</f>
        <v>6</v>
      </c>
      <c r="CC1179" s="1" t="str">
        <f t="shared" ref="CC1179:CC1180" si="908">"0"</f>
        <v>0</v>
      </c>
      <c r="CD1179" s="1">
        <v>24</v>
      </c>
      <c r="CE1179" s="1">
        <v>0</v>
      </c>
      <c r="CG1179" s="1" t="s">
        <v>218</v>
      </c>
      <c r="CH1179" s="1" t="s">
        <v>219</v>
      </c>
      <c r="CI1179" s="1" t="s">
        <v>220</v>
      </c>
      <c r="CJ1179" s="1" t="s">
        <v>463</v>
      </c>
      <c r="CK1179" s="1" t="s">
        <v>581</v>
      </c>
      <c r="CL1179" s="1" t="s">
        <v>219</v>
      </c>
      <c r="CM1179" s="1" t="s">
        <v>220</v>
      </c>
      <c r="CN1179" s="1" t="s">
        <v>343</v>
      </c>
      <c r="CO1179" s="1" t="s">
        <v>317</v>
      </c>
      <c r="CP1179" s="1" t="s">
        <v>219</v>
      </c>
      <c r="CQ1179" s="1" t="s">
        <v>220</v>
      </c>
      <c r="CR1179" s="1" t="s">
        <v>463</v>
      </c>
      <c r="CS1179" s="1" t="s">
        <v>344</v>
      </c>
      <c r="CT1179" s="1" t="s">
        <v>219</v>
      </c>
      <c r="CU1179" s="1" t="s">
        <v>220</v>
      </c>
      <c r="CV1179" s="1" t="s">
        <v>343</v>
      </c>
      <c r="CX1179" s="1" t="s">
        <v>224</v>
      </c>
      <c r="DB1179" s="1" t="s">
        <v>224</v>
      </c>
      <c r="DE1179" s="1" t="s">
        <v>932</v>
      </c>
      <c r="DF1179" s="1" t="s">
        <v>219</v>
      </c>
      <c r="DG1179" s="1" t="s">
        <v>438</v>
      </c>
      <c r="DI1179" s="1" t="s">
        <v>221</v>
      </c>
      <c r="DJ1179" s="1" t="s">
        <v>219</v>
      </c>
      <c r="DK1179" s="1" t="s">
        <v>220</v>
      </c>
      <c r="DM1179" s="1" t="s">
        <v>934</v>
      </c>
      <c r="DN1179" s="1" t="s">
        <v>2278</v>
      </c>
      <c r="DR1179" s="1" t="s">
        <v>11385</v>
      </c>
      <c r="DS1179" s="1" t="s">
        <v>822</v>
      </c>
      <c r="DT1179" s="1" t="s">
        <v>347</v>
      </c>
      <c r="DV1179" s="1" t="s">
        <v>221</v>
      </c>
      <c r="DW1179" s="1" t="s">
        <v>822</v>
      </c>
      <c r="DX1179" s="1" t="s">
        <v>347</v>
      </c>
      <c r="EA1179" s="1" t="s">
        <v>230</v>
      </c>
      <c r="EE1179" s="1" t="s">
        <v>230</v>
      </c>
      <c r="EI1179" s="1" t="s">
        <v>230</v>
      </c>
      <c r="EL1179" s="1" t="s">
        <v>542</v>
      </c>
      <c r="EM1179" s="1" t="s">
        <v>319</v>
      </c>
      <c r="EN1179" s="1" t="s">
        <v>282</v>
      </c>
      <c r="EO1179" s="1" t="s">
        <v>234</v>
      </c>
      <c r="EQ1179" s="1" t="s">
        <v>12234</v>
      </c>
      <c r="ER1179" s="1" t="s">
        <v>1249</v>
      </c>
      <c r="ES1179" s="1" t="s">
        <v>1552</v>
      </c>
      <c r="ET1179" s="1" t="s">
        <v>842</v>
      </c>
      <c r="EV1179" s="1" t="s">
        <v>1999</v>
      </c>
      <c r="EW1179" s="1" t="s">
        <v>1219</v>
      </c>
      <c r="EZ1179" s="1" t="s">
        <v>12235</v>
      </c>
      <c r="FA1179" s="1" t="s">
        <v>869</v>
      </c>
      <c r="FD1179" s="1" t="s">
        <v>246</v>
      </c>
      <c r="FE1179" s="1" t="s">
        <v>247</v>
      </c>
      <c r="FF1179" s="1" t="s">
        <v>248</v>
      </c>
      <c r="FG1179" s="1" t="s">
        <v>871</v>
      </c>
      <c r="FH1179" s="1" t="s">
        <v>825</v>
      </c>
      <c r="FI1179" s="1" t="s">
        <v>473</v>
      </c>
      <c r="FL1179" s="1" t="s">
        <v>358</v>
      </c>
      <c r="FM1179" s="1" t="s">
        <v>252</v>
      </c>
      <c r="FN1179" s="1" t="s">
        <v>213</v>
      </c>
      <c r="FO1179" s="1" t="s">
        <v>213</v>
      </c>
      <c r="FQ1179" s="1" t="s">
        <v>359</v>
      </c>
      <c r="FR1179" s="1" t="s">
        <v>210</v>
      </c>
      <c r="FS1179" s="1" t="s">
        <v>12236</v>
      </c>
      <c r="FT1179" s="1" t="s">
        <v>295</v>
      </c>
      <c r="FU1179" s="1" t="s">
        <v>204</v>
      </c>
      <c r="FW1179" s="1" t="s">
        <v>1637</v>
      </c>
      <c r="FX1179" s="1">
        <v>8055</v>
      </c>
      <c r="FY1179" s="1" t="s">
        <v>1728</v>
      </c>
      <c r="FZ1179" s="1" t="s">
        <v>1729</v>
      </c>
      <c r="GA1179" s="1">
        <v>82036</v>
      </c>
      <c r="GB1179" s="1" t="s">
        <v>1730</v>
      </c>
      <c r="GE1179" s="1" t="s">
        <v>210</v>
      </c>
      <c r="GI1179" s="1" t="s">
        <v>213</v>
      </c>
      <c r="GJ1179" s="1" t="s">
        <v>260</v>
      </c>
      <c r="GK1179" s="1" t="s">
        <v>210</v>
      </c>
      <c r="GL1179" s="2">
        <v>42114</v>
      </c>
    </row>
    <row r="1180" spans="1:195">
      <c r="A1180" s="1">
        <v>217000</v>
      </c>
      <c r="B1180" s="1" t="s">
        <v>195</v>
      </c>
      <c r="C1180" s="1" t="str">
        <f>"08852455"</f>
        <v>08852455</v>
      </c>
      <c r="D1180" s="1" t="s">
        <v>196</v>
      </c>
      <c r="F1180" s="1" t="str">
        <f>"10"</f>
        <v>10</v>
      </c>
      <c r="G1180" s="2">
        <v>42067</v>
      </c>
      <c r="H1180" s="1">
        <v>235000</v>
      </c>
      <c r="I1180" s="1">
        <v>235000</v>
      </c>
      <c r="J1180" s="1">
        <v>217000</v>
      </c>
      <c r="K1180" s="2">
        <v>42067</v>
      </c>
      <c r="L1180" s="1">
        <v>55</v>
      </c>
      <c r="M1180" s="2">
        <v>42121</v>
      </c>
      <c r="N1180" s="1">
        <v>55</v>
      </c>
      <c r="O1180" s="2">
        <v>42121</v>
      </c>
      <c r="P1180" s="1">
        <v>4777</v>
      </c>
      <c r="Q1180" s="1" t="s">
        <v>302</v>
      </c>
      <c r="R1180" s="2">
        <v>42145</v>
      </c>
      <c r="S1180" s="1">
        <v>63097</v>
      </c>
      <c r="U1180" s="1">
        <v>568</v>
      </c>
      <c r="V1180" s="1" t="s">
        <v>6726</v>
      </c>
      <c r="W1180" s="1" t="s">
        <v>725</v>
      </c>
      <c r="Y1180" s="1">
        <v>6</v>
      </c>
      <c r="Z1180" s="1" t="s">
        <v>249</v>
      </c>
      <c r="AA1180" s="1" t="s">
        <v>6288</v>
      </c>
      <c r="AB1180" s="1">
        <v>60010</v>
      </c>
      <c r="AD1180" s="1" t="s">
        <v>6727</v>
      </c>
      <c r="AE1180" s="1" t="s">
        <v>12237</v>
      </c>
      <c r="AF1180" s="1">
        <v>1968</v>
      </c>
      <c r="AG1180" s="1" t="s">
        <v>213</v>
      </c>
      <c r="AH1180" s="1" t="s">
        <v>6729</v>
      </c>
      <c r="AI1180" s="1" t="s">
        <v>310</v>
      </c>
      <c r="AJ1180" s="1" t="s">
        <v>6729</v>
      </c>
      <c r="AL1180" s="1">
        <v>6</v>
      </c>
      <c r="AM1180" s="1">
        <v>2</v>
      </c>
      <c r="AN1180" s="1">
        <v>2</v>
      </c>
      <c r="AO1180" s="1">
        <v>0</v>
      </c>
      <c r="AP1180" s="1" t="s">
        <v>667</v>
      </c>
      <c r="AQ1180" s="1">
        <v>1</v>
      </c>
      <c r="AR1180" s="1" t="s">
        <v>210</v>
      </c>
      <c r="AT1180" s="1" t="s">
        <v>211</v>
      </c>
      <c r="AU1180" s="1">
        <v>1</v>
      </c>
      <c r="AW1180" s="1" t="s">
        <v>204</v>
      </c>
      <c r="AX1180" s="1" t="s">
        <v>212</v>
      </c>
      <c r="AZ1180" s="1">
        <v>2617.19</v>
      </c>
      <c r="BA1180" s="1">
        <v>2013</v>
      </c>
      <c r="BB1180" s="1" t="s">
        <v>210</v>
      </c>
      <c r="BE1180" s="1">
        <v>1816</v>
      </c>
      <c r="BF1180" s="1">
        <v>1</v>
      </c>
      <c r="BG1180" s="1">
        <v>0</v>
      </c>
      <c r="BL1180" s="1">
        <v>348</v>
      </c>
      <c r="BM1180" s="1" t="s">
        <v>204</v>
      </c>
      <c r="BN1180" s="1" t="s">
        <v>213</v>
      </c>
      <c r="BO1180" s="1">
        <v>85</v>
      </c>
      <c r="BP1180" s="1" t="s">
        <v>204</v>
      </c>
      <c r="BR1180" s="1" t="str">
        <f>"01022020501050"</f>
        <v>01022020501050</v>
      </c>
      <c r="BT1180" s="1" t="s">
        <v>12238</v>
      </c>
      <c r="BU1180" s="1" t="s">
        <v>6731</v>
      </c>
      <c r="BV1180" s="1" t="s">
        <v>6732</v>
      </c>
      <c r="BW1180" s="1" t="s">
        <v>1994</v>
      </c>
      <c r="BX1180" s="1">
        <v>220</v>
      </c>
      <c r="BY1180" s="1">
        <v>220</v>
      </c>
      <c r="BZ1180" s="1">
        <v>220</v>
      </c>
      <c r="CB1180" s="1" t="str">
        <f>"18"</f>
        <v>18</v>
      </c>
      <c r="CC1180" s="1" t="str">
        <f t="shared" si="908"/>
        <v>0</v>
      </c>
      <c r="CD1180" s="1">
        <v>26</v>
      </c>
      <c r="CE1180" s="1">
        <v>0</v>
      </c>
      <c r="CG1180" s="1" t="s">
        <v>6628</v>
      </c>
      <c r="CH1180" s="1" t="s">
        <v>219</v>
      </c>
      <c r="CI1180" s="1" t="s">
        <v>438</v>
      </c>
      <c r="CK1180" s="1" t="s">
        <v>931</v>
      </c>
      <c r="CL1180" s="1" t="s">
        <v>277</v>
      </c>
      <c r="CM1180" s="1" t="s">
        <v>438</v>
      </c>
      <c r="CO1180" s="1" t="s">
        <v>1469</v>
      </c>
      <c r="CP1180" s="1" t="s">
        <v>219</v>
      </c>
      <c r="CQ1180" s="1" t="s">
        <v>438</v>
      </c>
      <c r="CS1180" s="1" t="s">
        <v>2934</v>
      </c>
      <c r="CT1180" s="1" t="s">
        <v>277</v>
      </c>
      <c r="CU1180" s="1" t="s">
        <v>438</v>
      </c>
      <c r="CX1180" s="1" t="s">
        <v>224</v>
      </c>
      <c r="DB1180" s="1" t="s">
        <v>224</v>
      </c>
      <c r="DE1180" s="1" t="s">
        <v>3284</v>
      </c>
      <c r="DF1180" s="1" t="s">
        <v>219</v>
      </c>
      <c r="DG1180" s="1" t="s">
        <v>438</v>
      </c>
      <c r="DI1180" s="1" t="s">
        <v>465</v>
      </c>
      <c r="DJ1180" s="1" t="s">
        <v>822</v>
      </c>
      <c r="DK1180" s="1" t="s">
        <v>438</v>
      </c>
      <c r="DS1180" s="1" t="s">
        <v>230</v>
      </c>
      <c r="DW1180" s="1" t="s">
        <v>230</v>
      </c>
      <c r="EA1180" s="1" t="s">
        <v>230</v>
      </c>
      <c r="EE1180" s="1" t="s">
        <v>230</v>
      </c>
      <c r="EI1180" s="1" t="s">
        <v>230</v>
      </c>
      <c r="EL1180" s="1" t="s">
        <v>605</v>
      </c>
      <c r="EM1180" s="1" t="s">
        <v>319</v>
      </c>
      <c r="EN1180" s="1" t="s">
        <v>282</v>
      </c>
      <c r="EO1180" s="1" t="s">
        <v>234</v>
      </c>
      <c r="EP1180" s="1" t="s">
        <v>12239</v>
      </c>
      <c r="EQ1180" s="1" t="s">
        <v>492</v>
      </c>
      <c r="ER1180" s="1" t="s">
        <v>210</v>
      </c>
      <c r="ES1180" s="1" t="s">
        <v>954</v>
      </c>
      <c r="EV1180" s="1" t="s">
        <v>240</v>
      </c>
      <c r="EW1180" s="1" t="s">
        <v>5806</v>
      </c>
      <c r="EZ1180" s="1" t="s">
        <v>287</v>
      </c>
      <c r="FB1180" s="1" t="s">
        <v>244</v>
      </c>
      <c r="FC1180" s="1" t="s">
        <v>1386</v>
      </c>
      <c r="FD1180" s="1" t="s">
        <v>2914</v>
      </c>
      <c r="FE1180" s="1" t="s">
        <v>247</v>
      </c>
      <c r="FF1180" s="1" t="s">
        <v>248</v>
      </c>
      <c r="FG1180" s="1" t="s">
        <v>939</v>
      </c>
      <c r="FH1180" s="1" t="s">
        <v>1428</v>
      </c>
      <c r="FI1180" s="1" t="s">
        <v>357</v>
      </c>
      <c r="FL1180" s="1" t="s">
        <v>358</v>
      </c>
      <c r="FM1180" s="1" t="s">
        <v>252</v>
      </c>
      <c r="FN1180" s="1" t="s">
        <v>213</v>
      </c>
      <c r="FO1180" s="1" t="s">
        <v>204</v>
      </c>
      <c r="FQ1180" s="1" t="s">
        <v>12240</v>
      </c>
      <c r="FR1180" s="1" t="s">
        <v>210</v>
      </c>
      <c r="FS1180" s="1" t="s">
        <v>12241</v>
      </c>
      <c r="FT1180" s="1" t="s">
        <v>362</v>
      </c>
      <c r="FU1180" s="1" t="s">
        <v>204</v>
      </c>
      <c r="FW1180" s="1" t="s">
        <v>6737</v>
      </c>
      <c r="FX1180" s="1">
        <v>10646</v>
      </c>
      <c r="FY1180" s="1" t="s">
        <v>6738</v>
      </c>
      <c r="FZ1180" s="1" t="s">
        <v>6739</v>
      </c>
      <c r="GA1180" s="1">
        <v>120575</v>
      </c>
      <c r="GB1180" s="1" t="s">
        <v>6740</v>
      </c>
      <c r="GE1180" s="1" t="s">
        <v>210</v>
      </c>
      <c r="GH1180" s="1" t="s">
        <v>589</v>
      </c>
      <c r="GI1180" s="1" t="s">
        <v>213</v>
      </c>
      <c r="GJ1180" s="1" t="s">
        <v>260</v>
      </c>
      <c r="GK1180" s="1" t="s">
        <v>210</v>
      </c>
      <c r="GL1180" s="2">
        <v>42147</v>
      </c>
    </row>
    <row r="1181" spans="1:195">
      <c r="A1181" s="1">
        <v>139000</v>
      </c>
      <c r="B1181" s="1" t="s">
        <v>195</v>
      </c>
      <c r="C1181" s="1" t="str">
        <f>"08851174"</f>
        <v>08851174</v>
      </c>
      <c r="D1181" s="1" t="s">
        <v>196</v>
      </c>
      <c r="F1181" s="1" t="str">
        <f>"139"</f>
        <v>139</v>
      </c>
      <c r="G1181" s="2">
        <v>42066</v>
      </c>
      <c r="H1181" s="1">
        <v>145000</v>
      </c>
      <c r="I1181" s="1">
        <v>145000</v>
      </c>
      <c r="J1181" s="1">
        <v>139000</v>
      </c>
      <c r="K1181" s="2">
        <v>42066</v>
      </c>
      <c r="L1181" s="1">
        <v>1</v>
      </c>
      <c r="M1181" s="2">
        <v>42066</v>
      </c>
      <c r="N1181" s="1">
        <v>1</v>
      </c>
      <c r="O1181" s="2">
        <v>42066</v>
      </c>
      <c r="P1181" s="1">
        <v>4777</v>
      </c>
      <c r="Q1181" s="1" t="s">
        <v>197</v>
      </c>
      <c r="R1181" s="2">
        <v>42124</v>
      </c>
      <c r="S1181" s="1">
        <v>42771</v>
      </c>
      <c r="U1181" s="1">
        <v>2189</v>
      </c>
      <c r="V1181" s="1" t="s">
        <v>1731</v>
      </c>
      <c r="W1181" s="1" t="s">
        <v>264</v>
      </c>
      <c r="Y1181" s="1">
        <v>6</v>
      </c>
      <c r="Z1181" s="1" t="s">
        <v>370</v>
      </c>
      <c r="AA1181" s="1" t="s">
        <v>1732</v>
      </c>
      <c r="AB1181" s="1">
        <v>60139</v>
      </c>
      <c r="AD1181" s="1" t="s">
        <v>12242</v>
      </c>
      <c r="AE1181" s="1" t="s">
        <v>12243</v>
      </c>
      <c r="AF1181" s="1">
        <v>1995</v>
      </c>
      <c r="AG1181" s="1" t="s">
        <v>204</v>
      </c>
      <c r="AH1181" s="1" t="s">
        <v>1735</v>
      </c>
      <c r="AI1181" s="1" t="s">
        <v>206</v>
      </c>
      <c r="AJ1181" s="1" t="s">
        <v>269</v>
      </c>
      <c r="AK1181" s="1" t="s">
        <v>12244</v>
      </c>
      <c r="AL1181" s="1">
        <v>5</v>
      </c>
      <c r="AM1181" s="1">
        <v>2</v>
      </c>
      <c r="AN1181" s="1">
        <v>2</v>
      </c>
      <c r="AO1181" s="1">
        <v>1</v>
      </c>
      <c r="AP1181" s="1" t="s">
        <v>209</v>
      </c>
      <c r="AR1181" s="1" t="s">
        <v>210</v>
      </c>
      <c r="AS1181" s="1" t="s">
        <v>204</v>
      </c>
      <c r="AT1181" s="1" t="s">
        <v>211</v>
      </c>
      <c r="AU1181" s="1">
        <v>1</v>
      </c>
      <c r="AW1181" s="1" t="s">
        <v>204</v>
      </c>
      <c r="AX1181" s="1" t="s">
        <v>212</v>
      </c>
      <c r="AZ1181" s="3">
        <v>2904</v>
      </c>
      <c r="BA1181" s="1">
        <v>2013</v>
      </c>
      <c r="BB1181" s="1" t="s">
        <v>405</v>
      </c>
      <c r="BE1181" s="1">
        <v>1378</v>
      </c>
      <c r="BF1181" s="1">
        <v>1</v>
      </c>
      <c r="BG1181" s="1">
        <v>0</v>
      </c>
      <c r="BL1181" s="1">
        <v>242</v>
      </c>
      <c r="BM1181" s="1" t="s">
        <v>204</v>
      </c>
      <c r="BN1181" s="1" t="s">
        <v>213</v>
      </c>
      <c r="BO1181" s="1">
        <v>100</v>
      </c>
      <c r="BP1181" s="1" t="s">
        <v>204</v>
      </c>
      <c r="BR1181" s="1" t="str">
        <f>"0222117045"</f>
        <v>0222117045</v>
      </c>
      <c r="BT1181" s="1" t="s">
        <v>12245</v>
      </c>
      <c r="BU1181" s="1" t="s">
        <v>3570</v>
      </c>
      <c r="BV1181" s="1" t="s">
        <v>2015</v>
      </c>
      <c r="BW1181" s="1" t="s">
        <v>1935</v>
      </c>
      <c r="BX1181" s="1">
        <v>15</v>
      </c>
      <c r="BY1181" s="1">
        <v>15</v>
      </c>
      <c r="BZ1181" s="1">
        <v>87</v>
      </c>
      <c r="CB1181" s="1" t="str">
        <f>"4"</f>
        <v>4</v>
      </c>
      <c r="CC1181" s="1" t="str">
        <f>""</f>
        <v/>
      </c>
      <c r="CD1181" s="1">
        <v>23</v>
      </c>
      <c r="CG1181" s="1" t="s">
        <v>1788</v>
      </c>
      <c r="CH1181" s="1" t="s">
        <v>219</v>
      </c>
      <c r="CI1181" s="1" t="s">
        <v>220</v>
      </c>
      <c r="CJ1181" s="1" t="s">
        <v>343</v>
      </c>
      <c r="CK1181" s="1" t="s">
        <v>3083</v>
      </c>
      <c r="CL1181" s="1" t="s">
        <v>277</v>
      </c>
      <c r="CM1181" s="1" t="s">
        <v>220</v>
      </c>
      <c r="CN1181" s="1" t="s">
        <v>343</v>
      </c>
      <c r="CO1181" s="1" t="s">
        <v>1107</v>
      </c>
      <c r="CP1181" s="1" t="s">
        <v>219</v>
      </c>
      <c r="CQ1181" s="1" t="s">
        <v>220</v>
      </c>
      <c r="CR1181" s="1" t="s">
        <v>210</v>
      </c>
      <c r="CS1181" s="1" t="s">
        <v>1854</v>
      </c>
      <c r="CT1181" s="1" t="s">
        <v>277</v>
      </c>
      <c r="CU1181" s="1" t="s">
        <v>220</v>
      </c>
      <c r="CV1181" s="1" t="s">
        <v>343</v>
      </c>
      <c r="CX1181" s="1" t="s">
        <v>224</v>
      </c>
      <c r="DB1181" s="1" t="s">
        <v>224</v>
      </c>
      <c r="DE1181" s="1" t="s">
        <v>12246</v>
      </c>
      <c r="DF1181" s="1" t="s">
        <v>219</v>
      </c>
      <c r="DG1181" s="1" t="s">
        <v>342</v>
      </c>
      <c r="DH1181" s="1" t="s">
        <v>343</v>
      </c>
      <c r="DJ1181" s="1" t="s">
        <v>224</v>
      </c>
      <c r="DS1181" s="1" t="s">
        <v>230</v>
      </c>
      <c r="DW1181" s="1" t="s">
        <v>230</v>
      </c>
      <c r="EA1181" s="1" t="s">
        <v>230</v>
      </c>
      <c r="EE1181" s="1" t="s">
        <v>230</v>
      </c>
      <c r="EI1181" s="1" t="s">
        <v>230</v>
      </c>
      <c r="EL1181" s="1" t="s">
        <v>670</v>
      </c>
      <c r="EM1181" s="1" t="s">
        <v>232</v>
      </c>
      <c r="EN1181" s="1" t="s">
        <v>282</v>
      </c>
      <c r="EO1181" s="1" t="s">
        <v>234</v>
      </c>
      <c r="EP1181" s="1" t="s">
        <v>650</v>
      </c>
      <c r="EQ1181" s="1" t="s">
        <v>468</v>
      </c>
      <c r="ER1181" s="1" t="s">
        <v>210</v>
      </c>
      <c r="ES1181" s="1" t="s">
        <v>322</v>
      </c>
      <c r="EU1181" s="1" t="s">
        <v>7601</v>
      </c>
      <c r="EV1181" s="1" t="s">
        <v>240</v>
      </c>
      <c r="EW1181" s="1" t="s">
        <v>353</v>
      </c>
      <c r="EY1181" s="1" t="s">
        <v>242</v>
      </c>
      <c r="EZ1181" s="1" t="s">
        <v>287</v>
      </c>
      <c r="FB1181" s="1" t="s">
        <v>1505</v>
      </c>
      <c r="FC1181" s="1" t="s">
        <v>1386</v>
      </c>
      <c r="FD1181" s="1" t="s">
        <v>495</v>
      </c>
      <c r="FE1181" s="1" t="s">
        <v>386</v>
      </c>
      <c r="FF1181" s="1" t="s">
        <v>248</v>
      </c>
      <c r="FH1181" s="1" t="s">
        <v>550</v>
      </c>
      <c r="FI1181" s="1" t="s">
        <v>3300</v>
      </c>
      <c r="FJ1181" s="1" t="s">
        <v>518</v>
      </c>
      <c r="FL1181" s="1" t="s">
        <v>358</v>
      </c>
      <c r="FM1181" s="1" t="s">
        <v>252</v>
      </c>
      <c r="FN1181" s="1" t="s">
        <v>213</v>
      </c>
      <c r="FO1181" s="1" t="s">
        <v>213</v>
      </c>
      <c r="FQ1181" s="1" t="s">
        <v>293</v>
      </c>
      <c r="FR1181" s="1" t="s">
        <v>210</v>
      </c>
      <c r="FS1181" s="1" t="s">
        <v>5243</v>
      </c>
      <c r="FT1181" s="1" t="s">
        <v>295</v>
      </c>
      <c r="FU1181" s="1" t="s">
        <v>204</v>
      </c>
      <c r="FW1181" s="1" t="s">
        <v>2006</v>
      </c>
      <c r="FX1181" s="1">
        <v>16379</v>
      </c>
      <c r="FY1181" s="1" t="s">
        <v>12247</v>
      </c>
      <c r="FZ1181" s="1" t="s">
        <v>12248</v>
      </c>
      <c r="GA1181" s="1">
        <v>111484</v>
      </c>
      <c r="GB1181" s="1" t="s">
        <v>12249</v>
      </c>
      <c r="GC1181" s="1">
        <v>110196</v>
      </c>
      <c r="GE1181" s="1" t="s">
        <v>210</v>
      </c>
      <c r="GI1181" s="1" t="s">
        <v>213</v>
      </c>
      <c r="GJ1181" s="1" t="s">
        <v>260</v>
      </c>
      <c r="GK1181" s="1" t="s">
        <v>210</v>
      </c>
      <c r="GL1181" s="2">
        <v>42124</v>
      </c>
      <c r="GM1181" s="1" t="s">
        <v>12250</v>
      </c>
    </row>
    <row r="1182" spans="1:195">
      <c r="A1182" s="1">
        <v>390000</v>
      </c>
      <c r="B1182" s="1" t="s">
        <v>195</v>
      </c>
      <c r="C1182" s="1" t="str">
        <f>"08856759"</f>
        <v>08856759</v>
      </c>
      <c r="D1182" s="1" t="s">
        <v>196</v>
      </c>
      <c r="F1182" s="1" t="str">
        <f>"137"</f>
        <v>137</v>
      </c>
      <c r="G1182" s="2">
        <v>42072</v>
      </c>
      <c r="H1182" s="1">
        <v>395000</v>
      </c>
      <c r="I1182" s="1">
        <v>395000</v>
      </c>
      <c r="J1182" s="1">
        <v>390000</v>
      </c>
      <c r="K1182" s="2">
        <v>42069</v>
      </c>
      <c r="L1182" s="1">
        <v>8</v>
      </c>
      <c r="M1182" s="2">
        <v>42076</v>
      </c>
      <c r="N1182" s="1">
        <v>8</v>
      </c>
      <c r="O1182" s="2">
        <v>42076</v>
      </c>
      <c r="P1182" s="1">
        <v>25088</v>
      </c>
      <c r="Q1182" s="1" t="s">
        <v>197</v>
      </c>
      <c r="R1182" s="2">
        <v>42108</v>
      </c>
      <c r="S1182" s="1">
        <v>231259</v>
      </c>
      <c r="U1182" s="1">
        <v>586</v>
      </c>
      <c r="V1182" s="1" t="s">
        <v>12251</v>
      </c>
      <c r="W1182" s="1" t="s">
        <v>199</v>
      </c>
      <c r="X1182" s="1">
        <v>303</v>
      </c>
      <c r="Y1182" s="1">
        <v>21</v>
      </c>
      <c r="Z1182" s="1" t="s">
        <v>249</v>
      </c>
      <c r="AA1182" s="1" t="s">
        <v>201</v>
      </c>
      <c r="AB1182" s="1">
        <v>60137</v>
      </c>
      <c r="AD1182" s="1" t="s">
        <v>12252</v>
      </c>
      <c r="AE1182" s="1" t="s">
        <v>12253</v>
      </c>
      <c r="AF1182" s="1">
        <v>2004</v>
      </c>
      <c r="AG1182" s="1" t="s">
        <v>204</v>
      </c>
      <c r="AH1182" s="1" t="s">
        <v>205</v>
      </c>
      <c r="AI1182" s="1" t="s">
        <v>206</v>
      </c>
      <c r="AJ1182" s="1" t="s">
        <v>207</v>
      </c>
      <c r="AL1182" s="1">
        <v>5</v>
      </c>
      <c r="AM1182" s="1">
        <v>2</v>
      </c>
      <c r="AN1182" s="1">
        <v>2</v>
      </c>
      <c r="AO1182" s="1">
        <v>0</v>
      </c>
      <c r="AP1182" s="1" t="s">
        <v>209</v>
      </c>
      <c r="AQ1182" s="1">
        <v>1</v>
      </c>
      <c r="AR1182" s="1" t="s">
        <v>210</v>
      </c>
      <c r="AS1182" s="1" t="s">
        <v>204</v>
      </c>
      <c r="AT1182" s="1" t="s">
        <v>211</v>
      </c>
      <c r="AU1182" s="1">
        <v>1</v>
      </c>
      <c r="AW1182" s="1" t="s">
        <v>204</v>
      </c>
      <c r="AX1182" s="1" t="s">
        <v>212</v>
      </c>
      <c r="AZ1182" s="1">
        <v>10664</v>
      </c>
      <c r="BA1182" s="1">
        <v>2013</v>
      </c>
      <c r="BB1182" s="1" t="s">
        <v>210</v>
      </c>
      <c r="BE1182" s="1">
        <v>1966</v>
      </c>
      <c r="BF1182" s="1">
        <v>3</v>
      </c>
      <c r="BG1182" s="1">
        <v>0</v>
      </c>
      <c r="BL1182" s="1">
        <v>600</v>
      </c>
      <c r="BM1182" s="1" t="s">
        <v>204</v>
      </c>
      <c r="BN1182" s="1" t="s">
        <v>213</v>
      </c>
      <c r="BO1182" s="1">
        <v>999</v>
      </c>
      <c r="BP1182" s="1" t="s">
        <v>204</v>
      </c>
      <c r="BR1182" s="1" t="str">
        <f>"0511337010"</f>
        <v>0511337010</v>
      </c>
      <c r="BT1182" s="1" t="s">
        <v>12254</v>
      </c>
      <c r="BU1182" s="1" t="s">
        <v>12255</v>
      </c>
      <c r="BV1182" s="1" t="s">
        <v>2168</v>
      </c>
      <c r="BW1182" s="1" t="s">
        <v>2169</v>
      </c>
      <c r="BX1182" s="1">
        <v>41</v>
      </c>
      <c r="BY1182" s="1">
        <v>41</v>
      </c>
      <c r="BZ1182" s="1">
        <v>87</v>
      </c>
      <c r="CB1182" s="1" t="str">
        <f t="shared" ref="CB1182:CC1182" si="909">"0"</f>
        <v>0</v>
      </c>
      <c r="CC1182" s="1" t="str">
        <f t="shared" si="909"/>
        <v>0</v>
      </c>
      <c r="CD1182" s="1">
        <v>22</v>
      </c>
      <c r="CE1182" s="1">
        <v>0</v>
      </c>
      <c r="CG1182" s="1" t="s">
        <v>12256</v>
      </c>
      <c r="CH1182" s="1" t="s">
        <v>219</v>
      </c>
      <c r="CI1182" s="1" t="s">
        <v>229</v>
      </c>
      <c r="CJ1182" s="1" t="s">
        <v>343</v>
      </c>
      <c r="CK1182" s="1" t="s">
        <v>1155</v>
      </c>
      <c r="CL1182" s="1" t="s">
        <v>219</v>
      </c>
      <c r="CM1182" s="1" t="s">
        <v>220</v>
      </c>
      <c r="CN1182" s="1" t="s">
        <v>343</v>
      </c>
      <c r="CO1182" s="1" t="s">
        <v>317</v>
      </c>
      <c r="CP1182" s="1" t="s">
        <v>219</v>
      </c>
      <c r="CQ1182" s="1" t="s">
        <v>229</v>
      </c>
      <c r="CR1182" s="1" t="s">
        <v>210</v>
      </c>
      <c r="CS1182" s="1" t="s">
        <v>221</v>
      </c>
      <c r="CT1182" s="1" t="s">
        <v>219</v>
      </c>
      <c r="CU1182" s="1" t="s">
        <v>220</v>
      </c>
      <c r="CV1182" s="1" t="s">
        <v>210</v>
      </c>
      <c r="CX1182" s="1" t="s">
        <v>224</v>
      </c>
      <c r="DB1182" s="1" t="s">
        <v>224</v>
      </c>
      <c r="DE1182" s="1" t="s">
        <v>461</v>
      </c>
      <c r="DF1182" s="1" t="s">
        <v>219</v>
      </c>
      <c r="DG1182" s="1" t="s">
        <v>229</v>
      </c>
      <c r="DJ1182" s="1" t="s">
        <v>224</v>
      </c>
      <c r="DS1182" s="1" t="s">
        <v>230</v>
      </c>
      <c r="DW1182" s="1" t="s">
        <v>230</v>
      </c>
      <c r="EA1182" s="1" t="s">
        <v>230</v>
      </c>
      <c r="EE1182" s="1" t="s">
        <v>230</v>
      </c>
      <c r="EI1182" s="1" t="s">
        <v>230</v>
      </c>
      <c r="EL1182" s="1" t="s">
        <v>466</v>
      </c>
      <c r="EM1182" s="1" t="s">
        <v>232</v>
      </c>
      <c r="EN1182" s="1" t="s">
        <v>282</v>
      </c>
      <c r="EO1182" s="1" t="s">
        <v>1020</v>
      </c>
      <c r="EP1182" s="1" t="s">
        <v>12257</v>
      </c>
      <c r="EQ1182" s="1" t="s">
        <v>236</v>
      </c>
      <c r="ER1182" s="1" t="s">
        <v>210</v>
      </c>
      <c r="ES1182" s="1" t="s">
        <v>608</v>
      </c>
      <c r="ET1182" s="1" t="s">
        <v>1201</v>
      </c>
      <c r="EU1182" s="1" t="s">
        <v>6227</v>
      </c>
      <c r="EV1182" s="1" t="s">
        <v>324</v>
      </c>
      <c r="EW1182" s="1" t="s">
        <v>12258</v>
      </c>
      <c r="EY1182" s="1" t="s">
        <v>242</v>
      </c>
      <c r="EZ1182" s="1" t="s">
        <v>287</v>
      </c>
      <c r="FA1182" s="1" t="s">
        <v>12259</v>
      </c>
      <c r="FB1182" s="1" t="s">
        <v>289</v>
      </c>
      <c r="FD1182" s="1" t="s">
        <v>246</v>
      </c>
      <c r="FE1182" s="1" t="s">
        <v>847</v>
      </c>
      <c r="FF1182" s="1" t="s">
        <v>248</v>
      </c>
      <c r="FG1182" s="1" t="s">
        <v>2739</v>
      </c>
      <c r="FH1182" s="1" t="s">
        <v>249</v>
      </c>
      <c r="FI1182" s="1" t="s">
        <v>848</v>
      </c>
      <c r="FL1182" s="1" t="s">
        <v>1907</v>
      </c>
      <c r="FM1182" s="1" t="s">
        <v>252</v>
      </c>
      <c r="FN1182" s="1" t="s">
        <v>213</v>
      </c>
      <c r="FO1182" s="1" t="s">
        <v>213</v>
      </c>
      <c r="FQ1182" s="1" t="s">
        <v>1599</v>
      </c>
      <c r="FR1182" s="1" t="s">
        <v>652</v>
      </c>
      <c r="FS1182" s="1" t="s">
        <v>12260</v>
      </c>
      <c r="FT1182" s="1" t="s">
        <v>362</v>
      </c>
      <c r="FU1182" s="1" t="s">
        <v>204</v>
      </c>
      <c r="FW1182" s="1" t="s">
        <v>2179</v>
      </c>
      <c r="FX1182" s="1">
        <v>22039</v>
      </c>
      <c r="FY1182" s="1" t="s">
        <v>2180</v>
      </c>
      <c r="FZ1182" s="1" t="s">
        <v>12261</v>
      </c>
      <c r="GA1182" s="1">
        <v>253521</v>
      </c>
      <c r="GB1182" s="1" t="s">
        <v>12262</v>
      </c>
      <c r="GC1182" s="1">
        <v>255796</v>
      </c>
      <c r="GD1182" s="1" t="s">
        <v>12263</v>
      </c>
      <c r="GE1182" s="1" t="s">
        <v>210</v>
      </c>
      <c r="GI1182" s="1" t="s">
        <v>213</v>
      </c>
      <c r="GJ1182" s="1" t="s">
        <v>260</v>
      </c>
      <c r="GK1182" s="1" t="s">
        <v>210</v>
      </c>
      <c r="GL1182" s="2">
        <v>42108</v>
      </c>
      <c r="GM1182" s="1" t="s">
        <v>12264</v>
      </c>
    </row>
    <row r="1183" spans="1:195">
      <c r="A1183" s="1">
        <v>86000</v>
      </c>
      <c r="B1183" s="1" t="s">
        <v>195</v>
      </c>
      <c r="C1183" s="1" t="str">
        <f>"08857317"</f>
        <v>08857317</v>
      </c>
      <c r="D1183" s="1" t="s">
        <v>196</v>
      </c>
      <c r="F1183" s="1" t="str">
        <f>"148"</f>
        <v>148</v>
      </c>
      <c r="G1183" s="2">
        <v>42073</v>
      </c>
      <c r="H1183" s="1">
        <v>89995</v>
      </c>
      <c r="I1183" s="1">
        <v>89995</v>
      </c>
      <c r="J1183" s="1">
        <v>86000</v>
      </c>
      <c r="K1183" s="2">
        <v>42073</v>
      </c>
      <c r="L1183" s="1">
        <v>6</v>
      </c>
      <c r="M1183" s="2">
        <v>42078</v>
      </c>
      <c r="N1183" s="1">
        <v>6</v>
      </c>
      <c r="O1183" s="2">
        <v>42078</v>
      </c>
      <c r="P1183" s="1">
        <v>8079</v>
      </c>
      <c r="Q1183" s="1" t="s">
        <v>197</v>
      </c>
      <c r="R1183" s="2">
        <v>42107</v>
      </c>
      <c r="S1183" s="1">
        <v>241902</v>
      </c>
      <c r="U1183" s="1">
        <v>2005</v>
      </c>
      <c r="V1183" s="1" t="s">
        <v>2226</v>
      </c>
      <c r="W1183" s="1" t="s">
        <v>1056</v>
      </c>
      <c r="X1183" s="1">
        <v>806</v>
      </c>
      <c r="Y1183" s="1">
        <v>137</v>
      </c>
      <c r="Z1183" s="1" t="s">
        <v>249</v>
      </c>
      <c r="AA1183" s="1" t="s">
        <v>1927</v>
      </c>
      <c r="AB1183" s="1">
        <v>60148</v>
      </c>
      <c r="AE1183" s="1" t="s">
        <v>12265</v>
      </c>
      <c r="AF1183" s="1">
        <v>1975</v>
      </c>
      <c r="AG1183" s="1" t="s">
        <v>213</v>
      </c>
      <c r="AH1183" s="1" t="s">
        <v>1930</v>
      </c>
      <c r="AI1183" s="1" t="s">
        <v>206</v>
      </c>
      <c r="AJ1183" s="1" t="s">
        <v>1608</v>
      </c>
      <c r="AL1183" s="1">
        <v>5</v>
      </c>
      <c r="AM1183" s="1">
        <v>2</v>
      </c>
      <c r="AN1183" s="1">
        <v>2</v>
      </c>
      <c r="AO1183" s="1">
        <v>0</v>
      </c>
      <c r="AP1183" s="1" t="s">
        <v>209</v>
      </c>
      <c r="AR1183" s="1" t="s">
        <v>210</v>
      </c>
      <c r="AS1183" s="1" t="s">
        <v>204</v>
      </c>
      <c r="AT1183" s="1" t="s">
        <v>271</v>
      </c>
      <c r="AV1183" s="1">
        <v>2</v>
      </c>
      <c r="AW1183" s="1" t="s">
        <v>204</v>
      </c>
      <c r="AX1183" s="1" t="s">
        <v>212</v>
      </c>
      <c r="AZ1183" s="1">
        <v>2243</v>
      </c>
      <c r="BA1183" s="1">
        <v>2013</v>
      </c>
      <c r="BE1183" s="1">
        <v>1080</v>
      </c>
      <c r="BF1183" s="1">
        <v>8</v>
      </c>
      <c r="BG1183" s="1">
        <v>30</v>
      </c>
      <c r="BL1183" s="1">
        <v>415</v>
      </c>
      <c r="BM1183" s="1" t="s">
        <v>204</v>
      </c>
      <c r="BN1183" s="1" t="s">
        <v>213</v>
      </c>
      <c r="BP1183" s="1" t="s">
        <v>204</v>
      </c>
      <c r="BR1183" s="1" t="str">
        <f>"0619404090"</f>
        <v>0619404090</v>
      </c>
      <c r="BT1183" s="1" t="s">
        <v>12266</v>
      </c>
      <c r="BU1183" s="1" t="s">
        <v>1933</v>
      </c>
      <c r="BV1183" s="1" t="s">
        <v>1934</v>
      </c>
      <c r="BW1183" s="1" t="s">
        <v>1935</v>
      </c>
      <c r="BX1183" s="1">
        <v>44</v>
      </c>
      <c r="BY1183" s="1">
        <v>44</v>
      </c>
      <c r="BZ1183" s="1">
        <v>87</v>
      </c>
      <c r="CB1183" s="1" t="str">
        <f t="shared" ref="CB1183:CC1183" si="910">""</f>
        <v/>
      </c>
      <c r="CC1183" s="1" t="str">
        <f t="shared" si="910"/>
        <v/>
      </c>
      <c r="CG1183" s="1" t="s">
        <v>1267</v>
      </c>
      <c r="CH1183" s="1" t="s">
        <v>219</v>
      </c>
      <c r="CI1183" s="1" t="s">
        <v>220</v>
      </c>
      <c r="CJ1183" s="1" t="s">
        <v>343</v>
      </c>
      <c r="CK1183" s="1" t="s">
        <v>1045</v>
      </c>
      <c r="CL1183" s="1" t="s">
        <v>219</v>
      </c>
      <c r="CM1183" s="1" t="s">
        <v>220</v>
      </c>
      <c r="CN1183" s="1" t="s">
        <v>343</v>
      </c>
      <c r="CO1183" s="1" t="s">
        <v>316</v>
      </c>
      <c r="CP1183" s="1" t="s">
        <v>219</v>
      </c>
      <c r="CQ1183" s="1" t="s">
        <v>220</v>
      </c>
      <c r="CR1183" s="1" t="s">
        <v>210</v>
      </c>
      <c r="CS1183" s="1" t="s">
        <v>379</v>
      </c>
      <c r="CT1183" s="1" t="s">
        <v>219</v>
      </c>
      <c r="CU1183" s="1" t="s">
        <v>220</v>
      </c>
      <c r="CV1183" s="1" t="s">
        <v>343</v>
      </c>
      <c r="CX1183" s="1" t="s">
        <v>224</v>
      </c>
      <c r="DB1183" s="1" t="s">
        <v>224</v>
      </c>
      <c r="DE1183" s="1" t="s">
        <v>316</v>
      </c>
      <c r="DF1183" s="1" t="s">
        <v>219</v>
      </c>
      <c r="DG1183" s="1" t="s">
        <v>342</v>
      </c>
      <c r="DH1183" s="1" t="s">
        <v>210</v>
      </c>
      <c r="DJ1183" s="1" t="s">
        <v>224</v>
      </c>
      <c r="DM1183" s="1" t="s">
        <v>838</v>
      </c>
      <c r="DR1183" s="1" t="s">
        <v>12267</v>
      </c>
      <c r="DS1183" s="1" t="s">
        <v>219</v>
      </c>
      <c r="DW1183" s="1" t="s">
        <v>230</v>
      </c>
      <c r="EA1183" s="1" t="s">
        <v>230</v>
      </c>
      <c r="EE1183" s="1" t="s">
        <v>230</v>
      </c>
      <c r="EI1183" s="1" t="s">
        <v>230</v>
      </c>
      <c r="EL1183" s="1" t="s">
        <v>231</v>
      </c>
      <c r="EM1183" s="1" t="s">
        <v>232</v>
      </c>
      <c r="EN1183" s="1" t="s">
        <v>282</v>
      </c>
      <c r="EO1183" s="1" t="s">
        <v>234</v>
      </c>
      <c r="EQ1183" s="1" t="s">
        <v>1109</v>
      </c>
      <c r="ER1183" s="1" t="s">
        <v>210</v>
      </c>
      <c r="EW1183" s="1" t="s">
        <v>12268</v>
      </c>
      <c r="EZ1183" s="1" t="s">
        <v>838</v>
      </c>
      <c r="FB1183" s="1" t="s">
        <v>289</v>
      </c>
      <c r="FD1183" s="1" t="s">
        <v>736</v>
      </c>
      <c r="FE1183" s="1" t="s">
        <v>6051</v>
      </c>
      <c r="FF1183" s="1" t="s">
        <v>248</v>
      </c>
      <c r="FH1183" s="1" t="s">
        <v>249</v>
      </c>
      <c r="FL1183" s="1" t="s">
        <v>292</v>
      </c>
      <c r="FM1183" s="1" t="s">
        <v>252</v>
      </c>
      <c r="FN1183" s="1" t="s">
        <v>213</v>
      </c>
      <c r="FO1183" s="1" t="s">
        <v>213</v>
      </c>
      <c r="FQ1183" s="1" t="s">
        <v>793</v>
      </c>
      <c r="FR1183" s="1" t="s">
        <v>210</v>
      </c>
      <c r="FS1183" s="1" t="s">
        <v>12269</v>
      </c>
      <c r="FT1183" s="1" t="s">
        <v>1182</v>
      </c>
      <c r="FU1183" s="1" t="s">
        <v>204</v>
      </c>
      <c r="FW1183" s="1" t="s">
        <v>915</v>
      </c>
      <c r="FX1183" s="1">
        <v>24071</v>
      </c>
      <c r="FY1183" s="1" t="s">
        <v>2208</v>
      </c>
      <c r="FZ1183" s="1" t="s">
        <v>8053</v>
      </c>
      <c r="GA1183" s="1">
        <v>245237</v>
      </c>
      <c r="GB1183" s="1" t="s">
        <v>8054</v>
      </c>
      <c r="GE1183" s="1" t="s">
        <v>210</v>
      </c>
      <c r="GH1183" s="1" t="s">
        <v>421</v>
      </c>
      <c r="GI1183" s="1" t="s">
        <v>213</v>
      </c>
      <c r="GJ1183" s="1" t="s">
        <v>260</v>
      </c>
      <c r="GK1183" s="1" t="s">
        <v>210</v>
      </c>
      <c r="GL1183" s="2">
        <v>42108</v>
      </c>
      <c r="GM1183" s="1" t="s">
        <v>12270</v>
      </c>
    </row>
    <row r="1184" spans="1:195">
      <c r="A1184" s="1">
        <v>244000</v>
      </c>
      <c r="B1184" s="1" t="s">
        <v>195</v>
      </c>
      <c r="C1184" s="1" t="str">
        <f>"08854596"</f>
        <v>08854596</v>
      </c>
      <c r="D1184" s="1" t="s">
        <v>196</v>
      </c>
      <c r="F1184" s="1" t="str">
        <f>"516"</f>
        <v>516</v>
      </c>
      <c r="G1184" s="2">
        <v>42069</v>
      </c>
      <c r="H1184" s="1">
        <v>258000</v>
      </c>
      <c r="I1184" s="1">
        <v>258000</v>
      </c>
      <c r="J1184" s="1">
        <v>244000</v>
      </c>
      <c r="K1184" s="2">
        <v>42068</v>
      </c>
      <c r="L1184" s="1">
        <v>42</v>
      </c>
      <c r="M1184" s="2">
        <v>42109</v>
      </c>
      <c r="N1184" s="1">
        <v>42</v>
      </c>
      <c r="O1184" s="2">
        <v>42109</v>
      </c>
      <c r="P1184" s="1">
        <v>25578</v>
      </c>
      <c r="Q1184" s="1" t="s">
        <v>302</v>
      </c>
      <c r="R1184" s="2">
        <v>42132</v>
      </c>
      <c r="S1184" s="1">
        <v>236469</v>
      </c>
      <c r="U1184" s="1">
        <v>267</v>
      </c>
      <c r="V1184" s="1" t="s">
        <v>12271</v>
      </c>
      <c r="W1184" s="1" t="s">
        <v>264</v>
      </c>
      <c r="Y1184" s="1">
        <v>4</v>
      </c>
      <c r="Z1184" s="1" t="s">
        <v>249</v>
      </c>
      <c r="AA1184" s="1" t="s">
        <v>1417</v>
      </c>
      <c r="AB1184" s="1">
        <v>60527</v>
      </c>
      <c r="AD1184" s="1" t="s">
        <v>12272</v>
      </c>
      <c r="AE1184" s="1" t="s">
        <v>12273</v>
      </c>
      <c r="AF1184" s="1">
        <v>1995</v>
      </c>
      <c r="AG1184" s="1" t="s">
        <v>204</v>
      </c>
      <c r="AH1184" s="1" t="s">
        <v>1419</v>
      </c>
      <c r="AI1184" s="1" t="s">
        <v>206</v>
      </c>
      <c r="AJ1184" s="1" t="s">
        <v>903</v>
      </c>
      <c r="AK1184" s="1" t="s">
        <v>12274</v>
      </c>
      <c r="AL1184" s="1">
        <v>6</v>
      </c>
      <c r="AM1184" s="1">
        <v>2</v>
      </c>
      <c r="AN1184" s="1">
        <v>2</v>
      </c>
      <c r="AO1184" s="1">
        <v>1</v>
      </c>
      <c r="AP1184" s="1" t="s">
        <v>209</v>
      </c>
      <c r="AR1184" s="1" t="s">
        <v>210</v>
      </c>
      <c r="AS1184" s="1" t="s">
        <v>204</v>
      </c>
      <c r="AT1184" s="1" t="s">
        <v>211</v>
      </c>
      <c r="AU1184" s="1">
        <v>2</v>
      </c>
      <c r="AW1184" s="1" t="s">
        <v>204</v>
      </c>
      <c r="AX1184" s="1" t="s">
        <v>212</v>
      </c>
      <c r="AZ1184" s="1">
        <v>4679</v>
      </c>
      <c r="BA1184" s="1">
        <v>2013</v>
      </c>
      <c r="BB1184" s="1" t="s">
        <v>405</v>
      </c>
      <c r="BE1184" s="1">
        <v>1676</v>
      </c>
      <c r="BF1184" s="1">
        <v>1</v>
      </c>
      <c r="BG1184" s="1">
        <v>30</v>
      </c>
      <c r="BL1184" s="1">
        <v>209</v>
      </c>
      <c r="BM1184" s="1" t="s">
        <v>204</v>
      </c>
      <c r="BN1184" s="1" t="s">
        <v>213</v>
      </c>
      <c r="BO1184" s="1">
        <v>0</v>
      </c>
      <c r="BP1184" s="1" t="s">
        <v>204</v>
      </c>
      <c r="BR1184" s="1" t="str">
        <f>"09231123068000"</f>
        <v>09231123068000</v>
      </c>
      <c r="BT1184" s="1" t="s">
        <v>12275</v>
      </c>
      <c r="BU1184" s="1" t="s">
        <v>10088</v>
      </c>
      <c r="BV1184" s="1" t="s">
        <v>2981</v>
      </c>
      <c r="BW1184" s="1" t="s">
        <v>1546</v>
      </c>
      <c r="BX1184" s="1">
        <v>60</v>
      </c>
      <c r="BY1184" s="1">
        <v>60</v>
      </c>
      <c r="BZ1184" s="1">
        <v>86</v>
      </c>
      <c r="CB1184" s="1" t="str">
        <f t="shared" ref="CB1184:CC1184" si="911">""</f>
        <v/>
      </c>
      <c r="CC1184" s="1" t="str">
        <f t="shared" si="911"/>
        <v/>
      </c>
      <c r="CG1184" s="1" t="s">
        <v>1155</v>
      </c>
      <c r="CH1184" s="1" t="s">
        <v>219</v>
      </c>
      <c r="CI1184" s="1" t="s">
        <v>5665</v>
      </c>
      <c r="CJ1184" s="1" t="s">
        <v>463</v>
      </c>
      <c r="CK1184" s="1" t="s">
        <v>932</v>
      </c>
      <c r="CL1184" s="1" t="s">
        <v>219</v>
      </c>
      <c r="CM1184" s="1" t="s">
        <v>5665</v>
      </c>
      <c r="CN1184" s="1" t="s">
        <v>463</v>
      </c>
      <c r="CO1184" s="1" t="s">
        <v>318</v>
      </c>
      <c r="CP1184" s="1" t="s">
        <v>219</v>
      </c>
      <c r="CQ1184" s="1" t="s">
        <v>5665</v>
      </c>
      <c r="CR1184" s="1" t="s">
        <v>463</v>
      </c>
      <c r="CS1184" s="1" t="s">
        <v>461</v>
      </c>
      <c r="CT1184" s="1" t="s">
        <v>822</v>
      </c>
      <c r="CU1184" s="1" t="s">
        <v>5665</v>
      </c>
      <c r="CV1184" s="1" t="s">
        <v>463</v>
      </c>
      <c r="CX1184" s="1" t="s">
        <v>224</v>
      </c>
      <c r="DB1184" s="1" t="s">
        <v>224</v>
      </c>
      <c r="DE1184" s="1" t="s">
        <v>281</v>
      </c>
      <c r="DF1184" s="1" t="s">
        <v>219</v>
      </c>
      <c r="DG1184" s="1" t="s">
        <v>5665</v>
      </c>
      <c r="DH1184" s="1" t="s">
        <v>210</v>
      </c>
      <c r="DI1184" s="1" t="s">
        <v>669</v>
      </c>
      <c r="DJ1184" s="1" t="s">
        <v>822</v>
      </c>
      <c r="DK1184" s="1" t="s">
        <v>5665</v>
      </c>
      <c r="DL1184" s="1" t="s">
        <v>463</v>
      </c>
      <c r="DS1184" s="1" t="s">
        <v>230</v>
      </c>
      <c r="DW1184" s="1" t="s">
        <v>230</v>
      </c>
      <c r="EA1184" s="1" t="s">
        <v>230</v>
      </c>
      <c r="EE1184" s="1" t="s">
        <v>230</v>
      </c>
      <c r="EI1184" s="1" t="s">
        <v>230</v>
      </c>
      <c r="EL1184" s="1" t="s">
        <v>670</v>
      </c>
      <c r="EM1184" s="1" t="s">
        <v>730</v>
      </c>
      <c r="EN1184" s="1" t="s">
        <v>282</v>
      </c>
      <c r="EO1184" s="1" t="s">
        <v>234</v>
      </c>
      <c r="EP1184" s="1" t="s">
        <v>12276</v>
      </c>
      <c r="EQ1184" s="1" t="s">
        <v>12277</v>
      </c>
      <c r="ER1184" s="1" t="s">
        <v>383</v>
      </c>
      <c r="ES1184" s="1" t="s">
        <v>608</v>
      </c>
      <c r="ET1184" s="1" t="s">
        <v>323</v>
      </c>
      <c r="EU1184" s="1" t="s">
        <v>610</v>
      </c>
      <c r="EV1184" s="1" t="s">
        <v>324</v>
      </c>
      <c r="EW1184" s="1" t="s">
        <v>887</v>
      </c>
      <c r="EY1184" s="1" t="s">
        <v>242</v>
      </c>
      <c r="EZ1184" s="1" t="s">
        <v>287</v>
      </c>
      <c r="FA1184" s="1" t="s">
        <v>714</v>
      </c>
      <c r="FB1184" s="1" t="s">
        <v>289</v>
      </c>
      <c r="FC1184" s="1" t="s">
        <v>326</v>
      </c>
      <c r="FD1184" s="1" t="s">
        <v>246</v>
      </c>
      <c r="FE1184" s="1" t="s">
        <v>975</v>
      </c>
      <c r="FF1184" s="1" t="s">
        <v>2998</v>
      </c>
      <c r="FH1184" s="1" t="s">
        <v>550</v>
      </c>
      <c r="FI1184" s="1" t="s">
        <v>473</v>
      </c>
      <c r="FJ1184" s="1" t="s">
        <v>197</v>
      </c>
      <c r="FL1184" s="1" t="s">
        <v>414</v>
      </c>
      <c r="FM1184" s="1" t="s">
        <v>252</v>
      </c>
      <c r="FN1184" s="1" t="s">
        <v>213</v>
      </c>
      <c r="FO1184" s="1" t="s">
        <v>204</v>
      </c>
      <c r="FQ1184" s="1" t="s">
        <v>293</v>
      </c>
      <c r="FR1184" s="1" t="s">
        <v>210</v>
      </c>
      <c r="FS1184" s="1" t="s">
        <v>12278</v>
      </c>
      <c r="FT1184" s="1" t="s">
        <v>362</v>
      </c>
      <c r="FU1184" s="1" t="s">
        <v>204</v>
      </c>
      <c r="FW1184" s="1" t="s">
        <v>3116</v>
      </c>
      <c r="FX1184" s="1">
        <v>21823</v>
      </c>
      <c r="FY1184" s="1" t="s">
        <v>3117</v>
      </c>
      <c r="FZ1184" s="1" t="s">
        <v>12279</v>
      </c>
      <c r="GA1184" s="1">
        <v>216687</v>
      </c>
      <c r="GB1184" s="1" t="s">
        <v>12280</v>
      </c>
      <c r="GC1184" s="1">
        <v>215158</v>
      </c>
      <c r="GE1184" s="1" t="s">
        <v>776</v>
      </c>
      <c r="GI1184" s="1" t="s">
        <v>213</v>
      </c>
      <c r="GJ1184" s="1" t="s">
        <v>260</v>
      </c>
      <c r="GK1184" s="1" t="s">
        <v>210</v>
      </c>
      <c r="GL1184" s="2">
        <v>42132</v>
      </c>
      <c r="GM1184" s="1" t="s">
        <v>12281</v>
      </c>
    </row>
    <row r="1185" spans="1:195">
      <c r="A1185" s="1">
        <v>170000</v>
      </c>
      <c r="B1185" s="1" t="s">
        <v>195</v>
      </c>
      <c r="C1185" s="1" t="str">
        <f>"08857397"</f>
        <v>08857397</v>
      </c>
      <c r="D1185" s="1" t="s">
        <v>196</v>
      </c>
      <c r="F1185" s="1" t="str">
        <f>"540"</f>
        <v>540</v>
      </c>
      <c r="G1185" s="2">
        <v>42073</v>
      </c>
      <c r="H1185" s="1">
        <v>175000</v>
      </c>
      <c r="I1185" s="1">
        <v>175000</v>
      </c>
      <c r="J1185" s="1">
        <v>170000</v>
      </c>
      <c r="K1185" s="2">
        <v>42073</v>
      </c>
      <c r="L1185" s="1">
        <v>3</v>
      </c>
      <c r="M1185" s="2">
        <v>42075</v>
      </c>
      <c r="N1185" s="1">
        <v>3</v>
      </c>
      <c r="O1185" s="2">
        <v>42075</v>
      </c>
      <c r="P1185" s="1">
        <v>24695</v>
      </c>
      <c r="Q1185" s="1" t="s">
        <v>197</v>
      </c>
      <c r="R1185" s="2">
        <v>42136</v>
      </c>
      <c r="S1185" s="1">
        <v>234453</v>
      </c>
      <c r="U1185" s="1">
        <v>1131</v>
      </c>
      <c r="V1185" s="1" t="s">
        <v>10517</v>
      </c>
      <c r="W1185" s="1" t="s">
        <v>304</v>
      </c>
      <c r="Y1185" s="1">
        <v>6</v>
      </c>
      <c r="Z1185" s="1" t="s">
        <v>370</v>
      </c>
      <c r="AA1185" s="1" t="s">
        <v>921</v>
      </c>
      <c r="AB1185" s="1">
        <v>60540</v>
      </c>
      <c r="AD1185" s="1" t="s">
        <v>12282</v>
      </c>
      <c r="AE1185" s="1" t="s">
        <v>12283</v>
      </c>
      <c r="AF1185" s="1">
        <v>1995</v>
      </c>
      <c r="AG1185" s="1" t="s">
        <v>204</v>
      </c>
      <c r="AH1185" s="1" t="s">
        <v>924</v>
      </c>
      <c r="AI1185" s="1" t="s">
        <v>206</v>
      </c>
      <c r="AJ1185" s="1" t="s">
        <v>924</v>
      </c>
      <c r="AK1185" s="1" t="s">
        <v>4519</v>
      </c>
      <c r="AL1185" s="1">
        <v>6</v>
      </c>
      <c r="AM1185" s="1">
        <v>2</v>
      </c>
      <c r="AN1185" s="1">
        <v>2</v>
      </c>
      <c r="AO1185" s="1">
        <v>1</v>
      </c>
      <c r="AP1185" s="1" t="s">
        <v>209</v>
      </c>
      <c r="AR1185" s="1" t="s">
        <v>210</v>
      </c>
      <c r="AS1185" s="1" t="s">
        <v>204</v>
      </c>
      <c r="AT1185" s="1" t="s">
        <v>211</v>
      </c>
      <c r="AU1185" s="1">
        <v>1</v>
      </c>
      <c r="AW1185" s="1" t="s">
        <v>204</v>
      </c>
      <c r="AX1185" s="1" t="s">
        <v>212</v>
      </c>
      <c r="AZ1185" s="1">
        <v>3273</v>
      </c>
      <c r="BA1185" s="1">
        <v>2013</v>
      </c>
      <c r="BB1185" s="1" t="s">
        <v>405</v>
      </c>
      <c r="BE1185" s="1">
        <v>1298</v>
      </c>
      <c r="BF1185" s="1">
        <v>1</v>
      </c>
      <c r="BG1185" s="1">
        <v>0</v>
      </c>
      <c r="BL1185" s="1">
        <v>165</v>
      </c>
      <c r="BM1185" s="1" t="s">
        <v>204</v>
      </c>
      <c r="BN1185" s="1" t="s">
        <v>213</v>
      </c>
      <c r="BO1185" s="1">
        <v>999</v>
      </c>
      <c r="BP1185" s="1" t="s">
        <v>204</v>
      </c>
      <c r="BR1185" s="1" t="str">
        <f>"0726111035"</f>
        <v>0726111035</v>
      </c>
      <c r="BT1185" s="1" t="s">
        <v>12284</v>
      </c>
      <c r="BU1185" s="1" t="s">
        <v>10521</v>
      </c>
      <c r="BV1185" s="1" t="s">
        <v>2535</v>
      </c>
      <c r="BW1185" s="1" t="s">
        <v>1131</v>
      </c>
      <c r="BX1185" s="1">
        <v>204</v>
      </c>
      <c r="BY1185" s="1">
        <v>204</v>
      </c>
      <c r="BZ1185" s="1">
        <v>204</v>
      </c>
      <c r="CB1185" s="1" t="str">
        <f t="shared" ref="CB1185:CC1185" si="912">"0"</f>
        <v>0</v>
      </c>
      <c r="CC1185" s="1" t="str">
        <f t="shared" si="912"/>
        <v>0</v>
      </c>
      <c r="CD1185" s="1">
        <v>28</v>
      </c>
      <c r="CE1185" s="1">
        <v>8</v>
      </c>
      <c r="CG1185" s="1" t="s">
        <v>2120</v>
      </c>
      <c r="CH1185" s="1" t="s">
        <v>219</v>
      </c>
      <c r="CI1185" s="1" t="s">
        <v>220</v>
      </c>
      <c r="CJ1185" s="1" t="s">
        <v>252</v>
      </c>
      <c r="CK1185" s="1" t="s">
        <v>437</v>
      </c>
      <c r="CL1185" s="1" t="s">
        <v>277</v>
      </c>
      <c r="CM1185" s="1" t="s">
        <v>220</v>
      </c>
      <c r="CN1185" s="1" t="s">
        <v>252</v>
      </c>
      <c r="CO1185" s="1" t="s">
        <v>629</v>
      </c>
      <c r="CP1185" s="1" t="s">
        <v>219</v>
      </c>
      <c r="CQ1185" s="1" t="s">
        <v>220</v>
      </c>
      <c r="CS1185" s="1" t="s">
        <v>318</v>
      </c>
      <c r="CT1185" s="1" t="s">
        <v>277</v>
      </c>
      <c r="CU1185" s="1" t="s">
        <v>220</v>
      </c>
      <c r="CV1185" s="1" t="s">
        <v>252</v>
      </c>
      <c r="CX1185" s="1" t="s">
        <v>224</v>
      </c>
      <c r="DB1185" s="1" t="s">
        <v>224</v>
      </c>
      <c r="DE1185" s="1" t="s">
        <v>1107</v>
      </c>
      <c r="DF1185" s="1" t="s">
        <v>219</v>
      </c>
      <c r="DG1185" s="1" t="s">
        <v>438</v>
      </c>
      <c r="DH1185" s="1" t="s">
        <v>252</v>
      </c>
      <c r="DJ1185" s="1" t="s">
        <v>224</v>
      </c>
      <c r="DM1185" s="1" t="s">
        <v>464</v>
      </c>
      <c r="DR1185" s="1" t="s">
        <v>516</v>
      </c>
      <c r="DS1185" s="1" t="s">
        <v>277</v>
      </c>
      <c r="DT1185" s="1" t="s">
        <v>220</v>
      </c>
      <c r="DW1185" s="1" t="s">
        <v>230</v>
      </c>
      <c r="EA1185" s="1" t="s">
        <v>230</v>
      </c>
      <c r="EE1185" s="1" t="s">
        <v>230</v>
      </c>
      <c r="EI1185" s="1" t="s">
        <v>230</v>
      </c>
      <c r="EL1185" s="1" t="s">
        <v>670</v>
      </c>
      <c r="EM1185" s="1" t="s">
        <v>232</v>
      </c>
      <c r="EN1185" s="1" t="s">
        <v>282</v>
      </c>
      <c r="EO1185" s="1" t="s">
        <v>234</v>
      </c>
      <c r="EQ1185" s="1" t="s">
        <v>2188</v>
      </c>
      <c r="ER1185" s="1" t="s">
        <v>210</v>
      </c>
      <c r="ES1185" s="1" t="s">
        <v>824</v>
      </c>
      <c r="EV1185" s="1" t="s">
        <v>240</v>
      </c>
      <c r="EW1185" s="1" t="s">
        <v>2656</v>
      </c>
      <c r="EZ1185" s="1" t="s">
        <v>464</v>
      </c>
      <c r="FA1185" s="1" t="s">
        <v>1072</v>
      </c>
      <c r="FB1185" s="1" t="s">
        <v>289</v>
      </c>
      <c r="FD1185" s="1" t="s">
        <v>246</v>
      </c>
      <c r="FE1185" s="1" t="s">
        <v>472</v>
      </c>
      <c r="FF1185" s="1" t="s">
        <v>248</v>
      </c>
      <c r="FH1185" s="1" t="s">
        <v>550</v>
      </c>
      <c r="FL1185" s="1" t="s">
        <v>358</v>
      </c>
      <c r="FM1185" s="1" t="s">
        <v>252</v>
      </c>
      <c r="FN1185" s="1" t="s">
        <v>213</v>
      </c>
      <c r="FO1185" s="1" t="s">
        <v>213</v>
      </c>
      <c r="FQ1185" s="1" t="s">
        <v>293</v>
      </c>
      <c r="FR1185" s="1" t="s">
        <v>210</v>
      </c>
      <c r="FS1185" s="1" t="s">
        <v>1709</v>
      </c>
      <c r="FT1185" s="1" t="s">
        <v>295</v>
      </c>
      <c r="FU1185" s="1" t="s">
        <v>204</v>
      </c>
      <c r="FW1185" s="1" t="s">
        <v>1475</v>
      </c>
      <c r="FX1185" s="1">
        <v>23265</v>
      </c>
      <c r="FY1185" s="1" t="s">
        <v>1476</v>
      </c>
      <c r="FZ1185" s="1" t="s">
        <v>12285</v>
      </c>
      <c r="GA1185" s="1">
        <v>222224</v>
      </c>
      <c r="GB1185" s="1" t="s">
        <v>12286</v>
      </c>
      <c r="GD1185" s="1" t="s">
        <v>12287</v>
      </c>
      <c r="GE1185" s="1" t="s">
        <v>1187</v>
      </c>
      <c r="GI1185" s="1" t="s">
        <v>213</v>
      </c>
      <c r="GJ1185" s="1" t="s">
        <v>260</v>
      </c>
      <c r="GK1185" s="1" t="s">
        <v>210</v>
      </c>
      <c r="GL1185" s="2">
        <v>42137</v>
      </c>
    </row>
    <row r="1186" spans="1:195">
      <c r="A1186" s="1">
        <v>119500</v>
      </c>
      <c r="B1186" s="1" t="s">
        <v>195</v>
      </c>
      <c r="C1186" s="1" t="str">
        <f>"08854016"</f>
        <v>08854016</v>
      </c>
      <c r="D1186" s="1" t="s">
        <v>196</v>
      </c>
      <c r="F1186" s="1" t="str">
        <f>"507"</f>
        <v>507</v>
      </c>
      <c r="G1186" s="2">
        <v>42069</v>
      </c>
      <c r="H1186" s="1">
        <v>119900</v>
      </c>
      <c r="I1186" s="1">
        <v>119900</v>
      </c>
      <c r="J1186" s="1">
        <v>119500</v>
      </c>
      <c r="K1186" s="2">
        <v>42069</v>
      </c>
      <c r="L1186" s="1">
        <v>39</v>
      </c>
      <c r="M1186" s="2">
        <v>42107</v>
      </c>
      <c r="N1186" s="1">
        <v>39</v>
      </c>
      <c r="O1186" s="2">
        <v>42107</v>
      </c>
      <c r="P1186" s="1">
        <v>25042</v>
      </c>
      <c r="Q1186" s="1" t="s">
        <v>197</v>
      </c>
      <c r="R1186" s="2">
        <v>42146</v>
      </c>
      <c r="S1186" s="1">
        <v>222066</v>
      </c>
      <c r="T1186" s="1">
        <v>3000</v>
      </c>
      <c r="U1186" s="1">
        <v>1788</v>
      </c>
      <c r="V1186" s="1" t="s">
        <v>12288</v>
      </c>
      <c r="W1186" s="1" t="s">
        <v>725</v>
      </c>
      <c r="X1186" s="1">
        <v>1788</v>
      </c>
      <c r="Y1186" s="1">
        <v>20</v>
      </c>
      <c r="Z1186" s="1" t="s">
        <v>200</v>
      </c>
      <c r="AA1186" s="1" t="s">
        <v>1123</v>
      </c>
      <c r="AB1186" s="1">
        <v>60504</v>
      </c>
      <c r="AE1186" s="1" t="s">
        <v>12289</v>
      </c>
      <c r="AF1186" s="1">
        <v>2002</v>
      </c>
      <c r="AG1186" s="1" t="s">
        <v>204</v>
      </c>
      <c r="AH1186" s="1" t="s">
        <v>1126</v>
      </c>
      <c r="AI1186" s="1" t="s">
        <v>665</v>
      </c>
      <c r="AJ1186" s="1" t="s">
        <v>1126</v>
      </c>
      <c r="AL1186" s="1">
        <v>6</v>
      </c>
      <c r="AM1186" s="1">
        <v>2</v>
      </c>
      <c r="AN1186" s="1">
        <v>1</v>
      </c>
      <c r="AO1186" s="1">
        <v>1</v>
      </c>
      <c r="AP1186" s="1" t="s">
        <v>209</v>
      </c>
      <c r="AR1186" s="1" t="s">
        <v>210</v>
      </c>
      <c r="AS1186" s="1" t="s">
        <v>204</v>
      </c>
      <c r="AT1186" s="1" t="s">
        <v>211</v>
      </c>
      <c r="AU1186" s="1">
        <v>2</v>
      </c>
      <c r="AW1186" s="1" t="s">
        <v>204</v>
      </c>
      <c r="AX1186" s="3">
        <v>2975</v>
      </c>
      <c r="AZ1186" s="1">
        <v>2958.12</v>
      </c>
      <c r="BA1186" s="1">
        <v>2013</v>
      </c>
      <c r="BE1186" s="1">
        <v>1300</v>
      </c>
      <c r="BF1186" s="1">
        <v>1</v>
      </c>
      <c r="BG1186" s="1">
        <v>0</v>
      </c>
      <c r="BL1186" s="1">
        <v>57</v>
      </c>
      <c r="BM1186" s="1" t="s">
        <v>204</v>
      </c>
      <c r="BN1186" s="1" t="s">
        <v>213</v>
      </c>
      <c r="BO1186" s="1">
        <v>999</v>
      </c>
      <c r="BP1186" s="1" t="s">
        <v>204</v>
      </c>
      <c r="BR1186" s="1" t="str">
        <f>"1525375035"</f>
        <v>1525375035</v>
      </c>
      <c r="BT1186" s="1" t="s">
        <v>12290</v>
      </c>
      <c r="BX1186" s="1">
        <v>131</v>
      </c>
      <c r="BY1186" s="1">
        <v>131</v>
      </c>
      <c r="BZ1186" s="1">
        <v>131</v>
      </c>
      <c r="CB1186" s="1" t="str">
        <f t="shared" ref="CB1186:CC1186" si="913">""</f>
        <v/>
      </c>
      <c r="CC1186" s="1" t="str">
        <f t="shared" si="913"/>
        <v/>
      </c>
      <c r="CG1186" s="1" t="s">
        <v>278</v>
      </c>
      <c r="CH1186" s="1" t="s">
        <v>219</v>
      </c>
      <c r="CI1186" s="1" t="s">
        <v>438</v>
      </c>
      <c r="CK1186" s="1" t="s">
        <v>539</v>
      </c>
      <c r="CL1186" s="1" t="s">
        <v>277</v>
      </c>
      <c r="CO1186" s="1" t="s">
        <v>539</v>
      </c>
      <c r="CP1186" s="1" t="s">
        <v>219</v>
      </c>
      <c r="CQ1186" s="1" t="s">
        <v>342</v>
      </c>
      <c r="CS1186" s="1" t="s">
        <v>379</v>
      </c>
      <c r="CT1186" s="1" t="s">
        <v>277</v>
      </c>
      <c r="CX1186" s="1" t="s">
        <v>224</v>
      </c>
      <c r="DB1186" s="1" t="s">
        <v>224</v>
      </c>
      <c r="DE1186" s="1" t="s">
        <v>1358</v>
      </c>
      <c r="DF1186" s="1" t="s">
        <v>219</v>
      </c>
      <c r="DG1186" s="1" t="s">
        <v>342</v>
      </c>
      <c r="DJ1186" s="1" t="s">
        <v>224</v>
      </c>
      <c r="DM1186" s="1" t="s">
        <v>464</v>
      </c>
      <c r="DR1186" s="1" t="s">
        <v>379</v>
      </c>
      <c r="DS1186" s="1" t="s">
        <v>277</v>
      </c>
      <c r="DW1186" s="1" t="s">
        <v>230</v>
      </c>
      <c r="EA1186" s="1" t="s">
        <v>230</v>
      </c>
      <c r="EE1186" s="1" t="s">
        <v>230</v>
      </c>
      <c r="EI1186" s="1" t="s">
        <v>230</v>
      </c>
      <c r="EL1186" s="1" t="s">
        <v>466</v>
      </c>
      <c r="EM1186" s="1" t="s">
        <v>232</v>
      </c>
      <c r="EN1186" s="1" t="s">
        <v>282</v>
      </c>
      <c r="EO1186" s="1" t="s">
        <v>234</v>
      </c>
      <c r="ER1186" s="1" t="s">
        <v>383</v>
      </c>
      <c r="EW1186" s="1" t="s">
        <v>12291</v>
      </c>
      <c r="EZ1186" s="1" t="s">
        <v>464</v>
      </c>
      <c r="FD1186" s="1" t="s">
        <v>246</v>
      </c>
      <c r="FE1186" s="1" t="s">
        <v>355</v>
      </c>
      <c r="FF1186" s="1" t="s">
        <v>3103</v>
      </c>
      <c r="FH1186" s="1" t="s">
        <v>249</v>
      </c>
      <c r="FL1186" s="1" t="s">
        <v>414</v>
      </c>
      <c r="FM1186" s="1" t="s">
        <v>252</v>
      </c>
      <c r="FN1186" s="1" t="s">
        <v>213</v>
      </c>
      <c r="FO1186" s="1" t="s">
        <v>213</v>
      </c>
      <c r="FQ1186" s="1" t="s">
        <v>329</v>
      </c>
      <c r="FR1186" s="1" t="s">
        <v>210</v>
      </c>
      <c r="FS1186" s="1" t="s">
        <v>12292</v>
      </c>
      <c r="FT1186" s="1" t="s">
        <v>295</v>
      </c>
      <c r="FU1186" s="1" t="s">
        <v>204</v>
      </c>
      <c r="FW1186" s="1" t="s">
        <v>1898</v>
      </c>
      <c r="FX1186" s="1">
        <v>23030</v>
      </c>
      <c r="FY1186" s="1" t="s">
        <v>1899</v>
      </c>
      <c r="FZ1186" s="1" t="s">
        <v>5184</v>
      </c>
      <c r="GA1186" s="1">
        <v>233292</v>
      </c>
      <c r="GB1186" s="1" t="s">
        <v>5185</v>
      </c>
      <c r="GC1186" s="1">
        <v>241278</v>
      </c>
      <c r="GE1186" s="1" t="s">
        <v>210</v>
      </c>
      <c r="GI1186" s="1" t="s">
        <v>213</v>
      </c>
      <c r="GJ1186" s="1" t="s">
        <v>260</v>
      </c>
      <c r="GK1186" s="1" t="s">
        <v>1413</v>
      </c>
      <c r="GL1186" s="2">
        <v>42147</v>
      </c>
      <c r="GM1186" s="1" t="s">
        <v>12293</v>
      </c>
    </row>
    <row r="1187" spans="1:195">
      <c r="A1187" s="1">
        <v>342000</v>
      </c>
      <c r="B1187" s="1" t="s">
        <v>195</v>
      </c>
      <c r="C1187" s="1" t="str">
        <f>"08856436"</f>
        <v>08856436</v>
      </c>
      <c r="D1187" s="1" t="s">
        <v>196</v>
      </c>
      <c r="F1187" s="1" t="str">
        <f>"154"</f>
        <v>154</v>
      </c>
      <c r="G1187" s="2">
        <v>42072</v>
      </c>
      <c r="H1187" s="1">
        <v>349000</v>
      </c>
      <c r="I1187" s="1">
        <v>349000</v>
      </c>
      <c r="J1187" s="1">
        <v>342000</v>
      </c>
      <c r="K1187" s="2">
        <v>42072</v>
      </c>
      <c r="L1187" s="1">
        <v>6</v>
      </c>
      <c r="M1187" s="2">
        <v>42077</v>
      </c>
      <c r="N1187" s="1">
        <v>6</v>
      </c>
      <c r="O1187" s="2">
        <v>42077</v>
      </c>
      <c r="P1187" s="1">
        <v>24330</v>
      </c>
      <c r="Q1187" s="1" t="s">
        <v>302</v>
      </c>
      <c r="R1187" s="2">
        <v>42136</v>
      </c>
      <c r="S1187" s="1">
        <v>245392</v>
      </c>
      <c r="U1187" s="1">
        <v>11452</v>
      </c>
      <c r="V1187" s="1" t="s">
        <v>12294</v>
      </c>
      <c r="W1187" s="1" t="s">
        <v>264</v>
      </c>
      <c r="Y1187" s="1">
        <v>1</v>
      </c>
      <c r="Z1187" s="1" t="s">
        <v>370</v>
      </c>
      <c r="AA1187" s="1" t="s">
        <v>1190</v>
      </c>
      <c r="AB1187" s="1">
        <v>60153</v>
      </c>
      <c r="AD1187" s="1" t="s">
        <v>12295</v>
      </c>
      <c r="AE1187" s="1" t="s">
        <v>12296</v>
      </c>
      <c r="AF1187" s="1">
        <v>1988</v>
      </c>
      <c r="AG1187" s="1" t="s">
        <v>204</v>
      </c>
      <c r="AH1187" s="1" t="s">
        <v>1193</v>
      </c>
      <c r="AI1187" s="1" t="s">
        <v>310</v>
      </c>
      <c r="AJ1187" s="1" t="s">
        <v>429</v>
      </c>
      <c r="AL1187" s="1">
        <v>9</v>
      </c>
      <c r="AM1187" s="1">
        <v>2</v>
      </c>
      <c r="AN1187" s="1">
        <v>2</v>
      </c>
      <c r="AO1187" s="1">
        <v>1</v>
      </c>
      <c r="AP1187" s="1" t="s">
        <v>209</v>
      </c>
      <c r="AQ1187" s="1">
        <v>1</v>
      </c>
      <c r="AR1187" s="1" t="s">
        <v>209</v>
      </c>
      <c r="AS1187" s="1" t="s">
        <v>204</v>
      </c>
      <c r="AT1187" s="1" t="s">
        <v>211</v>
      </c>
      <c r="AU1187" s="1">
        <v>2</v>
      </c>
      <c r="AW1187" s="1" t="s">
        <v>204</v>
      </c>
      <c r="AX1187" s="1">
        <v>3197</v>
      </c>
      <c r="AZ1187" s="1">
        <v>5578.35</v>
      </c>
      <c r="BA1187" s="1">
        <v>2013</v>
      </c>
      <c r="BB1187" s="1" t="s">
        <v>405</v>
      </c>
      <c r="BE1187" s="1">
        <v>1898</v>
      </c>
      <c r="BF1187" s="1">
        <v>1</v>
      </c>
      <c r="BG1187" s="1">
        <v>5</v>
      </c>
      <c r="BJ1187" s="1">
        <v>100</v>
      </c>
      <c r="BL1187" s="1">
        <v>300</v>
      </c>
      <c r="BM1187" s="1" t="s">
        <v>204</v>
      </c>
      <c r="BN1187" s="1" t="s">
        <v>213</v>
      </c>
      <c r="BO1187" s="1">
        <v>999</v>
      </c>
      <c r="BP1187" s="1" t="s">
        <v>204</v>
      </c>
      <c r="BR1187" s="1" t="str">
        <f>"15304170110000"</f>
        <v>15304170110000</v>
      </c>
      <c r="BT1187" s="1" t="s">
        <v>12297</v>
      </c>
      <c r="BX1187" s="1">
        <v>93</v>
      </c>
      <c r="BY1187" s="1">
        <v>93</v>
      </c>
      <c r="BZ1187" s="1">
        <v>209</v>
      </c>
      <c r="CB1187" s="1" t="str">
        <f t="shared" ref="CB1187:CC1187" si="914">""</f>
        <v/>
      </c>
      <c r="CC1187" s="1" t="str">
        <f t="shared" si="914"/>
        <v/>
      </c>
      <c r="CG1187" s="1" t="s">
        <v>729</v>
      </c>
      <c r="CH1187" s="1" t="s">
        <v>219</v>
      </c>
      <c r="CI1187" s="1" t="s">
        <v>438</v>
      </c>
      <c r="CJ1187" s="1" t="s">
        <v>1199</v>
      </c>
      <c r="CK1187" s="1" t="s">
        <v>729</v>
      </c>
      <c r="CL1187" s="1" t="s">
        <v>277</v>
      </c>
      <c r="CM1187" s="1" t="s">
        <v>220</v>
      </c>
      <c r="CN1187" s="1" t="s">
        <v>210</v>
      </c>
      <c r="CO1187" s="1" t="s">
        <v>1004</v>
      </c>
      <c r="CP1187" s="1" t="s">
        <v>219</v>
      </c>
      <c r="CQ1187" s="1" t="s">
        <v>438</v>
      </c>
      <c r="CR1187" s="1" t="s">
        <v>210</v>
      </c>
      <c r="CS1187" s="1" t="s">
        <v>346</v>
      </c>
      <c r="CT1187" s="1" t="s">
        <v>277</v>
      </c>
      <c r="CU1187" s="1" t="s">
        <v>220</v>
      </c>
      <c r="CV1187" s="1" t="s">
        <v>210</v>
      </c>
      <c r="CX1187" s="1" t="s">
        <v>224</v>
      </c>
      <c r="DB1187" s="1" t="s">
        <v>224</v>
      </c>
      <c r="DE1187" s="1" t="s">
        <v>1297</v>
      </c>
      <c r="DF1187" s="1" t="s">
        <v>219</v>
      </c>
      <c r="DG1187" s="1" t="s">
        <v>226</v>
      </c>
      <c r="DH1187" s="1" t="s">
        <v>210</v>
      </c>
      <c r="DI1187" s="1" t="s">
        <v>6197</v>
      </c>
      <c r="DJ1187" s="1" t="s">
        <v>822</v>
      </c>
      <c r="DK1187" s="1" t="s">
        <v>220</v>
      </c>
      <c r="DL1187" s="1" t="s">
        <v>210</v>
      </c>
      <c r="DM1187" s="1" t="s">
        <v>1005</v>
      </c>
      <c r="DN1187" s="1" t="s">
        <v>464</v>
      </c>
      <c r="DP1187" s="1" t="s">
        <v>227</v>
      </c>
      <c r="DR1187" s="1" t="s">
        <v>346</v>
      </c>
      <c r="DS1187" s="1" t="s">
        <v>219</v>
      </c>
      <c r="DT1187" s="1" t="s">
        <v>438</v>
      </c>
      <c r="DU1187" s="1" t="s">
        <v>252</v>
      </c>
      <c r="DV1187" s="1" t="s">
        <v>1297</v>
      </c>
      <c r="DW1187" s="1" t="s">
        <v>277</v>
      </c>
      <c r="DX1187" s="1" t="s">
        <v>220</v>
      </c>
      <c r="DY1187" s="1" t="s">
        <v>210</v>
      </c>
      <c r="EA1187" s="1" t="s">
        <v>230</v>
      </c>
      <c r="ED1187" s="1" t="s">
        <v>378</v>
      </c>
      <c r="EE1187" s="1" t="s">
        <v>822</v>
      </c>
      <c r="EF1187" s="1" t="s">
        <v>220</v>
      </c>
      <c r="EG1187" s="1" t="s">
        <v>210</v>
      </c>
      <c r="EI1187" s="1" t="s">
        <v>230</v>
      </c>
      <c r="EL1187" s="1" t="s">
        <v>542</v>
      </c>
      <c r="EM1187" s="1" t="s">
        <v>232</v>
      </c>
      <c r="EN1187" s="1" t="s">
        <v>282</v>
      </c>
      <c r="EO1187" s="1" t="s">
        <v>234</v>
      </c>
      <c r="EP1187" s="1" t="s">
        <v>3012</v>
      </c>
      <c r="EQ1187" s="1" t="s">
        <v>12298</v>
      </c>
      <c r="ER1187" s="1" t="s">
        <v>544</v>
      </c>
      <c r="ES1187" s="1" t="s">
        <v>3914</v>
      </c>
      <c r="ET1187" s="1" t="s">
        <v>238</v>
      </c>
      <c r="EU1187" s="1" t="s">
        <v>12299</v>
      </c>
      <c r="EV1187" s="1" t="s">
        <v>324</v>
      </c>
      <c r="EW1187" s="1" t="s">
        <v>5251</v>
      </c>
      <c r="EY1187" s="1" t="s">
        <v>2455</v>
      </c>
      <c r="EZ1187" s="1" t="s">
        <v>12300</v>
      </c>
      <c r="FA1187" s="1" t="s">
        <v>869</v>
      </c>
      <c r="FB1187" s="1" t="s">
        <v>289</v>
      </c>
      <c r="FD1187" s="1" t="s">
        <v>246</v>
      </c>
      <c r="FE1187" s="1" t="s">
        <v>247</v>
      </c>
      <c r="FF1187" s="1" t="s">
        <v>248</v>
      </c>
      <c r="FG1187" s="1" t="s">
        <v>1204</v>
      </c>
      <c r="FH1187" s="1" t="s">
        <v>550</v>
      </c>
      <c r="FI1187" s="1" t="s">
        <v>357</v>
      </c>
      <c r="FJ1187" s="1" t="s">
        <v>1620</v>
      </c>
      <c r="FL1187" s="1" t="s">
        <v>358</v>
      </c>
      <c r="FM1187" s="1" t="s">
        <v>252</v>
      </c>
      <c r="FN1187" s="1" t="s">
        <v>213</v>
      </c>
      <c r="FO1187" s="1" t="s">
        <v>213</v>
      </c>
      <c r="FQ1187" s="1" t="s">
        <v>7855</v>
      </c>
      <c r="FR1187" s="1" t="s">
        <v>210</v>
      </c>
      <c r="FS1187" s="1" t="s">
        <v>12301</v>
      </c>
      <c r="FT1187" s="1" t="s">
        <v>12302</v>
      </c>
      <c r="FU1187" s="1" t="s">
        <v>204</v>
      </c>
      <c r="FW1187" s="1" t="s">
        <v>915</v>
      </c>
      <c r="FX1187" s="1">
        <v>22049</v>
      </c>
      <c r="FY1187" s="1" t="s">
        <v>4731</v>
      </c>
      <c r="FZ1187" s="1" t="s">
        <v>12303</v>
      </c>
      <c r="GA1187" s="1">
        <v>224065</v>
      </c>
      <c r="GB1187" s="1" t="s">
        <v>12304</v>
      </c>
      <c r="GE1187" s="1" t="s">
        <v>1145</v>
      </c>
      <c r="GI1187" s="1" t="s">
        <v>213</v>
      </c>
      <c r="GJ1187" s="1" t="s">
        <v>260</v>
      </c>
      <c r="GK1187" s="1" t="s">
        <v>4920</v>
      </c>
      <c r="GL1187" s="2">
        <v>42136</v>
      </c>
      <c r="GM1187" s="1" t="s">
        <v>12305</v>
      </c>
    </row>
    <row r="1188" spans="1:195">
      <c r="A1188" s="1">
        <v>195000</v>
      </c>
      <c r="B1188" s="1" t="s">
        <v>195</v>
      </c>
      <c r="C1188" s="1" t="str">
        <f>"08861930"</f>
        <v>08861930</v>
      </c>
      <c r="D1188" s="1" t="s">
        <v>196</v>
      </c>
      <c r="F1188" s="1" t="str">
        <f>"172"</f>
        <v>172</v>
      </c>
      <c r="G1188" s="2">
        <v>42078</v>
      </c>
      <c r="H1188" s="1">
        <v>198700</v>
      </c>
      <c r="I1188" s="1">
        <v>198700</v>
      </c>
      <c r="J1188" s="1">
        <v>195000</v>
      </c>
      <c r="K1188" s="2">
        <v>42078</v>
      </c>
      <c r="L1188" s="1">
        <v>19</v>
      </c>
      <c r="M1188" s="2">
        <v>42096</v>
      </c>
      <c r="N1188" s="1">
        <v>19</v>
      </c>
      <c r="O1188" s="2">
        <v>42096</v>
      </c>
      <c r="P1188" s="1">
        <v>25309</v>
      </c>
      <c r="Q1188" s="1" t="s">
        <v>197</v>
      </c>
      <c r="R1188" s="2">
        <v>42138</v>
      </c>
      <c r="S1188" s="1">
        <v>218345</v>
      </c>
      <c r="U1188" s="1">
        <v>17</v>
      </c>
      <c r="V1188" s="1" t="s">
        <v>12306</v>
      </c>
      <c r="W1188" s="1" t="s">
        <v>425</v>
      </c>
      <c r="X1188" s="1">
        <v>501</v>
      </c>
      <c r="Y1188" s="1">
        <v>30</v>
      </c>
      <c r="Z1188" s="1" t="s">
        <v>249</v>
      </c>
      <c r="AA1188" s="1" t="s">
        <v>266</v>
      </c>
      <c r="AB1188" s="1">
        <v>60172</v>
      </c>
      <c r="AD1188" s="1" t="s">
        <v>12307</v>
      </c>
      <c r="AE1188" s="1" t="s">
        <v>12308</v>
      </c>
      <c r="AF1188" s="1">
        <v>1999</v>
      </c>
      <c r="AG1188" s="1" t="s">
        <v>204</v>
      </c>
      <c r="AH1188" s="1" t="s">
        <v>3952</v>
      </c>
      <c r="AI1188" s="1" t="s">
        <v>206</v>
      </c>
      <c r="AJ1188" s="1" t="s">
        <v>269</v>
      </c>
      <c r="AL1188" s="1">
        <v>5</v>
      </c>
      <c r="AM1188" s="1">
        <v>2</v>
      </c>
      <c r="AN1188" s="1">
        <v>2</v>
      </c>
      <c r="AO1188" s="1">
        <v>0</v>
      </c>
      <c r="AP1188" s="1" t="s">
        <v>209</v>
      </c>
      <c r="AR1188" s="1" t="s">
        <v>210</v>
      </c>
      <c r="AT1188" s="1" t="s">
        <v>211</v>
      </c>
      <c r="AU1188" s="1">
        <v>1</v>
      </c>
      <c r="AW1188" s="1" t="s">
        <v>204</v>
      </c>
      <c r="AX1188" s="1" t="s">
        <v>212</v>
      </c>
      <c r="AZ1188" s="1">
        <v>3428</v>
      </c>
      <c r="BA1188" s="1">
        <v>2013</v>
      </c>
      <c r="BB1188" s="1" t="s">
        <v>405</v>
      </c>
      <c r="BE1188" s="1">
        <v>1285</v>
      </c>
      <c r="BF1188" s="1">
        <v>5</v>
      </c>
      <c r="BG1188" s="1">
        <v>0</v>
      </c>
      <c r="BL1188" s="1">
        <v>339</v>
      </c>
      <c r="BM1188" s="1" t="s">
        <v>204</v>
      </c>
      <c r="BN1188" s="1" t="s">
        <v>213</v>
      </c>
      <c r="BO1188" s="1">
        <v>30</v>
      </c>
      <c r="BP1188" s="1" t="s">
        <v>204</v>
      </c>
      <c r="BR1188" s="1" t="str">
        <f>"0203219004"</f>
        <v>0203219004</v>
      </c>
      <c r="BT1188" s="1" t="s">
        <v>12309</v>
      </c>
      <c r="BU1188" s="1" t="s">
        <v>9447</v>
      </c>
      <c r="BV1188" s="1" t="s">
        <v>9448</v>
      </c>
      <c r="BW1188" s="1" t="s">
        <v>275</v>
      </c>
      <c r="BX1188" s="1">
        <v>12</v>
      </c>
      <c r="BY1188" s="1">
        <v>12</v>
      </c>
      <c r="BZ1188" s="1">
        <v>108</v>
      </c>
      <c r="CB1188" s="1" t="str">
        <f>"7"</f>
        <v>7</v>
      </c>
      <c r="CC1188" s="1" t="str">
        <f>"0"</f>
        <v>0</v>
      </c>
      <c r="CD1188" s="1">
        <v>23</v>
      </c>
      <c r="CE1188" s="1">
        <v>0</v>
      </c>
      <c r="CG1188" s="1" t="s">
        <v>1723</v>
      </c>
      <c r="CH1188" s="1" t="s">
        <v>219</v>
      </c>
      <c r="CI1188" s="1" t="s">
        <v>220</v>
      </c>
      <c r="CJ1188" s="1" t="s">
        <v>252</v>
      </c>
      <c r="CK1188" s="1" t="s">
        <v>757</v>
      </c>
      <c r="CL1188" s="1" t="s">
        <v>219</v>
      </c>
      <c r="CM1188" s="1" t="s">
        <v>220</v>
      </c>
      <c r="CN1188" s="1" t="s">
        <v>252</v>
      </c>
      <c r="CO1188" s="1" t="s">
        <v>2547</v>
      </c>
      <c r="CP1188" s="1" t="s">
        <v>219</v>
      </c>
      <c r="CQ1188" s="1" t="s">
        <v>229</v>
      </c>
      <c r="CS1188" s="1" t="s">
        <v>461</v>
      </c>
      <c r="CT1188" s="1" t="s">
        <v>219</v>
      </c>
      <c r="CU1188" s="1" t="s">
        <v>220</v>
      </c>
      <c r="CV1188" s="1" t="s">
        <v>252</v>
      </c>
      <c r="CX1188" s="1" t="s">
        <v>224</v>
      </c>
      <c r="DB1188" s="1" t="s">
        <v>224</v>
      </c>
      <c r="DE1188" s="1" t="s">
        <v>565</v>
      </c>
      <c r="DF1188" s="1" t="s">
        <v>219</v>
      </c>
      <c r="DG1188" s="1" t="s">
        <v>229</v>
      </c>
      <c r="DH1188" s="1" t="s">
        <v>252</v>
      </c>
      <c r="DJ1188" s="1" t="s">
        <v>224</v>
      </c>
      <c r="DN1188" s="1" t="s">
        <v>709</v>
      </c>
      <c r="DS1188" s="1" t="s">
        <v>230</v>
      </c>
      <c r="DV1188" s="1" t="s">
        <v>710</v>
      </c>
      <c r="DW1188" s="1" t="s">
        <v>219</v>
      </c>
      <c r="DX1188" s="1" t="s">
        <v>229</v>
      </c>
      <c r="EA1188" s="1" t="s">
        <v>230</v>
      </c>
      <c r="EE1188" s="1" t="s">
        <v>230</v>
      </c>
      <c r="EI1188" s="1" t="s">
        <v>230</v>
      </c>
      <c r="EL1188" s="1" t="s">
        <v>670</v>
      </c>
      <c r="EM1188" s="1" t="s">
        <v>232</v>
      </c>
      <c r="EN1188" s="1" t="s">
        <v>282</v>
      </c>
      <c r="EO1188" s="1" t="s">
        <v>234</v>
      </c>
      <c r="EP1188" s="1" t="s">
        <v>12310</v>
      </c>
      <c r="EQ1188" s="1" t="s">
        <v>12311</v>
      </c>
      <c r="ER1188" s="1" t="s">
        <v>210</v>
      </c>
      <c r="ES1188" s="1" t="s">
        <v>322</v>
      </c>
      <c r="ET1188" s="1" t="s">
        <v>1752</v>
      </c>
      <c r="EU1188" s="1" t="s">
        <v>712</v>
      </c>
      <c r="EW1188" s="1" t="s">
        <v>12312</v>
      </c>
      <c r="EY1188" s="1" t="s">
        <v>242</v>
      </c>
      <c r="EZ1188" s="1" t="s">
        <v>709</v>
      </c>
      <c r="FA1188" s="1" t="s">
        <v>11983</v>
      </c>
      <c r="FB1188" s="1" t="s">
        <v>289</v>
      </c>
      <c r="FD1188" s="1" t="s">
        <v>290</v>
      </c>
      <c r="FE1188" s="1" t="s">
        <v>247</v>
      </c>
      <c r="FF1188" s="1" t="s">
        <v>248</v>
      </c>
      <c r="FH1188" s="1" t="s">
        <v>12313</v>
      </c>
      <c r="FI1188" s="1" t="s">
        <v>250</v>
      </c>
      <c r="FL1188" s="1" t="s">
        <v>358</v>
      </c>
      <c r="FM1188" s="1" t="s">
        <v>252</v>
      </c>
      <c r="FN1188" s="1" t="s">
        <v>213</v>
      </c>
      <c r="FO1188" s="1" t="s">
        <v>213</v>
      </c>
      <c r="FQ1188" s="1" t="s">
        <v>913</v>
      </c>
      <c r="FR1188" s="1" t="s">
        <v>210</v>
      </c>
      <c r="FS1188" s="1" t="s">
        <v>12314</v>
      </c>
      <c r="FT1188" s="1" t="s">
        <v>295</v>
      </c>
      <c r="FU1188" s="1" t="s">
        <v>204</v>
      </c>
      <c r="FW1188" s="1" t="s">
        <v>873</v>
      </c>
      <c r="FX1188" s="1">
        <v>25309</v>
      </c>
      <c r="FY1188" s="1" t="s">
        <v>874</v>
      </c>
      <c r="FZ1188" s="1" t="s">
        <v>12315</v>
      </c>
      <c r="GA1188" s="1">
        <v>218345</v>
      </c>
      <c r="GB1188" s="1" t="s">
        <v>12316</v>
      </c>
      <c r="GD1188" s="1" t="s">
        <v>12317</v>
      </c>
      <c r="GE1188" s="1" t="s">
        <v>1764</v>
      </c>
      <c r="GH1188" s="1" t="s">
        <v>800</v>
      </c>
      <c r="GI1188" s="1" t="s">
        <v>213</v>
      </c>
      <c r="GJ1188" s="1" t="s">
        <v>260</v>
      </c>
      <c r="GK1188" s="1" t="s">
        <v>210</v>
      </c>
      <c r="GL1188" s="2">
        <v>42140</v>
      </c>
      <c r="GM1188" s="1" t="s">
        <v>12318</v>
      </c>
    </row>
    <row r="1189" spans="1:195">
      <c r="A1189" s="1">
        <v>148000</v>
      </c>
      <c r="B1189" s="1" t="s">
        <v>195</v>
      </c>
      <c r="C1189" s="1" t="str">
        <f>"08856965"</f>
        <v>08856965</v>
      </c>
      <c r="D1189" s="1" t="s">
        <v>196</v>
      </c>
      <c r="F1189" s="1" t="str">
        <f t="shared" ref="F1189:F1190" si="915">"540"</f>
        <v>540</v>
      </c>
      <c r="G1189" s="2">
        <v>42072</v>
      </c>
      <c r="H1189" s="1">
        <v>154888</v>
      </c>
      <c r="I1189" s="1">
        <v>154888</v>
      </c>
      <c r="J1189" s="1">
        <v>148000</v>
      </c>
      <c r="K1189" s="2">
        <v>42072</v>
      </c>
      <c r="L1189" s="1">
        <v>6</v>
      </c>
      <c r="M1189" s="2">
        <v>42077</v>
      </c>
      <c r="N1189" s="1">
        <v>6</v>
      </c>
      <c r="O1189" s="2">
        <v>42077</v>
      </c>
      <c r="P1189" s="1">
        <v>23219</v>
      </c>
      <c r="Q1189" s="1" t="s">
        <v>197</v>
      </c>
      <c r="R1189" s="2">
        <v>42108</v>
      </c>
      <c r="S1189" s="1">
        <v>234268</v>
      </c>
      <c r="U1189" s="1">
        <v>2977</v>
      </c>
      <c r="V1189" s="1" t="s">
        <v>12319</v>
      </c>
      <c r="W1189" s="1" t="s">
        <v>449</v>
      </c>
      <c r="X1189" s="1">
        <v>2977</v>
      </c>
      <c r="Y1189" s="1">
        <v>6</v>
      </c>
      <c r="Z1189" s="1" t="s">
        <v>370</v>
      </c>
      <c r="AA1189" s="1" t="s">
        <v>921</v>
      </c>
      <c r="AB1189" s="1">
        <v>60564</v>
      </c>
      <c r="AD1189" s="1" t="s">
        <v>2213</v>
      </c>
      <c r="AE1189" s="1" t="s">
        <v>12320</v>
      </c>
      <c r="AF1189" s="1">
        <v>2002</v>
      </c>
      <c r="AG1189" s="1" t="s">
        <v>204</v>
      </c>
      <c r="AH1189" s="1" t="s">
        <v>924</v>
      </c>
      <c r="AI1189" s="1" t="s">
        <v>1800</v>
      </c>
      <c r="AJ1189" s="1" t="s">
        <v>1801</v>
      </c>
      <c r="AL1189" s="1">
        <v>6</v>
      </c>
      <c r="AM1189" s="1">
        <v>2</v>
      </c>
      <c r="AN1189" s="1">
        <v>1</v>
      </c>
      <c r="AO1189" s="1">
        <v>1</v>
      </c>
      <c r="AP1189" s="1" t="s">
        <v>210</v>
      </c>
      <c r="AR1189" s="1" t="s">
        <v>210</v>
      </c>
      <c r="AS1189" s="1" t="s">
        <v>204</v>
      </c>
      <c r="AT1189" s="1" t="s">
        <v>211</v>
      </c>
      <c r="AU1189" s="1">
        <v>1</v>
      </c>
      <c r="AW1189" s="1" t="s">
        <v>204</v>
      </c>
      <c r="AX1189" s="1" t="s">
        <v>212</v>
      </c>
      <c r="AZ1189" s="1">
        <v>3908</v>
      </c>
      <c r="BA1189" s="1">
        <v>2013</v>
      </c>
      <c r="BB1189" s="1" t="s">
        <v>210</v>
      </c>
      <c r="BE1189" s="1">
        <v>1138</v>
      </c>
      <c r="BF1189" s="1">
        <v>1</v>
      </c>
      <c r="BG1189" s="1">
        <v>0</v>
      </c>
      <c r="BL1189" s="1">
        <v>219</v>
      </c>
      <c r="BM1189" s="1" t="s">
        <v>204</v>
      </c>
      <c r="BN1189" s="1" t="s">
        <v>213</v>
      </c>
      <c r="BO1189" s="1">
        <v>50</v>
      </c>
      <c r="BP1189" s="1" t="s">
        <v>204</v>
      </c>
      <c r="BR1189" s="1" t="str">
        <f>"01031040931004"</f>
        <v>01031040931004</v>
      </c>
      <c r="BT1189" s="1" t="s">
        <v>12321</v>
      </c>
      <c r="BU1189" s="1" t="s">
        <v>2216</v>
      </c>
      <c r="BV1189" s="1" t="s">
        <v>2217</v>
      </c>
      <c r="BW1189" s="1" t="s">
        <v>2218</v>
      </c>
      <c r="BX1189" s="1">
        <v>204</v>
      </c>
      <c r="BY1189" s="1">
        <v>204</v>
      </c>
      <c r="BZ1189" s="1">
        <v>204</v>
      </c>
      <c r="CB1189" s="1" t="str">
        <f t="shared" ref="CB1189:CC1189" si="916">"0"</f>
        <v>0</v>
      </c>
      <c r="CC1189" s="1" t="str">
        <f t="shared" si="916"/>
        <v>0</v>
      </c>
      <c r="CD1189" s="1">
        <v>29</v>
      </c>
      <c r="CE1189" s="1">
        <v>10</v>
      </c>
      <c r="CG1189" s="1" t="s">
        <v>12322</v>
      </c>
      <c r="CH1189" s="1" t="s">
        <v>219</v>
      </c>
      <c r="CI1189" s="1" t="s">
        <v>220</v>
      </c>
      <c r="CJ1189" s="1" t="s">
        <v>210</v>
      </c>
      <c r="CK1189" s="1" t="s">
        <v>317</v>
      </c>
      <c r="CL1189" s="1" t="s">
        <v>277</v>
      </c>
      <c r="CM1189" s="1" t="s">
        <v>438</v>
      </c>
      <c r="CN1189" s="1" t="s">
        <v>210</v>
      </c>
      <c r="CO1189" s="1" t="s">
        <v>2031</v>
      </c>
      <c r="CP1189" s="1" t="s">
        <v>219</v>
      </c>
      <c r="CQ1189" s="1" t="s">
        <v>220</v>
      </c>
      <c r="CR1189" s="1" t="s">
        <v>210</v>
      </c>
      <c r="CS1189" s="1" t="s">
        <v>465</v>
      </c>
      <c r="CT1189" s="1" t="s">
        <v>277</v>
      </c>
      <c r="CU1189" s="1" t="s">
        <v>438</v>
      </c>
      <c r="CV1189" s="1" t="s">
        <v>210</v>
      </c>
      <c r="CX1189" s="1" t="s">
        <v>224</v>
      </c>
      <c r="DB1189" s="1" t="s">
        <v>224</v>
      </c>
      <c r="DE1189" s="1" t="s">
        <v>516</v>
      </c>
      <c r="DF1189" s="1" t="s">
        <v>219</v>
      </c>
      <c r="DG1189" s="1" t="s">
        <v>226</v>
      </c>
      <c r="DH1189" s="1" t="s">
        <v>210</v>
      </c>
      <c r="DJ1189" s="1" t="s">
        <v>224</v>
      </c>
      <c r="DM1189" s="1" t="s">
        <v>1548</v>
      </c>
      <c r="DR1189" s="1" t="s">
        <v>2308</v>
      </c>
      <c r="DS1189" s="1" t="s">
        <v>219</v>
      </c>
      <c r="DT1189" s="1" t="s">
        <v>226</v>
      </c>
      <c r="DU1189" s="1" t="s">
        <v>210</v>
      </c>
      <c r="DW1189" s="1" t="s">
        <v>230</v>
      </c>
      <c r="EA1189" s="1" t="s">
        <v>230</v>
      </c>
      <c r="EE1189" s="1" t="s">
        <v>230</v>
      </c>
      <c r="EI1189" s="1" t="s">
        <v>230</v>
      </c>
      <c r="EL1189" s="1" t="s">
        <v>466</v>
      </c>
      <c r="EM1189" s="1" t="s">
        <v>232</v>
      </c>
      <c r="EN1189" s="1" t="s">
        <v>282</v>
      </c>
      <c r="EO1189" s="1" t="s">
        <v>234</v>
      </c>
      <c r="EP1189" s="1" t="s">
        <v>210</v>
      </c>
      <c r="EQ1189" s="1" t="s">
        <v>468</v>
      </c>
      <c r="ER1189" s="1" t="s">
        <v>210</v>
      </c>
      <c r="ES1189" s="1" t="s">
        <v>322</v>
      </c>
      <c r="EV1189" s="1" t="s">
        <v>240</v>
      </c>
      <c r="EW1189" s="1" t="s">
        <v>937</v>
      </c>
      <c r="EZ1189" s="1" t="s">
        <v>1548</v>
      </c>
      <c r="FA1189" s="1" t="s">
        <v>1270</v>
      </c>
      <c r="FC1189" s="1" t="s">
        <v>1362</v>
      </c>
      <c r="FD1189" s="1" t="s">
        <v>246</v>
      </c>
      <c r="FE1189" s="1" t="s">
        <v>472</v>
      </c>
      <c r="FF1189" s="1" t="s">
        <v>248</v>
      </c>
      <c r="FH1189" s="1" t="s">
        <v>249</v>
      </c>
      <c r="FL1189" s="1" t="s">
        <v>358</v>
      </c>
      <c r="FM1189" s="1" t="s">
        <v>252</v>
      </c>
      <c r="FN1189" s="1" t="s">
        <v>213</v>
      </c>
      <c r="FO1189" s="1" t="s">
        <v>213</v>
      </c>
      <c r="FQ1189" s="1" t="s">
        <v>6135</v>
      </c>
      <c r="FR1189" s="1" t="s">
        <v>210</v>
      </c>
      <c r="FS1189" s="1" t="s">
        <v>12323</v>
      </c>
      <c r="FT1189" s="1" t="s">
        <v>295</v>
      </c>
      <c r="FU1189" s="1" t="s">
        <v>204</v>
      </c>
      <c r="FW1189" s="1" t="s">
        <v>5648</v>
      </c>
      <c r="FX1189" s="1">
        <v>23099</v>
      </c>
      <c r="FY1189" s="1" t="s">
        <v>5649</v>
      </c>
      <c r="FZ1189" s="1" t="s">
        <v>6137</v>
      </c>
      <c r="GA1189" s="1">
        <v>218883</v>
      </c>
      <c r="GB1189" s="1" t="s">
        <v>6138</v>
      </c>
      <c r="GE1189" s="1" t="s">
        <v>480</v>
      </c>
      <c r="GI1189" s="1" t="s">
        <v>213</v>
      </c>
      <c r="GJ1189" s="1" t="s">
        <v>260</v>
      </c>
      <c r="GK1189" s="1" t="s">
        <v>210</v>
      </c>
      <c r="GL1189" s="2">
        <v>42109</v>
      </c>
      <c r="GM1189" s="1" t="s">
        <v>12324</v>
      </c>
    </row>
    <row r="1190" spans="1:195">
      <c r="A1190" s="1">
        <v>190000</v>
      </c>
      <c r="B1190" s="1" t="s">
        <v>195</v>
      </c>
      <c r="C1190" s="1" t="str">
        <f>"08853249"</f>
        <v>08853249</v>
      </c>
      <c r="D1190" s="1" t="s">
        <v>196</v>
      </c>
      <c r="F1190" s="1" t="str">
        <f t="shared" si="915"/>
        <v>540</v>
      </c>
      <c r="G1190" s="2">
        <v>42068</v>
      </c>
      <c r="H1190" s="1">
        <v>205000</v>
      </c>
      <c r="I1190" s="1">
        <v>205000</v>
      </c>
      <c r="J1190" s="1">
        <v>190000</v>
      </c>
      <c r="K1190" s="2">
        <v>42068</v>
      </c>
      <c r="L1190" s="1">
        <v>4</v>
      </c>
      <c r="M1190" s="2">
        <v>42071</v>
      </c>
      <c r="N1190" s="1">
        <v>4</v>
      </c>
      <c r="O1190" s="2">
        <v>42071</v>
      </c>
      <c r="P1190" s="1">
        <v>23120</v>
      </c>
      <c r="Q1190" s="1" t="s">
        <v>197</v>
      </c>
      <c r="R1190" s="2">
        <v>42109</v>
      </c>
      <c r="S1190" s="1">
        <v>239772</v>
      </c>
      <c r="U1190" s="1">
        <v>1061</v>
      </c>
      <c r="V1190" s="1" t="s">
        <v>12325</v>
      </c>
      <c r="W1190" s="1" t="s">
        <v>449</v>
      </c>
      <c r="X1190" s="1">
        <v>1061</v>
      </c>
      <c r="Y1190" s="1">
        <v>5</v>
      </c>
      <c r="Z1190" s="1" t="s">
        <v>249</v>
      </c>
      <c r="AA1190" s="1" t="s">
        <v>921</v>
      </c>
      <c r="AB1190" s="1">
        <v>60563</v>
      </c>
      <c r="AD1190" s="1" t="s">
        <v>12326</v>
      </c>
      <c r="AE1190" s="1" t="s">
        <v>12327</v>
      </c>
      <c r="AF1190" s="1">
        <v>2000</v>
      </c>
      <c r="AG1190" s="1" t="s">
        <v>204</v>
      </c>
      <c r="AH1190" s="1" t="s">
        <v>924</v>
      </c>
      <c r="AI1190" s="1" t="s">
        <v>206</v>
      </c>
      <c r="AJ1190" s="1" t="s">
        <v>924</v>
      </c>
      <c r="AK1190" s="1" t="s">
        <v>12328</v>
      </c>
      <c r="AL1190" s="1">
        <v>5</v>
      </c>
      <c r="AM1190" s="1">
        <v>2</v>
      </c>
      <c r="AN1190" s="1">
        <v>2</v>
      </c>
      <c r="AO1190" s="1">
        <v>1</v>
      </c>
      <c r="AP1190" s="1" t="s">
        <v>209</v>
      </c>
      <c r="AQ1190" s="1">
        <v>0</v>
      </c>
      <c r="AR1190" s="1" t="s">
        <v>210</v>
      </c>
      <c r="AS1190" s="1" t="s">
        <v>204</v>
      </c>
      <c r="AT1190" s="1" t="s">
        <v>211</v>
      </c>
      <c r="AU1190" s="1">
        <v>2</v>
      </c>
      <c r="AW1190" s="1" t="s">
        <v>204</v>
      </c>
      <c r="AX1190" s="1" t="s">
        <v>212</v>
      </c>
      <c r="AZ1190" s="1">
        <v>4159</v>
      </c>
      <c r="BA1190" s="1">
        <v>2013</v>
      </c>
      <c r="BE1190" s="1">
        <v>1552</v>
      </c>
      <c r="BF1190" s="1">
        <v>1</v>
      </c>
      <c r="BG1190" s="1">
        <v>0</v>
      </c>
      <c r="BL1190" s="1">
        <v>185</v>
      </c>
      <c r="BM1190" s="1" t="s">
        <v>204</v>
      </c>
      <c r="BN1190" s="1" t="s">
        <v>213</v>
      </c>
      <c r="BO1190" s="1">
        <v>999</v>
      </c>
      <c r="BP1190" s="1" t="s">
        <v>204</v>
      </c>
      <c r="BR1190" s="1" t="str">
        <f>"0710311234"</f>
        <v>0710311234</v>
      </c>
      <c r="BT1190" s="1" t="s">
        <v>12329</v>
      </c>
      <c r="BU1190" s="1" t="s">
        <v>1247</v>
      </c>
      <c r="BV1190" s="1" t="s">
        <v>1248</v>
      </c>
      <c r="BW1190" s="1" t="s">
        <v>1131</v>
      </c>
      <c r="BX1190" s="1">
        <v>204</v>
      </c>
      <c r="BY1190" s="1">
        <v>204</v>
      </c>
      <c r="BZ1190" s="1">
        <v>204</v>
      </c>
      <c r="CB1190" s="1" t="str">
        <f t="shared" ref="CB1190:CC1190" si="917">"0"</f>
        <v>0</v>
      </c>
      <c r="CC1190" s="1" t="str">
        <f t="shared" si="917"/>
        <v>0</v>
      </c>
      <c r="CD1190" s="1">
        <v>0</v>
      </c>
      <c r="CE1190" s="1">
        <v>0</v>
      </c>
      <c r="CG1190" s="1" t="s">
        <v>437</v>
      </c>
      <c r="CH1190" s="1" t="s">
        <v>219</v>
      </c>
      <c r="CI1190" s="1" t="s">
        <v>220</v>
      </c>
      <c r="CK1190" s="1" t="s">
        <v>221</v>
      </c>
      <c r="CL1190" s="1" t="s">
        <v>277</v>
      </c>
      <c r="CM1190" s="1" t="s">
        <v>220</v>
      </c>
      <c r="CN1190" s="1" t="s">
        <v>343</v>
      </c>
      <c r="CO1190" s="1" t="s">
        <v>1046</v>
      </c>
      <c r="CP1190" s="1" t="s">
        <v>219</v>
      </c>
      <c r="CQ1190" s="1" t="s">
        <v>220</v>
      </c>
      <c r="CS1190" s="1" t="s">
        <v>315</v>
      </c>
      <c r="CT1190" s="1" t="s">
        <v>277</v>
      </c>
      <c r="CU1190" s="1" t="s">
        <v>220</v>
      </c>
      <c r="CV1190" s="1" t="s">
        <v>343</v>
      </c>
      <c r="CX1190" s="1" t="s">
        <v>224</v>
      </c>
      <c r="DB1190" s="1" t="s">
        <v>224</v>
      </c>
      <c r="DE1190" s="1" t="s">
        <v>281</v>
      </c>
      <c r="DF1190" s="1" t="s">
        <v>219</v>
      </c>
      <c r="DG1190" s="1" t="s">
        <v>342</v>
      </c>
      <c r="DH1190" s="1" t="s">
        <v>210</v>
      </c>
      <c r="DJ1190" s="1" t="s">
        <v>224</v>
      </c>
      <c r="DS1190" s="1" t="s">
        <v>230</v>
      </c>
      <c r="DW1190" s="1" t="s">
        <v>230</v>
      </c>
      <c r="EA1190" s="1" t="s">
        <v>230</v>
      </c>
      <c r="EE1190" s="1" t="s">
        <v>230</v>
      </c>
      <c r="EI1190" s="1" t="s">
        <v>230</v>
      </c>
      <c r="EL1190" s="1" t="s">
        <v>466</v>
      </c>
      <c r="EM1190" s="1" t="s">
        <v>232</v>
      </c>
      <c r="EN1190" s="1" t="s">
        <v>282</v>
      </c>
      <c r="EO1190" s="1" t="s">
        <v>234</v>
      </c>
      <c r="EP1190" s="1" t="s">
        <v>650</v>
      </c>
      <c r="EQ1190" s="1" t="s">
        <v>236</v>
      </c>
      <c r="ER1190" s="1" t="s">
        <v>383</v>
      </c>
      <c r="ES1190" s="1" t="s">
        <v>322</v>
      </c>
      <c r="ET1190" s="1" t="s">
        <v>866</v>
      </c>
      <c r="EV1190" s="1" t="s">
        <v>240</v>
      </c>
      <c r="EW1190" s="1" t="s">
        <v>353</v>
      </c>
      <c r="EY1190" s="1" t="s">
        <v>242</v>
      </c>
      <c r="EZ1190" s="1" t="s">
        <v>287</v>
      </c>
      <c r="FA1190" s="1" t="s">
        <v>1072</v>
      </c>
      <c r="FB1190" s="1" t="s">
        <v>289</v>
      </c>
      <c r="FD1190" s="1" t="s">
        <v>246</v>
      </c>
      <c r="FE1190" s="1" t="s">
        <v>975</v>
      </c>
      <c r="FF1190" s="1" t="s">
        <v>3574</v>
      </c>
      <c r="FH1190" s="1" t="s">
        <v>550</v>
      </c>
      <c r="FI1190" s="1" t="s">
        <v>473</v>
      </c>
      <c r="FL1190" s="1" t="s">
        <v>358</v>
      </c>
      <c r="FM1190" s="1" t="s">
        <v>252</v>
      </c>
      <c r="FN1190" s="1" t="s">
        <v>213</v>
      </c>
      <c r="FO1190" s="1" t="s">
        <v>213</v>
      </c>
      <c r="FQ1190" s="1" t="s">
        <v>329</v>
      </c>
      <c r="FR1190" s="1" t="s">
        <v>210</v>
      </c>
      <c r="FS1190" s="1" t="s">
        <v>12330</v>
      </c>
      <c r="FT1190" s="1" t="s">
        <v>675</v>
      </c>
      <c r="FU1190" s="1" t="s">
        <v>204</v>
      </c>
      <c r="FV1190" s="1">
        <v>6306215421</v>
      </c>
      <c r="FW1190" s="1" t="s">
        <v>977</v>
      </c>
      <c r="FX1190" s="1">
        <v>25266</v>
      </c>
      <c r="FY1190" s="1" t="s">
        <v>978</v>
      </c>
      <c r="FZ1190" s="1" t="s">
        <v>979</v>
      </c>
      <c r="GA1190" s="1">
        <v>231049</v>
      </c>
      <c r="GB1190" s="1" t="s">
        <v>980</v>
      </c>
      <c r="GC1190" s="1">
        <v>259155</v>
      </c>
      <c r="GD1190" s="1" t="s">
        <v>12331</v>
      </c>
      <c r="GE1190" s="1" t="s">
        <v>1256</v>
      </c>
      <c r="GI1190" s="1" t="s">
        <v>213</v>
      </c>
      <c r="GJ1190" s="1" t="s">
        <v>260</v>
      </c>
      <c r="GK1190" s="1" t="s">
        <v>210</v>
      </c>
      <c r="GL1190" s="2">
        <v>42109</v>
      </c>
      <c r="GM1190" s="1" t="s">
        <v>12332</v>
      </c>
    </row>
    <row r="1191" spans="1:195">
      <c r="A1191" s="1">
        <v>148000</v>
      </c>
      <c r="B1191" s="1" t="s">
        <v>195</v>
      </c>
      <c r="C1191" s="1" t="str">
        <f>"08853023"</f>
        <v>08853023</v>
      </c>
      <c r="D1191" s="1" t="s">
        <v>196</v>
      </c>
      <c r="F1191" s="1" t="str">
        <f>"31"</f>
        <v>31</v>
      </c>
      <c r="G1191" s="2">
        <v>42068</v>
      </c>
      <c r="H1191" s="1">
        <v>159900</v>
      </c>
      <c r="I1191" s="1">
        <v>159900</v>
      </c>
      <c r="J1191" s="1">
        <v>148000</v>
      </c>
      <c r="K1191" s="2">
        <v>42068</v>
      </c>
      <c r="L1191" s="1">
        <v>12</v>
      </c>
      <c r="M1191" s="2">
        <v>42079</v>
      </c>
      <c r="N1191" s="1">
        <v>12</v>
      </c>
      <c r="O1191" s="2">
        <v>42079</v>
      </c>
      <c r="P1191" s="1">
        <v>2689</v>
      </c>
      <c r="Q1191" s="1" t="s">
        <v>197</v>
      </c>
      <c r="R1191" s="2">
        <v>42124</v>
      </c>
      <c r="S1191" s="1">
        <v>20103</v>
      </c>
      <c r="U1191" s="1">
        <v>1545</v>
      </c>
      <c r="V1191" s="1" t="s">
        <v>12333</v>
      </c>
      <c r="W1191" s="1" t="s">
        <v>304</v>
      </c>
      <c r="X1191" s="1">
        <v>1545</v>
      </c>
      <c r="Y1191" s="1">
        <v>5</v>
      </c>
      <c r="Z1191" s="1" t="s">
        <v>249</v>
      </c>
      <c r="AA1191" s="1" t="s">
        <v>1057</v>
      </c>
      <c r="AB1191" s="1">
        <v>60031</v>
      </c>
      <c r="AD1191" s="1" t="s">
        <v>12334</v>
      </c>
      <c r="AE1191" s="1" t="s">
        <v>12335</v>
      </c>
      <c r="AF1191" s="1">
        <v>2000</v>
      </c>
      <c r="AG1191" s="1" t="s">
        <v>204</v>
      </c>
      <c r="AH1191" s="1" t="s">
        <v>1060</v>
      </c>
      <c r="AI1191" s="1" t="s">
        <v>509</v>
      </c>
      <c r="AJ1191" s="1" t="s">
        <v>1061</v>
      </c>
      <c r="AK1191" s="1" t="s">
        <v>12336</v>
      </c>
      <c r="AL1191" s="1">
        <v>7</v>
      </c>
      <c r="AM1191" s="1">
        <v>2</v>
      </c>
      <c r="AN1191" s="1">
        <v>1</v>
      </c>
      <c r="AO1191" s="1">
        <v>1</v>
      </c>
      <c r="AP1191" s="1" t="s">
        <v>210</v>
      </c>
      <c r="AR1191" s="1" t="s">
        <v>1421</v>
      </c>
      <c r="AS1191" s="1" t="s">
        <v>204</v>
      </c>
      <c r="AT1191" s="1" t="s">
        <v>211</v>
      </c>
      <c r="AU1191" s="1">
        <v>2</v>
      </c>
      <c r="AW1191" s="1" t="s">
        <v>204</v>
      </c>
      <c r="AX1191" s="1" t="s">
        <v>212</v>
      </c>
      <c r="AZ1191" s="1">
        <v>3748.74</v>
      </c>
      <c r="BA1191" s="1">
        <v>2013</v>
      </c>
      <c r="BB1191" s="1" t="s">
        <v>210</v>
      </c>
      <c r="BE1191" s="1">
        <v>1431</v>
      </c>
      <c r="BF1191" s="1">
        <v>1</v>
      </c>
      <c r="BG1191" s="1">
        <v>30</v>
      </c>
      <c r="BL1191" s="1">
        <v>175</v>
      </c>
      <c r="BM1191" s="1" t="s">
        <v>204</v>
      </c>
      <c r="BN1191" s="1" t="s">
        <v>213</v>
      </c>
      <c r="BO1191" s="1">
        <v>999</v>
      </c>
      <c r="BP1191" s="1" t="s">
        <v>204</v>
      </c>
      <c r="BR1191" s="1" t="str">
        <f>"07181110490000"</f>
        <v>07181110490000</v>
      </c>
      <c r="BT1191" s="1" t="s">
        <v>12337</v>
      </c>
      <c r="BU1191" s="1" t="s">
        <v>1064</v>
      </c>
      <c r="BV1191" s="1" t="s">
        <v>1065</v>
      </c>
      <c r="BW1191" s="1" t="s">
        <v>1066</v>
      </c>
      <c r="BX1191" s="1">
        <v>50</v>
      </c>
      <c r="BY1191" s="1">
        <v>50</v>
      </c>
      <c r="BZ1191" s="1">
        <v>121</v>
      </c>
      <c r="CB1191" s="1" t="str">
        <f>"35"</f>
        <v>35</v>
      </c>
      <c r="CC1191" s="1" t="str">
        <f>"0"</f>
        <v>0</v>
      </c>
      <c r="CD1191" s="1">
        <v>18</v>
      </c>
      <c r="CE1191" s="1">
        <v>0</v>
      </c>
      <c r="CG1191" s="1" t="s">
        <v>379</v>
      </c>
      <c r="CH1191" s="1" t="s">
        <v>219</v>
      </c>
      <c r="CI1191" s="1" t="s">
        <v>438</v>
      </c>
      <c r="CK1191" s="1" t="s">
        <v>1045</v>
      </c>
      <c r="CL1191" s="1" t="s">
        <v>277</v>
      </c>
      <c r="CM1191" s="1" t="s">
        <v>220</v>
      </c>
      <c r="CO1191" s="1" t="s">
        <v>379</v>
      </c>
      <c r="CP1191" s="1" t="s">
        <v>219</v>
      </c>
      <c r="CQ1191" s="1" t="s">
        <v>438</v>
      </c>
      <c r="CS1191" s="1" t="s">
        <v>346</v>
      </c>
      <c r="CT1191" s="1" t="s">
        <v>277</v>
      </c>
      <c r="CU1191" s="1" t="s">
        <v>220</v>
      </c>
      <c r="CX1191" s="1" t="s">
        <v>224</v>
      </c>
      <c r="DB1191" s="1" t="s">
        <v>224</v>
      </c>
      <c r="DE1191" s="1" t="s">
        <v>538</v>
      </c>
      <c r="DF1191" s="1" t="s">
        <v>219</v>
      </c>
      <c r="DG1191" s="1" t="s">
        <v>438</v>
      </c>
      <c r="DI1191" s="1" t="s">
        <v>3318</v>
      </c>
      <c r="DJ1191" s="1" t="s">
        <v>822</v>
      </c>
      <c r="DK1191" s="1" t="s">
        <v>226</v>
      </c>
      <c r="DM1191" s="1" t="s">
        <v>464</v>
      </c>
      <c r="DR1191" s="1" t="s">
        <v>348</v>
      </c>
      <c r="DS1191" s="1" t="s">
        <v>277</v>
      </c>
      <c r="DT1191" s="1" t="s">
        <v>220</v>
      </c>
      <c r="DW1191" s="1" t="s">
        <v>230</v>
      </c>
      <c r="EA1191" s="1" t="s">
        <v>230</v>
      </c>
      <c r="EE1191" s="1" t="s">
        <v>230</v>
      </c>
      <c r="EI1191" s="1" t="s">
        <v>230</v>
      </c>
      <c r="EL1191" s="1" t="s">
        <v>466</v>
      </c>
      <c r="EM1191" s="1" t="s">
        <v>232</v>
      </c>
      <c r="EN1191" s="1" t="s">
        <v>282</v>
      </c>
      <c r="EO1191" s="1" t="s">
        <v>234</v>
      </c>
      <c r="EP1191" s="1" t="s">
        <v>936</v>
      </c>
      <c r="EQ1191" s="1" t="s">
        <v>1551</v>
      </c>
      <c r="ER1191" s="1" t="s">
        <v>544</v>
      </c>
      <c r="ES1191" s="1" t="s">
        <v>322</v>
      </c>
      <c r="EU1191" s="1" t="s">
        <v>1517</v>
      </c>
      <c r="EW1191" s="1" t="s">
        <v>353</v>
      </c>
      <c r="EZ1191" s="1" t="s">
        <v>464</v>
      </c>
      <c r="FA1191" s="1" t="s">
        <v>5059</v>
      </c>
      <c r="FB1191" s="1" t="s">
        <v>289</v>
      </c>
      <c r="FC1191" s="1" t="s">
        <v>1405</v>
      </c>
      <c r="FD1191" s="1" t="s">
        <v>246</v>
      </c>
      <c r="FE1191" s="1" t="s">
        <v>472</v>
      </c>
      <c r="FF1191" s="1" t="s">
        <v>248</v>
      </c>
      <c r="FH1191" s="1" t="s">
        <v>550</v>
      </c>
      <c r="FI1191" s="1" t="s">
        <v>473</v>
      </c>
      <c r="FL1191" s="1" t="s">
        <v>358</v>
      </c>
      <c r="FM1191" s="1" t="s">
        <v>252</v>
      </c>
      <c r="FN1191" s="1" t="s">
        <v>213</v>
      </c>
      <c r="FO1191" s="1" t="s">
        <v>213</v>
      </c>
      <c r="FQ1191" s="1" t="s">
        <v>329</v>
      </c>
      <c r="FR1191" s="1" t="s">
        <v>210</v>
      </c>
      <c r="FS1191" s="1" t="s">
        <v>2588</v>
      </c>
      <c r="FT1191" s="1" t="s">
        <v>2589</v>
      </c>
      <c r="FU1191" s="1" t="s">
        <v>204</v>
      </c>
      <c r="FW1191" s="1" t="s">
        <v>2590</v>
      </c>
      <c r="FX1191" s="1">
        <v>2644</v>
      </c>
      <c r="FY1191" s="1" t="s">
        <v>2591</v>
      </c>
      <c r="FZ1191" s="1" t="s">
        <v>2592</v>
      </c>
      <c r="GA1191" s="1">
        <v>16586</v>
      </c>
      <c r="GB1191" s="1" t="s">
        <v>2593</v>
      </c>
      <c r="GD1191" s="1" t="s">
        <v>2594</v>
      </c>
      <c r="GE1191" s="1" t="s">
        <v>210</v>
      </c>
      <c r="GI1191" s="1" t="s">
        <v>213</v>
      </c>
      <c r="GJ1191" s="1" t="s">
        <v>260</v>
      </c>
      <c r="GK1191" s="1" t="s">
        <v>210</v>
      </c>
      <c r="GL1191" s="2">
        <v>42125</v>
      </c>
      <c r="GM1191" s="1" t="s">
        <v>12338</v>
      </c>
    </row>
    <row r="1192" spans="1:195">
      <c r="A1192" s="1">
        <v>160000</v>
      </c>
      <c r="B1192" s="1" t="s">
        <v>195</v>
      </c>
      <c r="C1192" s="1" t="str">
        <f>"08869105"</f>
        <v>08869105</v>
      </c>
      <c r="D1192" s="1" t="s">
        <v>196</v>
      </c>
      <c r="F1192" s="1" t="str">
        <f>"187"</f>
        <v>187</v>
      </c>
      <c r="G1192" s="2">
        <v>42086</v>
      </c>
      <c r="H1192" s="1">
        <v>174900</v>
      </c>
      <c r="I1192" s="1">
        <v>174900</v>
      </c>
      <c r="J1192" s="1">
        <v>160000</v>
      </c>
      <c r="K1192" s="2">
        <v>42086</v>
      </c>
      <c r="L1192" s="1">
        <v>8</v>
      </c>
      <c r="M1192" s="2">
        <v>42093</v>
      </c>
      <c r="N1192" s="1">
        <v>8</v>
      </c>
      <c r="O1192" s="2">
        <v>42093</v>
      </c>
      <c r="P1192" s="1">
        <v>20001</v>
      </c>
      <c r="Q1192" s="1" t="s">
        <v>197</v>
      </c>
      <c r="R1192" s="2">
        <v>42128</v>
      </c>
      <c r="S1192" s="1">
        <v>214345</v>
      </c>
      <c r="U1192" s="1">
        <v>1421</v>
      </c>
      <c r="V1192" s="1" t="s">
        <v>6442</v>
      </c>
      <c r="W1192" s="1" t="s">
        <v>304</v>
      </c>
      <c r="X1192" s="1" t="s">
        <v>527</v>
      </c>
      <c r="Y1192" s="1">
        <v>4</v>
      </c>
      <c r="Z1192" s="1" t="s">
        <v>249</v>
      </c>
      <c r="AA1192" s="1" t="s">
        <v>964</v>
      </c>
      <c r="AB1192" s="1">
        <v>60189</v>
      </c>
      <c r="AE1192" s="1" t="s">
        <v>12339</v>
      </c>
      <c r="AF1192" s="1">
        <v>1980</v>
      </c>
      <c r="AG1192" s="1" t="s">
        <v>204</v>
      </c>
      <c r="AH1192" s="1" t="s">
        <v>967</v>
      </c>
      <c r="AI1192" s="1" t="s">
        <v>206</v>
      </c>
      <c r="AJ1192" s="1" t="s">
        <v>207</v>
      </c>
      <c r="AL1192" s="1">
        <v>6</v>
      </c>
      <c r="AM1192" s="1">
        <v>2</v>
      </c>
      <c r="AN1192" s="1">
        <v>2</v>
      </c>
      <c r="AO1192" s="1">
        <v>0</v>
      </c>
      <c r="AP1192" s="1" t="s">
        <v>209</v>
      </c>
      <c r="AQ1192" s="1">
        <v>1</v>
      </c>
      <c r="AR1192" s="1" t="s">
        <v>210</v>
      </c>
      <c r="AS1192" s="1" t="s">
        <v>204</v>
      </c>
      <c r="AT1192" s="1" t="s">
        <v>211</v>
      </c>
      <c r="AU1192" s="1">
        <v>1</v>
      </c>
      <c r="AW1192" s="1" t="s">
        <v>204</v>
      </c>
      <c r="AX1192" s="1" t="s">
        <v>212</v>
      </c>
      <c r="AZ1192" s="1">
        <v>3268</v>
      </c>
      <c r="BA1192" s="1">
        <v>2013</v>
      </c>
      <c r="BE1192" s="1">
        <v>1311</v>
      </c>
      <c r="BF1192" s="1">
        <v>1</v>
      </c>
      <c r="BG1192" s="1">
        <v>0</v>
      </c>
      <c r="BL1192" s="1">
        <v>350</v>
      </c>
      <c r="BM1192" s="1" t="s">
        <v>204</v>
      </c>
      <c r="BN1192" s="1" t="s">
        <v>213</v>
      </c>
      <c r="BO1192" s="1">
        <v>999</v>
      </c>
      <c r="BP1192" s="1" t="s">
        <v>204</v>
      </c>
      <c r="BR1192" s="1" t="str">
        <f>"0521412128"</f>
        <v>0521412128</v>
      </c>
      <c r="BT1192" s="1" t="s">
        <v>12340</v>
      </c>
      <c r="BU1192" s="1" t="s">
        <v>969</v>
      </c>
      <c r="BV1192" s="1" t="s">
        <v>990</v>
      </c>
      <c r="BW1192" s="1" t="s">
        <v>971</v>
      </c>
      <c r="BX1192" s="1">
        <v>200</v>
      </c>
      <c r="BY1192" s="1">
        <v>200</v>
      </c>
      <c r="BZ1192" s="1">
        <v>200</v>
      </c>
      <c r="CB1192" s="1" t="str">
        <f t="shared" ref="CB1192:CC1192" si="918">""</f>
        <v/>
      </c>
      <c r="CC1192" s="1" t="str">
        <f t="shared" si="918"/>
        <v/>
      </c>
      <c r="CG1192" s="1" t="s">
        <v>1425</v>
      </c>
      <c r="CH1192" s="1" t="s">
        <v>219</v>
      </c>
      <c r="CI1192" s="1" t="s">
        <v>220</v>
      </c>
      <c r="CK1192" s="1" t="s">
        <v>539</v>
      </c>
      <c r="CL1192" s="1" t="s">
        <v>219</v>
      </c>
      <c r="CM1192" s="1" t="s">
        <v>220</v>
      </c>
      <c r="CO1192" s="1" t="s">
        <v>409</v>
      </c>
      <c r="CP1192" s="1" t="s">
        <v>219</v>
      </c>
      <c r="CQ1192" s="1" t="s">
        <v>220</v>
      </c>
      <c r="CS1192" s="1" t="s">
        <v>539</v>
      </c>
      <c r="CT1192" s="1" t="s">
        <v>219</v>
      </c>
      <c r="CU1192" s="1" t="s">
        <v>220</v>
      </c>
      <c r="CX1192" s="1" t="s">
        <v>224</v>
      </c>
      <c r="DB1192" s="1" t="s">
        <v>224</v>
      </c>
      <c r="DE1192" s="1" t="s">
        <v>409</v>
      </c>
      <c r="DF1192" s="1" t="s">
        <v>219</v>
      </c>
      <c r="DG1192" s="1" t="s">
        <v>226</v>
      </c>
      <c r="DI1192" s="1" t="s">
        <v>1046</v>
      </c>
      <c r="DJ1192" s="1" t="s">
        <v>219</v>
      </c>
      <c r="DK1192" s="1" t="s">
        <v>220</v>
      </c>
      <c r="DS1192" s="1" t="s">
        <v>230</v>
      </c>
      <c r="DW1192" s="1" t="s">
        <v>230</v>
      </c>
      <c r="EA1192" s="1" t="s">
        <v>230</v>
      </c>
      <c r="EE1192" s="1" t="s">
        <v>230</v>
      </c>
      <c r="EI1192" s="1" t="s">
        <v>230</v>
      </c>
      <c r="EL1192" s="1" t="s">
        <v>231</v>
      </c>
      <c r="EM1192" s="1" t="s">
        <v>232</v>
      </c>
      <c r="EN1192" s="1" t="s">
        <v>282</v>
      </c>
      <c r="EO1192" s="1" t="s">
        <v>234</v>
      </c>
      <c r="EQ1192" s="1" t="s">
        <v>492</v>
      </c>
      <c r="ER1192" s="1" t="s">
        <v>210</v>
      </c>
      <c r="ES1192" s="1" t="s">
        <v>322</v>
      </c>
      <c r="EV1192" s="1" t="s">
        <v>240</v>
      </c>
      <c r="EW1192" s="1" t="s">
        <v>867</v>
      </c>
      <c r="EZ1192" s="1" t="s">
        <v>287</v>
      </c>
      <c r="FD1192" s="1" t="s">
        <v>246</v>
      </c>
      <c r="FE1192" s="1" t="s">
        <v>2016</v>
      </c>
      <c r="FF1192" s="1" t="s">
        <v>248</v>
      </c>
      <c r="FG1192" s="1" t="s">
        <v>292</v>
      </c>
      <c r="FH1192" s="1" t="s">
        <v>249</v>
      </c>
      <c r="FI1192" s="1" t="s">
        <v>3300</v>
      </c>
      <c r="FL1192" s="1" t="s">
        <v>358</v>
      </c>
      <c r="FM1192" s="1" t="s">
        <v>252</v>
      </c>
      <c r="FN1192" s="1" t="s">
        <v>213</v>
      </c>
      <c r="FO1192" s="1" t="s">
        <v>213</v>
      </c>
      <c r="FQ1192" s="1" t="s">
        <v>2293</v>
      </c>
      <c r="FR1192" s="1" t="s">
        <v>210</v>
      </c>
      <c r="FS1192" s="1" t="s">
        <v>12341</v>
      </c>
      <c r="FT1192" s="1" t="s">
        <v>1139</v>
      </c>
      <c r="FU1192" s="1" t="s">
        <v>204</v>
      </c>
      <c r="FW1192" s="1" t="s">
        <v>1559</v>
      </c>
      <c r="FX1192" s="1">
        <v>25279</v>
      </c>
      <c r="FY1192" s="1" t="s">
        <v>2296</v>
      </c>
      <c r="FZ1192" s="1" t="s">
        <v>12342</v>
      </c>
      <c r="GA1192" s="1">
        <v>252804</v>
      </c>
      <c r="GB1192" s="1" t="s">
        <v>12343</v>
      </c>
      <c r="GE1192" s="1" t="s">
        <v>335</v>
      </c>
      <c r="GI1192" s="1" t="s">
        <v>213</v>
      </c>
      <c r="GJ1192" s="1" t="s">
        <v>260</v>
      </c>
      <c r="GK1192" s="1" t="s">
        <v>4920</v>
      </c>
      <c r="GL1192" s="2">
        <v>42128</v>
      </c>
    </row>
    <row r="1193" spans="1:195">
      <c r="A1193" s="1">
        <v>84500</v>
      </c>
      <c r="B1193" s="1" t="s">
        <v>195</v>
      </c>
      <c r="C1193" s="1" t="str">
        <f>"08848949"</f>
        <v>08848949</v>
      </c>
      <c r="D1193" s="1" t="s">
        <v>196</v>
      </c>
      <c r="F1193" s="1" t="str">
        <f>"540"</f>
        <v>540</v>
      </c>
      <c r="G1193" s="2">
        <v>42063</v>
      </c>
      <c r="H1193" s="1">
        <v>80900</v>
      </c>
      <c r="I1193" s="1">
        <v>80900</v>
      </c>
      <c r="J1193" s="1">
        <v>84500</v>
      </c>
      <c r="K1193" s="2">
        <v>42061</v>
      </c>
      <c r="L1193" s="1">
        <v>14</v>
      </c>
      <c r="M1193" s="2">
        <v>42074</v>
      </c>
      <c r="N1193" s="1">
        <v>14</v>
      </c>
      <c r="O1193" s="2">
        <v>42074</v>
      </c>
      <c r="P1193" s="1">
        <v>22975</v>
      </c>
      <c r="Q1193" s="1" t="s">
        <v>302</v>
      </c>
      <c r="R1193" s="2">
        <v>42101</v>
      </c>
      <c r="S1193" s="1">
        <v>234581</v>
      </c>
      <c r="U1193" s="1">
        <v>520</v>
      </c>
      <c r="V1193" s="1" t="s">
        <v>8236</v>
      </c>
      <c r="W1193" s="1" t="s">
        <v>504</v>
      </c>
      <c r="X1193" s="1">
        <v>212</v>
      </c>
      <c r="Y1193" s="1">
        <v>30</v>
      </c>
      <c r="Z1193" s="1" t="s">
        <v>249</v>
      </c>
      <c r="AA1193" s="1" t="s">
        <v>921</v>
      </c>
      <c r="AB1193" s="1">
        <v>60563</v>
      </c>
      <c r="AE1193" s="1" t="s">
        <v>12344</v>
      </c>
      <c r="AF1193" s="1">
        <v>1979</v>
      </c>
      <c r="AG1193" s="1" t="s">
        <v>204</v>
      </c>
      <c r="AH1193" s="1" t="s">
        <v>924</v>
      </c>
      <c r="AI1193" s="1" t="s">
        <v>206</v>
      </c>
      <c r="AJ1193" s="1" t="s">
        <v>924</v>
      </c>
      <c r="AL1193" s="1">
        <v>5</v>
      </c>
      <c r="AM1193" s="1">
        <v>2</v>
      </c>
      <c r="AN1193" s="1">
        <v>2</v>
      </c>
      <c r="AO1193" s="1">
        <v>0</v>
      </c>
      <c r="AP1193" s="1" t="s">
        <v>209</v>
      </c>
      <c r="AR1193" s="1" t="s">
        <v>210</v>
      </c>
      <c r="AT1193" s="1" t="s">
        <v>271</v>
      </c>
      <c r="AV1193" s="1">
        <v>1</v>
      </c>
      <c r="AW1193" s="1" t="s">
        <v>204</v>
      </c>
      <c r="AX1193" s="1" t="s">
        <v>212</v>
      </c>
      <c r="AZ1193" s="1">
        <v>1667</v>
      </c>
      <c r="BA1193" s="1">
        <v>2013</v>
      </c>
      <c r="BE1193" s="1">
        <v>1080</v>
      </c>
      <c r="BF1193" s="1">
        <v>2</v>
      </c>
      <c r="BG1193" s="1">
        <v>10</v>
      </c>
      <c r="BL1193" s="1">
        <v>324</v>
      </c>
      <c r="BM1193" s="1" t="s">
        <v>413</v>
      </c>
      <c r="BN1193" s="1" t="s">
        <v>213</v>
      </c>
      <c r="BO1193" s="1">
        <v>20</v>
      </c>
      <c r="BP1193" s="1" t="s">
        <v>204</v>
      </c>
      <c r="BR1193" s="1" t="str">
        <f>"0712426023"</f>
        <v>0712426023</v>
      </c>
      <c r="BT1193" s="1" t="s">
        <v>12345</v>
      </c>
      <c r="BX1193" s="1">
        <v>203</v>
      </c>
      <c r="BY1193" s="1">
        <v>203</v>
      </c>
      <c r="BZ1193" s="1">
        <v>203</v>
      </c>
      <c r="CB1193" s="1" t="str">
        <f t="shared" ref="CB1193:CC1193" si="919">""</f>
        <v/>
      </c>
      <c r="CC1193" s="1" t="str">
        <f t="shared" si="919"/>
        <v/>
      </c>
      <c r="CG1193" s="1" t="s">
        <v>1936</v>
      </c>
      <c r="CH1193" s="1" t="s">
        <v>219</v>
      </c>
      <c r="CK1193" s="1" t="s">
        <v>581</v>
      </c>
      <c r="CL1193" s="1" t="s">
        <v>219</v>
      </c>
      <c r="CO1193" s="1" t="s">
        <v>318</v>
      </c>
      <c r="CP1193" s="1" t="s">
        <v>219</v>
      </c>
      <c r="CS1193" s="1" t="s">
        <v>539</v>
      </c>
      <c r="CT1193" s="1" t="s">
        <v>219</v>
      </c>
      <c r="CX1193" s="1" t="s">
        <v>224</v>
      </c>
      <c r="DB1193" s="1" t="s">
        <v>224</v>
      </c>
      <c r="DE1193" s="1" t="s">
        <v>951</v>
      </c>
      <c r="DF1193" s="1" t="s">
        <v>219</v>
      </c>
      <c r="DJ1193" s="1" t="s">
        <v>224</v>
      </c>
      <c r="DS1193" s="1" t="s">
        <v>230</v>
      </c>
      <c r="DW1193" s="1" t="s">
        <v>230</v>
      </c>
      <c r="EA1193" s="1" t="s">
        <v>230</v>
      </c>
      <c r="EE1193" s="1" t="s">
        <v>230</v>
      </c>
      <c r="EI1193" s="1" t="s">
        <v>230</v>
      </c>
      <c r="EL1193" s="1" t="s">
        <v>231</v>
      </c>
      <c r="EM1193" s="1" t="s">
        <v>319</v>
      </c>
      <c r="EN1193" s="1" t="s">
        <v>210</v>
      </c>
      <c r="EO1193" s="1" t="s">
        <v>234</v>
      </c>
      <c r="ER1193" s="1" t="s">
        <v>210</v>
      </c>
      <c r="EW1193" s="1" t="s">
        <v>210</v>
      </c>
      <c r="EZ1193" s="1" t="s">
        <v>287</v>
      </c>
      <c r="FD1193" s="1" t="s">
        <v>246</v>
      </c>
      <c r="FE1193" s="1" t="s">
        <v>247</v>
      </c>
      <c r="FF1193" s="1" t="s">
        <v>248</v>
      </c>
      <c r="FH1193" s="1" t="s">
        <v>249</v>
      </c>
      <c r="FL1193" s="1" t="s">
        <v>292</v>
      </c>
      <c r="FM1193" s="1" t="s">
        <v>252</v>
      </c>
      <c r="FN1193" s="1" t="s">
        <v>213</v>
      </c>
      <c r="FO1193" s="1" t="s">
        <v>213</v>
      </c>
      <c r="FQ1193" s="1" t="s">
        <v>582</v>
      </c>
      <c r="FR1193" s="1" t="s">
        <v>210</v>
      </c>
      <c r="FS1193" s="1" t="s">
        <v>12346</v>
      </c>
      <c r="FT1193" s="1" t="s">
        <v>255</v>
      </c>
      <c r="FU1193" s="1" t="s">
        <v>204</v>
      </c>
      <c r="FW1193" s="1" t="s">
        <v>3517</v>
      </c>
      <c r="FX1193" s="1">
        <v>20114</v>
      </c>
      <c r="FY1193" s="1" t="s">
        <v>3518</v>
      </c>
      <c r="FZ1193" s="1" t="s">
        <v>3519</v>
      </c>
      <c r="GA1193" s="1">
        <v>216033</v>
      </c>
      <c r="GB1193" s="1" t="s">
        <v>3520</v>
      </c>
      <c r="GD1193" s="1" t="s">
        <v>3521</v>
      </c>
      <c r="GE1193" s="1" t="s">
        <v>210</v>
      </c>
      <c r="GI1193" s="1" t="s">
        <v>213</v>
      </c>
      <c r="GJ1193" s="1" t="s">
        <v>260</v>
      </c>
      <c r="GK1193" s="1" t="s">
        <v>261</v>
      </c>
      <c r="GL1193" s="2">
        <v>42107</v>
      </c>
      <c r="GM1193" s="1" t="s">
        <v>12347</v>
      </c>
    </row>
    <row r="1194" spans="1:195">
      <c r="A1194" s="1">
        <v>135000</v>
      </c>
      <c r="B1194" s="1" t="s">
        <v>195</v>
      </c>
      <c r="C1194" s="1" t="str">
        <f>"08847933"</f>
        <v>08847933</v>
      </c>
      <c r="D1194" s="1" t="s">
        <v>196</v>
      </c>
      <c r="F1194" s="1" t="str">
        <f>"507"</f>
        <v>507</v>
      </c>
      <c r="G1194" s="2">
        <v>42062</v>
      </c>
      <c r="H1194" s="1">
        <v>135000</v>
      </c>
      <c r="I1194" s="1">
        <v>135000</v>
      </c>
      <c r="J1194" s="1">
        <v>135000</v>
      </c>
      <c r="K1194" s="2">
        <v>42061</v>
      </c>
      <c r="L1194" s="1">
        <v>3</v>
      </c>
      <c r="M1194" s="2">
        <v>42063</v>
      </c>
      <c r="N1194" s="1">
        <v>3</v>
      </c>
      <c r="O1194" s="2">
        <v>42063</v>
      </c>
      <c r="P1194" s="1">
        <v>23099</v>
      </c>
      <c r="Q1194" s="1" t="s">
        <v>197</v>
      </c>
      <c r="R1194" s="2">
        <v>42110</v>
      </c>
      <c r="S1194" s="1">
        <v>226102</v>
      </c>
      <c r="U1194" s="1">
        <v>3496</v>
      </c>
      <c r="V1194" s="1" t="s">
        <v>12348</v>
      </c>
      <c r="W1194" s="1" t="s">
        <v>304</v>
      </c>
      <c r="Y1194" s="1">
        <v>4</v>
      </c>
      <c r="Z1194" s="1" t="s">
        <v>249</v>
      </c>
      <c r="AA1194" s="1" t="s">
        <v>1123</v>
      </c>
      <c r="AB1194" s="1">
        <v>60504</v>
      </c>
      <c r="AD1194" s="1" t="s">
        <v>6357</v>
      </c>
      <c r="AE1194" s="1" t="s">
        <v>12349</v>
      </c>
      <c r="AF1194" s="1">
        <v>1992</v>
      </c>
      <c r="AG1194" s="1" t="s">
        <v>204</v>
      </c>
      <c r="AH1194" s="1" t="s">
        <v>1126</v>
      </c>
      <c r="AI1194" s="1" t="s">
        <v>206</v>
      </c>
      <c r="AJ1194" s="1" t="s">
        <v>924</v>
      </c>
      <c r="AL1194" s="1">
        <v>6</v>
      </c>
      <c r="AM1194" s="1">
        <v>2</v>
      </c>
      <c r="AN1194" s="1">
        <v>2</v>
      </c>
      <c r="AO1194" s="1">
        <v>1</v>
      </c>
      <c r="AP1194" s="1" t="s">
        <v>209</v>
      </c>
      <c r="AR1194" s="1" t="s">
        <v>209</v>
      </c>
      <c r="AS1194" s="1" t="s">
        <v>204</v>
      </c>
      <c r="AT1194" s="1" t="s">
        <v>211</v>
      </c>
      <c r="AU1194" s="1">
        <v>1.1000000000000001</v>
      </c>
      <c r="AW1194" s="1" t="s">
        <v>204</v>
      </c>
      <c r="AX1194" s="1" t="s">
        <v>212</v>
      </c>
      <c r="AZ1194" s="1">
        <v>2959</v>
      </c>
      <c r="BA1194" s="1">
        <v>2013</v>
      </c>
      <c r="BE1194" s="1">
        <v>1327</v>
      </c>
      <c r="BF1194" s="1">
        <v>1</v>
      </c>
      <c r="BG1194" s="1">
        <v>0</v>
      </c>
      <c r="BL1194" s="1">
        <v>220</v>
      </c>
      <c r="BM1194" s="1" t="s">
        <v>204</v>
      </c>
      <c r="BN1194" s="1" t="s">
        <v>213</v>
      </c>
      <c r="BO1194" s="1">
        <v>99</v>
      </c>
      <c r="BP1194" s="1" t="s">
        <v>204</v>
      </c>
      <c r="BR1194" s="1" t="str">
        <f>"0729205125"</f>
        <v>0729205125</v>
      </c>
      <c r="BT1194" s="1" t="s">
        <v>12350</v>
      </c>
      <c r="BU1194" s="1" t="s">
        <v>1647</v>
      </c>
      <c r="BV1194" s="1" t="s">
        <v>1648</v>
      </c>
      <c r="BW1194" s="1" t="s">
        <v>1312</v>
      </c>
      <c r="BX1194" s="1">
        <v>204</v>
      </c>
      <c r="BY1194" s="1">
        <v>204</v>
      </c>
      <c r="BZ1194" s="1">
        <v>204</v>
      </c>
      <c r="CB1194" s="1" t="str">
        <f t="shared" ref="CB1194:CC1194" si="920">""</f>
        <v/>
      </c>
      <c r="CC1194" s="1" t="str">
        <f t="shared" si="920"/>
        <v/>
      </c>
      <c r="CG1194" s="1" t="s">
        <v>314</v>
      </c>
      <c r="CH1194" s="1" t="s">
        <v>219</v>
      </c>
      <c r="CK1194" s="1" t="s">
        <v>564</v>
      </c>
      <c r="CL1194" s="1" t="s">
        <v>277</v>
      </c>
      <c r="CM1194" s="1" t="s">
        <v>220</v>
      </c>
      <c r="CO1194" s="1" t="s">
        <v>1470</v>
      </c>
      <c r="CP1194" s="1" t="s">
        <v>219</v>
      </c>
      <c r="CS1194" s="1" t="s">
        <v>317</v>
      </c>
      <c r="CT1194" s="1" t="s">
        <v>277</v>
      </c>
      <c r="CU1194" s="1" t="s">
        <v>220</v>
      </c>
      <c r="CX1194" s="1" t="s">
        <v>224</v>
      </c>
      <c r="DB1194" s="1" t="s">
        <v>224</v>
      </c>
      <c r="DE1194" s="1" t="s">
        <v>223</v>
      </c>
      <c r="DF1194" s="1" t="s">
        <v>219</v>
      </c>
      <c r="DJ1194" s="1" t="s">
        <v>224</v>
      </c>
      <c r="DM1194" s="1" t="s">
        <v>464</v>
      </c>
      <c r="DN1194" s="1" t="s">
        <v>1359</v>
      </c>
      <c r="DR1194" s="1" t="s">
        <v>317</v>
      </c>
      <c r="DS1194" s="1" t="s">
        <v>277</v>
      </c>
      <c r="DV1194" s="1" t="s">
        <v>12351</v>
      </c>
      <c r="DW1194" s="1" t="s">
        <v>219</v>
      </c>
      <c r="DX1194" s="1" t="s">
        <v>347</v>
      </c>
      <c r="EA1194" s="1" t="s">
        <v>230</v>
      </c>
      <c r="EE1194" s="1" t="s">
        <v>230</v>
      </c>
      <c r="EI1194" s="1" t="s">
        <v>230</v>
      </c>
      <c r="EL1194" s="1" t="s">
        <v>382</v>
      </c>
      <c r="EM1194" s="1" t="s">
        <v>319</v>
      </c>
      <c r="EN1194" s="1" t="s">
        <v>282</v>
      </c>
      <c r="EO1194" s="1" t="s">
        <v>234</v>
      </c>
      <c r="EQ1194" s="1" t="s">
        <v>8454</v>
      </c>
      <c r="ER1194" s="1" t="s">
        <v>1249</v>
      </c>
      <c r="ES1194" s="1" t="s">
        <v>824</v>
      </c>
      <c r="EU1194" s="1" t="s">
        <v>610</v>
      </c>
      <c r="EV1194" s="1" t="s">
        <v>324</v>
      </c>
      <c r="EW1194" s="1" t="s">
        <v>867</v>
      </c>
      <c r="EZ1194" s="1" t="s">
        <v>12352</v>
      </c>
      <c r="FA1194" s="1" t="s">
        <v>3837</v>
      </c>
      <c r="FD1194" s="1" t="s">
        <v>246</v>
      </c>
      <c r="FE1194" s="1" t="s">
        <v>975</v>
      </c>
      <c r="FF1194" s="1" t="s">
        <v>248</v>
      </c>
      <c r="FH1194" s="1" t="s">
        <v>550</v>
      </c>
      <c r="FI1194" s="1" t="s">
        <v>473</v>
      </c>
      <c r="FL1194" s="1" t="s">
        <v>358</v>
      </c>
      <c r="FM1194" s="1" t="s">
        <v>252</v>
      </c>
      <c r="FN1194" s="1" t="s">
        <v>213</v>
      </c>
      <c r="FO1194" s="1" t="s">
        <v>213</v>
      </c>
      <c r="FQ1194" s="1" t="s">
        <v>1286</v>
      </c>
      <c r="FR1194" s="1" t="s">
        <v>210</v>
      </c>
      <c r="FS1194" s="1" t="s">
        <v>12353</v>
      </c>
      <c r="FT1194" s="1" t="s">
        <v>1408</v>
      </c>
      <c r="FU1194" s="1" t="s">
        <v>204</v>
      </c>
      <c r="FW1194" s="1" t="s">
        <v>3546</v>
      </c>
      <c r="FX1194" s="1">
        <v>24695</v>
      </c>
      <c r="FY1194" s="1" t="s">
        <v>3547</v>
      </c>
      <c r="FZ1194" s="1" t="s">
        <v>6213</v>
      </c>
      <c r="GA1194" s="1">
        <v>20691</v>
      </c>
      <c r="GB1194" s="1" t="s">
        <v>6214</v>
      </c>
      <c r="GD1194" s="1" t="s">
        <v>6215</v>
      </c>
      <c r="GE1194" s="1" t="s">
        <v>480</v>
      </c>
      <c r="GI1194" s="1" t="s">
        <v>213</v>
      </c>
      <c r="GJ1194" s="1" t="s">
        <v>260</v>
      </c>
      <c r="GK1194" s="1" t="s">
        <v>210</v>
      </c>
      <c r="GL1194" s="2">
        <v>42111</v>
      </c>
      <c r="GM1194" s="1" t="s">
        <v>12354</v>
      </c>
    </row>
    <row r="1195" spans="1:195">
      <c r="A1195" s="1">
        <v>134000</v>
      </c>
      <c r="B1195" s="1" t="s">
        <v>195</v>
      </c>
      <c r="C1195" s="1" t="str">
        <f>"08846800"</f>
        <v>08846800</v>
      </c>
      <c r="D1195" s="1" t="s">
        <v>196</v>
      </c>
      <c r="F1195" s="1" t="str">
        <f>"106"</f>
        <v>106</v>
      </c>
      <c r="G1195" s="2">
        <v>42060</v>
      </c>
      <c r="H1195" s="1">
        <v>150600</v>
      </c>
      <c r="I1195" s="1">
        <v>150600</v>
      </c>
      <c r="J1195" s="1">
        <v>134000</v>
      </c>
      <c r="K1195" s="2">
        <v>42060</v>
      </c>
      <c r="L1195" s="1">
        <v>28</v>
      </c>
      <c r="M1195" s="2">
        <v>42087</v>
      </c>
      <c r="N1195" s="1">
        <v>28</v>
      </c>
      <c r="O1195" s="2">
        <v>42087</v>
      </c>
      <c r="P1195" s="1">
        <v>92063</v>
      </c>
      <c r="Q1195" s="1" t="s">
        <v>302</v>
      </c>
      <c r="R1195" s="2">
        <v>42139</v>
      </c>
      <c r="S1195" s="1">
        <v>26265</v>
      </c>
      <c r="U1195" s="1">
        <v>100</v>
      </c>
      <c r="V1195" s="1" t="s">
        <v>12355</v>
      </c>
      <c r="W1195" s="1" t="s">
        <v>425</v>
      </c>
      <c r="X1195" s="1">
        <v>313</v>
      </c>
      <c r="Y1195" s="1">
        <v>60</v>
      </c>
      <c r="Z1195" s="1" t="s">
        <v>249</v>
      </c>
      <c r="AA1195" s="1" t="s">
        <v>1229</v>
      </c>
      <c r="AB1195" s="1">
        <v>60106</v>
      </c>
      <c r="AE1195" s="1" t="s">
        <v>12356</v>
      </c>
      <c r="AF1195" s="1">
        <v>2000</v>
      </c>
      <c r="AG1195" s="1" t="s">
        <v>204</v>
      </c>
      <c r="AH1195" s="1" t="s">
        <v>1232</v>
      </c>
      <c r="AI1195" s="1" t="s">
        <v>206</v>
      </c>
      <c r="AJ1195" s="1" t="s">
        <v>1233</v>
      </c>
      <c r="AK1195" s="1" t="s">
        <v>483</v>
      </c>
      <c r="AL1195" s="1">
        <v>5</v>
      </c>
      <c r="AM1195" s="1">
        <v>2</v>
      </c>
      <c r="AN1195" s="1">
        <v>2</v>
      </c>
      <c r="AO1195" s="1">
        <v>0</v>
      </c>
      <c r="AP1195" s="1" t="s">
        <v>209</v>
      </c>
      <c r="AR1195" s="1" t="s">
        <v>210</v>
      </c>
      <c r="AS1195" s="1" t="s">
        <v>204</v>
      </c>
      <c r="AT1195" s="1" t="s">
        <v>211</v>
      </c>
      <c r="AU1195" s="1">
        <v>2</v>
      </c>
      <c r="AW1195" s="1" t="s">
        <v>204</v>
      </c>
      <c r="AX1195" s="1" t="s">
        <v>212</v>
      </c>
      <c r="AZ1195" s="1">
        <v>3782</v>
      </c>
      <c r="BA1195" s="1">
        <v>2013</v>
      </c>
      <c r="BB1195" s="1" t="s">
        <v>210</v>
      </c>
      <c r="BE1195" s="1">
        <v>1480</v>
      </c>
      <c r="BF1195" s="1">
        <v>3</v>
      </c>
      <c r="BG1195" s="1">
        <v>30</v>
      </c>
      <c r="BJ1195" s="1">
        <v>100</v>
      </c>
      <c r="BL1195" s="1">
        <v>279</v>
      </c>
      <c r="BM1195" s="1" t="s">
        <v>413</v>
      </c>
      <c r="BN1195" s="1" t="s">
        <v>213</v>
      </c>
      <c r="BO1195" s="1">
        <v>50</v>
      </c>
      <c r="BP1195" s="1" t="s">
        <v>204</v>
      </c>
      <c r="BR1195" s="1" t="str">
        <f>"0314219028"</f>
        <v>0314219028</v>
      </c>
      <c r="BT1195" s="1" t="s">
        <v>12357</v>
      </c>
      <c r="BX1195" s="1">
        <v>2</v>
      </c>
      <c r="BY1195" s="1">
        <v>2</v>
      </c>
      <c r="BZ1195" s="1">
        <v>100</v>
      </c>
      <c r="CB1195" s="1" t="str">
        <f>"5"</f>
        <v>5</v>
      </c>
      <c r="CC1195" s="1" t="str">
        <f>"0"</f>
        <v>0</v>
      </c>
      <c r="CD1195" s="1">
        <v>16</v>
      </c>
      <c r="CE1195" s="1">
        <v>0</v>
      </c>
      <c r="CG1195" s="1" t="s">
        <v>9164</v>
      </c>
      <c r="CH1195" s="1" t="s">
        <v>784</v>
      </c>
      <c r="CI1195" s="1" t="s">
        <v>220</v>
      </c>
      <c r="CK1195" s="1" t="s">
        <v>437</v>
      </c>
      <c r="CL1195" s="1" t="s">
        <v>784</v>
      </c>
      <c r="CM1195" s="1" t="s">
        <v>220</v>
      </c>
      <c r="CO1195" s="1" t="s">
        <v>629</v>
      </c>
      <c r="CP1195" s="1" t="s">
        <v>784</v>
      </c>
      <c r="CQ1195" s="1" t="s">
        <v>220</v>
      </c>
      <c r="CS1195" s="1" t="s">
        <v>317</v>
      </c>
      <c r="CT1195" s="1" t="s">
        <v>784</v>
      </c>
      <c r="CU1195" s="1" t="s">
        <v>220</v>
      </c>
      <c r="CX1195" s="1" t="s">
        <v>224</v>
      </c>
      <c r="DB1195" s="1" t="s">
        <v>224</v>
      </c>
      <c r="DE1195" s="1" t="s">
        <v>686</v>
      </c>
      <c r="DF1195" s="1" t="s">
        <v>784</v>
      </c>
      <c r="DG1195" s="1" t="s">
        <v>226</v>
      </c>
      <c r="DJ1195" s="1" t="s">
        <v>224</v>
      </c>
      <c r="DS1195" s="1" t="s">
        <v>230</v>
      </c>
      <c r="DW1195" s="1" t="s">
        <v>230</v>
      </c>
      <c r="EA1195" s="1" t="s">
        <v>230</v>
      </c>
      <c r="EE1195" s="1" t="s">
        <v>230</v>
      </c>
      <c r="EI1195" s="1" t="s">
        <v>230</v>
      </c>
      <c r="EL1195" s="1" t="s">
        <v>466</v>
      </c>
      <c r="EM1195" s="1" t="s">
        <v>232</v>
      </c>
      <c r="EN1195" s="1" t="s">
        <v>282</v>
      </c>
      <c r="EO1195" s="1" t="s">
        <v>234</v>
      </c>
      <c r="EP1195" s="1" t="s">
        <v>10476</v>
      </c>
      <c r="EQ1195" s="1" t="s">
        <v>953</v>
      </c>
      <c r="ER1195" s="1" t="s">
        <v>210</v>
      </c>
      <c r="ES1195" s="1" t="s">
        <v>493</v>
      </c>
      <c r="EV1195" s="1" t="s">
        <v>240</v>
      </c>
      <c r="EW1195" s="1" t="s">
        <v>12358</v>
      </c>
      <c r="EZ1195" s="1" t="s">
        <v>287</v>
      </c>
      <c r="FA1195" s="1" t="s">
        <v>7111</v>
      </c>
      <c r="FB1195" s="1" t="s">
        <v>289</v>
      </c>
      <c r="FD1195" s="1" t="s">
        <v>246</v>
      </c>
      <c r="FE1195" s="1" t="s">
        <v>247</v>
      </c>
      <c r="FF1195" s="1" t="s">
        <v>248</v>
      </c>
      <c r="FH1195" s="1" t="s">
        <v>249</v>
      </c>
      <c r="FI1195" s="1" t="s">
        <v>848</v>
      </c>
      <c r="FL1195" s="1" t="s">
        <v>358</v>
      </c>
      <c r="FM1195" s="1" t="s">
        <v>252</v>
      </c>
      <c r="FN1195" s="1" t="s">
        <v>213</v>
      </c>
      <c r="FO1195" s="1" t="s">
        <v>213</v>
      </c>
      <c r="FQ1195" s="1" t="s">
        <v>582</v>
      </c>
      <c r="FR1195" s="1" t="s">
        <v>210</v>
      </c>
      <c r="FS1195" s="1" t="s">
        <v>12359</v>
      </c>
      <c r="FT1195" s="1" t="s">
        <v>362</v>
      </c>
      <c r="FU1195" s="1" t="s">
        <v>204</v>
      </c>
      <c r="FW1195" s="1" t="s">
        <v>12360</v>
      </c>
      <c r="FX1195" s="1">
        <v>21419</v>
      </c>
      <c r="FY1195" s="1" t="s">
        <v>12361</v>
      </c>
      <c r="FZ1195" s="1" t="s">
        <v>12362</v>
      </c>
      <c r="GA1195" s="1">
        <v>233025</v>
      </c>
      <c r="GB1195" s="1" t="s">
        <v>12363</v>
      </c>
      <c r="GE1195" s="1" t="s">
        <v>1333</v>
      </c>
      <c r="GH1195" s="1" t="s">
        <v>589</v>
      </c>
      <c r="GI1195" s="1" t="s">
        <v>204</v>
      </c>
      <c r="GJ1195" s="1" t="s">
        <v>260</v>
      </c>
      <c r="GK1195" s="1" t="s">
        <v>210</v>
      </c>
      <c r="GL1195" s="2">
        <v>42139</v>
      </c>
      <c r="GM1195" s="1" t="s">
        <v>12364</v>
      </c>
    </row>
    <row r="1196" spans="1:195">
      <c r="A1196" s="1">
        <v>208000</v>
      </c>
      <c r="B1196" s="1" t="s">
        <v>195</v>
      </c>
      <c r="C1196" s="1" t="str">
        <f>"08847641"</f>
        <v>08847641</v>
      </c>
      <c r="D1196" s="1" t="s">
        <v>196</v>
      </c>
      <c r="F1196" s="1" t="str">
        <f>"540"</f>
        <v>540</v>
      </c>
      <c r="G1196" s="2">
        <v>42061</v>
      </c>
      <c r="H1196" s="1">
        <v>217000</v>
      </c>
      <c r="I1196" s="1">
        <v>217000</v>
      </c>
      <c r="J1196" s="1">
        <v>208000</v>
      </c>
      <c r="K1196" s="2">
        <v>42061</v>
      </c>
      <c r="L1196" s="1">
        <v>15</v>
      </c>
      <c r="M1196" s="2">
        <v>42073</v>
      </c>
      <c r="N1196" s="1">
        <v>13</v>
      </c>
      <c r="O1196" s="2">
        <v>42073</v>
      </c>
      <c r="P1196" s="1">
        <v>23099</v>
      </c>
      <c r="Q1196" s="1" t="s">
        <v>197</v>
      </c>
      <c r="R1196" s="2">
        <v>42121</v>
      </c>
      <c r="S1196" s="1">
        <v>215684</v>
      </c>
      <c r="U1196" s="1">
        <v>2903</v>
      </c>
      <c r="V1196" s="1" t="s">
        <v>11395</v>
      </c>
      <c r="W1196" s="1" t="s">
        <v>449</v>
      </c>
      <c r="Y1196" s="1">
        <v>4</v>
      </c>
      <c r="Z1196" s="1" t="s">
        <v>200</v>
      </c>
      <c r="AA1196" s="1" t="s">
        <v>921</v>
      </c>
      <c r="AB1196" s="1">
        <v>60564</v>
      </c>
      <c r="AE1196" s="1" t="s">
        <v>12365</v>
      </c>
      <c r="AF1196" s="1">
        <v>1998</v>
      </c>
      <c r="AG1196" s="1" t="s">
        <v>204</v>
      </c>
      <c r="AH1196" s="1" t="s">
        <v>924</v>
      </c>
      <c r="AI1196" s="1" t="s">
        <v>206</v>
      </c>
      <c r="AJ1196" s="1" t="s">
        <v>924</v>
      </c>
      <c r="AL1196" s="1">
        <v>6</v>
      </c>
      <c r="AM1196" s="1">
        <v>2</v>
      </c>
      <c r="AN1196" s="1">
        <v>2</v>
      </c>
      <c r="AO1196" s="1">
        <v>1</v>
      </c>
      <c r="AP1196" s="1" t="s">
        <v>209</v>
      </c>
      <c r="AQ1196" s="1">
        <v>1</v>
      </c>
      <c r="AR1196" s="1" t="s">
        <v>210</v>
      </c>
      <c r="AS1196" s="1" t="s">
        <v>204</v>
      </c>
      <c r="AT1196" s="1" t="s">
        <v>211</v>
      </c>
      <c r="AU1196" s="1">
        <v>2</v>
      </c>
      <c r="AW1196" s="1" t="s">
        <v>204</v>
      </c>
      <c r="AX1196" s="1" t="s">
        <v>212</v>
      </c>
      <c r="AZ1196" s="1">
        <v>4242</v>
      </c>
      <c r="BA1196" s="1">
        <v>2013</v>
      </c>
      <c r="BB1196" s="1" t="s">
        <v>405</v>
      </c>
      <c r="BE1196" s="1">
        <v>1578</v>
      </c>
      <c r="BF1196" s="1">
        <v>1</v>
      </c>
      <c r="BG1196" s="1">
        <v>30</v>
      </c>
      <c r="BL1196" s="1">
        <v>207</v>
      </c>
      <c r="BM1196" s="1" t="s">
        <v>204</v>
      </c>
      <c r="BN1196" s="1" t="s">
        <v>213</v>
      </c>
      <c r="BO1196" s="1">
        <v>100</v>
      </c>
      <c r="BP1196" s="1" t="s">
        <v>204</v>
      </c>
      <c r="BR1196" s="1" t="str">
        <f>"0734314191"</f>
        <v>0734314191</v>
      </c>
      <c r="BT1196" s="1" t="s">
        <v>12366</v>
      </c>
      <c r="BX1196" s="1">
        <v>204</v>
      </c>
      <c r="BY1196" s="1">
        <v>204</v>
      </c>
      <c r="BZ1196" s="1">
        <v>204</v>
      </c>
      <c r="CB1196" s="1" t="str">
        <f t="shared" ref="CB1196:CC1196" si="921">""</f>
        <v/>
      </c>
      <c r="CC1196" s="1" t="str">
        <f t="shared" si="921"/>
        <v/>
      </c>
      <c r="CG1196" s="1" t="s">
        <v>1004</v>
      </c>
      <c r="CH1196" s="1" t="s">
        <v>219</v>
      </c>
      <c r="CI1196" s="1" t="s">
        <v>229</v>
      </c>
      <c r="CJ1196" s="1" t="s">
        <v>252</v>
      </c>
      <c r="CK1196" s="1" t="s">
        <v>1737</v>
      </c>
      <c r="CL1196" s="1" t="s">
        <v>277</v>
      </c>
      <c r="CM1196" s="1" t="s">
        <v>438</v>
      </c>
      <c r="CN1196" s="1" t="s">
        <v>343</v>
      </c>
      <c r="CO1196" s="1" t="s">
        <v>1046</v>
      </c>
      <c r="CP1196" s="1" t="s">
        <v>219</v>
      </c>
      <c r="CQ1196" s="1" t="s">
        <v>229</v>
      </c>
      <c r="CR1196" s="1" t="s">
        <v>343</v>
      </c>
      <c r="CS1196" s="1" t="s">
        <v>346</v>
      </c>
      <c r="CT1196" s="1" t="s">
        <v>277</v>
      </c>
      <c r="CU1196" s="1" t="s">
        <v>229</v>
      </c>
      <c r="CV1196" s="1" t="s">
        <v>343</v>
      </c>
      <c r="CX1196" s="1" t="s">
        <v>224</v>
      </c>
      <c r="DB1196" s="1" t="s">
        <v>224</v>
      </c>
      <c r="DE1196" s="1" t="s">
        <v>346</v>
      </c>
      <c r="DF1196" s="1" t="s">
        <v>219</v>
      </c>
      <c r="DG1196" s="1" t="s">
        <v>229</v>
      </c>
      <c r="DH1196" s="1" t="s">
        <v>210</v>
      </c>
      <c r="DJ1196" s="1" t="s">
        <v>224</v>
      </c>
      <c r="DM1196" s="1" t="s">
        <v>464</v>
      </c>
      <c r="DR1196" s="1" t="s">
        <v>315</v>
      </c>
      <c r="DS1196" s="1" t="s">
        <v>277</v>
      </c>
      <c r="DT1196" s="1" t="s">
        <v>220</v>
      </c>
      <c r="DU1196" s="1" t="s">
        <v>343</v>
      </c>
      <c r="DW1196" s="1" t="s">
        <v>230</v>
      </c>
      <c r="EA1196" s="1" t="s">
        <v>230</v>
      </c>
      <c r="EE1196" s="1" t="s">
        <v>230</v>
      </c>
      <c r="EI1196" s="1" t="s">
        <v>230</v>
      </c>
      <c r="EL1196" s="1" t="s">
        <v>670</v>
      </c>
      <c r="EM1196" s="1" t="s">
        <v>232</v>
      </c>
      <c r="EN1196" s="1" t="s">
        <v>282</v>
      </c>
      <c r="EO1196" s="1" t="s">
        <v>234</v>
      </c>
      <c r="EP1196" s="1" t="s">
        <v>650</v>
      </c>
      <c r="EQ1196" s="1" t="s">
        <v>953</v>
      </c>
      <c r="ER1196" s="1" t="s">
        <v>210</v>
      </c>
      <c r="ES1196" s="1" t="s">
        <v>824</v>
      </c>
      <c r="ET1196" s="1" t="s">
        <v>842</v>
      </c>
      <c r="EV1196" s="1" t="s">
        <v>352</v>
      </c>
      <c r="EW1196" s="1" t="s">
        <v>353</v>
      </c>
      <c r="EZ1196" s="1" t="s">
        <v>464</v>
      </c>
      <c r="FB1196" s="1" t="s">
        <v>289</v>
      </c>
      <c r="FD1196" s="1" t="s">
        <v>246</v>
      </c>
      <c r="FE1196" s="1" t="s">
        <v>975</v>
      </c>
      <c r="FF1196" s="1" t="s">
        <v>248</v>
      </c>
      <c r="FG1196" s="1" t="s">
        <v>912</v>
      </c>
      <c r="FH1196" s="1" t="s">
        <v>550</v>
      </c>
      <c r="FI1196" s="1" t="s">
        <v>357</v>
      </c>
      <c r="FL1196" s="1" t="s">
        <v>414</v>
      </c>
      <c r="FM1196" s="1" t="s">
        <v>252</v>
      </c>
      <c r="FN1196" s="1" t="s">
        <v>213</v>
      </c>
      <c r="FO1196" s="1" t="s">
        <v>213</v>
      </c>
      <c r="FQ1196" s="1" t="s">
        <v>2700</v>
      </c>
      <c r="FR1196" s="1" t="s">
        <v>210</v>
      </c>
      <c r="FS1196" s="1" t="s">
        <v>12367</v>
      </c>
      <c r="FT1196" s="1" t="s">
        <v>295</v>
      </c>
      <c r="FU1196" s="1" t="s">
        <v>204</v>
      </c>
      <c r="FW1196" s="1" t="s">
        <v>915</v>
      </c>
      <c r="FX1196" s="1">
        <v>23076</v>
      </c>
      <c r="FY1196" s="1" t="s">
        <v>1909</v>
      </c>
      <c r="FZ1196" s="1" t="s">
        <v>12368</v>
      </c>
      <c r="GA1196" s="1">
        <v>234147</v>
      </c>
      <c r="GB1196" s="1" t="s">
        <v>12369</v>
      </c>
      <c r="GE1196" s="1" t="s">
        <v>480</v>
      </c>
      <c r="GI1196" s="1" t="s">
        <v>213</v>
      </c>
      <c r="GJ1196" s="1" t="s">
        <v>260</v>
      </c>
      <c r="GK1196" s="1" t="s">
        <v>210</v>
      </c>
      <c r="GL1196" s="2">
        <v>42121</v>
      </c>
      <c r="GM1196" s="1" t="s">
        <v>12370</v>
      </c>
    </row>
    <row r="1197" spans="1:195">
      <c r="A1197" s="1">
        <v>119000</v>
      </c>
      <c r="B1197" s="1" t="s">
        <v>195</v>
      </c>
      <c r="C1197" s="1" t="str">
        <f>"08845565"</f>
        <v>08845565</v>
      </c>
      <c r="D1197" s="1" t="s">
        <v>196</v>
      </c>
      <c r="F1197" s="1" t="str">
        <f>"187"</f>
        <v>187</v>
      </c>
      <c r="G1197" s="2">
        <v>42059</v>
      </c>
      <c r="H1197" s="1">
        <v>122000</v>
      </c>
      <c r="I1197" s="1">
        <v>122000</v>
      </c>
      <c r="J1197" s="1">
        <v>119000</v>
      </c>
      <c r="K1197" s="2">
        <v>42059</v>
      </c>
      <c r="L1197" s="1">
        <v>5</v>
      </c>
      <c r="M1197" s="2">
        <v>42063</v>
      </c>
      <c r="N1197" s="1">
        <v>5</v>
      </c>
      <c r="O1197" s="2">
        <v>42063</v>
      </c>
      <c r="P1197" s="1">
        <v>84992</v>
      </c>
      <c r="Q1197" s="1" t="s">
        <v>197</v>
      </c>
      <c r="R1197" s="2">
        <v>42107</v>
      </c>
      <c r="S1197" s="1">
        <v>876514</v>
      </c>
      <c r="U1197" s="1">
        <v>1682</v>
      </c>
      <c r="V1197" s="1" t="s">
        <v>12371</v>
      </c>
      <c r="W1197" s="1" t="s">
        <v>304</v>
      </c>
      <c r="X1197" s="1" t="s">
        <v>1688</v>
      </c>
      <c r="Y1197" s="1">
        <v>5</v>
      </c>
      <c r="Z1197" s="1" t="s">
        <v>249</v>
      </c>
      <c r="AA1197" s="1" t="s">
        <v>964</v>
      </c>
      <c r="AB1197" s="1">
        <v>60189</v>
      </c>
      <c r="AD1197" s="1" t="s">
        <v>12372</v>
      </c>
      <c r="AE1197" s="1" t="s">
        <v>12373</v>
      </c>
      <c r="AF1197" s="1">
        <v>1974</v>
      </c>
      <c r="AG1197" s="1" t="s">
        <v>213</v>
      </c>
      <c r="AH1197" s="1" t="s">
        <v>967</v>
      </c>
      <c r="AI1197" s="1" t="s">
        <v>206</v>
      </c>
      <c r="AJ1197" s="1" t="s">
        <v>207</v>
      </c>
      <c r="AL1197" s="1">
        <v>5</v>
      </c>
      <c r="AM1197" s="1">
        <v>2</v>
      </c>
      <c r="AN1197" s="1">
        <v>1</v>
      </c>
      <c r="AO1197" s="1">
        <v>1</v>
      </c>
      <c r="AP1197" s="1" t="s">
        <v>210</v>
      </c>
      <c r="AR1197" s="1" t="s">
        <v>209</v>
      </c>
      <c r="AS1197" s="1" t="s">
        <v>204</v>
      </c>
      <c r="AT1197" s="1" t="s">
        <v>211</v>
      </c>
      <c r="AU1197" s="1">
        <v>1</v>
      </c>
      <c r="AW1197" s="1" t="s">
        <v>204</v>
      </c>
      <c r="AX1197" s="1" t="s">
        <v>212</v>
      </c>
      <c r="AZ1197" s="1">
        <v>3059</v>
      </c>
      <c r="BA1197" s="1">
        <v>2013</v>
      </c>
      <c r="BE1197" s="1">
        <v>968</v>
      </c>
      <c r="BF1197" s="1">
        <v>1</v>
      </c>
      <c r="BG1197" s="1">
        <v>0</v>
      </c>
      <c r="BL1197" s="1">
        <v>194</v>
      </c>
      <c r="BM1197" s="1" t="s">
        <v>204</v>
      </c>
      <c r="BN1197" s="1" t="s">
        <v>213</v>
      </c>
      <c r="BP1197" s="1" t="s">
        <v>204</v>
      </c>
      <c r="BR1197" s="1" t="str">
        <f>"0527106142"</f>
        <v>0527106142</v>
      </c>
      <c r="BT1197" s="1" t="s">
        <v>12374</v>
      </c>
      <c r="BU1197" s="1" t="s">
        <v>969</v>
      </c>
      <c r="BV1197" s="1" t="s">
        <v>970</v>
      </c>
      <c r="BW1197" s="1" t="s">
        <v>971</v>
      </c>
      <c r="BX1197" s="1">
        <v>200</v>
      </c>
      <c r="BY1197" s="1">
        <v>200</v>
      </c>
      <c r="BZ1197" s="1">
        <v>200</v>
      </c>
      <c r="CB1197" s="1" t="str">
        <f t="shared" ref="CB1197:CC1197" si="922">""</f>
        <v/>
      </c>
      <c r="CC1197" s="1" t="str">
        <f t="shared" si="922"/>
        <v/>
      </c>
      <c r="CG1197" s="1" t="s">
        <v>1045</v>
      </c>
      <c r="CH1197" s="1" t="s">
        <v>219</v>
      </c>
      <c r="CI1197" s="1" t="s">
        <v>229</v>
      </c>
      <c r="CK1197" s="1" t="s">
        <v>223</v>
      </c>
      <c r="CL1197" s="1" t="s">
        <v>277</v>
      </c>
      <c r="CM1197" s="1" t="s">
        <v>220</v>
      </c>
      <c r="CO1197" s="1" t="s">
        <v>516</v>
      </c>
      <c r="CP1197" s="1" t="s">
        <v>219</v>
      </c>
      <c r="CQ1197" s="1" t="s">
        <v>229</v>
      </c>
      <c r="CS1197" s="1" t="s">
        <v>318</v>
      </c>
      <c r="CT1197" s="1" t="s">
        <v>277</v>
      </c>
      <c r="CU1197" s="1" t="s">
        <v>220</v>
      </c>
      <c r="CX1197" s="1" t="s">
        <v>224</v>
      </c>
      <c r="DB1197" s="1" t="s">
        <v>224</v>
      </c>
      <c r="DE1197" s="1" t="s">
        <v>380</v>
      </c>
      <c r="DF1197" s="1" t="s">
        <v>219</v>
      </c>
      <c r="DG1197" s="1" t="s">
        <v>342</v>
      </c>
      <c r="DJ1197" s="1" t="s">
        <v>224</v>
      </c>
      <c r="DS1197" s="1" t="s">
        <v>230</v>
      </c>
      <c r="DW1197" s="1" t="s">
        <v>230</v>
      </c>
      <c r="EA1197" s="1" t="s">
        <v>230</v>
      </c>
      <c r="EE1197" s="1" t="s">
        <v>230</v>
      </c>
      <c r="EI1197" s="1" t="s">
        <v>230</v>
      </c>
      <c r="EL1197" s="1" t="s">
        <v>605</v>
      </c>
      <c r="EM1197" s="1" t="s">
        <v>730</v>
      </c>
      <c r="EN1197" s="1" t="s">
        <v>282</v>
      </c>
      <c r="EO1197" s="1" t="s">
        <v>234</v>
      </c>
      <c r="EP1197" s="1" t="s">
        <v>12375</v>
      </c>
      <c r="EQ1197" s="1" t="s">
        <v>1094</v>
      </c>
      <c r="ER1197" s="1" t="s">
        <v>1249</v>
      </c>
      <c r="EU1197" s="1" t="s">
        <v>239</v>
      </c>
      <c r="EV1197" s="1" t="s">
        <v>324</v>
      </c>
      <c r="EW1197" s="1" t="s">
        <v>887</v>
      </c>
      <c r="EZ1197" s="1" t="s">
        <v>287</v>
      </c>
      <c r="FA1197" s="1" t="s">
        <v>6548</v>
      </c>
      <c r="FB1197" s="1" t="s">
        <v>289</v>
      </c>
      <c r="FD1197" s="1" t="s">
        <v>246</v>
      </c>
      <c r="FE1197" s="1" t="s">
        <v>1031</v>
      </c>
      <c r="FF1197" s="1" t="s">
        <v>248</v>
      </c>
      <c r="FH1197" s="1" t="s">
        <v>249</v>
      </c>
      <c r="FI1197" s="1" t="s">
        <v>357</v>
      </c>
      <c r="FJ1197" s="1" t="s">
        <v>518</v>
      </c>
      <c r="FL1197" s="1" t="s">
        <v>358</v>
      </c>
      <c r="FM1197" s="1" t="s">
        <v>252</v>
      </c>
      <c r="FN1197" s="1" t="s">
        <v>213</v>
      </c>
      <c r="FO1197" s="1" t="s">
        <v>213</v>
      </c>
      <c r="FQ1197" s="1" t="s">
        <v>293</v>
      </c>
      <c r="FR1197" s="1" t="s">
        <v>210</v>
      </c>
      <c r="FS1197" s="1" t="s">
        <v>12376</v>
      </c>
      <c r="FT1197" s="1" t="s">
        <v>1139</v>
      </c>
      <c r="FU1197" s="1" t="s">
        <v>204</v>
      </c>
      <c r="FW1197" s="1" t="s">
        <v>256</v>
      </c>
      <c r="FX1197" s="1">
        <v>25163</v>
      </c>
      <c r="FY1197" s="1" t="s">
        <v>257</v>
      </c>
      <c r="FZ1197" s="1" t="s">
        <v>12377</v>
      </c>
      <c r="GA1197" s="1">
        <v>238050</v>
      </c>
      <c r="GB1197" s="1" t="s">
        <v>12378</v>
      </c>
      <c r="GE1197" s="1" t="s">
        <v>658</v>
      </c>
      <c r="GI1197" s="1" t="s">
        <v>213</v>
      </c>
      <c r="GJ1197" s="1" t="s">
        <v>260</v>
      </c>
      <c r="GK1197" s="1" t="s">
        <v>261</v>
      </c>
      <c r="GL1197" s="2">
        <v>42108</v>
      </c>
      <c r="GM1197" s="1" t="s">
        <v>12379</v>
      </c>
    </row>
    <row r="1198" spans="1:195">
      <c r="A1198" s="1">
        <v>139900</v>
      </c>
      <c r="B1198" s="1" t="s">
        <v>195</v>
      </c>
      <c r="C1198" s="1" t="str">
        <f>"08846600"</f>
        <v>08846600</v>
      </c>
      <c r="D1198" s="1" t="s">
        <v>196</v>
      </c>
      <c r="F1198" s="1" t="str">
        <f>"136"</f>
        <v>136</v>
      </c>
      <c r="G1198" s="2">
        <v>42060</v>
      </c>
      <c r="H1198" s="1">
        <v>139900</v>
      </c>
      <c r="I1198" s="1">
        <v>139900</v>
      </c>
      <c r="J1198" s="1">
        <v>139900</v>
      </c>
      <c r="K1198" s="2">
        <v>42060</v>
      </c>
      <c r="L1198" s="1">
        <v>84</v>
      </c>
      <c r="M1198" s="2">
        <v>42066</v>
      </c>
      <c r="N1198" s="1">
        <v>7</v>
      </c>
      <c r="O1198" s="2">
        <v>42066</v>
      </c>
      <c r="P1198" s="1">
        <v>5108</v>
      </c>
      <c r="Q1198" s="1" t="s">
        <v>197</v>
      </c>
      <c r="R1198" s="2">
        <v>42094</v>
      </c>
      <c r="S1198" s="1">
        <v>55893</v>
      </c>
      <c r="T1198" s="1">
        <v>2000</v>
      </c>
      <c r="U1198" s="1">
        <v>556</v>
      </c>
      <c r="V1198" s="1" t="s">
        <v>12380</v>
      </c>
      <c r="W1198" s="1" t="s">
        <v>264</v>
      </c>
      <c r="Y1198" s="1">
        <v>6</v>
      </c>
      <c r="Z1198" s="1" t="s">
        <v>370</v>
      </c>
      <c r="AA1198" s="1" t="s">
        <v>3680</v>
      </c>
      <c r="AB1198" s="1">
        <v>60136</v>
      </c>
      <c r="AD1198" s="1" t="s">
        <v>4056</v>
      </c>
      <c r="AE1198" s="1" t="s">
        <v>12381</v>
      </c>
      <c r="AF1198" s="1">
        <v>2005</v>
      </c>
      <c r="AG1198" s="1" t="s">
        <v>204</v>
      </c>
      <c r="AH1198" s="1" t="s">
        <v>3682</v>
      </c>
      <c r="AI1198" s="1" t="s">
        <v>665</v>
      </c>
      <c r="AJ1198" s="1" t="s">
        <v>748</v>
      </c>
      <c r="AL1198" s="1">
        <v>6</v>
      </c>
      <c r="AM1198" s="1">
        <v>2</v>
      </c>
      <c r="AN1198" s="1">
        <v>2</v>
      </c>
      <c r="AO1198" s="1">
        <v>1</v>
      </c>
      <c r="AP1198" s="1" t="s">
        <v>209</v>
      </c>
      <c r="AQ1198" s="1">
        <v>1</v>
      </c>
      <c r="AR1198" s="1" t="s">
        <v>209</v>
      </c>
      <c r="AS1198" s="1" t="s">
        <v>204</v>
      </c>
      <c r="AT1198" s="1" t="s">
        <v>211</v>
      </c>
      <c r="AU1198" s="1">
        <v>2</v>
      </c>
      <c r="AW1198" s="1" t="s">
        <v>204</v>
      </c>
      <c r="AX1198" s="1" t="s">
        <v>579</v>
      </c>
      <c r="AZ1198" s="5">
        <v>3989.66</v>
      </c>
      <c r="BA1198" s="1">
        <v>2013</v>
      </c>
      <c r="BB1198" s="1" t="s">
        <v>405</v>
      </c>
      <c r="BE1198" s="1">
        <v>1400</v>
      </c>
      <c r="BF1198" s="1">
        <v>1</v>
      </c>
      <c r="BG1198" s="1">
        <v>20</v>
      </c>
      <c r="BL1198" s="1">
        <v>170</v>
      </c>
      <c r="BM1198" s="1" t="s">
        <v>413</v>
      </c>
      <c r="BN1198" s="1" t="s">
        <v>213</v>
      </c>
      <c r="BO1198" s="1">
        <v>50</v>
      </c>
      <c r="BP1198" s="1" t="s">
        <v>204</v>
      </c>
      <c r="BR1198" s="1" t="str">
        <f>"0225306029"</f>
        <v>0225306029</v>
      </c>
      <c r="BT1198" s="1" t="s">
        <v>12382</v>
      </c>
      <c r="BU1198" s="1" t="s">
        <v>4061</v>
      </c>
      <c r="BV1198" s="1" t="s">
        <v>754</v>
      </c>
      <c r="BW1198" s="1" t="s">
        <v>755</v>
      </c>
      <c r="BX1198" s="1">
        <v>300</v>
      </c>
      <c r="BY1198" s="1">
        <v>300</v>
      </c>
      <c r="BZ1198" s="1">
        <v>300</v>
      </c>
      <c r="CB1198" s="1" t="str">
        <f>"15"</f>
        <v>15</v>
      </c>
      <c r="CC1198" s="1" t="str">
        <f>"0"</f>
        <v>0</v>
      </c>
      <c r="CD1198" s="1">
        <v>39</v>
      </c>
      <c r="CE1198" s="1">
        <v>0</v>
      </c>
      <c r="CG1198" s="1" t="s">
        <v>223</v>
      </c>
      <c r="CH1198" s="1" t="s">
        <v>219</v>
      </c>
      <c r="CI1198" s="1" t="s">
        <v>229</v>
      </c>
      <c r="CJ1198" s="1" t="s">
        <v>343</v>
      </c>
      <c r="CK1198" s="1" t="s">
        <v>757</v>
      </c>
      <c r="CL1198" s="1" t="s">
        <v>277</v>
      </c>
      <c r="CM1198" s="1" t="s">
        <v>220</v>
      </c>
      <c r="CN1198" s="1" t="s">
        <v>343</v>
      </c>
      <c r="CO1198" s="1" t="s">
        <v>346</v>
      </c>
      <c r="CP1198" s="1" t="s">
        <v>219</v>
      </c>
      <c r="CQ1198" s="1" t="s">
        <v>342</v>
      </c>
      <c r="CR1198" s="1" t="s">
        <v>343</v>
      </c>
      <c r="CS1198" s="1" t="s">
        <v>346</v>
      </c>
      <c r="CT1198" s="1" t="s">
        <v>277</v>
      </c>
      <c r="CU1198" s="1" t="s">
        <v>220</v>
      </c>
      <c r="CV1198" s="1" t="s">
        <v>343</v>
      </c>
      <c r="CX1198" s="1" t="s">
        <v>224</v>
      </c>
      <c r="DB1198" s="1" t="s">
        <v>224</v>
      </c>
      <c r="DE1198" s="1" t="s">
        <v>757</v>
      </c>
      <c r="DF1198" s="1" t="s">
        <v>219</v>
      </c>
      <c r="DG1198" s="1" t="s">
        <v>342</v>
      </c>
      <c r="DH1198" s="1" t="s">
        <v>210</v>
      </c>
      <c r="DJ1198" s="1" t="s">
        <v>224</v>
      </c>
      <c r="DM1198" s="1" t="s">
        <v>464</v>
      </c>
      <c r="DO1198" s="1" t="s">
        <v>709</v>
      </c>
      <c r="DR1198" s="1" t="s">
        <v>380</v>
      </c>
      <c r="DS1198" s="1" t="s">
        <v>277</v>
      </c>
      <c r="DT1198" s="1" t="s">
        <v>220</v>
      </c>
      <c r="DU1198" s="1" t="s">
        <v>210</v>
      </c>
      <c r="DW1198" s="1" t="s">
        <v>230</v>
      </c>
      <c r="DZ1198" s="1" t="s">
        <v>2670</v>
      </c>
      <c r="EA1198" s="1" t="s">
        <v>219</v>
      </c>
      <c r="EB1198" s="1" t="s">
        <v>226</v>
      </c>
      <c r="EC1198" s="1" t="s">
        <v>210</v>
      </c>
      <c r="EE1198" s="1" t="s">
        <v>230</v>
      </c>
      <c r="EI1198" s="1" t="s">
        <v>230</v>
      </c>
      <c r="EL1198" s="1" t="s">
        <v>491</v>
      </c>
      <c r="EM1198" s="1" t="s">
        <v>319</v>
      </c>
      <c r="EN1198" s="1" t="s">
        <v>282</v>
      </c>
      <c r="EO1198" s="1" t="s">
        <v>234</v>
      </c>
      <c r="EP1198" s="1" t="s">
        <v>2682</v>
      </c>
      <c r="EQ1198" s="1" t="s">
        <v>236</v>
      </c>
      <c r="ER1198" s="1" t="s">
        <v>1249</v>
      </c>
      <c r="ES1198" s="1" t="s">
        <v>608</v>
      </c>
      <c r="EU1198" s="1" t="s">
        <v>239</v>
      </c>
      <c r="EV1198" s="1" t="s">
        <v>352</v>
      </c>
      <c r="EW1198" s="1" t="s">
        <v>1134</v>
      </c>
      <c r="EY1198" s="1" t="s">
        <v>242</v>
      </c>
      <c r="EZ1198" s="1" t="s">
        <v>2549</v>
      </c>
      <c r="FA1198" s="1" t="s">
        <v>2358</v>
      </c>
      <c r="FB1198" s="1" t="s">
        <v>289</v>
      </c>
      <c r="FC1198" s="1" t="s">
        <v>1362</v>
      </c>
      <c r="FD1198" s="1" t="s">
        <v>246</v>
      </c>
      <c r="FE1198" s="1" t="s">
        <v>566</v>
      </c>
      <c r="FF1198" s="1" t="s">
        <v>248</v>
      </c>
      <c r="FG1198" s="1" t="s">
        <v>912</v>
      </c>
      <c r="FH1198" s="1" t="s">
        <v>550</v>
      </c>
      <c r="FI1198" s="1" t="s">
        <v>473</v>
      </c>
      <c r="FJ1198" s="1" t="s">
        <v>197</v>
      </c>
      <c r="FL1198" s="1" t="s">
        <v>358</v>
      </c>
      <c r="FM1198" s="1" t="s">
        <v>252</v>
      </c>
      <c r="FN1198" s="1" t="s">
        <v>213</v>
      </c>
      <c r="FO1198" s="1" t="s">
        <v>213</v>
      </c>
      <c r="FQ1198" s="1" t="s">
        <v>11975</v>
      </c>
      <c r="FR1198" s="1" t="s">
        <v>652</v>
      </c>
      <c r="FS1198" s="1" t="s">
        <v>12383</v>
      </c>
      <c r="FT1198" s="1" t="s">
        <v>295</v>
      </c>
      <c r="FU1198" s="1" t="s">
        <v>204</v>
      </c>
      <c r="FW1198" s="1" t="s">
        <v>1898</v>
      </c>
      <c r="FX1198" s="1">
        <v>23030</v>
      </c>
      <c r="FY1198" s="1" t="s">
        <v>1899</v>
      </c>
      <c r="FZ1198" s="1" t="s">
        <v>5429</v>
      </c>
      <c r="GA1198" s="1">
        <v>245396</v>
      </c>
      <c r="GB1198" s="1" t="s">
        <v>5430</v>
      </c>
      <c r="GC1198" s="1">
        <v>242967</v>
      </c>
      <c r="GD1198" s="1" t="s">
        <v>12384</v>
      </c>
      <c r="GE1198" s="1" t="s">
        <v>480</v>
      </c>
      <c r="GI1198" s="1" t="s">
        <v>213</v>
      </c>
      <c r="GJ1198" s="1" t="s">
        <v>260</v>
      </c>
      <c r="GK1198" s="1" t="s">
        <v>261</v>
      </c>
      <c r="GL1198" s="2">
        <v>42095</v>
      </c>
      <c r="GM1198" s="1" t="s">
        <v>12385</v>
      </c>
    </row>
    <row r="1199" spans="1:195">
      <c r="A1199" s="1">
        <v>235000</v>
      </c>
      <c r="B1199" s="1" t="s">
        <v>195</v>
      </c>
      <c r="C1199" s="1" t="str">
        <f>"08857312"</f>
        <v>08857312</v>
      </c>
      <c r="D1199" s="1" t="s">
        <v>196</v>
      </c>
      <c r="F1199" s="1" t="str">
        <f>"523"</f>
        <v>523</v>
      </c>
      <c r="G1199" s="2">
        <v>42073</v>
      </c>
      <c r="H1199" s="1">
        <v>249900</v>
      </c>
      <c r="I1199" s="1">
        <v>249900</v>
      </c>
      <c r="J1199" s="1">
        <v>235000</v>
      </c>
      <c r="K1199" s="2">
        <v>42073</v>
      </c>
      <c r="L1199" s="1">
        <v>5</v>
      </c>
      <c r="M1199" s="2">
        <v>42077</v>
      </c>
      <c r="N1199" s="1">
        <v>5</v>
      </c>
      <c r="O1199" s="2">
        <v>42077</v>
      </c>
      <c r="P1199" s="1">
        <v>22145</v>
      </c>
      <c r="Q1199" s="1" t="s">
        <v>302</v>
      </c>
      <c r="R1199" s="2">
        <v>42102</v>
      </c>
      <c r="S1199" s="1">
        <v>243155</v>
      </c>
      <c r="T1199" s="1">
        <v>3750</v>
      </c>
      <c r="U1199" s="1">
        <v>29</v>
      </c>
      <c r="V1199" s="1" t="s">
        <v>12386</v>
      </c>
      <c r="W1199" s="1" t="s">
        <v>1056</v>
      </c>
      <c r="Y1199" s="1">
        <v>1</v>
      </c>
      <c r="Z1199" s="1" t="s">
        <v>200</v>
      </c>
      <c r="AA1199" s="1" t="s">
        <v>3818</v>
      </c>
      <c r="AB1199" s="1">
        <v>60523</v>
      </c>
      <c r="AE1199" s="1" t="s">
        <v>12387</v>
      </c>
      <c r="AF1199" s="1">
        <v>1971</v>
      </c>
      <c r="AG1199" s="1" t="s">
        <v>213</v>
      </c>
      <c r="AH1199" s="1" t="s">
        <v>3820</v>
      </c>
      <c r="AI1199" s="1" t="s">
        <v>206</v>
      </c>
      <c r="AJ1199" s="1" t="s">
        <v>1608</v>
      </c>
      <c r="AL1199" s="1">
        <v>6</v>
      </c>
      <c r="AM1199" s="1">
        <v>2</v>
      </c>
      <c r="AN1199" s="1">
        <v>2</v>
      </c>
      <c r="AO1199" s="1">
        <v>1</v>
      </c>
      <c r="AP1199" s="1" t="s">
        <v>209</v>
      </c>
      <c r="AQ1199" s="1">
        <v>1</v>
      </c>
      <c r="AR1199" s="1" t="s">
        <v>210</v>
      </c>
      <c r="AT1199" s="1" t="s">
        <v>211</v>
      </c>
      <c r="AU1199" s="1">
        <v>2</v>
      </c>
      <c r="AW1199" s="1" t="s">
        <v>204</v>
      </c>
      <c r="AX1199" s="1" t="s">
        <v>212</v>
      </c>
      <c r="AZ1199" s="1">
        <v>4655</v>
      </c>
      <c r="BA1199" s="1">
        <v>2013</v>
      </c>
      <c r="BE1199" s="1">
        <v>1900</v>
      </c>
      <c r="BF1199" s="1">
        <v>1</v>
      </c>
      <c r="BG1199" s="1">
        <v>0</v>
      </c>
      <c r="BL1199" s="1">
        <v>394</v>
      </c>
      <c r="BM1199" s="1" t="s">
        <v>213</v>
      </c>
      <c r="BN1199" s="1" t="s">
        <v>204</v>
      </c>
      <c r="BP1199" s="1" t="s">
        <v>204</v>
      </c>
      <c r="BR1199" s="1" t="str">
        <f>"0628108021"</f>
        <v>0628108021</v>
      </c>
      <c r="BT1199" s="1" t="s">
        <v>12388</v>
      </c>
      <c r="BU1199" s="1" t="s">
        <v>2199</v>
      </c>
      <c r="BV1199" s="1" t="s">
        <v>2200</v>
      </c>
      <c r="BW1199" s="1" t="s">
        <v>2201</v>
      </c>
      <c r="BX1199" s="1">
        <v>45</v>
      </c>
      <c r="BY1199" s="1">
        <v>45</v>
      </c>
      <c r="BZ1199" s="1">
        <v>88</v>
      </c>
      <c r="CB1199" s="1" t="str">
        <f t="shared" ref="CB1199:CC1199" si="923">""</f>
        <v/>
      </c>
      <c r="CC1199" s="1" t="str">
        <f t="shared" si="923"/>
        <v/>
      </c>
      <c r="CG1199" s="1" t="s">
        <v>7600</v>
      </c>
      <c r="CH1199" s="1" t="s">
        <v>219</v>
      </c>
      <c r="CI1199" s="1" t="s">
        <v>220</v>
      </c>
      <c r="CJ1199" s="1" t="s">
        <v>2449</v>
      </c>
      <c r="CK1199" s="1" t="s">
        <v>9164</v>
      </c>
      <c r="CL1199" s="1" t="s">
        <v>277</v>
      </c>
      <c r="CM1199" s="1" t="s">
        <v>220</v>
      </c>
      <c r="CN1199" s="1" t="s">
        <v>2449</v>
      </c>
      <c r="CO1199" s="1" t="s">
        <v>437</v>
      </c>
      <c r="CP1199" s="1" t="s">
        <v>219</v>
      </c>
      <c r="CQ1199" s="1" t="s">
        <v>220</v>
      </c>
      <c r="CR1199" s="1" t="s">
        <v>2449</v>
      </c>
      <c r="CS1199" s="1" t="s">
        <v>1737</v>
      </c>
      <c r="CT1199" s="1" t="s">
        <v>277</v>
      </c>
      <c r="CU1199" s="1" t="s">
        <v>220</v>
      </c>
      <c r="CV1199" s="1" t="s">
        <v>2449</v>
      </c>
      <c r="CX1199" s="1" t="s">
        <v>224</v>
      </c>
      <c r="DB1199" s="1" t="s">
        <v>224</v>
      </c>
      <c r="DE1199" s="1" t="s">
        <v>757</v>
      </c>
      <c r="DF1199" s="1" t="s">
        <v>219</v>
      </c>
      <c r="DG1199" s="1" t="s">
        <v>226</v>
      </c>
      <c r="DH1199" s="1" t="s">
        <v>343</v>
      </c>
      <c r="DJ1199" s="1" t="s">
        <v>224</v>
      </c>
      <c r="DM1199" s="1" t="s">
        <v>227</v>
      </c>
      <c r="DR1199" s="1" t="s">
        <v>465</v>
      </c>
      <c r="DS1199" s="1" t="s">
        <v>219</v>
      </c>
      <c r="DT1199" s="1" t="s">
        <v>438</v>
      </c>
      <c r="DU1199" s="1" t="s">
        <v>210</v>
      </c>
      <c r="DW1199" s="1" t="s">
        <v>230</v>
      </c>
      <c r="EA1199" s="1" t="s">
        <v>230</v>
      </c>
      <c r="EE1199" s="1" t="s">
        <v>230</v>
      </c>
      <c r="EI1199" s="1" t="s">
        <v>230</v>
      </c>
      <c r="EL1199" s="1" t="s">
        <v>605</v>
      </c>
      <c r="EM1199" s="1" t="s">
        <v>319</v>
      </c>
      <c r="EN1199" s="1" t="s">
        <v>282</v>
      </c>
      <c r="EO1199" s="1" t="s">
        <v>234</v>
      </c>
      <c r="ER1199" s="1" t="s">
        <v>210</v>
      </c>
      <c r="ET1199" s="1" t="s">
        <v>1404</v>
      </c>
      <c r="EW1199" s="1" t="s">
        <v>12389</v>
      </c>
      <c r="EZ1199" s="1" t="s">
        <v>227</v>
      </c>
      <c r="FB1199" s="1" t="s">
        <v>244</v>
      </c>
      <c r="FD1199" s="1" t="s">
        <v>1112</v>
      </c>
      <c r="FE1199" s="1" t="s">
        <v>247</v>
      </c>
      <c r="FF1199" s="1" t="s">
        <v>248</v>
      </c>
      <c r="FG1199" s="1" t="s">
        <v>912</v>
      </c>
      <c r="FH1199" s="1" t="s">
        <v>550</v>
      </c>
      <c r="FL1199" s="1" t="s">
        <v>358</v>
      </c>
      <c r="FM1199" s="1" t="s">
        <v>252</v>
      </c>
      <c r="FN1199" s="1" t="s">
        <v>213</v>
      </c>
      <c r="FO1199" s="1" t="s">
        <v>213</v>
      </c>
      <c r="FQ1199" s="1" t="s">
        <v>849</v>
      </c>
      <c r="FR1199" s="1" t="s">
        <v>210</v>
      </c>
      <c r="FS1199" s="1" t="s">
        <v>12390</v>
      </c>
      <c r="FT1199" s="1" t="s">
        <v>295</v>
      </c>
      <c r="FU1199" s="1" t="s">
        <v>204</v>
      </c>
      <c r="FW1199" s="1" t="s">
        <v>12391</v>
      </c>
      <c r="FX1199" s="1">
        <v>26078</v>
      </c>
      <c r="FY1199" s="1" t="s">
        <v>12392</v>
      </c>
      <c r="FZ1199" s="1" t="s">
        <v>12393</v>
      </c>
      <c r="GA1199" s="1">
        <v>238961</v>
      </c>
      <c r="GE1199" s="1" t="s">
        <v>210</v>
      </c>
      <c r="GH1199" s="1" t="s">
        <v>230</v>
      </c>
      <c r="GI1199" s="1" t="s">
        <v>204</v>
      </c>
      <c r="GJ1199" s="1" t="s">
        <v>260</v>
      </c>
      <c r="GK1199" s="1" t="s">
        <v>210</v>
      </c>
      <c r="GL1199" s="2">
        <v>42103</v>
      </c>
      <c r="GM1199" s="1" t="s">
        <v>12394</v>
      </c>
    </row>
    <row r="1200" spans="1:195">
      <c r="A1200" s="1">
        <v>120500</v>
      </c>
      <c r="B1200" s="1" t="s">
        <v>195</v>
      </c>
      <c r="C1200" s="1" t="str">
        <f>"08848611"</f>
        <v>08848611</v>
      </c>
      <c r="D1200" s="1" t="s">
        <v>196</v>
      </c>
      <c r="F1200" s="1" t="str">
        <f>"562"</f>
        <v>562</v>
      </c>
      <c r="G1200" s="2">
        <v>42063</v>
      </c>
      <c r="H1200" s="1">
        <v>129900</v>
      </c>
      <c r="I1200" s="1">
        <v>129900</v>
      </c>
      <c r="J1200" s="1">
        <v>120500</v>
      </c>
      <c r="K1200" s="2">
        <v>42063</v>
      </c>
      <c r="L1200" s="1">
        <v>10</v>
      </c>
      <c r="M1200" s="2">
        <v>42072</v>
      </c>
      <c r="N1200" s="1">
        <v>10</v>
      </c>
      <c r="O1200" s="2">
        <v>42072</v>
      </c>
      <c r="P1200" s="1">
        <v>41</v>
      </c>
      <c r="Q1200" s="1" t="s">
        <v>197</v>
      </c>
      <c r="R1200" s="2">
        <v>42124</v>
      </c>
      <c r="S1200" s="1">
        <v>7755</v>
      </c>
      <c r="T1200" s="1">
        <v>1200</v>
      </c>
      <c r="U1200" s="1">
        <v>8318</v>
      </c>
      <c r="V1200" s="1" t="s">
        <v>12395</v>
      </c>
      <c r="W1200" s="1" t="s">
        <v>264</v>
      </c>
      <c r="X1200" s="1" t="s">
        <v>483</v>
      </c>
      <c r="Y1200" s="1">
        <v>4</v>
      </c>
      <c r="Z1200" s="1" t="s">
        <v>249</v>
      </c>
      <c r="AA1200" s="1" t="s">
        <v>899</v>
      </c>
      <c r="AB1200" s="1">
        <v>60561</v>
      </c>
      <c r="AD1200" s="1" t="s">
        <v>6479</v>
      </c>
      <c r="AE1200" s="1" t="s">
        <v>12396</v>
      </c>
      <c r="AF1200" s="1">
        <v>1973</v>
      </c>
      <c r="AG1200" s="1" t="s">
        <v>213</v>
      </c>
      <c r="AH1200" s="1" t="s">
        <v>902</v>
      </c>
      <c r="AI1200" s="1" t="s">
        <v>206</v>
      </c>
      <c r="AJ1200" s="1" t="s">
        <v>903</v>
      </c>
      <c r="AL1200" s="1">
        <v>5</v>
      </c>
      <c r="AM1200" s="1">
        <v>2</v>
      </c>
      <c r="AN1200" s="1">
        <v>1</v>
      </c>
      <c r="AO1200" s="1">
        <v>0</v>
      </c>
      <c r="AP1200" s="1" t="s">
        <v>667</v>
      </c>
      <c r="AR1200" s="1" t="s">
        <v>210</v>
      </c>
      <c r="AS1200" s="1" t="s">
        <v>204</v>
      </c>
      <c r="AT1200" s="1" t="s">
        <v>211</v>
      </c>
      <c r="AU1200" s="1">
        <v>1</v>
      </c>
      <c r="AW1200" s="1" t="s">
        <v>204</v>
      </c>
      <c r="AX1200" s="1" t="s">
        <v>212</v>
      </c>
      <c r="AZ1200" s="1">
        <v>2211</v>
      </c>
      <c r="BA1200" s="1">
        <v>2013</v>
      </c>
      <c r="BE1200" s="1">
        <v>980</v>
      </c>
      <c r="BF1200" s="1">
        <v>2</v>
      </c>
      <c r="BG1200" s="1">
        <v>30</v>
      </c>
      <c r="BL1200" s="1">
        <v>228</v>
      </c>
      <c r="BM1200" s="1" t="s">
        <v>204</v>
      </c>
      <c r="BN1200" s="1" t="s">
        <v>213</v>
      </c>
      <c r="BO1200" s="1" t="s">
        <v>402</v>
      </c>
      <c r="BP1200" s="1" t="s">
        <v>204</v>
      </c>
      <c r="BR1200" s="1" t="str">
        <f>"0934211036"</f>
        <v>0934211036</v>
      </c>
      <c r="BT1200" s="1" t="s">
        <v>12397</v>
      </c>
      <c r="BX1200" s="1">
        <v>63</v>
      </c>
      <c r="BY1200" s="1">
        <v>63</v>
      </c>
      <c r="BZ1200" s="1">
        <v>86</v>
      </c>
      <c r="CB1200" s="1" t="str">
        <f t="shared" ref="CB1200:CC1200" si="924">"0"</f>
        <v>0</v>
      </c>
      <c r="CC1200" s="1" t="str">
        <f t="shared" si="924"/>
        <v>0</v>
      </c>
      <c r="CD1200" s="1">
        <v>17</v>
      </c>
      <c r="CE1200" s="1">
        <v>9</v>
      </c>
      <c r="CG1200" s="1" t="s">
        <v>2935</v>
      </c>
      <c r="CH1200" s="1" t="s">
        <v>219</v>
      </c>
      <c r="CK1200" s="1" t="s">
        <v>1178</v>
      </c>
      <c r="CL1200" s="1" t="s">
        <v>219</v>
      </c>
      <c r="CO1200" s="1" t="s">
        <v>345</v>
      </c>
      <c r="CP1200" s="1" t="s">
        <v>219</v>
      </c>
      <c r="CS1200" s="1" t="s">
        <v>346</v>
      </c>
      <c r="CT1200" s="1" t="s">
        <v>219</v>
      </c>
      <c r="CX1200" s="1" t="s">
        <v>224</v>
      </c>
      <c r="DB1200" s="1" t="s">
        <v>224</v>
      </c>
      <c r="DE1200" s="1" t="s">
        <v>2138</v>
      </c>
      <c r="DF1200" s="1" t="s">
        <v>219</v>
      </c>
      <c r="DG1200" s="1" t="s">
        <v>4958</v>
      </c>
      <c r="DJ1200" s="1" t="s">
        <v>224</v>
      </c>
      <c r="DK1200" s="1" t="s">
        <v>220</v>
      </c>
      <c r="DS1200" s="1" t="s">
        <v>230</v>
      </c>
      <c r="DW1200" s="1" t="s">
        <v>230</v>
      </c>
      <c r="EA1200" s="1" t="s">
        <v>230</v>
      </c>
      <c r="EE1200" s="1" t="s">
        <v>230</v>
      </c>
      <c r="EI1200" s="1" t="s">
        <v>230</v>
      </c>
      <c r="EL1200" s="1" t="s">
        <v>605</v>
      </c>
      <c r="EM1200" s="1" t="s">
        <v>232</v>
      </c>
      <c r="EN1200" s="1" t="s">
        <v>282</v>
      </c>
      <c r="EO1200" s="1" t="s">
        <v>234</v>
      </c>
      <c r="ER1200" s="1" t="s">
        <v>210</v>
      </c>
      <c r="EV1200" s="1" t="s">
        <v>352</v>
      </c>
      <c r="EW1200" s="1" t="s">
        <v>5251</v>
      </c>
      <c r="EZ1200" s="1" t="s">
        <v>287</v>
      </c>
      <c r="FD1200" s="1" t="s">
        <v>246</v>
      </c>
      <c r="FE1200" s="1" t="s">
        <v>247</v>
      </c>
      <c r="FF1200" s="1" t="s">
        <v>248</v>
      </c>
      <c r="FH1200" s="1" t="s">
        <v>249</v>
      </c>
      <c r="FL1200" s="1" t="s">
        <v>358</v>
      </c>
      <c r="FM1200" s="1" t="s">
        <v>252</v>
      </c>
      <c r="FN1200" s="1" t="s">
        <v>213</v>
      </c>
      <c r="FO1200" s="1" t="s">
        <v>213</v>
      </c>
      <c r="FQ1200" s="1" t="s">
        <v>913</v>
      </c>
      <c r="FR1200" s="1" t="s">
        <v>210</v>
      </c>
      <c r="FS1200" s="1" t="s">
        <v>12398</v>
      </c>
      <c r="FT1200" s="1" t="s">
        <v>12399</v>
      </c>
      <c r="FU1200" s="1" t="s">
        <v>204</v>
      </c>
      <c r="FW1200" s="1" t="s">
        <v>12400</v>
      </c>
      <c r="FX1200" s="1">
        <v>24688</v>
      </c>
      <c r="FY1200" s="1" t="s">
        <v>12401</v>
      </c>
      <c r="FZ1200" s="1" t="s">
        <v>12402</v>
      </c>
      <c r="GA1200" s="1">
        <v>244234</v>
      </c>
      <c r="GB1200" s="1" t="s">
        <v>12403</v>
      </c>
      <c r="GE1200" s="1" t="s">
        <v>210</v>
      </c>
      <c r="GI1200" s="1" t="s">
        <v>204</v>
      </c>
      <c r="GJ1200" s="1" t="s">
        <v>260</v>
      </c>
      <c r="GK1200" s="1" t="s">
        <v>210</v>
      </c>
      <c r="GL1200" s="2">
        <v>42129</v>
      </c>
      <c r="GM1200" s="1" t="s">
        <v>12404</v>
      </c>
    </row>
    <row r="1201" spans="1:195">
      <c r="A1201" s="1">
        <v>137000</v>
      </c>
      <c r="B1201" s="1" t="s">
        <v>195</v>
      </c>
      <c r="C1201" s="1" t="str">
        <f>"08848346"</f>
        <v>08848346</v>
      </c>
      <c r="D1201" s="1" t="s">
        <v>196</v>
      </c>
      <c r="F1201" s="1" t="str">
        <f>"538"</f>
        <v>538</v>
      </c>
      <c r="G1201" s="2">
        <v>42062</v>
      </c>
      <c r="H1201" s="1">
        <v>145000</v>
      </c>
      <c r="I1201" s="1">
        <v>140000</v>
      </c>
      <c r="J1201" s="1">
        <v>137000</v>
      </c>
      <c r="K1201" s="2">
        <v>42062</v>
      </c>
      <c r="L1201" s="1">
        <v>24</v>
      </c>
      <c r="M1201" s="2">
        <v>42085</v>
      </c>
      <c r="N1201" s="1">
        <v>24</v>
      </c>
      <c r="O1201" s="2">
        <v>42085</v>
      </c>
      <c r="P1201" s="1">
        <v>300</v>
      </c>
      <c r="Q1201" s="1" t="s">
        <v>197</v>
      </c>
      <c r="R1201" s="2">
        <v>42118</v>
      </c>
      <c r="S1201" s="1">
        <v>313816</v>
      </c>
      <c r="U1201" s="1">
        <v>2234</v>
      </c>
      <c r="V1201" s="1" t="s">
        <v>12405</v>
      </c>
      <c r="W1201" s="1" t="s">
        <v>449</v>
      </c>
      <c r="Y1201" s="1">
        <v>4</v>
      </c>
      <c r="Z1201" s="1" t="s">
        <v>370</v>
      </c>
      <c r="AA1201" s="1" t="s">
        <v>450</v>
      </c>
      <c r="AB1201" s="1">
        <v>60538</v>
      </c>
      <c r="AD1201" s="1" t="s">
        <v>12406</v>
      </c>
      <c r="AE1201" s="1" t="s">
        <v>12407</v>
      </c>
      <c r="AF1201" s="1">
        <v>2005</v>
      </c>
      <c r="AG1201" s="1" t="s">
        <v>204</v>
      </c>
      <c r="AH1201" s="1" t="s">
        <v>452</v>
      </c>
      <c r="AI1201" s="1" t="s">
        <v>453</v>
      </c>
      <c r="AJ1201" s="1" t="s">
        <v>454</v>
      </c>
      <c r="AL1201" s="1">
        <v>6</v>
      </c>
      <c r="AM1201" s="1">
        <v>2</v>
      </c>
      <c r="AN1201" s="1">
        <v>2</v>
      </c>
      <c r="AO1201" s="1">
        <v>1</v>
      </c>
      <c r="AP1201" s="1" t="s">
        <v>209</v>
      </c>
      <c r="AQ1201" s="1">
        <v>0</v>
      </c>
      <c r="AR1201" s="1" t="s">
        <v>210</v>
      </c>
      <c r="AS1201" s="1" t="s">
        <v>204</v>
      </c>
      <c r="AT1201" s="1" t="s">
        <v>211</v>
      </c>
      <c r="AU1201" s="1">
        <v>2</v>
      </c>
      <c r="AW1201" s="1" t="s">
        <v>204</v>
      </c>
      <c r="AX1201" s="1" t="s">
        <v>212</v>
      </c>
      <c r="AZ1201" s="1">
        <v>4850.18</v>
      </c>
      <c r="BA1201" s="1">
        <v>2012</v>
      </c>
      <c r="BB1201" s="1" t="s">
        <v>405</v>
      </c>
      <c r="BE1201" s="1">
        <v>1591</v>
      </c>
      <c r="BF1201" s="1">
        <v>1</v>
      </c>
      <c r="BG1201" s="1">
        <v>0</v>
      </c>
      <c r="BL1201" s="1">
        <v>203</v>
      </c>
      <c r="BM1201" s="1" t="s">
        <v>204</v>
      </c>
      <c r="BN1201" s="1" t="s">
        <v>213</v>
      </c>
      <c r="BO1201" s="1">
        <v>999</v>
      </c>
      <c r="BP1201" s="1" t="s">
        <v>204</v>
      </c>
      <c r="BR1201" s="1" t="str">
        <f>"0202102020"</f>
        <v>0202102020</v>
      </c>
      <c r="BT1201" s="1" t="s">
        <v>12408</v>
      </c>
      <c r="BU1201" s="1" t="s">
        <v>458</v>
      </c>
      <c r="BV1201" s="1" t="s">
        <v>2574</v>
      </c>
      <c r="BW1201" s="1" t="s">
        <v>460</v>
      </c>
      <c r="BX1201" s="1">
        <v>308</v>
      </c>
      <c r="BY1201" s="1">
        <v>308</v>
      </c>
      <c r="BZ1201" s="1">
        <v>308</v>
      </c>
      <c r="CB1201" s="1" t="str">
        <f t="shared" ref="CB1201:CC1201" si="925">"0"</f>
        <v>0</v>
      </c>
      <c r="CC1201" s="1" t="str">
        <f t="shared" si="925"/>
        <v>0</v>
      </c>
      <c r="CD1201" s="1">
        <v>39</v>
      </c>
      <c r="CE1201" s="1">
        <v>10</v>
      </c>
      <c r="CG1201" s="1" t="s">
        <v>12409</v>
      </c>
      <c r="CH1201" s="1" t="s">
        <v>219</v>
      </c>
      <c r="CI1201" s="1" t="s">
        <v>229</v>
      </c>
      <c r="CJ1201" s="1" t="s">
        <v>343</v>
      </c>
      <c r="CK1201" s="1" t="s">
        <v>1403</v>
      </c>
      <c r="CL1201" s="1" t="s">
        <v>277</v>
      </c>
      <c r="CM1201" s="1" t="s">
        <v>220</v>
      </c>
      <c r="CN1201" s="1" t="s">
        <v>909</v>
      </c>
      <c r="CO1201" s="1" t="s">
        <v>1046</v>
      </c>
      <c r="CP1201" s="1" t="s">
        <v>219</v>
      </c>
      <c r="CQ1201" s="1" t="s">
        <v>229</v>
      </c>
      <c r="CR1201" s="1" t="s">
        <v>343</v>
      </c>
      <c r="CS1201" s="1" t="s">
        <v>3318</v>
      </c>
      <c r="CT1201" s="1" t="s">
        <v>277</v>
      </c>
      <c r="CU1201" s="1" t="s">
        <v>220</v>
      </c>
      <c r="CV1201" s="1" t="s">
        <v>343</v>
      </c>
      <c r="CX1201" s="1" t="s">
        <v>224</v>
      </c>
      <c r="DB1201" s="1" t="s">
        <v>224</v>
      </c>
      <c r="DE1201" s="1" t="s">
        <v>4098</v>
      </c>
      <c r="DF1201" s="1" t="s">
        <v>219</v>
      </c>
      <c r="DG1201" s="1" t="s">
        <v>229</v>
      </c>
      <c r="DH1201" s="1" t="s">
        <v>210</v>
      </c>
      <c r="DJ1201" s="1" t="s">
        <v>224</v>
      </c>
      <c r="DM1201" s="1" t="s">
        <v>464</v>
      </c>
      <c r="DR1201" s="1" t="s">
        <v>836</v>
      </c>
      <c r="DS1201" s="1" t="s">
        <v>277</v>
      </c>
      <c r="DT1201" s="1" t="s">
        <v>220</v>
      </c>
      <c r="DU1201" s="1" t="s">
        <v>343</v>
      </c>
      <c r="DW1201" s="1" t="s">
        <v>230</v>
      </c>
      <c r="EA1201" s="1" t="s">
        <v>230</v>
      </c>
      <c r="EE1201" s="1" t="s">
        <v>230</v>
      </c>
      <c r="EI1201" s="1" t="s">
        <v>230</v>
      </c>
      <c r="EL1201" s="1" t="s">
        <v>491</v>
      </c>
      <c r="EM1201" s="1" t="s">
        <v>319</v>
      </c>
      <c r="EN1201" s="1" t="s">
        <v>282</v>
      </c>
      <c r="EO1201" s="1" t="s">
        <v>234</v>
      </c>
      <c r="EP1201" s="1" t="s">
        <v>1268</v>
      </c>
      <c r="EQ1201" s="1" t="s">
        <v>2188</v>
      </c>
      <c r="ER1201" s="1" t="s">
        <v>210</v>
      </c>
      <c r="ES1201" s="1" t="s">
        <v>1552</v>
      </c>
      <c r="ET1201" s="1" t="s">
        <v>1404</v>
      </c>
      <c r="EU1201" s="1" t="s">
        <v>610</v>
      </c>
      <c r="EV1201" s="1" t="s">
        <v>324</v>
      </c>
      <c r="EW1201" s="1" t="s">
        <v>286</v>
      </c>
      <c r="EY1201" s="1" t="s">
        <v>1315</v>
      </c>
      <c r="EZ1201" s="1" t="s">
        <v>464</v>
      </c>
      <c r="FA1201" s="1" t="s">
        <v>1072</v>
      </c>
      <c r="FB1201" s="1" t="s">
        <v>289</v>
      </c>
      <c r="FC1201" s="1" t="s">
        <v>1386</v>
      </c>
      <c r="FD1201" s="1" t="s">
        <v>495</v>
      </c>
      <c r="FE1201" s="1" t="s">
        <v>765</v>
      </c>
      <c r="FF1201" s="1" t="s">
        <v>248</v>
      </c>
      <c r="FH1201" s="1" t="s">
        <v>550</v>
      </c>
      <c r="FI1201" s="1" t="s">
        <v>473</v>
      </c>
      <c r="FJ1201" s="1" t="s">
        <v>1251</v>
      </c>
      <c r="FL1201" s="1" t="s">
        <v>358</v>
      </c>
      <c r="FM1201" s="1" t="s">
        <v>252</v>
      </c>
      <c r="FN1201" s="1" t="s">
        <v>213</v>
      </c>
      <c r="FO1201" s="1" t="s">
        <v>204</v>
      </c>
      <c r="FQ1201" s="1" t="s">
        <v>4005</v>
      </c>
      <c r="FR1201" s="1" t="s">
        <v>210</v>
      </c>
      <c r="FS1201" s="1" t="s">
        <v>12410</v>
      </c>
      <c r="FT1201" s="1" t="s">
        <v>295</v>
      </c>
      <c r="FU1201" s="1" t="s">
        <v>204</v>
      </c>
      <c r="FW1201" s="1" t="s">
        <v>12411</v>
      </c>
      <c r="FX1201" s="1">
        <v>21962</v>
      </c>
      <c r="FY1201" s="1" t="s">
        <v>12412</v>
      </c>
      <c r="FZ1201" s="1" t="s">
        <v>12413</v>
      </c>
      <c r="GA1201" s="1">
        <v>220376</v>
      </c>
      <c r="GB1201" s="1" t="s">
        <v>12412</v>
      </c>
      <c r="GE1201" s="1" t="s">
        <v>210</v>
      </c>
      <c r="GI1201" s="1" t="s">
        <v>213</v>
      </c>
      <c r="GJ1201" s="1" t="s">
        <v>260</v>
      </c>
      <c r="GK1201" s="1" t="s">
        <v>210</v>
      </c>
      <c r="GL1201" s="2">
        <v>42118</v>
      </c>
    </row>
    <row r="1202" spans="1:195">
      <c r="A1202" s="1">
        <v>330000</v>
      </c>
      <c r="B1202" s="1" t="s">
        <v>195</v>
      </c>
      <c r="C1202" s="1" t="str">
        <f>"08848079"</f>
        <v>08848079</v>
      </c>
      <c r="D1202" s="1" t="s">
        <v>196</v>
      </c>
      <c r="F1202" s="1" t="str">
        <f>"515"</f>
        <v>515</v>
      </c>
      <c r="G1202" s="2">
        <v>42062</v>
      </c>
      <c r="H1202" s="1">
        <v>339000</v>
      </c>
      <c r="I1202" s="1">
        <v>339000</v>
      </c>
      <c r="J1202" s="1">
        <v>330000</v>
      </c>
      <c r="K1202" s="2">
        <v>42062</v>
      </c>
      <c r="L1202" s="1">
        <v>12</v>
      </c>
      <c r="M1202" s="2">
        <v>42073</v>
      </c>
      <c r="N1202" s="1">
        <v>12</v>
      </c>
      <c r="O1202" s="2">
        <v>42073</v>
      </c>
      <c r="P1202" s="1">
        <v>22097</v>
      </c>
      <c r="Q1202" s="1" t="s">
        <v>302</v>
      </c>
      <c r="R1202" s="2">
        <v>42109</v>
      </c>
      <c r="S1202" s="1">
        <v>220283</v>
      </c>
      <c r="U1202" s="1">
        <v>2259</v>
      </c>
      <c r="V1202" s="1" t="s">
        <v>12414</v>
      </c>
      <c r="W1202" s="1" t="s">
        <v>264</v>
      </c>
      <c r="Y1202" s="1">
        <v>4</v>
      </c>
      <c r="Z1202" s="1" t="s">
        <v>370</v>
      </c>
      <c r="AA1202" s="1" t="s">
        <v>1294</v>
      </c>
      <c r="AB1202" s="1">
        <v>60515</v>
      </c>
      <c r="AD1202" s="1" t="s">
        <v>12415</v>
      </c>
      <c r="AE1202" s="1" t="s">
        <v>12416</v>
      </c>
      <c r="AF1202" s="1">
        <v>1998</v>
      </c>
      <c r="AG1202" s="1" t="s">
        <v>204</v>
      </c>
      <c r="AH1202" s="1" t="s">
        <v>903</v>
      </c>
      <c r="AI1202" s="1" t="s">
        <v>206</v>
      </c>
      <c r="AJ1202" s="1" t="s">
        <v>903</v>
      </c>
      <c r="AK1202" s="1" t="s">
        <v>12417</v>
      </c>
      <c r="AL1202" s="1">
        <v>6</v>
      </c>
      <c r="AM1202" s="1">
        <v>2</v>
      </c>
      <c r="AN1202" s="1">
        <v>2</v>
      </c>
      <c r="AO1202" s="1">
        <v>1</v>
      </c>
      <c r="AP1202" s="1" t="s">
        <v>209</v>
      </c>
      <c r="AQ1202" s="1">
        <v>1</v>
      </c>
      <c r="AR1202" s="1" t="s">
        <v>209</v>
      </c>
      <c r="AS1202" s="1" t="s">
        <v>204</v>
      </c>
      <c r="AT1202" s="1" t="s">
        <v>211</v>
      </c>
      <c r="AU1202" s="1">
        <v>2</v>
      </c>
      <c r="AW1202" s="1" t="s">
        <v>204</v>
      </c>
      <c r="AX1202" s="1" t="s">
        <v>12418</v>
      </c>
      <c r="AZ1202" s="1">
        <v>6146</v>
      </c>
      <c r="BA1202" s="1">
        <v>2013</v>
      </c>
      <c r="BB1202" s="1" t="s">
        <v>405</v>
      </c>
      <c r="BE1202" s="1">
        <v>1638</v>
      </c>
      <c r="BF1202" s="1">
        <v>1</v>
      </c>
      <c r="BG1202" s="1">
        <v>30</v>
      </c>
      <c r="BL1202" s="1">
        <v>300</v>
      </c>
      <c r="BM1202" s="1" t="s">
        <v>213</v>
      </c>
      <c r="BN1202" s="1" t="s">
        <v>213</v>
      </c>
      <c r="BO1202" s="1">
        <v>999</v>
      </c>
      <c r="BP1202" s="1" t="s">
        <v>204</v>
      </c>
      <c r="BR1202" s="1" t="str">
        <f>"0813222029"</f>
        <v>0813222029</v>
      </c>
      <c r="BT1202" s="1" t="s">
        <v>12419</v>
      </c>
      <c r="BU1202" s="1" t="s">
        <v>12420</v>
      </c>
      <c r="BV1202" s="1" t="s">
        <v>2761</v>
      </c>
      <c r="BW1202" s="1" t="s">
        <v>2762</v>
      </c>
      <c r="BX1202" s="1">
        <v>58</v>
      </c>
      <c r="BY1202" s="1">
        <v>58</v>
      </c>
      <c r="BZ1202" s="1">
        <v>99</v>
      </c>
      <c r="CB1202" s="1" t="str">
        <f t="shared" ref="CB1202:CC1202" si="926">""</f>
        <v/>
      </c>
      <c r="CC1202" s="1" t="str">
        <f t="shared" si="926"/>
        <v/>
      </c>
      <c r="CG1202" s="1" t="s">
        <v>862</v>
      </c>
      <c r="CH1202" s="1" t="s">
        <v>219</v>
      </c>
      <c r="CI1202" s="1" t="s">
        <v>438</v>
      </c>
      <c r="CJ1202" s="1" t="s">
        <v>343</v>
      </c>
      <c r="CK1202" s="1" t="s">
        <v>581</v>
      </c>
      <c r="CL1202" s="1" t="s">
        <v>277</v>
      </c>
      <c r="CM1202" s="1" t="s">
        <v>220</v>
      </c>
      <c r="CN1202" s="1" t="s">
        <v>343</v>
      </c>
      <c r="CO1202" s="1" t="s">
        <v>465</v>
      </c>
      <c r="CP1202" s="1" t="s">
        <v>219</v>
      </c>
      <c r="CQ1202" s="1" t="s">
        <v>438</v>
      </c>
      <c r="CR1202" s="1" t="s">
        <v>463</v>
      </c>
      <c r="CS1202" s="1" t="s">
        <v>465</v>
      </c>
      <c r="CT1202" s="1" t="s">
        <v>277</v>
      </c>
      <c r="CU1202" s="1" t="s">
        <v>220</v>
      </c>
      <c r="CV1202" s="1" t="s">
        <v>343</v>
      </c>
      <c r="CX1202" s="1" t="s">
        <v>224</v>
      </c>
      <c r="DB1202" s="1" t="s">
        <v>224</v>
      </c>
      <c r="DE1202" s="1" t="s">
        <v>281</v>
      </c>
      <c r="DF1202" s="1" t="s">
        <v>219</v>
      </c>
      <c r="DG1202" s="1" t="s">
        <v>438</v>
      </c>
      <c r="DH1202" s="1" t="s">
        <v>343</v>
      </c>
      <c r="DJ1202" s="1" t="s">
        <v>224</v>
      </c>
      <c r="DM1202" s="1" t="s">
        <v>1548</v>
      </c>
      <c r="DR1202" s="1" t="s">
        <v>222</v>
      </c>
      <c r="DS1202" s="1" t="s">
        <v>219</v>
      </c>
      <c r="DT1202" s="1" t="s">
        <v>438</v>
      </c>
      <c r="DU1202" s="1" t="s">
        <v>343</v>
      </c>
      <c r="DW1202" s="1" t="s">
        <v>230</v>
      </c>
      <c r="EA1202" s="1" t="s">
        <v>230</v>
      </c>
      <c r="EE1202" s="1" t="s">
        <v>230</v>
      </c>
      <c r="EI1202" s="1" t="s">
        <v>230</v>
      </c>
      <c r="EL1202" s="1" t="s">
        <v>670</v>
      </c>
      <c r="EM1202" s="1" t="s">
        <v>730</v>
      </c>
      <c r="EN1202" s="1" t="s">
        <v>282</v>
      </c>
      <c r="EO1202" s="1" t="s">
        <v>234</v>
      </c>
      <c r="EP1202" s="1" t="s">
        <v>650</v>
      </c>
      <c r="EQ1202" s="1" t="s">
        <v>236</v>
      </c>
      <c r="ER1202" s="1" t="s">
        <v>1249</v>
      </c>
      <c r="ES1202" s="1" t="s">
        <v>865</v>
      </c>
      <c r="ET1202" s="1" t="s">
        <v>1201</v>
      </c>
      <c r="EU1202" s="1" t="s">
        <v>3670</v>
      </c>
      <c r="EV1202" s="1" t="s">
        <v>324</v>
      </c>
      <c r="EW1202" s="1" t="s">
        <v>1804</v>
      </c>
      <c r="EY1202" s="1" t="s">
        <v>242</v>
      </c>
      <c r="EZ1202" s="1" t="s">
        <v>1548</v>
      </c>
      <c r="FA1202" s="1" t="s">
        <v>12421</v>
      </c>
      <c r="FB1202" s="1" t="s">
        <v>289</v>
      </c>
      <c r="FC1202" s="1" t="s">
        <v>548</v>
      </c>
      <c r="FD1202" s="1" t="s">
        <v>246</v>
      </c>
      <c r="FE1202" s="1" t="s">
        <v>549</v>
      </c>
      <c r="FF1202" s="1" t="s">
        <v>248</v>
      </c>
      <c r="FG1202" s="1" t="s">
        <v>7724</v>
      </c>
      <c r="FH1202" s="1" t="s">
        <v>550</v>
      </c>
      <c r="FI1202" s="1" t="s">
        <v>473</v>
      </c>
      <c r="FJ1202" s="1" t="s">
        <v>197</v>
      </c>
      <c r="FL1202" s="1" t="s">
        <v>358</v>
      </c>
      <c r="FM1202" s="1" t="s">
        <v>252</v>
      </c>
      <c r="FN1202" s="1" t="s">
        <v>213</v>
      </c>
      <c r="FO1202" s="1" t="s">
        <v>213</v>
      </c>
      <c r="FQ1202" s="1" t="s">
        <v>913</v>
      </c>
      <c r="FR1202" s="1" t="s">
        <v>210</v>
      </c>
      <c r="FS1202" s="1" t="s">
        <v>12422</v>
      </c>
      <c r="FT1202" s="1" t="s">
        <v>295</v>
      </c>
      <c r="FU1202" s="1" t="s">
        <v>204</v>
      </c>
      <c r="FW1202" s="1" t="s">
        <v>915</v>
      </c>
      <c r="FX1202" s="1">
        <v>22205</v>
      </c>
      <c r="FY1202" s="1" t="s">
        <v>2484</v>
      </c>
      <c r="FZ1202" s="1" t="s">
        <v>6305</v>
      </c>
      <c r="GA1202" s="1">
        <v>221379</v>
      </c>
      <c r="GB1202" s="1" t="s">
        <v>6306</v>
      </c>
      <c r="GD1202" s="1" t="s">
        <v>6307</v>
      </c>
      <c r="GE1202" s="1" t="s">
        <v>1256</v>
      </c>
      <c r="GI1202" s="1" t="s">
        <v>213</v>
      </c>
      <c r="GJ1202" s="1" t="s">
        <v>260</v>
      </c>
      <c r="GK1202" s="1" t="s">
        <v>210</v>
      </c>
      <c r="GL1202" s="2">
        <v>42110</v>
      </c>
      <c r="GM1202" s="1" t="s">
        <v>12423</v>
      </c>
    </row>
    <row r="1203" spans="1:195">
      <c r="A1203" s="1">
        <v>148600</v>
      </c>
      <c r="B1203" s="1" t="s">
        <v>195</v>
      </c>
      <c r="C1203" s="1" t="str">
        <f>"08850191"</f>
        <v>08850191</v>
      </c>
      <c r="D1203" s="1" t="s">
        <v>196</v>
      </c>
      <c r="F1203" s="1" t="str">
        <f>"19"</f>
        <v>19</v>
      </c>
      <c r="G1203" s="2">
        <v>42065</v>
      </c>
      <c r="H1203" s="1">
        <v>139333</v>
      </c>
      <c r="I1203" s="1">
        <v>139333</v>
      </c>
      <c r="J1203" s="1">
        <v>148600</v>
      </c>
      <c r="K1203" s="2">
        <v>42065</v>
      </c>
      <c r="L1203" s="1">
        <v>8</v>
      </c>
      <c r="M1203" s="2">
        <v>42072</v>
      </c>
      <c r="N1203" s="1">
        <v>8</v>
      </c>
      <c r="O1203" s="2">
        <v>42072</v>
      </c>
      <c r="P1203" s="1">
        <v>6018</v>
      </c>
      <c r="Q1203" s="1" t="s">
        <v>423</v>
      </c>
      <c r="R1203" s="2">
        <v>42124</v>
      </c>
      <c r="S1203" s="1">
        <v>62756</v>
      </c>
      <c r="U1203" s="1">
        <v>117</v>
      </c>
      <c r="V1203" s="1" t="s">
        <v>12424</v>
      </c>
      <c r="W1203" s="1" t="s">
        <v>304</v>
      </c>
      <c r="Y1203" s="1">
        <v>4</v>
      </c>
      <c r="Z1203" s="1" t="s">
        <v>249</v>
      </c>
      <c r="AA1203" s="1" t="s">
        <v>1013</v>
      </c>
      <c r="AB1203" s="1">
        <v>60020</v>
      </c>
      <c r="AD1203" s="1" t="s">
        <v>12425</v>
      </c>
      <c r="AE1203" s="1" t="s">
        <v>12426</v>
      </c>
      <c r="AF1203" s="1">
        <v>2004</v>
      </c>
      <c r="AG1203" s="1" t="s">
        <v>204</v>
      </c>
      <c r="AH1203" s="1" t="s">
        <v>1015</v>
      </c>
      <c r="AI1203" s="1" t="s">
        <v>509</v>
      </c>
      <c r="AJ1203" s="1" t="s">
        <v>1016</v>
      </c>
      <c r="AK1203" s="1" t="s">
        <v>12427</v>
      </c>
      <c r="AL1203" s="1">
        <v>7</v>
      </c>
      <c r="AM1203" s="1">
        <v>2</v>
      </c>
      <c r="AN1203" s="1">
        <v>2</v>
      </c>
      <c r="AO1203" s="1">
        <v>1</v>
      </c>
      <c r="AP1203" s="1" t="s">
        <v>209</v>
      </c>
      <c r="AR1203" s="1" t="s">
        <v>210</v>
      </c>
      <c r="AT1203" s="1" t="s">
        <v>211</v>
      </c>
      <c r="AU1203" s="1">
        <v>2</v>
      </c>
      <c r="AW1203" s="1" t="s">
        <v>204</v>
      </c>
      <c r="AX1203" s="1" t="s">
        <v>579</v>
      </c>
      <c r="AZ1203" s="1">
        <v>3342</v>
      </c>
      <c r="BA1203" s="1">
        <v>2013</v>
      </c>
      <c r="BB1203" s="1" t="s">
        <v>405</v>
      </c>
      <c r="BE1203" s="1">
        <v>1725</v>
      </c>
      <c r="BF1203" s="1">
        <v>1</v>
      </c>
      <c r="BG1203" s="1">
        <v>0</v>
      </c>
      <c r="BJ1203" s="1">
        <v>90</v>
      </c>
      <c r="BL1203" s="1">
        <v>195</v>
      </c>
      <c r="BM1203" s="1" t="s">
        <v>204</v>
      </c>
      <c r="BN1203" s="1" t="s">
        <v>213</v>
      </c>
      <c r="BO1203" s="1">
        <v>100</v>
      </c>
      <c r="BP1203" s="1" t="s">
        <v>204</v>
      </c>
      <c r="BR1203" s="1" t="str">
        <f>"05224011300000"</f>
        <v>05224011300000</v>
      </c>
      <c r="BT1203" s="1" t="s">
        <v>12428</v>
      </c>
      <c r="BU1203" s="1" t="s">
        <v>6488</v>
      </c>
      <c r="BV1203" s="1" t="s">
        <v>6154</v>
      </c>
      <c r="BW1203" s="1" t="s">
        <v>2264</v>
      </c>
      <c r="BX1203" s="1">
        <v>38</v>
      </c>
      <c r="BY1203" s="1">
        <v>38</v>
      </c>
      <c r="BZ1203" s="1">
        <v>124</v>
      </c>
      <c r="CB1203" s="1" t="str">
        <f>"34"</f>
        <v>34</v>
      </c>
      <c r="CC1203" s="1" t="str">
        <f t="shared" ref="CC1203:CC1205" si="927">"0"</f>
        <v>0</v>
      </c>
      <c r="CD1203" s="1">
        <v>27</v>
      </c>
      <c r="CE1203" s="1">
        <v>0</v>
      </c>
      <c r="CG1203" s="1" t="s">
        <v>462</v>
      </c>
      <c r="CH1203" s="1" t="s">
        <v>219</v>
      </c>
      <c r="CI1203" s="1" t="s">
        <v>438</v>
      </c>
      <c r="CK1203" s="1" t="s">
        <v>1995</v>
      </c>
      <c r="CL1203" s="1" t="s">
        <v>277</v>
      </c>
      <c r="CM1203" s="1" t="s">
        <v>220</v>
      </c>
      <c r="CO1203" s="1" t="s">
        <v>1469</v>
      </c>
      <c r="CP1203" s="1" t="s">
        <v>219</v>
      </c>
      <c r="CQ1203" s="1" t="s">
        <v>438</v>
      </c>
      <c r="CS1203" s="1" t="s">
        <v>1469</v>
      </c>
      <c r="CT1203" s="1" t="s">
        <v>277</v>
      </c>
      <c r="CU1203" s="1" t="s">
        <v>220</v>
      </c>
      <c r="CX1203" s="1" t="s">
        <v>224</v>
      </c>
      <c r="DB1203" s="1" t="s">
        <v>224</v>
      </c>
      <c r="DE1203" s="1" t="s">
        <v>1046</v>
      </c>
      <c r="DF1203" s="1" t="s">
        <v>219</v>
      </c>
      <c r="DG1203" s="1" t="s">
        <v>438</v>
      </c>
      <c r="DI1203" s="1" t="s">
        <v>1177</v>
      </c>
      <c r="DJ1203" s="1" t="s">
        <v>219</v>
      </c>
      <c r="DK1203" s="1" t="s">
        <v>438</v>
      </c>
      <c r="DM1203" s="1" t="s">
        <v>464</v>
      </c>
      <c r="DR1203" s="1" t="s">
        <v>1469</v>
      </c>
      <c r="DS1203" s="1" t="s">
        <v>277</v>
      </c>
      <c r="DT1203" s="1" t="s">
        <v>220</v>
      </c>
      <c r="DW1203" s="1" t="s">
        <v>230</v>
      </c>
      <c r="EA1203" s="1" t="s">
        <v>230</v>
      </c>
      <c r="EE1203" s="1" t="s">
        <v>230</v>
      </c>
      <c r="EI1203" s="1" t="s">
        <v>230</v>
      </c>
      <c r="EL1203" s="1" t="s">
        <v>466</v>
      </c>
      <c r="EM1203" s="1" t="s">
        <v>319</v>
      </c>
      <c r="EN1203" s="1" t="s">
        <v>282</v>
      </c>
      <c r="EO1203" s="1" t="s">
        <v>234</v>
      </c>
      <c r="EP1203" s="1" t="s">
        <v>650</v>
      </c>
      <c r="EQ1203" s="1" t="s">
        <v>953</v>
      </c>
      <c r="ER1203" s="1" t="s">
        <v>210</v>
      </c>
      <c r="ES1203" s="1" t="s">
        <v>493</v>
      </c>
      <c r="EU1203" s="1" t="s">
        <v>610</v>
      </c>
      <c r="EV1203" s="1" t="s">
        <v>240</v>
      </c>
      <c r="EW1203" s="1" t="s">
        <v>5806</v>
      </c>
      <c r="EZ1203" s="1" t="s">
        <v>464</v>
      </c>
      <c r="FA1203" s="1" t="s">
        <v>714</v>
      </c>
      <c r="FD1203" s="1" t="s">
        <v>246</v>
      </c>
      <c r="FE1203" s="1" t="s">
        <v>247</v>
      </c>
      <c r="FF1203" s="1" t="s">
        <v>248</v>
      </c>
      <c r="FH1203" s="1" t="s">
        <v>550</v>
      </c>
      <c r="FI1203" s="1" t="s">
        <v>473</v>
      </c>
      <c r="FJ1203" s="1" t="s">
        <v>518</v>
      </c>
      <c r="FL1203" s="1" t="s">
        <v>358</v>
      </c>
      <c r="FM1203" s="1" t="s">
        <v>252</v>
      </c>
      <c r="FN1203" s="1" t="s">
        <v>213</v>
      </c>
      <c r="FO1203" s="1" t="s">
        <v>213</v>
      </c>
      <c r="FQ1203" s="1" t="s">
        <v>12429</v>
      </c>
      <c r="FR1203" s="1" t="s">
        <v>210</v>
      </c>
      <c r="FS1203" s="1" t="s">
        <v>5680</v>
      </c>
      <c r="FT1203" s="1" t="s">
        <v>295</v>
      </c>
      <c r="FU1203" s="1" t="s">
        <v>204</v>
      </c>
      <c r="FW1203" s="1" t="s">
        <v>1637</v>
      </c>
      <c r="FX1203" s="1">
        <v>2626</v>
      </c>
      <c r="FY1203" s="1" t="s">
        <v>1638</v>
      </c>
      <c r="FZ1203" s="1" t="s">
        <v>12430</v>
      </c>
      <c r="GA1203" s="1">
        <v>923158</v>
      </c>
      <c r="GB1203" s="1" t="s">
        <v>12431</v>
      </c>
      <c r="GE1203" s="1" t="s">
        <v>210</v>
      </c>
      <c r="GI1203" s="1" t="s">
        <v>213</v>
      </c>
      <c r="GJ1203" s="1" t="s">
        <v>260</v>
      </c>
      <c r="GK1203" s="1" t="s">
        <v>210</v>
      </c>
      <c r="GL1203" s="2">
        <v>42128</v>
      </c>
      <c r="GM1203" s="1" t="s">
        <v>12432</v>
      </c>
    </row>
    <row r="1204" spans="1:195">
      <c r="A1204" s="1">
        <v>190000</v>
      </c>
      <c r="B1204" s="1" t="s">
        <v>195</v>
      </c>
      <c r="C1204" s="1" t="str">
        <f>"08850687"</f>
        <v>08850687</v>
      </c>
      <c r="D1204" s="1" t="s">
        <v>196</v>
      </c>
      <c r="F1204" s="1" t="str">
        <f>"172"</f>
        <v>172</v>
      </c>
      <c r="G1204" s="2">
        <v>42065</v>
      </c>
      <c r="H1204" s="1">
        <v>196500</v>
      </c>
      <c r="I1204" s="1">
        <v>196500</v>
      </c>
      <c r="J1204" s="1">
        <v>190000</v>
      </c>
      <c r="K1204" s="2">
        <v>42065</v>
      </c>
      <c r="L1204" s="1">
        <v>139</v>
      </c>
      <c r="M1204" s="2">
        <v>42093</v>
      </c>
      <c r="N1204" s="1">
        <v>29</v>
      </c>
      <c r="O1204" s="2">
        <v>42093</v>
      </c>
      <c r="P1204" s="1">
        <v>26020</v>
      </c>
      <c r="Q1204" s="1" t="s">
        <v>302</v>
      </c>
      <c r="R1204" s="2">
        <v>42139</v>
      </c>
      <c r="S1204" s="1">
        <v>241484</v>
      </c>
      <c r="U1204" s="1">
        <v>50</v>
      </c>
      <c r="V1204" s="1" t="s">
        <v>12433</v>
      </c>
      <c r="W1204" s="1" t="s">
        <v>725</v>
      </c>
      <c r="X1204" s="1">
        <v>338</v>
      </c>
      <c r="Y1204" s="1">
        <v>30</v>
      </c>
      <c r="Z1204" s="1" t="s">
        <v>249</v>
      </c>
      <c r="AA1204" s="1" t="s">
        <v>266</v>
      </c>
      <c r="AB1204" s="1">
        <v>60172</v>
      </c>
      <c r="AD1204" s="1" t="s">
        <v>12434</v>
      </c>
      <c r="AE1204" s="1" t="s">
        <v>12435</v>
      </c>
      <c r="AF1204" s="1">
        <v>2005</v>
      </c>
      <c r="AG1204" s="1" t="s">
        <v>204</v>
      </c>
      <c r="AH1204" s="1" t="s">
        <v>3952</v>
      </c>
      <c r="AI1204" s="1" t="s">
        <v>206</v>
      </c>
      <c r="AJ1204" s="1" t="s">
        <v>269</v>
      </c>
      <c r="AL1204" s="1">
        <v>5</v>
      </c>
      <c r="AM1204" s="1">
        <v>2</v>
      </c>
      <c r="AN1204" s="1">
        <v>2</v>
      </c>
      <c r="AO1204" s="1">
        <v>0</v>
      </c>
      <c r="AP1204" s="1" t="s">
        <v>209</v>
      </c>
      <c r="AR1204" s="1" t="s">
        <v>210</v>
      </c>
      <c r="AS1204" s="1" t="s">
        <v>204</v>
      </c>
      <c r="AT1204" s="1" t="s">
        <v>211</v>
      </c>
      <c r="AU1204" s="1">
        <v>1</v>
      </c>
      <c r="AW1204" s="1" t="s">
        <v>204</v>
      </c>
      <c r="AX1204" s="1" t="s">
        <v>212</v>
      </c>
      <c r="AZ1204" s="1">
        <v>3767</v>
      </c>
      <c r="BA1204" s="1">
        <v>2013</v>
      </c>
      <c r="BE1204" s="1">
        <v>1678</v>
      </c>
      <c r="BF1204" s="1">
        <v>3</v>
      </c>
      <c r="BG1204" s="1">
        <v>1</v>
      </c>
      <c r="BJ1204" s="1">
        <v>100</v>
      </c>
      <c r="BL1204" s="1">
        <v>295</v>
      </c>
      <c r="BM1204" s="1" t="s">
        <v>204</v>
      </c>
      <c r="BN1204" s="1" t="s">
        <v>213</v>
      </c>
      <c r="BO1204" s="1">
        <v>30</v>
      </c>
      <c r="BP1204" s="1" t="s">
        <v>204</v>
      </c>
      <c r="BR1204" s="1" t="str">
        <f>"0203222072"</f>
        <v>0203222072</v>
      </c>
      <c r="BT1204" s="1" t="s">
        <v>12436</v>
      </c>
      <c r="BX1204" s="1">
        <v>12</v>
      </c>
      <c r="BY1204" s="1">
        <v>12</v>
      </c>
      <c r="BZ1204" s="1">
        <v>108</v>
      </c>
      <c r="CB1204" s="1" t="str">
        <f>"7"</f>
        <v>7</v>
      </c>
      <c r="CC1204" s="1" t="str">
        <f t="shared" si="927"/>
        <v>0</v>
      </c>
      <c r="CD1204" s="1">
        <v>23</v>
      </c>
      <c r="CE1204" s="1">
        <v>0</v>
      </c>
      <c r="CG1204" s="1" t="s">
        <v>1132</v>
      </c>
      <c r="CH1204" s="1" t="s">
        <v>219</v>
      </c>
      <c r="CI1204" s="1" t="s">
        <v>438</v>
      </c>
      <c r="CJ1204" s="1" t="s">
        <v>343</v>
      </c>
      <c r="CK1204" s="1" t="s">
        <v>314</v>
      </c>
      <c r="CL1204" s="1" t="s">
        <v>219</v>
      </c>
      <c r="CM1204" s="1" t="s">
        <v>220</v>
      </c>
      <c r="CN1204" s="1" t="s">
        <v>343</v>
      </c>
      <c r="CO1204" s="1" t="s">
        <v>538</v>
      </c>
      <c r="CP1204" s="1" t="s">
        <v>219</v>
      </c>
      <c r="CQ1204" s="1" t="s">
        <v>438</v>
      </c>
      <c r="CR1204" s="1" t="s">
        <v>210</v>
      </c>
      <c r="CS1204" s="1" t="s">
        <v>315</v>
      </c>
      <c r="CT1204" s="1" t="s">
        <v>219</v>
      </c>
      <c r="CU1204" s="1" t="s">
        <v>220</v>
      </c>
      <c r="CV1204" s="1" t="s">
        <v>343</v>
      </c>
      <c r="CX1204" s="1" t="s">
        <v>224</v>
      </c>
      <c r="DB1204" s="1" t="s">
        <v>224</v>
      </c>
      <c r="DE1204" s="1" t="s">
        <v>932</v>
      </c>
      <c r="DF1204" s="1" t="s">
        <v>219</v>
      </c>
      <c r="DG1204" s="1" t="s">
        <v>226</v>
      </c>
      <c r="DH1204" s="1" t="s">
        <v>210</v>
      </c>
      <c r="DJ1204" s="1" t="s">
        <v>224</v>
      </c>
      <c r="DN1204" s="1" t="s">
        <v>709</v>
      </c>
      <c r="DS1204" s="1" t="s">
        <v>230</v>
      </c>
      <c r="DV1204" s="1" t="s">
        <v>12437</v>
      </c>
      <c r="DW1204" s="1" t="s">
        <v>219</v>
      </c>
      <c r="DX1204" s="1" t="s">
        <v>226</v>
      </c>
      <c r="DY1204" s="1" t="s">
        <v>210</v>
      </c>
      <c r="EA1204" s="1" t="s">
        <v>230</v>
      </c>
      <c r="EE1204" s="1" t="s">
        <v>230</v>
      </c>
      <c r="EI1204" s="1" t="s">
        <v>230</v>
      </c>
      <c r="EL1204" s="1" t="s">
        <v>491</v>
      </c>
      <c r="EM1204" s="1" t="s">
        <v>730</v>
      </c>
      <c r="EN1204" s="1" t="s">
        <v>282</v>
      </c>
      <c r="EO1204" s="1" t="s">
        <v>234</v>
      </c>
      <c r="EP1204" s="1" t="s">
        <v>3613</v>
      </c>
      <c r="EQ1204" s="1" t="s">
        <v>2188</v>
      </c>
      <c r="ER1204" s="1" t="s">
        <v>210</v>
      </c>
      <c r="ES1204" s="1" t="s">
        <v>954</v>
      </c>
      <c r="ET1204" s="1" t="s">
        <v>1201</v>
      </c>
      <c r="EU1204" s="1" t="s">
        <v>239</v>
      </c>
      <c r="EV1204" s="1" t="s">
        <v>240</v>
      </c>
      <c r="EW1204" s="1" t="s">
        <v>2792</v>
      </c>
      <c r="EY1204" s="1" t="s">
        <v>2455</v>
      </c>
      <c r="EZ1204" s="1" t="s">
        <v>709</v>
      </c>
      <c r="FB1204" s="1" t="s">
        <v>289</v>
      </c>
      <c r="FC1204" s="1" t="s">
        <v>548</v>
      </c>
      <c r="FD1204" s="1" t="s">
        <v>290</v>
      </c>
      <c r="FE1204" s="1" t="s">
        <v>247</v>
      </c>
      <c r="FF1204" s="1" t="s">
        <v>248</v>
      </c>
      <c r="FH1204" s="1" t="s">
        <v>249</v>
      </c>
      <c r="FI1204" s="1" t="s">
        <v>848</v>
      </c>
      <c r="FJ1204" s="1" t="s">
        <v>197</v>
      </c>
      <c r="FL1204" s="1" t="s">
        <v>3179</v>
      </c>
      <c r="FM1204" s="1" t="s">
        <v>252</v>
      </c>
      <c r="FN1204" s="1" t="s">
        <v>213</v>
      </c>
      <c r="FO1204" s="1" t="s">
        <v>213</v>
      </c>
      <c r="FQ1204" s="1" t="s">
        <v>3616</v>
      </c>
      <c r="FR1204" s="1" t="s">
        <v>210</v>
      </c>
      <c r="FS1204" s="1" t="s">
        <v>12438</v>
      </c>
      <c r="FT1204" s="1" t="s">
        <v>12439</v>
      </c>
      <c r="FU1204" s="1" t="s">
        <v>213</v>
      </c>
      <c r="FW1204" s="1" t="s">
        <v>2658</v>
      </c>
      <c r="FX1204" s="1">
        <v>92063</v>
      </c>
      <c r="FY1204" s="1" t="s">
        <v>2659</v>
      </c>
      <c r="FZ1204" s="1" t="s">
        <v>2660</v>
      </c>
      <c r="GA1204" s="1">
        <v>26265</v>
      </c>
      <c r="GE1204" s="1" t="s">
        <v>210</v>
      </c>
      <c r="GH1204" s="1" t="s">
        <v>230</v>
      </c>
      <c r="GI1204" s="1" t="s">
        <v>213</v>
      </c>
      <c r="GJ1204" s="1" t="s">
        <v>260</v>
      </c>
      <c r="GK1204" s="1" t="s">
        <v>210</v>
      </c>
      <c r="GL1204" s="2">
        <v>42140</v>
      </c>
      <c r="GM1204" s="1" t="s">
        <v>12440</v>
      </c>
    </row>
    <row r="1205" spans="1:195">
      <c r="A1205" s="1">
        <v>138000</v>
      </c>
      <c r="B1205" s="1" t="s">
        <v>195</v>
      </c>
      <c r="C1205" s="1" t="str">
        <f>"08851331"</f>
        <v>08851331</v>
      </c>
      <c r="D1205" s="1" t="s">
        <v>196</v>
      </c>
      <c r="F1205" s="1" t="str">
        <f t="shared" ref="F1205:F1206" si="928">"188"</f>
        <v>188</v>
      </c>
      <c r="G1205" s="2">
        <v>42066</v>
      </c>
      <c r="H1205" s="1">
        <v>142900</v>
      </c>
      <c r="I1205" s="1">
        <v>142900</v>
      </c>
      <c r="J1205" s="1">
        <v>138000</v>
      </c>
      <c r="K1205" s="2">
        <v>42065</v>
      </c>
      <c r="L1205" s="1">
        <v>13</v>
      </c>
      <c r="M1205" s="2">
        <v>42077</v>
      </c>
      <c r="N1205" s="1">
        <v>13</v>
      </c>
      <c r="O1205" s="2">
        <v>42077</v>
      </c>
      <c r="P1205" s="1">
        <v>8970</v>
      </c>
      <c r="Q1205" s="1" t="s">
        <v>197</v>
      </c>
      <c r="R1205" s="2">
        <v>42132</v>
      </c>
      <c r="S1205" s="1">
        <v>242841</v>
      </c>
      <c r="U1205" s="1">
        <v>449</v>
      </c>
      <c r="V1205" s="1" t="s">
        <v>3397</v>
      </c>
      <c r="W1205" s="1" t="s">
        <v>264</v>
      </c>
      <c r="Y1205" s="1">
        <v>6</v>
      </c>
      <c r="Z1205" s="1" t="s">
        <v>249</v>
      </c>
      <c r="AA1205" s="1" t="s">
        <v>1084</v>
      </c>
      <c r="AB1205" s="1">
        <v>60188</v>
      </c>
      <c r="AD1205" s="1" t="s">
        <v>12441</v>
      </c>
      <c r="AE1205" s="1" t="s">
        <v>12442</v>
      </c>
      <c r="AF1205" s="1">
        <v>1988</v>
      </c>
      <c r="AG1205" s="1" t="s">
        <v>204</v>
      </c>
      <c r="AH1205" s="1" t="s">
        <v>1087</v>
      </c>
      <c r="AI1205" s="1" t="s">
        <v>206</v>
      </c>
      <c r="AJ1205" s="1" t="s">
        <v>269</v>
      </c>
      <c r="AL1205" s="1">
        <v>5</v>
      </c>
      <c r="AM1205" s="1">
        <v>2</v>
      </c>
      <c r="AN1205" s="1">
        <v>2</v>
      </c>
      <c r="AO1205" s="1">
        <v>0</v>
      </c>
      <c r="AP1205" s="1" t="s">
        <v>209</v>
      </c>
      <c r="AQ1205" s="1">
        <v>0</v>
      </c>
      <c r="AR1205" s="1" t="s">
        <v>210</v>
      </c>
      <c r="AS1205" s="1" t="s">
        <v>204</v>
      </c>
      <c r="AT1205" s="1" t="s">
        <v>211</v>
      </c>
      <c r="AU1205" s="1">
        <v>1</v>
      </c>
      <c r="AW1205" s="1" t="s">
        <v>204</v>
      </c>
      <c r="AX1205" s="1" t="s">
        <v>1265</v>
      </c>
      <c r="AZ1205" s="1">
        <v>2909</v>
      </c>
      <c r="BA1205" s="1">
        <v>2013</v>
      </c>
      <c r="BB1205" s="1" t="s">
        <v>599</v>
      </c>
      <c r="BE1205" s="1">
        <v>1148</v>
      </c>
      <c r="BF1205" s="1">
        <v>1</v>
      </c>
      <c r="BG1205" s="1">
        <v>0</v>
      </c>
      <c r="BL1205" s="1">
        <v>188</v>
      </c>
      <c r="BM1205" s="1" t="s">
        <v>204</v>
      </c>
      <c r="BN1205" s="1" t="s">
        <v>213</v>
      </c>
      <c r="BO1205" s="1">
        <v>35</v>
      </c>
      <c r="BP1205" s="1" t="s">
        <v>204</v>
      </c>
      <c r="BR1205" s="1" t="str">
        <f>"0219404086"</f>
        <v>0219404086</v>
      </c>
      <c r="BT1205" s="1" t="s">
        <v>12443</v>
      </c>
      <c r="BU1205" s="1" t="s">
        <v>1090</v>
      </c>
      <c r="BV1205" s="1" t="s">
        <v>1091</v>
      </c>
      <c r="BW1205" s="1" t="s">
        <v>1092</v>
      </c>
      <c r="BX1205" s="1">
        <v>93</v>
      </c>
      <c r="BY1205" s="1">
        <v>93</v>
      </c>
      <c r="BZ1205" s="1">
        <v>87</v>
      </c>
      <c r="CB1205" s="1" t="str">
        <f>"4"</f>
        <v>4</v>
      </c>
      <c r="CC1205" s="1" t="str">
        <f t="shared" si="927"/>
        <v>0</v>
      </c>
      <c r="CD1205" s="1">
        <v>26</v>
      </c>
      <c r="CE1205" s="1">
        <v>0</v>
      </c>
      <c r="CG1205" s="1" t="s">
        <v>317</v>
      </c>
      <c r="CH1205" s="1" t="s">
        <v>219</v>
      </c>
      <c r="CI1205" s="1" t="s">
        <v>220</v>
      </c>
      <c r="CJ1205" s="1" t="s">
        <v>343</v>
      </c>
      <c r="CK1205" s="1" t="s">
        <v>1178</v>
      </c>
      <c r="CL1205" s="1" t="s">
        <v>219</v>
      </c>
      <c r="CM1205" s="1" t="s">
        <v>220</v>
      </c>
      <c r="CN1205" s="1" t="s">
        <v>343</v>
      </c>
      <c r="CO1205" s="1" t="s">
        <v>317</v>
      </c>
      <c r="CP1205" s="1" t="s">
        <v>219</v>
      </c>
      <c r="CQ1205" s="1" t="s">
        <v>220</v>
      </c>
      <c r="CR1205" s="1" t="s">
        <v>343</v>
      </c>
      <c r="CS1205" s="1" t="s">
        <v>1358</v>
      </c>
      <c r="CT1205" s="1" t="s">
        <v>219</v>
      </c>
      <c r="CU1205" s="1" t="s">
        <v>220</v>
      </c>
      <c r="CV1205" s="1" t="s">
        <v>343</v>
      </c>
      <c r="CX1205" s="1" t="s">
        <v>224</v>
      </c>
      <c r="DB1205" s="1" t="s">
        <v>224</v>
      </c>
      <c r="DE1205" s="1" t="s">
        <v>1297</v>
      </c>
      <c r="DF1205" s="1" t="s">
        <v>219</v>
      </c>
      <c r="DG1205" s="1" t="s">
        <v>229</v>
      </c>
      <c r="DH1205" s="1" t="s">
        <v>343</v>
      </c>
      <c r="DJ1205" s="1" t="s">
        <v>224</v>
      </c>
      <c r="DS1205" s="1" t="s">
        <v>230</v>
      </c>
      <c r="DW1205" s="1" t="s">
        <v>230</v>
      </c>
      <c r="EA1205" s="1" t="s">
        <v>230</v>
      </c>
      <c r="EE1205" s="1" t="s">
        <v>230</v>
      </c>
      <c r="EI1205" s="1" t="s">
        <v>230</v>
      </c>
      <c r="EL1205" s="1" t="s">
        <v>542</v>
      </c>
      <c r="EM1205" s="1" t="s">
        <v>319</v>
      </c>
      <c r="EN1205" s="1" t="s">
        <v>282</v>
      </c>
      <c r="EO1205" s="1" t="s">
        <v>234</v>
      </c>
      <c r="EP1205" s="1" t="s">
        <v>650</v>
      </c>
      <c r="EQ1205" s="1" t="s">
        <v>236</v>
      </c>
      <c r="ER1205" s="1" t="s">
        <v>210</v>
      </c>
      <c r="ES1205" s="1" t="s">
        <v>322</v>
      </c>
      <c r="EU1205" s="1" t="s">
        <v>843</v>
      </c>
      <c r="EV1205" s="1" t="s">
        <v>1553</v>
      </c>
      <c r="EW1205" s="1" t="s">
        <v>353</v>
      </c>
      <c r="EY1205" s="1" t="s">
        <v>790</v>
      </c>
      <c r="EZ1205" s="1" t="s">
        <v>287</v>
      </c>
      <c r="FA1205" s="1" t="s">
        <v>471</v>
      </c>
      <c r="FD1205" s="1" t="s">
        <v>246</v>
      </c>
      <c r="FE1205" s="1" t="s">
        <v>472</v>
      </c>
      <c r="FF1205" s="1" t="s">
        <v>248</v>
      </c>
      <c r="FH1205" s="1" t="s">
        <v>825</v>
      </c>
      <c r="FI1205" s="1" t="s">
        <v>473</v>
      </c>
      <c r="FJ1205" s="1" t="s">
        <v>1620</v>
      </c>
      <c r="FL1205" s="1" t="s">
        <v>358</v>
      </c>
      <c r="FM1205" s="1" t="s">
        <v>252</v>
      </c>
      <c r="FN1205" s="1" t="s">
        <v>213</v>
      </c>
      <c r="FO1205" s="1" t="s">
        <v>213</v>
      </c>
      <c r="FQ1205" s="1" t="s">
        <v>5657</v>
      </c>
      <c r="FR1205" s="1" t="s">
        <v>210</v>
      </c>
      <c r="FS1205" s="1" t="s">
        <v>12444</v>
      </c>
      <c r="FT1205" s="1" t="s">
        <v>362</v>
      </c>
      <c r="FU1205" s="1" t="s">
        <v>204</v>
      </c>
      <c r="FV1205" s="1" t="s">
        <v>12445</v>
      </c>
      <c r="FW1205" s="1" t="s">
        <v>873</v>
      </c>
      <c r="FX1205" s="1">
        <v>25309</v>
      </c>
      <c r="FY1205" s="1" t="s">
        <v>874</v>
      </c>
      <c r="FZ1205" s="1" t="s">
        <v>12446</v>
      </c>
      <c r="GA1205" s="1">
        <v>257030</v>
      </c>
      <c r="GB1205" s="1" t="s">
        <v>12447</v>
      </c>
      <c r="GE1205" s="1" t="s">
        <v>210</v>
      </c>
      <c r="GI1205" s="1" t="s">
        <v>213</v>
      </c>
      <c r="GJ1205" s="1" t="s">
        <v>260</v>
      </c>
      <c r="GK1205" s="1" t="s">
        <v>210</v>
      </c>
      <c r="GL1205" s="2">
        <v>42132</v>
      </c>
      <c r="GM1205" s="1" t="s">
        <v>12448</v>
      </c>
    </row>
    <row r="1206" spans="1:195">
      <c r="A1206" s="1">
        <v>170000</v>
      </c>
      <c r="B1206" s="1" t="s">
        <v>195</v>
      </c>
      <c r="C1206" s="1" t="str">
        <f>"08848618"</f>
        <v>08848618</v>
      </c>
      <c r="D1206" s="1" t="s">
        <v>196</v>
      </c>
      <c r="F1206" s="1" t="str">
        <f t="shared" si="928"/>
        <v>188</v>
      </c>
      <c r="G1206" s="2">
        <v>42063</v>
      </c>
      <c r="H1206" s="1">
        <v>179900</v>
      </c>
      <c r="I1206" s="1">
        <v>179900</v>
      </c>
      <c r="J1206" s="1">
        <v>170000</v>
      </c>
      <c r="K1206" s="2">
        <v>42063</v>
      </c>
      <c r="L1206" s="1">
        <v>33</v>
      </c>
      <c r="M1206" s="2">
        <v>42095</v>
      </c>
      <c r="N1206" s="1">
        <v>33</v>
      </c>
      <c r="O1206" s="2">
        <v>42095</v>
      </c>
      <c r="P1206" s="1">
        <v>25832</v>
      </c>
      <c r="Q1206" s="1" t="s">
        <v>302</v>
      </c>
      <c r="R1206" s="2">
        <v>42105</v>
      </c>
      <c r="S1206" s="1">
        <v>240361</v>
      </c>
      <c r="U1206" s="1">
        <v>672</v>
      </c>
      <c r="V1206" s="1" t="s">
        <v>12449</v>
      </c>
      <c r="W1206" s="1" t="s">
        <v>264</v>
      </c>
      <c r="Y1206" s="1">
        <v>4</v>
      </c>
      <c r="Z1206" s="1" t="s">
        <v>370</v>
      </c>
      <c r="AA1206" s="1" t="s">
        <v>1084</v>
      </c>
      <c r="AB1206" s="1">
        <v>60188</v>
      </c>
      <c r="AD1206" s="1" t="s">
        <v>12450</v>
      </c>
      <c r="AE1206" s="1" t="s">
        <v>12451</v>
      </c>
      <c r="AF1206" s="1">
        <v>1990</v>
      </c>
      <c r="AG1206" s="1" t="s">
        <v>204</v>
      </c>
      <c r="AH1206" s="1" t="s">
        <v>1087</v>
      </c>
      <c r="AI1206" s="1" t="s">
        <v>206</v>
      </c>
      <c r="AJ1206" s="1" t="s">
        <v>269</v>
      </c>
      <c r="AL1206" s="1">
        <v>4</v>
      </c>
      <c r="AM1206" s="1">
        <v>2</v>
      </c>
      <c r="AN1206" s="1">
        <v>2</v>
      </c>
      <c r="AO1206" s="1">
        <v>0</v>
      </c>
      <c r="AP1206" s="1" t="s">
        <v>209</v>
      </c>
      <c r="AR1206" s="1" t="s">
        <v>210</v>
      </c>
      <c r="AS1206" s="1" t="s">
        <v>204</v>
      </c>
      <c r="AT1206" s="1" t="s">
        <v>211</v>
      </c>
      <c r="AU1206" s="1">
        <v>1</v>
      </c>
      <c r="AW1206" s="1" t="s">
        <v>204</v>
      </c>
      <c r="AX1206" s="1" t="s">
        <v>12452</v>
      </c>
      <c r="AZ1206" s="1">
        <v>4461</v>
      </c>
      <c r="BA1206" s="1">
        <v>2013</v>
      </c>
      <c r="BE1206" s="1">
        <v>0</v>
      </c>
      <c r="BF1206" s="1">
        <v>1</v>
      </c>
      <c r="BG1206" s="1">
        <v>0</v>
      </c>
      <c r="BL1206" s="1">
        <v>208</v>
      </c>
      <c r="BM1206" s="1" t="s">
        <v>204</v>
      </c>
      <c r="BN1206" s="1" t="s">
        <v>213</v>
      </c>
      <c r="BO1206" s="1" t="s">
        <v>402</v>
      </c>
      <c r="BP1206" s="1" t="s">
        <v>204</v>
      </c>
      <c r="BR1206" s="1" t="str">
        <f>"0219305022"</f>
        <v>0219305022</v>
      </c>
      <c r="BT1206" s="1" t="s">
        <v>12453</v>
      </c>
      <c r="BU1206" s="1" t="s">
        <v>3438</v>
      </c>
      <c r="BX1206" s="1">
        <v>93</v>
      </c>
      <c r="BY1206" s="1">
        <v>93</v>
      </c>
      <c r="BZ1206" s="1">
        <v>87</v>
      </c>
      <c r="CB1206" s="1" t="str">
        <f t="shared" ref="CB1206:CC1206" si="929">""</f>
        <v/>
      </c>
      <c r="CC1206" s="1" t="str">
        <f t="shared" si="929"/>
        <v/>
      </c>
      <c r="CG1206" s="1" t="s">
        <v>6862</v>
      </c>
      <c r="CH1206" s="1" t="s">
        <v>219</v>
      </c>
      <c r="CK1206" s="1" t="s">
        <v>344</v>
      </c>
      <c r="CL1206" s="1" t="s">
        <v>219</v>
      </c>
      <c r="CP1206" s="1" t="s">
        <v>224</v>
      </c>
      <c r="CS1206" s="1" t="s">
        <v>1046</v>
      </c>
      <c r="CT1206" s="1" t="s">
        <v>219</v>
      </c>
      <c r="CX1206" s="1" t="s">
        <v>224</v>
      </c>
      <c r="DB1206" s="1" t="s">
        <v>224</v>
      </c>
      <c r="DE1206" s="1" t="s">
        <v>12454</v>
      </c>
      <c r="DF1206" s="1" t="s">
        <v>219</v>
      </c>
      <c r="DJ1206" s="1" t="s">
        <v>224</v>
      </c>
      <c r="DS1206" s="1" t="s">
        <v>230</v>
      </c>
      <c r="DW1206" s="1" t="s">
        <v>230</v>
      </c>
      <c r="EA1206" s="1" t="s">
        <v>230</v>
      </c>
      <c r="EE1206" s="1" t="s">
        <v>230</v>
      </c>
      <c r="EI1206" s="1" t="s">
        <v>230</v>
      </c>
      <c r="EL1206" s="1" t="s">
        <v>382</v>
      </c>
      <c r="EM1206" s="1" t="s">
        <v>319</v>
      </c>
      <c r="EN1206" s="1" t="s">
        <v>282</v>
      </c>
      <c r="EO1206" s="1" t="s">
        <v>234</v>
      </c>
      <c r="EQ1206" s="1" t="s">
        <v>2416</v>
      </c>
      <c r="ER1206" s="1" t="s">
        <v>210</v>
      </c>
      <c r="ES1206" s="1" t="s">
        <v>322</v>
      </c>
      <c r="EV1206" s="1" t="s">
        <v>240</v>
      </c>
      <c r="EW1206" s="1" t="s">
        <v>353</v>
      </c>
      <c r="EY1206" s="1" t="s">
        <v>242</v>
      </c>
      <c r="EZ1206" s="1" t="s">
        <v>287</v>
      </c>
      <c r="FB1206" s="1" t="s">
        <v>289</v>
      </c>
      <c r="FD1206" s="1" t="s">
        <v>246</v>
      </c>
      <c r="FE1206" s="1" t="s">
        <v>12455</v>
      </c>
      <c r="FF1206" s="1" t="s">
        <v>248</v>
      </c>
      <c r="FH1206" s="1" t="s">
        <v>825</v>
      </c>
      <c r="FL1206" s="1" t="s">
        <v>358</v>
      </c>
      <c r="FM1206" s="1" t="s">
        <v>252</v>
      </c>
      <c r="FN1206" s="1" t="s">
        <v>213</v>
      </c>
      <c r="FO1206" s="1" t="s">
        <v>213</v>
      </c>
      <c r="FQ1206" s="1" t="s">
        <v>3545</v>
      </c>
      <c r="FR1206" s="1" t="s">
        <v>210</v>
      </c>
      <c r="FS1206" s="1" t="s">
        <v>12456</v>
      </c>
      <c r="FT1206" s="1" t="s">
        <v>12399</v>
      </c>
      <c r="FU1206" s="1" t="s">
        <v>204</v>
      </c>
      <c r="FW1206" s="1" t="s">
        <v>12400</v>
      </c>
      <c r="FX1206" s="1">
        <v>24688</v>
      </c>
      <c r="FY1206" s="1" t="s">
        <v>12401</v>
      </c>
      <c r="FZ1206" s="1" t="s">
        <v>12402</v>
      </c>
      <c r="GA1206" s="1">
        <v>244234</v>
      </c>
      <c r="GB1206" s="1" t="s">
        <v>12403</v>
      </c>
      <c r="GD1206" s="1" t="s">
        <v>12457</v>
      </c>
      <c r="GE1206" s="1" t="s">
        <v>210</v>
      </c>
      <c r="GI1206" s="1" t="s">
        <v>204</v>
      </c>
      <c r="GJ1206" s="1" t="s">
        <v>260</v>
      </c>
      <c r="GK1206" s="1" t="s">
        <v>210</v>
      </c>
      <c r="GL1206" s="2">
        <v>42110</v>
      </c>
      <c r="GM1206" s="1" t="s">
        <v>12458</v>
      </c>
    </row>
    <row r="1207" spans="1:195">
      <c r="A1207" s="1">
        <v>115000</v>
      </c>
      <c r="B1207" s="1" t="s">
        <v>195</v>
      </c>
      <c r="C1207" s="1" t="str">
        <f>"08851355"</f>
        <v>08851355</v>
      </c>
      <c r="D1207" s="1" t="s">
        <v>196</v>
      </c>
      <c r="F1207" s="1" t="str">
        <f>"187"</f>
        <v>187</v>
      </c>
      <c r="G1207" s="2">
        <v>42066</v>
      </c>
      <c r="H1207" s="1">
        <v>125000</v>
      </c>
      <c r="I1207" s="1">
        <v>122400</v>
      </c>
      <c r="J1207" s="1">
        <v>115000</v>
      </c>
      <c r="K1207" s="2">
        <v>42066</v>
      </c>
      <c r="L1207" s="1">
        <v>65</v>
      </c>
      <c r="M1207" s="2">
        <v>42130</v>
      </c>
      <c r="N1207" s="1">
        <v>65</v>
      </c>
      <c r="O1207" s="2">
        <v>42130</v>
      </c>
      <c r="P1207" s="1">
        <v>84729</v>
      </c>
      <c r="Q1207" s="1" t="s">
        <v>302</v>
      </c>
      <c r="R1207" s="2">
        <v>42146</v>
      </c>
      <c r="S1207" s="1">
        <v>120934</v>
      </c>
      <c r="U1207" s="1">
        <v>1418</v>
      </c>
      <c r="V1207" s="1" t="s">
        <v>6442</v>
      </c>
      <c r="W1207" s="1" t="s">
        <v>304</v>
      </c>
      <c r="X1207" s="1" t="s">
        <v>1000</v>
      </c>
      <c r="Y1207" s="1">
        <v>4</v>
      </c>
      <c r="Z1207" s="1" t="s">
        <v>249</v>
      </c>
      <c r="AA1207" s="1" t="s">
        <v>964</v>
      </c>
      <c r="AB1207" s="1">
        <v>60189</v>
      </c>
      <c r="AE1207" s="1" t="s">
        <v>6444</v>
      </c>
      <c r="AF1207" s="1">
        <v>1980</v>
      </c>
      <c r="AG1207" s="1" t="s">
        <v>204</v>
      </c>
      <c r="AH1207" s="1" t="s">
        <v>967</v>
      </c>
      <c r="AI1207" s="1" t="s">
        <v>206</v>
      </c>
      <c r="AJ1207" s="1" t="s">
        <v>207</v>
      </c>
      <c r="AL1207" s="1">
        <v>5</v>
      </c>
      <c r="AM1207" s="1">
        <v>2</v>
      </c>
      <c r="AN1207" s="1">
        <v>1</v>
      </c>
      <c r="AO1207" s="1">
        <v>0</v>
      </c>
      <c r="AP1207" s="1" t="s">
        <v>209</v>
      </c>
      <c r="AQ1207" s="1">
        <v>0</v>
      </c>
      <c r="AR1207" s="1" t="s">
        <v>210</v>
      </c>
      <c r="AT1207" s="1" t="s">
        <v>211</v>
      </c>
      <c r="AU1207" s="1">
        <v>1</v>
      </c>
      <c r="AW1207" s="1" t="s">
        <v>204</v>
      </c>
      <c r="AX1207" s="1" t="s">
        <v>212</v>
      </c>
      <c r="AZ1207" s="1">
        <v>2716</v>
      </c>
      <c r="BA1207" s="1">
        <v>2013</v>
      </c>
      <c r="BE1207" s="1">
        <v>1056</v>
      </c>
      <c r="BF1207" s="1">
        <v>2</v>
      </c>
      <c r="BG1207" s="1">
        <v>1</v>
      </c>
      <c r="BL1207" s="1">
        <v>316</v>
      </c>
      <c r="BM1207" s="1" t="s">
        <v>204</v>
      </c>
      <c r="BN1207" s="1" t="s">
        <v>213</v>
      </c>
      <c r="BO1207" s="1">
        <v>999</v>
      </c>
      <c r="BP1207" s="1" t="s">
        <v>204</v>
      </c>
      <c r="BR1207" s="1" t="str">
        <f>"0521412099"</f>
        <v>0521412099</v>
      </c>
      <c r="BT1207" s="1" t="s">
        <v>12459</v>
      </c>
      <c r="BU1207" s="1" t="s">
        <v>969</v>
      </c>
      <c r="BV1207" s="1" t="s">
        <v>970</v>
      </c>
      <c r="BW1207" s="1" t="s">
        <v>971</v>
      </c>
      <c r="BX1207" s="1">
        <v>200</v>
      </c>
      <c r="BY1207" s="1">
        <v>200</v>
      </c>
      <c r="BZ1207" s="1">
        <v>200</v>
      </c>
      <c r="CB1207" s="1" t="str">
        <f t="shared" ref="CB1207:CC1207" si="930">""</f>
        <v/>
      </c>
      <c r="CC1207" s="1" t="str">
        <f t="shared" si="930"/>
        <v/>
      </c>
      <c r="CG1207" s="1" t="s">
        <v>515</v>
      </c>
      <c r="CH1207" s="1" t="s">
        <v>277</v>
      </c>
      <c r="CI1207" s="1" t="s">
        <v>220</v>
      </c>
      <c r="CK1207" s="1" t="s">
        <v>602</v>
      </c>
      <c r="CL1207" s="1" t="s">
        <v>277</v>
      </c>
      <c r="CM1207" s="1" t="s">
        <v>220</v>
      </c>
      <c r="CO1207" s="1" t="s">
        <v>837</v>
      </c>
      <c r="CP1207" s="1" t="s">
        <v>277</v>
      </c>
      <c r="CQ1207" s="1" t="s">
        <v>220</v>
      </c>
      <c r="CS1207" s="1" t="s">
        <v>1297</v>
      </c>
      <c r="CT1207" s="1" t="s">
        <v>277</v>
      </c>
      <c r="CU1207" s="1" t="s">
        <v>220</v>
      </c>
      <c r="CX1207" s="1" t="s">
        <v>224</v>
      </c>
      <c r="DB1207" s="1" t="s">
        <v>224</v>
      </c>
      <c r="DE1207" s="1" t="s">
        <v>409</v>
      </c>
      <c r="DF1207" s="1" t="s">
        <v>277</v>
      </c>
      <c r="DG1207" s="1" t="s">
        <v>342</v>
      </c>
      <c r="DJ1207" s="1" t="s">
        <v>224</v>
      </c>
      <c r="DS1207" s="1" t="s">
        <v>230</v>
      </c>
      <c r="DW1207" s="1" t="s">
        <v>230</v>
      </c>
      <c r="EA1207" s="1" t="s">
        <v>230</v>
      </c>
      <c r="EE1207" s="1" t="s">
        <v>230</v>
      </c>
      <c r="EI1207" s="1" t="s">
        <v>230</v>
      </c>
      <c r="EL1207" s="1" t="s">
        <v>231</v>
      </c>
      <c r="EM1207" s="1" t="s">
        <v>730</v>
      </c>
      <c r="EN1207" s="1" t="s">
        <v>282</v>
      </c>
      <c r="EO1207" s="1" t="s">
        <v>1020</v>
      </c>
      <c r="EP1207" s="1" t="s">
        <v>210</v>
      </c>
      <c r="EQ1207" s="1" t="s">
        <v>284</v>
      </c>
      <c r="ER1207" s="1" t="s">
        <v>210</v>
      </c>
      <c r="EU1207" s="1" t="s">
        <v>239</v>
      </c>
      <c r="EW1207" s="1" t="s">
        <v>12460</v>
      </c>
      <c r="EZ1207" s="1" t="s">
        <v>287</v>
      </c>
      <c r="FB1207" s="1" t="s">
        <v>289</v>
      </c>
      <c r="FD1207" s="1" t="s">
        <v>246</v>
      </c>
      <c r="FE1207" s="1" t="s">
        <v>247</v>
      </c>
      <c r="FF1207" s="1" t="s">
        <v>248</v>
      </c>
      <c r="FH1207" s="1" t="s">
        <v>1387</v>
      </c>
      <c r="FI1207" s="1" t="s">
        <v>473</v>
      </c>
      <c r="FJ1207" s="1" t="s">
        <v>1472</v>
      </c>
      <c r="FL1207" s="1" t="s">
        <v>358</v>
      </c>
      <c r="FM1207" s="1" t="s">
        <v>252</v>
      </c>
      <c r="FN1207" s="1" t="s">
        <v>213</v>
      </c>
      <c r="FO1207" s="1" t="s">
        <v>204</v>
      </c>
      <c r="FQ1207" s="1" t="s">
        <v>293</v>
      </c>
      <c r="FR1207" s="1" t="s">
        <v>210</v>
      </c>
      <c r="FS1207" s="1" t="s">
        <v>12461</v>
      </c>
      <c r="FT1207" s="1" t="s">
        <v>295</v>
      </c>
      <c r="FU1207" s="1" t="s">
        <v>204</v>
      </c>
      <c r="FW1207" s="1" t="s">
        <v>585</v>
      </c>
      <c r="FX1207" s="1">
        <v>25003</v>
      </c>
      <c r="FY1207" s="1" t="s">
        <v>1330</v>
      </c>
      <c r="FZ1207" s="1" t="s">
        <v>6448</v>
      </c>
      <c r="GA1207" s="1">
        <v>241063</v>
      </c>
      <c r="GB1207" s="1" t="s">
        <v>6449</v>
      </c>
      <c r="GE1207" s="1" t="s">
        <v>335</v>
      </c>
      <c r="GI1207" s="1" t="s">
        <v>213</v>
      </c>
      <c r="GJ1207" s="1" t="s">
        <v>260</v>
      </c>
      <c r="GK1207" s="1" t="s">
        <v>210</v>
      </c>
      <c r="GL1207" s="2">
        <v>42146</v>
      </c>
      <c r="GM1207" s="1" t="s">
        <v>12462</v>
      </c>
    </row>
    <row r="1208" spans="1:195">
      <c r="A1208" s="1">
        <v>134000</v>
      </c>
      <c r="B1208" s="1" t="s">
        <v>195</v>
      </c>
      <c r="C1208" s="1" t="str">
        <f>"08856562"</f>
        <v>08856562</v>
      </c>
      <c r="D1208" s="1" t="s">
        <v>196</v>
      </c>
      <c r="F1208" s="1" t="str">
        <f>"177"</f>
        <v>177</v>
      </c>
      <c r="G1208" s="2">
        <v>42072</v>
      </c>
      <c r="H1208" s="1">
        <v>134900</v>
      </c>
      <c r="I1208" s="1">
        <v>134900</v>
      </c>
      <c r="J1208" s="1">
        <v>134000</v>
      </c>
      <c r="K1208" s="2">
        <v>42072</v>
      </c>
      <c r="L1208" s="1">
        <v>7</v>
      </c>
      <c r="M1208" s="2">
        <v>42078</v>
      </c>
      <c r="N1208" s="1">
        <v>7</v>
      </c>
      <c r="O1208" s="2">
        <v>42078</v>
      </c>
      <c r="P1208" s="1">
        <v>8970</v>
      </c>
      <c r="Q1208" s="1" t="s">
        <v>197</v>
      </c>
      <c r="R1208" s="2">
        <v>42139</v>
      </c>
      <c r="S1208" s="1">
        <v>86647</v>
      </c>
      <c r="T1208" s="1">
        <v>3000</v>
      </c>
      <c r="U1208" s="1">
        <v>11</v>
      </c>
      <c r="V1208" s="1" t="s">
        <v>5552</v>
      </c>
      <c r="W1208" s="1" t="s">
        <v>449</v>
      </c>
      <c r="X1208" s="1" t="s">
        <v>1688</v>
      </c>
      <c r="Y1208" s="1">
        <v>4</v>
      </c>
      <c r="Z1208" s="1" t="s">
        <v>370</v>
      </c>
      <c r="AA1208" s="1" t="s">
        <v>1461</v>
      </c>
      <c r="AB1208" s="1">
        <v>60177</v>
      </c>
      <c r="AD1208" s="1" t="s">
        <v>12463</v>
      </c>
      <c r="AE1208" s="1" t="s">
        <v>12464</v>
      </c>
      <c r="AF1208" s="1">
        <v>1999</v>
      </c>
      <c r="AG1208" s="1" t="s">
        <v>204</v>
      </c>
      <c r="AH1208" s="1" t="s">
        <v>1464</v>
      </c>
      <c r="AI1208" s="1" t="s">
        <v>665</v>
      </c>
      <c r="AJ1208" s="1" t="s">
        <v>1175</v>
      </c>
      <c r="AL1208" s="1">
        <v>7</v>
      </c>
      <c r="AM1208" s="1">
        <v>2</v>
      </c>
      <c r="AN1208" s="1">
        <v>1</v>
      </c>
      <c r="AO1208" s="1">
        <v>1</v>
      </c>
      <c r="AP1208" s="1" t="s">
        <v>667</v>
      </c>
      <c r="AQ1208" s="1">
        <v>1</v>
      </c>
      <c r="AR1208" s="1" t="s">
        <v>2275</v>
      </c>
      <c r="AS1208" s="1" t="s">
        <v>204</v>
      </c>
      <c r="AT1208" s="1" t="s">
        <v>211</v>
      </c>
      <c r="AU1208" s="1">
        <v>1</v>
      </c>
      <c r="AW1208" s="1" t="s">
        <v>204</v>
      </c>
      <c r="AX1208" s="1" t="s">
        <v>212</v>
      </c>
      <c r="AZ1208" s="1">
        <v>2908.36</v>
      </c>
      <c r="BA1208" s="1">
        <v>2013</v>
      </c>
      <c r="BB1208" s="1" t="s">
        <v>405</v>
      </c>
      <c r="BE1208" s="1">
        <v>1220</v>
      </c>
      <c r="BF1208" s="1">
        <v>1</v>
      </c>
      <c r="BG1208" s="1">
        <v>0</v>
      </c>
      <c r="BL1208" s="1">
        <v>175</v>
      </c>
      <c r="BM1208" s="1" t="s">
        <v>204</v>
      </c>
      <c r="BN1208" s="1" t="s">
        <v>213</v>
      </c>
      <c r="BO1208" s="1" t="s">
        <v>2932</v>
      </c>
      <c r="BP1208" s="1" t="s">
        <v>204</v>
      </c>
      <c r="BR1208" s="1" t="str">
        <f>"0635355046"</f>
        <v>0635355046</v>
      </c>
      <c r="BT1208" s="1" t="s">
        <v>12465</v>
      </c>
      <c r="BU1208" s="1" t="s">
        <v>1466</v>
      </c>
      <c r="BV1208" s="1" t="s">
        <v>1467</v>
      </c>
      <c r="BW1208" s="1" t="s">
        <v>1468</v>
      </c>
      <c r="BX1208" s="1">
        <v>46</v>
      </c>
      <c r="BY1208" s="1">
        <v>46</v>
      </c>
      <c r="BZ1208" s="1">
        <v>46</v>
      </c>
      <c r="CB1208" s="1" t="str">
        <f>"8"</f>
        <v>8</v>
      </c>
      <c r="CC1208" s="1" t="str">
        <f>""</f>
        <v/>
      </c>
      <c r="CD1208" s="1">
        <v>34</v>
      </c>
      <c r="CG1208" s="1" t="s">
        <v>228</v>
      </c>
      <c r="CH1208" s="1" t="s">
        <v>219</v>
      </c>
      <c r="CI1208" s="1" t="s">
        <v>438</v>
      </c>
      <c r="CJ1208" s="1" t="s">
        <v>463</v>
      </c>
      <c r="CK1208" s="1" t="s">
        <v>461</v>
      </c>
      <c r="CL1208" s="1" t="s">
        <v>277</v>
      </c>
      <c r="CM1208" s="1" t="s">
        <v>220</v>
      </c>
      <c r="CN1208" s="1" t="s">
        <v>343</v>
      </c>
      <c r="CO1208" s="1" t="s">
        <v>318</v>
      </c>
      <c r="CP1208" s="1" t="s">
        <v>219</v>
      </c>
      <c r="CQ1208" s="1" t="s">
        <v>438</v>
      </c>
      <c r="CR1208" s="1" t="s">
        <v>463</v>
      </c>
      <c r="CS1208" s="1" t="s">
        <v>318</v>
      </c>
      <c r="CT1208" s="1" t="s">
        <v>277</v>
      </c>
      <c r="CU1208" s="1" t="s">
        <v>220</v>
      </c>
      <c r="CV1208" s="1" t="s">
        <v>343</v>
      </c>
      <c r="CX1208" s="1" t="s">
        <v>224</v>
      </c>
      <c r="DB1208" s="1" t="s">
        <v>224</v>
      </c>
      <c r="DE1208" s="1" t="s">
        <v>2138</v>
      </c>
      <c r="DF1208" s="1" t="s">
        <v>219</v>
      </c>
      <c r="DG1208" s="1" t="s">
        <v>226</v>
      </c>
      <c r="DH1208" s="1" t="s">
        <v>210</v>
      </c>
      <c r="DI1208" s="1" t="s">
        <v>12256</v>
      </c>
      <c r="DJ1208" s="1" t="s">
        <v>4450</v>
      </c>
      <c r="DK1208" s="1" t="s">
        <v>342</v>
      </c>
      <c r="DL1208" s="1" t="s">
        <v>343</v>
      </c>
      <c r="DM1208" s="1" t="s">
        <v>464</v>
      </c>
      <c r="DR1208" s="1" t="s">
        <v>1598</v>
      </c>
      <c r="DS1208" s="1" t="s">
        <v>277</v>
      </c>
      <c r="DT1208" s="1" t="s">
        <v>220</v>
      </c>
      <c r="DU1208" s="1" t="s">
        <v>343</v>
      </c>
      <c r="DW1208" s="1" t="s">
        <v>230</v>
      </c>
      <c r="EA1208" s="1" t="s">
        <v>230</v>
      </c>
      <c r="EE1208" s="1" t="s">
        <v>230</v>
      </c>
      <c r="EI1208" s="1" t="s">
        <v>230</v>
      </c>
      <c r="EL1208" s="1" t="s">
        <v>670</v>
      </c>
      <c r="EM1208" s="1" t="s">
        <v>319</v>
      </c>
      <c r="EN1208" s="1" t="s">
        <v>282</v>
      </c>
      <c r="EO1208" s="1" t="s">
        <v>234</v>
      </c>
      <c r="EP1208" s="1" t="s">
        <v>650</v>
      </c>
      <c r="EQ1208" s="1" t="s">
        <v>236</v>
      </c>
      <c r="ER1208" s="1" t="s">
        <v>823</v>
      </c>
      <c r="ES1208" s="1" t="s">
        <v>608</v>
      </c>
      <c r="EU1208" s="1" t="s">
        <v>239</v>
      </c>
      <c r="EW1208" s="1" t="s">
        <v>867</v>
      </c>
      <c r="EZ1208" s="1" t="s">
        <v>464</v>
      </c>
      <c r="FA1208" s="1" t="s">
        <v>4411</v>
      </c>
      <c r="FB1208" s="1" t="s">
        <v>289</v>
      </c>
      <c r="FD1208" s="1" t="s">
        <v>246</v>
      </c>
      <c r="FE1208" s="1" t="s">
        <v>472</v>
      </c>
      <c r="FF1208" s="1" t="s">
        <v>248</v>
      </c>
      <c r="FG1208" s="1" t="s">
        <v>871</v>
      </c>
      <c r="FH1208" s="1" t="s">
        <v>249</v>
      </c>
      <c r="FI1208" s="1" t="s">
        <v>473</v>
      </c>
      <c r="FJ1208" s="1" t="s">
        <v>197</v>
      </c>
      <c r="FL1208" s="1" t="s">
        <v>358</v>
      </c>
      <c r="FM1208" s="1" t="s">
        <v>252</v>
      </c>
      <c r="FN1208" s="1" t="s">
        <v>213</v>
      </c>
      <c r="FO1208" s="1" t="s">
        <v>213</v>
      </c>
      <c r="FQ1208" s="1" t="s">
        <v>1032</v>
      </c>
      <c r="FR1208" s="1" t="s">
        <v>652</v>
      </c>
      <c r="FS1208" s="1" t="s">
        <v>12466</v>
      </c>
      <c r="FT1208" s="1" t="s">
        <v>295</v>
      </c>
      <c r="FU1208" s="1" t="s">
        <v>204</v>
      </c>
      <c r="FW1208" s="1" t="s">
        <v>585</v>
      </c>
      <c r="FX1208" s="1">
        <v>49</v>
      </c>
      <c r="FY1208" s="1" t="s">
        <v>2408</v>
      </c>
      <c r="FZ1208" s="1" t="s">
        <v>4700</v>
      </c>
      <c r="GA1208" s="1">
        <v>7198</v>
      </c>
      <c r="GB1208" s="1" t="s">
        <v>4701</v>
      </c>
      <c r="GE1208" s="1" t="s">
        <v>210</v>
      </c>
      <c r="GI1208" s="1" t="s">
        <v>213</v>
      </c>
      <c r="GJ1208" s="1" t="s">
        <v>260</v>
      </c>
      <c r="GK1208" s="1" t="s">
        <v>210</v>
      </c>
      <c r="GL1208" s="2">
        <v>42139</v>
      </c>
      <c r="GM1208" s="1" t="s">
        <v>12467</v>
      </c>
    </row>
    <row r="1209" spans="1:195">
      <c r="A1209" s="1">
        <v>157000</v>
      </c>
      <c r="B1209" s="1" t="s">
        <v>195</v>
      </c>
      <c r="C1209" s="1" t="str">
        <f>"08854779"</f>
        <v>08854779</v>
      </c>
      <c r="D1209" s="1" t="s">
        <v>196</v>
      </c>
      <c r="F1209" s="1" t="str">
        <f>"540"</f>
        <v>540</v>
      </c>
      <c r="G1209" s="2">
        <v>42069</v>
      </c>
      <c r="H1209" s="1">
        <v>163000</v>
      </c>
      <c r="I1209" s="1">
        <v>163000</v>
      </c>
      <c r="J1209" s="1">
        <v>157000</v>
      </c>
      <c r="K1209" s="2">
        <v>42069</v>
      </c>
      <c r="L1209" s="1">
        <v>33</v>
      </c>
      <c r="M1209" s="2">
        <v>42101</v>
      </c>
      <c r="N1209" s="1">
        <v>33</v>
      </c>
      <c r="O1209" s="2">
        <v>42101</v>
      </c>
      <c r="P1209" s="1">
        <v>22029</v>
      </c>
      <c r="Q1209" s="1" t="s">
        <v>197</v>
      </c>
      <c r="R1209" s="2">
        <v>42135</v>
      </c>
      <c r="S1209" s="1">
        <v>235159</v>
      </c>
      <c r="U1209" s="1">
        <v>722</v>
      </c>
      <c r="V1209" s="1" t="s">
        <v>12468</v>
      </c>
      <c r="W1209" s="1" t="s">
        <v>264</v>
      </c>
      <c r="X1209" s="1">
        <v>722</v>
      </c>
      <c r="Y1209" s="1">
        <v>6</v>
      </c>
      <c r="Z1209" s="1" t="s">
        <v>249</v>
      </c>
      <c r="AA1209" s="1" t="s">
        <v>921</v>
      </c>
      <c r="AB1209" s="1">
        <v>60563</v>
      </c>
      <c r="AD1209" s="1" t="s">
        <v>12469</v>
      </c>
      <c r="AE1209" s="1" t="s">
        <v>12470</v>
      </c>
      <c r="AF1209" s="1">
        <v>2002</v>
      </c>
      <c r="AG1209" s="1" t="s">
        <v>204</v>
      </c>
      <c r="AH1209" s="1" t="s">
        <v>924</v>
      </c>
      <c r="AI1209" s="1" t="s">
        <v>206</v>
      </c>
      <c r="AJ1209" s="1" t="s">
        <v>924</v>
      </c>
      <c r="AK1209" s="1" t="s">
        <v>5952</v>
      </c>
      <c r="AL1209" s="1">
        <v>6</v>
      </c>
      <c r="AM1209" s="1">
        <v>2</v>
      </c>
      <c r="AN1209" s="1">
        <v>2</v>
      </c>
      <c r="AO1209" s="1">
        <v>1</v>
      </c>
      <c r="AP1209" s="1" t="s">
        <v>209</v>
      </c>
      <c r="AQ1209" s="1">
        <v>0</v>
      </c>
      <c r="AR1209" s="1" t="s">
        <v>210</v>
      </c>
      <c r="AS1209" s="1" t="s">
        <v>204</v>
      </c>
      <c r="AT1209" s="1" t="s">
        <v>211</v>
      </c>
      <c r="AU1209" s="1">
        <v>1</v>
      </c>
      <c r="AW1209" s="1" t="s">
        <v>204</v>
      </c>
      <c r="AX1209" s="1" t="s">
        <v>212</v>
      </c>
      <c r="AZ1209" s="1">
        <v>3113</v>
      </c>
      <c r="BA1209" s="1">
        <v>2013</v>
      </c>
      <c r="BB1209" s="1" t="s">
        <v>405</v>
      </c>
      <c r="BE1209" s="1">
        <v>1412</v>
      </c>
      <c r="BF1209" s="1">
        <v>1</v>
      </c>
      <c r="BG1209" s="1">
        <v>0</v>
      </c>
      <c r="BL1209" s="1">
        <v>221</v>
      </c>
      <c r="BM1209" s="1" t="s">
        <v>204</v>
      </c>
      <c r="BN1209" s="1" t="s">
        <v>213</v>
      </c>
      <c r="BO1209" s="1">
        <v>999</v>
      </c>
      <c r="BP1209" s="1" t="s">
        <v>204</v>
      </c>
      <c r="BR1209" s="1" t="str">
        <f>"0709310424"</f>
        <v>0709310424</v>
      </c>
      <c r="BT1209" s="1" t="s">
        <v>12471</v>
      </c>
      <c r="BU1209" s="1" t="s">
        <v>5426</v>
      </c>
      <c r="BV1209" s="1" t="s">
        <v>1130</v>
      </c>
      <c r="BW1209" s="1" t="s">
        <v>1131</v>
      </c>
      <c r="BX1209" s="1">
        <v>204</v>
      </c>
      <c r="BY1209" s="1">
        <v>204</v>
      </c>
      <c r="BZ1209" s="1">
        <v>204</v>
      </c>
      <c r="CB1209" s="1" t="str">
        <f t="shared" ref="CB1209:CC1209" si="931">"0"</f>
        <v>0</v>
      </c>
      <c r="CC1209" s="1" t="str">
        <f t="shared" si="931"/>
        <v>0</v>
      </c>
      <c r="CD1209" s="1">
        <v>30</v>
      </c>
      <c r="CE1209" s="1">
        <v>6</v>
      </c>
      <c r="CG1209" s="1" t="s">
        <v>972</v>
      </c>
      <c r="CH1209" s="1" t="s">
        <v>219</v>
      </c>
      <c r="CI1209" s="1" t="s">
        <v>229</v>
      </c>
      <c r="CJ1209" s="1" t="s">
        <v>343</v>
      </c>
      <c r="CK1209" s="1" t="s">
        <v>932</v>
      </c>
      <c r="CL1209" s="1" t="s">
        <v>277</v>
      </c>
      <c r="CM1209" s="1" t="s">
        <v>220</v>
      </c>
      <c r="CN1209" s="1" t="s">
        <v>343</v>
      </c>
      <c r="CO1209" s="1" t="s">
        <v>409</v>
      </c>
      <c r="CP1209" s="1" t="s">
        <v>219</v>
      </c>
      <c r="CQ1209" s="1" t="s">
        <v>229</v>
      </c>
      <c r="CR1209" s="1" t="s">
        <v>210</v>
      </c>
      <c r="CS1209" s="1" t="s">
        <v>1854</v>
      </c>
      <c r="CT1209" s="1" t="s">
        <v>277</v>
      </c>
      <c r="CU1209" s="1" t="s">
        <v>220</v>
      </c>
      <c r="CV1209" s="1" t="s">
        <v>909</v>
      </c>
      <c r="CX1209" s="1" t="s">
        <v>224</v>
      </c>
      <c r="DB1209" s="1" t="s">
        <v>224</v>
      </c>
      <c r="DE1209" s="1" t="s">
        <v>951</v>
      </c>
      <c r="DF1209" s="1" t="s">
        <v>219</v>
      </c>
      <c r="DG1209" s="1" t="s">
        <v>342</v>
      </c>
      <c r="DH1209" s="1" t="s">
        <v>210</v>
      </c>
      <c r="DJ1209" s="1" t="s">
        <v>224</v>
      </c>
      <c r="DM1209" s="1" t="s">
        <v>464</v>
      </c>
      <c r="DR1209" s="1" t="s">
        <v>1774</v>
      </c>
      <c r="DS1209" s="1" t="s">
        <v>277</v>
      </c>
      <c r="DT1209" s="1" t="s">
        <v>220</v>
      </c>
      <c r="DW1209" s="1" t="s">
        <v>230</v>
      </c>
      <c r="EA1209" s="1" t="s">
        <v>230</v>
      </c>
      <c r="EE1209" s="1" t="s">
        <v>230</v>
      </c>
      <c r="EI1209" s="1" t="s">
        <v>230</v>
      </c>
      <c r="EL1209" s="1" t="s">
        <v>466</v>
      </c>
      <c r="EM1209" s="1" t="s">
        <v>730</v>
      </c>
      <c r="EN1209" s="1" t="s">
        <v>282</v>
      </c>
      <c r="EO1209" s="1" t="s">
        <v>234</v>
      </c>
      <c r="EP1209" s="1" t="s">
        <v>2331</v>
      </c>
      <c r="EQ1209" s="1" t="s">
        <v>236</v>
      </c>
      <c r="ER1209" s="1" t="s">
        <v>210</v>
      </c>
      <c r="ES1209" s="1" t="s">
        <v>1552</v>
      </c>
      <c r="EU1209" s="1" t="s">
        <v>239</v>
      </c>
      <c r="EV1209" s="1" t="s">
        <v>240</v>
      </c>
      <c r="EW1209" s="1" t="s">
        <v>1804</v>
      </c>
      <c r="EY1209" s="1" t="s">
        <v>790</v>
      </c>
      <c r="EZ1209" s="1" t="s">
        <v>464</v>
      </c>
      <c r="FA1209" s="1" t="s">
        <v>1427</v>
      </c>
      <c r="FB1209" s="1" t="s">
        <v>289</v>
      </c>
      <c r="FC1209" s="1" t="s">
        <v>633</v>
      </c>
      <c r="FD1209" s="1" t="s">
        <v>246</v>
      </c>
      <c r="FE1209" s="1" t="s">
        <v>472</v>
      </c>
      <c r="FF1209" s="1" t="s">
        <v>248</v>
      </c>
      <c r="FH1209" s="1" t="s">
        <v>249</v>
      </c>
      <c r="FI1209" s="1" t="s">
        <v>357</v>
      </c>
      <c r="FJ1209" s="1" t="s">
        <v>518</v>
      </c>
      <c r="FL1209" s="1" t="s">
        <v>358</v>
      </c>
      <c r="FM1209" s="1" t="s">
        <v>252</v>
      </c>
      <c r="FN1209" s="1" t="s">
        <v>213</v>
      </c>
      <c r="FO1209" s="1" t="s">
        <v>213</v>
      </c>
      <c r="FQ1209" s="1" t="s">
        <v>1599</v>
      </c>
      <c r="FR1209" s="1" t="s">
        <v>210</v>
      </c>
      <c r="FS1209" s="1" t="s">
        <v>12472</v>
      </c>
      <c r="FT1209" s="1" t="s">
        <v>520</v>
      </c>
      <c r="FU1209" s="1" t="s">
        <v>204</v>
      </c>
      <c r="FW1209" s="1" t="s">
        <v>585</v>
      </c>
      <c r="FX1209" s="1">
        <v>23156</v>
      </c>
      <c r="FY1209" s="1" t="s">
        <v>1253</v>
      </c>
      <c r="FZ1209" s="1" t="s">
        <v>7262</v>
      </c>
      <c r="GA1209" s="1">
        <v>233258</v>
      </c>
      <c r="GB1209" s="1" t="s">
        <v>7263</v>
      </c>
      <c r="GC1209" s="1">
        <v>227656</v>
      </c>
      <c r="GD1209" s="1" t="s">
        <v>7264</v>
      </c>
      <c r="GE1209" s="1" t="s">
        <v>1226</v>
      </c>
      <c r="GI1209" s="1" t="s">
        <v>213</v>
      </c>
      <c r="GJ1209" s="1" t="s">
        <v>260</v>
      </c>
      <c r="GK1209" s="1" t="s">
        <v>210</v>
      </c>
      <c r="GL1209" s="2">
        <v>42135</v>
      </c>
    </row>
    <row r="1210" spans="1:195">
      <c r="A1210" s="1">
        <v>129000</v>
      </c>
      <c r="B1210" s="1" t="s">
        <v>195</v>
      </c>
      <c r="C1210" s="1" t="str">
        <f>"08855852"</f>
        <v>08855852</v>
      </c>
      <c r="D1210" s="1" t="s">
        <v>196</v>
      </c>
      <c r="F1210" s="1" t="str">
        <f>"560"</f>
        <v>560</v>
      </c>
      <c r="G1210" s="2">
        <v>42072</v>
      </c>
      <c r="H1210" s="1">
        <v>131900</v>
      </c>
      <c r="I1210" s="1">
        <v>131900</v>
      </c>
      <c r="J1210" s="1">
        <v>129000</v>
      </c>
      <c r="K1210" s="2">
        <v>42072</v>
      </c>
      <c r="L1210" s="1">
        <v>10</v>
      </c>
      <c r="M1210" s="2">
        <v>42081</v>
      </c>
      <c r="N1210" s="1">
        <v>10</v>
      </c>
      <c r="O1210" s="2">
        <v>42081</v>
      </c>
      <c r="P1210" s="1">
        <v>7661</v>
      </c>
      <c r="Q1210" s="1" t="s">
        <v>197</v>
      </c>
      <c r="R1210" s="2">
        <v>42123</v>
      </c>
      <c r="S1210" s="1">
        <v>1213</v>
      </c>
      <c r="U1210" s="1">
        <v>3936</v>
      </c>
      <c r="V1210" s="1" t="s">
        <v>12473</v>
      </c>
      <c r="W1210" s="1" t="s">
        <v>304</v>
      </c>
      <c r="Y1210" s="1">
        <v>4</v>
      </c>
      <c r="Z1210" s="1" t="s">
        <v>249</v>
      </c>
      <c r="AA1210" s="1" t="s">
        <v>484</v>
      </c>
      <c r="AB1210" s="1">
        <v>60560</v>
      </c>
      <c r="AD1210" s="1" t="s">
        <v>12474</v>
      </c>
      <c r="AE1210" s="1" t="s">
        <v>12475</v>
      </c>
      <c r="AF1210" s="1">
        <v>2006</v>
      </c>
      <c r="AG1210" s="1" t="s">
        <v>204</v>
      </c>
      <c r="AH1210" s="1" t="s">
        <v>487</v>
      </c>
      <c r="AI1210" s="1" t="s">
        <v>453</v>
      </c>
      <c r="AJ1210" s="1" t="s">
        <v>454</v>
      </c>
      <c r="AK1210" s="1" t="s">
        <v>6257</v>
      </c>
      <c r="AL1210" s="1">
        <v>6</v>
      </c>
      <c r="AM1210" s="1">
        <v>2</v>
      </c>
      <c r="AN1210" s="1">
        <v>2</v>
      </c>
      <c r="AO1210" s="1">
        <v>1</v>
      </c>
      <c r="AP1210" s="1" t="s">
        <v>209</v>
      </c>
      <c r="AR1210" s="1" t="s">
        <v>209</v>
      </c>
      <c r="AS1210" s="1" t="s">
        <v>204</v>
      </c>
      <c r="AT1210" s="1" t="s">
        <v>211</v>
      </c>
      <c r="AU1210" s="1">
        <v>2</v>
      </c>
      <c r="AW1210" s="1" t="s">
        <v>204</v>
      </c>
      <c r="AX1210" s="1" t="s">
        <v>212</v>
      </c>
      <c r="AZ1210" s="1">
        <v>3685.46</v>
      </c>
      <c r="BA1210" s="1">
        <v>2012</v>
      </c>
      <c r="BE1210" s="1">
        <v>1478</v>
      </c>
      <c r="BF1210" s="1">
        <v>1</v>
      </c>
      <c r="BG1210" s="1">
        <v>10</v>
      </c>
      <c r="BL1210" s="1">
        <v>165</v>
      </c>
      <c r="BM1210" s="1" t="s">
        <v>204</v>
      </c>
      <c r="BN1210" s="1" t="s">
        <v>213</v>
      </c>
      <c r="BO1210" s="1" t="s">
        <v>402</v>
      </c>
      <c r="BP1210" s="1" t="s">
        <v>204</v>
      </c>
      <c r="BR1210" s="1" t="str">
        <f>"0211476028"</f>
        <v>0211476028</v>
      </c>
      <c r="BT1210" s="1" t="s">
        <v>12476</v>
      </c>
      <c r="BX1210" s="1">
        <v>115</v>
      </c>
      <c r="BY1210" s="1">
        <v>115</v>
      </c>
      <c r="BZ1210" s="1">
        <v>115</v>
      </c>
      <c r="CB1210" s="1" t="str">
        <f t="shared" ref="CB1210:CC1210" si="932">""</f>
        <v/>
      </c>
      <c r="CC1210" s="1" t="str">
        <f t="shared" si="932"/>
        <v/>
      </c>
      <c r="CD1210" s="1">
        <v>40</v>
      </c>
      <c r="CE1210" s="1">
        <v>11</v>
      </c>
      <c r="CG1210" s="1" t="s">
        <v>602</v>
      </c>
      <c r="CH1210" s="1" t="s">
        <v>219</v>
      </c>
      <c r="CK1210" s="1" t="s">
        <v>538</v>
      </c>
      <c r="CL1210" s="1" t="s">
        <v>277</v>
      </c>
      <c r="CO1210" s="1" t="s">
        <v>318</v>
      </c>
      <c r="CP1210" s="1" t="s">
        <v>219</v>
      </c>
      <c r="CS1210" s="1" t="s">
        <v>379</v>
      </c>
      <c r="CT1210" s="1" t="s">
        <v>277</v>
      </c>
      <c r="CX1210" s="1" t="s">
        <v>224</v>
      </c>
      <c r="DB1210" s="1" t="s">
        <v>224</v>
      </c>
      <c r="DE1210" s="1" t="s">
        <v>316</v>
      </c>
      <c r="DF1210" s="1" t="s">
        <v>219</v>
      </c>
      <c r="DJ1210" s="1" t="s">
        <v>224</v>
      </c>
      <c r="DM1210" s="1" t="s">
        <v>464</v>
      </c>
      <c r="DR1210" s="1" t="s">
        <v>602</v>
      </c>
      <c r="DS1210" s="1" t="s">
        <v>277</v>
      </c>
      <c r="DW1210" s="1" t="s">
        <v>230</v>
      </c>
      <c r="EA1210" s="1" t="s">
        <v>230</v>
      </c>
      <c r="EE1210" s="1" t="s">
        <v>230</v>
      </c>
      <c r="EI1210" s="1" t="s">
        <v>230</v>
      </c>
      <c r="EL1210" s="1" t="s">
        <v>491</v>
      </c>
      <c r="EM1210" s="1" t="s">
        <v>319</v>
      </c>
      <c r="EN1210" s="1" t="s">
        <v>282</v>
      </c>
      <c r="EO1210" s="1" t="s">
        <v>234</v>
      </c>
      <c r="ER1210" s="1" t="s">
        <v>1249</v>
      </c>
      <c r="EU1210" s="1" t="s">
        <v>239</v>
      </c>
      <c r="EW1210" s="1" t="s">
        <v>353</v>
      </c>
      <c r="EY1210" s="1" t="s">
        <v>242</v>
      </c>
      <c r="EZ1210" s="1" t="s">
        <v>464</v>
      </c>
      <c r="FD1210" s="1" t="s">
        <v>246</v>
      </c>
      <c r="FE1210" s="1" t="s">
        <v>355</v>
      </c>
      <c r="FF1210" s="1" t="s">
        <v>248</v>
      </c>
      <c r="FH1210" s="1" t="s">
        <v>550</v>
      </c>
      <c r="FL1210" s="1" t="s">
        <v>358</v>
      </c>
      <c r="FM1210" s="1" t="s">
        <v>252</v>
      </c>
      <c r="FN1210" s="1" t="s">
        <v>213</v>
      </c>
      <c r="FO1210" s="1" t="s">
        <v>213</v>
      </c>
      <c r="FQ1210" s="1" t="s">
        <v>689</v>
      </c>
      <c r="FR1210" s="1" t="s">
        <v>210</v>
      </c>
      <c r="FS1210" s="1" t="s">
        <v>1908</v>
      </c>
      <c r="FT1210" s="1" t="s">
        <v>584</v>
      </c>
      <c r="FU1210" s="1" t="s">
        <v>204</v>
      </c>
      <c r="FW1210" s="1" t="s">
        <v>915</v>
      </c>
      <c r="FX1210" s="1">
        <v>23076</v>
      </c>
      <c r="FY1210" s="1" t="s">
        <v>1909</v>
      </c>
      <c r="FZ1210" s="1" t="s">
        <v>1910</v>
      </c>
      <c r="GA1210" s="1">
        <v>213408</v>
      </c>
      <c r="GB1210" s="1" t="s">
        <v>1911</v>
      </c>
      <c r="GE1210" s="1" t="s">
        <v>480</v>
      </c>
      <c r="GI1210" s="1" t="s">
        <v>213</v>
      </c>
      <c r="GJ1210" s="1" t="s">
        <v>300</v>
      </c>
      <c r="GK1210" s="1" t="s">
        <v>210</v>
      </c>
      <c r="GL1210" s="2">
        <v>42125</v>
      </c>
      <c r="GM1210" s="1" t="s">
        <v>1912</v>
      </c>
    </row>
    <row r="1211" spans="1:195">
      <c r="A1211" s="1">
        <v>140000</v>
      </c>
      <c r="B1211" s="1" t="s">
        <v>195</v>
      </c>
      <c r="C1211" s="1" t="str">
        <f>"08854118"</f>
        <v>08854118</v>
      </c>
      <c r="D1211" s="1" t="s">
        <v>196</v>
      </c>
      <c r="F1211" s="1" t="str">
        <f>"507"</f>
        <v>507</v>
      </c>
      <c r="G1211" s="2">
        <v>42069</v>
      </c>
      <c r="H1211" s="1">
        <v>139900</v>
      </c>
      <c r="I1211" s="1">
        <v>139900</v>
      </c>
      <c r="J1211" s="1">
        <v>140000</v>
      </c>
      <c r="K1211" s="2">
        <v>42067</v>
      </c>
      <c r="L1211" s="1">
        <v>6</v>
      </c>
      <c r="M1211" s="2">
        <v>42072</v>
      </c>
      <c r="N1211" s="1">
        <v>6</v>
      </c>
      <c r="O1211" s="2">
        <v>42072</v>
      </c>
      <c r="P1211" s="1">
        <v>23076</v>
      </c>
      <c r="Q1211" s="1" t="s">
        <v>197</v>
      </c>
      <c r="R1211" s="2">
        <v>42125</v>
      </c>
      <c r="S1211" s="1">
        <v>225492</v>
      </c>
      <c r="U1211" s="1">
        <v>1859</v>
      </c>
      <c r="V1211" s="1" t="s">
        <v>12477</v>
      </c>
      <c r="W1211" s="1" t="s">
        <v>504</v>
      </c>
      <c r="Y1211" s="1">
        <v>6</v>
      </c>
      <c r="Z1211" s="1" t="s">
        <v>370</v>
      </c>
      <c r="AA1211" s="1" t="s">
        <v>1123</v>
      </c>
      <c r="AB1211" s="1">
        <v>60503</v>
      </c>
      <c r="AD1211" s="1" t="s">
        <v>12478</v>
      </c>
      <c r="AE1211" s="1" t="s">
        <v>12479</v>
      </c>
      <c r="AF1211" s="1">
        <v>2003</v>
      </c>
      <c r="AG1211" s="1" t="s">
        <v>204</v>
      </c>
      <c r="AH1211" s="1" t="s">
        <v>1126</v>
      </c>
      <c r="AI1211" s="1" t="s">
        <v>453</v>
      </c>
      <c r="AJ1211" s="1" t="s">
        <v>1397</v>
      </c>
      <c r="AK1211" s="1" t="s">
        <v>1460</v>
      </c>
      <c r="AL1211" s="1">
        <v>5</v>
      </c>
      <c r="AM1211" s="1">
        <v>2</v>
      </c>
      <c r="AN1211" s="1">
        <v>2</v>
      </c>
      <c r="AO1211" s="1">
        <v>1</v>
      </c>
      <c r="AP1211" s="1" t="s">
        <v>209</v>
      </c>
      <c r="AR1211" s="1" t="s">
        <v>210</v>
      </c>
      <c r="AS1211" s="1" t="s">
        <v>204</v>
      </c>
      <c r="AT1211" s="1" t="s">
        <v>211</v>
      </c>
      <c r="AU1211" s="1">
        <v>2</v>
      </c>
      <c r="AW1211" s="1" t="s">
        <v>204</v>
      </c>
      <c r="AX1211" s="1" t="s">
        <v>212</v>
      </c>
      <c r="AZ1211" s="1">
        <v>3777.86</v>
      </c>
      <c r="BA1211" s="1">
        <v>2012</v>
      </c>
      <c r="BE1211" s="1">
        <v>1550</v>
      </c>
      <c r="BF1211" s="1">
        <v>1</v>
      </c>
      <c r="BG1211" s="1">
        <v>0</v>
      </c>
      <c r="BL1211" s="1">
        <v>189</v>
      </c>
      <c r="BM1211" s="1" t="s">
        <v>204</v>
      </c>
      <c r="BN1211" s="1" t="s">
        <v>213</v>
      </c>
      <c r="BO1211" s="1">
        <v>999</v>
      </c>
      <c r="BP1211" s="1" t="s">
        <v>204</v>
      </c>
      <c r="BR1211" s="1" t="str">
        <f>"0301454062"</f>
        <v>0301454062</v>
      </c>
      <c r="BT1211" s="1" t="s">
        <v>12480</v>
      </c>
      <c r="BU1211" s="1" t="s">
        <v>1400</v>
      </c>
      <c r="BV1211" s="1" t="s">
        <v>7954</v>
      </c>
      <c r="BW1211" s="1" t="s">
        <v>1401</v>
      </c>
      <c r="BX1211" s="1">
        <v>308</v>
      </c>
      <c r="BY1211" s="1">
        <v>308</v>
      </c>
      <c r="BZ1211" s="1">
        <v>308</v>
      </c>
      <c r="CB1211" s="1" t="str">
        <f t="shared" ref="CB1211:CC1211" si="933">""</f>
        <v/>
      </c>
      <c r="CC1211" s="1" t="str">
        <f t="shared" si="933"/>
        <v/>
      </c>
      <c r="CG1211" s="1" t="s">
        <v>1936</v>
      </c>
      <c r="CH1211" s="1" t="s">
        <v>219</v>
      </c>
      <c r="CI1211" s="1" t="s">
        <v>220</v>
      </c>
      <c r="CJ1211" s="1" t="s">
        <v>210</v>
      </c>
      <c r="CK1211" s="1" t="s">
        <v>932</v>
      </c>
      <c r="CL1211" s="1" t="s">
        <v>277</v>
      </c>
      <c r="CM1211" s="1" t="s">
        <v>220</v>
      </c>
      <c r="CN1211" s="1" t="s">
        <v>463</v>
      </c>
      <c r="CP1211" s="1" t="s">
        <v>224</v>
      </c>
      <c r="CS1211" s="1" t="s">
        <v>346</v>
      </c>
      <c r="CT1211" s="1" t="s">
        <v>277</v>
      </c>
      <c r="CU1211" s="1" t="s">
        <v>220</v>
      </c>
      <c r="CV1211" s="1" t="s">
        <v>210</v>
      </c>
      <c r="CX1211" s="1" t="s">
        <v>224</v>
      </c>
      <c r="DB1211" s="1" t="s">
        <v>224</v>
      </c>
      <c r="DE1211" s="1" t="s">
        <v>3808</v>
      </c>
      <c r="DF1211" s="1" t="s">
        <v>219</v>
      </c>
      <c r="DG1211" s="1" t="s">
        <v>438</v>
      </c>
      <c r="DH1211" s="1" t="s">
        <v>343</v>
      </c>
      <c r="DJ1211" s="1" t="s">
        <v>224</v>
      </c>
      <c r="DM1211" s="1" t="s">
        <v>464</v>
      </c>
      <c r="DR1211" s="1" t="s">
        <v>317</v>
      </c>
      <c r="DS1211" s="1" t="s">
        <v>277</v>
      </c>
      <c r="DT1211" s="1" t="s">
        <v>220</v>
      </c>
      <c r="DU1211" s="1" t="s">
        <v>210</v>
      </c>
      <c r="DW1211" s="1" t="s">
        <v>230</v>
      </c>
      <c r="EA1211" s="1" t="s">
        <v>230</v>
      </c>
      <c r="EE1211" s="1" t="s">
        <v>230</v>
      </c>
      <c r="EI1211" s="1" t="s">
        <v>230</v>
      </c>
      <c r="EL1211" s="1" t="s">
        <v>466</v>
      </c>
      <c r="EM1211" s="1" t="s">
        <v>319</v>
      </c>
      <c r="EN1211" s="1" t="s">
        <v>282</v>
      </c>
      <c r="EO1211" s="1" t="s">
        <v>234</v>
      </c>
      <c r="ER1211" s="1" t="s">
        <v>210</v>
      </c>
      <c r="EW1211" s="1" t="s">
        <v>3851</v>
      </c>
      <c r="EZ1211" s="1" t="s">
        <v>464</v>
      </c>
      <c r="FB1211" s="1" t="s">
        <v>289</v>
      </c>
      <c r="FD1211" s="1" t="s">
        <v>246</v>
      </c>
      <c r="FE1211" s="1" t="s">
        <v>472</v>
      </c>
      <c r="FF1211" s="1" t="s">
        <v>248</v>
      </c>
      <c r="FH1211" s="1" t="s">
        <v>2175</v>
      </c>
      <c r="FI1211" s="1" t="s">
        <v>473</v>
      </c>
      <c r="FL1211" s="1" t="s">
        <v>358</v>
      </c>
      <c r="FM1211" s="1" t="s">
        <v>252</v>
      </c>
      <c r="FN1211" s="1" t="s">
        <v>213</v>
      </c>
      <c r="FO1211" s="1" t="s">
        <v>204</v>
      </c>
      <c r="FQ1211" s="1" t="s">
        <v>5000</v>
      </c>
      <c r="FR1211" s="1" t="s">
        <v>210</v>
      </c>
      <c r="FS1211" s="1" t="s">
        <v>12481</v>
      </c>
      <c r="FT1211" s="1" t="s">
        <v>2589</v>
      </c>
      <c r="FU1211" s="1" t="s">
        <v>204</v>
      </c>
      <c r="FW1211" s="1" t="s">
        <v>1409</v>
      </c>
      <c r="FX1211" s="1">
        <v>22667</v>
      </c>
      <c r="FY1211" s="1" t="s">
        <v>1410</v>
      </c>
      <c r="FZ1211" s="1" t="s">
        <v>1411</v>
      </c>
      <c r="GA1211" s="1">
        <v>220614</v>
      </c>
      <c r="GB1211" s="1" t="s">
        <v>1412</v>
      </c>
      <c r="GC1211" s="1">
        <v>228882</v>
      </c>
      <c r="GD1211" s="1">
        <v>220614</v>
      </c>
      <c r="GE1211" s="1" t="s">
        <v>210</v>
      </c>
      <c r="GI1211" s="1" t="s">
        <v>204</v>
      </c>
      <c r="GJ1211" s="1" t="s">
        <v>260</v>
      </c>
      <c r="GK1211" s="1" t="s">
        <v>1413</v>
      </c>
      <c r="GL1211" s="2">
        <v>42125</v>
      </c>
    </row>
    <row r="1212" spans="1:195">
      <c r="A1212" s="1">
        <v>140000</v>
      </c>
      <c r="B1212" s="1" t="s">
        <v>195</v>
      </c>
      <c r="C1212" s="1" t="str">
        <f>"08853904"</f>
        <v>08853904</v>
      </c>
      <c r="D1212" s="1" t="s">
        <v>196</v>
      </c>
      <c r="F1212" s="1" t="str">
        <f>"555"</f>
        <v>555</v>
      </c>
      <c r="G1212" s="2">
        <v>42068</v>
      </c>
      <c r="H1212" s="1">
        <v>150000</v>
      </c>
      <c r="I1212" s="1">
        <v>150000</v>
      </c>
      <c r="J1212" s="1">
        <v>140000</v>
      </c>
      <c r="K1212" s="2">
        <v>42067</v>
      </c>
      <c r="L1212" s="1">
        <v>50</v>
      </c>
      <c r="M1212" s="2">
        <v>42116</v>
      </c>
      <c r="N1212" s="1">
        <v>50</v>
      </c>
      <c r="O1212" s="2">
        <v>42116</v>
      </c>
      <c r="P1212" s="1">
        <v>24321</v>
      </c>
      <c r="Q1212" s="1" t="s">
        <v>302</v>
      </c>
      <c r="R1212" s="2">
        <v>42137</v>
      </c>
      <c r="S1212" s="1">
        <v>243230</v>
      </c>
      <c r="U1212" s="1" t="s">
        <v>4142</v>
      </c>
      <c r="V1212" s="1" t="s">
        <v>4143</v>
      </c>
      <c r="W1212" s="1" t="s">
        <v>264</v>
      </c>
      <c r="X1212" s="1" t="s">
        <v>4144</v>
      </c>
      <c r="Y1212" s="1">
        <v>8</v>
      </c>
      <c r="Z1212" s="1" t="s">
        <v>249</v>
      </c>
      <c r="AA1212" s="1" t="s">
        <v>984</v>
      </c>
      <c r="AB1212" s="1">
        <v>60555</v>
      </c>
      <c r="AD1212" s="1" t="s">
        <v>4143</v>
      </c>
      <c r="AE1212" s="1" t="s">
        <v>12482</v>
      </c>
      <c r="AF1212" s="1">
        <v>1977</v>
      </c>
      <c r="AG1212" s="1" t="s">
        <v>213</v>
      </c>
      <c r="AH1212" s="1" t="s">
        <v>986</v>
      </c>
      <c r="AI1212" s="1" t="s">
        <v>206</v>
      </c>
      <c r="AJ1212" s="1" t="s">
        <v>987</v>
      </c>
      <c r="AL1212" s="1">
        <v>5</v>
      </c>
      <c r="AM1212" s="1">
        <v>2</v>
      </c>
      <c r="AN1212" s="1">
        <v>2</v>
      </c>
      <c r="AO1212" s="1">
        <v>0</v>
      </c>
      <c r="AP1212" s="1" t="s">
        <v>209</v>
      </c>
      <c r="AQ1212" s="1">
        <v>1</v>
      </c>
      <c r="AR1212" s="1" t="s">
        <v>210</v>
      </c>
      <c r="AT1212" s="1" t="s">
        <v>211</v>
      </c>
      <c r="AU1212" s="1">
        <v>1</v>
      </c>
      <c r="AW1212" s="1" t="s">
        <v>204</v>
      </c>
      <c r="AX1212" s="1" t="s">
        <v>212</v>
      </c>
      <c r="AZ1212" s="1">
        <v>2801</v>
      </c>
      <c r="BA1212" s="1">
        <v>2013</v>
      </c>
      <c r="BB1212" s="1" t="s">
        <v>405</v>
      </c>
      <c r="BE1212" s="1">
        <v>1100</v>
      </c>
      <c r="BF1212" s="1">
        <v>1</v>
      </c>
      <c r="BG1212" s="1">
        <v>0</v>
      </c>
      <c r="BL1212" s="1">
        <v>280</v>
      </c>
      <c r="BM1212" s="1" t="s">
        <v>204</v>
      </c>
      <c r="BN1212" s="1" t="s">
        <v>213</v>
      </c>
      <c r="BO1212" s="1">
        <v>999</v>
      </c>
      <c r="BP1212" s="1" t="s">
        <v>204</v>
      </c>
      <c r="BR1212" s="1" t="str">
        <f>"0427414055"</f>
        <v>0427414055</v>
      </c>
      <c r="BT1212" s="1" t="s">
        <v>12483</v>
      </c>
      <c r="BX1212" s="1">
        <v>200</v>
      </c>
      <c r="BY1212" s="1">
        <v>200</v>
      </c>
      <c r="BZ1212" s="1">
        <v>200</v>
      </c>
      <c r="CB1212" s="1" t="str">
        <f t="shared" ref="CB1212:CC1212" si="934">""</f>
        <v/>
      </c>
      <c r="CC1212" s="1" t="str">
        <f t="shared" si="934"/>
        <v/>
      </c>
      <c r="CG1212" s="1" t="s">
        <v>1200</v>
      </c>
      <c r="CH1212" s="1" t="s">
        <v>219</v>
      </c>
      <c r="CI1212" s="1" t="s">
        <v>438</v>
      </c>
      <c r="CJ1212" s="1" t="s">
        <v>210</v>
      </c>
      <c r="CK1212" s="1" t="s">
        <v>932</v>
      </c>
      <c r="CL1212" s="1" t="s">
        <v>219</v>
      </c>
      <c r="CM1212" s="1" t="s">
        <v>220</v>
      </c>
      <c r="CN1212" s="1" t="s">
        <v>210</v>
      </c>
      <c r="CO1212" s="1" t="s">
        <v>630</v>
      </c>
      <c r="CP1212" s="1" t="s">
        <v>219</v>
      </c>
      <c r="CQ1212" s="1" t="s">
        <v>438</v>
      </c>
      <c r="CR1212" s="1" t="s">
        <v>210</v>
      </c>
      <c r="CS1212" s="1" t="s">
        <v>1046</v>
      </c>
      <c r="CT1212" s="1" t="s">
        <v>219</v>
      </c>
      <c r="CU1212" s="1" t="s">
        <v>220</v>
      </c>
      <c r="CV1212" s="1" t="s">
        <v>210</v>
      </c>
      <c r="CX1212" s="1" t="s">
        <v>224</v>
      </c>
      <c r="DB1212" s="1" t="s">
        <v>224</v>
      </c>
      <c r="DE1212" s="1" t="s">
        <v>4147</v>
      </c>
      <c r="DF1212" s="1" t="s">
        <v>219</v>
      </c>
      <c r="DG1212" s="1" t="s">
        <v>438</v>
      </c>
      <c r="DH1212" s="1" t="s">
        <v>210</v>
      </c>
      <c r="DJ1212" s="1" t="s">
        <v>224</v>
      </c>
      <c r="DM1212" s="1" t="s">
        <v>3011</v>
      </c>
      <c r="DR1212" s="1" t="s">
        <v>4148</v>
      </c>
      <c r="DS1212" s="1" t="s">
        <v>219</v>
      </c>
      <c r="DT1212" s="1" t="s">
        <v>226</v>
      </c>
      <c r="DU1212" s="1" t="s">
        <v>210</v>
      </c>
      <c r="DW1212" s="1" t="s">
        <v>230</v>
      </c>
      <c r="EA1212" s="1" t="s">
        <v>230</v>
      </c>
      <c r="EE1212" s="1" t="s">
        <v>230</v>
      </c>
      <c r="EI1212" s="1" t="s">
        <v>230</v>
      </c>
      <c r="EL1212" s="1" t="s">
        <v>231</v>
      </c>
      <c r="EM1212" s="1" t="s">
        <v>319</v>
      </c>
      <c r="EN1212" s="1" t="s">
        <v>282</v>
      </c>
      <c r="EO1212" s="1" t="s">
        <v>234</v>
      </c>
      <c r="EP1212" s="1" t="s">
        <v>4149</v>
      </c>
      <c r="EQ1212" s="1" t="s">
        <v>4150</v>
      </c>
      <c r="ER1212" s="1" t="s">
        <v>210</v>
      </c>
      <c r="ES1212" s="1" t="s">
        <v>865</v>
      </c>
      <c r="EU1212" s="1" t="s">
        <v>239</v>
      </c>
      <c r="EV1212" s="1" t="s">
        <v>240</v>
      </c>
      <c r="EW1212" s="1" t="s">
        <v>4151</v>
      </c>
      <c r="EY1212" s="1" t="s">
        <v>790</v>
      </c>
      <c r="EZ1212" s="1" t="s">
        <v>3011</v>
      </c>
      <c r="FA1212" s="1" t="s">
        <v>1270</v>
      </c>
      <c r="FC1212" s="1" t="s">
        <v>4152</v>
      </c>
      <c r="FD1212" s="1" t="s">
        <v>246</v>
      </c>
      <c r="FE1212" s="1" t="s">
        <v>889</v>
      </c>
      <c r="FF1212" s="1" t="s">
        <v>248</v>
      </c>
      <c r="FG1212" s="1" t="s">
        <v>1682</v>
      </c>
      <c r="FH1212" s="1" t="s">
        <v>1316</v>
      </c>
      <c r="FI1212" s="1" t="s">
        <v>473</v>
      </c>
      <c r="FJ1212" s="1" t="s">
        <v>1472</v>
      </c>
      <c r="FL1212" s="1" t="s">
        <v>358</v>
      </c>
      <c r="FM1212" s="1" t="s">
        <v>252</v>
      </c>
      <c r="FN1212" s="1" t="s">
        <v>213</v>
      </c>
      <c r="FO1212" s="1" t="s">
        <v>213</v>
      </c>
      <c r="FQ1212" s="1" t="s">
        <v>4699</v>
      </c>
      <c r="FR1212" s="1" t="s">
        <v>210</v>
      </c>
      <c r="FS1212" s="1" t="s">
        <v>12484</v>
      </c>
      <c r="FT1212" s="1" t="s">
        <v>295</v>
      </c>
      <c r="FU1212" s="1" t="s">
        <v>204</v>
      </c>
      <c r="FW1212" s="1" t="s">
        <v>1097</v>
      </c>
      <c r="FX1212" s="1">
        <v>890</v>
      </c>
      <c r="FY1212" s="1" t="s">
        <v>9200</v>
      </c>
      <c r="FZ1212" s="1" t="s">
        <v>12485</v>
      </c>
      <c r="GA1212" s="1">
        <v>8770</v>
      </c>
      <c r="GE1212" s="1" t="s">
        <v>480</v>
      </c>
      <c r="GI1212" s="1" t="s">
        <v>213</v>
      </c>
      <c r="GJ1212" s="1" t="s">
        <v>260</v>
      </c>
      <c r="GK1212" s="1" t="s">
        <v>261</v>
      </c>
      <c r="GL1212" s="2">
        <v>42138</v>
      </c>
      <c r="GM1212" s="1" t="s">
        <v>12486</v>
      </c>
    </row>
    <row r="1213" spans="1:195">
      <c r="A1213" s="1">
        <v>173900</v>
      </c>
      <c r="B1213" s="1" t="s">
        <v>195</v>
      </c>
      <c r="C1213" s="1" t="str">
        <f>"08855277"</f>
        <v>08855277</v>
      </c>
      <c r="D1213" s="1" t="s">
        <v>196</v>
      </c>
      <c r="F1213" s="1" t="str">
        <f>"20"</f>
        <v>20</v>
      </c>
      <c r="G1213" s="2">
        <v>42070</v>
      </c>
      <c r="H1213" s="1">
        <v>179900</v>
      </c>
      <c r="I1213" s="1">
        <v>179900</v>
      </c>
      <c r="J1213" s="1">
        <v>173900</v>
      </c>
      <c r="K1213" s="2">
        <v>42069</v>
      </c>
      <c r="L1213" s="1">
        <v>26</v>
      </c>
      <c r="M1213" s="2">
        <v>42094</v>
      </c>
      <c r="N1213" s="1">
        <v>26</v>
      </c>
      <c r="O1213" s="2">
        <v>42094</v>
      </c>
      <c r="P1213" s="1">
        <v>2101</v>
      </c>
      <c r="Q1213" s="1" t="s">
        <v>197</v>
      </c>
      <c r="R1213" s="2">
        <v>42121</v>
      </c>
      <c r="S1213" s="1">
        <v>87099</v>
      </c>
      <c r="U1213" s="1">
        <v>8236</v>
      </c>
      <c r="V1213" s="1" t="s">
        <v>12487</v>
      </c>
      <c r="W1213" s="1" t="s">
        <v>304</v>
      </c>
      <c r="Y1213" s="1">
        <v>8</v>
      </c>
      <c r="Z1213" s="1" t="s">
        <v>249</v>
      </c>
      <c r="AA1213" s="1" t="s">
        <v>592</v>
      </c>
      <c r="AB1213" s="1">
        <v>60020</v>
      </c>
      <c r="AD1213" s="1" t="s">
        <v>4404</v>
      </c>
      <c r="AE1213" s="1" t="s">
        <v>12488</v>
      </c>
      <c r="AF1213" s="1">
        <v>2001</v>
      </c>
      <c r="AG1213" s="1" t="s">
        <v>204</v>
      </c>
      <c r="AH1213" s="1" t="s">
        <v>595</v>
      </c>
      <c r="AI1213" s="1" t="s">
        <v>509</v>
      </c>
      <c r="AJ1213" s="1" t="s">
        <v>596</v>
      </c>
      <c r="AK1213" s="1" t="s">
        <v>12489</v>
      </c>
      <c r="AL1213" s="1">
        <v>9</v>
      </c>
      <c r="AM1213" s="1">
        <v>2</v>
      </c>
      <c r="AN1213" s="1">
        <v>3</v>
      </c>
      <c r="AO1213" s="1">
        <v>1</v>
      </c>
      <c r="AP1213" s="1" t="s">
        <v>209</v>
      </c>
      <c r="AQ1213" s="1">
        <v>1</v>
      </c>
      <c r="AR1213" s="1" t="s">
        <v>2275</v>
      </c>
      <c r="AS1213" s="1" t="s">
        <v>213</v>
      </c>
      <c r="AT1213" s="1" t="s">
        <v>211</v>
      </c>
      <c r="AU1213" s="1">
        <v>2</v>
      </c>
      <c r="AW1213" s="1" t="s">
        <v>213</v>
      </c>
      <c r="AX1213" s="1" t="s">
        <v>579</v>
      </c>
      <c r="AZ1213" s="1">
        <v>4367</v>
      </c>
      <c r="BA1213" s="1">
        <v>2013</v>
      </c>
      <c r="BB1213" s="1" t="s">
        <v>3262</v>
      </c>
      <c r="BE1213" s="1">
        <v>2275</v>
      </c>
      <c r="BF1213" s="1">
        <v>1</v>
      </c>
      <c r="BG1213" s="1">
        <v>0</v>
      </c>
      <c r="BL1213" s="1">
        <v>236</v>
      </c>
      <c r="BM1213" s="1" t="s">
        <v>204</v>
      </c>
      <c r="BN1213" s="1" t="s">
        <v>213</v>
      </c>
      <c r="BO1213" s="1">
        <v>0</v>
      </c>
      <c r="BP1213" s="1" t="s">
        <v>204</v>
      </c>
      <c r="BR1213" s="1" t="str">
        <f>"01273020480000"</f>
        <v>01273020480000</v>
      </c>
      <c r="BT1213" s="1" t="s">
        <v>12490</v>
      </c>
      <c r="BU1213" s="1" t="s">
        <v>2262</v>
      </c>
      <c r="BV1213" s="1" t="s">
        <v>2263</v>
      </c>
      <c r="BW1213" s="1" t="s">
        <v>2264</v>
      </c>
      <c r="BX1213" s="1">
        <v>114</v>
      </c>
      <c r="BY1213" s="1">
        <v>114</v>
      </c>
      <c r="BZ1213" s="1">
        <v>124</v>
      </c>
      <c r="CB1213" s="1" t="str">
        <f>"38"</f>
        <v>38</v>
      </c>
      <c r="CC1213" s="1" t="str">
        <f>"0"</f>
        <v>0</v>
      </c>
      <c r="CD1213" s="1">
        <v>28</v>
      </c>
      <c r="CE1213" s="1">
        <v>0</v>
      </c>
      <c r="CG1213" s="1" t="s">
        <v>1737</v>
      </c>
      <c r="CH1213" s="1" t="s">
        <v>219</v>
      </c>
      <c r="CI1213" s="1" t="s">
        <v>438</v>
      </c>
      <c r="CJ1213" s="1" t="s">
        <v>463</v>
      </c>
      <c r="CK1213" s="1" t="s">
        <v>729</v>
      </c>
      <c r="CL1213" s="1" t="s">
        <v>277</v>
      </c>
      <c r="CM1213" s="1" t="s">
        <v>220</v>
      </c>
      <c r="CN1213" s="1" t="s">
        <v>343</v>
      </c>
      <c r="CO1213" s="1" t="s">
        <v>318</v>
      </c>
      <c r="CP1213" s="1" t="s">
        <v>219</v>
      </c>
      <c r="CQ1213" s="1" t="s">
        <v>438</v>
      </c>
      <c r="CS1213" s="1" t="s">
        <v>437</v>
      </c>
      <c r="CT1213" s="1" t="s">
        <v>277</v>
      </c>
      <c r="CU1213" s="1" t="s">
        <v>220</v>
      </c>
      <c r="CV1213" s="1" t="s">
        <v>343</v>
      </c>
      <c r="CX1213" s="1" t="s">
        <v>224</v>
      </c>
      <c r="DB1213" s="1" t="s">
        <v>224</v>
      </c>
      <c r="DE1213" s="1" t="s">
        <v>2138</v>
      </c>
      <c r="DF1213" s="1" t="s">
        <v>219</v>
      </c>
      <c r="DG1213" s="1" t="s">
        <v>438</v>
      </c>
      <c r="DI1213" s="1" t="s">
        <v>8527</v>
      </c>
      <c r="DJ1213" s="1" t="s">
        <v>4450</v>
      </c>
      <c r="DK1213" s="1" t="s">
        <v>229</v>
      </c>
      <c r="DL1213" s="1" t="s">
        <v>343</v>
      </c>
      <c r="DM1213" s="1" t="s">
        <v>381</v>
      </c>
      <c r="DN1213" s="1" t="s">
        <v>2278</v>
      </c>
      <c r="DO1213" s="1" t="s">
        <v>4083</v>
      </c>
      <c r="DP1213" s="1" t="s">
        <v>709</v>
      </c>
      <c r="DQ1213" s="1" t="s">
        <v>464</v>
      </c>
      <c r="DR1213" s="1" t="s">
        <v>409</v>
      </c>
      <c r="DS1213" s="1" t="s">
        <v>219</v>
      </c>
      <c r="DT1213" s="1" t="s">
        <v>438</v>
      </c>
      <c r="DU1213" s="1" t="s">
        <v>439</v>
      </c>
      <c r="DV1213" s="1" t="s">
        <v>6342</v>
      </c>
      <c r="DW1213" s="1" t="s">
        <v>4450</v>
      </c>
      <c r="DZ1213" s="1" t="s">
        <v>6342</v>
      </c>
      <c r="EA1213" s="1" t="s">
        <v>4450</v>
      </c>
      <c r="ED1213" s="1" t="s">
        <v>4260</v>
      </c>
      <c r="EE1213" s="1" t="s">
        <v>219</v>
      </c>
      <c r="EF1213" s="1" t="s">
        <v>226</v>
      </c>
      <c r="EH1213" s="1" t="s">
        <v>4260</v>
      </c>
      <c r="EI1213" s="1" t="s">
        <v>277</v>
      </c>
      <c r="EJ1213" s="1" t="s">
        <v>220</v>
      </c>
      <c r="EL1213" s="1" t="s">
        <v>466</v>
      </c>
      <c r="EM1213" s="1" t="s">
        <v>319</v>
      </c>
      <c r="EN1213" s="1" t="s">
        <v>282</v>
      </c>
      <c r="EO1213" s="1" t="s">
        <v>234</v>
      </c>
      <c r="EP1213" s="1" t="s">
        <v>12491</v>
      </c>
      <c r="EQ1213" s="1" t="s">
        <v>236</v>
      </c>
      <c r="ER1213" s="1" t="s">
        <v>823</v>
      </c>
      <c r="ES1213" s="1" t="s">
        <v>824</v>
      </c>
      <c r="ET1213" s="1" t="s">
        <v>1201</v>
      </c>
      <c r="EU1213" s="1" t="s">
        <v>12492</v>
      </c>
      <c r="EV1213" s="1" t="s">
        <v>324</v>
      </c>
      <c r="EW1213" s="1" t="s">
        <v>353</v>
      </c>
      <c r="EY1213" s="1" t="s">
        <v>790</v>
      </c>
      <c r="EZ1213" s="1" t="s">
        <v>12493</v>
      </c>
      <c r="FA1213" s="1" t="s">
        <v>12494</v>
      </c>
      <c r="FC1213" s="1" t="s">
        <v>2002</v>
      </c>
      <c r="FD1213" s="1" t="s">
        <v>495</v>
      </c>
      <c r="FE1213" s="1" t="s">
        <v>975</v>
      </c>
      <c r="FF1213" s="1" t="s">
        <v>248</v>
      </c>
      <c r="FG1213" s="1" t="s">
        <v>2739</v>
      </c>
      <c r="FH1213" s="1" t="s">
        <v>1428</v>
      </c>
      <c r="FI1213" s="1" t="s">
        <v>473</v>
      </c>
      <c r="FJ1213" s="1" t="s">
        <v>197</v>
      </c>
      <c r="FL1213" s="1" t="s">
        <v>358</v>
      </c>
      <c r="FM1213" s="1" t="s">
        <v>252</v>
      </c>
      <c r="FN1213" s="1" t="s">
        <v>213</v>
      </c>
      <c r="FO1213" s="1" t="s">
        <v>213</v>
      </c>
      <c r="FQ1213" s="1" t="s">
        <v>615</v>
      </c>
      <c r="FR1213" s="1" t="s">
        <v>210</v>
      </c>
      <c r="FS1213" s="1" t="s">
        <v>5670</v>
      </c>
      <c r="FT1213" s="1" t="s">
        <v>12495</v>
      </c>
      <c r="FU1213" s="1" t="s">
        <v>204</v>
      </c>
      <c r="FW1213" s="1" t="s">
        <v>2269</v>
      </c>
      <c r="FX1213" s="1">
        <v>2424</v>
      </c>
      <c r="FY1213" s="1" t="s">
        <v>2270</v>
      </c>
      <c r="FZ1213" s="1" t="s">
        <v>5671</v>
      </c>
      <c r="GA1213" s="1">
        <v>18547</v>
      </c>
      <c r="GB1213" s="1" t="s">
        <v>2270</v>
      </c>
      <c r="GD1213" s="1" t="s">
        <v>5672</v>
      </c>
      <c r="GE1213" s="1" t="s">
        <v>1256</v>
      </c>
      <c r="GI1213" s="1" t="s">
        <v>213</v>
      </c>
      <c r="GJ1213" s="1" t="s">
        <v>260</v>
      </c>
      <c r="GK1213" s="1" t="s">
        <v>210</v>
      </c>
      <c r="GL1213" s="2">
        <v>42122</v>
      </c>
      <c r="GM1213" s="1" t="s">
        <v>12496</v>
      </c>
    </row>
    <row r="1214" spans="1:195">
      <c r="A1214" s="1">
        <v>84900</v>
      </c>
      <c r="B1214" s="1" t="s">
        <v>195</v>
      </c>
      <c r="C1214" s="1" t="str">
        <f>"08858135"</f>
        <v>08858135</v>
      </c>
      <c r="D1214" s="1" t="s">
        <v>196</v>
      </c>
      <c r="F1214" s="1" t="str">
        <f>"131"</f>
        <v>131</v>
      </c>
      <c r="G1214" s="2">
        <v>42074</v>
      </c>
      <c r="H1214" s="1">
        <v>84900</v>
      </c>
      <c r="I1214" s="1">
        <v>84900</v>
      </c>
      <c r="J1214" s="1">
        <v>84900</v>
      </c>
      <c r="K1214" s="2">
        <v>42074</v>
      </c>
      <c r="L1214" s="1">
        <v>27</v>
      </c>
      <c r="M1214" s="2">
        <v>42100</v>
      </c>
      <c r="N1214" s="1">
        <v>27</v>
      </c>
      <c r="O1214" s="2">
        <v>42100</v>
      </c>
      <c r="P1214" s="1">
        <v>8747</v>
      </c>
      <c r="Q1214" s="1" t="s">
        <v>302</v>
      </c>
      <c r="R1214" s="2">
        <v>42124</v>
      </c>
      <c r="S1214" s="1">
        <v>82041</v>
      </c>
      <c r="U1214" s="1">
        <v>3141</v>
      </c>
      <c r="V1214" s="1" t="s">
        <v>12497</v>
      </c>
      <c r="W1214" s="1" t="s">
        <v>725</v>
      </c>
      <c r="Y1214" s="1">
        <v>2</v>
      </c>
      <c r="Z1214" s="1" t="s">
        <v>200</v>
      </c>
      <c r="AA1214" s="1" t="s">
        <v>3712</v>
      </c>
      <c r="AB1214" s="1">
        <v>60131</v>
      </c>
      <c r="AE1214" s="1" t="s">
        <v>12498</v>
      </c>
      <c r="AF1214" s="1">
        <v>1945</v>
      </c>
      <c r="AG1214" s="1" t="s">
        <v>213</v>
      </c>
      <c r="AH1214" s="1" t="s">
        <v>3714</v>
      </c>
      <c r="AI1214" s="1" t="s">
        <v>310</v>
      </c>
      <c r="AJ1214" s="1" t="s">
        <v>311</v>
      </c>
      <c r="AL1214" s="1">
        <v>6</v>
      </c>
      <c r="AM1214" s="1">
        <v>2</v>
      </c>
      <c r="AN1214" s="1">
        <v>2</v>
      </c>
      <c r="AO1214" s="1">
        <v>0</v>
      </c>
      <c r="AP1214" s="1" t="s">
        <v>210</v>
      </c>
      <c r="AR1214" s="1" t="s">
        <v>209</v>
      </c>
      <c r="AS1214" s="1" t="s">
        <v>213</v>
      </c>
      <c r="AT1214" s="1" t="s">
        <v>211</v>
      </c>
      <c r="AU1214" s="1">
        <v>2</v>
      </c>
      <c r="AW1214" s="1" t="s">
        <v>204</v>
      </c>
      <c r="AX1214" s="1" t="s">
        <v>12499</v>
      </c>
      <c r="AZ1214" s="1">
        <v>4032.21</v>
      </c>
      <c r="BA1214" s="1">
        <v>2013</v>
      </c>
      <c r="BE1214" s="1">
        <v>924</v>
      </c>
      <c r="BF1214" s="1">
        <v>1</v>
      </c>
      <c r="BG1214" s="1">
        <v>0</v>
      </c>
      <c r="BL1214" s="1">
        <v>0</v>
      </c>
      <c r="BM1214" s="1" t="s">
        <v>413</v>
      </c>
      <c r="BN1214" s="1" t="s">
        <v>213</v>
      </c>
      <c r="BO1214" s="1" t="s">
        <v>432</v>
      </c>
      <c r="BP1214" s="1" t="s">
        <v>204</v>
      </c>
      <c r="BR1214" s="1" t="str">
        <f>"12281020460000"</f>
        <v>12281020460000</v>
      </c>
      <c r="BT1214" s="1" t="s">
        <v>12500</v>
      </c>
      <c r="BX1214" s="1">
        <v>84</v>
      </c>
      <c r="BY1214" s="1">
        <v>84</v>
      </c>
      <c r="BZ1214" s="1">
        <v>84</v>
      </c>
      <c r="CB1214" s="1" t="str">
        <f t="shared" ref="CB1214:CC1214" si="935">""</f>
        <v/>
      </c>
      <c r="CC1214" s="1" t="str">
        <f t="shared" si="935"/>
        <v/>
      </c>
      <c r="CG1214" s="1" t="s">
        <v>3083</v>
      </c>
      <c r="CH1214" s="1" t="s">
        <v>219</v>
      </c>
      <c r="CK1214" s="1" t="s">
        <v>1788</v>
      </c>
      <c r="CL1214" s="1" t="s">
        <v>277</v>
      </c>
      <c r="CO1214" s="1" t="s">
        <v>1470</v>
      </c>
      <c r="CP1214" s="1" t="s">
        <v>219</v>
      </c>
      <c r="CS1214" s="1" t="s">
        <v>1470</v>
      </c>
      <c r="CT1214" s="1" t="s">
        <v>277</v>
      </c>
      <c r="CW1214" s="1" t="s">
        <v>3591</v>
      </c>
      <c r="CX1214" s="1" t="s">
        <v>43</v>
      </c>
      <c r="DB1214" s="1" t="s">
        <v>224</v>
      </c>
      <c r="DE1214" s="1" t="s">
        <v>345</v>
      </c>
      <c r="DF1214" s="1" t="s">
        <v>219</v>
      </c>
      <c r="DJ1214" s="1" t="s">
        <v>224</v>
      </c>
      <c r="DS1214" s="1" t="s">
        <v>230</v>
      </c>
      <c r="DW1214" s="1" t="s">
        <v>230</v>
      </c>
      <c r="EA1214" s="1" t="s">
        <v>230</v>
      </c>
      <c r="EE1214" s="1" t="s">
        <v>230</v>
      </c>
      <c r="EI1214" s="1" t="s">
        <v>230</v>
      </c>
      <c r="EL1214" s="1" t="s">
        <v>3717</v>
      </c>
      <c r="EM1214" s="1" t="s">
        <v>319</v>
      </c>
      <c r="EN1214" s="1" t="s">
        <v>282</v>
      </c>
      <c r="EO1214" s="1" t="s">
        <v>234</v>
      </c>
      <c r="ER1214" s="1" t="s">
        <v>544</v>
      </c>
      <c r="EW1214" s="1" t="s">
        <v>210</v>
      </c>
      <c r="EZ1214" s="1" t="s">
        <v>287</v>
      </c>
      <c r="FD1214" s="1" t="s">
        <v>246</v>
      </c>
      <c r="FE1214" s="1" t="s">
        <v>247</v>
      </c>
      <c r="FF1214" s="1" t="s">
        <v>248</v>
      </c>
      <c r="FH1214" s="1" t="s">
        <v>442</v>
      </c>
      <c r="FL1214" s="1" t="s">
        <v>358</v>
      </c>
      <c r="FM1214" s="1" t="s">
        <v>252</v>
      </c>
      <c r="FN1214" s="1" t="s">
        <v>213</v>
      </c>
      <c r="FO1214" s="1" t="s">
        <v>213</v>
      </c>
      <c r="FQ1214" s="1" t="s">
        <v>582</v>
      </c>
      <c r="FR1214" s="1" t="s">
        <v>210</v>
      </c>
      <c r="FS1214" s="1" t="s">
        <v>2984</v>
      </c>
      <c r="FT1214" s="1" t="s">
        <v>295</v>
      </c>
      <c r="FU1214" s="1" t="s">
        <v>204</v>
      </c>
      <c r="FW1214" s="1" t="s">
        <v>2985</v>
      </c>
      <c r="FX1214" s="1">
        <v>23959</v>
      </c>
      <c r="FY1214" s="1" t="s">
        <v>2986</v>
      </c>
      <c r="FZ1214" s="1" t="s">
        <v>6386</v>
      </c>
      <c r="GA1214" s="1">
        <v>238419</v>
      </c>
      <c r="GC1214" s="1">
        <v>220868</v>
      </c>
      <c r="GE1214" s="1" t="s">
        <v>210</v>
      </c>
      <c r="GI1214" s="1" t="s">
        <v>213</v>
      </c>
      <c r="GJ1214" s="1" t="s">
        <v>260</v>
      </c>
      <c r="GK1214" s="1" t="s">
        <v>210</v>
      </c>
      <c r="GL1214" s="2">
        <v>42125</v>
      </c>
      <c r="GM1214" s="1" t="s">
        <v>12501</v>
      </c>
    </row>
    <row r="1215" spans="1:195">
      <c r="A1215" s="1">
        <v>155000</v>
      </c>
      <c r="B1215" s="1" t="s">
        <v>195</v>
      </c>
      <c r="C1215" s="1" t="str">
        <f>"08859602"</f>
        <v>08859602</v>
      </c>
      <c r="D1215" s="1" t="s">
        <v>196</v>
      </c>
      <c r="F1215" s="1" t="str">
        <f>"538"</f>
        <v>538</v>
      </c>
      <c r="G1215" s="2">
        <v>42075</v>
      </c>
      <c r="H1215" s="1">
        <v>165000</v>
      </c>
      <c r="I1215" s="1">
        <v>165000</v>
      </c>
      <c r="J1215" s="1">
        <v>155000</v>
      </c>
      <c r="K1215" s="2">
        <v>42075</v>
      </c>
      <c r="L1215" s="1">
        <v>20</v>
      </c>
      <c r="M1215" s="2">
        <v>42094</v>
      </c>
      <c r="N1215" s="1">
        <v>20</v>
      </c>
      <c r="O1215" s="2">
        <v>42094</v>
      </c>
      <c r="P1215" s="1">
        <v>85696</v>
      </c>
      <c r="Q1215" s="1" t="s">
        <v>423</v>
      </c>
      <c r="R1215" s="2">
        <v>42143</v>
      </c>
      <c r="S1215" s="1">
        <v>168600</v>
      </c>
      <c r="U1215" s="1">
        <v>1337</v>
      </c>
      <c r="V1215" s="1" t="s">
        <v>12502</v>
      </c>
      <c r="W1215" s="1" t="s">
        <v>425</v>
      </c>
      <c r="Y1215" s="1">
        <v>6</v>
      </c>
      <c r="Z1215" s="1" t="s">
        <v>370</v>
      </c>
      <c r="AA1215" s="1" t="s">
        <v>450</v>
      </c>
      <c r="AB1215" s="1">
        <v>60538</v>
      </c>
      <c r="AC1215" s="1">
        <v>1076</v>
      </c>
      <c r="AD1215" s="1" t="s">
        <v>12503</v>
      </c>
      <c r="AE1215" s="1" t="s">
        <v>12504</v>
      </c>
      <c r="AF1215" s="1">
        <v>2006</v>
      </c>
      <c r="AG1215" s="1" t="s">
        <v>204</v>
      </c>
      <c r="AH1215" s="1" t="s">
        <v>452</v>
      </c>
      <c r="AI1215" s="1" t="s">
        <v>665</v>
      </c>
      <c r="AJ1215" s="1" t="s">
        <v>1126</v>
      </c>
      <c r="AL1215" s="1">
        <v>7</v>
      </c>
      <c r="AM1215" s="1">
        <v>2</v>
      </c>
      <c r="AN1215" s="1">
        <v>2</v>
      </c>
      <c r="AO1215" s="1">
        <v>0</v>
      </c>
      <c r="AP1215" s="1" t="s">
        <v>667</v>
      </c>
      <c r="AQ1215" s="1">
        <v>1</v>
      </c>
      <c r="AR1215" s="1" t="s">
        <v>1421</v>
      </c>
      <c r="AS1215" s="1" t="s">
        <v>213</v>
      </c>
      <c r="AT1215" s="1" t="s">
        <v>211</v>
      </c>
      <c r="AU1215" s="1">
        <v>2</v>
      </c>
      <c r="AW1215" s="1" t="s">
        <v>204</v>
      </c>
      <c r="AX1215" s="1" t="s">
        <v>212</v>
      </c>
      <c r="AZ1215" s="1">
        <v>3380.3</v>
      </c>
      <c r="BA1215" s="1">
        <v>2013</v>
      </c>
      <c r="BB1215" s="1" t="s">
        <v>405</v>
      </c>
      <c r="BE1215" s="1">
        <v>1658</v>
      </c>
      <c r="BF1215" s="1">
        <v>1</v>
      </c>
      <c r="BG1215" s="1">
        <v>0</v>
      </c>
      <c r="BL1215" s="1">
        <v>136</v>
      </c>
      <c r="BM1215" s="1" t="s">
        <v>204</v>
      </c>
      <c r="BN1215" s="1" t="s">
        <v>213</v>
      </c>
      <c r="BO1215" s="1">
        <v>100</v>
      </c>
      <c r="BP1215" s="1" t="s">
        <v>204</v>
      </c>
      <c r="BR1215" s="1" t="str">
        <f>"1533478024"</f>
        <v>1533478024</v>
      </c>
      <c r="BT1215" s="1" t="s">
        <v>12505</v>
      </c>
      <c r="BU1215" s="1" t="s">
        <v>12506</v>
      </c>
      <c r="BV1215" s="1" t="s">
        <v>12507</v>
      </c>
      <c r="BW1215" s="1" t="s">
        <v>3930</v>
      </c>
      <c r="BX1215" s="1">
        <v>129</v>
      </c>
      <c r="BY1215" s="1">
        <v>129</v>
      </c>
      <c r="BZ1215" s="1">
        <v>129</v>
      </c>
      <c r="CB1215" s="1" t="str">
        <f t="shared" ref="CB1215:CC1215" si="936">""</f>
        <v/>
      </c>
      <c r="CC1215" s="1" t="str">
        <f t="shared" si="936"/>
        <v/>
      </c>
      <c r="CD1215" s="1">
        <v>36</v>
      </c>
      <c r="CE1215" s="1">
        <v>10</v>
      </c>
      <c r="CF1215" s="1" t="s">
        <v>12508</v>
      </c>
      <c r="CG1215" s="1" t="s">
        <v>729</v>
      </c>
      <c r="CH1215" s="1" t="s">
        <v>219</v>
      </c>
      <c r="CI1215" s="1" t="s">
        <v>438</v>
      </c>
      <c r="CJ1215" s="1" t="s">
        <v>252</v>
      </c>
      <c r="CK1215" s="1" t="s">
        <v>538</v>
      </c>
      <c r="CL1215" s="1" t="s">
        <v>219</v>
      </c>
      <c r="CM1215" s="1" t="s">
        <v>438</v>
      </c>
      <c r="CN1215" s="1" t="s">
        <v>252</v>
      </c>
      <c r="CO1215" s="1" t="s">
        <v>489</v>
      </c>
      <c r="CP1215" s="1" t="s">
        <v>219</v>
      </c>
      <c r="CQ1215" s="1" t="s">
        <v>438</v>
      </c>
      <c r="CR1215" s="1" t="s">
        <v>252</v>
      </c>
      <c r="CS1215" s="1" t="s">
        <v>379</v>
      </c>
      <c r="CT1215" s="1" t="s">
        <v>219</v>
      </c>
      <c r="CU1215" s="1" t="s">
        <v>438</v>
      </c>
      <c r="CV1215" s="1" t="s">
        <v>252</v>
      </c>
      <c r="CX1215" s="1" t="s">
        <v>224</v>
      </c>
      <c r="DB1215" s="1" t="s">
        <v>224</v>
      </c>
      <c r="DE1215" s="1" t="s">
        <v>3034</v>
      </c>
      <c r="DF1215" s="1" t="s">
        <v>219</v>
      </c>
      <c r="DG1215" s="1" t="s">
        <v>438</v>
      </c>
      <c r="DI1215" s="1" t="s">
        <v>729</v>
      </c>
      <c r="DJ1215" s="1" t="s">
        <v>822</v>
      </c>
      <c r="DK1215" s="1" t="s">
        <v>220</v>
      </c>
      <c r="DL1215" s="1" t="s">
        <v>252</v>
      </c>
      <c r="DM1215" s="1" t="s">
        <v>227</v>
      </c>
      <c r="DR1215" s="1" t="s">
        <v>2231</v>
      </c>
      <c r="DS1215" s="1" t="s">
        <v>822</v>
      </c>
      <c r="DT1215" s="1" t="s">
        <v>220</v>
      </c>
      <c r="DU1215" s="1" t="s">
        <v>252</v>
      </c>
      <c r="DW1215" s="1" t="s">
        <v>230</v>
      </c>
      <c r="EA1215" s="1" t="s">
        <v>230</v>
      </c>
      <c r="EE1215" s="1" t="s">
        <v>230</v>
      </c>
      <c r="EI1215" s="1" t="s">
        <v>230</v>
      </c>
      <c r="EL1215" s="1" t="s">
        <v>491</v>
      </c>
      <c r="EM1215" s="1" t="s">
        <v>319</v>
      </c>
      <c r="EN1215" s="1" t="s">
        <v>282</v>
      </c>
      <c r="EO1215" s="1" t="s">
        <v>234</v>
      </c>
      <c r="EP1215" s="1" t="s">
        <v>650</v>
      </c>
      <c r="EQ1215" s="1" t="s">
        <v>671</v>
      </c>
      <c r="ER1215" s="1" t="s">
        <v>544</v>
      </c>
      <c r="ES1215" s="1" t="s">
        <v>608</v>
      </c>
      <c r="ET1215" s="1" t="s">
        <v>842</v>
      </c>
      <c r="EU1215" s="1" t="s">
        <v>5503</v>
      </c>
      <c r="EV1215" s="1" t="s">
        <v>352</v>
      </c>
      <c r="EW1215" s="1" t="s">
        <v>353</v>
      </c>
      <c r="EY1215" s="1" t="s">
        <v>242</v>
      </c>
      <c r="EZ1215" s="1" t="s">
        <v>227</v>
      </c>
      <c r="FA1215" s="1" t="s">
        <v>1072</v>
      </c>
      <c r="FB1215" s="1" t="s">
        <v>289</v>
      </c>
      <c r="FC1215" s="1" t="s">
        <v>548</v>
      </c>
      <c r="FD1215" s="1" t="s">
        <v>495</v>
      </c>
      <c r="FE1215" s="1" t="s">
        <v>1006</v>
      </c>
      <c r="FF1215" s="1" t="s">
        <v>248</v>
      </c>
      <c r="FG1215" s="1" t="s">
        <v>2739</v>
      </c>
      <c r="FH1215" s="1" t="s">
        <v>825</v>
      </c>
      <c r="FI1215" s="1" t="s">
        <v>473</v>
      </c>
      <c r="FJ1215" s="1" t="s">
        <v>1472</v>
      </c>
      <c r="FL1215" s="1" t="s">
        <v>358</v>
      </c>
      <c r="FM1215" s="1" t="s">
        <v>252</v>
      </c>
      <c r="FN1215" s="1" t="s">
        <v>213</v>
      </c>
      <c r="FO1215" s="1" t="s">
        <v>213</v>
      </c>
      <c r="FQ1215" s="1" t="s">
        <v>2004</v>
      </c>
      <c r="FR1215" s="1" t="s">
        <v>210</v>
      </c>
      <c r="FS1215" s="1" t="s">
        <v>4100</v>
      </c>
      <c r="FT1215" s="1" t="s">
        <v>295</v>
      </c>
      <c r="FU1215" s="1" t="s">
        <v>204</v>
      </c>
      <c r="FW1215" s="1" t="s">
        <v>1475</v>
      </c>
      <c r="FX1215" s="1">
        <v>23265</v>
      </c>
      <c r="FY1215" s="1" t="s">
        <v>1476</v>
      </c>
      <c r="FZ1215" s="1" t="s">
        <v>4101</v>
      </c>
      <c r="GA1215" s="1">
        <v>215634</v>
      </c>
      <c r="GB1215" s="1" t="s">
        <v>4102</v>
      </c>
      <c r="GE1215" s="1" t="s">
        <v>335</v>
      </c>
      <c r="GI1215" s="1" t="s">
        <v>213</v>
      </c>
      <c r="GJ1215" s="1" t="s">
        <v>260</v>
      </c>
      <c r="GK1215" s="1" t="s">
        <v>210</v>
      </c>
      <c r="GL1215" s="2">
        <v>42143</v>
      </c>
      <c r="GM1215" s="1" t="s">
        <v>12509</v>
      </c>
    </row>
    <row r="1216" spans="1:195">
      <c r="A1216" s="1">
        <v>123000</v>
      </c>
      <c r="B1216" s="1" t="s">
        <v>195</v>
      </c>
      <c r="C1216" s="1" t="str">
        <f>"08854772"</f>
        <v>08854772</v>
      </c>
      <c r="D1216" s="1" t="s">
        <v>196</v>
      </c>
      <c r="F1216" s="1" t="str">
        <f>"507"</f>
        <v>507</v>
      </c>
      <c r="G1216" s="2">
        <v>42069</v>
      </c>
      <c r="H1216" s="1">
        <v>134900</v>
      </c>
      <c r="I1216" s="1">
        <v>129900</v>
      </c>
      <c r="J1216" s="1">
        <v>123000</v>
      </c>
      <c r="K1216" s="2">
        <v>42069</v>
      </c>
      <c r="L1216" s="1">
        <v>19</v>
      </c>
      <c r="M1216" s="2">
        <v>42087</v>
      </c>
      <c r="N1216" s="1">
        <v>19</v>
      </c>
      <c r="O1216" s="2">
        <v>42087</v>
      </c>
      <c r="P1216" s="1">
        <v>23030</v>
      </c>
      <c r="Q1216" s="1" t="s">
        <v>423</v>
      </c>
      <c r="R1216" s="2">
        <v>42143</v>
      </c>
      <c r="S1216" s="1">
        <v>231654</v>
      </c>
      <c r="U1216" s="1">
        <v>2431</v>
      </c>
      <c r="V1216" s="1" t="s">
        <v>8092</v>
      </c>
      <c r="W1216" s="1" t="s">
        <v>449</v>
      </c>
      <c r="Y1216" s="1">
        <v>6</v>
      </c>
      <c r="Z1216" s="1" t="s">
        <v>200</v>
      </c>
      <c r="AA1216" s="1" t="s">
        <v>1123</v>
      </c>
      <c r="AB1216" s="1">
        <v>60503</v>
      </c>
      <c r="AD1216" s="1" t="s">
        <v>3884</v>
      </c>
      <c r="AE1216" s="1" t="s">
        <v>12510</v>
      </c>
      <c r="AF1216" s="1">
        <v>2002</v>
      </c>
      <c r="AG1216" s="1" t="s">
        <v>204</v>
      </c>
      <c r="AH1216" s="1" t="s">
        <v>1126</v>
      </c>
      <c r="AI1216" s="1" t="s">
        <v>1800</v>
      </c>
      <c r="AJ1216" s="1" t="s">
        <v>1801</v>
      </c>
      <c r="AL1216" s="1">
        <v>6</v>
      </c>
      <c r="AM1216" s="1">
        <v>2</v>
      </c>
      <c r="AN1216" s="1">
        <v>1</v>
      </c>
      <c r="AO1216" s="1">
        <v>1</v>
      </c>
      <c r="AP1216" s="1" t="s">
        <v>667</v>
      </c>
      <c r="AR1216" s="1" t="s">
        <v>210</v>
      </c>
      <c r="AS1216" s="1" t="s">
        <v>204</v>
      </c>
      <c r="AT1216" s="1" t="s">
        <v>211</v>
      </c>
      <c r="AU1216" s="1">
        <v>2</v>
      </c>
      <c r="AW1216" s="1" t="s">
        <v>204</v>
      </c>
      <c r="AX1216" s="1" t="s">
        <v>212</v>
      </c>
      <c r="AZ1216" s="1">
        <v>4352</v>
      </c>
      <c r="BA1216" s="1">
        <v>2013</v>
      </c>
      <c r="BE1216" s="1">
        <v>0</v>
      </c>
      <c r="BF1216" s="1">
        <v>1</v>
      </c>
      <c r="BG1216" s="1">
        <v>30</v>
      </c>
      <c r="BL1216" s="1">
        <v>147</v>
      </c>
      <c r="BM1216" s="1" t="s">
        <v>204</v>
      </c>
      <c r="BN1216" s="1" t="s">
        <v>213</v>
      </c>
      <c r="BO1216" s="1">
        <v>60</v>
      </c>
      <c r="BP1216" s="1" t="s">
        <v>204</v>
      </c>
      <c r="BR1216" s="1" t="str">
        <f>"01064150091001"</f>
        <v>01064150091001</v>
      </c>
      <c r="BT1216" s="1" t="s">
        <v>12511</v>
      </c>
      <c r="BX1216" s="1">
        <v>308</v>
      </c>
      <c r="BY1216" s="1">
        <v>308</v>
      </c>
      <c r="BZ1216" s="1">
        <v>308</v>
      </c>
      <c r="CB1216" s="1" t="str">
        <f t="shared" ref="CB1216:CC1216" si="937">""</f>
        <v/>
      </c>
      <c r="CC1216" s="1" t="str">
        <f t="shared" si="937"/>
        <v/>
      </c>
      <c r="CG1216" s="1" t="s">
        <v>221</v>
      </c>
      <c r="CH1216" s="1" t="s">
        <v>219</v>
      </c>
      <c r="CI1216" s="1" t="s">
        <v>220</v>
      </c>
      <c r="CJ1216" s="1" t="s">
        <v>7316</v>
      </c>
      <c r="CK1216" s="1" t="s">
        <v>757</v>
      </c>
      <c r="CL1216" s="1" t="s">
        <v>277</v>
      </c>
      <c r="CM1216" s="1" t="s">
        <v>220</v>
      </c>
      <c r="CN1216" s="1" t="s">
        <v>7316</v>
      </c>
      <c r="CO1216" s="1" t="s">
        <v>821</v>
      </c>
      <c r="CP1216" s="1" t="s">
        <v>219</v>
      </c>
      <c r="CQ1216" s="1" t="s">
        <v>220</v>
      </c>
      <c r="CR1216" s="1" t="s">
        <v>7316</v>
      </c>
      <c r="CS1216" s="1" t="s">
        <v>465</v>
      </c>
      <c r="CT1216" s="1" t="s">
        <v>277</v>
      </c>
      <c r="CU1216" s="1" t="s">
        <v>220</v>
      </c>
      <c r="CV1216" s="1" t="s">
        <v>7316</v>
      </c>
      <c r="CX1216" s="1" t="s">
        <v>224</v>
      </c>
      <c r="DB1216" s="1" t="s">
        <v>224</v>
      </c>
      <c r="DE1216" s="1" t="s">
        <v>2231</v>
      </c>
      <c r="DF1216" s="1" t="s">
        <v>219</v>
      </c>
      <c r="DG1216" s="1" t="s">
        <v>342</v>
      </c>
      <c r="DH1216" s="1" t="s">
        <v>210</v>
      </c>
      <c r="DJ1216" s="1" t="s">
        <v>224</v>
      </c>
      <c r="DM1216" s="1" t="s">
        <v>464</v>
      </c>
      <c r="DR1216" s="1" t="s">
        <v>3848</v>
      </c>
      <c r="DS1216" s="1" t="s">
        <v>277</v>
      </c>
      <c r="DT1216" s="1" t="s">
        <v>220</v>
      </c>
      <c r="DW1216" s="1" t="s">
        <v>230</v>
      </c>
      <c r="EA1216" s="1" t="s">
        <v>230</v>
      </c>
      <c r="EE1216" s="1" t="s">
        <v>230</v>
      </c>
      <c r="EI1216" s="1" t="s">
        <v>230</v>
      </c>
      <c r="EL1216" s="1" t="s">
        <v>466</v>
      </c>
      <c r="EM1216" s="1" t="s">
        <v>319</v>
      </c>
      <c r="EN1216" s="1" t="s">
        <v>282</v>
      </c>
      <c r="EO1216" s="1" t="s">
        <v>234</v>
      </c>
      <c r="ER1216" s="1" t="s">
        <v>210</v>
      </c>
      <c r="EW1216" s="1" t="s">
        <v>1804</v>
      </c>
      <c r="EZ1216" s="1" t="s">
        <v>464</v>
      </c>
      <c r="FA1216" s="1" t="s">
        <v>1072</v>
      </c>
      <c r="FD1216" s="1" t="s">
        <v>246</v>
      </c>
      <c r="FE1216" s="1" t="s">
        <v>472</v>
      </c>
      <c r="FF1216" s="1" t="s">
        <v>2998</v>
      </c>
      <c r="FH1216" s="1" t="s">
        <v>550</v>
      </c>
      <c r="FI1216" s="1" t="s">
        <v>473</v>
      </c>
      <c r="FL1216" s="1" t="s">
        <v>358</v>
      </c>
      <c r="FM1216" s="1" t="s">
        <v>252</v>
      </c>
      <c r="FN1216" s="1" t="s">
        <v>213</v>
      </c>
      <c r="FO1216" s="1" t="s">
        <v>213</v>
      </c>
      <c r="FQ1216" s="1" t="s">
        <v>12512</v>
      </c>
      <c r="FR1216" s="1" t="s">
        <v>210</v>
      </c>
      <c r="FS1216" s="1" t="s">
        <v>12513</v>
      </c>
      <c r="FT1216" s="1" t="s">
        <v>295</v>
      </c>
      <c r="FU1216" s="1" t="s">
        <v>204</v>
      </c>
      <c r="FW1216" s="1" t="s">
        <v>943</v>
      </c>
      <c r="FX1216" s="1">
        <v>23120</v>
      </c>
      <c r="FY1216" s="1" t="s">
        <v>944</v>
      </c>
      <c r="FZ1216" s="1" t="s">
        <v>12514</v>
      </c>
      <c r="GA1216" s="1">
        <v>233854</v>
      </c>
      <c r="GB1216" s="1" t="s">
        <v>12515</v>
      </c>
      <c r="GE1216" s="1" t="s">
        <v>210</v>
      </c>
      <c r="GI1216" s="1" t="s">
        <v>213</v>
      </c>
      <c r="GJ1216" s="1" t="s">
        <v>260</v>
      </c>
      <c r="GK1216" s="1" t="s">
        <v>210</v>
      </c>
      <c r="GL1216" s="2">
        <v>42143</v>
      </c>
      <c r="GM1216" s="1" t="s">
        <v>12516</v>
      </c>
    </row>
    <row r="1217" spans="1:195">
      <c r="A1217" s="1">
        <v>130130</v>
      </c>
      <c r="B1217" s="1" t="s">
        <v>195</v>
      </c>
      <c r="C1217" s="1" t="str">
        <f>"08858297"</f>
        <v>08858297</v>
      </c>
      <c r="D1217" s="1" t="s">
        <v>196</v>
      </c>
      <c r="F1217" s="1" t="str">
        <f>"188"</f>
        <v>188</v>
      </c>
      <c r="G1217" s="2">
        <v>42074</v>
      </c>
      <c r="H1217" s="1">
        <v>126000</v>
      </c>
      <c r="I1217" s="1">
        <v>126000</v>
      </c>
      <c r="J1217" s="1">
        <v>130130</v>
      </c>
      <c r="K1217" s="2">
        <v>42074</v>
      </c>
      <c r="L1217" s="1">
        <v>7</v>
      </c>
      <c r="M1217" s="2">
        <v>42080</v>
      </c>
      <c r="N1217" s="1">
        <v>7</v>
      </c>
      <c r="O1217" s="2">
        <v>42080</v>
      </c>
      <c r="P1217" s="1">
        <v>22833</v>
      </c>
      <c r="Q1217" s="1" t="s">
        <v>197</v>
      </c>
      <c r="R1217" s="2">
        <v>42121</v>
      </c>
      <c r="S1217" s="1">
        <v>259137</v>
      </c>
      <c r="U1217" s="1">
        <v>1416</v>
      </c>
      <c r="V1217" s="1" t="s">
        <v>4587</v>
      </c>
      <c r="W1217" s="1" t="s">
        <v>449</v>
      </c>
      <c r="X1217" s="1">
        <v>1416</v>
      </c>
      <c r="Y1217" s="1">
        <v>4</v>
      </c>
      <c r="Z1217" s="1" t="s">
        <v>200</v>
      </c>
      <c r="AA1217" s="1" t="s">
        <v>1084</v>
      </c>
      <c r="AB1217" s="1">
        <v>60188</v>
      </c>
      <c r="AE1217" s="1" t="s">
        <v>12517</v>
      </c>
      <c r="AF1217" s="1">
        <v>1985</v>
      </c>
      <c r="AG1217" s="1" t="s">
        <v>204</v>
      </c>
      <c r="AH1217" s="1" t="s">
        <v>1087</v>
      </c>
      <c r="AI1217" s="1" t="s">
        <v>206</v>
      </c>
      <c r="AJ1217" s="1" t="s">
        <v>2654</v>
      </c>
      <c r="AL1217" s="1">
        <v>5</v>
      </c>
      <c r="AM1217" s="1">
        <v>2</v>
      </c>
      <c r="AN1217" s="1">
        <v>1</v>
      </c>
      <c r="AO1217" s="1">
        <v>1</v>
      </c>
      <c r="AP1217" s="1" t="s">
        <v>667</v>
      </c>
      <c r="AR1217" s="1" t="s">
        <v>210</v>
      </c>
      <c r="AS1217" s="1" t="s">
        <v>204</v>
      </c>
      <c r="AT1217" s="1" t="s">
        <v>211</v>
      </c>
      <c r="AU1217" s="1">
        <v>1</v>
      </c>
      <c r="AW1217" s="1" t="s">
        <v>213</v>
      </c>
      <c r="AX1217" s="1" t="s">
        <v>12518</v>
      </c>
      <c r="AZ1217" s="1">
        <v>3752</v>
      </c>
      <c r="BA1217" s="1">
        <v>2013</v>
      </c>
      <c r="BE1217" s="1">
        <v>1230</v>
      </c>
      <c r="BF1217" s="1">
        <v>1</v>
      </c>
      <c r="BG1217" s="1">
        <v>0</v>
      </c>
      <c r="BL1217" s="1">
        <v>0</v>
      </c>
      <c r="BM1217" s="1" t="s">
        <v>204</v>
      </c>
      <c r="BN1217" s="1" t="s">
        <v>204</v>
      </c>
      <c r="BP1217" s="1" t="s">
        <v>204</v>
      </c>
      <c r="BR1217" s="1" t="str">
        <f>"0123403027"</f>
        <v>0123403027</v>
      </c>
      <c r="BT1217" s="1" t="s">
        <v>12519</v>
      </c>
      <c r="BU1217" s="1" t="s">
        <v>4591</v>
      </c>
      <c r="BV1217" s="1" t="s">
        <v>4120</v>
      </c>
      <c r="BW1217" s="1" t="s">
        <v>4121</v>
      </c>
      <c r="BX1217" s="1">
        <v>46</v>
      </c>
      <c r="BY1217" s="1">
        <v>46</v>
      </c>
      <c r="BZ1217" s="1">
        <v>46</v>
      </c>
      <c r="CB1217" s="1" t="str">
        <f t="shared" ref="CB1217:CB1218" si="938">"4"</f>
        <v>4</v>
      </c>
      <c r="CC1217" s="1" t="str">
        <f t="shared" ref="CC1217:CC1218" si="939">"0"</f>
        <v>0</v>
      </c>
      <c r="CD1217" s="1">
        <v>28</v>
      </c>
      <c r="CE1217" s="1">
        <v>0</v>
      </c>
      <c r="CG1217" s="1" t="s">
        <v>437</v>
      </c>
      <c r="CH1217" s="1" t="s">
        <v>219</v>
      </c>
      <c r="CI1217" s="1" t="s">
        <v>220</v>
      </c>
      <c r="CK1217" s="1" t="s">
        <v>344</v>
      </c>
      <c r="CL1217" s="1" t="s">
        <v>277</v>
      </c>
      <c r="CM1217" s="1" t="s">
        <v>220</v>
      </c>
      <c r="CO1217" s="1" t="s">
        <v>318</v>
      </c>
      <c r="CP1217" s="1" t="s">
        <v>219</v>
      </c>
      <c r="CQ1217" s="1" t="s">
        <v>226</v>
      </c>
      <c r="CS1217" s="1" t="s">
        <v>317</v>
      </c>
      <c r="CT1217" s="1" t="s">
        <v>277</v>
      </c>
      <c r="CX1217" s="1" t="s">
        <v>224</v>
      </c>
      <c r="DB1217" s="1" t="s">
        <v>224</v>
      </c>
      <c r="DE1217" s="1" t="s">
        <v>4999</v>
      </c>
      <c r="DF1217" s="1" t="s">
        <v>219</v>
      </c>
      <c r="DG1217" s="1" t="s">
        <v>226</v>
      </c>
      <c r="DJ1217" s="1" t="s">
        <v>224</v>
      </c>
      <c r="DS1217" s="1" t="s">
        <v>230</v>
      </c>
      <c r="DW1217" s="1" t="s">
        <v>230</v>
      </c>
      <c r="EA1217" s="1" t="s">
        <v>230</v>
      </c>
      <c r="EE1217" s="1" t="s">
        <v>230</v>
      </c>
      <c r="EI1217" s="1" t="s">
        <v>230</v>
      </c>
      <c r="EL1217" s="1" t="s">
        <v>542</v>
      </c>
      <c r="EM1217" s="1" t="s">
        <v>232</v>
      </c>
      <c r="EN1217" s="1" t="s">
        <v>282</v>
      </c>
      <c r="EO1217" s="1" t="s">
        <v>234</v>
      </c>
      <c r="EP1217" s="1" t="s">
        <v>4830</v>
      </c>
      <c r="EQ1217" s="1" t="s">
        <v>468</v>
      </c>
      <c r="ER1217" s="1" t="s">
        <v>210</v>
      </c>
      <c r="ES1217" s="1" t="s">
        <v>1160</v>
      </c>
      <c r="EV1217" s="1" t="s">
        <v>324</v>
      </c>
      <c r="EW1217" s="1" t="s">
        <v>210</v>
      </c>
      <c r="EY1217" s="1" t="s">
        <v>242</v>
      </c>
      <c r="EZ1217" s="1" t="s">
        <v>287</v>
      </c>
      <c r="FA1217" s="1" t="s">
        <v>471</v>
      </c>
      <c r="FD1217" s="1" t="s">
        <v>1112</v>
      </c>
      <c r="FE1217" s="1" t="s">
        <v>247</v>
      </c>
      <c r="FF1217" s="1" t="s">
        <v>248</v>
      </c>
      <c r="FH1217" s="1" t="s">
        <v>550</v>
      </c>
      <c r="FL1217" s="1" t="s">
        <v>358</v>
      </c>
      <c r="FM1217" s="1" t="s">
        <v>252</v>
      </c>
      <c r="FN1217" s="1" t="s">
        <v>213</v>
      </c>
      <c r="FO1217" s="1" t="s">
        <v>213</v>
      </c>
      <c r="FQ1217" s="1" t="s">
        <v>582</v>
      </c>
      <c r="FR1217" s="1" t="s">
        <v>210</v>
      </c>
      <c r="FS1217" s="1" t="s">
        <v>12520</v>
      </c>
      <c r="FT1217" s="1" t="s">
        <v>1828</v>
      </c>
      <c r="FU1217" s="1" t="s">
        <v>204</v>
      </c>
      <c r="FW1217" s="1" t="s">
        <v>1097</v>
      </c>
      <c r="FX1217" s="1">
        <v>7661</v>
      </c>
      <c r="FY1217" s="1" t="s">
        <v>7072</v>
      </c>
      <c r="FZ1217" s="1" t="s">
        <v>12521</v>
      </c>
      <c r="GA1217" s="1">
        <v>7844</v>
      </c>
      <c r="GB1217" s="1" t="s">
        <v>12522</v>
      </c>
      <c r="GE1217" s="1" t="s">
        <v>210</v>
      </c>
      <c r="GI1217" s="1" t="s">
        <v>213</v>
      </c>
      <c r="GJ1217" s="1" t="s">
        <v>260</v>
      </c>
      <c r="GK1217" s="1" t="s">
        <v>210</v>
      </c>
      <c r="GL1217" s="2">
        <v>42123</v>
      </c>
      <c r="GM1217" s="1" t="s">
        <v>12523</v>
      </c>
    </row>
    <row r="1218" spans="1:195">
      <c r="A1218" s="1">
        <v>76100</v>
      </c>
      <c r="B1218" s="1" t="s">
        <v>195</v>
      </c>
      <c r="C1218" s="1" t="str">
        <f>"08858568"</f>
        <v>08858568</v>
      </c>
      <c r="D1218" s="1" t="s">
        <v>196</v>
      </c>
      <c r="F1218" s="1" t="str">
        <f>"139"</f>
        <v>139</v>
      </c>
      <c r="G1218" s="2">
        <v>42074</v>
      </c>
      <c r="H1218" s="1">
        <v>72500</v>
      </c>
      <c r="I1218" s="1">
        <v>72500</v>
      </c>
      <c r="J1218" s="1">
        <v>76100</v>
      </c>
      <c r="K1218" s="2">
        <v>42074</v>
      </c>
      <c r="L1218" s="1">
        <v>6</v>
      </c>
      <c r="M1218" s="2">
        <v>42079</v>
      </c>
      <c r="N1218" s="1">
        <v>6</v>
      </c>
      <c r="O1218" s="2">
        <v>42079</v>
      </c>
      <c r="P1218" s="1">
        <v>24475</v>
      </c>
      <c r="Q1218" s="1" t="s">
        <v>197</v>
      </c>
      <c r="R1218" s="2">
        <v>42104</v>
      </c>
      <c r="S1218" s="1">
        <v>244478</v>
      </c>
      <c r="U1218" s="1">
        <v>190</v>
      </c>
      <c r="V1218" s="1" t="s">
        <v>2831</v>
      </c>
      <c r="W1218" s="1" t="s">
        <v>264</v>
      </c>
      <c r="X1218" s="1">
        <v>101</v>
      </c>
      <c r="Y1218" s="1">
        <v>6</v>
      </c>
      <c r="Z1218" s="1" t="s">
        <v>249</v>
      </c>
      <c r="AA1218" s="1" t="s">
        <v>1732</v>
      </c>
      <c r="AB1218" s="1">
        <v>60139</v>
      </c>
      <c r="AD1218" s="1" t="s">
        <v>6975</v>
      </c>
      <c r="AE1218" s="1" t="s">
        <v>12524</v>
      </c>
      <c r="AF1218" s="1">
        <v>1979</v>
      </c>
      <c r="AG1218" s="1" t="s">
        <v>204</v>
      </c>
      <c r="AH1218" s="1" t="s">
        <v>1735</v>
      </c>
      <c r="AI1218" s="1" t="s">
        <v>206</v>
      </c>
      <c r="AJ1218" s="1" t="s">
        <v>269</v>
      </c>
      <c r="AL1218" s="1">
        <v>5</v>
      </c>
      <c r="AM1218" s="1">
        <v>2</v>
      </c>
      <c r="AN1218" s="1">
        <v>2</v>
      </c>
      <c r="AO1218" s="1">
        <v>0</v>
      </c>
      <c r="AP1218" s="1" t="s">
        <v>209</v>
      </c>
      <c r="AR1218" s="1" t="s">
        <v>210</v>
      </c>
      <c r="AT1218" s="1" t="s">
        <v>211</v>
      </c>
      <c r="AU1218" s="1">
        <v>1</v>
      </c>
      <c r="AW1218" s="1" t="s">
        <v>204</v>
      </c>
      <c r="AX1218" s="1" t="s">
        <v>212</v>
      </c>
      <c r="AZ1218" s="1">
        <v>2781</v>
      </c>
      <c r="BA1218" s="1">
        <v>2013</v>
      </c>
      <c r="BE1218" s="1">
        <v>988</v>
      </c>
      <c r="BF1218" s="1">
        <v>1</v>
      </c>
      <c r="BG1218" s="1">
        <v>0</v>
      </c>
      <c r="BJ1218" s="1">
        <v>0</v>
      </c>
      <c r="BL1218" s="1">
        <v>214</v>
      </c>
      <c r="BM1218" s="1" t="s">
        <v>204</v>
      </c>
      <c r="BN1218" s="1" t="s">
        <v>213</v>
      </c>
      <c r="BO1218" s="1">
        <v>0</v>
      </c>
      <c r="BP1218" s="1" t="s">
        <v>204</v>
      </c>
      <c r="BR1218" s="1" t="str">
        <f>"0222113079"</f>
        <v>0222113079</v>
      </c>
      <c r="BT1218" s="1" t="s">
        <v>12525</v>
      </c>
      <c r="BU1218" s="1" t="s">
        <v>3570</v>
      </c>
      <c r="BV1218" s="1" t="s">
        <v>2015</v>
      </c>
      <c r="BW1218" s="1" t="s">
        <v>1935</v>
      </c>
      <c r="BX1218" s="1">
        <v>15</v>
      </c>
      <c r="BY1218" s="1">
        <v>15</v>
      </c>
      <c r="BZ1218" s="1">
        <v>87</v>
      </c>
      <c r="CB1218" s="1" t="str">
        <f t="shared" si="938"/>
        <v>4</v>
      </c>
      <c r="CC1218" s="1" t="str">
        <f t="shared" si="939"/>
        <v>0</v>
      </c>
      <c r="CD1218" s="1">
        <v>23</v>
      </c>
      <c r="CE1218" s="1">
        <v>0</v>
      </c>
      <c r="CG1218" s="1" t="s">
        <v>729</v>
      </c>
      <c r="CH1218" s="1" t="s">
        <v>219</v>
      </c>
      <c r="CI1218" s="1" t="s">
        <v>220</v>
      </c>
      <c r="CK1218" s="1" t="s">
        <v>539</v>
      </c>
      <c r="CL1218" s="1" t="s">
        <v>219</v>
      </c>
      <c r="CM1218" s="1" t="s">
        <v>220</v>
      </c>
      <c r="CO1218" s="1" t="s">
        <v>346</v>
      </c>
      <c r="CP1218" s="1" t="s">
        <v>219</v>
      </c>
      <c r="CQ1218" s="1" t="s">
        <v>220</v>
      </c>
      <c r="CS1218" s="1" t="s">
        <v>465</v>
      </c>
      <c r="CT1218" s="1" t="s">
        <v>219</v>
      </c>
      <c r="CU1218" s="1" t="s">
        <v>220</v>
      </c>
      <c r="CX1218" s="1" t="s">
        <v>224</v>
      </c>
      <c r="DB1218" s="1" t="s">
        <v>224</v>
      </c>
      <c r="DE1218" s="1" t="s">
        <v>346</v>
      </c>
      <c r="DF1218" s="1" t="s">
        <v>219</v>
      </c>
      <c r="DG1218" s="1" t="s">
        <v>226</v>
      </c>
      <c r="DJ1218" s="1" t="s">
        <v>224</v>
      </c>
      <c r="DS1218" s="1" t="s">
        <v>230</v>
      </c>
      <c r="DW1218" s="1" t="s">
        <v>230</v>
      </c>
      <c r="EA1218" s="1" t="s">
        <v>230</v>
      </c>
      <c r="EE1218" s="1" t="s">
        <v>230</v>
      </c>
      <c r="EI1218" s="1" t="s">
        <v>230</v>
      </c>
      <c r="EL1218" s="1" t="s">
        <v>231</v>
      </c>
      <c r="EM1218" s="1" t="s">
        <v>232</v>
      </c>
      <c r="EN1218" s="1" t="s">
        <v>1158</v>
      </c>
      <c r="EO1218" s="1" t="s">
        <v>234</v>
      </c>
      <c r="EP1218" s="1" t="s">
        <v>1489</v>
      </c>
      <c r="EQ1218" s="1" t="s">
        <v>321</v>
      </c>
      <c r="ER1218" s="1" t="s">
        <v>210</v>
      </c>
      <c r="EV1218" s="1" t="s">
        <v>240</v>
      </c>
      <c r="EW1218" s="1" t="s">
        <v>937</v>
      </c>
      <c r="EY1218" s="1" t="s">
        <v>242</v>
      </c>
      <c r="EZ1218" s="1" t="s">
        <v>287</v>
      </c>
      <c r="FA1218" s="1" t="s">
        <v>243</v>
      </c>
      <c r="FB1218" s="1" t="s">
        <v>289</v>
      </c>
      <c r="FD1218" s="1" t="s">
        <v>246</v>
      </c>
      <c r="FE1218" s="1" t="s">
        <v>247</v>
      </c>
      <c r="FF1218" s="1" t="s">
        <v>248</v>
      </c>
      <c r="FH1218" s="1" t="s">
        <v>249</v>
      </c>
      <c r="FL1218" s="1" t="s">
        <v>614</v>
      </c>
      <c r="FM1218" s="1" t="s">
        <v>252</v>
      </c>
      <c r="FN1218" s="1" t="s">
        <v>213</v>
      </c>
      <c r="FO1218" s="1" t="s">
        <v>213</v>
      </c>
      <c r="FQ1218" s="1" t="s">
        <v>689</v>
      </c>
      <c r="FR1218" s="1" t="s">
        <v>210</v>
      </c>
      <c r="FS1218" s="1" t="s">
        <v>1575</v>
      </c>
      <c r="FT1218" s="1" t="s">
        <v>584</v>
      </c>
      <c r="FU1218" s="1" t="s">
        <v>204</v>
      </c>
      <c r="FW1218" s="1" t="s">
        <v>1388</v>
      </c>
      <c r="FX1218" s="1">
        <v>23948</v>
      </c>
      <c r="FY1218" s="1" t="s">
        <v>1389</v>
      </c>
      <c r="FZ1218" s="1" t="s">
        <v>1390</v>
      </c>
      <c r="GA1218" s="1">
        <v>214765</v>
      </c>
      <c r="GB1218" s="1" t="s">
        <v>1391</v>
      </c>
      <c r="GE1218" s="1" t="s">
        <v>210</v>
      </c>
      <c r="GH1218" s="1" t="s">
        <v>421</v>
      </c>
      <c r="GI1218" s="1" t="s">
        <v>213</v>
      </c>
      <c r="GJ1218" s="1" t="s">
        <v>260</v>
      </c>
      <c r="GK1218" s="1" t="s">
        <v>210</v>
      </c>
      <c r="GL1218" s="2">
        <v>42104</v>
      </c>
      <c r="GM1218" s="1" t="s">
        <v>12526</v>
      </c>
    </row>
    <row r="1219" spans="1:195">
      <c r="A1219" s="1">
        <v>96500</v>
      </c>
      <c r="B1219" s="1" t="s">
        <v>195</v>
      </c>
      <c r="C1219" s="1" t="str">
        <f>"08854322"</f>
        <v>08854322</v>
      </c>
      <c r="D1219" s="1" t="s">
        <v>196</v>
      </c>
      <c r="F1219" s="1" t="str">
        <f>"517"</f>
        <v>517</v>
      </c>
      <c r="G1219" s="2">
        <v>42069</v>
      </c>
      <c r="H1219" s="1">
        <v>97000</v>
      </c>
      <c r="I1219" s="1">
        <v>97000</v>
      </c>
      <c r="J1219" s="1">
        <v>96500</v>
      </c>
      <c r="K1219" s="2">
        <v>42069</v>
      </c>
      <c r="L1219" s="1">
        <v>63</v>
      </c>
      <c r="M1219" s="2">
        <v>42073</v>
      </c>
      <c r="N1219" s="1">
        <v>5</v>
      </c>
      <c r="O1219" s="2">
        <v>42073</v>
      </c>
      <c r="P1219" s="1">
        <v>20288</v>
      </c>
      <c r="Q1219" s="1" t="s">
        <v>197</v>
      </c>
      <c r="R1219" s="2">
        <v>42123</v>
      </c>
      <c r="S1219" s="1">
        <v>243089</v>
      </c>
      <c r="U1219" s="1">
        <v>7754</v>
      </c>
      <c r="V1219" s="1" t="s">
        <v>12527</v>
      </c>
      <c r="W1219" s="1" t="s">
        <v>425</v>
      </c>
      <c r="X1219" s="1">
        <v>7754</v>
      </c>
      <c r="Y1219" s="1">
        <v>8</v>
      </c>
      <c r="Z1219" s="1" t="s">
        <v>249</v>
      </c>
      <c r="AA1219" s="1" t="s">
        <v>2850</v>
      </c>
      <c r="AB1219" s="1">
        <v>60517</v>
      </c>
      <c r="AD1219" s="1" t="s">
        <v>5194</v>
      </c>
      <c r="AE1219" s="1" t="s">
        <v>12528</v>
      </c>
      <c r="AF1219" s="1">
        <v>1974</v>
      </c>
      <c r="AG1219" s="1" t="s">
        <v>213</v>
      </c>
      <c r="AH1219" s="1" t="s">
        <v>2853</v>
      </c>
      <c r="AI1219" s="1" t="s">
        <v>206</v>
      </c>
      <c r="AJ1219" s="1" t="s">
        <v>925</v>
      </c>
      <c r="AK1219" s="1" t="s">
        <v>9420</v>
      </c>
      <c r="AL1219" s="1">
        <v>5</v>
      </c>
      <c r="AM1219" s="1">
        <v>2</v>
      </c>
      <c r="AN1219" s="1">
        <v>1</v>
      </c>
      <c r="AO1219" s="1">
        <v>2</v>
      </c>
      <c r="AP1219" s="1" t="s">
        <v>1234</v>
      </c>
      <c r="AQ1219" s="1">
        <v>0</v>
      </c>
      <c r="AR1219" s="1" t="s">
        <v>210</v>
      </c>
      <c r="AT1219" s="1" t="s">
        <v>271</v>
      </c>
      <c r="AV1219" s="1">
        <v>2</v>
      </c>
      <c r="AW1219" s="1" t="s">
        <v>204</v>
      </c>
      <c r="AX1219" s="1" t="s">
        <v>212</v>
      </c>
      <c r="AZ1219" s="1">
        <v>1418</v>
      </c>
      <c r="BA1219" s="1">
        <v>2013</v>
      </c>
      <c r="BB1219" s="1" t="s">
        <v>599</v>
      </c>
      <c r="BE1219" s="1">
        <v>1174</v>
      </c>
      <c r="BF1219" s="1">
        <v>1</v>
      </c>
      <c r="BG1219" s="1">
        <v>0</v>
      </c>
      <c r="BJ1219" s="1">
        <v>99</v>
      </c>
      <c r="BL1219" s="1">
        <v>313</v>
      </c>
      <c r="BM1219" s="1" t="s">
        <v>204</v>
      </c>
      <c r="BN1219" s="1" t="s">
        <v>213</v>
      </c>
      <c r="BO1219" s="1">
        <v>0</v>
      </c>
      <c r="BP1219" s="1" t="s">
        <v>204</v>
      </c>
      <c r="BR1219" s="1" t="str">
        <f>"0825420019"</f>
        <v>0825420019</v>
      </c>
      <c r="BT1219" s="1" t="s">
        <v>12529</v>
      </c>
      <c r="BU1219" s="1" t="s">
        <v>2855</v>
      </c>
      <c r="BV1219" s="1" t="s">
        <v>2856</v>
      </c>
      <c r="BW1219" s="1" t="s">
        <v>2762</v>
      </c>
      <c r="BX1219" s="1">
        <v>68</v>
      </c>
      <c r="BY1219" s="1">
        <v>68</v>
      </c>
      <c r="BZ1219" s="1">
        <v>99</v>
      </c>
      <c r="CB1219" s="1" t="str">
        <f t="shared" ref="CB1219:CC1219" si="940">"0"</f>
        <v>0</v>
      </c>
      <c r="CC1219" s="1" t="str">
        <f t="shared" si="940"/>
        <v>0</v>
      </c>
      <c r="CD1219" s="1">
        <v>29</v>
      </c>
      <c r="CE1219" s="1">
        <v>8</v>
      </c>
      <c r="CG1219" s="1" t="s">
        <v>861</v>
      </c>
      <c r="CH1219" s="1" t="s">
        <v>219</v>
      </c>
      <c r="CI1219" s="1" t="s">
        <v>229</v>
      </c>
      <c r="CJ1219" s="1" t="s">
        <v>463</v>
      </c>
      <c r="CK1219" s="1" t="s">
        <v>1178</v>
      </c>
      <c r="CL1219" s="1" t="s">
        <v>277</v>
      </c>
      <c r="CM1219" s="1" t="s">
        <v>220</v>
      </c>
      <c r="CN1219" s="1" t="s">
        <v>463</v>
      </c>
      <c r="CO1219" s="1" t="s">
        <v>630</v>
      </c>
      <c r="CP1219" s="1" t="s">
        <v>219</v>
      </c>
      <c r="CQ1219" s="1" t="s">
        <v>229</v>
      </c>
      <c r="CS1219" s="1" t="s">
        <v>1358</v>
      </c>
      <c r="CT1219" s="1" t="s">
        <v>277</v>
      </c>
      <c r="CU1219" s="1" t="s">
        <v>220</v>
      </c>
      <c r="CV1219" s="1" t="s">
        <v>463</v>
      </c>
      <c r="CX1219" s="1" t="s">
        <v>224</v>
      </c>
      <c r="DB1219" s="1" t="s">
        <v>224</v>
      </c>
      <c r="DE1219" s="1" t="s">
        <v>223</v>
      </c>
      <c r="DF1219" s="1" t="s">
        <v>219</v>
      </c>
      <c r="DG1219" s="1" t="s">
        <v>229</v>
      </c>
      <c r="DJ1219" s="1" t="s">
        <v>224</v>
      </c>
      <c r="DS1219" s="1" t="s">
        <v>230</v>
      </c>
      <c r="DW1219" s="1" t="s">
        <v>230</v>
      </c>
      <c r="EA1219" s="1" t="s">
        <v>230</v>
      </c>
      <c r="EE1219" s="1" t="s">
        <v>230</v>
      </c>
      <c r="EI1219" s="1" t="s">
        <v>230</v>
      </c>
      <c r="EL1219" s="1" t="s">
        <v>605</v>
      </c>
      <c r="EM1219" s="1" t="s">
        <v>232</v>
      </c>
      <c r="EN1219" s="1" t="s">
        <v>282</v>
      </c>
      <c r="EO1219" s="1" t="s">
        <v>234</v>
      </c>
      <c r="EP1219" s="1" t="s">
        <v>12530</v>
      </c>
      <c r="EQ1219" s="1" t="s">
        <v>3849</v>
      </c>
      <c r="ER1219" s="1" t="s">
        <v>210</v>
      </c>
      <c r="ES1219" s="1" t="s">
        <v>322</v>
      </c>
      <c r="EV1219" s="1" t="s">
        <v>352</v>
      </c>
      <c r="EW1219" s="1" t="s">
        <v>12531</v>
      </c>
      <c r="EY1219" s="1" t="s">
        <v>242</v>
      </c>
      <c r="EZ1219" s="1" t="s">
        <v>287</v>
      </c>
      <c r="FA1219" s="1" t="s">
        <v>12532</v>
      </c>
      <c r="FB1219" s="1" t="s">
        <v>244</v>
      </c>
      <c r="FC1219" s="1" t="s">
        <v>1386</v>
      </c>
      <c r="FD1219" s="1" t="s">
        <v>246</v>
      </c>
      <c r="FE1219" s="1" t="s">
        <v>247</v>
      </c>
      <c r="FF1219" s="1" t="s">
        <v>248</v>
      </c>
      <c r="FH1219" s="1" t="s">
        <v>940</v>
      </c>
      <c r="FK1219" s="1" t="s">
        <v>891</v>
      </c>
      <c r="FL1219" s="1" t="s">
        <v>358</v>
      </c>
      <c r="FM1219" s="1" t="s">
        <v>252</v>
      </c>
      <c r="FN1219" s="1" t="s">
        <v>213</v>
      </c>
      <c r="FO1219" s="1" t="s">
        <v>213</v>
      </c>
      <c r="FQ1219" s="1" t="s">
        <v>3616</v>
      </c>
      <c r="FR1219" s="1" t="s">
        <v>210</v>
      </c>
      <c r="FS1219" s="1" t="s">
        <v>12533</v>
      </c>
      <c r="FT1219" s="1" t="s">
        <v>255</v>
      </c>
      <c r="FU1219" s="1" t="s">
        <v>213</v>
      </c>
      <c r="FW1219" s="1" t="s">
        <v>3116</v>
      </c>
      <c r="FX1219" s="1">
        <v>21823</v>
      </c>
      <c r="FY1219" s="1" t="s">
        <v>3117</v>
      </c>
      <c r="FZ1219" s="1" t="s">
        <v>12534</v>
      </c>
      <c r="GA1219" s="1">
        <v>224834</v>
      </c>
      <c r="GB1219" s="1" t="s">
        <v>12535</v>
      </c>
      <c r="GD1219" s="1" t="s">
        <v>12536</v>
      </c>
      <c r="GE1219" s="1" t="s">
        <v>335</v>
      </c>
      <c r="GI1219" s="1" t="s">
        <v>213</v>
      </c>
      <c r="GJ1219" s="1" t="s">
        <v>260</v>
      </c>
      <c r="GK1219" s="1" t="s">
        <v>210</v>
      </c>
      <c r="GL1219" s="2">
        <v>42123</v>
      </c>
      <c r="GM1219" s="1" t="s">
        <v>12537</v>
      </c>
    </row>
    <row r="1220" spans="1:195">
      <c r="A1220" s="1">
        <v>117000</v>
      </c>
      <c r="B1220" s="1" t="s">
        <v>195</v>
      </c>
      <c r="C1220" s="1" t="str">
        <f>"08856521"</f>
        <v>08856521</v>
      </c>
      <c r="D1220" s="1" t="s">
        <v>196</v>
      </c>
      <c r="F1220" s="1" t="str">
        <f>"73"</f>
        <v>73</v>
      </c>
      <c r="G1220" s="2">
        <v>42072</v>
      </c>
      <c r="H1220" s="1">
        <v>117000</v>
      </c>
      <c r="I1220" s="1">
        <v>117000</v>
      </c>
      <c r="J1220" s="1">
        <v>117000</v>
      </c>
      <c r="K1220" s="2">
        <v>42072</v>
      </c>
      <c r="L1220" s="1">
        <v>6</v>
      </c>
      <c r="M1220" s="2">
        <v>42077</v>
      </c>
      <c r="N1220" s="1">
        <v>6</v>
      </c>
      <c r="O1220" s="2">
        <v>42077</v>
      </c>
      <c r="P1220" s="1">
        <v>1886</v>
      </c>
      <c r="Q1220" s="1" t="s">
        <v>197</v>
      </c>
      <c r="R1220" s="2">
        <v>42125</v>
      </c>
      <c r="S1220" s="1">
        <v>20872</v>
      </c>
      <c r="U1220" s="1">
        <v>1635</v>
      </c>
      <c r="V1220" s="1" t="s">
        <v>12538</v>
      </c>
      <c r="W1220" s="1" t="s">
        <v>504</v>
      </c>
      <c r="Y1220" s="1">
        <v>6</v>
      </c>
      <c r="Z1220" s="1" t="s">
        <v>370</v>
      </c>
      <c r="AA1220" s="1" t="s">
        <v>1259</v>
      </c>
      <c r="AB1220" s="1">
        <v>60073</v>
      </c>
      <c r="AD1220" s="1" t="s">
        <v>12539</v>
      </c>
      <c r="AE1220" s="1" t="s">
        <v>12540</v>
      </c>
      <c r="AF1220" s="1">
        <v>2006</v>
      </c>
      <c r="AG1220" s="1" t="s">
        <v>204</v>
      </c>
      <c r="AH1220" s="1" t="s">
        <v>1262</v>
      </c>
      <c r="AI1220" s="1" t="s">
        <v>509</v>
      </c>
      <c r="AJ1220" s="1" t="s">
        <v>1016</v>
      </c>
      <c r="AK1220" s="1" t="s">
        <v>12541</v>
      </c>
      <c r="AL1220" s="1">
        <v>8</v>
      </c>
      <c r="AM1220" s="1">
        <v>2</v>
      </c>
      <c r="AN1220" s="1">
        <v>2</v>
      </c>
      <c r="AO1220" s="1">
        <v>1</v>
      </c>
      <c r="AP1220" s="1" t="s">
        <v>209</v>
      </c>
      <c r="AQ1220" s="1">
        <v>0</v>
      </c>
      <c r="AR1220" s="1" t="s">
        <v>2275</v>
      </c>
      <c r="AS1220" s="1" t="s">
        <v>204</v>
      </c>
      <c r="AT1220" s="1" t="s">
        <v>211</v>
      </c>
      <c r="AU1220" s="1">
        <v>2</v>
      </c>
      <c r="AW1220" s="1" t="s">
        <v>204</v>
      </c>
      <c r="AX1220" s="1" t="s">
        <v>212</v>
      </c>
      <c r="AZ1220" s="1">
        <v>2448.1999999999998</v>
      </c>
      <c r="BA1220" s="1">
        <v>2013</v>
      </c>
      <c r="BB1220" s="1" t="s">
        <v>405</v>
      </c>
      <c r="BE1220" s="1">
        <v>1542</v>
      </c>
      <c r="BF1220" s="1">
        <v>1</v>
      </c>
      <c r="BG1220" s="1">
        <v>1</v>
      </c>
      <c r="BL1220" s="1">
        <v>171</v>
      </c>
      <c r="BM1220" s="1" t="s">
        <v>204</v>
      </c>
      <c r="BN1220" s="1" t="s">
        <v>213</v>
      </c>
      <c r="BO1220" s="1">
        <v>75</v>
      </c>
      <c r="BP1220" s="1" t="s">
        <v>204</v>
      </c>
      <c r="BR1220" s="1" t="str">
        <f>"05244060640000"</f>
        <v>05244060640000</v>
      </c>
      <c r="BT1220" s="1" t="s">
        <v>12542</v>
      </c>
      <c r="BU1220" s="1" t="s">
        <v>6153</v>
      </c>
      <c r="BV1220" s="1" t="s">
        <v>6154</v>
      </c>
      <c r="BW1220" s="1" t="s">
        <v>2264</v>
      </c>
      <c r="BX1220" s="1">
        <v>38</v>
      </c>
      <c r="BY1220" s="1">
        <v>38</v>
      </c>
      <c r="BZ1220" s="1">
        <v>124</v>
      </c>
      <c r="CB1220" s="1" t="str">
        <f t="shared" ref="CB1220:CC1220" si="941">""</f>
        <v/>
      </c>
      <c r="CC1220" s="1" t="str">
        <f t="shared" si="941"/>
        <v/>
      </c>
      <c r="CF1220" s="1" t="s">
        <v>7909</v>
      </c>
      <c r="CG1220" s="1" t="s">
        <v>602</v>
      </c>
      <c r="CH1220" s="1" t="s">
        <v>219</v>
      </c>
      <c r="CI1220" s="1" t="s">
        <v>438</v>
      </c>
      <c r="CJ1220" s="1" t="s">
        <v>252</v>
      </c>
      <c r="CK1220" s="1" t="s">
        <v>602</v>
      </c>
      <c r="CL1220" s="1" t="s">
        <v>277</v>
      </c>
      <c r="CM1220" s="1" t="s">
        <v>220</v>
      </c>
      <c r="CN1220" s="1" t="s">
        <v>252</v>
      </c>
      <c r="CO1220" s="1" t="s">
        <v>1297</v>
      </c>
      <c r="CP1220" s="1" t="s">
        <v>219</v>
      </c>
      <c r="CQ1220" s="1" t="s">
        <v>438</v>
      </c>
      <c r="CR1220" s="1" t="s">
        <v>210</v>
      </c>
      <c r="CS1220" s="1" t="s">
        <v>344</v>
      </c>
      <c r="CT1220" s="1" t="s">
        <v>277</v>
      </c>
      <c r="CU1220" s="1" t="s">
        <v>220</v>
      </c>
      <c r="CV1220" s="1" t="s">
        <v>252</v>
      </c>
      <c r="CX1220" s="1" t="s">
        <v>224</v>
      </c>
      <c r="DB1220" s="1" t="s">
        <v>224</v>
      </c>
      <c r="DE1220" s="1" t="s">
        <v>379</v>
      </c>
      <c r="DF1220" s="1" t="s">
        <v>219</v>
      </c>
      <c r="DG1220" s="1" t="s">
        <v>342</v>
      </c>
      <c r="DH1220" s="1" t="s">
        <v>252</v>
      </c>
      <c r="DI1220" s="1" t="s">
        <v>757</v>
      </c>
      <c r="DJ1220" s="1" t="s">
        <v>822</v>
      </c>
      <c r="DK1220" s="1" t="s">
        <v>220</v>
      </c>
      <c r="DL1220" s="1" t="s">
        <v>252</v>
      </c>
      <c r="DM1220" s="1" t="s">
        <v>381</v>
      </c>
      <c r="DN1220" s="1" t="s">
        <v>709</v>
      </c>
      <c r="DO1220" s="1" t="s">
        <v>464</v>
      </c>
      <c r="DR1220" s="1" t="s">
        <v>318</v>
      </c>
      <c r="DS1220" s="1" t="s">
        <v>219</v>
      </c>
      <c r="DT1220" s="1" t="s">
        <v>342</v>
      </c>
      <c r="DU1220" s="1" t="s">
        <v>252</v>
      </c>
      <c r="DV1220" s="1" t="s">
        <v>1774</v>
      </c>
      <c r="DW1220" s="1" t="s">
        <v>219</v>
      </c>
      <c r="DX1220" s="1" t="s">
        <v>226</v>
      </c>
      <c r="DY1220" s="1" t="s">
        <v>252</v>
      </c>
      <c r="DZ1220" s="1" t="s">
        <v>1297</v>
      </c>
      <c r="EA1220" s="1" t="s">
        <v>277</v>
      </c>
      <c r="EB1220" s="1" t="s">
        <v>220</v>
      </c>
      <c r="EC1220" s="1" t="s">
        <v>210</v>
      </c>
      <c r="EE1220" s="1" t="s">
        <v>230</v>
      </c>
      <c r="EI1220" s="1" t="s">
        <v>230</v>
      </c>
      <c r="EL1220" s="1" t="s">
        <v>491</v>
      </c>
      <c r="EM1220" s="1" t="s">
        <v>319</v>
      </c>
      <c r="EN1220" s="1" t="s">
        <v>282</v>
      </c>
      <c r="EO1220" s="1" t="s">
        <v>840</v>
      </c>
      <c r="EP1220" s="1" t="s">
        <v>650</v>
      </c>
      <c r="EQ1220" s="1" t="s">
        <v>1094</v>
      </c>
      <c r="ER1220" s="1" t="s">
        <v>8320</v>
      </c>
      <c r="EU1220" s="1" t="s">
        <v>12543</v>
      </c>
      <c r="EW1220" s="1" t="s">
        <v>353</v>
      </c>
      <c r="EY1220" s="1" t="s">
        <v>242</v>
      </c>
      <c r="EZ1220" s="1" t="s">
        <v>868</v>
      </c>
      <c r="FA1220" s="1" t="s">
        <v>12544</v>
      </c>
      <c r="FB1220" s="1" t="s">
        <v>7912</v>
      </c>
      <c r="FC1220" s="1" t="s">
        <v>1362</v>
      </c>
      <c r="FD1220" s="1" t="s">
        <v>246</v>
      </c>
      <c r="FE1220" s="1" t="s">
        <v>975</v>
      </c>
      <c r="FF1220" s="1" t="s">
        <v>387</v>
      </c>
      <c r="FH1220" s="1" t="s">
        <v>1428</v>
      </c>
      <c r="FI1220" s="1" t="s">
        <v>473</v>
      </c>
      <c r="FJ1220" s="1" t="s">
        <v>1472</v>
      </c>
      <c r="FL1220" s="1" t="s">
        <v>358</v>
      </c>
      <c r="FM1220" s="1" t="s">
        <v>252</v>
      </c>
      <c r="FN1220" s="1" t="s">
        <v>213</v>
      </c>
      <c r="FO1220" s="1" t="s">
        <v>213</v>
      </c>
      <c r="FQ1220" s="1" t="s">
        <v>1286</v>
      </c>
      <c r="FR1220" s="1" t="s">
        <v>652</v>
      </c>
      <c r="FS1220" s="1" t="s">
        <v>12545</v>
      </c>
      <c r="FT1220" s="1" t="s">
        <v>1408</v>
      </c>
      <c r="FU1220" s="1" t="s">
        <v>204</v>
      </c>
      <c r="FW1220" s="1" t="s">
        <v>256</v>
      </c>
      <c r="FX1220" s="1">
        <v>2648</v>
      </c>
      <c r="FY1220" s="1" t="s">
        <v>1022</v>
      </c>
      <c r="FZ1220" s="1" t="s">
        <v>7914</v>
      </c>
      <c r="GA1220" s="1">
        <v>18414</v>
      </c>
      <c r="GB1220" s="1" t="s">
        <v>7915</v>
      </c>
      <c r="GC1220" s="1">
        <v>21233</v>
      </c>
      <c r="GD1220" s="1" t="s">
        <v>9239</v>
      </c>
      <c r="GE1220" s="1" t="s">
        <v>658</v>
      </c>
      <c r="GH1220" s="1" t="s">
        <v>589</v>
      </c>
      <c r="GI1220" s="1" t="s">
        <v>213</v>
      </c>
      <c r="GJ1220" s="1" t="s">
        <v>260</v>
      </c>
      <c r="GK1220" s="1" t="s">
        <v>210</v>
      </c>
      <c r="GL1220" s="2">
        <v>42125</v>
      </c>
      <c r="GM1220" s="1" t="s">
        <v>12546</v>
      </c>
    </row>
    <row r="1221" spans="1:195">
      <c r="A1221" s="1">
        <v>127500</v>
      </c>
      <c r="B1221" s="1" t="s">
        <v>195</v>
      </c>
      <c r="C1221" s="1" t="str">
        <f>"08855944"</f>
        <v>08855944</v>
      </c>
      <c r="D1221" s="1" t="s">
        <v>196</v>
      </c>
      <c r="F1221" s="1" t="str">
        <f>"60"</f>
        <v>60</v>
      </c>
      <c r="G1221" s="2">
        <v>42072</v>
      </c>
      <c r="H1221" s="1">
        <v>129000</v>
      </c>
      <c r="I1221" s="1">
        <v>129000</v>
      </c>
      <c r="J1221" s="1">
        <v>127500</v>
      </c>
      <c r="K1221" s="2">
        <v>42072</v>
      </c>
      <c r="L1221" s="1">
        <v>8</v>
      </c>
      <c r="M1221" s="2">
        <v>42079</v>
      </c>
      <c r="N1221" s="1">
        <v>8</v>
      </c>
      <c r="O1221" s="2">
        <v>42079</v>
      </c>
      <c r="P1221" s="1">
        <v>2648</v>
      </c>
      <c r="Q1221" s="1" t="s">
        <v>197</v>
      </c>
      <c r="R1221" s="2">
        <v>42122</v>
      </c>
      <c r="S1221" s="1">
        <v>12029</v>
      </c>
      <c r="U1221" s="1">
        <v>603</v>
      </c>
      <c r="V1221" s="1" t="s">
        <v>5833</v>
      </c>
      <c r="W1221" s="1" t="s">
        <v>264</v>
      </c>
      <c r="Y1221" s="1">
        <v>8</v>
      </c>
      <c r="Z1221" s="1" t="s">
        <v>200</v>
      </c>
      <c r="AA1221" s="1" t="s">
        <v>1689</v>
      </c>
      <c r="AB1221" s="1">
        <v>60060</v>
      </c>
      <c r="AD1221" s="1" t="s">
        <v>5834</v>
      </c>
      <c r="AE1221" s="1" t="s">
        <v>12547</v>
      </c>
      <c r="AF1221" s="1">
        <v>1992</v>
      </c>
      <c r="AG1221" s="1" t="s">
        <v>204</v>
      </c>
      <c r="AH1221" s="1" t="s">
        <v>1692</v>
      </c>
      <c r="AI1221" s="1" t="s">
        <v>509</v>
      </c>
      <c r="AJ1221" s="1" t="s">
        <v>9736</v>
      </c>
      <c r="AL1221" s="1">
        <v>4</v>
      </c>
      <c r="AM1221" s="1">
        <v>2</v>
      </c>
      <c r="AN1221" s="1">
        <v>2</v>
      </c>
      <c r="AO1221" s="1">
        <v>1</v>
      </c>
      <c r="AP1221" s="1" t="s">
        <v>209</v>
      </c>
      <c r="AR1221" s="1" t="s">
        <v>210</v>
      </c>
      <c r="AS1221" s="1" t="s">
        <v>204</v>
      </c>
      <c r="AT1221" s="1" t="s">
        <v>211</v>
      </c>
      <c r="AU1221" s="1">
        <v>1</v>
      </c>
      <c r="AW1221" s="1" t="s">
        <v>204</v>
      </c>
      <c r="AX1221" s="1" t="s">
        <v>1265</v>
      </c>
      <c r="AZ1221" s="1">
        <v>3376</v>
      </c>
      <c r="BA1221" s="1">
        <v>2013</v>
      </c>
      <c r="BE1221" s="1">
        <v>1122</v>
      </c>
      <c r="BF1221" s="1">
        <v>1</v>
      </c>
      <c r="BG1221" s="1">
        <v>0</v>
      </c>
      <c r="BL1221" s="1">
        <v>163</v>
      </c>
      <c r="BM1221" s="1" t="s">
        <v>204</v>
      </c>
      <c r="BN1221" s="1" t="s">
        <v>213</v>
      </c>
      <c r="BO1221" s="1">
        <v>0</v>
      </c>
      <c r="BP1221" s="1" t="s">
        <v>204</v>
      </c>
      <c r="BR1221" s="1" t="str">
        <f>"10234131210000"</f>
        <v>10234131210000</v>
      </c>
      <c r="BT1221" s="1" t="s">
        <v>12548</v>
      </c>
      <c r="BX1221" s="1">
        <v>75</v>
      </c>
      <c r="BY1221" s="1">
        <v>75</v>
      </c>
      <c r="BZ1221" s="1">
        <v>120</v>
      </c>
      <c r="CB1221" s="1" t="str">
        <f>"28"</f>
        <v>28</v>
      </c>
      <c r="CC1221" s="1" t="str">
        <f>"0"</f>
        <v>0</v>
      </c>
      <c r="CD1221" s="1">
        <v>20</v>
      </c>
      <c r="CE1221" s="1">
        <v>0</v>
      </c>
      <c r="CG1221" s="1" t="s">
        <v>3100</v>
      </c>
      <c r="CH1221" s="1" t="s">
        <v>219</v>
      </c>
      <c r="CI1221" s="1" t="s">
        <v>220</v>
      </c>
      <c r="CK1221" s="1" t="s">
        <v>539</v>
      </c>
      <c r="CL1221" s="1" t="s">
        <v>277</v>
      </c>
      <c r="CM1221" s="1" t="s">
        <v>220</v>
      </c>
      <c r="CP1221" s="1" t="s">
        <v>224</v>
      </c>
      <c r="CS1221" s="1" t="s">
        <v>1297</v>
      </c>
      <c r="CT1221" s="1" t="s">
        <v>277</v>
      </c>
      <c r="CU1221" s="1" t="s">
        <v>220</v>
      </c>
      <c r="CX1221" s="1" t="s">
        <v>224</v>
      </c>
      <c r="DB1221" s="1" t="s">
        <v>224</v>
      </c>
      <c r="DE1221" s="1" t="s">
        <v>837</v>
      </c>
      <c r="DF1221" s="1" t="s">
        <v>219</v>
      </c>
      <c r="DG1221" s="1" t="s">
        <v>229</v>
      </c>
      <c r="DH1221" s="1" t="s">
        <v>210</v>
      </c>
      <c r="DJ1221" s="1" t="s">
        <v>224</v>
      </c>
      <c r="DM1221" s="1" t="s">
        <v>3011</v>
      </c>
      <c r="DR1221" s="1" t="s">
        <v>4213</v>
      </c>
      <c r="DS1221" s="1" t="s">
        <v>219</v>
      </c>
      <c r="DT1221" s="1" t="s">
        <v>342</v>
      </c>
      <c r="DW1221" s="1" t="s">
        <v>230</v>
      </c>
      <c r="EA1221" s="1" t="s">
        <v>230</v>
      </c>
      <c r="EE1221" s="1" t="s">
        <v>230</v>
      </c>
      <c r="EI1221" s="1" t="s">
        <v>230</v>
      </c>
      <c r="EL1221" s="1" t="s">
        <v>382</v>
      </c>
      <c r="EM1221" s="1" t="s">
        <v>232</v>
      </c>
      <c r="EN1221" s="1" t="s">
        <v>282</v>
      </c>
      <c r="EO1221" s="1" t="s">
        <v>234</v>
      </c>
      <c r="EQ1221" s="1" t="s">
        <v>236</v>
      </c>
      <c r="ER1221" s="1" t="s">
        <v>210</v>
      </c>
      <c r="ES1221" s="1" t="s">
        <v>545</v>
      </c>
      <c r="EV1221" s="1" t="s">
        <v>240</v>
      </c>
      <c r="EW1221" s="1" t="s">
        <v>867</v>
      </c>
      <c r="EZ1221" s="1" t="s">
        <v>3011</v>
      </c>
      <c r="FA1221" s="1" t="s">
        <v>471</v>
      </c>
      <c r="FD1221" s="1" t="s">
        <v>246</v>
      </c>
      <c r="FE1221" s="1" t="s">
        <v>975</v>
      </c>
      <c r="FF1221" s="1" t="s">
        <v>248</v>
      </c>
      <c r="FH1221" s="1" t="s">
        <v>550</v>
      </c>
      <c r="FI1221" s="1" t="s">
        <v>473</v>
      </c>
      <c r="FL1221" s="1" t="s">
        <v>358</v>
      </c>
      <c r="FM1221" s="1" t="s">
        <v>252</v>
      </c>
      <c r="FN1221" s="1" t="s">
        <v>213</v>
      </c>
      <c r="FO1221" s="1" t="s">
        <v>213</v>
      </c>
      <c r="FQ1221" s="1" t="s">
        <v>329</v>
      </c>
      <c r="FR1221" s="1" t="s">
        <v>210</v>
      </c>
      <c r="FS1221" s="1" t="s">
        <v>1535</v>
      </c>
      <c r="FT1221" s="1" t="s">
        <v>1408</v>
      </c>
      <c r="FU1221" s="1" t="s">
        <v>204</v>
      </c>
      <c r="FW1221" s="1" t="s">
        <v>256</v>
      </c>
      <c r="FX1221" s="1">
        <v>2648</v>
      </c>
      <c r="FY1221" s="1" t="s">
        <v>1022</v>
      </c>
      <c r="FZ1221" s="1" t="s">
        <v>1023</v>
      </c>
      <c r="GA1221" s="1">
        <v>13380</v>
      </c>
      <c r="GB1221" s="1" t="s">
        <v>1024</v>
      </c>
      <c r="GE1221" s="1" t="s">
        <v>210</v>
      </c>
      <c r="GI1221" s="1" t="s">
        <v>213</v>
      </c>
      <c r="GJ1221" s="1" t="s">
        <v>260</v>
      </c>
      <c r="GK1221" s="1" t="s">
        <v>210</v>
      </c>
      <c r="GL1221" s="2">
        <v>42122</v>
      </c>
      <c r="GM1221" s="1" t="s">
        <v>12549</v>
      </c>
    </row>
    <row r="1222" spans="1:195">
      <c r="A1222" s="1">
        <v>116000</v>
      </c>
      <c r="B1222" s="1" t="s">
        <v>195</v>
      </c>
      <c r="C1222" s="1" t="str">
        <f>"08855143"</f>
        <v>08855143</v>
      </c>
      <c r="D1222" s="1" t="s">
        <v>196</v>
      </c>
      <c r="F1222" s="1" t="str">
        <f>"31"</f>
        <v>31</v>
      </c>
      <c r="G1222" s="2">
        <v>42070</v>
      </c>
      <c r="H1222" s="1">
        <v>115000</v>
      </c>
      <c r="I1222" s="1">
        <v>115000</v>
      </c>
      <c r="J1222" s="1">
        <v>116000</v>
      </c>
      <c r="K1222" s="2">
        <v>42069</v>
      </c>
      <c r="L1222" s="1">
        <v>25</v>
      </c>
      <c r="M1222" s="2">
        <v>42093</v>
      </c>
      <c r="N1222" s="1">
        <v>25</v>
      </c>
      <c r="O1222" s="2">
        <v>42093</v>
      </c>
      <c r="P1222" s="1">
        <v>2626</v>
      </c>
      <c r="Q1222" s="1" t="s">
        <v>197</v>
      </c>
      <c r="R1222" s="2">
        <v>42124</v>
      </c>
      <c r="S1222" s="1">
        <v>922716</v>
      </c>
      <c r="U1222" s="1">
        <v>17320</v>
      </c>
      <c r="V1222" s="1" t="s">
        <v>3963</v>
      </c>
      <c r="W1222" s="1" t="s">
        <v>504</v>
      </c>
      <c r="Y1222" s="1">
        <v>6</v>
      </c>
      <c r="Z1222" s="1" t="s">
        <v>249</v>
      </c>
      <c r="AA1222" s="1" t="s">
        <v>1057</v>
      </c>
      <c r="AB1222" s="1">
        <v>60031</v>
      </c>
      <c r="AD1222" s="1" t="s">
        <v>12550</v>
      </c>
      <c r="AE1222" s="1" t="s">
        <v>12551</v>
      </c>
      <c r="AF1222" s="1">
        <v>1986</v>
      </c>
      <c r="AG1222" s="1" t="s">
        <v>204</v>
      </c>
      <c r="AH1222" s="1" t="s">
        <v>882</v>
      </c>
      <c r="AI1222" s="1" t="s">
        <v>509</v>
      </c>
      <c r="AJ1222" s="1" t="s">
        <v>1061</v>
      </c>
      <c r="AL1222" s="1">
        <v>6</v>
      </c>
      <c r="AM1222" s="1">
        <v>2</v>
      </c>
      <c r="AN1222" s="1">
        <v>1</v>
      </c>
      <c r="AO1222" s="1">
        <v>1</v>
      </c>
      <c r="AP1222" s="1" t="s">
        <v>210</v>
      </c>
      <c r="AQ1222" s="1">
        <v>1</v>
      </c>
      <c r="AR1222" s="1" t="s">
        <v>210</v>
      </c>
      <c r="AS1222" s="1" t="s">
        <v>204</v>
      </c>
      <c r="AT1222" s="1" t="s">
        <v>211</v>
      </c>
      <c r="AU1222" s="1">
        <v>2</v>
      </c>
      <c r="AW1222" s="1" t="s">
        <v>204</v>
      </c>
      <c r="AX1222" s="1" t="s">
        <v>212</v>
      </c>
      <c r="AZ1222" s="1">
        <v>3594</v>
      </c>
      <c r="BA1222" s="1">
        <v>2013</v>
      </c>
      <c r="BB1222" s="1" t="s">
        <v>210</v>
      </c>
      <c r="BE1222" s="1">
        <v>1320</v>
      </c>
      <c r="BF1222" s="1">
        <v>1</v>
      </c>
      <c r="BG1222" s="1">
        <v>0</v>
      </c>
      <c r="BL1222" s="1">
        <v>220</v>
      </c>
      <c r="BM1222" s="1" t="s">
        <v>204</v>
      </c>
      <c r="BN1222" s="1" t="s">
        <v>213</v>
      </c>
      <c r="BO1222" s="1">
        <v>0</v>
      </c>
      <c r="BP1222" s="1" t="s">
        <v>204</v>
      </c>
      <c r="BR1222" s="1" t="str">
        <f>"07204000610000"</f>
        <v>07204000610000</v>
      </c>
      <c r="BT1222" s="1" t="s">
        <v>12552</v>
      </c>
      <c r="BX1222" s="1">
        <v>50</v>
      </c>
      <c r="BY1222" s="1">
        <v>50</v>
      </c>
      <c r="BZ1222" s="1">
        <v>121</v>
      </c>
      <c r="CB1222" s="1" t="str">
        <f t="shared" ref="CB1222:CC1222" si="942">""</f>
        <v/>
      </c>
      <c r="CC1222" s="1" t="str">
        <f t="shared" si="942"/>
        <v/>
      </c>
      <c r="CG1222" s="1" t="s">
        <v>1004</v>
      </c>
      <c r="CH1222" s="1" t="s">
        <v>219</v>
      </c>
      <c r="CI1222" s="1" t="s">
        <v>229</v>
      </c>
      <c r="CK1222" s="1" t="s">
        <v>1454</v>
      </c>
      <c r="CL1222" s="1" t="s">
        <v>277</v>
      </c>
      <c r="CM1222" s="1" t="s">
        <v>220</v>
      </c>
      <c r="CO1222" s="1" t="s">
        <v>629</v>
      </c>
      <c r="CP1222" s="1" t="s">
        <v>219</v>
      </c>
      <c r="CQ1222" s="1" t="s">
        <v>229</v>
      </c>
      <c r="CS1222" s="1" t="s">
        <v>932</v>
      </c>
      <c r="CT1222" s="1" t="s">
        <v>277</v>
      </c>
      <c r="CU1222" s="1" t="s">
        <v>220</v>
      </c>
      <c r="CX1222" s="1" t="s">
        <v>224</v>
      </c>
      <c r="DB1222" s="1" t="s">
        <v>224</v>
      </c>
      <c r="DE1222" s="1" t="s">
        <v>465</v>
      </c>
      <c r="DF1222" s="1" t="s">
        <v>219</v>
      </c>
      <c r="DG1222" s="1" t="s">
        <v>229</v>
      </c>
      <c r="DI1222" s="1" t="s">
        <v>729</v>
      </c>
      <c r="DJ1222" s="1" t="s">
        <v>277</v>
      </c>
      <c r="DK1222" s="1" t="s">
        <v>220</v>
      </c>
      <c r="DS1222" s="1" t="s">
        <v>230</v>
      </c>
      <c r="DW1222" s="1" t="s">
        <v>230</v>
      </c>
      <c r="EA1222" s="1" t="s">
        <v>230</v>
      </c>
      <c r="EE1222" s="1" t="s">
        <v>230</v>
      </c>
      <c r="EI1222" s="1" t="s">
        <v>230</v>
      </c>
      <c r="EL1222" s="1" t="s">
        <v>542</v>
      </c>
      <c r="EM1222" s="1" t="s">
        <v>319</v>
      </c>
      <c r="EN1222" s="1" t="s">
        <v>282</v>
      </c>
      <c r="EO1222" s="1" t="s">
        <v>234</v>
      </c>
      <c r="EQ1222" s="1" t="s">
        <v>468</v>
      </c>
      <c r="ER1222" s="1" t="s">
        <v>210</v>
      </c>
      <c r="EV1222" s="1" t="s">
        <v>240</v>
      </c>
      <c r="EW1222" s="1" t="s">
        <v>887</v>
      </c>
      <c r="EZ1222" s="1" t="s">
        <v>287</v>
      </c>
      <c r="FD1222" s="1" t="s">
        <v>495</v>
      </c>
      <c r="FE1222" s="1" t="s">
        <v>765</v>
      </c>
      <c r="FF1222" s="1" t="s">
        <v>248</v>
      </c>
      <c r="FG1222" s="1" t="s">
        <v>939</v>
      </c>
      <c r="FH1222" s="1" t="s">
        <v>550</v>
      </c>
      <c r="FI1222" s="1" t="s">
        <v>473</v>
      </c>
      <c r="FJ1222" s="1" t="s">
        <v>197</v>
      </c>
      <c r="FL1222" s="1" t="s">
        <v>358</v>
      </c>
      <c r="FM1222" s="1" t="s">
        <v>252</v>
      </c>
      <c r="FN1222" s="1" t="s">
        <v>213</v>
      </c>
      <c r="FO1222" s="1" t="s">
        <v>213</v>
      </c>
      <c r="FQ1222" s="1" t="s">
        <v>329</v>
      </c>
      <c r="FR1222" s="1" t="s">
        <v>210</v>
      </c>
      <c r="FS1222" s="1" t="s">
        <v>12553</v>
      </c>
      <c r="FT1222" s="1" t="s">
        <v>2589</v>
      </c>
      <c r="FU1222" s="1" t="s">
        <v>204</v>
      </c>
      <c r="FW1222" s="1" t="s">
        <v>8648</v>
      </c>
      <c r="FX1222" s="1">
        <v>25211</v>
      </c>
      <c r="FY1222" s="1" t="s">
        <v>8649</v>
      </c>
      <c r="FZ1222" s="1" t="s">
        <v>12554</v>
      </c>
      <c r="GA1222" s="1">
        <v>19105</v>
      </c>
      <c r="GB1222" s="1" t="s">
        <v>12555</v>
      </c>
      <c r="GE1222" s="1" t="s">
        <v>1120</v>
      </c>
      <c r="GH1222" s="1" t="s">
        <v>589</v>
      </c>
      <c r="GI1222" s="1" t="s">
        <v>213</v>
      </c>
      <c r="GJ1222" s="1" t="s">
        <v>260</v>
      </c>
      <c r="GK1222" s="1" t="s">
        <v>210</v>
      </c>
      <c r="GL1222" s="2">
        <v>42124</v>
      </c>
    </row>
    <row r="1223" spans="1:195">
      <c r="A1223" s="1">
        <v>59500</v>
      </c>
      <c r="B1223" s="1" t="s">
        <v>195</v>
      </c>
      <c r="C1223" s="1" t="str">
        <f>"08853048"</f>
        <v>08853048</v>
      </c>
      <c r="D1223" s="1" t="s">
        <v>196</v>
      </c>
      <c r="F1223" s="1" t="str">
        <f>"73"</f>
        <v>73</v>
      </c>
      <c r="G1223" s="2">
        <v>42068</v>
      </c>
      <c r="H1223" s="1">
        <v>69000</v>
      </c>
      <c r="I1223" s="1">
        <v>59500</v>
      </c>
      <c r="J1223" s="1">
        <v>59500</v>
      </c>
      <c r="K1223" s="2">
        <v>42068</v>
      </c>
      <c r="L1223" s="1">
        <v>57</v>
      </c>
      <c r="M1223" s="2">
        <v>42124</v>
      </c>
      <c r="N1223" s="1">
        <v>57</v>
      </c>
      <c r="O1223" s="2">
        <v>42124</v>
      </c>
      <c r="P1223" s="1">
        <v>2050</v>
      </c>
      <c r="Q1223" s="1" t="s">
        <v>302</v>
      </c>
      <c r="R1223" s="2">
        <v>42144</v>
      </c>
      <c r="S1223" s="1">
        <v>18891</v>
      </c>
      <c r="U1223" s="1">
        <v>57</v>
      </c>
      <c r="V1223" s="1" t="s">
        <v>12556</v>
      </c>
      <c r="W1223" s="1" t="s">
        <v>264</v>
      </c>
      <c r="X1223" s="1">
        <v>57</v>
      </c>
      <c r="Y1223" s="1">
        <v>6</v>
      </c>
      <c r="Z1223" s="1" t="s">
        <v>370</v>
      </c>
      <c r="AA1223" s="1" t="s">
        <v>1259</v>
      </c>
      <c r="AB1223" s="1">
        <v>60073</v>
      </c>
      <c r="AE1223" s="1" t="s">
        <v>12557</v>
      </c>
      <c r="AF1223" s="1">
        <v>1994</v>
      </c>
      <c r="AG1223" s="1" t="s">
        <v>204</v>
      </c>
      <c r="AH1223" s="1" t="s">
        <v>1262</v>
      </c>
      <c r="AI1223" s="1" t="s">
        <v>509</v>
      </c>
      <c r="AJ1223" s="1" t="s">
        <v>1263</v>
      </c>
      <c r="AL1223" s="1">
        <v>5</v>
      </c>
      <c r="AM1223" s="1">
        <v>2</v>
      </c>
      <c r="AN1223" s="1">
        <v>1</v>
      </c>
      <c r="AO1223" s="1">
        <v>0</v>
      </c>
      <c r="AP1223" s="1" t="s">
        <v>210</v>
      </c>
      <c r="AR1223" s="1" t="s">
        <v>210</v>
      </c>
      <c r="AS1223" s="1" t="s">
        <v>204</v>
      </c>
      <c r="AT1223" s="1" t="s">
        <v>211</v>
      </c>
      <c r="AU1223" s="1">
        <v>2</v>
      </c>
      <c r="AW1223" s="1" t="s">
        <v>204</v>
      </c>
      <c r="AX1223" s="1" t="s">
        <v>1265</v>
      </c>
      <c r="AZ1223" s="1">
        <v>1648.81</v>
      </c>
      <c r="BA1223" s="1">
        <v>2013</v>
      </c>
      <c r="BE1223" s="1">
        <v>760</v>
      </c>
      <c r="BF1223" s="1">
        <v>1</v>
      </c>
      <c r="BG1223" s="1">
        <v>0</v>
      </c>
      <c r="BL1223" s="1">
        <v>121</v>
      </c>
      <c r="BM1223" s="1" t="s">
        <v>204</v>
      </c>
      <c r="BN1223" s="1" t="s">
        <v>213</v>
      </c>
      <c r="BO1223" s="1">
        <v>30</v>
      </c>
      <c r="BP1223" s="1" t="s">
        <v>204</v>
      </c>
      <c r="BR1223" s="1" t="str">
        <f>"06294000520000"</f>
        <v>06294000520000</v>
      </c>
      <c r="BT1223" s="1" t="s">
        <v>12558</v>
      </c>
      <c r="BX1223" s="1">
        <v>116</v>
      </c>
      <c r="BY1223" s="1">
        <v>116</v>
      </c>
      <c r="BZ1223" s="1">
        <v>116</v>
      </c>
      <c r="CB1223" s="1" t="str">
        <f t="shared" ref="CB1223:CC1223" si="943">""</f>
        <v/>
      </c>
      <c r="CC1223" s="1" t="str">
        <f t="shared" si="943"/>
        <v/>
      </c>
      <c r="CG1223" s="1" t="s">
        <v>223</v>
      </c>
      <c r="CH1223" s="1" t="s">
        <v>219</v>
      </c>
      <c r="CK1223" s="1" t="s">
        <v>1297</v>
      </c>
      <c r="CL1223" s="1" t="s">
        <v>277</v>
      </c>
      <c r="CP1223" s="1" t="s">
        <v>224</v>
      </c>
      <c r="CS1223" s="1" t="s">
        <v>316</v>
      </c>
      <c r="CT1223" s="1" t="s">
        <v>277</v>
      </c>
      <c r="CX1223" s="1" t="s">
        <v>224</v>
      </c>
      <c r="DB1223" s="1" t="s">
        <v>224</v>
      </c>
      <c r="DE1223" s="1" t="s">
        <v>380</v>
      </c>
      <c r="DF1223" s="1" t="s">
        <v>219</v>
      </c>
      <c r="DJ1223" s="1" t="s">
        <v>224</v>
      </c>
      <c r="DM1223" s="1" t="s">
        <v>381</v>
      </c>
      <c r="DR1223" s="1" t="s">
        <v>316</v>
      </c>
      <c r="DS1223" s="1" t="s">
        <v>219</v>
      </c>
      <c r="DW1223" s="1" t="s">
        <v>230</v>
      </c>
      <c r="EA1223" s="1" t="s">
        <v>230</v>
      </c>
      <c r="EE1223" s="1" t="s">
        <v>230</v>
      </c>
      <c r="EI1223" s="1" t="s">
        <v>230</v>
      </c>
      <c r="EL1223" s="1" t="s">
        <v>382</v>
      </c>
      <c r="EM1223" s="1" t="s">
        <v>319</v>
      </c>
      <c r="EN1223" s="1" t="s">
        <v>282</v>
      </c>
      <c r="EO1223" s="1" t="s">
        <v>234</v>
      </c>
      <c r="ER1223" s="1" t="s">
        <v>383</v>
      </c>
      <c r="EW1223" s="1" t="s">
        <v>887</v>
      </c>
      <c r="EZ1223" s="1" t="s">
        <v>381</v>
      </c>
      <c r="FB1223" s="1" t="s">
        <v>289</v>
      </c>
      <c r="FD1223" s="1" t="s">
        <v>246</v>
      </c>
      <c r="FE1223" s="1" t="s">
        <v>1031</v>
      </c>
      <c r="FF1223" s="1" t="s">
        <v>248</v>
      </c>
      <c r="FH1223" s="1" t="s">
        <v>249</v>
      </c>
      <c r="FL1223" s="1" t="s">
        <v>414</v>
      </c>
      <c r="FM1223" s="1" t="s">
        <v>252</v>
      </c>
      <c r="FN1223" s="1" t="s">
        <v>213</v>
      </c>
      <c r="FO1223" s="1" t="s">
        <v>213</v>
      </c>
      <c r="FQ1223" s="1" t="s">
        <v>2793</v>
      </c>
      <c r="FR1223" s="1" t="s">
        <v>210</v>
      </c>
      <c r="FS1223" s="1" t="s">
        <v>12559</v>
      </c>
      <c r="FT1223" s="1" t="s">
        <v>520</v>
      </c>
      <c r="FU1223" s="1" t="s">
        <v>204</v>
      </c>
      <c r="FW1223" s="1" t="s">
        <v>3740</v>
      </c>
      <c r="FX1223" s="1">
        <v>16276</v>
      </c>
      <c r="FY1223" s="1" t="s">
        <v>3741</v>
      </c>
      <c r="FZ1223" s="1" t="s">
        <v>3742</v>
      </c>
      <c r="GA1223" s="1">
        <v>114173</v>
      </c>
      <c r="GB1223" s="1" t="s">
        <v>3741</v>
      </c>
      <c r="GE1223" s="1" t="s">
        <v>210</v>
      </c>
      <c r="GH1223" s="1" t="s">
        <v>230</v>
      </c>
      <c r="GI1223" s="1" t="s">
        <v>213</v>
      </c>
      <c r="GJ1223" s="1" t="s">
        <v>260</v>
      </c>
      <c r="GK1223" s="1" t="s">
        <v>210</v>
      </c>
      <c r="GL1223" s="2">
        <v>42144</v>
      </c>
      <c r="GM1223" s="1" t="s">
        <v>12560</v>
      </c>
    </row>
    <row r="1224" spans="1:195">
      <c r="A1224" s="1">
        <v>260100</v>
      </c>
      <c r="B1224" s="1" t="s">
        <v>195</v>
      </c>
      <c r="C1224" s="1" t="str">
        <f>"08855854"</f>
        <v>08855854</v>
      </c>
      <c r="D1224" s="1" t="s">
        <v>196</v>
      </c>
      <c r="F1224" s="1" t="str">
        <f>"514"</f>
        <v>514</v>
      </c>
      <c r="G1224" s="2">
        <v>42072</v>
      </c>
      <c r="H1224" s="1">
        <v>259900</v>
      </c>
      <c r="I1224" s="1">
        <v>259900</v>
      </c>
      <c r="J1224" s="1">
        <v>260100</v>
      </c>
      <c r="K1224" s="2">
        <v>42072</v>
      </c>
      <c r="L1224" s="1">
        <v>15</v>
      </c>
      <c r="M1224" s="2">
        <v>42086</v>
      </c>
      <c r="N1224" s="1">
        <v>15</v>
      </c>
      <c r="O1224" s="2">
        <v>42086</v>
      </c>
      <c r="P1224" s="1">
        <v>85464</v>
      </c>
      <c r="Q1224" s="1" t="s">
        <v>197</v>
      </c>
      <c r="R1224" s="2">
        <v>42145</v>
      </c>
      <c r="S1224" s="1">
        <v>106862</v>
      </c>
      <c r="U1224" s="1">
        <v>400</v>
      </c>
      <c r="V1224" s="1" t="s">
        <v>12561</v>
      </c>
      <c r="W1224" s="1" t="s">
        <v>304</v>
      </c>
      <c r="Y1224" s="1">
        <v>20</v>
      </c>
      <c r="Z1224" s="1" t="s">
        <v>370</v>
      </c>
      <c r="AA1224" s="1" t="s">
        <v>2691</v>
      </c>
      <c r="AB1224" s="1">
        <v>60514</v>
      </c>
      <c r="AD1224" s="1" t="s">
        <v>12562</v>
      </c>
      <c r="AE1224" s="1" t="s">
        <v>12563</v>
      </c>
      <c r="AF1224" s="1">
        <v>1992</v>
      </c>
      <c r="AG1224" s="1" t="s">
        <v>204</v>
      </c>
      <c r="AH1224" s="1" t="s">
        <v>2693</v>
      </c>
      <c r="AI1224" s="1" t="s">
        <v>206</v>
      </c>
      <c r="AJ1224" s="1" t="s">
        <v>903</v>
      </c>
      <c r="AK1224" s="1" t="s">
        <v>12564</v>
      </c>
      <c r="AL1224" s="1">
        <v>7</v>
      </c>
      <c r="AM1224" s="1">
        <v>2</v>
      </c>
      <c r="AN1224" s="1">
        <v>2</v>
      </c>
      <c r="AO1224" s="1">
        <v>1</v>
      </c>
      <c r="AP1224" s="1" t="s">
        <v>210</v>
      </c>
      <c r="AQ1224" s="1">
        <v>1</v>
      </c>
      <c r="AR1224" s="1" t="s">
        <v>209</v>
      </c>
      <c r="AS1224" s="1" t="s">
        <v>213</v>
      </c>
      <c r="AT1224" s="1" t="s">
        <v>211</v>
      </c>
      <c r="AU1224" s="1">
        <v>1</v>
      </c>
      <c r="AW1224" s="1" t="s">
        <v>204</v>
      </c>
      <c r="AX1224" s="1" t="s">
        <v>212</v>
      </c>
      <c r="AZ1224" s="1">
        <v>4207</v>
      </c>
      <c r="BA1224" s="1">
        <v>2013</v>
      </c>
      <c r="BB1224" s="1" t="s">
        <v>405</v>
      </c>
      <c r="BE1224" s="1">
        <v>0</v>
      </c>
      <c r="BF1224" s="1">
        <v>1</v>
      </c>
      <c r="BG1224" s="1">
        <v>30</v>
      </c>
      <c r="BL1224" s="1">
        <v>255</v>
      </c>
      <c r="BM1224" s="1" t="s">
        <v>204</v>
      </c>
      <c r="BN1224" s="1" t="s">
        <v>213</v>
      </c>
      <c r="BO1224" s="1">
        <v>0</v>
      </c>
      <c r="BP1224" s="1" t="s">
        <v>204</v>
      </c>
      <c r="BR1224" s="1" t="str">
        <f>"0914121001"</f>
        <v>0914121001</v>
      </c>
      <c r="BT1224" s="1" t="s">
        <v>12565</v>
      </c>
      <c r="BU1224" s="1" t="s">
        <v>10088</v>
      </c>
      <c r="BV1224" s="1" t="s">
        <v>2981</v>
      </c>
      <c r="BW1224" s="1" t="s">
        <v>1546</v>
      </c>
      <c r="BX1224" s="1">
        <v>60</v>
      </c>
      <c r="BY1224" s="1">
        <v>60</v>
      </c>
      <c r="BZ1224" s="1">
        <v>86</v>
      </c>
      <c r="CB1224" s="1" t="str">
        <f t="shared" ref="CB1224:CC1224" si="944">"0"</f>
        <v>0</v>
      </c>
      <c r="CC1224" s="1" t="str">
        <f t="shared" si="944"/>
        <v>0</v>
      </c>
      <c r="CD1224" s="1">
        <v>17</v>
      </c>
      <c r="CE1224" s="1">
        <v>6</v>
      </c>
      <c r="CG1224" s="1" t="s">
        <v>861</v>
      </c>
      <c r="CH1224" s="1" t="s">
        <v>219</v>
      </c>
      <c r="CI1224" s="1" t="s">
        <v>438</v>
      </c>
      <c r="CJ1224" s="1" t="s">
        <v>343</v>
      </c>
      <c r="CK1224" s="1" t="s">
        <v>221</v>
      </c>
      <c r="CL1224" s="1" t="s">
        <v>277</v>
      </c>
      <c r="CM1224" s="1" t="s">
        <v>220</v>
      </c>
      <c r="CN1224" s="1" t="s">
        <v>343</v>
      </c>
      <c r="CO1224" s="1" t="s">
        <v>346</v>
      </c>
      <c r="CP1224" s="1" t="s">
        <v>219</v>
      </c>
      <c r="CQ1224" s="1" t="s">
        <v>438</v>
      </c>
      <c r="CR1224" s="1" t="s">
        <v>210</v>
      </c>
      <c r="CS1224" s="1" t="s">
        <v>346</v>
      </c>
      <c r="CT1224" s="1" t="s">
        <v>277</v>
      </c>
      <c r="CU1224" s="1" t="s">
        <v>220</v>
      </c>
      <c r="CV1224" s="1" t="s">
        <v>343</v>
      </c>
      <c r="CX1224" s="1" t="s">
        <v>224</v>
      </c>
      <c r="DB1224" s="1" t="s">
        <v>224</v>
      </c>
      <c r="DE1224" s="1" t="s">
        <v>346</v>
      </c>
      <c r="DF1224" s="1" t="s">
        <v>219</v>
      </c>
      <c r="DG1224" s="1" t="s">
        <v>438</v>
      </c>
      <c r="DH1224" s="1" t="s">
        <v>463</v>
      </c>
      <c r="DJ1224" s="1" t="s">
        <v>224</v>
      </c>
      <c r="DM1224" s="1" t="s">
        <v>709</v>
      </c>
      <c r="DN1224" s="1" t="s">
        <v>464</v>
      </c>
      <c r="DO1224" s="1" t="s">
        <v>1005</v>
      </c>
      <c r="DR1224" s="1" t="s">
        <v>12566</v>
      </c>
      <c r="DS1224" s="1" t="s">
        <v>219</v>
      </c>
      <c r="DT1224" s="1" t="s">
        <v>226</v>
      </c>
      <c r="DU1224" s="1" t="s">
        <v>210</v>
      </c>
      <c r="DV1224" s="1" t="s">
        <v>379</v>
      </c>
      <c r="DW1224" s="1" t="s">
        <v>277</v>
      </c>
      <c r="DX1224" s="1" t="s">
        <v>220</v>
      </c>
      <c r="DY1224" s="1" t="s">
        <v>343</v>
      </c>
      <c r="DZ1224" s="1" t="s">
        <v>465</v>
      </c>
      <c r="EA1224" s="1" t="s">
        <v>43</v>
      </c>
      <c r="EB1224" s="1" t="s">
        <v>220</v>
      </c>
      <c r="EC1224" s="1" t="s">
        <v>210</v>
      </c>
      <c r="EE1224" s="1" t="s">
        <v>230</v>
      </c>
      <c r="EI1224" s="1" t="s">
        <v>230</v>
      </c>
      <c r="EL1224" s="1" t="s">
        <v>382</v>
      </c>
      <c r="EM1224" s="1" t="s">
        <v>232</v>
      </c>
      <c r="EN1224" s="1" t="s">
        <v>282</v>
      </c>
      <c r="EO1224" s="1" t="s">
        <v>234</v>
      </c>
      <c r="EP1224" s="1" t="s">
        <v>650</v>
      </c>
      <c r="EQ1224" s="1" t="s">
        <v>953</v>
      </c>
      <c r="ER1224" s="1" t="s">
        <v>544</v>
      </c>
      <c r="ES1224" s="1" t="s">
        <v>1552</v>
      </c>
      <c r="ET1224" s="1" t="s">
        <v>842</v>
      </c>
      <c r="EV1224" s="1" t="s">
        <v>324</v>
      </c>
      <c r="EW1224" s="1" t="s">
        <v>353</v>
      </c>
      <c r="EY1224" s="1" t="s">
        <v>242</v>
      </c>
      <c r="EZ1224" s="1" t="s">
        <v>12567</v>
      </c>
      <c r="FA1224" s="1" t="s">
        <v>12568</v>
      </c>
      <c r="FB1224" s="1" t="s">
        <v>244</v>
      </c>
      <c r="FC1224" s="1" t="s">
        <v>4152</v>
      </c>
      <c r="FD1224" s="1" t="s">
        <v>246</v>
      </c>
      <c r="FE1224" s="1" t="s">
        <v>549</v>
      </c>
      <c r="FF1224" s="1" t="s">
        <v>248</v>
      </c>
      <c r="FG1224" s="1" t="s">
        <v>871</v>
      </c>
      <c r="FH1224" s="1" t="s">
        <v>550</v>
      </c>
      <c r="FI1224" s="1" t="s">
        <v>473</v>
      </c>
      <c r="FL1224" s="1" t="s">
        <v>358</v>
      </c>
      <c r="FM1224" s="1" t="s">
        <v>252</v>
      </c>
      <c r="FN1224" s="1" t="s">
        <v>213</v>
      </c>
      <c r="FO1224" s="1" t="s">
        <v>213</v>
      </c>
      <c r="FQ1224" s="1" t="s">
        <v>569</v>
      </c>
      <c r="FR1224" s="1" t="s">
        <v>210</v>
      </c>
      <c r="FS1224" s="1" t="s">
        <v>443</v>
      </c>
      <c r="FT1224" s="1" t="s">
        <v>362</v>
      </c>
      <c r="FU1224" s="1" t="s">
        <v>204</v>
      </c>
      <c r="FW1224" s="1" t="s">
        <v>1559</v>
      </c>
      <c r="FX1224" s="1">
        <v>3750</v>
      </c>
      <c r="FY1224" s="1" t="s">
        <v>12569</v>
      </c>
      <c r="FZ1224" s="1" t="s">
        <v>12570</v>
      </c>
      <c r="GA1224" s="1">
        <v>42922</v>
      </c>
      <c r="GB1224" s="1" t="s">
        <v>12571</v>
      </c>
      <c r="GD1224" s="1" t="s">
        <v>12572</v>
      </c>
      <c r="GE1224" s="1" t="s">
        <v>335</v>
      </c>
      <c r="GI1224" s="1" t="s">
        <v>213</v>
      </c>
      <c r="GJ1224" s="1" t="s">
        <v>260</v>
      </c>
      <c r="GK1224" s="1" t="s">
        <v>210</v>
      </c>
      <c r="GL1224" s="2">
        <v>42145</v>
      </c>
      <c r="GM1224" s="1" t="s">
        <v>12573</v>
      </c>
    </row>
    <row r="1225" spans="1:195">
      <c r="A1225" s="1">
        <v>430000</v>
      </c>
      <c r="B1225" s="1" t="s">
        <v>195</v>
      </c>
      <c r="C1225" s="1" t="str">
        <f>"08858735"</f>
        <v>08858735</v>
      </c>
      <c r="D1225" s="1" t="s">
        <v>196</v>
      </c>
      <c r="F1225" s="1" t="str">
        <f>"126"</f>
        <v>126</v>
      </c>
      <c r="G1225" s="2">
        <v>42074</v>
      </c>
      <c r="H1225" s="1">
        <v>475000</v>
      </c>
      <c r="I1225" s="1">
        <v>449900</v>
      </c>
      <c r="J1225" s="1">
        <v>430000</v>
      </c>
      <c r="K1225" s="2">
        <v>42074</v>
      </c>
      <c r="L1225" s="1">
        <v>43</v>
      </c>
      <c r="M1225" s="2">
        <v>42116</v>
      </c>
      <c r="N1225" s="1">
        <v>43</v>
      </c>
      <c r="O1225" s="2">
        <v>42116</v>
      </c>
      <c r="P1225" s="1">
        <v>24042</v>
      </c>
      <c r="Q1225" s="1" t="s">
        <v>302</v>
      </c>
      <c r="R1225" s="2">
        <v>42139</v>
      </c>
      <c r="S1225" s="1">
        <v>241015</v>
      </c>
      <c r="U1225" s="1">
        <v>131</v>
      </c>
      <c r="V1225" s="1" t="s">
        <v>8799</v>
      </c>
      <c r="W1225" s="1" t="s">
        <v>725</v>
      </c>
      <c r="X1225" s="1">
        <v>207</v>
      </c>
      <c r="Y1225" s="1">
        <v>56</v>
      </c>
      <c r="Z1225" s="1" t="s">
        <v>249</v>
      </c>
      <c r="AA1225" s="1" t="s">
        <v>3169</v>
      </c>
      <c r="AB1225" s="1">
        <v>60126</v>
      </c>
      <c r="AD1225" s="1" t="s">
        <v>8800</v>
      </c>
      <c r="AE1225" s="1" t="s">
        <v>12574</v>
      </c>
      <c r="AF1225" s="1">
        <v>2002</v>
      </c>
      <c r="AG1225" s="1" t="s">
        <v>204</v>
      </c>
      <c r="AH1225" s="1" t="s">
        <v>3172</v>
      </c>
      <c r="AI1225" s="1" t="s">
        <v>206</v>
      </c>
      <c r="AJ1225" s="1" t="s">
        <v>1608</v>
      </c>
      <c r="AK1225" s="1" t="s">
        <v>12575</v>
      </c>
      <c r="AL1225" s="1">
        <v>6</v>
      </c>
      <c r="AM1225" s="1">
        <v>2</v>
      </c>
      <c r="AN1225" s="1">
        <v>2</v>
      </c>
      <c r="AO1225" s="1">
        <v>0</v>
      </c>
      <c r="AP1225" s="1" t="s">
        <v>209</v>
      </c>
      <c r="AQ1225" s="1">
        <v>1</v>
      </c>
      <c r="AR1225" s="1" t="s">
        <v>210</v>
      </c>
      <c r="AS1225" s="1" t="s">
        <v>204</v>
      </c>
      <c r="AT1225" s="1" t="s">
        <v>211</v>
      </c>
      <c r="AU1225" s="1">
        <v>2</v>
      </c>
      <c r="AW1225" s="1" t="s">
        <v>204</v>
      </c>
      <c r="AX1225" s="1" t="s">
        <v>212</v>
      </c>
      <c r="AZ1225" s="1">
        <v>6110</v>
      </c>
      <c r="BA1225" s="1">
        <v>2013</v>
      </c>
      <c r="BE1225" s="1">
        <v>1648</v>
      </c>
      <c r="BF1225" s="1">
        <v>2</v>
      </c>
      <c r="BG1225" s="1">
        <v>30</v>
      </c>
      <c r="BL1225" s="1">
        <v>408</v>
      </c>
      <c r="BM1225" s="1" t="s">
        <v>204</v>
      </c>
      <c r="BN1225" s="1" t="s">
        <v>213</v>
      </c>
      <c r="BO1225" s="1">
        <v>40</v>
      </c>
      <c r="BP1225" s="1" t="s">
        <v>204</v>
      </c>
      <c r="BR1225" s="1" t="str">
        <f>"0602236020"</f>
        <v>0602236020</v>
      </c>
      <c r="BT1225" s="1" t="s">
        <v>12576</v>
      </c>
      <c r="BU1225" s="1" t="s">
        <v>3174</v>
      </c>
      <c r="BV1225" s="1" t="s">
        <v>3175</v>
      </c>
      <c r="BW1225" s="1" t="s">
        <v>3176</v>
      </c>
      <c r="BX1225" s="1">
        <v>205</v>
      </c>
      <c r="BY1225" s="1">
        <v>205</v>
      </c>
      <c r="BZ1225" s="1">
        <v>205</v>
      </c>
      <c r="CB1225" s="1" t="str">
        <f t="shared" ref="CB1225:CC1225" si="945">""</f>
        <v/>
      </c>
      <c r="CC1225" s="1" t="str">
        <f t="shared" si="945"/>
        <v/>
      </c>
      <c r="CG1225" s="1" t="s">
        <v>6531</v>
      </c>
      <c r="CH1225" s="1" t="s">
        <v>277</v>
      </c>
      <c r="CI1225" s="1" t="s">
        <v>229</v>
      </c>
      <c r="CJ1225" s="1" t="s">
        <v>252</v>
      </c>
      <c r="CK1225" s="1" t="s">
        <v>228</v>
      </c>
      <c r="CL1225" s="1" t="s">
        <v>277</v>
      </c>
      <c r="CM1225" s="1" t="s">
        <v>229</v>
      </c>
      <c r="CN1225" s="1" t="s">
        <v>252</v>
      </c>
      <c r="CO1225" s="1" t="s">
        <v>629</v>
      </c>
      <c r="CP1225" s="1" t="s">
        <v>277</v>
      </c>
      <c r="CQ1225" s="1" t="s">
        <v>229</v>
      </c>
      <c r="CR1225" s="1" t="s">
        <v>252</v>
      </c>
      <c r="CS1225" s="1" t="s">
        <v>317</v>
      </c>
      <c r="CT1225" s="1" t="s">
        <v>277</v>
      </c>
      <c r="CU1225" s="1" t="s">
        <v>229</v>
      </c>
      <c r="CV1225" s="1" t="s">
        <v>252</v>
      </c>
      <c r="CX1225" s="1" t="s">
        <v>224</v>
      </c>
      <c r="DB1225" s="1" t="s">
        <v>224</v>
      </c>
      <c r="DE1225" s="1" t="s">
        <v>1358</v>
      </c>
      <c r="DF1225" s="1" t="s">
        <v>277</v>
      </c>
      <c r="DG1225" s="1" t="s">
        <v>6120</v>
      </c>
      <c r="DH1225" s="1" t="s">
        <v>252</v>
      </c>
      <c r="DJ1225" s="1" t="s">
        <v>224</v>
      </c>
      <c r="DM1225" s="1" t="s">
        <v>411</v>
      </c>
      <c r="DR1225" s="1" t="s">
        <v>2308</v>
      </c>
      <c r="DS1225" s="1" t="s">
        <v>277</v>
      </c>
      <c r="DT1225" s="1" t="s">
        <v>347</v>
      </c>
      <c r="DW1225" s="1" t="s">
        <v>230</v>
      </c>
      <c r="EA1225" s="1" t="s">
        <v>230</v>
      </c>
      <c r="EE1225" s="1" t="s">
        <v>230</v>
      </c>
      <c r="EI1225" s="1" t="s">
        <v>230</v>
      </c>
      <c r="EL1225" s="1" t="s">
        <v>466</v>
      </c>
      <c r="EM1225" s="1" t="s">
        <v>232</v>
      </c>
      <c r="EN1225" s="1" t="s">
        <v>282</v>
      </c>
      <c r="EO1225" s="1" t="s">
        <v>234</v>
      </c>
      <c r="EP1225" s="1" t="s">
        <v>12577</v>
      </c>
      <c r="EQ1225" s="1" t="s">
        <v>2188</v>
      </c>
      <c r="ER1225" s="1" t="s">
        <v>210</v>
      </c>
      <c r="ES1225" s="1" t="s">
        <v>322</v>
      </c>
      <c r="ET1225" s="1" t="s">
        <v>12578</v>
      </c>
      <c r="EV1225" s="1" t="s">
        <v>240</v>
      </c>
      <c r="EW1225" s="1" t="s">
        <v>3178</v>
      </c>
      <c r="EZ1225" s="1" t="s">
        <v>411</v>
      </c>
      <c r="FA1225" s="1" t="s">
        <v>12579</v>
      </c>
      <c r="FB1225" s="1" t="s">
        <v>289</v>
      </c>
      <c r="FD1225" s="1" t="s">
        <v>290</v>
      </c>
      <c r="FE1225" s="1" t="s">
        <v>247</v>
      </c>
      <c r="FF1225" s="1" t="s">
        <v>248</v>
      </c>
      <c r="FG1225" s="1" t="s">
        <v>912</v>
      </c>
      <c r="FH1225" s="1" t="s">
        <v>249</v>
      </c>
      <c r="FI1225" s="1" t="s">
        <v>250</v>
      </c>
      <c r="FL1225" s="1" t="s">
        <v>358</v>
      </c>
      <c r="FM1225" s="1" t="s">
        <v>252</v>
      </c>
      <c r="FN1225" s="1" t="s">
        <v>213</v>
      </c>
      <c r="FO1225" s="1" t="s">
        <v>213</v>
      </c>
      <c r="FQ1225" s="1" t="s">
        <v>2004</v>
      </c>
      <c r="FR1225" s="1" t="s">
        <v>210</v>
      </c>
      <c r="FS1225" s="1" t="s">
        <v>1429</v>
      </c>
      <c r="FT1225" s="1" t="s">
        <v>520</v>
      </c>
      <c r="FU1225" s="1" t="s">
        <v>204</v>
      </c>
      <c r="FW1225" s="1" t="s">
        <v>2006</v>
      </c>
      <c r="FX1225" s="1">
        <v>25792</v>
      </c>
      <c r="FY1225" s="1" t="s">
        <v>3181</v>
      </c>
      <c r="FZ1225" s="1" t="s">
        <v>12580</v>
      </c>
      <c r="GA1225" s="1">
        <v>242505</v>
      </c>
      <c r="GB1225" s="1" t="s">
        <v>12581</v>
      </c>
      <c r="GE1225" s="1" t="s">
        <v>1187</v>
      </c>
      <c r="GH1225" s="1" t="s">
        <v>589</v>
      </c>
      <c r="GI1225" s="1" t="s">
        <v>213</v>
      </c>
      <c r="GJ1225" s="1" t="s">
        <v>260</v>
      </c>
      <c r="GK1225" s="1" t="s">
        <v>210</v>
      </c>
      <c r="GL1225" s="2">
        <v>42139</v>
      </c>
      <c r="GM1225" s="1" t="s">
        <v>12582</v>
      </c>
    </row>
    <row r="1226" spans="1:195">
      <c r="A1226" s="1">
        <v>88500</v>
      </c>
      <c r="B1226" s="1" t="s">
        <v>195</v>
      </c>
      <c r="C1226" s="1" t="str">
        <f>"08852468"</f>
        <v>08852468</v>
      </c>
      <c r="D1226" s="1" t="s">
        <v>196</v>
      </c>
      <c r="F1226" s="1" t="str">
        <f>"31"</f>
        <v>31</v>
      </c>
      <c r="G1226" s="2">
        <v>42067</v>
      </c>
      <c r="H1226" s="1">
        <v>94450</v>
      </c>
      <c r="I1226" s="1">
        <v>94450</v>
      </c>
      <c r="J1226" s="1">
        <v>88500</v>
      </c>
      <c r="K1226" s="2">
        <v>42067</v>
      </c>
      <c r="L1226" s="1">
        <v>20</v>
      </c>
      <c r="M1226" s="2">
        <v>42086</v>
      </c>
      <c r="N1226" s="1">
        <v>20</v>
      </c>
      <c r="O1226" s="2">
        <v>42086</v>
      </c>
      <c r="P1226" s="1">
        <v>2626</v>
      </c>
      <c r="Q1226" s="1" t="s">
        <v>197</v>
      </c>
      <c r="R1226" s="2">
        <v>42132</v>
      </c>
      <c r="S1226" s="1">
        <v>20614</v>
      </c>
      <c r="T1226" s="1">
        <v>2610</v>
      </c>
      <c r="U1226" s="1">
        <v>920</v>
      </c>
      <c r="V1226" s="1" t="s">
        <v>4457</v>
      </c>
      <c r="W1226" s="1" t="s">
        <v>264</v>
      </c>
      <c r="X1226" s="1">
        <v>508</v>
      </c>
      <c r="Y1226" s="1">
        <v>72</v>
      </c>
      <c r="Z1226" s="1" t="s">
        <v>249</v>
      </c>
      <c r="AA1226" s="1" t="s">
        <v>1057</v>
      </c>
      <c r="AB1226" s="1">
        <v>60031</v>
      </c>
      <c r="AC1226" s="1">
        <v>4102</v>
      </c>
      <c r="AD1226" s="1" t="s">
        <v>4200</v>
      </c>
      <c r="AE1226" s="1" t="s">
        <v>12583</v>
      </c>
      <c r="AF1226" s="1">
        <v>1978</v>
      </c>
      <c r="AG1226" s="1" t="s">
        <v>204</v>
      </c>
      <c r="AH1226" s="1" t="s">
        <v>1060</v>
      </c>
      <c r="AI1226" s="1" t="s">
        <v>509</v>
      </c>
      <c r="AJ1226" s="1" t="s">
        <v>1061</v>
      </c>
      <c r="AK1226" s="1" t="s">
        <v>6218</v>
      </c>
      <c r="AL1226" s="1">
        <v>4</v>
      </c>
      <c r="AM1226" s="1">
        <v>2</v>
      </c>
      <c r="AN1226" s="1">
        <v>2</v>
      </c>
      <c r="AO1226" s="1">
        <v>0</v>
      </c>
      <c r="AP1226" s="1" t="s">
        <v>209</v>
      </c>
      <c r="AR1226" s="1" t="s">
        <v>210</v>
      </c>
      <c r="AS1226" s="1" t="s">
        <v>204</v>
      </c>
      <c r="AT1226" s="1" t="s">
        <v>271</v>
      </c>
      <c r="AV1226" s="1">
        <v>1</v>
      </c>
      <c r="AW1226" s="1" t="s">
        <v>204</v>
      </c>
      <c r="AX1226" s="1" t="s">
        <v>1265</v>
      </c>
      <c r="AZ1226" s="1">
        <v>1418.13</v>
      </c>
      <c r="BA1226" s="1">
        <v>2013</v>
      </c>
      <c r="BB1226" s="1" t="s">
        <v>12584</v>
      </c>
      <c r="BE1226" s="1">
        <v>1200</v>
      </c>
      <c r="BF1226" s="1">
        <v>5</v>
      </c>
      <c r="BG1226" s="1">
        <v>0</v>
      </c>
      <c r="BJ1226" s="1">
        <v>95</v>
      </c>
      <c r="BL1226" s="1">
        <v>372</v>
      </c>
      <c r="BM1226" s="1" t="s">
        <v>204</v>
      </c>
      <c r="BN1226" s="1" t="s">
        <v>213</v>
      </c>
      <c r="BO1226" s="1">
        <v>999</v>
      </c>
      <c r="BP1226" s="1" t="s">
        <v>204</v>
      </c>
      <c r="BR1226" s="1" t="str">
        <f>"07284090570000"</f>
        <v>07284090570000</v>
      </c>
      <c r="BT1226" s="1" t="s">
        <v>12585</v>
      </c>
      <c r="BU1226" s="1" t="s">
        <v>1064</v>
      </c>
      <c r="BV1226" s="1" t="s">
        <v>1065</v>
      </c>
      <c r="BW1226" s="1" t="s">
        <v>1066</v>
      </c>
      <c r="BX1226" s="1">
        <v>50</v>
      </c>
      <c r="BY1226" s="1">
        <v>50</v>
      </c>
      <c r="BZ1226" s="1">
        <v>121</v>
      </c>
      <c r="CA1226" s="1">
        <v>532</v>
      </c>
      <c r="CB1226" s="1" t="str">
        <f>"33"</f>
        <v>33</v>
      </c>
      <c r="CC1226" s="1" t="str">
        <f>"0"</f>
        <v>0</v>
      </c>
      <c r="CD1226" s="1">
        <v>16</v>
      </c>
      <c r="CE1226" s="1">
        <v>0</v>
      </c>
      <c r="CF1226" s="1" t="s">
        <v>4203</v>
      </c>
      <c r="CG1226" s="1" t="s">
        <v>2402</v>
      </c>
      <c r="CH1226" s="1" t="s">
        <v>219</v>
      </c>
      <c r="CI1226" s="1" t="s">
        <v>220</v>
      </c>
      <c r="CJ1226" s="1" t="s">
        <v>252</v>
      </c>
      <c r="CK1226" s="1" t="s">
        <v>1004</v>
      </c>
      <c r="CL1226" s="1" t="s">
        <v>219</v>
      </c>
      <c r="CM1226" s="1" t="s">
        <v>220</v>
      </c>
      <c r="CN1226" s="1" t="s">
        <v>252</v>
      </c>
      <c r="CP1226" s="1" t="s">
        <v>224</v>
      </c>
      <c r="CS1226" s="1" t="s">
        <v>539</v>
      </c>
      <c r="CT1226" s="1" t="s">
        <v>219</v>
      </c>
      <c r="CU1226" s="1" t="s">
        <v>220</v>
      </c>
      <c r="CV1226" s="1" t="s">
        <v>252</v>
      </c>
      <c r="CX1226" s="1" t="s">
        <v>224</v>
      </c>
      <c r="DB1226" s="1" t="s">
        <v>224</v>
      </c>
      <c r="DE1226" s="1" t="s">
        <v>821</v>
      </c>
      <c r="DF1226" s="1" t="s">
        <v>219</v>
      </c>
      <c r="DG1226" s="1" t="s">
        <v>342</v>
      </c>
      <c r="DJ1226" s="1" t="s">
        <v>224</v>
      </c>
      <c r="DS1226" s="1" t="s">
        <v>230</v>
      </c>
      <c r="DW1226" s="1" t="s">
        <v>230</v>
      </c>
      <c r="EA1226" s="1" t="s">
        <v>230</v>
      </c>
      <c r="EE1226" s="1" t="s">
        <v>230</v>
      </c>
      <c r="EI1226" s="1" t="s">
        <v>230</v>
      </c>
      <c r="EL1226" s="1" t="s">
        <v>231</v>
      </c>
      <c r="EM1226" s="1" t="s">
        <v>232</v>
      </c>
      <c r="EN1226" s="1" t="s">
        <v>282</v>
      </c>
      <c r="EO1226" s="1" t="s">
        <v>234</v>
      </c>
      <c r="EP1226" s="1" t="s">
        <v>12586</v>
      </c>
      <c r="EQ1226" s="1" t="s">
        <v>492</v>
      </c>
      <c r="ER1226" s="1" t="s">
        <v>210</v>
      </c>
      <c r="ES1226" s="1" t="s">
        <v>322</v>
      </c>
      <c r="EU1226" s="1" t="s">
        <v>843</v>
      </c>
      <c r="EV1226" s="1" t="s">
        <v>240</v>
      </c>
      <c r="EW1226" s="1" t="s">
        <v>1940</v>
      </c>
      <c r="EY1226" s="1" t="s">
        <v>242</v>
      </c>
      <c r="EZ1226" s="1" t="s">
        <v>287</v>
      </c>
      <c r="FA1226" s="1" t="s">
        <v>10364</v>
      </c>
      <c r="FB1226" s="1" t="s">
        <v>244</v>
      </c>
      <c r="FC1226" s="1" t="s">
        <v>1386</v>
      </c>
      <c r="FD1226" s="1" t="s">
        <v>246</v>
      </c>
      <c r="FE1226" s="1" t="s">
        <v>247</v>
      </c>
      <c r="FF1226" s="1" t="s">
        <v>387</v>
      </c>
      <c r="FH1226" s="1" t="s">
        <v>1942</v>
      </c>
      <c r="FJ1226" s="1" t="s">
        <v>1251</v>
      </c>
      <c r="FK1226" s="1" t="s">
        <v>10913</v>
      </c>
      <c r="FL1226" s="1" t="s">
        <v>1073</v>
      </c>
      <c r="FM1226" s="1" t="s">
        <v>252</v>
      </c>
      <c r="FN1226" s="1" t="s">
        <v>213</v>
      </c>
      <c r="FO1226" s="1" t="s">
        <v>213</v>
      </c>
      <c r="FQ1226" s="1" t="s">
        <v>793</v>
      </c>
      <c r="FR1226" s="1" t="s">
        <v>210</v>
      </c>
      <c r="FS1226" s="1" t="s">
        <v>12587</v>
      </c>
      <c r="FT1226" s="1" t="s">
        <v>255</v>
      </c>
      <c r="FU1226" s="1" t="s">
        <v>204</v>
      </c>
      <c r="FW1226" s="1" t="s">
        <v>585</v>
      </c>
      <c r="FX1226" s="1">
        <v>2050</v>
      </c>
      <c r="FY1226" s="1" t="s">
        <v>4207</v>
      </c>
      <c r="FZ1226" s="1" t="s">
        <v>12588</v>
      </c>
      <c r="GA1226" s="1">
        <v>12439</v>
      </c>
      <c r="GB1226" s="1" t="s">
        <v>12589</v>
      </c>
      <c r="GC1226" s="1">
        <v>20060</v>
      </c>
      <c r="GE1226" s="1" t="s">
        <v>658</v>
      </c>
      <c r="GI1226" s="1" t="s">
        <v>213</v>
      </c>
      <c r="GJ1226" s="1" t="s">
        <v>260</v>
      </c>
      <c r="GK1226" s="1" t="s">
        <v>210</v>
      </c>
      <c r="GL1226" s="2">
        <v>42132</v>
      </c>
      <c r="GM1226" s="1" t="s">
        <v>12590</v>
      </c>
    </row>
    <row r="1227" spans="1:195">
      <c r="A1227" s="1">
        <v>127000</v>
      </c>
      <c r="B1227" s="1" t="s">
        <v>195</v>
      </c>
      <c r="C1227" s="1" t="str">
        <f>"08851728"</f>
        <v>08851728</v>
      </c>
      <c r="D1227" s="1" t="s">
        <v>196</v>
      </c>
      <c r="F1227" s="1" t="str">
        <f>"160"</f>
        <v>160</v>
      </c>
      <c r="G1227" s="2">
        <v>42066</v>
      </c>
      <c r="H1227" s="1">
        <v>129900</v>
      </c>
      <c r="I1227" s="1">
        <v>129900</v>
      </c>
      <c r="J1227" s="1">
        <v>127000</v>
      </c>
      <c r="K1227" s="2">
        <v>42064</v>
      </c>
      <c r="L1227" s="1">
        <v>25</v>
      </c>
      <c r="M1227" s="2">
        <v>42088</v>
      </c>
      <c r="N1227" s="1">
        <v>25</v>
      </c>
      <c r="O1227" s="2">
        <v>42088</v>
      </c>
      <c r="P1227" s="1">
        <v>252</v>
      </c>
      <c r="Q1227" s="1" t="s">
        <v>423</v>
      </c>
      <c r="R1227" s="2">
        <v>42124</v>
      </c>
      <c r="S1227" s="1">
        <v>7748</v>
      </c>
      <c r="U1227" s="1">
        <v>1544</v>
      </c>
      <c r="V1227" s="1" t="s">
        <v>3269</v>
      </c>
      <c r="W1227" s="1" t="s">
        <v>425</v>
      </c>
      <c r="Y1227" s="1">
        <v>2</v>
      </c>
      <c r="Z1227" s="1" t="s">
        <v>200</v>
      </c>
      <c r="AA1227" s="1" t="s">
        <v>426</v>
      </c>
      <c r="AB1227" s="1">
        <v>60160</v>
      </c>
      <c r="AE1227" s="1" t="s">
        <v>12591</v>
      </c>
      <c r="AF1227" s="1">
        <v>1943</v>
      </c>
      <c r="AG1227" s="1" t="s">
        <v>213</v>
      </c>
      <c r="AH1227" s="1" t="s">
        <v>428</v>
      </c>
      <c r="AI1227" s="1" t="s">
        <v>310</v>
      </c>
      <c r="AJ1227" s="1" t="s">
        <v>429</v>
      </c>
      <c r="AK1227" s="1" t="s">
        <v>430</v>
      </c>
      <c r="AL1227" s="1">
        <v>6</v>
      </c>
      <c r="AM1227" s="1">
        <v>2</v>
      </c>
      <c r="AN1227" s="1">
        <v>2</v>
      </c>
      <c r="AO1227" s="1">
        <v>0</v>
      </c>
      <c r="AP1227" s="1" t="s">
        <v>210</v>
      </c>
      <c r="AR1227" s="1" t="s">
        <v>209</v>
      </c>
      <c r="AS1227" s="1" t="s">
        <v>213</v>
      </c>
      <c r="AT1227" s="1" t="s">
        <v>211</v>
      </c>
      <c r="AU1227" s="1">
        <v>2</v>
      </c>
      <c r="AW1227" s="1" t="s">
        <v>204</v>
      </c>
      <c r="AX1227" s="1" t="s">
        <v>12592</v>
      </c>
      <c r="AZ1227" s="1">
        <v>1037.21</v>
      </c>
      <c r="BA1227" s="1">
        <v>2013</v>
      </c>
      <c r="BB1227" s="1" t="s">
        <v>3996</v>
      </c>
      <c r="BE1227" s="1">
        <v>1000</v>
      </c>
      <c r="BF1227" s="1">
        <v>1</v>
      </c>
      <c r="BG1227" s="1">
        <v>0</v>
      </c>
      <c r="BL1227" s="1">
        <v>0</v>
      </c>
      <c r="BM1227" s="1" t="s">
        <v>204</v>
      </c>
      <c r="BN1227" s="1" t="s">
        <v>213</v>
      </c>
      <c r="BO1227" s="1">
        <v>999</v>
      </c>
      <c r="BP1227" s="1" t="s">
        <v>204</v>
      </c>
      <c r="BR1227" s="1" t="str">
        <f>"15031260550000"</f>
        <v>15031260550000</v>
      </c>
      <c r="BT1227" s="1" t="s">
        <v>12593</v>
      </c>
      <c r="BU1227" s="1" t="s">
        <v>434</v>
      </c>
      <c r="BV1227" s="1" t="s">
        <v>435</v>
      </c>
      <c r="BW1227" s="1" t="s">
        <v>436</v>
      </c>
      <c r="BX1227" s="1">
        <v>89</v>
      </c>
      <c r="BY1227" s="1">
        <v>89</v>
      </c>
      <c r="BZ1227" s="1">
        <v>209</v>
      </c>
      <c r="CB1227" s="1" t="str">
        <f t="shared" ref="CB1227:CC1227" si="946">""</f>
        <v/>
      </c>
      <c r="CC1227" s="1" t="str">
        <f t="shared" si="946"/>
        <v/>
      </c>
      <c r="CG1227" s="1" t="s">
        <v>344</v>
      </c>
      <c r="CH1227" s="1" t="s">
        <v>219</v>
      </c>
      <c r="CI1227" s="1" t="s">
        <v>220</v>
      </c>
      <c r="CJ1227" s="1" t="s">
        <v>252</v>
      </c>
      <c r="CK1227" s="1" t="s">
        <v>437</v>
      </c>
      <c r="CL1227" s="1" t="s">
        <v>277</v>
      </c>
      <c r="CM1227" s="1" t="s">
        <v>438</v>
      </c>
      <c r="CN1227" s="1" t="s">
        <v>252</v>
      </c>
      <c r="CO1227" s="1" t="s">
        <v>837</v>
      </c>
      <c r="CP1227" s="1" t="s">
        <v>219</v>
      </c>
      <c r="CQ1227" s="1" t="s">
        <v>220</v>
      </c>
      <c r="CR1227" s="1" t="s">
        <v>252</v>
      </c>
      <c r="CS1227" s="1" t="s">
        <v>223</v>
      </c>
      <c r="CT1227" s="1" t="s">
        <v>277</v>
      </c>
      <c r="CU1227" s="1" t="s">
        <v>438</v>
      </c>
      <c r="CV1227" s="1" t="s">
        <v>252</v>
      </c>
      <c r="CX1227" s="1" t="s">
        <v>224</v>
      </c>
      <c r="DB1227" s="1" t="s">
        <v>224</v>
      </c>
      <c r="DE1227" s="1" t="s">
        <v>837</v>
      </c>
      <c r="DF1227" s="1" t="s">
        <v>219</v>
      </c>
      <c r="DG1227" s="1" t="s">
        <v>226</v>
      </c>
      <c r="DH1227" s="1" t="s">
        <v>252</v>
      </c>
      <c r="DJ1227" s="1" t="s">
        <v>224</v>
      </c>
      <c r="DM1227" s="1" t="s">
        <v>934</v>
      </c>
      <c r="DR1227" s="1" t="s">
        <v>223</v>
      </c>
      <c r="DS1227" s="1" t="s">
        <v>43</v>
      </c>
      <c r="DT1227" s="1" t="s">
        <v>342</v>
      </c>
      <c r="DW1227" s="1" t="s">
        <v>230</v>
      </c>
      <c r="EA1227" s="1" t="s">
        <v>230</v>
      </c>
      <c r="EE1227" s="1" t="s">
        <v>230</v>
      </c>
      <c r="EI1227" s="1" t="s">
        <v>230</v>
      </c>
      <c r="EL1227" s="1" t="s">
        <v>440</v>
      </c>
      <c r="EM1227" s="1" t="s">
        <v>232</v>
      </c>
      <c r="EN1227" s="1" t="s">
        <v>282</v>
      </c>
      <c r="EO1227" s="1" t="s">
        <v>234</v>
      </c>
      <c r="EQ1227" s="1" t="s">
        <v>3718</v>
      </c>
      <c r="ER1227" s="1" t="s">
        <v>544</v>
      </c>
      <c r="ES1227" s="1" t="s">
        <v>322</v>
      </c>
      <c r="ET1227" s="1" t="s">
        <v>2140</v>
      </c>
      <c r="EV1227" s="1" t="s">
        <v>240</v>
      </c>
      <c r="EW1227" s="1" t="s">
        <v>210</v>
      </c>
      <c r="EY1227" s="1" t="s">
        <v>790</v>
      </c>
      <c r="EZ1227" s="1" t="s">
        <v>934</v>
      </c>
      <c r="FC1227" s="1" t="s">
        <v>1386</v>
      </c>
      <c r="FD1227" s="1" t="s">
        <v>246</v>
      </c>
      <c r="FE1227" s="1" t="s">
        <v>247</v>
      </c>
      <c r="FF1227" s="1" t="s">
        <v>248</v>
      </c>
      <c r="FH1227" s="1" t="s">
        <v>442</v>
      </c>
      <c r="FI1227" s="1" t="s">
        <v>357</v>
      </c>
      <c r="FJ1227" s="1" t="s">
        <v>197</v>
      </c>
      <c r="FL1227" s="1" t="s">
        <v>358</v>
      </c>
      <c r="FM1227" s="1" t="s">
        <v>252</v>
      </c>
      <c r="FN1227" s="1" t="s">
        <v>213</v>
      </c>
      <c r="FO1227" s="1" t="s">
        <v>213</v>
      </c>
      <c r="FQ1227" s="1" t="s">
        <v>12594</v>
      </c>
      <c r="FR1227" s="1" t="s">
        <v>210</v>
      </c>
      <c r="FS1227" s="1" t="s">
        <v>12595</v>
      </c>
      <c r="FT1227" s="1" t="s">
        <v>362</v>
      </c>
      <c r="FU1227" s="1" t="s">
        <v>213</v>
      </c>
      <c r="FW1227" s="1" t="s">
        <v>2726</v>
      </c>
      <c r="FX1227" s="1">
        <v>1109</v>
      </c>
      <c r="FY1227" s="1" t="s">
        <v>2727</v>
      </c>
      <c r="FZ1227" s="1" t="s">
        <v>12596</v>
      </c>
      <c r="GA1227" s="1">
        <v>28626</v>
      </c>
      <c r="GB1227" s="1" t="s">
        <v>12597</v>
      </c>
      <c r="GD1227" s="1" t="s">
        <v>12598</v>
      </c>
      <c r="GE1227" s="1" t="s">
        <v>210</v>
      </c>
      <c r="GH1227" s="1" t="s">
        <v>230</v>
      </c>
      <c r="GI1227" s="1" t="s">
        <v>213</v>
      </c>
      <c r="GJ1227" s="1" t="s">
        <v>260</v>
      </c>
      <c r="GK1227" s="1" t="s">
        <v>210</v>
      </c>
      <c r="GL1227" s="2">
        <v>42125</v>
      </c>
      <c r="GM1227" s="1" t="s">
        <v>12599</v>
      </c>
    </row>
    <row r="1228" spans="1:195">
      <c r="A1228" s="1">
        <v>153500</v>
      </c>
      <c r="B1228" s="1" t="s">
        <v>195</v>
      </c>
      <c r="C1228" s="1" t="str">
        <f>"08855729"</f>
        <v>08855729</v>
      </c>
      <c r="D1228" s="1" t="s">
        <v>196</v>
      </c>
      <c r="F1228" s="1" t="str">
        <f>"104"</f>
        <v>104</v>
      </c>
      <c r="G1228" s="2">
        <v>42071</v>
      </c>
      <c r="H1228" s="1">
        <v>159900</v>
      </c>
      <c r="I1228" s="1">
        <v>159900</v>
      </c>
      <c r="J1228" s="1">
        <v>153500</v>
      </c>
      <c r="K1228" s="2">
        <v>42071</v>
      </c>
      <c r="L1228" s="1">
        <v>7</v>
      </c>
      <c r="M1228" s="2">
        <v>42077</v>
      </c>
      <c r="N1228" s="1">
        <v>7</v>
      </c>
      <c r="O1228" s="2">
        <v>42077</v>
      </c>
      <c r="P1228" s="1">
        <v>8093</v>
      </c>
      <c r="Q1228" s="1" t="s">
        <v>197</v>
      </c>
      <c r="R1228" s="2">
        <v>42124</v>
      </c>
      <c r="S1228" s="1">
        <v>85743</v>
      </c>
      <c r="U1228" s="1">
        <v>1127</v>
      </c>
      <c r="V1228" s="1" t="s">
        <v>12600</v>
      </c>
      <c r="W1228" s="1" t="s">
        <v>1056</v>
      </c>
      <c r="Y1228" s="1">
        <v>4</v>
      </c>
      <c r="Z1228" s="1" t="s">
        <v>370</v>
      </c>
      <c r="AA1228" s="1" t="s">
        <v>371</v>
      </c>
      <c r="AB1228" s="1">
        <v>60103</v>
      </c>
      <c r="AE1228" s="1" t="s">
        <v>12601</v>
      </c>
      <c r="AF1228" s="1">
        <v>1993</v>
      </c>
      <c r="AG1228" s="1" t="s">
        <v>204</v>
      </c>
      <c r="AH1228" s="1" t="s">
        <v>373</v>
      </c>
      <c r="AI1228" s="1" t="s">
        <v>206</v>
      </c>
      <c r="AJ1228" s="1" t="s">
        <v>2654</v>
      </c>
      <c r="AL1228" s="1">
        <v>6</v>
      </c>
      <c r="AM1228" s="1">
        <v>2</v>
      </c>
      <c r="AN1228" s="1">
        <v>2</v>
      </c>
      <c r="AO1228" s="1">
        <v>1</v>
      </c>
      <c r="AP1228" s="1" t="s">
        <v>209</v>
      </c>
      <c r="AQ1228" s="1">
        <v>1</v>
      </c>
      <c r="AR1228" s="1" t="s">
        <v>209</v>
      </c>
      <c r="AS1228" s="1" t="s">
        <v>204</v>
      </c>
      <c r="AT1228" s="1" t="s">
        <v>211</v>
      </c>
      <c r="AU1228" s="1">
        <v>2</v>
      </c>
      <c r="AW1228" s="1" t="s">
        <v>204</v>
      </c>
      <c r="AX1228" s="1" t="s">
        <v>6340</v>
      </c>
      <c r="AZ1228" s="1">
        <v>5957.04</v>
      </c>
      <c r="BA1228" s="1">
        <v>2013</v>
      </c>
      <c r="BB1228" s="1" t="s">
        <v>405</v>
      </c>
      <c r="BE1228" s="1">
        <v>1723</v>
      </c>
      <c r="BF1228" s="1">
        <v>1</v>
      </c>
      <c r="BG1228" s="1">
        <v>0</v>
      </c>
      <c r="BL1228" s="1">
        <v>262</v>
      </c>
      <c r="BM1228" s="1" t="s">
        <v>204</v>
      </c>
      <c r="BN1228" s="1" t="s">
        <v>213</v>
      </c>
      <c r="BO1228" s="1">
        <v>0</v>
      </c>
      <c r="BP1228" s="1" t="s">
        <v>204</v>
      </c>
      <c r="BR1228" s="1" t="str">
        <f>"0101426015"</f>
        <v>0101426015</v>
      </c>
      <c r="BT1228" s="1" t="s">
        <v>12602</v>
      </c>
      <c r="BX1228" s="1">
        <v>46</v>
      </c>
      <c r="BY1228" s="1">
        <v>46</v>
      </c>
      <c r="BZ1228" s="1">
        <v>46</v>
      </c>
      <c r="CB1228" s="1" t="str">
        <f t="shared" ref="CB1228:CC1228" si="947">""</f>
        <v/>
      </c>
      <c r="CC1228" s="1" t="str">
        <f t="shared" si="947"/>
        <v/>
      </c>
      <c r="CG1228" s="1" t="s">
        <v>2121</v>
      </c>
      <c r="CH1228" s="1" t="s">
        <v>219</v>
      </c>
      <c r="CI1228" s="1" t="s">
        <v>220</v>
      </c>
      <c r="CK1228" s="1" t="s">
        <v>3913</v>
      </c>
      <c r="CL1228" s="1" t="s">
        <v>277</v>
      </c>
      <c r="CM1228" s="1" t="s">
        <v>220</v>
      </c>
      <c r="CO1228" s="1" t="s">
        <v>318</v>
      </c>
      <c r="CP1228" s="1" t="s">
        <v>219</v>
      </c>
      <c r="CQ1228" s="1" t="s">
        <v>226</v>
      </c>
      <c r="CS1228" s="1" t="s">
        <v>1854</v>
      </c>
      <c r="CT1228" s="1" t="s">
        <v>277</v>
      </c>
      <c r="CU1228" s="1" t="s">
        <v>220</v>
      </c>
      <c r="CX1228" s="1" t="s">
        <v>224</v>
      </c>
      <c r="DB1228" s="1" t="s">
        <v>224</v>
      </c>
      <c r="DE1228" s="1" t="s">
        <v>378</v>
      </c>
      <c r="DF1228" s="1" t="s">
        <v>219</v>
      </c>
      <c r="DG1228" s="1" t="s">
        <v>226</v>
      </c>
      <c r="DJ1228" s="1" t="s">
        <v>224</v>
      </c>
      <c r="DM1228" s="1" t="s">
        <v>464</v>
      </c>
      <c r="DR1228" s="1" t="s">
        <v>408</v>
      </c>
      <c r="DS1228" s="1" t="s">
        <v>277</v>
      </c>
      <c r="DW1228" s="1" t="s">
        <v>230</v>
      </c>
      <c r="EA1228" s="1" t="s">
        <v>230</v>
      </c>
      <c r="EE1228" s="1" t="s">
        <v>230</v>
      </c>
      <c r="EI1228" s="1" t="s">
        <v>230</v>
      </c>
      <c r="EL1228" s="1" t="s">
        <v>382</v>
      </c>
      <c r="EM1228" s="1" t="s">
        <v>232</v>
      </c>
      <c r="EN1228" s="1" t="s">
        <v>282</v>
      </c>
      <c r="EO1228" s="1" t="s">
        <v>234</v>
      </c>
      <c r="EQ1228" s="1" t="s">
        <v>1109</v>
      </c>
      <c r="ER1228" s="1" t="s">
        <v>351</v>
      </c>
      <c r="ES1228" s="1" t="s">
        <v>322</v>
      </c>
      <c r="EV1228" s="1" t="s">
        <v>324</v>
      </c>
      <c r="EW1228" s="1" t="s">
        <v>353</v>
      </c>
      <c r="EZ1228" s="1" t="s">
        <v>464</v>
      </c>
      <c r="FB1228" s="1" t="s">
        <v>289</v>
      </c>
      <c r="FD1228" s="1" t="s">
        <v>246</v>
      </c>
      <c r="FE1228" s="1" t="s">
        <v>472</v>
      </c>
      <c r="FF1228" s="1" t="s">
        <v>248</v>
      </c>
      <c r="FH1228" s="1" t="s">
        <v>550</v>
      </c>
      <c r="FL1228" s="1" t="s">
        <v>358</v>
      </c>
      <c r="FM1228" s="1" t="s">
        <v>252</v>
      </c>
      <c r="FN1228" s="1" t="s">
        <v>213</v>
      </c>
      <c r="FO1228" s="1" t="s">
        <v>204</v>
      </c>
      <c r="FQ1228" s="1" t="s">
        <v>12603</v>
      </c>
      <c r="FR1228" s="1" t="s">
        <v>210</v>
      </c>
      <c r="FS1228" s="1" t="s">
        <v>12604</v>
      </c>
      <c r="FT1228" s="1" t="s">
        <v>295</v>
      </c>
      <c r="FU1228" s="1" t="s">
        <v>204</v>
      </c>
      <c r="FW1228" s="1" t="s">
        <v>12605</v>
      </c>
      <c r="FX1228" s="1">
        <v>84375</v>
      </c>
      <c r="FY1228" s="1" t="s">
        <v>12606</v>
      </c>
      <c r="FZ1228" s="1" t="s">
        <v>12607</v>
      </c>
      <c r="GA1228" s="1">
        <v>860544</v>
      </c>
      <c r="GE1228" s="1" t="s">
        <v>210</v>
      </c>
      <c r="GI1228" s="1" t="s">
        <v>213</v>
      </c>
      <c r="GJ1228" s="1" t="s">
        <v>260</v>
      </c>
      <c r="GK1228" s="1" t="s">
        <v>210</v>
      </c>
      <c r="GL1228" s="2">
        <v>42125</v>
      </c>
      <c r="GM1228" s="1" t="s">
        <v>12608</v>
      </c>
    </row>
    <row r="1229" spans="1:195">
      <c r="A1229" s="1">
        <v>140000</v>
      </c>
      <c r="B1229" s="1" t="s">
        <v>195</v>
      </c>
      <c r="C1229" s="1" t="str">
        <f>"08855825"</f>
        <v>08855825</v>
      </c>
      <c r="D1229" s="1" t="s">
        <v>196</v>
      </c>
      <c r="F1229" s="1" t="str">
        <f>"123"</f>
        <v>123</v>
      </c>
      <c r="G1229" s="2">
        <v>42072</v>
      </c>
      <c r="H1229" s="1">
        <v>139900</v>
      </c>
      <c r="I1229" s="1">
        <v>139900</v>
      </c>
      <c r="J1229" s="1">
        <v>140000</v>
      </c>
      <c r="K1229" s="2">
        <v>42071</v>
      </c>
      <c r="L1229" s="1">
        <v>3</v>
      </c>
      <c r="M1229" s="2">
        <v>42073</v>
      </c>
      <c r="N1229" s="1">
        <v>3</v>
      </c>
      <c r="O1229" s="2">
        <v>42073</v>
      </c>
      <c r="P1229" s="1">
        <v>8666</v>
      </c>
      <c r="Q1229" s="1" t="s">
        <v>197</v>
      </c>
      <c r="R1229" s="2">
        <v>42131</v>
      </c>
      <c r="S1229" s="1">
        <v>82058</v>
      </c>
      <c r="U1229" s="1">
        <v>545</v>
      </c>
      <c r="V1229" s="1" t="s">
        <v>12609</v>
      </c>
      <c r="W1229" s="1" t="s">
        <v>449</v>
      </c>
      <c r="X1229" s="1">
        <v>1</v>
      </c>
      <c r="Y1229" s="1">
        <v>4</v>
      </c>
      <c r="Z1229" s="1" t="s">
        <v>249</v>
      </c>
      <c r="AA1229" s="1" t="s">
        <v>1173</v>
      </c>
      <c r="AB1229" s="1">
        <v>60123</v>
      </c>
      <c r="AD1229" s="1" t="s">
        <v>12610</v>
      </c>
      <c r="AE1229" s="1" t="s">
        <v>12611</v>
      </c>
      <c r="AF1229" s="1">
        <v>1995</v>
      </c>
      <c r="AG1229" s="1" t="s">
        <v>204</v>
      </c>
      <c r="AH1229" s="1" t="s">
        <v>1175</v>
      </c>
      <c r="AI1229" s="1" t="s">
        <v>665</v>
      </c>
      <c r="AJ1229" s="1" t="s">
        <v>1175</v>
      </c>
      <c r="AL1229" s="1">
        <v>6</v>
      </c>
      <c r="AM1229" s="1">
        <v>2</v>
      </c>
      <c r="AN1229" s="1">
        <v>1</v>
      </c>
      <c r="AO1229" s="1">
        <v>1</v>
      </c>
      <c r="AP1229" s="1" t="s">
        <v>210</v>
      </c>
      <c r="AR1229" s="1" t="s">
        <v>209</v>
      </c>
      <c r="AS1229" s="1" t="s">
        <v>204</v>
      </c>
      <c r="AT1229" s="1" t="s">
        <v>211</v>
      </c>
      <c r="AU1229" s="1">
        <v>2</v>
      </c>
      <c r="AW1229" s="1" t="s">
        <v>204</v>
      </c>
      <c r="AX1229" s="1" t="s">
        <v>212</v>
      </c>
      <c r="AZ1229" s="1">
        <v>4345</v>
      </c>
      <c r="BA1229" s="1">
        <v>2013</v>
      </c>
      <c r="BB1229" s="1" t="s">
        <v>210</v>
      </c>
      <c r="BE1229" s="1">
        <v>0</v>
      </c>
      <c r="BF1229" s="1">
        <v>1</v>
      </c>
      <c r="BG1229" s="1">
        <v>0</v>
      </c>
      <c r="BL1229" s="1">
        <v>175</v>
      </c>
      <c r="BM1229" s="1" t="s">
        <v>204</v>
      </c>
      <c r="BN1229" s="1" t="s">
        <v>213</v>
      </c>
      <c r="BO1229" s="1">
        <v>999</v>
      </c>
      <c r="BP1229" s="1" t="s">
        <v>204</v>
      </c>
      <c r="BR1229" s="1" t="str">
        <f>"0621377009"</f>
        <v>0621377009</v>
      </c>
      <c r="BT1229" s="1" t="s">
        <v>12612</v>
      </c>
      <c r="BU1229" s="1" t="s">
        <v>3282</v>
      </c>
      <c r="BV1229" s="1" t="s">
        <v>3283</v>
      </c>
      <c r="BW1229" s="1" t="s">
        <v>1468</v>
      </c>
      <c r="BX1229" s="1">
        <v>46</v>
      </c>
      <c r="BY1229" s="1">
        <v>46</v>
      </c>
      <c r="BZ1229" s="1">
        <v>46</v>
      </c>
      <c r="CB1229" s="1" t="str">
        <f>"10"</f>
        <v>10</v>
      </c>
      <c r="CC1229" s="1" t="str">
        <f>"0"</f>
        <v>0</v>
      </c>
      <c r="CD1229" s="1">
        <v>36</v>
      </c>
      <c r="CE1229" s="1">
        <v>0</v>
      </c>
      <c r="CG1229" s="1" t="s">
        <v>932</v>
      </c>
      <c r="CH1229" s="1" t="s">
        <v>219</v>
      </c>
      <c r="CI1229" s="1" t="s">
        <v>229</v>
      </c>
      <c r="CK1229" s="1" t="s">
        <v>862</v>
      </c>
      <c r="CL1229" s="1" t="s">
        <v>277</v>
      </c>
      <c r="CM1229" s="1" t="s">
        <v>220</v>
      </c>
      <c r="CO1229" s="1" t="s">
        <v>1297</v>
      </c>
      <c r="CP1229" s="1" t="s">
        <v>219</v>
      </c>
      <c r="CQ1229" s="1" t="s">
        <v>229</v>
      </c>
      <c r="CS1229" s="1" t="s">
        <v>378</v>
      </c>
      <c r="CT1229" s="1" t="s">
        <v>277</v>
      </c>
      <c r="CU1229" s="1" t="s">
        <v>220</v>
      </c>
      <c r="CX1229" s="1" t="s">
        <v>224</v>
      </c>
      <c r="DB1229" s="1" t="s">
        <v>224</v>
      </c>
      <c r="DE1229" s="1" t="s">
        <v>1615</v>
      </c>
      <c r="DF1229" s="1" t="s">
        <v>219</v>
      </c>
      <c r="DG1229" s="1" t="s">
        <v>226</v>
      </c>
      <c r="DI1229" s="1" t="s">
        <v>2124</v>
      </c>
      <c r="DJ1229" s="1" t="s">
        <v>43</v>
      </c>
      <c r="DK1229" s="1" t="s">
        <v>220</v>
      </c>
      <c r="DS1229" s="1" t="s">
        <v>230</v>
      </c>
      <c r="DW1229" s="1" t="s">
        <v>230</v>
      </c>
      <c r="EA1229" s="1" t="s">
        <v>230</v>
      </c>
      <c r="EE1229" s="1" t="s">
        <v>230</v>
      </c>
      <c r="EI1229" s="1" t="s">
        <v>230</v>
      </c>
      <c r="EL1229" s="1" t="s">
        <v>670</v>
      </c>
      <c r="EM1229" s="1" t="s">
        <v>319</v>
      </c>
      <c r="EN1229" s="1" t="s">
        <v>282</v>
      </c>
      <c r="EO1229" s="1" t="s">
        <v>234</v>
      </c>
      <c r="EQ1229" s="1" t="s">
        <v>1551</v>
      </c>
      <c r="ER1229" s="1" t="s">
        <v>544</v>
      </c>
      <c r="ES1229" s="1" t="s">
        <v>954</v>
      </c>
      <c r="EU1229" s="1" t="s">
        <v>9178</v>
      </c>
      <c r="EV1229" s="1" t="s">
        <v>324</v>
      </c>
      <c r="EW1229" s="1" t="s">
        <v>353</v>
      </c>
      <c r="EY1229" s="1" t="s">
        <v>242</v>
      </c>
      <c r="EZ1229" s="1" t="s">
        <v>287</v>
      </c>
      <c r="FA1229" s="1" t="s">
        <v>9249</v>
      </c>
      <c r="FB1229" s="1" t="s">
        <v>289</v>
      </c>
      <c r="FD1229" s="1" t="s">
        <v>246</v>
      </c>
      <c r="FE1229" s="1" t="s">
        <v>975</v>
      </c>
      <c r="FF1229" s="1" t="s">
        <v>248</v>
      </c>
      <c r="FH1229" s="1" t="s">
        <v>550</v>
      </c>
      <c r="FI1229" s="1" t="s">
        <v>473</v>
      </c>
      <c r="FJ1229" s="1" t="s">
        <v>197</v>
      </c>
      <c r="FL1229" s="1" t="s">
        <v>358</v>
      </c>
      <c r="FM1229" s="1" t="s">
        <v>252</v>
      </c>
      <c r="FN1229" s="1" t="s">
        <v>213</v>
      </c>
      <c r="FO1229" s="1" t="s">
        <v>213</v>
      </c>
      <c r="FQ1229" s="1" t="s">
        <v>913</v>
      </c>
      <c r="FR1229" s="1" t="s">
        <v>210</v>
      </c>
      <c r="FS1229" s="1" t="s">
        <v>12613</v>
      </c>
      <c r="FT1229" s="1" t="s">
        <v>12614</v>
      </c>
      <c r="FU1229" s="1" t="s">
        <v>204</v>
      </c>
      <c r="FW1229" s="1" t="s">
        <v>3673</v>
      </c>
      <c r="FX1229" s="1">
        <v>7032</v>
      </c>
      <c r="FY1229" s="1" t="s">
        <v>3674</v>
      </c>
      <c r="FZ1229" s="1" t="s">
        <v>3675</v>
      </c>
      <c r="GA1229" s="1">
        <v>70226</v>
      </c>
      <c r="GB1229" s="1" t="s">
        <v>3676</v>
      </c>
      <c r="GD1229" s="1" t="s">
        <v>12615</v>
      </c>
      <c r="GE1229" s="1" t="s">
        <v>1145</v>
      </c>
      <c r="GI1229" s="1" t="s">
        <v>213</v>
      </c>
      <c r="GJ1229" s="1" t="s">
        <v>260</v>
      </c>
      <c r="GK1229" s="1" t="s">
        <v>210</v>
      </c>
      <c r="GL1229" s="2">
        <v>42132</v>
      </c>
      <c r="GM1229" s="1" t="s">
        <v>12616</v>
      </c>
    </row>
    <row r="1230" spans="1:195">
      <c r="A1230" s="1">
        <v>90000</v>
      </c>
      <c r="B1230" s="1" t="s">
        <v>195</v>
      </c>
      <c r="C1230" s="1" t="str">
        <f>"08852547"</f>
        <v>08852547</v>
      </c>
      <c r="D1230" s="1" t="s">
        <v>196</v>
      </c>
      <c r="F1230" s="1" t="str">
        <f>"517"</f>
        <v>517</v>
      </c>
      <c r="G1230" s="2">
        <v>42067</v>
      </c>
      <c r="H1230" s="1">
        <v>92000</v>
      </c>
      <c r="I1230" s="1">
        <v>92000</v>
      </c>
      <c r="J1230" s="1">
        <v>90000</v>
      </c>
      <c r="K1230" s="2">
        <v>42067</v>
      </c>
      <c r="L1230" s="1">
        <v>20</v>
      </c>
      <c r="M1230" s="2">
        <v>42086</v>
      </c>
      <c r="N1230" s="1">
        <v>20</v>
      </c>
      <c r="O1230" s="2">
        <v>42086</v>
      </c>
      <c r="P1230" s="1">
        <v>25163</v>
      </c>
      <c r="Q1230" s="1" t="s">
        <v>302</v>
      </c>
      <c r="R1230" s="2">
        <v>42124</v>
      </c>
      <c r="S1230" s="1">
        <v>253931</v>
      </c>
      <c r="U1230" s="1">
        <v>7832</v>
      </c>
      <c r="V1230" s="1" t="s">
        <v>12527</v>
      </c>
      <c r="W1230" s="1" t="s">
        <v>425</v>
      </c>
      <c r="X1230" s="1">
        <v>7832</v>
      </c>
      <c r="Y1230" s="1">
        <v>8</v>
      </c>
      <c r="Z1230" s="1" t="s">
        <v>249</v>
      </c>
      <c r="AA1230" s="1" t="s">
        <v>2850</v>
      </c>
      <c r="AB1230" s="1">
        <v>60517</v>
      </c>
      <c r="AD1230" s="1" t="s">
        <v>5194</v>
      </c>
      <c r="AE1230" s="1" t="s">
        <v>12528</v>
      </c>
      <c r="AF1230" s="1">
        <v>1974</v>
      </c>
      <c r="AG1230" s="1" t="s">
        <v>213</v>
      </c>
      <c r="AH1230" s="1" t="s">
        <v>2853</v>
      </c>
      <c r="AI1230" s="1" t="s">
        <v>206</v>
      </c>
      <c r="AJ1230" s="1" t="s">
        <v>925</v>
      </c>
      <c r="AK1230" s="1" t="s">
        <v>9420</v>
      </c>
      <c r="AL1230" s="1">
        <v>5</v>
      </c>
      <c r="AM1230" s="1">
        <v>2</v>
      </c>
      <c r="AN1230" s="1">
        <v>1</v>
      </c>
      <c r="AO1230" s="1">
        <v>1</v>
      </c>
      <c r="AP1230" s="1" t="s">
        <v>210</v>
      </c>
      <c r="AQ1230" s="1">
        <v>0</v>
      </c>
      <c r="AR1230" s="1" t="s">
        <v>210</v>
      </c>
      <c r="AS1230" s="1" t="s">
        <v>204</v>
      </c>
      <c r="AT1230" s="1" t="s">
        <v>271</v>
      </c>
      <c r="AV1230" s="1">
        <v>2</v>
      </c>
      <c r="AW1230" s="1" t="s">
        <v>204</v>
      </c>
      <c r="AX1230" s="1" t="s">
        <v>212</v>
      </c>
      <c r="AZ1230" s="1">
        <v>2028</v>
      </c>
      <c r="BA1230" s="1">
        <v>2013</v>
      </c>
      <c r="BB1230" s="1" t="s">
        <v>405</v>
      </c>
      <c r="BE1230" s="1">
        <v>1218</v>
      </c>
      <c r="BF1230" s="1">
        <v>1</v>
      </c>
      <c r="BG1230" s="1">
        <v>0</v>
      </c>
      <c r="BJ1230" s="1">
        <v>99</v>
      </c>
      <c r="BL1230" s="1">
        <v>341</v>
      </c>
      <c r="BM1230" s="1" t="s">
        <v>204</v>
      </c>
      <c r="BN1230" s="1" t="s">
        <v>213</v>
      </c>
      <c r="BO1230" s="1">
        <v>999</v>
      </c>
      <c r="BP1230" s="1" t="s">
        <v>204</v>
      </c>
      <c r="BR1230" s="1" t="str">
        <f>"0825417048"</f>
        <v>0825417048</v>
      </c>
      <c r="BT1230" s="1" t="s">
        <v>12617</v>
      </c>
      <c r="BU1230" s="1" t="s">
        <v>2855</v>
      </c>
      <c r="BV1230" s="1" t="s">
        <v>2856</v>
      </c>
      <c r="BW1230" s="1" t="s">
        <v>2762</v>
      </c>
      <c r="BX1230" s="1">
        <v>68</v>
      </c>
      <c r="BY1230" s="1">
        <v>68</v>
      </c>
      <c r="BZ1230" s="1">
        <v>99</v>
      </c>
      <c r="CB1230" s="1" t="str">
        <f t="shared" ref="CB1230:CC1230" si="948">"0"</f>
        <v>0</v>
      </c>
      <c r="CC1230" s="1" t="str">
        <f t="shared" si="948"/>
        <v>0</v>
      </c>
      <c r="CD1230" s="1">
        <v>29</v>
      </c>
      <c r="CE1230" s="1">
        <v>8</v>
      </c>
      <c r="CG1230" s="1" t="s">
        <v>1737</v>
      </c>
      <c r="CH1230" s="1" t="s">
        <v>219</v>
      </c>
      <c r="CI1230" s="1" t="s">
        <v>220</v>
      </c>
      <c r="CJ1230" s="1" t="s">
        <v>463</v>
      </c>
      <c r="CK1230" s="1" t="s">
        <v>861</v>
      </c>
      <c r="CL1230" s="1" t="s">
        <v>277</v>
      </c>
      <c r="CM1230" s="1" t="s">
        <v>220</v>
      </c>
      <c r="CN1230" s="1" t="s">
        <v>463</v>
      </c>
      <c r="CO1230" s="1" t="s">
        <v>465</v>
      </c>
      <c r="CP1230" s="1" t="s">
        <v>219</v>
      </c>
      <c r="CQ1230" s="1" t="s">
        <v>220</v>
      </c>
      <c r="CS1230" s="1" t="s">
        <v>461</v>
      </c>
      <c r="CT1230" s="1" t="s">
        <v>277</v>
      </c>
      <c r="CU1230" s="1" t="s">
        <v>220</v>
      </c>
      <c r="CV1230" s="1" t="s">
        <v>463</v>
      </c>
      <c r="CX1230" s="1" t="s">
        <v>224</v>
      </c>
      <c r="DB1230" s="1" t="s">
        <v>224</v>
      </c>
      <c r="DE1230" s="1" t="s">
        <v>1297</v>
      </c>
      <c r="DF1230" s="1" t="s">
        <v>219</v>
      </c>
      <c r="DG1230" s="1" t="s">
        <v>229</v>
      </c>
      <c r="DJ1230" s="1" t="s">
        <v>224</v>
      </c>
      <c r="DS1230" s="1" t="s">
        <v>230</v>
      </c>
      <c r="DW1230" s="1" t="s">
        <v>230</v>
      </c>
      <c r="EA1230" s="1" t="s">
        <v>230</v>
      </c>
      <c r="EE1230" s="1" t="s">
        <v>230</v>
      </c>
      <c r="EI1230" s="1" t="s">
        <v>230</v>
      </c>
      <c r="EL1230" s="1" t="s">
        <v>605</v>
      </c>
      <c r="EM1230" s="1" t="s">
        <v>232</v>
      </c>
      <c r="EN1230" s="1" t="s">
        <v>282</v>
      </c>
      <c r="EO1230" s="1" t="s">
        <v>234</v>
      </c>
      <c r="EP1230" s="1" t="s">
        <v>12530</v>
      </c>
      <c r="EQ1230" s="1" t="s">
        <v>1867</v>
      </c>
      <c r="ER1230" s="1" t="s">
        <v>210</v>
      </c>
      <c r="ES1230" s="1" t="s">
        <v>322</v>
      </c>
      <c r="EV1230" s="1" t="s">
        <v>352</v>
      </c>
      <c r="EW1230" s="1" t="s">
        <v>12531</v>
      </c>
      <c r="EY1230" s="1" t="s">
        <v>242</v>
      </c>
      <c r="EZ1230" s="1" t="s">
        <v>287</v>
      </c>
      <c r="FA1230" s="1" t="s">
        <v>12532</v>
      </c>
      <c r="FB1230" s="1" t="s">
        <v>244</v>
      </c>
      <c r="FC1230" s="1" t="s">
        <v>1386</v>
      </c>
      <c r="FD1230" s="1" t="s">
        <v>246</v>
      </c>
      <c r="FE1230" s="1" t="s">
        <v>247</v>
      </c>
      <c r="FF1230" s="1" t="s">
        <v>248</v>
      </c>
      <c r="FH1230" s="1" t="s">
        <v>550</v>
      </c>
      <c r="FK1230" s="1" t="s">
        <v>891</v>
      </c>
      <c r="FL1230" s="1" t="s">
        <v>358</v>
      </c>
      <c r="FM1230" s="1" t="s">
        <v>252</v>
      </c>
      <c r="FN1230" s="1" t="s">
        <v>213</v>
      </c>
      <c r="FO1230" s="1" t="s">
        <v>213</v>
      </c>
      <c r="FQ1230" s="1" t="s">
        <v>913</v>
      </c>
      <c r="FR1230" s="1" t="s">
        <v>210</v>
      </c>
      <c r="FS1230" s="1" t="s">
        <v>2608</v>
      </c>
      <c r="FT1230" s="1" t="s">
        <v>362</v>
      </c>
      <c r="FU1230" s="1" t="s">
        <v>204</v>
      </c>
      <c r="FW1230" s="1" t="s">
        <v>12618</v>
      </c>
      <c r="FX1230" s="1">
        <v>4475</v>
      </c>
      <c r="FY1230" s="1" t="s">
        <v>12619</v>
      </c>
      <c r="FZ1230" s="1" t="s">
        <v>12620</v>
      </c>
      <c r="GA1230" s="1">
        <v>38351</v>
      </c>
      <c r="GB1230" s="1" t="s">
        <v>12621</v>
      </c>
      <c r="GD1230" s="1" t="s">
        <v>12622</v>
      </c>
      <c r="GE1230" s="1" t="s">
        <v>335</v>
      </c>
      <c r="GI1230" s="1" t="s">
        <v>204</v>
      </c>
      <c r="GJ1230" s="1" t="s">
        <v>260</v>
      </c>
      <c r="GK1230" s="1" t="s">
        <v>210</v>
      </c>
      <c r="GL1230" s="2">
        <v>42127</v>
      </c>
      <c r="GM1230" s="1" t="s">
        <v>12623</v>
      </c>
    </row>
    <row r="1231" spans="1:195">
      <c r="A1231" s="1">
        <v>138000</v>
      </c>
      <c r="B1231" s="1" t="s">
        <v>195</v>
      </c>
      <c r="C1231" s="1" t="str">
        <f>"08858080"</f>
        <v>08858080</v>
      </c>
      <c r="D1231" s="1" t="s">
        <v>196</v>
      </c>
      <c r="F1231" s="1" t="str">
        <f>"61"</f>
        <v>61</v>
      </c>
      <c r="G1231" s="2">
        <v>42074</v>
      </c>
      <c r="H1231" s="1">
        <v>149000</v>
      </c>
      <c r="I1231" s="1">
        <v>135000</v>
      </c>
      <c r="J1231" s="1">
        <v>138000</v>
      </c>
      <c r="K1231" s="2">
        <v>42074</v>
      </c>
      <c r="L1231" s="1">
        <v>27</v>
      </c>
      <c r="M1231" s="2">
        <v>42100</v>
      </c>
      <c r="N1231" s="1">
        <v>27</v>
      </c>
      <c r="O1231" s="2">
        <v>42100</v>
      </c>
      <c r="P1231" s="1">
        <v>1936</v>
      </c>
      <c r="Q1231" s="1" t="s">
        <v>197</v>
      </c>
      <c r="R1231" s="2">
        <v>42132</v>
      </c>
      <c r="S1231" s="1">
        <v>83898</v>
      </c>
      <c r="T1231" s="1">
        <v>3000</v>
      </c>
      <c r="U1231" s="1">
        <v>1101</v>
      </c>
      <c r="V1231" s="1" t="s">
        <v>12624</v>
      </c>
      <c r="W1231" s="1" t="s">
        <v>304</v>
      </c>
      <c r="X1231" s="1">
        <v>378</v>
      </c>
      <c r="Y1231" s="1">
        <v>6</v>
      </c>
      <c r="Z1231" s="1" t="s">
        <v>249</v>
      </c>
      <c r="AA1231" s="1" t="s">
        <v>505</v>
      </c>
      <c r="AB1231" s="1">
        <v>60061</v>
      </c>
      <c r="AD1231" s="1" t="s">
        <v>4034</v>
      </c>
      <c r="AE1231" s="1" t="s">
        <v>12625</v>
      </c>
      <c r="AF1231" s="1">
        <v>1979</v>
      </c>
      <c r="AG1231" s="1" t="s">
        <v>204</v>
      </c>
      <c r="AH1231" s="1" t="s">
        <v>508</v>
      </c>
      <c r="AI1231" s="1" t="s">
        <v>509</v>
      </c>
      <c r="AJ1231" s="1" t="s">
        <v>1693</v>
      </c>
      <c r="AK1231" s="1" t="s">
        <v>12626</v>
      </c>
      <c r="AL1231" s="1">
        <v>5</v>
      </c>
      <c r="AM1231" s="1">
        <v>2</v>
      </c>
      <c r="AN1231" s="1">
        <v>1</v>
      </c>
      <c r="AO1231" s="1">
        <v>0</v>
      </c>
      <c r="AP1231" s="1" t="s">
        <v>210</v>
      </c>
      <c r="AR1231" s="1" t="s">
        <v>210</v>
      </c>
      <c r="AT1231" s="1" t="s">
        <v>211</v>
      </c>
      <c r="AU1231" s="1">
        <v>1</v>
      </c>
      <c r="AW1231" s="1" t="s">
        <v>204</v>
      </c>
      <c r="AX1231" s="1" t="s">
        <v>270</v>
      </c>
      <c r="AZ1231" s="1">
        <v>2830.42</v>
      </c>
      <c r="BA1231" s="1">
        <v>2013</v>
      </c>
      <c r="BB1231" s="1" t="s">
        <v>405</v>
      </c>
      <c r="BE1231" s="1">
        <v>1050</v>
      </c>
      <c r="BF1231" s="1">
        <v>2</v>
      </c>
      <c r="BG1231" s="1">
        <v>0</v>
      </c>
      <c r="BL1231" s="1">
        <v>235</v>
      </c>
      <c r="BM1231" s="1" t="s">
        <v>204</v>
      </c>
      <c r="BN1231" s="1" t="s">
        <v>213</v>
      </c>
      <c r="BO1231" s="1">
        <v>999</v>
      </c>
      <c r="BP1231" s="1" t="s">
        <v>204</v>
      </c>
      <c r="BR1231" s="1" t="str">
        <f>"11323061390000"</f>
        <v>11323061390000</v>
      </c>
      <c r="BT1231" s="1" t="s">
        <v>12627</v>
      </c>
      <c r="BU1231" s="1" t="s">
        <v>1879</v>
      </c>
      <c r="BV1231" s="1" t="s">
        <v>1880</v>
      </c>
      <c r="BW1231" s="1" t="s">
        <v>514</v>
      </c>
      <c r="BX1231" s="1">
        <v>73</v>
      </c>
      <c r="BY1231" s="1">
        <v>73</v>
      </c>
      <c r="BZ1231" s="1">
        <v>128</v>
      </c>
      <c r="CB1231" s="1" t="str">
        <f t="shared" ref="CB1231:CC1231" si="949">""</f>
        <v/>
      </c>
      <c r="CC1231" s="1" t="str">
        <f t="shared" si="949"/>
        <v/>
      </c>
      <c r="CG1231" s="1" t="s">
        <v>2042</v>
      </c>
      <c r="CH1231" s="1" t="s">
        <v>219</v>
      </c>
      <c r="CI1231" s="1" t="s">
        <v>220</v>
      </c>
      <c r="CK1231" s="1" t="s">
        <v>278</v>
      </c>
      <c r="CL1231" s="1" t="s">
        <v>219</v>
      </c>
      <c r="CM1231" s="1" t="s">
        <v>220</v>
      </c>
      <c r="CO1231" s="1" t="s">
        <v>380</v>
      </c>
      <c r="CP1231" s="1" t="s">
        <v>219</v>
      </c>
      <c r="CQ1231" s="1" t="s">
        <v>220</v>
      </c>
      <c r="CS1231" s="1" t="s">
        <v>1046</v>
      </c>
      <c r="CT1231" s="1" t="s">
        <v>219</v>
      </c>
      <c r="CU1231" s="1" t="s">
        <v>220</v>
      </c>
      <c r="CX1231" s="1" t="s">
        <v>224</v>
      </c>
      <c r="DB1231" s="1" t="s">
        <v>224</v>
      </c>
      <c r="DE1231" s="1" t="s">
        <v>951</v>
      </c>
      <c r="DF1231" s="1" t="s">
        <v>219</v>
      </c>
      <c r="DG1231" s="1" t="s">
        <v>438</v>
      </c>
      <c r="DH1231" s="1" t="s">
        <v>210</v>
      </c>
      <c r="DJ1231" s="1" t="s">
        <v>224</v>
      </c>
      <c r="DS1231" s="1" t="s">
        <v>230</v>
      </c>
      <c r="DW1231" s="1" t="s">
        <v>230</v>
      </c>
      <c r="EA1231" s="1" t="s">
        <v>230</v>
      </c>
      <c r="EE1231" s="1" t="s">
        <v>230</v>
      </c>
      <c r="EI1231" s="1" t="s">
        <v>230</v>
      </c>
      <c r="EL1231" s="1" t="s">
        <v>231</v>
      </c>
      <c r="EM1231" s="1" t="s">
        <v>730</v>
      </c>
      <c r="EN1231" s="1" t="s">
        <v>282</v>
      </c>
      <c r="EO1231" s="1" t="s">
        <v>234</v>
      </c>
      <c r="EP1231" s="1" t="s">
        <v>2983</v>
      </c>
      <c r="EQ1231" s="1" t="s">
        <v>492</v>
      </c>
      <c r="ER1231" s="1" t="s">
        <v>210</v>
      </c>
      <c r="ES1231" s="1" t="s">
        <v>322</v>
      </c>
      <c r="EU1231" s="1" t="s">
        <v>1202</v>
      </c>
      <c r="EV1231" s="1" t="s">
        <v>324</v>
      </c>
      <c r="EW1231" s="1" t="s">
        <v>991</v>
      </c>
      <c r="EY1231" s="1" t="s">
        <v>790</v>
      </c>
      <c r="EZ1231" s="1" t="s">
        <v>287</v>
      </c>
      <c r="FA1231" s="1" t="s">
        <v>714</v>
      </c>
      <c r="FC1231" s="1" t="s">
        <v>548</v>
      </c>
      <c r="FD1231" s="1" t="s">
        <v>246</v>
      </c>
      <c r="FE1231" s="1" t="s">
        <v>496</v>
      </c>
      <c r="FF1231" s="1" t="s">
        <v>248</v>
      </c>
      <c r="FH1231" s="1" t="s">
        <v>1387</v>
      </c>
      <c r="FI1231" s="1" t="s">
        <v>473</v>
      </c>
      <c r="FL1231" s="1" t="s">
        <v>358</v>
      </c>
      <c r="FM1231" s="1" t="s">
        <v>252</v>
      </c>
      <c r="FN1231" s="1" t="s">
        <v>213</v>
      </c>
      <c r="FO1231" s="1" t="s">
        <v>213</v>
      </c>
      <c r="FQ1231" s="1" t="s">
        <v>10097</v>
      </c>
      <c r="FR1231" s="1" t="s">
        <v>210</v>
      </c>
      <c r="FS1231" s="1" t="s">
        <v>12628</v>
      </c>
      <c r="FT1231" s="1" t="s">
        <v>12629</v>
      </c>
      <c r="FU1231" s="1" t="s">
        <v>204</v>
      </c>
      <c r="FW1231" s="1" t="s">
        <v>10099</v>
      </c>
      <c r="FX1231" s="1">
        <v>1586</v>
      </c>
      <c r="FY1231" s="1" t="s">
        <v>10100</v>
      </c>
      <c r="FZ1231" s="1" t="s">
        <v>10101</v>
      </c>
      <c r="GA1231" s="1">
        <v>27630</v>
      </c>
      <c r="GB1231" s="1" t="s">
        <v>10102</v>
      </c>
      <c r="GE1231" s="1" t="s">
        <v>1256</v>
      </c>
      <c r="GI1231" s="1" t="s">
        <v>204</v>
      </c>
      <c r="GJ1231" s="1" t="s">
        <v>260</v>
      </c>
      <c r="GK1231" s="1" t="s">
        <v>210</v>
      </c>
      <c r="GL1231" s="2">
        <v>42135</v>
      </c>
    </row>
    <row r="1232" spans="1:195">
      <c r="A1232" s="1">
        <v>205000</v>
      </c>
      <c r="B1232" s="1" t="s">
        <v>195</v>
      </c>
      <c r="C1232" s="1" t="str">
        <f>"08859258"</f>
        <v>08859258</v>
      </c>
      <c r="D1232" s="1" t="s">
        <v>196</v>
      </c>
      <c r="F1232" s="1" t="str">
        <f>"148"</f>
        <v>148</v>
      </c>
      <c r="G1232" s="2">
        <v>42075</v>
      </c>
      <c r="H1232" s="1">
        <v>208900</v>
      </c>
      <c r="I1232" s="1">
        <v>208900</v>
      </c>
      <c r="J1232" s="1">
        <v>205000</v>
      </c>
      <c r="K1232" s="2">
        <v>42075</v>
      </c>
      <c r="L1232" s="1">
        <v>33</v>
      </c>
      <c r="M1232" s="2">
        <v>42079</v>
      </c>
      <c r="N1232" s="1">
        <v>5</v>
      </c>
      <c r="O1232" s="2">
        <v>42079</v>
      </c>
      <c r="P1232" s="1">
        <v>23177</v>
      </c>
      <c r="Q1232" s="1" t="s">
        <v>423</v>
      </c>
      <c r="R1232" s="2">
        <v>42128</v>
      </c>
      <c r="S1232" s="1">
        <v>229340</v>
      </c>
      <c r="U1232" s="1">
        <v>237</v>
      </c>
      <c r="V1232" s="1" t="s">
        <v>12630</v>
      </c>
      <c r="W1232" s="1" t="s">
        <v>504</v>
      </c>
      <c r="Y1232" s="1">
        <v>8</v>
      </c>
      <c r="Z1232" s="1" t="s">
        <v>249</v>
      </c>
      <c r="AA1232" s="1" t="s">
        <v>1927</v>
      </c>
      <c r="AB1232" s="1">
        <v>60148</v>
      </c>
      <c r="AE1232" s="1" t="s">
        <v>12631</v>
      </c>
      <c r="AF1232" s="1">
        <v>1997</v>
      </c>
      <c r="AG1232" s="1" t="s">
        <v>204</v>
      </c>
      <c r="AH1232" s="1" t="s">
        <v>1930</v>
      </c>
      <c r="AI1232" s="1" t="s">
        <v>206</v>
      </c>
      <c r="AJ1232" s="1" t="s">
        <v>1608</v>
      </c>
      <c r="AL1232" s="1">
        <v>6</v>
      </c>
      <c r="AM1232" s="1">
        <v>2</v>
      </c>
      <c r="AN1232" s="1">
        <v>2</v>
      </c>
      <c r="AO1232" s="1">
        <v>1</v>
      </c>
      <c r="AP1232" s="1" t="s">
        <v>1234</v>
      </c>
      <c r="AQ1232" s="1">
        <v>1</v>
      </c>
      <c r="AR1232" s="1" t="s">
        <v>210</v>
      </c>
      <c r="AS1232" s="1" t="s">
        <v>204</v>
      </c>
      <c r="AT1232" s="1" t="s">
        <v>211</v>
      </c>
      <c r="AU1232" s="1">
        <v>1</v>
      </c>
      <c r="AW1232" s="1" t="s">
        <v>204</v>
      </c>
      <c r="AX1232" s="1" t="s">
        <v>212</v>
      </c>
      <c r="AZ1232" s="6">
        <v>4054</v>
      </c>
      <c r="BA1232" s="1">
        <v>2013</v>
      </c>
      <c r="BB1232" s="1" t="s">
        <v>405</v>
      </c>
      <c r="BE1232" s="1">
        <v>1280</v>
      </c>
      <c r="BF1232" s="1">
        <v>1</v>
      </c>
      <c r="BG1232" s="1">
        <v>30</v>
      </c>
      <c r="BL1232" s="1">
        <v>243</v>
      </c>
      <c r="BM1232" s="1" t="s">
        <v>204</v>
      </c>
      <c r="BN1232" s="1" t="s">
        <v>213</v>
      </c>
      <c r="BO1232" s="1">
        <v>50</v>
      </c>
      <c r="BP1232" s="1" t="s">
        <v>204</v>
      </c>
      <c r="BR1232" s="1" t="str">
        <f>"0630207047"</f>
        <v>0630207047</v>
      </c>
      <c r="BT1232" s="1" t="s">
        <v>12632</v>
      </c>
      <c r="BU1232" s="1" t="s">
        <v>1933</v>
      </c>
      <c r="BV1232" s="1" t="s">
        <v>1934</v>
      </c>
      <c r="BW1232" s="1" t="s">
        <v>1935</v>
      </c>
      <c r="BX1232" s="1">
        <v>44</v>
      </c>
      <c r="BY1232" s="1">
        <v>44</v>
      </c>
      <c r="BZ1232" s="1">
        <v>87</v>
      </c>
      <c r="CB1232" s="1" t="str">
        <f t="shared" ref="CB1232:CC1232" si="950">""</f>
        <v/>
      </c>
      <c r="CC1232" s="1" t="str">
        <f t="shared" si="950"/>
        <v/>
      </c>
      <c r="CG1232" s="1" t="s">
        <v>1045</v>
      </c>
      <c r="CH1232" s="1" t="s">
        <v>219</v>
      </c>
      <c r="CI1232" s="1" t="s">
        <v>438</v>
      </c>
      <c r="CJ1232" s="1" t="s">
        <v>210</v>
      </c>
      <c r="CK1232" s="1" t="s">
        <v>221</v>
      </c>
      <c r="CL1232" s="1" t="s">
        <v>277</v>
      </c>
      <c r="CM1232" s="1" t="s">
        <v>220</v>
      </c>
      <c r="CO1232" s="1" t="s">
        <v>222</v>
      </c>
      <c r="CP1232" s="1" t="s">
        <v>219</v>
      </c>
      <c r="CQ1232" s="1" t="s">
        <v>438</v>
      </c>
      <c r="CS1232" s="1" t="s">
        <v>757</v>
      </c>
      <c r="CT1232" s="1" t="s">
        <v>277</v>
      </c>
      <c r="CU1232" s="1" t="s">
        <v>220</v>
      </c>
      <c r="CX1232" s="1" t="s">
        <v>224</v>
      </c>
      <c r="DB1232" s="1" t="s">
        <v>224</v>
      </c>
      <c r="DE1232" s="1" t="s">
        <v>409</v>
      </c>
      <c r="DF1232" s="1" t="s">
        <v>219</v>
      </c>
      <c r="DG1232" s="1" t="s">
        <v>438</v>
      </c>
      <c r="DJ1232" s="1" t="s">
        <v>224</v>
      </c>
      <c r="DM1232" s="1" t="s">
        <v>464</v>
      </c>
      <c r="DR1232" s="1" t="s">
        <v>318</v>
      </c>
      <c r="DS1232" s="1" t="s">
        <v>277</v>
      </c>
      <c r="DT1232" s="1" t="s">
        <v>220</v>
      </c>
      <c r="DW1232" s="1" t="s">
        <v>230</v>
      </c>
      <c r="EA1232" s="1" t="s">
        <v>230</v>
      </c>
      <c r="EE1232" s="1" t="s">
        <v>230</v>
      </c>
      <c r="EI1232" s="1" t="s">
        <v>230</v>
      </c>
      <c r="EL1232" s="1" t="s">
        <v>670</v>
      </c>
      <c r="EM1232" s="1" t="s">
        <v>232</v>
      </c>
      <c r="EN1232" s="1" t="s">
        <v>282</v>
      </c>
      <c r="EO1232" s="1" t="s">
        <v>234</v>
      </c>
      <c r="EQ1232" s="1" t="s">
        <v>4356</v>
      </c>
      <c r="ER1232" s="1" t="s">
        <v>383</v>
      </c>
      <c r="ES1232" s="1" t="s">
        <v>493</v>
      </c>
      <c r="ET1232" s="1" t="s">
        <v>842</v>
      </c>
      <c r="EV1232" s="1" t="s">
        <v>240</v>
      </c>
      <c r="EW1232" s="1" t="s">
        <v>1804</v>
      </c>
      <c r="EY1232" s="1" t="s">
        <v>790</v>
      </c>
      <c r="EZ1232" s="1" t="s">
        <v>464</v>
      </c>
      <c r="FD1232" s="1" t="s">
        <v>246</v>
      </c>
      <c r="FE1232" s="1" t="s">
        <v>386</v>
      </c>
      <c r="FF1232" s="1" t="s">
        <v>248</v>
      </c>
      <c r="FG1232" s="1" t="s">
        <v>2406</v>
      </c>
      <c r="FH1232" s="1" t="s">
        <v>550</v>
      </c>
      <c r="FL1232" s="1" t="s">
        <v>358</v>
      </c>
      <c r="FM1232" s="1" t="s">
        <v>252</v>
      </c>
      <c r="FN1232" s="1" t="s">
        <v>213</v>
      </c>
      <c r="FO1232" s="1" t="s">
        <v>213</v>
      </c>
      <c r="FQ1232" s="1" t="s">
        <v>849</v>
      </c>
      <c r="FR1232" s="1" t="s">
        <v>210</v>
      </c>
      <c r="FS1232" s="1" t="s">
        <v>12633</v>
      </c>
      <c r="FT1232" s="1" t="s">
        <v>295</v>
      </c>
      <c r="FU1232" s="1" t="s">
        <v>213</v>
      </c>
      <c r="FW1232" s="1" t="s">
        <v>12634</v>
      </c>
      <c r="FX1232" s="1">
        <v>84855</v>
      </c>
      <c r="FY1232" s="1" t="s">
        <v>12635</v>
      </c>
      <c r="FZ1232" s="1" t="s">
        <v>12636</v>
      </c>
      <c r="GA1232" s="1">
        <v>184477</v>
      </c>
      <c r="GB1232" s="1" t="s">
        <v>12637</v>
      </c>
      <c r="GE1232" s="1" t="s">
        <v>210</v>
      </c>
      <c r="GI1232" s="1" t="s">
        <v>204</v>
      </c>
      <c r="GJ1232" s="1" t="s">
        <v>260</v>
      </c>
      <c r="GK1232" s="1" t="s">
        <v>210</v>
      </c>
      <c r="GL1232" s="2">
        <v>42128</v>
      </c>
    </row>
    <row r="1233" spans="1:195">
      <c r="A1233" s="1">
        <v>130000</v>
      </c>
      <c r="B1233" s="1" t="s">
        <v>195</v>
      </c>
      <c r="C1233" s="1" t="str">
        <f>"08853815"</f>
        <v>08853815</v>
      </c>
      <c r="D1233" s="1" t="s">
        <v>196</v>
      </c>
      <c r="F1233" s="1" t="str">
        <f>"19"</f>
        <v>19</v>
      </c>
      <c r="G1233" s="2">
        <v>42068</v>
      </c>
      <c r="H1233" s="1">
        <v>129900</v>
      </c>
      <c r="I1233" s="1">
        <v>129900</v>
      </c>
      <c r="J1233" s="1">
        <v>130000</v>
      </c>
      <c r="K1233" s="2">
        <v>42068</v>
      </c>
      <c r="L1233" s="1">
        <v>8</v>
      </c>
      <c r="M1233" s="2">
        <v>42075</v>
      </c>
      <c r="N1233" s="1">
        <v>8</v>
      </c>
      <c r="O1233" s="2">
        <v>42075</v>
      </c>
      <c r="P1233" s="1">
        <v>2626</v>
      </c>
      <c r="Q1233" s="1" t="s">
        <v>423</v>
      </c>
      <c r="R1233" s="2">
        <v>42108</v>
      </c>
      <c r="S1233" s="1">
        <v>26895</v>
      </c>
      <c r="T1233" s="1">
        <v>2000</v>
      </c>
      <c r="U1233" s="1">
        <v>203</v>
      </c>
      <c r="V1233" s="1" t="s">
        <v>12638</v>
      </c>
      <c r="W1233" s="1" t="s">
        <v>504</v>
      </c>
      <c r="X1233" s="1">
        <v>203</v>
      </c>
      <c r="Y1233" s="1">
        <v>4</v>
      </c>
      <c r="Z1233" s="1" t="s">
        <v>200</v>
      </c>
      <c r="AA1233" s="1" t="s">
        <v>1013</v>
      </c>
      <c r="AB1233" s="1">
        <v>60020</v>
      </c>
      <c r="AD1233" s="1" t="s">
        <v>12425</v>
      </c>
      <c r="AE1233" s="1" t="s">
        <v>12639</v>
      </c>
      <c r="AF1233" s="1">
        <v>2005</v>
      </c>
      <c r="AG1233" s="1" t="s">
        <v>204</v>
      </c>
      <c r="AH1233" s="1" t="s">
        <v>1015</v>
      </c>
      <c r="AI1233" s="1" t="s">
        <v>509</v>
      </c>
      <c r="AJ1233" s="1" t="s">
        <v>1016</v>
      </c>
      <c r="AK1233" s="1" t="s">
        <v>12640</v>
      </c>
      <c r="AL1233" s="1">
        <v>6</v>
      </c>
      <c r="AM1233" s="1">
        <v>2</v>
      </c>
      <c r="AN1233" s="1">
        <v>2</v>
      </c>
      <c r="AO1233" s="1">
        <v>1</v>
      </c>
      <c r="AP1233" s="1" t="s">
        <v>209</v>
      </c>
      <c r="AR1233" s="1" t="s">
        <v>2165</v>
      </c>
      <c r="AS1233" s="1" t="s">
        <v>204</v>
      </c>
      <c r="AT1233" s="1" t="s">
        <v>211</v>
      </c>
      <c r="AU1233" s="1">
        <v>2</v>
      </c>
      <c r="AW1233" s="1" t="s">
        <v>204</v>
      </c>
      <c r="AX1233" s="1" t="s">
        <v>212</v>
      </c>
      <c r="AZ1233" s="1">
        <v>3563</v>
      </c>
      <c r="BA1233" s="1">
        <v>2013</v>
      </c>
      <c r="BE1233" s="1">
        <v>1428</v>
      </c>
      <c r="BF1233" s="1">
        <v>1</v>
      </c>
      <c r="BG1233" s="1">
        <v>5</v>
      </c>
      <c r="BJ1233" s="1">
        <v>90</v>
      </c>
      <c r="BK1233" s="1">
        <v>0.34</v>
      </c>
      <c r="BL1233" s="1">
        <v>165</v>
      </c>
      <c r="BM1233" s="1" t="s">
        <v>204</v>
      </c>
      <c r="BN1233" s="1" t="s">
        <v>213</v>
      </c>
      <c r="BO1233" s="1">
        <v>0</v>
      </c>
      <c r="BP1233" s="1" t="s">
        <v>204</v>
      </c>
      <c r="BR1233" s="1" t="str">
        <f>"05224040700000"</f>
        <v>05224040700000</v>
      </c>
      <c r="BT1233" s="1" t="s">
        <v>12641</v>
      </c>
      <c r="BX1233" s="1">
        <v>38</v>
      </c>
      <c r="BY1233" s="1">
        <v>38</v>
      </c>
      <c r="BZ1233" s="1">
        <v>124</v>
      </c>
      <c r="CB1233" s="1" t="str">
        <f>"34"</f>
        <v>34</v>
      </c>
      <c r="CC1233" s="1" t="str">
        <f t="shared" ref="CC1233:CC1234" si="951">"0"</f>
        <v>0</v>
      </c>
      <c r="CD1233" s="1">
        <v>27</v>
      </c>
      <c r="CE1233" s="1">
        <v>0</v>
      </c>
      <c r="CG1233" s="1" t="s">
        <v>437</v>
      </c>
      <c r="CH1233" s="1" t="s">
        <v>219</v>
      </c>
      <c r="CK1233" s="1" t="s">
        <v>602</v>
      </c>
      <c r="CL1233" s="1" t="s">
        <v>277</v>
      </c>
      <c r="CO1233" s="1" t="s">
        <v>318</v>
      </c>
      <c r="CP1233" s="1" t="s">
        <v>219</v>
      </c>
      <c r="CS1233" s="1" t="s">
        <v>465</v>
      </c>
      <c r="CT1233" s="1" t="s">
        <v>277</v>
      </c>
      <c r="CX1233" s="1" t="s">
        <v>224</v>
      </c>
      <c r="DB1233" s="1" t="s">
        <v>224</v>
      </c>
      <c r="DE1233" s="1" t="s">
        <v>2138</v>
      </c>
      <c r="DF1233" s="1" t="s">
        <v>219</v>
      </c>
      <c r="DI1233" s="1" t="s">
        <v>2122</v>
      </c>
      <c r="DJ1233" s="1" t="s">
        <v>822</v>
      </c>
      <c r="DS1233" s="1" t="s">
        <v>230</v>
      </c>
      <c r="DW1233" s="1" t="s">
        <v>230</v>
      </c>
      <c r="EA1233" s="1" t="s">
        <v>230</v>
      </c>
      <c r="EE1233" s="1" t="s">
        <v>230</v>
      </c>
      <c r="EI1233" s="1" t="s">
        <v>230</v>
      </c>
      <c r="EL1233" s="1" t="s">
        <v>491</v>
      </c>
      <c r="EM1233" s="1" t="s">
        <v>319</v>
      </c>
      <c r="EN1233" s="1" t="s">
        <v>282</v>
      </c>
      <c r="EO1233" s="1" t="s">
        <v>234</v>
      </c>
      <c r="EP1233" s="1" t="s">
        <v>1268</v>
      </c>
      <c r="EQ1233" s="1" t="s">
        <v>10028</v>
      </c>
      <c r="ER1233" s="1" t="s">
        <v>544</v>
      </c>
      <c r="ES1233" s="1" t="s">
        <v>322</v>
      </c>
      <c r="EU1233" s="1" t="s">
        <v>239</v>
      </c>
      <c r="EV1233" s="1" t="s">
        <v>324</v>
      </c>
      <c r="EW1233" s="1" t="s">
        <v>12642</v>
      </c>
      <c r="EZ1233" s="1" t="s">
        <v>287</v>
      </c>
      <c r="FB1233" s="1" t="s">
        <v>289</v>
      </c>
      <c r="FD1233" s="1" t="s">
        <v>246</v>
      </c>
      <c r="FE1233" s="1" t="s">
        <v>472</v>
      </c>
      <c r="FF1233" s="1" t="s">
        <v>248</v>
      </c>
      <c r="FH1233" s="1" t="s">
        <v>550</v>
      </c>
      <c r="FJ1233" s="1" t="s">
        <v>518</v>
      </c>
      <c r="FL1233" s="1" t="s">
        <v>358</v>
      </c>
      <c r="FM1233" s="1" t="s">
        <v>252</v>
      </c>
      <c r="FN1233" s="1" t="s">
        <v>213</v>
      </c>
      <c r="FO1233" s="1" t="s">
        <v>213</v>
      </c>
      <c r="FQ1233" s="1" t="s">
        <v>673</v>
      </c>
      <c r="FR1233" s="1" t="s">
        <v>652</v>
      </c>
      <c r="FS1233" s="1" t="s">
        <v>8147</v>
      </c>
      <c r="FT1233" s="1" t="s">
        <v>295</v>
      </c>
      <c r="FU1233" s="1" t="s">
        <v>204</v>
      </c>
      <c r="FW1233" s="1" t="s">
        <v>1857</v>
      </c>
      <c r="FX1233" s="1">
        <v>22993</v>
      </c>
      <c r="FY1233" s="1" t="s">
        <v>1858</v>
      </c>
      <c r="FZ1233" s="1" t="s">
        <v>8148</v>
      </c>
      <c r="GA1233" s="1">
        <v>235152</v>
      </c>
      <c r="GB1233" s="1" t="s">
        <v>8149</v>
      </c>
      <c r="GC1233" s="1">
        <v>241601</v>
      </c>
      <c r="GE1233" s="1" t="s">
        <v>210</v>
      </c>
      <c r="GI1233" s="1" t="s">
        <v>213</v>
      </c>
      <c r="GJ1233" s="1" t="s">
        <v>260</v>
      </c>
      <c r="GK1233" s="1" t="s">
        <v>210</v>
      </c>
      <c r="GL1233" s="2">
        <v>42108</v>
      </c>
      <c r="GM1233" s="1" t="s">
        <v>12643</v>
      </c>
    </row>
    <row r="1234" spans="1:195">
      <c r="A1234" s="1">
        <v>137000</v>
      </c>
      <c r="B1234" s="1" t="s">
        <v>195</v>
      </c>
      <c r="C1234" s="1" t="str">
        <f>"08853366"</f>
        <v>08853366</v>
      </c>
      <c r="D1234" s="1" t="s">
        <v>196</v>
      </c>
      <c r="F1234" s="1" t="str">
        <f>"103"</f>
        <v>103</v>
      </c>
      <c r="G1234" s="2">
        <v>42068</v>
      </c>
      <c r="H1234" s="1">
        <v>145000</v>
      </c>
      <c r="I1234" s="1">
        <v>145000</v>
      </c>
      <c r="J1234" s="1">
        <v>137000</v>
      </c>
      <c r="K1234" s="2">
        <v>42068</v>
      </c>
      <c r="L1234" s="1">
        <v>121</v>
      </c>
      <c r="M1234" s="2">
        <v>42087</v>
      </c>
      <c r="N1234" s="1">
        <v>20</v>
      </c>
      <c r="O1234" s="2">
        <v>42087</v>
      </c>
      <c r="P1234" s="1">
        <v>14090</v>
      </c>
      <c r="Q1234" s="1" t="s">
        <v>197</v>
      </c>
      <c r="R1234" s="2">
        <v>42128</v>
      </c>
      <c r="S1234" s="1">
        <v>163968</v>
      </c>
      <c r="U1234" s="1">
        <v>2203</v>
      </c>
      <c r="V1234" s="1" t="s">
        <v>12644</v>
      </c>
      <c r="W1234" s="1" t="s">
        <v>504</v>
      </c>
      <c r="Y1234" s="1">
        <v>4</v>
      </c>
      <c r="Z1234" s="1" t="s">
        <v>249</v>
      </c>
      <c r="AA1234" s="1" t="s">
        <v>337</v>
      </c>
      <c r="AB1234" s="1">
        <v>60133</v>
      </c>
      <c r="AD1234" s="1" t="s">
        <v>12645</v>
      </c>
      <c r="AE1234" s="1" t="s">
        <v>12646</v>
      </c>
      <c r="AF1234" s="1">
        <v>1993</v>
      </c>
      <c r="AG1234" s="1" t="s">
        <v>204</v>
      </c>
      <c r="AH1234" s="1" t="s">
        <v>339</v>
      </c>
      <c r="AI1234" s="1" t="s">
        <v>206</v>
      </c>
      <c r="AJ1234" s="1" t="s">
        <v>2654</v>
      </c>
      <c r="AK1234" s="1" t="s">
        <v>12647</v>
      </c>
      <c r="AL1234" s="1">
        <v>5</v>
      </c>
      <c r="AM1234" s="1">
        <v>2</v>
      </c>
      <c r="AN1234" s="1">
        <v>2</v>
      </c>
      <c r="AO1234" s="1">
        <v>0</v>
      </c>
      <c r="AP1234" s="1" t="s">
        <v>209</v>
      </c>
      <c r="AQ1234" s="1">
        <v>1</v>
      </c>
      <c r="AR1234" s="1" t="s">
        <v>210</v>
      </c>
      <c r="AT1234" s="1" t="s">
        <v>211</v>
      </c>
      <c r="AU1234" s="1">
        <v>1</v>
      </c>
      <c r="AW1234" s="1" t="s">
        <v>204</v>
      </c>
      <c r="AX1234" s="1" t="s">
        <v>4740</v>
      </c>
      <c r="AZ1234" s="1">
        <v>4248</v>
      </c>
      <c r="BA1234" s="1">
        <v>2013</v>
      </c>
      <c r="BB1234" s="1" t="s">
        <v>599</v>
      </c>
      <c r="BE1234" s="1">
        <v>1263</v>
      </c>
      <c r="BF1234" s="1">
        <v>1</v>
      </c>
      <c r="BG1234" s="1">
        <v>0</v>
      </c>
      <c r="BJ1234" s="1">
        <v>80</v>
      </c>
      <c r="BL1234" s="1">
        <v>172</v>
      </c>
      <c r="BM1234" s="1" t="s">
        <v>204</v>
      </c>
      <c r="BN1234" s="1" t="s">
        <v>213</v>
      </c>
      <c r="BO1234" s="1">
        <v>0</v>
      </c>
      <c r="BP1234" s="1" t="s">
        <v>204</v>
      </c>
      <c r="BR1234" s="1" t="str">
        <f>"0113104139"</f>
        <v>0113104139</v>
      </c>
      <c r="BT1234" s="1" t="s">
        <v>12648</v>
      </c>
      <c r="BU1234" s="1" t="s">
        <v>4119</v>
      </c>
      <c r="BV1234" s="1" t="s">
        <v>4120</v>
      </c>
      <c r="BW1234" s="1" t="s">
        <v>4121</v>
      </c>
      <c r="BX1234" s="1">
        <v>46</v>
      </c>
      <c r="BY1234" s="1">
        <v>46</v>
      </c>
      <c r="BZ1234" s="1">
        <v>46</v>
      </c>
      <c r="CB1234" s="1" t="str">
        <f>"5"</f>
        <v>5</v>
      </c>
      <c r="CC1234" s="1" t="str">
        <f t="shared" si="951"/>
        <v>0</v>
      </c>
      <c r="CD1234" s="1">
        <v>27</v>
      </c>
      <c r="CE1234" s="1">
        <v>0</v>
      </c>
      <c r="CG1234" s="1" t="s">
        <v>757</v>
      </c>
      <c r="CH1234" s="1" t="s">
        <v>219</v>
      </c>
      <c r="CI1234" s="1" t="s">
        <v>220</v>
      </c>
      <c r="CJ1234" s="1" t="s">
        <v>2449</v>
      </c>
      <c r="CK1234" s="1" t="s">
        <v>539</v>
      </c>
      <c r="CL1234" s="1" t="s">
        <v>219</v>
      </c>
      <c r="CM1234" s="1" t="s">
        <v>220</v>
      </c>
      <c r="CN1234" s="1" t="s">
        <v>343</v>
      </c>
      <c r="CO1234" s="1" t="s">
        <v>1358</v>
      </c>
      <c r="CP1234" s="1" t="s">
        <v>219</v>
      </c>
      <c r="CQ1234" s="1" t="s">
        <v>220</v>
      </c>
      <c r="CR1234" s="1" t="s">
        <v>2449</v>
      </c>
      <c r="CS1234" s="1" t="s">
        <v>346</v>
      </c>
      <c r="CT1234" s="1" t="s">
        <v>219</v>
      </c>
      <c r="CU1234" s="1" t="s">
        <v>220</v>
      </c>
      <c r="CV1234" s="1" t="s">
        <v>439</v>
      </c>
      <c r="CX1234" s="1" t="s">
        <v>224</v>
      </c>
      <c r="DB1234" s="1" t="s">
        <v>224</v>
      </c>
      <c r="DE1234" s="1" t="s">
        <v>3888</v>
      </c>
      <c r="DF1234" s="1" t="s">
        <v>219</v>
      </c>
      <c r="DG1234" s="1" t="s">
        <v>229</v>
      </c>
      <c r="DH1234" s="1" t="s">
        <v>439</v>
      </c>
      <c r="DJ1234" s="1" t="s">
        <v>224</v>
      </c>
      <c r="DS1234" s="1" t="s">
        <v>230</v>
      </c>
      <c r="DW1234" s="1" t="s">
        <v>230</v>
      </c>
      <c r="EA1234" s="1" t="s">
        <v>230</v>
      </c>
      <c r="EE1234" s="1" t="s">
        <v>230</v>
      </c>
      <c r="EI1234" s="1" t="s">
        <v>230</v>
      </c>
      <c r="EL1234" s="1" t="s">
        <v>382</v>
      </c>
      <c r="EM1234" s="1" t="s">
        <v>232</v>
      </c>
      <c r="EN1234" s="1" t="s">
        <v>282</v>
      </c>
      <c r="EO1234" s="1" t="s">
        <v>234</v>
      </c>
      <c r="EQ1234" s="1" t="s">
        <v>11636</v>
      </c>
      <c r="ER1234" s="1" t="s">
        <v>210</v>
      </c>
      <c r="ES1234" s="1" t="s">
        <v>322</v>
      </c>
      <c r="ET1234" s="1" t="s">
        <v>866</v>
      </c>
      <c r="EV1234" s="1" t="s">
        <v>240</v>
      </c>
      <c r="EW1234" s="1" t="s">
        <v>384</v>
      </c>
      <c r="EZ1234" s="1" t="s">
        <v>287</v>
      </c>
      <c r="FB1234" s="1" t="s">
        <v>289</v>
      </c>
      <c r="FD1234" s="1" t="s">
        <v>246</v>
      </c>
      <c r="FE1234" s="1" t="s">
        <v>386</v>
      </c>
      <c r="FF1234" s="1" t="s">
        <v>248</v>
      </c>
      <c r="FG1234" s="1" t="s">
        <v>871</v>
      </c>
      <c r="FH1234" s="1" t="s">
        <v>1205</v>
      </c>
      <c r="FI1234" s="1" t="s">
        <v>357</v>
      </c>
      <c r="FL1234" s="1" t="s">
        <v>358</v>
      </c>
      <c r="FM1234" s="1" t="s">
        <v>252</v>
      </c>
      <c r="FN1234" s="1" t="s">
        <v>213</v>
      </c>
      <c r="FO1234" s="1" t="s">
        <v>213</v>
      </c>
      <c r="FQ1234" s="1" t="s">
        <v>1599</v>
      </c>
      <c r="FR1234" s="1" t="s">
        <v>210</v>
      </c>
      <c r="FS1234" s="1" t="s">
        <v>9576</v>
      </c>
      <c r="FT1234" s="1" t="s">
        <v>295</v>
      </c>
      <c r="FU1234" s="1" t="s">
        <v>204</v>
      </c>
      <c r="FW1234" s="1" t="s">
        <v>585</v>
      </c>
      <c r="FX1234" s="1">
        <v>6485</v>
      </c>
      <c r="FY1234" s="1" t="s">
        <v>8303</v>
      </c>
      <c r="FZ1234" s="1" t="s">
        <v>12649</v>
      </c>
      <c r="GA1234" s="1">
        <v>63320</v>
      </c>
      <c r="GB1234" s="1" t="s">
        <v>12650</v>
      </c>
      <c r="GE1234" s="1" t="s">
        <v>210</v>
      </c>
      <c r="GI1234" s="1" t="s">
        <v>213</v>
      </c>
      <c r="GJ1234" s="1" t="s">
        <v>260</v>
      </c>
      <c r="GK1234" s="1" t="s">
        <v>210</v>
      </c>
      <c r="GL1234" s="2">
        <v>42129</v>
      </c>
    </row>
    <row r="1235" spans="1:195">
      <c r="A1235" s="1">
        <v>133000</v>
      </c>
      <c r="B1235" s="1" t="s">
        <v>195</v>
      </c>
      <c r="C1235" s="1" t="str">
        <f>"08857660"</f>
        <v>08857660</v>
      </c>
      <c r="D1235" s="1" t="s">
        <v>196</v>
      </c>
      <c r="F1235" s="1" t="str">
        <f>"177"</f>
        <v>177</v>
      </c>
      <c r="G1235" s="2">
        <v>42073</v>
      </c>
      <c r="H1235" s="1">
        <v>135900</v>
      </c>
      <c r="I1235" s="1">
        <v>135900</v>
      </c>
      <c r="J1235" s="1">
        <v>133000</v>
      </c>
      <c r="K1235" s="2">
        <v>42072</v>
      </c>
      <c r="L1235" s="1">
        <v>13</v>
      </c>
      <c r="M1235" s="2">
        <v>42084</v>
      </c>
      <c r="N1235" s="1">
        <v>13</v>
      </c>
      <c r="O1235" s="2">
        <v>42084</v>
      </c>
      <c r="P1235" s="1">
        <v>302</v>
      </c>
      <c r="Q1235" s="1" t="s">
        <v>423</v>
      </c>
      <c r="R1235" s="2">
        <v>42123</v>
      </c>
      <c r="S1235" s="1">
        <v>543</v>
      </c>
      <c r="T1235" s="1">
        <v>3000</v>
      </c>
      <c r="U1235" s="1">
        <v>513</v>
      </c>
      <c r="V1235" s="1" t="s">
        <v>2413</v>
      </c>
      <c r="W1235" s="1" t="s">
        <v>504</v>
      </c>
      <c r="X1235" s="1">
        <v>513</v>
      </c>
      <c r="Y1235" s="1">
        <v>4</v>
      </c>
      <c r="Z1235" s="1" t="s">
        <v>249</v>
      </c>
      <c r="AA1235" s="1" t="s">
        <v>1461</v>
      </c>
      <c r="AB1235" s="1">
        <v>60177</v>
      </c>
      <c r="AD1235" s="1" t="s">
        <v>10691</v>
      </c>
      <c r="AE1235" s="1" t="s">
        <v>12651</v>
      </c>
      <c r="AF1235" s="1">
        <v>1994</v>
      </c>
      <c r="AG1235" s="1" t="s">
        <v>204</v>
      </c>
      <c r="AH1235" s="1" t="s">
        <v>1464</v>
      </c>
      <c r="AI1235" s="1" t="s">
        <v>665</v>
      </c>
      <c r="AJ1235" s="1" t="s">
        <v>1175</v>
      </c>
      <c r="AL1235" s="1">
        <v>7</v>
      </c>
      <c r="AM1235" s="1">
        <v>2</v>
      </c>
      <c r="AN1235" s="1">
        <v>1</v>
      </c>
      <c r="AO1235" s="1">
        <v>1</v>
      </c>
      <c r="AP1235" s="1" t="s">
        <v>667</v>
      </c>
      <c r="AQ1235" s="1">
        <v>1</v>
      </c>
      <c r="AR1235" s="1" t="s">
        <v>209</v>
      </c>
      <c r="AS1235" s="1" t="s">
        <v>204</v>
      </c>
      <c r="AT1235" s="1" t="s">
        <v>211</v>
      </c>
      <c r="AU1235" s="1">
        <v>1</v>
      </c>
      <c r="AW1235" s="1" t="s">
        <v>204</v>
      </c>
      <c r="AX1235" s="1" t="s">
        <v>212</v>
      </c>
      <c r="AZ1235" s="1">
        <v>2630.54</v>
      </c>
      <c r="BA1235" s="1">
        <v>2013</v>
      </c>
      <c r="BB1235" s="1" t="s">
        <v>405</v>
      </c>
      <c r="BE1235" s="1">
        <v>1220</v>
      </c>
      <c r="BF1235" s="1">
        <v>1</v>
      </c>
      <c r="BG1235" s="1">
        <v>0</v>
      </c>
      <c r="BL1235" s="1">
        <v>131</v>
      </c>
      <c r="BM1235" s="1" t="s">
        <v>204</v>
      </c>
      <c r="BN1235" s="1" t="s">
        <v>213</v>
      </c>
      <c r="BO1235" s="1">
        <v>50</v>
      </c>
      <c r="BP1235" s="1" t="s">
        <v>204</v>
      </c>
      <c r="BR1235" s="1" t="str">
        <f>"0634103034"</f>
        <v>0634103034</v>
      </c>
      <c r="BT1235" s="1" t="s">
        <v>12652</v>
      </c>
      <c r="BU1235" s="1" t="s">
        <v>6003</v>
      </c>
      <c r="BV1235" s="1" t="s">
        <v>1467</v>
      </c>
      <c r="BW1235" s="1" t="s">
        <v>1468</v>
      </c>
      <c r="BX1235" s="1">
        <v>46</v>
      </c>
      <c r="BY1235" s="1">
        <v>46</v>
      </c>
      <c r="BZ1235" s="1">
        <v>46</v>
      </c>
      <c r="CB1235" s="1" t="str">
        <f t="shared" ref="CB1235:CC1235" si="952">""</f>
        <v/>
      </c>
      <c r="CC1235" s="1" t="str">
        <f t="shared" si="952"/>
        <v/>
      </c>
      <c r="CG1235" s="1" t="s">
        <v>729</v>
      </c>
      <c r="CH1235" s="1" t="s">
        <v>219</v>
      </c>
      <c r="CI1235" s="1" t="s">
        <v>220</v>
      </c>
      <c r="CJ1235" s="1" t="s">
        <v>343</v>
      </c>
      <c r="CK1235" s="1" t="s">
        <v>908</v>
      </c>
      <c r="CL1235" s="1" t="s">
        <v>277</v>
      </c>
      <c r="CM1235" s="1" t="s">
        <v>220</v>
      </c>
      <c r="CN1235" s="1" t="s">
        <v>343</v>
      </c>
      <c r="CO1235" s="1" t="s">
        <v>281</v>
      </c>
      <c r="CP1235" s="1" t="s">
        <v>219</v>
      </c>
      <c r="CQ1235" s="1" t="s">
        <v>220</v>
      </c>
      <c r="CR1235" s="1" t="s">
        <v>343</v>
      </c>
      <c r="CS1235" s="1" t="s">
        <v>1297</v>
      </c>
      <c r="CT1235" s="1" t="s">
        <v>277</v>
      </c>
      <c r="CU1235" s="1" t="s">
        <v>220</v>
      </c>
      <c r="CV1235" s="1" t="s">
        <v>343</v>
      </c>
      <c r="CX1235" s="1" t="s">
        <v>224</v>
      </c>
      <c r="DB1235" s="1" t="s">
        <v>224</v>
      </c>
      <c r="DE1235" s="1" t="s">
        <v>837</v>
      </c>
      <c r="DF1235" s="1" t="s">
        <v>219</v>
      </c>
      <c r="DG1235" s="1" t="s">
        <v>229</v>
      </c>
      <c r="DH1235" s="1" t="s">
        <v>210</v>
      </c>
      <c r="DI1235" s="1" t="s">
        <v>5898</v>
      </c>
      <c r="DJ1235" s="1" t="s">
        <v>43</v>
      </c>
      <c r="DK1235" s="1" t="s">
        <v>220</v>
      </c>
      <c r="DL1235" s="1" t="s">
        <v>463</v>
      </c>
      <c r="DM1235" s="1" t="s">
        <v>1005</v>
      </c>
      <c r="DR1235" s="1" t="s">
        <v>1854</v>
      </c>
      <c r="DS1235" s="1" t="s">
        <v>43</v>
      </c>
      <c r="DT1235" s="1" t="s">
        <v>220</v>
      </c>
      <c r="DU1235" s="1" t="s">
        <v>463</v>
      </c>
      <c r="DW1235" s="1" t="s">
        <v>230</v>
      </c>
      <c r="EA1235" s="1" t="s">
        <v>230</v>
      </c>
      <c r="EE1235" s="1" t="s">
        <v>230</v>
      </c>
      <c r="EI1235" s="1" t="s">
        <v>230</v>
      </c>
      <c r="EL1235" s="1" t="s">
        <v>382</v>
      </c>
      <c r="EM1235" s="1" t="s">
        <v>319</v>
      </c>
      <c r="EN1235" s="1" t="s">
        <v>282</v>
      </c>
      <c r="EO1235" s="1" t="s">
        <v>234</v>
      </c>
      <c r="EQ1235" s="1" t="s">
        <v>236</v>
      </c>
      <c r="ER1235" s="1" t="s">
        <v>351</v>
      </c>
      <c r="ES1235" s="1" t="s">
        <v>3285</v>
      </c>
      <c r="ET1235" s="1" t="s">
        <v>842</v>
      </c>
      <c r="EV1235" s="1" t="s">
        <v>352</v>
      </c>
      <c r="EW1235" s="1" t="s">
        <v>353</v>
      </c>
      <c r="EY1235" s="1" t="s">
        <v>790</v>
      </c>
      <c r="EZ1235" s="1" t="s">
        <v>1005</v>
      </c>
      <c r="FB1235" s="1" t="s">
        <v>289</v>
      </c>
      <c r="FC1235" s="1" t="s">
        <v>1739</v>
      </c>
      <c r="FD1235" s="1" t="s">
        <v>246</v>
      </c>
      <c r="FE1235" s="1" t="s">
        <v>355</v>
      </c>
      <c r="FF1235" s="1" t="s">
        <v>248</v>
      </c>
      <c r="FG1235" s="1" t="s">
        <v>912</v>
      </c>
      <c r="FH1235" s="1" t="s">
        <v>249</v>
      </c>
      <c r="FI1235" s="1" t="s">
        <v>473</v>
      </c>
      <c r="FJ1235" s="1" t="s">
        <v>518</v>
      </c>
      <c r="FL1235" s="1" t="s">
        <v>358</v>
      </c>
      <c r="FM1235" s="1" t="s">
        <v>252</v>
      </c>
      <c r="FN1235" s="1" t="s">
        <v>213</v>
      </c>
      <c r="FO1235" s="1" t="s">
        <v>213</v>
      </c>
      <c r="FQ1235" s="1" t="s">
        <v>2253</v>
      </c>
      <c r="FR1235" s="1" t="s">
        <v>210</v>
      </c>
      <c r="FS1235" s="1" t="s">
        <v>3605</v>
      </c>
      <c r="FT1235" s="1" t="s">
        <v>12653</v>
      </c>
      <c r="FU1235" s="1" t="s">
        <v>204</v>
      </c>
      <c r="FW1235" s="1" t="s">
        <v>6621</v>
      </c>
      <c r="FX1235" s="1">
        <v>7545</v>
      </c>
      <c r="FY1235" s="1" t="s">
        <v>6622</v>
      </c>
      <c r="FZ1235" s="1" t="s">
        <v>12654</v>
      </c>
      <c r="GA1235" s="1">
        <v>77258</v>
      </c>
      <c r="GB1235" s="1" t="s">
        <v>12655</v>
      </c>
      <c r="GE1235" s="1" t="s">
        <v>210</v>
      </c>
      <c r="GI1235" s="1" t="s">
        <v>213</v>
      </c>
      <c r="GJ1235" s="1" t="s">
        <v>260</v>
      </c>
      <c r="GK1235" s="1" t="s">
        <v>210</v>
      </c>
      <c r="GL1235" s="2">
        <v>42123</v>
      </c>
      <c r="GM1235" s="1" t="s">
        <v>12656</v>
      </c>
    </row>
    <row r="1236" spans="1:195">
      <c r="A1236" s="1">
        <v>117000</v>
      </c>
      <c r="B1236" s="1" t="s">
        <v>195</v>
      </c>
      <c r="C1236" s="1" t="str">
        <f>"08859590"</f>
        <v>08859590</v>
      </c>
      <c r="D1236" s="1" t="s">
        <v>196</v>
      </c>
      <c r="F1236" s="1" t="str">
        <f>"136"</f>
        <v>136</v>
      </c>
      <c r="G1236" s="2">
        <v>42075</v>
      </c>
      <c r="H1236" s="1">
        <v>125000</v>
      </c>
      <c r="I1236" s="1">
        <v>125000</v>
      </c>
      <c r="J1236" s="1">
        <v>117000</v>
      </c>
      <c r="K1236" s="2">
        <v>42075</v>
      </c>
      <c r="L1236" s="1">
        <v>38</v>
      </c>
      <c r="M1236" s="2">
        <v>42112</v>
      </c>
      <c r="N1236" s="1">
        <v>38</v>
      </c>
      <c r="O1236" s="2">
        <v>42112</v>
      </c>
      <c r="P1236" s="1">
        <v>7661</v>
      </c>
      <c r="Q1236" s="1" t="s">
        <v>302</v>
      </c>
      <c r="R1236" s="2">
        <v>42138</v>
      </c>
      <c r="S1236" s="1">
        <v>676</v>
      </c>
      <c r="U1236" s="1">
        <v>266</v>
      </c>
      <c r="V1236" s="1" t="s">
        <v>12657</v>
      </c>
      <c r="W1236" s="1" t="s">
        <v>199</v>
      </c>
      <c r="X1236" s="1">
        <v>266</v>
      </c>
      <c r="Y1236" s="1">
        <v>6</v>
      </c>
      <c r="Z1236" s="1" t="s">
        <v>249</v>
      </c>
      <c r="AA1236" s="1" t="s">
        <v>3680</v>
      </c>
      <c r="AB1236" s="1">
        <v>60136</v>
      </c>
      <c r="AD1236" s="1" t="s">
        <v>4056</v>
      </c>
      <c r="AE1236" s="1" t="s">
        <v>12658</v>
      </c>
      <c r="AF1236" s="1">
        <v>2003</v>
      </c>
      <c r="AG1236" s="1" t="s">
        <v>204</v>
      </c>
      <c r="AH1236" s="1" t="s">
        <v>3682</v>
      </c>
      <c r="AI1236" s="1" t="s">
        <v>665</v>
      </c>
      <c r="AJ1236" s="1" t="s">
        <v>748</v>
      </c>
      <c r="AK1236" s="1" t="s">
        <v>3067</v>
      </c>
      <c r="AL1236" s="1">
        <v>4</v>
      </c>
      <c r="AM1236" s="1">
        <v>2</v>
      </c>
      <c r="AN1236" s="1">
        <v>1</v>
      </c>
      <c r="AO1236" s="1">
        <v>1</v>
      </c>
      <c r="AP1236" s="1" t="s">
        <v>667</v>
      </c>
      <c r="AR1236" s="1" t="s">
        <v>210</v>
      </c>
      <c r="AS1236" s="1" t="s">
        <v>204</v>
      </c>
      <c r="AT1236" s="1" t="s">
        <v>211</v>
      </c>
      <c r="AU1236" s="1">
        <v>2</v>
      </c>
      <c r="AW1236" s="1" t="s">
        <v>204</v>
      </c>
      <c r="AX1236" s="1" t="s">
        <v>212</v>
      </c>
      <c r="AZ1236" s="1">
        <v>3477.74</v>
      </c>
      <c r="BA1236" s="1">
        <v>2013</v>
      </c>
      <c r="BB1236" s="1" t="s">
        <v>210</v>
      </c>
      <c r="BE1236" s="1">
        <v>0</v>
      </c>
      <c r="BF1236" s="1">
        <v>1</v>
      </c>
      <c r="BG1236" s="1">
        <v>30</v>
      </c>
      <c r="BL1236" s="1">
        <v>160</v>
      </c>
      <c r="BM1236" s="1" t="s">
        <v>213</v>
      </c>
      <c r="BN1236" s="1" t="s">
        <v>213</v>
      </c>
      <c r="BO1236" s="1">
        <v>0</v>
      </c>
      <c r="BP1236" s="1" t="s">
        <v>204</v>
      </c>
      <c r="BR1236" s="1" t="str">
        <f>"0225381107"</f>
        <v>0225381107</v>
      </c>
      <c r="BT1236" s="1" t="s">
        <v>12659</v>
      </c>
      <c r="BX1236" s="1">
        <v>300</v>
      </c>
      <c r="BY1236" s="1">
        <v>300</v>
      </c>
      <c r="BZ1236" s="1">
        <v>300</v>
      </c>
      <c r="CB1236" s="1" t="str">
        <f>"15"</f>
        <v>15</v>
      </c>
      <c r="CC1236" s="1" t="str">
        <f t="shared" ref="CC1236:CC1237" si="953">"0"</f>
        <v>0</v>
      </c>
      <c r="CD1236" s="1">
        <v>39</v>
      </c>
      <c r="CE1236" s="1">
        <v>0</v>
      </c>
      <c r="CH1236" s="1" t="s">
        <v>224</v>
      </c>
      <c r="CK1236" s="1" t="s">
        <v>1403</v>
      </c>
      <c r="CL1236" s="1" t="s">
        <v>277</v>
      </c>
      <c r="CM1236" s="1" t="s">
        <v>220</v>
      </c>
      <c r="CP1236" s="1" t="s">
        <v>224</v>
      </c>
      <c r="CS1236" s="1" t="s">
        <v>317</v>
      </c>
      <c r="CT1236" s="1" t="s">
        <v>277</v>
      </c>
      <c r="CU1236" s="1" t="s">
        <v>220</v>
      </c>
      <c r="CX1236" s="1" t="s">
        <v>224</v>
      </c>
      <c r="DB1236" s="1" t="s">
        <v>224</v>
      </c>
      <c r="DE1236" s="1" t="s">
        <v>564</v>
      </c>
      <c r="DF1236" s="1" t="s">
        <v>219</v>
      </c>
      <c r="DG1236" s="1" t="s">
        <v>226</v>
      </c>
      <c r="DI1236" s="1" t="s">
        <v>1155</v>
      </c>
      <c r="DJ1236" s="1" t="s">
        <v>219</v>
      </c>
      <c r="DK1236" s="1" t="s">
        <v>220</v>
      </c>
      <c r="DM1236" s="1" t="s">
        <v>1614</v>
      </c>
      <c r="DR1236" s="1" t="s">
        <v>12660</v>
      </c>
      <c r="DS1236" s="1" t="s">
        <v>822</v>
      </c>
      <c r="DT1236" s="1" t="s">
        <v>347</v>
      </c>
      <c r="DW1236" s="1" t="s">
        <v>230</v>
      </c>
      <c r="EA1236" s="1" t="s">
        <v>230</v>
      </c>
      <c r="EE1236" s="1" t="s">
        <v>230</v>
      </c>
      <c r="EI1236" s="1" t="s">
        <v>230</v>
      </c>
      <c r="EL1236" s="1" t="s">
        <v>466</v>
      </c>
      <c r="EM1236" s="1" t="s">
        <v>319</v>
      </c>
      <c r="EN1236" s="1" t="s">
        <v>282</v>
      </c>
      <c r="EO1236" s="1" t="s">
        <v>234</v>
      </c>
      <c r="EP1236" s="1" t="s">
        <v>7910</v>
      </c>
      <c r="EQ1236" s="1" t="s">
        <v>236</v>
      </c>
      <c r="ER1236" s="1" t="s">
        <v>210</v>
      </c>
      <c r="ES1236" s="1" t="s">
        <v>322</v>
      </c>
      <c r="EU1236" s="1" t="s">
        <v>712</v>
      </c>
      <c r="EW1236" s="1" t="s">
        <v>12661</v>
      </c>
      <c r="EY1236" s="1" t="s">
        <v>242</v>
      </c>
      <c r="EZ1236" s="1" t="s">
        <v>1614</v>
      </c>
      <c r="FA1236" s="1" t="s">
        <v>1072</v>
      </c>
      <c r="FD1236" s="1" t="s">
        <v>495</v>
      </c>
      <c r="FE1236" s="1" t="s">
        <v>247</v>
      </c>
      <c r="FF1236" s="1" t="s">
        <v>248</v>
      </c>
      <c r="FH1236" s="1" t="s">
        <v>249</v>
      </c>
      <c r="FI1236" s="1" t="s">
        <v>357</v>
      </c>
      <c r="FL1236" s="1" t="s">
        <v>358</v>
      </c>
      <c r="FM1236" s="1" t="s">
        <v>252</v>
      </c>
      <c r="FN1236" s="1" t="s">
        <v>213</v>
      </c>
      <c r="FO1236" s="1" t="s">
        <v>204</v>
      </c>
      <c r="FQ1236" s="1" t="s">
        <v>329</v>
      </c>
      <c r="FR1236" s="1" t="s">
        <v>210</v>
      </c>
      <c r="FS1236" s="1" t="s">
        <v>12662</v>
      </c>
      <c r="FT1236" s="1" t="s">
        <v>295</v>
      </c>
      <c r="FU1236" s="1" t="s">
        <v>204</v>
      </c>
      <c r="FW1236" s="1" t="s">
        <v>3132</v>
      </c>
      <c r="FX1236" s="1">
        <v>5547</v>
      </c>
      <c r="FY1236" s="1" t="s">
        <v>3133</v>
      </c>
      <c r="FZ1236" s="1" t="s">
        <v>12663</v>
      </c>
      <c r="GA1236" s="1">
        <v>55525</v>
      </c>
      <c r="GB1236" s="1" t="s">
        <v>12664</v>
      </c>
      <c r="GE1236" s="1" t="s">
        <v>480</v>
      </c>
      <c r="GI1236" s="1" t="s">
        <v>213</v>
      </c>
      <c r="GJ1236" s="1" t="s">
        <v>260</v>
      </c>
      <c r="GK1236" s="1" t="s">
        <v>210</v>
      </c>
      <c r="GL1236" s="2">
        <v>42139</v>
      </c>
      <c r="GM1236" s="1" t="s">
        <v>12665</v>
      </c>
    </row>
    <row r="1237" spans="1:195">
      <c r="A1237" s="1">
        <v>130000</v>
      </c>
      <c r="B1237" s="1" t="s">
        <v>195</v>
      </c>
      <c r="C1237" s="1" t="str">
        <f>"08857803"</f>
        <v>08857803</v>
      </c>
      <c r="D1237" s="1" t="s">
        <v>196</v>
      </c>
      <c r="F1237" s="1" t="str">
        <f>"60"</f>
        <v>60</v>
      </c>
      <c r="G1237" s="2">
        <v>42073</v>
      </c>
      <c r="H1237" s="1">
        <v>134900</v>
      </c>
      <c r="I1237" s="1">
        <v>134900</v>
      </c>
      <c r="J1237" s="1">
        <v>130000</v>
      </c>
      <c r="K1237" s="2">
        <v>42073</v>
      </c>
      <c r="L1237" s="1">
        <v>15</v>
      </c>
      <c r="M1237" s="2">
        <v>42087</v>
      </c>
      <c r="N1237" s="1">
        <v>15</v>
      </c>
      <c r="O1237" s="2">
        <v>42087</v>
      </c>
      <c r="P1237" s="1">
        <v>1837</v>
      </c>
      <c r="Q1237" s="1" t="s">
        <v>197</v>
      </c>
      <c r="R1237" s="2">
        <v>42111</v>
      </c>
      <c r="S1237" s="1">
        <v>923160</v>
      </c>
      <c r="U1237" s="1">
        <v>1345</v>
      </c>
      <c r="V1237" s="1" t="s">
        <v>7839</v>
      </c>
      <c r="W1237" s="1" t="s">
        <v>264</v>
      </c>
      <c r="X1237" s="1">
        <v>1345</v>
      </c>
      <c r="Y1237" s="1">
        <v>4</v>
      </c>
      <c r="Z1237" s="1" t="s">
        <v>200</v>
      </c>
      <c r="AA1237" s="1" t="s">
        <v>1689</v>
      </c>
      <c r="AB1237" s="1">
        <v>60060</v>
      </c>
      <c r="AD1237" s="1" t="s">
        <v>12666</v>
      </c>
      <c r="AE1237" s="1" t="s">
        <v>12667</v>
      </c>
      <c r="AF1237" s="1">
        <v>1995</v>
      </c>
      <c r="AG1237" s="1" t="s">
        <v>204</v>
      </c>
      <c r="AH1237" s="1" t="s">
        <v>882</v>
      </c>
      <c r="AI1237" s="1" t="s">
        <v>509</v>
      </c>
      <c r="AJ1237" s="1" t="s">
        <v>510</v>
      </c>
      <c r="AL1237" s="1">
        <v>5</v>
      </c>
      <c r="AM1237" s="1">
        <v>2</v>
      </c>
      <c r="AN1237" s="1">
        <v>2</v>
      </c>
      <c r="AO1237" s="1">
        <v>0</v>
      </c>
      <c r="AP1237" s="1" t="s">
        <v>209</v>
      </c>
      <c r="AQ1237" s="1">
        <v>1</v>
      </c>
      <c r="AR1237" s="1" t="s">
        <v>210</v>
      </c>
      <c r="AS1237" s="1" t="s">
        <v>204</v>
      </c>
      <c r="AT1237" s="1" t="s">
        <v>211</v>
      </c>
      <c r="AU1237" s="1">
        <v>1</v>
      </c>
      <c r="AW1237" s="1" t="s">
        <v>204</v>
      </c>
      <c r="AX1237" s="1" t="s">
        <v>212</v>
      </c>
      <c r="AZ1237" s="1">
        <v>3635</v>
      </c>
      <c r="BA1237" s="1">
        <v>2013</v>
      </c>
      <c r="BB1237" s="1" t="s">
        <v>405</v>
      </c>
      <c r="BC1237" s="1">
        <v>0</v>
      </c>
      <c r="BE1237" s="1">
        <v>0</v>
      </c>
      <c r="BF1237" s="1">
        <v>2</v>
      </c>
      <c r="BG1237" s="1">
        <v>0</v>
      </c>
      <c r="BL1237" s="1">
        <v>180</v>
      </c>
      <c r="BM1237" s="1" t="s">
        <v>204</v>
      </c>
      <c r="BN1237" s="1" t="s">
        <v>213</v>
      </c>
      <c r="BO1237" s="1" t="s">
        <v>432</v>
      </c>
      <c r="BP1237" s="1" t="s">
        <v>204</v>
      </c>
      <c r="BR1237" s="1" t="str">
        <f>"15051070220000"</f>
        <v>15051070220000</v>
      </c>
      <c r="BT1237" s="1" t="s">
        <v>12668</v>
      </c>
      <c r="BX1237" s="1">
        <v>73</v>
      </c>
      <c r="BY1237" s="1">
        <v>73</v>
      </c>
      <c r="BZ1237" s="1">
        <v>120</v>
      </c>
      <c r="CB1237" s="1" t="str">
        <f>"25"</f>
        <v>25</v>
      </c>
      <c r="CC1237" s="1" t="str">
        <f t="shared" si="953"/>
        <v>0</v>
      </c>
      <c r="CD1237" s="1">
        <v>17</v>
      </c>
      <c r="CE1237" s="1">
        <v>0</v>
      </c>
      <c r="CG1237" s="1" t="s">
        <v>4571</v>
      </c>
      <c r="CH1237" s="1" t="s">
        <v>277</v>
      </c>
      <c r="CI1237" s="1" t="s">
        <v>229</v>
      </c>
      <c r="CK1237" s="1" t="s">
        <v>757</v>
      </c>
      <c r="CL1237" s="1" t="s">
        <v>277</v>
      </c>
      <c r="CM1237" s="1" t="s">
        <v>229</v>
      </c>
      <c r="CO1237" s="1" t="s">
        <v>629</v>
      </c>
      <c r="CP1237" s="1" t="s">
        <v>277</v>
      </c>
      <c r="CS1237" s="1" t="s">
        <v>318</v>
      </c>
      <c r="CT1237" s="1" t="s">
        <v>277</v>
      </c>
      <c r="CU1237" s="1" t="s">
        <v>229</v>
      </c>
      <c r="CX1237" s="1" t="s">
        <v>224</v>
      </c>
      <c r="DB1237" s="1" t="s">
        <v>224</v>
      </c>
      <c r="DE1237" s="1" t="s">
        <v>348</v>
      </c>
      <c r="DF1237" s="1" t="s">
        <v>277</v>
      </c>
      <c r="DG1237" s="1" t="s">
        <v>229</v>
      </c>
      <c r="DJ1237" s="1" t="s">
        <v>224</v>
      </c>
      <c r="DM1237" s="1" t="s">
        <v>1770</v>
      </c>
      <c r="DR1237" s="1" t="s">
        <v>3492</v>
      </c>
      <c r="DS1237" s="1" t="s">
        <v>277</v>
      </c>
      <c r="DW1237" s="1" t="s">
        <v>230</v>
      </c>
      <c r="EA1237" s="1" t="s">
        <v>230</v>
      </c>
      <c r="EE1237" s="1" t="s">
        <v>230</v>
      </c>
      <c r="EI1237" s="1" t="s">
        <v>230</v>
      </c>
      <c r="EL1237" s="1" t="s">
        <v>670</v>
      </c>
      <c r="EM1237" s="1" t="s">
        <v>232</v>
      </c>
      <c r="EN1237" s="1" t="s">
        <v>282</v>
      </c>
      <c r="EO1237" s="1" t="s">
        <v>234</v>
      </c>
      <c r="EP1237" s="1" t="s">
        <v>2643</v>
      </c>
      <c r="EQ1237" s="1" t="s">
        <v>1094</v>
      </c>
      <c r="ER1237" s="1" t="s">
        <v>210</v>
      </c>
      <c r="EU1237" s="1" t="s">
        <v>1110</v>
      </c>
      <c r="EW1237" s="1" t="s">
        <v>887</v>
      </c>
      <c r="EY1237" s="1" t="s">
        <v>790</v>
      </c>
      <c r="EZ1237" s="1" t="s">
        <v>1770</v>
      </c>
      <c r="FD1237" s="1" t="s">
        <v>246</v>
      </c>
      <c r="FE1237" s="1" t="s">
        <v>870</v>
      </c>
      <c r="FF1237" s="1" t="s">
        <v>248</v>
      </c>
      <c r="FH1237" s="1" t="s">
        <v>249</v>
      </c>
      <c r="FL1237" s="1" t="s">
        <v>358</v>
      </c>
      <c r="FM1237" s="1" t="s">
        <v>252</v>
      </c>
      <c r="FN1237" s="1" t="s">
        <v>213</v>
      </c>
      <c r="FO1237" s="1" t="s">
        <v>213</v>
      </c>
      <c r="FQ1237" s="1" t="s">
        <v>1599</v>
      </c>
      <c r="FR1237" s="1" t="s">
        <v>210</v>
      </c>
      <c r="FS1237" s="1" t="s">
        <v>12669</v>
      </c>
      <c r="FT1237" s="1" t="s">
        <v>295</v>
      </c>
      <c r="FU1237" s="1" t="s">
        <v>204</v>
      </c>
      <c r="FW1237" s="1" t="s">
        <v>12670</v>
      </c>
      <c r="FX1237" s="1">
        <v>3913</v>
      </c>
      <c r="FY1237" s="1" t="s">
        <v>12671</v>
      </c>
      <c r="FZ1237" s="1" t="s">
        <v>12672</v>
      </c>
      <c r="GA1237" s="1">
        <v>32108</v>
      </c>
      <c r="GB1237" s="1" t="s">
        <v>12673</v>
      </c>
      <c r="GE1237" s="1" t="s">
        <v>1333</v>
      </c>
      <c r="GI1237" s="1" t="s">
        <v>213</v>
      </c>
      <c r="GJ1237" s="1" t="s">
        <v>260</v>
      </c>
      <c r="GK1237" s="1" t="s">
        <v>210</v>
      </c>
      <c r="GL1237" s="2">
        <v>42114</v>
      </c>
    </row>
    <row r="1238" spans="1:195">
      <c r="A1238" s="1">
        <v>109900</v>
      </c>
      <c r="B1238" s="1" t="s">
        <v>195</v>
      </c>
      <c r="C1238" s="1" t="str">
        <f>"08858155"</f>
        <v>08858155</v>
      </c>
      <c r="D1238" s="1" t="s">
        <v>196</v>
      </c>
      <c r="F1238" s="1" t="str">
        <f>"123"</f>
        <v>123</v>
      </c>
      <c r="G1238" s="2">
        <v>42074</v>
      </c>
      <c r="H1238" s="1">
        <v>109900</v>
      </c>
      <c r="I1238" s="1">
        <v>109900</v>
      </c>
      <c r="J1238" s="1">
        <v>109900</v>
      </c>
      <c r="K1238" s="2">
        <v>42074</v>
      </c>
      <c r="L1238" s="1">
        <v>10</v>
      </c>
      <c r="M1238" s="2">
        <v>42083</v>
      </c>
      <c r="N1238" s="1">
        <v>10</v>
      </c>
      <c r="O1238" s="2">
        <v>42083</v>
      </c>
      <c r="P1238" s="1">
        <v>79910</v>
      </c>
      <c r="Q1238" s="1" t="s">
        <v>423</v>
      </c>
      <c r="R1238" s="2">
        <v>42123</v>
      </c>
      <c r="S1238" s="1">
        <v>704115</v>
      </c>
      <c r="U1238" s="1">
        <v>1326</v>
      </c>
      <c r="V1238" s="1" t="s">
        <v>12674</v>
      </c>
      <c r="W1238" s="1" t="s">
        <v>725</v>
      </c>
      <c r="Y1238" s="1">
        <v>1</v>
      </c>
      <c r="Z1238" s="1" t="s">
        <v>200</v>
      </c>
      <c r="AA1238" s="1" t="s">
        <v>1173</v>
      </c>
      <c r="AB1238" s="1">
        <v>60123</v>
      </c>
      <c r="AD1238" s="1" t="s">
        <v>12675</v>
      </c>
      <c r="AE1238" s="1" t="s">
        <v>12676</v>
      </c>
      <c r="AF1238" s="1">
        <v>1963</v>
      </c>
      <c r="AG1238" s="1" t="s">
        <v>213</v>
      </c>
      <c r="AH1238" s="1" t="s">
        <v>1175</v>
      </c>
      <c r="AI1238" s="1" t="s">
        <v>665</v>
      </c>
      <c r="AJ1238" s="1" t="s">
        <v>1175</v>
      </c>
      <c r="AL1238" s="1">
        <v>4</v>
      </c>
      <c r="AM1238" s="1">
        <v>2</v>
      </c>
      <c r="AN1238" s="1">
        <v>1</v>
      </c>
      <c r="AO1238" s="1">
        <v>0</v>
      </c>
      <c r="AP1238" s="1" t="s">
        <v>210</v>
      </c>
      <c r="AR1238" s="1" t="s">
        <v>209</v>
      </c>
      <c r="AS1238" s="1" t="s">
        <v>204</v>
      </c>
      <c r="AT1238" s="1" t="s">
        <v>211</v>
      </c>
      <c r="AU1238" s="1">
        <v>1</v>
      </c>
      <c r="AW1238" s="1" t="s">
        <v>204</v>
      </c>
      <c r="AX1238" s="1" t="s">
        <v>12677</v>
      </c>
      <c r="AZ1238" s="1">
        <v>2780</v>
      </c>
      <c r="BA1238" s="1">
        <v>2013</v>
      </c>
      <c r="BB1238" s="1" t="s">
        <v>405</v>
      </c>
      <c r="BE1238" s="1">
        <v>1015</v>
      </c>
      <c r="BF1238" s="1">
        <v>1</v>
      </c>
      <c r="BG1238" s="1">
        <v>0</v>
      </c>
      <c r="BL1238" s="1">
        <v>0</v>
      </c>
      <c r="BM1238" s="1" t="s">
        <v>204</v>
      </c>
      <c r="BN1238" s="1" t="s">
        <v>213</v>
      </c>
      <c r="BO1238" s="1">
        <v>50</v>
      </c>
      <c r="BP1238" s="1" t="s">
        <v>204</v>
      </c>
      <c r="BR1238" s="1" t="str">
        <f>"0610452015"</f>
        <v>0610452015</v>
      </c>
      <c r="BT1238" s="1" t="s">
        <v>12678</v>
      </c>
      <c r="BX1238" s="1">
        <v>46</v>
      </c>
      <c r="BY1238" s="1">
        <v>46</v>
      </c>
      <c r="BZ1238" s="1">
        <v>46</v>
      </c>
      <c r="CB1238" s="1" t="str">
        <f t="shared" ref="CB1238:CC1238" si="954">""</f>
        <v/>
      </c>
      <c r="CC1238" s="1" t="str">
        <f t="shared" si="954"/>
        <v/>
      </c>
      <c r="CG1238" s="1" t="s">
        <v>861</v>
      </c>
      <c r="CH1238" s="1" t="s">
        <v>219</v>
      </c>
      <c r="CI1238" s="1" t="s">
        <v>438</v>
      </c>
      <c r="CK1238" s="1" t="s">
        <v>602</v>
      </c>
      <c r="CL1238" s="1" t="s">
        <v>219</v>
      </c>
      <c r="CM1238" s="1" t="s">
        <v>438</v>
      </c>
      <c r="CP1238" s="1" t="s">
        <v>224</v>
      </c>
      <c r="CS1238" s="1" t="s">
        <v>317</v>
      </c>
      <c r="CT1238" s="1" t="s">
        <v>219</v>
      </c>
      <c r="CU1238" s="1" t="s">
        <v>438</v>
      </c>
      <c r="CX1238" s="1" t="s">
        <v>224</v>
      </c>
      <c r="DB1238" s="1" t="s">
        <v>224</v>
      </c>
      <c r="DE1238" s="1" t="s">
        <v>786</v>
      </c>
      <c r="DF1238" s="1" t="s">
        <v>219</v>
      </c>
      <c r="DG1238" s="1" t="s">
        <v>342</v>
      </c>
      <c r="DJ1238" s="1" t="s">
        <v>224</v>
      </c>
      <c r="DS1238" s="1" t="s">
        <v>230</v>
      </c>
      <c r="DW1238" s="1" t="s">
        <v>230</v>
      </c>
      <c r="EA1238" s="1" t="s">
        <v>230</v>
      </c>
      <c r="EE1238" s="1" t="s">
        <v>230</v>
      </c>
      <c r="EI1238" s="1" t="s">
        <v>230</v>
      </c>
      <c r="EL1238" s="1" t="s">
        <v>649</v>
      </c>
      <c r="EM1238" s="1" t="s">
        <v>319</v>
      </c>
      <c r="EN1238" s="1" t="s">
        <v>1158</v>
      </c>
      <c r="EO1238" s="1" t="s">
        <v>234</v>
      </c>
      <c r="EQ1238" s="1" t="s">
        <v>350</v>
      </c>
      <c r="ER1238" s="1" t="s">
        <v>1249</v>
      </c>
      <c r="ES1238" s="1" t="s">
        <v>322</v>
      </c>
      <c r="EU1238" s="1" t="s">
        <v>546</v>
      </c>
      <c r="EW1238" s="1" t="s">
        <v>210</v>
      </c>
      <c r="EY1238" s="1" t="s">
        <v>242</v>
      </c>
      <c r="EZ1238" s="1" t="s">
        <v>287</v>
      </c>
      <c r="FD1238" s="1" t="s">
        <v>246</v>
      </c>
      <c r="FE1238" s="1" t="s">
        <v>247</v>
      </c>
      <c r="FF1238" s="1" t="s">
        <v>248</v>
      </c>
      <c r="FH1238" s="1" t="s">
        <v>442</v>
      </c>
      <c r="FI1238" s="1" t="s">
        <v>473</v>
      </c>
      <c r="FJ1238" s="1" t="s">
        <v>1251</v>
      </c>
      <c r="FL1238" s="1" t="s">
        <v>2370</v>
      </c>
      <c r="FM1238" s="1" t="s">
        <v>252</v>
      </c>
      <c r="FN1238" s="1" t="s">
        <v>213</v>
      </c>
      <c r="FO1238" s="1" t="s">
        <v>213</v>
      </c>
      <c r="FQ1238" s="1" t="s">
        <v>3616</v>
      </c>
      <c r="FR1238" s="1" t="s">
        <v>210</v>
      </c>
      <c r="FS1238" s="1" t="s">
        <v>12520</v>
      </c>
      <c r="FT1238" s="1" t="s">
        <v>295</v>
      </c>
      <c r="FU1238" s="1" t="s">
        <v>204</v>
      </c>
      <c r="FW1238" s="1" t="s">
        <v>1097</v>
      </c>
      <c r="FX1238" s="1">
        <v>7661</v>
      </c>
      <c r="FY1238" s="1" t="s">
        <v>7072</v>
      </c>
      <c r="FZ1238" s="1" t="s">
        <v>12679</v>
      </c>
      <c r="GA1238" s="1">
        <v>77160</v>
      </c>
      <c r="GB1238" s="1" t="s">
        <v>12680</v>
      </c>
      <c r="GE1238" s="1" t="s">
        <v>210</v>
      </c>
      <c r="GI1238" s="1" t="s">
        <v>213</v>
      </c>
      <c r="GJ1238" s="1" t="s">
        <v>260</v>
      </c>
      <c r="GK1238" s="1" t="s">
        <v>210</v>
      </c>
      <c r="GL1238" s="2">
        <v>42124</v>
      </c>
    </row>
    <row r="1239" spans="1:195">
      <c r="A1239" s="1">
        <v>153000</v>
      </c>
      <c r="B1239" s="1" t="s">
        <v>195</v>
      </c>
      <c r="C1239" s="1" t="str">
        <f>"08855436"</f>
        <v>08855436</v>
      </c>
      <c r="D1239" s="1" t="s">
        <v>196</v>
      </c>
      <c r="F1239" s="1" t="str">
        <f>"139"</f>
        <v>139</v>
      </c>
      <c r="G1239" s="2">
        <v>42070</v>
      </c>
      <c r="H1239" s="1">
        <v>157900</v>
      </c>
      <c r="I1239" s="1">
        <v>157900</v>
      </c>
      <c r="J1239" s="1">
        <v>153000</v>
      </c>
      <c r="K1239" s="2">
        <v>42070</v>
      </c>
      <c r="L1239" s="1">
        <v>8</v>
      </c>
      <c r="M1239" s="2">
        <v>42077</v>
      </c>
      <c r="N1239" s="1">
        <v>8</v>
      </c>
      <c r="O1239" s="2">
        <v>42077</v>
      </c>
      <c r="P1239" s="1">
        <v>25003</v>
      </c>
      <c r="Q1239" s="1" t="s">
        <v>423</v>
      </c>
      <c r="R1239" s="2">
        <v>42139</v>
      </c>
      <c r="S1239" s="1">
        <v>243127</v>
      </c>
      <c r="U1239" s="1">
        <v>1471</v>
      </c>
      <c r="V1239" s="1" t="s">
        <v>6460</v>
      </c>
      <c r="W1239" s="1" t="s">
        <v>264</v>
      </c>
      <c r="Y1239" s="1">
        <v>6</v>
      </c>
      <c r="Z1239" s="1" t="s">
        <v>370</v>
      </c>
      <c r="AA1239" s="1" t="s">
        <v>1732</v>
      </c>
      <c r="AB1239" s="1">
        <v>60139</v>
      </c>
      <c r="AD1239" s="1" t="s">
        <v>6461</v>
      </c>
      <c r="AE1239" s="1" t="s">
        <v>12681</v>
      </c>
      <c r="AF1239" s="1">
        <v>1987</v>
      </c>
      <c r="AG1239" s="1" t="s">
        <v>204</v>
      </c>
      <c r="AH1239" s="1" t="s">
        <v>1735</v>
      </c>
      <c r="AI1239" s="1" t="s">
        <v>206</v>
      </c>
      <c r="AJ1239" s="1" t="s">
        <v>269</v>
      </c>
      <c r="AK1239" s="1" t="s">
        <v>8538</v>
      </c>
      <c r="AL1239" s="1">
        <v>5</v>
      </c>
      <c r="AM1239" s="1">
        <v>2</v>
      </c>
      <c r="AN1239" s="1">
        <v>2</v>
      </c>
      <c r="AO1239" s="1">
        <v>1</v>
      </c>
      <c r="AP1239" s="1" t="s">
        <v>209</v>
      </c>
      <c r="AR1239" s="1" t="s">
        <v>210</v>
      </c>
      <c r="AS1239" s="1" t="s">
        <v>204</v>
      </c>
      <c r="AT1239" s="1" t="s">
        <v>211</v>
      </c>
      <c r="AU1239" s="1">
        <v>1</v>
      </c>
      <c r="AW1239" s="1" t="s">
        <v>204</v>
      </c>
      <c r="AX1239" s="1" t="s">
        <v>12682</v>
      </c>
      <c r="AZ1239" s="1">
        <v>4339</v>
      </c>
      <c r="BA1239" s="1">
        <v>2013</v>
      </c>
      <c r="BB1239" s="1" t="s">
        <v>405</v>
      </c>
      <c r="BE1239" s="1">
        <v>1248</v>
      </c>
      <c r="BF1239" s="1">
        <v>1</v>
      </c>
      <c r="BG1239" s="1">
        <v>0</v>
      </c>
      <c r="BL1239" s="1">
        <v>198</v>
      </c>
      <c r="BM1239" s="1" t="s">
        <v>204</v>
      </c>
      <c r="BN1239" s="1" t="s">
        <v>213</v>
      </c>
      <c r="BO1239" s="1">
        <v>999</v>
      </c>
      <c r="BP1239" s="1" t="s">
        <v>204</v>
      </c>
      <c r="BR1239" s="1" t="str">
        <f>"0233206130"</f>
        <v>0233206130</v>
      </c>
      <c r="BT1239" s="1" t="s">
        <v>12683</v>
      </c>
      <c r="BU1239" s="1" t="s">
        <v>7513</v>
      </c>
      <c r="BV1239" s="1" t="s">
        <v>3645</v>
      </c>
      <c r="BW1239" s="1" t="s">
        <v>2169</v>
      </c>
      <c r="BX1239" s="1">
        <v>16</v>
      </c>
      <c r="BY1239" s="1">
        <v>16</v>
      </c>
      <c r="BZ1239" s="1">
        <v>87</v>
      </c>
      <c r="CB1239" s="1" t="str">
        <f>"2"</f>
        <v>2</v>
      </c>
      <c r="CC1239" s="1" t="str">
        <f>"0"</f>
        <v>0</v>
      </c>
      <c r="CD1239" s="1">
        <v>24</v>
      </c>
      <c r="CE1239" s="1">
        <v>0</v>
      </c>
      <c r="CG1239" s="1" t="s">
        <v>2042</v>
      </c>
      <c r="CH1239" s="1" t="s">
        <v>219</v>
      </c>
      <c r="CI1239" s="1" t="s">
        <v>220</v>
      </c>
      <c r="CJ1239" s="1" t="s">
        <v>343</v>
      </c>
      <c r="CK1239" s="1" t="s">
        <v>757</v>
      </c>
      <c r="CL1239" s="1" t="s">
        <v>277</v>
      </c>
      <c r="CM1239" s="1" t="s">
        <v>220</v>
      </c>
      <c r="CN1239" s="1" t="s">
        <v>343</v>
      </c>
      <c r="CO1239" s="1" t="s">
        <v>629</v>
      </c>
      <c r="CP1239" s="1" t="s">
        <v>219</v>
      </c>
      <c r="CR1239" s="1" t="s">
        <v>210</v>
      </c>
      <c r="CS1239" s="1" t="s">
        <v>465</v>
      </c>
      <c r="CT1239" s="1" t="s">
        <v>277</v>
      </c>
      <c r="CU1239" s="1" t="s">
        <v>220</v>
      </c>
      <c r="CV1239" s="1" t="s">
        <v>343</v>
      </c>
      <c r="CX1239" s="1" t="s">
        <v>224</v>
      </c>
      <c r="DB1239" s="1" t="s">
        <v>224</v>
      </c>
      <c r="DE1239" s="1" t="s">
        <v>837</v>
      </c>
      <c r="DF1239" s="1" t="s">
        <v>219</v>
      </c>
      <c r="DG1239" s="1" t="s">
        <v>229</v>
      </c>
      <c r="DJ1239" s="1" t="s">
        <v>224</v>
      </c>
      <c r="DM1239" s="1" t="s">
        <v>1770</v>
      </c>
      <c r="DR1239" s="1" t="s">
        <v>6174</v>
      </c>
      <c r="DS1239" s="1" t="s">
        <v>277</v>
      </c>
      <c r="DW1239" s="1" t="s">
        <v>230</v>
      </c>
      <c r="EA1239" s="1" t="s">
        <v>230</v>
      </c>
      <c r="EE1239" s="1" t="s">
        <v>230</v>
      </c>
      <c r="EI1239" s="1" t="s">
        <v>230</v>
      </c>
      <c r="EL1239" s="1" t="s">
        <v>542</v>
      </c>
      <c r="EM1239" s="1" t="s">
        <v>232</v>
      </c>
      <c r="EN1239" s="1" t="s">
        <v>282</v>
      </c>
      <c r="EO1239" s="1" t="s">
        <v>234</v>
      </c>
      <c r="EP1239" s="1" t="s">
        <v>12684</v>
      </c>
      <c r="EQ1239" s="1" t="s">
        <v>236</v>
      </c>
      <c r="ER1239" s="1" t="s">
        <v>210</v>
      </c>
      <c r="ES1239" s="1" t="s">
        <v>824</v>
      </c>
      <c r="EU1239" s="1" t="s">
        <v>3377</v>
      </c>
      <c r="EV1239" s="1" t="s">
        <v>240</v>
      </c>
      <c r="EW1239" s="1" t="s">
        <v>12685</v>
      </c>
      <c r="EY1239" s="1" t="s">
        <v>242</v>
      </c>
      <c r="EZ1239" s="1" t="s">
        <v>1770</v>
      </c>
      <c r="FA1239" s="1" t="s">
        <v>714</v>
      </c>
      <c r="FB1239" s="1" t="s">
        <v>289</v>
      </c>
      <c r="FD1239" s="1" t="s">
        <v>246</v>
      </c>
      <c r="FE1239" s="1" t="s">
        <v>975</v>
      </c>
      <c r="FF1239" s="1" t="s">
        <v>248</v>
      </c>
      <c r="FH1239" s="1" t="s">
        <v>550</v>
      </c>
      <c r="FI1239" s="1" t="s">
        <v>473</v>
      </c>
      <c r="FL1239" s="1" t="s">
        <v>358</v>
      </c>
      <c r="FM1239" s="1" t="s">
        <v>252</v>
      </c>
      <c r="FN1239" s="1" t="s">
        <v>213</v>
      </c>
      <c r="FO1239" s="1" t="s">
        <v>213</v>
      </c>
      <c r="FQ1239" s="1" t="s">
        <v>1599</v>
      </c>
      <c r="FR1239" s="1" t="s">
        <v>210</v>
      </c>
      <c r="FS1239" s="1" t="s">
        <v>12686</v>
      </c>
      <c r="FT1239" s="1" t="s">
        <v>12687</v>
      </c>
      <c r="FU1239" s="1" t="s">
        <v>204</v>
      </c>
      <c r="FW1239" s="1" t="s">
        <v>2726</v>
      </c>
      <c r="FX1239" s="1">
        <v>1109</v>
      </c>
      <c r="FY1239" s="1" t="s">
        <v>2727</v>
      </c>
      <c r="FZ1239" s="1" t="s">
        <v>12688</v>
      </c>
      <c r="GA1239" s="1">
        <v>920776</v>
      </c>
      <c r="GB1239" s="1" t="s">
        <v>12689</v>
      </c>
      <c r="GE1239" s="1" t="s">
        <v>1764</v>
      </c>
      <c r="GI1239" s="1" t="s">
        <v>213</v>
      </c>
      <c r="GJ1239" s="1" t="s">
        <v>260</v>
      </c>
      <c r="GK1239" s="1" t="s">
        <v>261</v>
      </c>
      <c r="GL1239" s="2">
        <v>42140</v>
      </c>
      <c r="GM1239" s="1" t="s">
        <v>12690</v>
      </c>
    </row>
    <row r="1240" spans="1:195">
      <c r="A1240" s="1">
        <v>7000</v>
      </c>
      <c r="B1240" s="1" t="s">
        <v>195</v>
      </c>
      <c r="C1240" s="1" t="str">
        <f>"08861478"</f>
        <v>08861478</v>
      </c>
      <c r="D1240" s="1" t="s">
        <v>196</v>
      </c>
      <c r="F1240" s="1" t="str">
        <f>"2104"</f>
        <v>2104</v>
      </c>
      <c r="G1240" s="2">
        <v>42077</v>
      </c>
      <c r="H1240" s="1">
        <v>7900</v>
      </c>
      <c r="I1240" s="1">
        <v>6900</v>
      </c>
      <c r="J1240" s="1">
        <v>7000</v>
      </c>
      <c r="K1240" s="2">
        <v>42075</v>
      </c>
      <c r="L1240" s="1">
        <v>44</v>
      </c>
      <c r="M1240" s="2">
        <v>42118</v>
      </c>
      <c r="N1240" s="1">
        <v>44</v>
      </c>
      <c r="O1240" s="2">
        <v>42118</v>
      </c>
      <c r="P1240" s="1">
        <v>8055</v>
      </c>
      <c r="Q1240" s="1" t="s">
        <v>302</v>
      </c>
      <c r="R1240" s="2">
        <v>42143</v>
      </c>
      <c r="S1240" s="1">
        <v>923321</v>
      </c>
      <c r="U1240" s="1">
        <v>3600</v>
      </c>
      <c r="V1240" s="1" t="s">
        <v>1061</v>
      </c>
      <c r="W1240" s="1" t="s">
        <v>425</v>
      </c>
      <c r="X1240" s="1" t="s">
        <v>12691</v>
      </c>
      <c r="Y1240" s="1">
        <v>5</v>
      </c>
      <c r="Z1240" s="1" t="s">
        <v>249</v>
      </c>
      <c r="AA1240" s="1" t="s">
        <v>3029</v>
      </c>
      <c r="AB1240" s="1">
        <v>60104</v>
      </c>
      <c r="AE1240" s="1" t="s">
        <v>12692</v>
      </c>
      <c r="AF1240" s="1">
        <v>1965</v>
      </c>
      <c r="AG1240" s="1" t="s">
        <v>213</v>
      </c>
      <c r="AH1240" s="1" t="s">
        <v>3031</v>
      </c>
      <c r="AI1240" s="1" t="s">
        <v>310</v>
      </c>
      <c r="AJ1240" s="1" t="s">
        <v>429</v>
      </c>
      <c r="AL1240" s="1">
        <v>4</v>
      </c>
      <c r="AM1240" s="1">
        <v>2</v>
      </c>
      <c r="AN1240" s="1">
        <v>1</v>
      </c>
      <c r="AO1240" s="1">
        <v>0</v>
      </c>
      <c r="AP1240" s="1" t="s">
        <v>210</v>
      </c>
      <c r="AR1240" s="1" t="s">
        <v>210</v>
      </c>
      <c r="AS1240" s="1" t="s">
        <v>204</v>
      </c>
      <c r="AT1240" s="1" t="s">
        <v>271</v>
      </c>
      <c r="AV1240" s="1">
        <v>1</v>
      </c>
      <c r="AW1240" s="1" t="s">
        <v>204</v>
      </c>
      <c r="AX1240" s="1">
        <v>6250</v>
      </c>
      <c r="AZ1240" s="1">
        <v>2045.92</v>
      </c>
      <c r="BA1240" s="1">
        <v>2013</v>
      </c>
      <c r="BB1240" s="1" t="s">
        <v>210</v>
      </c>
      <c r="BE1240" s="1">
        <v>750</v>
      </c>
      <c r="BF1240" s="1" t="s">
        <v>1688</v>
      </c>
      <c r="BG1240" s="1">
        <v>0</v>
      </c>
      <c r="BJ1240" s="1">
        <v>0</v>
      </c>
      <c r="BL1240" s="1">
        <v>0</v>
      </c>
      <c r="BM1240" s="1" t="s">
        <v>204</v>
      </c>
      <c r="BN1240" s="1" t="s">
        <v>213</v>
      </c>
      <c r="BO1240" s="1">
        <v>0</v>
      </c>
      <c r="BP1240" s="1" t="s">
        <v>204</v>
      </c>
      <c r="BR1240" s="1" t="str">
        <f>"15093211481001"</f>
        <v>15093211481001</v>
      </c>
      <c r="BT1240" s="1" t="s">
        <v>12693</v>
      </c>
      <c r="BX1240" s="1">
        <v>88</v>
      </c>
      <c r="BY1240" s="1">
        <v>88</v>
      </c>
      <c r="BZ1240" s="1">
        <v>209</v>
      </c>
      <c r="CB1240" s="1" t="str">
        <f t="shared" ref="CB1240:CC1240" si="955">""</f>
        <v/>
      </c>
      <c r="CC1240" s="1" t="str">
        <f t="shared" si="955"/>
        <v/>
      </c>
      <c r="CD1240" s="1">
        <v>13</v>
      </c>
      <c r="CG1240" s="1" t="s">
        <v>1853</v>
      </c>
      <c r="CH1240" s="1" t="s">
        <v>219</v>
      </c>
      <c r="CK1240" s="1" t="s">
        <v>378</v>
      </c>
      <c r="CL1240" s="1" t="s">
        <v>219</v>
      </c>
      <c r="CP1240" s="1" t="s">
        <v>224</v>
      </c>
      <c r="CS1240" s="1" t="s">
        <v>1854</v>
      </c>
      <c r="CT1240" s="1" t="s">
        <v>219</v>
      </c>
      <c r="CX1240" s="1" t="s">
        <v>224</v>
      </c>
      <c r="DB1240" s="1" t="s">
        <v>224</v>
      </c>
      <c r="DE1240" s="1" t="s">
        <v>1403</v>
      </c>
      <c r="DF1240" s="1" t="s">
        <v>219</v>
      </c>
      <c r="DJ1240" s="1" t="s">
        <v>224</v>
      </c>
      <c r="DS1240" s="1" t="s">
        <v>230</v>
      </c>
      <c r="DW1240" s="1" t="s">
        <v>230</v>
      </c>
      <c r="EA1240" s="1" t="s">
        <v>230</v>
      </c>
      <c r="EE1240" s="1" t="s">
        <v>230</v>
      </c>
      <c r="EI1240" s="1" t="s">
        <v>230</v>
      </c>
      <c r="EL1240" s="1" t="s">
        <v>605</v>
      </c>
      <c r="EM1240" s="1" t="s">
        <v>319</v>
      </c>
      <c r="EN1240" s="1" t="s">
        <v>210</v>
      </c>
      <c r="EO1240" s="1" t="s">
        <v>234</v>
      </c>
      <c r="ER1240" s="1" t="s">
        <v>210</v>
      </c>
      <c r="ES1240" s="1" t="s">
        <v>322</v>
      </c>
      <c r="EW1240" s="1" t="s">
        <v>210</v>
      </c>
      <c r="EZ1240" s="1" t="s">
        <v>287</v>
      </c>
      <c r="FB1240" s="1" t="s">
        <v>734</v>
      </c>
      <c r="FC1240" s="1" t="s">
        <v>326</v>
      </c>
      <c r="FD1240" s="1" t="s">
        <v>246</v>
      </c>
      <c r="FE1240" s="1" t="s">
        <v>247</v>
      </c>
      <c r="FF1240" s="1" t="s">
        <v>248</v>
      </c>
      <c r="FH1240" s="1" t="s">
        <v>249</v>
      </c>
      <c r="FJ1240" s="1" t="s">
        <v>2046</v>
      </c>
      <c r="FK1240" s="1" t="s">
        <v>2522</v>
      </c>
      <c r="FL1240" s="1" t="s">
        <v>6699</v>
      </c>
      <c r="FM1240" s="1" t="s">
        <v>252</v>
      </c>
      <c r="FN1240" s="1" t="s">
        <v>213</v>
      </c>
      <c r="FO1240" s="1" t="s">
        <v>213</v>
      </c>
      <c r="FQ1240" s="1" t="s">
        <v>12694</v>
      </c>
      <c r="FR1240" s="1" t="s">
        <v>210</v>
      </c>
      <c r="FS1240" s="1" t="s">
        <v>12695</v>
      </c>
      <c r="FT1240" s="1" t="s">
        <v>584</v>
      </c>
      <c r="FU1240" s="1" t="s">
        <v>204</v>
      </c>
      <c r="FW1240" s="1" t="s">
        <v>10730</v>
      </c>
      <c r="FX1240" s="1">
        <v>40335</v>
      </c>
      <c r="FY1240" s="1" t="s">
        <v>10731</v>
      </c>
      <c r="FZ1240" s="1" t="s">
        <v>10732</v>
      </c>
      <c r="GA1240" s="1">
        <v>401613</v>
      </c>
      <c r="GB1240" s="1" t="s">
        <v>10731</v>
      </c>
      <c r="GC1240" s="1">
        <v>408023</v>
      </c>
      <c r="GE1240" s="1" t="s">
        <v>210</v>
      </c>
      <c r="GI1240" s="1" t="s">
        <v>213</v>
      </c>
      <c r="GJ1240" s="1" t="s">
        <v>260</v>
      </c>
      <c r="GK1240" s="1" t="s">
        <v>210</v>
      </c>
      <c r="GL1240" s="2">
        <v>42143</v>
      </c>
      <c r="GM1240" s="1" t="s">
        <v>12696</v>
      </c>
    </row>
    <row r="1241" spans="1:195">
      <c r="A1241" s="1">
        <v>185000</v>
      </c>
      <c r="B1241" s="1" t="s">
        <v>195</v>
      </c>
      <c r="C1241" s="1" t="str">
        <f>"08864331"</f>
        <v>08864331</v>
      </c>
      <c r="D1241" s="1" t="s">
        <v>196</v>
      </c>
      <c r="F1241" s="1" t="str">
        <f>"148"</f>
        <v>148</v>
      </c>
      <c r="G1241" s="2">
        <v>42080</v>
      </c>
      <c r="H1241" s="1">
        <v>199900</v>
      </c>
      <c r="I1241" s="1">
        <v>199900</v>
      </c>
      <c r="J1241" s="1">
        <v>185000</v>
      </c>
      <c r="K1241" s="2">
        <v>42080</v>
      </c>
      <c r="L1241" s="1">
        <v>11</v>
      </c>
      <c r="M1241" s="2">
        <v>42090</v>
      </c>
      <c r="N1241" s="1">
        <v>11</v>
      </c>
      <c r="O1241" s="2">
        <v>42090</v>
      </c>
      <c r="P1241" s="1">
        <v>20179</v>
      </c>
      <c r="Q1241" s="1" t="s">
        <v>302</v>
      </c>
      <c r="R1241" s="2">
        <v>42145</v>
      </c>
      <c r="S1241" s="1">
        <v>239974</v>
      </c>
      <c r="U1241" s="1">
        <v>2020</v>
      </c>
      <c r="V1241" s="1" t="s">
        <v>12697</v>
      </c>
      <c r="W1241" s="1" t="s">
        <v>264</v>
      </c>
      <c r="X1241" s="1">
        <v>303</v>
      </c>
      <c r="Y1241" s="1">
        <v>45</v>
      </c>
      <c r="Z1241" s="1" t="s">
        <v>249</v>
      </c>
      <c r="AA1241" s="1" t="s">
        <v>1927</v>
      </c>
      <c r="AB1241" s="1">
        <v>60148</v>
      </c>
      <c r="AD1241" s="1" t="s">
        <v>1928</v>
      </c>
      <c r="AE1241" s="1" t="s">
        <v>12698</v>
      </c>
      <c r="AF1241" s="1">
        <v>2001</v>
      </c>
      <c r="AG1241" s="1" t="s">
        <v>204</v>
      </c>
      <c r="AH1241" s="1" t="s">
        <v>1930</v>
      </c>
      <c r="AI1241" s="1" t="s">
        <v>206</v>
      </c>
      <c r="AJ1241" s="1" t="s">
        <v>1608</v>
      </c>
      <c r="AL1241" s="1">
        <v>5</v>
      </c>
      <c r="AM1241" s="1">
        <v>2</v>
      </c>
      <c r="AN1241" s="1">
        <v>2</v>
      </c>
      <c r="AO1241" s="1">
        <v>0</v>
      </c>
      <c r="AP1241" s="1" t="s">
        <v>209</v>
      </c>
      <c r="AR1241" s="1" t="s">
        <v>210</v>
      </c>
      <c r="AS1241" s="1" t="s">
        <v>204</v>
      </c>
      <c r="AT1241" s="1" t="s">
        <v>211</v>
      </c>
      <c r="AU1241" s="1">
        <v>1</v>
      </c>
      <c r="AW1241" s="1" t="s">
        <v>204</v>
      </c>
      <c r="AX1241" s="1" t="s">
        <v>212</v>
      </c>
      <c r="AZ1241" s="1">
        <v>3883.4</v>
      </c>
      <c r="BA1241" s="1">
        <v>2013</v>
      </c>
      <c r="BB1241" s="1" t="s">
        <v>405</v>
      </c>
      <c r="BE1241" s="1">
        <v>1351</v>
      </c>
      <c r="BF1241" s="1">
        <v>3</v>
      </c>
      <c r="BG1241" s="1">
        <v>0</v>
      </c>
      <c r="BL1241" s="1">
        <v>248</v>
      </c>
      <c r="BM1241" s="1" t="s">
        <v>413</v>
      </c>
      <c r="BN1241" s="1" t="s">
        <v>204</v>
      </c>
      <c r="BP1241" s="1" t="s">
        <v>204</v>
      </c>
      <c r="BR1241" s="1" t="str">
        <f>"0620417012"</f>
        <v>0620417012</v>
      </c>
      <c r="BT1241" s="1" t="s">
        <v>12699</v>
      </c>
      <c r="BU1241" s="1" t="s">
        <v>1933</v>
      </c>
      <c r="BV1241" s="1" t="s">
        <v>1934</v>
      </c>
      <c r="BW1241" s="1" t="s">
        <v>1935</v>
      </c>
      <c r="BX1241" s="1">
        <v>44</v>
      </c>
      <c r="BY1241" s="1">
        <v>44</v>
      </c>
      <c r="BZ1241" s="1">
        <v>87</v>
      </c>
      <c r="CB1241" s="1" t="str">
        <f t="shared" ref="CB1241:CC1241" si="956">"0"</f>
        <v>0</v>
      </c>
      <c r="CC1241" s="1" t="str">
        <f t="shared" si="956"/>
        <v>0</v>
      </c>
      <c r="CD1241" s="1">
        <v>19</v>
      </c>
      <c r="CE1241" s="1">
        <v>1</v>
      </c>
      <c r="CG1241" s="1" t="s">
        <v>1267</v>
      </c>
      <c r="CH1241" s="1" t="s">
        <v>219</v>
      </c>
      <c r="CI1241" s="1" t="s">
        <v>220</v>
      </c>
      <c r="CK1241" s="1" t="s">
        <v>461</v>
      </c>
      <c r="CL1241" s="1" t="s">
        <v>219</v>
      </c>
      <c r="CM1241" s="1" t="s">
        <v>220</v>
      </c>
      <c r="CO1241" s="1" t="s">
        <v>346</v>
      </c>
      <c r="CP1241" s="1" t="s">
        <v>219</v>
      </c>
      <c r="CQ1241" s="1" t="s">
        <v>220</v>
      </c>
      <c r="CS1241" s="1" t="s">
        <v>379</v>
      </c>
      <c r="CT1241" s="1" t="s">
        <v>219</v>
      </c>
      <c r="CU1241" s="1" t="s">
        <v>220</v>
      </c>
      <c r="CX1241" s="1" t="s">
        <v>224</v>
      </c>
      <c r="DB1241" s="1" t="s">
        <v>224</v>
      </c>
      <c r="DE1241" s="1" t="s">
        <v>3363</v>
      </c>
      <c r="DF1241" s="1" t="s">
        <v>219</v>
      </c>
      <c r="DG1241" s="1" t="s">
        <v>226</v>
      </c>
      <c r="DJ1241" s="1" t="s">
        <v>224</v>
      </c>
      <c r="DS1241" s="1" t="s">
        <v>230</v>
      </c>
      <c r="DW1241" s="1" t="s">
        <v>230</v>
      </c>
      <c r="EA1241" s="1" t="s">
        <v>230</v>
      </c>
      <c r="EE1241" s="1" t="s">
        <v>230</v>
      </c>
      <c r="EI1241" s="1" t="s">
        <v>230</v>
      </c>
      <c r="EL1241" s="1" t="s">
        <v>466</v>
      </c>
      <c r="EM1241" s="1" t="s">
        <v>232</v>
      </c>
      <c r="EN1241" s="1" t="s">
        <v>282</v>
      </c>
      <c r="EO1241" s="1" t="s">
        <v>234</v>
      </c>
      <c r="EP1241" s="1" t="s">
        <v>2497</v>
      </c>
      <c r="EQ1241" s="1" t="s">
        <v>492</v>
      </c>
      <c r="ER1241" s="1" t="s">
        <v>210</v>
      </c>
      <c r="ES1241" s="1" t="s">
        <v>322</v>
      </c>
      <c r="ET1241" s="1" t="s">
        <v>1404</v>
      </c>
      <c r="EU1241" s="1" t="s">
        <v>239</v>
      </c>
      <c r="EV1241" s="1" t="s">
        <v>240</v>
      </c>
      <c r="EW1241" s="1" t="s">
        <v>12700</v>
      </c>
      <c r="EY1241" s="1" t="s">
        <v>2455</v>
      </c>
      <c r="EZ1241" s="1" t="s">
        <v>287</v>
      </c>
      <c r="FA1241" s="1" t="s">
        <v>6331</v>
      </c>
      <c r="FB1241" s="1" t="s">
        <v>289</v>
      </c>
      <c r="FD1241" s="1" t="s">
        <v>1112</v>
      </c>
      <c r="FE1241" s="1" t="s">
        <v>247</v>
      </c>
      <c r="FF1241" s="1" t="s">
        <v>248</v>
      </c>
      <c r="FH1241" s="1" t="s">
        <v>249</v>
      </c>
      <c r="FI1241" s="1" t="s">
        <v>473</v>
      </c>
      <c r="FL1241" s="1" t="s">
        <v>358</v>
      </c>
      <c r="FM1241" s="1" t="s">
        <v>252</v>
      </c>
      <c r="FN1241" s="1" t="s">
        <v>213</v>
      </c>
      <c r="FO1241" s="1" t="s">
        <v>213</v>
      </c>
      <c r="FQ1241" s="1" t="s">
        <v>1599</v>
      </c>
      <c r="FR1241" s="1" t="s">
        <v>210</v>
      </c>
      <c r="FS1241" s="1" t="s">
        <v>12701</v>
      </c>
      <c r="FT1241" s="1" t="s">
        <v>362</v>
      </c>
      <c r="FU1241" s="1" t="s">
        <v>204</v>
      </c>
      <c r="FW1241" s="1" t="s">
        <v>8599</v>
      </c>
      <c r="FX1241" s="1">
        <v>22375</v>
      </c>
      <c r="FY1241" s="1" t="s">
        <v>8600</v>
      </c>
      <c r="FZ1241" s="1" t="s">
        <v>12702</v>
      </c>
      <c r="GA1241" s="1">
        <v>229944</v>
      </c>
      <c r="GB1241" s="1" t="s">
        <v>12703</v>
      </c>
      <c r="GE1241" s="1" t="s">
        <v>210</v>
      </c>
      <c r="GI1241" s="1" t="s">
        <v>213</v>
      </c>
      <c r="GJ1241" s="1" t="s">
        <v>260</v>
      </c>
      <c r="GK1241" s="1" t="s">
        <v>210</v>
      </c>
      <c r="GL1241" s="2">
        <v>42145</v>
      </c>
    </row>
    <row r="1242" spans="1:195">
      <c r="A1242" s="1">
        <v>137500</v>
      </c>
      <c r="B1242" s="1" t="s">
        <v>195</v>
      </c>
      <c r="C1242" s="1" t="str">
        <f>"08859241"</f>
        <v>08859241</v>
      </c>
      <c r="D1242" s="1" t="s">
        <v>196</v>
      </c>
      <c r="F1242" s="1" t="str">
        <f>"30"</f>
        <v>30</v>
      </c>
      <c r="G1242" s="2">
        <v>42075</v>
      </c>
      <c r="H1242" s="1">
        <v>137500</v>
      </c>
      <c r="I1242" s="1">
        <v>137500</v>
      </c>
      <c r="J1242" s="1">
        <v>137500</v>
      </c>
      <c r="K1242" s="2">
        <v>42075</v>
      </c>
      <c r="L1242" s="1">
        <v>6</v>
      </c>
      <c r="M1242" s="2">
        <v>42080</v>
      </c>
      <c r="N1242" s="1">
        <v>6</v>
      </c>
      <c r="O1242" s="2">
        <v>42080</v>
      </c>
      <c r="P1242" s="1">
        <v>2644</v>
      </c>
      <c r="Q1242" s="1" t="s">
        <v>197</v>
      </c>
      <c r="R1242" s="2">
        <v>42121</v>
      </c>
      <c r="S1242" s="1">
        <v>18736</v>
      </c>
      <c r="U1242" s="1">
        <v>18567</v>
      </c>
      <c r="V1242" s="1" t="s">
        <v>9328</v>
      </c>
      <c r="W1242" s="1" t="s">
        <v>304</v>
      </c>
      <c r="Y1242" s="1">
        <v>4</v>
      </c>
      <c r="Z1242" s="1" t="s">
        <v>370</v>
      </c>
      <c r="AA1242" s="1" t="s">
        <v>1834</v>
      </c>
      <c r="AB1242" s="1">
        <v>60030</v>
      </c>
      <c r="AE1242" s="1" t="s">
        <v>12704</v>
      </c>
      <c r="AF1242" s="1">
        <v>1995</v>
      </c>
      <c r="AG1242" s="1" t="s">
        <v>204</v>
      </c>
      <c r="AH1242" s="1" t="s">
        <v>882</v>
      </c>
      <c r="AI1242" s="1" t="s">
        <v>509</v>
      </c>
      <c r="AJ1242" s="1" t="s">
        <v>1061</v>
      </c>
      <c r="AL1242" s="1">
        <v>6</v>
      </c>
      <c r="AM1242" s="1">
        <v>2</v>
      </c>
      <c r="AN1242" s="1">
        <v>2</v>
      </c>
      <c r="AO1242" s="1">
        <v>1</v>
      </c>
      <c r="AP1242" s="1" t="s">
        <v>209</v>
      </c>
      <c r="AR1242" s="1" t="s">
        <v>10454</v>
      </c>
      <c r="AS1242" s="1" t="s">
        <v>204</v>
      </c>
      <c r="AT1242" s="1" t="s">
        <v>211</v>
      </c>
      <c r="AU1242" s="1">
        <v>2</v>
      </c>
      <c r="AW1242" s="1" t="s">
        <v>204</v>
      </c>
      <c r="AX1242" s="1" t="s">
        <v>212</v>
      </c>
      <c r="AZ1242" s="1">
        <v>4517.2700000000004</v>
      </c>
      <c r="BA1242" s="1">
        <v>2013</v>
      </c>
      <c r="BE1242" s="1">
        <v>1400</v>
      </c>
      <c r="BF1242" s="1">
        <v>1</v>
      </c>
      <c r="BG1242" s="1">
        <v>0</v>
      </c>
      <c r="BL1242" s="1">
        <v>180</v>
      </c>
      <c r="BM1242" s="1" t="s">
        <v>204</v>
      </c>
      <c r="BN1242" s="1" t="s">
        <v>213</v>
      </c>
      <c r="BO1242" s="1">
        <v>125</v>
      </c>
      <c r="BP1242" s="1" t="s">
        <v>204</v>
      </c>
      <c r="BR1242" s="1" t="str">
        <f>"07193060820000"</f>
        <v>07193060820000</v>
      </c>
      <c r="BT1242" s="1" t="s">
        <v>12705</v>
      </c>
      <c r="BX1242" s="1">
        <v>50</v>
      </c>
      <c r="BY1242" s="1">
        <v>50</v>
      </c>
      <c r="BZ1242" s="1">
        <v>121</v>
      </c>
      <c r="CB1242" s="1" t="str">
        <f t="shared" ref="CB1242:CC1242" si="957">""</f>
        <v/>
      </c>
      <c r="CC1242" s="1" t="str">
        <f t="shared" si="957"/>
        <v/>
      </c>
      <c r="CG1242" s="1" t="s">
        <v>628</v>
      </c>
      <c r="CH1242" s="1" t="s">
        <v>822</v>
      </c>
      <c r="CK1242" s="1" t="s">
        <v>1045</v>
      </c>
      <c r="CL1242" s="1" t="s">
        <v>277</v>
      </c>
      <c r="CO1242" s="1" t="s">
        <v>346</v>
      </c>
      <c r="CP1242" s="1" t="s">
        <v>219</v>
      </c>
      <c r="CS1242" s="1" t="s">
        <v>346</v>
      </c>
      <c r="CT1242" s="1" t="s">
        <v>277</v>
      </c>
      <c r="CX1242" s="1" t="s">
        <v>224</v>
      </c>
      <c r="DB1242" s="1" t="s">
        <v>224</v>
      </c>
      <c r="DE1242" s="1" t="s">
        <v>1358</v>
      </c>
      <c r="DF1242" s="1" t="s">
        <v>219</v>
      </c>
      <c r="DI1242" s="1" t="s">
        <v>346</v>
      </c>
      <c r="DJ1242" s="1" t="s">
        <v>822</v>
      </c>
      <c r="DS1242" s="1" t="s">
        <v>230</v>
      </c>
      <c r="DW1242" s="1" t="s">
        <v>230</v>
      </c>
      <c r="EA1242" s="1" t="s">
        <v>230</v>
      </c>
      <c r="EE1242" s="1" t="s">
        <v>230</v>
      </c>
      <c r="EI1242" s="1" t="s">
        <v>230</v>
      </c>
      <c r="EL1242" s="1" t="s">
        <v>670</v>
      </c>
      <c r="EM1242" s="1" t="s">
        <v>319</v>
      </c>
      <c r="EN1242" s="1" t="s">
        <v>282</v>
      </c>
      <c r="EO1242" s="1" t="s">
        <v>234</v>
      </c>
      <c r="ER1242" s="1" t="s">
        <v>544</v>
      </c>
      <c r="EW1242" s="1" t="s">
        <v>353</v>
      </c>
      <c r="EZ1242" s="1" t="s">
        <v>287</v>
      </c>
      <c r="FD1242" s="1" t="s">
        <v>246</v>
      </c>
      <c r="FE1242" s="1" t="s">
        <v>355</v>
      </c>
      <c r="FF1242" s="1" t="s">
        <v>248</v>
      </c>
      <c r="FH1242" s="1" t="s">
        <v>1428</v>
      </c>
      <c r="FL1242" s="1" t="s">
        <v>358</v>
      </c>
      <c r="FM1242" s="1" t="s">
        <v>252</v>
      </c>
      <c r="FN1242" s="1" t="s">
        <v>213</v>
      </c>
      <c r="FO1242" s="1" t="s">
        <v>213</v>
      </c>
      <c r="FQ1242" s="1" t="s">
        <v>12706</v>
      </c>
      <c r="FR1242" s="1" t="s">
        <v>210</v>
      </c>
      <c r="FS1242" s="1" t="s">
        <v>12707</v>
      </c>
      <c r="FT1242" s="1" t="s">
        <v>2589</v>
      </c>
      <c r="FU1242" s="1" t="s">
        <v>204</v>
      </c>
      <c r="FW1242" s="1" t="s">
        <v>5024</v>
      </c>
      <c r="FX1242" s="1">
        <v>1886</v>
      </c>
      <c r="FY1242" s="1" t="s">
        <v>5025</v>
      </c>
      <c r="FZ1242" s="1" t="s">
        <v>12708</v>
      </c>
      <c r="GA1242" s="1">
        <v>16107</v>
      </c>
      <c r="GB1242" s="1" t="s">
        <v>12709</v>
      </c>
      <c r="GE1242" s="1" t="s">
        <v>480</v>
      </c>
      <c r="GI1242" s="1" t="s">
        <v>204</v>
      </c>
      <c r="GJ1242" s="1" t="s">
        <v>260</v>
      </c>
      <c r="GK1242" s="1" t="s">
        <v>210</v>
      </c>
      <c r="GL1242" s="2">
        <v>42121</v>
      </c>
      <c r="GM1242" s="1" t="s">
        <v>12710</v>
      </c>
    </row>
    <row r="1243" spans="1:195">
      <c r="A1243" s="1">
        <v>129900</v>
      </c>
      <c r="B1243" s="1" t="s">
        <v>195</v>
      </c>
      <c r="C1243" s="1" t="str">
        <f>"08860995"</f>
        <v>08860995</v>
      </c>
      <c r="D1243" s="1" t="s">
        <v>196</v>
      </c>
      <c r="F1243" s="1" t="str">
        <f>"110"</f>
        <v>110</v>
      </c>
      <c r="G1243" s="2">
        <v>42076</v>
      </c>
      <c r="H1243" s="1">
        <v>129900</v>
      </c>
      <c r="I1243" s="1">
        <v>129900</v>
      </c>
      <c r="J1243" s="1">
        <v>129900</v>
      </c>
      <c r="K1243" s="2">
        <v>42076</v>
      </c>
      <c r="L1243" s="1">
        <v>2</v>
      </c>
      <c r="M1243" s="2">
        <v>42077</v>
      </c>
      <c r="N1243" s="1">
        <v>2</v>
      </c>
      <c r="O1243" s="2">
        <v>42077</v>
      </c>
      <c r="P1243" s="1">
        <v>2648</v>
      </c>
      <c r="Q1243" s="1" t="s">
        <v>197</v>
      </c>
      <c r="R1243" s="2">
        <v>42116</v>
      </c>
      <c r="S1243" s="1">
        <v>18093</v>
      </c>
      <c r="U1243" s="1">
        <v>235</v>
      </c>
      <c r="V1243" s="1" t="s">
        <v>12711</v>
      </c>
      <c r="W1243" s="1" t="s">
        <v>725</v>
      </c>
      <c r="X1243" s="1">
        <v>235</v>
      </c>
      <c r="Y1243" s="1">
        <v>2</v>
      </c>
      <c r="Z1243" s="1" t="s">
        <v>200</v>
      </c>
      <c r="AA1243" s="1" t="s">
        <v>803</v>
      </c>
      <c r="AB1243" s="1">
        <v>60110</v>
      </c>
      <c r="AD1243" s="1" t="s">
        <v>12712</v>
      </c>
      <c r="AE1243" s="1" t="s">
        <v>12713</v>
      </c>
      <c r="AF1243" s="1">
        <v>1991</v>
      </c>
      <c r="AG1243" s="1" t="s">
        <v>204</v>
      </c>
      <c r="AH1243" s="1" t="s">
        <v>2557</v>
      </c>
      <c r="AI1243" s="1" t="s">
        <v>665</v>
      </c>
      <c r="AJ1243" s="1" t="s">
        <v>805</v>
      </c>
      <c r="AK1243" s="1" t="s">
        <v>7874</v>
      </c>
      <c r="AL1243" s="1">
        <v>5</v>
      </c>
      <c r="AM1243" s="1">
        <v>2</v>
      </c>
      <c r="AN1243" s="1">
        <v>1</v>
      </c>
      <c r="AO1243" s="1">
        <v>1</v>
      </c>
      <c r="AP1243" s="1" t="s">
        <v>210</v>
      </c>
      <c r="AQ1243" s="1">
        <v>1</v>
      </c>
      <c r="AR1243" s="1" t="s">
        <v>2165</v>
      </c>
      <c r="AS1243" s="1" t="s">
        <v>204</v>
      </c>
      <c r="AT1243" s="1" t="s">
        <v>211</v>
      </c>
      <c r="AU1243" s="1">
        <v>1</v>
      </c>
      <c r="AW1243" s="1" t="s">
        <v>204</v>
      </c>
      <c r="AX1243" s="1" t="s">
        <v>12714</v>
      </c>
      <c r="AZ1243" s="1">
        <v>4523.58</v>
      </c>
      <c r="BA1243" s="1">
        <v>2013</v>
      </c>
      <c r="BB1243" s="1" t="s">
        <v>210</v>
      </c>
      <c r="BE1243" s="1">
        <v>1296</v>
      </c>
      <c r="BF1243" s="1">
        <v>1</v>
      </c>
      <c r="BG1243" s="1">
        <v>0</v>
      </c>
      <c r="BL1243" s="1">
        <v>0</v>
      </c>
      <c r="BM1243" s="1" t="s">
        <v>204</v>
      </c>
      <c r="BN1243" s="1" t="s">
        <v>213</v>
      </c>
      <c r="BO1243" s="1">
        <v>999</v>
      </c>
      <c r="BP1243" s="1" t="s">
        <v>204</v>
      </c>
      <c r="BR1243" s="1" t="str">
        <f>"0315333012"</f>
        <v>0315333012</v>
      </c>
      <c r="BT1243" s="1" t="s">
        <v>12715</v>
      </c>
      <c r="BU1243" s="1" t="s">
        <v>12716</v>
      </c>
      <c r="BV1243" s="1" t="s">
        <v>8986</v>
      </c>
      <c r="BW1243" s="1" t="s">
        <v>809</v>
      </c>
      <c r="BX1243" s="1">
        <v>300</v>
      </c>
      <c r="BY1243" s="1">
        <v>300</v>
      </c>
      <c r="BZ1243" s="1">
        <v>300</v>
      </c>
      <c r="CB1243" s="1" t="str">
        <f>"17"</f>
        <v>17</v>
      </c>
      <c r="CC1243" s="1" t="str">
        <f>"0"</f>
        <v>0</v>
      </c>
      <c r="CD1243" s="1">
        <v>34</v>
      </c>
      <c r="CE1243" s="1">
        <v>0</v>
      </c>
      <c r="CG1243" s="1" t="s">
        <v>581</v>
      </c>
      <c r="CH1243" s="1" t="s">
        <v>219</v>
      </c>
      <c r="CI1243" s="1" t="s">
        <v>229</v>
      </c>
      <c r="CJ1243" s="1" t="s">
        <v>210</v>
      </c>
      <c r="CK1243" s="1" t="s">
        <v>908</v>
      </c>
      <c r="CL1243" s="1" t="s">
        <v>277</v>
      </c>
      <c r="CM1243" s="1" t="s">
        <v>220</v>
      </c>
      <c r="CP1243" s="1" t="s">
        <v>224</v>
      </c>
      <c r="CS1243" s="1" t="s">
        <v>539</v>
      </c>
      <c r="CT1243" s="1" t="s">
        <v>277</v>
      </c>
      <c r="CU1243" s="1" t="s">
        <v>220</v>
      </c>
      <c r="CX1243" s="1" t="s">
        <v>224</v>
      </c>
      <c r="DB1243" s="1" t="s">
        <v>224</v>
      </c>
      <c r="DE1243" s="1" t="s">
        <v>344</v>
      </c>
      <c r="DF1243" s="1" t="s">
        <v>219</v>
      </c>
      <c r="DG1243" s="1" t="s">
        <v>226</v>
      </c>
      <c r="DH1243" s="1" t="s">
        <v>210</v>
      </c>
      <c r="DI1243" s="1" t="s">
        <v>314</v>
      </c>
      <c r="DJ1243" s="1" t="s">
        <v>43</v>
      </c>
      <c r="DK1243" s="1" t="s">
        <v>220</v>
      </c>
      <c r="DL1243" s="1" t="s">
        <v>210</v>
      </c>
      <c r="DS1243" s="1" t="s">
        <v>230</v>
      </c>
      <c r="DW1243" s="1" t="s">
        <v>230</v>
      </c>
      <c r="EA1243" s="1" t="s">
        <v>230</v>
      </c>
      <c r="EE1243" s="1" t="s">
        <v>230</v>
      </c>
      <c r="EI1243" s="1" t="s">
        <v>230</v>
      </c>
      <c r="EL1243" s="1" t="s">
        <v>382</v>
      </c>
      <c r="EM1243" s="1" t="s">
        <v>319</v>
      </c>
      <c r="EN1243" s="1" t="s">
        <v>282</v>
      </c>
      <c r="EO1243" s="1" t="s">
        <v>234</v>
      </c>
      <c r="EP1243" s="1" t="s">
        <v>650</v>
      </c>
      <c r="EQ1243" s="1" t="s">
        <v>350</v>
      </c>
      <c r="ER1243" s="1" t="s">
        <v>544</v>
      </c>
      <c r="ES1243" s="1" t="s">
        <v>322</v>
      </c>
      <c r="EU1243" s="1" t="s">
        <v>1573</v>
      </c>
      <c r="EW1243" s="1" t="s">
        <v>210</v>
      </c>
      <c r="EY1243" s="1" t="s">
        <v>242</v>
      </c>
      <c r="EZ1243" s="1" t="s">
        <v>287</v>
      </c>
      <c r="FA1243" s="1" t="s">
        <v>1072</v>
      </c>
      <c r="FC1243" s="1" t="s">
        <v>1405</v>
      </c>
      <c r="FD1243" s="1" t="s">
        <v>246</v>
      </c>
      <c r="FE1243" s="1" t="s">
        <v>889</v>
      </c>
      <c r="FF1243" s="1" t="s">
        <v>248</v>
      </c>
      <c r="FG1243" s="1" t="s">
        <v>1682</v>
      </c>
      <c r="FH1243" s="1" t="s">
        <v>442</v>
      </c>
      <c r="FI1243" s="1" t="s">
        <v>473</v>
      </c>
      <c r="FJ1243" s="1" t="s">
        <v>1620</v>
      </c>
      <c r="FL1243" s="1" t="s">
        <v>414</v>
      </c>
      <c r="FM1243" s="1" t="s">
        <v>252</v>
      </c>
      <c r="FN1243" s="1" t="s">
        <v>213</v>
      </c>
      <c r="FO1243" s="1" t="s">
        <v>213</v>
      </c>
      <c r="FQ1243" s="1" t="s">
        <v>1032</v>
      </c>
      <c r="FR1243" s="1" t="s">
        <v>210</v>
      </c>
      <c r="FS1243" s="1" t="s">
        <v>12717</v>
      </c>
      <c r="FT1243" s="1" t="s">
        <v>362</v>
      </c>
      <c r="FU1243" s="1" t="s">
        <v>213</v>
      </c>
      <c r="FW1243" s="1" t="s">
        <v>7024</v>
      </c>
      <c r="FX1243" s="1">
        <v>364</v>
      </c>
      <c r="FY1243" s="1" t="s">
        <v>7025</v>
      </c>
      <c r="FZ1243" s="1" t="s">
        <v>12718</v>
      </c>
      <c r="GA1243" s="1">
        <v>1834</v>
      </c>
      <c r="GB1243" s="1" t="s">
        <v>12719</v>
      </c>
      <c r="GD1243" s="1" t="s">
        <v>12720</v>
      </c>
      <c r="GE1243" s="1" t="s">
        <v>210</v>
      </c>
      <c r="GH1243" s="1" t="s">
        <v>230</v>
      </c>
      <c r="GI1243" s="1" t="s">
        <v>213</v>
      </c>
      <c r="GJ1243" s="1" t="s">
        <v>260</v>
      </c>
      <c r="GK1243" s="1" t="s">
        <v>210</v>
      </c>
      <c r="GL1243" s="2">
        <v>42118</v>
      </c>
      <c r="GM1243" s="1" t="s">
        <v>12721</v>
      </c>
    </row>
    <row r="1244" spans="1:195">
      <c r="A1244" s="1">
        <v>205000</v>
      </c>
      <c r="B1244" s="1" t="s">
        <v>195</v>
      </c>
      <c r="C1244" s="1" t="str">
        <f>"08872072"</f>
        <v>08872072</v>
      </c>
      <c r="D1244" s="1" t="s">
        <v>196</v>
      </c>
      <c r="F1244" s="1" t="str">
        <f>"187"</f>
        <v>187</v>
      </c>
      <c r="G1244" s="2">
        <v>42088</v>
      </c>
      <c r="H1244" s="1">
        <v>200000</v>
      </c>
      <c r="I1244" s="1">
        <v>200000</v>
      </c>
      <c r="J1244" s="1">
        <v>205000</v>
      </c>
      <c r="K1244" s="2">
        <v>42088</v>
      </c>
      <c r="L1244" s="1">
        <v>7</v>
      </c>
      <c r="M1244" s="2">
        <v>42094</v>
      </c>
      <c r="N1244" s="1">
        <v>7</v>
      </c>
      <c r="O1244" s="2">
        <v>42094</v>
      </c>
      <c r="P1244" s="1">
        <v>22039</v>
      </c>
      <c r="Q1244" s="1" t="s">
        <v>302</v>
      </c>
      <c r="R1244" s="2">
        <v>42150</v>
      </c>
      <c r="S1244" s="1">
        <v>253521</v>
      </c>
      <c r="U1244" s="1">
        <v>2070</v>
      </c>
      <c r="V1244" s="1" t="s">
        <v>1595</v>
      </c>
      <c r="W1244" s="1" t="s">
        <v>264</v>
      </c>
      <c r="X1244" s="1">
        <v>1</v>
      </c>
      <c r="Y1244" s="1">
        <v>2</v>
      </c>
      <c r="Z1244" s="1" t="s">
        <v>370</v>
      </c>
      <c r="AA1244" s="1" t="s">
        <v>964</v>
      </c>
      <c r="AB1244" s="1">
        <v>60189</v>
      </c>
      <c r="AE1244" s="1" t="s">
        <v>12722</v>
      </c>
      <c r="AF1244" s="1">
        <v>1986</v>
      </c>
      <c r="AG1244" s="1" t="s">
        <v>204</v>
      </c>
      <c r="AH1244" s="1" t="s">
        <v>967</v>
      </c>
      <c r="AI1244" s="1" t="s">
        <v>206</v>
      </c>
      <c r="AJ1244" s="1" t="s">
        <v>207</v>
      </c>
      <c r="AL1244" s="1">
        <v>8</v>
      </c>
      <c r="AM1244" s="1">
        <v>2</v>
      </c>
      <c r="AN1244" s="1">
        <v>1</v>
      </c>
      <c r="AO1244" s="1">
        <v>1</v>
      </c>
      <c r="AP1244" s="1" t="s">
        <v>210</v>
      </c>
      <c r="AQ1244" s="1">
        <v>1</v>
      </c>
      <c r="AR1244" s="1" t="s">
        <v>209</v>
      </c>
      <c r="AS1244" s="1" t="s">
        <v>204</v>
      </c>
      <c r="AT1244" s="1" t="s">
        <v>211</v>
      </c>
      <c r="AU1244" s="1">
        <v>2</v>
      </c>
      <c r="AW1244" s="1" t="s">
        <v>204</v>
      </c>
      <c r="AX1244" s="1" t="s">
        <v>12723</v>
      </c>
      <c r="AZ1244" s="1">
        <v>5163</v>
      </c>
      <c r="BA1244" s="1">
        <v>2013</v>
      </c>
      <c r="BB1244" s="1" t="s">
        <v>2694</v>
      </c>
      <c r="BE1244" s="1">
        <v>1250</v>
      </c>
      <c r="BF1244" s="1">
        <v>1</v>
      </c>
      <c r="BG1244" s="1">
        <v>0</v>
      </c>
      <c r="BJ1244" s="1">
        <v>100</v>
      </c>
      <c r="BL1244" s="1">
        <v>236</v>
      </c>
      <c r="BM1244" s="1" t="s">
        <v>204</v>
      </c>
      <c r="BN1244" s="1" t="s">
        <v>213</v>
      </c>
      <c r="BO1244" s="1">
        <v>999</v>
      </c>
      <c r="BP1244" s="1" t="s">
        <v>204</v>
      </c>
      <c r="BR1244" s="1" t="str">
        <f>"0519415046"</f>
        <v>0519415046</v>
      </c>
      <c r="BT1244" s="1" t="s">
        <v>12724</v>
      </c>
      <c r="BU1244" s="1" t="s">
        <v>1327</v>
      </c>
      <c r="BV1244" s="1" t="s">
        <v>970</v>
      </c>
      <c r="BW1244" s="1" t="s">
        <v>971</v>
      </c>
      <c r="BX1244" s="1">
        <v>200</v>
      </c>
      <c r="BY1244" s="1">
        <v>200</v>
      </c>
      <c r="BZ1244" s="1">
        <v>200</v>
      </c>
      <c r="CB1244" s="1" t="str">
        <f t="shared" ref="CB1244:CC1244" si="958">""</f>
        <v/>
      </c>
      <c r="CC1244" s="1" t="str">
        <f t="shared" si="958"/>
        <v/>
      </c>
      <c r="CG1244" s="1" t="s">
        <v>461</v>
      </c>
      <c r="CH1244" s="1" t="s">
        <v>219</v>
      </c>
      <c r="CI1244" s="1" t="s">
        <v>220</v>
      </c>
      <c r="CK1244" s="1" t="s">
        <v>437</v>
      </c>
      <c r="CL1244" s="1" t="s">
        <v>277</v>
      </c>
      <c r="CM1244" s="1" t="s">
        <v>220</v>
      </c>
      <c r="CO1244" s="1" t="s">
        <v>379</v>
      </c>
      <c r="CP1244" s="1" t="s">
        <v>219</v>
      </c>
      <c r="CQ1244" s="1" t="s">
        <v>220</v>
      </c>
      <c r="CS1244" s="1" t="s">
        <v>437</v>
      </c>
      <c r="CT1244" s="1" t="s">
        <v>277</v>
      </c>
      <c r="CU1244" s="1" t="s">
        <v>220</v>
      </c>
      <c r="CX1244" s="1" t="s">
        <v>224</v>
      </c>
      <c r="DB1244" s="1" t="s">
        <v>224</v>
      </c>
      <c r="DE1244" s="1" t="s">
        <v>409</v>
      </c>
      <c r="DF1244" s="1" t="s">
        <v>219</v>
      </c>
      <c r="DG1244" s="1" t="s">
        <v>438</v>
      </c>
      <c r="DI1244" s="1" t="s">
        <v>437</v>
      </c>
      <c r="DJ1244" s="1" t="s">
        <v>219</v>
      </c>
      <c r="DK1244" s="1" t="s">
        <v>229</v>
      </c>
      <c r="DM1244" s="1" t="s">
        <v>934</v>
      </c>
      <c r="DN1244" s="1" t="s">
        <v>227</v>
      </c>
      <c r="DR1244" s="1" t="s">
        <v>1045</v>
      </c>
      <c r="DS1244" s="1" t="s">
        <v>822</v>
      </c>
      <c r="DT1244" s="1" t="s">
        <v>220</v>
      </c>
      <c r="DV1244" s="1" t="s">
        <v>564</v>
      </c>
      <c r="DW1244" s="1" t="s">
        <v>822</v>
      </c>
      <c r="DX1244" s="1" t="s">
        <v>220</v>
      </c>
      <c r="EA1244" s="1" t="s">
        <v>230</v>
      </c>
      <c r="EE1244" s="1" t="s">
        <v>230</v>
      </c>
      <c r="EI1244" s="1" t="s">
        <v>230</v>
      </c>
      <c r="EL1244" s="1" t="s">
        <v>542</v>
      </c>
      <c r="EM1244" s="1" t="s">
        <v>730</v>
      </c>
      <c r="EN1244" s="1" t="s">
        <v>282</v>
      </c>
      <c r="EO1244" s="1" t="s">
        <v>234</v>
      </c>
      <c r="EQ1244" s="1" t="s">
        <v>492</v>
      </c>
      <c r="ER1244" s="1" t="s">
        <v>544</v>
      </c>
      <c r="ES1244" s="1" t="s">
        <v>545</v>
      </c>
      <c r="EV1244" s="1" t="s">
        <v>240</v>
      </c>
      <c r="EW1244" s="1" t="s">
        <v>867</v>
      </c>
      <c r="EZ1244" s="1" t="s">
        <v>6547</v>
      </c>
      <c r="FD1244" s="1" t="s">
        <v>246</v>
      </c>
      <c r="FE1244" s="1" t="s">
        <v>889</v>
      </c>
      <c r="FF1244" s="1" t="s">
        <v>248</v>
      </c>
      <c r="FG1244" s="1" t="s">
        <v>1682</v>
      </c>
      <c r="FH1244" s="1" t="s">
        <v>249</v>
      </c>
      <c r="FI1244" s="1" t="s">
        <v>357</v>
      </c>
      <c r="FL1244" s="1" t="s">
        <v>358</v>
      </c>
      <c r="FM1244" s="1" t="s">
        <v>252</v>
      </c>
      <c r="FN1244" s="1" t="s">
        <v>213</v>
      </c>
      <c r="FO1244" s="1" t="s">
        <v>213</v>
      </c>
      <c r="FQ1244" s="1" t="s">
        <v>2293</v>
      </c>
      <c r="FR1244" s="1" t="s">
        <v>210</v>
      </c>
      <c r="FS1244" s="1" t="s">
        <v>4325</v>
      </c>
      <c r="FT1244" s="1" t="s">
        <v>675</v>
      </c>
      <c r="FU1244" s="1" t="s">
        <v>204</v>
      </c>
      <c r="FW1244" s="1" t="s">
        <v>915</v>
      </c>
      <c r="FX1244" s="1">
        <v>10272</v>
      </c>
      <c r="FY1244" s="1" t="s">
        <v>12725</v>
      </c>
      <c r="FZ1244" s="1" t="s">
        <v>12726</v>
      </c>
      <c r="GA1244" s="1">
        <v>132407</v>
      </c>
      <c r="GB1244" s="1" t="s">
        <v>12727</v>
      </c>
      <c r="GE1244" s="1" t="s">
        <v>210</v>
      </c>
      <c r="GI1244" s="1" t="s">
        <v>213</v>
      </c>
      <c r="GJ1244" s="1" t="s">
        <v>260</v>
      </c>
      <c r="GK1244" s="1" t="s">
        <v>210</v>
      </c>
      <c r="GL1244" s="2">
        <v>42150</v>
      </c>
      <c r="GM1244" s="1" t="s">
        <v>12728</v>
      </c>
    </row>
    <row r="1245" spans="1:195">
      <c r="A1245" s="1">
        <v>163000</v>
      </c>
      <c r="B1245" s="1" t="s">
        <v>195</v>
      </c>
      <c r="C1245" s="1" t="str">
        <f>"08863018"</f>
        <v>08863018</v>
      </c>
      <c r="D1245" s="1" t="s">
        <v>196</v>
      </c>
      <c r="F1245" s="1" t="str">
        <f>"559"</f>
        <v>559</v>
      </c>
      <c r="G1245" s="2">
        <v>42079</v>
      </c>
      <c r="H1245" s="1">
        <v>169900</v>
      </c>
      <c r="I1245" s="1">
        <v>169900</v>
      </c>
      <c r="J1245" s="1">
        <v>163000</v>
      </c>
      <c r="K1245" s="2">
        <v>42079</v>
      </c>
      <c r="L1245" s="1">
        <v>9</v>
      </c>
      <c r="M1245" s="2">
        <v>42087</v>
      </c>
      <c r="N1245" s="1">
        <v>9</v>
      </c>
      <c r="O1245" s="2">
        <v>42087</v>
      </c>
      <c r="P1245" s="1">
        <v>5547</v>
      </c>
      <c r="Q1245" s="1" t="s">
        <v>197</v>
      </c>
      <c r="R1245" s="2">
        <v>42122</v>
      </c>
      <c r="S1245" s="1">
        <v>56115</v>
      </c>
      <c r="U1245" s="1">
        <v>1524</v>
      </c>
      <c r="V1245" s="1" t="s">
        <v>12729</v>
      </c>
      <c r="W1245" s="1" t="s">
        <v>504</v>
      </c>
      <c r="Y1245" s="1">
        <v>4</v>
      </c>
      <c r="Z1245" s="1" t="s">
        <v>200</v>
      </c>
      <c r="AA1245" s="1" t="s">
        <v>1950</v>
      </c>
      <c r="AB1245" s="1">
        <v>60559</v>
      </c>
      <c r="AE1245" s="1" t="s">
        <v>12730</v>
      </c>
      <c r="AF1245" s="1">
        <v>1986</v>
      </c>
      <c r="AG1245" s="1" t="s">
        <v>204</v>
      </c>
      <c r="AH1245" s="1" t="s">
        <v>1952</v>
      </c>
      <c r="AI1245" s="1" t="s">
        <v>206</v>
      </c>
      <c r="AJ1245" s="1" t="s">
        <v>903</v>
      </c>
      <c r="AL1245" s="1">
        <v>6</v>
      </c>
      <c r="AM1245" s="1">
        <v>2</v>
      </c>
      <c r="AN1245" s="1">
        <v>1</v>
      </c>
      <c r="AO1245" s="1">
        <v>1</v>
      </c>
      <c r="AP1245" s="1" t="s">
        <v>667</v>
      </c>
      <c r="AR1245" s="1" t="s">
        <v>210</v>
      </c>
      <c r="AS1245" s="1" t="s">
        <v>204</v>
      </c>
      <c r="AT1245" s="1" t="s">
        <v>211</v>
      </c>
      <c r="AU1245" s="1">
        <v>1</v>
      </c>
      <c r="AW1245" s="1" t="s">
        <v>204</v>
      </c>
      <c r="AX1245" s="1" t="s">
        <v>212</v>
      </c>
      <c r="AZ1245" s="1">
        <v>3487</v>
      </c>
      <c r="BA1245" s="1">
        <v>2013</v>
      </c>
      <c r="BE1245" s="1">
        <v>1174</v>
      </c>
      <c r="BF1245" s="1">
        <v>1</v>
      </c>
      <c r="BG1245" s="1">
        <v>0</v>
      </c>
      <c r="BL1245" s="1">
        <v>250</v>
      </c>
      <c r="BM1245" s="1" t="s">
        <v>204</v>
      </c>
      <c r="BN1245" s="1" t="s">
        <v>213</v>
      </c>
      <c r="BO1245" s="1">
        <v>0</v>
      </c>
      <c r="BP1245" s="1" t="s">
        <v>204</v>
      </c>
      <c r="BR1245" s="1" t="str">
        <f>"0921221012"</f>
        <v>0921221012</v>
      </c>
      <c r="BT1245" s="1" t="s">
        <v>12731</v>
      </c>
      <c r="BU1245" s="1" t="s">
        <v>2980</v>
      </c>
      <c r="BV1245" s="1" t="s">
        <v>2981</v>
      </c>
      <c r="BW1245" s="1" t="s">
        <v>2762</v>
      </c>
      <c r="BX1245" s="1">
        <v>60</v>
      </c>
      <c r="BY1245" s="1">
        <v>60</v>
      </c>
      <c r="BZ1245" s="1">
        <v>99</v>
      </c>
      <c r="CB1245" s="1" t="str">
        <f t="shared" ref="CB1245:CC1245" si="959">""</f>
        <v/>
      </c>
      <c r="CC1245" s="1" t="str">
        <f t="shared" si="959"/>
        <v/>
      </c>
      <c r="CG1245" s="1" t="s">
        <v>1723</v>
      </c>
      <c r="CH1245" s="1" t="s">
        <v>219</v>
      </c>
      <c r="CI1245" s="1" t="s">
        <v>438</v>
      </c>
      <c r="CJ1245" s="1" t="s">
        <v>252</v>
      </c>
      <c r="CK1245" s="1" t="s">
        <v>539</v>
      </c>
      <c r="CL1245" s="1" t="s">
        <v>277</v>
      </c>
      <c r="CM1245" s="1" t="s">
        <v>220</v>
      </c>
      <c r="CO1245" s="1" t="s">
        <v>3034</v>
      </c>
      <c r="CP1245" s="1" t="s">
        <v>219</v>
      </c>
      <c r="CQ1245" s="1" t="s">
        <v>438</v>
      </c>
      <c r="CS1245" s="1" t="s">
        <v>346</v>
      </c>
      <c r="CT1245" s="1" t="s">
        <v>277</v>
      </c>
      <c r="CU1245" s="1" t="s">
        <v>220</v>
      </c>
      <c r="CX1245" s="1" t="s">
        <v>224</v>
      </c>
      <c r="DB1245" s="1" t="s">
        <v>224</v>
      </c>
      <c r="DE1245" s="1" t="s">
        <v>821</v>
      </c>
      <c r="DF1245" s="1" t="s">
        <v>219</v>
      </c>
      <c r="DJ1245" s="1" t="s">
        <v>224</v>
      </c>
      <c r="DM1245" s="1" t="s">
        <v>464</v>
      </c>
      <c r="DR1245" s="1" t="s">
        <v>12732</v>
      </c>
      <c r="DS1245" s="1" t="s">
        <v>277</v>
      </c>
      <c r="DT1245" s="1" t="s">
        <v>220</v>
      </c>
      <c r="DW1245" s="1" t="s">
        <v>230</v>
      </c>
      <c r="EA1245" s="1" t="s">
        <v>230</v>
      </c>
      <c r="EE1245" s="1" t="s">
        <v>230</v>
      </c>
      <c r="EI1245" s="1" t="s">
        <v>230</v>
      </c>
      <c r="EL1245" s="1" t="s">
        <v>542</v>
      </c>
      <c r="EM1245" s="1" t="s">
        <v>232</v>
      </c>
      <c r="EN1245" s="1" t="s">
        <v>282</v>
      </c>
      <c r="EO1245" s="1" t="s">
        <v>234</v>
      </c>
      <c r="EQ1245" s="1" t="s">
        <v>3931</v>
      </c>
      <c r="ER1245" s="1" t="s">
        <v>210</v>
      </c>
      <c r="EW1245" s="1" t="s">
        <v>353</v>
      </c>
      <c r="EZ1245" s="1" t="s">
        <v>464</v>
      </c>
      <c r="FD1245" s="1" t="s">
        <v>246</v>
      </c>
      <c r="FE1245" s="1" t="s">
        <v>3957</v>
      </c>
      <c r="FF1245" s="1" t="s">
        <v>248</v>
      </c>
      <c r="FH1245" s="1" t="s">
        <v>550</v>
      </c>
      <c r="FL1245" s="1" t="s">
        <v>358</v>
      </c>
      <c r="FM1245" s="1" t="s">
        <v>252</v>
      </c>
      <c r="FN1245" s="1" t="s">
        <v>213</v>
      </c>
      <c r="FO1245" s="1" t="s">
        <v>213</v>
      </c>
      <c r="FQ1245" s="1" t="s">
        <v>253</v>
      </c>
      <c r="FR1245" s="1" t="s">
        <v>210</v>
      </c>
      <c r="FS1245" s="1" t="s">
        <v>12733</v>
      </c>
      <c r="FT1245" s="1" t="s">
        <v>255</v>
      </c>
      <c r="FU1245" s="1" t="s">
        <v>204</v>
      </c>
      <c r="FW1245" s="1" t="s">
        <v>256</v>
      </c>
      <c r="FX1245" s="1">
        <v>25163</v>
      </c>
      <c r="FY1245" s="1" t="s">
        <v>257</v>
      </c>
      <c r="FZ1245" s="1" t="s">
        <v>258</v>
      </c>
      <c r="GA1245" s="1">
        <v>256804</v>
      </c>
      <c r="GB1245" s="1" t="s">
        <v>259</v>
      </c>
      <c r="GE1245" s="1" t="s">
        <v>210</v>
      </c>
      <c r="GI1245" s="1" t="s">
        <v>213</v>
      </c>
      <c r="GJ1245" s="1" t="s">
        <v>260</v>
      </c>
      <c r="GK1245" s="1" t="s">
        <v>261</v>
      </c>
      <c r="GL1245" s="2">
        <v>42123</v>
      </c>
    </row>
    <row r="1246" spans="1:195">
      <c r="A1246" s="1">
        <v>80251</v>
      </c>
      <c r="B1246" s="1" t="s">
        <v>195</v>
      </c>
      <c r="C1246" s="1" t="str">
        <f>"08866772"</f>
        <v>08866772</v>
      </c>
      <c r="D1246" s="1" t="s">
        <v>196</v>
      </c>
      <c r="F1246" s="1" t="str">
        <f>"517"</f>
        <v>517</v>
      </c>
      <c r="G1246" s="2">
        <v>42082</v>
      </c>
      <c r="H1246" s="1">
        <v>85000</v>
      </c>
      <c r="I1246" s="1">
        <v>85000</v>
      </c>
      <c r="J1246" s="1">
        <v>80251</v>
      </c>
      <c r="K1246" s="2">
        <v>42082</v>
      </c>
      <c r="L1246" s="1">
        <v>10</v>
      </c>
      <c r="M1246" s="2">
        <v>42091</v>
      </c>
      <c r="N1246" s="1">
        <v>10</v>
      </c>
      <c r="O1246" s="2">
        <v>42091</v>
      </c>
      <c r="P1246" s="1">
        <v>23265</v>
      </c>
      <c r="Q1246" s="1" t="s">
        <v>302</v>
      </c>
      <c r="R1246" s="2">
        <v>42139</v>
      </c>
      <c r="S1246" s="1">
        <v>212148</v>
      </c>
      <c r="U1246" s="1">
        <v>3000</v>
      </c>
      <c r="V1246" s="1" t="s">
        <v>2849</v>
      </c>
      <c r="W1246" s="1" t="s">
        <v>264</v>
      </c>
      <c r="X1246" s="1">
        <v>6</v>
      </c>
      <c r="Y1246" s="1">
        <v>8</v>
      </c>
      <c r="Z1246" s="1" t="s">
        <v>249</v>
      </c>
      <c r="AA1246" s="1" t="s">
        <v>2850</v>
      </c>
      <c r="AB1246" s="1">
        <v>60517</v>
      </c>
      <c r="AD1246" s="1" t="s">
        <v>2851</v>
      </c>
      <c r="AE1246" s="1" t="s">
        <v>12734</v>
      </c>
      <c r="AF1246" s="1">
        <v>1972</v>
      </c>
      <c r="AG1246" s="1" t="s">
        <v>213</v>
      </c>
      <c r="AH1246" s="1" t="s">
        <v>903</v>
      </c>
      <c r="AI1246" s="1" t="s">
        <v>206</v>
      </c>
      <c r="AJ1246" s="1" t="s">
        <v>925</v>
      </c>
      <c r="AL1246" s="1">
        <v>5</v>
      </c>
      <c r="AM1246" s="1">
        <v>2</v>
      </c>
      <c r="AN1246" s="1">
        <v>2</v>
      </c>
      <c r="AO1246" s="1">
        <v>0</v>
      </c>
      <c r="AP1246" s="1" t="s">
        <v>209</v>
      </c>
      <c r="AQ1246" s="1">
        <v>0</v>
      </c>
      <c r="AR1246" s="1" t="s">
        <v>210</v>
      </c>
      <c r="AS1246" s="1" t="s">
        <v>204</v>
      </c>
      <c r="AT1246" s="1" t="s">
        <v>271</v>
      </c>
      <c r="AV1246" s="1">
        <v>2</v>
      </c>
      <c r="AW1246" s="1" t="s">
        <v>204</v>
      </c>
      <c r="AX1246" s="1" t="s">
        <v>212</v>
      </c>
      <c r="AZ1246" s="1">
        <v>2179</v>
      </c>
      <c r="BA1246" s="1">
        <v>2013</v>
      </c>
      <c r="BB1246" s="1" t="s">
        <v>405</v>
      </c>
      <c r="BE1246" s="1">
        <v>1150</v>
      </c>
      <c r="BF1246" s="1">
        <v>2</v>
      </c>
      <c r="BG1246" s="1">
        <v>0</v>
      </c>
      <c r="BL1246" s="1">
        <v>286</v>
      </c>
      <c r="BM1246" s="1" t="s">
        <v>204</v>
      </c>
      <c r="BN1246" s="1" t="s">
        <v>213</v>
      </c>
      <c r="BO1246" s="1">
        <v>30</v>
      </c>
      <c r="BP1246" s="1" t="s">
        <v>204</v>
      </c>
      <c r="BR1246" s="1" t="str">
        <f>"0823401102"</f>
        <v>0823401102</v>
      </c>
      <c r="BT1246" s="1" t="s">
        <v>12735</v>
      </c>
      <c r="BU1246" s="1" t="s">
        <v>2855</v>
      </c>
      <c r="BV1246" s="1" t="s">
        <v>2856</v>
      </c>
      <c r="BW1246" s="1" t="s">
        <v>2762</v>
      </c>
      <c r="BX1246" s="1">
        <v>68</v>
      </c>
      <c r="BY1246" s="1">
        <v>68</v>
      </c>
      <c r="BZ1246" s="1">
        <v>99</v>
      </c>
      <c r="CB1246" s="1" t="str">
        <f t="shared" ref="CB1246:CC1246" si="960">"0"</f>
        <v>0</v>
      </c>
      <c r="CC1246" s="1" t="str">
        <f t="shared" si="960"/>
        <v>0</v>
      </c>
      <c r="CD1246" s="1">
        <v>21</v>
      </c>
      <c r="CE1246" s="1">
        <v>7</v>
      </c>
      <c r="CG1246" s="1" t="s">
        <v>1570</v>
      </c>
      <c r="CH1246" s="1" t="s">
        <v>277</v>
      </c>
      <c r="CI1246" s="1" t="s">
        <v>220</v>
      </c>
      <c r="CJ1246" s="1" t="s">
        <v>343</v>
      </c>
      <c r="CK1246" s="1" t="s">
        <v>437</v>
      </c>
      <c r="CL1246" s="1" t="s">
        <v>277</v>
      </c>
      <c r="CM1246" s="1" t="s">
        <v>220</v>
      </c>
      <c r="CN1246" s="1" t="s">
        <v>463</v>
      </c>
      <c r="CO1246" s="1" t="s">
        <v>409</v>
      </c>
      <c r="CP1246" s="1" t="s">
        <v>277</v>
      </c>
      <c r="CQ1246" s="1" t="s">
        <v>220</v>
      </c>
      <c r="CR1246" s="1" t="s">
        <v>463</v>
      </c>
      <c r="CS1246" s="1" t="s">
        <v>1358</v>
      </c>
      <c r="CT1246" s="1" t="s">
        <v>277</v>
      </c>
      <c r="CU1246" s="1" t="s">
        <v>220</v>
      </c>
      <c r="CV1246" s="1" t="s">
        <v>463</v>
      </c>
      <c r="CX1246" s="1" t="s">
        <v>224</v>
      </c>
      <c r="DB1246" s="1" t="s">
        <v>224</v>
      </c>
      <c r="DE1246" s="1" t="s">
        <v>409</v>
      </c>
      <c r="DF1246" s="1" t="s">
        <v>277</v>
      </c>
      <c r="DG1246" s="1" t="s">
        <v>342</v>
      </c>
      <c r="DH1246" s="1" t="s">
        <v>210</v>
      </c>
      <c r="DJ1246" s="1" t="s">
        <v>224</v>
      </c>
      <c r="DS1246" s="1" t="s">
        <v>230</v>
      </c>
      <c r="DW1246" s="1" t="s">
        <v>230</v>
      </c>
      <c r="EA1246" s="1" t="s">
        <v>230</v>
      </c>
      <c r="EE1246" s="1" t="s">
        <v>230</v>
      </c>
      <c r="EI1246" s="1" t="s">
        <v>230</v>
      </c>
      <c r="EL1246" s="1" t="s">
        <v>605</v>
      </c>
      <c r="EM1246" s="1" t="s">
        <v>232</v>
      </c>
      <c r="EN1246" s="1" t="s">
        <v>282</v>
      </c>
      <c r="EO1246" s="1" t="s">
        <v>234</v>
      </c>
      <c r="EP1246" s="1" t="s">
        <v>12736</v>
      </c>
      <c r="EQ1246" s="1" t="s">
        <v>284</v>
      </c>
      <c r="ER1246" s="1" t="s">
        <v>210</v>
      </c>
      <c r="ES1246" s="1" t="s">
        <v>545</v>
      </c>
      <c r="EU1246" s="1" t="s">
        <v>712</v>
      </c>
      <c r="EV1246" s="1" t="s">
        <v>240</v>
      </c>
      <c r="EW1246" s="1" t="s">
        <v>2765</v>
      </c>
      <c r="EY1246" s="1" t="s">
        <v>242</v>
      </c>
      <c r="EZ1246" s="1" t="s">
        <v>287</v>
      </c>
      <c r="FA1246" s="1" t="s">
        <v>672</v>
      </c>
      <c r="FB1246" s="1" t="s">
        <v>289</v>
      </c>
      <c r="FC1246" s="1" t="s">
        <v>633</v>
      </c>
      <c r="FD1246" s="1" t="s">
        <v>290</v>
      </c>
      <c r="FE1246" s="1" t="s">
        <v>2858</v>
      </c>
      <c r="FF1246" s="1" t="s">
        <v>248</v>
      </c>
      <c r="FH1246" s="1" t="s">
        <v>249</v>
      </c>
      <c r="FJ1246" s="1" t="s">
        <v>197</v>
      </c>
      <c r="FK1246" s="1" t="s">
        <v>291</v>
      </c>
      <c r="FL1246" s="1" t="s">
        <v>358</v>
      </c>
      <c r="FM1246" s="1" t="s">
        <v>252</v>
      </c>
      <c r="FN1246" s="1" t="s">
        <v>213</v>
      </c>
      <c r="FO1246" s="1" t="s">
        <v>204</v>
      </c>
      <c r="FQ1246" s="1" t="s">
        <v>4005</v>
      </c>
      <c r="FR1246" s="1" t="s">
        <v>210</v>
      </c>
      <c r="FS1246" s="1" t="s">
        <v>12410</v>
      </c>
      <c r="FT1246" s="1" t="s">
        <v>295</v>
      </c>
      <c r="FU1246" s="1" t="s">
        <v>204</v>
      </c>
      <c r="FW1246" s="1" t="s">
        <v>12411</v>
      </c>
      <c r="FX1246" s="1">
        <v>21962</v>
      </c>
      <c r="FY1246" s="1" t="s">
        <v>12412</v>
      </c>
      <c r="FZ1246" s="1" t="s">
        <v>12413</v>
      </c>
      <c r="GA1246" s="1">
        <v>220376</v>
      </c>
      <c r="GB1246" s="1" t="s">
        <v>12412</v>
      </c>
      <c r="GE1246" s="1" t="s">
        <v>4021</v>
      </c>
      <c r="GI1246" s="1" t="s">
        <v>213</v>
      </c>
      <c r="GJ1246" s="1" t="s">
        <v>260</v>
      </c>
      <c r="GK1246" s="1" t="s">
        <v>210</v>
      </c>
      <c r="GL1246" s="2">
        <v>42139</v>
      </c>
    </row>
    <row r="1247" spans="1:195">
      <c r="A1247" s="1">
        <v>71900</v>
      </c>
      <c r="B1247" s="1" t="s">
        <v>195</v>
      </c>
      <c r="C1247" s="1" t="str">
        <f>"08855880"</f>
        <v>08855880</v>
      </c>
      <c r="D1247" s="1" t="s">
        <v>196</v>
      </c>
      <c r="F1247" s="1" t="str">
        <f>"8052"</f>
        <v>8052</v>
      </c>
      <c r="G1247" s="2">
        <v>42072</v>
      </c>
      <c r="H1247" s="1">
        <v>78800</v>
      </c>
      <c r="I1247" s="1">
        <v>78800</v>
      </c>
      <c r="J1247" s="1">
        <v>71900</v>
      </c>
      <c r="K1247" s="2">
        <v>42072</v>
      </c>
      <c r="L1247" s="1">
        <v>130</v>
      </c>
      <c r="M1247" s="2">
        <v>42079</v>
      </c>
      <c r="N1247" s="1">
        <v>8</v>
      </c>
      <c r="O1247" s="2">
        <v>42079</v>
      </c>
      <c r="P1247" s="1">
        <v>11047</v>
      </c>
      <c r="Q1247" s="1" t="s">
        <v>197</v>
      </c>
      <c r="R1247" s="2">
        <v>42128</v>
      </c>
      <c r="S1247" s="1">
        <v>165671</v>
      </c>
      <c r="U1247" s="1">
        <v>11223</v>
      </c>
      <c r="V1247" s="1" t="s">
        <v>12737</v>
      </c>
      <c r="Y1247" s="1">
        <v>2</v>
      </c>
      <c r="Z1247" s="1" t="s">
        <v>200</v>
      </c>
      <c r="AA1247" s="1" t="s">
        <v>400</v>
      </c>
      <c r="AB1247" s="1">
        <v>60617</v>
      </c>
      <c r="AE1247" s="1" t="s">
        <v>12738</v>
      </c>
      <c r="AF1247" s="1">
        <v>1951</v>
      </c>
      <c r="AG1247" s="1" t="s">
        <v>213</v>
      </c>
      <c r="AH1247" s="1" t="s">
        <v>403</v>
      </c>
      <c r="AI1247" s="1" t="s">
        <v>310</v>
      </c>
      <c r="AJ1247" s="1" t="s">
        <v>562</v>
      </c>
      <c r="AL1247" s="1">
        <v>5</v>
      </c>
      <c r="AM1247" s="1">
        <v>2</v>
      </c>
      <c r="AN1247" s="1">
        <v>1</v>
      </c>
      <c r="AO1247" s="1">
        <v>0</v>
      </c>
      <c r="AP1247" s="1" t="s">
        <v>210</v>
      </c>
      <c r="AR1247" s="1" t="s">
        <v>209</v>
      </c>
      <c r="AS1247" s="1" t="s">
        <v>204</v>
      </c>
      <c r="AT1247" s="1" t="s">
        <v>211</v>
      </c>
      <c r="AU1247" s="1">
        <v>2</v>
      </c>
      <c r="AW1247" s="1" t="s">
        <v>204</v>
      </c>
      <c r="AX1247" s="1" t="s">
        <v>3032</v>
      </c>
      <c r="AZ1247" s="1">
        <v>260</v>
      </c>
      <c r="BA1247" s="1">
        <v>2013</v>
      </c>
      <c r="BB1247" s="1" t="s">
        <v>3996</v>
      </c>
      <c r="BE1247" s="1">
        <v>958</v>
      </c>
      <c r="BF1247" s="1">
        <v>1</v>
      </c>
      <c r="BG1247" s="1">
        <v>0</v>
      </c>
      <c r="BL1247" s="1">
        <v>0</v>
      </c>
      <c r="BM1247" s="1" t="s">
        <v>204</v>
      </c>
      <c r="BN1247" s="1" t="s">
        <v>213</v>
      </c>
      <c r="BO1247" s="1">
        <v>999</v>
      </c>
      <c r="BP1247" s="1" t="s">
        <v>204</v>
      </c>
      <c r="BR1247" s="1" t="str">
        <f>"26173180410000"</f>
        <v>26173180410000</v>
      </c>
      <c r="BT1247" s="1" t="s">
        <v>12739</v>
      </c>
      <c r="BX1247" s="1">
        <v>299</v>
      </c>
      <c r="BY1247" s="1">
        <v>299</v>
      </c>
      <c r="BZ1247" s="1">
        <v>299</v>
      </c>
      <c r="CB1247" s="1" t="str">
        <f>"0"</f>
        <v>0</v>
      </c>
      <c r="CC1247" s="1" t="str">
        <f>"3600"</f>
        <v>3600</v>
      </c>
      <c r="CD1247" s="1">
        <v>0</v>
      </c>
      <c r="CE1247" s="1">
        <v>11347</v>
      </c>
      <c r="CG1247" s="1" t="s">
        <v>757</v>
      </c>
      <c r="CH1247" s="1" t="s">
        <v>219</v>
      </c>
      <c r="CI1247" s="1" t="s">
        <v>220</v>
      </c>
      <c r="CJ1247" s="1" t="s">
        <v>463</v>
      </c>
      <c r="CK1247" s="1" t="s">
        <v>757</v>
      </c>
      <c r="CL1247" s="1" t="s">
        <v>277</v>
      </c>
      <c r="CM1247" s="1" t="s">
        <v>438</v>
      </c>
      <c r="CN1247" s="1" t="s">
        <v>343</v>
      </c>
      <c r="CO1247" s="1" t="s">
        <v>379</v>
      </c>
      <c r="CP1247" s="1" t="s">
        <v>219</v>
      </c>
      <c r="CQ1247" s="1" t="s">
        <v>342</v>
      </c>
      <c r="CR1247" s="1" t="s">
        <v>3590</v>
      </c>
      <c r="CS1247" s="1" t="s">
        <v>378</v>
      </c>
      <c r="CT1247" s="1" t="s">
        <v>277</v>
      </c>
      <c r="CU1247" s="1" t="s">
        <v>438</v>
      </c>
      <c r="CV1247" s="1" t="s">
        <v>463</v>
      </c>
      <c r="CX1247" s="1" t="s">
        <v>224</v>
      </c>
      <c r="DB1247" s="1" t="s">
        <v>224</v>
      </c>
      <c r="DE1247" s="1" t="s">
        <v>316</v>
      </c>
      <c r="DF1247" s="1" t="s">
        <v>219</v>
      </c>
      <c r="DG1247" s="1" t="s">
        <v>342</v>
      </c>
      <c r="DH1247" s="1" t="s">
        <v>463</v>
      </c>
      <c r="DJ1247" s="1" t="s">
        <v>224</v>
      </c>
      <c r="DS1247" s="1" t="s">
        <v>230</v>
      </c>
      <c r="DW1247" s="1" t="s">
        <v>230</v>
      </c>
      <c r="EA1247" s="1" t="s">
        <v>230</v>
      </c>
      <c r="EE1247" s="1" t="s">
        <v>230</v>
      </c>
      <c r="EI1247" s="1" t="s">
        <v>230</v>
      </c>
      <c r="EL1247" s="1" t="s">
        <v>3717</v>
      </c>
      <c r="EM1247" s="1" t="s">
        <v>232</v>
      </c>
      <c r="EN1247" s="1" t="s">
        <v>282</v>
      </c>
      <c r="EO1247" s="1" t="s">
        <v>234</v>
      </c>
      <c r="EQ1247" s="1" t="s">
        <v>5566</v>
      </c>
      <c r="ER1247" s="1" t="s">
        <v>544</v>
      </c>
      <c r="ES1247" s="1" t="s">
        <v>493</v>
      </c>
      <c r="ET1247" s="1" t="s">
        <v>842</v>
      </c>
      <c r="EV1247" s="1" t="s">
        <v>324</v>
      </c>
      <c r="EW1247" s="1" t="s">
        <v>210</v>
      </c>
      <c r="EY1247" s="1" t="s">
        <v>242</v>
      </c>
      <c r="EZ1247" s="1" t="s">
        <v>287</v>
      </c>
      <c r="FC1247" s="1" t="s">
        <v>2073</v>
      </c>
      <c r="FD1247" s="1" t="s">
        <v>246</v>
      </c>
      <c r="FE1247" s="1" t="s">
        <v>247</v>
      </c>
      <c r="FF1247" s="1" t="s">
        <v>248</v>
      </c>
      <c r="FH1247" s="1" t="s">
        <v>550</v>
      </c>
      <c r="FI1247" s="1" t="s">
        <v>357</v>
      </c>
      <c r="FL1247" s="1" t="s">
        <v>358</v>
      </c>
      <c r="FM1247" s="1" t="s">
        <v>252</v>
      </c>
      <c r="FN1247" s="1" t="s">
        <v>213</v>
      </c>
      <c r="FO1247" s="1" t="s">
        <v>213</v>
      </c>
      <c r="FQ1247" s="1" t="s">
        <v>8700</v>
      </c>
      <c r="FR1247" s="1" t="s">
        <v>210</v>
      </c>
      <c r="FS1247" s="1" t="s">
        <v>12740</v>
      </c>
      <c r="FT1247" s="1" t="s">
        <v>1076</v>
      </c>
      <c r="FU1247" s="1" t="s">
        <v>204</v>
      </c>
      <c r="FW1247" s="1" t="s">
        <v>1559</v>
      </c>
      <c r="FX1247" s="1">
        <v>10317</v>
      </c>
      <c r="FY1247" s="1" t="s">
        <v>7694</v>
      </c>
      <c r="FZ1247" s="1" t="s">
        <v>12741</v>
      </c>
      <c r="GA1247" s="1">
        <v>144685</v>
      </c>
      <c r="GB1247" s="1" t="s">
        <v>12742</v>
      </c>
      <c r="GE1247" s="1" t="s">
        <v>1120</v>
      </c>
      <c r="GH1247" s="1" t="s">
        <v>421</v>
      </c>
      <c r="GI1247" s="1" t="s">
        <v>213</v>
      </c>
      <c r="GJ1247" s="1" t="s">
        <v>260</v>
      </c>
      <c r="GK1247" s="1" t="s">
        <v>210</v>
      </c>
      <c r="GL1247" s="2">
        <v>42129</v>
      </c>
    </row>
    <row r="1248" spans="1:195">
      <c r="A1248" s="1">
        <v>96000</v>
      </c>
      <c r="B1248" s="1" t="s">
        <v>195</v>
      </c>
      <c r="C1248" s="1" t="str">
        <f>"08861164"</f>
        <v>08861164</v>
      </c>
      <c r="D1248" s="1" t="s">
        <v>196</v>
      </c>
      <c r="F1248" s="1" t="str">
        <f>"123"</f>
        <v>123</v>
      </c>
      <c r="G1248" s="2">
        <v>42076</v>
      </c>
      <c r="H1248" s="1">
        <v>94900</v>
      </c>
      <c r="I1248" s="1">
        <v>94900</v>
      </c>
      <c r="J1248" s="1">
        <v>96000</v>
      </c>
      <c r="K1248" s="2">
        <v>42076</v>
      </c>
      <c r="L1248" s="1">
        <v>14</v>
      </c>
      <c r="M1248" s="2">
        <v>42089</v>
      </c>
      <c r="N1248" s="1">
        <v>14</v>
      </c>
      <c r="O1248" s="2">
        <v>42089</v>
      </c>
      <c r="P1248" s="1">
        <v>5153</v>
      </c>
      <c r="Q1248" s="1" t="s">
        <v>197</v>
      </c>
      <c r="R1248" s="2">
        <v>42118</v>
      </c>
      <c r="S1248" s="1">
        <v>55327</v>
      </c>
      <c r="U1248" s="1">
        <v>25</v>
      </c>
      <c r="V1248" s="1" t="s">
        <v>12328</v>
      </c>
      <c r="W1248" s="1" t="s">
        <v>449</v>
      </c>
      <c r="X1248" s="1" t="s">
        <v>483</v>
      </c>
      <c r="Y1248" s="1">
        <v>4</v>
      </c>
      <c r="Z1248" s="1" t="s">
        <v>249</v>
      </c>
      <c r="AA1248" s="1" t="s">
        <v>1173</v>
      </c>
      <c r="AB1248" s="1">
        <v>60123</v>
      </c>
      <c r="AD1248" s="1" t="s">
        <v>12743</v>
      </c>
      <c r="AE1248" s="1" t="s">
        <v>12744</v>
      </c>
      <c r="AF1248" s="1">
        <v>1986</v>
      </c>
      <c r="AG1248" s="1" t="s">
        <v>204</v>
      </c>
      <c r="AH1248" s="1" t="s">
        <v>1175</v>
      </c>
      <c r="AI1248" s="1" t="s">
        <v>665</v>
      </c>
      <c r="AJ1248" s="1" t="s">
        <v>805</v>
      </c>
      <c r="AK1248" s="1" t="s">
        <v>12745</v>
      </c>
      <c r="AL1248" s="1">
        <v>6</v>
      </c>
      <c r="AM1248" s="1">
        <v>2</v>
      </c>
      <c r="AN1248" s="1">
        <v>2</v>
      </c>
      <c r="AO1248" s="1">
        <v>0</v>
      </c>
      <c r="AP1248" s="1" t="s">
        <v>209</v>
      </c>
      <c r="AQ1248" s="1">
        <v>1</v>
      </c>
      <c r="AR1248" s="1" t="s">
        <v>210</v>
      </c>
      <c r="AS1248" s="1" t="s">
        <v>204</v>
      </c>
      <c r="AT1248" s="1" t="s">
        <v>211</v>
      </c>
      <c r="AU1248" s="1">
        <v>1</v>
      </c>
      <c r="AW1248" s="1" t="s">
        <v>204</v>
      </c>
      <c r="AX1248" s="1" t="s">
        <v>212</v>
      </c>
      <c r="AZ1248" s="1">
        <v>2341</v>
      </c>
      <c r="BA1248" s="1">
        <v>2013</v>
      </c>
      <c r="BB1248" s="1" t="s">
        <v>405</v>
      </c>
      <c r="BE1248" s="1">
        <v>1180</v>
      </c>
      <c r="BF1248" s="1">
        <v>2</v>
      </c>
      <c r="BG1248" s="1">
        <v>0</v>
      </c>
      <c r="BL1248" s="1">
        <v>175</v>
      </c>
      <c r="BM1248" s="1" t="s">
        <v>204</v>
      </c>
      <c r="BN1248" s="1" t="s">
        <v>213</v>
      </c>
      <c r="BO1248" s="1">
        <v>999</v>
      </c>
      <c r="BP1248" s="1" t="s">
        <v>204</v>
      </c>
      <c r="BR1248" s="1" t="str">
        <f>"0332400090"</f>
        <v>0332400090</v>
      </c>
      <c r="BT1248" s="1" t="s">
        <v>12746</v>
      </c>
      <c r="BU1248" s="1" t="s">
        <v>5656</v>
      </c>
      <c r="BV1248" s="1" t="s">
        <v>1487</v>
      </c>
      <c r="BW1248" s="1" t="s">
        <v>1488</v>
      </c>
      <c r="BX1248" s="1">
        <v>46</v>
      </c>
      <c r="BY1248" s="1">
        <v>46</v>
      </c>
      <c r="BZ1248" s="1">
        <v>46</v>
      </c>
      <c r="CB1248" s="1" t="str">
        <f>"14"</f>
        <v>14</v>
      </c>
      <c r="CC1248" s="1" t="str">
        <f>"0"</f>
        <v>0</v>
      </c>
      <c r="CD1248" s="1">
        <v>36</v>
      </c>
      <c r="CE1248" s="1">
        <v>0</v>
      </c>
      <c r="CG1248" s="1" t="s">
        <v>4322</v>
      </c>
      <c r="CH1248" s="1" t="s">
        <v>277</v>
      </c>
      <c r="CI1248" s="1" t="s">
        <v>220</v>
      </c>
      <c r="CK1248" s="1" t="s">
        <v>221</v>
      </c>
      <c r="CL1248" s="1" t="s">
        <v>277</v>
      </c>
      <c r="CM1248" s="1" t="s">
        <v>220</v>
      </c>
      <c r="CO1248" s="1" t="s">
        <v>409</v>
      </c>
      <c r="CP1248" s="1" t="s">
        <v>277</v>
      </c>
      <c r="CQ1248" s="1" t="s">
        <v>220</v>
      </c>
      <c r="CS1248" s="1" t="s">
        <v>1297</v>
      </c>
      <c r="CT1248" s="1" t="s">
        <v>277</v>
      </c>
      <c r="CU1248" s="1" t="s">
        <v>220</v>
      </c>
      <c r="CX1248" s="1" t="s">
        <v>224</v>
      </c>
      <c r="DB1248" s="1" t="s">
        <v>224</v>
      </c>
      <c r="DE1248" s="1" t="s">
        <v>318</v>
      </c>
      <c r="DF1248" s="1" t="s">
        <v>277</v>
      </c>
      <c r="DG1248" s="1" t="s">
        <v>226</v>
      </c>
      <c r="DJ1248" s="1" t="s">
        <v>224</v>
      </c>
      <c r="DM1248" s="1" t="s">
        <v>381</v>
      </c>
      <c r="DR1248" s="1" t="s">
        <v>1571</v>
      </c>
      <c r="DS1248" s="1" t="s">
        <v>277</v>
      </c>
      <c r="DT1248" s="1" t="s">
        <v>226</v>
      </c>
      <c r="DW1248" s="1" t="s">
        <v>230</v>
      </c>
      <c r="EA1248" s="1" t="s">
        <v>230</v>
      </c>
      <c r="EE1248" s="1" t="s">
        <v>230</v>
      </c>
      <c r="EI1248" s="1" t="s">
        <v>230</v>
      </c>
      <c r="EL1248" s="1" t="s">
        <v>542</v>
      </c>
      <c r="EM1248" s="1" t="s">
        <v>319</v>
      </c>
      <c r="EN1248" s="1" t="s">
        <v>282</v>
      </c>
      <c r="EO1248" s="1" t="s">
        <v>234</v>
      </c>
      <c r="EP1248" s="1" t="s">
        <v>9085</v>
      </c>
      <c r="EQ1248" s="1" t="s">
        <v>492</v>
      </c>
      <c r="ER1248" s="1" t="s">
        <v>210</v>
      </c>
      <c r="ES1248" s="1" t="s">
        <v>322</v>
      </c>
      <c r="ET1248" s="1" t="s">
        <v>323</v>
      </c>
      <c r="EV1248" s="1" t="s">
        <v>324</v>
      </c>
      <c r="EW1248" s="1" t="s">
        <v>867</v>
      </c>
      <c r="EY1248" s="1" t="s">
        <v>242</v>
      </c>
      <c r="EZ1248" s="1" t="s">
        <v>381</v>
      </c>
      <c r="FD1248" s="1" t="s">
        <v>246</v>
      </c>
      <c r="FE1248" s="1" t="s">
        <v>549</v>
      </c>
      <c r="FF1248" s="1" t="s">
        <v>248</v>
      </c>
      <c r="FH1248" s="1" t="s">
        <v>249</v>
      </c>
      <c r="FI1248" s="1" t="s">
        <v>357</v>
      </c>
      <c r="FL1248" s="1" t="s">
        <v>358</v>
      </c>
      <c r="FM1248" s="1" t="s">
        <v>252</v>
      </c>
      <c r="FN1248" s="1" t="s">
        <v>213</v>
      </c>
      <c r="FO1248" s="1" t="s">
        <v>213</v>
      </c>
      <c r="FQ1248" s="1" t="s">
        <v>12747</v>
      </c>
      <c r="FR1248" s="1" t="s">
        <v>210</v>
      </c>
      <c r="FS1248" s="1" t="s">
        <v>12748</v>
      </c>
      <c r="FT1248" s="1" t="s">
        <v>295</v>
      </c>
      <c r="FU1248" s="1" t="s">
        <v>204</v>
      </c>
      <c r="FW1248" s="1" t="s">
        <v>8361</v>
      </c>
      <c r="FX1248" s="1">
        <v>15358</v>
      </c>
      <c r="FY1248" s="1" t="s">
        <v>8362</v>
      </c>
      <c r="FZ1248" s="1" t="s">
        <v>8363</v>
      </c>
      <c r="GA1248" s="1">
        <v>114479</v>
      </c>
      <c r="GB1248" s="1" t="s">
        <v>8362</v>
      </c>
      <c r="GE1248" s="1" t="s">
        <v>480</v>
      </c>
      <c r="GI1248" s="1" t="s">
        <v>204</v>
      </c>
      <c r="GJ1248" s="1" t="s">
        <v>300</v>
      </c>
      <c r="GK1248" s="1" t="s">
        <v>210</v>
      </c>
      <c r="GL1248" s="2">
        <v>42127</v>
      </c>
      <c r="GM1248" s="1" t="s">
        <v>12749</v>
      </c>
    </row>
    <row r="1249" spans="1:195">
      <c r="A1249" s="1">
        <v>144500</v>
      </c>
      <c r="B1249" s="1" t="s">
        <v>195</v>
      </c>
      <c r="C1249" s="1" t="str">
        <f>"08864798"</f>
        <v>08864798</v>
      </c>
      <c r="D1249" s="1" t="s">
        <v>196</v>
      </c>
      <c r="F1249" s="1" t="str">
        <f>"507"</f>
        <v>507</v>
      </c>
      <c r="G1249" s="2">
        <v>42081</v>
      </c>
      <c r="H1249" s="1">
        <v>148900</v>
      </c>
      <c r="I1249" s="1">
        <v>148900</v>
      </c>
      <c r="J1249" s="1">
        <v>144500</v>
      </c>
      <c r="K1249" s="2">
        <v>42081</v>
      </c>
      <c r="L1249" s="1">
        <v>4</v>
      </c>
      <c r="M1249" s="2">
        <v>42084</v>
      </c>
      <c r="N1249" s="1">
        <v>4</v>
      </c>
      <c r="O1249" s="2">
        <v>42084</v>
      </c>
      <c r="P1249" s="1">
        <v>23120</v>
      </c>
      <c r="Q1249" s="1" t="s">
        <v>1393</v>
      </c>
      <c r="R1249" s="2">
        <v>42143</v>
      </c>
      <c r="S1249" s="1">
        <v>241712</v>
      </c>
      <c r="U1249" s="1">
        <v>935</v>
      </c>
      <c r="V1249" s="1" t="s">
        <v>12750</v>
      </c>
      <c r="W1249" s="1" t="s">
        <v>449</v>
      </c>
      <c r="X1249" s="1">
        <v>935</v>
      </c>
      <c r="Y1249" s="1">
        <v>10</v>
      </c>
      <c r="Z1249" s="1" t="s">
        <v>249</v>
      </c>
      <c r="AA1249" s="1" t="s">
        <v>1123</v>
      </c>
      <c r="AB1249" s="1">
        <v>60502</v>
      </c>
      <c r="AD1249" s="1" t="s">
        <v>12751</v>
      </c>
      <c r="AE1249" s="1" t="s">
        <v>12752</v>
      </c>
      <c r="AF1249" s="1">
        <v>1998</v>
      </c>
      <c r="AG1249" s="1" t="s">
        <v>204</v>
      </c>
      <c r="AH1249" s="1" t="s">
        <v>1126</v>
      </c>
      <c r="AI1249" s="1" t="s">
        <v>206</v>
      </c>
      <c r="AJ1249" s="1" t="s">
        <v>924</v>
      </c>
      <c r="AK1249" s="1" t="s">
        <v>3261</v>
      </c>
      <c r="AL1249" s="1">
        <v>5</v>
      </c>
      <c r="AM1249" s="1">
        <v>2</v>
      </c>
      <c r="AN1249" s="1">
        <v>2</v>
      </c>
      <c r="AO1249" s="1">
        <v>0</v>
      </c>
      <c r="AP1249" s="1" t="s">
        <v>209</v>
      </c>
      <c r="AR1249" s="1" t="s">
        <v>210</v>
      </c>
      <c r="AS1249" s="1" t="s">
        <v>204</v>
      </c>
      <c r="AT1249" s="1" t="s">
        <v>375</v>
      </c>
      <c r="AU1249" s="1">
        <v>2</v>
      </c>
      <c r="AV1249" s="1">
        <v>2</v>
      </c>
      <c r="AW1249" s="1" t="s">
        <v>204</v>
      </c>
      <c r="AX1249" s="1" t="s">
        <v>212</v>
      </c>
      <c r="AZ1249" s="1">
        <v>3439</v>
      </c>
      <c r="BA1249" s="1">
        <v>2013</v>
      </c>
      <c r="BB1249" s="1" t="s">
        <v>405</v>
      </c>
      <c r="BE1249" s="1">
        <v>1223</v>
      </c>
      <c r="BF1249" s="1">
        <v>1</v>
      </c>
      <c r="BG1249" s="1">
        <v>10</v>
      </c>
      <c r="BL1249" s="1">
        <v>169</v>
      </c>
      <c r="BM1249" s="1" t="s">
        <v>204</v>
      </c>
      <c r="BN1249" s="1" t="s">
        <v>213</v>
      </c>
      <c r="BO1249" s="1">
        <v>20</v>
      </c>
      <c r="BP1249" s="1" t="s">
        <v>204</v>
      </c>
      <c r="BR1249" s="1" t="str">
        <f>"0718413029"</f>
        <v>0718413029</v>
      </c>
      <c r="BT1249" s="1" t="s">
        <v>12753</v>
      </c>
      <c r="BU1249" s="1" t="s">
        <v>1129</v>
      </c>
      <c r="BV1249" s="1" t="s">
        <v>1130</v>
      </c>
      <c r="BW1249" s="1" t="s">
        <v>1131</v>
      </c>
      <c r="BX1249" s="1">
        <v>204</v>
      </c>
      <c r="BY1249" s="1">
        <v>204</v>
      </c>
      <c r="BZ1249" s="1">
        <v>204</v>
      </c>
      <c r="CB1249" s="1" t="str">
        <f t="shared" ref="CB1249:CC1249" si="961">""</f>
        <v/>
      </c>
      <c r="CC1249" s="1" t="str">
        <f t="shared" si="961"/>
        <v/>
      </c>
      <c r="CG1249" s="1" t="s">
        <v>228</v>
      </c>
      <c r="CH1249" s="1" t="s">
        <v>219</v>
      </c>
      <c r="CI1249" s="1" t="s">
        <v>220</v>
      </c>
      <c r="CJ1249" s="1" t="s">
        <v>439</v>
      </c>
      <c r="CK1249" s="1" t="s">
        <v>932</v>
      </c>
      <c r="CL1249" s="1" t="s">
        <v>219</v>
      </c>
      <c r="CM1249" s="1" t="s">
        <v>220</v>
      </c>
      <c r="CN1249" s="1" t="s">
        <v>439</v>
      </c>
      <c r="CO1249" s="1" t="s">
        <v>1358</v>
      </c>
      <c r="CP1249" s="1" t="s">
        <v>219</v>
      </c>
      <c r="CQ1249" s="1" t="s">
        <v>342</v>
      </c>
      <c r="CR1249" s="1" t="s">
        <v>439</v>
      </c>
      <c r="CS1249" s="1" t="s">
        <v>346</v>
      </c>
      <c r="CT1249" s="1" t="s">
        <v>219</v>
      </c>
      <c r="CU1249" s="1" t="s">
        <v>220</v>
      </c>
      <c r="CV1249" s="1" t="s">
        <v>439</v>
      </c>
      <c r="CX1249" s="1" t="s">
        <v>224</v>
      </c>
      <c r="DB1249" s="1" t="s">
        <v>224</v>
      </c>
      <c r="DE1249" s="1" t="s">
        <v>539</v>
      </c>
      <c r="DF1249" s="1" t="s">
        <v>219</v>
      </c>
      <c r="DG1249" s="1" t="s">
        <v>342</v>
      </c>
      <c r="DH1249" s="1" t="s">
        <v>210</v>
      </c>
      <c r="DJ1249" s="1" t="s">
        <v>224</v>
      </c>
      <c r="DS1249" s="1" t="s">
        <v>230</v>
      </c>
      <c r="DW1249" s="1" t="s">
        <v>230</v>
      </c>
      <c r="EA1249" s="1" t="s">
        <v>230</v>
      </c>
      <c r="EE1249" s="1" t="s">
        <v>230</v>
      </c>
      <c r="EI1249" s="1" t="s">
        <v>230</v>
      </c>
      <c r="EL1249" s="1" t="s">
        <v>670</v>
      </c>
      <c r="EM1249" s="1" t="s">
        <v>319</v>
      </c>
      <c r="EN1249" s="1" t="s">
        <v>282</v>
      </c>
      <c r="EO1249" s="1" t="s">
        <v>234</v>
      </c>
      <c r="EQ1249" s="1" t="s">
        <v>236</v>
      </c>
      <c r="ER1249" s="1" t="s">
        <v>210</v>
      </c>
      <c r="ES1249" s="1" t="s">
        <v>1868</v>
      </c>
      <c r="EV1249" s="1" t="s">
        <v>324</v>
      </c>
      <c r="EW1249" s="1" t="s">
        <v>1679</v>
      </c>
      <c r="EZ1249" s="1" t="s">
        <v>287</v>
      </c>
      <c r="FD1249" s="1" t="s">
        <v>888</v>
      </c>
      <c r="FE1249" s="1" t="s">
        <v>386</v>
      </c>
      <c r="FF1249" s="1" t="s">
        <v>248</v>
      </c>
      <c r="FH1249" s="1" t="s">
        <v>249</v>
      </c>
      <c r="FI1249" s="1" t="s">
        <v>473</v>
      </c>
      <c r="FL1249" s="1" t="s">
        <v>358</v>
      </c>
      <c r="FM1249" s="1" t="s">
        <v>252</v>
      </c>
      <c r="FN1249" s="1" t="s">
        <v>213</v>
      </c>
      <c r="FO1249" s="1" t="s">
        <v>213</v>
      </c>
      <c r="FQ1249" s="1" t="s">
        <v>2700</v>
      </c>
      <c r="FR1249" s="1" t="s">
        <v>210</v>
      </c>
      <c r="FS1249" s="1" t="s">
        <v>12754</v>
      </c>
      <c r="FT1249" s="1" t="s">
        <v>295</v>
      </c>
      <c r="FU1249" s="1" t="s">
        <v>204</v>
      </c>
      <c r="FW1249" s="1" t="s">
        <v>915</v>
      </c>
      <c r="FX1249" s="1">
        <v>22076</v>
      </c>
      <c r="FY1249" s="1" t="s">
        <v>916</v>
      </c>
      <c r="FZ1249" s="1" t="s">
        <v>12755</v>
      </c>
      <c r="GA1249" s="1">
        <v>218901</v>
      </c>
      <c r="GB1249" s="1" t="s">
        <v>12756</v>
      </c>
      <c r="GE1249" s="1" t="s">
        <v>480</v>
      </c>
      <c r="GI1249" s="1" t="s">
        <v>213</v>
      </c>
      <c r="GJ1249" s="1" t="s">
        <v>260</v>
      </c>
      <c r="GK1249" s="1" t="s">
        <v>210</v>
      </c>
      <c r="GL1249" s="2">
        <v>42143</v>
      </c>
      <c r="GM1249" s="1" t="s">
        <v>12757</v>
      </c>
    </row>
    <row r="1250" spans="1:195">
      <c r="A1250" s="1">
        <v>121000</v>
      </c>
      <c r="B1250" s="1" t="s">
        <v>195</v>
      </c>
      <c r="C1250" s="1" t="str">
        <f>"08864765"</f>
        <v>08864765</v>
      </c>
      <c r="D1250" s="1" t="s">
        <v>196</v>
      </c>
      <c r="F1250" s="1" t="str">
        <f>"515"</f>
        <v>515</v>
      </c>
      <c r="G1250" s="2">
        <v>42081</v>
      </c>
      <c r="H1250" s="1">
        <v>125000</v>
      </c>
      <c r="I1250" s="1">
        <v>125000</v>
      </c>
      <c r="J1250" s="1">
        <v>121000</v>
      </c>
      <c r="K1250" s="2">
        <v>42081</v>
      </c>
      <c r="L1250" s="1">
        <v>33</v>
      </c>
      <c r="M1250" s="2">
        <v>42113</v>
      </c>
      <c r="N1250" s="1">
        <v>33</v>
      </c>
      <c r="O1250" s="2">
        <v>42113</v>
      </c>
      <c r="P1250" s="1">
        <v>14613</v>
      </c>
      <c r="Q1250" s="1" t="s">
        <v>423</v>
      </c>
      <c r="R1250" s="2">
        <v>42138</v>
      </c>
      <c r="S1250" s="1">
        <v>104269</v>
      </c>
      <c r="U1250" s="1">
        <v>444</v>
      </c>
      <c r="V1250" s="1" t="s">
        <v>6039</v>
      </c>
      <c r="W1250" s="1" t="s">
        <v>264</v>
      </c>
      <c r="X1250" s="1">
        <v>308</v>
      </c>
      <c r="Y1250" s="1">
        <v>36</v>
      </c>
      <c r="Z1250" s="1" t="s">
        <v>249</v>
      </c>
      <c r="AA1250" s="1" t="s">
        <v>1294</v>
      </c>
      <c r="AB1250" s="1">
        <v>60516</v>
      </c>
      <c r="AC1250" s="1">
        <v>4623</v>
      </c>
      <c r="AD1250" s="1" t="s">
        <v>3994</v>
      </c>
      <c r="AE1250" s="1" t="s">
        <v>12758</v>
      </c>
      <c r="AF1250" s="1">
        <v>1981</v>
      </c>
      <c r="AG1250" s="1" t="s">
        <v>204</v>
      </c>
      <c r="AH1250" s="1" t="s">
        <v>882</v>
      </c>
      <c r="AI1250" s="1" t="s">
        <v>206</v>
      </c>
      <c r="AJ1250" s="1" t="s">
        <v>903</v>
      </c>
      <c r="AL1250" s="1">
        <v>5</v>
      </c>
      <c r="AM1250" s="1">
        <v>2</v>
      </c>
      <c r="AN1250" s="1">
        <v>2</v>
      </c>
      <c r="AO1250" s="1">
        <v>0</v>
      </c>
      <c r="AP1250" s="1" t="s">
        <v>209</v>
      </c>
      <c r="AQ1250" s="1">
        <v>1</v>
      </c>
      <c r="AR1250" s="1" t="s">
        <v>210</v>
      </c>
      <c r="AS1250" s="1" t="s">
        <v>204</v>
      </c>
      <c r="AT1250" s="1" t="s">
        <v>211</v>
      </c>
      <c r="AU1250" s="1">
        <v>2</v>
      </c>
      <c r="AW1250" s="1" t="s">
        <v>213</v>
      </c>
      <c r="AX1250" s="1" t="s">
        <v>212</v>
      </c>
      <c r="AZ1250" s="1">
        <v>2093</v>
      </c>
      <c r="BA1250" s="1">
        <v>2013</v>
      </c>
      <c r="BB1250" s="1" t="s">
        <v>210</v>
      </c>
      <c r="BE1250" s="1">
        <v>1055</v>
      </c>
      <c r="BF1250" s="1">
        <v>3</v>
      </c>
      <c r="BG1250" s="1">
        <v>0</v>
      </c>
      <c r="BJ1250" s="1">
        <v>99</v>
      </c>
      <c r="BL1250" s="1">
        <v>336</v>
      </c>
      <c r="BM1250" s="1" t="s">
        <v>213</v>
      </c>
      <c r="BN1250" s="1" t="s">
        <v>204</v>
      </c>
      <c r="BP1250" s="1" t="s">
        <v>204</v>
      </c>
      <c r="BR1250" s="1" t="str">
        <f>"0933113032"</f>
        <v>0933113032</v>
      </c>
      <c r="BT1250" s="1" t="s">
        <v>12759</v>
      </c>
      <c r="BU1250" s="1" t="s">
        <v>3998</v>
      </c>
      <c r="BV1250" s="1" t="s">
        <v>3999</v>
      </c>
      <c r="BW1250" s="1" t="s">
        <v>3099</v>
      </c>
      <c r="BX1250" s="1">
        <v>66</v>
      </c>
      <c r="BY1250" s="1">
        <v>66</v>
      </c>
      <c r="BZ1250" s="1">
        <v>99</v>
      </c>
      <c r="CB1250" s="1" t="str">
        <f t="shared" ref="CB1250:CC1250" si="962">""</f>
        <v/>
      </c>
      <c r="CC1250" s="1" t="str">
        <f t="shared" si="962"/>
        <v/>
      </c>
      <c r="CG1250" s="1" t="s">
        <v>218</v>
      </c>
      <c r="CH1250" s="1" t="s">
        <v>219</v>
      </c>
      <c r="CI1250" s="1" t="s">
        <v>220</v>
      </c>
      <c r="CJ1250" s="1" t="s">
        <v>343</v>
      </c>
      <c r="CK1250" s="1" t="s">
        <v>437</v>
      </c>
      <c r="CL1250" s="1" t="s">
        <v>219</v>
      </c>
      <c r="CM1250" s="1" t="s">
        <v>220</v>
      </c>
      <c r="CN1250" s="1" t="s">
        <v>343</v>
      </c>
      <c r="CO1250" s="1" t="s">
        <v>516</v>
      </c>
      <c r="CP1250" s="1" t="s">
        <v>219</v>
      </c>
      <c r="CQ1250" s="1" t="s">
        <v>220</v>
      </c>
      <c r="CS1250" s="1" t="s">
        <v>346</v>
      </c>
      <c r="CT1250" s="1" t="s">
        <v>219</v>
      </c>
      <c r="CU1250" s="1" t="s">
        <v>220</v>
      </c>
      <c r="CV1250" s="1" t="s">
        <v>343</v>
      </c>
      <c r="CX1250" s="1" t="s">
        <v>224</v>
      </c>
      <c r="DB1250" s="1" t="s">
        <v>224</v>
      </c>
      <c r="DE1250" s="1" t="s">
        <v>2308</v>
      </c>
      <c r="DF1250" s="1" t="s">
        <v>219</v>
      </c>
      <c r="DG1250" s="1" t="s">
        <v>226</v>
      </c>
      <c r="DJ1250" s="1" t="s">
        <v>224</v>
      </c>
      <c r="DS1250" s="1" t="s">
        <v>230</v>
      </c>
      <c r="DW1250" s="1" t="s">
        <v>230</v>
      </c>
      <c r="EA1250" s="1" t="s">
        <v>230</v>
      </c>
      <c r="EE1250" s="1" t="s">
        <v>230</v>
      </c>
      <c r="EI1250" s="1" t="s">
        <v>230</v>
      </c>
      <c r="EL1250" s="1" t="s">
        <v>231</v>
      </c>
      <c r="EM1250" s="1" t="s">
        <v>730</v>
      </c>
      <c r="EN1250" s="1" t="s">
        <v>282</v>
      </c>
      <c r="EO1250" s="1" t="s">
        <v>2834</v>
      </c>
      <c r="EP1250" s="1" t="s">
        <v>7193</v>
      </c>
      <c r="EQ1250" s="1" t="s">
        <v>1094</v>
      </c>
      <c r="ER1250" s="1" t="s">
        <v>210</v>
      </c>
      <c r="ES1250" s="1" t="s">
        <v>545</v>
      </c>
      <c r="EU1250" s="1" t="s">
        <v>1314</v>
      </c>
      <c r="EW1250" s="1" t="s">
        <v>7632</v>
      </c>
      <c r="EZ1250" s="1" t="s">
        <v>287</v>
      </c>
      <c r="FA1250" s="1" t="s">
        <v>471</v>
      </c>
      <c r="FB1250" s="1" t="s">
        <v>1505</v>
      </c>
      <c r="FC1250" s="1" t="s">
        <v>326</v>
      </c>
      <c r="FD1250" s="1" t="s">
        <v>1112</v>
      </c>
      <c r="FE1250" s="1" t="s">
        <v>247</v>
      </c>
      <c r="FF1250" s="1" t="s">
        <v>248</v>
      </c>
      <c r="FH1250" s="1" t="s">
        <v>249</v>
      </c>
      <c r="FI1250" s="1" t="s">
        <v>634</v>
      </c>
      <c r="FL1250" s="1" t="s">
        <v>358</v>
      </c>
      <c r="FM1250" s="1" t="s">
        <v>252</v>
      </c>
      <c r="FN1250" s="1" t="s">
        <v>213</v>
      </c>
      <c r="FO1250" s="1" t="s">
        <v>213</v>
      </c>
      <c r="FQ1250" s="1" t="s">
        <v>793</v>
      </c>
      <c r="FR1250" s="1" t="s">
        <v>210</v>
      </c>
      <c r="FS1250" s="1" t="s">
        <v>12760</v>
      </c>
      <c r="FT1250" s="1" t="s">
        <v>362</v>
      </c>
      <c r="FU1250" s="1" t="s">
        <v>204</v>
      </c>
      <c r="FW1250" s="1" t="s">
        <v>915</v>
      </c>
      <c r="FX1250" s="1">
        <v>22076</v>
      </c>
      <c r="FY1250" s="1" t="s">
        <v>916</v>
      </c>
      <c r="FZ1250" s="1" t="s">
        <v>12761</v>
      </c>
      <c r="GA1250" s="1">
        <v>235404</v>
      </c>
      <c r="GB1250" s="1" t="s">
        <v>12762</v>
      </c>
      <c r="GD1250" s="1" t="s">
        <v>12763</v>
      </c>
      <c r="GE1250" s="1" t="s">
        <v>210</v>
      </c>
      <c r="GI1250" s="1" t="s">
        <v>213</v>
      </c>
      <c r="GJ1250" s="1" t="s">
        <v>260</v>
      </c>
      <c r="GK1250" s="1" t="s">
        <v>210</v>
      </c>
      <c r="GL1250" s="2">
        <v>42138</v>
      </c>
      <c r="GM1250" s="1" t="s">
        <v>12764</v>
      </c>
    </row>
    <row r="1251" spans="1:195">
      <c r="A1251" s="1">
        <v>105000</v>
      </c>
      <c r="B1251" s="1" t="s">
        <v>195</v>
      </c>
      <c r="C1251" s="1" t="str">
        <f>"08860380"</f>
        <v>08860380</v>
      </c>
      <c r="D1251" s="1" t="s">
        <v>196</v>
      </c>
      <c r="F1251" s="1" t="str">
        <f>"517"</f>
        <v>517</v>
      </c>
      <c r="G1251" s="2">
        <v>42076</v>
      </c>
      <c r="H1251" s="1">
        <v>110000</v>
      </c>
      <c r="I1251" s="1">
        <v>110000</v>
      </c>
      <c r="J1251" s="1">
        <v>105000</v>
      </c>
      <c r="K1251" s="2">
        <v>42075</v>
      </c>
      <c r="L1251" s="1">
        <v>7</v>
      </c>
      <c r="M1251" s="2">
        <v>42081</v>
      </c>
      <c r="N1251" s="1">
        <v>7</v>
      </c>
      <c r="O1251" s="2">
        <v>42081</v>
      </c>
      <c r="P1251" s="1">
        <v>22695</v>
      </c>
      <c r="Q1251" s="1" t="s">
        <v>197</v>
      </c>
      <c r="R1251" s="2">
        <v>42124</v>
      </c>
      <c r="S1251" s="1">
        <v>232578</v>
      </c>
      <c r="U1251" s="1">
        <v>2204</v>
      </c>
      <c r="V1251" s="1" t="s">
        <v>5730</v>
      </c>
      <c r="W1251" s="1" t="s">
        <v>264</v>
      </c>
      <c r="X1251" s="1">
        <v>2306</v>
      </c>
      <c r="Y1251" s="1">
        <v>8</v>
      </c>
      <c r="Z1251" s="1" t="s">
        <v>249</v>
      </c>
      <c r="AA1251" s="1" t="s">
        <v>2850</v>
      </c>
      <c r="AB1251" s="1">
        <v>60517</v>
      </c>
      <c r="AD1251" s="1" t="s">
        <v>5731</v>
      </c>
      <c r="AE1251" s="1" t="s">
        <v>12765</v>
      </c>
      <c r="AF1251" s="1">
        <v>1984</v>
      </c>
      <c r="AG1251" s="1" t="s">
        <v>204</v>
      </c>
      <c r="AH1251" s="1" t="s">
        <v>2853</v>
      </c>
      <c r="AI1251" s="1" t="s">
        <v>206</v>
      </c>
      <c r="AJ1251" s="1" t="s">
        <v>925</v>
      </c>
      <c r="AL1251" s="1">
        <v>5</v>
      </c>
      <c r="AM1251" s="1">
        <v>2</v>
      </c>
      <c r="AN1251" s="1">
        <v>2</v>
      </c>
      <c r="AO1251" s="1">
        <v>0</v>
      </c>
      <c r="AP1251" s="1" t="s">
        <v>209</v>
      </c>
      <c r="AQ1251" s="1">
        <v>1</v>
      </c>
      <c r="AR1251" s="1" t="s">
        <v>210</v>
      </c>
      <c r="AS1251" s="1" t="s">
        <v>204</v>
      </c>
      <c r="AT1251" s="1" t="s">
        <v>211</v>
      </c>
      <c r="AU1251" s="1">
        <v>1</v>
      </c>
      <c r="AW1251" s="1" t="s">
        <v>204</v>
      </c>
      <c r="AX1251" s="1" t="s">
        <v>212</v>
      </c>
      <c r="AZ1251" s="1">
        <v>2170</v>
      </c>
      <c r="BA1251" s="1">
        <v>2013</v>
      </c>
      <c r="BE1251" s="1">
        <v>0</v>
      </c>
      <c r="BF1251" s="1">
        <v>2</v>
      </c>
      <c r="BG1251" s="1">
        <v>0</v>
      </c>
      <c r="BL1251" s="1">
        <v>228</v>
      </c>
      <c r="BM1251" s="1" t="s">
        <v>204</v>
      </c>
      <c r="BN1251" s="1" t="s">
        <v>213</v>
      </c>
      <c r="BO1251" s="1">
        <v>999</v>
      </c>
      <c r="BP1251" s="1" t="s">
        <v>204</v>
      </c>
      <c r="BR1251" s="1" t="str">
        <f>"0836210110"</f>
        <v>0836210110</v>
      </c>
      <c r="BT1251" s="1" t="s">
        <v>12766</v>
      </c>
      <c r="BU1251" s="1" t="s">
        <v>5734</v>
      </c>
      <c r="BV1251" s="1" t="s">
        <v>2856</v>
      </c>
      <c r="BW1251" s="1" t="s">
        <v>3099</v>
      </c>
      <c r="BX1251" s="1">
        <v>68</v>
      </c>
      <c r="BY1251" s="1">
        <v>68</v>
      </c>
      <c r="BZ1251" s="1">
        <v>99</v>
      </c>
      <c r="CB1251" s="1" t="str">
        <f t="shared" ref="CB1251:CC1251" si="963">""</f>
        <v/>
      </c>
      <c r="CC1251" s="1" t="str">
        <f t="shared" si="963"/>
        <v/>
      </c>
      <c r="CG1251" s="1" t="s">
        <v>1045</v>
      </c>
      <c r="CH1251" s="1" t="s">
        <v>277</v>
      </c>
      <c r="CI1251" s="1" t="s">
        <v>220</v>
      </c>
      <c r="CK1251" s="1" t="s">
        <v>461</v>
      </c>
      <c r="CL1251" s="1" t="s">
        <v>277</v>
      </c>
      <c r="CM1251" s="1" t="s">
        <v>220</v>
      </c>
      <c r="CO1251" s="1" t="s">
        <v>318</v>
      </c>
      <c r="CP1251" s="1" t="s">
        <v>277</v>
      </c>
      <c r="CQ1251" s="1" t="s">
        <v>220</v>
      </c>
      <c r="CS1251" s="1" t="s">
        <v>1297</v>
      </c>
      <c r="CT1251" s="1" t="s">
        <v>277</v>
      </c>
      <c r="CU1251" s="1" t="s">
        <v>220</v>
      </c>
      <c r="CX1251" s="1" t="s">
        <v>224</v>
      </c>
      <c r="DB1251" s="1" t="s">
        <v>224</v>
      </c>
      <c r="DE1251" s="1" t="s">
        <v>461</v>
      </c>
      <c r="DF1251" s="1" t="s">
        <v>277</v>
      </c>
      <c r="DG1251" s="1" t="s">
        <v>226</v>
      </c>
      <c r="DJ1251" s="1" t="s">
        <v>224</v>
      </c>
      <c r="DS1251" s="1" t="s">
        <v>230</v>
      </c>
      <c r="DW1251" s="1" t="s">
        <v>230</v>
      </c>
      <c r="EA1251" s="1" t="s">
        <v>230</v>
      </c>
      <c r="EE1251" s="1" t="s">
        <v>230</v>
      </c>
      <c r="EI1251" s="1" t="s">
        <v>230</v>
      </c>
      <c r="EL1251" s="1" t="s">
        <v>231</v>
      </c>
      <c r="EM1251" s="1" t="s">
        <v>232</v>
      </c>
      <c r="EN1251" s="1" t="s">
        <v>282</v>
      </c>
      <c r="EO1251" s="1" t="s">
        <v>234</v>
      </c>
      <c r="EQ1251" s="1" t="s">
        <v>236</v>
      </c>
      <c r="ER1251" s="1" t="s">
        <v>210</v>
      </c>
      <c r="ES1251" s="1" t="s">
        <v>1552</v>
      </c>
      <c r="EV1251" s="1" t="s">
        <v>240</v>
      </c>
      <c r="EW1251" s="1" t="s">
        <v>12767</v>
      </c>
      <c r="EZ1251" s="1" t="s">
        <v>287</v>
      </c>
      <c r="FD1251" s="1" t="s">
        <v>246</v>
      </c>
      <c r="FE1251" s="1" t="s">
        <v>247</v>
      </c>
      <c r="FF1251" s="1" t="s">
        <v>248</v>
      </c>
      <c r="FG1251" s="1" t="s">
        <v>912</v>
      </c>
      <c r="FH1251" s="1" t="s">
        <v>249</v>
      </c>
      <c r="FL1251" s="1" t="s">
        <v>358</v>
      </c>
      <c r="FM1251" s="1" t="s">
        <v>252</v>
      </c>
      <c r="FN1251" s="1" t="s">
        <v>213</v>
      </c>
      <c r="FO1251" s="1" t="s">
        <v>213</v>
      </c>
      <c r="FQ1251" s="1" t="s">
        <v>1473</v>
      </c>
      <c r="FR1251" s="1" t="s">
        <v>210</v>
      </c>
      <c r="FS1251" s="1" t="s">
        <v>12768</v>
      </c>
      <c r="FT1251" s="1" t="s">
        <v>295</v>
      </c>
      <c r="FU1251" s="1" t="s">
        <v>204</v>
      </c>
      <c r="FW1251" s="1" t="s">
        <v>256</v>
      </c>
      <c r="FX1251" s="1">
        <v>8101</v>
      </c>
      <c r="FY1251" s="1" t="s">
        <v>11342</v>
      </c>
      <c r="FZ1251" s="1" t="s">
        <v>12769</v>
      </c>
      <c r="GA1251" s="1">
        <v>85657</v>
      </c>
      <c r="GB1251" s="1" t="s">
        <v>12770</v>
      </c>
      <c r="GE1251" s="1" t="s">
        <v>210</v>
      </c>
      <c r="GI1251" s="1" t="s">
        <v>213</v>
      </c>
      <c r="GJ1251" s="1" t="s">
        <v>260</v>
      </c>
      <c r="GK1251" s="1" t="s">
        <v>210</v>
      </c>
      <c r="GL1251" s="2">
        <v>42125</v>
      </c>
      <c r="GM1251" s="1" t="s">
        <v>12771</v>
      </c>
    </row>
    <row r="1252" spans="1:195">
      <c r="A1252" s="1">
        <v>105000</v>
      </c>
      <c r="B1252" s="1" t="s">
        <v>195</v>
      </c>
      <c r="C1252" s="1" t="str">
        <f>"08859102"</f>
        <v>08859102</v>
      </c>
      <c r="D1252" s="1" t="s">
        <v>196</v>
      </c>
      <c r="F1252" s="1" t="str">
        <f>"560"</f>
        <v>560</v>
      </c>
      <c r="G1252" s="2">
        <v>42074</v>
      </c>
      <c r="H1252" s="1">
        <v>106700</v>
      </c>
      <c r="I1252" s="1">
        <v>106700</v>
      </c>
      <c r="J1252" s="1">
        <v>105000</v>
      </c>
      <c r="K1252" s="2">
        <v>42074</v>
      </c>
      <c r="L1252" s="1">
        <v>97</v>
      </c>
      <c r="M1252" s="2">
        <v>42080</v>
      </c>
      <c r="N1252" s="1">
        <v>7</v>
      </c>
      <c r="O1252" s="2">
        <v>42080</v>
      </c>
      <c r="P1252" s="1">
        <v>306</v>
      </c>
      <c r="Q1252" s="1" t="s">
        <v>423</v>
      </c>
      <c r="R1252" s="2">
        <v>42138</v>
      </c>
      <c r="S1252" s="1">
        <v>310444</v>
      </c>
      <c r="T1252" s="1">
        <v>3065</v>
      </c>
      <c r="U1252" s="1">
        <v>1507</v>
      </c>
      <c r="V1252" s="1" t="s">
        <v>6687</v>
      </c>
      <c r="W1252" s="1" t="s">
        <v>449</v>
      </c>
      <c r="Y1252" s="1">
        <v>2</v>
      </c>
      <c r="Z1252" s="1" t="s">
        <v>370</v>
      </c>
      <c r="AA1252" s="1" t="s">
        <v>484</v>
      </c>
      <c r="AB1252" s="1">
        <v>60560</v>
      </c>
      <c r="AE1252" s="1" t="s">
        <v>6688</v>
      </c>
      <c r="AF1252" s="1">
        <v>1995</v>
      </c>
      <c r="AG1252" s="1" t="s">
        <v>204</v>
      </c>
      <c r="AH1252" s="1" t="s">
        <v>487</v>
      </c>
      <c r="AI1252" s="1" t="s">
        <v>453</v>
      </c>
      <c r="AJ1252" s="1" t="s">
        <v>454</v>
      </c>
      <c r="AL1252" s="1">
        <v>5</v>
      </c>
      <c r="AM1252" s="1">
        <v>2</v>
      </c>
      <c r="AN1252" s="1">
        <v>2</v>
      </c>
      <c r="AO1252" s="1">
        <v>1</v>
      </c>
      <c r="AP1252" s="1" t="s">
        <v>209</v>
      </c>
      <c r="AR1252" s="1" t="s">
        <v>210</v>
      </c>
      <c r="AS1252" s="1" t="s">
        <v>204</v>
      </c>
      <c r="AT1252" s="1" t="s">
        <v>211</v>
      </c>
      <c r="AU1252" s="1">
        <v>2</v>
      </c>
      <c r="AW1252" s="1" t="s">
        <v>204</v>
      </c>
      <c r="AX1252" s="1" t="s">
        <v>212</v>
      </c>
      <c r="AZ1252" s="1">
        <v>2805</v>
      </c>
      <c r="BA1252" s="1">
        <v>2013</v>
      </c>
      <c r="BB1252" s="1" t="s">
        <v>405</v>
      </c>
      <c r="BE1252" s="1">
        <v>1656</v>
      </c>
      <c r="BF1252" s="1">
        <v>1</v>
      </c>
      <c r="BG1252" s="1">
        <v>30</v>
      </c>
      <c r="BL1252" s="1">
        <v>110</v>
      </c>
      <c r="BM1252" s="1" t="s">
        <v>204</v>
      </c>
      <c r="BN1252" s="1" t="s">
        <v>213</v>
      </c>
      <c r="BP1252" s="1" t="s">
        <v>204</v>
      </c>
      <c r="BR1252" s="1" t="str">
        <f>"0230201001"</f>
        <v>0230201001</v>
      </c>
      <c r="BX1252" s="1">
        <v>115</v>
      </c>
      <c r="BY1252" s="1">
        <v>115</v>
      </c>
      <c r="BZ1252" s="1">
        <v>115</v>
      </c>
      <c r="CB1252" s="1" t="str">
        <f t="shared" ref="CB1252:CC1252" si="964">""</f>
        <v/>
      </c>
      <c r="CC1252" s="1" t="str">
        <f t="shared" si="964"/>
        <v/>
      </c>
      <c r="CG1252" s="1" t="s">
        <v>729</v>
      </c>
      <c r="CH1252" s="1" t="s">
        <v>219</v>
      </c>
      <c r="CK1252" s="1" t="s">
        <v>539</v>
      </c>
      <c r="CL1252" s="1" t="s">
        <v>219</v>
      </c>
      <c r="CO1252" s="1" t="s">
        <v>346</v>
      </c>
      <c r="CP1252" s="1" t="s">
        <v>219</v>
      </c>
      <c r="CS1252" s="1" t="s">
        <v>379</v>
      </c>
      <c r="CT1252" s="1" t="s">
        <v>219</v>
      </c>
      <c r="CX1252" s="1" t="s">
        <v>224</v>
      </c>
      <c r="DB1252" s="1" t="s">
        <v>224</v>
      </c>
      <c r="DE1252" s="1" t="s">
        <v>972</v>
      </c>
      <c r="DF1252" s="1" t="s">
        <v>219</v>
      </c>
      <c r="DJ1252" s="1" t="s">
        <v>224</v>
      </c>
      <c r="DS1252" s="1" t="s">
        <v>230</v>
      </c>
      <c r="DW1252" s="1" t="s">
        <v>230</v>
      </c>
      <c r="EA1252" s="1" t="s">
        <v>230</v>
      </c>
      <c r="EE1252" s="1" t="s">
        <v>230</v>
      </c>
      <c r="EI1252" s="1" t="s">
        <v>230</v>
      </c>
      <c r="EL1252" s="1" t="s">
        <v>670</v>
      </c>
      <c r="EM1252" s="1" t="s">
        <v>319</v>
      </c>
      <c r="EN1252" s="1" t="s">
        <v>282</v>
      </c>
      <c r="EO1252" s="1" t="s">
        <v>234</v>
      </c>
      <c r="ER1252" s="1" t="s">
        <v>383</v>
      </c>
      <c r="EW1252" s="1" t="s">
        <v>867</v>
      </c>
      <c r="EZ1252" s="1" t="s">
        <v>287</v>
      </c>
      <c r="FD1252" s="1" t="s">
        <v>3287</v>
      </c>
      <c r="FE1252" s="1" t="s">
        <v>472</v>
      </c>
      <c r="FF1252" s="1" t="s">
        <v>248</v>
      </c>
      <c r="FH1252" s="1" t="s">
        <v>550</v>
      </c>
      <c r="FL1252" s="1" t="s">
        <v>414</v>
      </c>
      <c r="FM1252" s="1" t="s">
        <v>252</v>
      </c>
      <c r="FN1252" s="1" t="s">
        <v>213</v>
      </c>
      <c r="FO1252" s="1" t="s">
        <v>213</v>
      </c>
      <c r="FQ1252" s="1" t="s">
        <v>12772</v>
      </c>
      <c r="FR1252" s="1" t="s">
        <v>210</v>
      </c>
      <c r="FS1252" s="1" t="s">
        <v>6690</v>
      </c>
      <c r="FT1252" s="1" t="s">
        <v>6691</v>
      </c>
      <c r="FU1252" s="1" t="s">
        <v>204</v>
      </c>
      <c r="FW1252" s="1" t="s">
        <v>6692</v>
      </c>
      <c r="FX1252" s="1">
        <v>5148</v>
      </c>
      <c r="FY1252" s="1" t="s">
        <v>6693</v>
      </c>
      <c r="FZ1252" s="1" t="s">
        <v>6694</v>
      </c>
      <c r="GA1252" s="1">
        <v>55955</v>
      </c>
      <c r="GE1252" s="1" t="s">
        <v>480</v>
      </c>
      <c r="GI1252" s="1" t="s">
        <v>204</v>
      </c>
      <c r="GJ1252" s="1" t="s">
        <v>260</v>
      </c>
      <c r="GK1252" s="1" t="s">
        <v>210</v>
      </c>
      <c r="GL1252" s="2">
        <v>42139</v>
      </c>
      <c r="GM1252" s="1" t="s">
        <v>6695</v>
      </c>
    </row>
    <row r="1253" spans="1:195">
      <c r="A1253" s="1">
        <v>143500</v>
      </c>
      <c r="B1253" s="1" t="s">
        <v>195</v>
      </c>
      <c r="C1253" s="1" t="str">
        <f>"08860269"</f>
        <v>08860269</v>
      </c>
      <c r="D1253" s="1" t="s">
        <v>196</v>
      </c>
      <c r="F1253" s="1" t="str">
        <f>"190"</f>
        <v>190</v>
      </c>
      <c r="G1253" s="2">
        <v>42075</v>
      </c>
      <c r="H1253" s="1">
        <v>148000</v>
      </c>
      <c r="I1253" s="1">
        <v>148000</v>
      </c>
      <c r="J1253" s="1">
        <v>143500</v>
      </c>
      <c r="K1253" s="2">
        <v>42075</v>
      </c>
      <c r="L1253" s="1">
        <v>3</v>
      </c>
      <c r="M1253" s="2">
        <v>42077</v>
      </c>
      <c r="N1253" s="1">
        <v>3</v>
      </c>
      <c r="O1253" s="2">
        <v>42077</v>
      </c>
      <c r="P1253" s="1">
        <v>25309</v>
      </c>
      <c r="Q1253" s="1" t="s">
        <v>197</v>
      </c>
      <c r="R1253" s="2">
        <v>42125</v>
      </c>
      <c r="S1253" s="1">
        <v>222292</v>
      </c>
      <c r="U1253" s="1" t="s">
        <v>12773</v>
      </c>
      <c r="V1253" s="1" t="s">
        <v>12774</v>
      </c>
      <c r="W1253" s="1" t="s">
        <v>264</v>
      </c>
      <c r="X1253" s="1">
        <v>106</v>
      </c>
      <c r="Y1253" s="1">
        <v>4</v>
      </c>
      <c r="Z1253" s="1" t="s">
        <v>249</v>
      </c>
      <c r="AA1253" s="1" t="s">
        <v>1915</v>
      </c>
      <c r="AB1253" s="1">
        <v>60190</v>
      </c>
      <c r="AE1253" s="1" t="s">
        <v>12775</v>
      </c>
      <c r="AF1253" s="1">
        <v>1979</v>
      </c>
      <c r="AG1253" s="1" t="s">
        <v>204</v>
      </c>
      <c r="AH1253" s="1" t="s">
        <v>987</v>
      </c>
      <c r="AI1253" s="1" t="s">
        <v>206</v>
      </c>
      <c r="AJ1253" s="1" t="s">
        <v>987</v>
      </c>
      <c r="AL1253" s="1">
        <v>5</v>
      </c>
      <c r="AM1253" s="1">
        <v>2</v>
      </c>
      <c r="AN1253" s="1">
        <v>2</v>
      </c>
      <c r="AO1253" s="1">
        <v>0</v>
      </c>
      <c r="AP1253" s="1" t="s">
        <v>209</v>
      </c>
      <c r="AQ1253" s="1">
        <v>1</v>
      </c>
      <c r="AR1253" s="1" t="s">
        <v>210</v>
      </c>
      <c r="AS1253" s="1" t="s">
        <v>204</v>
      </c>
      <c r="AT1253" s="1" t="s">
        <v>211</v>
      </c>
      <c r="AU1253" s="1">
        <v>1</v>
      </c>
      <c r="AW1253" s="1" t="s">
        <v>204</v>
      </c>
      <c r="AX1253" s="1" t="s">
        <v>212</v>
      </c>
      <c r="AZ1253" s="1">
        <v>3864</v>
      </c>
      <c r="BA1253" s="1">
        <v>2013</v>
      </c>
      <c r="BE1253" s="1">
        <v>1276</v>
      </c>
      <c r="BF1253" s="1">
        <v>2</v>
      </c>
      <c r="BG1253" s="1">
        <v>0</v>
      </c>
      <c r="BL1253" s="1">
        <v>225</v>
      </c>
      <c r="BM1253" s="1" t="s">
        <v>204</v>
      </c>
      <c r="BN1253" s="1" t="s">
        <v>213</v>
      </c>
      <c r="BO1253" s="1">
        <v>0</v>
      </c>
      <c r="BP1253" s="1" t="s">
        <v>204</v>
      </c>
      <c r="BR1253" s="1" t="str">
        <f>"0412307006"</f>
        <v>0412307006</v>
      </c>
      <c r="BT1253" s="1" t="s">
        <v>12776</v>
      </c>
      <c r="BX1253" s="1">
        <v>34</v>
      </c>
      <c r="BY1253" s="1">
        <v>34</v>
      </c>
      <c r="BZ1253" s="1">
        <v>94</v>
      </c>
      <c r="CB1253" s="1" t="str">
        <f t="shared" ref="CB1253:CC1253" si="965">""</f>
        <v/>
      </c>
      <c r="CC1253" s="1" t="str">
        <f t="shared" si="965"/>
        <v/>
      </c>
      <c r="CG1253" s="1" t="s">
        <v>861</v>
      </c>
      <c r="CH1253" s="1" t="s">
        <v>277</v>
      </c>
      <c r="CI1253" s="1" t="s">
        <v>220</v>
      </c>
      <c r="CK1253" s="1" t="s">
        <v>2121</v>
      </c>
      <c r="CL1253" s="1" t="s">
        <v>277</v>
      </c>
      <c r="CM1253" s="1" t="s">
        <v>220</v>
      </c>
      <c r="CO1253" s="1" t="s">
        <v>1470</v>
      </c>
      <c r="CP1253" s="1" t="s">
        <v>277</v>
      </c>
      <c r="CQ1253" s="1" t="s">
        <v>220</v>
      </c>
      <c r="CS1253" s="1" t="s">
        <v>280</v>
      </c>
      <c r="CT1253" s="1" t="s">
        <v>277</v>
      </c>
      <c r="CU1253" s="1" t="s">
        <v>220</v>
      </c>
      <c r="CX1253" s="1" t="s">
        <v>224</v>
      </c>
      <c r="DB1253" s="1" t="s">
        <v>224</v>
      </c>
      <c r="DE1253" s="1" t="s">
        <v>346</v>
      </c>
      <c r="DF1253" s="1" t="s">
        <v>277</v>
      </c>
      <c r="DG1253" s="1" t="s">
        <v>342</v>
      </c>
      <c r="DJ1253" s="1" t="s">
        <v>224</v>
      </c>
      <c r="DS1253" s="1" t="s">
        <v>230</v>
      </c>
      <c r="DW1253" s="1" t="s">
        <v>230</v>
      </c>
      <c r="EA1253" s="1" t="s">
        <v>230</v>
      </c>
      <c r="EE1253" s="1" t="s">
        <v>230</v>
      </c>
      <c r="EI1253" s="1" t="s">
        <v>230</v>
      </c>
      <c r="EL1253" s="1" t="s">
        <v>231</v>
      </c>
      <c r="EM1253" s="1" t="s">
        <v>319</v>
      </c>
      <c r="EN1253" s="1" t="s">
        <v>282</v>
      </c>
      <c r="EO1253" s="1" t="s">
        <v>234</v>
      </c>
      <c r="EP1253" s="1" t="s">
        <v>12777</v>
      </c>
      <c r="EQ1253" s="1" t="s">
        <v>236</v>
      </c>
      <c r="ER1253" s="1" t="s">
        <v>210</v>
      </c>
      <c r="ES1253" s="1" t="s">
        <v>3763</v>
      </c>
      <c r="ET1253" s="1" t="s">
        <v>323</v>
      </c>
      <c r="EU1253" s="1" t="s">
        <v>12778</v>
      </c>
      <c r="EW1253" s="1" t="s">
        <v>887</v>
      </c>
      <c r="EZ1253" s="1" t="s">
        <v>287</v>
      </c>
      <c r="FD1253" s="1" t="s">
        <v>246</v>
      </c>
      <c r="FE1253" s="1" t="s">
        <v>975</v>
      </c>
      <c r="FF1253" s="1" t="s">
        <v>248</v>
      </c>
      <c r="FG1253" s="1" t="s">
        <v>939</v>
      </c>
      <c r="FH1253" s="1" t="s">
        <v>249</v>
      </c>
      <c r="FL1253" s="1" t="s">
        <v>358</v>
      </c>
      <c r="FM1253" s="1" t="s">
        <v>252</v>
      </c>
      <c r="FN1253" s="1" t="s">
        <v>213</v>
      </c>
      <c r="FO1253" s="1" t="s">
        <v>213</v>
      </c>
      <c r="FQ1253" s="1" t="s">
        <v>293</v>
      </c>
      <c r="FR1253" s="1" t="s">
        <v>210</v>
      </c>
      <c r="FS1253" s="1" t="s">
        <v>1709</v>
      </c>
      <c r="FT1253" s="1" t="s">
        <v>12779</v>
      </c>
      <c r="FU1253" s="1" t="s">
        <v>204</v>
      </c>
      <c r="FW1253" s="1" t="s">
        <v>12780</v>
      </c>
      <c r="FX1253" s="1">
        <v>23705</v>
      </c>
      <c r="FY1253" s="1" t="s">
        <v>12781</v>
      </c>
      <c r="FZ1253" s="1" t="s">
        <v>12782</v>
      </c>
      <c r="GA1253" s="1">
        <v>242782</v>
      </c>
      <c r="GB1253" s="1" t="s">
        <v>12783</v>
      </c>
      <c r="GE1253" s="1" t="s">
        <v>1333</v>
      </c>
      <c r="GI1253" s="1" t="s">
        <v>204</v>
      </c>
      <c r="GJ1253" s="1" t="s">
        <v>260</v>
      </c>
      <c r="GK1253" s="1" t="s">
        <v>210</v>
      </c>
      <c r="GL1253" s="2">
        <v>42125</v>
      </c>
      <c r="GM1253" s="1" t="s">
        <v>12784</v>
      </c>
    </row>
    <row r="1254" spans="1:195">
      <c r="A1254" s="1">
        <v>73000</v>
      </c>
      <c r="B1254" s="1" t="s">
        <v>195</v>
      </c>
      <c r="C1254" s="1" t="str">
        <f>"08855362"</f>
        <v>08855362</v>
      </c>
      <c r="D1254" s="1" t="s">
        <v>196</v>
      </c>
      <c r="F1254" s="1" t="str">
        <f>"118"</f>
        <v>118</v>
      </c>
      <c r="G1254" s="2">
        <v>42070</v>
      </c>
      <c r="H1254" s="1">
        <v>77000</v>
      </c>
      <c r="I1254" s="1">
        <v>77000</v>
      </c>
      <c r="J1254" s="1">
        <v>73000</v>
      </c>
      <c r="K1254" s="2">
        <v>42070</v>
      </c>
      <c r="L1254" s="1">
        <v>7</v>
      </c>
      <c r="M1254" s="2">
        <v>42076</v>
      </c>
      <c r="N1254" s="1">
        <v>7</v>
      </c>
      <c r="O1254" s="2">
        <v>42076</v>
      </c>
      <c r="P1254" s="1">
        <v>5105</v>
      </c>
      <c r="Q1254" s="1" t="s">
        <v>302</v>
      </c>
      <c r="R1254" s="2">
        <v>42097</v>
      </c>
      <c r="S1254" s="1">
        <v>52770</v>
      </c>
      <c r="U1254" s="1">
        <v>605</v>
      </c>
      <c r="V1254" s="1" t="s">
        <v>6729</v>
      </c>
      <c r="W1254" s="1" t="s">
        <v>425</v>
      </c>
      <c r="X1254" s="1">
        <v>102</v>
      </c>
      <c r="Y1254" s="1">
        <v>90</v>
      </c>
      <c r="Z1254" s="1" t="s">
        <v>200</v>
      </c>
      <c r="AA1254" s="1" t="s">
        <v>4079</v>
      </c>
      <c r="AB1254" s="1">
        <v>60118</v>
      </c>
      <c r="AD1254" s="1" t="s">
        <v>12785</v>
      </c>
      <c r="AE1254" s="1" t="s">
        <v>12786</v>
      </c>
      <c r="AF1254" s="1">
        <v>2000</v>
      </c>
      <c r="AG1254" s="1" t="s">
        <v>204</v>
      </c>
      <c r="AH1254" s="1" t="s">
        <v>7861</v>
      </c>
      <c r="AI1254" s="1" t="s">
        <v>665</v>
      </c>
      <c r="AJ1254" s="1" t="s">
        <v>805</v>
      </c>
      <c r="AL1254" s="1">
        <v>4</v>
      </c>
      <c r="AM1254" s="1">
        <v>2</v>
      </c>
      <c r="AN1254" s="1">
        <v>1</v>
      </c>
      <c r="AO1254" s="1">
        <v>1</v>
      </c>
      <c r="AP1254" s="1" t="s">
        <v>209</v>
      </c>
      <c r="AR1254" s="1" t="s">
        <v>210</v>
      </c>
      <c r="AS1254" s="1" t="s">
        <v>204</v>
      </c>
      <c r="AT1254" s="1" t="s">
        <v>271</v>
      </c>
      <c r="AV1254" s="1">
        <v>1</v>
      </c>
      <c r="AW1254" s="1" t="s">
        <v>204</v>
      </c>
      <c r="AX1254" s="1" t="s">
        <v>579</v>
      </c>
      <c r="AZ1254" s="3">
        <v>1511</v>
      </c>
      <c r="BA1254" s="1">
        <v>2013</v>
      </c>
      <c r="BB1254" s="1" t="s">
        <v>599</v>
      </c>
      <c r="BE1254" s="1">
        <v>975</v>
      </c>
      <c r="BF1254" s="1">
        <v>1</v>
      </c>
      <c r="BG1254" s="1">
        <v>0</v>
      </c>
      <c r="BL1254" s="1">
        <v>1094</v>
      </c>
      <c r="BM1254" s="1" t="s">
        <v>204</v>
      </c>
      <c r="BN1254" s="1" t="s">
        <v>213</v>
      </c>
      <c r="BO1254" s="1">
        <v>15</v>
      </c>
      <c r="BP1254" s="1" t="s">
        <v>204</v>
      </c>
      <c r="BR1254" s="1" t="str">
        <f>"0323251059"</f>
        <v>0323251059</v>
      </c>
      <c r="BT1254" s="1" t="s">
        <v>12787</v>
      </c>
      <c r="BX1254" s="1">
        <v>300</v>
      </c>
      <c r="BY1254" s="1">
        <v>300</v>
      </c>
      <c r="BZ1254" s="1">
        <v>300</v>
      </c>
      <c r="CB1254" s="1" t="str">
        <f>"16"</f>
        <v>16</v>
      </c>
      <c r="CC1254" s="1" t="str">
        <f t="shared" ref="CC1254:CC1255" si="966">"0"</f>
        <v>0</v>
      </c>
      <c r="CD1254" s="1">
        <v>33</v>
      </c>
      <c r="CE1254" s="1">
        <v>0</v>
      </c>
      <c r="CG1254" s="1" t="s">
        <v>669</v>
      </c>
      <c r="CH1254" s="1" t="s">
        <v>219</v>
      </c>
      <c r="CI1254" s="1" t="s">
        <v>220</v>
      </c>
      <c r="CJ1254" s="1" t="s">
        <v>252</v>
      </c>
      <c r="CK1254" s="1" t="s">
        <v>344</v>
      </c>
      <c r="CL1254" s="1" t="s">
        <v>219</v>
      </c>
      <c r="CM1254" s="1" t="s">
        <v>220</v>
      </c>
      <c r="CN1254" s="1" t="s">
        <v>252</v>
      </c>
      <c r="CP1254" s="1" t="s">
        <v>224</v>
      </c>
      <c r="CS1254" s="1" t="s">
        <v>317</v>
      </c>
      <c r="CT1254" s="1" t="s">
        <v>219</v>
      </c>
      <c r="CU1254" s="1" t="s">
        <v>220</v>
      </c>
      <c r="CV1254" s="1" t="s">
        <v>252</v>
      </c>
      <c r="CX1254" s="1" t="s">
        <v>224</v>
      </c>
      <c r="DB1254" s="1" t="s">
        <v>224</v>
      </c>
      <c r="DE1254" s="1" t="s">
        <v>346</v>
      </c>
      <c r="DF1254" s="1" t="s">
        <v>219</v>
      </c>
      <c r="DG1254" s="1" t="s">
        <v>342</v>
      </c>
      <c r="DH1254" s="1" t="s">
        <v>210</v>
      </c>
      <c r="DJ1254" s="1" t="s">
        <v>224</v>
      </c>
      <c r="DS1254" s="1" t="s">
        <v>230</v>
      </c>
      <c r="DW1254" s="1" t="s">
        <v>230</v>
      </c>
      <c r="EA1254" s="1" t="s">
        <v>230</v>
      </c>
      <c r="EE1254" s="1" t="s">
        <v>230</v>
      </c>
      <c r="EI1254" s="1" t="s">
        <v>230</v>
      </c>
      <c r="EL1254" s="1" t="s">
        <v>466</v>
      </c>
      <c r="EM1254" s="1" t="s">
        <v>319</v>
      </c>
      <c r="EN1254" s="1" t="s">
        <v>282</v>
      </c>
      <c r="EO1254" s="1" t="s">
        <v>234</v>
      </c>
      <c r="EP1254" s="1" t="s">
        <v>12788</v>
      </c>
      <c r="EQ1254" s="1" t="s">
        <v>492</v>
      </c>
      <c r="ER1254" s="1" t="s">
        <v>210</v>
      </c>
      <c r="ES1254" s="1" t="s">
        <v>493</v>
      </c>
      <c r="ET1254" s="1" t="s">
        <v>609</v>
      </c>
      <c r="EU1254" s="1" t="s">
        <v>239</v>
      </c>
      <c r="EV1254" s="1" t="s">
        <v>240</v>
      </c>
      <c r="EW1254" s="1" t="s">
        <v>12789</v>
      </c>
      <c r="EY1254" s="1" t="s">
        <v>242</v>
      </c>
      <c r="EZ1254" s="1" t="s">
        <v>287</v>
      </c>
      <c r="FA1254" s="1" t="s">
        <v>12790</v>
      </c>
      <c r="FB1254" s="1" t="s">
        <v>2888</v>
      </c>
      <c r="FC1254" s="1" t="s">
        <v>1386</v>
      </c>
      <c r="FD1254" s="1" t="s">
        <v>290</v>
      </c>
      <c r="FE1254" s="1" t="s">
        <v>247</v>
      </c>
      <c r="FF1254" s="1" t="s">
        <v>248</v>
      </c>
      <c r="FH1254" s="1" t="s">
        <v>249</v>
      </c>
      <c r="FK1254" s="1" t="s">
        <v>891</v>
      </c>
      <c r="FL1254" s="1" t="s">
        <v>1826</v>
      </c>
      <c r="FM1254" s="1" t="s">
        <v>252</v>
      </c>
      <c r="FN1254" s="1" t="s">
        <v>213</v>
      </c>
      <c r="FO1254" s="1" t="s">
        <v>213</v>
      </c>
      <c r="FQ1254" s="1" t="s">
        <v>1032</v>
      </c>
      <c r="FR1254" s="1" t="s">
        <v>210</v>
      </c>
      <c r="FS1254" s="1" t="s">
        <v>12791</v>
      </c>
      <c r="FT1254" s="1" t="s">
        <v>12792</v>
      </c>
      <c r="FU1254" s="1" t="s">
        <v>204</v>
      </c>
      <c r="FW1254" s="1" t="s">
        <v>4415</v>
      </c>
      <c r="FX1254" s="1">
        <v>5104</v>
      </c>
      <c r="FY1254" s="1" t="s">
        <v>4416</v>
      </c>
      <c r="FZ1254" s="1" t="s">
        <v>12793</v>
      </c>
      <c r="GA1254" s="1">
        <v>55475</v>
      </c>
      <c r="GB1254" s="1" t="s">
        <v>12794</v>
      </c>
      <c r="GD1254" s="1" t="s">
        <v>12795</v>
      </c>
      <c r="GE1254" s="1" t="s">
        <v>623</v>
      </c>
      <c r="GI1254" s="1" t="s">
        <v>213</v>
      </c>
      <c r="GJ1254" s="1" t="s">
        <v>260</v>
      </c>
      <c r="GK1254" s="1" t="s">
        <v>210</v>
      </c>
      <c r="GL1254" s="2">
        <v>42097</v>
      </c>
      <c r="GM1254" s="1" t="s">
        <v>12796</v>
      </c>
    </row>
    <row r="1255" spans="1:195">
      <c r="A1255" s="1">
        <v>162500</v>
      </c>
      <c r="B1255" s="1" t="s">
        <v>195</v>
      </c>
      <c r="C1255" s="1" t="str">
        <f>"08853776"</f>
        <v>08853776</v>
      </c>
      <c r="D1255" s="1" t="s">
        <v>196</v>
      </c>
      <c r="F1255" s="1" t="str">
        <f>"104"</f>
        <v>104</v>
      </c>
      <c r="G1255" s="2">
        <v>42068</v>
      </c>
      <c r="H1255" s="1">
        <v>170000</v>
      </c>
      <c r="I1255" s="1">
        <v>170000</v>
      </c>
      <c r="J1255" s="1">
        <v>162500</v>
      </c>
      <c r="K1255" s="2">
        <v>42067</v>
      </c>
      <c r="L1255" s="1">
        <v>7</v>
      </c>
      <c r="M1255" s="2">
        <v>42073</v>
      </c>
      <c r="N1255" s="1">
        <v>7</v>
      </c>
      <c r="O1255" s="2">
        <v>42073</v>
      </c>
      <c r="P1255" s="1">
        <v>37</v>
      </c>
      <c r="Q1255" s="1" t="s">
        <v>197</v>
      </c>
      <c r="R1255" s="2">
        <v>42124</v>
      </c>
      <c r="S1255" s="1">
        <v>77100</v>
      </c>
      <c r="U1255" s="1">
        <v>357</v>
      </c>
      <c r="V1255" s="1" t="s">
        <v>12797</v>
      </c>
      <c r="W1255" s="1" t="s">
        <v>304</v>
      </c>
      <c r="Y1255" s="1">
        <v>1</v>
      </c>
      <c r="Z1255" s="1" t="s">
        <v>370</v>
      </c>
      <c r="AA1255" s="1" t="s">
        <v>371</v>
      </c>
      <c r="AB1255" s="1">
        <v>60103</v>
      </c>
      <c r="AD1255" s="1" t="s">
        <v>12798</v>
      </c>
      <c r="AE1255" s="1" t="s">
        <v>12799</v>
      </c>
      <c r="AF1255" s="1">
        <v>1992</v>
      </c>
      <c r="AG1255" s="1" t="s">
        <v>204</v>
      </c>
      <c r="AH1255" s="1" t="s">
        <v>373</v>
      </c>
      <c r="AI1255" s="1" t="s">
        <v>310</v>
      </c>
      <c r="AJ1255" s="1" t="s">
        <v>374</v>
      </c>
      <c r="AL1255" s="1">
        <v>6</v>
      </c>
      <c r="AM1255" s="1">
        <v>2</v>
      </c>
      <c r="AN1255" s="1">
        <v>1</v>
      </c>
      <c r="AO1255" s="1">
        <v>1</v>
      </c>
      <c r="AP1255" s="1" t="s">
        <v>210</v>
      </c>
      <c r="AR1255" s="1" t="s">
        <v>210</v>
      </c>
      <c r="AS1255" s="1" t="s">
        <v>204</v>
      </c>
      <c r="AT1255" s="1" t="s">
        <v>211</v>
      </c>
      <c r="AU1255" s="1">
        <v>2</v>
      </c>
      <c r="AW1255" s="1" t="s">
        <v>204</v>
      </c>
      <c r="AX1255" s="1" t="s">
        <v>212</v>
      </c>
      <c r="AZ1255" s="1">
        <v>4198.84</v>
      </c>
      <c r="BA1255" s="1">
        <v>2013</v>
      </c>
      <c r="BB1255" s="1" t="s">
        <v>405</v>
      </c>
      <c r="BE1255" s="1">
        <v>1504</v>
      </c>
      <c r="BF1255" s="1">
        <v>1</v>
      </c>
      <c r="BG1255" s="1">
        <v>30</v>
      </c>
      <c r="BL1255" s="1">
        <v>204</v>
      </c>
      <c r="BM1255" s="1" t="s">
        <v>204</v>
      </c>
      <c r="BN1255" s="1" t="s">
        <v>213</v>
      </c>
      <c r="BO1255" s="1">
        <v>999</v>
      </c>
      <c r="BP1255" s="1" t="s">
        <v>204</v>
      </c>
      <c r="BR1255" s="1" t="str">
        <f>"06283080080000"</f>
        <v>06283080080000</v>
      </c>
      <c r="BT1255" s="1" t="s">
        <v>12800</v>
      </c>
      <c r="BU1255" s="1" t="s">
        <v>6711</v>
      </c>
      <c r="BV1255" s="1" t="s">
        <v>1467</v>
      </c>
      <c r="BW1255" s="1" t="s">
        <v>1468</v>
      </c>
      <c r="BX1255" s="1">
        <v>46</v>
      </c>
      <c r="BY1255" s="1">
        <v>46</v>
      </c>
      <c r="BZ1255" s="1">
        <v>46</v>
      </c>
      <c r="CB1255" s="1" t="str">
        <f>"9"</f>
        <v>9</v>
      </c>
      <c r="CC1255" s="1" t="str">
        <f t="shared" si="966"/>
        <v>0</v>
      </c>
      <c r="CD1255" s="1">
        <v>30</v>
      </c>
      <c r="CE1255" s="1">
        <v>0</v>
      </c>
      <c r="CG1255" s="1" t="s">
        <v>581</v>
      </c>
      <c r="CH1255" s="1" t="s">
        <v>219</v>
      </c>
      <c r="CI1255" s="1" t="s">
        <v>229</v>
      </c>
      <c r="CK1255" s="1" t="s">
        <v>437</v>
      </c>
      <c r="CL1255" s="1" t="s">
        <v>277</v>
      </c>
      <c r="CM1255" s="1" t="s">
        <v>229</v>
      </c>
      <c r="CO1255" s="1" t="s">
        <v>281</v>
      </c>
      <c r="CP1255" s="1" t="s">
        <v>219</v>
      </c>
      <c r="CQ1255" s="1" t="s">
        <v>229</v>
      </c>
      <c r="CS1255" s="1" t="s">
        <v>757</v>
      </c>
      <c r="CT1255" s="1" t="s">
        <v>277</v>
      </c>
      <c r="CU1255" s="1" t="s">
        <v>229</v>
      </c>
      <c r="CX1255" s="1" t="s">
        <v>224</v>
      </c>
      <c r="DB1255" s="1" t="s">
        <v>224</v>
      </c>
      <c r="DE1255" s="1" t="s">
        <v>380</v>
      </c>
      <c r="DF1255" s="1" t="s">
        <v>219</v>
      </c>
      <c r="DG1255" s="1" t="s">
        <v>229</v>
      </c>
      <c r="DJ1255" s="1" t="s">
        <v>224</v>
      </c>
      <c r="DM1255" s="1" t="s">
        <v>464</v>
      </c>
      <c r="DR1255" s="1" t="s">
        <v>1358</v>
      </c>
      <c r="DS1255" s="1" t="s">
        <v>277</v>
      </c>
      <c r="DT1255" s="1" t="s">
        <v>229</v>
      </c>
      <c r="DW1255" s="1" t="s">
        <v>230</v>
      </c>
      <c r="EA1255" s="1" t="s">
        <v>230</v>
      </c>
      <c r="EE1255" s="1" t="s">
        <v>230</v>
      </c>
      <c r="EI1255" s="1" t="s">
        <v>230</v>
      </c>
      <c r="EL1255" s="1" t="s">
        <v>382</v>
      </c>
      <c r="EM1255" s="1" t="s">
        <v>319</v>
      </c>
      <c r="EN1255" s="1" t="s">
        <v>282</v>
      </c>
      <c r="EO1255" s="1" t="s">
        <v>234</v>
      </c>
      <c r="ER1255" s="1" t="s">
        <v>210</v>
      </c>
      <c r="EW1255" s="1" t="s">
        <v>12801</v>
      </c>
      <c r="EZ1255" s="1" t="s">
        <v>464</v>
      </c>
      <c r="FD1255" s="1" t="s">
        <v>246</v>
      </c>
      <c r="FE1255" s="1" t="s">
        <v>1006</v>
      </c>
      <c r="FF1255" s="1" t="s">
        <v>248</v>
      </c>
      <c r="FH1255" s="1" t="s">
        <v>550</v>
      </c>
      <c r="FI1255" s="1" t="s">
        <v>3300</v>
      </c>
      <c r="FJ1255" s="1" t="s">
        <v>518</v>
      </c>
      <c r="FL1255" s="1" t="s">
        <v>414</v>
      </c>
      <c r="FM1255" s="1" t="s">
        <v>252</v>
      </c>
      <c r="FN1255" s="1" t="s">
        <v>213</v>
      </c>
      <c r="FO1255" s="1" t="s">
        <v>213</v>
      </c>
      <c r="FQ1255" s="1" t="s">
        <v>1599</v>
      </c>
      <c r="FR1255" s="1" t="s">
        <v>210</v>
      </c>
      <c r="FS1255" s="1" t="s">
        <v>8311</v>
      </c>
      <c r="FT1255" s="1" t="s">
        <v>1182</v>
      </c>
      <c r="FU1255" s="1" t="s">
        <v>204</v>
      </c>
      <c r="FW1255" s="1" t="s">
        <v>1637</v>
      </c>
      <c r="FX1255" s="1">
        <v>10267</v>
      </c>
      <c r="FY1255" s="1" t="s">
        <v>12802</v>
      </c>
      <c r="FZ1255" s="1" t="s">
        <v>12803</v>
      </c>
      <c r="GA1255" s="1">
        <v>160336</v>
      </c>
      <c r="GB1255" s="1" t="s">
        <v>12804</v>
      </c>
      <c r="GE1255" s="1" t="s">
        <v>210</v>
      </c>
      <c r="GI1255" s="1" t="s">
        <v>213</v>
      </c>
      <c r="GJ1255" s="1" t="s">
        <v>260</v>
      </c>
      <c r="GK1255" s="1" t="s">
        <v>210</v>
      </c>
      <c r="GL1255" s="2">
        <v>42125</v>
      </c>
      <c r="GM1255" s="1" t="s">
        <v>12805</v>
      </c>
    </row>
    <row r="1256" spans="1:195">
      <c r="A1256" s="1">
        <v>130000</v>
      </c>
      <c r="B1256" s="1" t="s">
        <v>195</v>
      </c>
      <c r="C1256" s="1" t="str">
        <f>"08854245"</f>
        <v>08854245</v>
      </c>
      <c r="D1256" s="1" t="s">
        <v>196</v>
      </c>
      <c r="F1256" s="1" t="str">
        <f>"172"</f>
        <v>172</v>
      </c>
      <c r="G1256" s="2">
        <v>42069</v>
      </c>
      <c r="H1256" s="1">
        <v>132975</v>
      </c>
      <c r="I1256" s="1">
        <v>132975</v>
      </c>
      <c r="J1256" s="1">
        <v>130000</v>
      </c>
      <c r="K1256" s="2">
        <v>42068</v>
      </c>
      <c r="L1256" s="1">
        <v>13</v>
      </c>
      <c r="M1256" s="2">
        <v>42080</v>
      </c>
      <c r="N1256" s="1">
        <v>13</v>
      </c>
      <c r="O1256" s="2">
        <v>42080</v>
      </c>
      <c r="P1256" s="1">
        <v>25244</v>
      </c>
      <c r="Q1256" s="1" t="s">
        <v>197</v>
      </c>
      <c r="R1256" s="2">
        <v>42117</v>
      </c>
      <c r="S1256" s="1">
        <v>240466</v>
      </c>
      <c r="T1256" s="1">
        <v>2000</v>
      </c>
      <c r="U1256" s="1">
        <v>820</v>
      </c>
      <c r="V1256" s="1" t="s">
        <v>3948</v>
      </c>
      <c r="W1256" s="1" t="s">
        <v>526</v>
      </c>
      <c r="X1256" s="1" t="s">
        <v>11060</v>
      </c>
      <c r="Y1256" s="1">
        <v>4</v>
      </c>
      <c r="Z1256" s="1" t="s">
        <v>249</v>
      </c>
      <c r="AA1256" s="1" t="s">
        <v>266</v>
      </c>
      <c r="AB1256" s="1">
        <v>60172</v>
      </c>
      <c r="AD1256" s="1" t="s">
        <v>3950</v>
      </c>
      <c r="AE1256" s="1" t="s">
        <v>12806</v>
      </c>
      <c r="AF1256" s="1">
        <v>1979</v>
      </c>
      <c r="AG1256" s="1" t="s">
        <v>204</v>
      </c>
      <c r="AH1256" s="1" t="s">
        <v>3952</v>
      </c>
      <c r="AI1256" s="1" t="s">
        <v>310</v>
      </c>
      <c r="AJ1256" s="1" t="s">
        <v>1717</v>
      </c>
      <c r="AL1256" s="1">
        <v>5</v>
      </c>
      <c r="AM1256" s="1">
        <v>2</v>
      </c>
      <c r="AN1256" s="1">
        <v>1</v>
      </c>
      <c r="AO1256" s="1">
        <v>1</v>
      </c>
      <c r="AP1256" s="1" t="s">
        <v>667</v>
      </c>
      <c r="AR1256" s="1" t="s">
        <v>210</v>
      </c>
      <c r="AS1256" s="1" t="s">
        <v>204</v>
      </c>
      <c r="AT1256" s="1" t="s">
        <v>211</v>
      </c>
      <c r="AU1256" s="1">
        <v>1</v>
      </c>
      <c r="AW1256" s="1" t="s">
        <v>204</v>
      </c>
      <c r="AX1256" s="1" t="s">
        <v>212</v>
      </c>
      <c r="AZ1256" s="1">
        <v>2199.73</v>
      </c>
      <c r="BA1256" s="1">
        <v>2013</v>
      </c>
      <c r="BB1256" s="1" t="s">
        <v>405</v>
      </c>
      <c r="BE1256" s="1">
        <v>0</v>
      </c>
      <c r="BF1256" s="1">
        <v>1</v>
      </c>
      <c r="BG1256" s="1">
        <v>30</v>
      </c>
      <c r="BL1256" s="1">
        <v>203</v>
      </c>
      <c r="BM1256" s="1" t="s">
        <v>204</v>
      </c>
      <c r="BN1256" s="1" t="s">
        <v>213</v>
      </c>
      <c r="BO1256" s="1">
        <v>999</v>
      </c>
      <c r="BP1256" s="1" t="s">
        <v>204</v>
      </c>
      <c r="BR1256" s="1" t="str">
        <f>"07354020091002"</f>
        <v>07354020091002</v>
      </c>
      <c r="BT1256" s="1" t="s">
        <v>12807</v>
      </c>
      <c r="BX1256" s="1">
        <v>54</v>
      </c>
      <c r="BY1256" s="1">
        <v>54</v>
      </c>
      <c r="BZ1256" s="1">
        <v>211</v>
      </c>
      <c r="CB1256" s="1" t="str">
        <f t="shared" ref="CB1256:CC1256" si="967">""</f>
        <v/>
      </c>
      <c r="CC1256" s="1" t="str">
        <f t="shared" si="967"/>
        <v/>
      </c>
      <c r="CG1256" s="1" t="s">
        <v>5642</v>
      </c>
      <c r="CH1256" s="1" t="s">
        <v>219</v>
      </c>
      <c r="CI1256" s="1" t="s">
        <v>220</v>
      </c>
      <c r="CJ1256" s="1" t="s">
        <v>343</v>
      </c>
      <c r="CK1256" s="1" t="s">
        <v>280</v>
      </c>
      <c r="CL1256" s="1" t="s">
        <v>219</v>
      </c>
      <c r="CM1256" s="1" t="s">
        <v>229</v>
      </c>
      <c r="CN1256" s="1" t="s">
        <v>909</v>
      </c>
      <c r="CO1256" s="1" t="s">
        <v>2982</v>
      </c>
      <c r="CP1256" s="1" t="s">
        <v>219</v>
      </c>
      <c r="CQ1256" s="1" t="s">
        <v>220</v>
      </c>
      <c r="CR1256" s="1" t="s">
        <v>343</v>
      </c>
      <c r="CS1256" s="1" t="s">
        <v>408</v>
      </c>
      <c r="CT1256" s="1" t="s">
        <v>219</v>
      </c>
      <c r="CU1256" s="1" t="s">
        <v>220</v>
      </c>
      <c r="CV1256" s="1" t="s">
        <v>343</v>
      </c>
      <c r="CX1256" s="1" t="s">
        <v>224</v>
      </c>
      <c r="DB1256" s="1" t="s">
        <v>224</v>
      </c>
      <c r="DE1256" s="1" t="s">
        <v>318</v>
      </c>
      <c r="DF1256" s="1" t="s">
        <v>219</v>
      </c>
      <c r="DG1256" s="1" t="s">
        <v>229</v>
      </c>
      <c r="DH1256" s="1" t="s">
        <v>210</v>
      </c>
      <c r="DJ1256" s="1" t="s">
        <v>224</v>
      </c>
      <c r="DS1256" s="1" t="s">
        <v>230</v>
      </c>
      <c r="DW1256" s="1" t="s">
        <v>230</v>
      </c>
      <c r="EA1256" s="1" t="s">
        <v>230</v>
      </c>
      <c r="EE1256" s="1" t="s">
        <v>230</v>
      </c>
      <c r="EI1256" s="1" t="s">
        <v>230</v>
      </c>
      <c r="EL1256" s="1" t="s">
        <v>231</v>
      </c>
      <c r="EM1256" s="1" t="s">
        <v>730</v>
      </c>
      <c r="EN1256" s="1" t="s">
        <v>282</v>
      </c>
      <c r="EO1256" s="1" t="s">
        <v>234</v>
      </c>
      <c r="EP1256" s="1" t="s">
        <v>12808</v>
      </c>
      <c r="EQ1256" s="1" t="s">
        <v>492</v>
      </c>
      <c r="ER1256" s="1" t="s">
        <v>210</v>
      </c>
      <c r="ES1256" s="1" t="s">
        <v>5707</v>
      </c>
      <c r="EV1256" s="1" t="s">
        <v>6425</v>
      </c>
      <c r="EW1256" s="1" t="s">
        <v>12809</v>
      </c>
      <c r="EZ1256" s="1" t="s">
        <v>287</v>
      </c>
      <c r="FA1256" s="1" t="s">
        <v>243</v>
      </c>
      <c r="FB1256" s="1" t="s">
        <v>289</v>
      </c>
      <c r="FD1256" s="1" t="s">
        <v>246</v>
      </c>
      <c r="FE1256" s="1" t="s">
        <v>549</v>
      </c>
      <c r="FF1256" s="1" t="s">
        <v>248</v>
      </c>
      <c r="FH1256" s="1" t="s">
        <v>1387</v>
      </c>
      <c r="FI1256" s="1" t="s">
        <v>357</v>
      </c>
      <c r="FL1256" s="1" t="s">
        <v>358</v>
      </c>
      <c r="FM1256" s="1" t="s">
        <v>252</v>
      </c>
      <c r="FN1256" s="1" t="s">
        <v>213</v>
      </c>
      <c r="FO1256" s="1" t="s">
        <v>213</v>
      </c>
      <c r="FQ1256" s="1" t="s">
        <v>12810</v>
      </c>
      <c r="FR1256" s="1" t="s">
        <v>210</v>
      </c>
      <c r="FS1256" s="1" t="s">
        <v>12811</v>
      </c>
      <c r="FT1256" s="1" t="s">
        <v>295</v>
      </c>
      <c r="FU1256" s="1" t="s">
        <v>204</v>
      </c>
      <c r="FW1256" s="1" t="s">
        <v>4125</v>
      </c>
      <c r="FX1256" s="1">
        <v>8073</v>
      </c>
      <c r="FY1256" s="1" t="s">
        <v>4126</v>
      </c>
      <c r="FZ1256" s="1" t="s">
        <v>12812</v>
      </c>
      <c r="GA1256" s="1">
        <v>231761</v>
      </c>
      <c r="GB1256" s="1" t="s">
        <v>12813</v>
      </c>
      <c r="GD1256" s="1" t="s">
        <v>12814</v>
      </c>
      <c r="GE1256" s="1" t="s">
        <v>1226</v>
      </c>
      <c r="GI1256" s="1" t="s">
        <v>213</v>
      </c>
      <c r="GJ1256" s="1" t="s">
        <v>260</v>
      </c>
      <c r="GK1256" s="1" t="s">
        <v>210</v>
      </c>
      <c r="GL1256" s="2">
        <v>42118</v>
      </c>
    </row>
    <row r="1257" spans="1:195">
      <c r="A1257" s="1">
        <v>102000</v>
      </c>
      <c r="B1257" s="1" t="s">
        <v>195</v>
      </c>
      <c r="C1257" s="1" t="str">
        <f>"08867454"</f>
        <v>08867454</v>
      </c>
      <c r="D1257" s="1" t="s">
        <v>196</v>
      </c>
      <c r="F1257" s="1" t="str">
        <f>"532"</f>
        <v>532</v>
      </c>
      <c r="G1257" s="2">
        <v>42083</v>
      </c>
      <c r="H1257" s="1">
        <v>109900</v>
      </c>
      <c r="I1257" s="1">
        <v>109900</v>
      </c>
      <c r="J1257" s="1">
        <v>102000</v>
      </c>
      <c r="K1257" s="2">
        <v>42083</v>
      </c>
      <c r="L1257" s="1">
        <v>12</v>
      </c>
      <c r="M1257" s="2">
        <v>42094</v>
      </c>
      <c r="N1257" s="1">
        <v>12</v>
      </c>
      <c r="O1257" s="2">
        <v>42094</v>
      </c>
      <c r="P1257" s="1">
        <v>23478</v>
      </c>
      <c r="Q1257" s="1" t="s">
        <v>302</v>
      </c>
      <c r="R1257" s="2">
        <v>42121</v>
      </c>
      <c r="S1257" s="1">
        <v>237690</v>
      </c>
      <c r="U1257" s="1">
        <v>5800</v>
      </c>
      <c r="V1257" s="1" t="s">
        <v>6309</v>
      </c>
      <c r="W1257" s="1" t="s">
        <v>264</v>
      </c>
      <c r="X1257" s="1" t="s">
        <v>2039</v>
      </c>
      <c r="Y1257" s="1">
        <v>60</v>
      </c>
      <c r="Z1257" s="1" t="s">
        <v>370</v>
      </c>
      <c r="AA1257" s="1" t="s">
        <v>1566</v>
      </c>
      <c r="AB1257" s="1">
        <v>60532</v>
      </c>
      <c r="AD1257" s="1" t="s">
        <v>2908</v>
      </c>
      <c r="AE1257" s="1" t="s">
        <v>12815</v>
      </c>
      <c r="AF1257" s="1">
        <v>1974</v>
      </c>
      <c r="AG1257" s="1" t="s">
        <v>213</v>
      </c>
      <c r="AH1257" s="1" t="s">
        <v>925</v>
      </c>
      <c r="AI1257" s="1" t="s">
        <v>206</v>
      </c>
      <c r="AJ1257" s="1" t="s">
        <v>925</v>
      </c>
      <c r="AL1257" s="1">
        <v>5</v>
      </c>
      <c r="AM1257" s="1">
        <v>2</v>
      </c>
      <c r="AN1257" s="1">
        <v>1</v>
      </c>
      <c r="AO1257" s="1">
        <v>0</v>
      </c>
      <c r="AP1257" s="1" t="s">
        <v>210</v>
      </c>
      <c r="AQ1257" s="1">
        <v>1</v>
      </c>
      <c r="AR1257" s="1" t="s">
        <v>210</v>
      </c>
      <c r="AS1257" s="1" t="s">
        <v>204</v>
      </c>
      <c r="AT1257" s="1" t="s">
        <v>271</v>
      </c>
      <c r="AV1257" s="1">
        <v>2</v>
      </c>
      <c r="AW1257" s="1" t="s">
        <v>204</v>
      </c>
      <c r="AX1257" s="1" t="s">
        <v>212</v>
      </c>
      <c r="AZ1257" s="1">
        <v>3271</v>
      </c>
      <c r="BA1257" s="1">
        <v>2013</v>
      </c>
      <c r="BE1257" s="1">
        <v>980</v>
      </c>
      <c r="BF1257" s="1">
        <v>4</v>
      </c>
      <c r="BG1257" s="1">
        <v>0</v>
      </c>
      <c r="BL1257" s="1">
        <v>311</v>
      </c>
      <c r="BM1257" s="1" t="s">
        <v>204</v>
      </c>
      <c r="BN1257" s="1" t="s">
        <v>213</v>
      </c>
      <c r="BO1257" s="1">
        <v>40</v>
      </c>
      <c r="BP1257" s="1" t="s">
        <v>204</v>
      </c>
      <c r="BR1257" s="1" t="str">
        <f>"0815108038"</f>
        <v>0815108038</v>
      </c>
      <c r="BT1257" s="1" t="s">
        <v>12816</v>
      </c>
      <c r="BU1257" s="1" t="s">
        <v>3190</v>
      </c>
      <c r="BV1257" s="1" t="s">
        <v>2856</v>
      </c>
      <c r="BW1257" s="1" t="s">
        <v>2762</v>
      </c>
      <c r="BX1257" s="1">
        <v>68</v>
      </c>
      <c r="BY1257" s="1">
        <v>68</v>
      </c>
      <c r="BZ1257" s="1">
        <v>99</v>
      </c>
      <c r="CB1257" s="1" t="str">
        <f t="shared" ref="CB1257:CC1257" si="968">""</f>
        <v/>
      </c>
      <c r="CC1257" s="1" t="str">
        <f t="shared" si="968"/>
        <v/>
      </c>
      <c r="CG1257" s="1" t="s">
        <v>2934</v>
      </c>
      <c r="CH1257" s="1" t="s">
        <v>685</v>
      </c>
      <c r="CI1257" s="1" t="s">
        <v>220</v>
      </c>
      <c r="CK1257" s="1" t="s">
        <v>280</v>
      </c>
      <c r="CL1257" s="1" t="s">
        <v>685</v>
      </c>
      <c r="CM1257" s="1" t="s">
        <v>220</v>
      </c>
      <c r="CO1257" s="1" t="s">
        <v>318</v>
      </c>
      <c r="CP1257" s="1" t="s">
        <v>685</v>
      </c>
      <c r="CQ1257" s="1" t="s">
        <v>220</v>
      </c>
      <c r="CS1257" s="1" t="s">
        <v>461</v>
      </c>
      <c r="CT1257" s="1" t="s">
        <v>685</v>
      </c>
      <c r="CU1257" s="1" t="s">
        <v>220</v>
      </c>
      <c r="CX1257" s="1" t="s">
        <v>224</v>
      </c>
      <c r="DB1257" s="1" t="s">
        <v>224</v>
      </c>
      <c r="DE1257" s="1" t="s">
        <v>785</v>
      </c>
      <c r="DF1257" s="1" t="s">
        <v>685</v>
      </c>
      <c r="DG1257" s="1" t="s">
        <v>226</v>
      </c>
      <c r="DJ1257" s="1" t="s">
        <v>224</v>
      </c>
      <c r="DS1257" s="1" t="s">
        <v>230</v>
      </c>
      <c r="DW1257" s="1" t="s">
        <v>230</v>
      </c>
      <c r="EA1257" s="1" t="s">
        <v>230</v>
      </c>
      <c r="EE1257" s="1" t="s">
        <v>230</v>
      </c>
      <c r="EI1257" s="1" t="s">
        <v>230</v>
      </c>
      <c r="EL1257" s="1" t="s">
        <v>605</v>
      </c>
      <c r="EM1257" s="1" t="s">
        <v>232</v>
      </c>
      <c r="EN1257" s="1" t="s">
        <v>282</v>
      </c>
      <c r="EO1257" s="1" t="s">
        <v>234</v>
      </c>
      <c r="EP1257" s="1" t="s">
        <v>12817</v>
      </c>
      <c r="EQ1257" s="1" t="s">
        <v>468</v>
      </c>
      <c r="ER1257" s="1" t="s">
        <v>383</v>
      </c>
      <c r="ES1257" s="1" t="s">
        <v>545</v>
      </c>
      <c r="ET1257" s="1" t="s">
        <v>842</v>
      </c>
      <c r="EV1257" s="1" t="s">
        <v>240</v>
      </c>
      <c r="EW1257" s="1" t="s">
        <v>1940</v>
      </c>
      <c r="EY1257" s="1" t="s">
        <v>242</v>
      </c>
      <c r="EZ1257" s="1" t="s">
        <v>287</v>
      </c>
      <c r="FB1257" s="1" t="s">
        <v>289</v>
      </c>
      <c r="FD1257" s="1" t="s">
        <v>2914</v>
      </c>
      <c r="FE1257" s="1" t="s">
        <v>247</v>
      </c>
      <c r="FF1257" s="1" t="s">
        <v>248</v>
      </c>
      <c r="FH1257" s="1" t="s">
        <v>249</v>
      </c>
      <c r="FJ1257" s="1" t="s">
        <v>518</v>
      </c>
      <c r="FK1257" s="1" t="s">
        <v>389</v>
      </c>
      <c r="FL1257" s="1" t="s">
        <v>358</v>
      </c>
      <c r="FM1257" s="1" t="s">
        <v>252</v>
      </c>
      <c r="FN1257" s="1" t="s">
        <v>213</v>
      </c>
      <c r="FO1257" s="1" t="s">
        <v>213</v>
      </c>
      <c r="FQ1257" s="1" t="s">
        <v>293</v>
      </c>
      <c r="FR1257" s="1" t="s">
        <v>210</v>
      </c>
      <c r="FS1257" s="1" t="s">
        <v>1008</v>
      </c>
      <c r="FT1257" s="1" t="s">
        <v>295</v>
      </c>
      <c r="FU1257" s="1" t="s">
        <v>204</v>
      </c>
      <c r="FW1257" s="1" t="s">
        <v>1475</v>
      </c>
      <c r="FX1257" s="1">
        <v>23265</v>
      </c>
      <c r="FY1257" s="1" t="s">
        <v>1476</v>
      </c>
      <c r="FZ1257" s="1" t="s">
        <v>4239</v>
      </c>
      <c r="GA1257" s="1">
        <v>232733</v>
      </c>
      <c r="GB1257" s="1" t="s">
        <v>4240</v>
      </c>
      <c r="GD1257" s="1" t="s">
        <v>4241</v>
      </c>
      <c r="GE1257" s="1" t="s">
        <v>210</v>
      </c>
      <c r="GI1257" s="1" t="s">
        <v>213</v>
      </c>
      <c r="GJ1257" s="1" t="s">
        <v>260</v>
      </c>
      <c r="GK1257" s="1" t="s">
        <v>210</v>
      </c>
      <c r="GL1257" s="2">
        <v>42131</v>
      </c>
      <c r="GM1257" s="1" t="s">
        <v>12818</v>
      </c>
    </row>
    <row r="1258" spans="1:195">
      <c r="A1258" s="1">
        <v>90500</v>
      </c>
      <c r="B1258" s="1" t="s">
        <v>195</v>
      </c>
      <c r="C1258" s="1" t="str">
        <f>"08864543"</f>
        <v>08864543</v>
      </c>
      <c r="D1258" s="1" t="s">
        <v>196</v>
      </c>
      <c r="F1258" s="1" t="str">
        <f>"104"</f>
        <v>104</v>
      </c>
      <c r="G1258" s="2">
        <v>42080</v>
      </c>
      <c r="H1258" s="1">
        <v>95000</v>
      </c>
      <c r="I1258" s="1">
        <v>95000</v>
      </c>
      <c r="J1258" s="1">
        <v>90500</v>
      </c>
      <c r="K1258" s="2">
        <v>42080</v>
      </c>
      <c r="L1258" s="1">
        <v>6</v>
      </c>
      <c r="M1258" s="2">
        <v>42085</v>
      </c>
      <c r="N1258" s="1">
        <v>6</v>
      </c>
      <c r="O1258" s="2">
        <v>42085</v>
      </c>
      <c r="P1258" s="1">
        <v>8073</v>
      </c>
      <c r="Q1258" s="1" t="s">
        <v>197</v>
      </c>
      <c r="R1258" s="2">
        <v>42124</v>
      </c>
      <c r="S1258" s="1">
        <v>81719</v>
      </c>
      <c r="U1258" s="1">
        <v>328</v>
      </c>
      <c r="V1258" s="1" t="s">
        <v>12819</v>
      </c>
      <c r="W1258" s="1" t="s">
        <v>304</v>
      </c>
      <c r="X1258" s="1" t="s">
        <v>1000</v>
      </c>
      <c r="Y1258" s="1">
        <v>4</v>
      </c>
      <c r="Z1258" s="1" t="s">
        <v>370</v>
      </c>
      <c r="AA1258" s="1" t="s">
        <v>371</v>
      </c>
      <c r="AB1258" s="1">
        <v>60103</v>
      </c>
      <c r="AD1258" s="1" t="s">
        <v>12820</v>
      </c>
      <c r="AE1258" s="1" t="s">
        <v>12821</v>
      </c>
      <c r="AF1258" s="1">
        <v>1981</v>
      </c>
      <c r="AG1258" s="1" t="s">
        <v>204</v>
      </c>
      <c r="AH1258" s="1" t="s">
        <v>373</v>
      </c>
      <c r="AI1258" s="1" t="s">
        <v>310</v>
      </c>
      <c r="AJ1258" s="1" t="s">
        <v>374</v>
      </c>
      <c r="AL1258" s="1">
        <v>5</v>
      </c>
      <c r="AM1258" s="1">
        <v>2</v>
      </c>
      <c r="AN1258" s="1">
        <v>1</v>
      </c>
      <c r="AO1258" s="1">
        <v>1</v>
      </c>
      <c r="AP1258" s="1" t="s">
        <v>210</v>
      </c>
      <c r="AR1258" s="1" t="s">
        <v>210</v>
      </c>
      <c r="AS1258" s="1" t="s">
        <v>204</v>
      </c>
      <c r="AT1258" s="1" t="s">
        <v>211</v>
      </c>
      <c r="AU1258" s="1">
        <v>1</v>
      </c>
      <c r="AW1258" s="1" t="s">
        <v>204</v>
      </c>
      <c r="AX1258" s="1" t="s">
        <v>212</v>
      </c>
      <c r="AZ1258" s="1">
        <v>1979</v>
      </c>
      <c r="BA1258" s="1">
        <v>2013</v>
      </c>
      <c r="BB1258" s="1" t="s">
        <v>210</v>
      </c>
      <c r="BE1258" s="1">
        <v>1000</v>
      </c>
      <c r="BF1258" s="1">
        <v>1</v>
      </c>
      <c r="BG1258" s="1">
        <v>0</v>
      </c>
      <c r="BL1258" s="1">
        <v>198</v>
      </c>
      <c r="BM1258" s="1" t="s">
        <v>204</v>
      </c>
      <c r="BN1258" s="1" t="s">
        <v>204</v>
      </c>
      <c r="BP1258" s="1" t="s">
        <v>204</v>
      </c>
      <c r="BR1258" s="1" t="str">
        <f>"06353040421023"</f>
        <v>06353040421023</v>
      </c>
      <c r="BT1258" s="1" t="s">
        <v>12822</v>
      </c>
      <c r="BU1258" s="1" t="s">
        <v>1815</v>
      </c>
      <c r="BV1258" s="1" t="s">
        <v>1816</v>
      </c>
      <c r="BW1258" s="1" t="s">
        <v>1468</v>
      </c>
      <c r="BX1258" s="1">
        <v>46</v>
      </c>
      <c r="BY1258" s="1">
        <v>46</v>
      </c>
      <c r="BZ1258" s="1">
        <v>46</v>
      </c>
      <c r="CB1258" s="1" t="str">
        <f t="shared" ref="CB1258:CC1258" si="969">""</f>
        <v/>
      </c>
      <c r="CC1258" s="1" t="str">
        <f t="shared" si="969"/>
        <v/>
      </c>
      <c r="CG1258" s="1" t="s">
        <v>1004</v>
      </c>
      <c r="CH1258" s="1" t="s">
        <v>219</v>
      </c>
      <c r="CI1258" s="1" t="s">
        <v>220</v>
      </c>
      <c r="CJ1258" s="1" t="s">
        <v>343</v>
      </c>
      <c r="CK1258" s="1" t="s">
        <v>1358</v>
      </c>
      <c r="CL1258" s="1" t="s">
        <v>277</v>
      </c>
      <c r="CM1258" s="1" t="s">
        <v>220</v>
      </c>
      <c r="CN1258" s="1" t="s">
        <v>343</v>
      </c>
      <c r="CO1258" s="1" t="s">
        <v>2031</v>
      </c>
      <c r="CP1258" s="1" t="s">
        <v>219</v>
      </c>
      <c r="CQ1258" s="1" t="s">
        <v>229</v>
      </c>
      <c r="CR1258" s="1" t="s">
        <v>343</v>
      </c>
      <c r="CS1258" s="1" t="s">
        <v>318</v>
      </c>
      <c r="CT1258" s="1" t="s">
        <v>277</v>
      </c>
      <c r="CU1258" s="1" t="s">
        <v>220</v>
      </c>
      <c r="CV1258" s="1" t="s">
        <v>343</v>
      </c>
      <c r="CX1258" s="1" t="s">
        <v>224</v>
      </c>
      <c r="DB1258" s="1" t="s">
        <v>224</v>
      </c>
      <c r="DE1258" s="1" t="s">
        <v>348</v>
      </c>
      <c r="DF1258" s="1" t="s">
        <v>219</v>
      </c>
      <c r="DG1258" s="1" t="s">
        <v>229</v>
      </c>
      <c r="DJ1258" s="1" t="s">
        <v>224</v>
      </c>
      <c r="DS1258" s="1" t="s">
        <v>230</v>
      </c>
      <c r="DW1258" s="1" t="s">
        <v>230</v>
      </c>
      <c r="EA1258" s="1" t="s">
        <v>230</v>
      </c>
      <c r="EE1258" s="1" t="s">
        <v>230</v>
      </c>
      <c r="EI1258" s="1" t="s">
        <v>230</v>
      </c>
      <c r="EL1258" s="1" t="s">
        <v>231</v>
      </c>
      <c r="EM1258" s="1" t="s">
        <v>319</v>
      </c>
      <c r="EN1258" s="1" t="s">
        <v>282</v>
      </c>
      <c r="EO1258" s="1" t="s">
        <v>234</v>
      </c>
      <c r="ER1258" s="1" t="s">
        <v>210</v>
      </c>
      <c r="EW1258" s="1" t="s">
        <v>7897</v>
      </c>
      <c r="EZ1258" s="1" t="s">
        <v>287</v>
      </c>
      <c r="FB1258" s="1" t="s">
        <v>289</v>
      </c>
      <c r="FD1258" s="1" t="s">
        <v>1112</v>
      </c>
      <c r="FE1258" s="1" t="s">
        <v>472</v>
      </c>
      <c r="FF1258" s="1" t="s">
        <v>3103</v>
      </c>
      <c r="FH1258" s="1" t="s">
        <v>356</v>
      </c>
      <c r="FL1258" s="1" t="s">
        <v>414</v>
      </c>
      <c r="FM1258" s="1" t="s">
        <v>252</v>
      </c>
      <c r="FN1258" s="1" t="s">
        <v>213</v>
      </c>
      <c r="FO1258" s="1" t="s">
        <v>213</v>
      </c>
      <c r="FQ1258" s="1" t="s">
        <v>8675</v>
      </c>
      <c r="FR1258" s="1" t="s">
        <v>210</v>
      </c>
      <c r="FS1258" s="1" t="s">
        <v>4124</v>
      </c>
      <c r="FT1258" s="1" t="s">
        <v>12823</v>
      </c>
      <c r="FU1258" s="1" t="s">
        <v>204</v>
      </c>
      <c r="FW1258" s="1" t="s">
        <v>4125</v>
      </c>
      <c r="FX1258" s="1">
        <v>8073</v>
      </c>
      <c r="FY1258" s="1" t="s">
        <v>4126</v>
      </c>
      <c r="FZ1258" s="1" t="s">
        <v>12824</v>
      </c>
      <c r="GA1258" s="1">
        <v>81582</v>
      </c>
      <c r="GB1258" s="1" t="s">
        <v>12825</v>
      </c>
      <c r="GE1258" s="1" t="s">
        <v>210</v>
      </c>
      <c r="GI1258" s="1" t="s">
        <v>213</v>
      </c>
      <c r="GJ1258" s="1" t="s">
        <v>260</v>
      </c>
      <c r="GK1258" s="1" t="s">
        <v>210</v>
      </c>
      <c r="GL1258" s="2">
        <v>42124</v>
      </c>
      <c r="GM1258" s="1" t="s">
        <v>12826</v>
      </c>
    </row>
    <row r="1259" spans="1:195">
      <c r="A1259" s="1">
        <v>115000</v>
      </c>
      <c r="B1259" s="1" t="s">
        <v>195</v>
      </c>
      <c r="C1259" s="1" t="str">
        <f>"08854199"</f>
        <v>08854199</v>
      </c>
      <c r="D1259" s="1" t="s">
        <v>196</v>
      </c>
      <c r="F1259" s="1" t="str">
        <f>"60"</f>
        <v>60</v>
      </c>
      <c r="G1259" s="2">
        <v>42069</v>
      </c>
      <c r="H1259" s="1">
        <v>126900</v>
      </c>
      <c r="I1259" s="1">
        <v>126900</v>
      </c>
      <c r="J1259" s="1">
        <v>115000</v>
      </c>
      <c r="K1259" s="2">
        <v>42069</v>
      </c>
      <c r="L1259" s="1">
        <v>32</v>
      </c>
      <c r="M1259" s="2">
        <v>42100</v>
      </c>
      <c r="N1259" s="1">
        <v>32</v>
      </c>
      <c r="O1259" s="2">
        <v>42100</v>
      </c>
      <c r="P1259" s="1">
        <v>8068</v>
      </c>
      <c r="Q1259" s="1" t="s">
        <v>197</v>
      </c>
      <c r="R1259" s="2">
        <v>42146</v>
      </c>
      <c r="S1259" s="1">
        <v>229627</v>
      </c>
      <c r="U1259" s="1">
        <v>1265</v>
      </c>
      <c r="V1259" s="1" t="s">
        <v>8281</v>
      </c>
      <c r="W1259" s="1" t="s">
        <v>264</v>
      </c>
      <c r="Y1259" s="1">
        <v>8</v>
      </c>
      <c r="Z1259" s="1" t="s">
        <v>249</v>
      </c>
      <c r="AA1259" s="1" t="s">
        <v>1689</v>
      </c>
      <c r="AB1259" s="1">
        <v>60060</v>
      </c>
      <c r="AD1259" s="1" t="s">
        <v>7840</v>
      </c>
      <c r="AE1259" s="1" t="s">
        <v>12827</v>
      </c>
      <c r="AF1259" s="1">
        <v>1995</v>
      </c>
      <c r="AG1259" s="1" t="s">
        <v>204</v>
      </c>
      <c r="AH1259" s="1" t="s">
        <v>1692</v>
      </c>
      <c r="AI1259" s="1" t="s">
        <v>509</v>
      </c>
      <c r="AJ1259" s="1" t="s">
        <v>510</v>
      </c>
      <c r="AL1259" s="1">
        <v>4</v>
      </c>
      <c r="AM1259" s="1">
        <v>2</v>
      </c>
      <c r="AN1259" s="1">
        <v>2</v>
      </c>
      <c r="AO1259" s="1">
        <v>0</v>
      </c>
      <c r="AP1259" s="1" t="s">
        <v>209</v>
      </c>
      <c r="AR1259" s="1" t="s">
        <v>210</v>
      </c>
      <c r="AS1259" s="1" t="s">
        <v>204</v>
      </c>
      <c r="AT1259" s="1" t="s">
        <v>211</v>
      </c>
      <c r="AU1259" s="1">
        <v>1</v>
      </c>
      <c r="AW1259" s="1" t="s">
        <v>204</v>
      </c>
      <c r="AX1259" s="1" t="s">
        <v>212</v>
      </c>
      <c r="AZ1259" s="1">
        <v>5276.45</v>
      </c>
      <c r="BA1259" s="1">
        <v>2013</v>
      </c>
      <c r="BE1259" s="1">
        <v>1050</v>
      </c>
      <c r="BF1259" s="1">
        <v>1</v>
      </c>
      <c r="BG1259" s="1">
        <v>0</v>
      </c>
      <c r="BL1259" s="1">
        <v>178</v>
      </c>
      <c r="BM1259" s="1" t="s">
        <v>204</v>
      </c>
      <c r="BN1259" s="1" t="s">
        <v>213</v>
      </c>
      <c r="BO1259" s="1">
        <v>0</v>
      </c>
      <c r="BP1259" s="1" t="s">
        <v>204</v>
      </c>
      <c r="BR1259" s="1" t="str">
        <f>"15051031660000"</f>
        <v>15051031660000</v>
      </c>
      <c r="BT1259" s="1" t="s">
        <v>12828</v>
      </c>
      <c r="BW1259" s="1" t="s">
        <v>5840</v>
      </c>
      <c r="BX1259" s="1">
        <v>73</v>
      </c>
      <c r="BY1259" s="1">
        <v>73</v>
      </c>
      <c r="BZ1259" s="1">
        <v>120</v>
      </c>
      <c r="CB1259" s="1" t="str">
        <f t="shared" ref="CB1259:CC1259" si="970">""</f>
        <v/>
      </c>
      <c r="CC1259" s="1" t="str">
        <f t="shared" si="970"/>
        <v/>
      </c>
      <c r="CG1259" s="1" t="s">
        <v>2042</v>
      </c>
      <c r="CH1259" s="1" t="s">
        <v>277</v>
      </c>
      <c r="CI1259" s="1" t="s">
        <v>220</v>
      </c>
      <c r="CK1259" s="1" t="s">
        <v>757</v>
      </c>
      <c r="CL1259" s="1" t="s">
        <v>277</v>
      </c>
      <c r="CP1259" s="1" t="s">
        <v>224</v>
      </c>
      <c r="CS1259" s="1" t="s">
        <v>318</v>
      </c>
      <c r="CT1259" s="1" t="s">
        <v>277</v>
      </c>
      <c r="CX1259" s="1" t="s">
        <v>224</v>
      </c>
      <c r="DB1259" s="1" t="s">
        <v>224</v>
      </c>
      <c r="DE1259" s="1" t="s">
        <v>318</v>
      </c>
      <c r="DF1259" s="1" t="s">
        <v>277</v>
      </c>
      <c r="DJ1259" s="1" t="s">
        <v>224</v>
      </c>
      <c r="DS1259" s="1" t="s">
        <v>230</v>
      </c>
      <c r="DW1259" s="1" t="s">
        <v>230</v>
      </c>
      <c r="EA1259" s="1" t="s">
        <v>230</v>
      </c>
      <c r="EE1259" s="1" t="s">
        <v>230</v>
      </c>
      <c r="EI1259" s="1" t="s">
        <v>230</v>
      </c>
      <c r="EL1259" s="1" t="s">
        <v>670</v>
      </c>
      <c r="EM1259" s="1" t="s">
        <v>319</v>
      </c>
      <c r="EN1259" s="1" t="s">
        <v>282</v>
      </c>
      <c r="EO1259" s="1" t="s">
        <v>234</v>
      </c>
      <c r="ER1259" s="1" t="s">
        <v>210</v>
      </c>
      <c r="EW1259" s="1" t="s">
        <v>887</v>
      </c>
      <c r="EZ1259" s="1" t="s">
        <v>287</v>
      </c>
      <c r="FD1259" s="1" t="s">
        <v>246</v>
      </c>
      <c r="FE1259" s="1" t="s">
        <v>1031</v>
      </c>
      <c r="FF1259" s="1" t="s">
        <v>248</v>
      </c>
      <c r="FH1259" s="1" t="s">
        <v>550</v>
      </c>
      <c r="FL1259" s="1" t="s">
        <v>414</v>
      </c>
      <c r="FM1259" s="1" t="s">
        <v>252</v>
      </c>
      <c r="FN1259" s="1" t="s">
        <v>213</v>
      </c>
      <c r="FO1259" s="1" t="s">
        <v>213</v>
      </c>
      <c r="FQ1259" s="1" t="s">
        <v>689</v>
      </c>
      <c r="FR1259" s="1" t="s">
        <v>210</v>
      </c>
      <c r="FS1259" s="1" t="s">
        <v>1805</v>
      </c>
      <c r="FT1259" s="1" t="s">
        <v>11469</v>
      </c>
      <c r="FU1259" s="1" t="s">
        <v>204</v>
      </c>
      <c r="FW1259" s="1" t="s">
        <v>1806</v>
      </c>
      <c r="FX1259" s="1">
        <v>25196</v>
      </c>
      <c r="FY1259" s="1" t="s">
        <v>1807</v>
      </c>
      <c r="FZ1259" s="1" t="s">
        <v>1808</v>
      </c>
      <c r="GA1259" s="1">
        <v>214545</v>
      </c>
      <c r="GB1259" s="1" t="s">
        <v>1807</v>
      </c>
      <c r="GC1259" s="1">
        <v>232216</v>
      </c>
      <c r="GE1259" s="1" t="s">
        <v>210</v>
      </c>
      <c r="GI1259" s="1" t="s">
        <v>213</v>
      </c>
      <c r="GJ1259" s="1" t="s">
        <v>260</v>
      </c>
      <c r="GK1259" s="1" t="s">
        <v>210</v>
      </c>
      <c r="GL1259" s="2">
        <v>42150</v>
      </c>
      <c r="GM1259" s="1" t="s">
        <v>12829</v>
      </c>
    </row>
    <row r="1260" spans="1:195">
      <c r="A1260" s="1">
        <v>152000</v>
      </c>
      <c r="B1260" s="1" t="s">
        <v>195</v>
      </c>
      <c r="C1260" s="1" t="str">
        <f>"08856100"</f>
        <v>08856100</v>
      </c>
      <c r="D1260" s="1" t="s">
        <v>196</v>
      </c>
      <c r="F1260" s="1" t="str">
        <f>"171"</f>
        <v>171</v>
      </c>
      <c r="G1260" s="2">
        <v>42072</v>
      </c>
      <c r="H1260" s="1">
        <v>155000</v>
      </c>
      <c r="I1260" s="1">
        <v>155000</v>
      </c>
      <c r="J1260" s="1">
        <v>152000</v>
      </c>
      <c r="K1260" s="2">
        <v>42072</v>
      </c>
      <c r="L1260" s="1">
        <v>8</v>
      </c>
      <c r="M1260" s="2">
        <v>42079</v>
      </c>
      <c r="N1260" s="1">
        <v>8</v>
      </c>
      <c r="O1260" s="2">
        <v>42079</v>
      </c>
      <c r="P1260" s="1">
        <v>18075</v>
      </c>
      <c r="Q1260" s="1" t="s">
        <v>197</v>
      </c>
      <c r="R1260" s="2">
        <v>42124</v>
      </c>
      <c r="S1260" s="1">
        <v>174076</v>
      </c>
      <c r="U1260" s="1">
        <v>8035</v>
      </c>
      <c r="V1260" s="1" t="s">
        <v>12830</v>
      </c>
      <c r="W1260" s="1" t="s">
        <v>264</v>
      </c>
      <c r="X1260" s="1" t="s">
        <v>4331</v>
      </c>
      <c r="Y1260" s="1">
        <v>30</v>
      </c>
      <c r="Z1260" s="1" t="s">
        <v>249</v>
      </c>
      <c r="AA1260" s="1" t="s">
        <v>2365</v>
      </c>
      <c r="AB1260" s="1">
        <v>60171</v>
      </c>
      <c r="AE1260" s="1" t="s">
        <v>12831</v>
      </c>
      <c r="AF1260" s="1">
        <v>1973</v>
      </c>
      <c r="AG1260" s="1" t="s">
        <v>213</v>
      </c>
      <c r="AH1260" s="1" t="s">
        <v>2367</v>
      </c>
      <c r="AI1260" s="1" t="s">
        <v>310</v>
      </c>
      <c r="AJ1260" s="1" t="s">
        <v>311</v>
      </c>
      <c r="AL1260" s="1">
        <v>5</v>
      </c>
      <c r="AM1260" s="1">
        <v>2</v>
      </c>
      <c r="AN1260" s="1">
        <v>2</v>
      </c>
      <c r="AO1260" s="1">
        <v>0</v>
      </c>
      <c r="AP1260" s="1" t="s">
        <v>209</v>
      </c>
      <c r="AR1260" s="1" t="s">
        <v>210</v>
      </c>
      <c r="AS1260" s="1" t="s">
        <v>204</v>
      </c>
      <c r="AT1260" s="1" t="s">
        <v>211</v>
      </c>
      <c r="AU1260" s="1">
        <v>1</v>
      </c>
      <c r="AW1260" s="1" t="s">
        <v>204</v>
      </c>
      <c r="AX1260" s="1" t="s">
        <v>4740</v>
      </c>
      <c r="AZ1260" s="1">
        <v>2529</v>
      </c>
      <c r="BA1260" s="1">
        <v>2013</v>
      </c>
      <c r="BB1260" s="1" t="s">
        <v>210</v>
      </c>
      <c r="BE1260" s="1">
        <v>1300</v>
      </c>
      <c r="BF1260" s="1">
        <v>6</v>
      </c>
      <c r="BG1260" s="1">
        <v>30</v>
      </c>
      <c r="BJ1260" s="1">
        <v>100</v>
      </c>
      <c r="BL1260" s="1">
        <v>257</v>
      </c>
      <c r="BM1260" s="1" t="s">
        <v>204</v>
      </c>
      <c r="BN1260" s="1" t="s">
        <v>204</v>
      </c>
      <c r="BP1260" s="1" t="s">
        <v>204</v>
      </c>
      <c r="BR1260" s="1" t="str">
        <f>"12262060941027"</f>
        <v>12262060941027</v>
      </c>
      <c r="BT1260" s="1" t="s">
        <v>12832</v>
      </c>
      <c r="BU1260" s="1" t="s">
        <v>12833</v>
      </c>
      <c r="BV1260" s="1" t="s">
        <v>12833</v>
      </c>
      <c r="BW1260" s="1" t="s">
        <v>313</v>
      </c>
      <c r="BX1260" s="1">
        <v>85.5</v>
      </c>
      <c r="BY1260" s="1">
        <v>85.5</v>
      </c>
      <c r="BZ1260" s="1">
        <v>212</v>
      </c>
      <c r="CB1260" s="1" t="str">
        <f>"3100"</f>
        <v>3100</v>
      </c>
      <c r="CC1260" s="1" t="str">
        <f>"0"</f>
        <v>0</v>
      </c>
      <c r="CD1260" s="1">
        <v>8035</v>
      </c>
      <c r="CE1260" s="1">
        <v>0</v>
      </c>
      <c r="CG1260" s="1" t="s">
        <v>6499</v>
      </c>
      <c r="CH1260" s="1" t="s">
        <v>219</v>
      </c>
      <c r="CI1260" s="1" t="s">
        <v>438</v>
      </c>
      <c r="CJ1260" s="1" t="s">
        <v>252</v>
      </c>
      <c r="CK1260" s="1" t="s">
        <v>538</v>
      </c>
      <c r="CL1260" s="1" t="s">
        <v>219</v>
      </c>
      <c r="CM1260" s="1" t="s">
        <v>438</v>
      </c>
      <c r="CO1260" s="1" t="s">
        <v>629</v>
      </c>
      <c r="CP1260" s="1" t="s">
        <v>219</v>
      </c>
      <c r="CS1260" s="1" t="s">
        <v>317</v>
      </c>
      <c r="CT1260" s="1" t="s">
        <v>219</v>
      </c>
      <c r="CU1260" s="1" t="s">
        <v>438</v>
      </c>
      <c r="CX1260" s="1" t="s">
        <v>224</v>
      </c>
      <c r="DB1260" s="1" t="s">
        <v>224</v>
      </c>
      <c r="DE1260" s="1" t="s">
        <v>378</v>
      </c>
      <c r="DF1260" s="1" t="s">
        <v>219</v>
      </c>
      <c r="DG1260" s="1" t="s">
        <v>438</v>
      </c>
      <c r="DJ1260" s="1" t="s">
        <v>224</v>
      </c>
      <c r="DS1260" s="1" t="s">
        <v>230</v>
      </c>
      <c r="DW1260" s="1" t="s">
        <v>230</v>
      </c>
      <c r="EA1260" s="1" t="s">
        <v>230</v>
      </c>
      <c r="EE1260" s="1" t="s">
        <v>230</v>
      </c>
      <c r="EI1260" s="1" t="s">
        <v>230</v>
      </c>
      <c r="EL1260" s="1" t="s">
        <v>605</v>
      </c>
      <c r="EM1260" s="1" t="s">
        <v>232</v>
      </c>
      <c r="EN1260" s="1" t="s">
        <v>1158</v>
      </c>
      <c r="EO1260" s="1" t="s">
        <v>234</v>
      </c>
      <c r="EP1260" s="1" t="s">
        <v>12834</v>
      </c>
      <c r="EQ1260" s="1" t="s">
        <v>4356</v>
      </c>
      <c r="ER1260" s="1" t="s">
        <v>210</v>
      </c>
      <c r="ES1260" s="1" t="s">
        <v>469</v>
      </c>
      <c r="EV1260" s="1" t="s">
        <v>240</v>
      </c>
      <c r="EW1260" s="1" t="s">
        <v>2765</v>
      </c>
      <c r="EZ1260" s="1" t="s">
        <v>287</v>
      </c>
      <c r="FB1260" s="1" t="s">
        <v>734</v>
      </c>
      <c r="FC1260" s="1" t="s">
        <v>735</v>
      </c>
      <c r="FD1260" s="1" t="s">
        <v>1112</v>
      </c>
      <c r="FE1260" s="1" t="s">
        <v>247</v>
      </c>
      <c r="FF1260" s="1" t="s">
        <v>248</v>
      </c>
      <c r="FH1260" s="1" t="s">
        <v>249</v>
      </c>
      <c r="FI1260" s="1" t="s">
        <v>1114</v>
      </c>
      <c r="FJ1260" s="1" t="s">
        <v>1472</v>
      </c>
      <c r="FL1260" s="1" t="s">
        <v>5090</v>
      </c>
      <c r="FM1260" s="1" t="s">
        <v>252</v>
      </c>
      <c r="FN1260" s="1" t="s">
        <v>213</v>
      </c>
      <c r="FO1260" s="1" t="s">
        <v>213</v>
      </c>
      <c r="FQ1260" s="1" t="s">
        <v>12835</v>
      </c>
      <c r="FR1260" s="1" t="s">
        <v>210</v>
      </c>
      <c r="FS1260" s="1" t="s">
        <v>4720</v>
      </c>
      <c r="FT1260" s="1" t="s">
        <v>295</v>
      </c>
      <c r="FU1260" s="1" t="s">
        <v>204</v>
      </c>
      <c r="FW1260" s="1" t="s">
        <v>12836</v>
      </c>
      <c r="FX1260" s="1">
        <v>18075</v>
      </c>
      <c r="FY1260" s="1" t="s">
        <v>12837</v>
      </c>
      <c r="FZ1260" s="1" t="s">
        <v>12838</v>
      </c>
      <c r="GA1260" s="1">
        <v>165259</v>
      </c>
      <c r="GB1260" s="1" t="s">
        <v>12839</v>
      </c>
      <c r="GD1260" s="1" t="s">
        <v>12840</v>
      </c>
      <c r="GE1260" s="1" t="s">
        <v>210</v>
      </c>
      <c r="GH1260" s="1" t="s">
        <v>589</v>
      </c>
      <c r="GI1260" s="1" t="s">
        <v>204</v>
      </c>
      <c r="GJ1260" s="1" t="s">
        <v>260</v>
      </c>
      <c r="GK1260" s="1" t="s">
        <v>210</v>
      </c>
      <c r="GL1260" s="2">
        <v>42128</v>
      </c>
      <c r="GM1260" s="1" t="s">
        <v>12841</v>
      </c>
    </row>
    <row r="1261" spans="1:195">
      <c r="A1261" s="1">
        <v>176000</v>
      </c>
      <c r="B1261" s="1" t="s">
        <v>195</v>
      </c>
      <c r="C1261" s="1" t="str">
        <f>"08856315"</f>
        <v>08856315</v>
      </c>
      <c r="D1261" s="1" t="s">
        <v>196</v>
      </c>
      <c r="F1261" s="1" t="str">
        <f>"137"</f>
        <v>137</v>
      </c>
      <c r="G1261" s="2">
        <v>42072</v>
      </c>
      <c r="H1261" s="1">
        <v>179900</v>
      </c>
      <c r="I1261" s="1">
        <v>179900</v>
      </c>
      <c r="J1261" s="1">
        <v>176000</v>
      </c>
      <c r="K1261" s="2">
        <v>42072</v>
      </c>
      <c r="L1261" s="1">
        <v>3</v>
      </c>
      <c r="M1261" s="2">
        <v>42074</v>
      </c>
      <c r="N1261" s="1">
        <v>3</v>
      </c>
      <c r="O1261" s="2">
        <v>42074</v>
      </c>
      <c r="P1261" s="1">
        <v>25003</v>
      </c>
      <c r="Q1261" s="1" t="s">
        <v>302</v>
      </c>
      <c r="R1261" s="2">
        <v>42111</v>
      </c>
      <c r="S1261" s="1">
        <v>259042</v>
      </c>
      <c r="U1261" s="1">
        <v>441</v>
      </c>
      <c r="V1261" s="1" t="s">
        <v>12842</v>
      </c>
      <c r="W1261" s="1" t="s">
        <v>199</v>
      </c>
      <c r="X1261" s="1" t="s">
        <v>12843</v>
      </c>
      <c r="Y1261" s="1">
        <v>46</v>
      </c>
      <c r="Z1261" s="1" t="s">
        <v>249</v>
      </c>
      <c r="AA1261" s="1" t="s">
        <v>201</v>
      </c>
      <c r="AB1261" s="1">
        <v>60137</v>
      </c>
      <c r="AE1261" s="1" t="s">
        <v>12844</v>
      </c>
      <c r="AF1261" s="1">
        <v>1969</v>
      </c>
      <c r="AG1261" s="1" t="s">
        <v>213</v>
      </c>
      <c r="AH1261" s="1" t="s">
        <v>205</v>
      </c>
      <c r="AI1261" s="1" t="s">
        <v>206</v>
      </c>
      <c r="AJ1261" s="1" t="s">
        <v>207</v>
      </c>
      <c r="AL1261" s="1">
        <v>5</v>
      </c>
      <c r="AM1261" s="1">
        <v>2</v>
      </c>
      <c r="AN1261" s="1">
        <v>2</v>
      </c>
      <c r="AO1261" s="1">
        <v>0</v>
      </c>
      <c r="AP1261" s="1" t="s">
        <v>1234</v>
      </c>
      <c r="AR1261" s="1" t="s">
        <v>210</v>
      </c>
      <c r="AS1261" s="1" t="s">
        <v>204</v>
      </c>
      <c r="AT1261" s="1" t="s">
        <v>375</v>
      </c>
      <c r="AU1261" s="1">
        <v>1</v>
      </c>
      <c r="AV1261" s="1">
        <v>5</v>
      </c>
      <c r="AW1261" s="1" t="s">
        <v>204</v>
      </c>
      <c r="AX1261" s="1" t="s">
        <v>212</v>
      </c>
      <c r="AZ1261" s="1">
        <v>3260</v>
      </c>
      <c r="BA1261" s="1">
        <v>2013</v>
      </c>
      <c r="BB1261" s="1" t="s">
        <v>2694</v>
      </c>
      <c r="BE1261" s="1">
        <v>1541</v>
      </c>
      <c r="BF1261" s="1">
        <v>5</v>
      </c>
      <c r="BG1261" s="1">
        <v>30</v>
      </c>
      <c r="BL1261" s="1">
        <v>305</v>
      </c>
      <c r="BM1261" s="1" t="s">
        <v>204</v>
      </c>
      <c r="BN1261" s="1" t="s">
        <v>213</v>
      </c>
      <c r="BO1261" s="1">
        <v>40</v>
      </c>
      <c r="BP1261" s="1" t="s">
        <v>204</v>
      </c>
      <c r="BR1261" s="1" t="str">
        <f>"0511427045"</f>
        <v>0511427045</v>
      </c>
      <c r="BT1261" s="1" t="s">
        <v>12845</v>
      </c>
      <c r="BU1261" s="1" t="s">
        <v>12846</v>
      </c>
      <c r="BV1261" s="1" t="s">
        <v>2168</v>
      </c>
      <c r="BW1261" s="1" t="s">
        <v>2169</v>
      </c>
      <c r="BX1261" s="1">
        <v>41</v>
      </c>
      <c r="BY1261" s="1">
        <v>41</v>
      </c>
      <c r="BZ1261" s="1">
        <v>87</v>
      </c>
      <c r="CB1261" s="1" t="str">
        <f t="shared" ref="CB1261:CC1261" si="971">""</f>
        <v/>
      </c>
      <c r="CC1261" s="1" t="str">
        <f t="shared" si="971"/>
        <v/>
      </c>
      <c r="CG1261" s="1" t="s">
        <v>5353</v>
      </c>
      <c r="CH1261" s="1" t="s">
        <v>219</v>
      </c>
      <c r="CI1261" s="1" t="s">
        <v>220</v>
      </c>
      <c r="CJ1261" s="1" t="s">
        <v>343</v>
      </c>
      <c r="CK1261" s="1" t="s">
        <v>3316</v>
      </c>
      <c r="CL1261" s="1" t="s">
        <v>219</v>
      </c>
      <c r="CM1261" s="1" t="s">
        <v>220</v>
      </c>
      <c r="CN1261" s="1" t="s">
        <v>343</v>
      </c>
      <c r="CO1261" s="1" t="s">
        <v>228</v>
      </c>
      <c r="CP1261" s="1" t="s">
        <v>4450</v>
      </c>
      <c r="CS1261" s="1" t="s">
        <v>280</v>
      </c>
      <c r="CT1261" s="1" t="s">
        <v>219</v>
      </c>
      <c r="CU1261" s="1" t="s">
        <v>229</v>
      </c>
      <c r="CV1261" s="1" t="s">
        <v>343</v>
      </c>
      <c r="CX1261" s="1" t="s">
        <v>224</v>
      </c>
      <c r="DB1261" s="1" t="s">
        <v>224</v>
      </c>
      <c r="DE1261" s="1" t="s">
        <v>3591</v>
      </c>
      <c r="DF1261" s="1" t="s">
        <v>219</v>
      </c>
      <c r="DG1261" s="1" t="s">
        <v>226</v>
      </c>
      <c r="DJ1261" s="1" t="s">
        <v>224</v>
      </c>
      <c r="DS1261" s="1" t="s">
        <v>230</v>
      </c>
      <c r="DW1261" s="1" t="s">
        <v>230</v>
      </c>
      <c r="EA1261" s="1" t="s">
        <v>230</v>
      </c>
      <c r="EE1261" s="1" t="s">
        <v>230</v>
      </c>
      <c r="EI1261" s="1" t="s">
        <v>230</v>
      </c>
      <c r="EL1261" s="1" t="s">
        <v>605</v>
      </c>
      <c r="EM1261" s="1" t="s">
        <v>232</v>
      </c>
      <c r="EN1261" s="1" t="s">
        <v>282</v>
      </c>
      <c r="EO1261" s="1" t="s">
        <v>234</v>
      </c>
      <c r="EP1261" s="1" t="s">
        <v>12847</v>
      </c>
      <c r="EQ1261" s="1" t="s">
        <v>12848</v>
      </c>
      <c r="ER1261" s="1" t="s">
        <v>210</v>
      </c>
      <c r="ES1261" s="1" t="s">
        <v>824</v>
      </c>
      <c r="EU1261" s="1" t="s">
        <v>610</v>
      </c>
      <c r="EV1261" s="1" t="s">
        <v>324</v>
      </c>
      <c r="EW1261" s="1" t="s">
        <v>937</v>
      </c>
      <c r="EY1261" s="1" t="s">
        <v>242</v>
      </c>
      <c r="EZ1261" s="1" t="s">
        <v>287</v>
      </c>
      <c r="FC1261" s="1" t="s">
        <v>1386</v>
      </c>
      <c r="FD1261" s="1" t="s">
        <v>290</v>
      </c>
      <c r="FE1261" s="1" t="s">
        <v>247</v>
      </c>
      <c r="FF1261" s="1" t="s">
        <v>387</v>
      </c>
      <c r="FH1261" s="1" t="s">
        <v>249</v>
      </c>
      <c r="FI1261" s="1" t="s">
        <v>250</v>
      </c>
      <c r="FK1261" s="1" t="s">
        <v>891</v>
      </c>
      <c r="FL1261" s="1" t="s">
        <v>292</v>
      </c>
      <c r="FM1261" s="1" t="s">
        <v>252</v>
      </c>
      <c r="FN1261" s="1" t="s">
        <v>213</v>
      </c>
      <c r="FO1261" s="1" t="s">
        <v>213</v>
      </c>
      <c r="FQ1261" s="1" t="s">
        <v>569</v>
      </c>
      <c r="FR1261" s="1" t="s">
        <v>210</v>
      </c>
      <c r="FS1261" s="1" t="s">
        <v>12849</v>
      </c>
      <c r="FT1261" s="1" t="s">
        <v>362</v>
      </c>
      <c r="FU1261" s="1" t="s">
        <v>204</v>
      </c>
      <c r="FW1261" s="1" t="s">
        <v>1559</v>
      </c>
      <c r="FX1261" s="1">
        <v>25083</v>
      </c>
      <c r="FY1261" s="1" t="s">
        <v>4110</v>
      </c>
      <c r="FZ1261" s="1" t="s">
        <v>12850</v>
      </c>
      <c r="GA1261" s="1">
        <v>257048</v>
      </c>
      <c r="GB1261" s="1" t="s">
        <v>12851</v>
      </c>
      <c r="GE1261" s="1" t="s">
        <v>1333</v>
      </c>
      <c r="GH1261" s="1" t="s">
        <v>230</v>
      </c>
      <c r="GI1261" s="1" t="s">
        <v>213</v>
      </c>
      <c r="GJ1261" s="1" t="s">
        <v>260</v>
      </c>
      <c r="GK1261" s="1" t="s">
        <v>210</v>
      </c>
      <c r="GL1261" s="2">
        <v>42114</v>
      </c>
      <c r="GM1261" s="1" t="s">
        <v>12852</v>
      </c>
    </row>
    <row r="1262" spans="1:195">
      <c r="A1262" s="1">
        <v>112000</v>
      </c>
      <c r="B1262" s="1" t="s">
        <v>195</v>
      </c>
      <c r="C1262" s="1" t="str">
        <f>"08855467"</f>
        <v>08855467</v>
      </c>
      <c r="D1262" s="1" t="s">
        <v>196</v>
      </c>
      <c r="F1262" s="1" t="str">
        <f>"513"</f>
        <v>513</v>
      </c>
      <c r="G1262" s="2">
        <v>42070</v>
      </c>
      <c r="H1262" s="1">
        <v>109900</v>
      </c>
      <c r="I1262" s="1">
        <v>109900</v>
      </c>
      <c r="J1262" s="1">
        <v>112000</v>
      </c>
      <c r="K1262" s="2">
        <v>42068</v>
      </c>
      <c r="L1262" s="1">
        <v>58</v>
      </c>
      <c r="M1262" s="2">
        <v>42084</v>
      </c>
      <c r="N1262" s="1">
        <v>17</v>
      </c>
      <c r="O1262" s="2">
        <v>42084</v>
      </c>
      <c r="P1262" s="1">
        <v>17269</v>
      </c>
      <c r="Q1262" s="1" t="s">
        <v>423</v>
      </c>
      <c r="R1262" s="2">
        <v>42130</v>
      </c>
      <c r="S1262" s="1">
        <v>116993</v>
      </c>
      <c r="T1262" s="1">
        <v>3000</v>
      </c>
      <c r="U1262" s="1">
        <v>3944</v>
      </c>
      <c r="V1262" s="1" t="s">
        <v>12853</v>
      </c>
      <c r="W1262" s="1" t="s">
        <v>425</v>
      </c>
      <c r="Y1262" s="1">
        <v>4</v>
      </c>
      <c r="Z1262" s="1" t="s">
        <v>200</v>
      </c>
      <c r="AA1262" s="1" t="s">
        <v>644</v>
      </c>
      <c r="AB1262" s="1">
        <v>60513</v>
      </c>
      <c r="AE1262" s="1" t="s">
        <v>12854</v>
      </c>
      <c r="AF1262" s="1">
        <v>1955</v>
      </c>
      <c r="AG1262" s="1" t="s">
        <v>213</v>
      </c>
      <c r="AH1262" s="1" t="s">
        <v>646</v>
      </c>
      <c r="AI1262" s="1" t="s">
        <v>310</v>
      </c>
      <c r="AJ1262" s="1" t="s">
        <v>429</v>
      </c>
      <c r="AL1262" s="1">
        <v>6</v>
      </c>
      <c r="AM1262" s="1">
        <v>2</v>
      </c>
      <c r="AN1262" s="1">
        <v>1</v>
      </c>
      <c r="AO1262" s="1">
        <v>0</v>
      </c>
      <c r="AP1262" s="1" t="s">
        <v>210</v>
      </c>
      <c r="AR1262" s="1" t="s">
        <v>210</v>
      </c>
      <c r="AS1262" s="1" t="s">
        <v>204</v>
      </c>
      <c r="AT1262" s="1" t="s">
        <v>210</v>
      </c>
      <c r="AW1262" s="1" t="s">
        <v>204</v>
      </c>
      <c r="AX1262" s="1" t="s">
        <v>212</v>
      </c>
      <c r="AZ1262" s="1">
        <v>3966</v>
      </c>
      <c r="BA1262" s="1">
        <v>2013</v>
      </c>
      <c r="BE1262" s="1">
        <v>1312</v>
      </c>
      <c r="BF1262" s="1">
        <v>1</v>
      </c>
      <c r="BG1262" s="1">
        <v>0</v>
      </c>
      <c r="BL1262" s="1">
        <v>0</v>
      </c>
      <c r="BM1262" s="1" t="s">
        <v>204</v>
      </c>
      <c r="BN1262" s="1" t="s">
        <v>213</v>
      </c>
      <c r="BO1262" s="1">
        <v>0</v>
      </c>
      <c r="BP1262" s="1" t="s">
        <v>204</v>
      </c>
      <c r="BR1262" s="1" t="str">
        <f>"18031030390000"</f>
        <v>18031030390000</v>
      </c>
      <c r="BT1262" s="1" t="s">
        <v>12855</v>
      </c>
      <c r="BX1262" s="1">
        <v>102</v>
      </c>
      <c r="BY1262" s="1">
        <v>102</v>
      </c>
      <c r="BZ1262" s="1">
        <v>204</v>
      </c>
      <c r="CB1262" s="1" t="str">
        <f t="shared" ref="CB1262:CC1262" si="972">"0"</f>
        <v>0</v>
      </c>
      <c r="CC1262" s="1" t="str">
        <f t="shared" si="972"/>
        <v>0</v>
      </c>
      <c r="CD1262" s="1">
        <v>11</v>
      </c>
      <c r="CE1262" s="1">
        <v>4</v>
      </c>
      <c r="CG1262" s="1" t="s">
        <v>648</v>
      </c>
      <c r="CH1262" s="1" t="s">
        <v>219</v>
      </c>
      <c r="CI1262" s="1" t="s">
        <v>342</v>
      </c>
      <c r="CK1262" s="1" t="s">
        <v>461</v>
      </c>
      <c r="CL1262" s="1" t="s">
        <v>277</v>
      </c>
      <c r="CM1262" s="1" t="s">
        <v>220</v>
      </c>
      <c r="CO1262" s="1" t="s">
        <v>629</v>
      </c>
      <c r="CP1262" s="1" t="s">
        <v>219</v>
      </c>
      <c r="CQ1262" s="1" t="s">
        <v>220</v>
      </c>
      <c r="CS1262" s="1" t="s">
        <v>346</v>
      </c>
      <c r="CT1262" s="1" t="s">
        <v>277</v>
      </c>
      <c r="CU1262" s="1" t="s">
        <v>220</v>
      </c>
      <c r="CX1262" s="1" t="s">
        <v>224</v>
      </c>
      <c r="DB1262" s="1" t="s">
        <v>224</v>
      </c>
      <c r="DE1262" s="1" t="s">
        <v>379</v>
      </c>
      <c r="DF1262" s="1" t="s">
        <v>219</v>
      </c>
      <c r="DG1262" s="1" t="s">
        <v>226</v>
      </c>
      <c r="DI1262" s="1" t="s">
        <v>12856</v>
      </c>
      <c r="DJ1262" s="1" t="s">
        <v>219</v>
      </c>
      <c r="DK1262" s="1" t="s">
        <v>220</v>
      </c>
      <c r="DS1262" s="1" t="s">
        <v>230</v>
      </c>
      <c r="DW1262" s="1" t="s">
        <v>230</v>
      </c>
      <c r="EA1262" s="1" t="s">
        <v>230</v>
      </c>
      <c r="EE1262" s="1" t="s">
        <v>230</v>
      </c>
      <c r="EI1262" s="1" t="s">
        <v>230</v>
      </c>
      <c r="EL1262" s="1" t="s">
        <v>649</v>
      </c>
      <c r="EM1262" s="1" t="s">
        <v>232</v>
      </c>
      <c r="EN1262" s="1" t="s">
        <v>210</v>
      </c>
      <c r="EO1262" s="1" t="s">
        <v>234</v>
      </c>
      <c r="EP1262" s="1" t="s">
        <v>650</v>
      </c>
      <c r="ER1262" s="1" t="s">
        <v>210</v>
      </c>
      <c r="ES1262" s="1" t="s">
        <v>322</v>
      </c>
      <c r="EW1262" s="1" t="s">
        <v>210</v>
      </c>
      <c r="EZ1262" s="1" t="s">
        <v>287</v>
      </c>
      <c r="FD1262" s="1" t="s">
        <v>246</v>
      </c>
      <c r="FE1262" s="1" t="s">
        <v>651</v>
      </c>
      <c r="FF1262" s="1" t="s">
        <v>387</v>
      </c>
      <c r="FH1262" s="1" t="s">
        <v>550</v>
      </c>
      <c r="FL1262" s="1" t="s">
        <v>358</v>
      </c>
      <c r="FM1262" s="1" t="s">
        <v>252</v>
      </c>
      <c r="FN1262" s="1" t="s">
        <v>213</v>
      </c>
      <c r="FO1262" s="1" t="s">
        <v>213</v>
      </c>
      <c r="FQ1262" s="1" t="s">
        <v>582</v>
      </c>
      <c r="FR1262" s="1" t="s">
        <v>210</v>
      </c>
      <c r="FS1262" s="1" t="s">
        <v>7633</v>
      </c>
      <c r="FT1262" s="1" t="s">
        <v>584</v>
      </c>
      <c r="FU1262" s="1" t="s">
        <v>204</v>
      </c>
      <c r="FW1262" s="1" t="s">
        <v>3206</v>
      </c>
      <c r="FX1262" s="1">
        <v>85213</v>
      </c>
      <c r="FY1262" s="1" t="s">
        <v>3207</v>
      </c>
      <c r="FZ1262" s="1" t="s">
        <v>3208</v>
      </c>
      <c r="GA1262" s="1">
        <v>167287</v>
      </c>
      <c r="GB1262" s="1" t="s">
        <v>3209</v>
      </c>
      <c r="GE1262" s="1" t="s">
        <v>658</v>
      </c>
      <c r="GI1262" s="1" t="s">
        <v>204</v>
      </c>
      <c r="GJ1262" s="1" t="s">
        <v>260</v>
      </c>
      <c r="GK1262" s="1" t="s">
        <v>210</v>
      </c>
      <c r="GL1262" s="2">
        <v>42130</v>
      </c>
      <c r="GM1262" s="1" t="s">
        <v>12857</v>
      </c>
    </row>
    <row r="1263" spans="1:195">
      <c r="A1263" s="1">
        <v>165000</v>
      </c>
      <c r="B1263" s="1" t="s">
        <v>195</v>
      </c>
      <c r="C1263" s="1" t="str">
        <f>"08858659"</f>
        <v>08858659</v>
      </c>
      <c r="D1263" s="1" t="s">
        <v>196</v>
      </c>
      <c r="F1263" s="1" t="str">
        <f>"137"</f>
        <v>137</v>
      </c>
      <c r="G1263" s="2">
        <v>42074</v>
      </c>
      <c r="H1263" s="1">
        <v>189900</v>
      </c>
      <c r="I1263" s="1">
        <v>179900</v>
      </c>
      <c r="J1263" s="1">
        <v>165000</v>
      </c>
      <c r="K1263" s="2">
        <v>42073</v>
      </c>
      <c r="L1263" s="1">
        <v>24</v>
      </c>
      <c r="M1263" s="2">
        <v>42096</v>
      </c>
      <c r="N1263" s="1">
        <v>24</v>
      </c>
      <c r="O1263" s="2">
        <v>42096</v>
      </c>
      <c r="P1263" s="1">
        <v>21823</v>
      </c>
      <c r="Q1263" s="1" t="s">
        <v>197</v>
      </c>
      <c r="R1263" s="2">
        <v>42131</v>
      </c>
      <c r="S1263" s="1">
        <v>232175</v>
      </c>
      <c r="U1263" s="1">
        <v>441</v>
      </c>
      <c r="V1263" s="1" t="s">
        <v>2690</v>
      </c>
      <c r="W1263" s="1" t="s">
        <v>199</v>
      </c>
      <c r="X1263" s="1" t="s">
        <v>12858</v>
      </c>
      <c r="Y1263" s="1">
        <v>46</v>
      </c>
      <c r="Z1263" s="1" t="s">
        <v>249</v>
      </c>
      <c r="AA1263" s="1" t="s">
        <v>201</v>
      </c>
      <c r="AB1263" s="1">
        <v>60137</v>
      </c>
      <c r="AD1263" s="1" t="s">
        <v>12859</v>
      </c>
      <c r="AE1263" s="1" t="s">
        <v>12860</v>
      </c>
      <c r="AF1263" s="1">
        <v>1969</v>
      </c>
      <c r="AG1263" s="1" t="s">
        <v>213</v>
      </c>
      <c r="AH1263" s="1" t="s">
        <v>205</v>
      </c>
      <c r="AI1263" s="1" t="s">
        <v>206</v>
      </c>
      <c r="AJ1263" s="1" t="s">
        <v>207</v>
      </c>
      <c r="AL1263" s="1">
        <v>5</v>
      </c>
      <c r="AM1263" s="1">
        <v>2</v>
      </c>
      <c r="AN1263" s="1">
        <v>2</v>
      </c>
      <c r="AO1263" s="1">
        <v>0</v>
      </c>
      <c r="AP1263" s="1" t="s">
        <v>209</v>
      </c>
      <c r="AQ1263" s="1">
        <v>0</v>
      </c>
      <c r="AR1263" s="1" t="s">
        <v>210</v>
      </c>
      <c r="AS1263" s="1" t="s">
        <v>204</v>
      </c>
      <c r="AT1263" s="1" t="s">
        <v>211</v>
      </c>
      <c r="AU1263" s="1">
        <v>1</v>
      </c>
      <c r="AW1263" s="1" t="s">
        <v>204</v>
      </c>
      <c r="AX1263" s="1" t="s">
        <v>212</v>
      </c>
      <c r="AZ1263" s="1">
        <v>3259.76</v>
      </c>
      <c r="BA1263" s="1">
        <v>2013</v>
      </c>
      <c r="BB1263" s="1" t="s">
        <v>405</v>
      </c>
      <c r="BE1263" s="1">
        <v>1381</v>
      </c>
      <c r="BF1263" s="1">
        <v>2</v>
      </c>
      <c r="BG1263" s="1">
        <v>1</v>
      </c>
      <c r="BL1263" s="1">
        <v>305</v>
      </c>
      <c r="BM1263" s="1" t="s">
        <v>204</v>
      </c>
      <c r="BN1263" s="1" t="s">
        <v>213</v>
      </c>
      <c r="BO1263" s="1">
        <v>40</v>
      </c>
      <c r="BP1263" s="1" t="s">
        <v>204</v>
      </c>
      <c r="BR1263" s="1" t="str">
        <f>"0511427011"</f>
        <v>0511427011</v>
      </c>
      <c r="BT1263" s="1" t="s">
        <v>12861</v>
      </c>
      <c r="BU1263" s="1" t="s">
        <v>12846</v>
      </c>
      <c r="BV1263" s="1" t="s">
        <v>2168</v>
      </c>
      <c r="BW1263" s="1" t="s">
        <v>2169</v>
      </c>
      <c r="BX1263" s="1">
        <v>41</v>
      </c>
      <c r="BY1263" s="1">
        <v>41</v>
      </c>
      <c r="BZ1263" s="1">
        <v>87</v>
      </c>
      <c r="CB1263" s="1" t="str">
        <f t="shared" ref="CB1263:CC1263" si="973">""</f>
        <v/>
      </c>
      <c r="CC1263" s="1" t="str">
        <f t="shared" si="973"/>
        <v/>
      </c>
      <c r="CG1263" s="1" t="s">
        <v>5678</v>
      </c>
      <c r="CH1263" s="1" t="s">
        <v>277</v>
      </c>
      <c r="CI1263" s="1" t="s">
        <v>438</v>
      </c>
      <c r="CK1263" s="1" t="s">
        <v>581</v>
      </c>
      <c r="CL1263" s="1" t="s">
        <v>277</v>
      </c>
      <c r="CM1263" s="1" t="s">
        <v>438</v>
      </c>
      <c r="CO1263" s="1" t="s">
        <v>315</v>
      </c>
      <c r="CP1263" s="1" t="s">
        <v>277</v>
      </c>
      <c r="CQ1263" s="1" t="s">
        <v>438</v>
      </c>
      <c r="CR1263" s="1" t="s">
        <v>210</v>
      </c>
      <c r="CS1263" s="1" t="s">
        <v>757</v>
      </c>
      <c r="CT1263" s="1" t="s">
        <v>277</v>
      </c>
      <c r="CU1263" s="1" t="s">
        <v>438</v>
      </c>
      <c r="CX1263" s="1" t="s">
        <v>224</v>
      </c>
      <c r="DB1263" s="1" t="s">
        <v>224</v>
      </c>
      <c r="DE1263" s="1" t="s">
        <v>539</v>
      </c>
      <c r="DF1263" s="1" t="s">
        <v>277</v>
      </c>
      <c r="DG1263" s="1" t="s">
        <v>438</v>
      </c>
      <c r="DH1263" s="1" t="s">
        <v>210</v>
      </c>
      <c r="DJ1263" s="1" t="s">
        <v>224</v>
      </c>
      <c r="DS1263" s="1" t="s">
        <v>230</v>
      </c>
      <c r="DW1263" s="1" t="s">
        <v>230</v>
      </c>
      <c r="EA1263" s="1" t="s">
        <v>230</v>
      </c>
      <c r="EE1263" s="1" t="s">
        <v>230</v>
      </c>
      <c r="EI1263" s="1" t="s">
        <v>230</v>
      </c>
      <c r="EL1263" s="1" t="s">
        <v>605</v>
      </c>
      <c r="EM1263" s="1" t="s">
        <v>232</v>
      </c>
      <c r="EN1263" s="1" t="s">
        <v>282</v>
      </c>
      <c r="EO1263" s="1" t="s">
        <v>234</v>
      </c>
      <c r="EP1263" s="1" t="s">
        <v>12862</v>
      </c>
      <c r="EQ1263" s="1" t="s">
        <v>284</v>
      </c>
      <c r="ER1263" s="1" t="s">
        <v>210</v>
      </c>
      <c r="ES1263" s="1" t="s">
        <v>322</v>
      </c>
      <c r="EV1263" s="1" t="s">
        <v>324</v>
      </c>
      <c r="EW1263" s="1" t="s">
        <v>937</v>
      </c>
      <c r="EZ1263" s="1" t="s">
        <v>287</v>
      </c>
      <c r="FB1263" s="1" t="s">
        <v>289</v>
      </c>
      <c r="FC1263" s="1" t="s">
        <v>1386</v>
      </c>
      <c r="FD1263" s="1" t="s">
        <v>290</v>
      </c>
      <c r="FE1263" s="1" t="s">
        <v>247</v>
      </c>
      <c r="FF1263" s="1" t="s">
        <v>248</v>
      </c>
      <c r="FH1263" s="1" t="s">
        <v>249</v>
      </c>
      <c r="FJ1263" s="1" t="s">
        <v>197</v>
      </c>
      <c r="FL1263" s="1" t="s">
        <v>1073</v>
      </c>
      <c r="FM1263" s="1" t="s">
        <v>252</v>
      </c>
      <c r="FN1263" s="1" t="s">
        <v>213</v>
      </c>
      <c r="FO1263" s="1" t="s">
        <v>213</v>
      </c>
      <c r="FQ1263" s="1" t="s">
        <v>569</v>
      </c>
      <c r="FR1263" s="1" t="s">
        <v>210</v>
      </c>
      <c r="FS1263" s="1" t="s">
        <v>12863</v>
      </c>
      <c r="FT1263" s="1" t="s">
        <v>362</v>
      </c>
      <c r="FU1263" s="1" t="s">
        <v>204</v>
      </c>
      <c r="FW1263" s="1" t="s">
        <v>1559</v>
      </c>
      <c r="FX1263" s="1">
        <v>25083</v>
      </c>
      <c r="FY1263" s="1" t="s">
        <v>4110</v>
      </c>
      <c r="FZ1263" s="1" t="s">
        <v>4503</v>
      </c>
      <c r="GA1263" s="1">
        <v>250887</v>
      </c>
      <c r="GD1263" s="1" t="s">
        <v>12864</v>
      </c>
      <c r="GE1263" s="1" t="s">
        <v>210</v>
      </c>
      <c r="GH1263" s="1" t="s">
        <v>230</v>
      </c>
      <c r="GI1263" s="1" t="s">
        <v>213</v>
      </c>
      <c r="GJ1263" s="1" t="s">
        <v>260</v>
      </c>
      <c r="GK1263" s="1" t="s">
        <v>210</v>
      </c>
      <c r="GL1263" s="2">
        <v>42132</v>
      </c>
    </row>
    <row r="1264" spans="1:195">
      <c r="A1264" s="1">
        <v>118000</v>
      </c>
      <c r="B1264" s="1" t="s">
        <v>195</v>
      </c>
      <c r="C1264" s="1" t="str">
        <f>"08856590"</f>
        <v>08856590</v>
      </c>
      <c r="D1264" s="1" t="s">
        <v>196</v>
      </c>
      <c r="F1264" s="1" t="str">
        <f>"513"</f>
        <v>513</v>
      </c>
      <c r="G1264" s="2">
        <v>42072</v>
      </c>
      <c r="H1264" s="1">
        <v>119900</v>
      </c>
      <c r="I1264" s="1">
        <v>119900</v>
      </c>
      <c r="J1264" s="1">
        <v>118000</v>
      </c>
      <c r="K1264" s="2">
        <v>42072</v>
      </c>
      <c r="L1264" s="1">
        <v>7</v>
      </c>
      <c r="M1264" s="2">
        <v>42078</v>
      </c>
      <c r="N1264" s="1">
        <v>7</v>
      </c>
      <c r="O1264" s="2">
        <v>42078</v>
      </c>
      <c r="P1264" s="1">
        <v>22165</v>
      </c>
      <c r="Q1264" s="1" t="s">
        <v>423</v>
      </c>
      <c r="R1264" s="2">
        <v>42142</v>
      </c>
      <c r="S1264" s="1">
        <v>222291</v>
      </c>
      <c r="U1264" s="1">
        <v>4245</v>
      </c>
      <c r="V1264" s="1" t="s">
        <v>12865</v>
      </c>
      <c r="W1264" s="1" t="s">
        <v>425</v>
      </c>
      <c r="Y1264" s="1">
        <v>2</v>
      </c>
      <c r="Z1264" s="1" t="s">
        <v>200</v>
      </c>
      <c r="AA1264" s="1" t="s">
        <v>644</v>
      </c>
      <c r="AB1264" s="1">
        <v>60513</v>
      </c>
      <c r="AE1264" s="1" t="s">
        <v>12866</v>
      </c>
      <c r="AF1264" s="1" t="s">
        <v>402</v>
      </c>
      <c r="AG1264" s="1" t="s">
        <v>213</v>
      </c>
      <c r="AH1264" s="1" t="s">
        <v>646</v>
      </c>
      <c r="AI1264" s="1" t="s">
        <v>310</v>
      </c>
      <c r="AJ1264" s="1" t="s">
        <v>702</v>
      </c>
      <c r="AK1264" s="1" t="s">
        <v>430</v>
      </c>
      <c r="AL1264" s="1">
        <v>6</v>
      </c>
      <c r="AM1264" s="1">
        <v>2</v>
      </c>
      <c r="AN1264" s="1">
        <v>1</v>
      </c>
      <c r="AO1264" s="1">
        <v>1</v>
      </c>
      <c r="AP1264" s="1" t="s">
        <v>210</v>
      </c>
      <c r="AR1264" s="1" t="s">
        <v>209</v>
      </c>
      <c r="AS1264" s="1" t="s">
        <v>213</v>
      </c>
      <c r="AT1264" s="1" t="s">
        <v>210</v>
      </c>
      <c r="AW1264" s="1" t="s">
        <v>204</v>
      </c>
      <c r="AX1264" s="1" t="s">
        <v>12867</v>
      </c>
      <c r="AZ1264" s="1">
        <v>3726</v>
      </c>
      <c r="BA1264" s="1">
        <v>2013</v>
      </c>
      <c r="BB1264" s="1" t="s">
        <v>599</v>
      </c>
      <c r="BE1264" s="1">
        <v>1000</v>
      </c>
      <c r="BF1264" s="1">
        <v>1</v>
      </c>
      <c r="BG1264" s="1">
        <v>0</v>
      </c>
      <c r="BL1264" s="1">
        <v>0</v>
      </c>
      <c r="BM1264" s="1" t="s">
        <v>413</v>
      </c>
      <c r="BN1264" s="1" t="s">
        <v>213</v>
      </c>
      <c r="BO1264" s="1" t="s">
        <v>230</v>
      </c>
      <c r="BP1264" s="1" t="s">
        <v>204</v>
      </c>
      <c r="BR1264" s="1" t="str">
        <f>"18032270180000"</f>
        <v>18032270180000</v>
      </c>
      <c r="BT1264" s="1" t="s">
        <v>12868</v>
      </c>
      <c r="BU1264" s="1" t="s">
        <v>969</v>
      </c>
      <c r="BW1264" s="1" t="s">
        <v>706</v>
      </c>
      <c r="BX1264" s="1">
        <v>103</v>
      </c>
      <c r="BY1264" s="1">
        <v>103</v>
      </c>
      <c r="BZ1264" s="1">
        <v>204</v>
      </c>
      <c r="CB1264" s="1" t="str">
        <f t="shared" ref="CB1264:CC1264" si="974">"0"</f>
        <v>0</v>
      </c>
      <c r="CC1264" s="1" t="str">
        <f t="shared" si="974"/>
        <v>0</v>
      </c>
      <c r="CD1264" s="1">
        <v>11</v>
      </c>
      <c r="CE1264" s="1">
        <v>4</v>
      </c>
      <c r="CG1264" s="1" t="s">
        <v>344</v>
      </c>
      <c r="CH1264" s="1" t="s">
        <v>219</v>
      </c>
      <c r="CI1264" s="1" t="s">
        <v>220</v>
      </c>
      <c r="CK1264" s="1" t="s">
        <v>344</v>
      </c>
      <c r="CL1264" s="1" t="s">
        <v>277</v>
      </c>
      <c r="CM1264" s="1" t="s">
        <v>220</v>
      </c>
      <c r="CO1264" s="1" t="s">
        <v>821</v>
      </c>
      <c r="CP1264" s="1" t="s">
        <v>219</v>
      </c>
      <c r="CQ1264" s="1" t="s">
        <v>342</v>
      </c>
      <c r="CS1264" s="1" t="s">
        <v>346</v>
      </c>
      <c r="CT1264" s="1" t="s">
        <v>277</v>
      </c>
      <c r="CU1264" s="1" t="s">
        <v>220</v>
      </c>
      <c r="CX1264" s="1" t="s">
        <v>224</v>
      </c>
      <c r="DB1264" s="1" t="s">
        <v>224</v>
      </c>
      <c r="DE1264" s="1" t="s">
        <v>821</v>
      </c>
      <c r="DF1264" s="1" t="s">
        <v>219</v>
      </c>
      <c r="DG1264" s="1" t="s">
        <v>342</v>
      </c>
      <c r="DI1264" s="1" t="s">
        <v>408</v>
      </c>
      <c r="DJ1264" s="1" t="s">
        <v>822</v>
      </c>
      <c r="DS1264" s="1" t="s">
        <v>230</v>
      </c>
      <c r="DW1264" s="1" t="s">
        <v>230</v>
      </c>
      <c r="EA1264" s="1" t="s">
        <v>230</v>
      </c>
      <c r="EE1264" s="1" t="s">
        <v>230</v>
      </c>
      <c r="EI1264" s="1" t="s">
        <v>230</v>
      </c>
      <c r="EL1264" s="1" t="s">
        <v>3717</v>
      </c>
      <c r="EM1264" s="1" t="s">
        <v>730</v>
      </c>
      <c r="EN1264" s="1" t="s">
        <v>282</v>
      </c>
      <c r="EO1264" s="1" t="s">
        <v>234</v>
      </c>
      <c r="EQ1264" s="1" t="s">
        <v>2994</v>
      </c>
      <c r="ER1264" s="1" t="s">
        <v>351</v>
      </c>
      <c r="ES1264" s="1" t="s">
        <v>545</v>
      </c>
      <c r="EV1264" s="1" t="s">
        <v>324</v>
      </c>
      <c r="EW1264" s="1" t="s">
        <v>210</v>
      </c>
      <c r="EY1264" s="1" t="s">
        <v>790</v>
      </c>
      <c r="EZ1264" s="1" t="s">
        <v>287</v>
      </c>
      <c r="FA1264" s="1" t="s">
        <v>5405</v>
      </c>
      <c r="FC1264" s="1" t="s">
        <v>633</v>
      </c>
      <c r="FD1264" s="1" t="s">
        <v>246</v>
      </c>
      <c r="FE1264" s="1" t="s">
        <v>247</v>
      </c>
      <c r="FF1264" s="1" t="s">
        <v>2998</v>
      </c>
      <c r="FH1264" s="1" t="s">
        <v>442</v>
      </c>
      <c r="FL1264" s="1" t="s">
        <v>358</v>
      </c>
      <c r="FM1264" s="1" t="s">
        <v>252</v>
      </c>
      <c r="FN1264" s="1" t="s">
        <v>213</v>
      </c>
      <c r="FO1264" s="1" t="s">
        <v>213</v>
      </c>
      <c r="FQ1264" s="1" t="s">
        <v>329</v>
      </c>
      <c r="FR1264" s="1" t="s">
        <v>210</v>
      </c>
      <c r="FS1264" s="1" t="s">
        <v>12869</v>
      </c>
      <c r="FT1264" s="1" t="s">
        <v>12870</v>
      </c>
      <c r="FU1264" s="1" t="s">
        <v>204</v>
      </c>
      <c r="FW1264" s="1" t="s">
        <v>12871</v>
      </c>
      <c r="FX1264" s="1">
        <v>22165</v>
      </c>
      <c r="FY1264" s="1" t="s">
        <v>12872</v>
      </c>
      <c r="FZ1264" s="1" t="s">
        <v>12873</v>
      </c>
      <c r="GA1264" s="1">
        <v>221768</v>
      </c>
      <c r="GB1264" s="1" t="s">
        <v>12874</v>
      </c>
      <c r="GE1264" s="1" t="s">
        <v>210</v>
      </c>
      <c r="GI1264" s="1" t="s">
        <v>213</v>
      </c>
      <c r="GJ1264" s="1" t="s">
        <v>260</v>
      </c>
      <c r="GK1264" s="1" t="s">
        <v>261</v>
      </c>
      <c r="GL1264" s="2">
        <v>42142</v>
      </c>
    </row>
    <row r="1265" spans="1:195">
      <c r="A1265" s="1">
        <v>228500</v>
      </c>
      <c r="B1265" s="1" t="s">
        <v>195</v>
      </c>
      <c r="C1265" s="1" t="str">
        <f>"08855685"</f>
        <v>08855685</v>
      </c>
      <c r="D1265" s="1" t="s">
        <v>196</v>
      </c>
      <c r="F1265" s="1" t="str">
        <f>"191"</f>
        <v>191</v>
      </c>
      <c r="G1265" s="2">
        <v>42071</v>
      </c>
      <c r="H1265" s="1">
        <v>237000</v>
      </c>
      <c r="I1265" s="1">
        <v>237000</v>
      </c>
      <c r="J1265" s="1">
        <v>228500</v>
      </c>
      <c r="K1265" s="2">
        <v>42071</v>
      </c>
      <c r="L1265" s="1">
        <v>389</v>
      </c>
      <c r="M1265" s="2">
        <v>42097</v>
      </c>
      <c r="N1265" s="1">
        <v>27</v>
      </c>
      <c r="O1265" s="2">
        <v>42097</v>
      </c>
      <c r="P1265" s="1">
        <v>25003</v>
      </c>
      <c r="Q1265" s="1" t="s">
        <v>302</v>
      </c>
      <c r="R1265" s="2">
        <v>42130</v>
      </c>
      <c r="S1265" s="1">
        <v>244027</v>
      </c>
      <c r="U1265" s="1">
        <v>114</v>
      </c>
      <c r="V1265" s="1" t="s">
        <v>6835</v>
      </c>
      <c r="W1265" s="1" t="s">
        <v>264</v>
      </c>
      <c r="Y1265" s="1">
        <v>4</v>
      </c>
      <c r="Z1265" s="1" t="s">
        <v>370</v>
      </c>
      <c r="AA1265" s="1" t="s">
        <v>1966</v>
      </c>
      <c r="AB1265" s="1">
        <v>60191</v>
      </c>
      <c r="AD1265" s="1" t="s">
        <v>6835</v>
      </c>
      <c r="AE1265" s="1" t="s">
        <v>6836</v>
      </c>
      <c r="AF1265" s="1">
        <v>2007</v>
      </c>
      <c r="AG1265" s="1" t="s">
        <v>204</v>
      </c>
      <c r="AH1265" s="1" t="s">
        <v>1969</v>
      </c>
      <c r="AI1265" s="1" t="s">
        <v>206</v>
      </c>
      <c r="AJ1265" s="1" t="s">
        <v>1233</v>
      </c>
      <c r="AK1265" s="1" t="s">
        <v>6837</v>
      </c>
      <c r="AL1265" s="1">
        <v>6</v>
      </c>
      <c r="AM1265" s="1">
        <v>2</v>
      </c>
      <c r="AN1265" s="1">
        <v>2</v>
      </c>
      <c r="AO1265" s="1">
        <v>1</v>
      </c>
      <c r="AP1265" s="1" t="s">
        <v>209</v>
      </c>
      <c r="AQ1265" s="1">
        <v>0</v>
      </c>
      <c r="AR1265" s="1" t="s">
        <v>2165</v>
      </c>
      <c r="AS1265" s="1" t="s">
        <v>204</v>
      </c>
      <c r="AT1265" s="1" t="s">
        <v>211</v>
      </c>
      <c r="AU1265" s="1">
        <v>2</v>
      </c>
      <c r="AW1265" s="1" t="s">
        <v>204</v>
      </c>
      <c r="AX1265" s="1" t="s">
        <v>212</v>
      </c>
      <c r="AZ1265" s="1">
        <v>5007</v>
      </c>
      <c r="BA1265" s="1">
        <v>2013</v>
      </c>
      <c r="BB1265" s="1" t="s">
        <v>210</v>
      </c>
      <c r="BE1265" s="1">
        <v>1721</v>
      </c>
      <c r="BF1265" s="1">
        <v>1</v>
      </c>
      <c r="BG1265" s="1">
        <v>0</v>
      </c>
      <c r="BL1265" s="1">
        <v>273</v>
      </c>
      <c r="BM1265" s="1" t="s">
        <v>204</v>
      </c>
      <c r="BN1265" s="1" t="s">
        <v>213</v>
      </c>
      <c r="BO1265" s="1">
        <v>25</v>
      </c>
      <c r="BP1265" s="1" t="s">
        <v>204</v>
      </c>
      <c r="BR1265" s="1" t="str">
        <f>"0315237009"</f>
        <v>0315237009</v>
      </c>
      <c r="BT1265" s="1" t="s">
        <v>12875</v>
      </c>
      <c r="BU1265" s="1" t="s">
        <v>6839</v>
      </c>
      <c r="BV1265" s="1" t="s">
        <v>6840</v>
      </c>
      <c r="BW1265" s="1" t="s">
        <v>1973</v>
      </c>
      <c r="BX1265" s="1">
        <v>2</v>
      </c>
      <c r="BY1265" s="1">
        <v>2</v>
      </c>
      <c r="BZ1265" s="1">
        <v>100</v>
      </c>
      <c r="CB1265" s="1" t="str">
        <f>"17"</f>
        <v>17</v>
      </c>
      <c r="CC1265" s="1" t="str">
        <f t="shared" ref="CC1265:CC1266" si="975">"0"</f>
        <v>0</v>
      </c>
      <c r="CD1265" s="1">
        <v>5</v>
      </c>
      <c r="CE1265" s="1">
        <v>0</v>
      </c>
      <c r="CG1265" s="1" t="s">
        <v>602</v>
      </c>
      <c r="CH1265" s="1" t="s">
        <v>219</v>
      </c>
      <c r="CI1265" s="1" t="s">
        <v>438</v>
      </c>
      <c r="CJ1265" s="1" t="s">
        <v>343</v>
      </c>
      <c r="CK1265" s="1" t="s">
        <v>669</v>
      </c>
      <c r="CL1265" s="1" t="s">
        <v>277</v>
      </c>
      <c r="CM1265" s="1" t="s">
        <v>220</v>
      </c>
      <c r="CN1265" s="1" t="s">
        <v>343</v>
      </c>
      <c r="CO1265" s="1" t="s">
        <v>346</v>
      </c>
      <c r="CP1265" s="1" t="s">
        <v>219</v>
      </c>
      <c r="CQ1265" s="1" t="s">
        <v>438</v>
      </c>
      <c r="CS1265" s="1" t="s">
        <v>378</v>
      </c>
      <c r="CT1265" s="1" t="s">
        <v>277</v>
      </c>
      <c r="CU1265" s="1" t="s">
        <v>220</v>
      </c>
      <c r="CV1265" s="1" t="s">
        <v>343</v>
      </c>
      <c r="CX1265" s="1" t="s">
        <v>224</v>
      </c>
      <c r="DB1265" s="1" t="s">
        <v>224</v>
      </c>
      <c r="DE1265" s="1" t="s">
        <v>437</v>
      </c>
      <c r="DF1265" s="1" t="s">
        <v>219</v>
      </c>
      <c r="DG1265" s="1" t="s">
        <v>438</v>
      </c>
      <c r="DH1265" s="1" t="s">
        <v>463</v>
      </c>
      <c r="DI1265" s="1" t="s">
        <v>221</v>
      </c>
      <c r="DJ1265" s="1" t="s">
        <v>822</v>
      </c>
      <c r="DK1265" s="1" t="s">
        <v>220</v>
      </c>
      <c r="DL1265" s="1" t="s">
        <v>343</v>
      </c>
      <c r="DS1265" s="1" t="s">
        <v>230</v>
      </c>
      <c r="DW1265" s="1" t="s">
        <v>230</v>
      </c>
      <c r="EA1265" s="1" t="s">
        <v>230</v>
      </c>
      <c r="EE1265" s="1" t="s">
        <v>230</v>
      </c>
      <c r="EI1265" s="1" t="s">
        <v>230</v>
      </c>
      <c r="EL1265" s="1" t="s">
        <v>491</v>
      </c>
      <c r="EM1265" s="1" t="s">
        <v>232</v>
      </c>
      <c r="EN1265" s="1" t="s">
        <v>282</v>
      </c>
      <c r="EO1265" s="1" t="s">
        <v>234</v>
      </c>
      <c r="EP1265" s="1" t="s">
        <v>3782</v>
      </c>
      <c r="EQ1265" s="1" t="s">
        <v>2188</v>
      </c>
      <c r="ER1265" s="1" t="s">
        <v>544</v>
      </c>
      <c r="ES1265" s="1" t="s">
        <v>322</v>
      </c>
      <c r="ET1265" s="1" t="s">
        <v>323</v>
      </c>
      <c r="EV1265" s="1" t="s">
        <v>240</v>
      </c>
      <c r="EW1265" s="1" t="s">
        <v>937</v>
      </c>
      <c r="EY1265" s="1" t="s">
        <v>242</v>
      </c>
      <c r="EZ1265" s="1" t="s">
        <v>287</v>
      </c>
      <c r="FB1265" s="1" t="s">
        <v>289</v>
      </c>
      <c r="FC1265" s="1" t="s">
        <v>1362</v>
      </c>
      <c r="FD1265" s="1" t="s">
        <v>246</v>
      </c>
      <c r="FE1265" s="1" t="s">
        <v>247</v>
      </c>
      <c r="FF1265" s="1" t="s">
        <v>248</v>
      </c>
      <c r="FH1265" s="1" t="s">
        <v>1428</v>
      </c>
      <c r="FL1265" s="1" t="s">
        <v>358</v>
      </c>
      <c r="FM1265" s="1" t="s">
        <v>252</v>
      </c>
      <c r="FN1265" s="1" t="s">
        <v>213</v>
      </c>
      <c r="FO1265" s="1" t="s">
        <v>213</v>
      </c>
      <c r="FQ1265" s="1" t="s">
        <v>3616</v>
      </c>
      <c r="FR1265" s="1" t="s">
        <v>210</v>
      </c>
      <c r="FS1265" s="1" t="s">
        <v>12876</v>
      </c>
      <c r="FT1265" s="1" t="s">
        <v>12877</v>
      </c>
      <c r="FU1265" s="1" t="s">
        <v>213</v>
      </c>
      <c r="FW1265" s="1" t="s">
        <v>2658</v>
      </c>
      <c r="FX1265" s="1">
        <v>92063</v>
      </c>
      <c r="FY1265" s="1" t="s">
        <v>2659</v>
      </c>
      <c r="FZ1265" s="1" t="s">
        <v>2660</v>
      </c>
      <c r="GA1265" s="1">
        <v>26265</v>
      </c>
      <c r="GE1265" s="1" t="s">
        <v>210</v>
      </c>
      <c r="GI1265" s="1" t="s">
        <v>213</v>
      </c>
      <c r="GJ1265" s="1" t="s">
        <v>260</v>
      </c>
      <c r="GK1265" s="1" t="s">
        <v>210</v>
      </c>
      <c r="GL1265" s="2">
        <v>42130</v>
      </c>
      <c r="GM1265" s="1" t="s">
        <v>2657</v>
      </c>
    </row>
    <row r="1266" spans="1:195">
      <c r="A1266" s="1">
        <v>210000</v>
      </c>
      <c r="B1266" s="1" t="s">
        <v>195</v>
      </c>
      <c r="C1266" s="1" t="str">
        <f>"08860483"</f>
        <v>08860483</v>
      </c>
      <c r="D1266" s="1" t="s">
        <v>196</v>
      </c>
      <c r="F1266" s="1" t="str">
        <f>"174"</f>
        <v>174</v>
      </c>
      <c r="G1266" s="2">
        <v>42076</v>
      </c>
      <c r="H1266" s="1">
        <v>214900</v>
      </c>
      <c r="I1266" s="1">
        <v>214900</v>
      </c>
      <c r="J1266" s="1">
        <v>210000</v>
      </c>
      <c r="K1266" s="2">
        <v>42076</v>
      </c>
      <c r="L1266" s="1">
        <v>19</v>
      </c>
      <c r="M1266" s="2">
        <v>42094</v>
      </c>
      <c r="N1266" s="1">
        <v>19</v>
      </c>
      <c r="O1266" s="2">
        <v>42094</v>
      </c>
      <c r="P1266" s="1">
        <v>10988</v>
      </c>
      <c r="Q1266" s="1" t="s">
        <v>197</v>
      </c>
      <c r="R1266" s="2">
        <v>42144</v>
      </c>
      <c r="S1266" s="1">
        <v>857144</v>
      </c>
      <c r="U1266" s="1">
        <v>257</v>
      </c>
      <c r="V1266" s="1" t="s">
        <v>12878</v>
      </c>
      <c r="W1266" s="1" t="s">
        <v>1056</v>
      </c>
      <c r="X1266" s="1">
        <v>257</v>
      </c>
      <c r="Y1266" s="1">
        <v>4</v>
      </c>
      <c r="Z1266" s="1" t="s">
        <v>249</v>
      </c>
      <c r="AA1266" s="1" t="s">
        <v>879</v>
      </c>
      <c r="AB1266" s="1">
        <v>60175</v>
      </c>
      <c r="AD1266" s="1" t="s">
        <v>12879</v>
      </c>
      <c r="AE1266" s="1" t="s">
        <v>12880</v>
      </c>
      <c r="AF1266" s="1">
        <v>2001</v>
      </c>
      <c r="AG1266" s="1" t="s">
        <v>204</v>
      </c>
      <c r="AH1266" s="1" t="s">
        <v>883</v>
      </c>
      <c r="AI1266" s="1" t="s">
        <v>665</v>
      </c>
      <c r="AJ1266" s="1" t="s">
        <v>883</v>
      </c>
      <c r="AK1266" s="1" t="s">
        <v>12881</v>
      </c>
      <c r="AL1266" s="1">
        <v>8</v>
      </c>
      <c r="AM1266" s="1">
        <v>2</v>
      </c>
      <c r="AN1266" s="1">
        <v>2</v>
      </c>
      <c r="AO1266" s="1">
        <v>1</v>
      </c>
      <c r="AP1266" s="1" t="s">
        <v>209</v>
      </c>
      <c r="AQ1266" s="1">
        <v>0</v>
      </c>
      <c r="AR1266" s="1" t="s">
        <v>2275</v>
      </c>
      <c r="AS1266" s="1" t="s">
        <v>204</v>
      </c>
      <c r="AT1266" s="1" t="s">
        <v>211</v>
      </c>
      <c r="AU1266" s="1">
        <v>2</v>
      </c>
      <c r="AW1266" s="1" t="s">
        <v>204</v>
      </c>
      <c r="AX1266" s="1" t="s">
        <v>212</v>
      </c>
      <c r="AZ1266" s="1">
        <v>5988.72</v>
      </c>
      <c r="BA1266" s="1">
        <v>2013</v>
      </c>
      <c r="BB1266" s="1" t="s">
        <v>405</v>
      </c>
      <c r="BE1266" s="1">
        <v>1869</v>
      </c>
      <c r="BF1266" s="1">
        <v>1</v>
      </c>
      <c r="BG1266" s="1">
        <v>5</v>
      </c>
      <c r="BL1266" s="1">
        <v>219</v>
      </c>
      <c r="BM1266" s="1" t="s">
        <v>204</v>
      </c>
      <c r="BN1266" s="1" t="s">
        <v>213</v>
      </c>
      <c r="BO1266" s="1">
        <v>999</v>
      </c>
      <c r="BP1266" s="1" t="s">
        <v>204</v>
      </c>
      <c r="BR1266" s="1" t="str">
        <f>"0932126042"</f>
        <v>0932126042</v>
      </c>
      <c r="BT1266" s="1" t="s">
        <v>12882</v>
      </c>
      <c r="BX1266" s="1">
        <v>303</v>
      </c>
      <c r="BY1266" s="1">
        <v>303</v>
      </c>
      <c r="BZ1266" s="1">
        <v>303</v>
      </c>
      <c r="CB1266" s="1" t="str">
        <f>"3"</f>
        <v>3</v>
      </c>
      <c r="CC1266" s="1" t="str">
        <f t="shared" si="975"/>
        <v>0</v>
      </c>
      <c r="CD1266" s="1">
        <v>37</v>
      </c>
      <c r="CE1266" s="1">
        <v>0</v>
      </c>
      <c r="CG1266" s="1" t="s">
        <v>669</v>
      </c>
      <c r="CH1266" s="1" t="s">
        <v>219</v>
      </c>
      <c r="CI1266" s="1" t="s">
        <v>229</v>
      </c>
      <c r="CK1266" s="1" t="s">
        <v>669</v>
      </c>
      <c r="CL1266" s="1" t="s">
        <v>277</v>
      </c>
      <c r="CM1266" s="1" t="s">
        <v>220</v>
      </c>
      <c r="CO1266" s="1" t="s">
        <v>318</v>
      </c>
      <c r="CP1266" s="1" t="s">
        <v>219</v>
      </c>
      <c r="CQ1266" s="1" t="s">
        <v>229</v>
      </c>
      <c r="CR1266" s="1" t="s">
        <v>210</v>
      </c>
      <c r="CS1266" s="1" t="s">
        <v>317</v>
      </c>
      <c r="CT1266" s="1" t="s">
        <v>277</v>
      </c>
      <c r="CU1266" s="1" t="s">
        <v>220</v>
      </c>
      <c r="CX1266" s="1" t="s">
        <v>224</v>
      </c>
      <c r="DB1266" s="1" t="s">
        <v>224</v>
      </c>
      <c r="DE1266" s="1" t="s">
        <v>1358</v>
      </c>
      <c r="DF1266" s="1" t="s">
        <v>219</v>
      </c>
      <c r="DG1266" s="1" t="s">
        <v>229</v>
      </c>
      <c r="DI1266" s="1" t="s">
        <v>669</v>
      </c>
      <c r="DJ1266" s="1" t="s">
        <v>219</v>
      </c>
      <c r="DK1266" s="1" t="s">
        <v>229</v>
      </c>
      <c r="DM1266" s="1" t="s">
        <v>464</v>
      </c>
      <c r="DN1266" s="1" t="s">
        <v>934</v>
      </c>
      <c r="DR1266" s="1" t="s">
        <v>408</v>
      </c>
      <c r="DS1266" s="1" t="s">
        <v>277</v>
      </c>
      <c r="DT1266" s="1" t="s">
        <v>220</v>
      </c>
      <c r="DU1266" s="1" t="s">
        <v>210</v>
      </c>
      <c r="DV1266" s="1" t="s">
        <v>12883</v>
      </c>
      <c r="DW1266" s="1" t="s">
        <v>4450</v>
      </c>
      <c r="DX1266" s="1" t="s">
        <v>220</v>
      </c>
      <c r="EA1266" s="1" t="s">
        <v>230</v>
      </c>
      <c r="EE1266" s="1" t="s">
        <v>230</v>
      </c>
      <c r="EI1266" s="1" t="s">
        <v>230</v>
      </c>
      <c r="EL1266" s="1" t="s">
        <v>466</v>
      </c>
      <c r="EM1266" s="1" t="s">
        <v>319</v>
      </c>
      <c r="EN1266" s="1" t="s">
        <v>282</v>
      </c>
      <c r="EO1266" s="1" t="s">
        <v>234</v>
      </c>
      <c r="EP1266" s="1" t="s">
        <v>12884</v>
      </c>
      <c r="EQ1266" s="1" t="s">
        <v>1109</v>
      </c>
      <c r="ER1266" s="1" t="s">
        <v>544</v>
      </c>
      <c r="ES1266" s="1" t="s">
        <v>493</v>
      </c>
      <c r="ET1266" s="1" t="s">
        <v>1201</v>
      </c>
      <c r="EU1266" s="1" t="s">
        <v>239</v>
      </c>
      <c r="EV1266" s="1" t="s">
        <v>352</v>
      </c>
      <c r="EW1266" s="1" t="s">
        <v>353</v>
      </c>
      <c r="EY1266" s="1" t="s">
        <v>242</v>
      </c>
      <c r="EZ1266" s="1" t="s">
        <v>3875</v>
      </c>
      <c r="FA1266" s="1" t="s">
        <v>12885</v>
      </c>
      <c r="FB1266" s="1" t="s">
        <v>289</v>
      </c>
      <c r="FD1266" s="1" t="s">
        <v>246</v>
      </c>
      <c r="FE1266" s="1" t="s">
        <v>472</v>
      </c>
      <c r="FF1266" s="1" t="s">
        <v>2998</v>
      </c>
      <c r="FH1266" s="1" t="s">
        <v>249</v>
      </c>
      <c r="FL1266" s="1" t="s">
        <v>358</v>
      </c>
      <c r="FM1266" s="1" t="s">
        <v>252</v>
      </c>
      <c r="FN1266" s="1" t="s">
        <v>213</v>
      </c>
      <c r="FO1266" s="1" t="s">
        <v>213</v>
      </c>
      <c r="FQ1266" s="1" t="s">
        <v>793</v>
      </c>
      <c r="FR1266" s="1" t="s">
        <v>210</v>
      </c>
      <c r="FS1266" s="1" t="s">
        <v>12886</v>
      </c>
      <c r="FT1266" s="1" t="s">
        <v>295</v>
      </c>
      <c r="FU1266" s="1" t="s">
        <v>204</v>
      </c>
      <c r="FW1266" s="1" t="s">
        <v>915</v>
      </c>
      <c r="FX1266" s="1">
        <v>23591</v>
      </c>
      <c r="FY1266" s="1" t="s">
        <v>1710</v>
      </c>
      <c r="FZ1266" s="1" t="s">
        <v>3697</v>
      </c>
      <c r="GA1266" s="1">
        <v>230500</v>
      </c>
      <c r="GB1266" s="1" t="s">
        <v>3698</v>
      </c>
      <c r="GE1266" s="1" t="s">
        <v>480</v>
      </c>
      <c r="GI1266" s="1" t="s">
        <v>213</v>
      </c>
      <c r="GJ1266" s="1" t="s">
        <v>260</v>
      </c>
      <c r="GK1266" s="1" t="s">
        <v>210</v>
      </c>
      <c r="GL1266" s="2">
        <v>42145</v>
      </c>
    </row>
    <row r="1267" spans="1:195">
      <c r="A1267" s="1">
        <v>132000</v>
      </c>
      <c r="B1267" s="1" t="s">
        <v>195</v>
      </c>
      <c r="C1267" s="1" t="str">
        <f>"08857480"</f>
        <v>08857480</v>
      </c>
      <c r="D1267" s="1" t="s">
        <v>196</v>
      </c>
      <c r="F1267" s="1" t="str">
        <f>"126"</f>
        <v>126</v>
      </c>
      <c r="G1267" s="2">
        <v>42073</v>
      </c>
      <c r="H1267" s="1">
        <v>123975</v>
      </c>
      <c r="I1267" s="1">
        <v>123975</v>
      </c>
      <c r="J1267" s="1">
        <v>132000</v>
      </c>
      <c r="K1267" s="2">
        <v>42073</v>
      </c>
      <c r="L1267" s="1">
        <v>375</v>
      </c>
      <c r="M1267" s="2">
        <v>42089</v>
      </c>
      <c r="N1267" s="1">
        <v>17</v>
      </c>
      <c r="O1267" s="2">
        <v>42089</v>
      </c>
      <c r="P1267" s="1">
        <v>13691</v>
      </c>
      <c r="Q1267" s="1" t="s">
        <v>197</v>
      </c>
      <c r="R1267" s="2">
        <v>42139</v>
      </c>
      <c r="S1267" s="1">
        <v>875554</v>
      </c>
      <c r="U1267" s="1">
        <v>110</v>
      </c>
      <c r="V1267" s="1" t="s">
        <v>12887</v>
      </c>
      <c r="W1267" s="1" t="s">
        <v>425</v>
      </c>
      <c r="Y1267" s="1">
        <v>6</v>
      </c>
      <c r="Z1267" s="1" t="s">
        <v>200</v>
      </c>
      <c r="AA1267" s="1" t="s">
        <v>3169</v>
      </c>
      <c r="AB1267" s="1">
        <v>60126</v>
      </c>
      <c r="AE1267" s="1" t="s">
        <v>12888</v>
      </c>
      <c r="AF1267" s="1">
        <v>1994</v>
      </c>
      <c r="AG1267" s="1" t="s">
        <v>204</v>
      </c>
      <c r="AH1267" s="1" t="s">
        <v>3172</v>
      </c>
      <c r="AI1267" s="1" t="s">
        <v>206</v>
      </c>
      <c r="AJ1267" s="1" t="s">
        <v>1233</v>
      </c>
      <c r="AL1267" s="1">
        <v>5</v>
      </c>
      <c r="AM1267" s="1">
        <v>2</v>
      </c>
      <c r="AN1267" s="1">
        <v>2</v>
      </c>
      <c r="AO1267" s="1">
        <v>1</v>
      </c>
      <c r="AP1267" s="1" t="s">
        <v>210</v>
      </c>
      <c r="AR1267" s="1" t="s">
        <v>209</v>
      </c>
      <c r="AS1267" s="1" t="s">
        <v>213</v>
      </c>
      <c r="AT1267" s="1" t="s">
        <v>271</v>
      </c>
      <c r="AV1267" s="1">
        <v>2</v>
      </c>
      <c r="AW1267" s="1" t="s">
        <v>204</v>
      </c>
      <c r="AX1267" s="1" t="s">
        <v>212</v>
      </c>
      <c r="AZ1267" s="1">
        <v>4230</v>
      </c>
      <c r="BA1267" s="1">
        <v>2013</v>
      </c>
      <c r="BB1267" s="1" t="s">
        <v>405</v>
      </c>
      <c r="BE1267" s="1">
        <v>1355</v>
      </c>
      <c r="BF1267" s="1">
        <v>1</v>
      </c>
      <c r="BG1267" s="1">
        <v>14</v>
      </c>
      <c r="BL1267" s="1">
        <v>100</v>
      </c>
      <c r="BM1267" s="1" t="s">
        <v>204</v>
      </c>
      <c r="BN1267" s="1" t="s">
        <v>213</v>
      </c>
      <c r="BO1267" s="1">
        <v>20</v>
      </c>
      <c r="BP1267" s="1" t="s">
        <v>204</v>
      </c>
      <c r="BR1267" s="1" t="str">
        <f>"0325300056"</f>
        <v>0325300056</v>
      </c>
      <c r="BT1267" s="1" t="s">
        <v>12889</v>
      </c>
      <c r="BU1267" s="1" t="s">
        <v>5583</v>
      </c>
      <c r="BV1267" s="1" t="s">
        <v>5584</v>
      </c>
      <c r="BW1267" s="1" t="s">
        <v>3176</v>
      </c>
      <c r="BX1267" s="1">
        <v>205</v>
      </c>
      <c r="BY1267" s="1">
        <v>205</v>
      </c>
      <c r="BZ1267" s="1">
        <v>205</v>
      </c>
      <c r="CB1267" s="1" t="str">
        <f t="shared" ref="CB1267:CC1267" si="976">""</f>
        <v/>
      </c>
      <c r="CC1267" s="1" t="str">
        <f t="shared" si="976"/>
        <v/>
      </c>
      <c r="CG1267" s="1" t="s">
        <v>228</v>
      </c>
      <c r="CH1267" s="1" t="s">
        <v>219</v>
      </c>
      <c r="CI1267" s="1" t="s">
        <v>229</v>
      </c>
      <c r="CK1267" s="1" t="s">
        <v>490</v>
      </c>
      <c r="CL1267" s="1" t="s">
        <v>277</v>
      </c>
      <c r="CM1267" s="1" t="s">
        <v>229</v>
      </c>
      <c r="CO1267" s="1" t="s">
        <v>1470</v>
      </c>
      <c r="CP1267" s="1" t="s">
        <v>219</v>
      </c>
      <c r="CQ1267" s="1" t="s">
        <v>229</v>
      </c>
      <c r="CS1267" s="1" t="s">
        <v>1788</v>
      </c>
      <c r="CT1267" s="1" t="s">
        <v>277</v>
      </c>
      <c r="CU1267" s="1" t="s">
        <v>229</v>
      </c>
      <c r="CX1267" s="1" t="s">
        <v>224</v>
      </c>
      <c r="DB1267" s="1" t="s">
        <v>224</v>
      </c>
      <c r="DE1267" s="1" t="s">
        <v>1358</v>
      </c>
      <c r="DF1267" s="1" t="s">
        <v>219</v>
      </c>
      <c r="DG1267" s="1" t="s">
        <v>229</v>
      </c>
      <c r="DJ1267" s="1" t="s">
        <v>224</v>
      </c>
      <c r="DM1267" s="1" t="s">
        <v>2278</v>
      </c>
      <c r="DN1267" s="1" t="s">
        <v>347</v>
      </c>
      <c r="DR1267" s="1" t="s">
        <v>12890</v>
      </c>
      <c r="DS1267" s="1" t="s">
        <v>43</v>
      </c>
      <c r="DV1267" s="1" t="s">
        <v>490</v>
      </c>
      <c r="DW1267" s="1" t="s">
        <v>43</v>
      </c>
      <c r="EA1267" s="1" t="s">
        <v>230</v>
      </c>
      <c r="EE1267" s="1" t="s">
        <v>230</v>
      </c>
      <c r="EI1267" s="1" t="s">
        <v>230</v>
      </c>
      <c r="EL1267" s="1" t="s">
        <v>382</v>
      </c>
      <c r="EM1267" s="1" t="s">
        <v>232</v>
      </c>
      <c r="EN1267" s="1" t="s">
        <v>282</v>
      </c>
      <c r="EO1267" s="1" t="s">
        <v>840</v>
      </c>
      <c r="EQ1267" s="1" t="s">
        <v>350</v>
      </c>
      <c r="ER1267" s="1" t="s">
        <v>544</v>
      </c>
      <c r="EU1267" s="1" t="s">
        <v>239</v>
      </c>
      <c r="EV1267" s="1" t="s">
        <v>352</v>
      </c>
      <c r="EW1267" s="1" t="s">
        <v>12891</v>
      </c>
      <c r="EZ1267" s="1" t="s">
        <v>12892</v>
      </c>
      <c r="FC1267" s="1" t="s">
        <v>326</v>
      </c>
      <c r="FD1267" s="1" t="s">
        <v>246</v>
      </c>
      <c r="FE1267" s="1" t="s">
        <v>247</v>
      </c>
      <c r="FF1267" s="1" t="s">
        <v>248</v>
      </c>
      <c r="FH1267" s="1" t="s">
        <v>550</v>
      </c>
      <c r="FK1267" s="1" t="s">
        <v>291</v>
      </c>
      <c r="FL1267" s="1" t="s">
        <v>358</v>
      </c>
      <c r="FM1267" s="1" t="s">
        <v>252</v>
      </c>
      <c r="FN1267" s="1" t="s">
        <v>213</v>
      </c>
      <c r="FO1267" s="1" t="s">
        <v>213</v>
      </c>
      <c r="FQ1267" s="1" t="s">
        <v>6847</v>
      </c>
      <c r="FR1267" s="1" t="s">
        <v>210</v>
      </c>
      <c r="FS1267" s="1" t="s">
        <v>2984</v>
      </c>
      <c r="FT1267" s="1" t="s">
        <v>295</v>
      </c>
      <c r="FU1267" s="1" t="s">
        <v>204</v>
      </c>
      <c r="FW1267" s="1" t="s">
        <v>2985</v>
      </c>
      <c r="FX1267" s="1">
        <v>23959</v>
      </c>
      <c r="FY1267" s="1" t="s">
        <v>2986</v>
      </c>
      <c r="FZ1267" s="1" t="s">
        <v>6386</v>
      </c>
      <c r="GA1267" s="1">
        <v>238419</v>
      </c>
      <c r="GC1267" s="1">
        <v>220868</v>
      </c>
      <c r="GE1267" s="1" t="s">
        <v>210</v>
      </c>
      <c r="GH1267" s="1" t="s">
        <v>800</v>
      </c>
      <c r="GI1267" s="1" t="s">
        <v>213</v>
      </c>
      <c r="GJ1267" s="1" t="s">
        <v>260</v>
      </c>
      <c r="GK1267" s="1" t="s">
        <v>210</v>
      </c>
      <c r="GL1267" s="2">
        <v>42143</v>
      </c>
      <c r="GM1267" s="1" t="s">
        <v>12893</v>
      </c>
    </row>
    <row r="1268" spans="1:195">
      <c r="A1268" s="1">
        <v>83899</v>
      </c>
      <c r="B1268" s="1" t="s">
        <v>195</v>
      </c>
      <c r="C1268" s="1" t="str">
        <f>"08856220"</f>
        <v>08856220</v>
      </c>
      <c r="D1268" s="1" t="s">
        <v>196</v>
      </c>
      <c r="F1268" s="1" t="str">
        <f>"178"</f>
        <v>178</v>
      </c>
      <c r="G1268" s="2">
        <v>42072</v>
      </c>
      <c r="H1268" s="1">
        <v>100700</v>
      </c>
      <c r="I1268" s="1">
        <v>92700</v>
      </c>
      <c r="J1268" s="1">
        <v>83899</v>
      </c>
      <c r="K1268" s="2">
        <v>42072</v>
      </c>
      <c r="L1268" s="1">
        <v>44</v>
      </c>
      <c r="M1268" s="2">
        <v>42115</v>
      </c>
      <c r="N1268" s="1">
        <v>44</v>
      </c>
      <c r="O1268" s="2">
        <v>42115</v>
      </c>
      <c r="P1268" s="1">
        <v>93043</v>
      </c>
      <c r="Q1268" s="1" t="s">
        <v>302</v>
      </c>
      <c r="R1268" s="2">
        <v>42149</v>
      </c>
      <c r="S1268" s="1">
        <v>930128</v>
      </c>
      <c r="U1268" s="1">
        <v>568</v>
      </c>
      <c r="V1268" s="1" t="s">
        <v>9816</v>
      </c>
      <c r="W1268" s="1" t="s">
        <v>1056</v>
      </c>
      <c r="Y1268" s="1">
        <v>1</v>
      </c>
      <c r="Z1268" s="1" t="s">
        <v>249</v>
      </c>
      <c r="AA1268" s="1" t="s">
        <v>3334</v>
      </c>
      <c r="AB1268" s="1">
        <v>60178</v>
      </c>
      <c r="AE1268" s="1" t="s">
        <v>12894</v>
      </c>
      <c r="AF1268" s="1">
        <v>2004</v>
      </c>
      <c r="AG1268" s="1" t="s">
        <v>204</v>
      </c>
      <c r="AH1268" s="1" t="s">
        <v>3336</v>
      </c>
      <c r="AI1268" s="1" t="s">
        <v>2246</v>
      </c>
      <c r="AJ1268" s="1" t="s">
        <v>3336</v>
      </c>
      <c r="AL1268" s="1">
        <v>5</v>
      </c>
      <c r="AM1268" s="1">
        <v>2</v>
      </c>
      <c r="AN1268" s="1">
        <v>2</v>
      </c>
      <c r="AO1268" s="1">
        <v>0</v>
      </c>
      <c r="AP1268" s="1" t="s">
        <v>210</v>
      </c>
      <c r="AR1268" s="1" t="s">
        <v>210</v>
      </c>
      <c r="AS1268" s="1" t="s">
        <v>204</v>
      </c>
      <c r="AT1268" s="1" t="s">
        <v>211</v>
      </c>
      <c r="AU1268" s="1">
        <v>1</v>
      </c>
      <c r="AW1268" s="1" t="s">
        <v>204</v>
      </c>
      <c r="AX1268" s="1" t="s">
        <v>212</v>
      </c>
      <c r="AZ1268" s="1">
        <v>2454.42</v>
      </c>
      <c r="BA1268" s="1">
        <v>2013</v>
      </c>
      <c r="BE1268" s="1">
        <v>1800</v>
      </c>
      <c r="BF1268" s="1">
        <v>1</v>
      </c>
      <c r="BG1268" s="1">
        <v>0</v>
      </c>
      <c r="BL1268" s="1">
        <v>285</v>
      </c>
      <c r="BM1268" s="1" t="s">
        <v>413</v>
      </c>
      <c r="BN1268" s="1" t="s">
        <v>204</v>
      </c>
      <c r="BP1268" s="1" t="s">
        <v>204</v>
      </c>
      <c r="BR1268" s="1" t="str">
        <f>"0631402068"</f>
        <v>0631402068</v>
      </c>
      <c r="BT1268" s="1" t="s">
        <v>3770</v>
      </c>
      <c r="BX1268" s="1">
        <v>427</v>
      </c>
      <c r="BY1268" s="1">
        <v>427</v>
      </c>
      <c r="BZ1268" s="1">
        <v>427</v>
      </c>
      <c r="CB1268" s="1" t="str">
        <f t="shared" ref="CB1268:CC1268" si="977">""</f>
        <v/>
      </c>
      <c r="CC1268" s="1" t="str">
        <f t="shared" si="977"/>
        <v/>
      </c>
      <c r="CG1268" s="1" t="s">
        <v>1402</v>
      </c>
      <c r="CH1268" s="1" t="s">
        <v>219</v>
      </c>
      <c r="CK1268" s="1" t="s">
        <v>1402</v>
      </c>
      <c r="CL1268" s="1" t="s">
        <v>219</v>
      </c>
      <c r="CO1268" s="1" t="s">
        <v>2122</v>
      </c>
      <c r="CP1268" s="1" t="s">
        <v>219</v>
      </c>
      <c r="CS1268" s="1" t="s">
        <v>836</v>
      </c>
      <c r="CT1268" s="1" t="s">
        <v>219</v>
      </c>
      <c r="CX1268" s="1" t="s">
        <v>224</v>
      </c>
      <c r="DB1268" s="1" t="s">
        <v>224</v>
      </c>
      <c r="DE1268" s="1" t="s">
        <v>836</v>
      </c>
      <c r="DF1268" s="1" t="s">
        <v>219</v>
      </c>
      <c r="DJ1268" s="1" t="s">
        <v>224</v>
      </c>
      <c r="DS1268" s="1" t="s">
        <v>230</v>
      </c>
      <c r="DW1268" s="1" t="s">
        <v>230</v>
      </c>
      <c r="EA1268" s="1" t="s">
        <v>230</v>
      </c>
      <c r="EE1268" s="1" t="s">
        <v>230</v>
      </c>
      <c r="EI1268" s="1" t="s">
        <v>230</v>
      </c>
      <c r="EL1268" s="1" t="s">
        <v>466</v>
      </c>
      <c r="EM1268" s="1" t="s">
        <v>319</v>
      </c>
      <c r="EN1268" s="1" t="s">
        <v>282</v>
      </c>
      <c r="EO1268" s="1" t="s">
        <v>234</v>
      </c>
      <c r="ER1268" s="1" t="s">
        <v>210</v>
      </c>
      <c r="EW1268" s="1" t="s">
        <v>12895</v>
      </c>
      <c r="EZ1268" s="1" t="s">
        <v>287</v>
      </c>
      <c r="FD1268" s="1" t="s">
        <v>1112</v>
      </c>
      <c r="FE1268" s="1" t="s">
        <v>386</v>
      </c>
      <c r="FF1268" s="1" t="s">
        <v>248</v>
      </c>
      <c r="FH1268" s="1" t="s">
        <v>1428</v>
      </c>
      <c r="FJ1268" s="1" t="s">
        <v>1472</v>
      </c>
      <c r="FL1268" s="1" t="s">
        <v>358</v>
      </c>
      <c r="FM1268" s="1" t="s">
        <v>252</v>
      </c>
      <c r="FN1268" s="1" t="s">
        <v>213</v>
      </c>
      <c r="FO1268" s="1" t="s">
        <v>213</v>
      </c>
      <c r="FQ1268" s="1" t="s">
        <v>582</v>
      </c>
      <c r="FR1268" s="1" t="s">
        <v>210</v>
      </c>
      <c r="FS1268" s="1" t="s">
        <v>3772</v>
      </c>
      <c r="FT1268" s="1" t="s">
        <v>8607</v>
      </c>
      <c r="FU1268" s="1" t="s">
        <v>204</v>
      </c>
      <c r="FW1268" s="1" t="s">
        <v>3774</v>
      </c>
      <c r="FX1268" s="1">
        <v>1984</v>
      </c>
      <c r="FY1268" s="1" t="s">
        <v>3775</v>
      </c>
      <c r="FZ1268" s="1" t="s">
        <v>3776</v>
      </c>
      <c r="GA1268" s="1">
        <v>922950</v>
      </c>
      <c r="GE1268" s="1" t="s">
        <v>210</v>
      </c>
      <c r="GH1268" s="1" t="s">
        <v>421</v>
      </c>
      <c r="GI1268" s="1" t="s">
        <v>204</v>
      </c>
      <c r="GJ1268" s="1" t="s">
        <v>260</v>
      </c>
      <c r="GK1268" s="1" t="s">
        <v>210</v>
      </c>
      <c r="GL1268" s="2">
        <v>42150</v>
      </c>
      <c r="GM1268" s="1" t="s">
        <v>6038</v>
      </c>
    </row>
    <row r="1269" spans="1:195">
      <c r="A1269" s="1">
        <v>55000</v>
      </c>
      <c r="B1269" s="1" t="s">
        <v>195</v>
      </c>
      <c r="C1269" s="1" t="str">
        <f>"08862893"</f>
        <v>08862893</v>
      </c>
      <c r="D1269" s="1" t="s">
        <v>196</v>
      </c>
      <c r="F1269" s="1" t="str">
        <f>"123"</f>
        <v>123</v>
      </c>
      <c r="G1269" s="2">
        <v>42079</v>
      </c>
      <c r="H1269" s="1">
        <v>57900</v>
      </c>
      <c r="I1269" s="1">
        <v>57900</v>
      </c>
      <c r="J1269" s="1">
        <v>55000</v>
      </c>
      <c r="K1269" s="2">
        <v>42078</v>
      </c>
      <c r="L1269" s="1">
        <v>92</v>
      </c>
      <c r="M1269" s="2">
        <v>42078</v>
      </c>
      <c r="N1269" s="1">
        <v>1</v>
      </c>
      <c r="O1269" s="2">
        <v>42078</v>
      </c>
      <c r="P1269" s="1">
        <v>7450</v>
      </c>
      <c r="Q1269" s="1" t="s">
        <v>302</v>
      </c>
      <c r="R1269" s="2">
        <v>42093</v>
      </c>
      <c r="S1269" s="1">
        <v>8423</v>
      </c>
      <c r="U1269" s="1">
        <v>16</v>
      </c>
      <c r="V1269" s="1" t="s">
        <v>12896</v>
      </c>
      <c r="X1269" s="1">
        <v>16</v>
      </c>
      <c r="Y1269" s="1">
        <v>6</v>
      </c>
      <c r="Z1269" s="1" t="s">
        <v>370</v>
      </c>
      <c r="AA1269" s="1" t="s">
        <v>1173</v>
      </c>
      <c r="AB1269" s="1">
        <v>60123</v>
      </c>
      <c r="AD1269" s="1" t="s">
        <v>12897</v>
      </c>
      <c r="AE1269" s="1" t="s">
        <v>12898</v>
      </c>
      <c r="AF1269" s="1">
        <v>1971</v>
      </c>
      <c r="AG1269" s="1" t="s">
        <v>213</v>
      </c>
      <c r="AH1269" s="1" t="s">
        <v>1175</v>
      </c>
      <c r="AI1269" s="1" t="s">
        <v>665</v>
      </c>
      <c r="AJ1269" s="1" t="s">
        <v>1175</v>
      </c>
      <c r="AL1269" s="1">
        <v>5</v>
      </c>
      <c r="AM1269" s="1">
        <v>2</v>
      </c>
      <c r="AN1269" s="1">
        <v>1</v>
      </c>
      <c r="AO1269" s="1">
        <v>1</v>
      </c>
      <c r="AP1269" s="1" t="s">
        <v>210</v>
      </c>
      <c r="AR1269" s="1" t="s">
        <v>209</v>
      </c>
      <c r="AS1269" s="1" t="s">
        <v>213</v>
      </c>
      <c r="AT1269" s="1" t="s">
        <v>210</v>
      </c>
      <c r="AW1269" s="1" t="s">
        <v>204</v>
      </c>
      <c r="AX1269" s="1" t="s">
        <v>12899</v>
      </c>
      <c r="AZ1269" s="1">
        <v>2455</v>
      </c>
      <c r="BA1269" s="1">
        <v>2014</v>
      </c>
      <c r="BB1269" s="1" t="s">
        <v>210</v>
      </c>
      <c r="BE1269" s="1">
        <v>1397</v>
      </c>
      <c r="BF1269" s="1">
        <v>16</v>
      </c>
      <c r="BG1269" s="1">
        <v>30</v>
      </c>
      <c r="BL1269" s="1">
        <v>154</v>
      </c>
      <c r="BM1269" s="1" t="s">
        <v>413</v>
      </c>
      <c r="BN1269" s="1" t="s">
        <v>213</v>
      </c>
      <c r="BO1269" s="1">
        <v>50</v>
      </c>
      <c r="BP1269" s="1" t="s">
        <v>204</v>
      </c>
      <c r="BR1269" s="1" t="str">
        <f>"0610258006"</f>
        <v>0610258006</v>
      </c>
      <c r="BT1269" s="1" t="s">
        <v>12900</v>
      </c>
      <c r="BX1269" s="1">
        <v>46</v>
      </c>
      <c r="BY1269" s="1">
        <v>46</v>
      </c>
      <c r="BZ1269" s="1">
        <v>46</v>
      </c>
      <c r="CB1269" s="1" t="str">
        <f>"12"</f>
        <v>12</v>
      </c>
      <c r="CC1269" s="1" t="str">
        <f>"0"</f>
        <v>0</v>
      </c>
      <c r="CD1269" s="1">
        <v>35</v>
      </c>
      <c r="CE1269" s="1">
        <v>0</v>
      </c>
      <c r="CG1269" s="1" t="s">
        <v>564</v>
      </c>
      <c r="CH1269" s="1" t="s">
        <v>219</v>
      </c>
      <c r="CI1269" s="1" t="s">
        <v>347</v>
      </c>
      <c r="CK1269" s="1" t="s">
        <v>378</v>
      </c>
      <c r="CL1269" s="1" t="s">
        <v>277</v>
      </c>
      <c r="CM1269" s="1" t="s">
        <v>220</v>
      </c>
      <c r="CN1269" s="1" t="s">
        <v>210</v>
      </c>
      <c r="CP1269" s="1" t="s">
        <v>224</v>
      </c>
      <c r="CS1269" s="1" t="s">
        <v>378</v>
      </c>
      <c r="CT1269" s="1" t="s">
        <v>219</v>
      </c>
      <c r="CU1269" s="1" t="s">
        <v>220</v>
      </c>
      <c r="CX1269" s="1" t="s">
        <v>224</v>
      </c>
      <c r="DB1269" s="1" t="s">
        <v>224</v>
      </c>
      <c r="DE1269" s="1" t="s">
        <v>378</v>
      </c>
      <c r="DF1269" s="1" t="s">
        <v>219</v>
      </c>
      <c r="DG1269" s="1" t="s">
        <v>347</v>
      </c>
      <c r="DI1269" s="1" t="s">
        <v>861</v>
      </c>
      <c r="DJ1269" s="1" t="s">
        <v>43</v>
      </c>
      <c r="DK1269" s="1" t="s">
        <v>220</v>
      </c>
      <c r="DL1269" s="1" t="s">
        <v>210</v>
      </c>
      <c r="DS1269" s="1" t="s">
        <v>230</v>
      </c>
      <c r="DW1269" s="1" t="s">
        <v>230</v>
      </c>
      <c r="EA1269" s="1" t="s">
        <v>230</v>
      </c>
      <c r="EE1269" s="1" t="s">
        <v>230</v>
      </c>
      <c r="EI1269" s="1" t="s">
        <v>230</v>
      </c>
      <c r="EL1269" s="1" t="s">
        <v>605</v>
      </c>
      <c r="EM1269" s="1" t="s">
        <v>232</v>
      </c>
      <c r="EN1269" s="1" t="s">
        <v>282</v>
      </c>
      <c r="EO1269" s="1" t="s">
        <v>1020</v>
      </c>
      <c r="ER1269" s="1" t="s">
        <v>544</v>
      </c>
      <c r="EW1269" s="1" t="s">
        <v>911</v>
      </c>
      <c r="EZ1269" s="1" t="s">
        <v>287</v>
      </c>
      <c r="FD1269" s="1" t="s">
        <v>246</v>
      </c>
      <c r="FE1269" s="1" t="s">
        <v>549</v>
      </c>
      <c r="FF1269" s="1" t="s">
        <v>248</v>
      </c>
      <c r="FH1269" s="1" t="s">
        <v>550</v>
      </c>
      <c r="FL1269" s="1" t="s">
        <v>810</v>
      </c>
      <c r="FM1269" s="1" t="s">
        <v>210</v>
      </c>
      <c r="FN1269" s="1" t="s">
        <v>204</v>
      </c>
      <c r="FO1269" s="1" t="s">
        <v>204</v>
      </c>
      <c r="FQ1269" s="1" t="s">
        <v>582</v>
      </c>
      <c r="FR1269" s="1" t="s">
        <v>210</v>
      </c>
      <c r="FS1269" s="1" t="s">
        <v>12901</v>
      </c>
      <c r="FT1269" s="1" t="s">
        <v>12902</v>
      </c>
      <c r="FU1269" s="1" t="s">
        <v>204</v>
      </c>
      <c r="FW1269" s="1" t="s">
        <v>12903</v>
      </c>
      <c r="FX1269" s="1">
        <v>60623</v>
      </c>
      <c r="FY1269" s="1" t="s">
        <v>12904</v>
      </c>
      <c r="FZ1269" s="1" t="s">
        <v>12905</v>
      </c>
      <c r="GA1269" s="1">
        <v>506433</v>
      </c>
      <c r="GB1269" s="1" t="s">
        <v>12906</v>
      </c>
      <c r="GE1269" s="1" t="s">
        <v>210</v>
      </c>
      <c r="GI1269" s="1" t="s">
        <v>213</v>
      </c>
      <c r="GJ1269" s="1" t="s">
        <v>260</v>
      </c>
      <c r="GK1269" s="1" t="s">
        <v>210</v>
      </c>
      <c r="GL1269" s="2">
        <v>42095</v>
      </c>
    </row>
    <row r="1270" spans="1:195">
      <c r="A1270" s="1">
        <v>564500</v>
      </c>
      <c r="B1270" s="1" t="s">
        <v>195</v>
      </c>
      <c r="C1270" s="1" t="str">
        <f>"08869347"</f>
        <v>08869347</v>
      </c>
      <c r="D1270" s="1" t="s">
        <v>196</v>
      </c>
      <c r="F1270" s="1" t="str">
        <f>"154"</f>
        <v>154</v>
      </c>
      <c r="G1270" s="2">
        <v>42086</v>
      </c>
      <c r="H1270" s="1">
        <v>564500</v>
      </c>
      <c r="I1270" s="1">
        <v>564500</v>
      </c>
      <c r="J1270" s="1">
        <v>564500</v>
      </c>
      <c r="K1270" s="2">
        <v>42086</v>
      </c>
      <c r="L1270" s="1">
        <v>7</v>
      </c>
      <c r="M1270" s="2">
        <v>42092</v>
      </c>
      <c r="N1270" s="1">
        <v>7</v>
      </c>
      <c r="O1270" s="2">
        <v>42092</v>
      </c>
      <c r="P1270" s="1">
        <v>90812</v>
      </c>
      <c r="Q1270" s="1" t="s">
        <v>302</v>
      </c>
      <c r="R1270" s="2">
        <v>42136</v>
      </c>
      <c r="S1270" s="1">
        <v>901667</v>
      </c>
      <c r="U1270" s="1">
        <v>11243</v>
      </c>
      <c r="V1270" s="1" t="s">
        <v>12907</v>
      </c>
      <c r="W1270" s="1" t="s">
        <v>779</v>
      </c>
      <c r="Y1270" s="1">
        <v>2</v>
      </c>
      <c r="Z1270" s="1" t="s">
        <v>370</v>
      </c>
      <c r="AA1270" s="1" t="s">
        <v>1190</v>
      </c>
      <c r="AB1270" s="1">
        <v>60154</v>
      </c>
      <c r="AD1270" s="1" t="s">
        <v>12908</v>
      </c>
      <c r="AE1270" s="1" t="s">
        <v>12909</v>
      </c>
      <c r="AF1270" s="1">
        <v>1990</v>
      </c>
      <c r="AG1270" s="1" t="s">
        <v>204</v>
      </c>
      <c r="AH1270" s="1" t="s">
        <v>1193</v>
      </c>
      <c r="AI1270" s="1" t="s">
        <v>310</v>
      </c>
      <c r="AJ1270" s="1" t="s">
        <v>429</v>
      </c>
      <c r="AL1270" s="1">
        <v>10</v>
      </c>
      <c r="AM1270" s="1">
        <v>2</v>
      </c>
      <c r="AN1270" s="1">
        <v>3</v>
      </c>
      <c r="AO1270" s="1">
        <v>1</v>
      </c>
      <c r="AP1270" s="1" t="s">
        <v>209</v>
      </c>
      <c r="AQ1270" s="1">
        <v>1</v>
      </c>
      <c r="AR1270" s="1" t="s">
        <v>209</v>
      </c>
      <c r="AS1270" s="1" t="s">
        <v>213</v>
      </c>
      <c r="AT1270" s="1" t="s">
        <v>211</v>
      </c>
      <c r="AU1270" s="1">
        <v>2</v>
      </c>
      <c r="AW1270" s="1" t="s">
        <v>213</v>
      </c>
      <c r="AX1270" s="1" t="s">
        <v>12910</v>
      </c>
      <c r="AZ1270" s="1">
        <v>8821</v>
      </c>
      <c r="BA1270" s="1">
        <v>2013</v>
      </c>
      <c r="BB1270" s="1" t="s">
        <v>599</v>
      </c>
      <c r="BE1270" s="1">
        <v>0</v>
      </c>
      <c r="BF1270" s="1">
        <v>1</v>
      </c>
      <c r="BG1270" s="1">
        <v>30</v>
      </c>
      <c r="BL1270" s="1">
        <v>350</v>
      </c>
      <c r="BM1270" s="1" t="s">
        <v>204</v>
      </c>
      <c r="BN1270" s="1" t="s">
        <v>213</v>
      </c>
      <c r="BO1270" s="1">
        <v>999</v>
      </c>
      <c r="BP1270" s="1" t="s">
        <v>204</v>
      </c>
      <c r="BR1270" s="1" t="str">
        <f>"15302020460000"</f>
        <v>15302020460000</v>
      </c>
      <c r="BT1270" s="1" t="s">
        <v>12911</v>
      </c>
      <c r="BU1270" s="1" t="s">
        <v>12912</v>
      </c>
      <c r="BV1270" s="1" t="s">
        <v>12912</v>
      </c>
      <c r="BW1270" s="1" t="s">
        <v>1197</v>
      </c>
      <c r="BX1270" s="1">
        <v>93</v>
      </c>
      <c r="BY1270" s="1">
        <v>93</v>
      </c>
      <c r="BZ1270" s="1">
        <v>209</v>
      </c>
      <c r="CB1270" s="1" t="str">
        <f t="shared" ref="CB1270:CC1270" si="978">""</f>
        <v/>
      </c>
      <c r="CC1270" s="1" t="str">
        <f t="shared" si="978"/>
        <v/>
      </c>
      <c r="CG1270" s="1" t="s">
        <v>276</v>
      </c>
      <c r="CH1270" s="1" t="s">
        <v>219</v>
      </c>
      <c r="CI1270" s="1" t="s">
        <v>438</v>
      </c>
      <c r="CK1270" s="1" t="s">
        <v>1936</v>
      </c>
      <c r="CL1270" s="1" t="s">
        <v>219</v>
      </c>
      <c r="CM1270" s="1" t="s">
        <v>220</v>
      </c>
      <c r="CN1270" s="1" t="s">
        <v>909</v>
      </c>
      <c r="CO1270" s="1" t="s">
        <v>1267</v>
      </c>
      <c r="CP1270" s="1" t="s">
        <v>219</v>
      </c>
      <c r="CQ1270" s="1" t="s">
        <v>438</v>
      </c>
      <c r="CR1270" s="1" t="s">
        <v>909</v>
      </c>
      <c r="CS1270" s="1" t="s">
        <v>461</v>
      </c>
      <c r="CT1270" s="1" t="s">
        <v>219</v>
      </c>
      <c r="CU1270" s="1" t="s">
        <v>220</v>
      </c>
      <c r="CV1270" s="1" t="s">
        <v>343</v>
      </c>
      <c r="CW1270" s="1" t="s">
        <v>669</v>
      </c>
      <c r="CX1270" s="1" t="s">
        <v>43</v>
      </c>
      <c r="CY1270" s="1" t="s">
        <v>220</v>
      </c>
      <c r="CZ1270" s="1" t="s">
        <v>343</v>
      </c>
      <c r="DB1270" s="1" t="s">
        <v>224</v>
      </c>
      <c r="DE1270" s="1" t="s">
        <v>1598</v>
      </c>
      <c r="DF1270" s="1" t="s">
        <v>219</v>
      </c>
      <c r="DG1270" s="1" t="s">
        <v>226</v>
      </c>
      <c r="DJ1270" s="1" t="s">
        <v>224</v>
      </c>
      <c r="DM1270" s="1" t="s">
        <v>1548</v>
      </c>
      <c r="DN1270" s="1" t="s">
        <v>464</v>
      </c>
      <c r="DO1270" s="1" t="s">
        <v>934</v>
      </c>
      <c r="DP1270" s="1" t="s">
        <v>12913</v>
      </c>
      <c r="DQ1270" s="1" t="s">
        <v>709</v>
      </c>
      <c r="DR1270" s="1" t="s">
        <v>409</v>
      </c>
      <c r="DS1270" s="1" t="s">
        <v>219</v>
      </c>
      <c r="DT1270" s="1" t="s">
        <v>226</v>
      </c>
      <c r="DU1270" s="1" t="s">
        <v>343</v>
      </c>
      <c r="DV1270" s="1" t="s">
        <v>1737</v>
      </c>
      <c r="DW1270" s="1" t="s">
        <v>277</v>
      </c>
      <c r="DX1270" s="1" t="s">
        <v>220</v>
      </c>
      <c r="DY1270" s="1" t="s">
        <v>343</v>
      </c>
      <c r="DZ1270" s="1" t="s">
        <v>8861</v>
      </c>
      <c r="EA1270" s="1" t="s">
        <v>43</v>
      </c>
      <c r="EB1270" s="1" t="s">
        <v>220</v>
      </c>
      <c r="EC1270" s="1" t="s">
        <v>343</v>
      </c>
      <c r="ED1270" s="1" t="s">
        <v>757</v>
      </c>
      <c r="EE1270" s="1" t="s">
        <v>43</v>
      </c>
      <c r="EF1270" s="1" t="s">
        <v>220</v>
      </c>
      <c r="EG1270" s="1" t="s">
        <v>343</v>
      </c>
      <c r="EH1270" s="1" t="s">
        <v>10027</v>
      </c>
      <c r="EI1270" s="1" t="s">
        <v>219</v>
      </c>
      <c r="EJ1270" s="1" t="s">
        <v>438</v>
      </c>
      <c r="EL1270" s="1" t="s">
        <v>382</v>
      </c>
      <c r="EM1270" s="1" t="s">
        <v>730</v>
      </c>
      <c r="EN1270" s="1" t="s">
        <v>282</v>
      </c>
      <c r="EO1270" s="1" t="s">
        <v>234</v>
      </c>
      <c r="EP1270" s="1" t="s">
        <v>1489</v>
      </c>
      <c r="EQ1270" s="1" t="s">
        <v>12914</v>
      </c>
      <c r="ER1270" s="1" t="s">
        <v>544</v>
      </c>
      <c r="ES1270" s="1" t="s">
        <v>608</v>
      </c>
      <c r="ET1270" s="1" t="s">
        <v>12915</v>
      </c>
      <c r="EU1270" s="1" t="s">
        <v>285</v>
      </c>
      <c r="EV1270" s="1" t="s">
        <v>324</v>
      </c>
      <c r="EW1270" s="1" t="s">
        <v>353</v>
      </c>
      <c r="EY1270" s="1" t="s">
        <v>242</v>
      </c>
      <c r="EZ1270" s="1" t="s">
        <v>12916</v>
      </c>
      <c r="FA1270" s="1" t="s">
        <v>12917</v>
      </c>
      <c r="FB1270" s="1" t="s">
        <v>289</v>
      </c>
      <c r="FC1270" s="1" t="s">
        <v>9602</v>
      </c>
      <c r="FD1270" s="1" t="s">
        <v>246</v>
      </c>
      <c r="FE1270" s="1" t="s">
        <v>247</v>
      </c>
      <c r="FF1270" s="1" t="s">
        <v>248</v>
      </c>
      <c r="FG1270" s="1" t="s">
        <v>1682</v>
      </c>
      <c r="FH1270" s="1" t="s">
        <v>550</v>
      </c>
      <c r="FI1270" s="1" t="s">
        <v>4358</v>
      </c>
      <c r="FL1270" s="1" t="s">
        <v>358</v>
      </c>
      <c r="FM1270" s="1" t="s">
        <v>252</v>
      </c>
      <c r="FN1270" s="1" t="s">
        <v>213</v>
      </c>
      <c r="FO1270" s="1" t="s">
        <v>213</v>
      </c>
      <c r="FQ1270" s="1" t="s">
        <v>1441</v>
      </c>
      <c r="FR1270" s="1" t="s">
        <v>210</v>
      </c>
      <c r="FS1270" s="1" t="s">
        <v>4325</v>
      </c>
      <c r="FT1270" s="1" t="s">
        <v>362</v>
      </c>
      <c r="FU1270" s="1" t="s">
        <v>204</v>
      </c>
      <c r="FW1270" s="1" t="s">
        <v>1288</v>
      </c>
      <c r="FX1270" s="1">
        <v>22097</v>
      </c>
      <c r="FY1270" s="1" t="s">
        <v>1289</v>
      </c>
      <c r="FZ1270" s="1" t="s">
        <v>12918</v>
      </c>
      <c r="GA1270" s="1">
        <v>230611</v>
      </c>
      <c r="GB1270" s="1" t="s">
        <v>12919</v>
      </c>
      <c r="GE1270" s="1" t="s">
        <v>1120</v>
      </c>
      <c r="GH1270" s="1" t="s">
        <v>800</v>
      </c>
      <c r="GI1270" s="1" t="s">
        <v>213</v>
      </c>
      <c r="GJ1270" s="1" t="s">
        <v>260</v>
      </c>
      <c r="GK1270" s="1" t="s">
        <v>210</v>
      </c>
      <c r="GL1270" s="2">
        <v>42137</v>
      </c>
      <c r="GM1270" s="1" t="s">
        <v>12920</v>
      </c>
    </row>
    <row r="1271" spans="1:195">
      <c r="A1271" s="1">
        <v>115000</v>
      </c>
      <c r="B1271" s="1" t="s">
        <v>195</v>
      </c>
      <c r="C1271" s="1" t="str">
        <f>"08860191"</f>
        <v>08860191</v>
      </c>
      <c r="D1271" s="1" t="s">
        <v>196</v>
      </c>
      <c r="F1271" s="1" t="str">
        <f>"123"</f>
        <v>123</v>
      </c>
      <c r="G1271" s="2">
        <v>42075</v>
      </c>
      <c r="H1271" s="1">
        <v>115000</v>
      </c>
      <c r="I1271" s="1">
        <v>115000</v>
      </c>
      <c r="J1271" s="1">
        <v>115000</v>
      </c>
      <c r="K1271" s="2">
        <v>42075</v>
      </c>
      <c r="L1271" s="1">
        <v>4</v>
      </c>
      <c r="M1271" s="2">
        <v>42078</v>
      </c>
      <c r="N1271" s="1">
        <v>4</v>
      </c>
      <c r="O1271" s="2">
        <v>42078</v>
      </c>
      <c r="P1271" s="1">
        <v>72504</v>
      </c>
      <c r="Q1271" s="1" t="s">
        <v>423</v>
      </c>
      <c r="R1271" s="2">
        <v>42123</v>
      </c>
      <c r="S1271" s="1">
        <v>701097</v>
      </c>
      <c r="U1271" s="1">
        <v>1718</v>
      </c>
      <c r="V1271" s="1" t="s">
        <v>12921</v>
      </c>
      <c r="W1271" s="1" t="s">
        <v>449</v>
      </c>
      <c r="X1271" s="1">
        <v>1718</v>
      </c>
      <c r="Y1271" s="1">
        <v>6</v>
      </c>
      <c r="Z1271" s="1" t="s">
        <v>370</v>
      </c>
      <c r="AA1271" s="1" t="s">
        <v>1173</v>
      </c>
      <c r="AB1271" s="1">
        <v>60123</v>
      </c>
      <c r="AD1271" s="1" t="s">
        <v>12922</v>
      </c>
      <c r="AE1271" s="1" t="s">
        <v>12923</v>
      </c>
      <c r="AF1271" s="1">
        <v>1990</v>
      </c>
      <c r="AG1271" s="1" t="s">
        <v>204</v>
      </c>
      <c r="AH1271" s="1" t="s">
        <v>1175</v>
      </c>
      <c r="AI1271" s="1" t="s">
        <v>665</v>
      </c>
      <c r="AJ1271" s="1" t="s">
        <v>1175</v>
      </c>
      <c r="AL1271" s="1">
        <v>5</v>
      </c>
      <c r="AM1271" s="1">
        <v>2</v>
      </c>
      <c r="AN1271" s="1">
        <v>1</v>
      </c>
      <c r="AO1271" s="1">
        <v>1</v>
      </c>
      <c r="AP1271" s="1" t="s">
        <v>667</v>
      </c>
      <c r="AR1271" s="1" t="s">
        <v>210</v>
      </c>
      <c r="AS1271" s="1" t="s">
        <v>204</v>
      </c>
      <c r="AT1271" s="1" t="s">
        <v>211</v>
      </c>
      <c r="AU1271" s="1">
        <v>1</v>
      </c>
      <c r="AW1271" s="1" t="s">
        <v>204</v>
      </c>
      <c r="AX1271" s="1" t="s">
        <v>212</v>
      </c>
      <c r="AZ1271" s="1">
        <v>2553.89</v>
      </c>
      <c r="BA1271" s="1">
        <v>2013</v>
      </c>
      <c r="BB1271" s="1" t="s">
        <v>405</v>
      </c>
      <c r="BE1271" s="1">
        <v>1133</v>
      </c>
      <c r="BF1271" s="1">
        <v>1</v>
      </c>
      <c r="BG1271" s="1">
        <v>1</v>
      </c>
      <c r="BL1271" s="1">
        <v>135</v>
      </c>
      <c r="BM1271" s="1" t="s">
        <v>204</v>
      </c>
      <c r="BN1271" s="1" t="s">
        <v>213</v>
      </c>
      <c r="BO1271" s="1" t="s">
        <v>402</v>
      </c>
      <c r="BP1271" s="1" t="s">
        <v>204</v>
      </c>
      <c r="BR1271" s="1" t="str">
        <f>"0628225008"</f>
        <v>0628225008</v>
      </c>
      <c r="BT1271" s="1" t="s">
        <v>12924</v>
      </c>
      <c r="BX1271" s="1">
        <v>46</v>
      </c>
      <c r="BY1271" s="1">
        <v>46</v>
      </c>
      <c r="BZ1271" s="1">
        <v>46</v>
      </c>
      <c r="CB1271" s="1" t="str">
        <f>"9"</f>
        <v>9</v>
      </c>
      <c r="CC1271" s="1" t="str">
        <f>"0"</f>
        <v>0</v>
      </c>
      <c r="CD1271" s="1">
        <v>36</v>
      </c>
      <c r="CE1271" s="1">
        <v>0</v>
      </c>
      <c r="CG1271" s="1" t="s">
        <v>2120</v>
      </c>
      <c r="CH1271" s="1" t="s">
        <v>219</v>
      </c>
      <c r="CI1271" s="1" t="s">
        <v>229</v>
      </c>
      <c r="CK1271" s="1" t="s">
        <v>221</v>
      </c>
      <c r="CL1271" s="1" t="s">
        <v>277</v>
      </c>
      <c r="CM1271" s="1" t="s">
        <v>220</v>
      </c>
      <c r="CN1271" s="1" t="s">
        <v>343</v>
      </c>
      <c r="CO1271" s="1" t="s">
        <v>629</v>
      </c>
      <c r="CP1271" s="1" t="s">
        <v>219</v>
      </c>
      <c r="CQ1271" s="1" t="s">
        <v>229</v>
      </c>
      <c r="CR1271" s="1" t="s">
        <v>343</v>
      </c>
      <c r="CS1271" s="1" t="s">
        <v>1107</v>
      </c>
      <c r="CT1271" s="1" t="s">
        <v>277</v>
      </c>
      <c r="CU1271" s="1" t="s">
        <v>220</v>
      </c>
      <c r="CV1271" s="1" t="s">
        <v>343</v>
      </c>
      <c r="CX1271" s="1" t="s">
        <v>224</v>
      </c>
      <c r="DB1271" s="1" t="s">
        <v>224</v>
      </c>
      <c r="DE1271" s="1" t="s">
        <v>2982</v>
      </c>
      <c r="DF1271" s="1" t="s">
        <v>219</v>
      </c>
      <c r="DG1271" s="1" t="s">
        <v>226</v>
      </c>
      <c r="DH1271" s="1" t="s">
        <v>343</v>
      </c>
      <c r="DJ1271" s="1" t="s">
        <v>224</v>
      </c>
      <c r="DS1271" s="1" t="s">
        <v>230</v>
      </c>
      <c r="DW1271" s="1" t="s">
        <v>230</v>
      </c>
      <c r="EA1271" s="1" t="s">
        <v>230</v>
      </c>
      <c r="EE1271" s="1" t="s">
        <v>230</v>
      </c>
      <c r="EI1271" s="1" t="s">
        <v>230</v>
      </c>
      <c r="EL1271" s="1" t="s">
        <v>382</v>
      </c>
      <c r="EM1271" s="1" t="s">
        <v>319</v>
      </c>
      <c r="EN1271" s="1" t="s">
        <v>282</v>
      </c>
      <c r="EO1271" s="1" t="s">
        <v>234</v>
      </c>
      <c r="EP1271" s="1" t="s">
        <v>8388</v>
      </c>
      <c r="EQ1271" s="1" t="s">
        <v>236</v>
      </c>
      <c r="ER1271" s="1" t="s">
        <v>383</v>
      </c>
      <c r="ES1271" s="1" t="s">
        <v>493</v>
      </c>
      <c r="EV1271" s="1" t="s">
        <v>240</v>
      </c>
      <c r="EW1271" s="1" t="s">
        <v>547</v>
      </c>
      <c r="EZ1271" s="1" t="s">
        <v>287</v>
      </c>
      <c r="FB1271" s="1" t="s">
        <v>289</v>
      </c>
      <c r="FD1271" s="1" t="s">
        <v>246</v>
      </c>
      <c r="FE1271" s="1" t="s">
        <v>472</v>
      </c>
      <c r="FF1271" s="1" t="s">
        <v>248</v>
      </c>
      <c r="FH1271" s="1" t="s">
        <v>550</v>
      </c>
      <c r="FI1271" s="1" t="s">
        <v>357</v>
      </c>
      <c r="FL1271" s="1" t="s">
        <v>414</v>
      </c>
      <c r="FM1271" s="1" t="s">
        <v>252</v>
      </c>
      <c r="FN1271" s="1" t="s">
        <v>213</v>
      </c>
      <c r="FO1271" s="1" t="s">
        <v>213</v>
      </c>
      <c r="FQ1271" s="1" t="s">
        <v>1032</v>
      </c>
      <c r="FR1271" s="1" t="s">
        <v>210</v>
      </c>
      <c r="FS1271" s="1" t="s">
        <v>2483</v>
      </c>
      <c r="FT1271" s="1" t="s">
        <v>12925</v>
      </c>
      <c r="FU1271" s="1" t="s">
        <v>204</v>
      </c>
      <c r="FW1271" s="1" t="s">
        <v>6621</v>
      </c>
      <c r="FX1271" s="1">
        <v>7545</v>
      </c>
      <c r="FY1271" s="1" t="s">
        <v>6622</v>
      </c>
      <c r="FZ1271" s="1" t="s">
        <v>12926</v>
      </c>
      <c r="GA1271" s="1">
        <v>8493</v>
      </c>
      <c r="GB1271" s="1" t="s">
        <v>12927</v>
      </c>
      <c r="GD1271" s="1" t="s">
        <v>12928</v>
      </c>
      <c r="GE1271" s="1" t="s">
        <v>480</v>
      </c>
      <c r="GI1271" s="1" t="s">
        <v>213</v>
      </c>
      <c r="GJ1271" s="1" t="s">
        <v>260</v>
      </c>
      <c r="GK1271" s="1" t="s">
        <v>210</v>
      </c>
      <c r="GL1271" s="2">
        <v>42124</v>
      </c>
    </row>
    <row r="1272" spans="1:195">
      <c r="A1272" s="1">
        <v>115000</v>
      </c>
      <c r="B1272" s="1" t="s">
        <v>195</v>
      </c>
      <c r="C1272" s="1" t="str">
        <f>"08861832"</f>
        <v>08861832</v>
      </c>
      <c r="D1272" s="1" t="s">
        <v>196</v>
      </c>
      <c r="F1272" s="1" t="str">
        <f>"515"</f>
        <v>515</v>
      </c>
      <c r="G1272" s="2">
        <v>42077</v>
      </c>
      <c r="H1272" s="1">
        <v>120000</v>
      </c>
      <c r="I1272" s="1">
        <v>120000</v>
      </c>
      <c r="J1272" s="1">
        <v>115000</v>
      </c>
      <c r="K1272" s="2">
        <v>42077</v>
      </c>
      <c r="L1272" s="1">
        <v>13</v>
      </c>
      <c r="M1272" s="2">
        <v>42089</v>
      </c>
      <c r="N1272" s="1">
        <v>13</v>
      </c>
      <c r="O1272" s="2">
        <v>42089</v>
      </c>
      <c r="P1272" s="1">
        <v>22588</v>
      </c>
      <c r="Q1272" s="1" t="s">
        <v>423</v>
      </c>
      <c r="R1272" s="2">
        <v>42135</v>
      </c>
      <c r="S1272" s="1">
        <v>239640</v>
      </c>
      <c r="T1272" s="1">
        <v>2875</v>
      </c>
      <c r="U1272" s="1">
        <v>7333</v>
      </c>
      <c r="V1272" s="1" t="s">
        <v>6871</v>
      </c>
      <c r="W1272" s="1" t="s">
        <v>425</v>
      </c>
      <c r="X1272" s="1">
        <v>202</v>
      </c>
      <c r="Y1272" s="1">
        <v>12</v>
      </c>
      <c r="Z1272" s="1" t="s">
        <v>249</v>
      </c>
      <c r="AA1272" s="1" t="s">
        <v>1294</v>
      </c>
      <c r="AB1272" s="1">
        <v>60516</v>
      </c>
      <c r="AE1272" s="1" t="s">
        <v>12929</v>
      </c>
      <c r="AF1272" s="1" t="s">
        <v>402</v>
      </c>
      <c r="AG1272" s="1" t="s">
        <v>213</v>
      </c>
      <c r="AH1272" s="1" t="s">
        <v>903</v>
      </c>
      <c r="AI1272" s="1" t="s">
        <v>206</v>
      </c>
      <c r="AJ1272" s="1" t="s">
        <v>903</v>
      </c>
      <c r="AL1272" s="1">
        <v>5</v>
      </c>
      <c r="AM1272" s="1">
        <v>2</v>
      </c>
      <c r="AN1272" s="1">
        <v>2</v>
      </c>
      <c r="AO1272" s="1">
        <v>0</v>
      </c>
      <c r="AP1272" s="1" t="s">
        <v>209</v>
      </c>
      <c r="AR1272" s="1" t="s">
        <v>210</v>
      </c>
      <c r="AS1272" s="1" t="s">
        <v>204</v>
      </c>
      <c r="AT1272" s="1" t="s">
        <v>271</v>
      </c>
      <c r="AV1272" s="1">
        <v>21</v>
      </c>
      <c r="AW1272" s="1" t="s">
        <v>204</v>
      </c>
      <c r="AX1272" s="1" t="s">
        <v>212</v>
      </c>
      <c r="AZ1272" s="1">
        <v>1960.3</v>
      </c>
      <c r="BA1272" s="1">
        <v>2013</v>
      </c>
      <c r="BE1272" s="1">
        <v>1000</v>
      </c>
      <c r="BF1272" s="1">
        <v>2</v>
      </c>
      <c r="BG1272" s="1">
        <v>30</v>
      </c>
      <c r="BL1272" s="1">
        <v>316</v>
      </c>
      <c r="BM1272" s="1" t="s">
        <v>204</v>
      </c>
      <c r="BN1272" s="1" t="s">
        <v>213</v>
      </c>
      <c r="BO1272" s="1">
        <v>999</v>
      </c>
      <c r="BP1272" s="1" t="s">
        <v>204</v>
      </c>
      <c r="BR1272" s="1" t="str">
        <f>"0929220104"</f>
        <v>0929220104</v>
      </c>
      <c r="BT1272" s="1" t="s">
        <v>12930</v>
      </c>
      <c r="BX1272" s="1">
        <v>61</v>
      </c>
      <c r="BY1272" s="1">
        <v>61</v>
      </c>
      <c r="BZ1272" s="1">
        <v>99</v>
      </c>
      <c r="CB1272" s="1" t="str">
        <f t="shared" ref="CB1272:CC1272" si="979">""</f>
        <v/>
      </c>
      <c r="CC1272" s="1" t="str">
        <f t="shared" si="979"/>
        <v/>
      </c>
      <c r="CD1272" s="1">
        <v>19</v>
      </c>
      <c r="CE1272" s="1">
        <v>8</v>
      </c>
      <c r="CG1272" s="1" t="s">
        <v>221</v>
      </c>
      <c r="CH1272" s="1" t="s">
        <v>277</v>
      </c>
      <c r="CI1272" s="1" t="s">
        <v>229</v>
      </c>
      <c r="CK1272" s="1" t="s">
        <v>539</v>
      </c>
      <c r="CL1272" s="1" t="s">
        <v>277</v>
      </c>
      <c r="CM1272" s="1" t="s">
        <v>220</v>
      </c>
      <c r="CO1272" s="1" t="s">
        <v>3284</v>
      </c>
      <c r="CP1272" s="1" t="s">
        <v>277</v>
      </c>
      <c r="CQ1272" s="1" t="s">
        <v>229</v>
      </c>
      <c r="CS1272" s="1" t="s">
        <v>1358</v>
      </c>
      <c r="CT1272" s="1" t="s">
        <v>277</v>
      </c>
      <c r="CU1272" s="1" t="s">
        <v>220</v>
      </c>
      <c r="CX1272" s="1" t="s">
        <v>224</v>
      </c>
      <c r="DB1272" s="1" t="s">
        <v>224</v>
      </c>
      <c r="DE1272" s="1" t="s">
        <v>3034</v>
      </c>
      <c r="DF1272" s="1" t="s">
        <v>277</v>
      </c>
      <c r="DG1272" s="1" t="s">
        <v>226</v>
      </c>
      <c r="DJ1272" s="1" t="s">
        <v>224</v>
      </c>
      <c r="DS1272" s="1" t="s">
        <v>230</v>
      </c>
      <c r="DW1272" s="1" t="s">
        <v>230</v>
      </c>
      <c r="EA1272" s="1" t="s">
        <v>230</v>
      </c>
      <c r="EE1272" s="1" t="s">
        <v>230</v>
      </c>
      <c r="EI1272" s="1" t="s">
        <v>230</v>
      </c>
      <c r="EL1272" s="1" t="s">
        <v>231</v>
      </c>
      <c r="EM1272" s="1" t="s">
        <v>232</v>
      </c>
      <c r="EN1272" s="1" t="s">
        <v>282</v>
      </c>
      <c r="EO1272" s="1" t="s">
        <v>234</v>
      </c>
      <c r="EP1272" s="1" t="s">
        <v>5198</v>
      </c>
      <c r="ER1272" s="1" t="s">
        <v>210</v>
      </c>
      <c r="EW1272" s="1" t="s">
        <v>12931</v>
      </c>
      <c r="EZ1272" s="1" t="s">
        <v>287</v>
      </c>
      <c r="FD1272" s="1" t="s">
        <v>246</v>
      </c>
      <c r="FE1272" s="1" t="s">
        <v>975</v>
      </c>
      <c r="FF1272" s="1" t="s">
        <v>387</v>
      </c>
      <c r="FH1272" s="1" t="s">
        <v>249</v>
      </c>
      <c r="FK1272" s="1" t="s">
        <v>291</v>
      </c>
      <c r="FL1272" s="1" t="s">
        <v>358</v>
      </c>
      <c r="FM1272" s="1" t="s">
        <v>252</v>
      </c>
      <c r="FN1272" s="1" t="s">
        <v>213</v>
      </c>
      <c r="FO1272" s="1" t="s">
        <v>213</v>
      </c>
      <c r="FQ1272" s="1" t="s">
        <v>12932</v>
      </c>
      <c r="FR1272" s="1" t="s">
        <v>210</v>
      </c>
      <c r="FS1272" s="1" t="s">
        <v>1429</v>
      </c>
      <c r="FT1272" s="1" t="s">
        <v>255</v>
      </c>
      <c r="FU1272" s="1" t="s">
        <v>204</v>
      </c>
      <c r="FW1272" s="1" t="s">
        <v>12933</v>
      </c>
      <c r="FX1272" s="1">
        <v>21153</v>
      </c>
      <c r="FY1272" s="1" t="s">
        <v>12934</v>
      </c>
      <c r="FZ1272" s="1" t="s">
        <v>12935</v>
      </c>
      <c r="GA1272" s="1">
        <v>607217</v>
      </c>
      <c r="GB1272" s="1" t="s">
        <v>12936</v>
      </c>
      <c r="GD1272" s="1" t="s">
        <v>12937</v>
      </c>
      <c r="GE1272" s="1" t="s">
        <v>210</v>
      </c>
      <c r="GI1272" s="1" t="s">
        <v>213</v>
      </c>
      <c r="GJ1272" s="1" t="s">
        <v>260</v>
      </c>
      <c r="GK1272" s="1" t="s">
        <v>210</v>
      </c>
      <c r="GL1272" s="2">
        <v>42135</v>
      </c>
    </row>
    <row r="1273" spans="1:195">
      <c r="A1273" s="1">
        <v>365900</v>
      </c>
      <c r="B1273" s="1" t="s">
        <v>195</v>
      </c>
      <c r="C1273" s="1" t="str">
        <f>"08860677"</f>
        <v>08860677</v>
      </c>
      <c r="D1273" s="1" t="s">
        <v>196</v>
      </c>
      <c r="F1273" s="1" t="str">
        <f>"126"</f>
        <v>126</v>
      </c>
      <c r="G1273" s="2">
        <v>42076</v>
      </c>
      <c r="H1273" s="1">
        <v>375900</v>
      </c>
      <c r="I1273" s="1">
        <v>375900</v>
      </c>
      <c r="J1273" s="1">
        <v>365900</v>
      </c>
      <c r="K1273" s="2">
        <v>42076</v>
      </c>
      <c r="L1273" s="1">
        <v>167</v>
      </c>
      <c r="M1273" s="2">
        <v>42078</v>
      </c>
      <c r="N1273" s="1">
        <v>3</v>
      </c>
      <c r="O1273" s="2">
        <v>42078</v>
      </c>
      <c r="P1273" s="1">
        <v>10115</v>
      </c>
      <c r="Q1273" s="1" t="s">
        <v>197</v>
      </c>
      <c r="R1273" s="2">
        <v>42111</v>
      </c>
      <c r="S1273" s="1">
        <v>244977</v>
      </c>
      <c r="U1273" s="1">
        <v>145</v>
      </c>
      <c r="V1273" s="1" t="s">
        <v>1608</v>
      </c>
      <c r="W1273" s="1" t="s">
        <v>725</v>
      </c>
      <c r="X1273" s="1">
        <v>202</v>
      </c>
      <c r="Y1273" s="1">
        <v>87</v>
      </c>
      <c r="Z1273" s="1" t="s">
        <v>249</v>
      </c>
      <c r="AA1273" s="1" t="s">
        <v>3169</v>
      </c>
      <c r="AB1273" s="1">
        <v>60126</v>
      </c>
      <c r="AD1273" s="1" t="s">
        <v>3170</v>
      </c>
      <c r="AE1273" s="1" t="s">
        <v>12938</v>
      </c>
      <c r="AF1273" s="1">
        <v>2005</v>
      </c>
      <c r="AG1273" s="1" t="s">
        <v>204</v>
      </c>
      <c r="AH1273" s="1" t="s">
        <v>3172</v>
      </c>
      <c r="AI1273" s="1" t="s">
        <v>206</v>
      </c>
      <c r="AJ1273" s="1" t="s">
        <v>1608</v>
      </c>
      <c r="AK1273" s="1" t="s">
        <v>12939</v>
      </c>
      <c r="AL1273" s="1">
        <v>5</v>
      </c>
      <c r="AM1273" s="1">
        <v>2</v>
      </c>
      <c r="AN1273" s="1">
        <v>2</v>
      </c>
      <c r="AO1273" s="1">
        <v>0</v>
      </c>
      <c r="AP1273" s="1" t="s">
        <v>209</v>
      </c>
      <c r="AR1273" s="1" t="s">
        <v>210</v>
      </c>
      <c r="AS1273" s="1" t="s">
        <v>204</v>
      </c>
      <c r="AT1273" s="1" t="s">
        <v>211</v>
      </c>
      <c r="AU1273" s="1">
        <v>2</v>
      </c>
      <c r="AW1273" s="1" t="s">
        <v>204</v>
      </c>
      <c r="AX1273" s="1" t="s">
        <v>212</v>
      </c>
      <c r="AZ1273" s="1">
        <v>6368</v>
      </c>
      <c r="BA1273" s="1">
        <v>2013</v>
      </c>
      <c r="BB1273" s="1" t="s">
        <v>405</v>
      </c>
      <c r="BE1273" s="1">
        <v>1468</v>
      </c>
      <c r="BF1273" s="1">
        <v>2</v>
      </c>
      <c r="BG1273" s="1">
        <v>0</v>
      </c>
      <c r="BL1273" s="1">
        <v>266</v>
      </c>
      <c r="BM1273" s="1" t="s">
        <v>204</v>
      </c>
      <c r="BN1273" s="1" t="s">
        <v>213</v>
      </c>
      <c r="BO1273" s="1">
        <v>999</v>
      </c>
      <c r="BP1273" s="1" t="s">
        <v>204</v>
      </c>
      <c r="BR1273" s="1" t="str">
        <f>"0601326001"</f>
        <v>0601326001</v>
      </c>
      <c r="BT1273" s="1" t="s">
        <v>12940</v>
      </c>
      <c r="BU1273" s="1" t="s">
        <v>3174</v>
      </c>
      <c r="BV1273" s="1" t="s">
        <v>3175</v>
      </c>
      <c r="BW1273" s="1" t="s">
        <v>3176</v>
      </c>
      <c r="BX1273" s="1">
        <v>205</v>
      </c>
      <c r="BY1273" s="1">
        <v>205</v>
      </c>
      <c r="BZ1273" s="1">
        <v>205</v>
      </c>
      <c r="CB1273" s="1" t="str">
        <f t="shared" ref="CB1273:CC1273" si="980">""</f>
        <v/>
      </c>
      <c r="CC1273" s="1" t="str">
        <f t="shared" si="980"/>
        <v/>
      </c>
      <c r="CG1273" s="1" t="s">
        <v>228</v>
      </c>
      <c r="CH1273" s="1" t="s">
        <v>277</v>
      </c>
      <c r="CI1273" s="1" t="s">
        <v>220</v>
      </c>
      <c r="CJ1273" s="1" t="s">
        <v>343</v>
      </c>
      <c r="CK1273" s="1" t="s">
        <v>437</v>
      </c>
      <c r="CL1273" s="1" t="s">
        <v>277</v>
      </c>
      <c r="CM1273" s="1" t="s">
        <v>220</v>
      </c>
      <c r="CN1273" s="1" t="s">
        <v>343</v>
      </c>
      <c r="CP1273" s="1" t="s">
        <v>224</v>
      </c>
      <c r="CS1273" s="1" t="s">
        <v>1358</v>
      </c>
      <c r="CT1273" s="1" t="s">
        <v>277</v>
      </c>
      <c r="CU1273" s="1" t="s">
        <v>220</v>
      </c>
      <c r="CV1273" s="1" t="s">
        <v>343</v>
      </c>
      <c r="CX1273" s="1" t="s">
        <v>224</v>
      </c>
      <c r="DB1273" s="1" t="s">
        <v>224</v>
      </c>
      <c r="DE1273" s="1" t="s">
        <v>465</v>
      </c>
      <c r="DF1273" s="1" t="s">
        <v>277</v>
      </c>
      <c r="DG1273" s="1" t="s">
        <v>226</v>
      </c>
      <c r="DH1273" s="1" t="s">
        <v>210</v>
      </c>
      <c r="DJ1273" s="1" t="s">
        <v>224</v>
      </c>
      <c r="DM1273" s="1" t="s">
        <v>1005</v>
      </c>
      <c r="DR1273" s="1" t="s">
        <v>2308</v>
      </c>
      <c r="DS1273" s="1" t="s">
        <v>277</v>
      </c>
      <c r="DT1273" s="1" t="s">
        <v>220</v>
      </c>
      <c r="DU1273" s="1" t="s">
        <v>343</v>
      </c>
      <c r="DW1273" s="1" t="s">
        <v>230</v>
      </c>
      <c r="EA1273" s="1" t="s">
        <v>230</v>
      </c>
      <c r="EE1273" s="1" t="s">
        <v>230</v>
      </c>
      <c r="EI1273" s="1" t="s">
        <v>230</v>
      </c>
      <c r="EL1273" s="1" t="s">
        <v>491</v>
      </c>
      <c r="EM1273" s="1" t="s">
        <v>232</v>
      </c>
      <c r="EN1273" s="1" t="s">
        <v>282</v>
      </c>
      <c r="EO1273" s="1" t="s">
        <v>234</v>
      </c>
      <c r="EQ1273" s="1" t="s">
        <v>492</v>
      </c>
      <c r="ER1273" s="1" t="s">
        <v>210</v>
      </c>
      <c r="ES1273" s="1" t="s">
        <v>469</v>
      </c>
      <c r="ET1273" s="1" t="s">
        <v>238</v>
      </c>
      <c r="EW1273" s="1" t="s">
        <v>12941</v>
      </c>
      <c r="EZ1273" s="1" t="s">
        <v>1005</v>
      </c>
      <c r="FC1273" s="1" t="s">
        <v>633</v>
      </c>
      <c r="FD1273" s="1" t="s">
        <v>495</v>
      </c>
      <c r="FE1273" s="1" t="s">
        <v>247</v>
      </c>
      <c r="FF1273" s="1" t="s">
        <v>387</v>
      </c>
      <c r="FH1273" s="1" t="s">
        <v>249</v>
      </c>
      <c r="FI1273" s="1" t="s">
        <v>5459</v>
      </c>
      <c r="FL1273" s="1" t="s">
        <v>810</v>
      </c>
      <c r="FM1273" s="1" t="s">
        <v>252</v>
      </c>
      <c r="FN1273" s="1" t="s">
        <v>213</v>
      </c>
      <c r="FO1273" s="1" t="s">
        <v>213</v>
      </c>
      <c r="FQ1273" s="1" t="s">
        <v>1758</v>
      </c>
      <c r="FR1273" s="1" t="s">
        <v>652</v>
      </c>
      <c r="FS1273" s="1" t="s">
        <v>1429</v>
      </c>
      <c r="FT1273" s="1" t="s">
        <v>255</v>
      </c>
      <c r="FU1273" s="1" t="s">
        <v>204</v>
      </c>
      <c r="FW1273" s="1" t="s">
        <v>915</v>
      </c>
      <c r="FX1273" s="1">
        <v>24042</v>
      </c>
      <c r="FY1273" s="1" t="s">
        <v>8521</v>
      </c>
      <c r="FZ1273" s="1" t="s">
        <v>12942</v>
      </c>
      <c r="GA1273" s="1">
        <v>245857</v>
      </c>
      <c r="GB1273" s="1" t="s">
        <v>12943</v>
      </c>
      <c r="GE1273" s="1" t="s">
        <v>210</v>
      </c>
      <c r="GH1273" s="1" t="s">
        <v>421</v>
      </c>
      <c r="GI1273" s="1" t="s">
        <v>213</v>
      </c>
      <c r="GJ1273" s="1" t="s">
        <v>260</v>
      </c>
      <c r="GK1273" s="1" t="s">
        <v>210</v>
      </c>
      <c r="GL1273" s="2">
        <v>42111</v>
      </c>
      <c r="GM1273" s="1" t="s">
        <v>12944</v>
      </c>
    </row>
    <row r="1274" spans="1:195">
      <c r="A1274" s="1">
        <v>149000</v>
      </c>
      <c r="B1274" s="1" t="s">
        <v>195</v>
      </c>
      <c r="C1274" s="1" t="str">
        <f>"08862649"</f>
        <v>08862649</v>
      </c>
      <c r="D1274" s="1" t="s">
        <v>196</v>
      </c>
      <c r="F1274" s="1" t="str">
        <f>"507"</f>
        <v>507</v>
      </c>
      <c r="G1274" s="2">
        <v>42079</v>
      </c>
      <c r="H1274" s="1">
        <v>149900</v>
      </c>
      <c r="I1274" s="1">
        <v>149900</v>
      </c>
      <c r="J1274" s="1">
        <v>149000</v>
      </c>
      <c r="K1274" s="2">
        <v>42079</v>
      </c>
      <c r="L1274" s="1">
        <v>4</v>
      </c>
      <c r="M1274" s="2">
        <v>42082</v>
      </c>
      <c r="N1274" s="1">
        <v>4</v>
      </c>
      <c r="O1274" s="2">
        <v>42082</v>
      </c>
      <c r="P1274" s="1">
        <v>30</v>
      </c>
      <c r="Q1274" s="1" t="s">
        <v>197</v>
      </c>
      <c r="R1274" s="2">
        <v>42123</v>
      </c>
      <c r="S1274" s="1">
        <v>987</v>
      </c>
      <c r="U1274" s="1">
        <v>2377</v>
      </c>
      <c r="V1274" s="1" t="s">
        <v>5824</v>
      </c>
      <c r="W1274" s="1" t="s">
        <v>449</v>
      </c>
      <c r="Y1274" s="1">
        <v>4</v>
      </c>
      <c r="Z1274" s="1" t="s">
        <v>249</v>
      </c>
      <c r="AA1274" s="1" t="s">
        <v>1123</v>
      </c>
      <c r="AB1274" s="1">
        <v>60503</v>
      </c>
      <c r="AD1274" s="1" t="s">
        <v>5825</v>
      </c>
      <c r="AE1274" s="1" t="s">
        <v>12945</v>
      </c>
      <c r="AF1274" s="1">
        <v>2004</v>
      </c>
      <c r="AG1274" s="1" t="s">
        <v>204</v>
      </c>
      <c r="AH1274" s="1" t="s">
        <v>1126</v>
      </c>
      <c r="AI1274" s="1" t="s">
        <v>1800</v>
      </c>
      <c r="AJ1274" s="1" t="s">
        <v>1801</v>
      </c>
      <c r="AL1274" s="1">
        <v>6</v>
      </c>
      <c r="AM1274" s="1">
        <v>2</v>
      </c>
      <c r="AN1274" s="1">
        <v>2</v>
      </c>
      <c r="AO1274" s="1">
        <v>1</v>
      </c>
      <c r="AP1274" s="1" t="s">
        <v>209</v>
      </c>
      <c r="AR1274" s="1" t="s">
        <v>210</v>
      </c>
      <c r="AS1274" s="1" t="s">
        <v>204</v>
      </c>
      <c r="AT1274" s="1" t="s">
        <v>211</v>
      </c>
      <c r="AU1274" s="1">
        <v>2</v>
      </c>
      <c r="AW1274" s="1" t="s">
        <v>204</v>
      </c>
      <c r="AX1274" s="1" t="s">
        <v>212</v>
      </c>
      <c r="AZ1274" s="1">
        <v>5703</v>
      </c>
      <c r="BA1274" s="1">
        <v>2013</v>
      </c>
      <c r="BE1274" s="1">
        <v>1511</v>
      </c>
      <c r="BF1274" s="1">
        <v>1</v>
      </c>
      <c r="BG1274" s="1">
        <v>0</v>
      </c>
      <c r="BL1274" s="1">
        <v>147</v>
      </c>
      <c r="BM1274" s="1" t="s">
        <v>204</v>
      </c>
      <c r="BN1274" s="1" t="s">
        <v>213</v>
      </c>
      <c r="BO1274" s="1">
        <v>999</v>
      </c>
      <c r="BP1274" s="1" t="s">
        <v>204</v>
      </c>
      <c r="BR1274" s="1" t="str">
        <f>"01063040961001"</f>
        <v>01063040961001</v>
      </c>
      <c r="BT1274" s="1" t="s">
        <v>12946</v>
      </c>
      <c r="BU1274" s="1" t="s">
        <v>1400</v>
      </c>
      <c r="BV1274" s="1" t="s">
        <v>7954</v>
      </c>
      <c r="BW1274" s="1" t="s">
        <v>1401</v>
      </c>
      <c r="BX1274" s="1">
        <v>308</v>
      </c>
      <c r="BY1274" s="1">
        <v>308</v>
      </c>
      <c r="BZ1274" s="1">
        <v>308</v>
      </c>
      <c r="CB1274" s="1" t="str">
        <f t="shared" ref="CB1274:CC1274" si="981">""</f>
        <v/>
      </c>
      <c r="CC1274" s="1" t="str">
        <f t="shared" si="981"/>
        <v/>
      </c>
      <c r="CG1274" s="1" t="s">
        <v>1936</v>
      </c>
      <c r="CH1274" s="1" t="s">
        <v>219</v>
      </c>
      <c r="CI1274" s="1" t="s">
        <v>438</v>
      </c>
      <c r="CJ1274" s="1" t="s">
        <v>909</v>
      </c>
      <c r="CK1274" s="1" t="s">
        <v>1936</v>
      </c>
      <c r="CL1274" s="1" t="s">
        <v>277</v>
      </c>
      <c r="CM1274" s="1" t="s">
        <v>438</v>
      </c>
      <c r="CN1274" s="1" t="s">
        <v>343</v>
      </c>
      <c r="CO1274" s="1" t="s">
        <v>316</v>
      </c>
      <c r="CP1274" s="1" t="s">
        <v>219</v>
      </c>
      <c r="CQ1274" s="1" t="s">
        <v>342</v>
      </c>
      <c r="CR1274" s="1" t="s">
        <v>343</v>
      </c>
      <c r="CS1274" s="1" t="s">
        <v>1358</v>
      </c>
      <c r="CT1274" s="1" t="s">
        <v>277</v>
      </c>
      <c r="CU1274" s="1" t="s">
        <v>438</v>
      </c>
      <c r="CV1274" s="1" t="s">
        <v>343</v>
      </c>
      <c r="CX1274" s="1" t="s">
        <v>224</v>
      </c>
      <c r="DB1274" s="1" t="s">
        <v>224</v>
      </c>
      <c r="DE1274" s="1" t="s">
        <v>379</v>
      </c>
      <c r="DF1274" s="1" t="s">
        <v>219</v>
      </c>
      <c r="DG1274" s="1" t="s">
        <v>342</v>
      </c>
      <c r="DJ1274" s="1" t="s">
        <v>224</v>
      </c>
      <c r="DM1274" s="1" t="s">
        <v>464</v>
      </c>
      <c r="DR1274" s="1" t="s">
        <v>409</v>
      </c>
      <c r="DS1274" s="1" t="s">
        <v>277</v>
      </c>
      <c r="DT1274" s="1" t="s">
        <v>438</v>
      </c>
      <c r="DU1274" s="1" t="s">
        <v>343</v>
      </c>
      <c r="DW1274" s="1" t="s">
        <v>230</v>
      </c>
      <c r="EA1274" s="1" t="s">
        <v>230</v>
      </c>
      <c r="EE1274" s="1" t="s">
        <v>230</v>
      </c>
      <c r="EI1274" s="1" t="s">
        <v>230</v>
      </c>
      <c r="EL1274" s="1" t="s">
        <v>466</v>
      </c>
      <c r="EM1274" s="1" t="s">
        <v>319</v>
      </c>
      <c r="EN1274" s="1" t="s">
        <v>282</v>
      </c>
      <c r="EO1274" s="1" t="s">
        <v>234</v>
      </c>
      <c r="EQ1274" s="1" t="s">
        <v>236</v>
      </c>
      <c r="ER1274" s="1" t="s">
        <v>210</v>
      </c>
      <c r="ES1274" s="1" t="s">
        <v>3932</v>
      </c>
      <c r="ET1274" s="1" t="s">
        <v>866</v>
      </c>
      <c r="EV1274" s="1" t="s">
        <v>240</v>
      </c>
      <c r="EW1274" s="1" t="s">
        <v>887</v>
      </c>
      <c r="EZ1274" s="1" t="s">
        <v>464</v>
      </c>
      <c r="FA1274" s="1" t="s">
        <v>471</v>
      </c>
      <c r="FB1274" s="1" t="s">
        <v>289</v>
      </c>
      <c r="FD1274" s="1" t="s">
        <v>246</v>
      </c>
      <c r="FE1274" s="1" t="s">
        <v>975</v>
      </c>
      <c r="FF1274" s="1" t="s">
        <v>248</v>
      </c>
      <c r="FH1274" s="1" t="s">
        <v>550</v>
      </c>
      <c r="FI1274" s="1" t="s">
        <v>357</v>
      </c>
      <c r="FL1274" s="1" t="s">
        <v>358</v>
      </c>
      <c r="FM1274" s="1" t="s">
        <v>252</v>
      </c>
      <c r="FN1274" s="1" t="s">
        <v>213</v>
      </c>
      <c r="FO1274" s="1" t="s">
        <v>213</v>
      </c>
      <c r="FQ1274" s="1" t="s">
        <v>3545</v>
      </c>
      <c r="FR1274" s="1" t="s">
        <v>210</v>
      </c>
      <c r="FS1274" s="1" t="s">
        <v>12947</v>
      </c>
      <c r="FT1274" s="1" t="s">
        <v>255</v>
      </c>
      <c r="FU1274" s="1" t="s">
        <v>204</v>
      </c>
      <c r="FW1274" s="1" t="s">
        <v>1898</v>
      </c>
      <c r="FX1274" s="1">
        <v>23030</v>
      </c>
      <c r="FY1274" s="1" t="s">
        <v>1899</v>
      </c>
      <c r="FZ1274" s="1" t="s">
        <v>12948</v>
      </c>
      <c r="GA1274" s="1">
        <v>232857</v>
      </c>
      <c r="GB1274" s="1" t="s">
        <v>12949</v>
      </c>
      <c r="GD1274" s="1" t="s">
        <v>12950</v>
      </c>
      <c r="GE1274" s="1" t="s">
        <v>776</v>
      </c>
      <c r="GI1274" s="1" t="s">
        <v>213</v>
      </c>
      <c r="GJ1274" s="1" t="s">
        <v>260</v>
      </c>
      <c r="GK1274" s="1" t="s">
        <v>210</v>
      </c>
      <c r="GL1274" s="2">
        <v>42124</v>
      </c>
    </row>
    <row r="1275" spans="1:195">
      <c r="A1275" s="1">
        <v>148500</v>
      </c>
      <c r="B1275" s="1" t="s">
        <v>195</v>
      </c>
      <c r="C1275" s="1" t="str">
        <f>"08866134"</f>
        <v>08866134</v>
      </c>
      <c r="D1275" s="1" t="s">
        <v>196</v>
      </c>
      <c r="F1275" s="1" t="str">
        <f>"107"</f>
        <v>107</v>
      </c>
      <c r="G1275" s="2">
        <v>42082</v>
      </c>
      <c r="H1275" s="1">
        <v>153900</v>
      </c>
      <c r="I1275" s="1">
        <v>153900</v>
      </c>
      <c r="J1275" s="1">
        <v>148500</v>
      </c>
      <c r="K1275" s="2">
        <v>42082</v>
      </c>
      <c r="L1275" s="1">
        <v>2</v>
      </c>
      <c r="M1275" s="2">
        <v>42083</v>
      </c>
      <c r="N1275" s="1">
        <v>2</v>
      </c>
      <c r="O1275" s="2">
        <v>42083</v>
      </c>
      <c r="P1275" s="1">
        <v>8965</v>
      </c>
      <c r="Q1275" s="1" t="s">
        <v>197</v>
      </c>
      <c r="R1275" s="2">
        <v>42121</v>
      </c>
      <c r="S1275" s="1">
        <v>88699</v>
      </c>
      <c r="U1275" s="1">
        <v>47</v>
      </c>
      <c r="V1275" s="1" t="s">
        <v>2731</v>
      </c>
      <c r="W1275" s="1" t="s">
        <v>504</v>
      </c>
      <c r="X1275" s="1">
        <v>47</v>
      </c>
      <c r="Y1275" s="1">
        <v>4</v>
      </c>
      <c r="Z1275" s="1" t="s">
        <v>249</v>
      </c>
      <c r="AA1275" s="1" t="s">
        <v>1211</v>
      </c>
      <c r="AB1275" s="1">
        <v>60107</v>
      </c>
      <c r="AD1275" s="1" t="s">
        <v>12951</v>
      </c>
      <c r="AE1275" s="1" t="s">
        <v>12952</v>
      </c>
      <c r="AF1275" s="1">
        <v>1995</v>
      </c>
      <c r="AG1275" s="1" t="s">
        <v>204</v>
      </c>
      <c r="AH1275" s="1" t="s">
        <v>1214</v>
      </c>
      <c r="AI1275" s="1" t="s">
        <v>310</v>
      </c>
      <c r="AJ1275" s="1" t="s">
        <v>374</v>
      </c>
      <c r="AK1275" s="1" t="s">
        <v>12953</v>
      </c>
      <c r="AL1275" s="1">
        <v>5</v>
      </c>
      <c r="AM1275" s="1">
        <v>2</v>
      </c>
      <c r="AN1275" s="1">
        <v>1</v>
      </c>
      <c r="AO1275" s="1">
        <v>1</v>
      </c>
      <c r="AP1275" s="1" t="s">
        <v>667</v>
      </c>
      <c r="AR1275" s="1" t="s">
        <v>210</v>
      </c>
      <c r="AS1275" s="1" t="s">
        <v>204</v>
      </c>
      <c r="AT1275" s="1" t="s">
        <v>211</v>
      </c>
      <c r="AU1275" s="1">
        <v>2</v>
      </c>
      <c r="AW1275" s="1" t="s">
        <v>204</v>
      </c>
      <c r="AX1275" s="1" t="s">
        <v>212</v>
      </c>
      <c r="AZ1275" s="1">
        <v>3877.36</v>
      </c>
      <c r="BA1275" s="1">
        <v>2013</v>
      </c>
      <c r="BE1275" s="1">
        <v>1280</v>
      </c>
      <c r="BF1275" s="1">
        <v>1</v>
      </c>
      <c r="BG1275" s="1">
        <v>0</v>
      </c>
      <c r="BL1275" s="1">
        <v>137</v>
      </c>
      <c r="BM1275" s="1" t="s">
        <v>204</v>
      </c>
      <c r="BN1275" s="1" t="s">
        <v>213</v>
      </c>
      <c r="BO1275" s="1">
        <v>999</v>
      </c>
      <c r="BP1275" s="1" t="s">
        <v>204</v>
      </c>
      <c r="BR1275" s="1" t="str">
        <f>"06272170031051"</f>
        <v>06272170031051</v>
      </c>
      <c r="BT1275" s="1" t="s">
        <v>12954</v>
      </c>
      <c r="BU1275" s="1" t="s">
        <v>12955</v>
      </c>
      <c r="BV1275" s="1" t="s">
        <v>3623</v>
      </c>
      <c r="BW1275" s="1" t="s">
        <v>1217</v>
      </c>
      <c r="BX1275" s="1">
        <v>46</v>
      </c>
      <c r="BY1275" s="1">
        <v>46</v>
      </c>
      <c r="BZ1275" s="1">
        <v>46</v>
      </c>
      <c r="CB1275" s="1" t="str">
        <f>"10"</f>
        <v>10</v>
      </c>
      <c r="CC1275" s="1" t="str">
        <f>"0"</f>
        <v>0</v>
      </c>
      <c r="CD1275" s="1">
        <v>29</v>
      </c>
      <c r="CE1275" s="1">
        <v>0</v>
      </c>
      <c r="CG1275" s="1" t="s">
        <v>314</v>
      </c>
      <c r="CH1275" s="1" t="s">
        <v>219</v>
      </c>
      <c r="CI1275" s="1" t="s">
        <v>438</v>
      </c>
      <c r="CJ1275" s="1" t="s">
        <v>463</v>
      </c>
      <c r="CK1275" s="1" t="s">
        <v>437</v>
      </c>
      <c r="CL1275" s="1" t="s">
        <v>277</v>
      </c>
      <c r="CM1275" s="1" t="s">
        <v>220</v>
      </c>
      <c r="CN1275" s="1" t="s">
        <v>463</v>
      </c>
      <c r="CO1275" s="1" t="s">
        <v>1724</v>
      </c>
      <c r="CP1275" s="1" t="s">
        <v>219</v>
      </c>
      <c r="CQ1275" s="1" t="s">
        <v>438</v>
      </c>
      <c r="CR1275" s="1" t="s">
        <v>343</v>
      </c>
      <c r="CS1275" s="1" t="s">
        <v>465</v>
      </c>
      <c r="CT1275" s="1" t="s">
        <v>277</v>
      </c>
      <c r="CU1275" s="1" t="s">
        <v>229</v>
      </c>
      <c r="CV1275" s="1" t="s">
        <v>343</v>
      </c>
      <c r="CX1275" s="1" t="s">
        <v>224</v>
      </c>
      <c r="DB1275" s="1" t="s">
        <v>224</v>
      </c>
      <c r="DE1275" s="1" t="s">
        <v>539</v>
      </c>
      <c r="DF1275" s="1" t="s">
        <v>219</v>
      </c>
      <c r="DG1275" s="1" t="s">
        <v>438</v>
      </c>
      <c r="DH1275" s="1" t="s">
        <v>343</v>
      </c>
      <c r="DJ1275" s="1" t="s">
        <v>224</v>
      </c>
      <c r="DS1275" s="1" t="s">
        <v>230</v>
      </c>
      <c r="DW1275" s="1" t="s">
        <v>230</v>
      </c>
      <c r="EA1275" s="1" t="s">
        <v>230</v>
      </c>
      <c r="EE1275" s="1" t="s">
        <v>230</v>
      </c>
      <c r="EI1275" s="1" t="s">
        <v>230</v>
      </c>
      <c r="EL1275" s="1" t="s">
        <v>670</v>
      </c>
      <c r="EM1275" s="1" t="s">
        <v>319</v>
      </c>
      <c r="EN1275" s="1" t="s">
        <v>282</v>
      </c>
      <c r="EO1275" s="1" t="s">
        <v>234</v>
      </c>
      <c r="EP1275" s="1" t="s">
        <v>650</v>
      </c>
      <c r="EQ1275" s="1" t="s">
        <v>2188</v>
      </c>
      <c r="ER1275" s="1" t="s">
        <v>210</v>
      </c>
      <c r="ES1275" s="1" t="s">
        <v>322</v>
      </c>
      <c r="EU1275" s="1" t="s">
        <v>1110</v>
      </c>
      <c r="EV1275" s="1" t="s">
        <v>240</v>
      </c>
      <c r="EW1275" s="1" t="s">
        <v>887</v>
      </c>
      <c r="EY1275" s="1" t="s">
        <v>790</v>
      </c>
      <c r="EZ1275" s="1" t="s">
        <v>287</v>
      </c>
      <c r="FA1275" s="1" t="s">
        <v>714</v>
      </c>
      <c r="FB1275" s="1" t="s">
        <v>289</v>
      </c>
      <c r="FD1275" s="1" t="s">
        <v>246</v>
      </c>
      <c r="FE1275" s="1" t="s">
        <v>386</v>
      </c>
      <c r="FF1275" s="1" t="s">
        <v>248</v>
      </c>
      <c r="FH1275" s="1" t="s">
        <v>550</v>
      </c>
      <c r="FI1275" s="1" t="s">
        <v>473</v>
      </c>
      <c r="FJ1275" s="1" t="s">
        <v>1179</v>
      </c>
      <c r="FL1275" s="1" t="s">
        <v>358</v>
      </c>
      <c r="FM1275" s="1" t="s">
        <v>252</v>
      </c>
      <c r="FN1275" s="1" t="s">
        <v>213</v>
      </c>
      <c r="FO1275" s="1" t="s">
        <v>213</v>
      </c>
      <c r="FQ1275" s="1" t="s">
        <v>5689</v>
      </c>
      <c r="FR1275" s="1" t="s">
        <v>210</v>
      </c>
      <c r="FS1275" s="1" t="s">
        <v>12956</v>
      </c>
      <c r="FT1275" s="1" t="s">
        <v>295</v>
      </c>
      <c r="FU1275" s="1" t="s">
        <v>204</v>
      </c>
      <c r="FW1275" s="1" t="s">
        <v>1637</v>
      </c>
      <c r="FX1275" s="1">
        <v>8059</v>
      </c>
      <c r="FY1275" s="1" t="s">
        <v>2034</v>
      </c>
      <c r="FZ1275" s="1" t="s">
        <v>12957</v>
      </c>
      <c r="GA1275" s="1">
        <v>81037</v>
      </c>
      <c r="GB1275" s="1" t="s">
        <v>12958</v>
      </c>
      <c r="GC1275" s="1">
        <v>87902</v>
      </c>
      <c r="GE1275" s="1" t="s">
        <v>480</v>
      </c>
      <c r="GI1275" s="1" t="s">
        <v>213</v>
      </c>
      <c r="GJ1275" s="1" t="s">
        <v>260</v>
      </c>
      <c r="GK1275" s="1" t="s">
        <v>210</v>
      </c>
      <c r="GL1275" s="2">
        <v>42122</v>
      </c>
      <c r="GM1275" s="1" t="s">
        <v>12959</v>
      </c>
    </row>
    <row r="1276" spans="1:195">
      <c r="A1276" s="1">
        <v>47000</v>
      </c>
      <c r="B1276" s="1" t="s">
        <v>195</v>
      </c>
      <c r="C1276" s="1" t="str">
        <f>"08865804"</f>
        <v>08865804</v>
      </c>
      <c r="D1276" s="1" t="s">
        <v>196</v>
      </c>
      <c r="F1276" s="1" t="str">
        <f>"517"</f>
        <v>517</v>
      </c>
      <c r="G1276" s="2">
        <v>42081</v>
      </c>
      <c r="H1276" s="1">
        <v>54999</v>
      </c>
      <c r="I1276" s="1">
        <v>54999</v>
      </c>
      <c r="J1276" s="1">
        <v>47000</v>
      </c>
      <c r="K1276" s="2">
        <v>42081</v>
      </c>
      <c r="L1276" s="1">
        <v>7</v>
      </c>
      <c r="M1276" s="2">
        <v>42087</v>
      </c>
      <c r="N1276" s="1">
        <v>7</v>
      </c>
      <c r="O1276" s="2">
        <v>42087</v>
      </c>
      <c r="P1276" s="1">
        <v>22029</v>
      </c>
      <c r="Q1276" s="1" t="s">
        <v>302</v>
      </c>
      <c r="R1276" s="2">
        <v>42109</v>
      </c>
      <c r="S1276" s="1">
        <v>232707</v>
      </c>
      <c r="U1276" s="1">
        <v>2521</v>
      </c>
      <c r="V1276" s="1" t="s">
        <v>3308</v>
      </c>
      <c r="W1276" s="1" t="s">
        <v>725</v>
      </c>
      <c r="X1276" s="1">
        <v>2901</v>
      </c>
      <c r="Y1276" s="1">
        <v>6</v>
      </c>
      <c r="Z1276" s="1" t="s">
        <v>249</v>
      </c>
      <c r="AA1276" s="1" t="s">
        <v>2850</v>
      </c>
      <c r="AB1276" s="1">
        <v>60517</v>
      </c>
      <c r="AE1276" s="1" t="s">
        <v>12960</v>
      </c>
      <c r="AF1276" s="1">
        <v>1979</v>
      </c>
      <c r="AG1276" s="1" t="s">
        <v>204</v>
      </c>
      <c r="AH1276" s="1" t="s">
        <v>2853</v>
      </c>
      <c r="AI1276" s="1" t="s">
        <v>206</v>
      </c>
      <c r="AJ1276" s="1" t="s">
        <v>925</v>
      </c>
      <c r="AL1276" s="1">
        <v>5</v>
      </c>
      <c r="AM1276" s="1">
        <v>2</v>
      </c>
      <c r="AN1276" s="1">
        <v>1</v>
      </c>
      <c r="AO1276" s="1">
        <v>0</v>
      </c>
      <c r="AP1276" s="1" t="s">
        <v>210</v>
      </c>
      <c r="AR1276" s="1" t="s">
        <v>210</v>
      </c>
      <c r="AS1276" s="1" t="s">
        <v>204</v>
      </c>
      <c r="AT1276" s="1" t="s">
        <v>271</v>
      </c>
      <c r="AV1276" s="1">
        <v>2</v>
      </c>
      <c r="AW1276" s="1" t="s">
        <v>213</v>
      </c>
      <c r="AX1276" s="1" t="s">
        <v>212</v>
      </c>
      <c r="AZ1276" s="1">
        <v>1133</v>
      </c>
      <c r="BA1276" s="1">
        <v>2013</v>
      </c>
      <c r="BE1276" s="1">
        <v>880</v>
      </c>
      <c r="BF1276" s="1">
        <v>1</v>
      </c>
      <c r="BG1276" s="1">
        <v>0</v>
      </c>
      <c r="BL1276" s="1">
        <v>269</v>
      </c>
      <c r="BM1276" s="1" t="s">
        <v>204</v>
      </c>
      <c r="BN1276" s="1" t="s">
        <v>213</v>
      </c>
      <c r="BP1276" s="1" t="s">
        <v>204</v>
      </c>
      <c r="BR1276" s="1" t="str">
        <f>"0836109031"</f>
        <v>0836109031</v>
      </c>
      <c r="BT1276" s="1" t="s">
        <v>12961</v>
      </c>
      <c r="BX1276" s="1">
        <v>68</v>
      </c>
      <c r="BY1276" s="1">
        <v>68</v>
      </c>
      <c r="BZ1276" s="1">
        <v>99</v>
      </c>
      <c r="CB1276" s="1" t="str">
        <f t="shared" ref="CB1276:CC1276" si="982">""</f>
        <v/>
      </c>
      <c r="CC1276" s="1" t="str">
        <f t="shared" si="982"/>
        <v/>
      </c>
      <c r="CD1276" s="1">
        <v>21</v>
      </c>
      <c r="CE1276" s="1">
        <v>9</v>
      </c>
      <c r="CG1276" s="1" t="s">
        <v>6197</v>
      </c>
      <c r="CH1276" s="1" t="s">
        <v>219</v>
      </c>
      <c r="CI1276" s="1" t="s">
        <v>220</v>
      </c>
      <c r="CJ1276" s="1" t="s">
        <v>252</v>
      </c>
      <c r="CK1276" s="1" t="s">
        <v>344</v>
      </c>
      <c r="CL1276" s="1" t="s">
        <v>219</v>
      </c>
      <c r="CM1276" s="1" t="s">
        <v>220</v>
      </c>
      <c r="CO1276" s="1" t="s">
        <v>629</v>
      </c>
      <c r="CP1276" s="1" t="s">
        <v>219</v>
      </c>
      <c r="CQ1276" s="1" t="s">
        <v>220</v>
      </c>
      <c r="CR1276" s="1" t="s">
        <v>252</v>
      </c>
      <c r="CS1276" s="1" t="s">
        <v>346</v>
      </c>
      <c r="CT1276" s="1" t="s">
        <v>219</v>
      </c>
      <c r="CU1276" s="1" t="s">
        <v>220</v>
      </c>
      <c r="CX1276" s="1" t="s">
        <v>224</v>
      </c>
      <c r="DB1276" s="1" t="s">
        <v>224</v>
      </c>
      <c r="DE1276" s="1" t="s">
        <v>408</v>
      </c>
      <c r="DF1276" s="1" t="s">
        <v>219</v>
      </c>
      <c r="DJ1276" s="1" t="s">
        <v>224</v>
      </c>
      <c r="DS1276" s="1" t="s">
        <v>230</v>
      </c>
      <c r="DW1276" s="1" t="s">
        <v>230</v>
      </c>
      <c r="EA1276" s="1" t="s">
        <v>230</v>
      </c>
      <c r="EE1276" s="1" t="s">
        <v>230</v>
      </c>
      <c r="EI1276" s="1" t="s">
        <v>230</v>
      </c>
      <c r="EL1276" s="1" t="s">
        <v>231</v>
      </c>
      <c r="EM1276" s="1" t="s">
        <v>232</v>
      </c>
      <c r="EN1276" s="1" t="s">
        <v>1158</v>
      </c>
      <c r="EO1276" s="1" t="s">
        <v>234</v>
      </c>
      <c r="EP1276" s="1" t="s">
        <v>12962</v>
      </c>
      <c r="ER1276" s="1" t="s">
        <v>210</v>
      </c>
      <c r="EW1276" s="1" t="s">
        <v>1284</v>
      </c>
      <c r="EZ1276" s="1" t="s">
        <v>287</v>
      </c>
      <c r="FB1276" s="1" t="s">
        <v>1755</v>
      </c>
      <c r="FC1276" s="1" t="s">
        <v>11357</v>
      </c>
      <c r="FD1276" s="1" t="s">
        <v>736</v>
      </c>
      <c r="FE1276" s="1" t="s">
        <v>247</v>
      </c>
      <c r="FF1276" s="1" t="s">
        <v>387</v>
      </c>
      <c r="FH1276" s="1" t="s">
        <v>12963</v>
      </c>
      <c r="FJ1276" s="1" t="s">
        <v>1472</v>
      </c>
      <c r="FK1276" s="1" t="s">
        <v>6240</v>
      </c>
      <c r="FL1276" s="1" t="s">
        <v>614</v>
      </c>
      <c r="FM1276" s="1" t="s">
        <v>252</v>
      </c>
      <c r="FN1276" s="1" t="s">
        <v>213</v>
      </c>
      <c r="FO1276" s="1" t="s">
        <v>213</v>
      </c>
      <c r="FQ1276" s="1" t="s">
        <v>9915</v>
      </c>
      <c r="FR1276" s="1" t="s">
        <v>210</v>
      </c>
      <c r="FS1276" s="1" t="s">
        <v>12964</v>
      </c>
      <c r="FT1276" s="1" t="s">
        <v>295</v>
      </c>
      <c r="FU1276" s="1" t="s">
        <v>204</v>
      </c>
      <c r="FW1276" s="1" t="s">
        <v>3517</v>
      </c>
      <c r="FX1276" s="1">
        <v>20114</v>
      </c>
      <c r="FY1276" s="1" t="s">
        <v>3518</v>
      </c>
      <c r="FZ1276" s="1" t="s">
        <v>12965</v>
      </c>
      <c r="GA1276" s="1">
        <v>605622</v>
      </c>
      <c r="GB1276" s="1" t="s">
        <v>12966</v>
      </c>
      <c r="GE1276" s="1" t="s">
        <v>1379</v>
      </c>
      <c r="GI1276" s="1" t="s">
        <v>213</v>
      </c>
      <c r="GJ1276" s="1" t="s">
        <v>260</v>
      </c>
      <c r="GK1276" s="1" t="s">
        <v>210</v>
      </c>
      <c r="GL1276" s="2">
        <v>42109</v>
      </c>
    </row>
    <row r="1277" spans="1:195">
      <c r="A1277" s="1">
        <v>39000</v>
      </c>
      <c r="B1277" s="1" t="s">
        <v>195</v>
      </c>
      <c r="C1277" s="1" t="str">
        <f>"08867823"</f>
        <v>08867823</v>
      </c>
      <c r="D1277" s="1" t="s">
        <v>196</v>
      </c>
      <c r="F1277" s="1" t="str">
        <f>"507"</f>
        <v>507</v>
      </c>
      <c r="G1277" s="2">
        <v>42083</v>
      </c>
      <c r="H1277" s="1">
        <v>44900</v>
      </c>
      <c r="I1277" s="1">
        <v>44900</v>
      </c>
      <c r="J1277" s="1">
        <v>39000</v>
      </c>
      <c r="K1277" s="2">
        <v>42080</v>
      </c>
      <c r="L1277" s="1">
        <v>147</v>
      </c>
      <c r="M1277" s="2">
        <v>42093</v>
      </c>
      <c r="N1277" s="1">
        <v>14</v>
      </c>
      <c r="O1277" s="2">
        <v>42093</v>
      </c>
      <c r="P1277" s="1">
        <v>31420</v>
      </c>
      <c r="Q1277" s="1" t="s">
        <v>302</v>
      </c>
      <c r="R1277" s="2">
        <v>42114</v>
      </c>
      <c r="S1277" s="1">
        <v>8887</v>
      </c>
      <c r="U1277" s="1">
        <v>1100</v>
      </c>
      <c r="V1277" s="1" t="s">
        <v>12967</v>
      </c>
      <c r="W1277" s="1" t="s">
        <v>425</v>
      </c>
      <c r="X1277" s="1" t="s">
        <v>577</v>
      </c>
      <c r="Y1277" s="1">
        <v>16</v>
      </c>
      <c r="Z1277" s="1" t="s">
        <v>249</v>
      </c>
      <c r="AA1277" s="1" t="s">
        <v>1123</v>
      </c>
      <c r="AB1277" s="1">
        <v>60505</v>
      </c>
      <c r="AD1277" s="1" t="s">
        <v>12968</v>
      </c>
      <c r="AE1277" s="1" t="s">
        <v>12969</v>
      </c>
      <c r="AF1277" s="1">
        <v>1970</v>
      </c>
      <c r="AG1277" s="1" t="s">
        <v>213</v>
      </c>
      <c r="AH1277" s="1" t="s">
        <v>1126</v>
      </c>
      <c r="AI1277" s="1" t="s">
        <v>665</v>
      </c>
      <c r="AJ1277" s="1" t="s">
        <v>1126</v>
      </c>
      <c r="AL1277" s="1">
        <v>5</v>
      </c>
      <c r="AM1277" s="1">
        <v>2</v>
      </c>
      <c r="AN1277" s="1">
        <v>1</v>
      </c>
      <c r="AO1277" s="1">
        <v>0</v>
      </c>
      <c r="AP1277" s="1" t="s">
        <v>210</v>
      </c>
      <c r="AR1277" s="1" t="s">
        <v>210</v>
      </c>
      <c r="AT1277" s="1" t="s">
        <v>271</v>
      </c>
      <c r="AV1277" s="1">
        <v>2</v>
      </c>
      <c r="AW1277" s="1" t="s">
        <v>204</v>
      </c>
      <c r="AX1277" s="1" t="s">
        <v>212</v>
      </c>
      <c r="AZ1277" s="1">
        <v>523.20000000000005</v>
      </c>
      <c r="BA1277" s="1">
        <v>2013</v>
      </c>
      <c r="BE1277" s="1">
        <v>923</v>
      </c>
      <c r="BF1277" s="1">
        <v>2</v>
      </c>
      <c r="BG1277" s="1">
        <v>0</v>
      </c>
      <c r="BL1277" s="1">
        <v>249</v>
      </c>
      <c r="BM1277" s="1" t="s">
        <v>204</v>
      </c>
      <c r="BN1277" s="1" t="s">
        <v>213</v>
      </c>
      <c r="BO1277" s="1">
        <v>99</v>
      </c>
      <c r="BP1277" s="1" t="s">
        <v>204</v>
      </c>
      <c r="BR1277" s="1" t="str">
        <f>"1514228247"</f>
        <v>1514228247</v>
      </c>
      <c r="BT1277" s="1" t="s">
        <v>12970</v>
      </c>
      <c r="BX1277" s="1">
        <v>131</v>
      </c>
      <c r="BY1277" s="1">
        <v>131</v>
      </c>
      <c r="BZ1277" s="1">
        <v>131</v>
      </c>
      <c r="CB1277" s="1" t="str">
        <f t="shared" ref="CB1277:CC1277" si="983">""</f>
        <v/>
      </c>
      <c r="CC1277" s="1" t="str">
        <f t="shared" si="983"/>
        <v/>
      </c>
      <c r="CG1277" s="1" t="s">
        <v>1004</v>
      </c>
      <c r="CH1277" s="1" t="s">
        <v>277</v>
      </c>
      <c r="CK1277" s="1" t="s">
        <v>564</v>
      </c>
      <c r="CL1277" s="1" t="s">
        <v>277</v>
      </c>
      <c r="CO1277" s="1" t="s">
        <v>348</v>
      </c>
      <c r="CP1277" s="1" t="s">
        <v>277</v>
      </c>
      <c r="CS1277" s="1" t="s">
        <v>346</v>
      </c>
      <c r="CT1277" s="1" t="s">
        <v>277</v>
      </c>
      <c r="CX1277" s="1" t="s">
        <v>224</v>
      </c>
      <c r="DB1277" s="1" t="s">
        <v>224</v>
      </c>
      <c r="DE1277" s="1" t="s">
        <v>409</v>
      </c>
      <c r="DF1277" s="1" t="s">
        <v>277</v>
      </c>
      <c r="DJ1277" s="1" t="s">
        <v>224</v>
      </c>
      <c r="DS1277" s="1" t="s">
        <v>230</v>
      </c>
      <c r="DW1277" s="1" t="s">
        <v>230</v>
      </c>
      <c r="EA1277" s="1" t="s">
        <v>230</v>
      </c>
      <c r="EE1277" s="1" t="s">
        <v>230</v>
      </c>
      <c r="EI1277" s="1" t="s">
        <v>230</v>
      </c>
      <c r="EL1277" s="1" t="s">
        <v>605</v>
      </c>
      <c r="EM1277" s="1" t="s">
        <v>319</v>
      </c>
      <c r="EN1277" s="1" t="s">
        <v>282</v>
      </c>
      <c r="EO1277" s="1" t="s">
        <v>234</v>
      </c>
      <c r="EP1277" s="1" t="s">
        <v>12971</v>
      </c>
      <c r="ER1277" s="1" t="s">
        <v>210</v>
      </c>
      <c r="EW1277" s="1" t="s">
        <v>12972</v>
      </c>
      <c r="EY1277" s="1" t="s">
        <v>242</v>
      </c>
      <c r="EZ1277" s="1" t="s">
        <v>287</v>
      </c>
      <c r="FD1277" s="1" t="s">
        <v>246</v>
      </c>
      <c r="FE1277" s="1" t="s">
        <v>247</v>
      </c>
      <c r="FF1277" s="1" t="s">
        <v>248</v>
      </c>
      <c r="FH1277" s="1" t="s">
        <v>1756</v>
      </c>
      <c r="FL1277" s="1" t="s">
        <v>1073</v>
      </c>
      <c r="FM1277" s="1" t="s">
        <v>252</v>
      </c>
      <c r="FN1277" s="1" t="s">
        <v>213</v>
      </c>
      <c r="FO1277" s="1" t="s">
        <v>213</v>
      </c>
      <c r="FQ1277" s="1" t="s">
        <v>582</v>
      </c>
      <c r="FR1277" s="1" t="s">
        <v>210</v>
      </c>
      <c r="FS1277" s="1" t="s">
        <v>4164</v>
      </c>
      <c r="FT1277" s="1" t="s">
        <v>12973</v>
      </c>
      <c r="FU1277" s="1" t="s">
        <v>204</v>
      </c>
      <c r="FW1277" s="1" t="s">
        <v>4166</v>
      </c>
      <c r="FX1277" s="1">
        <v>31420</v>
      </c>
      <c r="FY1277" s="1" t="s">
        <v>4167</v>
      </c>
      <c r="FZ1277" s="1" t="s">
        <v>4168</v>
      </c>
      <c r="GA1277" s="1">
        <v>314232</v>
      </c>
      <c r="GB1277" s="1" t="s">
        <v>4169</v>
      </c>
      <c r="GE1277" s="1" t="s">
        <v>210</v>
      </c>
      <c r="GH1277" s="1" t="s">
        <v>230</v>
      </c>
      <c r="GI1277" s="1" t="s">
        <v>204</v>
      </c>
      <c r="GJ1277" s="1" t="s">
        <v>260</v>
      </c>
      <c r="GK1277" s="1" t="s">
        <v>210</v>
      </c>
      <c r="GL1277" s="2">
        <v>42114</v>
      </c>
      <c r="GM1277" s="1" t="s">
        <v>12974</v>
      </c>
    </row>
    <row r="1278" spans="1:195">
      <c r="A1278" s="1">
        <v>119900</v>
      </c>
      <c r="B1278" s="1" t="s">
        <v>195</v>
      </c>
      <c r="C1278" s="1" t="str">
        <f>"08860672"</f>
        <v>08860672</v>
      </c>
      <c r="D1278" s="1" t="s">
        <v>196</v>
      </c>
      <c r="F1278" s="1" t="str">
        <f>"134"</f>
        <v>134</v>
      </c>
      <c r="G1278" s="2">
        <v>42076</v>
      </c>
      <c r="H1278" s="1">
        <v>119900</v>
      </c>
      <c r="I1278" s="1">
        <v>119900</v>
      </c>
      <c r="J1278" s="1">
        <v>119900</v>
      </c>
      <c r="K1278" s="2">
        <v>42076</v>
      </c>
      <c r="L1278" s="1">
        <v>4</v>
      </c>
      <c r="M1278" s="2">
        <v>42079</v>
      </c>
      <c r="N1278" s="1">
        <v>4</v>
      </c>
      <c r="O1278" s="2">
        <v>42079</v>
      </c>
      <c r="P1278" s="1">
        <v>41</v>
      </c>
      <c r="Q1278" s="1" t="s">
        <v>197</v>
      </c>
      <c r="R1278" s="2">
        <v>42118</v>
      </c>
      <c r="S1278" s="1">
        <v>8896</v>
      </c>
      <c r="U1278" s="1">
        <v>130</v>
      </c>
      <c r="V1278" s="1" t="s">
        <v>859</v>
      </c>
      <c r="W1278" s="1" t="s">
        <v>304</v>
      </c>
      <c r="X1278" s="1">
        <v>130</v>
      </c>
      <c r="Y1278" s="1">
        <v>6</v>
      </c>
      <c r="Z1278" s="1" t="s">
        <v>370</v>
      </c>
      <c r="AA1278" s="1" t="s">
        <v>661</v>
      </c>
      <c r="AB1278" s="1">
        <v>60134</v>
      </c>
      <c r="AD1278" s="1" t="s">
        <v>11104</v>
      </c>
      <c r="AE1278" s="1" t="s">
        <v>12975</v>
      </c>
      <c r="AF1278" s="1">
        <v>1974</v>
      </c>
      <c r="AG1278" s="1" t="s">
        <v>213</v>
      </c>
      <c r="AH1278" s="1" t="s">
        <v>664</v>
      </c>
      <c r="AI1278" s="1" t="s">
        <v>665</v>
      </c>
      <c r="AJ1278" s="1" t="s">
        <v>664</v>
      </c>
      <c r="AL1278" s="1">
        <v>6</v>
      </c>
      <c r="AM1278" s="1">
        <v>2</v>
      </c>
      <c r="AN1278" s="1">
        <v>1</v>
      </c>
      <c r="AO1278" s="1">
        <v>1</v>
      </c>
      <c r="AP1278" s="1" t="s">
        <v>455</v>
      </c>
      <c r="AQ1278" s="1">
        <v>1</v>
      </c>
      <c r="AR1278" s="1" t="s">
        <v>210</v>
      </c>
      <c r="AS1278" s="1" t="s">
        <v>204</v>
      </c>
      <c r="AT1278" s="1" t="s">
        <v>211</v>
      </c>
      <c r="AU1278" s="1">
        <v>1</v>
      </c>
      <c r="AW1278" s="1" t="s">
        <v>204</v>
      </c>
      <c r="AX1278" s="1" t="s">
        <v>12976</v>
      </c>
      <c r="AZ1278" s="1">
        <v>3386</v>
      </c>
      <c r="BA1278" s="1">
        <v>2013</v>
      </c>
      <c r="BB1278" s="1" t="s">
        <v>405</v>
      </c>
      <c r="BE1278" s="1">
        <v>1256</v>
      </c>
      <c r="BF1278" s="1">
        <v>1</v>
      </c>
      <c r="BG1278" s="1">
        <v>30</v>
      </c>
      <c r="BL1278" s="1">
        <v>219</v>
      </c>
      <c r="BM1278" s="1" t="s">
        <v>204</v>
      </c>
      <c r="BN1278" s="1" t="s">
        <v>213</v>
      </c>
      <c r="BO1278" s="1">
        <v>999</v>
      </c>
      <c r="BP1278" s="1" t="s">
        <v>204</v>
      </c>
      <c r="BR1278" s="1" t="str">
        <f>"1202429032"</f>
        <v>1202429032</v>
      </c>
      <c r="BT1278" s="1" t="s">
        <v>12977</v>
      </c>
      <c r="BU1278" s="1" t="s">
        <v>11726</v>
      </c>
      <c r="BV1278" s="1" t="s">
        <v>2447</v>
      </c>
      <c r="BW1278" s="1" t="s">
        <v>2448</v>
      </c>
      <c r="BX1278" s="1">
        <v>304</v>
      </c>
      <c r="BY1278" s="1">
        <v>304</v>
      </c>
      <c r="BZ1278" s="1">
        <v>304</v>
      </c>
      <c r="CB1278" s="1" t="str">
        <f>"1"</f>
        <v>1</v>
      </c>
      <c r="CC1278" s="1" t="str">
        <f>"0"</f>
        <v>0</v>
      </c>
      <c r="CD1278" s="1">
        <v>34</v>
      </c>
      <c r="CE1278" s="1">
        <v>0</v>
      </c>
      <c r="CG1278" s="1" t="s">
        <v>564</v>
      </c>
      <c r="CH1278" s="1" t="s">
        <v>219</v>
      </c>
      <c r="CI1278" s="1" t="s">
        <v>438</v>
      </c>
      <c r="CJ1278" s="1" t="s">
        <v>252</v>
      </c>
      <c r="CK1278" s="1" t="s">
        <v>461</v>
      </c>
      <c r="CL1278" s="1" t="s">
        <v>277</v>
      </c>
      <c r="CM1278" s="1" t="s">
        <v>220</v>
      </c>
      <c r="CN1278" s="1" t="s">
        <v>252</v>
      </c>
      <c r="CO1278" s="1" t="s">
        <v>2031</v>
      </c>
      <c r="CP1278" s="1" t="s">
        <v>219</v>
      </c>
      <c r="CQ1278" s="1" t="s">
        <v>438</v>
      </c>
      <c r="CR1278" s="1" t="s">
        <v>252</v>
      </c>
      <c r="CS1278" s="1" t="s">
        <v>346</v>
      </c>
      <c r="CT1278" s="1" t="s">
        <v>277</v>
      </c>
      <c r="CU1278" s="1" t="s">
        <v>220</v>
      </c>
      <c r="CV1278" s="1" t="s">
        <v>252</v>
      </c>
      <c r="CX1278" s="1" t="s">
        <v>224</v>
      </c>
      <c r="DB1278" s="1" t="s">
        <v>224</v>
      </c>
      <c r="DE1278" s="1" t="s">
        <v>345</v>
      </c>
      <c r="DF1278" s="1" t="s">
        <v>219</v>
      </c>
      <c r="DG1278" s="1" t="s">
        <v>566</v>
      </c>
      <c r="DI1278" s="1" t="s">
        <v>3808</v>
      </c>
      <c r="DJ1278" s="1" t="s">
        <v>822</v>
      </c>
      <c r="DK1278" s="1" t="s">
        <v>220</v>
      </c>
      <c r="DL1278" s="1" t="s">
        <v>252</v>
      </c>
      <c r="DS1278" s="1" t="s">
        <v>230</v>
      </c>
      <c r="DW1278" s="1" t="s">
        <v>230</v>
      </c>
      <c r="EA1278" s="1" t="s">
        <v>230</v>
      </c>
      <c r="EE1278" s="1" t="s">
        <v>230</v>
      </c>
      <c r="EI1278" s="1" t="s">
        <v>230</v>
      </c>
      <c r="EL1278" s="1" t="s">
        <v>605</v>
      </c>
      <c r="EM1278" s="1" t="s">
        <v>319</v>
      </c>
      <c r="EN1278" s="1" t="s">
        <v>282</v>
      </c>
      <c r="EO1278" s="1" t="s">
        <v>234</v>
      </c>
      <c r="EP1278" s="1" t="s">
        <v>12978</v>
      </c>
      <c r="EQ1278" s="1" t="s">
        <v>2188</v>
      </c>
      <c r="ER1278" s="1" t="s">
        <v>210</v>
      </c>
      <c r="ES1278" s="1" t="s">
        <v>545</v>
      </c>
      <c r="EU1278" s="1" t="s">
        <v>12979</v>
      </c>
      <c r="EV1278" s="1" t="s">
        <v>240</v>
      </c>
      <c r="EW1278" s="1" t="s">
        <v>4959</v>
      </c>
      <c r="EY1278" s="1" t="s">
        <v>242</v>
      </c>
      <c r="EZ1278" s="1" t="s">
        <v>287</v>
      </c>
      <c r="FA1278" s="1" t="s">
        <v>1554</v>
      </c>
      <c r="FD1278" s="1" t="s">
        <v>246</v>
      </c>
      <c r="FE1278" s="1" t="s">
        <v>889</v>
      </c>
      <c r="FF1278" s="1" t="s">
        <v>248</v>
      </c>
      <c r="FG1278" s="1" t="s">
        <v>1682</v>
      </c>
      <c r="FH1278" s="1" t="s">
        <v>249</v>
      </c>
      <c r="FI1278" s="1" t="s">
        <v>473</v>
      </c>
      <c r="FJ1278" s="1" t="s">
        <v>197</v>
      </c>
      <c r="FL1278" s="1" t="s">
        <v>358</v>
      </c>
      <c r="FM1278" s="1" t="s">
        <v>252</v>
      </c>
      <c r="FN1278" s="1" t="s">
        <v>213</v>
      </c>
      <c r="FO1278" s="1" t="s">
        <v>213</v>
      </c>
      <c r="FQ1278" s="1" t="s">
        <v>3545</v>
      </c>
      <c r="FR1278" s="1" t="s">
        <v>210</v>
      </c>
      <c r="FS1278" s="1" t="s">
        <v>12980</v>
      </c>
      <c r="FT1278" s="1" t="s">
        <v>295</v>
      </c>
      <c r="FU1278" s="1" t="s">
        <v>204</v>
      </c>
      <c r="FW1278" s="1" t="s">
        <v>915</v>
      </c>
      <c r="FX1278" s="1">
        <v>23591</v>
      </c>
      <c r="FY1278" s="1" t="s">
        <v>1710</v>
      </c>
      <c r="FZ1278" s="1" t="s">
        <v>11452</v>
      </c>
      <c r="GA1278" s="1">
        <v>245649</v>
      </c>
      <c r="GB1278" s="1" t="s">
        <v>11453</v>
      </c>
      <c r="GD1278" s="1" t="s">
        <v>11454</v>
      </c>
      <c r="GE1278" s="1" t="s">
        <v>1256</v>
      </c>
      <c r="GI1278" s="1" t="s">
        <v>213</v>
      </c>
      <c r="GJ1278" s="1" t="s">
        <v>260</v>
      </c>
      <c r="GK1278" s="1" t="s">
        <v>210</v>
      </c>
      <c r="GL1278" s="2">
        <v>42118</v>
      </c>
      <c r="GM1278" s="1" t="s">
        <v>12981</v>
      </c>
    </row>
    <row r="1279" spans="1:195">
      <c r="A1279" s="1">
        <v>105000</v>
      </c>
      <c r="B1279" s="1" t="s">
        <v>195</v>
      </c>
      <c r="C1279" s="1" t="str">
        <f>"08859123"</f>
        <v>08859123</v>
      </c>
      <c r="D1279" s="1" t="s">
        <v>196</v>
      </c>
      <c r="F1279" s="1" t="str">
        <f>"148"</f>
        <v>148</v>
      </c>
      <c r="G1279" s="2">
        <v>42074</v>
      </c>
      <c r="H1279" s="1">
        <v>125000</v>
      </c>
      <c r="I1279" s="1">
        <v>117500</v>
      </c>
      <c r="J1279" s="1">
        <v>105000</v>
      </c>
      <c r="K1279" s="2">
        <v>42074</v>
      </c>
      <c r="L1279" s="1">
        <v>35</v>
      </c>
      <c r="M1279" s="2">
        <v>42108</v>
      </c>
      <c r="N1279" s="1">
        <v>35</v>
      </c>
      <c r="O1279" s="2">
        <v>42108</v>
      </c>
      <c r="P1279" s="1">
        <v>25769</v>
      </c>
      <c r="Q1279" s="1" t="s">
        <v>197</v>
      </c>
      <c r="R1279" s="2">
        <v>42145</v>
      </c>
      <c r="S1279" s="1">
        <v>219393</v>
      </c>
      <c r="U1279" s="1">
        <v>2201</v>
      </c>
      <c r="V1279" s="1" t="s">
        <v>11407</v>
      </c>
      <c r="W1279" s="1" t="s">
        <v>425</v>
      </c>
      <c r="X1279" s="1" t="s">
        <v>12982</v>
      </c>
      <c r="Y1279" s="1" t="s">
        <v>12983</v>
      </c>
      <c r="Z1279" s="1" t="s">
        <v>249</v>
      </c>
      <c r="AA1279" s="1" t="s">
        <v>1927</v>
      </c>
      <c r="AB1279" s="1">
        <v>60148</v>
      </c>
      <c r="AC1279" s="1">
        <v>2099</v>
      </c>
      <c r="AD1279" s="1" t="s">
        <v>12984</v>
      </c>
      <c r="AE1279" s="1" t="s">
        <v>12985</v>
      </c>
      <c r="AF1279" s="1">
        <v>1969</v>
      </c>
      <c r="AG1279" s="1" t="s">
        <v>213</v>
      </c>
      <c r="AH1279" s="1" t="s">
        <v>1930</v>
      </c>
      <c r="AI1279" s="1" t="s">
        <v>206</v>
      </c>
      <c r="AJ1279" s="1" t="s">
        <v>1608</v>
      </c>
      <c r="AL1279" s="1">
        <v>5</v>
      </c>
      <c r="AM1279" s="1">
        <v>2</v>
      </c>
      <c r="AN1279" s="1">
        <v>2</v>
      </c>
      <c r="AO1279" s="1">
        <v>0</v>
      </c>
      <c r="AP1279" s="1" t="s">
        <v>209</v>
      </c>
      <c r="AQ1279" s="1">
        <v>0</v>
      </c>
      <c r="AR1279" s="1" t="s">
        <v>210</v>
      </c>
      <c r="AS1279" s="1" t="s">
        <v>204</v>
      </c>
      <c r="AT1279" s="1" t="s">
        <v>271</v>
      </c>
      <c r="AV1279" s="1">
        <v>1</v>
      </c>
      <c r="AW1279" s="1" t="s">
        <v>204</v>
      </c>
      <c r="AX1279" s="1" t="s">
        <v>212</v>
      </c>
      <c r="AZ1279" s="1">
        <v>1983</v>
      </c>
      <c r="BA1279" s="1">
        <v>2013</v>
      </c>
      <c r="BB1279" s="1" t="s">
        <v>405</v>
      </c>
      <c r="BE1279" s="1">
        <v>1170</v>
      </c>
      <c r="BF1279" s="1">
        <v>5</v>
      </c>
      <c r="BG1279" s="1">
        <v>0</v>
      </c>
      <c r="BL1279" s="1">
        <v>349</v>
      </c>
      <c r="BM1279" s="1" t="s">
        <v>204</v>
      </c>
      <c r="BN1279" s="1" t="s">
        <v>213</v>
      </c>
      <c r="BO1279" s="1">
        <v>30</v>
      </c>
      <c r="BP1279" s="1" t="s">
        <v>204</v>
      </c>
      <c r="BR1279" s="1" t="str">
        <f>"0629107053"</f>
        <v>0629107053</v>
      </c>
      <c r="BT1279" s="1" t="s">
        <v>12986</v>
      </c>
      <c r="BU1279" s="1" t="s">
        <v>12987</v>
      </c>
      <c r="BV1279" s="1" t="s">
        <v>1934</v>
      </c>
      <c r="BW1279" s="1" t="s">
        <v>217</v>
      </c>
      <c r="BX1279" s="1">
        <v>44</v>
      </c>
      <c r="BY1279" s="1">
        <v>44</v>
      </c>
      <c r="BZ1279" s="1">
        <v>87</v>
      </c>
      <c r="CB1279" s="1" t="str">
        <f t="shared" ref="CB1279:CC1279" si="984">"0"</f>
        <v>0</v>
      </c>
      <c r="CC1279" s="1" t="str">
        <f t="shared" si="984"/>
        <v>0</v>
      </c>
      <c r="CD1279" s="1">
        <v>19</v>
      </c>
      <c r="CE1279" s="1">
        <v>2</v>
      </c>
      <c r="CG1279" s="1" t="s">
        <v>228</v>
      </c>
      <c r="CH1279" s="1" t="s">
        <v>219</v>
      </c>
      <c r="CI1279" s="1" t="s">
        <v>220</v>
      </c>
      <c r="CJ1279" s="1" t="s">
        <v>343</v>
      </c>
      <c r="CK1279" s="1" t="s">
        <v>581</v>
      </c>
      <c r="CL1279" s="1" t="s">
        <v>219</v>
      </c>
      <c r="CM1279" s="1" t="s">
        <v>220</v>
      </c>
      <c r="CN1279" s="1" t="s">
        <v>343</v>
      </c>
      <c r="CO1279" s="1" t="s">
        <v>409</v>
      </c>
      <c r="CP1279" s="1" t="s">
        <v>219</v>
      </c>
      <c r="CQ1279" s="1" t="s">
        <v>220</v>
      </c>
      <c r="CR1279" s="1" t="s">
        <v>210</v>
      </c>
      <c r="CS1279" s="1" t="s">
        <v>757</v>
      </c>
      <c r="CT1279" s="1" t="s">
        <v>219</v>
      </c>
      <c r="CU1279" s="1" t="s">
        <v>220</v>
      </c>
      <c r="CV1279" s="1" t="s">
        <v>343</v>
      </c>
      <c r="CX1279" s="1" t="s">
        <v>224</v>
      </c>
      <c r="DB1279" s="1" t="s">
        <v>224</v>
      </c>
      <c r="DE1279" s="1" t="s">
        <v>318</v>
      </c>
      <c r="DF1279" s="1" t="s">
        <v>219</v>
      </c>
      <c r="DG1279" s="1" t="s">
        <v>347</v>
      </c>
      <c r="DH1279" s="1" t="s">
        <v>210</v>
      </c>
      <c r="DJ1279" s="1" t="s">
        <v>224</v>
      </c>
      <c r="DS1279" s="1" t="s">
        <v>230</v>
      </c>
      <c r="DW1279" s="1" t="s">
        <v>230</v>
      </c>
      <c r="EA1279" s="1" t="s">
        <v>230</v>
      </c>
      <c r="EE1279" s="1" t="s">
        <v>230</v>
      </c>
      <c r="EI1279" s="1" t="s">
        <v>230</v>
      </c>
      <c r="EL1279" s="1" t="s">
        <v>605</v>
      </c>
      <c r="EM1279" s="1" t="s">
        <v>319</v>
      </c>
      <c r="EN1279" s="1" t="s">
        <v>233</v>
      </c>
      <c r="EO1279" s="1" t="s">
        <v>234</v>
      </c>
      <c r="EP1279" s="1" t="s">
        <v>12988</v>
      </c>
      <c r="EQ1279" s="1" t="s">
        <v>350</v>
      </c>
      <c r="ER1279" s="1" t="s">
        <v>210</v>
      </c>
      <c r="ES1279" s="1" t="s">
        <v>545</v>
      </c>
      <c r="EU1279" s="1" t="s">
        <v>712</v>
      </c>
      <c r="EV1279" s="1" t="s">
        <v>324</v>
      </c>
      <c r="EW1279" s="1" t="s">
        <v>4662</v>
      </c>
      <c r="EY1279" s="1" t="s">
        <v>242</v>
      </c>
      <c r="EZ1279" s="1" t="s">
        <v>287</v>
      </c>
      <c r="FA1279" s="1" t="s">
        <v>6239</v>
      </c>
      <c r="FB1279" s="1" t="s">
        <v>289</v>
      </c>
      <c r="FC1279" s="1" t="s">
        <v>633</v>
      </c>
      <c r="FD1279" s="1" t="s">
        <v>12989</v>
      </c>
      <c r="FE1279" s="1" t="s">
        <v>12990</v>
      </c>
      <c r="FF1279" s="1" t="s">
        <v>248</v>
      </c>
      <c r="FH1279" s="1" t="s">
        <v>1942</v>
      </c>
      <c r="FJ1279" s="1" t="s">
        <v>197</v>
      </c>
      <c r="FK1279" s="1" t="s">
        <v>1757</v>
      </c>
      <c r="FL1279" s="1" t="s">
        <v>6699</v>
      </c>
      <c r="FM1279" s="1" t="s">
        <v>252</v>
      </c>
      <c r="FN1279" s="1" t="s">
        <v>213</v>
      </c>
      <c r="FO1279" s="1" t="s">
        <v>213</v>
      </c>
      <c r="FQ1279" s="1" t="s">
        <v>569</v>
      </c>
      <c r="FR1279" s="1" t="s">
        <v>210</v>
      </c>
      <c r="FS1279" s="1" t="s">
        <v>12991</v>
      </c>
      <c r="FT1279" s="1" t="s">
        <v>362</v>
      </c>
      <c r="FU1279" s="1" t="s">
        <v>204</v>
      </c>
      <c r="FW1279" s="1" t="s">
        <v>1559</v>
      </c>
      <c r="FX1279" s="1">
        <v>25083</v>
      </c>
      <c r="FY1279" s="1" t="s">
        <v>4110</v>
      </c>
      <c r="FZ1279" s="1" t="s">
        <v>12992</v>
      </c>
      <c r="GA1279" s="1">
        <v>222208</v>
      </c>
      <c r="GB1279" s="1" t="s">
        <v>12993</v>
      </c>
      <c r="GC1279" s="1">
        <v>240677</v>
      </c>
      <c r="GD1279" s="1" t="s">
        <v>12994</v>
      </c>
      <c r="GE1279" s="1" t="s">
        <v>4021</v>
      </c>
      <c r="GH1279" s="1" t="s">
        <v>421</v>
      </c>
      <c r="GI1279" s="1" t="s">
        <v>213</v>
      </c>
      <c r="GJ1279" s="1" t="s">
        <v>260</v>
      </c>
      <c r="GK1279" s="1" t="s">
        <v>210</v>
      </c>
      <c r="GL1279" s="2">
        <v>42146</v>
      </c>
      <c r="GM1279" s="1" t="s">
        <v>12995</v>
      </c>
    </row>
    <row r="1280" spans="1:195">
      <c r="A1280" s="1">
        <v>154500</v>
      </c>
      <c r="B1280" s="1" t="s">
        <v>195</v>
      </c>
      <c r="C1280" s="1" t="str">
        <f>"08861327"</f>
        <v>08861327</v>
      </c>
      <c r="D1280" s="1" t="s">
        <v>196</v>
      </c>
      <c r="F1280" s="1" t="str">
        <f>"562"</f>
        <v>562</v>
      </c>
      <c r="G1280" s="2">
        <v>42076</v>
      </c>
      <c r="H1280" s="1">
        <v>155000</v>
      </c>
      <c r="I1280" s="1">
        <v>155000</v>
      </c>
      <c r="J1280" s="1">
        <v>154500</v>
      </c>
      <c r="K1280" s="2">
        <v>42076</v>
      </c>
      <c r="L1280" s="1">
        <v>7</v>
      </c>
      <c r="M1280" s="2">
        <v>42082</v>
      </c>
      <c r="N1280" s="1">
        <v>7</v>
      </c>
      <c r="O1280" s="2">
        <v>42082</v>
      </c>
      <c r="P1280" s="1">
        <v>23156</v>
      </c>
      <c r="Q1280" s="1" t="s">
        <v>197</v>
      </c>
      <c r="R1280" s="2">
        <v>42139</v>
      </c>
      <c r="S1280" s="1">
        <v>270983</v>
      </c>
      <c r="U1280" s="1">
        <v>7821</v>
      </c>
      <c r="V1280" s="1" t="s">
        <v>3092</v>
      </c>
      <c r="W1280" s="1" t="s">
        <v>264</v>
      </c>
      <c r="Y1280" s="1">
        <v>6</v>
      </c>
      <c r="Z1280" s="1" t="s">
        <v>370</v>
      </c>
      <c r="AA1280" s="1" t="s">
        <v>899</v>
      </c>
      <c r="AB1280" s="1">
        <v>60561</v>
      </c>
      <c r="AD1280" s="1" t="s">
        <v>3093</v>
      </c>
      <c r="AE1280" s="1" t="s">
        <v>12996</v>
      </c>
      <c r="AF1280" s="1">
        <v>1987</v>
      </c>
      <c r="AG1280" s="1" t="s">
        <v>204</v>
      </c>
      <c r="AH1280" s="1" t="s">
        <v>902</v>
      </c>
      <c r="AI1280" s="1" t="s">
        <v>206</v>
      </c>
      <c r="AJ1280" s="1" t="s">
        <v>903</v>
      </c>
      <c r="AL1280" s="1">
        <v>4</v>
      </c>
      <c r="AM1280" s="1">
        <v>2</v>
      </c>
      <c r="AN1280" s="1">
        <v>2</v>
      </c>
      <c r="AO1280" s="1">
        <v>1</v>
      </c>
      <c r="AP1280" s="1" t="s">
        <v>209</v>
      </c>
      <c r="AQ1280" s="1">
        <v>1</v>
      </c>
      <c r="AR1280" s="1" t="s">
        <v>210</v>
      </c>
      <c r="AS1280" s="1" t="s">
        <v>204</v>
      </c>
      <c r="AT1280" s="1" t="s">
        <v>211</v>
      </c>
      <c r="AU1280" s="1">
        <v>1</v>
      </c>
      <c r="AW1280" s="1" t="s">
        <v>204</v>
      </c>
      <c r="AX1280" s="1" t="s">
        <v>12682</v>
      </c>
      <c r="AZ1280" s="1">
        <v>1964</v>
      </c>
      <c r="BA1280" s="1">
        <v>2013</v>
      </c>
      <c r="BB1280" s="1" t="s">
        <v>3996</v>
      </c>
      <c r="BE1280" s="1">
        <v>1086</v>
      </c>
      <c r="BF1280" s="1">
        <v>1</v>
      </c>
      <c r="BG1280" s="1">
        <v>7</v>
      </c>
      <c r="BL1280" s="1">
        <v>178</v>
      </c>
      <c r="BM1280" s="1" t="s">
        <v>413</v>
      </c>
      <c r="BN1280" s="1" t="s">
        <v>213</v>
      </c>
      <c r="BO1280" s="1">
        <v>999</v>
      </c>
      <c r="BP1280" s="1" t="s">
        <v>204</v>
      </c>
      <c r="BR1280" s="1" t="str">
        <f>"0928406103"</f>
        <v>0928406103</v>
      </c>
      <c r="BT1280" s="1" t="s">
        <v>12997</v>
      </c>
      <c r="BU1280" s="1" t="s">
        <v>3998</v>
      </c>
      <c r="BV1280" s="1" t="s">
        <v>3999</v>
      </c>
      <c r="BW1280" s="1" t="s">
        <v>3099</v>
      </c>
      <c r="BX1280" s="1">
        <v>66</v>
      </c>
      <c r="BY1280" s="1">
        <v>66</v>
      </c>
      <c r="BZ1280" s="1">
        <v>99</v>
      </c>
      <c r="CB1280" s="1" t="str">
        <f t="shared" ref="CB1280:CC1280" si="985">"0"</f>
        <v>0</v>
      </c>
      <c r="CC1280" s="1" t="str">
        <f t="shared" si="985"/>
        <v>0</v>
      </c>
      <c r="CD1280" s="1">
        <v>18</v>
      </c>
      <c r="CE1280" s="1">
        <v>9</v>
      </c>
      <c r="CG1280" s="1" t="s">
        <v>1267</v>
      </c>
      <c r="CH1280" s="1" t="s">
        <v>219</v>
      </c>
      <c r="CI1280" s="1" t="s">
        <v>220</v>
      </c>
      <c r="CJ1280" s="1" t="s">
        <v>463</v>
      </c>
      <c r="CK1280" s="1" t="s">
        <v>539</v>
      </c>
      <c r="CL1280" s="1" t="s">
        <v>277</v>
      </c>
      <c r="CM1280" s="1" t="s">
        <v>220</v>
      </c>
      <c r="CN1280" s="1" t="s">
        <v>343</v>
      </c>
      <c r="CP1280" s="1" t="s">
        <v>224</v>
      </c>
      <c r="CS1280" s="1" t="s">
        <v>1297</v>
      </c>
      <c r="CT1280" s="1" t="s">
        <v>277</v>
      </c>
      <c r="CU1280" s="1" t="s">
        <v>220</v>
      </c>
      <c r="CV1280" s="1" t="s">
        <v>343</v>
      </c>
      <c r="CX1280" s="1" t="s">
        <v>224</v>
      </c>
      <c r="DB1280" s="1" t="s">
        <v>224</v>
      </c>
      <c r="DE1280" s="1" t="s">
        <v>516</v>
      </c>
      <c r="DF1280" s="1" t="s">
        <v>219</v>
      </c>
      <c r="DG1280" s="1" t="s">
        <v>229</v>
      </c>
      <c r="DJ1280" s="1" t="s">
        <v>224</v>
      </c>
      <c r="DS1280" s="1" t="s">
        <v>230</v>
      </c>
      <c r="DW1280" s="1" t="s">
        <v>230</v>
      </c>
      <c r="EA1280" s="1" t="s">
        <v>230</v>
      </c>
      <c r="EE1280" s="1" t="s">
        <v>230</v>
      </c>
      <c r="EI1280" s="1" t="s">
        <v>230</v>
      </c>
      <c r="EL1280" s="1" t="s">
        <v>542</v>
      </c>
      <c r="EM1280" s="1" t="s">
        <v>319</v>
      </c>
      <c r="EN1280" s="1" t="s">
        <v>282</v>
      </c>
      <c r="EO1280" s="1" t="s">
        <v>234</v>
      </c>
      <c r="EP1280" s="1" t="s">
        <v>9355</v>
      </c>
      <c r="EQ1280" s="1" t="s">
        <v>468</v>
      </c>
      <c r="ER1280" s="1" t="s">
        <v>383</v>
      </c>
      <c r="ES1280" s="1" t="s">
        <v>545</v>
      </c>
      <c r="EV1280" s="1" t="s">
        <v>240</v>
      </c>
      <c r="EW1280" s="1" t="s">
        <v>4959</v>
      </c>
      <c r="EY1280" s="1" t="s">
        <v>242</v>
      </c>
      <c r="EZ1280" s="1" t="s">
        <v>287</v>
      </c>
      <c r="FA1280" s="1" t="s">
        <v>672</v>
      </c>
      <c r="FB1280" s="1" t="s">
        <v>289</v>
      </c>
      <c r="FC1280" s="1" t="s">
        <v>1405</v>
      </c>
      <c r="FD1280" s="1" t="s">
        <v>246</v>
      </c>
      <c r="FE1280" s="1" t="s">
        <v>12998</v>
      </c>
      <c r="FF1280" s="1" t="s">
        <v>248</v>
      </c>
      <c r="FG1280" s="1" t="s">
        <v>912</v>
      </c>
      <c r="FH1280" s="1" t="s">
        <v>550</v>
      </c>
      <c r="FI1280" s="1" t="s">
        <v>473</v>
      </c>
      <c r="FL1280" s="1" t="s">
        <v>358</v>
      </c>
      <c r="FM1280" s="1" t="s">
        <v>252</v>
      </c>
      <c r="FN1280" s="1" t="s">
        <v>213</v>
      </c>
      <c r="FO1280" s="1" t="s">
        <v>213</v>
      </c>
      <c r="FQ1280" s="1" t="s">
        <v>3977</v>
      </c>
      <c r="FR1280" s="1" t="s">
        <v>210</v>
      </c>
      <c r="FS1280" s="1" t="s">
        <v>12999</v>
      </c>
      <c r="FT1280" s="1" t="s">
        <v>362</v>
      </c>
      <c r="FU1280" s="1" t="s">
        <v>204</v>
      </c>
      <c r="FW1280" s="1" t="s">
        <v>1961</v>
      </c>
      <c r="FX1280" s="1">
        <v>20150</v>
      </c>
      <c r="FY1280" s="1" t="s">
        <v>1962</v>
      </c>
      <c r="FZ1280" s="1" t="s">
        <v>3979</v>
      </c>
      <c r="GA1280" s="1">
        <v>212118</v>
      </c>
      <c r="GB1280" s="1" t="s">
        <v>3980</v>
      </c>
      <c r="GD1280" s="1" t="s">
        <v>3981</v>
      </c>
      <c r="GE1280" s="1" t="s">
        <v>210</v>
      </c>
      <c r="GI1280" s="1" t="s">
        <v>213</v>
      </c>
      <c r="GJ1280" s="1" t="s">
        <v>260</v>
      </c>
      <c r="GK1280" s="1" t="s">
        <v>261</v>
      </c>
      <c r="GL1280" s="2">
        <v>42139</v>
      </c>
      <c r="GM1280" s="1" t="s">
        <v>13000</v>
      </c>
    </row>
    <row r="1281" spans="1:195">
      <c r="A1281" s="1">
        <v>82500</v>
      </c>
      <c r="B1281" s="1" t="s">
        <v>195</v>
      </c>
      <c r="C1281" s="1" t="str">
        <f>"08860977"</f>
        <v>08860977</v>
      </c>
      <c r="D1281" s="1" t="s">
        <v>196</v>
      </c>
      <c r="F1281" s="1" t="str">
        <f>"515"</f>
        <v>515</v>
      </c>
      <c r="G1281" s="2">
        <v>42076</v>
      </c>
      <c r="H1281" s="1">
        <v>99000</v>
      </c>
      <c r="I1281" s="1">
        <v>99000</v>
      </c>
      <c r="J1281" s="1">
        <v>82500</v>
      </c>
      <c r="K1281" s="2">
        <v>42076</v>
      </c>
      <c r="L1281" s="1">
        <v>1</v>
      </c>
      <c r="M1281" s="2">
        <v>42076</v>
      </c>
      <c r="N1281" s="1">
        <v>1</v>
      </c>
      <c r="O1281" s="2">
        <v>42076</v>
      </c>
      <c r="P1281" s="1">
        <v>23099</v>
      </c>
      <c r="Q1281" s="1" t="s">
        <v>197</v>
      </c>
      <c r="R1281" s="2">
        <v>42115</v>
      </c>
      <c r="S1281" s="1">
        <v>224937</v>
      </c>
      <c r="U1281" s="1">
        <v>7309</v>
      </c>
      <c r="V1281" s="1" t="s">
        <v>9128</v>
      </c>
      <c r="W1281" s="1" t="s">
        <v>3006</v>
      </c>
      <c r="X1281" s="1">
        <v>2</v>
      </c>
      <c r="Y1281" s="1">
        <v>2</v>
      </c>
      <c r="Z1281" s="1" t="s">
        <v>249</v>
      </c>
      <c r="AA1281" s="1" t="s">
        <v>1294</v>
      </c>
      <c r="AB1281" s="1">
        <v>60516</v>
      </c>
      <c r="AD1281" s="1" t="s">
        <v>13001</v>
      </c>
      <c r="AE1281" s="1" t="s">
        <v>13002</v>
      </c>
      <c r="AF1281" s="1">
        <v>1970</v>
      </c>
      <c r="AG1281" s="1" t="s">
        <v>213</v>
      </c>
      <c r="AH1281" s="1" t="s">
        <v>903</v>
      </c>
      <c r="AI1281" s="1" t="s">
        <v>206</v>
      </c>
      <c r="AJ1281" s="1" t="s">
        <v>903</v>
      </c>
      <c r="AL1281" s="1">
        <v>4</v>
      </c>
      <c r="AM1281" s="1">
        <v>2</v>
      </c>
      <c r="AN1281" s="1">
        <v>1</v>
      </c>
      <c r="AO1281" s="1">
        <v>1</v>
      </c>
      <c r="AP1281" s="1" t="s">
        <v>210</v>
      </c>
      <c r="AR1281" s="1" t="s">
        <v>210</v>
      </c>
      <c r="AS1281" s="1" t="s">
        <v>204</v>
      </c>
      <c r="AT1281" s="1" t="s">
        <v>271</v>
      </c>
      <c r="AV1281" s="1">
        <v>2</v>
      </c>
      <c r="AW1281" s="1" t="s">
        <v>204</v>
      </c>
      <c r="AX1281" s="1" t="s">
        <v>212</v>
      </c>
      <c r="AZ1281" s="1">
        <v>1721</v>
      </c>
      <c r="BA1281" s="1">
        <v>2013</v>
      </c>
      <c r="BE1281" s="1">
        <v>952</v>
      </c>
      <c r="BF1281" s="1">
        <v>1</v>
      </c>
      <c r="BG1281" s="1">
        <v>30</v>
      </c>
      <c r="BL1281" s="1">
        <v>243</v>
      </c>
      <c r="BM1281" s="1" t="s">
        <v>204</v>
      </c>
      <c r="BN1281" s="1" t="s">
        <v>213</v>
      </c>
      <c r="BO1281" s="1">
        <v>50</v>
      </c>
      <c r="BP1281" s="1" t="s">
        <v>204</v>
      </c>
      <c r="BR1281" s="1" t="str">
        <f>"0929202011"</f>
        <v>0929202011</v>
      </c>
      <c r="BT1281" s="1" t="s">
        <v>13003</v>
      </c>
      <c r="BW1281" s="1" t="s">
        <v>3099</v>
      </c>
      <c r="BX1281" s="1">
        <v>61</v>
      </c>
      <c r="BY1281" s="1">
        <v>61</v>
      </c>
      <c r="BZ1281" s="1">
        <v>99</v>
      </c>
      <c r="CB1281" s="1" t="str">
        <f t="shared" ref="CB1281:CC1281" si="986">""</f>
        <v/>
      </c>
      <c r="CC1281" s="1" t="str">
        <f t="shared" si="986"/>
        <v/>
      </c>
      <c r="CD1281" s="1">
        <v>19</v>
      </c>
      <c r="CE1281" s="1">
        <v>8</v>
      </c>
      <c r="CG1281" s="1" t="s">
        <v>315</v>
      </c>
      <c r="CH1281" s="1" t="s">
        <v>219</v>
      </c>
      <c r="CI1281" s="1" t="s">
        <v>220</v>
      </c>
      <c r="CK1281" s="1" t="s">
        <v>378</v>
      </c>
      <c r="CL1281" s="1" t="s">
        <v>277</v>
      </c>
      <c r="CM1281" s="1" t="s">
        <v>220</v>
      </c>
      <c r="CP1281" s="1" t="s">
        <v>224</v>
      </c>
      <c r="CS1281" s="1" t="s">
        <v>951</v>
      </c>
      <c r="CT1281" s="1" t="s">
        <v>277</v>
      </c>
      <c r="CU1281" s="1" t="s">
        <v>220</v>
      </c>
      <c r="CX1281" s="1" t="s">
        <v>224</v>
      </c>
      <c r="DB1281" s="1" t="s">
        <v>224</v>
      </c>
      <c r="DE1281" s="1" t="s">
        <v>11368</v>
      </c>
      <c r="DF1281" s="1" t="s">
        <v>219</v>
      </c>
      <c r="DG1281" s="1" t="s">
        <v>226</v>
      </c>
      <c r="DJ1281" s="1" t="s">
        <v>224</v>
      </c>
      <c r="DS1281" s="1" t="s">
        <v>230</v>
      </c>
      <c r="DW1281" s="1" t="s">
        <v>230</v>
      </c>
      <c r="EA1281" s="1" t="s">
        <v>230</v>
      </c>
      <c r="EE1281" s="1" t="s">
        <v>230</v>
      </c>
      <c r="EI1281" s="1" t="s">
        <v>230</v>
      </c>
      <c r="EL1281" s="1" t="s">
        <v>605</v>
      </c>
      <c r="EM1281" s="1" t="s">
        <v>232</v>
      </c>
      <c r="EN1281" s="1" t="s">
        <v>282</v>
      </c>
      <c r="EO1281" s="1" t="s">
        <v>234</v>
      </c>
      <c r="ER1281" s="1" t="s">
        <v>210</v>
      </c>
      <c r="EW1281" s="1" t="s">
        <v>1940</v>
      </c>
      <c r="EZ1281" s="1" t="s">
        <v>287</v>
      </c>
      <c r="FD1281" s="1" t="s">
        <v>246</v>
      </c>
      <c r="FE1281" s="1" t="s">
        <v>247</v>
      </c>
      <c r="FF1281" s="1" t="s">
        <v>248</v>
      </c>
      <c r="FH1281" s="1" t="s">
        <v>249</v>
      </c>
      <c r="FL1281" s="1" t="s">
        <v>358</v>
      </c>
      <c r="FM1281" s="1" t="s">
        <v>252</v>
      </c>
      <c r="FN1281" s="1" t="s">
        <v>213</v>
      </c>
      <c r="FO1281" s="1" t="s">
        <v>213</v>
      </c>
      <c r="FQ1281" s="1" t="s">
        <v>12810</v>
      </c>
      <c r="FR1281" s="1" t="s">
        <v>210</v>
      </c>
      <c r="FS1281" s="1" t="s">
        <v>13003</v>
      </c>
      <c r="FT1281" s="1" t="s">
        <v>295</v>
      </c>
      <c r="FU1281" s="1" t="s">
        <v>204</v>
      </c>
      <c r="FV1281" s="1" t="s">
        <v>295</v>
      </c>
      <c r="FW1281" s="1" t="s">
        <v>5648</v>
      </c>
      <c r="FX1281" s="1">
        <v>23099</v>
      </c>
      <c r="FY1281" s="1" t="s">
        <v>5649</v>
      </c>
      <c r="FZ1281" s="1" t="s">
        <v>13004</v>
      </c>
      <c r="GA1281" s="1">
        <v>224937</v>
      </c>
      <c r="GB1281" s="1" t="s">
        <v>13005</v>
      </c>
      <c r="GD1281" s="1" t="s">
        <v>13006</v>
      </c>
      <c r="GE1281" s="1" t="s">
        <v>210</v>
      </c>
      <c r="GI1281" s="1" t="s">
        <v>213</v>
      </c>
      <c r="GJ1281" s="1" t="s">
        <v>260</v>
      </c>
      <c r="GK1281" s="1" t="s">
        <v>210</v>
      </c>
      <c r="GL1281" s="2">
        <v>42116</v>
      </c>
    </row>
    <row r="1282" spans="1:195">
      <c r="A1282" s="1">
        <v>150000</v>
      </c>
      <c r="B1282" s="1" t="s">
        <v>195</v>
      </c>
      <c r="C1282" s="1" t="str">
        <f>"08861598"</f>
        <v>08861598</v>
      </c>
      <c r="D1282" s="1" t="s">
        <v>196</v>
      </c>
      <c r="F1282" s="1" t="str">
        <f>"177"</f>
        <v>177</v>
      </c>
      <c r="G1282" s="2">
        <v>42077</v>
      </c>
      <c r="H1282" s="1">
        <v>155000</v>
      </c>
      <c r="I1282" s="1">
        <v>155000</v>
      </c>
      <c r="J1282" s="1">
        <v>150000</v>
      </c>
      <c r="K1282" s="2">
        <v>42077</v>
      </c>
      <c r="L1282" s="1">
        <v>3</v>
      </c>
      <c r="M1282" s="2">
        <v>42079</v>
      </c>
      <c r="N1282" s="1">
        <v>3</v>
      </c>
      <c r="O1282" s="2">
        <v>42079</v>
      </c>
      <c r="P1282" s="1">
        <v>8970</v>
      </c>
      <c r="Q1282" s="1" t="s">
        <v>197</v>
      </c>
      <c r="R1282" s="2">
        <v>42104</v>
      </c>
      <c r="S1282" s="1">
        <v>85142</v>
      </c>
      <c r="U1282" s="1">
        <v>246</v>
      </c>
      <c r="V1282" s="1" t="s">
        <v>8218</v>
      </c>
      <c r="W1282" s="1" t="s">
        <v>264</v>
      </c>
      <c r="X1282" s="1" t="s">
        <v>527</v>
      </c>
      <c r="Y1282" s="1">
        <v>6</v>
      </c>
      <c r="Z1282" s="1" t="s">
        <v>249</v>
      </c>
      <c r="AA1282" s="1" t="s">
        <v>1461</v>
      </c>
      <c r="AB1282" s="1">
        <v>60177</v>
      </c>
      <c r="AD1282" s="1" t="s">
        <v>10678</v>
      </c>
      <c r="AE1282" s="1" t="s">
        <v>13007</v>
      </c>
      <c r="AF1282" s="1">
        <v>2000</v>
      </c>
      <c r="AG1282" s="1" t="s">
        <v>204</v>
      </c>
      <c r="AH1282" s="1" t="s">
        <v>1464</v>
      </c>
      <c r="AI1282" s="1" t="s">
        <v>665</v>
      </c>
      <c r="AJ1282" s="1" t="s">
        <v>1175</v>
      </c>
      <c r="AK1282" s="1" t="s">
        <v>3261</v>
      </c>
      <c r="AL1282" s="1">
        <v>5</v>
      </c>
      <c r="AM1282" s="1">
        <v>2</v>
      </c>
      <c r="AN1282" s="1">
        <v>2</v>
      </c>
      <c r="AO1282" s="1">
        <v>0</v>
      </c>
      <c r="AP1282" s="1" t="s">
        <v>209</v>
      </c>
      <c r="AQ1282" s="1">
        <v>0</v>
      </c>
      <c r="AR1282" s="1" t="s">
        <v>210</v>
      </c>
      <c r="AS1282" s="1" t="s">
        <v>204</v>
      </c>
      <c r="AT1282" s="1" t="s">
        <v>211</v>
      </c>
      <c r="AU1282" s="1">
        <v>2</v>
      </c>
      <c r="AW1282" s="1" t="s">
        <v>204</v>
      </c>
      <c r="AX1282" s="1" t="s">
        <v>212</v>
      </c>
      <c r="AZ1282" s="1">
        <v>2817.92</v>
      </c>
      <c r="BA1282" s="1">
        <v>2013</v>
      </c>
      <c r="BB1282" s="1" t="s">
        <v>210</v>
      </c>
      <c r="BC1282" s="1">
        <v>0</v>
      </c>
      <c r="BD1282" s="1">
        <v>2011</v>
      </c>
      <c r="BE1282" s="1">
        <v>1235</v>
      </c>
      <c r="BF1282" s="1">
        <v>1</v>
      </c>
      <c r="BG1282" s="1">
        <v>10</v>
      </c>
      <c r="BL1282" s="1">
        <v>145</v>
      </c>
      <c r="BM1282" s="1" t="s">
        <v>204</v>
      </c>
      <c r="BN1282" s="1" t="s">
        <v>213</v>
      </c>
      <c r="BO1282" s="1">
        <v>0</v>
      </c>
      <c r="BP1282" s="1" t="s">
        <v>204</v>
      </c>
      <c r="BR1282" s="1" t="str">
        <f>"0632329092"</f>
        <v>0632329092</v>
      </c>
      <c r="BT1282" s="1" t="s">
        <v>13008</v>
      </c>
      <c r="BU1282" s="1" t="s">
        <v>8222</v>
      </c>
      <c r="BW1282" s="1" t="s">
        <v>4719</v>
      </c>
      <c r="BX1282" s="1">
        <v>303</v>
      </c>
      <c r="BY1282" s="1">
        <v>303</v>
      </c>
      <c r="BZ1282" s="1">
        <v>303</v>
      </c>
      <c r="CB1282" s="1" t="str">
        <f>"8"</f>
        <v>8</v>
      </c>
      <c r="CC1282" s="1" t="str">
        <f t="shared" ref="CC1282:CC1283" si="987">"0"</f>
        <v>0</v>
      </c>
      <c r="CD1282" s="1">
        <v>37</v>
      </c>
      <c r="CE1282" s="1">
        <v>0</v>
      </c>
      <c r="CG1282" s="1" t="s">
        <v>669</v>
      </c>
      <c r="CH1282" s="1" t="s">
        <v>219</v>
      </c>
      <c r="CI1282" s="1" t="s">
        <v>229</v>
      </c>
      <c r="CJ1282" s="1" t="s">
        <v>252</v>
      </c>
      <c r="CK1282" s="1" t="s">
        <v>932</v>
      </c>
      <c r="CL1282" s="1" t="s">
        <v>219</v>
      </c>
      <c r="CM1282" s="1" t="s">
        <v>220</v>
      </c>
      <c r="CN1282" s="1" t="s">
        <v>252</v>
      </c>
      <c r="CO1282" s="1" t="s">
        <v>3264</v>
      </c>
      <c r="CP1282" s="1" t="s">
        <v>219</v>
      </c>
      <c r="CQ1282" s="1" t="s">
        <v>229</v>
      </c>
      <c r="CR1282" s="1" t="s">
        <v>252</v>
      </c>
      <c r="CS1282" s="1" t="s">
        <v>346</v>
      </c>
      <c r="CT1282" s="1" t="s">
        <v>219</v>
      </c>
      <c r="CU1282" s="1" t="s">
        <v>220</v>
      </c>
      <c r="CV1282" s="1" t="s">
        <v>252</v>
      </c>
      <c r="CX1282" s="1" t="s">
        <v>224</v>
      </c>
      <c r="DB1282" s="1" t="s">
        <v>224</v>
      </c>
      <c r="DE1282" s="1" t="s">
        <v>221</v>
      </c>
      <c r="DF1282" s="1" t="s">
        <v>219</v>
      </c>
      <c r="DG1282" s="1" t="s">
        <v>229</v>
      </c>
      <c r="DH1282" s="1" t="s">
        <v>210</v>
      </c>
      <c r="DJ1282" s="1" t="s">
        <v>224</v>
      </c>
      <c r="DS1282" s="1" t="s">
        <v>230</v>
      </c>
      <c r="DW1282" s="1" t="s">
        <v>230</v>
      </c>
      <c r="EA1282" s="1" t="s">
        <v>230</v>
      </c>
      <c r="EE1282" s="1" t="s">
        <v>230</v>
      </c>
      <c r="EI1282" s="1" t="s">
        <v>230</v>
      </c>
      <c r="EL1282" s="1" t="s">
        <v>466</v>
      </c>
      <c r="EM1282" s="1" t="s">
        <v>319</v>
      </c>
      <c r="EN1282" s="1" t="s">
        <v>282</v>
      </c>
      <c r="EO1282" s="1" t="s">
        <v>234</v>
      </c>
      <c r="EP1282" s="1" t="s">
        <v>10095</v>
      </c>
      <c r="EQ1282" s="1" t="s">
        <v>350</v>
      </c>
      <c r="ER1282" s="1" t="s">
        <v>210</v>
      </c>
      <c r="ES1282" s="1" t="s">
        <v>469</v>
      </c>
      <c r="EU1282" s="1" t="s">
        <v>239</v>
      </c>
      <c r="EV1282" s="1" t="s">
        <v>324</v>
      </c>
      <c r="EW1282" s="1" t="s">
        <v>3255</v>
      </c>
      <c r="EZ1282" s="1" t="s">
        <v>287</v>
      </c>
      <c r="FA1282" s="1" t="s">
        <v>672</v>
      </c>
      <c r="FB1282" s="1" t="s">
        <v>289</v>
      </c>
      <c r="FD1282" s="1" t="s">
        <v>246</v>
      </c>
      <c r="FE1282" s="1" t="s">
        <v>975</v>
      </c>
      <c r="FF1282" s="1" t="s">
        <v>3574</v>
      </c>
      <c r="FH1282" s="1" t="s">
        <v>825</v>
      </c>
      <c r="FI1282" s="1" t="s">
        <v>473</v>
      </c>
      <c r="FL1282" s="1" t="s">
        <v>358</v>
      </c>
      <c r="FM1282" s="1" t="s">
        <v>252</v>
      </c>
      <c r="FN1282" s="1" t="s">
        <v>213</v>
      </c>
      <c r="FO1282" s="1" t="s">
        <v>213</v>
      </c>
      <c r="FQ1282" s="1" t="s">
        <v>1473</v>
      </c>
      <c r="FR1282" s="1" t="s">
        <v>210</v>
      </c>
      <c r="FS1282" s="1" t="s">
        <v>13009</v>
      </c>
      <c r="FT1282" s="1" t="s">
        <v>295</v>
      </c>
      <c r="FU1282" s="1" t="s">
        <v>204</v>
      </c>
      <c r="FV1282" s="1" t="s">
        <v>13010</v>
      </c>
      <c r="FW1282" s="1" t="s">
        <v>256</v>
      </c>
      <c r="FX1282" s="1">
        <v>25244</v>
      </c>
      <c r="FY1282" s="1" t="s">
        <v>1365</v>
      </c>
      <c r="FZ1282" s="1" t="s">
        <v>13011</v>
      </c>
      <c r="GA1282" s="1">
        <v>227650</v>
      </c>
      <c r="GB1282" s="1" t="s">
        <v>13012</v>
      </c>
      <c r="GE1282" s="1" t="s">
        <v>480</v>
      </c>
      <c r="GI1282" s="1" t="s">
        <v>213</v>
      </c>
      <c r="GJ1282" s="1" t="s">
        <v>260</v>
      </c>
      <c r="GK1282" s="1" t="s">
        <v>261</v>
      </c>
      <c r="GL1282" s="2">
        <v>42107</v>
      </c>
      <c r="GM1282" s="1" t="s">
        <v>13013</v>
      </c>
    </row>
    <row r="1283" spans="1:195">
      <c r="A1283" s="1">
        <v>70000</v>
      </c>
      <c r="B1283" s="1" t="s">
        <v>195</v>
      </c>
      <c r="C1283" s="1" t="str">
        <f>"08862618"</f>
        <v>08862618</v>
      </c>
      <c r="D1283" s="1" t="s">
        <v>196</v>
      </c>
      <c r="F1283" s="1" t="str">
        <f>"107"</f>
        <v>107</v>
      </c>
      <c r="G1283" s="2">
        <v>42079</v>
      </c>
      <c r="H1283" s="1">
        <v>73500</v>
      </c>
      <c r="I1283" s="1">
        <v>73500</v>
      </c>
      <c r="J1283" s="1">
        <v>70000</v>
      </c>
      <c r="K1283" s="2">
        <v>42079</v>
      </c>
      <c r="L1283" s="1">
        <v>38</v>
      </c>
      <c r="M1283" s="2">
        <v>42116</v>
      </c>
      <c r="N1283" s="1">
        <v>38</v>
      </c>
      <c r="O1283" s="2">
        <v>42116</v>
      </c>
      <c r="P1283" s="1">
        <v>466</v>
      </c>
      <c r="Q1283" s="1" t="s">
        <v>302</v>
      </c>
      <c r="R1283" s="2">
        <v>42124</v>
      </c>
      <c r="S1283" s="1">
        <v>563</v>
      </c>
      <c r="U1283" s="1">
        <v>952</v>
      </c>
      <c r="V1283" s="1" t="s">
        <v>13014</v>
      </c>
      <c r="W1283" s="1" t="s">
        <v>425</v>
      </c>
      <c r="X1283" s="1">
        <v>952</v>
      </c>
      <c r="Y1283" s="1">
        <v>4</v>
      </c>
      <c r="Z1283" s="1" t="s">
        <v>370</v>
      </c>
      <c r="AA1283" s="1" t="s">
        <v>1211</v>
      </c>
      <c r="AB1283" s="1">
        <v>60107</v>
      </c>
      <c r="AD1283" s="1" t="s">
        <v>6959</v>
      </c>
      <c r="AE1283" s="1" t="s">
        <v>13015</v>
      </c>
      <c r="AF1283" s="1">
        <v>1973</v>
      </c>
      <c r="AG1283" s="1" t="s">
        <v>213</v>
      </c>
      <c r="AH1283" s="1" t="s">
        <v>1214</v>
      </c>
      <c r="AI1283" s="1" t="s">
        <v>310</v>
      </c>
      <c r="AJ1283" s="1" t="s">
        <v>374</v>
      </c>
      <c r="AL1283" s="1">
        <v>4</v>
      </c>
      <c r="AM1283" s="1">
        <v>2</v>
      </c>
      <c r="AN1283" s="1">
        <v>1</v>
      </c>
      <c r="AO1283" s="1">
        <v>1</v>
      </c>
      <c r="AP1283" s="1" t="s">
        <v>210</v>
      </c>
      <c r="AR1283" s="1" t="s">
        <v>210</v>
      </c>
      <c r="AS1283" s="1" t="s">
        <v>204</v>
      </c>
      <c r="AT1283" s="1" t="s">
        <v>271</v>
      </c>
      <c r="AV1283" s="1">
        <v>2</v>
      </c>
      <c r="AW1283" s="1" t="s">
        <v>204</v>
      </c>
      <c r="AX1283" s="1" t="s">
        <v>212</v>
      </c>
      <c r="AZ1283" s="1">
        <v>3537</v>
      </c>
      <c r="BA1283" s="1">
        <v>2013</v>
      </c>
      <c r="BE1283" s="1">
        <v>1000</v>
      </c>
      <c r="BF1283" s="1">
        <v>1</v>
      </c>
      <c r="BG1283" s="1">
        <v>0</v>
      </c>
      <c r="BL1283" s="1">
        <v>165</v>
      </c>
      <c r="BM1283" s="1" t="s">
        <v>413</v>
      </c>
      <c r="BN1283" s="1" t="s">
        <v>213</v>
      </c>
      <c r="BP1283" s="1" t="s">
        <v>204</v>
      </c>
      <c r="BR1283" s="1" t="str">
        <f>"06253120520000"</f>
        <v>06253120520000</v>
      </c>
      <c r="BT1283" s="1" t="s">
        <v>13016</v>
      </c>
      <c r="BU1283" s="1" t="s">
        <v>6962</v>
      </c>
      <c r="BV1283" s="1" t="s">
        <v>3623</v>
      </c>
      <c r="BW1283" s="1" t="s">
        <v>1217</v>
      </c>
      <c r="BX1283" s="1">
        <v>46</v>
      </c>
      <c r="BY1283" s="1">
        <v>46</v>
      </c>
      <c r="BZ1283" s="1">
        <v>46</v>
      </c>
      <c r="CB1283" s="1" t="str">
        <f>"9"</f>
        <v>9</v>
      </c>
      <c r="CC1283" s="1" t="str">
        <f t="shared" si="987"/>
        <v>0</v>
      </c>
      <c r="CD1283" s="1">
        <v>28</v>
      </c>
      <c r="CE1283" s="1">
        <v>0</v>
      </c>
      <c r="CG1283" s="1" t="s">
        <v>278</v>
      </c>
      <c r="CH1283" s="1" t="s">
        <v>219</v>
      </c>
      <c r="CK1283" s="1" t="s">
        <v>757</v>
      </c>
      <c r="CL1283" s="1" t="s">
        <v>277</v>
      </c>
      <c r="CP1283" s="1" t="s">
        <v>224</v>
      </c>
      <c r="CS1283" s="1" t="s">
        <v>346</v>
      </c>
      <c r="CT1283" s="1" t="s">
        <v>277</v>
      </c>
      <c r="CX1283" s="1" t="s">
        <v>224</v>
      </c>
      <c r="DB1283" s="1" t="s">
        <v>224</v>
      </c>
      <c r="DE1283" s="1" t="s">
        <v>379</v>
      </c>
      <c r="DF1283" s="1" t="s">
        <v>219</v>
      </c>
      <c r="DJ1283" s="1" t="s">
        <v>224</v>
      </c>
      <c r="DS1283" s="1" t="s">
        <v>230</v>
      </c>
      <c r="DW1283" s="1" t="s">
        <v>230</v>
      </c>
      <c r="EA1283" s="1" t="s">
        <v>230</v>
      </c>
      <c r="EE1283" s="1" t="s">
        <v>230</v>
      </c>
      <c r="EI1283" s="1" t="s">
        <v>230</v>
      </c>
      <c r="EL1283" s="1" t="s">
        <v>605</v>
      </c>
      <c r="EM1283" s="1" t="s">
        <v>319</v>
      </c>
      <c r="EN1283" s="1" t="s">
        <v>282</v>
      </c>
      <c r="EO1283" s="1" t="s">
        <v>234</v>
      </c>
      <c r="ER1283" s="1" t="s">
        <v>210</v>
      </c>
      <c r="EU1283" s="1" t="s">
        <v>546</v>
      </c>
      <c r="EW1283" s="1" t="s">
        <v>347</v>
      </c>
      <c r="EZ1283" s="1" t="s">
        <v>287</v>
      </c>
      <c r="FD1283" s="1" t="s">
        <v>3287</v>
      </c>
      <c r="FE1283" s="1" t="s">
        <v>496</v>
      </c>
      <c r="FF1283" s="1" t="s">
        <v>248</v>
      </c>
      <c r="FH1283" s="1" t="s">
        <v>550</v>
      </c>
      <c r="FL1283" s="1" t="s">
        <v>358</v>
      </c>
      <c r="FM1283" s="1" t="s">
        <v>252</v>
      </c>
      <c r="FN1283" s="1" t="s">
        <v>213</v>
      </c>
      <c r="FO1283" s="1" t="s">
        <v>213</v>
      </c>
      <c r="FQ1283" s="1" t="s">
        <v>689</v>
      </c>
      <c r="FR1283" s="1" t="s">
        <v>210</v>
      </c>
      <c r="FS1283" s="1" t="s">
        <v>13017</v>
      </c>
      <c r="FT1283" s="1" t="s">
        <v>1828</v>
      </c>
      <c r="FU1283" s="1" t="s">
        <v>204</v>
      </c>
      <c r="FW1283" s="1" t="s">
        <v>1097</v>
      </c>
      <c r="FX1283" s="1">
        <v>8094</v>
      </c>
      <c r="FY1283" s="1" t="s">
        <v>1829</v>
      </c>
      <c r="FZ1283" s="1" t="s">
        <v>1830</v>
      </c>
      <c r="GA1283" s="1">
        <v>28736</v>
      </c>
      <c r="GB1283" s="1" t="s">
        <v>1831</v>
      </c>
      <c r="GE1283" s="1" t="s">
        <v>210</v>
      </c>
      <c r="GI1283" s="1" t="s">
        <v>204</v>
      </c>
      <c r="GJ1283" s="1" t="s">
        <v>260</v>
      </c>
      <c r="GK1283" s="1" t="s">
        <v>210</v>
      </c>
      <c r="GL1283" s="2">
        <v>42124</v>
      </c>
      <c r="GM1283" s="1" t="s">
        <v>13018</v>
      </c>
    </row>
    <row r="1284" spans="1:195">
      <c r="A1284" s="1">
        <v>104000</v>
      </c>
      <c r="B1284" s="1" t="s">
        <v>195</v>
      </c>
      <c r="C1284" s="1" t="str">
        <f>"08861751"</f>
        <v>08861751</v>
      </c>
      <c r="D1284" s="1" t="s">
        <v>196</v>
      </c>
      <c r="F1284" s="1" t="str">
        <f>"41"</f>
        <v>41</v>
      </c>
      <c r="G1284" s="2">
        <v>42077</v>
      </c>
      <c r="H1284" s="1">
        <v>125000</v>
      </c>
      <c r="I1284" s="1">
        <v>125000</v>
      </c>
      <c r="J1284" s="1">
        <v>104000</v>
      </c>
      <c r="K1284" s="2">
        <v>42077</v>
      </c>
      <c r="L1284" s="1">
        <v>9</v>
      </c>
      <c r="M1284" s="2">
        <v>42085</v>
      </c>
      <c r="N1284" s="1">
        <v>9</v>
      </c>
      <c r="O1284" s="2">
        <v>42085</v>
      </c>
      <c r="P1284" s="1">
        <v>2208</v>
      </c>
      <c r="Q1284" s="1" t="s">
        <v>302</v>
      </c>
      <c r="R1284" s="2">
        <v>42116</v>
      </c>
      <c r="S1284" s="1">
        <v>20449</v>
      </c>
      <c r="U1284" s="1">
        <v>26309</v>
      </c>
      <c r="V1284" s="1" t="s">
        <v>13019</v>
      </c>
      <c r="W1284" s="1" t="s">
        <v>304</v>
      </c>
      <c r="Y1284" s="1">
        <v>5</v>
      </c>
      <c r="Z1284" s="1" t="s">
        <v>370</v>
      </c>
      <c r="AA1284" s="1" t="s">
        <v>10000</v>
      </c>
      <c r="AB1284" s="1">
        <v>60041</v>
      </c>
      <c r="AD1284" s="1" t="s">
        <v>10001</v>
      </c>
      <c r="AE1284" s="1" t="s">
        <v>13020</v>
      </c>
      <c r="AF1284" s="1">
        <v>1998</v>
      </c>
      <c r="AG1284" s="1" t="s">
        <v>204</v>
      </c>
      <c r="AH1284" s="1" t="s">
        <v>13021</v>
      </c>
      <c r="AI1284" s="1" t="s">
        <v>509</v>
      </c>
      <c r="AJ1284" s="1" t="s">
        <v>1016</v>
      </c>
      <c r="AL1284" s="1">
        <v>7</v>
      </c>
      <c r="AM1284" s="1">
        <v>2</v>
      </c>
      <c r="AN1284" s="1">
        <v>2</v>
      </c>
      <c r="AO1284" s="1">
        <v>1</v>
      </c>
      <c r="AP1284" s="1" t="s">
        <v>209</v>
      </c>
      <c r="AQ1284" s="1">
        <v>2</v>
      </c>
      <c r="AR1284" s="1" t="s">
        <v>2275</v>
      </c>
      <c r="AS1284" s="1" t="s">
        <v>213</v>
      </c>
      <c r="AT1284" s="1" t="s">
        <v>211</v>
      </c>
      <c r="AU1284" s="1">
        <v>2</v>
      </c>
      <c r="AW1284" s="1" t="s">
        <v>213</v>
      </c>
      <c r="AX1284" s="1" t="s">
        <v>905</v>
      </c>
      <c r="AZ1284" s="1">
        <v>5064.4399999999996</v>
      </c>
      <c r="BA1284" s="1">
        <v>2013</v>
      </c>
      <c r="BB1284" s="1" t="s">
        <v>210</v>
      </c>
      <c r="BE1284" s="1">
        <v>1350</v>
      </c>
      <c r="BF1284" s="1">
        <v>1</v>
      </c>
      <c r="BG1284" s="1">
        <v>0</v>
      </c>
      <c r="BL1284" s="1">
        <v>268</v>
      </c>
      <c r="BM1284" s="1" t="s">
        <v>204</v>
      </c>
      <c r="BN1284" s="1" t="s">
        <v>213</v>
      </c>
      <c r="BO1284" s="1">
        <v>999</v>
      </c>
      <c r="BP1284" s="1" t="s">
        <v>204</v>
      </c>
      <c r="BR1284" s="1" t="str">
        <f>"05232060170000"</f>
        <v>05232060170000</v>
      </c>
      <c r="BT1284" s="1" t="s">
        <v>13022</v>
      </c>
      <c r="BX1284" s="1">
        <v>38</v>
      </c>
      <c r="BY1284" s="1">
        <v>38</v>
      </c>
      <c r="BZ1284" s="1">
        <v>38</v>
      </c>
      <c r="CB1284" s="1" t="str">
        <f t="shared" ref="CB1284:CC1284" si="988">""</f>
        <v/>
      </c>
      <c r="CC1284" s="1" t="str">
        <f t="shared" si="988"/>
        <v/>
      </c>
      <c r="CG1284" s="1" t="s">
        <v>3100</v>
      </c>
      <c r="CH1284" s="1" t="s">
        <v>219</v>
      </c>
      <c r="CI1284" s="1" t="s">
        <v>220</v>
      </c>
      <c r="CJ1284" s="1" t="s">
        <v>210</v>
      </c>
      <c r="CK1284" s="1" t="s">
        <v>437</v>
      </c>
      <c r="CL1284" s="1" t="s">
        <v>277</v>
      </c>
      <c r="CO1284" s="1" t="s">
        <v>2138</v>
      </c>
      <c r="CP1284" s="1" t="s">
        <v>219</v>
      </c>
      <c r="CS1284" s="1" t="s">
        <v>378</v>
      </c>
      <c r="CT1284" s="1" t="s">
        <v>277</v>
      </c>
      <c r="CX1284" s="1" t="s">
        <v>224</v>
      </c>
      <c r="DB1284" s="1" t="s">
        <v>224</v>
      </c>
      <c r="DE1284" s="1" t="s">
        <v>1297</v>
      </c>
      <c r="DF1284" s="1" t="s">
        <v>219</v>
      </c>
      <c r="DI1284" s="1" t="s">
        <v>4062</v>
      </c>
      <c r="DJ1284" s="1" t="s">
        <v>822</v>
      </c>
      <c r="DK1284" s="1" t="s">
        <v>220</v>
      </c>
      <c r="DM1284" s="1" t="s">
        <v>13023</v>
      </c>
      <c r="DR1284" s="1" t="s">
        <v>379</v>
      </c>
      <c r="DS1284" s="1" t="s">
        <v>277</v>
      </c>
      <c r="DW1284" s="1" t="s">
        <v>230</v>
      </c>
      <c r="EA1284" s="1" t="s">
        <v>230</v>
      </c>
      <c r="EE1284" s="1" t="s">
        <v>230</v>
      </c>
      <c r="EI1284" s="1" t="s">
        <v>230</v>
      </c>
      <c r="EL1284" s="1" t="s">
        <v>670</v>
      </c>
      <c r="EM1284" s="1" t="s">
        <v>319</v>
      </c>
      <c r="EN1284" s="1" t="s">
        <v>282</v>
      </c>
      <c r="EO1284" s="1" t="s">
        <v>234</v>
      </c>
      <c r="ER1284" s="1" t="s">
        <v>544</v>
      </c>
      <c r="EW1284" s="1" t="s">
        <v>13024</v>
      </c>
      <c r="EZ1284" s="1" t="s">
        <v>13023</v>
      </c>
      <c r="FC1284" s="1" t="s">
        <v>2002</v>
      </c>
      <c r="FD1284" s="1" t="s">
        <v>246</v>
      </c>
      <c r="FE1284" s="1" t="s">
        <v>472</v>
      </c>
      <c r="FF1284" s="1" t="s">
        <v>248</v>
      </c>
      <c r="FH1284" s="1" t="s">
        <v>550</v>
      </c>
      <c r="FL1284" s="1" t="s">
        <v>4215</v>
      </c>
      <c r="FM1284" s="1" t="s">
        <v>252</v>
      </c>
      <c r="FN1284" s="1" t="s">
        <v>213</v>
      </c>
      <c r="FO1284" s="1" t="s">
        <v>204</v>
      </c>
      <c r="FQ1284" s="1" t="s">
        <v>2607</v>
      </c>
      <c r="FR1284" s="1" t="s">
        <v>210</v>
      </c>
      <c r="FS1284" s="1" t="s">
        <v>13025</v>
      </c>
      <c r="FT1284" s="1" t="s">
        <v>675</v>
      </c>
      <c r="FU1284" s="1" t="s">
        <v>204</v>
      </c>
      <c r="FW1284" s="1" t="s">
        <v>13026</v>
      </c>
      <c r="FX1284" s="1">
        <v>8843</v>
      </c>
      <c r="FY1284" s="1" t="s">
        <v>13027</v>
      </c>
      <c r="FZ1284" s="1" t="s">
        <v>13028</v>
      </c>
      <c r="GA1284" s="1">
        <v>80582</v>
      </c>
      <c r="GB1284" s="1" t="s">
        <v>13029</v>
      </c>
      <c r="GE1284" s="1" t="s">
        <v>480</v>
      </c>
      <c r="GH1284" s="1" t="s">
        <v>589</v>
      </c>
      <c r="GI1284" s="1" t="s">
        <v>213</v>
      </c>
      <c r="GJ1284" s="1" t="s">
        <v>260</v>
      </c>
      <c r="GK1284" s="1" t="s">
        <v>210</v>
      </c>
      <c r="GL1284" s="2">
        <v>42130</v>
      </c>
    </row>
    <row r="1285" spans="1:195">
      <c r="A1285" s="1">
        <v>318000</v>
      </c>
      <c r="B1285" s="1" t="s">
        <v>195</v>
      </c>
      <c r="C1285" s="1" t="str">
        <f>"08865741"</f>
        <v>08865741</v>
      </c>
      <c r="D1285" s="1" t="s">
        <v>196</v>
      </c>
      <c r="F1285" s="1" t="str">
        <f>"126"</f>
        <v>126</v>
      </c>
      <c r="G1285" s="2">
        <v>42081</v>
      </c>
      <c r="H1285" s="1">
        <v>339000</v>
      </c>
      <c r="I1285" s="1">
        <v>339000</v>
      </c>
      <c r="J1285" s="1">
        <v>318000</v>
      </c>
      <c r="K1285" s="2">
        <v>42079</v>
      </c>
      <c r="L1285" s="1">
        <v>9</v>
      </c>
      <c r="M1285" s="2">
        <v>42087</v>
      </c>
      <c r="N1285" s="1">
        <v>9</v>
      </c>
      <c r="O1285" s="2">
        <v>42087</v>
      </c>
      <c r="P1285" s="1">
        <v>20270</v>
      </c>
      <c r="Q1285" s="1" t="s">
        <v>302</v>
      </c>
      <c r="R1285" s="2">
        <v>42146</v>
      </c>
      <c r="S1285" s="1">
        <v>213760</v>
      </c>
      <c r="U1285" s="1">
        <v>177</v>
      </c>
      <c r="V1285" s="1" t="s">
        <v>1608</v>
      </c>
      <c r="W1285" s="1" t="s">
        <v>725</v>
      </c>
      <c r="X1285" s="1" t="s">
        <v>1688</v>
      </c>
      <c r="Y1285" s="1">
        <v>4</v>
      </c>
      <c r="Z1285" s="1" t="s">
        <v>249</v>
      </c>
      <c r="AA1285" s="1" t="s">
        <v>3169</v>
      </c>
      <c r="AB1285" s="1">
        <v>60126</v>
      </c>
      <c r="AE1285" s="1" t="s">
        <v>13030</v>
      </c>
      <c r="AF1285" s="1">
        <v>1993</v>
      </c>
      <c r="AG1285" s="1" t="s">
        <v>204</v>
      </c>
      <c r="AH1285" s="1" t="s">
        <v>3172</v>
      </c>
      <c r="AI1285" s="1" t="s">
        <v>206</v>
      </c>
      <c r="AJ1285" s="1" t="s">
        <v>1608</v>
      </c>
      <c r="AK1285" s="1" t="s">
        <v>13031</v>
      </c>
      <c r="AL1285" s="1">
        <v>8</v>
      </c>
      <c r="AM1285" s="1">
        <v>2</v>
      </c>
      <c r="AN1285" s="1">
        <v>3</v>
      </c>
      <c r="AO1285" s="1">
        <v>1</v>
      </c>
      <c r="AP1285" s="1" t="s">
        <v>209</v>
      </c>
      <c r="AR1285" s="1" t="s">
        <v>209</v>
      </c>
      <c r="AS1285" s="1" t="s">
        <v>213</v>
      </c>
      <c r="AT1285" s="1" t="s">
        <v>375</v>
      </c>
      <c r="AU1285" s="1">
        <v>1</v>
      </c>
      <c r="AV1285" s="1">
        <v>2</v>
      </c>
      <c r="AW1285" s="1" t="s">
        <v>204</v>
      </c>
      <c r="AX1285" s="1" t="s">
        <v>212</v>
      </c>
      <c r="AZ1285" s="1">
        <v>5468</v>
      </c>
      <c r="BA1285" s="1">
        <v>2013</v>
      </c>
      <c r="BB1285" s="1" t="s">
        <v>405</v>
      </c>
      <c r="BE1285" s="1">
        <v>1604</v>
      </c>
      <c r="BF1285" s="1">
        <v>1</v>
      </c>
      <c r="BG1285" s="1">
        <v>10</v>
      </c>
      <c r="BJ1285" s="1">
        <v>100</v>
      </c>
      <c r="BL1285" s="1">
        <v>300</v>
      </c>
      <c r="BM1285" s="1" t="s">
        <v>204</v>
      </c>
      <c r="BN1285" s="1" t="s">
        <v>213</v>
      </c>
      <c r="BO1285" s="1">
        <v>999</v>
      </c>
      <c r="BP1285" s="1" t="s">
        <v>204</v>
      </c>
      <c r="BR1285" s="1" t="str">
        <f>"0601324002"</f>
        <v>0601324002</v>
      </c>
      <c r="BT1285" s="1" t="s">
        <v>13032</v>
      </c>
      <c r="BU1285" s="1" t="s">
        <v>3174</v>
      </c>
      <c r="BV1285" s="1" t="s">
        <v>3175</v>
      </c>
      <c r="BW1285" s="1" t="s">
        <v>3176</v>
      </c>
      <c r="BX1285" s="1">
        <v>205</v>
      </c>
      <c r="BY1285" s="1">
        <v>205</v>
      </c>
      <c r="BZ1285" s="1">
        <v>205</v>
      </c>
      <c r="CB1285" s="1" t="str">
        <f>"1"</f>
        <v>1</v>
      </c>
      <c r="CC1285" s="1" t="str">
        <f>"0"</f>
        <v>0</v>
      </c>
      <c r="CD1285" s="1">
        <v>15</v>
      </c>
      <c r="CE1285" s="1">
        <v>0</v>
      </c>
      <c r="CG1285" s="1" t="s">
        <v>564</v>
      </c>
      <c r="CH1285" s="1" t="s">
        <v>219</v>
      </c>
      <c r="CI1285" s="1" t="s">
        <v>229</v>
      </c>
      <c r="CJ1285" s="1" t="s">
        <v>463</v>
      </c>
      <c r="CK1285" s="1" t="s">
        <v>686</v>
      </c>
      <c r="CL1285" s="1" t="s">
        <v>277</v>
      </c>
      <c r="CM1285" s="1" t="s">
        <v>229</v>
      </c>
      <c r="CO1285" s="1" t="s">
        <v>757</v>
      </c>
      <c r="CP1285" s="1" t="s">
        <v>219</v>
      </c>
      <c r="CQ1285" s="1" t="s">
        <v>229</v>
      </c>
      <c r="CS1285" s="1" t="s">
        <v>465</v>
      </c>
      <c r="CT1285" s="1" t="s">
        <v>277</v>
      </c>
      <c r="CU1285" s="1" t="s">
        <v>229</v>
      </c>
      <c r="CX1285" s="1" t="s">
        <v>224</v>
      </c>
      <c r="DB1285" s="1" t="s">
        <v>224</v>
      </c>
      <c r="DE1285" s="1" t="s">
        <v>380</v>
      </c>
      <c r="DF1285" s="1" t="s">
        <v>219</v>
      </c>
      <c r="DG1285" s="1" t="s">
        <v>347</v>
      </c>
      <c r="DI1285" s="1" t="s">
        <v>344</v>
      </c>
      <c r="DJ1285" s="1" t="s">
        <v>43</v>
      </c>
      <c r="DK1285" s="1" t="s">
        <v>347</v>
      </c>
      <c r="DM1285" s="1" t="s">
        <v>1359</v>
      </c>
      <c r="DN1285" s="1" t="s">
        <v>381</v>
      </c>
      <c r="DO1285" s="1" t="s">
        <v>411</v>
      </c>
      <c r="DR1285" s="1" t="s">
        <v>346</v>
      </c>
      <c r="DS1285" s="1" t="s">
        <v>784</v>
      </c>
      <c r="DV1285" s="1" t="s">
        <v>1774</v>
      </c>
      <c r="DW1285" s="1" t="s">
        <v>219</v>
      </c>
      <c r="DZ1285" s="1" t="s">
        <v>932</v>
      </c>
      <c r="EA1285" s="1" t="s">
        <v>43</v>
      </c>
      <c r="EB1285" s="1" t="s">
        <v>347</v>
      </c>
      <c r="EE1285" s="1" t="s">
        <v>230</v>
      </c>
      <c r="EI1285" s="1" t="s">
        <v>230</v>
      </c>
      <c r="EL1285" s="1" t="s">
        <v>382</v>
      </c>
      <c r="EM1285" s="1" t="s">
        <v>232</v>
      </c>
      <c r="EN1285" s="1" t="s">
        <v>282</v>
      </c>
      <c r="EO1285" s="1" t="s">
        <v>234</v>
      </c>
      <c r="EP1285" s="1" t="s">
        <v>13033</v>
      </c>
      <c r="EQ1285" s="1" t="s">
        <v>492</v>
      </c>
      <c r="ER1285" s="1" t="s">
        <v>544</v>
      </c>
      <c r="ES1285" s="1" t="s">
        <v>545</v>
      </c>
      <c r="EV1285" s="1" t="s">
        <v>324</v>
      </c>
      <c r="EW1285" s="1" t="s">
        <v>937</v>
      </c>
      <c r="EY1285" s="1" t="s">
        <v>242</v>
      </c>
      <c r="EZ1285" s="1" t="s">
        <v>13034</v>
      </c>
      <c r="FB1285" s="1" t="s">
        <v>734</v>
      </c>
      <c r="FC1285" s="1" t="s">
        <v>1362</v>
      </c>
      <c r="FD1285" s="1" t="s">
        <v>246</v>
      </c>
      <c r="FE1285" s="1" t="s">
        <v>247</v>
      </c>
      <c r="FF1285" s="1" t="s">
        <v>248</v>
      </c>
      <c r="FH1285" s="1" t="s">
        <v>550</v>
      </c>
      <c r="FI1285" s="1" t="s">
        <v>473</v>
      </c>
      <c r="FK1285" s="1" t="s">
        <v>291</v>
      </c>
      <c r="FL1285" s="1" t="s">
        <v>358</v>
      </c>
      <c r="FM1285" s="1" t="s">
        <v>252</v>
      </c>
      <c r="FN1285" s="1" t="s">
        <v>213</v>
      </c>
      <c r="FO1285" s="1" t="s">
        <v>213</v>
      </c>
      <c r="FQ1285" s="1" t="s">
        <v>811</v>
      </c>
      <c r="FR1285" s="1" t="s">
        <v>210</v>
      </c>
      <c r="FS1285" s="1" t="s">
        <v>13035</v>
      </c>
      <c r="FT1285" s="1" t="s">
        <v>2589</v>
      </c>
      <c r="FU1285" s="1" t="s">
        <v>204</v>
      </c>
      <c r="FW1285" s="1" t="s">
        <v>13036</v>
      </c>
      <c r="FX1285" s="1">
        <v>24304</v>
      </c>
      <c r="FY1285" s="1" t="s">
        <v>13037</v>
      </c>
      <c r="FZ1285" s="1" t="s">
        <v>13038</v>
      </c>
      <c r="GA1285" s="1">
        <v>243881</v>
      </c>
      <c r="GB1285" s="1" t="s">
        <v>13039</v>
      </c>
      <c r="GE1285" s="1" t="s">
        <v>1333</v>
      </c>
      <c r="GH1285" s="1" t="s">
        <v>421</v>
      </c>
      <c r="GI1285" s="1" t="s">
        <v>213</v>
      </c>
      <c r="GJ1285" s="1" t="s">
        <v>260</v>
      </c>
      <c r="GK1285" s="1" t="s">
        <v>210</v>
      </c>
      <c r="GL1285" s="2">
        <v>42146</v>
      </c>
      <c r="GM1285" s="1" t="s">
        <v>13040</v>
      </c>
    </row>
    <row r="1286" spans="1:195">
      <c r="A1286" s="1">
        <v>85000</v>
      </c>
      <c r="B1286" s="1" t="s">
        <v>195</v>
      </c>
      <c r="C1286" s="1" t="str">
        <f>"08863539"</f>
        <v>08863539</v>
      </c>
      <c r="D1286" s="1" t="s">
        <v>196</v>
      </c>
      <c r="F1286" s="1" t="str">
        <f>"545"</f>
        <v>545</v>
      </c>
      <c r="G1286" s="2">
        <v>42080</v>
      </c>
      <c r="H1286" s="1">
        <v>85000</v>
      </c>
      <c r="I1286" s="1">
        <v>85000</v>
      </c>
      <c r="J1286" s="1">
        <v>85000</v>
      </c>
      <c r="K1286" s="2">
        <v>42080</v>
      </c>
      <c r="L1286" s="1">
        <v>33</v>
      </c>
      <c r="M1286" s="2">
        <v>42112</v>
      </c>
      <c r="N1286" s="1">
        <v>33</v>
      </c>
      <c r="O1286" s="2">
        <v>42112</v>
      </c>
      <c r="P1286" s="1">
        <v>87</v>
      </c>
      <c r="Q1286" s="1" t="s">
        <v>197</v>
      </c>
      <c r="R1286" s="2">
        <v>42139</v>
      </c>
      <c r="S1286" s="1">
        <v>300050</v>
      </c>
      <c r="T1286" s="1">
        <v>4000</v>
      </c>
      <c r="U1286" s="1">
        <v>2921</v>
      </c>
      <c r="V1286" s="1" t="s">
        <v>13041</v>
      </c>
      <c r="W1286" s="1" t="s">
        <v>725</v>
      </c>
      <c r="Y1286" s="1">
        <v>2</v>
      </c>
      <c r="Z1286" s="1" t="s">
        <v>370</v>
      </c>
      <c r="AA1286" s="1" t="s">
        <v>1335</v>
      </c>
      <c r="AB1286" s="1">
        <v>60545</v>
      </c>
      <c r="AD1286" s="1" t="s">
        <v>8499</v>
      </c>
      <c r="AE1286" s="1" t="s">
        <v>13042</v>
      </c>
      <c r="AF1286" s="1">
        <v>2005</v>
      </c>
      <c r="AG1286" s="1" t="s">
        <v>204</v>
      </c>
      <c r="AH1286" s="1" t="s">
        <v>1338</v>
      </c>
      <c r="AI1286" s="1" t="s">
        <v>453</v>
      </c>
      <c r="AJ1286" s="1" t="s">
        <v>1339</v>
      </c>
      <c r="AK1286" s="1" t="s">
        <v>2571</v>
      </c>
      <c r="AL1286" s="1">
        <v>5</v>
      </c>
      <c r="AM1286" s="1">
        <v>2</v>
      </c>
      <c r="AN1286" s="1">
        <v>1</v>
      </c>
      <c r="AO1286" s="1">
        <v>1</v>
      </c>
      <c r="AP1286" s="1" t="s">
        <v>667</v>
      </c>
      <c r="AR1286" s="1" t="s">
        <v>210</v>
      </c>
      <c r="AS1286" s="1" t="s">
        <v>204</v>
      </c>
      <c r="AT1286" s="1" t="s">
        <v>211</v>
      </c>
      <c r="AU1286" s="1">
        <v>1</v>
      </c>
      <c r="AW1286" s="1" t="s">
        <v>204</v>
      </c>
      <c r="AX1286" s="1" t="s">
        <v>13043</v>
      </c>
      <c r="AZ1286" s="1">
        <v>2279.34</v>
      </c>
      <c r="BA1286" s="1">
        <v>2013</v>
      </c>
      <c r="BB1286" s="1" t="s">
        <v>599</v>
      </c>
      <c r="BE1286" s="1">
        <v>935</v>
      </c>
      <c r="BF1286" s="1">
        <v>1</v>
      </c>
      <c r="BG1286" s="1">
        <v>0</v>
      </c>
      <c r="BL1286" s="1">
        <v>35</v>
      </c>
      <c r="BM1286" s="1" t="s">
        <v>213</v>
      </c>
      <c r="BN1286" s="1" t="s">
        <v>213</v>
      </c>
      <c r="BO1286" s="1">
        <v>999</v>
      </c>
      <c r="BP1286" s="1" t="s">
        <v>204</v>
      </c>
      <c r="BR1286" s="1" t="str">
        <f>"0126202042"</f>
        <v>0126202042</v>
      </c>
      <c r="BT1286" s="1" t="s">
        <v>13044</v>
      </c>
      <c r="BX1286" s="1">
        <v>88</v>
      </c>
      <c r="BY1286" s="1">
        <v>88</v>
      </c>
      <c r="BZ1286" s="1">
        <v>88</v>
      </c>
      <c r="CB1286" s="1" t="str">
        <f t="shared" ref="CB1286:CC1286" si="989">""</f>
        <v/>
      </c>
      <c r="CC1286" s="1" t="str">
        <f t="shared" si="989"/>
        <v/>
      </c>
      <c r="CG1286" s="1" t="s">
        <v>836</v>
      </c>
      <c r="CH1286" s="1" t="s">
        <v>219</v>
      </c>
      <c r="CI1286" s="1" t="s">
        <v>220</v>
      </c>
      <c r="CK1286" s="1" t="s">
        <v>2122</v>
      </c>
      <c r="CL1286" s="1" t="s">
        <v>219</v>
      </c>
      <c r="CM1286" s="1" t="s">
        <v>220</v>
      </c>
      <c r="CO1286" s="1" t="s">
        <v>409</v>
      </c>
      <c r="CP1286" s="1" t="s">
        <v>219</v>
      </c>
      <c r="CQ1286" s="1" t="s">
        <v>220</v>
      </c>
      <c r="CS1286" s="1" t="s">
        <v>318</v>
      </c>
      <c r="CT1286" s="1" t="s">
        <v>219</v>
      </c>
      <c r="CU1286" s="1" t="s">
        <v>220</v>
      </c>
      <c r="CX1286" s="1" t="s">
        <v>224</v>
      </c>
      <c r="DB1286" s="1" t="s">
        <v>224</v>
      </c>
      <c r="DE1286" s="1" t="s">
        <v>318</v>
      </c>
      <c r="DF1286" s="1" t="s">
        <v>219</v>
      </c>
      <c r="DG1286" s="1" t="s">
        <v>226</v>
      </c>
      <c r="DJ1286" s="1" t="s">
        <v>224</v>
      </c>
      <c r="DS1286" s="1" t="s">
        <v>230</v>
      </c>
      <c r="DW1286" s="1" t="s">
        <v>230</v>
      </c>
      <c r="EA1286" s="1" t="s">
        <v>230</v>
      </c>
      <c r="EE1286" s="1" t="s">
        <v>230</v>
      </c>
      <c r="EI1286" s="1" t="s">
        <v>230</v>
      </c>
      <c r="EL1286" s="1" t="s">
        <v>491</v>
      </c>
      <c r="EM1286" s="1" t="s">
        <v>319</v>
      </c>
      <c r="EN1286" s="1" t="s">
        <v>282</v>
      </c>
      <c r="EO1286" s="1" t="s">
        <v>234</v>
      </c>
      <c r="EQ1286" s="1" t="s">
        <v>236</v>
      </c>
      <c r="ER1286" s="1" t="s">
        <v>210</v>
      </c>
      <c r="EV1286" s="1" t="s">
        <v>240</v>
      </c>
      <c r="EW1286" s="1" t="s">
        <v>5478</v>
      </c>
      <c r="EZ1286" s="1" t="s">
        <v>287</v>
      </c>
      <c r="FD1286" s="1" t="s">
        <v>246</v>
      </c>
      <c r="FE1286" s="1" t="s">
        <v>472</v>
      </c>
      <c r="FF1286" s="1" t="s">
        <v>387</v>
      </c>
      <c r="FH1286" s="1" t="s">
        <v>442</v>
      </c>
      <c r="FJ1286" s="1" t="s">
        <v>1251</v>
      </c>
      <c r="FL1286" s="1" t="s">
        <v>414</v>
      </c>
      <c r="FM1286" s="1" t="s">
        <v>252</v>
      </c>
      <c r="FN1286" s="1" t="s">
        <v>213</v>
      </c>
      <c r="FO1286" s="1" t="s">
        <v>213</v>
      </c>
      <c r="FQ1286" s="1" t="s">
        <v>913</v>
      </c>
      <c r="FR1286" s="1" t="s">
        <v>210</v>
      </c>
      <c r="FS1286" s="1" t="s">
        <v>13045</v>
      </c>
      <c r="FT1286" s="1" t="s">
        <v>295</v>
      </c>
      <c r="FU1286" s="1" t="s">
        <v>204</v>
      </c>
      <c r="FW1286" s="1" t="s">
        <v>676</v>
      </c>
      <c r="FX1286" s="1">
        <v>30</v>
      </c>
      <c r="FY1286" s="1" t="s">
        <v>677</v>
      </c>
      <c r="FZ1286" s="1" t="s">
        <v>3935</v>
      </c>
      <c r="GA1286" s="1">
        <v>8173</v>
      </c>
      <c r="GB1286" s="1" t="s">
        <v>3936</v>
      </c>
      <c r="GE1286" s="1" t="s">
        <v>210</v>
      </c>
      <c r="GI1286" s="1" t="s">
        <v>213</v>
      </c>
      <c r="GJ1286" s="1" t="s">
        <v>260</v>
      </c>
      <c r="GK1286" s="1" t="s">
        <v>210</v>
      </c>
      <c r="GL1286" s="2">
        <v>42140</v>
      </c>
      <c r="GM1286" s="1" t="s">
        <v>13046</v>
      </c>
    </row>
    <row r="1287" spans="1:195">
      <c r="A1287" s="1">
        <v>120000</v>
      </c>
      <c r="B1287" s="1" t="s">
        <v>195</v>
      </c>
      <c r="C1287" s="1" t="str">
        <f>"08860980"</f>
        <v>08860980</v>
      </c>
      <c r="D1287" s="1" t="s">
        <v>196</v>
      </c>
      <c r="F1287" s="1" t="str">
        <f>"60"</f>
        <v>60</v>
      </c>
      <c r="G1287" s="2">
        <v>42076</v>
      </c>
      <c r="H1287" s="1">
        <v>119900</v>
      </c>
      <c r="I1287" s="1">
        <v>119900</v>
      </c>
      <c r="J1287" s="1">
        <v>120000</v>
      </c>
      <c r="K1287" s="2">
        <v>42076</v>
      </c>
      <c r="L1287" s="1">
        <v>7</v>
      </c>
      <c r="M1287" s="2">
        <v>42082</v>
      </c>
      <c r="N1287" s="1">
        <v>7</v>
      </c>
      <c r="O1287" s="2">
        <v>42082</v>
      </c>
      <c r="P1287" s="1">
        <v>4634</v>
      </c>
      <c r="Q1287" s="1" t="s">
        <v>197</v>
      </c>
      <c r="R1287" s="2">
        <v>42132</v>
      </c>
      <c r="S1287" s="1">
        <v>40693</v>
      </c>
      <c r="U1287" s="1">
        <v>552</v>
      </c>
      <c r="V1287" s="1" t="s">
        <v>13047</v>
      </c>
      <c r="W1287" s="1" t="s">
        <v>264</v>
      </c>
      <c r="Y1287" s="1">
        <v>4</v>
      </c>
      <c r="Z1287" s="1" t="s">
        <v>200</v>
      </c>
      <c r="AA1287" s="1" t="s">
        <v>1689</v>
      </c>
      <c r="AB1287" s="1">
        <v>60060</v>
      </c>
      <c r="AD1287" s="1" t="s">
        <v>5834</v>
      </c>
      <c r="AE1287" s="1" t="s">
        <v>13048</v>
      </c>
      <c r="AF1287" s="1">
        <v>1991</v>
      </c>
      <c r="AG1287" s="1" t="s">
        <v>204</v>
      </c>
      <c r="AH1287" s="1" t="s">
        <v>1692</v>
      </c>
      <c r="AI1287" s="1" t="s">
        <v>509</v>
      </c>
      <c r="AJ1287" s="1" t="s">
        <v>9736</v>
      </c>
      <c r="AL1287" s="1">
        <v>5</v>
      </c>
      <c r="AM1287" s="1">
        <v>2</v>
      </c>
      <c r="AN1287" s="1">
        <v>2</v>
      </c>
      <c r="AO1287" s="1">
        <v>1</v>
      </c>
      <c r="AP1287" s="1" t="s">
        <v>209</v>
      </c>
      <c r="AR1287" s="1" t="s">
        <v>210</v>
      </c>
      <c r="AS1287" s="1" t="s">
        <v>204</v>
      </c>
      <c r="AT1287" s="1" t="s">
        <v>211</v>
      </c>
      <c r="AU1287" s="1">
        <v>1</v>
      </c>
      <c r="AW1287" s="1" t="s">
        <v>204</v>
      </c>
      <c r="AX1287" s="1" t="s">
        <v>579</v>
      </c>
      <c r="AZ1287" s="1">
        <v>4206.3999999999996</v>
      </c>
      <c r="BA1287" s="1">
        <v>2013</v>
      </c>
      <c r="BE1287" s="1">
        <v>1122</v>
      </c>
      <c r="BF1287" s="1">
        <v>1</v>
      </c>
      <c r="BG1287" s="1">
        <v>0</v>
      </c>
      <c r="BL1287" s="1">
        <v>163</v>
      </c>
      <c r="BM1287" s="1" t="s">
        <v>204</v>
      </c>
      <c r="BN1287" s="1" t="s">
        <v>213</v>
      </c>
      <c r="BP1287" s="1" t="s">
        <v>204</v>
      </c>
      <c r="BR1287" s="1" t="str">
        <f>"10234130550000"</f>
        <v>10234130550000</v>
      </c>
      <c r="BT1287" s="1" t="s">
        <v>13049</v>
      </c>
      <c r="BV1287" s="1" t="s">
        <v>5839</v>
      </c>
      <c r="BW1287" s="1" t="s">
        <v>5840</v>
      </c>
      <c r="BX1287" s="1">
        <v>75</v>
      </c>
      <c r="BY1287" s="1">
        <v>75</v>
      </c>
      <c r="BZ1287" s="1">
        <v>120</v>
      </c>
      <c r="CB1287" s="1" t="str">
        <f t="shared" ref="CB1287:CC1287" si="990">""</f>
        <v/>
      </c>
      <c r="CC1287" s="1" t="str">
        <f t="shared" si="990"/>
        <v/>
      </c>
      <c r="CG1287" s="1" t="s">
        <v>3100</v>
      </c>
      <c r="CH1287" s="1" t="s">
        <v>219</v>
      </c>
      <c r="CI1287" s="1" t="s">
        <v>438</v>
      </c>
      <c r="CK1287" s="1" t="s">
        <v>539</v>
      </c>
      <c r="CL1287" s="1" t="s">
        <v>277</v>
      </c>
      <c r="CM1287" s="1" t="s">
        <v>438</v>
      </c>
      <c r="CO1287" s="1" t="s">
        <v>629</v>
      </c>
      <c r="CP1287" s="1" t="s">
        <v>219</v>
      </c>
      <c r="CS1287" s="1" t="s">
        <v>1297</v>
      </c>
      <c r="CT1287" s="1" t="s">
        <v>277</v>
      </c>
      <c r="CU1287" s="1" t="s">
        <v>220</v>
      </c>
      <c r="CX1287" s="1" t="s">
        <v>224</v>
      </c>
      <c r="DB1287" s="1" t="s">
        <v>224</v>
      </c>
      <c r="DE1287" s="1" t="s">
        <v>3748</v>
      </c>
      <c r="DF1287" s="1" t="s">
        <v>219</v>
      </c>
      <c r="DG1287" s="1" t="s">
        <v>226</v>
      </c>
      <c r="DJ1287" s="1" t="s">
        <v>224</v>
      </c>
      <c r="DM1287" s="1" t="s">
        <v>709</v>
      </c>
      <c r="DR1287" s="1" t="s">
        <v>13050</v>
      </c>
      <c r="DS1287" s="1" t="s">
        <v>219</v>
      </c>
      <c r="DT1287" s="1" t="s">
        <v>438</v>
      </c>
      <c r="DW1287" s="1" t="s">
        <v>230</v>
      </c>
      <c r="EA1287" s="1" t="s">
        <v>230</v>
      </c>
      <c r="EE1287" s="1" t="s">
        <v>230</v>
      </c>
      <c r="EI1287" s="1" t="s">
        <v>230</v>
      </c>
      <c r="EL1287" s="1" t="s">
        <v>382</v>
      </c>
      <c r="EM1287" s="1" t="s">
        <v>232</v>
      </c>
      <c r="EN1287" s="1" t="s">
        <v>282</v>
      </c>
      <c r="EO1287" s="1" t="s">
        <v>234</v>
      </c>
      <c r="EQ1287" s="1" t="s">
        <v>492</v>
      </c>
      <c r="ER1287" s="1" t="s">
        <v>383</v>
      </c>
      <c r="EU1287" s="1" t="s">
        <v>239</v>
      </c>
      <c r="EV1287" s="1" t="s">
        <v>240</v>
      </c>
      <c r="EW1287" s="1" t="s">
        <v>1219</v>
      </c>
      <c r="EZ1287" s="1" t="s">
        <v>709</v>
      </c>
      <c r="FC1287" s="1" t="s">
        <v>633</v>
      </c>
      <c r="FD1287" s="1" t="s">
        <v>246</v>
      </c>
      <c r="FE1287" s="1" t="s">
        <v>975</v>
      </c>
      <c r="FF1287" s="1" t="s">
        <v>248</v>
      </c>
      <c r="FH1287" s="1" t="s">
        <v>550</v>
      </c>
      <c r="FL1287" s="1" t="s">
        <v>358</v>
      </c>
      <c r="FM1287" s="1" t="s">
        <v>252</v>
      </c>
      <c r="FN1287" s="1" t="s">
        <v>213</v>
      </c>
      <c r="FO1287" s="1" t="s">
        <v>213</v>
      </c>
      <c r="FQ1287" s="1" t="s">
        <v>1758</v>
      </c>
      <c r="FR1287" s="1" t="s">
        <v>652</v>
      </c>
      <c r="FS1287" s="1" t="s">
        <v>4124</v>
      </c>
      <c r="FT1287" s="1" t="s">
        <v>520</v>
      </c>
      <c r="FU1287" s="1" t="s">
        <v>204</v>
      </c>
      <c r="FW1287" s="1" t="s">
        <v>9076</v>
      </c>
      <c r="FX1287" s="1">
        <v>2512</v>
      </c>
      <c r="FY1287" s="1" t="s">
        <v>9077</v>
      </c>
      <c r="FZ1287" s="1" t="s">
        <v>9078</v>
      </c>
      <c r="GA1287" s="1">
        <v>11151</v>
      </c>
      <c r="GB1287" s="1" t="s">
        <v>9079</v>
      </c>
      <c r="GD1287" s="1" t="s">
        <v>9080</v>
      </c>
      <c r="GE1287" s="1" t="s">
        <v>335</v>
      </c>
      <c r="GI1287" s="1" t="s">
        <v>213</v>
      </c>
      <c r="GJ1287" s="1" t="s">
        <v>260</v>
      </c>
      <c r="GK1287" s="1" t="s">
        <v>210</v>
      </c>
      <c r="GL1287" s="2">
        <v>42132</v>
      </c>
    </row>
    <row r="1288" spans="1:195">
      <c r="A1288" s="1">
        <v>265000</v>
      </c>
      <c r="B1288" s="1" t="s">
        <v>195</v>
      </c>
      <c r="C1288" s="1" t="str">
        <f>"08860922"</f>
        <v>08860922</v>
      </c>
      <c r="D1288" s="1" t="s">
        <v>196</v>
      </c>
      <c r="F1288" s="1" t="str">
        <f>"514"</f>
        <v>514</v>
      </c>
      <c r="G1288" s="2">
        <v>42076</v>
      </c>
      <c r="H1288" s="1">
        <v>281000</v>
      </c>
      <c r="I1288" s="1">
        <v>281000</v>
      </c>
      <c r="J1288" s="1">
        <v>265000</v>
      </c>
      <c r="K1288" s="2">
        <v>42076</v>
      </c>
      <c r="L1288" s="1">
        <v>81</v>
      </c>
      <c r="M1288" s="2">
        <v>42106</v>
      </c>
      <c r="N1288" s="1">
        <v>31</v>
      </c>
      <c r="O1288" s="2">
        <v>42106</v>
      </c>
      <c r="P1288" s="1">
        <v>10840</v>
      </c>
      <c r="Q1288" s="1" t="s">
        <v>302</v>
      </c>
      <c r="R1288" s="2">
        <v>42135</v>
      </c>
      <c r="S1288" s="1">
        <v>152878</v>
      </c>
      <c r="U1288" s="1">
        <v>412</v>
      </c>
      <c r="V1288" s="1" t="s">
        <v>13051</v>
      </c>
      <c r="W1288" s="1" t="s">
        <v>449</v>
      </c>
      <c r="X1288" s="1">
        <v>303</v>
      </c>
      <c r="Y1288" s="1">
        <v>28</v>
      </c>
      <c r="Z1288" s="1" t="s">
        <v>249</v>
      </c>
      <c r="AA1288" s="1" t="s">
        <v>2691</v>
      </c>
      <c r="AB1288" s="1">
        <v>60514</v>
      </c>
      <c r="AD1288" s="1" t="s">
        <v>13052</v>
      </c>
      <c r="AE1288" s="1" t="s">
        <v>13053</v>
      </c>
      <c r="AF1288" s="1">
        <v>2003</v>
      </c>
      <c r="AG1288" s="1" t="s">
        <v>204</v>
      </c>
      <c r="AH1288" s="1" t="s">
        <v>2693</v>
      </c>
      <c r="AI1288" s="1" t="s">
        <v>206</v>
      </c>
      <c r="AJ1288" s="1" t="s">
        <v>903</v>
      </c>
      <c r="AL1288" s="1">
        <v>6</v>
      </c>
      <c r="AM1288" s="1">
        <v>2</v>
      </c>
      <c r="AN1288" s="1">
        <v>2</v>
      </c>
      <c r="AO1288" s="1">
        <v>0</v>
      </c>
      <c r="AP1288" s="1" t="s">
        <v>209</v>
      </c>
      <c r="AR1288" s="1" t="s">
        <v>210</v>
      </c>
      <c r="AT1288" s="1" t="s">
        <v>211</v>
      </c>
      <c r="AU1288" s="1">
        <v>1</v>
      </c>
      <c r="AW1288" s="1" t="s">
        <v>204</v>
      </c>
      <c r="AX1288" s="1" t="s">
        <v>212</v>
      </c>
      <c r="AZ1288" s="1">
        <v>6320</v>
      </c>
      <c r="BA1288" s="1">
        <v>2013</v>
      </c>
      <c r="BB1288" s="1" t="s">
        <v>405</v>
      </c>
      <c r="BE1288" s="1">
        <v>1777</v>
      </c>
      <c r="BF1288" s="1">
        <v>3</v>
      </c>
      <c r="BG1288" s="1">
        <v>30</v>
      </c>
      <c r="BL1288" s="1">
        <v>562</v>
      </c>
      <c r="BM1288" s="1" t="s">
        <v>204</v>
      </c>
      <c r="BN1288" s="1" t="s">
        <v>213</v>
      </c>
      <c r="BO1288" s="1">
        <v>999</v>
      </c>
      <c r="BP1288" s="1" t="s">
        <v>204</v>
      </c>
      <c r="BR1288" s="1" t="str">
        <f>"0910415126"</f>
        <v>0910415126</v>
      </c>
      <c r="BT1288" s="1" t="s">
        <v>13054</v>
      </c>
      <c r="BV1288" s="1" t="s">
        <v>2697</v>
      </c>
      <c r="BW1288" s="1" t="s">
        <v>1546</v>
      </c>
      <c r="BX1288" s="1">
        <v>181</v>
      </c>
      <c r="BY1288" s="1">
        <v>181</v>
      </c>
      <c r="BZ1288" s="1">
        <v>86</v>
      </c>
      <c r="CB1288" s="1" t="str">
        <f t="shared" ref="CB1288:CC1288" si="991">""</f>
        <v/>
      </c>
      <c r="CC1288" s="1" t="str">
        <f t="shared" si="991"/>
        <v/>
      </c>
      <c r="CG1288" s="1" t="s">
        <v>3100</v>
      </c>
      <c r="CH1288" s="1" t="s">
        <v>784</v>
      </c>
      <c r="CI1288" s="1" t="s">
        <v>438</v>
      </c>
      <c r="CK1288" s="1" t="s">
        <v>1737</v>
      </c>
      <c r="CL1288" s="1" t="s">
        <v>784</v>
      </c>
      <c r="CO1288" s="1" t="s">
        <v>1046</v>
      </c>
      <c r="CP1288" s="1" t="s">
        <v>784</v>
      </c>
      <c r="CQ1288" s="1" t="s">
        <v>438</v>
      </c>
      <c r="CS1288" s="1" t="s">
        <v>221</v>
      </c>
      <c r="CT1288" s="1" t="s">
        <v>784</v>
      </c>
      <c r="CX1288" s="1" t="s">
        <v>224</v>
      </c>
      <c r="DB1288" s="1" t="s">
        <v>224</v>
      </c>
      <c r="DE1288" s="1" t="s">
        <v>223</v>
      </c>
      <c r="DF1288" s="1" t="s">
        <v>784</v>
      </c>
      <c r="DG1288" s="1" t="s">
        <v>438</v>
      </c>
      <c r="DJ1288" s="1" t="s">
        <v>224</v>
      </c>
      <c r="DM1288" s="1" t="s">
        <v>1005</v>
      </c>
      <c r="DR1288" s="1" t="s">
        <v>318</v>
      </c>
      <c r="DS1288" s="1" t="s">
        <v>784</v>
      </c>
      <c r="DT1288" s="1" t="s">
        <v>438</v>
      </c>
      <c r="DW1288" s="1" t="s">
        <v>230</v>
      </c>
      <c r="EA1288" s="1" t="s">
        <v>230</v>
      </c>
      <c r="EE1288" s="1" t="s">
        <v>230</v>
      </c>
      <c r="EI1288" s="1" t="s">
        <v>230</v>
      </c>
      <c r="EL1288" s="1" t="s">
        <v>466</v>
      </c>
      <c r="EM1288" s="1" t="s">
        <v>232</v>
      </c>
      <c r="EN1288" s="1" t="s">
        <v>282</v>
      </c>
      <c r="EO1288" s="1" t="s">
        <v>234</v>
      </c>
      <c r="EQ1288" s="1" t="s">
        <v>1551</v>
      </c>
      <c r="ER1288" s="1" t="s">
        <v>210</v>
      </c>
      <c r="ES1288" s="1" t="s">
        <v>322</v>
      </c>
      <c r="ET1288" s="1" t="s">
        <v>4523</v>
      </c>
      <c r="EV1288" s="1" t="s">
        <v>240</v>
      </c>
      <c r="EW1288" s="1" t="s">
        <v>13055</v>
      </c>
      <c r="EY1288" s="1" t="s">
        <v>242</v>
      </c>
      <c r="EZ1288" s="1" t="s">
        <v>1005</v>
      </c>
      <c r="FB1288" s="1" t="s">
        <v>289</v>
      </c>
      <c r="FD1288" s="1" t="s">
        <v>246</v>
      </c>
      <c r="FE1288" s="1" t="s">
        <v>247</v>
      </c>
      <c r="FF1288" s="1" t="s">
        <v>248</v>
      </c>
      <c r="FH1288" s="1" t="s">
        <v>249</v>
      </c>
      <c r="FI1288" s="1" t="s">
        <v>4004</v>
      </c>
      <c r="FL1288" s="1" t="s">
        <v>358</v>
      </c>
      <c r="FM1288" s="1" t="s">
        <v>252</v>
      </c>
      <c r="FN1288" s="1" t="s">
        <v>213</v>
      </c>
      <c r="FO1288" s="1" t="s">
        <v>213</v>
      </c>
      <c r="FQ1288" s="1" t="s">
        <v>1286</v>
      </c>
      <c r="FR1288" s="1" t="s">
        <v>210</v>
      </c>
      <c r="FS1288" s="1" t="s">
        <v>13056</v>
      </c>
      <c r="FT1288" s="1" t="s">
        <v>295</v>
      </c>
      <c r="FU1288" s="1" t="s">
        <v>204</v>
      </c>
      <c r="FW1288" s="1" t="s">
        <v>5513</v>
      </c>
      <c r="FX1288" s="1">
        <v>10840</v>
      </c>
      <c r="FY1288" s="1" t="s">
        <v>5514</v>
      </c>
      <c r="FZ1288" s="1" t="s">
        <v>13057</v>
      </c>
      <c r="GA1288" s="1">
        <v>152878</v>
      </c>
      <c r="GB1288" s="1" t="s">
        <v>13058</v>
      </c>
      <c r="GE1288" s="1" t="s">
        <v>210</v>
      </c>
      <c r="GI1288" s="1" t="s">
        <v>213</v>
      </c>
      <c r="GJ1288" s="1" t="s">
        <v>260</v>
      </c>
      <c r="GK1288" s="1" t="s">
        <v>210</v>
      </c>
      <c r="GL1288" s="2">
        <v>42135</v>
      </c>
      <c r="GM1288" s="1" t="s">
        <v>13059</v>
      </c>
    </row>
    <row r="1289" spans="1:195">
      <c r="A1289" s="1">
        <v>162500</v>
      </c>
      <c r="B1289" s="1" t="s">
        <v>195</v>
      </c>
      <c r="C1289" s="1" t="str">
        <f>"08866877"</f>
        <v>08866877</v>
      </c>
      <c r="D1289" s="1" t="s">
        <v>196</v>
      </c>
      <c r="F1289" s="1" t="str">
        <f>"562"</f>
        <v>562</v>
      </c>
      <c r="G1289" s="2">
        <v>42082</v>
      </c>
      <c r="H1289" s="1">
        <v>169500</v>
      </c>
      <c r="I1289" s="1">
        <v>169500</v>
      </c>
      <c r="J1289" s="1">
        <v>162500</v>
      </c>
      <c r="K1289" s="2">
        <v>42082</v>
      </c>
      <c r="L1289" s="1">
        <v>6</v>
      </c>
      <c r="M1289" s="2">
        <v>42087</v>
      </c>
      <c r="N1289" s="1">
        <v>6</v>
      </c>
      <c r="O1289" s="2">
        <v>42087</v>
      </c>
      <c r="P1289" s="1">
        <v>22145</v>
      </c>
      <c r="Q1289" s="1" t="s">
        <v>302</v>
      </c>
      <c r="R1289" s="2">
        <v>42125</v>
      </c>
      <c r="S1289" s="1">
        <v>225171</v>
      </c>
      <c r="U1289" s="1">
        <v>7515</v>
      </c>
      <c r="V1289" s="1" t="s">
        <v>12272</v>
      </c>
      <c r="W1289" s="1" t="s">
        <v>264</v>
      </c>
      <c r="X1289" s="1">
        <v>210</v>
      </c>
      <c r="Y1289" s="1">
        <v>40</v>
      </c>
      <c r="Z1289" s="1" t="s">
        <v>249</v>
      </c>
      <c r="AA1289" s="1" t="s">
        <v>899</v>
      </c>
      <c r="AB1289" s="1">
        <v>60561</v>
      </c>
      <c r="AD1289" s="1" t="s">
        <v>11030</v>
      </c>
      <c r="AE1289" s="1" t="s">
        <v>13060</v>
      </c>
      <c r="AF1289" s="1">
        <v>1977</v>
      </c>
      <c r="AG1289" s="1" t="s">
        <v>213</v>
      </c>
      <c r="AH1289" s="1" t="s">
        <v>902</v>
      </c>
      <c r="AI1289" s="1" t="s">
        <v>206</v>
      </c>
      <c r="AJ1289" s="1" t="s">
        <v>903</v>
      </c>
      <c r="AL1289" s="1">
        <v>5</v>
      </c>
      <c r="AM1289" s="1">
        <v>2</v>
      </c>
      <c r="AN1289" s="1">
        <v>2</v>
      </c>
      <c r="AO1289" s="1">
        <v>0</v>
      </c>
      <c r="AP1289" s="1" t="s">
        <v>209</v>
      </c>
      <c r="AR1289" s="1" t="s">
        <v>210</v>
      </c>
      <c r="AS1289" s="1" t="s">
        <v>204</v>
      </c>
      <c r="AT1289" s="1" t="s">
        <v>211</v>
      </c>
      <c r="AU1289" s="1">
        <v>1</v>
      </c>
      <c r="AW1289" s="1" t="s">
        <v>204</v>
      </c>
      <c r="AX1289" s="1" t="s">
        <v>212</v>
      </c>
      <c r="AZ1289" s="1">
        <v>2890.12</v>
      </c>
      <c r="BA1289" s="1">
        <v>2013</v>
      </c>
      <c r="BB1289" s="1" t="s">
        <v>405</v>
      </c>
      <c r="BE1289" s="1">
        <v>1081</v>
      </c>
      <c r="BF1289" s="1">
        <v>2</v>
      </c>
      <c r="BG1289" s="1">
        <v>30</v>
      </c>
      <c r="BJ1289" s="1">
        <v>100</v>
      </c>
      <c r="BL1289" s="1">
        <v>254</v>
      </c>
      <c r="BM1289" s="1" t="s">
        <v>204</v>
      </c>
      <c r="BN1289" s="1" t="s">
        <v>213</v>
      </c>
      <c r="BO1289" s="1">
        <v>40</v>
      </c>
      <c r="BP1289" s="1" t="s">
        <v>204</v>
      </c>
      <c r="BR1289" s="1" t="str">
        <f>"0927320020"</f>
        <v>0927320020</v>
      </c>
      <c r="BT1289" s="1" t="s">
        <v>13061</v>
      </c>
      <c r="BU1289" s="1" t="s">
        <v>3097</v>
      </c>
      <c r="BV1289" s="1" t="s">
        <v>3098</v>
      </c>
      <c r="BW1289" s="1" t="s">
        <v>907</v>
      </c>
      <c r="BX1289" s="1">
        <v>61</v>
      </c>
      <c r="BY1289" s="1">
        <v>61</v>
      </c>
      <c r="BZ1289" s="1">
        <v>86</v>
      </c>
      <c r="CB1289" s="1" t="str">
        <f t="shared" ref="CB1289:CC1289" si="992">""</f>
        <v/>
      </c>
      <c r="CC1289" s="1" t="str">
        <f t="shared" si="992"/>
        <v/>
      </c>
      <c r="CG1289" s="1" t="s">
        <v>218</v>
      </c>
      <c r="CH1289" s="1" t="s">
        <v>277</v>
      </c>
      <c r="CI1289" s="1" t="s">
        <v>438</v>
      </c>
      <c r="CJ1289" s="1" t="s">
        <v>463</v>
      </c>
      <c r="CK1289" s="1" t="s">
        <v>729</v>
      </c>
      <c r="CL1289" s="1" t="s">
        <v>277</v>
      </c>
      <c r="CM1289" s="1" t="s">
        <v>438</v>
      </c>
      <c r="CN1289" s="1" t="s">
        <v>2449</v>
      </c>
      <c r="CO1289" s="1" t="s">
        <v>318</v>
      </c>
      <c r="CP1289" s="1" t="s">
        <v>277</v>
      </c>
      <c r="CQ1289" s="1" t="s">
        <v>438</v>
      </c>
      <c r="CR1289" s="1" t="s">
        <v>210</v>
      </c>
      <c r="CS1289" s="1" t="s">
        <v>317</v>
      </c>
      <c r="CT1289" s="1" t="s">
        <v>277</v>
      </c>
      <c r="CU1289" s="1" t="s">
        <v>438</v>
      </c>
      <c r="CV1289" s="1" t="s">
        <v>439</v>
      </c>
      <c r="CX1289" s="1" t="s">
        <v>224</v>
      </c>
      <c r="DB1289" s="1" t="s">
        <v>224</v>
      </c>
      <c r="DE1289" s="1" t="s">
        <v>318</v>
      </c>
      <c r="DF1289" s="1" t="s">
        <v>277</v>
      </c>
      <c r="DG1289" s="1" t="s">
        <v>4958</v>
      </c>
      <c r="DH1289" s="1" t="s">
        <v>210</v>
      </c>
      <c r="DJ1289" s="1" t="s">
        <v>224</v>
      </c>
      <c r="DM1289" s="1" t="s">
        <v>1614</v>
      </c>
      <c r="DN1289" s="1" t="s">
        <v>1771</v>
      </c>
      <c r="DO1289" s="1" t="s">
        <v>838</v>
      </c>
      <c r="DR1289" s="1" t="s">
        <v>3046</v>
      </c>
      <c r="DS1289" s="1" t="s">
        <v>219</v>
      </c>
      <c r="DV1289" s="1" t="s">
        <v>9678</v>
      </c>
      <c r="DW1289" s="1" t="s">
        <v>219</v>
      </c>
      <c r="DZ1289" s="1" t="s">
        <v>9678</v>
      </c>
      <c r="EA1289" s="1" t="s">
        <v>219</v>
      </c>
      <c r="EE1289" s="1" t="s">
        <v>230</v>
      </c>
      <c r="EI1289" s="1" t="s">
        <v>230</v>
      </c>
      <c r="EL1289" s="1" t="s">
        <v>231</v>
      </c>
      <c r="EM1289" s="1" t="s">
        <v>232</v>
      </c>
      <c r="EN1289" s="1" t="s">
        <v>282</v>
      </c>
      <c r="EO1289" s="1" t="s">
        <v>234</v>
      </c>
      <c r="EP1289" s="1" t="s">
        <v>13062</v>
      </c>
      <c r="EQ1289" s="1" t="s">
        <v>11523</v>
      </c>
      <c r="ER1289" s="1" t="s">
        <v>210</v>
      </c>
      <c r="ES1289" s="1" t="s">
        <v>824</v>
      </c>
      <c r="EU1289" s="1" t="s">
        <v>3670</v>
      </c>
      <c r="EV1289" s="1" t="s">
        <v>324</v>
      </c>
      <c r="EW1289" s="1" t="s">
        <v>13063</v>
      </c>
      <c r="EZ1289" s="1" t="s">
        <v>13064</v>
      </c>
      <c r="FB1289" s="1" t="s">
        <v>289</v>
      </c>
      <c r="FC1289" s="1" t="s">
        <v>548</v>
      </c>
      <c r="FD1289" s="1" t="s">
        <v>495</v>
      </c>
      <c r="FE1289" s="1" t="s">
        <v>247</v>
      </c>
      <c r="FF1289" s="1" t="s">
        <v>3103</v>
      </c>
      <c r="FH1289" s="1" t="s">
        <v>249</v>
      </c>
      <c r="FI1289" s="1" t="s">
        <v>634</v>
      </c>
      <c r="FL1289" s="1" t="s">
        <v>358</v>
      </c>
      <c r="FM1289" s="1" t="s">
        <v>252</v>
      </c>
      <c r="FN1289" s="1" t="s">
        <v>213</v>
      </c>
      <c r="FO1289" s="1" t="s">
        <v>213</v>
      </c>
      <c r="FQ1289" s="1" t="s">
        <v>13065</v>
      </c>
      <c r="FR1289" s="1" t="s">
        <v>210</v>
      </c>
      <c r="FS1289" s="1" t="s">
        <v>2541</v>
      </c>
      <c r="FT1289" s="1" t="s">
        <v>295</v>
      </c>
      <c r="FU1289" s="1" t="s">
        <v>204</v>
      </c>
      <c r="FW1289" s="1" t="s">
        <v>5648</v>
      </c>
      <c r="FX1289" s="1">
        <v>23099</v>
      </c>
      <c r="FY1289" s="1" t="s">
        <v>5649</v>
      </c>
      <c r="FZ1289" s="1" t="s">
        <v>13066</v>
      </c>
      <c r="GA1289" s="1">
        <v>225033</v>
      </c>
      <c r="GB1289" s="1" t="s">
        <v>13067</v>
      </c>
      <c r="GC1289" s="1">
        <v>210181</v>
      </c>
      <c r="GE1289" s="1" t="s">
        <v>1764</v>
      </c>
      <c r="GI1289" s="1" t="s">
        <v>213</v>
      </c>
      <c r="GJ1289" s="1" t="s">
        <v>260</v>
      </c>
      <c r="GK1289" s="1" t="s">
        <v>210</v>
      </c>
      <c r="GL1289" s="2">
        <v>42126</v>
      </c>
      <c r="GM1289" s="1" t="s">
        <v>13068</v>
      </c>
    </row>
    <row r="1290" spans="1:195">
      <c r="A1290" s="1">
        <v>84000</v>
      </c>
      <c r="B1290" s="1" t="s">
        <v>195</v>
      </c>
      <c r="C1290" s="1" t="str">
        <f>"08865105"</f>
        <v>08865105</v>
      </c>
      <c r="D1290" s="1" t="s">
        <v>196</v>
      </c>
      <c r="F1290" s="1" t="str">
        <f>"123"</f>
        <v>123</v>
      </c>
      <c r="G1290" s="2">
        <v>42081</v>
      </c>
      <c r="H1290" s="1">
        <v>89900</v>
      </c>
      <c r="I1290" s="1">
        <v>89900</v>
      </c>
      <c r="J1290" s="1">
        <v>84000</v>
      </c>
      <c r="K1290" s="2">
        <v>42081</v>
      </c>
      <c r="L1290" s="1">
        <v>13</v>
      </c>
      <c r="M1290" s="2">
        <v>42093</v>
      </c>
      <c r="N1290" s="1">
        <v>13</v>
      </c>
      <c r="O1290" s="2">
        <v>42093</v>
      </c>
      <c r="P1290" s="1">
        <v>7450</v>
      </c>
      <c r="Q1290" s="1" t="s">
        <v>302</v>
      </c>
      <c r="R1290" s="2">
        <v>42111</v>
      </c>
      <c r="S1290" s="1">
        <v>70036</v>
      </c>
      <c r="U1290" s="1">
        <v>1135</v>
      </c>
      <c r="V1290" s="1" t="s">
        <v>13069</v>
      </c>
      <c r="W1290" s="1" t="s">
        <v>264</v>
      </c>
      <c r="Y1290" s="1">
        <v>2</v>
      </c>
      <c r="Z1290" s="1" t="s">
        <v>200</v>
      </c>
      <c r="AA1290" s="1" t="s">
        <v>1173</v>
      </c>
      <c r="AB1290" s="1">
        <v>60123</v>
      </c>
      <c r="AD1290" s="1" t="s">
        <v>13070</v>
      </c>
      <c r="AE1290" s="1" t="s">
        <v>13071</v>
      </c>
      <c r="AF1290" s="1">
        <v>1969</v>
      </c>
      <c r="AG1290" s="1" t="s">
        <v>213</v>
      </c>
      <c r="AH1290" s="1" t="s">
        <v>1175</v>
      </c>
      <c r="AI1290" s="1" t="s">
        <v>665</v>
      </c>
      <c r="AJ1290" s="1" t="s">
        <v>1175</v>
      </c>
      <c r="AK1290" s="1" t="s">
        <v>13072</v>
      </c>
      <c r="AL1290" s="1">
        <v>7</v>
      </c>
      <c r="AM1290" s="1">
        <v>2</v>
      </c>
      <c r="AN1290" s="1">
        <v>2</v>
      </c>
      <c r="AO1290" s="1">
        <v>0</v>
      </c>
      <c r="AP1290" s="1" t="s">
        <v>210</v>
      </c>
      <c r="AQ1290" s="1">
        <v>0</v>
      </c>
      <c r="AR1290" s="1" t="s">
        <v>209</v>
      </c>
      <c r="AS1290" s="1" t="s">
        <v>204</v>
      </c>
      <c r="AT1290" s="1" t="s">
        <v>211</v>
      </c>
      <c r="AU1290" s="1">
        <v>1</v>
      </c>
      <c r="AW1290" s="1" t="s">
        <v>204</v>
      </c>
      <c r="AX1290" s="1" t="s">
        <v>13073</v>
      </c>
      <c r="AZ1290" s="1">
        <v>2448</v>
      </c>
      <c r="BA1290" s="1">
        <v>2013</v>
      </c>
      <c r="BB1290" s="1" t="s">
        <v>405</v>
      </c>
      <c r="BE1290" s="1">
        <v>914</v>
      </c>
      <c r="BF1290" s="1">
        <v>1</v>
      </c>
      <c r="BG1290" s="1">
        <v>0</v>
      </c>
      <c r="BL1290" s="1">
        <v>0</v>
      </c>
      <c r="BM1290" s="1" t="s">
        <v>204</v>
      </c>
      <c r="BN1290" s="1" t="s">
        <v>213</v>
      </c>
      <c r="BO1290" s="1">
        <v>999</v>
      </c>
      <c r="BP1290" s="1" t="s">
        <v>204</v>
      </c>
      <c r="BR1290" s="1" t="str">
        <f>"0603455023"</f>
        <v>0603455023</v>
      </c>
      <c r="BT1290" s="1" t="s">
        <v>13074</v>
      </c>
      <c r="BX1290" s="1">
        <v>46</v>
      </c>
      <c r="BY1290" s="1">
        <v>46</v>
      </c>
      <c r="BZ1290" s="1">
        <v>46</v>
      </c>
      <c r="CB1290" s="1" t="str">
        <f>"13"</f>
        <v>13</v>
      </c>
      <c r="CC1290" s="1" t="str">
        <f>"0"</f>
        <v>0</v>
      </c>
      <c r="CD1290" s="1">
        <v>36</v>
      </c>
      <c r="CE1290" s="1">
        <v>0</v>
      </c>
      <c r="CG1290" s="1" t="s">
        <v>10475</v>
      </c>
      <c r="CH1290" s="1" t="s">
        <v>219</v>
      </c>
      <c r="CI1290" s="1" t="s">
        <v>229</v>
      </c>
      <c r="CK1290" s="1" t="s">
        <v>317</v>
      </c>
      <c r="CL1290" s="1" t="s">
        <v>219</v>
      </c>
      <c r="CM1290" s="1" t="s">
        <v>229</v>
      </c>
      <c r="CP1290" s="1" t="s">
        <v>224</v>
      </c>
      <c r="CS1290" s="1" t="s">
        <v>2138</v>
      </c>
      <c r="CT1290" s="1" t="s">
        <v>219</v>
      </c>
      <c r="CU1290" s="1" t="s">
        <v>229</v>
      </c>
      <c r="CX1290" s="1" t="s">
        <v>224</v>
      </c>
      <c r="DB1290" s="1" t="s">
        <v>224</v>
      </c>
      <c r="DE1290" s="1" t="s">
        <v>837</v>
      </c>
      <c r="DF1290" s="1" t="s">
        <v>219</v>
      </c>
      <c r="DG1290" s="1" t="s">
        <v>226</v>
      </c>
      <c r="DI1290" s="1" t="s">
        <v>437</v>
      </c>
      <c r="DJ1290" s="1" t="s">
        <v>43</v>
      </c>
      <c r="DK1290" s="1" t="s">
        <v>347</v>
      </c>
      <c r="DM1290" s="1" t="s">
        <v>1005</v>
      </c>
      <c r="DN1290" s="1" t="s">
        <v>13075</v>
      </c>
      <c r="DR1290" s="1" t="s">
        <v>836</v>
      </c>
      <c r="DS1290" s="1" t="s">
        <v>43</v>
      </c>
      <c r="DT1290" s="1" t="s">
        <v>342</v>
      </c>
      <c r="DV1290" s="1" t="s">
        <v>630</v>
      </c>
      <c r="DW1290" s="1" t="s">
        <v>43</v>
      </c>
      <c r="DX1290" s="1" t="s">
        <v>342</v>
      </c>
      <c r="EA1290" s="1" t="s">
        <v>230</v>
      </c>
      <c r="EE1290" s="1" t="s">
        <v>230</v>
      </c>
      <c r="EI1290" s="1" t="s">
        <v>230</v>
      </c>
      <c r="EL1290" s="1" t="s">
        <v>605</v>
      </c>
      <c r="EM1290" s="1" t="s">
        <v>319</v>
      </c>
      <c r="EN1290" s="1" t="s">
        <v>282</v>
      </c>
      <c r="EO1290" s="1" t="s">
        <v>234</v>
      </c>
      <c r="EP1290" s="1" t="s">
        <v>650</v>
      </c>
      <c r="EQ1290" s="1" t="s">
        <v>12277</v>
      </c>
      <c r="ER1290" s="1" t="s">
        <v>351</v>
      </c>
      <c r="ES1290" s="1" t="s">
        <v>322</v>
      </c>
      <c r="EU1290" s="1" t="s">
        <v>546</v>
      </c>
      <c r="EW1290" s="1" t="s">
        <v>210</v>
      </c>
      <c r="EY1290" s="1" t="s">
        <v>242</v>
      </c>
      <c r="EZ1290" s="1" t="s">
        <v>13076</v>
      </c>
      <c r="FA1290" s="1" t="s">
        <v>5405</v>
      </c>
      <c r="FC1290" s="1" t="s">
        <v>326</v>
      </c>
      <c r="FD1290" s="1" t="s">
        <v>246</v>
      </c>
      <c r="FE1290" s="1" t="s">
        <v>651</v>
      </c>
      <c r="FF1290" s="1" t="s">
        <v>248</v>
      </c>
      <c r="FH1290" s="1" t="s">
        <v>442</v>
      </c>
      <c r="FI1290" s="1" t="s">
        <v>473</v>
      </c>
      <c r="FJ1290" s="1" t="s">
        <v>518</v>
      </c>
      <c r="FL1290" s="1" t="s">
        <v>358</v>
      </c>
      <c r="FM1290" s="1" t="s">
        <v>252</v>
      </c>
      <c r="FN1290" s="1" t="s">
        <v>213</v>
      </c>
      <c r="FO1290" s="1" t="s">
        <v>213</v>
      </c>
      <c r="FQ1290" s="1" t="s">
        <v>1032</v>
      </c>
      <c r="FR1290" s="1" t="s">
        <v>652</v>
      </c>
      <c r="FS1290" s="1" t="s">
        <v>9744</v>
      </c>
      <c r="FT1290" s="1" t="s">
        <v>295</v>
      </c>
      <c r="FU1290" s="1" t="s">
        <v>204</v>
      </c>
      <c r="FW1290" s="1" t="s">
        <v>3291</v>
      </c>
      <c r="FX1290" s="1">
        <v>7450</v>
      </c>
      <c r="FY1290" s="1" t="s">
        <v>3292</v>
      </c>
      <c r="FZ1290" s="1" t="s">
        <v>9746</v>
      </c>
      <c r="GA1290" s="1">
        <v>70036</v>
      </c>
      <c r="GB1290" s="1" t="s">
        <v>9747</v>
      </c>
      <c r="GC1290" s="1">
        <v>77640</v>
      </c>
      <c r="GE1290" s="1" t="s">
        <v>210</v>
      </c>
      <c r="GI1290" s="1" t="s">
        <v>213</v>
      </c>
      <c r="GJ1290" s="1" t="s">
        <v>260</v>
      </c>
      <c r="GK1290" s="1" t="s">
        <v>261</v>
      </c>
      <c r="GL1290" s="2">
        <v>42111</v>
      </c>
      <c r="GM1290" s="1" t="s">
        <v>13077</v>
      </c>
    </row>
    <row r="1291" spans="1:195">
      <c r="A1291" s="1">
        <v>147100</v>
      </c>
      <c r="B1291" s="1" t="s">
        <v>195</v>
      </c>
      <c r="C1291" s="1" t="str">
        <f>"08868510"</f>
        <v>08868510</v>
      </c>
      <c r="D1291" s="1" t="s">
        <v>196</v>
      </c>
      <c r="F1291" s="1" t="str">
        <f>"188"</f>
        <v>188</v>
      </c>
      <c r="G1291" s="2">
        <v>42084</v>
      </c>
      <c r="H1291" s="1">
        <v>145000</v>
      </c>
      <c r="I1291" s="1">
        <v>145000</v>
      </c>
      <c r="J1291" s="1">
        <v>147100</v>
      </c>
      <c r="K1291" s="2">
        <v>42082</v>
      </c>
      <c r="L1291" s="1">
        <v>6</v>
      </c>
      <c r="M1291" s="2">
        <v>42087</v>
      </c>
      <c r="N1291" s="1">
        <v>6</v>
      </c>
      <c r="O1291" s="2">
        <v>42087</v>
      </c>
      <c r="P1291" s="1">
        <v>25088</v>
      </c>
      <c r="Q1291" s="1" t="s">
        <v>197</v>
      </c>
      <c r="R1291" s="2">
        <v>42118</v>
      </c>
      <c r="S1291" s="1">
        <v>230422</v>
      </c>
      <c r="U1291" s="1">
        <v>781</v>
      </c>
      <c r="V1291" s="1" t="s">
        <v>13078</v>
      </c>
      <c r="W1291" s="1" t="s">
        <v>264</v>
      </c>
      <c r="Y1291" s="1">
        <v>1</v>
      </c>
      <c r="Z1291" s="1" t="s">
        <v>370</v>
      </c>
      <c r="AA1291" s="1" t="s">
        <v>1084</v>
      </c>
      <c r="AB1291" s="1">
        <v>60188</v>
      </c>
      <c r="AD1291" s="1" t="s">
        <v>8557</v>
      </c>
      <c r="AE1291" s="1" t="s">
        <v>13079</v>
      </c>
      <c r="AF1291" s="1">
        <v>1990</v>
      </c>
      <c r="AG1291" s="1" t="s">
        <v>204</v>
      </c>
      <c r="AH1291" s="1" t="s">
        <v>1087</v>
      </c>
      <c r="AI1291" s="1" t="s">
        <v>206</v>
      </c>
      <c r="AJ1291" s="1" t="s">
        <v>269</v>
      </c>
      <c r="AL1291" s="1">
        <v>6</v>
      </c>
      <c r="AM1291" s="1">
        <v>2</v>
      </c>
      <c r="AN1291" s="1">
        <v>2</v>
      </c>
      <c r="AO1291" s="1">
        <v>0</v>
      </c>
      <c r="AP1291" s="1" t="s">
        <v>209</v>
      </c>
      <c r="AQ1291" s="1">
        <v>1</v>
      </c>
      <c r="AR1291" s="1" t="s">
        <v>209</v>
      </c>
      <c r="AS1291" s="1" t="s">
        <v>204</v>
      </c>
      <c r="AT1291" s="1" t="s">
        <v>211</v>
      </c>
      <c r="AU1291" s="1">
        <v>1</v>
      </c>
      <c r="AW1291" s="1" t="s">
        <v>204</v>
      </c>
      <c r="AX1291" s="1" t="s">
        <v>212</v>
      </c>
      <c r="AZ1291" s="1">
        <v>3996</v>
      </c>
      <c r="BA1291" s="1">
        <v>2013</v>
      </c>
      <c r="BE1291" s="1">
        <v>1210</v>
      </c>
      <c r="BF1291" s="1">
        <v>1</v>
      </c>
      <c r="BG1291" s="1">
        <v>0</v>
      </c>
      <c r="BL1291" s="1">
        <v>181</v>
      </c>
      <c r="BM1291" s="1" t="s">
        <v>204</v>
      </c>
      <c r="BN1291" s="1" t="s">
        <v>213</v>
      </c>
      <c r="BO1291" s="1">
        <v>99</v>
      </c>
      <c r="BP1291" s="1" t="s">
        <v>204</v>
      </c>
      <c r="BR1291" s="1" t="str">
        <f>"0229123017"</f>
        <v>0229123017</v>
      </c>
      <c r="BT1291" s="1" t="s">
        <v>13080</v>
      </c>
      <c r="BX1291" s="1">
        <v>93</v>
      </c>
      <c r="BY1291" s="1">
        <v>93</v>
      </c>
      <c r="BZ1291" s="1">
        <v>87</v>
      </c>
      <c r="CB1291" s="1" t="str">
        <f t="shared" ref="CB1291:CC1291" si="993">""</f>
        <v/>
      </c>
      <c r="CC1291" s="1" t="str">
        <f t="shared" si="993"/>
        <v/>
      </c>
      <c r="CG1291" s="1" t="s">
        <v>1267</v>
      </c>
      <c r="CH1291" s="1" t="s">
        <v>219</v>
      </c>
      <c r="CI1291" s="1" t="s">
        <v>220</v>
      </c>
      <c r="CK1291" s="1" t="s">
        <v>757</v>
      </c>
      <c r="CL1291" s="1" t="s">
        <v>219</v>
      </c>
      <c r="CM1291" s="1" t="s">
        <v>220</v>
      </c>
      <c r="CO1291" s="1" t="s">
        <v>344</v>
      </c>
      <c r="CP1291" s="1" t="s">
        <v>219</v>
      </c>
      <c r="CQ1291" s="1" t="s">
        <v>220</v>
      </c>
      <c r="CS1291" s="1" t="s">
        <v>379</v>
      </c>
      <c r="CT1291" s="1" t="s">
        <v>219</v>
      </c>
      <c r="CU1291" s="1" t="s">
        <v>220</v>
      </c>
      <c r="CW1291" s="1" t="s">
        <v>346</v>
      </c>
      <c r="CX1291" s="1" t="s">
        <v>43</v>
      </c>
      <c r="CY1291" s="1" t="s">
        <v>220</v>
      </c>
      <c r="DB1291" s="1" t="s">
        <v>224</v>
      </c>
      <c r="DE1291" s="1" t="s">
        <v>1358</v>
      </c>
      <c r="DF1291" s="1" t="s">
        <v>219</v>
      </c>
      <c r="DJ1291" s="1" t="s">
        <v>224</v>
      </c>
      <c r="DS1291" s="1" t="s">
        <v>230</v>
      </c>
      <c r="DW1291" s="1" t="s">
        <v>230</v>
      </c>
      <c r="EA1291" s="1" t="s">
        <v>230</v>
      </c>
      <c r="EE1291" s="1" t="s">
        <v>230</v>
      </c>
      <c r="EI1291" s="1" t="s">
        <v>230</v>
      </c>
      <c r="EL1291" s="1" t="s">
        <v>382</v>
      </c>
      <c r="EM1291" s="1" t="s">
        <v>319</v>
      </c>
      <c r="EN1291" s="1" t="s">
        <v>282</v>
      </c>
      <c r="EO1291" s="1" t="s">
        <v>234</v>
      </c>
      <c r="EQ1291" s="1" t="s">
        <v>468</v>
      </c>
      <c r="ER1291" s="1" t="s">
        <v>544</v>
      </c>
      <c r="ES1291" s="1" t="s">
        <v>322</v>
      </c>
      <c r="EU1291" s="1" t="s">
        <v>239</v>
      </c>
      <c r="EV1291" s="1" t="s">
        <v>324</v>
      </c>
      <c r="EW1291" s="1" t="s">
        <v>1250</v>
      </c>
      <c r="EZ1291" s="1" t="s">
        <v>287</v>
      </c>
      <c r="FA1291" s="1" t="s">
        <v>5059</v>
      </c>
      <c r="FD1291" s="1" t="s">
        <v>495</v>
      </c>
      <c r="FE1291" s="1" t="s">
        <v>975</v>
      </c>
      <c r="FF1291" s="1" t="s">
        <v>248</v>
      </c>
      <c r="FG1291" s="1" t="s">
        <v>939</v>
      </c>
      <c r="FH1291" s="1" t="s">
        <v>825</v>
      </c>
      <c r="FI1291" s="1" t="s">
        <v>473</v>
      </c>
      <c r="FL1291" s="1" t="s">
        <v>358</v>
      </c>
      <c r="FM1291" s="1" t="s">
        <v>252</v>
      </c>
      <c r="FN1291" s="1" t="s">
        <v>213</v>
      </c>
      <c r="FO1291" s="1" t="s">
        <v>213</v>
      </c>
      <c r="FQ1291" s="1" t="s">
        <v>5060</v>
      </c>
      <c r="FR1291" s="1" t="s">
        <v>210</v>
      </c>
      <c r="FS1291" s="1" t="s">
        <v>13081</v>
      </c>
      <c r="FT1291" s="1" t="s">
        <v>1408</v>
      </c>
      <c r="FU1291" s="1" t="s">
        <v>204</v>
      </c>
      <c r="FW1291" s="1" t="s">
        <v>3546</v>
      </c>
      <c r="FX1291" s="1">
        <v>24695</v>
      </c>
      <c r="FY1291" s="1" t="s">
        <v>3547</v>
      </c>
      <c r="FZ1291" s="1" t="s">
        <v>6213</v>
      </c>
      <c r="GA1291" s="1">
        <v>20691</v>
      </c>
      <c r="GB1291" s="1" t="s">
        <v>6214</v>
      </c>
      <c r="GD1291" s="1" t="s">
        <v>13082</v>
      </c>
      <c r="GE1291" s="1" t="s">
        <v>1576</v>
      </c>
      <c r="GI1291" s="1" t="s">
        <v>213</v>
      </c>
      <c r="GJ1291" s="1" t="s">
        <v>260</v>
      </c>
      <c r="GK1291" s="1" t="s">
        <v>210</v>
      </c>
      <c r="GL1291" s="2">
        <v>42118</v>
      </c>
      <c r="GM1291" s="1" t="s">
        <v>13083</v>
      </c>
    </row>
    <row r="1292" spans="1:195">
      <c r="A1292" s="1">
        <v>238000</v>
      </c>
      <c r="B1292" s="1" t="s">
        <v>195</v>
      </c>
      <c r="C1292" s="1" t="str">
        <f>"08869344"</f>
        <v>08869344</v>
      </c>
      <c r="D1292" s="1" t="s">
        <v>196</v>
      </c>
      <c r="F1292" s="1" t="str">
        <f>"104"</f>
        <v>104</v>
      </c>
      <c r="G1292" s="2">
        <v>42086</v>
      </c>
      <c r="H1292" s="1">
        <v>244900</v>
      </c>
      <c r="I1292" s="1">
        <v>244900</v>
      </c>
      <c r="J1292" s="1">
        <v>238000</v>
      </c>
      <c r="K1292" s="2">
        <v>42085</v>
      </c>
      <c r="L1292" s="1">
        <v>21</v>
      </c>
      <c r="M1292" s="2">
        <v>42105</v>
      </c>
      <c r="N1292" s="1">
        <v>21</v>
      </c>
      <c r="O1292" s="2">
        <v>42105</v>
      </c>
      <c r="P1292" s="1">
        <v>25097</v>
      </c>
      <c r="Q1292" s="1" t="s">
        <v>197</v>
      </c>
      <c r="R1292" s="2">
        <v>42145</v>
      </c>
      <c r="S1292" s="1">
        <v>240840</v>
      </c>
      <c r="U1292" s="1">
        <v>479</v>
      </c>
      <c r="V1292" s="1" t="s">
        <v>13084</v>
      </c>
      <c r="W1292" s="1" t="s">
        <v>425</v>
      </c>
      <c r="Y1292" s="1">
        <v>4</v>
      </c>
      <c r="Z1292" s="1" t="s">
        <v>200</v>
      </c>
      <c r="AA1292" s="1" t="s">
        <v>371</v>
      </c>
      <c r="AB1292" s="1">
        <v>60103</v>
      </c>
      <c r="AD1292" s="1" t="s">
        <v>8253</v>
      </c>
      <c r="AE1292" s="1" t="s">
        <v>13085</v>
      </c>
      <c r="AF1292" s="1">
        <v>2008</v>
      </c>
      <c r="AG1292" s="1" t="s">
        <v>204</v>
      </c>
      <c r="AH1292" s="1" t="s">
        <v>373</v>
      </c>
      <c r="AI1292" s="1" t="s">
        <v>310</v>
      </c>
      <c r="AJ1292" s="1" t="s">
        <v>374</v>
      </c>
      <c r="AK1292" s="1" t="s">
        <v>13086</v>
      </c>
      <c r="AL1292" s="1">
        <v>6</v>
      </c>
      <c r="AM1292" s="1">
        <v>2</v>
      </c>
      <c r="AN1292" s="1">
        <v>2</v>
      </c>
      <c r="AO1292" s="1">
        <v>1</v>
      </c>
      <c r="AP1292" s="1" t="s">
        <v>209</v>
      </c>
      <c r="AQ1292" s="1">
        <v>1</v>
      </c>
      <c r="AR1292" s="1" t="s">
        <v>1421</v>
      </c>
      <c r="AS1292" s="1" t="s">
        <v>213</v>
      </c>
      <c r="AT1292" s="1" t="s">
        <v>211</v>
      </c>
      <c r="AU1292" s="1">
        <v>2</v>
      </c>
      <c r="AW1292" s="1" t="s">
        <v>204</v>
      </c>
      <c r="AX1292" s="1" t="s">
        <v>212</v>
      </c>
      <c r="AZ1292" s="1">
        <v>7095.84</v>
      </c>
      <c r="BA1292" s="1">
        <v>2013</v>
      </c>
      <c r="BB1292" s="1" t="s">
        <v>599</v>
      </c>
      <c r="BE1292" s="1">
        <v>2000</v>
      </c>
      <c r="BF1292" s="1">
        <v>1</v>
      </c>
      <c r="BG1292" s="1">
        <v>0</v>
      </c>
      <c r="BL1292" s="1">
        <v>140</v>
      </c>
      <c r="BM1292" s="1" t="s">
        <v>204</v>
      </c>
      <c r="BN1292" s="1" t="s">
        <v>213</v>
      </c>
      <c r="BO1292" s="1">
        <v>0</v>
      </c>
      <c r="BP1292" s="1" t="s">
        <v>204</v>
      </c>
      <c r="BR1292" s="1" t="str">
        <f>"06353220150000"</f>
        <v>06353220150000</v>
      </c>
      <c r="BT1292" s="1" t="s">
        <v>13087</v>
      </c>
      <c r="BU1292" s="1" t="s">
        <v>1815</v>
      </c>
      <c r="BV1292" s="1" t="s">
        <v>1816</v>
      </c>
      <c r="BW1292" s="1" t="s">
        <v>13088</v>
      </c>
      <c r="BX1292" s="1">
        <v>46</v>
      </c>
      <c r="BY1292" s="1">
        <v>46</v>
      </c>
      <c r="BZ1292" s="1">
        <v>46</v>
      </c>
      <c r="CB1292" s="1" t="str">
        <f t="shared" ref="CB1292:CC1292" si="994">""</f>
        <v/>
      </c>
      <c r="CC1292" s="1" t="str">
        <f t="shared" si="994"/>
        <v/>
      </c>
      <c r="CG1292" s="1" t="s">
        <v>669</v>
      </c>
      <c r="CH1292" s="1" t="s">
        <v>219</v>
      </c>
      <c r="CI1292" s="1" t="s">
        <v>438</v>
      </c>
      <c r="CJ1292" s="1" t="s">
        <v>909</v>
      </c>
      <c r="CK1292" s="1" t="s">
        <v>932</v>
      </c>
      <c r="CL1292" s="1" t="s">
        <v>219</v>
      </c>
      <c r="CM1292" s="1" t="s">
        <v>220</v>
      </c>
      <c r="CN1292" s="1" t="s">
        <v>909</v>
      </c>
      <c r="CO1292" s="1" t="s">
        <v>379</v>
      </c>
      <c r="CP1292" s="1" t="s">
        <v>219</v>
      </c>
      <c r="CQ1292" s="1" t="s">
        <v>438</v>
      </c>
      <c r="CR1292" s="1" t="s">
        <v>909</v>
      </c>
      <c r="CS1292" s="1" t="s">
        <v>2122</v>
      </c>
      <c r="CT1292" s="1" t="s">
        <v>219</v>
      </c>
      <c r="CU1292" s="1" t="s">
        <v>438</v>
      </c>
      <c r="CV1292" s="1" t="s">
        <v>909</v>
      </c>
      <c r="CX1292" s="1" t="s">
        <v>224</v>
      </c>
      <c r="DB1292" s="1" t="s">
        <v>224</v>
      </c>
      <c r="DE1292" s="1" t="s">
        <v>1107</v>
      </c>
      <c r="DF1292" s="1" t="s">
        <v>219</v>
      </c>
      <c r="DG1292" s="1" t="s">
        <v>438</v>
      </c>
      <c r="DI1292" s="1" t="s">
        <v>3071</v>
      </c>
      <c r="DJ1292" s="1" t="s">
        <v>822</v>
      </c>
      <c r="DK1292" s="1" t="s">
        <v>220</v>
      </c>
      <c r="DL1292" s="1" t="s">
        <v>343</v>
      </c>
      <c r="DS1292" s="1" t="s">
        <v>230</v>
      </c>
      <c r="DW1292" s="1" t="s">
        <v>230</v>
      </c>
      <c r="EA1292" s="1" t="s">
        <v>230</v>
      </c>
      <c r="EE1292" s="1" t="s">
        <v>230</v>
      </c>
      <c r="EI1292" s="1" t="s">
        <v>230</v>
      </c>
      <c r="EL1292" s="1" t="s">
        <v>491</v>
      </c>
      <c r="EM1292" s="1" t="s">
        <v>319</v>
      </c>
      <c r="EN1292" s="1" t="s">
        <v>282</v>
      </c>
      <c r="EO1292" s="1" t="s">
        <v>1020</v>
      </c>
      <c r="EQ1292" s="1" t="s">
        <v>2188</v>
      </c>
      <c r="ER1292" s="1" t="s">
        <v>544</v>
      </c>
      <c r="ES1292" s="1" t="s">
        <v>493</v>
      </c>
      <c r="EV1292" s="1" t="s">
        <v>240</v>
      </c>
      <c r="EW1292" s="1" t="s">
        <v>353</v>
      </c>
      <c r="EZ1292" s="1" t="s">
        <v>287</v>
      </c>
      <c r="FD1292" s="1" t="s">
        <v>246</v>
      </c>
      <c r="FE1292" s="1" t="s">
        <v>1031</v>
      </c>
      <c r="FF1292" s="1" t="s">
        <v>248</v>
      </c>
      <c r="FG1292" s="1" t="s">
        <v>912</v>
      </c>
      <c r="FH1292" s="1" t="s">
        <v>550</v>
      </c>
      <c r="FL1292" s="1" t="s">
        <v>358</v>
      </c>
      <c r="FM1292" s="1" t="s">
        <v>252</v>
      </c>
      <c r="FN1292" s="1" t="s">
        <v>213</v>
      </c>
      <c r="FO1292" s="1" t="s">
        <v>213</v>
      </c>
      <c r="FQ1292" s="1" t="s">
        <v>1473</v>
      </c>
      <c r="FR1292" s="1" t="s">
        <v>210</v>
      </c>
      <c r="FS1292" s="1" t="s">
        <v>13089</v>
      </c>
      <c r="FT1292" s="1" t="s">
        <v>295</v>
      </c>
      <c r="FU1292" s="1" t="s">
        <v>204</v>
      </c>
      <c r="FW1292" s="1" t="s">
        <v>1097</v>
      </c>
      <c r="FX1292" s="1">
        <v>8094</v>
      </c>
      <c r="FY1292" s="1" t="s">
        <v>1829</v>
      </c>
      <c r="FZ1292" s="1" t="s">
        <v>13090</v>
      </c>
      <c r="GA1292" s="1">
        <v>83084</v>
      </c>
      <c r="GB1292" s="1" t="s">
        <v>13091</v>
      </c>
      <c r="GE1292" s="1" t="s">
        <v>1226</v>
      </c>
      <c r="GH1292" s="1" t="s">
        <v>800</v>
      </c>
      <c r="GI1292" s="1" t="s">
        <v>213</v>
      </c>
      <c r="GJ1292" s="1" t="s">
        <v>260</v>
      </c>
      <c r="GK1292" s="1" t="s">
        <v>261</v>
      </c>
      <c r="GL1292" s="2">
        <v>42149</v>
      </c>
    </row>
    <row r="1293" spans="1:195">
      <c r="A1293" s="1">
        <v>227500</v>
      </c>
      <c r="B1293" s="1" t="s">
        <v>195</v>
      </c>
      <c r="C1293" s="1" t="str">
        <f>"08868312"</f>
        <v>08868312</v>
      </c>
      <c r="D1293" s="1" t="s">
        <v>196</v>
      </c>
      <c r="F1293" s="1" t="str">
        <f>"108"</f>
        <v>108</v>
      </c>
      <c r="G1293" s="2">
        <v>42084</v>
      </c>
      <c r="H1293" s="1">
        <v>239900</v>
      </c>
      <c r="I1293" s="1">
        <v>239900</v>
      </c>
      <c r="J1293" s="1">
        <v>227500</v>
      </c>
      <c r="K1293" s="2">
        <v>42084</v>
      </c>
      <c r="L1293" s="1">
        <v>81</v>
      </c>
      <c r="M1293" s="2">
        <v>42095</v>
      </c>
      <c r="N1293" s="1">
        <v>12</v>
      </c>
      <c r="O1293" s="2">
        <v>42095</v>
      </c>
      <c r="P1293" s="1">
        <v>25005</v>
      </c>
      <c r="Q1293" s="1" t="s">
        <v>302</v>
      </c>
      <c r="R1293" s="2">
        <v>42117</v>
      </c>
      <c r="S1293" s="1">
        <v>218155</v>
      </c>
      <c r="U1293" s="1">
        <v>202</v>
      </c>
      <c r="V1293" s="1" t="s">
        <v>11248</v>
      </c>
      <c r="W1293" s="1" t="s">
        <v>504</v>
      </c>
      <c r="Y1293" s="1">
        <v>4</v>
      </c>
      <c r="Z1293" s="1" t="s">
        <v>370</v>
      </c>
      <c r="AA1293" s="1" t="s">
        <v>829</v>
      </c>
      <c r="AB1293" s="1">
        <v>60108</v>
      </c>
      <c r="AD1293" s="1" t="s">
        <v>13092</v>
      </c>
      <c r="AE1293" s="1" t="s">
        <v>13093</v>
      </c>
      <c r="AF1293" s="1">
        <v>1989</v>
      </c>
      <c r="AG1293" s="1" t="s">
        <v>204</v>
      </c>
      <c r="AH1293" s="1" t="s">
        <v>269</v>
      </c>
      <c r="AI1293" s="1" t="s">
        <v>206</v>
      </c>
      <c r="AJ1293" s="1" t="s">
        <v>269</v>
      </c>
      <c r="AK1293" s="1" t="s">
        <v>11002</v>
      </c>
      <c r="AL1293" s="1">
        <v>6</v>
      </c>
      <c r="AM1293" s="1">
        <v>2</v>
      </c>
      <c r="AN1293" s="1">
        <v>2</v>
      </c>
      <c r="AO1293" s="1">
        <v>1</v>
      </c>
      <c r="AP1293" s="1" t="s">
        <v>209</v>
      </c>
      <c r="AQ1293" s="1">
        <v>1</v>
      </c>
      <c r="AR1293" s="1" t="s">
        <v>210</v>
      </c>
      <c r="AS1293" s="1" t="s">
        <v>204</v>
      </c>
      <c r="AT1293" s="1" t="s">
        <v>211</v>
      </c>
      <c r="AU1293" s="1">
        <v>2</v>
      </c>
      <c r="AW1293" s="1" t="s">
        <v>204</v>
      </c>
      <c r="AX1293" s="1" t="s">
        <v>212</v>
      </c>
      <c r="AZ1293" s="1">
        <v>5176</v>
      </c>
      <c r="BA1293" s="1">
        <v>2013</v>
      </c>
      <c r="BB1293" s="1" t="s">
        <v>405</v>
      </c>
      <c r="BE1293" s="1">
        <v>1611</v>
      </c>
      <c r="BF1293" s="1">
        <v>1</v>
      </c>
      <c r="BG1293" s="1">
        <v>0</v>
      </c>
      <c r="BJ1293" s="1">
        <v>100</v>
      </c>
      <c r="BL1293" s="1">
        <v>238</v>
      </c>
      <c r="BM1293" s="1" t="s">
        <v>204</v>
      </c>
      <c r="BN1293" s="1" t="s">
        <v>213</v>
      </c>
      <c r="BO1293" s="1">
        <v>0</v>
      </c>
      <c r="BP1293" s="1" t="s">
        <v>204</v>
      </c>
      <c r="BR1293" s="1" t="str">
        <f>"0216302015"</f>
        <v>0216302015</v>
      </c>
      <c r="BT1293" s="1" t="s">
        <v>13094</v>
      </c>
      <c r="BU1293" s="1" t="s">
        <v>1611</v>
      </c>
      <c r="BV1293" s="1" t="s">
        <v>834</v>
      </c>
      <c r="BW1293" s="1" t="s">
        <v>275</v>
      </c>
      <c r="BX1293" s="1">
        <v>13</v>
      </c>
      <c r="BY1293" s="1">
        <v>13</v>
      </c>
      <c r="BZ1293" s="1">
        <v>108</v>
      </c>
      <c r="CB1293" s="1" t="str">
        <f>"5"</f>
        <v>5</v>
      </c>
      <c r="CC1293" s="1" t="str">
        <f>"0"</f>
        <v>0</v>
      </c>
      <c r="CD1293" s="1">
        <v>24</v>
      </c>
      <c r="CE1293" s="1">
        <v>0</v>
      </c>
      <c r="CG1293" s="1" t="s">
        <v>1267</v>
      </c>
      <c r="CH1293" s="1" t="s">
        <v>219</v>
      </c>
      <c r="CI1293" s="1" t="s">
        <v>220</v>
      </c>
      <c r="CJ1293" s="1" t="s">
        <v>343</v>
      </c>
      <c r="CK1293" s="1" t="s">
        <v>437</v>
      </c>
      <c r="CL1293" s="1" t="s">
        <v>277</v>
      </c>
      <c r="CM1293" s="1" t="s">
        <v>220</v>
      </c>
      <c r="CN1293" s="1" t="s">
        <v>343</v>
      </c>
      <c r="CO1293" s="1" t="s">
        <v>465</v>
      </c>
      <c r="CP1293" s="1" t="s">
        <v>219</v>
      </c>
      <c r="CQ1293" s="1" t="s">
        <v>220</v>
      </c>
      <c r="CR1293" s="1" t="s">
        <v>343</v>
      </c>
      <c r="CS1293" s="1" t="s">
        <v>564</v>
      </c>
      <c r="CT1293" s="1" t="s">
        <v>277</v>
      </c>
      <c r="CU1293" s="1" t="s">
        <v>220</v>
      </c>
      <c r="CV1293" s="1" t="s">
        <v>343</v>
      </c>
      <c r="CX1293" s="1" t="s">
        <v>224</v>
      </c>
      <c r="DB1293" s="1" t="s">
        <v>224</v>
      </c>
      <c r="DE1293" s="1" t="s">
        <v>1004</v>
      </c>
      <c r="DF1293" s="1" t="s">
        <v>219</v>
      </c>
      <c r="DG1293" s="1" t="s">
        <v>226</v>
      </c>
      <c r="DH1293" s="1" t="s">
        <v>343</v>
      </c>
      <c r="DJ1293" s="1" t="s">
        <v>224</v>
      </c>
      <c r="DM1293" s="1" t="s">
        <v>464</v>
      </c>
      <c r="DR1293" s="1" t="s">
        <v>346</v>
      </c>
      <c r="DS1293" s="1" t="s">
        <v>277</v>
      </c>
      <c r="DT1293" s="1" t="s">
        <v>220</v>
      </c>
      <c r="DU1293" s="1" t="s">
        <v>463</v>
      </c>
      <c r="DW1293" s="1" t="s">
        <v>230</v>
      </c>
      <c r="EA1293" s="1" t="s">
        <v>230</v>
      </c>
      <c r="EE1293" s="1" t="s">
        <v>230</v>
      </c>
      <c r="EI1293" s="1" t="s">
        <v>230</v>
      </c>
      <c r="EL1293" s="1" t="s">
        <v>542</v>
      </c>
      <c r="EM1293" s="1" t="s">
        <v>232</v>
      </c>
      <c r="EN1293" s="1" t="s">
        <v>282</v>
      </c>
      <c r="EO1293" s="1" t="s">
        <v>234</v>
      </c>
      <c r="EP1293" s="1" t="s">
        <v>13095</v>
      </c>
      <c r="EQ1293" s="1" t="s">
        <v>2188</v>
      </c>
      <c r="ER1293" s="1" t="s">
        <v>210</v>
      </c>
      <c r="ES1293" s="1" t="s">
        <v>824</v>
      </c>
      <c r="ET1293" s="1" t="s">
        <v>4177</v>
      </c>
      <c r="EU1293" s="1" t="s">
        <v>712</v>
      </c>
      <c r="EV1293" s="1" t="s">
        <v>324</v>
      </c>
      <c r="EW1293" s="1" t="s">
        <v>3255</v>
      </c>
      <c r="EY1293" s="1" t="s">
        <v>242</v>
      </c>
      <c r="EZ1293" s="1" t="s">
        <v>464</v>
      </c>
      <c r="FA1293" s="1" t="s">
        <v>1072</v>
      </c>
      <c r="FB1293" s="1" t="s">
        <v>289</v>
      </c>
      <c r="FD1293" s="1" t="s">
        <v>246</v>
      </c>
      <c r="FE1293" s="1" t="s">
        <v>975</v>
      </c>
      <c r="FF1293" s="1" t="s">
        <v>387</v>
      </c>
      <c r="FG1293" s="1" t="s">
        <v>715</v>
      </c>
      <c r="FH1293" s="1" t="s">
        <v>550</v>
      </c>
      <c r="FI1293" s="1" t="s">
        <v>357</v>
      </c>
      <c r="FL1293" s="1" t="s">
        <v>358</v>
      </c>
      <c r="FM1293" s="1" t="s">
        <v>252</v>
      </c>
      <c r="FN1293" s="1" t="s">
        <v>213</v>
      </c>
      <c r="FO1293" s="1" t="s">
        <v>213</v>
      </c>
      <c r="FQ1293" s="1" t="s">
        <v>7920</v>
      </c>
      <c r="FR1293" s="1" t="s">
        <v>210</v>
      </c>
      <c r="FS1293" s="1" t="s">
        <v>12346</v>
      </c>
      <c r="FT1293" s="1" t="s">
        <v>295</v>
      </c>
      <c r="FU1293" s="1" t="s">
        <v>204</v>
      </c>
      <c r="FW1293" s="1" t="s">
        <v>2726</v>
      </c>
      <c r="FX1293" s="1">
        <v>1109</v>
      </c>
      <c r="FY1293" s="1" t="s">
        <v>2727</v>
      </c>
      <c r="FZ1293" s="1" t="s">
        <v>13096</v>
      </c>
      <c r="GA1293" s="1">
        <v>219233</v>
      </c>
      <c r="GB1293" s="1" t="s">
        <v>13097</v>
      </c>
      <c r="GD1293" s="1" t="s">
        <v>13098</v>
      </c>
      <c r="GE1293" s="1" t="s">
        <v>480</v>
      </c>
      <c r="GI1293" s="1" t="s">
        <v>213</v>
      </c>
      <c r="GJ1293" s="1" t="s">
        <v>260</v>
      </c>
      <c r="GK1293" s="1" t="s">
        <v>261</v>
      </c>
      <c r="GL1293" s="2">
        <v>42118</v>
      </c>
    </row>
    <row r="1294" spans="1:195">
      <c r="A1294" s="1">
        <v>85000</v>
      </c>
      <c r="B1294" s="1" t="s">
        <v>195</v>
      </c>
      <c r="C1294" s="1" t="str">
        <f>"08869477"</f>
        <v>08869477</v>
      </c>
      <c r="D1294" s="1" t="s">
        <v>196</v>
      </c>
      <c r="F1294" s="1" t="str">
        <f>"532"</f>
        <v>532</v>
      </c>
      <c r="G1294" s="2">
        <v>42086</v>
      </c>
      <c r="H1294" s="1">
        <v>87000</v>
      </c>
      <c r="I1294" s="1">
        <v>87000</v>
      </c>
      <c r="J1294" s="1">
        <v>85000</v>
      </c>
      <c r="K1294" s="2">
        <v>42084</v>
      </c>
      <c r="L1294" s="1">
        <v>82</v>
      </c>
      <c r="M1294" s="2">
        <v>42100</v>
      </c>
      <c r="N1294" s="1">
        <v>17</v>
      </c>
      <c r="O1294" s="2">
        <v>42100</v>
      </c>
      <c r="P1294" s="1">
        <v>23099</v>
      </c>
      <c r="Q1294" s="1" t="s">
        <v>197</v>
      </c>
      <c r="R1294" s="2">
        <v>42146</v>
      </c>
      <c r="S1294" s="1">
        <v>608240</v>
      </c>
      <c r="U1294" s="1">
        <v>5700</v>
      </c>
      <c r="V1294" s="1" t="s">
        <v>9833</v>
      </c>
      <c r="W1294" s="1" t="s">
        <v>504</v>
      </c>
      <c r="X1294" s="1" t="s">
        <v>13099</v>
      </c>
      <c r="Y1294" s="1">
        <v>47</v>
      </c>
      <c r="Z1294" s="1" t="s">
        <v>249</v>
      </c>
      <c r="AA1294" s="1" t="s">
        <v>1566</v>
      </c>
      <c r="AB1294" s="1">
        <v>60532</v>
      </c>
      <c r="AD1294" s="1" t="s">
        <v>1567</v>
      </c>
      <c r="AE1294" s="1" t="s">
        <v>13100</v>
      </c>
      <c r="AF1294" s="1">
        <v>1970</v>
      </c>
      <c r="AG1294" s="1" t="s">
        <v>213</v>
      </c>
      <c r="AH1294" s="1" t="s">
        <v>925</v>
      </c>
      <c r="AI1294" s="1" t="s">
        <v>206</v>
      </c>
      <c r="AJ1294" s="1" t="s">
        <v>925</v>
      </c>
      <c r="AL1294" s="1">
        <v>5</v>
      </c>
      <c r="AM1294" s="1">
        <v>2</v>
      </c>
      <c r="AN1294" s="1">
        <v>1</v>
      </c>
      <c r="AO1294" s="1">
        <v>1</v>
      </c>
      <c r="AP1294" s="1" t="s">
        <v>1234</v>
      </c>
      <c r="AR1294" s="1" t="s">
        <v>210</v>
      </c>
      <c r="AS1294" s="1" t="s">
        <v>204</v>
      </c>
      <c r="AT1294" s="1" t="s">
        <v>271</v>
      </c>
      <c r="AV1294" s="1">
        <v>1</v>
      </c>
      <c r="AW1294" s="1" t="s">
        <v>204</v>
      </c>
      <c r="AX1294" s="1" t="s">
        <v>212</v>
      </c>
      <c r="AZ1294" s="1">
        <v>2492</v>
      </c>
      <c r="BA1294" s="1">
        <v>2013</v>
      </c>
      <c r="BE1294" s="1">
        <v>0</v>
      </c>
      <c r="BF1294" s="1">
        <v>3</v>
      </c>
      <c r="BG1294" s="1">
        <v>180</v>
      </c>
      <c r="BL1294" s="1">
        <v>350</v>
      </c>
      <c r="BM1294" s="1" t="s">
        <v>413</v>
      </c>
      <c r="BN1294" s="1" t="s">
        <v>213</v>
      </c>
      <c r="BO1294" s="1">
        <v>45</v>
      </c>
      <c r="BP1294" s="1" t="s">
        <v>204</v>
      </c>
      <c r="BR1294" s="1" t="str">
        <f>"0815105479"</f>
        <v>0815105479</v>
      </c>
      <c r="BT1294" s="1" t="s">
        <v>13101</v>
      </c>
      <c r="BX1294" s="1">
        <v>68</v>
      </c>
      <c r="BY1294" s="1">
        <v>68</v>
      </c>
      <c r="BZ1294" s="1">
        <v>99</v>
      </c>
      <c r="CB1294" s="1" t="str">
        <f t="shared" ref="CB1294:CC1294" si="995">"0"</f>
        <v>0</v>
      </c>
      <c r="CC1294" s="1" t="str">
        <f t="shared" si="995"/>
        <v>0</v>
      </c>
      <c r="CD1294" s="1">
        <v>23</v>
      </c>
      <c r="CE1294" s="1">
        <v>6</v>
      </c>
      <c r="CG1294" s="1" t="s">
        <v>1570</v>
      </c>
      <c r="CH1294" s="1" t="s">
        <v>784</v>
      </c>
      <c r="CK1294" s="1" t="s">
        <v>278</v>
      </c>
      <c r="CL1294" s="1" t="s">
        <v>784</v>
      </c>
      <c r="CM1294" s="1" t="s">
        <v>220</v>
      </c>
      <c r="CO1294" s="1" t="s">
        <v>345</v>
      </c>
      <c r="CP1294" s="1" t="s">
        <v>784</v>
      </c>
      <c r="CS1294" s="1" t="s">
        <v>1358</v>
      </c>
      <c r="CT1294" s="1" t="s">
        <v>784</v>
      </c>
      <c r="CX1294" s="1" t="s">
        <v>224</v>
      </c>
      <c r="DB1294" s="1" t="s">
        <v>224</v>
      </c>
      <c r="DE1294" s="1" t="s">
        <v>2308</v>
      </c>
      <c r="DF1294" s="1" t="s">
        <v>784</v>
      </c>
      <c r="DJ1294" s="1" t="s">
        <v>224</v>
      </c>
      <c r="DS1294" s="1" t="s">
        <v>230</v>
      </c>
      <c r="DW1294" s="1" t="s">
        <v>230</v>
      </c>
      <c r="EA1294" s="1" t="s">
        <v>230</v>
      </c>
      <c r="EE1294" s="1" t="s">
        <v>230</v>
      </c>
      <c r="EI1294" s="1" t="s">
        <v>230</v>
      </c>
      <c r="EL1294" s="1" t="s">
        <v>605</v>
      </c>
      <c r="EM1294" s="1" t="s">
        <v>347</v>
      </c>
      <c r="EN1294" s="1" t="s">
        <v>4764</v>
      </c>
      <c r="EO1294" s="1" t="s">
        <v>347</v>
      </c>
      <c r="ER1294" s="1" t="s">
        <v>210</v>
      </c>
      <c r="EW1294" s="1" t="s">
        <v>347</v>
      </c>
      <c r="EZ1294" s="1" t="s">
        <v>287</v>
      </c>
      <c r="FD1294" s="1" t="s">
        <v>246</v>
      </c>
      <c r="FE1294" s="1" t="s">
        <v>347</v>
      </c>
      <c r="FF1294" s="1" t="s">
        <v>248</v>
      </c>
      <c r="FH1294" s="1" t="s">
        <v>249</v>
      </c>
      <c r="FL1294" s="1" t="s">
        <v>347</v>
      </c>
      <c r="FM1294" s="1" t="s">
        <v>252</v>
      </c>
      <c r="FN1294" s="1" t="s">
        <v>213</v>
      </c>
      <c r="FO1294" s="1" t="s">
        <v>213</v>
      </c>
      <c r="FQ1294" s="1" t="s">
        <v>582</v>
      </c>
      <c r="FR1294" s="1" t="s">
        <v>210</v>
      </c>
      <c r="FS1294" s="1" t="s">
        <v>13102</v>
      </c>
      <c r="FT1294" s="1" t="s">
        <v>362</v>
      </c>
      <c r="FU1294" s="1" t="s">
        <v>204</v>
      </c>
      <c r="FW1294" s="1" t="s">
        <v>5648</v>
      </c>
      <c r="FX1294" s="1">
        <v>23099</v>
      </c>
      <c r="FY1294" s="1" t="s">
        <v>5649</v>
      </c>
      <c r="FZ1294" s="1" t="s">
        <v>6313</v>
      </c>
      <c r="GA1294" s="1">
        <v>234775</v>
      </c>
      <c r="GB1294" s="1" t="s">
        <v>6314</v>
      </c>
      <c r="GE1294" s="1" t="s">
        <v>210</v>
      </c>
      <c r="GI1294" s="1" t="s">
        <v>204</v>
      </c>
      <c r="GJ1294" s="1" t="s">
        <v>260</v>
      </c>
      <c r="GK1294" s="1" t="s">
        <v>4920</v>
      </c>
      <c r="GL1294" s="2">
        <v>42146</v>
      </c>
      <c r="GM1294" s="1" t="s">
        <v>13103</v>
      </c>
    </row>
    <row r="1295" spans="1:195">
      <c r="A1295" s="1">
        <v>74000</v>
      </c>
      <c r="B1295" s="1" t="s">
        <v>195</v>
      </c>
      <c r="C1295" s="1" t="str">
        <f>"08861770"</f>
        <v>08861770</v>
      </c>
      <c r="D1295" s="1" t="s">
        <v>196</v>
      </c>
      <c r="F1295" s="1" t="str">
        <f>"555"</f>
        <v>555</v>
      </c>
      <c r="G1295" s="2">
        <v>42077</v>
      </c>
      <c r="H1295" s="1">
        <v>79500</v>
      </c>
      <c r="I1295" s="1">
        <v>79500</v>
      </c>
      <c r="J1295" s="1">
        <v>74000</v>
      </c>
      <c r="K1295" s="2">
        <v>42077</v>
      </c>
      <c r="L1295" s="1">
        <v>7</v>
      </c>
      <c r="M1295" s="2">
        <v>42083</v>
      </c>
      <c r="N1295" s="1">
        <v>7</v>
      </c>
      <c r="O1295" s="2">
        <v>42083</v>
      </c>
      <c r="P1295" s="1">
        <v>23120</v>
      </c>
      <c r="Q1295" s="1" t="s">
        <v>302</v>
      </c>
      <c r="R1295" s="2">
        <v>42131</v>
      </c>
      <c r="S1295" s="1">
        <v>239531</v>
      </c>
      <c r="U1295" s="1" t="s">
        <v>13104</v>
      </c>
      <c r="V1295" s="1" t="s">
        <v>2134</v>
      </c>
      <c r="W1295" s="1" t="s">
        <v>449</v>
      </c>
      <c r="X1295" s="1">
        <v>4</v>
      </c>
      <c r="Y1295" s="1">
        <v>4</v>
      </c>
      <c r="Z1295" s="1" t="s">
        <v>200</v>
      </c>
      <c r="AA1295" s="1" t="s">
        <v>984</v>
      </c>
      <c r="AB1295" s="1">
        <v>60555</v>
      </c>
      <c r="AE1295" s="1" t="s">
        <v>13105</v>
      </c>
      <c r="AF1295" s="1">
        <v>1978</v>
      </c>
      <c r="AG1295" s="1" t="s">
        <v>204</v>
      </c>
      <c r="AH1295" s="1" t="s">
        <v>986</v>
      </c>
      <c r="AI1295" s="1" t="s">
        <v>206</v>
      </c>
      <c r="AJ1295" s="1" t="s">
        <v>987</v>
      </c>
      <c r="AL1295" s="1">
        <v>5</v>
      </c>
      <c r="AM1295" s="1">
        <v>2</v>
      </c>
      <c r="AN1295" s="1">
        <v>1</v>
      </c>
      <c r="AO1295" s="1">
        <v>0</v>
      </c>
      <c r="AP1295" s="1" t="s">
        <v>210</v>
      </c>
      <c r="AR1295" s="1" t="s">
        <v>210</v>
      </c>
      <c r="AT1295" s="1" t="s">
        <v>211</v>
      </c>
      <c r="AU1295" s="1">
        <v>1</v>
      </c>
      <c r="AW1295" s="1" t="s">
        <v>204</v>
      </c>
      <c r="AX1295" s="1" t="s">
        <v>212</v>
      </c>
      <c r="AZ1295" s="1">
        <v>1347</v>
      </c>
      <c r="BA1295" s="1">
        <v>2013</v>
      </c>
      <c r="BE1295" s="1">
        <v>905</v>
      </c>
      <c r="BF1295" s="1">
        <v>2</v>
      </c>
      <c r="BG1295" s="1">
        <v>0</v>
      </c>
      <c r="BL1295" s="1">
        <v>183</v>
      </c>
      <c r="BM1295" s="1" t="s">
        <v>204</v>
      </c>
      <c r="BN1295" s="1" t="s">
        <v>213</v>
      </c>
      <c r="BO1295" s="1">
        <v>999</v>
      </c>
      <c r="BP1295" s="1" t="s">
        <v>204</v>
      </c>
      <c r="BR1295" s="1" t="str">
        <f>"0427307172"</f>
        <v>0427307172</v>
      </c>
      <c r="BT1295" s="1" t="s">
        <v>13106</v>
      </c>
      <c r="BU1295" s="1" t="s">
        <v>989</v>
      </c>
      <c r="BV1295" s="1" t="s">
        <v>990</v>
      </c>
      <c r="BW1295" s="1" t="s">
        <v>13107</v>
      </c>
      <c r="BX1295" s="1">
        <v>200</v>
      </c>
      <c r="BY1295" s="1">
        <v>200</v>
      </c>
      <c r="BZ1295" s="1">
        <v>200</v>
      </c>
      <c r="CB1295" s="1" t="str">
        <f t="shared" ref="CB1295:CC1295" si="996">""</f>
        <v/>
      </c>
      <c r="CC1295" s="1" t="str">
        <f t="shared" si="996"/>
        <v/>
      </c>
      <c r="CG1295" s="1" t="s">
        <v>1788</v>
      </c>
      <c r="CH1295" s="1" t="s">
        <v>219</v>
      </c>
      <c r="CI1295" s="1" t="s">
        <v>220</v>
      </c>
      <c r="CJ1295" s="1" t="s">
        <v>343</v>
      </c>
      <c r="CK1295" s="1" t="s">
        <v>3716</v>
      </c>
      <c r="CL1295" s="1" t="s">
        <v>219</v>
      </c>
      <c r="CM1295" s="1" t="s">
        <v>220</v>
      </c>
      <c r="CN1295" s="1" t="s">
        <v>343</v>
      </c>
      <c r="CO1295" s="1" t="s">
        <v>348</v>
      </c>
      <c r="CP1295" s="1" t="s">
        <v>219</v>
      </c>
      <c r="CQ1295" s="1" t="s">
        <v>220</v>
      </c>
      <c r="CS1295" s="1" t="s">
        <v>318</v>
      </c>
      <c r="CT1295" s="1" t="s">
        <v>219</v>
      </c>
      <c r="CU1295" s="1" t="s">
        <v>220</v>
      </c>
      <c r="CV1295" s="1" t="s">
        <v>343</v>
      </c>
      <c r="CX1295" s="1" t="s">
        <v>224</v>
      </c>
      <c r="DB1295" s="1" t="s">
        <v>224</v>
      </c>
      <c r="DE1295" s="1" t="s">
        <v>1470</v>
      </c>
      <c r="DF1295" s="1" t="s">
        <v>219</v>
      </c>
      <c r="DG1295" s="1" t="s">
        <v>226</v>
      </c>
      <c r="DJ1295" s="1" t="s">
        <v>224</v>
      </c>
      <c r="DS1295" s="1" t="s">
        <v>230</v>
      </c>
      <c r="DW1295" s="1" t="s">
        <v>230</v>
      </c>
      <c r="EA1295" s="1" t="s">
        <v>230</v>
      </c>
      <c r="EE1295" s="1" t="s">
        <v>230</v>
      </c>
      <c r="EI1295" s="1" t="s">
        <v>230</v>
      </c>
      <c r="EL1295" s="1" t="s">
        <v>231</v>
      </c>
      <c r="EM1295" s="1" t="s">
        <v>319</v>
      </c>
      <c r="EN1295" s="1" t="s">
        <v>282</v>
      </c>
      <c r="EO1295" s="1" t="s">
        <v>234</v>
      </c>
      <c r="EQ1295" s="1" t="s">
        <v>3718</v>
      </c>
      <c r="ER1295" s="1" t="s">
        <v>210</v>
      </c>
      <c r="EW1295" s="1" t="s">
        <v>384</v>
      </c>
      <c r="EZ1295" s="1" t="s">
        <v>287</v>
      </c>
      <c r="FD1295" s="1" t="s">
        <v>246</v>
      </c>
      <c r="FE1295" s="1" t="s">
        <v>472</v>
      </c>
      <c r="FF1295" s="1" t="s">
        <v>248</v>
      </c>
      <c r="FH1295" s="1" t="s">
        <v>249</v>
      </c>
      <c r="FJ1295" s="1" t="s">
        <v>197</v>
      </c>
      <c r="FL1295" s="1" t="s">
        <v>414</v>
      </c>
      <c r="FM1295" s="1" t="s">
        <v>769</v>
      </c>
      <c r="FN1295" s="1" t="s">
        <v>213</v>
      </c>
      <c r="FO1295" s="1" t="s">
        <v>213</v>
      </c>
      <c r="FQ1295" s="1" t="s">
        <v>13108</v>
      </c>
      <c r="FR1295" s="1" t="s">
        <v>411</v>
      </c>
      <c r="FS1295" s="1" t="s">
        <v>13109</v>
      </c>
      <c r="FT1295" s="1" t="s">
        <v>295</v>
      </c>
      <c r="FU1295" s="1" t="s">
        <v>204</v>
      </c>
      <c r="FW1295" s="1" t="s">
        <v>5440</v>
      </c>
      <c r="FX1295" s="1">
        <v>23534</v>
      </c>
      <c r="FY1295" s="1" t="s">
        <v>9340</v>
      </c>
      <c r="FZ1295" s="1" t="s">
        <v>13110</v>
      </c>
      <c r="GA1295" s="1">
        <v>271089</v>
      </c>
      <c r="GB1295" s="1" t="s">
        <v>13111</v>
      </c>
      <c r="GE1295" s="1" t="s">
        <v>1764</v>
      </c>
      <c r="GH1295" s="1" t="s">
        <v>421</v>
      </c>
      <c r="GI1295" s="1" t="s">
        <v>204</v>
      </c>
      <c r="GJ1295" s="1" t="s">
        <v>260</v>
      </c>
      <c r="GK1295" s="1" t="s">
        <v>210</v>
      </c>
      <c r="GL1295" s="2">
        <v>42131</v>
      </c>
      <c r="GM1295" s="1" t="s">
        <v>13112</v>
      </c>
    </row>
    <row r="1296" spans="1:195">
      <c r="A1296" s="1">
        <v>102000</v>
      </c>
      <c r="B1296" s="1" t="s">
        <v>195</v>
      </c>
      <c r="C1296" s="1" t="str">
        <f>"08860527"</f>
        <v>08860527</v>
      </c>
      <c r="D1296" s="1" t="s">
        <v>196</v>
      </c>
      <c r="F1296" s="1" t="str">
        <f>"2"</f>
        <v>2</v>
      </c>
      <c r="G1296" s="2">
        <v>42076</v>
      </c>
      <c r="H1296" s="1">
        <v>104900</v>
      </c>
      <c r="I1296" s="1">
        <v>104900</v>
      </c>
      <c r="J1296" s="1">
        <v>102000</v>
      </c>
      <c r="K1296" s="2">
        <v>42075</v>
      </c>
      <c r="L1296" s="1">
        <v>7</v>
      </c>
      <c r="M1296" s="2">
        <v>42081</v>
      </c>
      <c r="N1296" s="1">
        <v>7</v>
      </c>
      <c r="O1296" s="2">
        <v>42081</v>
      </c>
      <c r="P1296" s="1">
        <v>2472</v>
      </c>
      <c r="Q1296" s="1" t="s">
        <v>197</v>
      </c>
      <c r="R1296" s="2">
        <v>42135</v>
      </c>
      <c r="S1296" s="1">
        <v>14551</v>
      </c>
      <c r="U1296" s="1">
        <v>719</v>
      </c>
      <c r="V1296" s="1" t="s">
        <v>13113</v>
      </c>
      <c r="W1296" s="1" t="s">
        <v>304</v>
      </c>
      <c r="X1296" s="1">
        <v>719</v>
      </c>
      <c r="Y1296" s="1">
        <v>4</v>
      </c>
      <c r="Z1296" s="1" t="s">
        <v>370</v>
      </c>
      <c r="AA1296" s="1" t="s">
        <v>5713</v>
      </c>
      <c r="AB1296" s="1">
        <v>60002</v>
      </c>
      <c r="AD1296" s="1" t="s">
        <v>13114</v>
      </c>
      <c r="AE1296" s="1" t="s">
        <v>13115</v>
      </c>
      <c r="AF1296" s="1">
        <v>1993</v>
      </c>
      <c r="AG1296" s="1" t="s">
        <v>204</v>
      </c>
      <c r="AH1296" s="1" t="s">
        <v>596</v>
      </c>
      <c r="AI1296" s="1" t="s">
        <v>509</v>
      </c>
      <c r="AJ1296" s="1" t="s">
        <v>596</v>
      </c>
      <c r="AL1296" s="1">
        <v>7</v>
      </c>
      <c r="AM1296" s="1">
        <v>2</v>
      </c>
      <c r="AN1296" s="1">
        <v>1</v>
      </c>
      <c r="AO1296" s="1">
        <v>1</v>
      </c>
      <c r="AP1296" s="1" t="s">
        <v>210</v>
      </c>
      <c r="AR1296" s="1" t="s">
        <v>209</v>
      </c>
      <c r="AS1296" s="1" t="s">
        <v>204</v>
      </c>
      <c r="AT1296" s="1" t="s">
        <v>211</v>
      </c>
      <c r="AU1296" s="1">
        <v>2</v>
      </c>
      <c r="AW1296" s="1" t="s">
        <v>204</v>
      </c>
      <c r="AX1296" s="1" t="s">
        <v>212</v>
      </c>
      <c r="AZ1296" s="1">
        <v>4528.79</v>
      </c>
      <c r="BA1296" s="1">
        <v>2013</v>
      </c>
      <c r="BB1296" s="1" t="s">
        <v>405</v>
      </c>
      <c r="BE1296" s="1">
        <v>1875</v>
      </c>
      <c r="BF1296" s="1">
        <v>1</v>
      </c>
      <c r="BG1296" s="1">
        <v>0</v>
      </c>
      <c r="BL1296" s="1">
        <v>50</v>
      </c>
      <c r="BM1296" s="1" t="s">
        <v>204</v>
      </c>
      <c r="BN1296" s="1" t="s">
        <v>213</v>
      </c>
      <c r="BO1296" s="1">
        <v>125</v>
      </c>
      <c r="BP1296" s="1" t="s">
        <v>204</v>
      </c>
      <c r="BR1296" s="1" t="str">
        <f>"02074020800000"</f>
        <v>02074020800000</v>
      </c>
      <c r="BT1296" s="1" t="s">
        <v>13116</v>
      </c>
      <c r="BU1296" s="1" t="s">
        <v>13117</v>
      </c>
      <c r="BV1296" s="1" t="s">
        <v>6892</v>
      </c>
      <c r="BW1296" s="1" t="s">
        <v>13118</v>
      </c>
      <c r="BX1296" s="1">
        <v>34</v>
      </c>
      <c r="BY1296" s="1">
        <v>34</v>
      </c>
      <c r="BZ1296" s="1">
        <v>117</v>
      </c>
      <c r="CB1296" s="1" t="str">
        <f>"42"</f>
        <v>42</v>
      </c>
      <c r="CC1296" s="1" t="str">
        <f>"0"</f>
        <v>0</v>
      </c>
      <c r="CD1296" s="1">
        <v>23</v>
      </c>
      <c r="CE1296" s="1">
        <v>0</v>
      </c>
      <c r="CG1296" s="1" t="s">
        <v>378</v>
      </c>
      <c r="CH1296" s="1" t="s">
        <v>219</v>
      </c>
      <c r="CI1296" s="1" t="s">
        <v>229</v>
      </c>
      <c r="CJ1296" s="1" t="s">
        <v>210</v>
      </c>
      <c r="CK1296" s="1" t="s">
        <v>465</v>
      </c>
      <c r="CL1296" s="1" t="s">
        <v>277</v>
      </c>
      <c r="CM1296" s="1" t="s">
        <v>220</v>
      </c>
      <c r="CN1296" s="1" t="s">
        <v>210</v>
      </c>
      <c r="CO1296" s="1" t="s">
        <v>13119</v>
      </c>
      <c r="CP1296" s="1" t="s">
        <v>219</v>
      </c>
      <c r="CQ1296" s="1" t="s">
        <v>229</v>
      </c>
      <c r="CR1296" s="1" t="s">
        <v>210</v>
      </c>
      <c r="CS1296" s="1" t="s">
        <v>346</v>
      </c>
      <c r="CT1296" s="1" t="s">
        <v>277</v>
      </c>
      <c r="CU1296" s="1" t="s">
        <v>220</v>
      </c>
      <c r="CX1296" s="1" t="s">
        <v>224</v>
      </c>
      <c r="DB1296" s="1" t="s">
        <v>224</v>
      </c>
      <c r="DE1296" s="1" t="s">
        <v>346</v>
      </c>
      <c r="DF1296" s="1" t="s">
        <v>219</v>
      </c>
      <c r="DG1296" s="1" t="s">
        <v>229</v>
      </c>
      <c r="DH1296" s="1" t="s">
        <v>210</v>
      </c>
      <c r="DI1296" s="1" t="s">
        <v>278</v>
      </c>
      <c r="DJ1296" s="1" t="s">
        <v>822</v>
      </c>
      <c r="DK1296" s="1" t="s">
        <v>220</v>
      </c>
      <c r="DL1296" s="1" t="s">
        <v>210</v>
      </c>
      <c r="DM1296" s="1" t="s">
        <v>464</v>
      </c>
      <c r="DR1296" s="1" t="s">
        <v>318</v>
      </c>
      <c r="DS1296" s="1" t="s">
        <v>277</v>
      </c>
      <c r="DT1296" s="1" t="s">
        <v>220</v>
      </c>
      <c r="DU1296" s="1" t="s">
        <v>210</v>
      </c>
      <c r="DW1296" s="1" t="s">
        <v>230</v>
      </c>
      <c r="EA1296" s="1" t="s">
        <v>230</v>
      </c>
      <c r="EE1296" s="1" t="s">
        <v>230</v>
      </c>
      <c r="EI1296" s="1" t="s">
        <v>230</v>
      </c>
      <c r="EL1296" s="1" t="s">
        <v>382</v>
      </c>
      <c r="EM1296" s="1" t="s">
        <v>319</v>
      </c>
      <c r="EN1296" s="1" t="s">
        <v>282</v>
      </c>
      <c r="EO1296" s="1" t="s">
        <v>234</v>
      </c>
      <c r="EP1296" s="1" t="s">
        <v>4830</v>
      </c>
      <c r="EQ1296" s="1" t="s">
        <v>236</v>
      </c>
      <c r="ER1296" s="1" t="s">
        <v>544</v>
      </c>
      <c r="ES1296" s="1" t="s">
        <v>322</v>
      </c>
      <c r="EV1296" s="1" t="s">
        <v>240</v>
      </c>
      <c r="EW1296" s="1" t="s">
        <v>1250</v>
      </c>
      <c r="EY1296" s="1" t="s">
        <v>242</v>
      </c>
      <c r="EZ1296" s="1" t="s">
        <v>464</v>
      </c>
      <c r="FA1296" s="1" t="s">
        <v>1072</v>
      </c>
      <c r="FD1296" s="1" t="s">
        <v>246</v>
      </c>
      <c r="FE1296" s="1" t="s">
        <v>247</v>
      </c>
      <c r="FF1296" s="1" t="s">
        <v>248</v>
      </c>
      <c r="FH1296" s="1" t="s">
        <v>550</v>
      </c>
      <c r="FI1296" s="1" t="s">
        <v>473</v>
      </c>
      <c r="FL1296" s="1" t="s">
        <v>358</v>
      </c>
      <c r="FM1296" s="1" t="s">
        <v>252</v>
      </c>
      <c r="FN1296" s="1" t="s">
        <v>213</v>
      </c>
      <c r="FO1296" s="1" t="s">
        <v>213</v>
      </c>
      <c r="FQ1296" s="1" t="s">
        <v>3616</v>
      </c>
      <c r="FR1296" s="1" t="s">
        <v>210</v>
      </c>
      <c r="FS1296" s="1" t="s">
        <v>12707</v>
      </c>
      <c r="FT1296" s="1" t="s">
        <v>2589</v>
      </c>
      <c r="FU1296" s="1" t="s">
        <v>204</v>
      </c>
      <c r="FW1296" s="1" t="s">
        <v>5024</v>
      </c>
      <c r="FX1296" s="1">
        <v>1886</v>
      </c>
      <c r="FY1296" s="1" t="s">
        <v>5025</v>
      </c>
      <c r="FZ1296" s="1" t="s">
        <v>12708</v>
      </c>
      <c r="GA1296" s="1">
        <v>16107</v>
      </c>
      <c r="GB1296" s="1" t="s">
        <v>12709</v>
      </c>
      <c r="GE1296" s="1" t="s">
        <v>480</v>
      </c>
      <c r="GI1296" s="1" t="s">
        <v>204</v>
      </c>
      <c r="GJ1296" s="1" t="s">
        <v>260</v>
      </c>
      <c r="GK1296" s="1" t="s">
        <v>210</v>
      </c>
      <c r="GL1296" s="2">
        <v>42135</v>
      </c>
    </row>
    <row r="1297" spans="1:195">
      <c r="A1297" s="1">
        <v>32000</v>
      </c>
      <c r="B1297" s="1" t="s">
        <v>195</v>
      </c>
      <c r="C1297" s="1" t="str">
        <f>"08871560"</f>
        <v>08871560</v>
      </c>
      <c r="D1297" s="1" t="s">
        <v>196</v>
      </c>
      <c r="F1297" s="1" t="str">
        <f>"507"</f>
        <v>507</v>
      </c>
      <c r="G1297" s="2">
        <v>42088</v>
      </c>
      <c r="H1297" s="1">
        <v>30000</v>
      </c>
      <c r="I1297" s="1">
        <v>30000</v>
      </c>
      <c r="J1297" s="1">
        <v>32000</v>
      </c>
      <c r="K1297" s="2">
        <v>42088</v>
      </c>
      <c r="L1297" s="1">
        <v>6</v>
      </c>
      <c r="M1297" s="2">
        <v>42093</v>
      </c>
      <c r="N1297" s="1">
        <v>6</v>
      </c>
      <c r="O1297" s="2">
        <v>42093</v>
      </c>
      <c r="P1297" s="1">
        <v>25769</v>
      </c>
      <c r="Q1297" s="1" t="s">
        <v>302</v>
      </c>
      <c r="R1297" s="2">
        <v>42110</v>
      </c>
      <c r="S1297" s="1">
        <v>221260</v>
      </c>
      <c r="U1297" s="1">
        <v>1100</v>
      </c>
      <c r="V1297" s="1" t="s">
        <v>13120</v>
      </c>
      <c r="W1297" s="1" t="s">
        <v>425</v>
      </c>
      <c r="X1297" s="1" t="s">
        <v>4883</v>
      </c>
      <c r="Y1297" s="1">
        <v>16</v>
      </c>
      <c r="Z1297" s="1" t="s">
        <v>249</v>
      </c>
      <c r="AA1297" s="1" t="s">
        <v>1123</v>
      </c>
      <c r="AB1297" s="1">
        <v>60505</v>
      </c>
      <c r="AD1297" s="1" t="s">
        <v>12968</v>
      </c>
      <c r="AE1297" s="1" t="s">
        <v>12969</v>
      </c>
      <c r="AF1297" s="1">
        <v>1970</v>
      </c>
      <c r="AG1297" s="1" t="s">
        <v>213</v>
      </c>
      <c r="AH1297" s="1" t="s">
        <v>1126</v>
      </c>
      <c r="AI1297" s="1" t="s">
        <v>665</v>
      </c>
      <c r="AJ1297" s="1" t="s">
        <v>1126</v>
      </c>
      <c r="AL1297" s="1">
        <v>5</v>
      </c>
      <c r="AM1297" s="1">
        <v>2</v>
      </c>
      <c r="AN1297" s="1">
        <v>1</v>
      </c>
      <c r="AO1297" s="1">
        <v>0</v>
      </c>
      <c r="AP1297" s="1" t="s">
        <v>210</v>
      </c>
      <c r="AR1297" s="1" t="s">
        <v>210</v>
      </c>
      <c r="AS1297" s="1" t="s">
        <v>204</v>
      </c>
      <c r="AT1297" s="1" t="s">
        <v>271</v>
      </c>
      <c r="AV1297" s="1">
        <v>2</v>
      </c>
      <c r="AW1297" s="1" t="s">
        <v>204</v>
      </c>
      <c r="AX1297" s="1" t="s">
        <v>212</v>
      </c>
      <c r="AZ1297" s="1">
        <v>523.20000000000005</v>
      </c>
      <c r="BA1297" s="1">
        <v>2013</v>
      </c>
      <c r="BE1297" s="1">
        <v>923</v>
      </c>
      <c r="BF1297" s="1">
        <v>1</v>
      </c>
      <c r="BG1297" s="1">
        <v>0</v>
      </c>
      <c r="BL1297" s="1">
        <v>249</v>
      </c>
      <c r="BM1297" s="1" t="s">
        <v>204</v>
      </c>
      <c r="BN1297" s="1" t="s">
        <v>204</v>
      </c>
      <c r="BP1297" s="1" t="s">
        <v>204</v>
      </c>
      <c r="BR1297" s="1" t="str">
        <f>"1514228240"</f>
        <v>1514228240</v>
      </c>
      <c r="BT1297" s="1" t="s">
        <v>13121</v>
      </c>
      <c r="BX1297" s="1">
        <v>131</v>
      </c>
      <c r="BY1297" s="1">
        <v>131</v>
      </c>
      <c r="BZ1297" s="1">
        <v>131</v>
      </c>
      <c r="CB1297" s="1" t="str">
        <f t="shared" ref="CB1297:CC1297" si="997">""</f>
        <v/>
      </c>
      <c r="CC1297" s="1" t="str">
        <f t="shared" si="997"/>
        <v/>
      </c>
      <c r="CG1297" s="1" t="s">
        <v>1004</v>
      </c>
      <c r="CH1297" s="1" t="s">
        <v>219</v>
      </c>
      <c r="CK1297" s="1" t="s">
        <v>564</v>
      </c>
      <c r="CL1297" s="1" t="s">
        <v>219</v>
      </c>
      <c r="CO1297" s="1" t="s">
        <v>2277</v>
      </c>
      <c r="CP1297" s="1" t="s">
        <v>219</v>
      </c>
      <c r="CS1297" s="1" t="s">
        <v>346</v>
      </c>
      <c r="CT1297" s="1" t="s">
        <v>219</v>
      </c>
      <c r="CX1297" s="1" t="s">
        <v>224</v>
      </c>
      <c r="DB1297" s="1" t="s">
        <v>224</v>
      </c>
      <c r="DE1297" s="1" t="s">
        <v>630</v>
      </c>
      <c r="DF1297" s="1" t="s">
        <v>219</v>
      </c>
      <c r="DJ1297" s="1" t="s">
        <v>224</v>
      </c>
      <c r="DS1297" s="1" t="s">
        <v>230</v>
      </c>
      <c r="DW1297" s="1" t="s">
        <v>230</v>
      </c>
      <c r="EA1297" s="1" t="s">
        <v>230</v>
      </c>
      <c r="EE1297" s="1" t="s">
        <v>230</v>
      </c>
      <c r="EI1297" s="1" t="s">
        <v>230</v>
      </c>
      <c r="EL1297" s="1" t="s">
        <v>605</v>
      </c>
      <c r="EM1297" s="1" t="s">
        <v>319</v>
      </c>
      <c r="EN1297" s="1" t="s">
        <v>282</v>
      </c>
      <c r="EO1297" s="1" t="s">
        <v>234</v>
      </c>
      <c r="EP1297" s="1" t="s">
        <v>12971</v>
      </c>
      <c r="ER1297" s="1" t="s">
        <v>210</v>
      </c>
      <c r="EW1297" s="1" t="s">
        <v>12972</v>
      </c>
      <c r="EY1297" s="1" t="s">
        <v>242</v>
      </c>
      <c r="EZ1297" s="1" t="s">
        <v>287</v>
      </c>
      <c r="FD1297" s="1" t="s">
        <v>1112</v>
      </c>
      <c r="FE1297" s="1" t="s">
        <v>247</v>
      </c>
      <c r="FF1297" s="1" t="s">
        <v>248</v>
      </c>
      <c r="FH1297" s="1" t="s">
        <v>1756</v>
      </c>
      <c r="FL1297" s="1" t="s">
        <v>1073</v>
      </c>
      <c r="FM1297" s="1" t="s">
        <v>252</v>
      </c>
      <c r="FN1297" s="1" t="s">
        <v>213</v>
      </c>
      <c r="FO1297" s="1" t="s">
        <v>213</v>
      </c>
      <c r="FQ1297" s="1" t="s">
        <v>13122</v>
      </c>
      <c r="FR1297" s="1" t="s">
        <v>210</v>
      </c>
      <c r="FS1297" s="1" t="s">
        <v>13123</v>
      </c>
      <c r="FT1297" s="1" t="s">
        <v>295</v>
      </c>
      <c r="FU1297" s="1" t="s">
        <v>204</v>
      </c>
      <c r="FW1297" s="1" t="s">
        <v>5556</v>
      </c>
      <c r="FX1297" s="1">
        <v>25769</v>
      </c>
      <c r="FY1297" s="1" t="s">
        <v>5557</v>
      </c>
      <c r="FZ1297" s="1" t="s">
        <v>5558</v>
      </c>
      <c r="GA1297" s="1">
        <v>221260</v>
      </c>
      <c r="GB1297" s="1" t="s">
        <v>5559</v>
      </c>
      <c r="GD1297" s="1" t="s">
        <v>13124</v>
      </c>
      <c r="GE1297" s="1" t="s">
        <v>210</v>
      </c>
      <c r="GH1297" s="1" t="s">
        <v>230</v>
      </c>
      <c r="GI1297" s="1" t="s">
        <v>213</v>
      </c>
      <c r="GJ1297" s="1" t="s">
        <v>260</v>
      </c>
      <c r="GK1297" s="1" t="s">
        <v>210</v>
      </c>
      <c r="GL1297" s="2">
        <v>42110</v>
      </c>
      <c r="GM1297" s="1" t="s">
        <v>13125</v>
      </c>
    </row>
    <row r="1298" spans="1:195">
      <c r="A1298" s="1">
        <v>141550</v>
      </c>
      <c r="B1298" s="1" t="s">
        <v>195</v>
      </c>
      <c r="C1298" s="1" t="str">
        <f>"08862559"</f>
        <v>08862559</v>
      </c>
      <c r="D1298" s="1" t="s">
        <v>196</v>
      </c>
      <c r="F1298" s="1" t="str">
        <f>"61"</f>
        <v>61</v>
      </c>
      <c r="G1298" s="2">
        <v>42079</v>
      </c>
      <c r="H1298" s="1">
        <v>139900</v>
      </c>
      <c r="I1298" s="1">
        <v>139900</v>
      </c>
      <c r="J1298" s="1">
        <v>141550</v>
      </c>
      <c r="K1298" s="2">
        <v>42079</v>
      </c>
      <c r="L1298" s="1">
        <v>22</v>
      </c>
      <c r="M1298" s="2">
        <v>42100</v>
      </c>
      <c r="N1298" s="1">
        <v>22</v>
      </c>
      <c r="O1298" s="2">
        <v>42100</v>
      </c>
      <c r="P1298" s="1">
        <v>3770</v>
      </c>
      <c r="Q1298" s="1" t="s">
        <v>197</v>
      </c>
      <c r="R1298" s="2">
        <v>42131</v>
      </c>
      <c r="S1298" s="1">
        <v>32233</v>
      </c>
      <c r="T1298" s="1">
        <v>300</v>
      </c>
      <c r="U1298" s="1">
        <v>336</v>
      </c>
      <c r="V1298" s="1" t="s">
        <v>3868</v>
      </c>
      <c r="W1298" s="1" t="s">
        <v>304</v>
      </c>
      <c r="Y1298" s="1">
        <v>6</v>
      </c>
      <c r="Z1298" s="1" t="s">
        <v>249</v>
      </c>
      <c r="AA1298" s="1" t="s">
        <v>505</v>
      </c>
      <c r="AB1298" s="1">
        <v>60061</v>
      </c>
      <c r="AD1298" s="1" t="s">
        <v>4955</v>
      </c>
      <c r="AE1298" s="1" t="s">
        <v>13126</v>
      </c>
      <c r="AF1298" s="1">
        <v>1977</v>
      </c>
      <c r="AG1298" s="1" t="s">
        <v>213</v>
      </c>
      <c r="AH1298" s="1" t="s">
        <v>508</v>
      </c>
      <c r="AI1298" s="1" t="s">
        <v>509</v>
      </c>
      <c r="AJ1298" s="1" t="s">
        <v>1693</v>
      </c>
      <c r="AL1298" s="1">
        <v>5</v>
      </c>
      <c r="AM1298" s="1">
        <v>2</v>
      </c>
      <c r="AN1298" s="1">
        <v>1</v>
      </c>
      <c r="AO1298" s="1">
        <v>1</v>
      </c>
      <c r="AP1298" s="1" t="s">
        <v>210</v>
      </c>
      <c r="AR1298" s="1" t="s">
        <v>210</v>
      </c>
      <c r="AS1298" s="1" t="s">
        <v>204</v>
      </c>
      <c r="AT1298" s="1" t="s">
        <v>211</v>
      </c>
      <c r="AU1298" s="1">
        <v>1</v>
      </c>
      <c r="AW1298" s="1" t="s">
        <v>204</v>
      </c>
      <c r="AX1298" s="1" t="s">
        <v>212</v>
      </c>
      <c r="AZ1298" s="1">
        <v>3152</v>
      </c>
      <c r="BA1298" s="1">
        <v>2013</v>
      </c>
      <c r="BE1298" s="1">
        <v>1025</v>
      </c>
      <c r="BF1298" s="1">
        <v>1</v>
      </c>
      <c r="BG1298" s="1">
        <v>0</v>
      </c>
      <c r="BL1298" s="1">
        <v>230</v>
      </c>
      <c r="BM1298" s="1" t="s">
        <v>204</v>
      </c>
      <c r="BN1298" s="1" t="s">
        <v>213</v>
      </c>
      <c r="BO1298" s="1">
        <v>999</v>
      </c>
      <c r="BP1298" s="1" t="s">
        <v>204</v>
      </c>
      <c r="BR1298" s="1" t="str">
        <f>"11324120280000"</f>
        <v>11324120280000</v>
      </c>
      <c r="BT1298" s="1" t="s">
        <v>13127</v>
      </c>
      <c r="BU1298" s="1" t="s">
        <v>1879</v>
      </c>
      <c r="BV1298" s="1" t="s">
        <v>1880</v>
      </c>
      <c r="BW1298" s="1" t="s">
        <v>514</v>
      </c>
      <c r="BX1298" s="1">
        <v>73</v>
      </c>
      <c r="BY1298" s="1">
        <v>73</v>
      </c>
      <c r="BZ1298" s="1">
        <v>128</v>
      </c>
      <c r="CB1298" s="1" t="str">
        <f>"26"</f>
        <v>26</v>
      </c>
      <c r="CC1298" s="1" t="str">
        <f>""</f>
        <v/>
      </c>
      <c r="CD1298" s="1">
        <v>17</v>
      </c>
      <c r="CG1298" s="1" t="s">
        <v>861</v>
      </c>
      <c r="CH1298" s="1" t="s">
        <v>219</v>
      </c>
      <c r="CI1298" s="1" t="s">
        <v>229</v>
      </c>
      <c r="CK1298" s="1" t="s">
        <v>278</v>
      </c>
      <c r="CL1298" s="1" t="s">
        <v>277</v>
      </c>
      <c r="CM1298" s="1" t="s">
        <v>220</v>
      </c>
      <c r="CO1298" s="1" t="s">
        <v>973</v>
      </c>
      <c r="CP1298" s="1" t="s">
        <v>219</v>
      </c>
      <c r="CQ1298" s="1" t="s">
        <v>229</v>
      </c>
      <c r="CR1298" s="1" t="s">
        <v>210</v>
      </c>
      <c r="CS1298" s="1" t="s">
        <v>346</v>
      </c>
      <c r="CT1298" s="1" t="s">
        <v>277</v>
      </c>
      <c r="CU1298" s="1" t="s">
        <v>220</v>
      </c>
      <c r="CX1298" s="1" t="s">
        <v>224</v>
      </c>
      <c r="DB1298" s="1" t="s">
        <v>224</v>
      </c>
      <c r="DE1298" s="1" t="s">
        <v>2841</v>
      </c>
      <c r="DF1298" s="1" t="s">
        <v>219</v>
      </c>
      <c r="DG1298" s="1" t="s">
        <v>226</v>
      </c>
      <c r="DJ1298" s="1" t="s">
        <v>224</v>
      </c>
      <c r="DS1298" s="1" t="s">
        <v>230</v>
      </c>
      <c r="DW1298" s="1" t="s">
        <v>230</v>
      </c>
      <c r="EA1298" s="1" t="s">
        <v>230</v>
      </c>
      <c r="EE1298" s="1" t="s">
        <v>230</v>
      </c>
      <c r="EI1298" s="1" t="s">
        <v>230</v>
      </c>
      <c r="EL1298" s="1" t="s">
        <v>231</v>
      </c>
      <c r="EM1298" s="1" t="s">
        <v>232</v>
      </c>
      <c r="EN1298" s="1" t="s">
        <v>282</v>
      </c>
      <c r="EO1298" s="1" t="s">
        <v>1020</v>
      </c>
      <c r="EP1298" s="1" t="s">
        <v>6649</v>
      </c>
      <c r="EQ1298" s="1" t="s">
        <v>236</v>
      </c>
      <c r="ER1298" s="1" t="s">
        <v>210</v>
      </c>
      <c r="ES1298" s="1" t="s">
        <v>3285</v>
      </c>
      <c r="EU1298" s="1" t="s">
        <v>239</v>
      </c>
      <c r="EV1298" s="1" t="s">
        <v>240</v>
      </c>
      <c r="EW1298" s="1" t="s">
        <v>9701</v>
      </c>
      <c r="EZ1298" s="1" t="s">
        <v>287</v>
      </c>
      <c r="FA1298" s="1" t="s">
        <v>471</v>
      </c>
      <c r="FD1298" s="1" t="s">
        <v>246</v>
      </c>
      <c r="FE1298" s="1" t="s">
        <v>1031</v>
      </c>
      <c r="FF1298" s="1" t="s">
        <v>248</v>
      </c>
      <c r="FH1298" s="1" t="s">
        <v>550</v>
      </c>
      <c r="FI1298" s="1" t="s">
        <v>357</v>
      </c>
      <c r="FL1298" s="1" t="s">
        <v>358</v>
      </c>
      <c r="FM1298" s="1" t="s">
        <v>252</v>
      </c>
      <c r="FN1298" s="1" t="s">
        <v>213</v>
      </c>
      <c r="FO1298" s="1" t="s">
        <v>213</v>
      </c>
      <c r="FQ1298" s="1" t="s">
        <v>329</v>
      </c>
      <c r="FR1298" s="1" t="s">
        <v>210</v>
      </c>
      <c r="FS1298" s="1" t="s">
        <v>1535</v>
      </c>
      <c r="FT1298" s="1" t="s">
        <v>1408</v>
      </c>
      <c r="FU1298" s="1" t="s">
        <v>204</v>
      </c>
      <c r="FW1298" s="1" t="s">
        <v>256</v>
      </c>
      <c r="FX1298" s="1">
        <v>2648</v>
      </c>
      <c r="FY1298" s="1" t="s">
        <v>1022</v>
      </c>
      <c r="FZ1298" s="1" t="s">
        <v>1023</v>
      </c>
      <c r="GA1298" s="1">
        <v>13380</v>
      </c>
      <c r="GB1298" s="1" t="s">
        <v>1024</v>
      </c>
      <c r="GE1298" s="1" t="s">
        <v>210</v>
      </c>
      <c r="GI1298" s="1" t="s">
        <v>213</v>
      </c>
      <c r="GJ1298" s="1" t="s">
        <v>260</v>
      </c>
      <c r="GK1298" s="1" t="s">
        <v>210</v>
      </c>
      <c r="GL1298" s="2">
        <v>42131</v>
      </c>
    </row>
    <row r="1299" spans="1:195">
      <c r="A1299" s="1">
        <v>130000</v>
      </c>
      <c r="B1299" s="1" t="s">
        <v>195</v>
      </c>
      <c r="C1299" s="1" t="str">
        <f>"08866700"</f>
        <v>08866700</v>
      </c>
      <c r="D1299" s="1" t="s">
        <v>196</v>
      </c>
      <c r="F1299" s="1" t="str">
        <f>"160"</f>
        <v>160</v>
      </c>
      <c r="G1299" s="2">
        <v>42082</v>
      </c>
      <c r="H1299" s="1">
        <v>139000</v>
      </c>
      <c r="I1299" s="1">
        <v>139000</v>
      </c>
      <c r="J1299" s="1">
        <v>130000</v>
      </c>
      <c r="K1299" s="2">
        <v>42082</v>
      </c>
      <c r="L1299" s="1">
        <v>8</v>
      </c>
      <c r="M1299" s="2">
        <v>42089</v>
      </c>
      <c r="N1299" s="1">
        <v>8</v>
      </c>
      <c r="O1299" s="2">
        <v>42089</v>
      </c>
      <c r="P1299" s="1">
        <v>15391</v>
      </c>
      <c r="Q1299" s="1" t="s">
        <v>423</v>
      </c>
      <c r="R1299" s="2">
        <v>42132</v>
      </c>
      <c r="S1299" s="1">
        <v>144772</v>
      </c>
      <c r="U1299" s="1">
        <v>1535</v>
      </c>
      <c r="V1299" s="1" t="s">
        <v>8033</v>
      </c>
      <c r="W1299" s="1" t="s">
        <v>425</v>
      </c>
      <c r="Y1299" s="1">
        <v>1</v>
      </c>
      <c r="Z1299" s="1" t="s">
        <v>200</v>
      </c>
      <c r="AA1299" s="1" t="s">
        <v>426</v>
      </c>
      <c r="AB1299" s="1">
        <v>60160</v>
      </c>
      <c r="AE1299" s="1" t="s">
        <v>13128</v>
      </c>
      <c r="AF1299" s="1">
        <v>1946</v>
      </c>
      <c r="AG1299" s="1" t="s">
        <v>213</v>
      </c>
      <c r="AH1299" s="1" t="s">
        <v>428</v>
      </c>
      <c r="AI1299" s="1" t="s">
        <v>310</v>
      </c>
      <c r="AJ1299" s="1" t="s">
        <v>429</v>
      </c>
      <c r="AL1299" s="1">
        <v>6</v>
      </c>
      <c r="AM1299" s="1">
        <v>2</v>
      </c>
      <c r="AN1299" s="1">
        <v>1</v>
      </c>
      <c r="AO1299" s="1">
        <v>1</v>
      </c>
      <c r="AP1299" s="1" t="s">
        <v>210</v>
      </c>
      <c r="AR1299" s="1" t="s">
        <v>209</v>
      </c>
      <c r="AS1299" s="1" t="s">
        <v>204</v>
      </c>
      <c r="AT1299" s="1" t="s">
        <v>211</v>
      </c>
      <c r="AU1299" s="1">
        <v>2</v>
      </c>
      <c r="AW1299" s="1" t="s">
        <v>204</v>
      </c>
      <c r="AX1299" s="1">
        <v>3093</v>
      </c>
      <c r="AZ1299" s="1">
        <v>3213</v>
      </c>
      <c r="BA1299" s="1">
        <v>2013</v>
      </c>
      <c r="BB1299" s="1" t="s">
        <v>405</v>
      </c>
      <c r="BE1299" s="1">
        <v>1519</v>
      </c>
      <c r="BF1299" s="1">
        <v>1</v>
      </c>
      <c r="BG1299" s="1">
        <v>0</v>
      </c>
      <c r="BL1299" s="1">
        <v>0</v>
      </c>
      <c r="BM1299" s="1" t="s">
        <v>204</v>
      </c>
      <c r="BN1299" s="1" t="s">
        <v>213</v>
      </c>
      <c r="BO1299" s="1">
        <v>0</v>
      </c>
      <c r="BP1299" s="1" t="s">
        <v>204</v>
      </c>
      <c r="BR1299" s="1" t="str">
        <f>"15031280450000"</f>
        <v>15031280450000</v>
      </c>
      <c r="BT1299" s="1" t="s">
        <v>13129</v>
      </c>
      <c r="BX1299" s="1">
        <v>89</v>
      </c>
      <c r="BY1299" s="1">
        <v>89</v>
      </c>
      <c r="BZ1299" s="1">
        <v>209</v>
      </c>
      <c r="CB1299" s="1" t="str">
        <f t="shared" ref="CB1299:CC1299" si="998">""</f>
        <v/>
      </c>
      <c r="CC1299" s="1" t="str">
        <f t="shared" si="998"/>
        <v/>
      </c>
      <c r="CG1299" s="1" t="s">
        <v>3083</v>
      </c>
      <c r="CH1299" s="1" t="s">
        <v>219</v>
      </c>
      <c r="CI1299" s="1" t="s">
        <v>438</v>
      </c>
      <c r="CJ1299" s="1" t="s">
        <v>343</v>
      </c>
      <c r="CK1299" s="1" t="s">
        <v>223</v>
      </c>
      <c r="CL1299" s="1" t="s">
        <v>277</v>
      </c>
      <c r="CM1299" s="1" t="s">
        <v>438</v>
      </c>
      <c r="CN1299" s="1" t="s">
        <v>343</v>
      </c>
      <c r="CO1299" s="1" t="s">
        <v>837</v>
      </c>
      <c r="CP1299" s="1" t="s">
        <v>219</v>
      </c>
      <c r="CQ1299" s="1" t="s">
        <v>438</v>
      </c>
      <c r="CR1299" s="1" t="s">
        <v>210</v>
      </c>
      <c r="CS1299" s="1" t="s">
        <v>1046</v>
      </c>
      <c r="CT1299" s="1" t="s">
        <v>277</v>
      </c>
      <c r="CU1299" s="1" t="s">
        <v>438</v>
      </c>
      <c r="CV1299" s="1" t="s">
        <v>343</v>
      </c>
      <c r="CX1299" s="1" t="s">
        <v>224</v>
      </c>
      <c r="DB1299" s="1" t="s">
        <v>224</v>
      </c>
      <c r="DE1299" s="1" t="s">
        <v>318</v>
      </c>
      <c r="DF1299" s="1" t="s">
        <v>219</v>
      </c>
      <c r="DG1299" s="1" t="s">
        <v>226</v>
      </c>
      <c r="DH1299" s="1" t="s">
        <v>343</v>
      </c>
      <c r="DI1299" s="1" t="s">
        <v>729</v>
      </c>
      <c r="DJ1299" s="1" t="s">
        <v>219</v>
      </c>
      <c r="DK1299" s="1" t="s">
        <v>220</v>
      </c>
      <c r="DL1299" s="1" t="s">
        <v>343</v>
      </c>
      <c r="DS1299" s="1" t="s">
        <v>230</v>
      </c>
      <c r="DW1299" s="1" t="s">
        <v>230</v>
      </c>
      <c r="EA1299" s="1" t="s">
        <v>230</v>
      </c>
      <c r="EE1299" s="1" t="s">
        <v>230</v>
      </c>
      <c r="EI1299" s="1" t="s">
        <v>230</v>
      </c>
      <c r="EL1299" s="1" t="s">
        <v>3717</v>
      </c>
      <c r="EM1299" s="1" t="s">
        <v>319</v>
      </c>
      <c r="EN1299" s="1" t="s">
        <v>282</v>
      </c>
      <c r="EO1299" s="1" t="s">
        <v>234</v>
      </c>
      <c r="EQ1299" s="1" t="s">
        <v>468</v>
      </c>
      <c r="ER1299" s="1" t="s">
        <v>544</v>
      </c>
      <c r="EU1299" s="1" t="s">
        <v>546</v>
      </c>
      <c r="EV1299" s="1" t="s">
        <v>324</v>
      </c>
      <c r="EW1299" s="1" t="s">
        <v>210</v>
      </c>
      <c r="EY1299" s="1" t="s">
        <v>790</v>
      </c>
      <c r="EZ1299" s="1" t="s">
        <v>287</v>
      </c>
      <c r="FA1299" s="1" t="s">
        <v>13130</v>
      </c>
      <c r="FD1299" s="1" t="s">
        <v>246</v>
      </c>
      <c r="FE1299" s="1" t="s">
        <v>975</v>
      </c>
      <c r="FF1299" s="1" t="s">
        <v>1113</v>
      </c>
      <c r="FH1299" s="1" t="s">
        <v>13131</v>
      </c>
      <c r="FI1299" s="1" t="s">
        <v>473</v>
      </c>
      <c r="FL1299" s="1" t="s">
        <v>358</v>
      </c>
      <c r="FM1299" s="1" t="s">
        <v>252</v>
      </c>
      <c r="FN1299" s="1" t="s">
        <v>213</v>
      </c>
      <c r="FO1299" s="1" t="s">
        <v>213</v>
      </c>
      <c r="FQ1299" s="1" t="s">
        <v>13132</v>
      </c>
      <c r="FR1299" s="1" t="s">
        <v>210</v>
      </c>
      <c r="FS1299" s="1" t="s">
        <v>13133</v>
      </c>
      <c r="FT1299" s="1" t="s">
        <v>362</v>
      </c>
      <c r="FU1299" s="1" t="s">
        <v>204</v>
      </c>
      <c r="FW1299" s="1" t="s">
        <v>13134</v>
      </c>
      <c r="FX1299" s="1">
        <v>84487</v>
      </c>
      <c r="FY1299" s="1" t="s">
        <v>13135</v>
      </c>
      <c r="FZ1299" s="1" t="s">
        <v>13136</v>
      </c>
      <c r="GA1299" s="1">
        <v>108148</v>
      </c>
      <c r="GB1299" s="1" t="s">
        <v>13137</v>
      </c>
      <c r="GD1299" s="1" t="s">
        <v>13138</v>
      </c>
      <c r="GE1299" s="1" t="s">
        <v>210</v>
      </c>
      <c r="GH1299" s="1" t="s">
        <v>230</v>
      </c>
      <c r="GI1299" s="1" t="s">
        <v>213</v>
      </c>
      <c r="GJ1299" s="1" t="s">
        <v>260</v>
      </c>
      <c r="GK1299" s="1" t="s">
        <v>210</v>
      </c>
      <c r="GL1299" s="2">
        <v>42132</v>
      </c>
      <c r="GM1299" s="1" t="s">
        <v>13139</v>
      </c>
    </row>
    <row r="1300" spans="1:195">
      <c r="A1300" s="1">
        <v>96000</v>
      </c>
      <c r="B1300" s="1" t="s">
        <v>195</v>
      </c>
      <c r="C1300" s="1" t="str">
        <f>"08872438"</f>
        <v>08872438</v>
      </c>
      <c r="D1300" s="1" t="s">
        <v>196</v>
      </c>
      <c r="F1300" s="1" t="str">
        <f>"562"</f>
        <v>562</v>
      </c>
      <c r="G1300" s="2">
        <v>42089</v>
      </c>
      <c r="H1300" s="1">
        <v>99000</v>
      </c>
      <c r="I1300" s="1">
        <v>99000</v>
      </c>
      <c r="J1300" s="1">
        <v>96000</v>
      </c>
      <c r="K1300" s="2">
        <v>42089</v>
      </c>
      <c r="L1300" s="1">
        <v>13</v>
      </c>
      <c r="M1300" s="2">
        <v>42101</v>
      </c>
      <c r="N1300" s="1">
        <v>13</v>
      </c>
      <c r="O1300" s="2">
        <v>42101</v>
      </c>
      <c r="P1300" s="1">
        <v>20179</v>
      </c>
      <c r="Q1300" s="1" t="s">
        <v>197</v>
      </c>
      <c r="R1300" s="2">
        <v>42142</v>
      </c>
      <c r="S1300" s="1">
        <v>241993</v>
      </c>
      <c r="U1300" s="1">
        <v>7413</v>
      </c>
      <c r="V1300" s="1" t="s">
        <v>4739</v>
      </c>
      <c r="W1300" s="1" t="s">
        <v>264</v>
      </c>
      <c r="X1300" s="1">
        <v>110</v>
      </c>
      <c r="Y1300" s="1">
        <v>30</v>
      </c>
      <c r="Z1300" s="1" t="s">
        <v>249</v>
      </c>
      <c r="AA1300" s="1" t="s">
        <v>899</v>
      </c>
      <c r="AB1300" s="1">
        <v>60561</v>
      </c>
      <c r="AD1300" s="1" t="s">
        <v>5859</v>
      </c>
      <c r="AE1300" s="1" t="s">
        <v>13140</v>
      </c>
      <c r="AF1300" s="1">
        <v>1974</v>
      </c>
      <c r="AG1300" s="1" t="s">
        <v>213</v>
      </c>
      <c r="AH1300" s="1" t="s">
        <v>902</v>
      </c>
      <c r="AI1300" s="1" t="s">
        <v>206</v>
      </c>
      <c r="AJ1300" s="1" t="s">
        <v>903</v>
      </c>
      <c r="AL1300" s="1">
        <v>4</v>
      </c>
      <c r="AM1300" s="1">
        <v>2</v>
      </c>
      <c r="AN1300" s="1">
        <v>1</v>
      </c>
      <c r="AO1300" s="1">
        <v>0</v>
      </c>
      <c r="AP1300" s="1" t="s">
        <v>210</v>
      </c>
      <c r="AQ1300" s="1">
        <v>0</v>
      </c>
      <c r="AR1300" s="1" t="s">
        <v>210</v>
      </c>
      <c r="AS1300" s="1" t="s">
        <v>204</v>
      </c>
      <c r="AT1300" s="1" t="s">
        <v>271</v>
      </c>
      <c r="AV1300" s="1">
        <v>1</v>
      </c>
      <c r="AW1300" s="1" t="s">
        <v>204</v>
      </c>
      <c r="AX1300" s="1" t="s">
        <v>212</v>
      </c>
      <c r="AZ1300" s="1">
        <v>1300</v>
      </c>
      <c r="BA1300" s="1">
        <v>2013</v>
      </c>
      <c r="BB1300" s="1" t="s">
        <v>405</v>
      </c>
      <c r="BE1300" s="1">
        <v>900</v>
      </c>
      <c r="BF1300" s="1">
        <v>1</v>
      </c>
      <c r="BG1300" s="1">
        <v>30</v>
      </c>
      <c r="BL1300" s="1">
        <v>307</v>
      </c>
      <c r="BM1300" s="1" t="s">
        <v>204</v>
      </c>
      <c r="BN1300" s="1" t="s">
        <v>213</v>
      </c>
      <c r="BO1300" s="1">
        <v>999</v>
      </c>
      <c r="BP1300" s="1" t="s">
        <v>204</v>
      </c>
      <c r="BR1300" s="1" t="str">
        <f>"0927208070"</f>
        <v>0927208070</v>
      </c>
      <c r="BT1300" s="1" t="s">
        <v>13141</v>
      </c>
      <c r="BU1300" s="1" t="s">
        <v>3097</v>
      </c>
      <c r="BV1300" s="1" t="s">
        <v>3098</v>
      </c>
      <c r="BW1300" s="1" t="s">
        <v>907</v>
      </c>
      <c r="BX1300" s="1">
        <v>61</v>
      </c>
      <c r="BY1300" s="1">
        <v>61</v>
      </c>
      <c r="BZ1300" s="1">
        <v>86</v>
      </c>
      <c r="CB1300" s="1" t="str">
        <f t="shared" ref="CB1300:CC1300" si="999">"0"</f>
        <v>0</v>
      </c>
      <c r="CC1300" s="1" t="str">
        <f t="shared" si="999"/>
        <v>0</v>
      </c>
      <c r="CD1300" s="1">
        <v>17</v>
      </c>
      <c r="CE1300" s="1">
        <v>8</v>
      </c>
      <c r="CG1300" s="1" t="s">
        <v>1737</v>
      </c>
      <c r="CH1300" s="1" t="s">
        <v>219</v>
      </c>
      <c r="CI1300" s="1" t="s">
        <v>229</v>
      </c>
      <c r="CJ1300" s="1" t="s">
        <v>343</v>
      </c>
      <c r="CK1300" s="1" t="s">
        <v>539</v>
      </c>
      <c r="CL1300" s="1" t="s">
        <v>219</v>
      </c>
      <c r="CM1300" s="1" t="s">
        <v>229</v>
      </c>
      <c r="CN1300" s="1" t="s">
        <v>343</v>
      </c>
      <c r="CP1300" s="1" t="s">
        <v>224</v>
      </c>
      <c r="CS1300" s="1" t="s">
        <v>1046</v>
      </c>
      <c r="CT1300" s="1" t="s">
        <v>219</v>
      </c>
      <c r="CU1300" s="1" t="s">
        <v>229</v>
      </c>
      <c r="CV1300" s="1" t="s">
        <v>343</v>
      </c>
      <c r="CX1300" s="1" t="s">
        <v>224</v>
      </c>
      <c r="DB1300" s="1" t="s">
        <v>224</v>
      </c>
      <c r="DE1300" s="1" t="s">
        <v>2203</v>
      </c>
      <c r="DF1300" s="1" t="s">
        <v>219</v>
      </c>
      <c r="DG1300" s="1" t="s">
        <v>226</v>
      </c>
      <c r="DH1300" s="1" t="s">
        <v>210</v>
      </c>
      <c r="DJ1300" s="1" t="s">
        <v>224</v>
      </c>
      <c r="DS1300" s="1" t="s">
        <v>230</v>
      </c>
      <c r="DW1300" s="1" t="s">
        <v>230</v>
      </c>
      <c r="EA1300" s="1" t="s">
        <v>230</v>
      </c>
      <c r="EE1300" s="1" t="s">
        <v>230</v>
      </c>
      <c r="EI1300" s="1" t="s">
        <v>230</v>
      </c>
      <c r="EL1300" s="1" t="s">
        <v>605</v>
      </c>
      <c r="EM1300" s="1" t="s">
        <v>232</v>
      </c>
      <c r="EN1300" s="1" t="s">
        <v>731</v>
      </c>
      <c r="EO1300" s="1" t="s">
        <v>234</v>
      </c>
      <c r="EP1300" s="1" t="s">
        <v>5863</v>
      </c>
      <c r="EQ1300" s="1" t="s">
        <v>2188</v>
      </c>
      <c r="ER1300" s="1" t="s">
        <v>210</v>
      </c>
      <c r="ES1300" s="1" t="s">
        <v>322</v>
      </c>
      <c r="EU1300" s="1" t="s">
        <v>239</v>
      </c>
      <c r="EW1300" s="1" t="s">
        <v>2232</v>
      </c>
      <c r="EY1300" s="1" t="s">
        <v>242</v>
      </c>
      <c r="EZ1300" s="1" t="s">
        <v>287</v>
      </c>
      <c r="FA1300" s="1" t="s">
        <v>243</v>
      </c>
      <c r="FB1300" s="1" t="s">
        <v>289</v>
      </c>
      <c r="FC1300" s="1" t="s">
        <v>633</v>
      </c>
      <c r="FD1300" s="1" t="s">
        <v>246</v>
      </c>
      <c r="FE1300" s="1" t="s">
        <v>247</v>
      </c>
      <c r="FF1300" s="1" t="s">
        <v>248</v>
      </c>
      <c r="FH1300" s="1" t="s">
        <v>249</v>
      </c>
      <c r="FJ1300" s="1" t="s">
        <v>197</v>
      </c>
      <c r="FK1300" s="1" t="s">
        <v>6240</v>
      </c>
      <c r="FL1300" s="1" t="s">
        <v>328</v>
      </c>
      <c r="FM1300" s="1" t="s">
        <v>252</v>
      </c>
      <c r="FN1300" s="1" t="s">
        <v>213</v>
      </c>
      <c r="FO1300" s="1" t="s">
        <v>213</v>
      </c>
      <c r="FQ1300" s="1" t="s">
        <v>8495</v>
      </c>
      <c r="FR1300" s="1" t="s">
        <v>210</v>
      </c>
      <c r="FS1300" s="1" t="s">
        <v>13142</v>
      </c>
      <c r="FT1300" s="1" t="s">
        <v>295</v>
      </c>
      <c r="FU1300" s="1" t="s">
        <v>204</v>
      </c>
      <c r="FW1300" s="1" t="s">
        <v>4195</v>
      </c>
      <c r="FX1300" s="1">
        <v>24309</v>
      </c>
      <c r="FY1300" s="1" t="s">
        <v>4196</v>
      </c>
      <c r="FZ1300" s="1" t="s">
        <v>13143</v>
      </c>
      <c r="GA1300" s="1">
        <v>237249</v>
      </c>
      <c r="GB1300" s="1" t="s">
        <v>13144</v>
      </c>
      <c r="GD1300" s="1" t="s">
        <v>13145</v>
      </c>
      <c r="GE1300" s="1" t="s">
        <v>1145</v>
      </c>
      <c r="GI1300" s="1" t="s">
        <v>213</v>
      </c>
      <c r="GJ1300" s="1" t="s">
        <v>260</v>
      </c>
      <c r="GK1300" s="1" t="s">
        <v>210</v>
      </c>
      <c r="GL1300" s="2">
        <v>42142</v>
      </c>
      <c r="GM1300" s="1" t="s">
        <v>13146</v>
      </c>
    </row>
    <row r="1301" spans="1:195">
      <c r="A1301" s="1">
        <v>155000</v>
      </c>
      <c r="B1301" s="1" t="s">
        <v>195</v>
      </c>
      <c r="C1301" s="1" t="str">
        <f>"08872921"</f>
        <v>08872921</v>
      </c>
      <c r="D1301" s="1" t="s">
        <v>196</v>
      </c>
      <c r="F1301" s="1" t="str">
        <f>"134"</f>
        <v>134</v>
      </c>
      <c r="G1301" s="2">
        <v>42089</v>
      </c>
      <c r="H1301" s="1">
        <v>159900</v>
      </c>
      <c r="I1301" s="1">
        <v>159900</v>
      </c>
      <c r="J1301" s="1">
        <v>155000</v>
      </c>
      <c r="K1301" s="2">
        <v>42089</v>
      </c>
      <c r="L1301" s="1">
        <v>19</v>
      </c>
      <c r="M1301" s="2">
        <v>42107</v>
      </c>
      <c r="N1301" s="1">
        <v>19</v>
      </c>
      <c r="O1301" s="2">
        <v>42107</v>
      </c>
      <c r="P1301" s="1">
        <v>73601</v>
      </c>
      <c r="Q1301" s="1" t="s">
        <v>197</v>
      </c>
      <c r="R1301" s="2">
        <v>42142</v>
      </c>
      <c r="S1301" s="1">
        <v>704636</v>
      </c>
      <c r="U1301" s="1">
        <v>1232</v>
      </c>
      <c r="V1301" s="1" t="s">
        <v>13147</v>
      </c>
      <c r="W1301" s="1" t="s">
        <v>304</v>
      </c>
      <c r="X1301" s="1">
        <v>4</v>
      </c>
      <c r="Y1301" s="1">
        <v>4</v>
      </c>
      <c r="Z1301" s="1" t="s">
        <v>370</v>
      </c>
      <c r="AA1301" s="1" t="s">
        <v>661</v>
      </c>
      <c r="AB1301" s="1">
        <v>60134</v>
      </c>
      <c r="AD1301" s="1" t="s">
        <v>13148</v>
      </c>
      <c r="AE1301" s="1" t="s">
        <v>13149</v>
      </c>
      <c r="AF1301" s="1">
        <v>1993</v>
      </c>
      <c r="AG1301" s="1" t="s">
        <v>204</v>
      </c>
      <c r="AH1301" s="1" t="s">
        <v>664</v>
      </c>
      <c r="AI1301" s="1" t="s">
        <v>665</v>
      </c>
      <c r="AJ1301" s="1" t="s">
        <v>664</v>
      </c>
      <c r="AK1301" s="1" t="s">
        <v>2247</v>
      </c>
      <c r="AL1301" s="1">
        <v>6</v>
      </c>
      <c r="AM1301" s="1">
        <v>2</v>
      </c>
      <c r="AN1301" s="1">
        <v>2</v>
      </c>
      <c r="AO1301" s="1">
        <v>1</v>
      </c>
      <c r="AP1301" s="1" t="s">
        <v>667</v>
      </c>
      <c r="AQ1301" s="1">
        <v>1</v>
      </c>
      <c r="AR1301" s="1" t="s">
        <v>209</v>
      </c>
      <c r="AS1301" s="1" t="s">
        <v>213</v>
      </c>
      <c r="AT1301" s="1" t="s">
        <v>211</v>
      </c>
      <c r="AU1301" s="1">
        <v>1</v>
      </c>
      <c r="AW1301" s="1" t="s">
        <v>204</v>
      </c>
      <c r="AX1301" s="1" t="s">
        <v>212</v>
      </c>
      <c r="AZ1301" s="1">
        <v>4658</v>
      </c>
      <c r="BA1301" s="1">
        <v>2013</v>
      </c>
      <c r="BB1301" s="1" t="s">
        <v>2694</v>
      </c>
      <c r="BE1301" s="1">
        <v>1339</v>
      </c>
      <c r="BF1301" s="1">
        <v>1</v>
      </c>
      <c r="BG1301" s="1">
        <v>0</v>
      </c>
      <c r="BL1301" s="1">
        <v>170</v>
      </c>
      <c r="BM1301" s="1" t="s">
        <v>204</v>
      </c>
      <c r="BN1301" s="1" t="s">
        <v>213</v>
      </c>
      <c r="BO1301" s="1">
        <v>0</v>
      </c>
      <c r="BP1301" s="1" t="s">
        <v>204</v>
      </c>
      <c r="BR1301" s="1" t="str">
        <f>"1202226124"</f>
        <v>1202226124</v>
      </c>
      <c r="BT1301" s="1" t="s">
        <v>13150</v>
      </c>
      <c r="BU1301" s="1" t="s">
        <v>11726</v>
      </c>
      <c r="BV1301" s="1" t="s">
        <v>2447</v>
      </c>
      <c r="BW1301" s="1" t="s">
        <v>2448</v>
      </c>
      <c r="BX1301" s="1">
        <v>304</v>
      </c>
      <c r="BY1301" s="1">
        <v>304</v>
      </c>
      <c r="BZ1301" s="1">
        <v>304</v>
      </c>
      <c r="CB1301" s="1" t="str">
        <f t="shared" ref="CB1301:CC1301" si="1000">""</f>
        <v/>
      </c>
      <c r="CC1301" s="1" t="str">
        <f t="shared" si="1000"/>
        <v/>
      </c>
      <c r="CG1301" s="1" t="s">
        <v>378</v>
      </c>
      <c r="CH1301" s="1" t="s">
        <v>219</v>
      </c>
      <c r="CI1301" s="1" t="s">
        <v>438</v>
      </c>
      <c r="CJ1301" s="1" t="s">
        <v>252</v>
      </c>
      <c r="CK1301" s="1" t="s">
        <v>1045</v>
      </c>
      <c r="CL1301" s="1" t="s">
        <v>277</v>
      </c>
      <c r="CM1301" s="1" t="s">
        <v>220</v>
      </c>
      <c r="CN1301" s="1" t="s">
        <v>210</v>
      </c>
      <c r="CO1301" s="1" t="s">
        <v>629</v>
      </c>
      <c r="CP1301" s="1" t="s">
        <v>219</v>
      </c>
      <c r="CQ1301" s="1" t="s">
        <v>438</v>
      </c>
      <c r="CS1301" s="1" t="s">
        <v>1178</v>
      </c>
      <c r="CT1301" s="1" t="s">
        <v>277</v>
      </c>
      <c r="CU1301" s="1" t="s">
        <v>220</v>
      </c>
      <c r="CV1301" s="1" t="s">
        <v>210</v>
      </c>
      <c r="CX1301" s="1" t="s">
        <v>224</v>
      </c>
      <c r="DB1301" s="1" t="s">
        <v>224</v>
      </c>
      <c r="DE1301" s="1" t="s">
        <v>1403</v>
      </c>
      <c r="DF1301" s="1" t="s">
        <v>219</v>
      </c>
      <c r="DG1301" s="1" t="s">
        <v>438</v>
      </c>
      <c r="DJ1301" s="1" t="s">
        <v>224</v>
      </c>
      <c r="DM1301" s="1" t="s">
        <v>934</v>
      </c>
      <c r="DR1301" s="1" t="s">
        <v>4070</v>
      </c>
      <c r="DS1301" s="1" t="s">
        <v>43</v>
      </c>
      <c r="DT1301" s="1" t="s">
        <v>220</v>
      </c>
      <c r="DU1301" s="1" t="s">
        <v>210</v>
      </c>
      <c r="DW1301" s="1" t="s">
        <v>230</v>
      </c>
      <c r="EA1301" s="1" t="s">
        <v>230</v>
      </c>
      <c r="EE1301" s="1" t="s">
        <v>230</v>
      </c>
      <c r="EI1301" s="1" t="s">
        <v>230</v>
      </c>
      <c r="EL1301" s="1" t="s">
        <v>382</v>
      </c>
      <c r="EM1301" s="1" t="s">
        <v>319</v>
      </c>
      <c r="EN1301" s="1" t="s">
        <v>282</v>
      </c>
      <c r="EO1301" s="1" t="s">
        <v>234</v>
      </c>
      <c r="EP1301" s="1" t="s">
        <v>2983</v>
      </c>
      <c r="EQ1301" s="1" t="s">
        <v>236</v>
      </c>
      <c r="ER1301" s="1" t="s">
        <v>544</v>
      </c>
      <c r="ES1301" s="1" t="s">
        <v>322</v>
      </c>
      <c r="ET1301" s="1" t="s">
        <v>842</v>
      </c>
      <c r="EU1301" s="1" t="s">
        <v>239</v>
      </c>
      <c r="EV1301" s="1" t="s">
        <v>1553</v>
      </c>
      <c r="EW1301" s="1" t="s">
        <v>7793</v>
      </c>
      <c r="EY1301" s="1" t="s">
        <v>242</v>
      </c>
      <c r="EZ1301" s="1" t="s">
        <v>934</v>
      </c>
      <c r="FA1301" s="1" t="s">
        <v>13151</v>
      </c>
      <c r="FC1301" s="1" t="s">
        <v>326</v>
      </c>
      <c r="FD1301" s="1" t="s">
        <v>246</v>
      </c>
      <c r="FE1301" s="1" t="s">
        <v>472</v>
      </c>
      <c r="FF1301" s="1" t="s">
        <v>248</v>
      </c>
      <c r="FG1301" s="1" t="s">
        <v>871</v>
      </c>
      <c r="FH1301" s="1" t="s">
        <v>550</v>
      </c>
      <c r="FI1301" s="1" t="s">
        <v>473</v>
      </c>
      <c r="FL1301" s="1" t="s">
        <v>358</v>
      </c>
      <c r="FM1301" s="1" t="s">
        <v>252</v>
      </c>
      <c r="FN1301" s="1" t="s">
        <v>213</v>
      </c>
      <c r="FO1301" s="1" t="s">
        <v>204</v>
      </c>
      <c r="FQ1301" s="1" t="s">
        <v>4594</v>
      </c>
      <c r="FR1301" s="1" t="s">
        <v>210</v>
      </c>
      <c r="FS1301" s="1" t="s">
        <v>13152</v>
      </c>
      <c r="FT1301" s="1" t="s">
        <v>295</v>
      </c>
      <c r="FU1301" s="1" t="s">
        <v>213</v>
      </c>
      <c r="FW1301" s="1" t="s">
        <v>13153</v>
      </c>
      <c r="FX1301" s="1">
        <v>280</v>
      </c>
      <c r="FY1301" s="1" t="s">
        <v>13154</v>
      </c>
      <c r="FZ1301" s="1" t="s">
        <v>13155</v>
      </c>
      <c r="GA1301" s="1">
        <v>1127</v>
      </c>
      <c r="GB1301" s="1" t="s">
        <v>13156</v>
      </c>
      <c r="GC1301" s="1">
        <v>2089</v>
      </c>
      <c r="GE1301" s="1" t="s">
        <v>480</v>
      </c>
      <c r="GI1301" s="1" t="s">
        <v>213</v>
      </c>
      <c r="GJ1301" s="1" t="s">
        <v>260</v>
      </c>
      <c r="GK1301" s="1" t="s">
        <v>210</v>
      </c>
      <c r="GL1301" s="2">
        <v>42142</v>
      </c>
    </row>
    <row r="1302" spans="1:195">
      <c r="A1302" s="1">
        <v>192000</v>
      </c>
      <c r="B1302" s="1" t="s">
        <v>195</v>
      </c>
      <c r="C1302" s="1" t="str">
        <f>"08862186"</f>
        <v>08862186</v>
      </c>
      <c r="D1302" s="1" t="s">
        <v>196</v>
      </c>
      <c r="F1302" s="1" t="str">
        <f>"507"</f>
        <v>507</v>
      </c>
      <c r="G1302" s="2">
        <v>42078</v>
      </c>
      <c r="H1302" s="1">
        <v>199900</v>
      </c>
      <c r="I1302" s="1">
        <v>199900</v>
      </c>
      <c r="J1302" s="1">
        <v>192000</v>
      </c>
      <c r="K1302" s="2">
        <v>42077</v>
      </c>
      <c r="L1302" s="1">
        <v>8</v>
      </c>
      <c r="M1302" s="2">
        <v>42084</v>
      </c>
      <c r="N1302" s="1">
        <v>8</v>
      </c>
      <c r="O1302" s="2">
        <v>42084</v>
      </c>
      <c r="P1302" s="1">
        <v>23076</v>
      </c>
      <c r="Q1302" s="1" t="s">
        <v>197</v>
      </c>
      <c r="R1302" s="2">
        <v>42132</v>
      </c>
      <c r="S1302" s="1">
        <v>231157</v>
      </c>
      <c r="U1302" s="1">
        <v>2496</v>
      </c>
      <c r="V1302" s="1" t="s">
        <v>6254</v>
      </c>
      <c r="W1302" s="1" t="s">
        <v>449</v>
      </c>
      <c r="Y1302" s="1">
        <v>6</v>
      </c>
      <c r="Z1302" s="1" t="s">
        <v>249</v>
      </c>
      <c r="AA1302" s="1" t="s">
        <v>1123</v>
      </c>
      <c r="AB1302" s="1">
        <v>60502</v>
      </c>
      <c r="AD1302" s="1" t="s">
        <v>7345</v>
      </c>
      <c r="AE1302" s="1" t="s">
        <v>13157</v>
      </c>
      <c r="AF1302" s="1">
        <v>2004</v>
      </c>
      <c r="AG1302" s="1" t="s">
        <v>204</v>
      </c>
      <c r="AH1302" s="1" t="s">
        <v>1126</v>
      </c>
      <c r="AI1302" s="1" t="s">
        <v>206</v>
      </c>
      <c r="AJ1302" s="1" t="s">
        <v>924</v>
      </c>
      <c r="AK1302" s="1" t="s">
        <v>13158</v>
      </c>
      <c r="AL1302" s="1">
        <v>6</v>
      </c>
      <c r="AM1302" s="1">
        <v>2</v>
      </c>
      <c r="AN1302" s="1">
        <v>2</v>
      </c>
      <c r="AO1302" s="1">
        <v>1</v>
      </c>
      <c r="AP1302" s="1" t="s">
        <v>209</v>
      </c>
      <c r="AQ1302" s="1">
        <v>1</v>
      </c>
      <c r="AR1302" s="1" t="s">
        <v>209</v>
      </c>
      <c r="AS1302" s="1" t="s">
        <v>204</v>
      </c>
      <c r="AT1302" s="1" t="s">
        <v>211</v>
      </c>
      <c r="AU1302" s="1">
        <v>2</v>
      </c>
      <c r="AW1302" s="1" t="s">
        <v>204</v>
      </c>
      <c r="AX1302" s="1" t="s">
        <v>212</v>
      </c>
      <c r="AZ1302" s="1">
        <v>4500</v>
      </c>
      <c r="BA1302" s="1">
        <v>2013</v>
      </c>
      <c r="BB1302" s="1" t="s">
        <v>405</v>
      </c>
      <c r="BE1302" s="1">
        <v>1600</v>
      </c>
      <c r="BF1302" s="1">
        <v>1</v>
      </c>
      <c r="BG1302" s="1">
        <v>0</v>
      </c>
      <c r="BL1302" s="1">
        <v>157</v>
      </c>
      <c r="BM1302" s="1" t="s">
        <v>204</v>
      </c>
      <c r="BN1302" s="1" t="s">
        <v>213</v>
      </c>
      <c r="BO1302" s="1">
        <v>0</v>
      </c>
      <c r="BP1302" s="1" t="s">
        <v>204</v>
      </c>
      <c r="BR1302" s="1" t="str">
        <f>"0719316117"</f>
        <v>0719316117</v>
      </c>
      <c r="BT1302" s="1" t="s">
        <v>13159</v>
      </c>
      <c r="BX1302" s="1">
        <v>204</v>
      </c>
      <c r="BY1302" s="1">
        <v>204</v>
      </c>
      <c r="BZ1302" s="1">
        <v>204</v>
      </c>
      <c r="CB1302" s="1" t="str">
        <f t="shared" ref="CB1302:CC1302" si="1001">""</f>
        <v/>
      </c>
      <c r="CC1302" s="1" t="str">
        <f t="shared" si="1001"/>
        <v/>
      </c>
      <c r="CG1302" s="1" t="s">
        <v>461</v>
      </c>
      <c r="CH1302" s="1" t="s">
        <v>219</v>
      </c>
      <c r="CI1302" s="1" t="s">
        <v>229</v>
      </c>
      <c r="CJ1302" s="1" t="s">
        <v>463</v>
      </c>
      <c r="CK1302" s="1" t="s">
        <v>931</v>
      </c>
      <c r="CL1302" s="1" t="s">
        <v>277</v>
      </c>
      <c r="CM1302" s="1" t="s">
        <v>229</v>
      </c>
      <c r="CN1302" s="1" t="s">
        <v>463</v>
      </c>
      <c r="CO1302" s="1" t="s">
        <v>318</v>
      </c>
      <c r="CP1302" s="1" t="s">
        <v>219</v>
      </c>
      <c r="CQ1302" s="1" t="s">
        <v>229</v>
      </c>
      <c r="CR1302" s="1" t="s">
        <v>463</v>
      </c>
      <c r="CS1302" s="1" t="s">
        <v>379</v>
      </c>
      <c r="CT1302" s="1" t="s">
        <v>277</v>
      </c>
      <c r="CU1302" s="1" t="s">
        <v>229</v>
      </c>
      <c r="CV1302" s="1" t="s">
        <v>909</v>
      </c>
      <c r="CX1302" s="1" t="s">
        <v>224</v>
      </c>
      <c r="DB1302" s="1" t="s">
        <v>224</v>
      </c>
      <c r="DE1302" s="1" t="s">
        <v>318</v>
      </c>
      <c r="DF1302" s="1" t="s">
        <v>219</v>
      </c>
      <c r="DG1302" s="1" t="s">
        <v>226</v>
      </c>
      <c r="DH1302" s="1" t="s">
        <v>210</v>
      </c>
      <c r="DJ1302" s="1" t="s">
        <v>224</v>
      </c>
      <c r="DM1302" s="1" t="s">
        <v>464</v>
      </c>
      <c r="DR1302" s="1" t="s">
        <v>602</v>
      </c>
      <c r="DS1302" s="1" t="s">
        <v>277</v>
      </c>
      <c r="DT1302" s="1" t="s">
        <v>229</v>
      </c>
      <c r="DU1302" s="1" t="s">
        <v>343</v>
      </c>
      <c r="DW1302" s="1" t="s">
        <v>230</v>
      </c>
      <c r="EA1302" s="1" t="s">
        <v>230</v>
      </c>
      <c r="EE1302" s="1" t="s">
        <v>230</v>
      </c>
      <c r="EI1302" s="1" t="s">
        <v>230</v>
      </c>
      <c r="EL1302" s="1" t="s">
        <v>466</v>
      </c>
      <c r="EM1302" s="1" t="s">
        <v>319</v>
      </c>
      <c r="EN1302" s="1" t="s">
        <v>282</v>
      </c>
      <c r="EO1302" s="1" t="s">
        <v>234</v>
      </c>
      <c r="EP1302" s="1" t="s">
        <v>543</v>
      </c>
      <c r="EQ1302" s="1" t="s">
        <v>13160</v>
      </c>
      <c r="ER1302" s="1" t="s">
        <v>351</v>
      </c>
      <c r="ET1302" s="1" t="s">
        <v>238</v>
      </c>
      <c r="EU1302" s="1" t="s">
        <v>239</v>
      </c>
      <c r="EV1302" s="1" t="s">
        <v>240</v>
      </c>
      <c r="EW1302" s="1" t="s">
        <v>353</v>
      </c>
      <c r="EY1302" s="1" t="s">
        <v>242</v>
      </c>
      <c r="EZ1302" s="1" t="s">
        <v>464</v>
      </c>
      <c r="FA1302" s="1" t="s">
        <v>13161</v>
      </c>
      <c r="FC1302" s="1" t="s">
        <v>326</v>
      </c>
      <c r="FD1302" s="1" t="s">
        <v>246</v>
      </c>
      <c r="FE1302" s="1" t="s">
        <v>1006</v>
      </c>
      <c r="FF1302" s="1" t="s">
        <v>248</v>
      </c>
      <c r="FG1302" s="1" t="s">
        <v>912</v>
      </c>
      <c r="FH1302" s="1" t="s">
        <v>550</v>
      </c>
      <c r="FI1302" s="1" t="s">
        <v>473</v>
      </c>
      <c r="FJ1302" s="1" t="s">
        <v>197</v>
      </c>
      <c r="FL1302" s="1" t="s">
        <v>358</v>
      </c>
      <c r="FM1302" s="1" t="s">
        <v>252</v>
      </c>
      <c r="FN1302" s="1" t="s">
        <v>213</v>
      </c>
      <c r="FO1302" s="1" t="s">
        <v>213</v>
      </c>
      <c r="FQ1302" s="1" t="s">
        <v>849</v>
      </c>
      <c r="FR1302" s="1" t="s">
        <v>210</v>
      </c>
      <c r="FS1302" s="1" t="s">
        <v>13162</v>
      </c>
      <c r="FT1302" s="1" t="s">
        <v>362</v>
      </c>
      <c r="FU1302" s="1" t="s">
        <v>204</v>
      </c>
      <c r="FW1302" s="1" t="s">
        <v>719</v>
      </c>
      <c r="FX1302" s="1">
        <v>22029</v>
      </c>
      <c r="FY1302" s="1" t="s">
        <v>720</v>
      </c>
      <c r="FZ1302" s="1" t="s">
        <v>13163</v>
      </c>
      <c r="GA1302" s="1">
        <v>237605</v>
      </c>
      <c r="GB1302" s="1" t="s">
        <v>13164</v>
      </c>
      <c r="GE1302" s="1" t="s">
        <v>335</v>
      </c>
      <c r="GI1302" s="1" t="s">
        <v>204</v>
      </c>
      <c r="GJ1302" s="1" t="s">
        <v>260</v>
      </c>
      <c r="GK1302" s="1" t="s">
        <v>261</v>
      </c>
      <c r="GL1302" s="2">
        <v>42133</v>
      </c>
      <c r="GM1302" s="1" t="s">
        <v>13165</v>
      </c>
    </row>
    <row r="1303" spans="1:195">
      <c r="A1303" s="1">
        <v>26000</v>
      </c>
      <c r="B1303" s="1" t="s">
        <v>195</v>
      </c>
      <c r="C1303" s="1" t="str">
        <f>"08869668"</f>
        <v>08869668</v>
      </c>
      <c r="D1303" s="1" t="s">
        <v>196</v>
      </c>
      <c r="F1303" s="1" t="str">
        <f>"8069"</f>
        <v>8069</v>
      </c>
      <c r="G1303" s="2">
        <v>42086</v>
      </c>
      <c r="H1303" s="1">
        <v>24700</v>
      </c>
      <c r="I1303" s="1">
        <v>24700</v>
      </c>
      <c r="J1303" s="1">
        <v>26000</v>
      </c>
      <c r="K1303" s="2">
        <v>42086</v>
      </c>
      <c r="L1303" s="1">
        <v>100</v>
      </c>
      <c r="M1303" s="2">
        <v>42109</v>
      </c>
      <c r="N1303" s="1">
        <v>24</v>
      </c>
      <c r="O1303" s="2">
        <v>42109</v>
      </c>
      <c r="P1303" s="1">
        <v>1411</v>
      </c>
      <c r="Q1303" s="1" t="s">
        <v>302</v>
      </c>
      <c r="R1303" s="2">
        <v>42144</v>
      </c>
      <c r="S1303" s="1">
        <v>922283</v>
      </c>
      <c r="U1303" s="1">
        <v>917</v>
      </c>
      <c r="V1303" s="1" t="s">
        <v>8098</v>
      </c>
      <c r="W1303" s="1" t="s">
        <v>725</v>
      </c>
      <c r="X1303" s="1" t="s">
        <v>13166</v>
      </c>
      <c r="Y1303" s="1">
        <v>30</v>
      </c>
      <c r="Z1303" s="1" t="s">
        <v>200</v>
      </c>
      <c r="AA1303" s="1" t="s">
        <v>400</v>
      </c>
      <c r="AB1303" s="1">
        <v>60619</v>
      </c>
      <c r="AE1303" s="1" t="s">
        <v>13167</v>
      </c>
      <c r="AF1303" s="1" t="s">
        <v>402</v>
      </c>
      <c r="AG1303" s="1" t="s">
        <v>213</v>
      </c>
      <c r="AH1303" s="1" t="s">
        <v>403</v>
      </c>
      <c r="AI1303" s="1" t="s">
        <v>310</v>
      </c>
      <c r="AJ1303" s="1" t="s">
        <v>562</v>
      </c>
      <c r="AL1303" s="1">
        <v>4</v>
      </c>
      <c r="AM1303" s="1">
        <v>2</v>
      </c>
      <c r="AN1303" s="1">
        <v>2</v>
      </c>
      <c r="AO1303" s="1">
        <v>0</v>
      </c>
      <c r="AP1303" s="1" t="s">
        <v>209</v>
      </c>
      <c r="AR1303" s="1" t="s">
        <v>210</v>
      </c>
      <c r="AS1303" s="1" t="s">
        <v>204</v>
      </c>
      <c r="AT1303" s="1" t="s">
        <v>210</v>
      </c>
      <c r="AW1303" s="1" t="s">
        <v>204</v>
      </c>
      <c r="AX1303" s="1" t="s">
        <v>212</v>
      </c>
      <c r="AZ1303" s="1">
        <v>720.43</v>
      </c>
      <c r="BA1303" s="1">
        <v>2013</v>
      </c>
      <c r="BE1303" s="1">
        <v>875</v>
      </c>
      <c r="BF1303" s="1">
        <v>2</v>
      </c>
      <c r="BG1303" s="1">
        <v>5</v>
      </c>
      <c r="BL1303" s="1">
        <v>218</v>
      </c>
      <c r="BM1303" s="1" t="s">
        <v>413</v>
      </c>
      <c r="BN1303" s="1" t="s">
        <v>213</v>
      </c>
      <c r="BO1303" s="1">
        <v>40</v>
      </c>
      <c r="BP1303" s="1" t="s">
        <v>204</v>
      </c>
      <c r="BR1303" s="1" t="str">
        <f>"20263190381022"</f>
        <v>20263190381022</v>
      </c>
      <c r="BT1303" s="1" t="s">
        <v>13168</v>
      </c>
      <c r="BX1303" s="1">
        <v>299</v>
      </c>
      <c r="BY1303" s="1">
        <v>299</v>
      </c>
      <c r="BZ1303" s="1">
        <v>299</v>
      </c>
      <c r="CB1303" s="1" t="str">
        <f>"0"</f>
        <v>0</v>
      </c>
      <c r="CC1303" s="1" t="str">
        <f>"917"</f>
        <v>917</v>
      </c>
      <c r="CD1303" s="1">
        <v>0</v>
      </c>
      <c r="CE1303" s="1">
        <v>7800</v>
      </c>
      <c r="CG1303" s="1" t="s">
        <v>317</v>
      </c>
      <c r="CH1303" s="1" t="s">
        <v>219</v>
      </c>
      <c r="CI1303" s="1" t="s">
        <v>438</v>
      </c>
      <c r="CK1303" s="1" t="s">
        <v>317</v>
      </c>
      <c r="CL1303" s="1" t="s">
        <v>219</v>
      </c>
      <c r="CM1303" s="1" t="s">
        <v>438</v>
      </c>
      <c r="CP1303" s="1" t="s">
        <v>224</v>
      </c>
      <c r="CS1303" s="1" t="s">
        <v>1046</v>
      </c>
      <c r="CT1303" s="1" t="s">
        <v>219</v>
      </c>
      <c r="CU1303" s="1" t="s">
        <v>438</v>
      </c>
      <c r="CX1303" s="1" t="s">
        <v>224</v>
      </c>
      <c r="DB1303" s="1" t="s">
        <v>224</v>
      </c>
      <c r="DE1303" s="1" t="s">
        <v>1297</v>
      </c>
      <c r="DF1303" s="1" t="s">
        <v>219</v>
      </c>
      <c r="DG1303" s="1" t="s">
        <v>438</v>
      </c>
      <c r="DJ1303" s="1" t="s">
        <v>224</v>
      </c>
      <c r="DS1303" s="1" t="s">
        <v>230</v>
      </c>
      <c r="DW1303" s="1" t="s">
        <v>230</v>
      </c>
      <c r="EA1303" s="1" t="s">
        <v>230</v>
      </c>
      <c r="EE1303" s="1" t="s">
        <v>230</v>
      </c>
      <c r="EI1303" s="1" t="s">
        <v>230</v>
      </c>
      <c r="EL1303" s="1" t="s">
        <v>3717</v>
      </c>
      <c r="EM1303" s="1" t="s">
        <v>232</v>
      </c>
      <c r="EN1303" s="1" t="s">
        <v>282</v>
      </c>
      <c r="EO1303" s="1" t="s">
        <v>234</v>
      </c>
      <c r="ER1303" s="1" t="s">
        <v>210</v>
      </c>
      <c r="EW1303" s="1" t="s">
        <v>937</v>
      </c>
      <c r="EZ1303" s="1" t="s">
        <v>287</v>
      </c>
      <c r="FB1303" s="1" t="s">
        <v>289</v>
      </c>
      <c r="FD1303" s="1" t="s">
        <v>246</v>
      </c>
      <c r="FE1303" s="1" t="s">
        <v>247</v>
      </c>
      <c r="FF1303" s="1" t="s">
        <v>248</v>
      </c>
      <c r="FH1303" s="1" t="s">
        <v>249</v>
      </c>
      <c r="FL1303" s="1" t="s">
        <v>358</v>
      </c>
      <c r="FM1303" s="1" t="s">
        <v>252</v>
      </c>
      <c r="FN1303" s="1" t="s">
        <v>213</v>
      </c>
      <c r="FO1303" s="1" t="s">
        <v>213</v>
      </c>
      <c r="FQ1303" s="1" t="s">
        <v>689</v>
      </c>
      <c r="FR1303" s="1" t="s">
        <v>210</v>
      </c>
      <c r="FS1303" s="1" t="s">
        <v>13169</v>
      </c>
      <c r="FT1303" s="1" t="s">
        <v>1828</v>
      </c>
      <c r="FU1303" s="1" t="s">
        <v>204</v>
      </c>
      <c r="FW1303" s="1" t="s">
        <v>13170</v>
      </c>
      <c r="FX1303" s="1">
        <v>12511</v>
      </c>
      <c r="FY1303" s="1" t="s">
        <v>13171</v>
      </c>
      <c r="FZ1303" s="1" t="s">
        <v>13172</v>
      </c>
      <c r="GA1303" s="1">
        <v>121408</v>
      </c>
      <c r="GB1303" s="1" t="s">
        <v>13173</v>
      </c>
      <c r="GE1303" s="1" t="s">
        <v>210</v>
      </c>
      <c r="GH1303" s="1" t="s">
        <v>800</v>
      </c>
      <c r="GI1303" s="1" t="s">
        <v>213</v>
      </c>
      <c r="GJ1303" s="1" t="s">
        <v>260</v>
      </c>
      <c r="GK1303" s="1" t="s">
        <v>210</v>
      </c>
      <c r="GL1303" s="2">
        <v>42145</v>
      </c>
      <c r="GM1303" s="1" t="s">
        <v>13174</v>
      </c>
    </row>
    <row r="1304" spans="1:195">
      <c r="A1304" s="1">
        <v>141000</v>
      </c>
      <c r="B1304" s="1" t="s">
        <v>195</v>
      </c>
      <c r="C1304" s="1" t="str">
        <f>"08866715"</f>
        <v>08866715</v>
      </c>
      <c r="D1304" s="1" t="s">
        <v>196</v>
      </c>
      <c r="F1304" s="1" t="str">
        <f>"540"</f>
        <v>540</v>
      </c>
      <c r="G1304" s="2">
        <v>42082</v>
      </c>
      <c r="H1304" s="1">
        <v>135000</v>
      </c>
      <c r="I1304" s="1">
        <v>135000</v>
      </c>
      <c r="J1304" s="1">
        <v>141000</v>
      </c>
      <c r="K1304" s="2">
        <v>42082</v>
      </c>
      <c r="L1304" s="1">
        <v>5</v>
      </c>
      <c r="M1304" s="2">
        <v>42086</v>
      </c>
      <c r="N1304" s="1">
        <v>5</v>
      </c>
      <c r="O1304" s="2">
        <v>42086</v>
      </c>
      <c r="P1304" s="1">
        <v>21823</v>
      </c>
      <c r="Q1304" s="1" t="s">
        <v>197</v>
      </c>
      <c r="R1304" s="2">
        <v>42128</v>
      </c>
      <c r="S1304" s="1">
        <v>221509</v>
      </c>
      <c r="U1304" s="1">
        <v>927</v>
      </c>
      <c r="V1304" s="1" t="s">
        <v>13175</v>
      </c>
      <c r="W1304" s="1" t="s">
        <v>449</v>
      </c>
      <c r="X1304" s="1">
        <v>303</v>
      </c>
      <c r="Y1304" s="1">
        <v>10</v>
      </c>
      <c r="Z1304" s="1" t="s">
        <v>249</v>
      </c>
      <c r="AA1304" s="1" t="s">
        <v>921</v>
      </c>
      <c r="AB1304" s="1">
        <v>60563</v>
      </c>
      <c r="AE1304" s="1" t="s">
        <v>13176</v>
      </c>
      <c r="AF1304" s="1">
        <v>2003</v>
      </c>
      <c r="AG1304" s="1" t="s">
        <v>204</v>
      </c>
      <c r="AH1304" s="1" t="s">
        <v>924</v>
      </c>
      <c r="AI1304" s="1" t="s">
        <v>206</v>
      </c>
      <c r="AJ1304" s="1" t="s">
        <v>924</v>
      </c>
      <c r="AL1304" s="1">
        <v>5</v>
      </c>
      <c r="AM1304" s="1">
        <v>2</v>
      </c>
      <c r="AN1304" s="1">
        <v>2</v>
      </c>
      <c r="AO1304" s="1">
        <v>0</v>
      </c>
      <c r="AP1304" s="1" t="s">
        <v>209</v>
      </c>
      <c r="AR1304" s="1" t="s">
        <v>210</v>
      </c>
      <c r="AS1304" s="1" t="s">
        <v>204</v>
      </c>
      <c r="AT1304" s="1" t="s">
        <v>375</v>
      </c>
      <c r="AU1304" s="1">
        <v>1</v>
      </c>
      <c r="AV1304" s="1">
        <v>1</v>
      </c>
      <c r="AW1304" s="1" t="s">
        <v>204</v>
      </c>
      <c r="AX1304" s="1" t="s">
        <v>212</v>
      </c>
      <c r="AZ1304" s="1">
        <v>3683</v>
      </c>
      <c r="BA1304" s="1">
        <v>2013</v>
      </c>
      <c r="BE1304" s="1">
        <v>1485</v>
      </c>
      <c r="BF1304" s="1">
        <v>3</v>
      </c>
      <c r="BG1304" s="1">
        <v>0</v>
      </c>
      <c r="BL1304" s="1">
        <v>248</v>
      </c>
      <c r="BM1304" s="1" t="s">
        <v>413</v>
      </c>
      <c r="BN1304" s="1" t="s">
        <v>213</v>
      </c>
      <c r="BO1304" s="1">
        <v>25</v>
      </c>
      <c r="BP1304" s="1" t="s">
        <v>204</v>
      </c>
      <c r="BR1304" s="1" t="str">
        <f>"0713114027"</f>
        <v>0713114027</v>
      </c>
      <c r="BT1304" s="1" t="s">
        <v>13177</v>
      </c>
      <c r="BU1304" s="1" t="s">
        <v>2823</v>
      </c>
      <c r="BV1304" s="1" t="s">
        <v>2824</v>
      </c>
      <c r="BW1304" s="1" t="s">
        <v>2825</v>
      </c>
      <c r="BX1304" s="1">
        <v>203</v>
      </c>
      <c r="BY1304" s="1">
        <v>203</v>
      </c>
      <c r="BZ1304" s="1">
        <v>203</v>
      </c>
      <c r="CB1304" s="1" t="str">
        <f t="shared" ref="CB1304:CC1304" si="1002">""</f>
        <v/>
      </c>
      <c r="CC1304" s="1" t="str">
        <f t="shared" si="1002"/>
        <v/>
      </c>
      <c r="CG1304" s="1" t="s">
        <v>3071</v>
      </c>
      <c r="CH1304" s="1" t="s">
        <v>219</v>
      </c>
      <c r="CI1304" s="1" t="s">
        <v>220</v>
      </c>
      <c r="CK1304" s="1" t="s">
        <v>3151</v>
      </c>
      <c r="CL1304" s="1" t="s">
        <v>219</v>
      </c>
      <c r="CM1304" s="1" t="s">
        <v>220</v>
      </c>
      <c r="CO1304" s="1" t="s">
        <v>836</v>
      </c>
      <c r="CP1304" s="1" t="s">
        <v>219</v>
      </c>
      <c r="CQ1304" s="1" t="s">
        <v>220</v>
      </c>
      <c r="CS1304" s="1" t="s">
        <v>3716</v>
      </c>
      <c r="CT1304" s="1" t="s">
        <v>219</v>
      </c>
      <c r="CU1304" s="1" t="s">
        <v>220</v>
      </c>
      <c r="CX1304" s="1" t="s">
        <v>224</v>
      </c>
      <c r="DB1304" s="1" t="s">
        <v>224</v>
      </c>
      <c r="DE1304" s="1" t="s">
        <v>1177</v>
      </c>
      <c r="DF1304" s="1" t="s">
        <v>219</v>
      </c>
      <c r="DG1304" s="1" t="s">
        <v>226</v>
      </c>
      <c r="DJ1304" s="1" t="s">
        <v>224</v>
      </c>
      <c r="DM1304" s="1" t="s">
        <v>709</v>
      </c>
      <c r="DN1304" s="1" t="s">
        <v>838</v>
      </c>
      <c r="DR1304" s="1" t="s">
        <v>3657</v>
      </c>
      <c r="DS1304" s="1" t="s">
        <v>219</v>
      </c>
      <c r="DT1304" s="1" t="s">
        <v>226</v>
      </c>
      <c r="DV1304" s="1" t="s">
        <v>13178</v>
      </c>
      <c r="DW1304" s="1" t="s">
        <v>219</v>
      </c>
      <c r="EA1304" s="1" t="s">
        <v>230</v>
      </c>
      <c r="EE1304" s="1" t="s">
        <v>230</v>
      </c>
      <c r="EI1304" s="1" t="s">
        <v>230</v>
      </c>
      <c r="EL1304" s="1" t="s">
        <v>466</v>
      </c>
      <c r="EM1304" s="1" t="s">
        <v>232</v>
      </c>
      <c r="EN1304" s="1" t="s">
        <v>282</v>
      </c>
      <c r="EO1304" s="1" t="s">
        <v>234</v>
      </c>
      <c r="EP1304" s="1" t="s">
        <v>13179</v>
      </c>
      <c r="EQ1304" s="1" t="s">
        <v>236</v>
      </c>
      <c r="ER1304" s="1" t="s">
        <v>210</v>
      </c>
      <c r="ES1304" s="1" t="s">
        <v>824</v>
      </c>
      <c r="EV1304" s="1" t="s">
        <v>240</v>
      </c>
      <c r="EW1304" s="1" t="s">
        <v>4533</v>
      </c>
      <c r="EZ1304" s="1" t="s">
        <v>3826</v>
      </c>
      <c r="FA1304" s="1" t="s">
        <v>9459</v>
      </c>
      <c r="FC1304" s="1" t="s">
        <v>3646</v>
      </c>
      <c r="FD1304" s="1" t="s">
        <v>290</v>
      </c>
      <c r="FE1304" s="1" t="s">
        <v>247</v>
      </c>
      <c r="FF1304" s="1" t="s">
        <v>248</v>
      </c>
      <c r="FH1304" s="1" t="s">
        <v>249</v>
      </c>
      <c r="FK1304" s="1" t="s">
        <v>2190</v>
      </c>
      <c r="FL1304" s="1" t="s">
        <v>358</v>
      </c>
      <c r="FM1304" s="1" t="s">
        <v>252</v>
      </c>
      <c r="FN1304" s="1" t="s">
        <v>213</v>
      </c>
      <c r="FO1304" s="1" t="s">
        <v>204</v>
      </c>
      <c r="FQ1304" s="1" t="s">
        <v>3545</v>
      </c>
      <c r="FR1304" s="1" t="s">
        <v>210</v>
      </c>
      <c r="FS1304" s="1" t="s">
        <v>13180</v>
      </c>
      <c r="FT1304" s="1" t="s">
        <v>295</v>
      </c>
      <c r="FU1304" s="1" t="s">
        <v>204</v>
      </c>
      <c r="FW1304" s="1" t="s">
        <v>943</v>
      </c>
      <c r="FX1304" s="1">
        <v>23120</v>
      </c>
      <c r="FY1304" s="1" t="s">
        <v>944</v>
      </c>
      <c r="FZ1304" s="1" t="s">
        <v>13181</v>
      </c>
      <c r="GA1304" s="1">
        <v>216799</v>
      </c>
      <c r="GD1304" s="1" t="s">
        <v>13182</v>
      </c>
      <c r="GE1304" s="1" t="s">
        <v>1333</v>
      </c>
      <c r="GI1304" s="1" t="s">
        <v>213</v>
      </c>
      <c r="GJ1304" s="1" t="s">
        <v>260</v>
      </c>
      <c r="GK1304" s="1" t="s">
        <v>210</v>
      </c>
      <c r="GL1304" s="2">
        <v>42130</v>
      </c>
      <c r="GM1304" s="1" t="s">
        <v>13183</v>
      </c>
    </row>
    <row r="1305" spans="1:195">
      <c r="A1305" s="1">
        <v>110500</v>
      </c>
      <c r="B1305" s="1" t="s">
        <v>195</v>
      </c>
      <c r="C1305" s="1" t="str">
        <f>"08868449"</f>
        <v>08868449</v>
      </c>
      <c r="D1305" s="1" t="s">
        <v>196</v>
      </c>
      <c r="F1305" s="1" t="str">
        <f>"507"</f>
        <v>507</v>
      </c>
      <c r="G1305" s="2">
        <v>42084</v>
      </c>
      <c r="H1305" s="1">
        <v>109900</v>
      </c>
      <c r="I1305" s="1">
        <v>109900</v>
      </c>
      <c r="J1305" s="1">
        <v>110500</v>
      </c>
      <c r="K1305" s="2">
        <v>42084</v>
      </c>
      <c r="L1305" s="1">
        <v>5</v>
      </c>
      <c r="M1305" s="2">
        <v>42088</v>
      </c>
      <c r="N1305" s="1">
        <v>5</v>
      </c>
      <c r="O1305" s="2">
        <v>42088</v>
      </c>
      <c r="P1305" s="1">
        <v>23099</v>
      </c>
      <c r="Q1305" s="1" t="s">
        <v>423</v>
      </c>
      <c r="R1305" s="2">
        <v>42123</v>
      </c>
      <c r="S1305" s="1">
        <v>235723</v>
      </c>
      <c r="T1305" s="1">
        <v>2000</v>
      </c>
      <c r="U1305" s="1">
        <v>1095</v>
      </c>
      <c r="V1305" s="1" t="s">
        <v>11076</v>
      </c>
      <c r="W1305" s="1" t="s">
        <v>4046</v>
      </c>
      <c r="X1305" s="1">
        <v>5</v>
      </c>
      <c r="Y1305" s="1">
        <v>7</v>
      </c>
      <c r="Z1305" s="1" t="s">
        <v>370</v>
      </c>
      <c r="AA1305" s="1" t="s">
        <v>1123</v>
      </c>
      <c r="AB1305" s="1">
        <v>60506</v>
      </c>
      <c r="AD1305" s="1" t="s">
        <v>11077</v>
      </c>
      <c r="AE1305" s="1" t="s">
        <v>13184</v>
      </c>
      <c r="AF1305" s="1">
        <v>1998</v>
      </c>
      <c r="AG1305" s="1" t="s">
        <v>204</v>
      </c>
      <c r="AH1305" s="1" t="s">
        <v>1126</v>
      </c>
      <c r="AI1305" s="1" t="s">
        <v>665</v>
      </c>
      <c r="AJ1305" s="1" t="s">
        <v>3240</v>
      </c>
      <c r="AK1305" s="1" t="s">
        <v>4049</v>
      </c>
      <c r="AL1305" s="1">
        <v>5</v>
      </c>
      <c r="AM1305" s="1">
        <v>2</v>
      </c>
      <c r="AN1305" s="1">
        <v>1</v>
      </c>
      <c r="AO1305" s="1">
        <v>1</v>
      </c>
      <c r="AP1305" s="1" t="s">
        <v>210</v>
      </c>
      <c r="AR1305" s="1" t="s">
        <v>2165</v>
      </c>
      <c r="AS1305" s="1" t="s">
        <v>204</v>
      </c>
      <c r="AT1305" s="1" t="s">
        <v>211</v>
      </c>
      <c r="AU1305" s="1">
        <v>2</v>
      </c>
      <c r="AW1305" s="1" t="s">
        <v>204</v>
      </c>
      <c r="AX1305" s="1" t="s">
        <v>212</v>
      </c>
      <c r="AZ1305" s="1">
        <v>2580.1799999999998</v>
      </c>
      <c r="BA1305" s="1">
        <v>2013</v>
      </c>
      <c r="BB1305" s="1" t="s">
        <v>405</v>
      </c>
      <c r="BE1305" s="1">
        <v>1250</v>
      </c>
      <c r="BF1305" s="1">
        <v>1</v>
      </c>
      <c r="BG1305" s="1">
        <v>0</v>
      </c>
      <c r="BL1305" s="1">
        <v>163</v>
      </c>
      <c r="BM1305" s="1" t="s">
        <v>204</v>
      </c>
      <c r="BN1305" s="1" t="s">
        <v>213</v>
      </c>
      <c r="BO1305" s="1">
        <v>999</v>
      </c>
      <c r="BP1305" s="1" t="s">
        <v>204</v>
      </c>
      <c r="BR1305" s="1" t="str">
        <f>"1413231013"</f>
        <v>1413231013</v>
      </c>
      <c r="BT1305" s="1" t="s">
        <v>13185</v>
      </c>
      <c r="BU1305" s="1" t="s">
        <v>3928</v>
      </c>
      <c r="BV1305" s="1" t="s">
        <v>4097</v>
      </c>
      <c r="BW1305" s="1" t="s">
        <v>3930</v>
      </c>
      <c r="BX1305" s="1">
        <v>129</v>
      </c>
      <c r="BY1305" s="1">
        <v>129</v>
      </c>
      <c r="BZ1305" s="1">
        <v>129</v>
      </c>
      <c r="CB1305" s="1" t="str">
        <f t="shared" ref="CB1305:CC1305" si="1003">"0"</f>
        <v>0</v>
      </c>
      <c r="CC1305" s="1" t="str">
        <f t="shared" si="1003"/>
        <v>0</v>
      </c>
      <c r="CD1305" s="1">
        <v>39</v>
      </c>
      <c r="CE1305" s="1">
        <v>6</v>
      </c>
      <c r="CG1305" s="1" t="s">
        <v>2934</v>
      </c>
      <c r="CH1305" s="1" t="s">
        <v>219</v>
      </c>
      <c r="CI1305" s="1" t="s">
        <v>220</v>
      </c>
      <c r="CK1305" s="1" t="s">
        <v>1788</v>
      </c>
      <c r="CL1305" s="1" t="s">
        <v>277</v>
      </c>
      <c r="CM1305" s="1" t="s">
        <v>220</v>
      </c>
      <c r="CO1305" s="1" t="s">
        <v>1360</v>
      </c>
      <c r="CP1305" s="1" t="s">
        <v>219</v>
      </c>
      <c r="CQ1305" s="1" t="s">
        <v>220</v>
      </c>
      <c r="CS1305" s="1" t="s">
        <v>836</v>
      </c>
      <c r="CT1305" s="1" t="s">
        <v>277</v>
      </c>
      <c r="CU1305" s="1" t="s">
        <v>220</v>
      </c>
      <c r="CX1305" s="1" t="s">
        <v>224</v>
      </c>
      <c r="DB1305" s="1" t="s">
        <v>224</v>
      </c>
      <c r="DE1305" s="1" t="s">
        <v>3318</v>
      </c>
      <c r="DF1305" s="1" t="s">
        <v>219</v>
      </c>
      <c r="DG1305" s="1" t="s">
        <v>342</v>
      </c>
      <c r="DJ1305" s="1" t="s">
        <v>224</v>
      </c>
      <c r="DS1305" s="1" t="s">
        <v>230</v>
      </c>
      <c r="DW1305" s="1" t="s">
        <v>230</v>
      </c>
      <c r="EA1305" s="1" t="s">
        <v>230</v>
      </c>
      <c r="EE1305" s="1" t="s">
        <v>230</v>
      </c>
      <c r="EI1305" s="1" t="s">
        <v>230</v>
      </c>
      <c r="EL1305" s="1" t="s">
        <v>670</v>
      </c>
      <c r="EM1305" s="1" t="s">
        <v>319</v>
      </c>
      <c r="EN1305" s="1" t="s">
        <v>282</v>
      </c>
      <c r="EO1305" s="1" t="s">
        <v>234</v>
      </c>
      <c r="EP1305" s="1" t="s">
        <v>936</v>
      </c>
      <c r="EQ1305" s="1" t="s">
        <v>236</v>
      </c>
      <c r="ER1305" s="1" t="s">
        <v>1249</v>
      </c>
      <c r="ES1305" s="1" t="s">
        <v>608</v>
      </c>
      <c r="EV1305" s="1" t="s">
        <v>324</v>
      </c>
      <c r="EW1305" s="1" t="s">
        <v>887</v>
      </c>
      <c r="EY1305" s="1" t="s">
        <v>2455</v>
      </c>
      <c r="EZ1305" s="1" t="s">
        <v>287</v>
      </c>
      <c r="FB1305" s="1" t="s">
        <v>289</v>
      </c>
      <c r="FC1305" s="1" t="s">
        <v>633</v>
      </c>
      <c r="FD1305" s="1" t="s">
        <v>246</v>
      </c>
      <c r="FE1305" s="1" t="s">
        <v>472</v>
      </c>
      <c r="FF1305" s="1" t="s">
        <v>248</v>
      </c>
      <c r="FH1305" s="1" t="s">
        <v>550</v>
      </c>
      <c r="FI1305" s="1" t="s">
        <v>357</v>
      </c>
      <c r="FJ1305" s="1" t="s">
        <v>518</v>
      </c>
      <c r="FL1305" s="1" t="s">
        <v>358</v>
      </c>
      <c r="FM1305" s="1" t="s">
        <v>252</v>
      </c>
      <c r="FN1305" s="1" t="s">
        <v>213</v>
      </c>
      <c r="FO1305" s="1" t="s">
        <v>213</v>
      </c>
      <c r="FQ1305" s="1" t="s">
        <v>913</v>
      </c>
      <c r="FR1305" s="1" t="s">
        <v>210</v>
      </c>
      <c r="FS1305" s="1" t="s">
        <v>11080</v>
      </c>
      <c r="FT1305" s="1" t="s">
        <v>295</v>
      </c>
      <c r="FU1305" s="1" t="s">
        <v>204</v>
      </c>
      <c r="FW1305" s="1" t="s">
        <v>676</v>
      </c>
      <c r="FX1305" s="1">
        <v>30</v>
      </c>
      <c r="FY1305" s="1" t="s">
        <v>677</v>
      </c>
      <c r="FZ1305" s="1" t="s">
        <v>3935</v>
      </c>
      <c r="GA1305" s="1">
        <v>8173</v>
      </c>
      <c r="GB1305" s="1" t="s">
        <v>3936</v>
      </c>
      <c r="GE1305" s="1" t="s">
        <v>1120</v>
      </c>
      <c r="GI1305" s="1" t="s">
        <v>213</v>
      </c>
      <c r="GJ1305" s="1" t="s">
        <v>260</v>
      </c>
      <c r="GK1305" s="1" t="s">
        <v>210</v>
      </c>
      <c r="GL1305" s="2">
        <v>42124</v>
      </c>
      <c r="GM1305" s="1" t="s">
        <v>13186</v>
      </c>
    </row>
    <row r="1306" spans="1:195">
      <c r="A1306" s="1">
        <v>195000</v>
      </c>
      <c r="B1306" s="1" t="s">
        <v>195</v>
      </c>
      <c r="C1306" s="1" t="str">
        <f>"08867379"</f>
        <v>08867379</v>
      </c>
      <c r="D1306" s="1" t="s">
        <v>196</v>
      </c>
      <c r="F1306" s="1" t="str">
        <f>"119"</f>
        <v>119</v>
      </c>
      <c r="G1306" s="2">
        <v>42083</v>
      </c>
      <c r="H1306" s="1">
        <v>205000</v>
      </c>
      <c r="I1306" s="1">
        <v>205000</v>
      </c>
      <c r="J1306" s="1">
        <v>195000</v>
      </c>
      <c r="K1306" s="2">
        <v>42083</v>
      </c>
      <c r="L1306" s="1">
        <v>12</v>
      </c>
      <c r="M1306" s="2">
        <v>42094</v>
      </c>
      <c r="N1306" s="1">
        <v>12</v>
      </c>
      <c r="O1306" s="2">
        <v>42094</v>
      </c>
      <c r="P1306" s="1">
        <v>49</v>
      </c>
      <c r="Q1306" s="1" t="s">
        <v>302</v>
      </c>
      <c r="R1306" s="2">
        <v>42130</v>
      </c>
      <c r="S1306" s="1">
        <v>8442</v>
      </c>
      <c r="U1306" s="1">
        <v>1126</v>
      </c>
      <c r="V1306" s="1" t="s">
        <v>5846</v>
      </c>
      <c r="W1306" s="1" t="s">
        <v>1056</v>
      </c>
      <c r="Y1306" s="1">
        <v>2</v>
      </c>
      <c r="Z1306" s="1" t="s">
        <v>370</v>
      </c>
      <c r="AA1306" s="1" t="s">
        <v>9117</v>
      </c>
      <c r="AB1306" s="1">
        <v>60119</v>
      </c>
      <c r="AD1306" s="1" t="s">
        <v>11061</v>
      </c>
      <c r="AE1306" s="1" t="s">
        <v>13187</v>
      </c>
      <c r="AF1306" s="1">
        <v>2007</v>
      </c>
      <c r="AG1306" s="1" t="s">
        <v>204</v>
      </c>
      <c r="AH1306" s="1" t="s">
        <v>9119</v>
      </c>
      <c r="AI1306" s="1" t="s">
        <v>665</v>
      </c>
      <c r="AJ1306" s="1" t="s">
        <v>2443</v>
      </c>
      <c r="AL1306" s="1">
        <v>6</v>
      </c>
      <c r="AM1306" s="1">
        <v>2</v>
      </c>
      <c r="AN1306" s="1">
        <v>3</v>
      </c>
      <c r="AO1306" s="1">
        <v>0</v>
      </c>
      <c r="AP1306" s="1" t="s">
        <v>209</v>
      </c>
      <c r="AQ1306" s="1">
        <v>1</v>
      </c>
      <c r="AR1306" s="1" t="s">
        <v>1631</v>
      </c>
      <c r="AS1306" s="1" t="s">
        <v>213</v>
      </c>
      <c r="AT1306" s="1" t="s">
        <v>211</v>
      </c>
      <c r="AU1306" s="1">
        <v>2</v>
      </c>
      <c r="AW1306" s="1" t="s">
        <v>204</v>
      </c>
      <c r="AX1306" s="1">
        <v>5416</v>
      </c>
      <c r="AZ1306" s="1">
        <v>5509</v>
      </c>
      <c r="BA1306" s="1">
        <v>2013</v>
      </c>
      <c r="BB1306" s="1" t="s">
        <v>405</v>
      </c>
      <c r="BE1306" s="1">
        <v>1478</v>
      </c>
      <c r="BF1306" s="1">
        <v>1</v>
      </c>
      <c r="BG1306" s="1">
        <v>0</v>
      </c>
      <c r="BL1306" s="1">
        <v>110</v>
      </c>
      <c r="BM1306" s="1" t="s">
        <v>204</v>
      </c>
      <c r="BN1306" s="1" t="s">
        <v>213</v>
      </c>
      <c r="BO1306" s="1">
        <v>999</v>
      </c>
      <c r="BP1306" s="1" t="s">
        <v>204</v>
      </c>
      <c r="BR1306" s="1" t="str">
        <f>"1109102013"</f>
        <v>1109102013</v>
      </c>
      <c r="BT1306" s="1" t="s">
        <v>13188</v>
      </c>
      <c r="BU1306" s="1" t="s">
        <v>11065</v>
      </c>
      <c r="BV1306" s="1" t="s">
        <v>13189</v>
      </c>
      <c r="BW1306" s="1" t="s">
        <v>13190</v>
      </c>
      <c r="BX1306" s="1">
        <v>302</v>
      </c>
      <c r="BY1306" s="1">
        <v>302</v>
      </c>
      <c r="BZ1306" s="1">
        <v>302</v>
      </c>
      <c r="CB1306" s="1" t="str">
        <f t="shared" ref="CB1306:CC1306" si="1004">""</f>
        <v/>
      </c>
      <c r="CC1306" s="1" t="str">
        <f t="shared" si="1004"/>
        <v/>
      </c>
      <c r="CG1306" s="1" t="s">
        <v>4460</v>
      </c>
      <c r="CH1306" s="1" t="s">
        <v>219</v>
      </c>
      <c r="CI1306" s="1" t="s">
        <v>220</v>
      </c>
      <c r="CK1306" s="1" t="s">
        <v>228</v>
      </c>
      <c r="CL1306" s="1" t="s">
        <v>219</v>
      </c>
      <c r="CM1306" s="1" t="s">
        <v>220</v>
      </c>
      <c r="CO1306" s="1" t="s">
        <v>629</v>
      </c>
      <c r="CP1306" s="1" t="s">
        <v>219</v>
      </c>
      <c r="CQ1306" s="1" t="s">
        <v>220</v>
      </c>
      <c r="CS1306" s="1" t="s">
        <v>461</v>
      </c>
      <c r="CT1306" s="1" t="s">
        <v>219</v>
      </c>
      <c r="CU1306" s="1" t="s">
        <v>220</v>
      </c>
      <c r="CW1306" s="1" t="s">
        <v>317</v>
      </c>
      <c r="CX1306" s="1" t="s">
        <v>43</v>
      </c>
      <c r="CY1306" s="1" t="s">
        <v>220</v>
      </c>
      <c r="DB1306" s="1" t="s">
        <v>224</v>
      </c>
      <c r="DE1306" s="1" t="s">
        <v>223</v>
      </c>
      <c r="DF1306" s="1" t="s">
        <v>219</v>
      </c>
      <c r="DG1306" s="1" t="s">
        <v>438</v>
      </c>
      <c r="DJ1306" s="1" t="s">
        <v>224</v>
      </c>
      <c r="DS1306" s="1" t="s">
        <v>230</v>
      </c>
      <c r="DW1306" s="1" t="s">
        <v>230</v>
      </c>
      <c r="EA1306" s="1" t="s">
        <v>230</v>
      </c>
      <c r="EE1306" s="1" t="s">
        <v>230</v>
      </c>
      <c r="EI1306" s="1" t="s">
        <v>230</v>
      </c>
      <c r="EL1306" s="1" t="s">
        <v>491</v>
      </c>
      <c r="EM1306" s="1" t="s">
        <v>319</v>
      </c>
      <c r="EN1306" s="1" t="s">
        <v>282</v>
      </c>
      <c r="EO1306" s="1" t="s">
        <v>234</v>
      </c>
      <c r="EP1306" s="1" t="s">
        <v>650</v>
      </c>
      <c r="EQ1306" s="1" t="s">
        <v>2188</v>
      </c>
      <c r="ER1306" s="1" t="s">
        <v>5804</v>
      </c>
      <c r="ES1306" s="1" t="s">
        <v>608</v>
      </c>
      <c r="ET1306" s="1" t="s">
        <v>238</v>
      </c>
      <c r="EU1306" s="1" t="s">
        <v>610</v>
      </c>
      <c r="EV1306" s="1" t="s">
        <v>240</v>
      </c>
      <c r="EW1306" s="1" t="s">
        <v>353</v>
      </c>
      <c r="EY1306" s="1" t="s">
        <v>790</v>
      </c>
      <c r="EZ1306" s="1" t="s">
        <v>287</v>
      </c>
      <c r="FA1306" s="1" t="s">
        <v>5059</v>
      </c>
      <c r="FB1306" s="1" t="s">
        <v>289</v>
      </c>
      <c r="FD1306" s="1" t="s">
        <v>246</v>
      </c>
      <c r="FE1306" s="1" t="s">
        <v>975</v>
      </c>
      <c r="FF1306" s="1" t="s">
        <v>248</v>
      </c>
      <c r="FG1306" s="1" t="s">
        <v>871</v>
      </c>
      <c r="FH1306" s="1" t="s">
        <v>442</v>
      </c>
      <c r="FI1306" s="1" t="s">
        <v>473</v>
      </c>
      <c r="FL1306" s="1" t="s">
        <v>358</v>
      </c>
      <c r="FM1306" s="1" t="s">
        <v>252</v>
      </c>
      <c r="FN1306" s="1" t="s">
        <v>213</v>
      </c>
      <c r="FO1306" s="1" t="s">
        <v>213</v>
      </c>
      <c r="FQ1306" s="1" t="s">
        <v>793</v>
      </c>
      <c r="FR1306" s="1" t="s">
        <v>210</v>
      </c>
      <c r="FS1306" s="1" t="s">
        <v>13191</v>
      </c>
      <c r="FT1306" s="1" t="s">
        <v>295</v>
      </c>
      <c r="FU1306" s="1" t="s">
        <v>204</v>
      </c>
      <c r="FW1306" s="1" t="s">
        <v>3243</v>
      </c>
      <c r="FX1306" s="1">
        <v>604</v>
      </c>
      <c r="FY1306" s="1" t="s">
        <v>3244</v>
      </c>
      <c r="FZ1306" s="1" t="s">
        <v>13192</v>
      </c>
      <c r="GA1306" s="1">
        <v>8597</v>
      </c>
      <c r="GC1306" s="1">
        <v>8597</v>
      </c>
      <c r="GD1306" s="1" t="s">
        <v>13193</v>
      </c>
      <c r="GE1306" s="1" t="s">
        <v>1256</v>
      </c>
      <c r="GI1306" s="1" t="s">
        <v>213</v>
      </c>
      <c r="GJ1306" s="1" t="s">
        <v>260</v>
      </c>
      <c r="GK1306" s="1" t="s">
        <v>210</v>
      </c>
      <c r="GL1306" s="2">
        <v>42136</v>
      </c>
      <c r="GM1306" s="1" t="s">
        <v>13194</v>
      </c>
    </row>
    <row r="1307" spans="1:195">
      <c r="A1307" s="1">
        <v>113900</v>
      </c>
      <c r="B1307" s="1" t="s">
        <v>195</v>
      </c>
      <c r="C1307" s="1" t="str">
        <f>"08865868"</f>
        <v>08865868</v>
      </c>
      <c r="D1307" s="1" t="s">
        <v>196</v>
      </c>
      <c r="F1307" s="1" t="str">
        <f>"560"</f>
        <v>560</v>
      </c>
      <c r="G1307" s="2">
        <v>42082</v>
      </c>
      <c r="H1307" s="1">
        <v>115000</v>
      </c>
      <c r="I1307" s="1">
        <v>115000</v>
      </c>
      <c r="J1307" s="1">
        <v>113900</v>
      </c>
      <c r="K1307" s="2">
        <v>42082</v>
      </c>
      <c r="L1307" s="1">
        <v>5</v>
      </c>
      <c r="M1307" s="2">
        <v>42086</v>
      </c>
      <c r="N1307" s="1">
        <v>5</v>
      </c>
      <c r="O1307" s="2">
        <v>42086</v>
      </c>
      <c r="P1307" s="1">
        <v>23183</v>
      </c>
      <c r="Q1307" s="1" t="s">
        <v>423</v>
      </c>
      <c r="R1307" s="2">
        <v>42143</v>
      </c>
      <c r="S1307" s="1">
        <v>234040</v>
      </c>
      <c r="U1307" s="1">
        <v>224</v>
      </c>
      <c r="V1307" s="1" t="s">
        <v>8598</v>
      </c>
      <c r="W1307" s="1" t="s">
        <v>264</v>
      </c>
      <c r="X1307" s="1" t="s">
        <v>1688</v>
      </c>
      <c r="Y1307" s="1">
        <v>4</v>
      </c>
      <c r="Z1307" s="1" t="s">
        <v>370</v>
      </c>
      <c r="AA1307" s="1" t="s">
        <v>484</v>
      </c>
      <c r="AB1307" s="1">
        <v>60560</v>
      </c>
      <c r="AD1307" s="1" t="s">
        <v>6969</v>
      </c>
      <c r="AE1307" s="1" t="s">
        <v>13195</v>
      </c>
      <c r="AF1307" s="1">
        <v>2007</v>
      </c>
      <c r="AG1307" s="1" t="s">
        <v>204</v>
      </c>
      <c r="AH1307" s="1" t="s">
        <v>487</v>
      </c>
      <c r="AI1307" s="1" t="s">
        <v>453</v>
      </c>
      <c r="AJ1307" s="1" t="s">
        <v>454</v>
      </c>
      <c r="AK1307" s="1" t="s">
        <v>13196</v>
      </c>
      <c r="AL1307" s="1">
        <v>6</v>
      </c>
      <c r="AM1307" s="1">
        <v>2</v>
      </c>
      <c r="AN1307" s="1">
        <v>1</v>
      </c>
      <c r="AO1307" s="1">
        <v>1</v>
      </c>
      <c r="AP1307" s="1" t="s">
        <v>210</v>
      </c>
      <c r="AR1307" s="1" t="s">
        <v>210</v>
      </c>
      <c r="AS1307" s="1" t="s">
        <v>204</v>
      </c>
      <c r="AT1307" s="1" t="s">
        <v>211</v>
      </c>
      <c r="AU1307" s="1">
        <v>2</v>
      </c>
      <c r="AW1307" s="1" t="s">
        <v>204</v>
      </c>
      <c r="AX1307" s="1" t="s">
        <v>13197</v>
      </c>
      <c r="AZ1307" s="1">
        <v>5323</v>
      </c>
      <c r="BA1307" s="1">
        <v>2014</v>
      </c>
      <c r="BB1307" s="1" t="s">
        <v>210</v>
      </c>
      <c r="BE1307" s="1">
        <v>1494</v>
      </c>
      <c r="BF1307" s="1">
        <v>1</v>
      </c>
      <c r="BG1307" s="1">
        <v>0</v>
      </c>
      <c r="BL1307" s="1">
        <v>172</v>
      </c>
      <c r="BM1307" s="1" t="s">
        <v>204</v>
      </c>
      <c r="BN1307" s="1" t="s">
        <v>213</v>
      </c>
      <c r="BO1307" s="1">
        <v>0</v>
      </c>
      <c r="BP1307" s="1" t="s">
        <v>204</v>
      </c>
      <c r="BR1307" s="1" t="str">
        <f>"0204330023"</f>
        <v>0204330023</v>
      </c>
      <c r="BT1307" s="1" t="s">
        <v>13198</v>
      </c>
      <c r="BU1307" s="1" t="s">
        <v>10610</v>
      </c>
      <c r="BV1307" s="1" t="s">
        <v>10611</v>
      </c>
      <c r="BW1307" s="1" t="s">
        <v>9633</v>
      </c>
      <c r="BX1307" s="1">
        <v>115</v>
      </c>
      <c r="BY1307" s="1">
        <v>115</v>
      </c>
      <c r="BZ1307" s="1">
        <v>115</v>
      </c>
      <c r="CB1307" s="1" t="str">
        <f t="shared" ref="CB1307:CC1307" si="1005">""</f>
        <v/>
      </c>
      <c r="CC1307" s="1" t="str">
        <f t="shared" si="1005"/>
        <v/>
      </c>
      <c r="CG1307" s="1" t="s">
        <v>2120</v>
      </c>
      <c r="CH1307" s="1" t="s">
        <v>219</v>
      </c>
      <c r="CI1307" s="1" t="s">
        <v>220</v>
      </c>
      <c r="CK1307" s="1" t="s">
        <v>490</v>
      </c>
      <c r="CL1307" s="1" t="s">
        <v>277</v>
      </c>
      <c r="CM1307" s="1" t="s">
        <v>220</v>
      </c>
      <c r="CO1307" s="1" t="s">
        <v>281</v>
      </c>
      <c r="CP1307" s="1" t="s">
        <v>219</v>
      </c>
      <c r="CQ1307" s="1" t="s">
        <v>220</v>
      </c>
      <c r="CS1307" s="1" t="s">
        <v>1046</v>
      </c>
      <c r="CT1307" s="1" t="s">
        <v>277</v>
      </c>
      <c r="CU1307" s="1" t="s">
        <v>220</v>
      </c>
      <c r="CX1307" s="1" t="s">
        <v>224</v>
      </c>
      <c r="DB1307" s="1" t="s">
        <v>224</v>
      </c>
      <c r="DE1307" s="1" t="s">
        <v>1046</v>
      </c>
      <c r="DF1307" s="1" t="s">
        <v>219</v>
      </c>
      <c r="DG1307" s="1" t="s">
        <v>342</v>
      </c>
      <c r="DI1307" s="1" t="s">
        <v>1723</v>
      </c>
      <c r="DJ1307" s="1" t="s">
        <v>277</v>
      </c>
      <c r="DK1307" s="1" t="s">
        <v>220</v>
      </c>
      <c r="DS1307" s="1" t="s">
        <v>230</v>
      </c>
      <c r="DW1307" s="1" t="s">
        <v>230</v>
      </c>
      <c r="EA1307" s="1" t="s">
        <v>230</v>
      </c>
      <c r="EE1307" s="1" t="s">
        <v>230</v>
      </c>
      <c r="EI1307" s="1" t="s">
        <v>230</v>
      </c>
      <c r="EL1307" s="1" t="s">
        <v>491</v>
      </c>
      <c r="EM1307" s="1" t="s">
        <v>319</v>
      </c>
      <c r="EN1307" s="1" t="s">
        <v>282</v>
      </c>
      <c r="EO1307" s="1" t="s">
        <v>234</v>
      </c>
      <c r="EP1307" s="1" t="s">
        <v>13199</v>
      </c>
      <c r="EQ1307" s="1" t="s">
        <v>1094</v>
      </c>
      <c r="ER1307" s="1" t="s">
        <v>210</v>
      </c>
      <c r="EV1307" s="1" t="s">
        <v>240</v>
      </c>
      <c r="EW1307" s="1" t="s">
        <v>11566</v>
      </c>
      <c r="EY1307" s="1" t="s">
        <v>242</v>
      </c>
      <c r="EZ1307" s="1" t="s">
        <v>287</v>
      </c>
      <c r="FA1307" s="1" t="s">
        <v>471</v>
      </c>
      <c r="FB1307" s="1" t="s">
        <v>289</v>
      </c>
      <c r="FD1307" s="1" t="s">
        <v>246</v>
      </c>
      <c r="FE1307" s="1" t="s">
        <v>975</v>
      </c>
      <c r="FF1307" s="1" t="s">
        <v>3574</v>
      </c>
      <c r="FH1307" s="1" t="s">
        <v>550</v>
      </c>
      <c r="FI1307" s="1" t="s">
        <v>357</v>
      </c>
      <c r="FJ1307" s="1" t="s">
        <v>518</v>
      </c>
      <c r="FL1307" s="1" t="s">
        <v>358</v>
      </c>
      <c r="FM1307" s="1" t="s">
        <v>252</v>
      </c>
      <c r="FN1307" s="1" t="s">
        <v>213</v>
      </c>
      <c r="FO1307" s="1" t="s">
        <v>213</v>
      </c>
      <c r="FQ1307" s="1" t="s">
        <v>10987</v>
      </c>
      <c r="FR1307" s="1" t="s">
        <v>210</v>
      </c>
      <c r="FS1307" s="1" t="s">
        <v>13200</v>
      </c>
      <c r="FT1307" s="1" t="s">
        <v>255</v>
      </c>
      <c r="FU1307" s="1" t="s">
        <v>204</v>
      </c>
      <c r="FW1307" s="1" t="s">
        <v>585</v>
      </c>
      <c r="FX1307" s="1">
        <v>23156</v>
      </c>
      <c r="FY1307" s="1" t="s">
        <v>1253</v>
      </c>
      <c r="FZ1307" s="1" t="s">
        <v>13201</v>
      </c>
      <c r="GA1307" s="1">
        <v>217201</v>
      </c>
      <c r="GB1307" s="1" t="s">
        <v>13202</v>
      </c>
      <c r="GD1307" s="1" t="s">
        <v>13203</v>
      </c>
      <c r="GE1307" s="1" t="s">
        <v>480</v>
      </c>
      <c r="GI1307" s="1" t="s">
        <v>213</v>
      </c>
      <c r="GJ1307" s="1" t="s">
        <v>260</v>
      </c>
      <c r="GK1307" s="1" t="s">
        <v>210</v>
      </c>
      <c r="GL1307" s="2">
        <v>42143</v>
      </c>
      <c r="GM1307" s="1" t="s">
        <v>13204</v>
      </c>
    </row>
    <row r="1308" spans="1:195">
      <c r="A1308" s="1">
        <v>77500</v>
      </c>
      <c r="B1308" s="1" t="s">
        <v>195</v>
      </c>
      <c r="C1308" s="1" t="str">
        <f>"08868791"</f>
        <v>08868791</v>
      </c>
      <c r="D1308" s="1" t="s">
        <v>196</v>
      </c>
      <c r="F1308" s="1" t="str">
        <f>"103"</f>
        <v>103</v>
      </c>
      <c r="G1308" s="2">
        <v>42085</v>
      </c>
      <c r="H1308" s="1">
        <v>79900</v>
      </c>
      <c r="I1308" s="1">
        <v>79900</v>
      </c>
      <c r="J1308" s="1">
        <v>77500</v>
      </c>
      <c r="K1308" s="2">
        <v>42085</v>
      </c>
      <c r="L1308" s="1">
        <v>7</v>
      </c>
      <c r="M1308" s="2">
        <v>42091</v>
      </c>
      <c r="N1308" s="1">
        <v>7</v>
      </c>
      <c r="O1308" s="2">
        <v>42091</v>
      </c>
      <c r="P1308" s="1">
        <v>8970</v>
      </c>
      <c r="Q1308" s="1" t="s">
        <v>197</v>
      </c>
      <c r="R1308" s="2">
        <v>42123</v>
      </c>
      <c r="S1308" s="1">
        <v>86647</v>
      </c>
      <c r="U1308" s="1">
        <v>6149</v>
      </c>
      <c r="V1308" s="1" t="s">
        <v>1849</v>
      </c>
      <c r="W1308" s="1" t="s">
        <v>264</v>
      </c>
      <c r="X1308" s="1">
        <v>6149</v>
      </c>
      <c r="Y1308" s="1">
        <v>4</v>
      </c>
      <c r="Z1308" s="1" t="s">
        <v>370</v>
      </c>
      <c r="AA1308" s="1" t="s">
        <v>337</v>
      </c>
      <c r="AB1308" s="1">
        <v>60133</v>
      </c>
      <c r="AD1308" s="1" t="s">
        <v>13205</v>
      </c>
      <c r="AE1308" s="1" t="s">
        <v>13206</v>
      </c>
      <c r="AF1308" s="1">
        <v>1981</v>
      </c>
      <c r="AG1308" s="1" t="s">
        <v>204</v>
      </c>
      <c r="AH1308" s="1" t="s">
        <v>339</v>
      </c>
      <c r="AI1308" s="1" t="s">
        <v>206</v>
      </c>
      <c r="AJ1308" s="1" t="s">
        <v>374</v>
      </c>
      <c r="AK1308" s="1" t="s">
        <v>9373</v>
      </c>
      <c r="AL1308" s="1">
        <v>5</v>
      </c>
      <c r="AM1308" s="1">
        <v>2</v>
      </c>
      <c r="AN1308" s="1">
        <v>1</v>
      </c>
      <c r="AO1308" s="1">
        <v>0</v>
      </c>
      <c r="AP1308" s="1" t="s">
        <v>210</v>
      </c>
      <c r="AQ1308" s="1">
        <v>0</v>
      </c>
      <c r="AR1308" s="1" t="s">
        <v>210</v>
      </c>
      <c r="AT1308" s="1" t="s">
        <v>211</v>
      </c>
      <c r="AU1308" s="1">
        <v>1</v>
      </c>
      <c r="AW1308" s="1" t="s">
        <v>204</v>
      </c>
      <c r="AX1308" s="1" t="s">
        <v>4740</v>
      </c>
      <c r="AZ1308" s="1">
        <v>2466</v>
      </c>
      <c r="BA1308" s="1">
        <v>2013</v>
      </c>
      <c r="BB1308" s="1" t="s">
        <v>210</v>
      </c>
      <c r="BE1308" s="1">
        <v>924</v>
      </c>
      <c r="BF1308" s="1">
        <v>2</v>
      </c>
      <c r="BG1308" s="1">
        <v>999</v>
      </c>
      <c r="BL1308" s="1">
        <v>172</v>
      </c>
      <c r="BM1308" s="1" t="s">
        <v>204</v>
      </c>
      <c r="BN1308" s="1" t="s">
        <v>213</v>
      </c>
      <c r="BO1308" s="1">
        <v>0</v>
      </c>
      <c r="BP1308" s="1" t="s">
        <v>204</v>
      </c>
      <c r="BR1308" s="1" t="str">
        <f>"0206104160"</f>
        <v>0206104160</v>
      </c>
      <c r="BT1308" s="1" t="s">
        <v>13207</v>
      </c>
      <c r="BU1308" s="1" t="s">
        <v>341</v>
      </c>
      <c r="BV1308" s="1" t="s">
        <v>274</v>
      </c>
      <c r="BW1308" s="1" t="s">
        <v>275</v>
      </c>
      <c r="BX1308" s="1">
        <v>20</v>
      </c>
      <c r="BY1308" s="1">
        <v>20</v>
      </c>
      <c r="BZ1308" s="1">
        <v>108</v>
      </c>
      <c r="CB1308" s="1" t="str">
        <f>"7"</f>
        <v>7</v>
      </c>
      <c r="CC1308" s="1" t="str">
        <f t="shared" ref="CC1308:CC1309" si="1006">"0"</f>
        <v>0</v>
      </c>
      <c r="CD1308" s="1">
        <v>26</v>
      </c>
      <c r="CE1308" s="1">
        <v>0</v>
      </c>
      <c r="CG1308" s="1" t="s">
        <v>729</v>
      </c>
      <c r="CH1308" s="1" t="s">
        <v>277</v>
      </c>
      <c r="CI1308" s="1" t="s">
        <v>229</v>
      </c>
      <c r="CJ1308" s="1" t="s">
        <v>343</v>
      </c>
      <c r="CK1308" s="1" t="s">
        <v>539</v>
      </c>
      <c r="CL1308" s="1" t="s">
        <v>277</v>
      </c>
      <c r="CM1308" s="1" t="s">
        <v>229</v>
      </c>
      <c r="CN1308" s="1" t="s">
        <v>343</v>
      </c>
      <c r="CO1308" s="1" t="s">
        <v>316</v>
      </c>
      <c r="CP1308" s="1" t="s">
        <v>277</v>
      </c>
      <c r="CQ1308" s="1" t="s">
        <v>229</v>
      </c>
      <c r="CR1308" s="1" t="s">
        <v>210</v>
      </c>
      <c r="CS1308" s="1" t="s">
        <v>346</v>
      </c>
      <c r="CT1308" s="1" t="s">
        <v>277</v>
      </c>
      <c r="CU1308" s="1" t="s">
        <v>229</v>
      </c>
      <c r="CV1308" s="1" t="s">
        <v>343</v>
      </c>
      <c r="CX1308" s="1" t="s">
        <v>224</v>
      </c>
      <c r="DB1308" s="1" t="s">
        <v>224</v>
      </c>
      <c r="DE1308" s="1" t="s">
        <v>1571</v>
      </c>
      <c r="DF1308" s="1" t="s">
        <v>277</v>
      </c>
      <c r="DG1308" s="1" t="s">
        <v>229</v>
      </c>
      <c r="DH1308" s="1" t="s">
        <v>252</v>
      </c>
      <c r="DJ1308" s="1" t="s">
        <v>224</v>
      </c>
      <c r="DS1308" s="1" t="s">
        <v>230</v>
      </c>
      <c r="DW1308" s="1" t="s">
        <v>230</v>
      </c>
      <c r="EA1308" s="1" t="s">
        <v>230</v>
      </c>
      <c r="EE1308" s="1" t="s">
        <v>230</v>
      </c>
      <c r="EI1308" s="1" t="s">
        <v>230</v>
      </c>
      <c r="EL1308" s="1" t="s">
        <v>231</v>
      </c>
      <c r="EM1308" s="1" t="s">
        <v>232</v>
      </c>
      <c r="EN1308" s="1" t="s">
        <v>282</v>
      </c>
      <c r="EO1308" s="1" t="s">
        <v>234</v>
      </c>
      <c r="EP1308" s="1" t="s">
        <v>936</v>
      </c>
      <c r="EQ1308" s="1" t="s">
        <v>468</v>
      </c>
      <c r="ER1308" s="1" t="s">
        <v>210</v>
      </c>
      <c r="ES1308" s="1" t="s">
        <v>322</v>
      </c>
      <c r="EU1308" s="1" t="s">
        <v>239</v>
      </c>
      <c r="EV1308" s="1" t="s">
        <v>240</v>
      </c>
      <c r="EW1308" s="1" t="s">
        <v>353</v>
      </c>
      <c r="EY1308" s="1" t="s">
        <v>242</v>
      </c>
      <c r="EZ1308" s="1" t="s">
        <v>287</v>
      </c>
      <c r="FA1308" s="1" t="s">
        <v>1072</v>
      </c>
      <c r="FD1308" s="1" t="s">
        <v>246</v>
      </c>
      <c r="FE1308" s="1" t="s">
        <v>870</v>
      </c>
      <c r="FF1308" s="1" t="s">
        <v>3574</v>
      </c>
      <c r="FH1308" s="1" t="s">
        <v>13208</v>
      </c>
      <c r="FI1308" s="1" t="s">
        <v>357</v>
      </c>
      <c r="FJ1308" s="1" t="s">
        <v>13209</v>
      </c>
      <c r="FL1308" s="1" t="s">
        <v>414</v>
      </c>
      <c r="FM1308" s="1" t="s">
        <v>252</v>
      </c>
      <c r="FN1308" s="1" t="s">
        <v>213</v>
      </c>
      <c r="FO1308" s="1" t="s">
        <v>213</v>
      </c>
      <c r="FQ1308" s="1" t="s">
        <v>13210</v>
      </c>
      <c r="FR1308" s="1" t="s">
        <v>411</v>
      </c>
      <c r="FS1308" s="1" t="s">
        <v>13211</v>
      </c>
      <c r="FT1308" s="1" t="s">
        <v>13212</v>
      </c>
      <c r="FU1308" s="1" t="s">
        <v>204</v>
      </c>
      <c r="FV1308" s="1" t="s">
        <v>5627</v>
      </c>
      <c r="FW1308" s="1" t="s">
        <v>3578</v>
      </c>
      <c r="FX1308" s="1">
        <v>1118</v>
      </c>
      <c r="FY1308" s="1" t="s">
        <v>3579</v>
      </c>
      <c r="FZ1308" s="1" t="s">
        <v>3580</v>
      </c>
      <c r="GA1308" s="1">
        <v>88102</v>
      </c>
      <c r="GB1308" s="1" t="s">
        <v>3581</v>
      </c>
      <c r="GC1308" s="1">
        <v>80385</v>
      </c>
      <c r="GD1308" s="1" t="s">
        <v>3582</v>
      </c>
      <c r="GE1308" s="1" t="s">
        <v>1256</v>
      </c>
      <c r="GI1308" s="1" t="s">
        <v>213</v>
      </c>
      <c r="GJ1308" s="1" t="s">
        <v>260</v>
      </c>
      <c r="GK1308" s="1" t="s">
        <v>210</v>
      </c>
      <c r="GL1308" s="2">
        <v>42123</v>
      </c>
      <c r="GM1308" s="1" t="s">
        <v>13213</v>
      </c>
    </row>
    <row r="1309" spans="1:195">
      <c r="A1309" s="1">
        <v>83000</v>
      </c>
      <c r="B1309" s="1" t="s">
        <v>195</v>
      </c>
      <c r="C1309" s="1" t="str">
        <f>"08660897"</f>
        <v>08660897</v>
      </c>
      <c r="D1309" s="1" t="s">
        <v>196</v>
      </c>
      <c r="F1309" s="1" t="str">
        <f>"83"</f>
        <v>83</v>
      </c>
      <c r="G1309" s="2">
        <v>41821</v>
      </c>
      <c r="H1309" s="1">
        <v>122900</v>
      </c>
      <c r="I1309" s="1">
        <v>89900</v>
      </c>
      <c r="J1309" s="1">
        <v>83000</v>
      </c>
      <c r="K1309" s="2">
        <v>41821</v>
      </c>
      <c r="L1309" s="1">
        <v>137</v>
      </c>
      <c r="M1309" s="2">
        <v>41957</v>
      </c>
      <c r="N1309" s="1">
        <v>137</v>
      </c>
      <c r="O1309" s="2">
        <v>41957</v>
      </c>
      <c r="P1309" s="1">
        <v>1837</v>
      </c>
      <c r="Q1309" s="1" t="s">
        <v>197</v>
      </c>
      <c r="R1309" s="2">
        <v>42027</v>
      </c>
      <c r="S1309" s="1">
        <v>923160</v>
      </c>
      <c r="U1309" s="1">
        <v>2608</v>
      </c>
      <c r="V1309" s="1" t="s">
        <v>4049</v>
      </c>
      <c r="W1309" s="1" t="s">
        <v>264</v>
      </c>
      <c r="Y1309" s="1">
        <v>1</v>
      </c>
      <c r="Z1309" s="1" t="s">
        <v>370</v>
      </c>
      <c r="AA1309" s="1" t="s">
        <v>3371</v>
      </c>
      <c r="AB1309" s="1">
        <v>60083</v>
      </c>
      <c r="AD1309" s="1" t="s">
        <v>13214</v>
      </c>
      <c r="AE1309" s="1" t="s">
        <v>13215</v>
      </c>
      <c r="AF1309" s="1">
        <v>1996</v>
      </c>
      <c r="AG1309" s="1" t="s">
        <v>204</v>
      </c>
      <c r="AH1309" s="1" t="s">
        <v>5351</v>
      </c>
      <c r="AI1309" s="1" t="s">
        <v>509</v>
      </c>
      <c r="AJ1309" s="1" t="s">
        <v>1061</v>
      </c>
      <c r="AL1309" s="1">
        <v>5</v>
      </c>
      <c r="AM1309" s="1">
        <v>2</v>
      </c>
      <c r="AN1309" s="1">
        <v>1</v>
      </c>
      <c r="AO1309" s="1">
        <v>1</v>
      </c>
      <c r="AP1309" s="1" t="s">
        <v>667</v>
      </c>
      <c r="AR1309" s="1" t="s">
        <v>209</v>
      </c>
      <c r="AS1309" s="1" t="s">
        <v>204</v>
      </c>
      <c r="AT1309" s="1" t="s">
        <v>211</v>
      </c>
      <c r="AU1309" s="1">
        <v>2</v>
      </c>
      <c r="AW1309" s="1" t="s">
        <v>204</v>
      </c>
      <c r="AX1309" s="1" t="s">
        <v>579</v>
      </c>
      <c r="AZ1309" s="1">
        <v>5248.27</v>
      </c>
      <c r="BA1309" s="1">
        <v>2013</v>
      </c>
      <c r="BB1309" s="1" t="s">
        <v>210</v>
      </c>
      <c r="BE1309" s="1">
        <v>1240</v>
      </c>
      <c r="BF1309" s="1">
        <v>1</v>
      </c>
      <c r="BG1309" s="1">
        <v>0</v>
      </c>
      <c r="BL1309" s="1">
        <v>187</v>
      </c>
      <c r="BM1309" s="1" t="s">
        <v>204</v>
      </c>
      <c r="BN1309" s="1" t="s">
        <v>213</v>
      </c>
      <c r="BO1309" s="1">
        <v>0</v>
      </c>
      <c r="BP1309" s="1" t="s">
        <v>204</v>
      </c>
      <c r="BR1309" s="1" t="str">
        <f>"07023060050000"</f>
        <v>07023060050000</v>
      </c>
      <c r="BT1309" s="1" t="s">
        <v>13216</v>
      </c>
      <c r="BV1309" s="1" t="s">
        <v>3070</v>
      </c>
      <c r="BW1309" s="1" t="s">
        <v>1066</v>
      </c>
      <c r="BX1309" s="1">
        <v>56</v>
      </c>
      <c r="BY1309" s="1">
        <v>56</v>
      </c>
      <c r="BZ1309" s="1">
        <v>121</v>
      </c>
      <c r="CB1309" s="1" t="str">
        <f>"37"</f>
        <v>37</v>
      </c>
      <c r="CC1309" s="1" t="str">
        <f t="shared" si="1006"/>
        <v>0</v>
      </c>
      <c r="CD1309" s="1">
        <v>14</v>
      </c>
      <c r="CE1309" s="1">
        <v>0</v>
      </c>
      <c r="CG1309" s="1" t="s">
        <v>538</v>
      </c>
      <c r="CH1309" s="1" t="s">
        <v>219</v>
      </c>
      <c r="CI1309" s="1" t="s">
        <v>1236</v>
      </c>
      <c r="CJ1309" s="1" t="s">
        <v>252</v>
      </c>
      <c r="CK1309" s="1" t="s">
        <v>1045</v>
      </c>
      <c r="CL1309" s="1" t="s">
        <v>277</v>
      </c>
      <c r="CM1309" s="1" t="s">
        <v>220</v>
      </c>
      <c r="CN1309" s="1" t="s">
        <v>252</v>
      </c>
      <c r="CP1309" s="1" t="s">
        <v>224</v>
      </c>
      <c r="CS1309" s="1" t="s">
        <v>346</v>
      </c>
      <c r="CT1309" s="1" t="s">
        <v>277</v>
      </c>
      <c r="CU1309" s="1" t="s">
        <v>220</v>
      </c>
      <c r="CV1309" s="1" t="s">
        <v>252</v>
      </c>
      <c r="CX1309" s="1" t="s">
        <v>224</v>
      </c>
      <c r="DB1309" s="1" t="s">
        <v>224</v>
      </c>
      <c r="DE1309" s="1" t="s">
        <v>757</v>
      </c>
      <c r="DF1309" s="1" t="s">
        <v>219</v>
      </c>
      <c r="DG1309" s="1" t="s">
        <v>342</v>
      </c>
      <c r="DH1309" s="1" t="s">
        <v>252</v>
      </c>
      <c r="DI1309" s="1" t="s">
        <v>378</v>
      </c>
      <c r="DJ1309" s="1" t="s">
        <v>822</v>
      </c>
      <c r="DK1309" s="1" t="s">
        <v>1236</v>
      </c>
      <c r="DL1309" s="1" t="s">
        <v>252</v>
      </c>
      <c r="DS1309" s="1" t="s">
        <v>230</v>
      </c>
      <c r="DW1309" s="1" t="s">
        <v>230</v>
      </c>
      <c r="EA1309" s="1" t="s">
        <v>230</v>
      </c>
      <c r="EE1309" s="1" t="s">
        <v>230</v>
      </c>
      <c r="EI1309" s="1" t="s">
        <v>230</v>
      </c>
      <c r="EL1309" s="1" t="s">
        <v>670</v>
      </c>
      <c r="EM1309" s="1" t="s">
        <v>232</v>
      </c>
      <c r="EN1309" s="1" t="s">
        <v>282</v>
      </c>
      <c r="EO1309" s="1" t="s">
        <v>234</v>
      </c>
      <c r="EP1309" s="1" t="s">
        <v>2331</v>
      </c>
      <c r="EQ1309" s="1" t="s">
        <v>468</v>
      </c>
      <c r="ER1309" s="1" t="s">
        <v>544</v>
      </c>
      <c r="ES1309" s="1" t="s">
        <v>322</v>
      </c>
      <c r="ET1309" s="1" t="s">
        <v>1161</v>
      </c>
      <c r="EU1309" s="1" t="s">
        <v>239</v>
      </c>
      <c r="EW1309" s="1" t="s">
        <v>353</v>
      </c>
      <c r="EY1309" s="1" t="s">
        <v>242</v>
      </c>
      <c r="EZ1309" s="1" t="s">
        <v>287</v>
      </c>
      <c r="FA1309" s="1" t="s">
        <v>471</v>
      </c>
      <c r="FD1309" s="1" t="s">
        <v>246</v>
      </c>
      <c r="FE1309" s="1" t="s">
        <v>355</v>
      </c>
      <c r="FF1309" s="1" t="s">
        <v>248</v>
      </c>
      <c r="FH1309" s="1" t="s">
        <v>1428</v>
      </c>
      <c r="FL1309" s="1" t="s">
        <v>358</v>
      </c>
      <c r="FM1309" s="1" t="s">
        <v>252</v>
      </c>
      <c r="FN1309" s="1" t="s">
        <v>213</v>
      </c>
      <c r="FO1309" s="1" t="s">
        <v>213</v>
      </c>
      <c r="FQ1309" s="1" t="s">
        <v>13217</v>
      </c>
      <c r="FR1309" s="1" t="s">
        <v>411</v>
      </c>
      <c r="FS1309" s="1" t="s">
        <v>7674</v>
      </c>
      <c r="FT1309" s="1" t="s">
        <v>584</v>
      </c>
      <c r="FU1309" s="1" t="s">
        <v>204</v>
      </c>
      <c r="FW1309" s="1" t="s">
        <v>256</v>
      </c>
      <c r="FX1309" s="1">
        <v>2648</v>
      </c>
      <c r="FY1309" s="1" t="s">
        <v>1022</v>
      </c>
      <c r="FZ1309" s="1" t="s">
        <v>7675</v>
      </c>
      <c r="GA1309" s="1">
        <v>18093</v>
      </c>
      <c r="GB1309" s="1" t="s">
        <v>7676</v>
      </c>
      <c r="GC1309" s="1">
        <v>18713</v>
      </c>
      <c r="GD1309" s="1" t="s">
        <v>13218</v>
      </c>
      <c r="GE1309" s="1" t="s">
        <v>480</v>
      </c>
      <c r="GH1309" s="1" t="s">
        <v>230</v>
      </c>
      <c r="GI1309" s="1" t="s">
        <v>213</v>
      </c>
      <c r="GJ1309" s="1" t="s">
        <v>260</v>
      </c>
      <c r="GK1309" s="1" t="s">
        <v>210</v>
      </c>
      <c r="GL1309" s="2">
        <v>42027</v>
      </c>
      <c r="GM1309" s="1" t="s">
        <v>13219</v>
      </c>
    </row>
    <row r="1310" spans="1:195">
      <c r="A1310" s="1">
        <v>169900</v>
      </c>
      <c r="B1310" s="1" t="s">
        <v>195</v>
      </c>
      <c r="C1310" s="1" t="str">
        <f>"08651606"</f>
        <v>08651606</v>
      </c>
      <c r="D1310" s="1" t="s">
        <v>196</v>
      </c>
      <c r="F1310" s="1" t="str">
        <f>"178"</f>
        <v>178</v>
      </c>
      <c r="G1310" s="2">
        <v>41810</v>
      </c>
      <c r="H1310" s="1">
        <v>161900</v>
      </c>
      <c r="I1310" s="1">
        <v>169900</v>
      </c>
      <c r="J1310" s="1">
        <v>169900</v>
      </c>
      <c r="K1310" s="2">
        <v>41810</v>
      </c>
      <c r="L1310" s="1">
        <v>179</v>
      </c>
      <c r="M1310" s="2">
        <v>41988</v>
      </c>
      <c r="N1310" s="1">
        <v>179</v>
      </c>
      <c r="O1310" s="2">
        <v>41988</v>
      </c>
      <c r="P1310" s="1">
        <v>24809</v>
      </c>
      <c r="Q1310" s="1" t="s">
        <v>197</v>
      </c>
      <c r="R1310" s="2">
        <v>42121</v>
      </c>
      <c r="S1310" s="1">
        <v>237413</v>
      </c>
      <c r="U1310" s="1">
        <v>2171</v>
      </c>
      <c r="V1310" s="1" t="s">
        <v>2638</v>
      </c>
      <c r="W1310" s="1" t="s">
        <v>504</v>
      </c>
      <c r="X1310" s="1">
        <v>2171</v>
      </c>
      <c r="Y1310" s="1">
        <v>4</v>
      </c>
      <c r="Z1310" s="1" t="s">
        <v>249</v>
      </c>
      <c r="AA1310" s="1" t="s">
        <v>3334</v>
      </c>
      <c r="AB1310" s="1">
        <v>60178</v>
      </c>
      <c r="AE1310" s="1" t="s">
        <v>13220</v>
      </c>
      <c r="AF1310" s="1" t="s">
        <v>402</v>
      </c>
      <c r="AG1310" s="1" t="s">
        <v>204</v>
      </c>
      <c r="AH1310" s="1" t="s">
        <v>3336</v>
      </c>
      <c r="AI1310" s="1" t="s">
        <v>2246</v>
      </c>
      <c r="AJ1310" s="1" t="s">
        <v>3337</v>
      </c>
      <c r="AK1310" s="1" t="s">
        <v>13221</v>
      </c>
      <c r="AL1310" s="1">
        <v>5</v>
      </c>
      <c r="AM1310" s="1">
        <v>2</v>
      </c>
      <c r="AN1310" s="1">
        <v>2</v>
      </c>
      <c r="AO1310" s="1">
        <v>0</v>
      </c>
      <c r="AP1310" s="1" t="s">
        <v>209</v>
      </c>
      <c r="AQ1310" s="1">
        <v>1</v>
      </c>
      <c r="AR1310" s="1" t="s">
        <v>210</v>
      </c>
      <c r="AT1310" s="1" t="s">
        <v>211</v>
      </c>
      <c r="AU1310" s="1">
        <v>2</v>
      </c>
      <c r="AW1310" s="1" t="s">
        <v>204</v>
      </c>
      <c r="AX1310" s="1" t="s">
        <v>13222</v>
      </c>
      <c r="AZ1310" s="1" t="s">
        <v>751</v>
      </c>
      <c r="BA1310" s="1">
        <v>2013</v>
      </c>
      <c r="BE1310" s="1">
        <v>1418</v>
      </c>
      <c r="BF1310" s="1">
        <v>1</v>
      </c>
      <c r="BG1310" s="1">
        <v>5</v>
      </c>
      <c r="BJ1310" s="1">
        <v>100</v>
      </c>
      <c r="BL1310" s="1">
        <v>115</v>
      </c>
      <c r="BM1310" s="1" t="s">
        <v>204</v>
      </c>
      <c r="BN1310" s="1" t="s">
        <v>213</v>
      </c>
      <c r="BO1310" s="1">
        <v>0</v>
      </c>
      <c r="BP1310" s="1" t="s">
        <v>213</v>
      </c>
      <c r="BQ1310" s="2">
        <v>42078</v>
      </c>
      <c r="BR1310" s="1" t="str">
        <f>"0908101000"</f>
        <v>0908101000</v>
      </c>
      <c r="BT1310" s="1" t="s">
        <v>13223</v>
      </c>
      <c r="BX1310" s="1">
        <v>427</v>
      </c>
      <c r="BY1310" s="1">
        <v>427</v>
      </c>
      <c r="BZ1310" s="1">
        <v>427</v>
      </c>
      <c r="CB1310" s="1" t="str">
        <f t="shared" ref="CB1310:CC1310" si="1007">""</f>
        <v/>
      </c>
      <c r="CC1310" s="1" t="str">
        <f t="shared" si="1007"/>
        <v/>
      </c>
      <c r="CH1310" s="1" t="s">
        <v>224</v>
      </c>
      <c r="CK1310" s="1" t="s">
        <v>1533</v>
      </c>
      <c r="CL1310" s="1" t="s">
        <v>219</v>
      </c>
      <c r="CM1310" s="1" t="s">
        <v>220</v>
      </c>
      <c r="CP1310" s="1" t="s">
        <v>224</v>
      </c>
      <c r="CS1310" s="1" t="s">
        <v>1297</v>
      </c>
      <c r="CT1310" s="1" t="s">
        <v>219</v>
      </c>
      <c r="CU1310" s="1" t="s">
        <v>220</v>
      </c>
      <c r="CX1310" s="1" t="s">
        <v>224</v>
      </c>
      <c r="DB1310" s="1" t="s">
        <v>224</v>
      </c>
      <c r="DE1310" s="1" t="s">
        <v>379</v>
      </c>
      <c r="DF1310" s="1" t="s">
        <v>219</v>
      </c>
      <c r="DG1310" s="1" t="s">
        <v>342</v>
      </c>
      <c r="DI1310" s="1" t="s">
        <v>13224</v>
      </c>
      <c r="DJ1310" s="1" t="s">
        <v>219</v>
      </c>
      <c r="DK1310" s="1" t="s">
        <v>220</v>
      </c>
      <c r="DM1310" s="1" t="s">
        <v>1789</v>
      </c>
      <c r="DR1310" s="1" t="s">
        <v>379</v>
      </c>
      <c r="DS1310" s="1" t="s">
        <v>219</v>
      </c>
      <c r="DW1310" s="1" t="s">
        <v>230</v>
      </c>
      <c r="EA1310" s="1" t="s">
        <v>230</v>
      </c>
      <c r="EE1310" s="1" t="s">
        <v>230</v>
      </c>
      <c r="EI1310" s="1" t="s">
        <v>230</v>
      </c>
      <c r="EL1310" s="1" t="s">
        <v>9871</v>
      </c>
      <c r="EM1310" s="1" t="s">
        <v>319</v>
      </c>
      <c r="EN1310" s="1" t="s">
        <v>282</v>
      </c>
      <c r="EO1310" s="1" t="s">
        <v>234</v>
      </c>
      <c r="EP1310" s="1" t="s">
        <v>13225</v>
      </c>
      <c r="EQ1310" s="1" t="s">
        <v>10067</v>
      </c>
      <c r="ER1310" s="1" t="s">
        <v>210</v>
      </c>
      <c r="ES1310" s="1" t="s">
        <v>1552</v>
      </c>
      <c r="ET1310" s="1" t="s">
        <v>323</v>
      </c>
      <c r="EV1310" s="1" t="s">
        <v>240</v>
      </c>
      <c r="EW1310" s="1" t="s">
        <v>5806</v>
      </c>
      <c r="EY1310" s="1" t="s">
        <v>242</v>
      </c>
      <c r="EZ1310" s="1" t="s">
        <v>1789</v>
      </c>
      <c r="FA1310" s="1" t="s">
        <v>12532</v>
      </c>
      <c r="FB1310" s="1" t="s">
        <v>734</v>
      </c>
      <c r="FD1310" s="1" t="s">
        <v>246</v>
      </c>
      <c r="FE1310" s="1" t="s">
        <v>765</v>
      </c>
      <c r="FF1310" s="1" t="s">
        <v>248</v>
      </c>
      <c r="FH1310" s="1" t="s">
        <v>6378</v>
      </c>
      <c r="FI1310" s="1" t="s">
        <v>473</v>
      </c>
      <c r="FL1310" s="1" t="s">
        <v>358</v>
      </c>
      <c r="FM1310" s="1" t="s">
        <v>252</v>
      </c>
      <c r="FN1310" s="1" t="s">
        <v>213</v>
      </c>
      <c r="FO1310" s="1" t="s">
        <v>213</v>
      </c>
      <c r="FQ1310" s="1" t="s">
        <v>2091</v>
      </c>
      <c r="FR1310" s="1" t="s">
        <v>652</v>
      </c>
      <c r="FS1310" s="1" t="s">
        <v>13226</v>
      </c>
      <c r="FT1310" s="1" t="s">
        <v>13227</v>
      </c>
      <c r="FU1310" s="1" t="s">
        <v>204</v>
      </c>
      <c r="FW1310" s="1" t="s">
        <v>8939</v>
      </c>
      <c r="FX1310" s="1">
        <v>24809</v>
      </c>
      <c r="FY1310" s="1" t="s">
        <v>8940</v>
      </c>
      <c r="FZ1310" s="1" t="s">
        <v>8941</v>
      </c>
      <c r="GA1310" s="1">
        <v>237413</v>
      </c>
      <c r="GB1310" s="1" t="s">
        <v>8942</v>
      </c>
      <c r="GE1310" s="1" t="s">
        <v>623</v>
      </c>
      <c r="GI1310" s="1" t="s">
        <v>213</v>
      </c>
      <c r="GJ1310" s="1" t="s">
        <v>260</v>
      </c>
      <c r="GK1310" s="1" t="s">
        <v>210</v>
      </c>
      <c r="GL1310" s="2">
        <v>42122</v>
      </c>
      <c r="GM1310" s="1" t="s">
        <v>13228</v>
      </c>
    </row>
    <row r="1311" spans="1:195">
      <c r="A1311" s="1">
        <v>160000</v>
      </c>
      <c r="B1311" s="1" t="s">
        <v>195</v>
      </c>
      <c r="C1311" s="1" t="str">
        <f>"08650002"</f>
        <v>08650002</v>
      </c>
      <c r="D1311" s="1" t="s">
        <v>196</v>
      </c>
      <c r="F1311" s="1" t="str">
        <f>"30"</f>
        <v>30</v>
      </c>
      <c r="G1311" s="2">
        <v>41809</v>
      </c>
      <c r="H1311" s="1">
        <v>175000</v>
      </c>
      <c r="I1311" s="1">
        <v>155000</v>
      </c>
      <c r="J1311" s="1">
        <v>160000</v>
      </c>
      <c r="K1311" s="2">
        <v>41809</v>
      </c>
      <c r="L1311" s="1">
        <v>111</v>
      </c>
      <c r="M1311" s="2">
        <v>41919</v>
      </c>
      <c r="N1311" s="1">
        <v>111</v>
      </c>
      <c r="O1311" s="2">
        <v>41919</v>
      </c>
      <c r="P1311" s="1">
        <v>3974</v>
      </c>
      <c r="Q1311" s="1" t="s">
        <v>302</v>
      </c>
      <c r="R1311" s="2">
        <v>42097</v>
      </c>
      <c r="S1311" s="1">
        <v>35698</v>
      </c>
      <c r="U1311" s="1">
        <v>1664</v>
      </c>
      <c r="V1311" s="1" t="s">
        <v>3735</v>
      </c>
      <c r="W1311" s="1" t="s">
        <v>264</v>
      </c>
      <c r="Y1311" s="1">
        <v>5</v>
      </c>
      <c r="Z1311" s="1" t="s">
        <v>370</v>
      </c>
      <c r="AA1311" s="1" t="s">
        <v>1834</v>
      </c>
      <c r="AB1311" s="1">
        <v>60030</v>
      </c>
      <c r="AD1311" s="1" t="s">
        <v>10289</v>
      </c>
      <c r="AE1311" s="1" t="s">
        <v>13229</v>
      </c>
      <c r="AF1311" s="1">
        <v>2007</v>
      </c>
      <c r="AG1311" s="1" t="s">
        <v>204</v>
      </c>
      <c r="AH1311" s="1" t="s">
        <v>1837</v>
      </c>
      <c r="AI1311" s="1" t="s">
        <v>509</v>
      </c>
      <c r="AJ1311" s="1" t="s">
        <v>1263</v>
      </c>
      <c r="AL1311" s="1">
        <v>7</v>
      </c>
      <c r="AM1311" s="1">
        <v>2</v>
      </c>
      <c r="AN1311" s="1">
        <v>2</v>
      </c>
      <c r="AO1311" s="1">
        <v>1</v>
      </c>
      <c r="AP1311" s="1" t="s">
        <v>209</v>
      </c>
      <c r="AR1311" s="1" t="s">
        <v>1421</v>
      </c>
      <c r="AS1311" s="1" t="s">
        <v>204</v>
      </c>
      <c r="AT1311" s="1" t="s">
        <v>211</v>
      </c>
      <c r="AU1311" s="1">
        <v>2</v>
      </c>
      <c r="AW1311" s="1" t="s">
        <v>204</v>
      </c>
      <c r="AX1311" s="1" t="s">
        <v>212</v>
      </c>
      <c r="AZ1311" s="1">
        <v>5409.45</v>
      </c>
      <c r="BA1311" s="1">
        <v>2013</v>
      </c>
      <c r="BE1311" s="1">
        <v>1854</v>
      </c>
      <c r="BF1311" s="1">
        <v>1</v>
      </c>
      <c r="BG1311" s="1">
        <v>0</v>
      </c>
      <c r="BL1311" s="1">
        <v>239</v>
      </c>
      <c r="BM1311" s="1" t="s">
        <v>204</v>
      </c>
      <c r="BN1311" s="1" t="s">
        <v>213</v>
      </c>
      <c r="BO1311" s="1">
        <v>999</v>
      </c>
      <c r="BP1311" s="1" t="s">
        <v>204</v>
      </c>
      <c r="BR1311" s="1" t="str">
        <f>"06344060290000"</f>
        <v>06344060290000</v>
      </c>
      <c r="BT1311" s="1" t="s">
        <v>13230</v>
      </c>
      <c r="BW1311" s="1" t="s">
        <v>2737</v>
      </c>
      <c r="BX1311" s="1">
        <v>46</v>
      </c>
      <c r="BY1311" s="1">
        <v>46</v>
      </c>
      <c r="BZ1311" s="1">
        <v>127</v>
      </c>
      <c r="CB1311" s="1" t="str">
        <f t="shared" ref="CB1311:CC1311" si="1008">""</f>
        <v/>
      </c>
      <c r="CC1311" s="1" t="str">
        <f t="shared" si="1008"/>
        <v/>
      </c>
      <c r="CG1311" s="1" t="s">
        <v>862</v>
      </c>
      <c r="CH1311" s="1" t="s">
        <v>219</v>
      </c>
      <c r="CI1311" s="1" t="s">
        <v>220</v>
      </c>
      <c r="CK1311" s="1" t="s">
        <v>757</v>
      </c>
      <c r="CL1311" s="1" t="s">
        <v>277</v>
      </c>
      <c r="CM1311" s="1" t="s">
        <v>220</v>
      </c>
      <c r="CO1311" s="1" t="s">
        <v>1358</v>
      </c>
      <c r="CP1311" s="1" t="s">
        <v>219</v>
      </c>
      <c r="CQ1311" s="1" t="s">
        <v>220</v>
      </c>
      <c r="CS1311" s="1" t="s">
        <v>539</v>
      </c>
      <c r="CT1311" s="1" t="s">
        <v>277</v>
      </c>
      <c r="CU1311" s="1" t="s">
        <v>220</v>
      </c>
      <c r="CX1311" s="1" t="s">
        <v>224</v>
      </c>
      <c r="DB1311" s="1" t="s">
        <v>224</v>
      </c>
      <c r="DE1311" s="1" t="s">
        <v>378</v>
      </c>
      <c r="DF1311" s="1" t="s">
        <v>219</v>
      </c>
      <c r="DG1311" s="1" t="s">
        <v>226</v>
      </c>
      <c r="DI1311" s="1" t="s">
        <v>757</v>
      </c>
      <c r="DJ1311" s="1" t="s">
        <v>822</v>
      </c>
      <c r="DK1311" s="1" t="s">
        <v>220</v>
      </c>
      <c r="DM1311" s="1" t="s">
        <v>1548</v>
      </c>
      <c r="DR1311" s="1" t="s">
        <v>1046</v>
      </c>
      <c r="DS1311" s="1" t="s">
        <v>219</v>
      </c>
      <c r="DT1311" s="1" t="s">
        <v>226</v>
      </c>
      <c r="DW1311" s="1" t="s">
        <v>230</v>
      </c>
      <c r="EA1311" s="1" t="s">
        <v>230</v>
      </c>
      <c r="EE1311" s="1" t="s">
        <v>230</v>
      </c>
      <c r="EI1311" s="1" t="s">
        <v>230</v>
      </c>
      <c r="EL1311" s="1" t="s">
        <v>491</v>
      </c>
      <c r="EM1311" s="1" t="s">
        <v>319</v>
      </c>
      <c r="EN1311" s="1" t="s">
        <v>282</v>
      </c>
      <c r="EO1311" s="1" t="s">
        <v>234</v>
      </c>
      <c r="EP1311" s="1" t="s">
        <v>13231</v>
      </c>
      <c r="EQ1311" s="1" t="s">
        <v>1490</v>
      </c>
      <c r="ER1311" s="1" t="s">
        <v>544</v>
      </c>
      <c r="ES1311" s="1" t="s">
        <v>865</v>
      </c>
      <c r="ET1311" s="1" t="s">
        <v>866</v>
      </c>
      <c r="EU1311" s="1" t="s">
        <v>712</v>
      </c>
      <c r="EV1311" s="1" t="s">
        <v>240</v>
      </c>
      <c r="EW1311" s="1" t="s">
        <v>353</v>
      </c>
      <c r="EZ1311" s="1" t="s">
        <v>1548</v>
      </c>
      <c r="FD1311" s="1" t="s">
        <v>246</v>
      </c>
      <c r="FE1311" s="1" t="s">
        <v>975</v>
      </c>
      <c r="FF1311" s="1" t="s">
        <v>248</v>
      </c>
      <c r="FH1311" s="1" t="s">
        <v>550</v>
      </c>
      <c r="FI1311" s="1" t="s">
        <v>473</v>
      </c>
      <c r="FL1311" s="1" t="s">
        <v>358</v>
      </c>
      <c r="FM1311" s="1" t="s">
        <v>252</v>
      </c>
      <c r="FN1311" s="1" t="s">
        <v>213</v>
      </c>
      <c r="FO1311" s="1" t="s">
        <v>213</v>
      </c>
      <c r="FQ1311" s="1" t="s">
        <v>253</v>
      </c>
      <c r="FR1311" s="1" t="s">
        <v>360</v>
      </c>
      <c r="FS1311" s="1" t="s">
        <v>13232</v>
      </c>
      <c r="FT1311" s="1" t="s">
        <v>255</v>
      </c>
      <c r="FU1311" s="1" t="s">
        <v>204</v>
      </c>
      <c r="FW1311" s="1" t="s">
        <v>2590</v>
      </c>
      <c r="FX1311" s="1">
        <v>2644</v>
      </c>
      <c r="FY1311" s="1" t="s">
        <v>2591</v>
      </c>
      <c r="FZ1311" s="1" t="s">
        <v>6492</v>
      </c>
      <c r="GA1311" s="1">
        <v>18736</v>
      </c>
      <c r="GB1311" s="1" t="s">
        <v>6493</v>
      </c>
      <c r="GE1311" s="1" t="s">
        <v>1256</v>
      </c>
      <c r="GI1311" s="1" t="s">
        <v>213</v>
      </c>
      <c r="GJ1311" s="1" t="s">
        <v>260</v>
      </c>
      <c r="GK1311" s="1" t="s">
        <v>261</v>
      </c>
      <c r="GL1311" s="2">
        <v>42098</v>
      </c>
      <c r="GM1311" s="2" t="s">
        <v>13233</v>
      </c>
    </row>
    <row r="1312" spans="1:195">
      <c r="A1312" s="1">
        <v>113000</v>
      </c>
      <c r="B1312" s="1" t="s">
        <v>195</v>
      </c>
      <c r="C1312" s="1" t="str">
        <f>"08653768"</f>
        <v>08653768</v>
      </c>
      <c r="D1312" s="1" t="s">
        <v>196</v>
      </c>
      <c r="F1312" s="1" t="str">
        <f>"538"</f>
        <v>538</v>
      </c>
      <c r="G1312" s="2">
        <v>41814</v>
      </c>
      <c r="H1312" s="1">
        <v>80000</v>
      </c>
      <c r="I1312" s="1">
        <v>113000</v>
      </c>
      <c r="J1312" s="1">
        <v>113000</v>
      </c>
      <c r="K1312" s="2">
        <v>41814</v>
      </c>
      <c r="L1312" s="1">
        <v>112</v>
      </c>
      <c r="M1312" s="2">
        <v>41925</v>
      </c>
      <c r="N1312" s="1">
        <v>112</v>
      </c>
      <c r="O1312" s="2">
        <v>41925</v>
      </c>
      <c r="P1312" s="1">
        <v>604</v>
      </c>
      <c r="Q1312" s="1" t="s">
        <v>347</v>
      </c>
      <c r="R1312" s="2">
        <v>42018</v>
      </c>
      <c r="S1312" s="1">
        <v>381</v>
      </c>
      <c r="U1312" s="1">
        <v>2224</v>
      </c>
      <c r="V1312" s="1" t="s">
        <v>13234</v>
      </c>
      <c r="W1312" s="1" t="s">
        <v>264</v>
      </c>
      <c r="Y1312" s="1">
        <v>2</v>
      </c>
      <c r="Z1312" s="1" t="s">
        <v>370</v>
      </c>
      <c r="AA1312" s="1" t="s">
        <v>450</v>
      </c>
      <c r="AB1312" s="1">
        <v>60538</v>
      </c>
      <c r="AD1312" s="1" t="s">
        <v>2569</v>
      </c>
      <c r="AE1312" s="1" t="s">
        <v>13235</v>
      </c>
      <c r="AF1312" s="1">
        <v>2002</v>
      </c>
      <c r="AG1312" s="1" t="s">
        <v>204</v>
      </c>
      <c r="AH1312" s="1" t="s">
        <v>452</v>
      </c>
      <c r="AI1312" s="1" t="s">
        <v>453</v>
      </c>
      <c r="AJ1312" s="1" t="s">
        <v>454</v>
      </c>
      <c r="AL1312" s="1">
        <v>6</v>
      </c>
      <c r="AM1312" s="1">
        <v>2</v>
      </c>
      <c r="AN1312" s="1">
        <v>1</v>
      </c>
      <c r="AO1312" s="1">
        <v>1</v>
      </c>
      <c r="AP1312" s="1" t="s">
        <v>667</v>
      </c>
      <c r="AR1312" s="1" t="s">
        <v>210</v>
      </c>
      <c r="AS1312" s="1" t="s">
        <v>204</v>
      </c>
      <c r="AT1312" s="1" t="s">
        <v>211</v>
      </c>
      <c r="AU1312" s="1">
        <v>1</v>
      </c>
      <c r="AW1312" s="1" t="s">
        <v>204</v>
      </c>
      <c r="AX1312" s="1">
        <v>4207</v>
      </c>
      <c r="AZ1312" s="1">
        <v>3564.34</v>
      </c>
      <c r="BA1312" s="1">
        <v>2012</v>
      </c>
      <c r="BB1312" s="1" t="s">
        <v>405</v>
      </c>
      <c r="BE1312" s="1">
        <v>1325</v>
      </c>
      <c r="BF1312" s="1">
        <v>1</v>
      </c>
      <c r="BG1312" s="1">
        <v>0</v>
      </c>
      <c r="BL1312" s="1">
        <v>81</v>
      </c>
      <c r="BM1312" s="1" t="s">
        <v>413</v>
      </c>
      <c r="BN1312" s="1" t="s">
        <v>213</v>
      </c>
      <c r="BO1312" s="1">
        <v>999</v>
      </c>
      <c r="BP1312" s="1" t="s">
        <v>204</v>
      </c>
      <c r="BR1312" s="1" t="str">
        <f>"0202205032"</f>
        <v>0202205032</v>
      </c>
      <c r="BT1312" s="1" t="s">
        <v>13236</v>
      </c>
      <c r="BX1312" s="1">
        <v>308</v>
      </c>
      <c r="BY1312" s="1">
        <v>308</v>
      </c>
      <c r="BZ1312" s="1">
        <v>308</v>
      </c>
      <c r="CB1312" s="1" t="str">
        <f t="shared" ref="CB1312:CC1312" si="1009">""</f>
        <v/>
      </c>
      <c r="CC1312" s="1" t="str">
        <f t="shared" si="1009"/>
        <v/>
      </c>
      <c r="CG1312" s="1" t="s">
        <v>602</v>
      </c>
      <c r="CH1312" s="1" t="s">
        <v>219</v>
      </c>
      <c r="CI1312" s="1" t="s">
        <v>229</v>
      </c>
      <c r="CK1312" s="1" t="s">
        <v>861</v>
      </c>
      <c r="CL1312" s="1" t="s">
        <v>277</v>
      </c>
      <c r="CM1312" s="1" t="s">
        <v>220</v>
      </c>
      <c r="CP1312" s="1" t="s">
        <v>224</v>
      </c>
      <c r="CQ1312" s="1" t="s">
        <v>229</v>
      </c>
      <c r="CS1312" s="1" t="s">
        <v>1046</v>
      </c>
      <c r="CT1312" s="1" t="s">
        <v>277</v>
      </c>
      <c r="CU1312" s="1" t="s">
        <v>220</v>
      </c>
      <c r="CX1312" s="1" t="s">
        <v>224</v>
      </c>
      <c r="DB1312" s="1" t="s">
        <v>224</v>
      </c>
      <c r="DE1312" s="1" t="s">
        <v>1046</v>
      </c>
      <c r="DF1312" s="1" t="s">
        <v>219</v>
      </c>
      <c r="DG1312" s="1" t="s">
        <v>342</v>
      </c>
      <c r="DI1312" s="1" t="s">
        <v>317</v>
      </c>
      <c r="DJ1312" s="1" t="s">
        <v>219</v>
      </c>
      <c r="DM1312" s="1" t="s">
        <v>464</v>
      </c>
      <c r="DN1312" s="1" t="s">
        <v>1771</v>
      </c>
      <c r="DR1312" s="1" t="s">
        <v>346</v>
      </c>
      <c r="DS1312" s="1" t="s">
        <v>277</v>
      </c>
      <c r="DT1312" s="1" t="s">
        <v>220</v>
      </c>
      <c r="DV1312" s="1" t="s">
        <v>5233</v>
      </c>
      <c r="DW1312" s="1" t="s">
        <v>277</v>
      </c>
      <c r="EA1312" s="1" t="s">
        <v>230</v>
      </c>
      <c r="EE1312" s="1" t="s">
        <v>230</v>
      </c>
      <c r="EI1312" s="1" t="s">
        <v>230</v>
      </c>
      <c r="EL1312" s="1" t="s">
        <v>466</v>
      </c>
      <c r="EM1312" s="1" t="s">
        <v>319</v>
      </c>
      <c r="EN1312" s="1" t="s">
        <v>282</v>
      </c>
      <c r="EO1312" s="1" t="s">
        <v>234</v>
      </c>
      <c r="EP1312" s="1" t="s">
        <v>10095</v>
      </c>
      <c r="ER1312" s="1" t="s">
        <v>210</v>
      </c>
      <c r="ES1312" s="1" t="s">
        <v>824</v>
      </c>
      <c r="EW1312" s="1" t="s">
        <v>1662</v>
      </c>
      <c r="EZ1312" s="1" t="s">
        <v>4451</v>
      </c>
      <c r="FD1312" s="1" t="s">
        <v>246</v>
      </c>
      <c r="FE1312" s="1" t="s">
        <v>1031</v>
      </c>
      <c r="FF1312" s="1" t="s">
        <v>248</v>
      </c>
      <c r="FH1312" s="1" t="s">
        <v>442</v>
      </c>
      <c r="FL1312" s="1" t="s">
        <v>358</v>
      </c>
      <c r="FM1312" s="1" t="s">
        <v>252</v>
      </c>
      <c r="FN1312" s="1" t="s">
        <v>213</v>
      </c>
      <c r="FO1312" s="1" t="s">
        <v>213</v>
      </c>
      <c r="FQ1312" s="1" t="s">
        <v>673</v>
      </c>
      <c r="FR1312" s="1" t="s">
        <v>360</v>
      </c>
      <c r="FS1312" s="1" t="s">
        <v>13237</v>
      </c>
      <c r="FT1312" s="1" t="s">
        <v>13238</v>
      </c>
      <c r="FU1312" s="1" t="s">
        <v>204</v>
      </c>
      <c r="FW1312" s="1" t="s">
        <v>719</v>
      </c>
      <c r="FX1312" s="1">
        <v>22029</v>
      </c>
      <c r="FY1312" s="1" t="s">
        <v>720</v>
      </c>
      <c r="FZ1312" s="1" t="s">
        <v>13239</v>
      </c>
      <c r="GA1312" s="1">
        <v>221235</v>
      </c>
      <c r="GB1312" s="1" t="s">
        <v>13240</v>
      </c>
      <c r="GE1312" s="1" t="s">
        <v>210</v>
      </c>
      <c r="GI1312" s="1" t="s">
        <v>204</v>
      </c>
      <c r="GJ1312" s="1" t="s">
        <v>260</v>
      </c>
      <c r="GK1312" s="1" t="s">
        <v>210</v>
      </c>
      <c r="GL1312" s="2">
        <v>42019</v>
      </c>
      <c r="GM1312" s="1" t="s">
        <v>13241</v>
      </c>
    </row>
    <row r="1313" spans="1:195">
      <c r="A1313" s="1">
        <v>135000</v>
      </c>
      <c r="B1313" s="1" t="s">
        <v>195</v>
      </c>
      <c r="C1313" s="1" t="str">
        <f>"08653184"</f>
        <v>08653184</v>
      </c>
      <c r="D1313" s="1" t="s">
        <v>196</v>
      </c>
      <c r="F1313" s="1" t="str">
        <f>"61"</f>
        <v>61</v>
      </c>
      <c r="G1313" s="2">
        <v>41813</v>
      </c>
      <c r="H1313" s="1">
        <v>140000</v>
      </c>
      <c r="I1313" s="1">
        <v>135000</v>
      </c>
      <c r="J1313" s="1">
        <v>135000</v>
      </c>
      <c r="K1313" s="2">
        <v>41813</v>
      </c>
      <c r="L1313" s="1">
        <v>182</v>
      </c>
      <c r="M1313" s="2">
        <v>41994</v>
      </c>
      <c r="N1313" s="1">
        <v>182</v>
      </c>
      <c r="O1313" s="2">
        <v>41994</v>
      </c>
      <c r="P1313" s="1">
        <v>4799</v>
      </c>
      <c r="Q1313" s="1" t="s">
        <v>197</v>
      </c>
      <c r="R1313" s="2">
        <v>42034</v>
      </c>
      <c r="S1313" s="1">
        <v>39284</v>
      </c>
      <c r="U1313" s="1">
        <v>415</v>
      </c>
      <c r="V1313" s="1" t="s">
        <v>13242</v>
      </c>
      <c r="W1313" s="1" t="s">
        <v>304</v>
      </c>
      <c r="Y1313" s="1">
        <v>4</v>
      </c>
      <c r="Z1313" s="1" t="s">
        <v>249</v>
      </c>
      <c r="AA1313" s="1" t="s">
        <v>505</v>
      </c>
      <c r="AB1313" s="1">
        <v>60061</v>
      </c>
      <c r="AD1313" s="1" t="s">
        <v>2353</v>
      </c>
      <c r="AE1313" s="1" t="s">
        <v>13243</v>
      </c>
      <c r="AF1313" s="1">
        <v>1979</v>
      </c>
      <c r="AG1313" s="1" t="s">
        <v>204</v>
      </c>
      <c r="AH1313" s="1" t="s">
        <v>508</v>
      </c>
      <c r="AI1313" s="1" t="s">
        <v>509</v>
      </c>
      <c r="AJ1313" s="1" t="s">
        <v>510</v>
      </c>
      <c r="AK1313" s="1" t="s">
        <v>4519</v>
      </c>
      <c r="AL1313" s="1">
        <v>6</v>
      </c>
      <c r="AM1313" s="1">
        <v>2</v>
      </c>
      <c r="AN1313" s="1">
        <v>1</v>
      </c>
      <c r="AO1313" s="1">
        <v>1</v>
      </c>
      <c r="AP1313" s="1" t="s">
        <v>667</v>
      </c>
      <c r="AR1313" s="1" t="s">
        <v>2165</v>
      </c>
      <c r="AS1313" s="1" t="s">
        <v>213</v>
      </c>
      <c r="AT1313" s="1" t="s">
        <v>211</v>
      </c>
      <c r="AU1313" s="1">
        <v>1</v>
      </c>
      <c r="AW1313" s="1" t="s">
        <v>204</v>
      </c>
      <c r="AX1313" s="1" t="s">
        <v>1265</v>
      </c>
      <c r="AZ1313" s="1">
        <v>2837.26</v>
      </c>
      <c r="BA1313" s="1">
        <v>2012</v>
      </c>
      <c r="BE1313" s="1">
        <v>1248</v>
      </c>
      <c r="BF1313" s="1">
        <v>1</v>
      </c>
      <c r="BG1313" s="1">
        <v>20</v>
      </c>
      <c r="BL1313" s="1">
        <v>250</v>
      </c>
      <c r="BM1313" s="1" t="s">
        <v>204</v>
      </c>
      <c r="BN1313" s="1" t="s">
        <v>204</v>
      </c>
      <c r="BP1313" s="1" t="s">
        <v>204</v>
      </c>
      <c r="BR1313" s="1" t="str">
        <f>"15054230500000"</f>
        <v>15054230500000</v>
      </c>
      <c r="BT1313" s="1" t="s">
        <v>13244</v>
      </c>
      <c r="BU1313" s="1" t="s">
        <v>1879</v>
      </c>
      <c r="BV1313" s="1" t="s">
        <v>1879</v>
      </c>
      <c r="BW1313" s="1" t="s">
        <v>514</v>
      </c>
      <c r="BX1313" s="1">
        <v>73</v>
      </c>
      <c r="BY1313" s="1">
        <v>73</v>
      </c>
      <c r="BZ1313" s="1">
        <v>128</v>
      </c>
      <c r="CB1313" s="1" t="str">
        <f>"25"</f>
        <v>25</v>
      </c>
      <c r="CC1313" s="1" t="str">
        <f>""</f>
        <v/>
      </c>
      <c r="CD1313" s="1">
        <v>17</v>
      </c>
      <c r="CG1313" s="1" t="s">
        <v>885</v>
      </c>
      <c r="CH1313" s="1" t="s">
        <v>219</v>
      </c>
      <c r="CI1313" s="1" t="s">
        <v>342</v>
      </c>
      <c r="CJ1313" s="1" t="s">
        <v>252</v>
      </c>
      <c r="CK1313" s="1" t="s">
        <v>539</v>
      </c>
      <c r="CL1313" s="1" t="s">
        <v>277</v>
      </c>
      <c r="CM1313" s="1" t="s">
        <v>220</v>
      </c>
      <c r="CN1313" s="1" t="s">
        <v>252</v>
      </c>
      <c r="CO1313" s="1" t="s">
        <v>2031</v>
      </c>
      <c r="CP1313" s="1" t="s">
        <v>219</v>
      </c>
      <c r="CQ1313" s="1" t="s">
        <v>342</v>
      </c>
      <c r="CS1313" s="1" t="s">
        <v>837</v>
      </c>
      <c r="CT1313" s="1" t="s">
        <v>277</v>
      </c>
      <c r="CU1313" s="1" t="s">
        <v>220</v>
      </c>
      <c r="CV1313" s="1" t="s">
        <v>252</v>
      </c>
      <c r="CX1313" s="1" t="s">
        <v>224</v>
      </c>
      <c r="DB1313" s="1" t="s">
        <v>224</v>
      </c>
      <c r="DE1313" s="1" t="s">
        <v>516</v>
      </c>
      <c r="DF1313" s="1" t="s">
        <v>219</v>
      </c>
      <c r="DG1313" s="1" t="s">
        <v>342</v>
      </c>
      <c r="DI1313" s="1" t="s">
        <v>2122</v>
      </c>
      <c r="DJ1313" s="1" t="s">
        <v>219</v>
      </c>
      <c r="DS1313" s="1" t="s">
        <v>230</v>
      </c>
      <c r="DW1313" s="1" t="s">
        <v>230</v>
      </c>
      <c r="EA1313" s="1" t="s">
        <v>230</v>
      </c>
      <c r="EE1313" s="1" t="s">
        <v>230</v>
      </c>
      <c r="EI1313" s="1" t="s">
        <v>230</v>
      </c>
      <c r="EL1313" s="1" t="s">
        <v>231</v>
      </c>
      <c r="EM1313" s="1" t="s">
        <v>232</v>
      </c>
      <c r="EN1313" s="1" t="s">
        <v>282</v>
      </c>
      <c r="EO1313" s="1" t="s">
        <v>234</v>
      </c>
      <c r="EP1313" s="1" t="s">
        <v>13245</v>
      </c>
      <c r="EQ1313" s="1" t="s">
        <v>468</v>
      </c>
      <c r="ER1313" s="1" t="s">
        <v>544</v>
      </c>
      <c r="EV1313" s="1" t="s">
        <v>240</v>
      </c>
      <c r="EW1313" s="1" t="s">
        <v>1804</v>
      </c>
      <c r="EY1313" s="1" t="s">
        <v>441</v>
      </c>
      <c r="EZ1313" s="1" t="s">
        <v>287</v>
      </c>
      <c r="FC1313" s="1" t="s">
        <v>633</v>
      </c>
      <c r="FD1313" s="1" t="s">
        <v>1112</v>
      </c>
      <c r="FE1313" s="1" t="s">
        <v>975</v>
      </c>
      <c r="FF1313" s="1" t="s">
        <v>248</v>
      </c>
      <c r="FH1313" s="1" t="s">
        <v>2175</v>
      </c>
      <c r="FI1313" s="1" t="s">
        <v>357</v>
      </c>
      <c r="FL1313" s="1" t="s">
        <v>358</v>
      </c>
      <c r="FM1313" s="1" t="s">
        <v>252</v>
      </c>
      <c r="FN1313" s="1" t="s">
        <v>213</v>
      </c>
      <c r="FO1313" s="1" t="s">
        <v>213</v>
      </c>
      <c r="FQ1313" s="1" t="s">
        <v>11004</v>
      </c>
      <c r="FR1313" s="1" t="s">
        <v>210</v>
      </c>
      <c r="FS1313" s="1" t="s">
        <v>13246</v>
      </c>
      <c r="FT1313" s="1" t="s">
        <v>2589</v>
      </c>
      <c r="FU1313" s="1" t="s">
        <v>204</v>
      </c>
      <c r="FW1313" s="1" t="s">
        <v>1559</v>
      </c>
      <c r="FX1313" s="1">
        <v>2415</v>
      </c>
      <c r="FY1313" s="1" t="s">
        <v>3380</v>
      </c>
      <c r="FZ1313" s="1" t="s">
        <v>13247</v>
      </c>
      <c r="GA1313" s="1">
        <v>242128</v>
      </c>
      <c r="GB1313" s="1" t="s">
        <v>13248</v>
      </c>
      <c r="GE1313" s="1" t="s">
        <v>1576</v>
      </c>
      <c r="GI1313" s="1" t="s">
        <v>213</v>
      </c>
      <c r="GJ1313" s="1" t="s">
        <v>260</v>
      </c>
      <c r="GK1313" s="1" t="s">
        <v>210</v>
      </c>
      <c r="GL1313" s="2">
        <v>42034</v>
      </c>
      <c r="GM1313" s="1" t="s">
        <v>13249</v>
      </c>
    </row>
    <row r="1314" spans="1:195">
      <c r="A1314" s="1">
        <v>223130</v>
      </c>
      <c r="B1314" s="1" t="s">
        <v>195</v>
      </c>
      <c r="C1314" s="1" t="str">
        <f>"08664201"</f>
        <v>08664201</v>
      </c>
      <c r="D1314" s="1" t="s">
        <v>196</v>
      </c>
      <c r="F1314" s="1" t="str">
        <f>"507"</f>
        <v>507</v>
      </c>
      <c r="G1314" s="2">
        <v>41826</v>
      </c>
      <c r="H1314" s="1">
        <v>222290</v>
      </c>
      <c r="I1314" s="1">
        <v>222290</v>
      </c>
      <c r="J1314" s="1">
        <v>223130</v>
      </c>
      <c r="K1314" s="2">
        <v>41823</v>
      </c>
      <c r="L1314" s="1">
        <v>61</v>
      </c>
      <c r="M1314" s="2">
        <v>41883</v>
      </c>
      <c r="N1314" s="1">
        <v>61</v>
      </c>
      <c r="O1314" s="2">
        <v>41883</v>
      </c>
      <c r="P1314" s="1">
        <v>23076</v>
      </c>
      <c r="Q1314" s="1" t="s">
        <v>197</v>
      </c>
      <c r="R1314" s="2">
        <v>41996</v>
      </c>
      <c r="S1314" s="1">
        <v>239981</v>
      </c>
      <c r="U1314" s="1">
        <v>2823</v>
      </c>
      <c r="V1314" s="1" t="s">
        <v>10323</v>
      </c>
      <c r="W1314" s="1" t="s">
        <v>1056</v>
      </c>
      <c r="Y1314" s="1">
        <v>6</v>
      </c>
      <c r="Z1314" s="1" t="s">
        <v>370</v>
      </c>
      <c r="AA1314" s="1" t="s">
        <v>1123</v>
      </c>
      <c r="AB1314" s="1">
        <v>60502</v>
      </c>
      <c r="AD1314" s="1" t="s">
        <v>10324</v>
      </c>
      <c r="AE1314" s="1" t="s">
        <v>10413</v>
      </c>
      <c r="AF1314" s="1">
        <v>2014</v>
      </c>
      <c r="AG1314" s="1" t="s">
        <v>204</v>
      </c>
      <c r="AH1314" s="1" t="s">
        <v>1126</v>
      </c>
      <c r="AI1314" s="1" t="s">
        <v>665</v>
      </c>
      <c r="AJ1314" s="1" t="s">
        <v>949</v>
      </c>
      <c r="AK1314" s="1" t="s">
        <v>13250</v>
      </c>
      <c r="AL1314" s="1">
        <v>5</v>
      </c>
      <c r="AM1314" s="1">
        <v>2</v>
      </c>
      <c r="AN1314" s="1">
        <v>2</v>
      </c>
      <c r="AO1314" s="1">
        <v>1</v>
      </c>
      <c r="AP1314" s="1" t="s">
        <v>209</v>
      </c>
      <c r="AQ1314" s="1">
        <v>0</v>
      </c>
      <c r="AR1314" s="1" t="s">
        <v>209</v>
      </c>
      <c r="AS1314" s="1" t="s">
        <v>204</v>
      </c>
      <c r="AT1314" s="1" t="s">
        <v>211</v>
      </c>
      <c r="AU1314" s="1">
        <v>2</v>
      </c>
      <c r="AW1314" s="1" t="s">
        <v>204</v>
      </c>
      <c r="AX1314" s="1" t="s">
        <v>212</v>
      </c>
      <c r="AZ1314" s="1" t="s">
        <v>751</v>
      </c>
      <c r="BA1314" s="1">
        <v>2013</v>
      </c>
      <c r="BE1314" s="1">
        <v>1777</v>
      </c>
      <c r="BF1314" s="1">
        <v>2</v>
      </c>
      <c r="BG1314" s="1">
        <v>0</v>
      </c>
      <c r="BL1314" s="1">
        <v>170</v>
      </c>
      <c r="BM1314" s="1" t="s">
        <v>204</v>
      </c>
      <c r="BN1314" s="1" t="s">
        <v>213</v>
      </c>
      <c r="BO1314" s="1">
        <v>0</v>
      </c>
      <c r="BP1314" s="1" t="s">
        <v>213</v>
      </c>
      <c r="BQ1314" s="2">
        <v>41999</v>
      </c>
      <c r="BR1314" s="1" t="str">
        <f>"1235445002"</f>
        <v>1235445002</v>
      </c>
      <c r="BT1314" s="1" t="s">
        <v>13251</v>
      </c>
      <c r="BU1314" s="1" t="s">
        <v>6403</v>
      </c>
      <c r="BV1314" s="1" t="s">
        <v>6404</v>
      </c>
      <c r="BW1314" s="1" t="s">
        <v>6405</v>
      </c>
      <c r="BX1314" s="1">
        <v>101</v>
      </c>
      <c r="BY1314" s="1">
        <v>101</v>
      </c>
      <c r="BZ1314" s="1">
        <v>101</v>
      </c>
      <c r="CB1314" s="1" t="str">
        <f>"3"</f>
        <v>3</v>
      </c>
      <c r="CC1314" s="1" t="str">
        <f>"0"</f>
        <v>0</v>
      </c>
      <c r="CD1314" s="1">
        <v>34</v>
      </c>
      <c r="CE1314" s="1">
        <v>0</v>
      </c>
      <c r="CH1314" s="1" t="s">
        <v>224</v>
      </c>
      <c r="CK1314" s="1" t="s">
        <v>315</v>
      </c>
      <c r="CL1314" s="1" t="s">
        <v>277</v>
      </c>
      <c r="CM1314" s="1" t="s">
        <v>220</v>
      </c>
      <c r="CP1314" s="1" t="s">
        <v>224</v>
      </c>
      <c r="CS1314" s="1" t="s">
        <v>346</v>
      </c>
      <c r="CT1314" s="1" t="s">
        <v>277</v>
      </c>
      <c r="CU1314" s="1" t="s">
        <v>220</v>
      </c>
      <c r="CX1314" s="1" t="s">
        <v>224</v>
      </c>
      <c r="DB1314" s="1" t="s">
        <v>224</v>
      </c>
      <c r="DE1314" s="1" t="s">
        <v>630</v>
      </c>
      <c r="DF1314" s="1" t="s">
        <v>219</v>
      </c>
      <c r="DI1314" s="1" t="s">
        <v>228</v>
      </c>
      <c r="DJ1314" s="1" t="s">
        <v>219</v>
      </c>
      <c r="DM1314" s="1" t="s">
        <v>1548</v>
      </c>
      <c r="DN1314" s="1" t="s">
        <v>347</v>
      </c>
      <c r="DR1314" s="1" t="s">
        <v>2277</v>
      </c>
      <c r="DS1314" s="1" t="s">
        <v>219</v>
      </c>
      <c r="DV1314" s="1" t="s">
        <v>4084</v>
      </c>
      <c r="DW1314" s="1" t="s">
        <v>277</v>
      </c>
      <c r="DX1314" s="1" t="s">
        <v>342</v>
      </c>
      <c r="EA1314" s="1" t="s">
        <v>230</v>
      </c>
      <c r="EE1314" s="1" t="s">
        <v>230</v>
      </c>
      <c r="EI1314" s="1" t="s">
        <v>230</v>
      </c>
      <c r="EL1314" s="1" t="s">
        <v>9871</v>
      </c>
      <c r="EM1314" s="1" t="s">
        <v>319</v>
      </c>
      <c r="EN1314" s="1" t="s">
        <v>282</v>
      </c>
      <c r="EO1314" s="1" t="s">
        <v>234</v>
      </c>
      <c r="EQ1314" s="1" t="s">
        <v>8369</v>
      </c>
      <c r="ER1314" s="1" t="s">
        <v>2453</v>
      </c>
      <c r="ES1314" s="1" t="s">
        <v>322</v>
      </c>
      <c r="ET1314" s="1" t="s">
        <v>842</v>
      </c>
      <c r="EU1314" s="1" t="s">
        <v>285</v>
      </c>
      <c r="EW1314" s="1" t="s">
        <v>867</v>
      </c>
      <c r="EY1314" s="1" t="s">
        <v>242</v>
      </c>
      <c r="EZ1314" s="1" t="s">
        <v>13252</v>
      </c>
      <c r="FA1314" s="1" t="s">
        <v>6548</v>
      </c>
      <c r="FD1314" s="1" t="s">
        <v>246</v>
      </c>
      <c r="FE1314" s="1" t="s">
        <v>472</v>
      </c>
      <c r="FF1314" s="1" t="s">
        <v>248</v>
      </c>
      <c r="FH1314" s="1" t="s">
        <v>550</v>
      </c>
      <c r="FJ1314" s="1" t="s">
        <v>518</v>
      </c>
      <c r="FL1314" s="1" t="s">
        <v>358</v>
      </c>
      <c r="FM1314" s="1" t="s">
        <v>252</v>
      </c>
      <c r="FN1314" s="1" t="s">
        <v>213</v>
      </c>
      <c r="FO1314" s="1" t="s">
        <v>213</v>
      </c>
      <c r="FQ1314" s="1" t="s">
        <v>13253</v>
      </c>
      <c r="FR1314" s="1" t="s">
        <v>210</v>
      </c>
      <c r="FS1314" s="1" t="s">
        <v>13254</v>
      </c>
      <c r="FT1314" s="1" t="s">
        <v>3855</v>
      </c>
      <c r="FU1314" s="1" t="s">
        <v>204</v>
      </c>
      <c r="FV1314" s="1" t="s">
        <v>10328</v>
      </c>
      <c r="FW1314" s="1" t="s">
        <v>3857</v>
      </c>
      <c r="FX1314" s="1">
        <v>23223</v>
      </c>
      <c r="FY1314" s="1" t="s">
        <v>3858</v>
      </c>
      <c r="FZ1314" s="1" t="s">
        <v>3859</v>
      </c>
      <c r="GA1314" s="1">
        <v>236300</v>
      </c>
      <c r="GC1314" s="1">
        <v>210778</v>
      </c>
      <c r="GE1314" s="1" t="s">
        <v>480</v>
      </c>
      <c r="GI1314" s="1" t="s">
        <v>204</v>
      </c>
      <c r="GJ1314" s="1" t="s">
        <v>300</v>
      </c>
      <c r="GK1314" s="1" t="s">
        <v>210</v>
      </c>
      <c r="GL1314" s="2">
        <v>41996</v>
      </c>
      <c r="GM1314" s="1" t="s">
        <v>13255</v>
      </c>
    </row>
    <row r="1315" spans="1:195">
      <c r="A1315" s="1">
        <v>84900</v>
      </c>
      <c r="B1315" s="1" t="s">
        <v>195</v>
      </c>
      <c r="C1315" s="1" t="str">
        <f>"08660658"</f>
        <v>08660658</v>
      </c>
      <c r="D1315" s="1" t="s">
        <v>196</v>
      </c>
      <c r="F1315" s="1" t="str">
        <f>"532"</f>
        <v>532</v>
      </c>
      <c r="G1315" s="2">
        <v>41821</v>
      </c>
      <c r="H1315" s="1">
        <v>89900</v>
      </c>
      <c r="I1315" s="1">
        <v>84900</v>
      </c>
      <c r="J1315" s="1">
        <v>84900</v>
      </c>
      <c r="K1315" s="2">
        <v>41821</v>
      </c>
      <c r="L1315" s="1">
        <v>52</v>
      </c>
      <c r="M1315" s="2">
        <v>41872</v>
      </c>
      <c r="N1315" s="1">
        <v>52</v>
      </c>
      <c r="O1315" s="2">
        <v>41872</v>
      </c>
      <c r="P1315" s="1">
        <v>21823</v>
      </c>
      <c r="Q1315" s="1" t="s">
        <v>197</v>
      </c>
      <c r="R1315" s="2">
        <v>41990</v>
      </c>
      <c r="S1315" s="1">
        <v>225412</v>
      </c>
      <c r="U1315" s="1">
        <v>5852</v>
      </c>
      <c r="V1315" s="1" t="s">
        <v>13256</v>
      </c>
      <c r="W1315" s="1" t="s">
        <v>1056</v>
      </c>
      <c r="X1315" s="1" t="s">
        <v>1688</v>
      </c>
      <c r="Y1315" s="1">
        <v>6</v>
      </c>
      <c r="Z1315" s="1" t="s">
        <v>249</v>
      </c>
      <c r="AA1315" s="1" t="s">
        <v>1566</v>
      </c>
      <c r="AB1315" s="1">
        <v>60532</v>
      </c>
      <c r="AD1315" s="1" t="s">
        <v>2908</v>
      </c>
      <c r="AE1315" s="1" t="s">
        <v>13257</v>
      </c>
      <c r="AF1315" s="1">
        <v>1974</v>
      </c>
      <c r="AG1315" s="1" t="s">
        <v>213</v>
      </c>
      <c r="AH1315" s="1" t="s">
        <v>925</v>
      </c>
      <c r="AI1315" s="1" t="s">
        <v>206</v>
      </c>
      <c r="AJ1315" s="1" t="s">
        <v>925</v>
      </c>
      <c r="AK1315" s="1" t="s">
        <v>1151</v>
      </c>
      <c r="AL1315" s="1">
        <v>5</v>
      </c>
      <c r="AM1315" s="1">
        <v>2</v>
      </c>
      <c r="AN1315" s="1">
        <v>1</v>
      </c>
      <c r="AO1315" s="1">
        <v>0</v>
      </c>
      <c r="AP1315" s="1" t="s">
        <v>210</v>
      </c>
      <c r="AQ1315" s="1">
        <v>1</v>
      </c>
      <c r="AR1315" s="1" t="s">
        <v>210</v>
      </c>
      <c r="AT1315" s="1" t="s">
        <v>271</v>
      </c>
      <c r="AV1315" s="1">
        <v>2</v>
      </c>
      <c r="AW1315" s="1" t="s">
        <v>204</v>
      </c>
      <c r="AX1315" s="1" t="s">
        <v>212</v>
      </c>
      <c r="AZ1315" s="1">
        <v>2380.6</v>
      </c>
      <c r="BA1315" s="1">
        <v>2013</v>
      </c>
      <c r="BB1315" s="1" t="s">
        <v>210</v>
      </c>
      <c r="BC1315" s="1">
        <v>0</v>
      </c>
      <c r="BD1315" s="1">
        <v>2014</v>
      </c>
      <c r="BE1315" s="1">
        <v>850</v>
      </c>
      <c r="BF1315" s="1">
        <v>1</v>
      </c>
      <c r="BG1315" s="1">
        <v>0</v>
      </c>
      <c r="BL1315" s="1">
        <v>268</v>
      </c>
      <c r="BM1315" s="1" t="s">
        <v>213</v>
      </c>
      <c r="BN1315" s="1" t="s">
        <v>213</v>
      </c>
      <c r="BO1315" s="1">
        <v>0</v>
      </c>
      <c r="BP1315" s="1" t="s">
        <v>204</v>
      </c>
      <c r="BR1315" s="1" t="str">
        <f>"0815109092"</f>
        <v>0815109092</v>
      </c>
      <c r="BT1315" s="1" t="s">
        <v>13258</v>
      </c>
      <c r="BX1315" s="1">
        <v>68</v>
      </c>
      <c r="BY1315" s="1">
        <v>68</v>
      </c>
      <c r="BZ1315" s="1">
        <v>99</v>
      </c>
      <c r="CB1315" s="1" t="str">
        <f t="shared" ref="CB1315:CC1315" si="1010">"0"</f>
        <v>0</v>
      </c>
      <c r="CC1315" s="1" t="str">
        <f t="shared" si="1010"/>
        <v>0</v>
      </c>
      <c r="CD1315" s="1">
        <v>23</v>
      </c>
      <c r="CE1315" s="1">
        <v>6</v>
      </c>
      <c r="CG1315" s="1" t="s">
        <v>1547</v>
      </c>
      <c r="CH1315" s="1" t="s">
        <v>219</v>
      </c>
      <c r="CI1315" s="1" t="s">
        <v>220</v>
      </c>
      <c r="CK1315" s="1" t="s">
        <v>461</v>
      </c>
      <c r="CL1315" s="1" t="s">
        <v>219</v>
      </c>
      <c r="CM1315" s="1" t="s">
        <v>220</v>
      </c>
      <c r="CO1315" s="1" t="s">
        <v>629</v>
      </c>
      <c r="CP1315" s="1" t="s">
        <v>219</v>
      </c>
      <c r="CQ1315" s="1" t="s">
        <v>220</v>
      </c>
      <c r="CS1315" s="1" t="s">
        <v>1297</v>
      </c>
      <c r="CT1315" s="1" t="s">
        <v>219</v>
      </c>
      <c r="CU1315" s="1" t="s">
        <v>220</v>
      </c>
      <c r="CX1315" s="1" t="s">
        <v>224</v>
      </c>
      <c r="DB1315" s="1" t="s">
        <v>224</v>
      </c>
      <c r="DE1315" s="1" t="s">
        <v>1470</v>
      </c>
      <c r="DF1315" s="1" t="s">
        <v>219</v>
      </c>
      <c r="DG1315" s="1" t="s">
        <v>226</v>
      </c>
      <c r="DH1315" s="1" t="s">
        <v>210</v>
      </c>
      <c r="DJ1315" s="1" t="s">
        <v>224</v>
      </c>
      <c r="DS1315" s="1" t="s">
        <v>230</v>
      </c>
      <c r="DW1315" s="1" t="s">
        <v>230</v>
      </c>
      <c r="EA1315" s="1" t="s">
        <v>230</v>
      </c>
      <c r="EE1315" s="1" t="s">
        <v>230</v>
      </c>
      <c r="EI1315" s="1" t="s">
        <v>230</v>
      </c>
      <c r="EL1315" s="1" t="s">
        <v>231</v>
      </c>
      <c r="EM1315" s="1" t="s">
        <v>232</v>
      </c>
      <c r="EN1315" s="1" t="s">
        <v>282</v>
      </c>
      <c r="EO1315" s="1" t="s">
        <v>234</v>
      </c>
      <c r="EP1315" s="1" t="s">
        <v>13259</v>
      </c>
      <c r="EQ1315" s="1" t="s">
        <v>236</v>
      </c>
      <c r="ER1315" s="1" t="s">
        <v>210</v>
      </c>
      <c r="EV1315" s="1" t="s">
        <v>240</v>
      </c>
      <c r="EW1315" s="1" t="s">
        <v>937</v>
      </c>
      <c r="EZ1315" s="1" t="s">
        <v>287</v>
      </c>
      <c r="FA1315" s="1" t="s">
        <v>672</v>
      </c>
      <c r="FD1315" s="1" t="s">
        <v>246</v>
      </c>
      <c r="FE1315" s="1" t="s">
        <v>889</v>
      </c>
      <c r="FF1315" s="1" t="s">
        <v>248</v>
      </c>
      <c r="FG1315" s="1" t="s">
        <v>939</v>
      </c>
      <c r="FH1315" s="1" t="s">
        <v>249</v>
      </c>
      <c r="FK1315" s="1" t="s">
        <v>389</v>
      </c>
      <c r="FL1315" s="1" t="s">
        <v>414</v>
      </c>
      <c r="FM1315" s="1" t="s">
        <v>252</v>
      </c>
      <c r="FN1315" s="1" t="s">
        <v>213</v>
      </c>
      <c r="FO1315" s="1" t="s">
        <v>213</v>
      </c>
      <c r="FQ1315" s="1" t="s">
        <v>673</v>
      </c>
      <c r="FR1315" s="1" t="s">
        <v>360</v>
      </c>
      <c r="FS1315" s="1" t="s">
        <v>13260</v>
      </c>
      <c r="FT1315" s="1" t="s">
        <v>362</v>
      </c>
      <c r="FU1315" s="1" t="s">
        <v>204</v>
      </c>
      <c r="FW1315" s="1" t="s">
        <v>4227</v>
      </c>
      <c r="FX1315" s="1">
        <v>16636</v>
      </c>
      <c r="FY1315" s="1" t="s">
        <v>720</v>
      </c>
      <c r="FZ1315" s="1" t="s">
        <v>13261</v>
      </c>
      <c r="GA1315" s="1">
        <v>860164</v>
      </c>
      <c r="GB1315" s="1" t="s">
        <v>13262</v>
      </c>
      <c r="GE1315" s="1" t="s">
        <v>210</v>
      </c>
      <c r="GI1315" s="1" t="s">
        <v>204</v>
      </c>
      <c r="GJ1315" s="1" t="s">
        <v>260</v>
      </c>
      <c r="GK1315" s="1" t="s">
        <v>261</v>
      </c>
      <c r="GL1315" s="2">
        <v>41990</v>
      </c>
      <c r="GM1315" s="1" t="s">
        <v>13263</v>
      </c>
    </row>
    <row r="1316" spans="1:195">
      <c r="A1316" s="1">
        <v>115000</v>
      </c>
      <c r="B1316" s="1" t="s">
        <v>195</v>
      </c>
      <c r="C1316" s="1" t="str">
        <f>"08659159"</f>
        <v>08659159</v>
      </c>
      <c r="D1316" s="1" t="s">
        <v>196</v>
      </c>
      <c r="F1316" s="1" t="str">
        <f>"140"</f>
        <v>140</v>
      </c>
      <c r="G1316" s="2">
        <v>41820</v>
      </c>
      <c r="H1316" s="1">
        <v>151900</v>
      </c>
      <c r="I1316" s="1">
        <v>110000</v>
      </c>
      <c r="J1316" s="1">
        <v>115000</v>
      </c>
      <c r="K1316" s="2">
        <v>41820</v>
      </c>
      <c r="L1316" s="1">
        <v>197</v>
      </c>
      <c r="M1316" s="2">
        <v>42016</v>
      </c>
      <c r="N1316" s="1">
        <v>197</v>
      </c>
      <c r="O1316" s="2">
        <v>42016</v>
      </c>
      <c r="P1316" s="1">
        <v>7450</v>
      </c>
      <c r="Q1316" s="1" t="s">
        <v>423</v>
      </c>
      <c r="R1316" s="2">
        <v>42055</v>
      </c>
      <c r="S1316" s="1">
        <v>77859</v>
      </c>
      <c r="T1316" s="1">
        <v>4000</v>
      </c>
      <c r="U1316" s="1">
        <v>1238</v>
      </c>
      <c r="V1316" s="1" t="s">
        <v>13264</v>
      </c>
      <c r="W1316" s="1" t="s">
        <v>504</v>
      </c>
      <c r="Y1316" s="1">
        <v>4</v>
      </c>
      <c r="Z1316" s="1" t="s">
        <v>370</v>
      </c>
      <c r="AA1316" s="1" t="s">
        <v>744</v>
      </c>
      <c r="AB1316" s="1">
        <v>60140</v>
      </c>
      <c r="AE1316" s="1" t="s">
        <v>13265</v>
      </c>
      <c r="AF1316" s="1">
        <v>2006</v>
      </c>
      <c r="AG1316" s="1" t="s">
        <v>204</v>
      </c>
      <c r="AH1316" s="1" t="s">
        <v>747</v>
      </c>
      <c r="AI1316" s="1" t="s">
        <v>665</v>
      </c>
      <c r="AJ1316" s="1" t="s">
        <v>748</v>
      </c>
      <c r="AL1316" s="1">
        <v>5</v>
      </c>
      <c r="AM1316" s="1">
        <v>2</v>
      </c>
      <c r="AN1316" s="1">
        <v>2</v>
      </c>
      <c r="AO1316" s="1">
        <v>1</v>
      </c>
      <c r="AP1316" s="1" t="s">
        <v>209</v>
      </c>
      <c r="AR1316" s="1" t="s">
        <v>209</v>
      </c>
      <c r="AS1316" s="1" t="s">
        <v>204</v>
      </c>
      <c r="AT1316" s="1" t="s">
        <v>211</v>
      </c>
      <c r="AU1316" s="1">
        <v>2</v>
      </c>
      <c r="AW1316" s="1" t="s">
        <v>204</v>
      </c>
      <c r="AX1316" s="1" t="s">
        <v>212</v>
      </c>
      <c r="AZ1316" s="1">
        <v>4744.96</v>
      </c>
      <c r="BA1316" s="1">
        <v>2013</v>
      </c>
      <c r="BE1316" s="1">
        <v>1728</v>
      </c>
      <c r="BF1316" s="1">
        <v>1</v>
      </c>
      <c r="BG1316" s="1">
        <v>0</v>
      </c>
      <c r="BL1316" s="1">
        <v>180</v>
      </c>
      <c r="BM1316" s="1" t="s">
        <v>413</v>
      </c>
      <c r="BN1316" s="1" t="s">
        <v>213</v>
      </c>
      <c r="BO1316" s="1">
        <v>999</v>
      </c>
      <c r="BP1316" s="1" t="s">
        <v>204</v>
      </c>
      <c r="BR1316" s="1" t="str">
        <f>"0228307032"</f>
        <v>0228307032</v>
      </c>
      <c r="BT1316" s="1" t="s">
        <v>13266</v>
      </c>
      <c r="BX1316" s="1">
        <v>300</v>
      </c>
      <c r="BY1316" s="1">
        <v>300</v>
      </c>
      <c r="BZ1316" s="1">
        <v>300</v>
      </c>
      <c r="CB1316" s="1" t="str">
        <f t="shared" ref="CB1316:CC1316" si="1011">""</f>
        <v/>
      </c>
      <c r="CC1316" s="1" t="str">
        <f t="shared" si="1011"/>
        <v/>
      </c>
      <c r="CG1316" s="1" t="s">
        <v>12856</v>
      </c>
      <c r="CH1316" s="1" t="s">
        <v>219</v>
      </c>
      <c r="CI1316" s="1" t="s">
        <v>438</v>
      </c>
      <c r="CK1316" s="1" t="s">
        <v>2121</v>
      </c>
      <c r="CL1316" s="1" t="s">
        <v>277</v>
      </c>
      <c r="CM1316" s="1" t="s">
        <v>220</v>
      </c>
      <c r="CP1316" s="1" t="s">
        <v>224</v>
      </c>
      <c r="CS1316" s="1" t="s">
        <v>2121</v>
      </c>
      <c r="CT1316" s="1" t="s">
        <v>277</v>
      </c>
      <c r="CU1316" s="1" t="s">
        <v>220</v>
      </c>
      <c r="CX1316" s="1" t="s">
        <v>224</v>
      </c>
      <c r="DB1316" s="1" t="s">
        <v>224</v>
      </c>
      <c r="DE1316" s="1" t="s">
        <v>1788</v>
      </c>
      <c r="DF1316" s="1" t="s">
        <v>219</v>
      </c>
      <c r="DG1316" s="1" t="s">
        <v>438</v>
      </c>
      <c r="DJ1316" s="1" t="s">
        <v>224</v>
      </c>
      <c r="DM1316" s="1" t="s">
        <v>411</v>
      </c>
      <c r="DR1316" s="1" t="s">
        <v>2122</v>
      </c>
      <c r="DS1316" s="1" t="s">
        <v>43</v>
      </c>
      <c r="DT1316" s="1" t="s">
        <v>220</v>
      </c>
      <c r="DW1316" s="1" t="s">
        <v>230</v>
      </c>
      <c r="EA1316" s="1" t="s">
        <v>230</v>
      </c>
      <c r="EE1316" s="1" t="s">
        <v>230</v>
      </c>
      <c r="EI1316" s="1" t="s">
        <v>230</v>
      </c>
      <c r="EL1316" s="1" t="s">
        <v>491</v>
      </c>
      <c r="EM1316" s="1" t="s">
        <v>319</v>
      </c>
      <c r="EN1316" s="1" t="s">
        <v>282</v>
      </c>
      <c r="EO1316" s="1" t="s">
        <v>234</v>
      </c>
      <c r="ER1316" s="1" t="s">
        <v>544</v>
      </c>
      <c r="EW1316" s="1" t="s">
        <v>3255</v>
      </c>
      <c r="EZ1316" s="1" t="s">
        <v>411</v>
      </c>
      <c r="FD1316" s="1" t="s">
        <v>246</v>
      </c>
      <c r="FE1316" s="1" t="s">
        <v>472</v>
      </c>
      <c r="FF1316" s="1" t="s">
        <v>248</v>
      </c>
      <c r="FH1316" s="1" t="s">
        <v>550</v>
      </c>
      <c r="FL1316" s="1" t="s">
        <v>414</v>
      </c>
      <c r="FM1316" s="1" t="s">
        <v>252</v>
      </c>
      <c r="FN1316" s="1" t="s">
        <v>213</v>
      </c>
      <c r="FO1316" s="1" t="s">
        <v>213</v>
      </c>
      <c r="FQ1316" s="1" t="s">
        <v>582</v>
      </c>
      <c r="FR1316" s="1" t="s">
        <v>652</v>
      </c>
      <c r="FS1316" s="1" t="s">
        <v>552</v>
      </c>
      <c r="FT1316" s="1" t="s">
        <v>584</v>
      </c>
      <c r="FU1316" s="1" t="s">
        <v>204</v>
      </c>
      <c r="FW1316" s="1" t="s">
        <v>9823</v>
      </c>
      <c r="FX1316" s="1">
        <v>93162</v>
      </c>
      <c r="FY1316" s="1" t="s">
        <v>9824</v>
      </c>
      <c r="FZ1316" s="1" t="s">
        <v>9825</v>
      </c>
      <c r="GA1316" s="1">
        <v>931530</v>
      </c>
      <c r="GD1316" s="1" t="s">
        <v>9826</v>
      </c>
      <c r="GE1316" s="1" t="s">
        <v>210</v>
      </c>
      <c r="GI1316" s="1" t="s">
        <v>213</v>
      </c>
      <c r="GJ1316" s="1" t="s">
        <v>260</v>
      </c>
      <c r="GK1316" s="1" t="s">
        <v>210</v>
      </c>
      <c r="GL1316" s="2">
        <v>42058</v>
      </c>
      <c r="GM1316" s="1" t="s">
        <v>13267</v>
      </c>
    </row>
    <row r="1317" spans="1:195">
      <c r="A1317" s="1">
        <v>223440</v>
      </c>
      <c r="B1317" s="1" t="s">
        <v>195</v>
      </c>
      <c r="C1317" s="1" t="str">
        <f>"08663558"</f>
        <v>08663558</v>
      </c>
      <c r="D1317" s="1" t="s">
        <v>196</v>
      </c>
      <c r="F1317" s="1" t="str">
        <f>"507"</f>
        <v>507</v>
      </c>
      <c r="G1317" s="2">
        <v>41824</v>
      </c>
      <c r="H1317" s="1">
        <v>214600</v>
      </c>
      <c r="I1317" s="1">
        <v>214600</v>
      </c>
      <c r="J1317" s="1">
        <v>223440</v>
      </c>
      <c r="K1317" s="2">
        <v>41822</v>
      </c>
      <c r="L1317" s="1">
        <v>143</v>
      </c>
      <c r="M1317" s="2">
        <v>41964</v>
      </c>
      <c r="N1317" s="1">
        <v>143</v>
      </c>
      <c r="O1317" s="2">
        <v>41964</v>
      </c>
      <c r="P1317" s="1" t="s">
        <v>1039</v>
      </c>
      <c r="Q1317" s="1" t="s">
        <v>423</v>
      </c>
      <c r="R1317" s="2">
        <v>42046</v>
      </c>
      <c r="S1317" s="1">
        <v>99999</v>
      </c>
      <c r="U1317" s="1">
        <v>2817</v>
      </c>
      <c r="V1317" s="1" t="s">
        <v>10323</v>
      </c>
      <c r="W1317" s="1" t="s">
        <v>1056</v>
      </c>
      <c r="Y1317" s="1">
        <v>6</v>
      </c>
      <c r="Z1317" s="1" t="s">
        <v>370</v>
      </c>
      <c r="AA1317" s="1" t="s">
        <v>1123</v>
      </c>
      <c r="AB1317" s="1">
        <v>60502</v>
      </c>
      <c r="AD1317" s="1" t="s">
        <v>6399</v>
      </c>
      <c r="AE1317" s="1" t="s">
        <v>6400</v>
      </c>
      <c r="AF1317" s="1">
        <v>2014</v>
      </c>
      <c r="AG1317" s="1" t="s">
        <v>204</v>
      </c>
      <c r="AH1317" s="1" t="s">
        <v>1126</v>
      </c>
      <c r="AI1317" s="1" t="s">
        <v>665</v>
      </c>
      <c r="AJ1317" s="1" t="s">
        <v>949</v>
      </c>
      <c r="AK1317" s="1" t="s">
        <v>13250</v>
      </c>
      <c r="AL1317" s="1">
        <v>5</v>
      </c>
      <c r="AM1317" s="1">
        <v>2</v>
      </c>
      <c r="AN1317" s="1">
        <v>2</v>
      </c>
      <c r="AO1317" s="1">
        <v>1</v>
      </c>
      <c r="AP1317" s="1" t="s">
        <v>210</v>
      </c>
      <c r="AR1317" s="1" t="s">
        <v>209</v>
      </c>
      <c r="AS1317" s="1" t="s">
        <v>204</v>
      </c>
      <c r="AT1317" s="1" t="s">
        <v>211</v>
      </c>
      <c r="AU1317" s="1">
        <v>2</v>
      </c>
      <c r="AW1317" s="1" t="s">
        <v>204</v>
      </c>
      <c r="AX1317" s="1" t="s">
        <v>212</v>
      </c>
      <c r="AZ1317" s="1" t="s">
        <v>751</v>
      </c>
      <c r="BA1317" s="1">
        <v>2013</v>
      </c>
      <c r="BE1317" s="1">
        <v>1480</v>
      </c>
      <c r="BF1317" s="1">
        <v>2</v>
      </c>
      <c r="BG1317" s="1">
        <v>0</v>
      </c>
      <c r="BL1317" s="1">
        <v>170</v>
      </c>
      <c r="BM1317" s="1" t="s">
        <v>204</v>
      </c>
      <c r="BN1317" s="1" t="s">
        <v>213</v>
      </c>
      <c r="BO1317" s="1">
        <v>0</v>
      </c>
      <c r="BP1317" s="1" t="s">
        <v>213</v>
      </c>
      <c r="BQ1317" s="2">
        <v>41999</v>
      </c>
      <c r="BR1317" s="1" t="str">
        <f>"1235445002"</f>
        <v>1235445002</v>
      </c>
      <c r="BT1317" s="1" t="s">
        <v>13268</v>
      </c>
      <c r="BU1317" s="1" t="s">
        <v>6403</v>
      </c>
      <c r="BV1317" s="1" t="s">
        <v>6404</v>
      </c>
      <c r="BW1317" s="1" t="s">
        <v>6405</v>
      </c>
      <c r="BX1317" s="1">
        <v>101</v>
      </c>
      <c r="BY1317" s="1">
        <v>101</v>
      </c>
      <c r="BZ1317" s="1">
        <v>101</v>
      </c>
      <c r="CB1317" s="1" t="str">
        <f>"3"</f>
        <v>3</v>
      </c>
      <c r="CC1317" s="1" t="str">
        <f>"0"</f>
        <v>0</v>
      </c>
      <c r="CD1317" s="1">
        <v>34</v>
      </c>
      <c r="CE1317" s="1">
        <v>0</v>
      </c>
      <c r="CH1317" s="1" t="s">
        <v>224</v>
      </c>
      <c r="CK1317" s="1" t="s">
        <v>315</v>
      </c>
      <c r="CL1317" s="1" t="s">
        <v>277</v>
      </c>
      <c r="CM1317" s="1" t="s">
        <v>220</v>
      </c>
      <c r="CP1317" s="1" t="s">
        <v>224</v>
      </c>
      <c r="CS1317" s="1" t="s">
        <v>346</v>
      </c>
      <c r="CT1317" s="1" t="s">
        <v>277</v>
      </c>
      <c r="CU1317" s="1" t="s">
        <v>220</v>
      </c>
      <c r="CX1317" s="1" t="s">
        <v>224</v>
      </c>
      <c r="DB1317" s="1" t="s">
        <v>224</v>
      </c>
      <c r="DE1317" s="1" t="s">
        <v>630</v>
      </c>
      <c r="DF1317" s="1" t="s">
        <v>219</v>
      </c>
      <c r="DJ1317" s="1" t="s">
        <v>224</v>
      </c>
      <c r="DM1317" s="1" t="s">
        <v>1676</v>
      </c>
      <c r="DO1317" s="1" t="s">
        <v>1548</v>
      </c>
      <c r="DQ1317" s="1" t="s">
        <v>347</v>
      </c>
      <c r="DR1317" s="1" t="s">
        <v>6406</v>
      </c>
      <c r="DS1317" s="1" t="s">
        <v>219</v>
      </c>
      <c r="DT1317" s="1" t="s">
        <v>220</v>
      </c>
      <c r="DW1317" s="1" t="s">
        <v>230</v>
      </c>
      <c r="DZ1317" s="1" t="s">
        <v>318</v>
      </c>
      <c r="EA1317" s="1" t="s">
        <v>219</v>
      </c>
      <c r="EE1317" s="1" t="s">
        <v>230</v>
      </c>
      <c r="EH1317" s="1" t="s">
        <v>4084</v>
      </c>
      <c r="EI1317" s="1" t="s">
        <v>277</v>
      </c>
      <c r="EL1317" s="1" t="s">
        <v>760</v>
      </c>
      <c r="EM1317" s="1" t="s">
        <v>319</v>
      </c>
      <c r="EN1317" s="1" t="s">
        <v>282</v>
      </c>
      <c r="EO1317" s="1" t="s">
        <v>234</v>
      </c>
      <c r="EQ1317" s="1" t="s">
        <v>321</v>
      </c>
      <c r="ER1317" s="1" t="s">
        <v>1249</v>
      </c>
      <c r="ES1317" s="1" t="s">
        <v>322</v>
      </c>
      <c r="EW1317" s="1" t="s">
        <v>867</v>
      </c>
      <c r="EY1317" s="1" t="s">
        <v>242</v>
      </c>
      <c r="EZ1317" s="1" t="s">
        <v>13269</v>
      </c>
      <c r="FA1317" s="1" t="s">
        <v>6548</v>
      </c>
      <c r="FD1317" s="1" t="s">
        <v>246</v>
      </c>
      <c r="FE1317" s="1" t="s">
        <v>472</v>
      </c>
      <c r="FF1317" s="1" t="s">
        <v>248</v>
      </c>
      <c r="FH1317" s="1" t="s">
        <v>550</v>
      </c>
      <c r="FJ1317" s="1" t="s">
        <v>518</v>
      </c>
      <c r="FL1317" s="1" t="s">
        <v>358</v>
      </c>
      <c r="FM1317" s="1" t="s">
        <v>252</v>
      </c>
      <c r="FN1317" s="1" t="s">
        <v>213</v>
      </c>
      <c r="FO1317" s="1" t="s">
        <v>213</v>
      </c>
      <c r="FQ1317" s="1" t="s">
        <v>13253</v>
      </c>
      <c r="FR1317" s="1" t="s">
        <v>210</v>
      </c>
      <c r="FS1317" s="1" t="s">
        <v>13270</v>
      </c>
      <c r="FT1317" s="1" t="s">
        <v>3855</v>
      </c>
      <c r="FU1317" s="1" t="s">
        <v>204</v>
      </c>
      <c r="FV1317" s="1" t="s">
        <v>10328</v>
      </c>
      <c r="FW1317" s="1" t="s">
        <v>3857</v>
      </c>
      <c r="FX1317" s="1">
        <v>23223</v>
      </c>
      <c r="FY1317" s="1" t="s">
        <v>3858</v>
      </c>
      <c r="FZ1317" s="1" t="s">
        <v>3859</v>
      </c>
      <c r="GA1317" s="1">
        <v>236300</v>
      </c>
      <c r="GC1317" s="1">
        <v>210778</v>
      </c>
      <c r="GE1317" s="1" t="s">
        <v>480</v>
      </c>
      <c r="GI1317" s="1" t="s">
        <v>204</v>
      </c>
      <c r="GJ1317" s="1" t="s">
        <v>300</v>
      </c>
      <c r="GK1317" s="1" t="s">
        <v>210</v>
      </c>
      <c r="GL1317" s="2">
        <v>42046</v>
      </c>
      <c r="GM1317" s="1" t="s">
        <v>13271</v>
      </c>
    </row>
    <row r="1318" spans="1:195">
      <c r="A1318" s="1">
        <v>30000</v>
      </c>
      <c r="B1318" s="1" t="s">
        <v>195</v>
      </c>
      <c r="C1318" s="1" t="str">
        <f>"08657519"</f>
        <v>08657519</v>
      </c>
      <c r="D1318" s="1" t="s">
        <v>196</v>
      </c>
      <c r="F1318" s="1" t="str">
        <f>"8042"</f>
        <v>8042</v>
      </c>
      <c r="G1318" s="2">
        <v>41817</v>
      </c>
      <c r="H1318" s="1">
        <v>79900</v>
      </c>
      <c r="I1318" s="1">
        <v>34900</v>
      </c>
      <c r="J1318" s="1">
        <v>30000</v>
      </c>
      <c r="K1318" s="2">
        <v>41817</v>
      </c>
      <c r="L1318" s="1">
        <v>159</v>
      </c>
      <c r="M1318" s="2">
        <v>41975</v>
      </c>
      <c r="N1318" s="1">
        <v>159</v>
      </c>
      <c r="O1318" s="2">
        <v>41975</v>
      </c>
      <c r="P1318" s="1">
        <v>85134</v>
      </c>
      <c r="Q1318" s="1" t="s">
        <v>302</v>
      </c>
      <c r="R1318" s="2">
        <v>41991</v>
      </c>
      <c r="S1318" s="1">
        <v>165223</v>
      </c>
      <c r="U1318" s="1">
        <v>6610</v>
      </c>
      <c r="V1318" s="1" t="s">
        <v>13272</v>
      </c>
      <c r="W1318" s="1" t="s">
        <v>425</v>
      </c>
      <c r="X1318" s="1">
        <v>203</v>
      </c>
      <c r="Y1318" s="1">
        <v>35</v>
      </c>
      <c r="Z1318" s="1" t="s">
        <v>249</v>
      </c>
      <c r="AA1318" s="1" t="s">
        <v>400</v>
      </c>
      <c r="AB1318" s="1">
        <v>60637</v>
      </c>
      <c r="AE1318" s="1" t="s">
        <v>13273</v>
      </c>
      <c r="AF1318" s="1">
        <v>1929</v>
      </c>
      <c r="AG1318" s="1" t="s">
        <v>213</v>
      </c>
      <c r="AH1318" s="1" t="s">
        <v>403</v>
      </c>
      <c r="AI1318" s="1" t="s">
        <v>310</v>
      </c>
      <c r="AJ1318" s="1" t="s">
        <v>562</v>
      </c>
      <c r="AL1318" s="1">
        <v>5</v>
      </c>
      <c r="AM1318" s="1">
        <v>2</v>
      </c>
      <c r="AN1318" s="1">
        <v>2</v>
      </c>
      <c r="AO1318" s="1">
        <v>0</v>
      </c>
      <c r="AP1318" s="1" t="s">
        <v>209</v>
      </c>
      <c r="AQ1318" s="1">
        <v>1</v>
      </c>
      <c r="AR1318" s="1" t="s">
        <v>210</v>
      </c>
      <c r="AS1318" s="1" t="s">
        <v>204</v>
      </c>
      <c r="AT1318" s="1" t="s">
        <v>210</v>
      </c>
      <c r="AW1318" s="1" t="s">
        <v>204</v>
      </c>
      <c r="AX1318" s="1" t="s">
        <v>13274</v>
      </c>
      <c r="AZ1318" s="1">
        <v>1528</v>
      </c>
      <c r="BA1318" s="1">
        <v>2012</v>
      </c>
      <c r="BE1318" s="1">
        <v>0</v>
      </c>
      <c r="BF1318" s="1">
        <v>2</v>
      </c>
      <c r="BG1318" s="1">
        <v>0</v>
      </c>
      <c r="BL1318" s="1">
        <v>155</v>
      </c>
      <c r="BM1318" s="1" t="s">
        <v>204</v>
      </c>
      <c r="BN1318" s="1" t="s">
        <v>213</v>
      </c>
      <c r="BO1318" s="1">
        <v>0</v>
      </c>
      <c r="BP1318" s="1" t="s">
        <v>204</v>
      </c>
      <c r="BR1318" s="1" t="str">
        <f>"20232230170000"</f>
        <v>20232230170000</v>
      </c>
      <c r="BT1318" s="1" t="s">
        <v>13275</v>
      </c>
      <c r="BX1318" s="1">
        <v>299</v>
      </c>
      <c r="BY1318" s="1">
        <v>299</v>
      </c>
      <c r="BZ1318" s="1">
        <v>299</v>
      </c>
      <c r="CB1318" s="1" t="str">
        <f>"0"</f>
        <v>0</v>
      </c>
      <c r="CC1318" s="1" t="str">
        <f>"1332"</f>
        <v>1332</v>
      </c>
      <c r="CD1318" s="1">
        <v>0</v>
      </c>
      <c r="CE1318" s="1">
        <v>6610</v>
      </c>
      <c r="CG1318" s="1" t="s">
        <v>1178</v>
      </c>
      <c r="CH1318" s="1" t="s">
        <v>219</v>
      </c>
      <c r="CI1318" s="1" t="s">
        <v>438</v>
      </c>
      <c r="CK1318" s="1" t="s">
        <v>1046</v>
      </c>
      <c r="CL1318" s="1" t="s">
        <v>219</v>
      </c>
      <c r="CO1318" s="1" t="s">
        <v>629</v>
      </c>
      <c r="CP1318" s="1" t="s">
        <v>219</v>
      </c>
      <c r="CS1318" s="1" t="s">
        <v>346</v>
      </c>
      <c r="CT1318" s="1" t="s">
        <v>219</v>
      </c>
      <c r="CX1318" s="1" t="s">
        <v>224</v>
      </c>
      <c r="DB1318" s="1" t="s">
        <v>224</v>
      </c>
      <c r="DE1318" s="1" t="s">
        <v>972</v>
      </c>
      <c r="DF1318" s="1" t="s">
        <v>219</v>
      </c>
      <c r="DJ1318" s="1" t="s">
        <v>224</v>
      </c>
      <c r="DS1318" s="1" t="s">
        <v>230</v>
      </c>
      <c r="DW1318" s="1" t="s">
        <v>230</v>
      </c>
      <c r="EA1318" s="1" t="s">
        <v>230</v>
      </c>
      <c r="EE1318" s="1" t="s">
        <v>230</v>
      </c>
      <c r="EI1318" s="1" t="s">
        <v>230</v>
      </c>
      <c r="EL1318" s="1" t="s">
        <v>2154</v>
      </c>
      <c r="EM1318" s="1" t="s">
        <v>730</v>
      </c>
      <c r="EN1318" s="1" t="s">
        <v>282</v>
      </c>
      <c r="EO1318" s="1" t="s">
        <v>234</v>
      </c>
      <c r="ER1318" s="1" t="s">
        <v>210</v>
      </c>
      <c r="EW1318" s="1" t="s">
        <v>937</v>
      </c>
      <c r="EZ1318" s="1" t="s">
        <v>287</v>
      </c>
      <c r="FD1318" s="1" t="s">
        <v>246</v>
      </c>
      <c r="FE1318" s="1" t="s">
        <v>247</v>
      </c>
      <c r="FF1318" s="1" t="s">
        <v>248</v>
      </c>
      <c r="FH1318" s="1" t="s">
        <v>249</v>
      </c>
      <c r="FL1318" s="1" t="s">
        <v>414</v>
      </c>
      <c r="FM1318" s="1" t="s">
        <v>252</v>
      </c>
      <c r="FN1318" s="1" t="s">
        <v>213</v>
      </c>
      <c r="FO1318" s="1" t="s">
        <v>213</v>
      </c>
      <c r="FQ1318" s="1" t="s">
        <v>673</v>
      </c>
      <c r="FR1318" s="1" t="s">
        <v>210</v>
      </c>
      <c r="FS1318" s="1" t="s">
        <v>13276</v>
      </c>
      <c r="FT1318" s="1" t="s">
        <v>8191</v>
      </c>
      <c r="FU1318" s="1" t="s">
        <v>204</v>
      </c>
      <c r="FW1318" s="1" t="s">
        <v>13170</v>
      </c>
      <c r="FX1318" s="1">
        <v>12511</v>
      </c>
      <c r="FY1318" s="1" t="s">
        <v>13171</v>
      </c>
      <c r="FZ1318" s="1" t="s">
        <v>13172</v>
      </c>
      <c r="GA1318" s="1">
        <v>121408</v>
      </c>
      <c r="GB1318" s="1" t="s">
        <v>13173</v>
      </c>
      <c r="GE1318" s="1" t="s">
        <v>210</v>
      </c>
      <c r="GH1318" s="1" t="s">
        <v>421</v>
      </c>
      <c r="GI1318" s="1" t="s">
        <v>213</v>
      </c>
      <c r="GJ1318" s="1" t="s">
        <v>260</v>
      </c>
      <c r="GK1318" s="1" t="s">
        <v>210</v>
      </c>
      <c r="GL1318" s="2">
        <v>41992</v>
      </c>
      <c r="GM1318" s="1" t="s">
        <v>13277</v>
      </c>
    </row>
    <row r="1319" spans="1:195">
      <c r="A1319" s="1">
        <v>215000</v>
      </c>
      <c r="B1319" s="1" t="s">
        <v>195</v>
      </c>
      <c r="C1319" s="1" t="str">
        <f>"08662141"</f>
        <v>08662141</v>
      </c>
      <c r="D1319" s="1" t="s">
        <v>196</v>
      </c>
      <c r="F1319" s="1" t="str">
        <f>"10"</f>
        <v>10</v>
      </c>
      <c r="G1319" s="2">
        <v>41822</v>
      </c>
      <c r="H1319" s="1">
        <v>250000</v>
      </c>
      <c r="I1319" s="1">
        <v>215000</v>
      </c>
      <c r="J1319" s="1">
        <v>215000</v>
      </c>
      <c r="K1319" s="2">
        <v>41822</v>
      </c>
      <c r="L1319" s="1">
        <v>86</v>
      </c>
      <c r="M1319" s="2">
        <v>41907</v>
      </c>
      <c r="N1319" s="1">
        <v>86</v>
      </c>
      <c r="O1319" s="2">
        <v>41907</v>
      </c>
      <c r="P1319" s="1">
        <v>6076</v>
      </c>
      <c r="Q1319" s="1" t="s">
        <v>197</v>
      </c>
      <c r="R1319" s="2">
        <v>41982</v>
      </c>
      <c r="S1319" s="1">
        <v>62250</v>
      </c>
      <c r="T1319" s="1">
        <v>3000</v>
      </c>
      <c r="U1319" s="1">
        <v>260</v>
      </c>
      <c r="V1319" s="1" t="s">
        <v>13278</v>
      </c>
      <c r="W1319" s="1" t="s">
        <v>449</v>
      </c>
      <c r="X1319" s="1" t="s">
        <v>483</v>
      </c>
      <c r="Y1319" s="1">
        <v>4</v>
      </c>
      <c r="Z1319" s="1" t="s">
        <v>249</v>
      </c>
      <c r="AA1319" s="1" t="s">
        <v>1985</v>
      </c>
      <c r="AB1319" s="1">
        <v>60010</v>
      </c>
      <c r="AD1319" s="1" t="s">
        <v>1986</v>
      </c>
      <c r="AE1319" s="1" t="s">
        <v>13279</v>
      </c>
      <c r="AF1319" s="1">
        <v>1977</v>
      </c>
      <c r="AG1319" s="1" t="s">
        <v>213</v>
      </c>
      <c r="AH1319" s="1" t="s">
        <v>1988</v>
      </c>
      <c r="AI1319" s="1" t="s">
        <v>509</v>
      </c>
      <c r="AJ1319" s="1" t="s">
        <v>1989</v>
      </c>
      <c r="AK1319" s="1" t="s">
        <v>6290</v>
      </c>
      <c r="AL1319" s="1">
        <v>7</v>
      </c>
      <c r="AM1319" s="1">
        <v>2</v>
      </c>
      <c r="AN1319" s="1">
        <v>2</v>
      </c>
      <c r="AO1319" s="1">
        <v>0</v>
      </c>
      <c r="AP1319" s="1" t="s">
        <v>209</v>
      </c>
      <c r="AQ1319" s="1">
        <v>1</v>
      </c>
      <c r="AR1319" s="1" t="s">
        <v>209</v>
      </c>
      <c r="AS1319" s="1" t="s">
        <v>204</v>
      </c>
      <c r="AT1319" s="1" t="s">
        <v>211</v>
      </c>
      <c r="AU1319" s="1">
        <v>1</v>
      </c>
      <c r="AW1319" s="1" t="s">
        <v>213</v>
      </c>
      <c r="AX1319" s="1">
        <v>0</v>
      </c>
      <c r="AZ1319" s="1">
        <v>4421.9399999999996</v>
      </c>
      <c r="BA1319" s="1">
        <v>2013</v>
      </c>
      <c r="BB1319" s="1" t="s">
        <v>405</v>
      </c>
      <c r="BE1319" s="1">
        <v>1998</v>
      </c>
      <c r="BF1319" s="1">
        <v>1</v>
      </c>
      <c r="BG1319" s="1">
        <v>30</v>
      </c>
      <c r="BL1319" s="1">
        <v>442</v>
      </c>
      <c r="BM1319" s="1" t="s">
        <v>204</v>
      </c>
      <c r="BN1319" s="1" t="s">
        <v>213</v>
      </c>
      <c r="BO1319" s="1">
        <v>25</v>
      </c>
      <c r="BP1319" s="1" t="s">
        <v>204</v>
      </c>
      <c r="BR1319" s="1" t="str">
        <f>"13114001190000"</f>
        <v>13114001190000</v>
      </c>
      <c r="BT1319" s="1" t="s">
        <v>13280</v>
      </c>
      <c r="BU1319" s="1" t="s">
        <v>1992</v>
      </c>
      <c r="BV1319" s="1" t="s">
        <v>1993</v>
      </c>
      <c r="BW1319" s="1" t="s">
        <v>1994</v>
      </c>
      <c r="BX1319" s="1">
        <v>220</v>
      </c>
      <c r="BY1319" s="1">
        <v>220</v>
      </c>
      <c r="BZ1319" s="1">
        <v>220</v>
      </c>
      <c r="CB1319" s="1" t="str">
        <f t="shared" ref="CB1319:CC1319" si="1012">""</f>
        <v/>
      </c>
      <c r="CC1319" s="1" t="str">
        <f t="shared" si="1012"/>
        <v/>
      </c>
      <c r="CG1319" s="1" t="s">
        <v>1737</v>
      </c>
      <c r="CH1319" s="1" t="s">
        <v>219</v>
      </c>
      <c r="CI1319" s="1" t="s">
        <v>220</v>
      </c>
      <c r="CJ1319" s="1" t="s">
        <v>463</v>
      </c>
      <c r="CK1319" s="1" t="s">
        <v>1533</v>
      </c>
      <c r="CL1319" s="1" t="s">
        <v>219</v>
      </c>
      <c r="CM1319" s="1" t="s">
        <v>220</v>
      </c>
      <c r="CN1319" s="1" t="s">
        <v>909</v>
      </c>
      <c r="CO1319" s="1" t="s">
        <v>1358</v>
      </c>
      <c r="CP1319" s="1" t="s">
        <v>219</v>
      </c>
      <c r="CQ1319" s="1" t="s">
        <v>220</v>
      </c>
      <c r="CR1319" s="1" t="s">
        <v>909</v>
      </c>
      <c r="CS1319" s="1" t="s">
        <v>461</v>
      </c>
      <c r="CT1319" s="1" t="s">
        <v>219</v>
      </c>
      <c r="CU1319" s="1" t="s">
        <v>220</v>
      </c>
      <c r="CV1319" s="1" t="s">
        <v>909</v>
      </c>
      <c r="CW1319" s="1" t="s">
        <v>379</v>
      </c>
      <c r="CX1319" s="1" t="s">
        <v>43</v>
      </c>
      <c r="CY1319" s="1" t="s">
        <v>220</v>
      </c>
      <c r="CZ1319" s="1" t="s">
        <v>210</v>
      </c>
      <c r="DB1319" s="1" t="s">
        <v>224</v>
      </c>
      <c r="DE1319" s="1" t="s">
        <v>223</v>
      </c>
      <c r="DF1319" s="1" t="s">
        <v>219</v>
      </c>
      <c r="DG1319" s="1" t="s">
        <v>438</v>
      </c>
      <c r="DH1319" s="1" t="s">
        <v>343</v>
      </c>
      <c r="DI1319" s="1" t="s">
        <v>1737</v>
      </c>
      <c r="DJ1319" s="1" t="s">
        <v>43</v>
      </c>
      <c r="DK1319" s="1" t="s">
        <v>220</v>
      </c>
      <c r="DS1319" s="1" t="s">
        <v>230</v>
      </c>
      <c r="DW1319" s="1" t="s">
        <v>230</v>
      </c>
      <c r="EA1319" s="1" t="s">
        <v>230</v>
      </c>
      <c r="EE1319" s="1" t="s">
        <v>230</v>
      </c>
      <c r="EI1319" s="1" t="s">
        <v>230</v>
      </c>
      <c r="EL1319" s="1" t="s">
        <v>231</v>
      </c>
      <c r="EM1319" s="1" t="s">
        <v>761</v>
      </c>
      <c r="EN1319" s="1" t="s">
        <v>282</v>
      </c>
      <c r="EO1319" s="1" t="s">
        <v>234</v>
      </c>
      <c r="EP1319" s="1" t="s">
        <v>13281</v>
      </c>
      <c r="EQ1319" s="1" t="s">
        <v>2188</v>
      </c>
      <c r="ER1319" s="1" t="s">
        <v>544</v>
      </c>
      <c r="ES1319" s="1" t="s">
        <v>322</v>
      </c>
      <c r="EU1319" s="1" t="s">
        <v>13282</v>
      </c>
      <c r="EV1319" s="1" t="s">
        <v>324</v>
      </c>
      <c r="EW1319" s="1" t="s">
        <v>6293</v>
      </c>
      <c r="EY1319" s="1" t="s">
        <v>2455</v>
      </c>
      <c r="EZ1319" s="1" t="s">
        <v>287</v>
      </c>
      <c r="FA1319" s="1" t="s">
        <v>4411</v>
      </c>
      <c r="FB1319" s="1" t="s">
        <v>1755</v>
      </c>
      <c r="FD1319" s="1" t="s">
        <v>290</v>
      </c>
      <c r="FE1319" s="1" t="s">
        <v>889</v>
      </c>
      <c r="FF1319" s="1" t="s">
        <v>248</v>
      </c>
      <c r="FG1319" s="1" t="s">
        <v>939</v>
      </c>
      <c r="FH1319" s="1" t="s">
        <v>249</v>
      </c>
      <c r="FI1319" s="1" t="s">
        <v>473</v>
      </c>
      <c r="FJ1319" s="1" t="s">
        <v>1620</v>
      </c>
      <c r="FL1319" s="1" t="s">
        <v>1073</v>
      </c>
      <c r="FM1319" s="1" t="s">
        <v>252</v>
      </c>
      <c r="FN1319" s="1" t="s">
        <v>213</v>
      </c>
      <c r="FO1319" s="1" t="s">
        <v>213</v>
      </c>
      <c r="FQ1319" s="1" t="s">
        <v>1441</v>
      </c>
      <c r="FR1319" s="1" t="s">
        <v>210</v>
      </c>
      <c r="FS1319" s="1" t="s">
        <v>13283</v>
      </c>
      <c r="FT1319" s="1" t="s">
        <v>13284</v>
      </c>
      <c r="FU1319" s="1" t="s">
        <v>204</v>
      </c>
      <c r="FW1319" s="1" t="s">
        <v>13285</v>
      </c>
      <c r="FX1319" s="1">
        <v>6484</v>
      </c>
      <c r="FY1319" s="1" t="s">
        <v>13286</v>
      </c>
      <c r="FZ1319" s="1" t="s">
        <v>13287</v>
      </c>
      <c r="GA1319" s="1">
        <v>63165</v>
      </c>
      <c r="GB1319" s="1" t="s">
        <v>13288</v>
      </c>
      <c r="GE1319" s="1" t="s">
        <v>480</v>
      </c>
      <c r="GI1319" s="1" t="s">
        <v>213</v>
      </c>
      <c r="GJ1319" s="1" t="s">
        <v>260</v>
      </c>
      <c r="GK1319" s="1" t="s">
        <v>210</v>
      </c>
      <c r="GL1319" s="2">
        <v>41982</v>
      </c>
      <c r="GM1319" s="1" t="s">
        <v>13289</v>
      </c>
    </row>
    <row r="1320" spans="1:195">
      <c r="A1320" s="1">
        <v>165000</v>
      </c>
      <c r="B1320" s="1" t="s">
        <v>195</v>
      </c>
      <c r="C1320" s="1" t="str">
        <f>"08717670"</f>
        <v>08717670</v>
      </c>
      <c r="D1320" s="1" t="s">
        <v>196</v>
      </c>
      <c r="F1320" s="1" t="str">
        <f>"507"</f>
        <v>507</v>
      </c>
      <c r="G1320" s="2">
        <v>41885</v>
      </c>
      <c r="H1320" s="1">
        <v>174900</v>
      </c>
      <c r="I1320" s="1">
        <v>174900</v>
      </c>
      <c r="J1320" s="1">
        <v>165000</v>
      </c>
      <c r="K1320" s="2">
        <v>41885</v>
      </c>
      <c r="L1320" s="1">
        <v>58</v>
      </c>
      <c r="M1320" s="2">
        <v>41942</v>
      </c>
      <c r="N1320" s="1">
        <v>58</v>
      </c>
      <c r="O1320" s="2">
        <v>41942</v>
      </c>
      <c r="P1320" s="1">
        <v>20119</v>
      </c>
      <c r="Q1320" s="1" t="s">
        <v>197</v>
      </c>
      <c r="R1320" s="2">
        <v>41990</v>
      </c>
      <c r="S1320" s="1">
        <v>220752</v>
      </c>
      <c r="U1320" s="1">
        <v>3064</v>
      </c>
      <c r="V1320" s="1" t="s">
        <v>2478</v>
      </c>
      <c r="W1320" s="1" t="s">
        <v>449</v>
      </c>
      <c r="Y1320" s="1">
        <v>4</v>
      </c>
      <c r="Z1320" s="1" t="s">
        <v>370</v>
      </c>
      <c r="AA1320" s="1" t="s">
        <v>1123</v>
      </c>
      <c r="AB1320" s="1">
        <v>60504</v>
      </c>
      <c r="AE1320" s="1" t="s">
        <v>13290</v>
      </c>
      <c r="AF1320" s="1">
        <v>1991</v>
      </c>
      <c r="AG1320" s="1" t="s">
        <v>204</v>
      </c>
      <c r="AH1320" s="1" t="s">
        <v>1126</v>
      </c>
      <c r="AI1320" s="1" t="s">
        <v>206</v>
      </c>
      <c r="AJ1320" s="1" t="s">
        <v>924</v>
      </c>
      <c r="AL1320" s="1">
        <v>7</v>
      </c>
      <c r="AM1320" s="1">
        <v>2</v>
      </c>
      <c r="AN1320" s="1">
        <v>2</v>
      </c>
      <c r="AO1320" s="1">
        <v>1</v>
      </c>
      <c r="AP1320" s="1" t="s">
        <v>209</v>
      </c>
      <c r="AQ1320" s="1">
        <v>1</v>
      </c>
      <c r="AR1320" s="1" t="s">
        <v>210</v>
      </c>
      <c r="AS1320" s="1" t="s">
        <v>204</v>
      </c>
      <c r="AT1320" s="1" t="s">
        <v>211</v>
      </c>
      <c r="AU1320" s="1">
        <v>2</v>
      </c>
      <c r="AW1320" s="1" t="s">
        <v>204</v>
      </c>
      <c r="AX1320" s="1" t="s">
        <v>212</v>
      </c>
      <c r="AZ1320" s="1">
        <v>3950</v>
      </c>
      <c r="BA1320" s="1">
        <v>2013</v>
      </c>
      <c r="BE1320" s="1">
        <v>1680</v>
      </c>
      <c r="BF1320" s="1">
        <v>1</v>
      </c>
      <c r="BG1320" s="1">
        <v>0</v>
      </c>
      <c r="BL1320" s="1">
        <v>195</v>
      </c>
      <c r="BM1320" s="1" t="s">
        <v>413</v>
      </c>
      <c r="BN1320" s="1" t="s">
        <v>213</v>
      </c>
      <c r="BO1320" s="1">
        <v>40</v>
      </c>
      <c r="BP1320" s="1" t="s">
        <v>204</v>
      </c>
      <c r="BR1320" s="1" t="str">
        <f>"0720307012"</f>
        <v>0720307012</v>
      </c>
      <c r="BT1320" s="1" t="s">
        <v>13291</v>
      </c>
      <c r="BX1320" s="1">
        <v>204</v>
      </c>
      <c r="BY1320" s="1">
        <v>204</v>
      </c>
      <c r="BZ1320" s="1">
        <v>204</v>
      </c>
      <c r="CB1320" s="1" t="str">
        <f t="shared" ref="CB1320:CC1320" si="1013">""</f>
        <v/>
      </c>
      <c r="CC1320" s="1" t="str">
        <f t="shared" si="1013"/>
        <v/>
      </c>
      <c r="CG1320" s="1" t="s">
        <v>1357</v>
      </c>
      <c r="CH1320" s="1" t="s">
        <v>219</v>
      </c>
      <c r="CI1320" s="1" t="s">
        <v>229</v>
      </c>
      <c r="CK1320" s="1" t="s">
        <v>2042</v>
      </c>
      <c r="CL1320" s="1" t="s">
        <v>277</v>
      </c>
      <c r="CM1320" s="1" t="s">
        <v>220</v>
      </c>
      <c r="CO1320" s="1" t="s">
        <v>348</v>
      </c>
      <c r="CP1320" s="1" t="s">
        <v>219</v>
      </c>
      <c r="CQ1320" s="1" t="s">
        <v>229</v>
      </c>
      <c r="CS1320" s="1" t="s">
        <v>602</v>
      </c>
      <c r="CT1320" s="1" t="s">
        <v>277</v>
      </c>
      <c r="CU1320" s="1" t="s">
        <v>220</v>
      </c>
      <c r="CX1320" s="1" t="s">
        <v>224</v>
      </c>
      <c r="DB1320" s="1" t="s">
        <v>224</v>
      </c>
      <c r="DE1320" s="1" t="s">
        <v>409</v>
      </c>
      <c r="DF1320" s="1" t="s">
        <v>219</v>
      </c>
      <c r="DG1320" s="1" t="s">
        <v>226</v>
      </c>
      <c r="DJ1320" s="1" t="s">
        <v>224</v>
      </c>
      <c r="DM1320" s="1" t="s">
        <v>381</v>
      </c>
      <c r="DN1320" s="1" t="s">
        <v>464</v>
      </c>
      <c r="DR1320" s="1" t="s">
        <v>837</v>
      </c>
      <c r="DS1320" s="1" t="s">
        <v>219</v>
      </c>
      <c r="DT1320" s="1" t="s">
        <v>226</v>
      </c>
      <c r="DV1320" s="1" t="s">
        <v>437</v>
      </c>
      <c r="DW1320" s="1" t="s">
        <v>277</v>
      </c>
      <c r="DX1320" s="1" t="s">
        <v>220</v>
      </c>
      <c r="EA1320" s="1" t="s">
        <v>230</v>
      </c>
      <c r="EE1320" s="1" t="s">
        <v>230</v>
      </c>
      <c r="EI1320" s="1" t="s">
        <v>230</v>
      </c>
      <c r="EL1320" s="1" t="s">
        <v>382</v>
      </c>
      <c r="EM1320" s="1" t="s">
        <v>319</v>
      </c>
      <c r="EN1320" s="1" t="s">
        <v>282</v>
      </c>
      <c r="EO1320" s="1" t="s">
        <v>234</v>
      </c>
      <c r="ER1320" s="1" t="s">
        <v>210</v>
      </c>
      <c r="EW1320" s="1" t="s">
        <v>1250</v>
      </c>
      <c r="EZ1320" s="1" t="s">
        <v>4284</v>
      </c>
      <c r="FD1320" s="1" t="s">
        <v>246</v>
      </c>
      <c r="FE1320" s="1" t="s">
        <v>1031</v>
      </c>
      <c r="FF1320" s="1" t="s">
        <v>248</v>
      </c>
      <c r="FH1320" s="1" t="s">
        <v>550</v>
      </c>
      <c r="FI1320" s="1" t="s">
        <v>357</v>
      </c>
      <c r="FL1320" s="1" t="s">
        <v>358</v>
      </c>
      <c r="FM1320" s="1" t="s">
        <v>252</v>
      </c>
      <c r="FN1320" s="1" t="s">
        <v>213</v>
      </c>
      <c r="FO1320" s="1" t="s">
        <v>213</v>
      </c>
      <c r="FQ1320" s="1" t="s">
        <v>849</v>
      </c>
      <c r="FR1320" s="1" t="s">
        <v>210</v>
      </c>
      <c r="FS1320" s="1" t="s">
        <v>13292</v>
      </c>
      <c r="FT1320" s="1" t="s">
        <v>295</v>
      </c>
      <c r="FU1320" s="1" t="s">
        <v>204</v>
      </c>
      <c r="FW1320" s="1" t="s">
        <v>1806</v>
      </c>
      <c r="FX1320" s="1">
        <v>25196</v>
      </c>
      <c r="FY1320" s="1" t="s">
        <v>1807</v>
      </c>
      <c r="FZ1320" s="1" t="s">
        <v>1808</v>
      </c>
      <c r="GA1320" s="1">
        <v>214545</v>
      </c>
      <c r="GB1320" s="1" t="s">
        <v>1807</v>
      </c>
      <c r="GC1320" s="1">
        <v>240114</v>
      </c>
      <c r="GE1320" s="1" t="s">
        <v>210</v>
      </c>
      <c r="GI1320" s="1" t="s">
        <v>204</v>
      </c>
      <c r="GJ1320" s="1" t="s">
        <v>260</v>
      </c>
      <c r="GK1320" s="1" t="s">
        <v>210</v>
      </c>
      <c r="GL1320" s="2">
        <v>41991</v>
      </c>
      <c r="GM1320" s="1" t="s">
        <v>13293</v>
      </c>
    </row>
    <row r="1321" spans="1:195">
      <c r="A1321" s="1">
        <v>55000</v>
      </c>
      <c r="B1321" s="1" t="s">
        <v>195</v>
      </c>
      <c r="C1321" s="1" t="str">
        <f>"08661848"</f>
        <v>08661848</v>
      </c>
      <c r="D1321" s="1" t="s">
        <v>196</v>
      </c>
      <c r="F1321" s="1" t="str">
        <f>"139"</f>
        <v>139</v>
      </c>
      <c r="G1321" s="2">
        <v>41822</v>
      </c>
      <c r="H1321" s="1">
        <v>55000</v>
      </c>
      <c r="I1321" s="1">
        <v>55000</v>
      </c>
      <c r="J1321" s="1">
        <v>55000</v>
      </c>
      <c r="K1321" s="2">
        <v>41822</v>
      </c>
      <c r="L1321" s="1">
        <v>97</v>
      </c>
      <c r="M1321" s="2">
        <v>41918</v>
      </c>
      <c r="N1321" s="1">
        <v>97</v>
      </c>
      <c r="O1321" s="2">
        <v>41918</v>
      </c>
      <c r="P1321" s="1">
        <v>24569</v>
      </c>
      <c r="Q1321" s="1" t="s">
        <v>423</v>
      </c>
      <c r="R1321" s="2">
        <v>42009</v>
      </c>
      <c r="S1321" s="1">
        <v>218142</v>
      </c>
      <c r="U1321" s="1">
        <v>438</v>
      </c>
      <c r="V1321" s="1" t="s">
        <v>13294</v>
      </c>
      <c r="W1321" s="1" t="s">
        <v>304</v>
      </c>
      <c r="X1321" s="1" t="s">
        <v>483</v>
      </c>
      <c r="Y1321" s="1">
        <v>16</v>
      </c>
      <c r="Z1321" s="1" t="s">
        <v>370</v>
      </c>
      <c r="AA1321" s="1" t="s">
        <v>1732</v>
      </c>
      <c r="AB1321" s="1">
        <v>60139</v>
      </c>
      <c r="AE1321" s="1" t="s">
        <v>13295</v>
      </c>
      <c r="AF1321" s="1">
        <v>1973</v>
      </c>
      <c r="AG1321" s="1" t="s">
        <v>213</v>
      </c>
      <c r="AH1321" s="1" t="s">
        <v>1735</v>
      </c>
      <c r="AI1321" s="1" t="s">
        <v>206</v>
      </c>
      <c r="AJ1321" s="1" t="s">
        <v>269</v>
      </c>
      <c r="AL1321" s="1">
        <v>5</v>
      </c>
      <c r="AM1321" s="1">
        <v>2</v>
      </c>
      <c r="AN1321" s="1">
        <v>1</v>
      </c>
      <c r="AO1321" s="1">
        <v>0</v>
      </c>
      <c r="AP1321" s="1" t="s">
        <v>210</v>
      </c>
      <c r="AR1321" s="1" t="s">
        <v>210</v>
      </c>
      <c r="AS1321" s="1" t="s">
        <v>204</v>
      </c>
      <c r="AT1321" s="1" t="s">
        <v>211</v>
      </c>
      <c r="AU1321" s="1">
        <v>1</v>
      </c>
      <c r="AW1321" s="1" t="s">
        <v>204</v>
      </c>
      <c r="AX1321" s="1">
        <v>0</v>
      </c>
      <c r="AZ1321" s="1">
        <v>2517</v>
      </c>
      <c r="BA1321" s="1">
        <v>2013</v>
      </c>
      <c r="BE1321" s="1">
        <v>900</v>
      </c>
      <c r="BF1321" s="1">
        <v>2</v>
      </c>
      <c r="BG1321" s="1">
        <v>30</v>
      </c>
      <c r="BL1321" s="1">
        <v>231</v>
      </c>
      <c r="BM1321" s="1" t="s">
        <v>213</v>
      </c>
      <c r="BN1321" s="1" t="s">
        <v>204</v>
      </c>
      <c r="BP1321" s="1" t="s">
        <v>204</v>
      </c>
      <c r="BR1321" s="1" t="str">
        <f>"0235314060"</f>
        <v>0235314060</v>
      </c>
      <c r="BT1321" s="1" t="s">
        <v>13296</v>
      </c>
      <c r="BX1321" s="1">
        <v>15</v>
      </c>
      <c r="BY1321" s="1">
        <v>15</v>
      </c>
      <c r="BZ1321" s="1">
        <v>87</v>
      </c>
      <c r="CB1321" s="1" t="str">
        <f t="shared" ref="CB1321:CC1321" si="1014">""</f>
        <v/>
      </c>
      <c r="CC1321" s="1" t="str">
        <f t="shared" si="1014"/>
        <v/>
      </c>
      <c r="CG1321" s="1" t="s">
        <v>1004</v>
      </c>
      <c r="CH1321" s="1" t="s">
        <v>219</v>
      </c>
      <c r="CK1321" s="1" t="s">
        <v>223</v>
      </c>
      <c r="CL1321" s="1" t="s">
        <v>219</v>
      </c>
      <c r="CO1321" s="1" t="s">
        <v>4148</v>
      </c>
      <c r="CP1321" s="1" t="s">
        <v>219</v>
      </c>
      <c r="CS1321" s="1" t="s">
        <v>318</v>
      </c>
      <c r="CT1321" s="1" t="s">
        <v>219</v>
      </c>
      <c r="CX1321" s="1" t="s">
        <v>224</v>
      </c>
      <c r="DB1321" s="1" t="s">
        <v>224</v>
      </c>
      <c r="DE1321" s="1" t="s">
        <v>1534</v>
      </c>
      <c r="DF1321" s="1" t="s">
        <v>219</v>
      </c>
      <c r="DJ1321" s="1" t="s">
        <v>224</v>
      </c>
      <c r="DS1321" s="1" t="s">
        <v>230</v>
      </c>
      <c r="DW1321" s="1" t="s">
        <v>230</v>
      </c>
      <c r="EA1321" s="1" t="s">
        <v>230</v>
      </c>
      <c r="EE1321" s="1" t="s">
        <v>230</v>
      </c>
      <c r="EI1321" s="1" t="s">
        <v>230</v>
      </c>
      <c r="EL1321" s="1" t="s">
        <v>605</v>
      </c>
      <c r="EM1321" s="1" t="s">
        <v>232</v>
      </c>
      <c r="EN1321" s="1" t="s">
        <v>282</v>
      </c>
      <c r="EO1321" s="1" t="s">
        <v>234</v>
      </c>
      <c r="ER1321" s="1" t="s">
        <v>210</v>
      </c>
      <c r="EW1321" s="1" t="s">
        <v>353</v>
      </c>
      <c r="EZ1321" s="1" t="s">
        <v>287</v>
      </c>
      <c r="FD1321" s="1" t="s">
        <v>1112</v>
      </c>
      <c r="FE1321" s="1" t="s">
        <v>355</v>
      </c>
      <c r="FF1321" s="1" t="s">
        <v>248</v>
      </c>
      <c r="FH1321" s="1" t="s">
        <v>550</v>
      </c>
      <c r="FL1321" s="1" t="s">
        <v>292</v>
      </c>
      <c r="FM1321" s="1" t="s">
        <v>252</v>
      </c>
      <c r="FN1321" s="1" t="s">
        <v>213</v>
      </c>
      <c r="FO1321" s="1" t="s">
        <v>213</v>
      </c>
      <c r="FQ1321" s="1" t="s">
        <v>7920</v>
      </c>
      <c r="FR1321" s="1" t="s">
        <v>360</v>
      </c>
      <c r="FS1321" s="1" t="s">
        <v>13297</v>
      </c>
      <c r="FT1321" s="1" t="s">
        <v>295</v>
      </c>
      <c r="FU1321" s="1" t="s">
        <v>204</v>
      </c>
      <c r="FW1321" s="1" t="s">
        <v>13298</v>
      </c>
      <c r="FX1321" s="1">
        <v>90165</v>
      </c>
      <c r="FY1321" s="1" t="s">
        <v>13299</v>
      </c>
      <c r="FZ1321" s="1" t="s">
        <v>13300</v>
      </c>
      <c r="GA1321" s="1">
        <v>901571</v>
      </c>
      <c r="GB1321" s="1" t="s">
        <v>13301</v>
      </c>
      <c r="GE1321" s="1" t="s">
        <v>4021</v>
      </c>
      <c r="GI1321" s="1" t="s">
        <v>213</v>
      </c>
      <c r="GJ1321" s="1" t="s">
        <v>260</v>
      </c>
      <c r="GK1321" s="1" t="s">
        <v>210</v>
      </c>
      <c r="GL1321" s="2">
        <v>42011</v>
      </c>
      <c r="GM1321" s="1" t="s">
        <v>397</v>
      </c>
    </row>
    <row r="1322" spans="1:195">
      <c r="A1322" s="1">
        <v>82000</v>
      </c>
      <c r="B1322" s="1" t="s">
        <v>195</v>
      </c>
      <c r="C1322" s="1" t="str">
        <f>"08657862"</f>
        <v>08657862</v>
      </c>
      <c r="D1322" s="1" t="s">
        <v>196</v>
      </c>
      <c r="F1322" s="1" t="str">
        <f>"19"</f>
        <v>19</v>
      </c>
      <c r="G1322" s="2">
        <v>41817</v>
      </c>
      <c r="H1322" s="1">
        <v>109900</v>
      </c>
      <c r="I1322" s="1">
        <v>89900</v>
      </c>
      <c r="J1322" s="1">
        <v>82000</v>
      </c>
      <c r="K1322" s="2">
        <v>41817</v>
      </c>
      <c r="L1322" s="1">
        <v>134</v>
      </c>
      <c r="M1322" s="2">
        <v>41950</v>
      </c>
      <c r="N1322" s="1">
        <v>134</v>
      </c>
      <c r="O1322" s="2">
        <v>41950</v>
      </c>
      <c r="P1322" s="1">
        <v>1837</v>
      </c>
      <c r="Q1322" s="1" t="s">
        <v>302</v>
      </c>
      <c r="R1322" s="2">
        <v>41978</v>
      </c>
      <c r="S1322" s="1">
        <v>238488</v>
      </c>
      <c r="U1322" s="1">
        <v>1280</v>
      </c>
      <c r="V1322" s="1" t="s">
        <v>10063</v>
      </c>
      <c r="W1322" s="1" t="s">
        <v>264</v>
      </c>
      <c r="X1322" s="1">
        <v>1280</v>
      </c>
      <c r="Y1322" s="1">
        <v>4</v>
      </c>
      <c r="Z1322" s="1" t="s">
        <v>370</v>
      </c>
      <c r="AA1322" s="1" t="s">
        <v>1013</v>
      </c>
      <c r="AB1322" s="1">
        <v>60020</v>
      </c>
      <c r="AD1322" s="1" t="s">
        <v>10307</v>
      </c>
      <c r="AE1322" s="1" t="s">
        <v>13302</v>
      </c>
      <c r="AF1322" s="1">
        <v>2007</v>
      </c>
      <c r="AG1322" s="1" t="s">
        <v>204</v>
      </c>
      <c r="AH1322" s="1" t="s">
        <v>1015</v>
      </c>
      <c r="AI1322" s="1" t="s">
        <v>509</v>
      </c>
      <c r="AJ1322" s="1" t="s">
        <v>1016</v>
      </c>
      <c r="AK1322" s="1" t="s">
        <v>10309</v>
      </c>
      <c r="AL1322" s="1">
        <v>5</v>
      </c>
      <c r="AM1322" s="1">
        <v>2</v>
      </c>
      <c r="AN1322" s="1">
        <v>2</v>
      </c>
      <c r="AO1322" s="1">
        <v>0</v>
      </c>
      <c r="AP1322" s="1" t="s">
        <v>209</v>
      </c>
      <c r="AQ1322" s="1">
        <v>0</v>
      </c>
      <c r="AR1322" s="1" t="s">
        <v>210</v>
      </c>
      <c r="AS1322" s="1" t="s">
        <v>204</v>
      </c>
      <c r="AT1322" s="1" t="s">
        <v>211</v>
      </c>
      <c r="AU1322" s="1">
        <v>1</v>
      </c>
      <c r="AW1322" s="1" t="s">
        <v>204</v>
      </c>
      <c r="AX1322" s="1" t="s">
        <v>579</v>
      </c>
      <c r="AZ1322" s="1">
        <v>4475.2</v>
      </c>
      <c r="BA1322" s="1">
        <v>2013</v>
      </c>
      <c r="BB1322" s="1" t="s">
        <v>210</v>
      </c>
      <c r="BE1322" s="1">
        <v>1256</v>
      </c>
      <c r="BF1322" s="1">
        <v>1</v>
      </c>
      <c r="BG1322" s="1">
        <v>0</v>
      </c>
      <c r="BL1322" s="1">
        <v>176</v>
      </c>
      <c r="BM1322" s="1" t="s">
        <v>213</v>
      </c>
      <c r="BN1322" s="1" t="s">
        <v>213</v>
      </c>
      <c r="BO1322" s="1">
        <v>0</v>
      </c>
      <c r="BP1322" s="1" t="s">
        <v>204</v>
      </c>
      <c r="BR1322" s="1" t="str">
        <f>"05274000020000"</f>
        <v>05274000020000</v>
      </c>
      <c r="BT1322" s="1" t="s">
        <v>13303</v>
      </c>
      <c r="BU1322" s="1" t="s">
        <v>6488</v>
      </c>
      <c r="BV1322" s="1" t="s">
        <v>6154</v>
      </c>
      <c r="BW1322" s="1" t="s">
        <v>2264</v>
      </c>
      <c r="BX1322" s="1">
        <v>38</v>
      </c>
      <c r="BY1322" s="1">
        <v>38</v>
      </c>
      <c r="BZ1322" s="1">
        <v>124</v>
      </c>
      <c r="CB1322" s="1" t="str">
        <f>"34"</f>
        <v>34</v>
      </c>
      <c r="CC1322" s="1" t="str">
        <f>"0"</f>
        <v>0</v>
      </c>
      <c r="CD1322" s="1">
        <v>27</v>
      </c>
      <c r="CE1322" s="1">
        <v>0</v>
      </c>
      <c r="CG1322" s="1" t="s">
        <v>1533</v>
      </c>
      <c r="CH1322" s="1" t="s">
        <v>219</v>
      </c>
      <c r="CI1322" s="1" t="s">
        <v>438</v>
      </c>
      <c r="CK1322" s="1" t="s">
        <v>757</v>
      </c>
      <c r="CL1322" s="1" t="s">
        <v>219</v>
      </c>
      <c r="CM1322" s="1" t="s">
        <v>220</v>
      </c>
      <c r="CO1322" s="1" t="s">
        <v>1358</v>
      </c>
      <c r="CP1322" s="1" t="s">
        <v>219</v>
      </c>
      <c r="CQ1322" s="1" t="s">
        <v>438</v>
      </c>
      <c r="CS1322" s="1" t="s">
        <v>378</v>
      </c>
      <c r="CT1322" s="1" t="s">
        <v>219</v>
      </c>
      <c r="CU1322" s="1" t="s">
        <v>220</v>
      </c>
      <c r="CX1322" s="1" t="s">
        <v>224</v>
      </c>
      <c r="DB1322" s="1" t="s">
        <v>224</v>
      </c>
      <c r="DE1322" s="1" t="s">
        <v>1533</v>
      </c>
      <c r="DF1322" s="1" t="s">
        <v>219</v>
      </c>
      <c r="DG1322" s="1" t="s">
        <v>342</v>
      </c>
      <c r="DJ1322" s="1" t="s">
        <v>224</v>
      </c>
      <c r="DS1322" s="1" t="s">
        <v>230</v>
      </c>
      <c r="DW1322" s="1" t="s">
        <v>230</v>
      </c>
      <c r="EA1322" s="1" t="s">
        <v>230</v>
      </c>
      <c r="EE1322" s="1" t="s">
        <v>230</v>
      </c>
      <c r="EI1322" s="1" t="s">
        <v>230</v>
      </c>
      <c r="EL1322" s="1" t="s">
        <v>491</v>
      </c>
      <c r="EM1322" s="1" t="s">
        <v>319</v>
      </c>
      <c r="EN1322" s="1" t="s">
        <v>282</v>
      </c>
      <c r="EO1322" s="1" t="s">
        <v>840</v>
      </c>
      <c r="EQ1322" s="1" t="s">
        <v>8369</v>
      </c>
      <c r="ER1322" s="1" t="s">
        <v>383</v>
      </c>
      <c r="ES1322" s="1" t="s">
        <v>608</v>
      </c>
      <c r="EV1322" s="1" t="s">
        <v>240</v>
      </c>
      <c r="EW1322" s="1" t="s">
        <v>353</v>
      </c>
      <c r="EY1322" s="1" t="s">
        <v>441</v>
      </c>
      <c r="EZ1322" s="1" t="s">
        <v>287</v>
      </c>
      <c r="FA1322" s="1" t="s">
        <v>1427</v>
      </c>
      <c r="FD1322" s="1" t="s">
        <v>246</v>
      </c>
      <c r="FE1322" s="1" t="s">
        <v>496</v>
      </c>
      <c r="FF1322" s="1" t="s">
        <v>248</v>
      </c>
      <c r="FH1322" s="1" t="s">
        <v>249</v>
      </c>
      <c r="FL1322" s="1" t="s">
        <v>358</v>
      </c>
      <c r="FM1322" s="1" t="s">
        <v>252</v>
      </c>
      <c r="FN1322" s="1" t="s">
        <v>213</v>
      </c>
      <c r="FO1322" s="1" t="s">
        <v>213</v>
      </c>
      <c r="FQ1322" s="1" t="s">
        <v>849</v>
      </c>
      <c r="FR1322" s="1" t="s">
        <v>210</v>
      </c>
      <c r="FS1322" s="1" t="s">
        <v>13304</v>
      </c>
      <c r="FT1322" s="1" t="s">
        <v>8191</v>
      </c>
      <c r="FU1322" s="1" t="s">
        <v>204</v>
      </c>
      <c r="FW1322" s="1" t="s">
        <v>13305</v>
      </c>
      <c r="FX1322" s="1">
        <v>2101</v>
      </c>
      <c r="FY1322" s="1" t="s">
        <v>13306</v>
      </c>
      <c r="FZ1322" s="1" t="s">
        <v>13307</v>
      </c>
      <c r="GA1322" s="1">
        <v>87099</v>
      </c>
      <c r="GB1322" s="1" t="s">
        <v>13308</v>
      </c>
      <c r="GE1322" s="1" t="s">
        <v>210</v>
      </c>
      <c r="GI1322" s="1" t="s">
        <v>213</v>
      </c>
      <c r="GJ1322" s="1" t="s">
        <v>260</v>
      </c>
      <c r="GK1322" s="1" t="s">
        <v>210</v>
      </c>
      <c r="GL1322" s="2">
        <v>41978</v>
      </c>
      <c r="GM1322" s="1" t="s">
        <v>13309</v>
      </c>
    </row>
    <row r="1323" spans="1:195">
      <c r="A1323" s="1">
        <v>26000</v>
      </c>
      <c r="B1323" s="1" t="s">
        <v>195</v>
      </c>
      <c r="C1323" s="1" t="str">
        <f>"08656979"</f>
        <v>08656979</v>
      </c>
      <c r="D1323" s="1" t="s">
        <v>196</v>
      </c>
      <c r="F1323" s="1" t="str">
        <f>"8040"</f>
        <v>8040</v>
      </c>
      <c r="G1323" s="2">
        <v>41816</v>
      </c>
      <c r="H1323" s="1">
        <v>34999</v>
      </c>
      <c r="I1323" s="1">
        <v>29900</v>
      </c>
      <c r="J1323" s="1">
        <v>26000</v>
      </c>
      <c r="K1323" s="2">
        <v>41816</v>
      </c>
      <c r="L1323" s="1">
        <v>278</v>
      </c>
      <c r="M1323" s="2">
        <v>42093</v>
      </c>
      <c r="N1323" s="1">
        <v>278</v>
      </c>
      <c r="O1323" s="2">
        <v>42093</v>
      </c>
      <c r="P1323" s="1">
        <v>84674</v>
      </c>
      <c r="Q1323" s="1" t="s">
        <v>302</v>
      </c>
      <c r="R1323" s="2">
        <v>42146</v>
      </c>
      <c r="S1323" s="1">
        <v>171499</v>
      </c>
      <c r="U1323" s="1">
        <v>5944</v>
      </c>
      <c r="V1323" s="1" t="s">
        <v>4078</v>
      </c>
      <c r="W1323" s="1" t="s">
        <v>264</v>
      </c>
      <c r="X1323" s="1" t="s">
        <v>726</v>
      </c>
      <c r="Y1323" s="1">
        <v>38</v>
      </c>
      <c r="Z1323" s="1" t="s">
        <v>249</v>
      </c>
      <c r="AA1323" s="1" t="s">
        <v>400</v>
      </c>
      <c r="AB1323" s="1">
        <v>60637</v>
      </c>
      <c r="AE1323" s="1" t="s">
        <v>13310</v>
      </c>
      <c r="AF1323" s="1">
        <v>1913</v>
      </c>
      <c r="AG1323" s="1" t="s">
        <v>213</v>
      </c>
      <c r="AH1323" s="1" t="s">
        <v>403</v>
      </c>
      <c r="AI1323" s="1" t="s">
        <v>310</v>
      </c>
      <c r="AJ1323" s="1" t="s">
        <v>404</v>
      </c>
      <c r="AL1323" s="1">
        <v>5</v>
      </c>
      <c r="AM1323" s="1">
        <v>2</v>
      </c>
      <c r="AN1323" s="1">
        <v>2</v>
      </c>
      <c r="AO1323" s="1">
        <v>0</v>
      </c>
      <c r="AP1323" s="1" t="s">
        <v>210</v>
      </c>
      <c r="AR1323" s="1" t="s">
        <v>210</v>
      </c>
      <c r="AS1323" s="1" t="s">
        <v>204</v>
      </c>
      <c r="AT1323" s="1" t="s">
        <v>210</v>
      </c>
      <c r="AW1323" s="1" t="s">
        <v>204</v>
      </c>
      <c r="AX1323" s="1" t="s">
        <v>4740</v>
      </c>
      <c r="AZ1323" s="1">
        <v>1784.04</v>
      </c>
      <c r="BA1323" s="1">
        <v>2012</v>
      </c>
      <c r="BB1323" s="1" t="s">
        <v>210</v>
      </c>
      <c r="BE1323" s="1">
        <v>0</v>
      </c>
      <c r="BF1323" s="1">
        <v>2</v>
      </c>
      <c r="BG1323" s="1">
        <v>0</v>
      </c>
      <c r="BL1323" s="1">
        <v>269</v>
      </c>
      <c r="BM1323" s="1" t="s">
        <v>413</v>
      </c>
      <c r="BN1323" s="1" t="s">
        <v>213</v>
      </c>
      <c r="BO1323" s="1" t="s">
        <v>432</v>
      </c>
      <c r="BP1323" s="1" t="s">
        <v>204</v>
      </c>
      <c r="BR1323" s="1" t="str">
        <f>"20153050351016"</f>
        <v>20153050351016</v>
      </c>
      <c r="BT1323" s="1" t="s">
        <v>13311</v>
      </c>
      <c r="BX1323" s="1">
        <v>299</v>
      </c>
      <c r="BY1323" s="1">
        <v>299</v>
      </c>
      <c r="BZ1323" s="1">
        <v>299</v>
      </c>
      <c r="CB1323" s="1" t="str">
        <f t="shared" ref="CB1323:CB1325" si="1015">"0"</f>
        <v>0</v>
      </c>
      <c r="CC1323" s="1" t="str">
        <f>"400"</f>
        <v>400</v>
      </c>
      <c r="CD1323" s="1">
        <v>0</v>
      </c>
      <c r="CE1323" s="1">
        <v>5940</v>
      </c>
      <c r="CG1323" s="1" t="s">
        <v>314</v>
      </c>
      <c r="CH1323" s="1" t="s">
        <v>219</v>
      </c>
      <c r="CK1323" s="1" t="s">
        <v>1358</v>
      </c>
      <c r="CL1323" s="1" t="s">
        <v>219</v>
      </c>
      <c r="CO1323" s="1" t="s">
        <v>629</v>
      </c>
      <c r="CP1323" s="1" t="s">
        <v>219</v>
      </c>
      <c r="CS1323" s="1" t="s">
        <v>951</v>
      </c>
      <c r="CT1323" s="1" t="s">
        <v>219</v>
      </c>
      <c r="CX1323" s="1" t="s">
        <v>224</v>
      </c>
      <c r="DB1323" s="1" t="s">
        <v>224</v>
      </c>
      <c r="DE1323" s="1" t="s">
        <v>1598</v>
      </c>
      <c r="DF1323" s="1" t="s">
        <v>219</v>
      </c>
      <c r="DJ1323" s="1" t="s">
        <v>224</v>
      </c>
      <c r="DS1323" s="1" t="s">
        <v>230</v>
      </c>
      <c r="DW1323" s="1" t="s">
        <v>230</v>
      </c>
      <c r="EA1323" s="1" t="s">
        <v>230</v>
      </c>
      <c r="EE1323" s="1" t="s">
        <v>230</v>
      </c>
      <c r="EI1323" s="1" t="s">
        <v>230</v>
      </c>
      <c r="EL1323" s="1" t="s">
        <v>787</v>
      </c>
      <c r="EM1323" s="1" t="s">
        <v>232</v>
      </c>
      <c r="EN1323" s="1" t="s">
        <v>282</v>
      </c>
      <c r="EO1323" s="1" t="s">
        <v>234</v>
      </c>
      <c r="ER1323" s="1" t="s">
        <v>210</v>
      </c>
      <c r="EW1323" s="1" t="s">
        <v>13312</v>
      </c>
      <c r="EZ1323" s="1" t="s">
        <v>287</v>
      </c>
      <c r="FD1323" s="1" t="s">
        <v>246</v>
      </c>
      <c r="FE1323" s="1" t="s">
        <v>247</v>
      </c>
      <c r="FF1323" s="1" t="s">
        <v>248</v>
      </c>
      <c r="FH1323" s="1" t="s">
        <v>249</v>
      </c>
      <c r="FL1323" s="1" t="s">
        <v>414</v>
      </c>
      <c r="FM1323" s="1" t="s">
        <v>252</v>
      </c>
      <c r="FN1323" s="1" t="s">
        <v>213</v>
      </c>
      <c r="FO1323" s="1" t="s">
        <v>213</v>
      </c>
      <c r="FQ1323" s="1" t="s">
        <v>13313</v>
      </c>
      <c r="FR1323" s="1" t="s">
        <v>210</v>
      </c>
      <c r="FS1323" s="1" t="s">
        <v>552</v>
      </c>
      <c r="FT1323" s="1" t="s">
        <v>1828</v>
      </c>
      <c r="FU1323" s="1" t="s">
        <v>204</v>
      </c>
      <c r="FW1323" s="1" t="s">
        <v>9046</v>
      </c>
      <c r="FX1323" s="1">
        <v>84674</v>
      </c>
      <c r="FY1323" s="1" t="s">
        <v>9047</v>
      </c>
      <c r="FZ1323" s="1" t="s">
        <v>9048</v>
      </c>
      <c r="GA1323" s="1">
        <v>109817</v>
      </c>
      <c r="GB1323" s="1" t="s">
        <v>9049</v>
      </c>
      <c r="GC1323" s="1">
        <v>178784</v>
      </c>
      <c r="GE1323" s="1" t="s">
        <v>210</v>
      </c>
      <c r="GH1323" s="1" t="s">
        <v>421</v>
      </c>
      <c r="GI1323" s="1" t="s">
        <v>213</v>
      </c>
      <c r="GJ1323" s="1" t="s">
        <v>260</v>
      </c>
      <c r="GK1323" s="1" t="s">
        <v>210</v>
      </c>
      <c r="GL1323" s="2">
        <v>42146</v>
      </c>
      <c r="GM1323" s="1" t="s">
        <v>13314</v>
      </c>
    </row>
    <row r="1324" spans="1:195">
      <c r="A1324" s="1">
        <v>253990</v>
      </c>
      <c r="B1324" s="1" t="s">
        <v>195</v>
      </c>
      <c r="C1324" s="1" t="str">
        <f>"08658955"</f>
        <v>08658955</v>
      </c>
      <c r="D1324" s="1" t="s">
        <v>196</v>
      </c>
      <c r="F1324" s="1" t="str">
        <f>"190"</f>
        <v>190</v>
      </c>
      <c r="G1324" s="2">
        <v>41819</v>
      </c>
      <c r="H1324" s="1">
        <v>266320</v>
      </c>
      <c r="I1324" s="1">
        <v>253990</v>
      </c>
      <c r="J1324" s="1">
        <v>253990</v>
      </c>
      <c r="K1324" s="2">
        <v>41819</v>
      </c>
      <c r="L1324" s="1">
        <v>85</v>
      </c>
      <c r="M1324" s="2">
        <v>41903</v>
      </c>
      <c r="N1324" s="1">
        <v>85</v>
      </c>
      <c r="O1324" s="2">
        <v>41903</v>
      </c>
      <c r="P1324" s="1" t="s">
        <v>1039</v>
      </c>
      <c r="Q1324" s="1" t="s">
        <v>197</v>
      </c>
      <c r="R1324" s="2">
        <v>41969</v>
      </c>
      <c r="S1324" s="1">
        <v>99999</v>
      </c>
      <c r="U1324" s="1" t="s">
        <v>13315</v>
      </c>
      <c r="V1324" s="1" t="s">
        <v>1595</v>
      </c>
      <c r="W1324" s="1" t="s">
        <v>264</v>
      </c>
      <c r="Y1324" s="1">
        <v>6</v>
      </c>
      <c r="Z1324" s="1" t="s">
        <v>370</v>
      </c>
      <c r="AA1324" s="1" t="s">
        <v>1915</v>
      </c>
      <c r="AB1324" s="1">
        <v>60190</v>
      </c>
      <c r="AD1324" s="1" t="s">
        <v>9868</v>
      </c>
      <c r="AE1324" s="1" t="s">
        <v>13316</v>
      </c>
      <c r="AF1324" s="1">
        <v>2014</v>
      </c>
      <c r="AG1324" s="1" t="s">
        <v>204</v>
      </c>
      <c r="AH1324" s="1" t="s">
        <v>987</v>
      </c>
      <c r="AI1324" s="1" t="s">
        <v>206</v>
      </c>
      <c r="AJ1324" s="1" t="s">
        <v>987</v>
      </c>
      <c r="AK1324" s="1" t="s">
        <v>3846</v>
      </c>
      <c r="AL1324" s="1">
        <v>6</v>
      </c>
      <c r="AM1324" s="1">
        <v>2</v>
      </c>
      <c r="AN1324" s="1">
        <v>2</v>
      </c>
      <c r="AO1324" s="1">
        <v>1</v>
      </c>
      <c r="AP1324" s="1" t="s">
        <v>209</v>
      </c>
      <c r="AR1324" s="1" t="s">
        <v>210</v>
      </c>
      <c r="AS1324" s="1" t="s">
        <v>204</v>
      </c>
      <c r="AT1324" s="1" t="s">
        <v>211</v>
      </c>
      <c r="AU1324" s="1">
        <v>2</v>
      </c>
      <c r="AW1324" s="1" t="s">
        <v>204</v>
      </c>
      <c r="AX1324" s="1" t="s">
        <v>212</v>
      </c>
      <c r="AZ1324" s="1" t="s">
        <v>751</v>
      </c>
      <c r="BA1324" s="1">
        <v>2013</v>
      </c>
      <c r="BE1324" s="1">
        <v>1910</v>
      </c>
      <c r="BF1324" s="1">
        <v>1</v>
      </c>
      <c r="BG1324" s="1">
        <v>0</v>
      </c>
      <c r="BL1324" s="1">
        <v>165</v>
      </c>
      <c r="BM1324" s="1" t="s">
        <v>204</v>
      </c>
      <c r="BN1324" s="1" t="s">
        <v>213</v>
      </c>
      <c r="BO1324" s="1">
        <v>0</v>
      </c>
      <c r="BP1324" s="1" t="s">
        <v>213</v>
      </c>
      <c r="BQ1324" s="2">
        <v>41971</v>
      </c>
      <c r="BR1324" s="1" t="str">
        <f>"0412300055"</f>
        <v>0412300055</v>
      </c>
      <c r="BT1324" s="1" t="s">
        <v>13317</v>
      </c>
      <c r="BU1324" s="1" t="s">
        <v>3162</v>
      </c>
      <c r="BV1324" s="1" t="s">
        <v>3163</v>
      </c>
      <c r="BW1324" s="1" t="s">
        <v>1675</v>
      </c>
      <c r="BX1324" s="1">
        <v>34</v>
      </c>
      <c r="BY1324" s="1">
        <v>34</v>
      </c>
      <c r="BZ1324" s="1">
        <v>94</v>
      </c>
      <c r="CB1324" s="1" t="str">
        <f t="shared" si="1015"/>
        <v>0</v>
      </c>
      <c r="CC1324" s="1" t="str">
        <f t="shared" ref="CC1324:CC1325" si="1016">"0"</f>
        <v>0</v>
      </c>
      <c r="CD1324" s="1">
        <v>27</v>
      </c>
      <c r="CE1324" s="1">
        <v>0</v>
      </c>
      <c r="CH1324" s="1" t="s">
        <v>224</v>
      </c>
      <c r="CK1324" s="1" t="s">
        <v>2935</v>
      </c>
      <c r="CL1324" s="1" t="s">
        <v>277</v>
      </c>
      <c r="CM1324" s="1" t="s">
        <v>220</v>
      </c>
      <c r="CP1324" s="1" t="s">
        <v>224</v>
      </c>
      <c r="CS1324" s="1" t="s">
        <v>932</v>
      </c>
      <c r="CT1324" s="1" t="s">
        <v>277</v>
      </c>
      <c r="CU1324" s="1" t="s">
        <v>220</v>
      </c>
      <c r="CX1324" s="1" t="s">
        <v>224</v>
      </c>
      <c r="DB1324" s="1" t="s">
        <v>224</v>
      </c>
      <c r="DE1324" s="1" t="s">
        <v>3716</v>
      </c>
      <c r="DF1324" s="1" t="s">
        <v>219</v>
      </c>
      <c r="DG1324" s="1" t="s">
        <v>438</v>
      </c>
      <c r="DI1324" s="1" t="s">
        <v>2122</v>
      </c>
      <c r="DJ1324" s="1" t="s">
        <v>822</v>
      </c>
      <c r="DK1324" s="1" t="s">
        <v>438</v>
      </c>
      <c r="DN1324" s="1" t="s">
        <v>1548</v>
      </c>
      <c r="DO1324" s="1" t="s">
        <v>464</v>
      </c>
      <c r="DS1324" s="1" t="s">
        <v>230</v>
      </c>
      <c r="DV1324" s="1" t="s">
        <v>1107</v>
      </c>
      <c r="DW1324" s="1" t="s">
        <v>219</v>
      </c>
      <c r="DX1324" s="1" t="s">
        <v>438</v>
      </c>
      <c r="DZ1324" s="1" t="s">
        <v>2466</v>
      </c>
      <c r="EA1324" s="1" t="s">
        <v>277</v>
      </c>
      <c r="EB1324" s="1" t="s">
        <v>220</v>
      </c>
      <c r="EE1324" s="1" t="s">
        <v>230</v>
      </c>
      <c r="EI1324" s="1" t="s">
        <v>230</v>
      </c>
      <c r="EL1324" s="1" t="s">
        <v>760</v>
      </c>
      <c r="EM1324" s="1" t="s">
        <v>319</v>
      </c>
      <c r="EN1324" s="1" t="s">
        <v>282</v>
      </c>
      <c r="EO1324" s="1" t="s">
        <v>234</v>
      </c>
      <c r="EQ1324" s="1" t="s">
        <v>3849</v>
      </c>
      <c r="ER1324" s="1" t="s">
        <v>210</v>
      </c>
      <c r="ES1324" s="1" t="s">
        <v>322</v>
      </c>
      <c r="EW1324" s="1" t="s">
        <v>867</v>
      </c>
      <c r="EY1324" s="1" t="s">
        <v>790</v>
      </c>
      <c r="EZ1324" s="1" t="s">
        <v>3544</v>
      </c>
      <c r="FA1324" s="1" t="s">
        <v>1270</v>
      </c>
      <c r="FB1324" s="1" t="s">
        <v>289</v>
      </c>
      <c r="FD1324" s="1" t="s">
        <v>246</v>
      </c>
      <c r="FE1324" s="1" t="s">
        <v>386</v>
      </c>
      <c r="FF1324" s="1" t="s">
        <v>248</v>
      </c>
      <c r="FH1324" s="1" t="s">
        <v>1428</v>
      </c>
      <c r="FJ1324" s="1" t="s">
        <v>518</v>
      </c>
      <c r="FL1324" s="1" t="s">
        <v>358</v>
      </c>
      <c r="FM1324" s="1" t="s">
        <v>252</v>
      </c>
      <c r="FN1324" s="1" t="s">
        <v>213</v>
      </c>
      <c r="FO1324" s="1" t="s">
        <v>213</v>
      </c>
      <c r="FQ1324" s="1" t="s">
        <v>13318</v>
      </c>
      <c r="FR1324" s="1" t="s">
        <v>13319</v>
      </c>
      <c r="FS1324" s="1" t="s">
        <v>13320</v>
      </c>
      <c r="FT1324" s="1" t="s">
        <v>3855</v>
      </c>
      <c r="FU1324" s="1" t="s">
        <v>204</v>
      </c>
      <c r="FV1324" s="1" t="s">
        <v>6411</v>
      </c>
      <c r="FW1324" s="1" t="s">
        <v>3857</v>
      </c>
      <c r="FX1324" s="1">
        <v>23223</v>
      </c>
      <c r="FY1324" s="1" t="s">
        <v>3858</v>
      </c>
      <c r="FZ1324" s="1" t="s">
        <v>3859</v>
      </c>
      <c r="GA1324" s="1">
        <v>236300</v>
      </c>
      <c r="GC1324" s="1">
        <v>210778</v>
      </c>
      <c r="GE1324" s="1" t="s">
        <v>480</v>
      </c>
      <c r="GI1324" s="1" t="s">
        <v>204</v>
      </c>
      <c r="GJ1324" s="1" t="s">
        <v>300</v>
      </c>
      <c r="GK1324" s="1" t="s">
        <v>210</v>
      </c>
      <c r="GL1324" s="2">
        <v>41969</v>
      </c>
      <c r="GM1324" s="1" t="s">
        <v>13321</v>
      </c>
    </row>
    <row r="1325" spans="1:195">
      <c r="A1325" s="1">
        <v>110000</v>
      </c>
      <c r="B1325" s="1" t="s">
        <v>195</v>
      </c>
      <c r="C1325" s="1" t="str">
        <f>"08662114"</f>
        <v>08662114</v>
      </c>
      <c r="D1325" s="1" t="s">
        <v>196</v>
      </c>
      <c r="F1325" s="1" t="str">
        <f>"185"</f>
        <v>185</v>
      </c>
      <c r="G1325" s="2">
        <v>41822</v>
      </c>
      <c r="H1325" s="1">
        <v>134900</v>
      </c>
      <c r="I1325" s="1">
        <v>110000</v>
      </c>
      <c r="J1325" s="1">
        <v>110000</v>
      </c>
      <c r="K1325" s="2">
        <v>41822</v>
      </c>
      <c r="L1325" s="1">
        <v>135</v>
      </c>
      <c r="M1325" s="2">
        <v>41922</v>
      </c>
      <c r="N1325" s="1">
        <v>101</v>
      </c>
      <c r="O1325" s="2">
        <v>41922</v>
      </c>
      <c r="P1325" s="1">
        <v>23265</v>
      </c>
      <c r="Q1325" s="1" t="s">
        <v>423</v>
      </c>
      <c r="R1325" s="2">
        <v>42027</v>
      </c>
      <c r="S1325" s="1">
        <v>220990</v>
      </c>
      <c r="U1325" s="1">
        <v>1641</v>
      </c>
      <c r="V1325" s="1" t="s">
        <v>13322</v>
      </c>
      <c r="W1325" s="1" t="s">
        <v>504</v>
      </c>
      <c r="Y1325" s="1">
        <v>4</v>
      </c>
      <c r="Z1325" s="1" t="s">
        <v>370</v>
      </c>
      <c r="AA1325" s="1" t="s">
        <v>10833</v>
      </c>
      <c r="AB1325" s="1">
        <v>60185</v>
      </c>
      <c r="AD1325" s="1" t="s">
        <v>13322</v>
      </c>
      <c r="AE1325" s="1" t="s">
        <v>13323</v>
      </c>
      <c r="AF1325" s="1">
        <v>1996</v>
      </c>
      <c r="AG1325" s="1" t="s">
        <v>204</v>
      </c>
      <c r="AH1325" s="1" t="s">
        <v>10835</v>
      </c>
      <c r="AI1325" s="1" t="s">
        <v>206</v>
      </c>
      <c r="AJ1325" s="1" t="s">
        <v>987</v>
      </c>
      <c r="AL1325" s="1">
        <v>7</v>
      </c>
      <c r="AM1325" s="1">
        <v>2</v>
      </c>
      <c r="AN1325" s="1">
        <v>2</v>
      </c>
      <c r="AO1325" s="1">
        <v>0</v>
      </c>
      <c r="AP1325" s="1" t="s">
        <v>210</v>
      </c>
      <c r="AQ1325" s="1">
        <v>1</v>
      </c>
      <c r="AR1325" s="1" t="s">
        <v>1631</v>
      </c>
      <c r="AS1325" s="1" t="s">
        <v>213</v>
      </c>
      <c r="AT1325" s="1" t="s">
        <v>211</v>
      </c>
      <c r="AU1325" s="1">
        <v>2</v>
      </c>
      <c r="AW1325" s="1" t="s">
        <v>204</v>
      </c>
      <c r="AX1325" s="1" t="s">
        <v>13324</v>
      </c>
      <c r="AZ1325" s="1">
        <v>4270</v>
      </c>
      <c r="BA1325" s="1">
        <v>2013</v>
      </c>
      <c r="BB1325" s="1" t="s">
        <v>405</v>
      </c>
      <c r="BE1325" s="1">
        <v>1570</v>
      </c>
      <c r="BF1325" s="1">
        <v>1</v>
      </c>
      <c r="BG1325" s="1">
        <v>0</v>
      </c>
      <c r="BL1325" s="1">
        <v>208</v>
      </c>
      <c r="BM1325" s="1" t="s">
        <v>204</v>
      </c>
      <c r="BN1325" s="1" t="s">
        <v>213</v>
      </c>
      <c r="BO1325" s="1">
        <v>999</v>
      </c>
      <c r="BP1325" s="1" t="s">
        <v>204</v>
      </c>
      <c r="BR1325" s="1" t="str">
        <f>"0415409001"</f>
        <v>0415409001</v>
      </c>
      <c r="BT1325" s="1" t="s">
        <v>13325</v>
      </c>
      <c r="BU1325" s="1" t="s">
        <v>1673</v>
      </c>
      <c r="BW1325" s="1" t="s">
        <v>1675</v>
      </c>
      <c r="BX1325" s="1">
        <v>33</v>
      </c>
      <c r="BY1325" s="1">
        <v>33</v>
      </c>
      <c r="BZ1325" s="1">
        <v>94</v>
      </c>
      <c r="CB1325" s="1" t="str">
        <f t="shared" si="1015"/>
        <v>0</v>
      </c>
      <c r="CC1325" s="1" t="str">
        <f t="shared" si="1016"/>
        <v>0</v>
      </c>
      <c r="CD1325" s="1">
        <v>29</v>
      </c>
      <c r="CE1325" s="1">
        <v>0</v>
      </c>
      <c r="CG1325" s="1" t="s">
        <v>315</v>
      </c>
      <c r="CH1325" s="1" t="s">
        <v>219</v>
      </c>
      <c r="CI1325" s="1" t="s">
        <v>220</v>
      </c>
      <c r="CJ1325" s="1" t="s">
        <v>252</v>
      </c>
      <c r="CK1325" s="1" t="s">
        <v>1788</v>
      </c>
      <c r="CL1325" s="1" t="s">
        <v>219</v>
      </c>
      <c r="CM1325" s="1" t="s">
        <v>220</v>
      </c>
      <c r="CN1325" s="1" t="s">
        <v>252</v>
      </c>
      <c r="CO1325" s="1" t="s">
        <v>409</v>
      </c>
      <c r="CP1325" s="1" t="s">
        <v>219</v>
      </c>
      <c r="CQ1325" s="1" t="s">
        <v>220</v>
      </c>
      <c r="CR1325" s="1" t="s">
        <v>252</v>
      </c>
      <c r="CS1325" s="1" t="s">
        <v>318</v>
      </c>
      <c r="CT1325" s="1" t="s">
        <v>219</v>
      </c>
      <c r="CU1325" s="1" t="s">
        <v>220</v>
      </c>
      <c r="CV1325" s="1" t="s">
        <v>252</v>
      </c>
      <c r="CW1325" s="1" t="s">
        <v>490</v>
      </c>
      <c r="CX1325" s="1" t="s">
        <v>43</v>
      </c>
      <c r="CY1325" s="1" t="s">
        <v>220</v>
      </c>
      <c r="CZ1325" s="1" t="s">
        <v>252</v>
      </c>
      <c r="DA1325" s="1" t="s">
        <v>1470</v>
      </c>
      <c r="DB1325" s="1" t="s">
        <v>43</v>
      </c>
      <c r="DC1325" s="1" t="s">
        <v>220</v>
      </c>
      <c r="DD1325" s="1" t="s">
        <v>252</v>
      </c>
      <c r="DE1325" s="1" t="s">
        <v>379</v>
      </c>
      <c r="DF1325" s="1" t="s">
        <v>219</v>
      </c>
      <c r="DG1325" s="1" t="s">
        <v>342</v>
      </c>
      <c r="DJ1325" s="1" t="s">
        <v>224</v>
      </c>
      <c r="DS1325" s="1" t="s">
        <v>230</v>
      </c>
      <c r="DW1325" s="1" t="s">
        <v>230</v>
      </c>
      <c r="EA1325" s="1" t="s">
        <v>230</v>
      </c>
      <c r="EE1325" s="1" t="s">
        <v>230</v>
      </c>
      <c r="EI1325" s="1" t="s">
        <v>230</v>
      </c>
      <c r="EL1325" s="1" t="s">
        <v>670</v>
      </c>
      <c r="EM1325" s="1" t="s">
        <v>319</v>
      </c>
      <c r="EN1325" s="1" t="s">
        <v>282</v>
      </c>
      <c r="EO1325" s="1" t="s">
        <v>234</v>
      </c>
      <c r="EP1325" s="1" t="s">
        <v>650</v>
      </c>
      <c r="EQ1325" s="1" t="s">
        <v>11636</v>
      </c>
      <c r="ER1325" s="1" t="s">
        <v>544</v>
      </c>
      <c r="ES1325" s="1" t="s">
        <v>322</v>
      </c>
      <c r="EU1325" s="1" t="s">
        <v>239</v>
      </c>
      <c r="EW1325" s="1" t="s">
        <v>887</v>
      </c>
      <c r="EY1325" s="1" t="s">
        <v>242</v>
      </c>
      <c r="EZ1325" s="1" t="s">
        <v>287</v>
      </c>
      <c r="FA1325" s="1" t="s">
        <v>3837</v>
      </c>
      <c r="FD1325" s="1" t="s">
        <v>246</v>
      </c>
      <c r="FE1325" s="1" t="s">
        <v>975</v>
      </c>
      <c r="FF1325" s="1" t="s">
        <v>248</v>
      </c>
      <c r="FG1325" s="1" t="s">
        <v>2406</v>
      </c>
      <c r="FH1325" s="1" t="s">
        <v>550</v>
      </c>
      <c r="FI1325" s="1" t="s">
        <v>357</v>
      </c>
      <c r="FL1325" s="1" t="s">
        <v>358</v>
      </c>
      <c r="FM1325" s="1" t="s">
        <v>252</v>
      </c>
      <c r="FN1325" s="1" t="s">
        <v>213</v>
      </c>
      <c r="FO1325" s="1" t="s">
        <v>213</v>
      </c>
      <c r="FQ1325" s="1" t="s">
        <v>849</v>
      </c>
      <c r="FR1325" s="1" t="s">
        <v>360</v>
      </c>
      <c r="FS1325" s="1" t="s">
        <v>13326</v>
      </c>
      <c r="FT1325" s="1" t="s">
        <v>295</v>
      </c>
      <c r="FU1325" s="1" t="s">
        <v>204</v>
      </c>
      <c r="FW1325" s="1" t="s">
        <v>3291</v>
      </c>
      <c r="FX1325" s="1">
        <v>7450</v>
      </c>
      <c r="FY1325" s="1" t="s">
        <v>3292</v>
      </c>
      <c r="FZ1325" s="1" t="s">
        <v>13327</v>
      </c>
      <c r="GA1325" s="1">
        <v>879525</v>
      </c>
      <c r="GB1325" s="1" t="s">
        <v>13328</v>
      </c>
      <c r="GE1325" s="1" t="s">
        <v>210</v>
      </c>
      <c r="GI1325" s="1" t="s">
        <v>213</v>
      </c>
      <c r="GJ1325" s="1" t="s">
        <v>260</v>
      </c>
      <c r="GK1325" s="1" t="s">
        <v>210</v>
      </c>
      <c r="GL1325" s="2">
        <v>42029</v>
      </c>
      <c r="GM1325" s="1" t="s">
        <v>13329</v>
      </c>
    </row>
    <row r="1326" spans="1:195">
      <c r="A1326" s="1">
        <v>66500</v>
      </c>
      <c r="B1326" s="1" t="s">
        <v>195</v>
      </c>
      <c r="C1326" s="1" t="str">
        <f>"08663252"</f>
        <v>08663252</v>
      </c>
      <c r="D1326" s="1" t="s">
        <v>196</v>
      </c>
      <c r="F1326" s="1" t="str">
        <f>"107"</f>
        <v>107</v>
      </c>
      <c r="G1326" s="2">
        <v>41823</v>
      </c>
      <c r="H1326" s="1">
        <v>84000</v>
      </c>
      <c r="I1326" s="1">
        <v>72900</v>
      </c>
      <c r="J1326" s="1">
        <v>66500</v>
      </c>
      <c r="K1326" s="2">
        <v>41823</v>
      </c>
      <c r="L1326" s="1">
        <v>138</v>
      </c>
      <c r="M1326" s="2">
        <v>41960</v>
      </c>
      <c r="N1326" s="1">
        <v>138</v>
      </c>
      <c r="O1326" s="2">
        <v>41960</v>
      </c>
      <c r="P1326" s="1">
        <v>13691</v>
      </c>
      <c r="Q1326" s="1" t="s">
        <v>302</v>
      </c>
      <c r="R1326" s="2">
        <v>41982</v>
      </c>
      <c r="S1326" s="1">
        <v>110948</v>
      </c>
      <c r="U1326" s="1">
        <v>603</v>
      </c>
      <c r="V1326" s="1" t="s">
        <v>2614</v>
      </c>
      <c r="W1326" s="1" t="s">
        <v>449</v>
      </c>
      <c r="X1326" s="1">
        <v>7</v>
      </c>
      <c r="Y1326" s="1">
        <v>8</v>
      </c>
      <c r="Z1326" s="1" t="s">
        <v>249</v>
      </c>
      <c r="AA1326" s="1" t="s">
        <v>1211</v>
      </c>
      <c r="AB1326" s="1">
        <v>60107</v>
      </c>
      <c r="AC1326" s="1">
        <v>6615</v>
      </c>
      <c r="AE1326" s="1" t="s">
        <v>13330</v>
      </c>
      <c r="AF1326" s="1">
        <v>1978</v>
      </c>
      <c r="AG1326" s="1" t="s">
        <v>204</v>
      </c>
      <c r="AH1326" s="1" t="s">
        <v>1214</v>
      </c>
      <c r="AI1326" s="1" t="s">
        <v>310</v>
      </c>
      <c r="AJ1326" s="1" t="s">
        <v>374</v>
      </c>
      <c r="AL1326" s="1">
        <v>5</v>
      </c>
      <c r="AM1326" s="1">
        <v>2</v>
      </c>
      <c r="AN1326" s="1">
        <v>2</v>
      </c>
      <c r="AO1326" s="1">
        <v>0</v>
      </c>
      <c r="AP1326" s="1" t="s">
        <v>209</v>
      </c>
      <c r="AR1326" s="1" t="s">
        <v>210</v>
      </c>
      <c r="AS1326" s="1" t="s">
        <v>204</v>
      </c>
      <c r="AT1326" s="1" t="s">
        <v>271</v>
      </c>
      <c r="AV1326" s="1">
        <v>2</v>
      </c>
      <c r="AW1326" s="1" t="s">
        <v>204</v>
      </c>
      <c r="AX1326" s="1" t="s">
        <v>212</v>
      </c>
      <c r="AZ1326" s="1">
        <v>2892.14</v>
      </c>
      <c r="BA1326" s="1">
        <v>2012</v>
      </c>
      <c r="BB1326" s="1" t="s">
        <v>210</v>
      </c>
      <c r="BE1326" s="1">
        <v>900</v>
      </c>
      <c r="BF1326" s="1">
        <v>2</v>
      </c>
      <c r="BG1326" s="1">
        <v>0</v>
      </c>
      <c r="BL1326" s="1">
        <v>295</v>
      </c>
      <c r="BM1326" s="1" t="s">
        <v>204</v>
      </c>
      <c r="BN1326" s="1" t="s">
        <v>213</v>
      </c>
      <c r="BO1326" s="1">
        <v>150</v>
      </c>
      <c r="BP1326" s="1" t="s">
        <v>204</v>
      </c>
      <c r="BR1326" s="1" t="str">
        <f>"06133000121015"</f>
        <v>06133000121015</v>
      </c>
      <c r="BT1326" s="1" t="s">
        <v>13331</v>
      </c>
      <c r="BU1326" s="1" t="s">
        <v>5886</v>
      </c>
      <c r="BV1326" s="1" t="s">
        <v>3557</v>
      </c>
      <c r="BW1326" s="1" t="s">
        <v>1217</v>
      </c>
      <c r="BX1326" s="1">
        <v>46</v>
      </c>
      <c r="BY1326" s="1">
        <v>46</v>
      </c>
      <c r="BZ1326" s="1">
        <v>46</v>
      </c>
      <c r="CB1326" s="1" t="str">
        <f t="shared" ref="CB1326:CC1326" si="1017">""</f>
        <v/>
      </c>
      <c r="CC1326" s="1" t="str">
        <f t="shared" si="1017"/>
        <v/>
      </c>
      <c r="CG1326" s="1" t="s">
        <v>280</v>
      </c>
      <c r="CH1326" s="1" t="s">
        <v>219</v>
      </c>
      <c r="CK1326" s="1" t="s">
        <v>3083</v>
      </c>
      <c r="CL1326" s="1" t="s">
        <v>219</v>
      </c>
      <c r="CO1326" s="1" t="s">
        <v>1854</v>
      </c>
      <c r="CP1326" s="1" t="s">
        <v>219</v>
      </c>
      <c r="CS1326" s="1" t="s">
        <v>836</v>
      </c>
      <c r="CT1326" s="1" t="s">
        <v>219</v>
      </c>
      <c r="CX1326" s="1" t="s">
        <v>224</v>
      </c>
      <c r="DB1326" s="1" t="s">
        <v>224</v>
      </c>
      <c r="DE1326" s="1" t="s">
        <v>345</v>
      </c>
      <c r="DF1326" s="1" t="s">
        <v>219</v>
      </c>
      <c r="DJ1326" s="1" t="s">
        <v>224</v>
      </c>
      <c r="DS1326" s="1" t="s">
        <v>230</v>
      </c>
      <c r="DW1326" s="1" t="s">
        <v>230</v>
      </c>
      <c r="EA1326" s="1" t="s">
        <v>230</v>
      </c>
      <c r="EE1326" s="1" t="s">
        <v>230</v>
      </c>
      <c r="EI1326" s="1" t="s">
        <v>230</v>
      </c>
      <c r="EL1326" s="1" t="s">
        <v>231</v>
      </c>
      <c r="EM1326" s="1" t="s">
        <v>319</v>
      </c>
      <c r="EN1326" s="1" t="s">
        <v>282</v>
      </c>
      <c r="EO1326" s="1" t="s">
        <v>234</v>
      </c>
      <c r="EP1326" s="1" t="s">
        <v>13332</v>
      </c>
      <c r="ER1326" s="1" t="s">
        <v>210</v>
      </c>
      <c r="EW1326" s="1" t="s">
        <v>3614</v>
      </c>
      <c r="EZ1326" s="1" t="s">
        <v>287</v>
      </c>
      <c r="FB1326" s="1" t="s">
        <v>289</v>
      </c>
      <c r="FD1326" s="1" t="s">
        <v>495</v>
      </c>
      <c r="FE1326" s="1" t="s">
        <v>549</v>
      </c>
      <c r="FF1326" s="1" t="s">
        <v>248</v>
      </c>
      <c r="FH1326" s="1" t="s">
        <v>249</v>
      </c>
      <c r="FK1326" s="1" t="s">
        <v>891</v>
      </c>
      <c r="FL1326" s="1" t="s">
        <v>358</v>
      </c>
      <c r="FM1326" s="1" t="s">
        <v>252</v>
      </c>
      <c r="FN1326" s="1" t="s">
        <v>213</v>
      </c>
      <c r="FO1326" s="1" t="s">
        <v>213</v>
      </c>
      <c r="FQ1326" s="1" t="s">
        <v>582</v>
      </c>
      <c r="FR1326" s="1" t="s">
        <v>210</v>
      </c>
      <c r="FS1326" s="1" t="s">
        <v>3751</v>
      </c>
      <c r="FT1326" s="1" t="s">
        <v>1828</v>
      </c>
      <c r="FU1326" s="1" t="s">
        <v>204</v>
      </c>
      <c r="FW1326" s="1" t="s">
        <v>3752</v>
      </c>
      <c r="FX1326" s="1">
        <v>24569</v>
      </c>
      <c r="FY1326" s="1" t="s">
        <v>3753</v>
      </c>
      <c r="FZ1326" s="1" t="s">
        <v>3754</v>
      </c>
      <c r="GA1326" s="1">
        <v>236309</v>
      </c>
      <c r="GC1326" s="1">
        <v>236310</v>
      </c>
      <c r="GE1326" s="1" t="s">
        <v>1145</v>
      </c>
      <c r="GI1326" s="1" t="s">
        <v>204</v>
      </c>
      <c r="GJ1326" s="1" t="s">
        <v>260</v>
      </c>
      <c r="GK1326" s="1" t="s">
        <v>210</v>
      </c>
      <c r="GL1326" s="2">
        <v>41982</v>
      </c>
      <c r="GM1326" s="1" t="s">
        <v>13333</v>
      </c>
    </row>
    <row r="1327" spans="1:195">
      <c r="A1327" s="1">
        <v>97000</v>
      </c>
      <c r="B1327" s="1" t="s">
        <v>195</v>
      </c>
      <c r="C1327" s="1" t="str">
        <f>"08661077"</f>
        <v>08661077</v>
      </c>
      <c r="D1327" s="1" t="s">
        <v>196</v>
      </c>
      <c r="F1327" s="1" t="str">
        <f>"8064"</f>
        <v>8064</v>
      </c>
      <c r="G1327" s="2">
        <v>41821</v>
      </c>
      <c r="H1327" s="1">
        <v>116900</v>
      </c>
      <c r="I1327" s="1">
        <v>99900</v>
      </c>
      <c r="J1327" s="1">
        <v>97000</v>
      </c>
      <c r="K1327" s="2">
        <v>41821</v>
      </c>
      <c r="L1327" s="1">
        <v>114</v>
      </c>
      <c r="M1327" s="2">
        <v>41934</v>
      </c>
      <c r="N1327" s="1">
        <v>114</v>
      </c>
      <c r="O1327" s="2">
        <v>41934</v>
      </c>
      <c r="P1327" s="1">
        <v>21196</v>
      </c>
      <c r="Q1327" s="1" t="s">
        <v>197</v>
      </c>
      <c r="R1327" s="2">
        <v>41982</v>
      </c>
      <c r="S1327" s="1">
        <v>236113</v>
      </c>
      <c r="U1327" s="1">
        <v>6755</v>
      </c>
      <c r="V1327" s="1" t="s">
        <v>13334</v>
      </c>
      <c r="W1327" s="1" t="s">
        <v>725</v>
      </c>
      <c r="X1327" s="1" t="s">
        <v>13335</v>
      </c>
      <c r="Y1327" s="1">
        <v>15</v>
      </c>
      <c r="Z1327" s="1" t="s">
        <v>249</v>
      </c>
      <c r="AA1327" s="1" t="s">
        <v>400</v>
      </c>
      <c r="AB1327" s="1">
        <v>60638</v>
      </c>
      <c r="AE1327" s="1" t="s">
        <v>13336</v>
      </c>
      <c r="AF1327" s="1" t="s">
        <v>402</v>
      </c>
      <c r="AG1327" s="1" t="s">
        <v>204</v>
      </c>
      <c r="AH1327" s="1" t="s">
        <v>403</v>
      </c>
      <c r="AI1327" s="1" t="s">
        <v>310</v>
      </c>
      <c r="AJ1327" s="1" t="s">
        <v>683</v>
      </c>
      <c r="AL1327" s="1">
        <v>4</v>
      </c>
      <c r="AM1327" s="1">
        <v>2</v>
      </c>
      <c r="AN1327" s="1">
        <v>1</v>
      </c>
      <c r="AO1327" s="1">
        <v>0</v>
      </c>
      <c r="AP1327" s="1" t="s">
        <v>210</v>
      </c>
      <c r="AQ1327" s="1">
        <v>1</v>
      </c>
      <c r="AR1327" s="1" t="s">
        <v>210</v>
      </c>
      <c r="AS1327" s="1" t="s">
        <v>204</v>
      </c>
      <c r="AT1327" s="1" t="s">
        <v>211</v>
      </c>
      <c r="AU1327" s="1">
        <v>1</v>
      </c>
      <c r="AW1327" s="1" t="s">
        <v>204</v>
      </c>
      <c r="AX1327" s="1" t="s">
        <v>212</v>
      </c>
      <c r="AZ1327" s="6">
        <v>1401</v>
      </c>
      <c r="BA1327" s="1">
        <v>2012</v>
      </c>
      <c r="BB1327" s="1" t="s">
        <v>210</v>
      </c>
      <c r="BE1327" s="1">
        <v>0</v>
      </c>
      <c r="BF1327" s="1">
        <v>3</v>
      </c>
      <c r="BG1327" s="1">
        <v>10</v>
      </c>
      <c r="BJ1327" s="1">
        <v>100</v>
      </c>
      <c r="BL1327" s="1">
        <v>190</v>
      </c>
      <c r="BM1327" s="1" t="s">
        <v>204</v>
      </c>
      <c r="BN1327" s="1" t="s">
        <v>213</v>
      </c>
      <c r="BO1327" s="1" t="s">
        <v>13337</v>
      </c>
      <c r="BP1327" s="1" t="s">
        <v>204</v>
      </c>
      <c r="BR1327" s="1" t="str">
        <f>"19192000611012"</f>
        <v>19192000611012</v>
      </c>
      <c r="BT1327" s="1" t="s">
        <v>13338</v>
      </c>
      <c r="BX1327" s="1">
        <v>299</v>
      </c>
      <c r="BY1327" s="1">
        <v>299</v>
      </c>
      <c r="BZ1327" s="1">
        <v>299</v>
      </c>
      <c r="CB1327" s="1" t="str">
        <f t="shared" ref="CB1327:CC1327" si="1018">"0"</f>
        <v>0</v>
      </c>
      <c r="CC1327" s="1" t="str">
        <f t="shared" si="1018"/>
        <v>0</v>
      </c>
      <c r="CD1327" s="1">
        <v>6755</v>
      </c>
      <c r="CE1327" s="1">
        <v>6300</v>
      </c>
      <c r="CG1327" s="1" t="s">
        <v>885</v>
      </c>
      <c r="CH1327" s="1" t="s">
        <v>784</v>
      </c>
      <c r="CI1327" s="1" t="s">
        <v>229</v>
      </c>
      <c r="CK1327" s="1" t="s">
        <v>437</v>
      </c>
      <c r="CL1327" s="1" t="s">
        <v>784</v>
      </c>
      <c r="CM1327" s="1" t="s">
        <v>220</v>
      </c>
      <c r="CP1327" s="1" t="s">
        <v>224</v>
      </c>
      <c r="CS1327" s="1" t="s">
        <v>317</v>
      </c>
      <c r="CT1327" s="1" t="s">
        <v>784</v>
      </c>
      <c r="CU1327" s="1" t="s">
        <v>220</v>
      </c>
      <c r="CX1327" s="1" t="s">
        <v>224</v>
      </c>
      <c r="DB1327" s="1" t="s">
        <v>224</v>
      </c>
      <c r="DE1327" s="1" t="s">
        <v>1358</v>
      </c>
      <c r="DF1327" s="1" t="s">
        <v>784</v>
      </c>
      <c r="DG1327" s="1" t="s">
        <v>226</v>
      </c>
      <c r="DH1327" s="1" t="s">
        <v>210</v>
      </c>
      <c r="DJ1327" s="1" t="s">
        <v>224</v>
      </c>
      <c r="DS1327" s="1" t="s">
        <v>230</v>
      </c>
      <c r="DW1327" s="1" t="s">
        <v>230</v>
      </c>
      <c r="EA1327" s="1" t="s">
        <v>230</v>
      </c>
      <c r="EE1327" s="1" t="s">
        <v>230</v>
      </c>
      <c r="EI1327" s="1" t="s">
        <v>230</v>
      </c>
      <c r="EL1327" s="1" t="s">
        <v>413</v>
      </c>
      <c r="EM1327" s="1" t="s">
        <v>232</v>
      </c>
      <c r="EN1327" s="1" t="s">
        <v>282</v>
      </c>
      <c r="EO1327" s="1" t="s">
        <v>234</v>
      </c>
      <c r="EQ1327" s="1" t="s">
        <v>236</v>
      </c>
      <c r="ER1327" s="1" t="s">
        <v>210</v>
      </c>
      <c r="EW1327" s="1" t="s">
        <v>9621</v>
      </c>
      <c r="EY1327" s="1" t="s">
        <v>242</v>
      </c>
      <c r="EZ1327" s="1" t="s">
        <v>287</v>
      </c>
      <c r="FA1327" s="1" t="s">
        <v>5697</v>
      </c>
      <c r="FC1327" s="1" t="s">
        <v>548</v>
      </c>
      <c r="FD1327" s="1" t="s">
        <v>888</v>
      </c>
      <c r="FE1327" s="1" t="s">
        <v>247</v>
      </c>
      <c r="FF1327" s="1" t="s">
        <v>248</v>
      </c>
      <c r="FG1327" s="1" t="s">
        <v>13339</v>
      </c>
      <c r="FH1327" s="1" t="s">
        <v>249</v>
      </c>
      <c r="FI1327" s="1" t="s">
        <v>357</v>
      </c>
      <c r="FL1327" s="1" t="s">
        <v>358</v>
      </c>
      <c r="FM1327" s="1" t="s">
        <v>252</v>
      </c>
      <c r="FN1327" s="1" t="s">
        <v>213</v>
      </c>
      <c r="FO1327" s="1" t="s">
        <v>213</v>
      </c>
      <c r="FQ1327" s="1" t="s">
        <v>689</v>
      </c>
      <c r="FR1327" s="1" t="s">
        <v>210</v>
      </c>
      <c r="FS1327" s="1" t="s">
        <v>13340</v>
      </c>
      <c r="FT1327" s="1" t="s">
        <v>295</v>
      </c>
      <c r="FU1327" s="1" t="s">
        <v>213</v>
      </c>
      <c r="FW1327" s="1" t="s">
        <v>9881</v>
      </c>
      <c r="FX1327" s="1">
        <v>84982</v>
      </c>
      <c r="FY1327" s="1" t="s">
        <v>9882</v>
      </c>
      <c r="FZ1327" s="1" t="s">
        <v>9883</v>
      </c>
      <c r="GA1327" s="1">
        <v>109438</v>
      </c>
      <c r="GB1327" s="1" t="s">
        <v>9882</v>
      </c>
      <c r="GE1327" s="1" t="s">
        <v>210</v>
      </c>
      <c r="GH1327" s="1" t="s">
        <v>589</v>
      </c>
      <c r="GI1327" s="1" t="s">
        <v>213</v>
      </c>
      <c r="GJ1327" s="1" t="s">
        <v>260</v>
      </c>
      <c r="GK1327" s="1" t="s">
        <v>210</v>
      </c>
      <c r="GL1327" s="2">
        <v>41982</v>
      </c>
      <c r="GM1327" s="1" t="s">
        <v>13341</v>
      </c>
    </row>
    <row r="1328" spans="1:195">
      <c r="A1328" s="1">
        <v>522330</v>
      </c>
      <c r="B1328" s="1" t="s">
        <v>195</v>
      </c>
      <c r="C1328" s="1" t="str">
        <f>"08663018"</f>
        <v>08663018</v>
      </c>
      <c r="D1328" s="1" t="s">
        <v>196</v>
      </c>
      <c r="F1328" s="1" t="str">
        <f>"521"</f>
        <v>521</v>
      </c>
      <c r="G1328" s="2">
        <v>41823</v>
      </c>
      <c r="H1328" s="1">
        <v>499000</v>
      </c>
      <c r="I1328" s="1">
        <v>499000</v>
      </c>
      <c r="J1328" s="1">
        <v>522330</v>
      </c>
      <c r="K1328" s="2">
        <v>41823</v>
      </c>
      <c r="L1328" s="1">
        <v>412</v>
      </c>
      <c r="M1328" s="2">
        <v>42032</v>
      </c>
      <c r="N1328" s="1">
        <v>210</v>
      </c>
      <c r="O1328" s="2">
        <v>42032</v>
      </c>
      <c r="P1328" s="1">
        <v>84590</v>
      </c>
      <c r="Q1328" s="1" t="s">
        <v>302</v>
      </c>
      <c r="R1328" s="2">
        <v>42132</v>
      </c>
      <c r="S1328" s="1">
        <v>148266</v>
      </c>
      <c r="U1328" s="1">
        <v>7</v>
      </c>
      <c r="V1328" s="1" t="s">
        <v>1537</v>
      </c>
      <c r="W1328" s="1" t="s">
        <v>504</v>
      </c>
      <c r="X1328" s="1">
        <v>207</v>
      </c>
      <c r="Y1328" s="1">
        <v>23</v>
      </c>
      <c r="Z1328" s="1" t="s">
        <v>249</v>
      </c>
      <c r="AA1328" s="1" t="s">
        <v>1538</v>
      </c>
      <c r="AB1328" s="1">
        <v>60521</v>
      </c>
      <c r="AD1328" s="1" t="s">
        <v>1539</v>
      </c>
      <c r="AE1328" s="1" t="s">
        <v>1540</v>
      </c>
      <c r="AF1328" s="1">
        <v>2013</v>
      </c>
      <c r="AG1328" s="1" t="s">
        <v>204</v>
      </c>
      <c r="AH1328" s="1" t="s">
        <v>1541</v>
      </c>
      <c r="AI1328" s="1" t="s">
        <v>206</v>
      </c>
      <c r="AJ1328" s="1" t="s">
        <v>903</v>
      </c>
      <c r="AK1328" s="1" t="s">
        <v>13342</v>
      </c>
      <c r="AL1328" s="1">
        <v>6</v>
      </c>
      <c r="AM1328" s="1">
        <v>2</v>
      </c>
      <c r="AN1328" s="1">
        <v>2</v>
      </c>
      <c r="AO1328" s="1">
        <v>1</v>
      </c>
      <c r="AP1328" s="1" t="s">
        <v>209</v>
      </c>
      <c r="AQ1328" s="1">
        <v>1</v>
      </c>
      <c r="AR1328" s="1" t="s">
        <v>210</v>
      </c>
      <c r="AS1328" s="1" t="s">
        <v>204</v>
      </c>
      <c r="AT1328" s="1" t="s">
        <v>211</v>
      </c>
      <c r="AU1328" s="1">
        <v>2</v>
      </c>
      <c r="AW1328" s="1" t="s">
        <v>204</v>
      </c>
      <c r="AX1328" s="1" t="s">
        <v>212</v>
      </c>
      <c r="AZ1328" s="1" t="s">
        <v>751</v>
      </c>
      <c r="BA1328" s="1">
        <v>2013</v>
      </c>
      <c r="BE1328" s="1">
        <v>2000</v>
      </c>
      <c r="BF1328" s="1">
        <v>2</v>
      </c>
      <c r="BG1328" s="1">
        <v>0</v>
      </c>
      <c r="BL1328" s="1">
        <v>465</v>
      </c>
      <c r="BM1328" s="1" t="s">
        <v>204</v>
      </c>
      <c r="BN1328" s="1" t="s">
        <v>213</v>
      </c>
      <c r="BO1328" s="1">
        <v>999</v>
      </c>
      <c r="BP1328" s="1" t="s">
        <v>204</v>
      </c>
      <c r="BR1328" s="1" t="str">
        <f>"0913104021"</f>
        <v>0913104021</v>
      </c>
      <c r="BT1328" s="1" t="s">
        <v>13343</v>
      </c>
      <c r="BU1328" s="1" t="s">
        <v>1544</v>
      </c>
      <c r="BV1328" s="1" t="s">
        <v>1545</v>
      </c>
      <c r="BW1328" s="1" t="s">
        <v>1546</v>
      </c>
      <c r="BX1328" s="1">
        <v>181</v>
      </c>
      <c r="BY1328" s="1">
        <v>181</v>
      </c>
      <c r="BZ1328" s="1">
        <v>86</v>
      </c>
      <c r="CB1328" s="1" t="str">
        <f t="shared" ref="CB1328:CC1328" si="1019">""</f>
        <v/>
      </c>
      <c r="CC1328" s="1" t="str">
        <f t="shared" si="1019"/>
        <v/>
      </c>
      <c r="CG1328" s="1" t="s">
        <v>4460</v>
      </c>
      <c r="CH1328" s="1" t="s">
        <v>219</v>
      </c>
      <c r="CK1328" s="1" t="s">
        <v>1155</v>
      </c>
      <c r="CL1328" s="1" t="s">
        <v>219</v>
      </c>
      <c r="CM1328" s="1" t="s">
        <v>220</v>
      </c>
      <c r="CO1328" s="1" t="s">
        <v>629</v>
      </c>
      <c r="CP1328" s="1" t="s">
        <v>219</v>
      </c>
      <c r="CS1328" s="1" t="s">
        <v>461</v>
      </c>
      <c r="CT1328" s="1" t="s">
        <v>219</v>
      </c>
      <c r="CU1328" s="1" t="s">
        <v>220</v>
      </c>
      <c r="CX1328" s="1" t="s">
        <v>224</v>
      </c>
      <c r="DB1328" s="1" t="s">
        <v>224</v>
      </c>
      <c r="DE1328" s="1" t="s">
        <v>757</v>
      </c>
      <c r="DF1328" s="1" t="s">
        <v>219</v>
      </c>
      <c r="DG1328" s="1" t="s">
        <v>438</v>
      </c>
      <c r="DJ1328" s="1" t="s">
        <v>224</v>
      </c>
      <c r="DM1328" s="1" t="s">
        <v>1548</v>
      </c>
      <c r="DR1328" s="1" t="s">
        <v>539</v>
      </c>
      <c r="DS1328" s="1" t="s">
        <v>219</v>
      </c>
      <c r="DT1328" s="1" t="s">
        <v>438</v>
      </c>
      <c r="DW1328" s="1" t="s">
        <v>230</v>
      </c>
      <c r="EA1328" s="1" t="s">
        <v>230</v>
      </c>
      <c r="EE1328" s="1" t="s">
        <v>230</v>
      </c>
      <c r="EI1328" s="1" t="s">
        <v>230</v>
      </c>
      <c r="EL1328" s="1" t="s">
        <v>1549</v>
      </c>
      <c r="EM1328" s="1" t="s">
        <v>232</v>
      </c>
      <c r="EN1328" s="1" t="s">
        <v>282</v>
      </c>
      <c r="EO1328" s="1" t="s">
        <v>234</v>
      </c>
      <c r="EP1328" s="1" t="s">
        <v>1550</v>
      </c>
      <c r="EQ1328" s="1" t="s">
        <v>4356</v>
      </c>
      <c r="ER1328" s="1" t="s">
        <v>210</v>
      </c>
      <c r="ES1328" s="1" t="s">
        <v>1552</v>
      </c>
      <c r="ET1328" s="1" t="s">
        <v>866</v>
      </c>
      <c r="EU1328" s="1" t="s">
        <v>712</v>
      </c>
      <c r="EV1328" s="1" t="s">
        <v>1553</v>
      </c>
      <c r="EW1328" s="1" t="s">
        <v>937</v>
      </c>
      <c r="EY1328" s="1" t="s">
        <v>242</v>
      </c>
      <c r="EZ1328" s="1" t="s">
        <v>1548</v>
      </c>
      <c r="FA1328" s="1" t="s">
        <v>1554</v>
      </c>
      <c r="FB1328" s="1" t="s">
        <v>289</v>
      </c>
      <c r="FC1328" s="1" t="s">
        <v>245</v>
      </c>
      <c r="FD1328" s="1" t="s">
        <v>246</v>
      </c>
      <c r="FE1328" s="1" t="s">
        <v>1556</v>
      </c>
      <c r="FF1328" s="1" t="s">
        <v>248</v>
      </c>
      <c r="FG1328" s="1" t="s">
        <v>2406</v>
      </c>
      <c r="FH1328" s="1" t="s">
        <v>716</v>
      </c>
      <c r="FI1328" s="1" t="s">
        <v>250</v>
      </c>
      <c r="FL1328" s="1" t="s">
        <v>358</v>
      </c>
      <c r="FM1328" s="1" t="s">
        <v>252</v>
      </c>
      <c r="FN1328" s="1" t="s">
        <v>213</v>
      </c>
      <c r="FO1328" s="1" t="s">
        <v>213</v>
      </c>
      <c r="FQ1328" s="1" t="s">
        <v>13344</v>
      </c>
      <c r="FR1328" s="1" t="s">
        <v>652</v>
      </c>
      <c r="FS1328" s="1" t="s">
        <v>13345</v>
      </c>
      <c r="FT1328" s="1" t="s">
        <v>255</v>
      </c>
      <c r="FU1328" s="1" t="s">
        <v>204</v>
      </c>
      <c r="FW1328" s="1" t="s">
        <v>1559</v>
      </c>
      <c r="FX1328" s="1">
        <v>10900</v>
      </c>
      <c r="FY1328" s="1" t="s">
        <v>1560</v>
      </c>
      <c r="FZ1328" s="1" t="s">
        <v>1561</v>
      </c>
      <c r="GA1328" s="1">
        <v>116598</v>
      </c>
      <c r="GB1328" s="1" t="s">
        <v>1562</v>
      </c>
      <c r="GE1328" s="1" t="s">
        <v>658</v>
      </c>
      <c r="GH1328" s="1" t="s">
        <v>800</v>
      </c>
      <c r="GI1328" s="1" t="s">
        <v>213</v>
      </c>
      <c r="GJ1328" s="1" t="s">
        <v>260</v>
      </c>
      <c r="GK1328" s="1" t="s">
        <v>210</v>
      </c>
      <c r="GL1328" s="2">
        <v>42137</v>
      </c>
      <c r="GM1328" s="1" t="s">
        <v>13346</v>
      </c>
    </row>
    <row r="1329" spans="1:195">
      <c r="A1329" s="1">
        <v>120000</v>
      </c>
      <c r="B1329" s="1" t="s">
        <v>195</v>
      </c>
      <c r="C1329" s="1" t="str">
        <f>"08663979"</f>
        <v>08663979</v>
      </c>
      <c r="D1329" s="1" t="s">
        <v>196</v>
      </c>
      <c r="F1329" s="1" t="str">
        <f t="shared" ref="F1329:F1330" si="1020">"8041"</f>
        <v>8041</v>
      </c>
      <c r="G1329" s="2">
        <v>41825</v>
      </c>
      <c r="H1329" s="1">
        <v>155000</v>
      </c>
      <c r="I1329" s="1">
        <v>125000</v>
      </c>
      <c r="J1329" s="1">
        <v>120000</v>
      </c>
      <c r="K1329" s="2">
        <v>41825</v>
      </c>
      <c r="L1329" s="1">
        <v>396</v>
      </c>
      <c r="M1329" s="2">
        <v>41990</v>
      </c>
      <c r="N1329" s="1">
        <v>166</v>
      </c>
      <c r="O1329" s="2">
        <v>41990</v>
      </c>
      <c r="P1329" s="1">
        <v>60021</v>
      </c>
      <c r="Q1329" s="1" t="s">
        <v>423</v>
      </c>
      <c r="R1329" s="2">
        <v>42062</v>
      </c>
      <c r="S1329" s="1">
        <v>503732</v>
      </c>
      <c r="U1329" s="1">
        <v>1700</v>
      </c>
      <c r="V1329" s="1" t="s">
        <v>7687</v>
      </c>
      <c r="W1329" s="1" t="s">
        <v>725</v>
      </c>
      <c r="X1329" s="1">
        <v>409</v>
      </c>
      <c r="Y1329" s="1">
        <v>350</v>
      </c>
      <c r="Z1329" s="1" t="s">
        <v>249</v>
      </c>
      <c r="AA1329" s="1" t="s">
        <v>400</v>
      </c>
      <c r="AB1329" s="1">
        <v>60637</v>
      </c>
      <c r="AE1329" s="1" t="s">
        <v>13347</v>
      </c>
      <c r="AF1329" s="1">
        <v>1968</v>
      </c>
      <c r="AG1329" s="1" t="s">
        <v>213</v>
      </c>
      <c r="AH1329" s="1" t="s">
        <v>403</v>
      </c>
      <c r="AI1329" s="1" t="s">
        <v>310</v>
      </c>
      <c r="AJ1329" s="1" t="s">
        <v>562</v>
      </c>
      <c r="AL1329" s="1">
        <v>5</v>
      </c>
      <c r="AM1329" s="1">
        <v>2</v>
      </c>
      <c r="AN1329" s="1">
        <v>2</v>
      </c>
      <c r="AO1329" s="1">
        <v>0</v>
      </c>
      <c r="AP1329" s="1" t="s">
        <v>209</v>
      </c>
      <c r="AR1329" s="1" t="s">
        <v>210</v>
      </c>
      <c r="AS1329" s="1" t="s">
        <v>204</v>
      </c>
      <c r="AT1329" s="1" t="s">
        <v>210</v>
      </c>
      <c r="AW1329" s="1" t="s">
        <v>213</v>
      </c>
      <c r="AX1329" s="1" t="s">
        <v>212</v>
      </c>
      <c r="AZ1329" s="1">
        <v>1938.72</v>
      </c>
      <c r="BA1329" s="1">
        <v>2013</v>
      </c>
      <c r="BB1329" s="1" t="s">
        <v>405</v>
      </c>
      <c r="BE1329" s="1">
        <v>1123</v>
      </c>
      <c r="BF1329" s="1">
        <v>4</v>
      </c>
      <c r="BG1329" s="1">
        <v>30</v>
      </c>
      <c r="BL1329" s="1">
        <v>746</v>
      </c>
      <c r="BM1329" s="1" t="s">
        <v>204</v>
      </c>
      <c r="BN1329" s="1" t="s">
        <v>213</v>
      </c>
      <c r="BO1329" s="1">
        <v>30</v>
      </c>
      <c r="BP1329" s="1" t="s">
        <v>204</v>
      </c>
      <c r="BR1329" s="1" t="str">
        <f>"20131020291018"</f>
        <v>20131020291018</v>
      </c>
      <c r="BT1329" s="1" t="s">
        <v>13348</v>
      </c>
      <c r="BX1329" s="1">
        <v>299</v>
      </c>
      <c r="BY1329" s="1">
        <v>299</v>
      </c>
      <c r="BZ1329" s="1">
        <v>299</v>
      </c>
      <c r="CB1329" s="1" t="str">
        <f t="shared" ref="CB1329:CB1330" si="1021">"0"</f>
        <v>0</v>
      </c>
      <c r="CC1329" s="1" t="str">
        <f t="shared" ref="CC1329:CC1330" si="1022">"1700"</f>
        <v>1700</v>
      </c>
      <c r="CD1329" s="1">
        <v>0</v>
      </c>
      <c r="CE1329" s="1">
        <v>5600</v>
      </c>
      <c r="CG1329" s="1" t="s">
        <v>861</v>
      </c>
      <c r="CH1329" s="1" t="s">
        <v>219</v>
      </c>
      <c r="CI1329" s="1" t="s">
        <v>220</v>
      </c>
      <c r="CJ1329" s="1" t="s">
        <v>343</v>
      </c>
      <c r="CK1329" s="1" t="s">
        <v>3656</v>
      </c>
      <c r="CL1329" s="1" t="s">
        <v>219</v>
      </c>
      <c r="CM1329" s="1" t="s">
        <v>220</v>
      </c>
      <c r="CN1329" s="1" t="s">
        <v>343</v>
      </c>
      <c r="CO1329" s="1" t="s">
        <v>2031</v>
      </c>
      <c r="CP1329" s="1" t="s">
        <v>219</v>
      </c>
      <c r="CQ1329" s="1" t="s">
        <v>220</v>
      </c>
      <c r="CR1329" s="1" t="s">
        <v>343</v>
      </c>
      <c r="CS1329" s="1" t="s">
        <v>3591</v>
      </c>
      <c r="CT1329" s="1" t="s">
        <v>219</v>
      </c>
      <c r="CU1329" s="1" t="s">
        <v>220</v>
      </c>
      <c r="CV1329" s="1" t="s">
        <v>343</v>
      </c>
      <c r="CX1329" s="1" t="s">
        <v>224</v>
      </c>
      <c r="DB1329" s="1" t="s">
        <v>224</v>
      </c>
      <c r="DE1329" s="1" t="s">
        <v>3657</v>
      </c>
      <c r="DF1329" s="1" t="s">
        <v>219</v>
      </c>
      <c r="DG1329" s="1" t="s">
        <v>226</v>
      </c>
      <c r="DJ1329" s="1" t="s">
        <v>224</v>
      </c>
      <c r="DS1329" s="1" t="s">
        <v>230</v>
      </c>
      <c r="DW1329" s="1" t="s">
        <v>230</v>
      </c>
      <c r="EA1329" s="1" t="s">
        <v>230</v>
      </c>
      <c r="EE1329" s="1" t="s">
        <v>230</v>
      </c>
      <c r="EI1329" s="1" t="s">
        <v>230</v>
      </c>
      <c r="EL1329" s="1" t="s">
        <v>605</v>
      </c>
      <c r="EM1329" s="1" t="s">
        <v>232</v>
      </c>
      <c r="EN1329" s="1" t="s">
        <v>282</v>
      </c>
      <c r="EO1329" s="1" t="s">
        <v>234</v>
      </c>
      <c r="EP1329" s="1" t="s">
        <v>13349</v>
      </c>
      <c r="EQ1329" s="1" t="s">
        <v>350</v>
      </c>
      <c r="ER1329" s="1" t="s">
        <v>210</v>
      </c>
      <c r="ES1329" s="1" t="s">
        <v>545</v>
      </c>
      <c r="EV1329" s="1" t="s">
        <v>324</v>
      </c>
      <c r="EW1329" s="1" t="s">
        <v>13350</v>
      </c>
      <c r="EZ1329" s="1" t="s">
        <v>287</v>
      </c>
      <c r="FB1329" s="1" t="s">
        <v>1505</v>
      </c>
      <c r="FC1329" s="1" t="s">
        <v>13351</v>
      </c>
      <c r="FD1329" s="1" t="s">
        <v>888</v>
      </c>
      <c r="FE1329" s="1" t="s">
        <v>6952</v>
      </c>
      <c r="FF1329" s="1" t="s">
        <v>248</v>
      </c>
      <c r="FH1329" s="1" t="s">
        <v>2432</v>
      </c>
      <c r="FJ1329" s="1" t="s">
        <v>197</v>
      </c>
      <c r="FL1329" s="1" t="s">
        <v>414</v>
      </c>
      <c r="FM1329" s="1" t="s">
        <v>252</v>
      </c>
      <c r="FN1329" s="1" t="s">
        <v>213</v>
      </c>
      <c r="FO1329" s="1" t="s">
        <v>213</v>
      </c>
      <c r="FQ1329" s="1" t="s">
        <v>13352</v>
      </c>
      <c r="FR1329" s="1" t="s">
        <v>210</v>
      </c>
      <c r="FS1329" s="1" t="s">
        <v>13353</v>
      </c>
      <c r="FT1329" s="1" t="s">
        <v>1139</v>
      </c>
      <c r="FU1329" s="1" t="s">
        <v>204</v>
      </c>
      <c r="FW1329" s="1" t="s">
        <v>13354</v>
      </c>
      <c r="FX1329" s="1">
        <v>12937</v>
      </c>
      <c r="FY1329" s="1" t="s">
        <v>13355</v>
      </c>
      <c r="FZ1329" s="1" t="s">
        <v>13356</v>
      </c>
      <c r="GA1329" s="1">
        <v>119802</v>
      </c>
      <c r="GB1329" s="1" t="s">
        <v>13357</v>
      </c>
      <c r="GE1329" s="1" t="s">
        <v>210</v>
      </c>
      <c r="GH1329" s="1" t="s">
        <v>800</v>
      </c>
      <c r="GI1329" s="1" t="s">
        <v>213</v>
      </c>
      <c r="GJ1329" s="1" t="s">
        <v>260</v>
      </c>
      <c r="GK1329" s="1" t="s">
        <v>210</v>
      </c>
      <c r="GL1329" s="2">
        <v>42063</v>
      </c>
      <c r="GM1329" s="1" t="s">
        <v>13358</v>
      </c>
    </row>
    <row r="1330" spans="1:195">
      <c r="A1330" s="1">
        <v>175000</v>
      </c>
      <c r="B1330" s="1" t="s">
        <v>195</v>
      </c>
      <c r="C1330" s="1" t="str">
        <f>"08666267"</f>
        <v>08666267</v>
      </c>
      <c r="D1330" s="1" t="s">
        <v>196</v>
      </c>
      <c r="F1330" s="1" t="str">
        <f t="shared" si="1020"/>
        <v>8041</v>
      </c>
      <c r="G1330" s="2">
        <v>41828</v>
      </c>
      <c r="H1330" s="1">
        <v>195000</v>
      </c>
      <c r="I1330" s="1">
        <v>189900</v>
      </c>
      <c r="J1330" s="1">
        <v>175000</v>
      </c>
      <c r="K1330" s="2">
        <v>41828</v>
      </c>
      <c r="L1330" s="1">
        <v>127</v>
      </c>
      <c r="M1330" s="2">
        <v>41954</v>
      </c>
      <c r="N1330" s="1">
        <v>127</v>
      </c>
      <c r="O1330" s="2">
        <v>41954</v>
      </c>
      <c r="P1330" s="1">
        <v>84404</v>
      </c>
      <c r="Q1330" s="1" t="s">
        <v>1393</v>
      </c>
      <c r="R1330" s="2">
        <v>41985</v>
      </c>
      <c r="S1330" s="1">
        <v>160239</v>
      </c>
      <c r="U1330" s="1">
        <v>5406</v>
      </c>
      <c r="V1330" s="1" t="s">
        <v>13359</v>
      </c>
      <c r="W1330" s="1" t="s">
        <v>425</v>
      </c>
      <c r="X1330" s="1">
        <v>1</v>
      </c>
      <c r="Y1330" s="1">
        <v>100</v>
      </c>
      <c r="Z1330" s="1" t="s">
        <v>249</v>
      </c>
      <c r="AA1330" s="1" t="s">
        <v>400</v>
      </c>
      <c r="AB1330" s="1">
        <v>60615</v>
      </c>
      <c r="AE1330" s="1" t="s">
        <v>13360</v>
      </c>
      <c r="AF1330" s="1">
        <v>1912</v>
      </c>
      <c r="AG1330" s="1" t="s">
        <v>213</v>
      </c>
      <c r="AH1330" s="1" t="s">
        <v>403</v>
      </c>
      <c r="AI1330" s="1" t="s">
        <v>310</v>
      </c>
      <c r="AJ1330" s="1" t="s">
        <v>562</v>
      </c>
      <c r="AL1330" s="1">
        <v>5</v>
      </c>
      <c r="AM1330" s="1">
        <v>2</v>
      </c>
      <c r="AN1330" s="1">
        <v>2</v>
      </c>
      <c r="AO1330" s="1">
        <v>0</v>
      </c>
      <c r="AP1330" s="1" t="s">
        <v>667</v>
      </c>
      <c r="AR1330" s="1" t="s">
        <v>209</v>
      </c>
      <c r="AS1330" s="1" t="s">
        <v>204</v>
      </c>
      <c r="AT1330" s="1" t="s">
        <v>271</v>
      </c>
      <c r="AV1330" s="1">
        <v>1</v>
      </c>
      <c r="AW1330" s="1" t="s">
        <v>204</v>
      </c>
      <c r="AX1330" s="1" t="s">
        <v>212</v>
      </c>
      <c r="AZ1330" s="1">
        <v>3598.65</v>
      </c>
      <c r="BA1330" s="1">
        <v>2012</v>
      </c>
      <c r="BB1330" s="1" t="s">
        <v>2694</v>
      </c>
      <c r="BE1330" s="1">
        <v>1700</v>
      </c>
      <c r="BF1330" s="1">
        <v>1</v>
      </c>
      <c r="BG1330" s="1">
        <v>30</v>
      </c>
      <c r="BL1330" s="1">
        <v>485</v>
      </c>
      <c r="BM1330" s="1" t="s">
        <v>204</v>
      </c>
      <c r="BN1330" s="1" t="s">
        <v>213</v>
      </c>
      <c r="BO1330" s="1">
        <v>50</v>
      </c>
      <c r="BP1330" s="1" t="s">
        <v>204</v>
      </c>
      <c r="BR1330" s="1" t="str">
        <f>"20121140521013"</f>
        <v>20121140521013</v>
      </c>
      <c r="BT1330" s="1" t="s">
        <v>13361</v>
      </c>
      <c r="BX1330" s="1">
        <v>299</v>
      </c>
      <c r="BY1330" s="1">
        <v>299</v>
      </c>
      <c r="BZ1330" s="1">
        <v>299</v>
      </c>
      <c r="CB1330" s="1" t="str">
        <f t="shared" si="1021"/>
        <v>0</v>
      </c>
      <c r="CC1330" s="1" t="str">
        <f t="shared" si="1022"/>
        <v>1700</v>
      </c>
      <c r="CD1330" s="1">
        <v>0</v>
      </c>
      <c r="CE1330" s="1">
        <v>5406</v>
      </c>
      <c r="CG1330" s="1" t="s">
        <v>1267</v>
      </c>
      <c r="CH1330" s="1" t="s">
        <v>219</v>
      </c>
      <c r="CK1330" s="1" t="s">
        <v>280</v>
      </c>
      <c r="CL1330" s="1" t="s">
        <v>219</v>
      </c>
      <c r="CO1330" s="1" t="s">
        <v>2935</v>
      </c>
      <c r="CP1330" s="1" t="s">
        <v>219</v>
      </c>
      <c r="CS1330" s="1" t="s">
        <v>379</v>
      </c>
      <c r="CT1330" s="1" t="s">
        <v>219</v>
      </c>
      <c r="DB1330" s="1" t="s">
        <v>224</v>
      </c>
      <c r="DE1330" s="1" t="s">
        <v>407</v>
      </c>
      <c r="DF1330" s="1" t="s">
        <v>219</v>
      </c>
      <c r="DJ1330" s="1" t="s">
        <v>224</v>
      </c>
      <c r="DM1330" s="1" t="s">
        <v>603</v>
      </c>
      <c r="DR1330" s="1" t="s">
        <v>837</v>
      </c>
      <c r="DS1330" s="1" t="s">
        <v>219</v>
      </c>
      <c r="DW1330" s="1" t="s">
        <v>230</v>
      </c>
      <c r="EA1330" s="1" t="s">
        <v>230</v>
      </c>
      <c r="EE1330" s="1" t="s">
        <v>230</v>
      </c>
      <c r="EI1330" s="1" t="s">
        <v>230</v>
      </c>
      <c r="EL1330" s="1" t="s">
        <v>787</v>
      </c>
      <c r="EM1330" s="1" t="s">
        <v>232</v>
      </c>
      <c r="EN1330" s="1" t="s">
        <v>731</v>
      </c>
      <c r="EO1330" s="1" t="s">
        <v>234</v>
      </c>
      <c r="EQ1330" s="1" t="s">
        <v>2994</v>
      </c>
      <c r="ER1330" s="1" t="s">
        <v>1249</v>
      </c>
      <c r="EW1330" s="1" t="s">
        <v>4815</v>
      </c>
      <c r="EZ1330" s="1" t="s">
        <v>603</v>
      </c>
      <c r="FD1330" s="1" t="s">
        <v>736</v>
      </c>
      <c r="FE1330" s="1" t="s">
        <v>247</v>
      </c>
      <c r="FF1330" s="1" t="s">
        <v>248</v>
      </c>
      <c r="FH1330" s="1" t="s">
        <v>249</v>
      </c>
      <c r="FL1330" s="1" t="s">
        <v>2370</v>
      </c>
      <c r="FM1330" s="1" t="s">
        <v>252</v>
      </c>
      <c r="FN1330" s="1" t="s">
        <v>213</v>
      </c>
      <c r="FO1330" s="1" t="s">
        <v>213</v>
      </c>
      <c r="FQ1330" s="1" t="s">
        <v>293</v>
      </c>
      <c r="FR1330" s="1" t="s">
        <v>210</v>
      </c>
      <c r="FS1330" s="1" t="s">
        <v>13362</v>
      </c>
      <c r="FT1330" s="1" t="s">
        <v>295</v>
      </c>
      <c r="FU1330" s="1" t="s">
        <v>204</v>
      </c>
      <c r="FW1330" s="1" t="s">
        <v>1652</v>
      </c>
      <c r="FX1330" s="1">
        <v>85646</v>
      </c>
      <c r="FY1330" s="1" t="s">
        <v>6107</v>
      </c>
      <c r="FZ1330" s="1" t="s">
        <v>13363</v>
      </c>
      <c r="GA1330" s="1">
        <v>116152</v>
      </c>
      <c r="GB1330" s="1" t="s">
        <v>6107</v>
      </c>
      <c r="GE1330" s="1" t="s">
        <v>2504</v>
      </c>
      <c r="GH1330" s="1" t="s">
        <v>421</v>
      </c>
      <c r="GI1330" s="1" t="s">
        <v>213</v>
      </c>
      <c r="GJ1330" s="1" t="s">
        <v>260</v>
      </c>
      <c r="GK1330" s="1" t="s">
        <v>210</v>
      </c>
      <c r="GL1330" s="2">
        <v>41988</v>
      </c>
      <c r="GM1330" s="1" t="s">
        <v>13362</v>
      </c>
    </row>
    <row r="1331" spans="1:195">
      <c r="A1331" s="1">
        <v>66153</v>
      </c>
      <c r="B1331" s="1" t="s">
        <v>195</v>
      </c>
      <c r="C1331" s="1" t="str">
        <f>"08662457"</f>
        <v>08662457</v>
      </c>
      <c r="D1331" s="1" t="s">
        <v>196</v>
      </c>
      <c r="F1331" s="1" t="str">
        <f>"42"</f>
        <v>42</v>
      </c>
      <c r="G1331" s="2">
        <v>41822</v>
      </c>
      <c r="H1331" s="1">
        <v>79900</v>
      </c>
      <c r="I1331" s="1">
        <v>69900</v>
      </c>
      <c r="J1331" s="1">
        <v>66153</v>
      </c>
      <c r="K1331" s="2">
        <v>41822</v>
      </c>
      <c r="L1331" s="1">
        <v>196</v>
      </c>
      <c r="M1331" s="2">
        <v>42017</v>
      </c>
      <c r="N1331" s="1">
        <v>196</v>
      </c>
      <c r="O1331" s="2">
        <v>42017</v>
      </c>
      <c r="P1331" s="1">
        <v>2535</v>
      </c>
      <c r="Q1331" s="1" t="s">
        <v>302</v>
      </c>
      <c r="R1331" s="2">
        <v>42037</v>
      </c>
      <c r="S1331" s="1">
        <v>243177</v>
      </c>
      <c r="U1331" s="1">
        <v>748</v>
      </c>
      <c r="V1331" s="1" t="s">
        <v>13364</v>
      </c>
      <c r="W1331" s="1" t="s">
        <v>504</v>
      </c>
      <c r="X1331" s="1">
        <v>748</v>
      </c>
      <c r="Y1331" s="1">
        <v>4</v>
      </c>
      <c r="Z1331" s="1" t="s">
        <v>370</v>
      </c>
      <c r="AA1331" s="1" t="s">
        <v>13365</v>
      </c>
      <c r="AB1331" s="1">
        <v>60042</v>
      </c>
      <c r="AD1331" s="1" t="s">
        <v>13366</v>
      </c>
      <c r="AE1331" s="1" t="s">
        <v>13367</v>
      </c>
      <c r="AF1331" s="1">
        <v>1986</v>
      </c>
      <c r="AG1331" s="1" t="s">
        <v>204</v>
      </c>
      <c r="AH1331" s="1" t="s">
        <v>13368</v>
      </c>
      <c r="AI1331" s="1" t="s">
        <v>13369</v>
      </c>
      <c r="AJ1331" s="1" t="s">
        <v>13370</v>
      </c>
      <c r="AK1331" s="1" t="s">
        <v>1088</v>
      </c>
      <c r="AL1331" s="1">
        <v>5</v>
      </c>
      <c r="AM1331" s="1">
        <v>2</v>
      </c>
      <c r="AN1331" s="1">
        <v>1</v>
      </c>
      <c r="AO1331" s="1">
        <v>0</v>
      </c>
      <c r="AP1331" s="1" t="s">
        <v>210</v>
      </c>
      <c r="AQ1331" s="1">
        <v>1</v>
      </c>
      <c r="AR1331" s="1" t="s">
        <v>210</v>
      </c>
      <c r="AS1331" s="1" t="s">
        <v>204</v>
      </c>
      <c r="AT1331" s="1" t="s">
        <v>211</v>
      </c>
      <c r="AU1331" s="1">
        <v>1</v>
      </c>
      <c r="AW1331" s="1" t="s">
        <v>204</v>
      </c>
      <c r="AX1331" s="1" t="s">
        <v>13371</v>
      </c>
      <c r="AZ1331" s="1">
        <v>2572</v>
      </c>
      <c r="BA1331" s="1">
        <v>2013</v>
      </c>
      <c r="BB1331" s="1" t="s">
        <v>405</v>
      </c>
      <c r="BE1331" s="1">
        <v>867</v>
      </c>
      <c r="BF1331" s="1">
        <v>1</v>
      </c>
      <c r="BG1331" s="1">
        <v>0</v>
      </c>
      <c r="BL1331" s="1">
        <v>65</v>
      </c>
      <c r="BM1331" s="1" t="s">
        <v>204</v>
      </c>
      <c r="BN1331" s="1" t="s">
        <v>213</v>
      </c>
      <c r="BO1331" s="1">
        <v>0</v>
      </c>
      <c r="BP1331" s="1" t="s">
        <v>204</v>
      </c>
      <c r="BR1331" s="1" t="str">
        <f>"1520154032"</f>
        <v>1520154032</v>
      </c>
      <c r="BT1331" s="1" t="s">
        <v>13372</v>
      </c>
      <c r="BU1331" s="1" t="s">
        <v>13373</v>
      </c>
      <c r="BV1331" s="1" t="s">
        <v>2604</v>
      </c>
      <c r="BW1331" s="1" t="s">
        <v>13374</v>
      </c>
      <c r="BX1331" s="1">
        <v>118</v>
      </c>
      <c r="BY1331" s="1">
        <v>118</v>
      </c>
      <c r="BZ1331" s="1">
        <v>118</v>
      </c>
      <c r="CB1331" s="1" t="str">
        <f>"28"</f>
        <v>28</v>
      </c>
      <c r="CC1331" s="1" t="str">
        <f t="shared" ref="CC1331:CC1333" si="1023">"0"</f>
        <v>0</v>
      </c>
      <c r="CD1331" s="1">
        <v>29</v>
      </c>
      <c r="CE1331" s="1">
        <v>0</v>
      </c>
      <c r="CF1331" s="1" t="s">
        <v>13375</v>
      </c>
      <c r="CG1331" s="1" t="s">
        <v>581</v>
      </c>
      <c r="CH1331" s="1" t="s">
        <v>219</v>
      </c>
      <c r="CI1331" s="1" t="s">
        <v>220</v>
      </c>
      <c r="CK1331" s="1" t="s">
        <v>378</v>
      </c>
      <c r="CL1331" s="1" t="s">
        <v>219</v>
      </c>
      <c r="CM1331" s="1" t="s">
        <v>220</v>
      </c>
      <c r="CO1331" s="1" t="s">
        <v>346</v>
      </c>
      <c r="CP1331" s="1" t="s">
        <v>219</v>
      </c>
      <c r="CQ1331" s="1" t="s">
        <v>220</v>
      </c>
      <c r="CR1331" s="1" t="s">
        <v>210</v>
      </c>
      <c r="CS1331" s="1" t="s">
        <v>346</v>
      </c>
      <c r="CT1331" s="1" t="s">
        <v>219</v>
      </c>
      <c r="CU1331" s="1" t="s">
        <v>220</v>
      </c>
      <c r="CX1331" s="1" t="s">
        <v>224</v>
      </c>
      <c r="DB1331" s="1" t="s">
        <v>224</v>
      </c>
      <c r="DE1331" s="1" t="s">
        <v>951</v>
      </c>
      <c r="DF1331" s="1" t="s">
        <v>219</v>
      </c>
      <c r="DG1331" s="1" t="s">
        <v>342</v>
      </c>
      <c r="DJ1331" s="1" t="s">
        <v>224</v>
      </c>
      <c r="DS1331" s="1" t="s">
        <v>230</v>
      </c>
      <c r="DW1331" s="1" t="s">
        <v>230</v>
      </c>
      <c r="EA1331" s="1" t="s">
        <v>230</v>
      </c>
      <c r="EE1331" s="1" t="s">
        <v>230</v>
      </c>
      <c r="EI1331" s="1" t="s">
        <v>230</v>
      </c>
      <c r="EL1331" s="1" t="s">
        <v>542</v>
      </c>
      <c r="EM1331" s="1" t="s">
        <v>319</v>
      </c>
      <c r="EN1331" s="1" t="s">
        <v>282</v>
      </c>
      <c r="EO1331" s="1" t="s">
        <v>234</v>
      </c>
      <c r="ER1331" s="1" t="s">
        <v>210</v>
      </c>
      <c r="ES1331" s="1" t="s">
        <v>545</v>
      </c>
      <c r="EU1331" s="1" t="s">
        <v>239</v>
      </c>
      <c r="EV1331" s="1" t="s">
        <v>240</v>
      </c>
      <c r="EW1331" s="1" t="s">
        <v>5100</v>
      </c>
      <c r="EY1331" s="1" t="s">
        <v>242</v>
      </c>
      <c r="EZ1331" s="1" t="s">
        <v>287</v>
      </c>
      <c r="FD1331" s="1" t="s">
        <v>246</v>
      </c>
      <c r="FE1331" s="1" t="s">
        <v>355</v>
      </c>
      <c r="FF1331" s="1" t="s">
        <v>248</v>
      </c>
      <c r="FH1331" s="1" t="s">
        <v>825</v>
      </c>
      <c r="FL1331" s="1" t="s">
        <v>358</v>
      </c>
      <c r="FM1331" s="1" t="s">
        <v>252</v>
      </c>
      <c r="FN1331" s="1" t="s">
        <v>213</v>
      </c>
      <c r="FO1331" s="1" t="s">
        <v>213</v>
      </c>
      <c r="FQ1331" s="1" t="s">
        <v>673</v>
      </c>
      <c r="FR1331" s="1" t="s">
        <v>210</v>
      </c>
      <c r="FS1331" s="1" t="s">
        <v>13376</v>
      </c>
      <c r="FT1331" s="1" t="s">
        <v>2609</v>
      </c>
      <c r="FU1331" s="1" t="s">
        <v>204</v>
      </c>
      <c r="FW1331" s="1" t="s">
        <v>585</v>
      </c>
      <c r="FX1331" s="1">
        <v>2050</v>
      </c>
      <c r="FY1331" s="1" t="s">
        <v>4207</v>
      </c>
      <c r="FZ1331" s="1" t="s">
        <v>13377</v>
      </c>
      <c r="GA1331" s="1">
        <v>13572</v>
      </c>
      <c r="GB1331" s="1" t="s">
        <v>13378</v>
      </c>
      <c r="GC1331" s="1">
        <v>35055</v>
      </c>
      <c r="GE1331" s="1" t="s">
        <v>210</v>
      </c>
      <c r="GI1331" s="1" t="s">
        <v>213</v>
      </c>
      <c r="GJ1331" s="1" t="s">
        <v>260</v>
      </c>
      <c r="GK1331" s="1" t="s">
        <v>210</v>
      </c>
      <c r="GL1331" s="2">
        <v>42037</v>
      </c>
    </row>
    <row r="1332" spans="1:195">
      <c r="A1332" s="1">
        <v>144900</v>
      </c>
      <c r="B1332" s="1" t="s">
        <v>195</v>
      </c>
      <c r="C1332" s="1" t="str">
        <f>"08655700"</f>
        <v>08655700</v>
      </c>
      <c r="D1332" s="1" t="s">
        <v>196</v>
      </c>
      <c r="F1332" s="1" t="str">
        <f>"107"</f>
        <v>107</v>
      </c>
      <c r="G1332" s="2">
        <v>41815</v>
      </c>
      <c r="H1332" s="1">
        <v>191000</v>
      </c>
      <c r="I1332" s="1">
        <v>149900</v>
      </c>
      <c r="J1332" s="1">
        <v>144900</v>
      </c>
      <c r="K1332" s="2">
        <v>41814</v>
      </c>
      <c r="L1332" s="1">
        <v>149</v>
      </c>
      <c r="M1332" s="2">
        <v>41962</v>
      </c>
      <c r="N1332" s="1">
        <v>149</v>
      </c>
      <c r="O1332" s="2">
        <v>41962</v>
      </c>
      <c r="P1332" s="1">
        <v>17299</v>
      </c>
      <c r="Q1332" s="1" t="s">
        <v>197</v>
      </c>
      <c r="R1332" s="2">
        <v>42003</v>
      </c>
      <c r="S1332" s="1">
        <v>180664</v>
      </c>
      <c r="U1332" s="1">
        <v>72</v>
      </c>
      <c r="V1332" s="1" t="s">
        <v>6006</v>
      </c>
      <c r="W1332" s="1" t="s">
        <v>425</v>
      </c>
      <c r="Y1332" s="1">
        <v>2</v>
      </c>
      <c r="Z1332" s="1" t="s">
        <v>370</v>
      </c>
      <c r="AA1332" s="1" t="s">
        <v>1211</v>
      </c>
      <c r="AB1332" s="1">
        <v>60107</v>
      </c>
      <c r="AD1332" s="1" t="s">
        <v>13379</v>
      </c>
      <c r="AE1332" s="1" t="s">
        <v>13380</v>
      </c>
      <c r="AF1332" s="1">
        <v>1994</v>
      </c>
      <c r="AG1332" s="1" t="s">
        <v>204</v>
      </c>
      <c r="AH1332" s="1" t="s">
        <v>1214</v>
      </c>
      <c r="AI1332" s="1" t="s">
        <v>310</v>
      </c>
      <c r="AJ1332" s="1" t="s">
        <v>374</v>
      </c>
      <c r="AK1332" s="1" t="s">
        <v>3361</v>
      </c>
      <c r="AL1332" s="1">
        <v>6</v>
      </c>
      <c r="AM1332" s="1">
        <v>2</v>
      </c>
      <c r="AN1332" s="1">
        <v>2</v>
      </c>
      <c r="AO1332" s="1">
        <v>1</v>
      </c>
      <c r="AP1332" s="1" t="s">
        <v>209</v>
      </c>
      <c r="AR1332" s="1" t="s">
        <v>210</v>
      </c>
      <c r="AS1332" s="1" t="s">
        <v>204</v>
      </c>
      <c r="AT1332" s="1" t="s">
        <v>211</v>
      </c>
      <c r="AU1332" s="1">
        <v>2</v>
      </c>
      <c r="AW1332" s="1" t="s">
        <v>204</v>
      </c>
      <c r="AX1332" s="1" t="s">
        <v>212</v>
      </c>
      <c r="AZ1332" s="1">
        <v>4650.28</v>
      </c>
      <c r="BA1332" s="1">
        <v>2013</v>
      </c>
      <c r="BB1332" s="1" t="s">
        <v>405</v>
      </c>
      <c r="BE1332" s="1">
        <v>1300</v>
      </c>
      <c r="BF1332" s="1">
        <v>1</v>
      </c>
      <c r="BG1332" s="1">
        <v>30</v>
      </c>
      <c r="BL1332" s="1">
        <v>175</v>
      </c>
      <c r="BM1332" s="1" t="s">
        <v>204</v>
      </c>
      <c r="BN1332" s="1" t="s">
        <v>213</v>
      </c>
      <c r="BO1332" s="1" t="s">
        <v>432</v>
      </c>
      <c r="BP1332" s="1" t="s">
        <v>204</v>
      </c>
      <c r="BR1332" s="1" t="str">
        <f>"06261130090000"</f>
        <v>06261130090000</v>
      </c>
      <c r="BT1332" s="1" t="s">
        <v>13381</v>
      </c>
      <c r="BX1332" s="1">
        <v>46</v>
      </c>
      <c r="BY1332" s="1">
        <v>46</v>
      </c>
      <c r="BZ1332" s="1">
        <v>46</v>
      </c>
      <c r="CB1332" s="1" t="str">
        <f>"9"</f>
        <v>9</v>
      </c>
      <c r="CC1332" s="1" t="str">
        <f t="shared" si="1023"/>
        <v>0</v>
      </c>
      <c r="CD1332" s="1">
        <v>28</v>
      </c>
      <c r="CE1332" s="1">
        <v>0</v>
      </c>
      <c r="CG1332" s="1" t="s">
        <v>861</v>
      </c>
      <c r="CH1332" s="1" t="s">
        <v>219</v>
      </c>
      <c r="CK1332" s="1" t="s">
        <v>228</v>
      </c>
      <c r="CL1332" s="1" t="s">
        <v>277</v>
      </c>
      <c r="CO1332" s="1" t="s">
        <v>379</v>
      </c>
      <c r="CP1332" s="1" t="s">
        <v>219</v>
      </c>
      <c r="CS1332" s="1" t="s">
        <v>378</v>
      </c>
      <c r="CT1332" s="1" t="s">
        <v>277</v>
      </c>
      <c r="CX1332" s="1" t="s">
        <v>224</v>
      </c>
      <c r="DB1332" s="1" t="s">
        <v>224</v>
      </c>
      <c r="DE1332" s="1" t="s">
        <v>1534</v>
      </c>
      <c r="DF1332" s="1" t="s">
        <v>219</v>
      </c>
      <c r="DJ1332" s="1" t="s">
        <v>224</v>
      </c>
      <c r="DM1332" s="1" t="s">
        <v>464</v>
      </c>
      <c r="DR1332" s="1" t="s">
        <v>221</v>
      </c>
      <c r="DS1332" s="1" t="s">
        <v>277</v>
      </c>
      <c r="DW1332" s="1" t="s">
        <v>230</v>
      </c>
      <c r="EA1332" s="1" t="s">
        <v>230</v>
      </c>
      <c r="EE1332" s="1" t="s">
        <v>230</v>
      </c>
      <c r="EI1332" s="1" t="s">
        <v>230</v>
      </c>
      <c r="EL1332" s="1" t="s">
        <v>670</v>
      </c>
      <c r="EM1332" s="1" t="s">
        <v>232</v>
      </c>
      <c r="EN1332" s="1" t="s">
        <v>282</v>
      </c>
      <c r="EO1332" s="1" t="s">
        <v>234</v>
      </c>
      <c r="EP1332" s="1" t="s">
        <v>650</v>
      </c>
      <c r="ER1332" s="1" t="s">
        <v>383</v>
      </c>
      <c r="ES1332" s="1" t="s">
        <v>608</v>
      </c>
      <c r="EV1332" s="1" t="s">
        <v>352</v>
      </c>
      <c r="EW1332" s="1" t="s">
        <v>1219</v>
      </c>
      <c r="EY1332" s="1" t="s">
        <v>242</v>
      </c>
      <c r="EZ1332" s="1" t="s">
        <v>464</v>
      </c>
      <c r="FB1332" s="1" t="s">
        <v>289</v>
      </c>
      <c r="FD1332" s="1" t="s">
        <v>246</v>
      </c>
      <c r="FE1332" s="1" t="s">
        <v>1220</v>
      </c>
      <c r="FF1332" s="1" t="s">
        <v>248</v>
      </c>
      <c r="FH1332" s="1" t="s">
        <v>550</v>
      </c>
      <c r="FL1332" s="1" t="s">
        <v>358</v>
      </c>
      <c r="FM1332" s="1" t="s">
        <v>252</v>
      </c>
      <c r="FN1332" s="1" t="s">
        <v>213</v>
      </c>
      <c r="FO1332" s="1" t="s">
        <v>213</v>
      </c>
      <c r="FQ1332" s="1" t="s">
        <v>689</v>
      </c>
      <c r="FR1332" s="1" t="s">
        <v>210</v>
      </c>
      <c r="FS1332" s="1" t="s">
        <v>8977</v>
      </c>
      <c r="FT1332" s="1" t="s">
        <v>295</v>
      </c>
      <c r="FU1332" s="1" t="s">
        <v>204</v>
      </c>
      <c r="FW1332" s="1" t="s">
        <v>1637</v>
      </c>
      <c r="FX1332" s="1">
        <v>8055</v>
      </c>
      <c r="FY1332" s="1" t="s">
        <v>1728</v>
      </c>
      <c r="FZ1332" s="1" t="s">
        <v>2311</v>
      </c>
      <c r="GA1332" s="1">
        <v>82542</v>
      </c>
      <c r="GB1332" s="1" t="s">
        <v>2312</v>
      </c>
      <c r="GE1332" s="1" t="s">
        <v>210</v>
      </c>
      <c r="GI1332" s="1" t="s">
        <v>213</v>
      </c>
      <c r="GJ1332" s="1" t="s">
        <v>260</v>
      </c>
      <c r="GK1332" s="1" t="s">
        <v>210</v>
      </c>
      <c r="GL1332" s="2">
        <v>42004</v>
      </c>
      <c r="GM1332" s="1" t="s">
        <v>13382</v>
      </c>
    </row>
    <row r="1333" spans="1:195">
      <c r="A1333" s="1">
        <v>108000</v>
      </c>
      <c r="B1333" s="1" t="s">
        <v>195</v>
      </c>
      <c r="C1333" s="1" t="str">
        <f>"08661173"</f>
        <v>08661173</v>
      </c>
      <c r="D1333" s="1" t="s">
        <v>196</v>
      </c>
      <c r="F1333" s="1" t="str">
        <f>"139"</f>
        <v>139</v>
      </c>
      <c r="G1333" s="2">
        <v>41821</v>
      </c>
      <c r="H1333" s="1">
        <v>164900</v>
      </c>
      <c r="I1333" s="1">
        <v>129500</v>
      </c>
      <c r="J1333" s="1">
        <v>108000</v>
      </c>
      <c r="K1333" s="2">
        <v>41821</v>
      </c>
      <c r="L1333" s="1">
        <v>149</v>
      </c>
      <c r="M1333" s="2">
        <v>41969</v>
      </c>
      <c r="N1333" s="1">
        <v>149</v>
      </c>
      <c r="O1333" s="2">
        <v>41969</v>
      </c>
      <c r="P1333" s="1">
        <v>22232</v>
      </c>
      <c r="Q1333" s="1" t="s">
        <v>302</v>
      </c>
      <c r="R1333" s="2">
        <v>42145</v>
      </c>
      <c r="S1333" s="1">
        <v>241818</v>
      </c>
      <c r="U1333" s="1">
        <v>1475</v>
      </c>
      <c r="V1333" s="1" t="s">
        <v>8536</v>
      </c>
      <c r="W1333" s="1" t="s">
        <v>264</v>
      </c>
      <c r="X1333" s="1">
        <v>1475</v>
      </c>
      <c r="Y1333" s="1">
        <v>8</v>
      </c>
      <c r="Z1333" s="1" t="s">
        <v>370</v>
      </c>
      <c r="AA1333" s="1" t="s">
        <v>1732</v>
      </c>
      <c r="AB1333" s="1">
        <v>60139</v>
      </c>
      <c r="AD1333" s="1" t="s">
        <v>8696</v>
      </c>
      <c r="AE1333" s="1" t="s">
        <v>13383</v>
      </c>
      <c r="AF1333" s="1">
        <v>1988</v>
      </c>
      <c r="AG1333" s="1" t="s">
        <v>204</v>
      </c>
      <c r="AH1333" s="1" t="s">
        <v>1735</v>
      </c>
      <c r="AI1333" s="1" t="s">
        <v>206</v>
      </c>
      <c r="AJ1333" s="1" t="s">
        <v>269</v>
      </c>
      <c r="AL1333" s="1">
        <v>4</v>
      </c>
      <c r="AM1333" s="1">
        <v>2</v>
      </c>
      <c r="AN1333" s="1">
        <v>2</v>
      </c>
      <c r="AO1333" s="1">
        <v>1</v>
      </c>
      <c r="AP1333" s="1" t="s">
        <v>209</v>
      </c>
      <c r="AQ1333" s="1">
        <v>1</v>
      </c>
      <c r="AR1333" s="1" t="s">
        <v>210</v>
      </c>
      <c r="AS1333" s="1" t="s">
        <v>204</v>
      </c>
      <c r="AT1333" s="1" t="s">
        <v>211</v>
      </c>
      <c r="AU1333" s="1">
        <v>1</v>
      </c>
      <c r="AW1333" s="1" t="s">
        <v>204</v>
      </c>
      <c r="AX1333" s="1" t="s">
        <v>212</v>
      </c>
      <c r="AZ1333" s="1">
        <v>4473</v>
      </c>
      <c r="BA1333" s="1">
        <v>2013</v>
      </c>
      <c r="BB1333" s="1" t="s">
        <v>405</v>
      </c>
      <c r="BE1333" s="1">
        <v>1248</v>
      </c>
      <c r="BF1333" s="1">
        <v>1</v>
      </c>
      <c r="BG1333" s="1">
        <v>0</v>
      </c>
      <c r="BL1333" s="1">
        <v>188</v>
      </c>
      <c r="BM1333" s="1" t="s">
        <v>204</v>
      </c>
      <c r="BN1333" s="1" t="s">
        <v>213</v>
      </c>
      <c r="BO1333" s="1">
        <v>8</v>
      </c>
      <c r="BP1333" s="1" t="s">
        <v>204</v>
      </c>
      <c r="BR1333" s="1" t="str">
        <f>"0233206128"</f>
        <v>0233206128</v>
      </c>
      <c r="BT1333" s="1" t="s">
        <v>13384</v>
      </c>
      <c r="BU1333" s="1" t="s">
        <v>7513</v>
      </c>
      <c r="BV1333" s="1" t="s">
        <v>3645</v>
      </c>
      <c r="BW1333" s="1" t="s">
        <v>2169</v>
      </c>
      <c r="BX1333" s="1">
        <v>16</v>
      </c>
      <c r="BY1333" s="1">
        <v>16</v>
      </c>
      <c r="BZ1333" s="1">
        <v>87</v>
      </c>
      <c r="CB1333" s="1" t="str">
        <f>"2"</f>
        <v>2</v>
      </c>
      <c r="CC1333" s="1" t="str">
        <f t="shared" si="1023"/>
        <v>0</v>
      </c>
      <c r="CD1333" s="1">
        <v>24</v>
      </c>
      <c r="CE1333" s="1">
        <v>0</v>
      </c>
      <c r="CG1333" s="1" t="s">
        <v>2042</v>
      </c>
      <c r="CH1333" s="1" t="s">
        <v>219</v>
      </c>
      <c r="CI1333" s="1" t="s">
        <v>220</v>
      </c>
      <c r="CJ1333" s="1" t="s">
        <v>439</v>
      </c>
      <c r="CK1333" s="1" t="s">
        <v>757</v>
      </c>
      <c r="CL1333" s="1" t="s">
        <v>277</v>
      </c>
      <c r="CM1333" s="1" t="s">
        <v>220</v>
      </c>
      <c r="CN1333" s="1" t="s">
        <v>343</v>
      </c>
      <c r="CP1333" s="1" t="s">
        <v>224</v>
      </c>
      <c r="CS1333" s="1" t="s">
        <v>465</v>
      </c>
      <c r="CT1333" s="1" t="s">
        <v>277</v>
      </c>
      <c r="CU1333" s="1" t="s">
        <v>220</v>
      </c>
      <c r="CV1333" s="1" t="s">
        <v>343</v>
      </c>
      <c r="CX1333" s="1" t="s">
        <v>224</v>
      </c>
      <c r="DB1333" s="1" t="s">
        <v>224</v>
      </c>
      <c r="DE1333" s="1" t="s">
        <v>281</v>
      </c>
      <c r="DF1333" s="1" t="s">
        <v>219</v>
      </c>
      <c r="DG1333" s="1" t="s">
        <v>226</v>
      </c>
      <c r="DH1333" s="1" t="s">
        <v>210</v>
      </c>
      <c r="DJ1333" s="1" t="s">
        <v>224</v>
      </c>
      <c r="DS1333" s="1" t="s">
        <v>230</v>
      </c>
      <c r="DW1333" s="1" t="s">
        <v>230</v>
      </c>
      <c r="EA1333" s="1" t="s">
        <v>230</v>
      </c>
      <c r="EE1333" s="1" t="s">
        <v>230</v>
      </c>
      <c r="EI1333" s="1" t="s">
        <v>230</v>
      </c>
      <c r="EL1333" s="1" t="s">
        <v>542</v>
      </c>
      <c r="EM1333" s="1" t="s">
        <v>730</v>
      </c>
      <c r="EN1333" s="1" t="s">
        <v>282</v>
      </c>
      <c r="EO1333" s="1" t="s">
        <v>234</v>
      </c>
      <c r="EP1333" s="1" t="s">
        <v>6745</v>
      </c>
      <c r="EQ1333" s="1" t="s">
        <v>4063</v>
      </c>
      <c r="ER1333" s="1" t="s">
        <v>383</v>
      </c>
      <c r="ES1333" s="1" t="s">
        <v>1552</v>
      </c>
      <c r="EU1333" s="1" t="s">
        <v>6546</v>
      </c>
      <c r="EV1333" s="1" t="s">
        <v>240</v>
      </c>
      <c r="EW1333" s="1" t="s">
        <v>887</v>
      </c>
      <c r="EY1333" s="1" t="s">
        <v>790</v>
      </c>
      <c r="EZ1333" s="1" t="s">
        <v>287</v>
      </c>
      <c r="FA1333" s="1" t="s">
        <v>714</v>
      </c>
      <c r="FB1333" s="1" t="s">
        <v>289</v>
      </c>
      <c r="FC1333" s="1" t="s">
        <v>633</v>
      </c>
      <c r="FD1333" s="1" t="s">
        <v>246</v>
      </c>
      <c r="FE1333" s="1" t="s">
        <v>386</v>
      </c>
      <c r="FF1333" s="1" t="s">
        <v>248</v>
      </c>
      <c r="FG1333" s="1" t="s">
        <v>939</v>
      </c>
      <c r="FH1333" s="1" t="s">
        <v>550</v>
      </c>
      <c r="FI1333" s="1" t="s">
        <v>473</v>
      </c>
      <c r="FJ1333" s="1" t="s">
        <v>13385</v>
      </c>
      <c r="FL1333" s="1" t="s">
        <v>358</v>
      </c>
      <c r="FM1333" s="1" t="s">
        <v>252</v>
      </c>
      <c r="FN1333" s="1" t="s">
        <v>213</v>
      </c>
      <c r="FO1333" s="1" t="s">
        <v>213</v>
      </c>
      <c r="FQ1333" s="1" t="s">
        <v>673</v>
      </c>
      <c r="FR1333" s="1" t="s">
        <v>360</v>
      </c>
      <c r="FS1333" s="1" t="s">
        <v>13386</v>
      </c>
      <c r="FT1333" s="1" t="s">
        <v>295</v>
      </c>
      <c r="FU1333" s="1" t="s">
        <v>204</v>
      </c>
      <c r="FW1333" s="1" t="s">
        <v>13387</v>
      </c>
      <c r="FX1333" s="1">
        <v>8204</v>
      </c>
      <c r="FY1333" s="1" t="s">
        <v>13388</v>
      </c>
      <c r="FZ1333" s="1" t="s">
        <v>13389</v>
      </c>
      <c r="GA1333" s="1">
        <v>29862</v>
      </c>
      <c r="GB1333" s="1" t="s">
        <v>13390</v>
      </c>
      <c r="GE1333" s="1" t="s">
        <v>480</v>
      </c>
      <c r="GI1333" s="1" t="s">
        <v>213</v>
      </c>
      <c r="GJ1333" s="1" t="s">
        <v>300</v>
      </c>
      <c r="GK1333" s="1" t="s">
        <v>210</v>
      </c>
      <c r="GL1333" s="2">
        <v>42145</v>
      </c>
      <c r="GM1333" s="2" t="s">
        <v>13391</v>
      </c>
    </row>
    <row r="1334" spans="1:195">
      <c r="A1334" s="1">
        <v>40000</v>
      </c>
      <c r="B1334" s="1" t="s">
        <v>195</v>
      </c>
      <c r="C1334" s="1" t="str">
        <f>"08659578"</f>
        <v>08659578</v>
      </c>
      <c r="D1334" s="1" t="s">
        <v>196</v>
      </c>
      <c r="F1334" s="1" t="str">
        <f>"2104"</f>
        <v>2104</v>
      </c>
      <c r="G1334" s="2">
        <v>41820</v>
      </c>
      <c r="H1334" s="1">
        <v>54900</v>
      </c>
      <c r="I1334" s="1">
        <v>44900</v>
      </c>
      <c r="J1334" s="1">
        <v>40000</v>
      </c>
      <c r="K1334" s="2">
        <v>41820</v>
      </c>
      <c r="L1334" s="1">
        <v>63</v>
      </c>
      <c r="M1334" s="2">
        <v>41882</v>
      </c>
      <c r="N1334" s="1">
        <v>63</v>
      </c>
      <c r="O1334" s="2">
        <v>41882</v>
      </c>
      <c r="P1334" s="1">
        <v>24018</v>
      </c>
      <c r="Q1334" s="1" t="s">
        <v>302</v>
      </c>
      <c r="R1334" s="2">
        <v>41969</v>
      </c>
      <c r="S1334" s="1">
        <v>242857</v>
      </c>
      <c r="U1334" s="1">
        <v>330</v>
      </c>
      <c r="V1334" s="1" t="s">
        <v>661</v>
      </c>
      <c r="W1334" s="1" t="s">
        <v>425</v>
      </c>
      <c r="Y1334" s="1">
        <v>2</v>
      </c>
      <c r="Z1334" s="1" t="s">
        <v>200</v>
      </c>
      <c r="AA1334" s="1" t="s">
        <v>3029</v>
      </c>
      <c r="AB1334" s="1">
        <v>60104</v>
      </c>
      <c r="AE1334" s="1" t="s">
        <v>13392</v>
      </c>
      <c r="AF1334" s="1" t="s">
        <v>402</v>
      </c>
      <c r="AG1334" s="1" t="s">
        <v>213</v>
      </c>
      <c r="AH1334" s="1" t="s">
        <v>3031</v>
      </c>
      <c r="AI1334" s="1" t="s">
        <v>310</v>
      </c>
      <c r="AJ1334" s="1" t="s">
        <v>429</v>
      </c>
      <c r="AL1334" s="1">
        <v>5</v>
      </c>
      <c r="AM1334" s="1">
        <v>2</v>
      </c>
      <c r="AN1334" s="1">
        <v>2</v>
      </c>
      <c r="AO1334" s="1">
        <v>0</v>
      </c>
      <c r="AP1334" s="1" t="s">
        <v>210</v>
      </c>
      <c r="AQ1334" s="1">
        <v>0</v>
      </c>
      <c r="AR1334" s="1" t="s">
        <v>209</v>
      </c>
      <c r="AS1334" s="1" t="s">
        <v>213</v>
      </c>
      <c r="AT1334" s="1" t="s">
        <v>211</v>
      </c>
      <c r="AU1334" s="1">
        <v>2</v>
      </c>
      <c r="AW1334" s="1" t="s">
        <v>204</v>
      </c>
      <c r="AX1334" s="1" t="s">
        <v>3032</v>
      </c>
      <c r="AZ1334" s="1">
        <v>3863</v>
      </c>
      <c r="BA1334" s="1">
        <v>2012</v>
      </c>
      <c r="BB1334" s="1" t="s">
        <v>405</v>
      </c>
      <c r="BE1334" s="1">
        <v>900</v>
      </c>
      <c r="BF1334" s="1">
        <v>1</v>
      </c>
      <c r="BG1334" s="1">
        <v>0</v>
      </c>
      <c r="BL1334" s="1">
        <v>0</v>
      </c>
      <c r="BM1334" s="1" t="s">
        <v>204</v>
      </c>
      <c r="BN1334" s="1" t="s">
        <v>213</v>
      </c>
      <c r="BO1334" s="1">
        <v>125</v>
      </c>
      <c r="BP1334" s="1" t="s">
        <v>204</v>
      </c>
      <c r="BR1334" s="1" t="str">
        <f>"15082310670000"</f>
        <v>15082310670000</v>
      </c>
      <c r="BT1334" s="1" t="s">
        <v>13393</v>
      </c>
      <c r="BX1334" s="1">
        <v>88</v>
      </c>
      <c r="BY1334" s="1">
        <v>88</v>
      </c>
      <c r="BZ1334" s="1">
        <v>209</v>
      </c>
      <c r="CB1334" s="1" t="str">
        <f t="shared" ref="CB1334:CC1334" si="1024">""</f>
        <v/>
      </c>
      <c r="CC1334" s="1" t="str">
        <f t="shared" si="1024"/>
        <v/>
      </c>
      <c r="CG1334" s="1" t="s">
        <v>344</v>
      </c>
      <c r="CH1334" s="1" t="s">
        <v>219</v>
      </c>
      <c r="CI1334" s="1" t="s">
        <v>438</v>
      </c>
      <c r="CK1334" s="1" t="s">
        <v>972</v>
      </c>
      <c r="CL1334" s="1" t="s">
        <v>277</v>
      </c>
      <c r="CM1334" s="1" t="s">
        <v>438</v>
      </c>
      <c r="CO1334" s="1" t="s">
        <v>821</v>
      </c>
      <c r="CP1334" s="1" t="s">
        <v>219</v>
      </c>
      <c r="CQ1334" s="1" t="s">
        <v>438</v>
      </c>
      <c r="CS1334" s="1" t="s">
        <v>346</v>
      </c>
      <c r="CT1334" s="1" t="s">
        <v>277</v>
      </c>
      <c r="CU1334" s="1" t="s">
        <v>438</v>
      </c>
      <c r="CX1334" s="1" t="s">
        <v>224</v>
      </c>
      <c r="DB1334" s="1" t="s">
        <v>224</v>
      </c>
      <c r="DE1334" s="1" t="s">
        <v>3284</v>
      </c>
      <c r="DF1334" s="1" t="s">
        <v>219</v>
      </c>
      <c r="DG1334" s="1" t="s">
        <v>342</v>
      </c>
      <c r="DJ1334" s="1" t="s">
        <v>224</v>
      </c>
      <c r="DS1334" s="1" t="s">
        <v>230</v>
      </c>
      <c r="DW1334" s="1" t="s">
        <v>230</v>
      </c>
      <c r="EA1334" s="1" t="s">
        <v>230</v>
      </c>
      <c r="EE1334" s="1" t="s">
        <v>230</v>
      </c>
      <c r="EI1334" s="1" t="s">
        <v>230</v>
      </c>
      <c r="EL1334" s="1" t="s">
        <v>440</v>
      </c>
      <c r="EM1334" s="1" t="s">
        <v>232</v>
      </c>
      <c r="EN1334" s="1" t="s">
        <v>282</v>
      </c>
      <c r="EO1334" s="1" t="s">
        <v>234</v>
      </c>
      <c r="ER1334" s="1" t="s">
        <v>351</v>
      </c>
      <c r="EU1334" s="1" t="s">
        <v>546</v>
      </c>
      <c r="EW1334" s="1" t="s">
        <v>210</v>
      </c>
      <c r="EY1334" s="1" t="s">
        <v>242</v>
      </c>
      <c r="EZ1334" s="1" t="s">
        <v>287</v>
      </c>
      <c r="FD1334" s="1" t="s">
        <v>246</v>
      </c>
      <c r="FE1334" s="1" t="s">
        <v>247</v>
      </c>
      <c r="FF1334" s="1" t="s">
        <v>248</v>
      </c>
      <c r="FH1334" s="1" t="s">
        <v>442</v>
      </c>
      <c r="FL1334" s="1" t="s">
        <v>358</v>
      </c>
      <c r="FM1334" s="1" t="s">
        <v>252</v>
      </c>
      <c r="FN1334" s="1" t="s">
        <v>213</v>
      </c>
      <c r="FO1334" s="1" t="s">
        <v>213</v>
      </c>
      <c r="FQ1334" s="1" t="s">
        <v>9915</v>
      </c>
      <c r="FR1334" s="1" t="s">
        <v>360</v>
      </c>
      <c r="FS1334" s="1" t="s">
        <v>13394</v>
      </c>
      <c r="FT1334" s="1" t="s">
        <v>255</v>
      </c>
      <c r="FU1334" s="1" t="s">
        <v>204</v>
      </c>
      <c r="FV1334" s="1" t="s">
        <v>13395</v>
      </c>
      <c r="FW1334" s="1" t="s">
        <v>7036</v>
      </c>
      <c r="FX1334" s="1">
        <v>24018</v>
      </c>
      <c r="FY1334" s="1" t="s">
        <v>7037</v>
      </c>
      <c r="FZ1334" s="1" t="s">
        <v>13396</v>
      </c>
      <c r="GA1334" s="1">
        <v>242857</v>
      </c>
      <c r="GB1334" s="1" t="s">
        <v>13397</v>
      </c>
      <c r="GE1334" s="1" t="s">
        <v>210</v>
      </c>
      <c r="GI1334" s="1" t="s">
        <v>213</v>
      </c>
      <c r="GJ1334" s="1" t="s">
        <v>260</v>
      </c>
      <c r="GK1334" s="1" t="s">
        <v>210</v>
      </c>
      <c r="GL1334" s="2">
        <v>41969</v>
      </c>
      <c r="GM1334" s="1" t="s">
        <v>13398</v>
      </c>
    </row>
    <row r="1335" spans="1:195">
      <c r="A1335" s="1">
        <v>81000</v>
      </c>
      <c r="B1335" s="1" t="s">
        <v>195</v>
      </c>
      <c r="C1335" s="1" t="str">
        <f>"08660619"</f>
        <v>08660619</v>
      </c>
      <c r="D1335" s="1" t="s">
        <v>196</v>
      </c>
      <c r="F1335" s="1" t="str">
        <f>"61"</f>
        <v>61</v>
      </c>
      <c r="G1335" s="2">
        <v>41821</v>
      </c>
      <c r="H1335" s="1">
        <v>92000</v>
      </c>
      <c r="I1335" s="1">
        <v>92000</v>
      </c>
      <c r="J1335" s="1">
        <v>81000</v>
      </c>
      <c r="K1335" s="2">
        <v>41821</v>
      </c>
      <c r="L1335" s="1">
        <v>10</v>
      </c>
      <c r="M1335" s="2">
        <v>41830</v>
      </c>
      <c r="N1335" s="1">
        <v>10</v>
      </c>
      <c r="O1335" s="2">
        <v>41830</v>
      </c>
      <c r="P1335" s="1">
        <v>4362</v>
      </c>
      <c r="Q1335" s="1" t="s">
        <v>197</v>
      </c>
      <c r="R1335" s="2">
        <v>42019</v>
      </c>
      <c r="S1335" s="1">
        <v>33457</v>
      </c>
      <c r="U1335" s="1">
        <v>234</v>
      </c>
      <c r="V1335" s="1" t="s">
        <v>13399</v>
      </c>
      <c r="X1335" s="1" t="s">
        <v>305</v>
      </c>
      <c r="Y1335" s="1">
        <v>6</v>
      </c>
      <c r="Z1335" s="1" t="s">
        <v>249</v>
      </c>
      <c r="AA1335" s="1" t="s">
        <v>505</v>
      </c>
      <c r="AB1335" s="1">
        <v>60061</v>
      </c>
      <c r="AD1335" s="1" t="s">
        <v>13399</v>
      </c>
      <c r="AE1335" s="1" t="s">
        <v>13400</v>
      </c>
      <c r="AF1335" s="1">
        <v>1983</v>
      </c>
      <c r="AG1335" s="1" t="s">
        <v>204</v>
      </c>
      <c r="AH1335" s="1" t="s">
        <v>508</v>
      </c>
      <c r="AI1335" s="1" t="s">
        <v>509</v>
      </c>
      <c r="AJ1335" s="1" t="s">
        <v>510</v>
      </c>
      <c r="AL1335" s="1">
        <v>5</v>
      </c>
      <c r="AM1335" s="1">
        <v>2</v>
      </c>
      <c r="AN1335" s="1">
        <v>2</v>
      </c>
      <c r="AO1335" s="1">
        <v>0</v>
      </c>
      <c r="AP1335" s="1" t="s">
        <v>209</v>
      </c>
      <c r="AR1335" s="1" t="s">
        <v>210</v>
      </c>
      <c r="AT1335" s="1" t="s">
        <v>271</v>
      </c>
      <c r="AV1335" s="1">
        <v>2</v>
      </c>
      <c r="AW1335" s="1" t="s">
        <v>204</v>
      </c>
      <c r="AX1335" s="1" t="s">
        <v>212</v>
      </c>
      <c r="AZ1335" s="1">
        <v>2384.36</v>
      </c>
      <c r="BA1335" s="1">
        <v>2013</v>
      </c>
      <c r="BB1335" s="1" t="s">
        <v>405</v>
      </c>
      <c r="BE1335" s="1">
        <v>935</v>
      </c>
      <c r="BF1335" s="1">
        <v>3</v>
      </c>
      <c r="BG1335" s="1">
        <v>0</v>
      </c>
      <c r="BL1335" s="1">
        <v>316</v>
      </c>
      <c r="BM1335" s="1" t="s">
        <v>204</v>
      </c>
      <c r="BN1335" s="1" t="s">
        <v>213</v>
      </c>
      <c r="BO1335" s="1">
        <v>25</v>
      </c>
      <c r="BP1335" s="1" t="s">
        <v>204</v>
      </c>
      <c r="BR1335" s="1" t="str">
        <f>"15072030770000"</f>
        <v>15072030770000</v>
      </c>
      <c r="BT1335" s="1" t="s">
        <v>13401</v>
      </c>
      <c r="BU1335" s="1" t="s">
        <v>13402</v>
      </c>
      <c r="BV1335" s="1" t="s">
        <v>13403</v>
      </c>
      <c r="BW1335" s="1" t="s">
        <v>1532</v>
      </c>
      <c r="BX1335" s="1">
        <v>96</v>
      </c>
      <c r="BY1335" s="1">
        <v>96</v>
      </c>
      <c r="BZ1335" s="1">
        <v>125</v>
      </c>
      <c r="CB1335" s="1" t="str">
        <f t="shared" ref="CB1335:CC1335" si="1025">""</f>
        <v/>
      </c>
      <c r="CC1335" s="1" t="str">
        <f t="shared" si="1025"/>
        <v/>
      </c>
      <c r="CG1335" s="1" t="s">
        <v>931</v>
      </c>
      <c r="CH1335" s="1" t="s">
        <v>784</v>
      </c>
      <c r="CI1335" s="1" t="s">
        <v>229</v>
      </c>
      <c r="CJ1335" s="1" t="s">
        <v>909</v>
      </c>
      <c r="CK1335" s="1" t="s">
        <v>315</v>
      </c>
      <c r="CL1335" s="1" t="s">
        <v>784</v>
      </c>
      <c r="CM1335" s="1" t="s">
        <v>229</v>
      </c>
      <c r="CN1335" s="1" t="s">
        <v>343</v>
      </c>
      <c r="CO1335" s="1" t="s">
        <v>409</v>
      </c>
      <c r="CP1335" s="1" t="s">
        <v>784</v>
      </c>
      <c r="CQ1335" s="1" t="s">
        <v>229</v>
      </c>
      <c r="CS1335" s="1" t="s">
        <v>1297</v>
      </c>
      <c r="CT1335" s="1" t="s">
        <v>784</v>
      </c>
      <c r="CU1335" s="1" t="s">
        <v>229</v>
      </c>
      <c r="CV1335" s="1" t="s">
        <v>343</v>
      </c>
      <c r="CX1335" s="1" t="s">
        <v>224</v>
      </c>
      <c r="DB1335" s="1" t="s">
        <v>224</v>
      </c>
      <c r="DE1335" s="1" t="s">
        <v>409</v>
      </c>
      <c r="DF1335" s="1" t="s">
        <v>784</v>
      </c>
      <c r="DJ1335" s="1" t="s">
        <v>224</v>
      </c>
      <c r="DS1335" s="1" t="s">
        <v>230</v>
      </c>
      <c r="DW1335" s="1" t="s">
        <v>230</v>
      </c>
      <c r="EA1335" s="1" t="s">
        <v>230</v>
      </c>
      <c r="EE1335" s="1" t="s">
        <v>230</v>
      </c>
      <c r="EI1335" s="1" t="s">
        <v>230</v>
      </c>
      <c r="EL1335" s="1" t="s">
        <v>231</v>
      </c>
      <c r="EM1335" s="1" t="s">
        <v>319</v>
      </c>
      <c r="EN1335" s="1" t="s">
        <v>282</v>
      </c>
      <c r="EO1335" s="1" t="s">
        <v>234</v>
      </c>
      <c r="EQ1335" s="1" t="s">
        <v>492</v>
      </c>
      <c r="ER1335" s="1" t="s">
        <v>210</v>
      </c>
      <c r="ES1335" s="1" t="s">
        <v>493</v>
      </c>
      <c r="EV1335" s="1" t="s">
        <v>352</v>
      </c>
      <c r="EW1335" s="1" t="s">
        <v>4815</v>
      </c>
      <c r="EY1335" s="1" t="s">
        <v>1315</v>
      </c>
      <c r="EZ1335" s="1" t="s">
        <v>287</v>
      </c>
      <c r="FB1335" s="1" t="s">
        <v>289</v>
      </c>
      <c r="FD1335" s="1" t="s">
        <v>246</v>
      </c>
      <c r="FE1335" s="1" t="s">
        <v>247</v>
      </c>
      <c r="FF1335" s="1" t="s">
        <v>3103</v>
      </c>
      <c r="FH1335" s="1" t="s">
        <v>249</v>
      </c>
      <c r="FL1335" s="1" t="s">
        <v>414</v>
      </c>
      <c r="FM1335" s="1" t="s">
        <v>252</v>
      </c>
      <c r="FN1335" s="1" t="s">
        <v>213</v>
      </c>
      <c r="FO1335" s="1" t="s">
        <v>213</v>
      </c>
      <c r="FQ1335" s="1" t="s">
        <v>13404</v>
      </c>
      <c r="FR1335" s="1" t="s">
        <v>360</v>
      </c>
      <c r="FS1335" s="1" t="s">
        <v>13405</v>
      </c>
      <c r="FT1335" s="1" t="s">
        <v>295</v>
      </c>
      <c r="FU1335" s="1" t="s">
        <v>204</v>
      </c>
      <c r="FW1335" s="1" t="s">
        <v>13406</v>
      </c>
      <c r="FX1335" s="1">
        <v>8052</v>
      </c>
      <c r="FY1335" s="1" t="s">
        <v>13407</v>
      </c>
      <c r="FZ1335" s="1" t="s">
        <v>13408</v>
      </c>
      <c r="GA1335" s="1">
        <v>241475</v>
      </c>
      <c r="GB1335" s="1" t="s">
        <v>13409</v>
      </c>
      <c r="GE1335" s="1" t="s">
        <v>480</v>
      </c>
      <c r="GH1335" s="1" t="s">
        <v>589</v>
      </c>
      <c r="GI1335" s="1" t="s">
        <v>213</v>
      </c>
      <c r="GJ1335" s="1" t="s">
        <v>260</v>
      </c>
      <c r="GK1335" s="1" t="s">
        <v>210</v>
      </c>
      <c r="GL1335" s="2">
        <v>42024</v>
      </c>
      <c r="GM1335" s="1" t="s">
        <v>13410</v>
      </c>
    </row>
    <row r="1336" spans="1:195">
      <c r="A1336" s="1">
        <v>310000</v>
      </c>
      <c r="B1336" s="1" t="s">
        <v>195</v>
      </c>
      <c r="C1336" s="1" t="str">
        <f>"08663545"</f>
        <v>08663545</v>
      </c>
      <c r="D1336" s="1" t="s">
        <v>196</v>
      </c>
      <c r="F1336" s="1" t="str">
        <f>"480"</f>
        <v>480</v>
      </c>
      <c r="G1336" s="2">
        <v>41824</v>
      </c>
      <c r="H1336" s="1">
        <v>324000</v>
      </c>
      <c r="I1336" s="1">
        <v>324000</v>
      </c>
      <c r="J1336" s="1">
        <v>310000</v>
      </c>
      <c r="K1336" s="2">
        <v>41824</v>
      </c>
      <c r="L1336" s="1">
        <v>82</v>
      </c>
      <c r="M1336" s="2">
        <v>41905</v>
      </c>
      <c r="N1336" s="1">
        <v>82</v>
      </c>
      <c r="O1336" s="2">
        <v>41905</v>
      </c>
      <c r="P1336" s="1">
        <v>85166</v>
      </c>
      <c r="Q1336" s="1" t="s">
        <v>197</v>
      </c>
      <c r="R1336" s="2">
        <v>42010</v>
      </c>
      <c r="S1336" s="1">
        <v>127867</v>
      </c>
      <c r="U1336" s="1">
        <v>148</v>
      </c>
      <c r="V1336" s="1" t="s">
        <v>13411</v>
      </c>
      <c r="W1336" s="1" t="s">
        <v>504</v>
      </c>
      <c r="Y1336" s="1">
        <v>5</v>
      </c>
      <c r="Z1336" s="1" t="s">
        <v>200</v>
      </c>
      <c r="AA1336" s="1" t="s">
        <v>3145</v>
      </c>
      <c r="AB1336" s="1">
        <v>60480</v>
      </c>
      <c r="AE1336" s="1" t="s">
        <v>13412</v>
      </c>
      <c r="AF1336" s="1">
        <v>2002</v>
      </c>
      <c r="AG1336" s="1" t="s">
        <v>204</v>
      </c>
      <c r="AH1336" s="1" t="s">
        <v>3147</v>
      </c>
      <c r="AI1336" s="1" t="s">
        <v>310</v>
      </c>
      <c r="AJ1336" s="1" t="s">
        <v>702</v>
      </c>
      <c r="AL1336" s="1">
        <v>6</v>
      </c>
      <c r="AM1336" s="1">
        <v>2</v>
      </c>
      <c r="AN1336" s="1">
        <v>2</v>
      </c>
      <c r="AO1336" s="1">
        <v>1</v>
      </c>
      <c r="AP1336" s="1" t="s">
        <v>209</v>
      </c>
      <c r="AQ1336" s="1">
        <v>1</v>
      </c>
      <c r="AR1336" s="1" t="s">
        <v>1483</v>
      </c>
      <c r="AS1336" s="1" t="s">
        <v>213</v>
      </c>
      <c r="AT1336" s="1" t="s">
        <v>211</v>
      </c>
      <c r="AU1336" s="1">
        <v>2</v>
      </c>
      <c r="AW1336" s="1" t="s">
        <v>204</v>
      </c>
      <c r="AX1336" s="1" t="s">
        <v>212</v>
      </c>
      <c r="AZ1336" s="1">
        <v>3415.04</v>
      </c>
      <c r="BA1336" s="1">
        <v>2013</v>
      </c>
      <c r="BE1336" s="1">
        <v>2263</v>
      </c>
      <c r="BF1336" s="1">
        <v>1</v>
      </c>
      <c r="BG1336" s="1">
        <v>0</v>
      </c>
      <c r="BL1336" s="1">
        <v>230</v>
      </c>
      <c r="BM1336" s="1" t="s">
        <v>204</v>
      </c>
      <c r="BN1336" s="1" t="s">
        <v>213</v>
      </c>
      <c r="BO1336" s="1">
        <v>0</v>
      </c>
      <c r="BP1336" s="1" t="s">
        <v>204</v>
      </c>
      <c r="BR1336" s="1" t="str">
        <f>"23063031590000"</f>
        <v>23063031590000</v>
      </c>
      <c r="BT1336" s="1" t="s">
        <v>13413</v>
      </c>
      <c r="BU1336" s="1" t="s">
        <v>704</v>
      </c>
      <c r="BV1336" s="1" t="s">
        <v>705</v>
      </c>
      <c r="BW1336" s="1" t="s">
        <v>706</v>
      </c>
      <c r="BX1336" s="1">
        <v>107</v>
      </c>
      <c r="BY1336" s="1">
        <v>107</v>
      </c>
      <c r="BZ1336" s="1">
        <v>204</v>
      </c>
      <c r="CB1336" s="1" t="str">
        <f t="shared" ref="CB1336:CC1336" si="1026">""</f>
        <v/>
      </c>
      <c r="CC1336" s="1" t="str">
        <f t="shared" si="1026"/>
        <v/>
      </c>
      <c r="CG1336" s="1" t="s">
        <v>11543</v>
      </c>
      <c r="CH1336" s="1" t="s">
        <v>219</v>
      </c>
      <c r="CI1336" s="1" t="s">
        <v>438</v>
      </c>
      <c r="CJ1336" s="1" t="s">
        <v>463</v>
      </c>
      <c r="CK1336" s="1" t="s">
        <v>9111</v>
      </c>
      <c r="CL1336" s="1" t="s">
        <v>277</v>
      </c>
      <c r="CM1336" s="1" t="s">
        <v>220</v>
      </c>
      <c r="CN1336" s="1" t="s">
        <v>909</v>
      </c>
      <c r="CO1336" s="1" t="s">
        <v>2122</v>
      </c>
      <c r="CP1336" s="1" t="s">
        <v>219</v>
      </c>
      <c r="CQ1336" s="1" t="s">
        <v>438</v>
      </c>
      <c r="CR1336" s="1" t="s">
        <v>463</v>
      </c>
      <c r="CS1336" s="1" t="s">
        <v>669</v>
      </c>
      <c r="CT1336" s="1" t="s">
        <v>277</v>
      </c>
      <c r="CU1336" s="1" t="s">
        <v>220</v>
      </c>
      <c r="CV1336" s="1" t="s">
        <v>909</v>
      </c>
      <c r="CX1336" s="1" t="s">
        <v>224</v>
      </c>
      <c r="DB1336" s="1" t="s">
        <v>224</v>
      </c>
      <c r="DE1336" s="1" t="s">
        <v>346</v>
      </c>
      <c r="DF1336" s="1" t="s">
        <v>219</v>
      </c>
      <c r="DG1336" s="1" t="s">
        <v>438</v>
      </c>
      <c r="DH1336" s="1" t="s">
        <v>210</v>
      </c>
      <c r="DJ1336" s="1" t="s">
        <v>224</v>
      </c>
      <c r="DM1336" s="1" t="s">
        <v>464</v>
      </c>
      <c r="DN1336" s="1" t="s">
        <v>1359</v>
      </c>
      <c r="DO1336" s="1" t="s">
        <v>1614</v>
      </c>
      <c r="DR1336" s="1" t="s">
        <v>346</v>
      </c>
      <c r="DS1336" s="1" t="s">
        <v>277</v>
      </c>
      <c r="DT1336" s="1" t="s">
        <v>220</v>
      </c>
      <c r="DU1336" s="1" t="s">
        <v>463</v>
      </c>
      <c r="DV1336" s="1" t="s">
        <v>316</v>
      </c>
      <c r="DW1336" s="1" t="s">
        <v>219</v>
      </c>
      <c r="DZ1336" s="1" t="s">
        <v>10618</v>
      </c>
      <c r="EA1336" s="1" t="s">
        <v>43</v>
      </c>
      <c r="EE1336" s="1" t="s">
        <v>230</v>
      </c>
      <c r="EI1336" s="1" t="s">
        <v>230</v>
      </c>
      <c r="EL1336" s="1" t="s">
        <v>466</v>
      </c>
      <c r="EM1336" s="1" t="s">
        <v>232</v>
      </c>
      <c r="EN1336" s="1" t="s">
        <v>282</v>
      </c>
      <c r="EO1336" s="1" t="s">
        <v>234</v>
      </c>
      <c r="EQ1336" s="1" t="s">
        <v>13414</v>
      </c>
      <c r="ER1336" s="1" t="s">
        <v>1249</v>
      </c>
      <c r="ES1336" s="1" t="s">
        <v>865</v>
      </c>
      <c r="ET1336" s="1" t="s">
        <v>8850</v>
      </c>
      <c r="EV1336" s="1" t="s">
        <v>240</v>
      </c>
      <c r="EW1336" s="1" t="s">
        <v>867</v>
      </c>
      <c r="EY1336" s="1" t="s">
        <v>242</v>
      </c>
      <c r="EZ1336" s="1" t="s">
        <v>13415</v>
      </c>
      <c r="FB1336" s="1" t="s">
        <v>289</v>
      </c>
      <c r="FD1336" s="1" t="s">
        <v>246</v>
      </c>
      <c r="FE1336" s="1" t="s">
        <v>549</v>
      </c>
      <c r="FF1336" s="1" t="s">
        <v>248</v>
      </c>
      <c r="FG1336" s="1" t="s">
        <v>912</v>
      </c>
      <c r="FH1336" s="1" t="s">
        <v>550</v>
      </c>
      <c r="FI1336" s="1" t="s">
        <v>473</v>
      </c>
      <c r="FL1336" s="1" t="s">
        <v>358</v>
      </c>
      <c r="FM1336" s="1" t="s">
        <v>252</v>
      </c>
      <c r="FN1336" s="1" t="s">
        <v>213</v>
      </c>
      <c r="FO1336" s="1" t="s">
        <v>204</v>
      </c>
      <c r="FQ1336" s="1" t="s">
        <v>7920</v>
      </c>
      <c r="FR1336" s="1" t="s">
        <v>210</v>
      </c>
      <c r="FS1336" s="1" t="s">
        <v>13416</v>
      </c>
      <c r="FT1336" s="1" t="s">
        <v>13417</v>
      </c>
      <c r="FU1336" s="1" t="s">
        <v>204</v>
      </c>
      <c r="FW1336" s="1" t="s">
        <v>13418</v>
      </c>
      <c r="FX1336" s="1">
        <v>22124</v>
      </c>
      <c r="FY1336" s="1" t="s">
        <v>13419</v>
      </c>
      <c r="FZ1336" s="1" t="s">
        <v>13420</v>
      </c>
      <c r="GA1336" s="1">
        <v>218488</v>
      </c>
      <c r="GB1336" s="1" t="s">
        <v>13421</v>
      </c>
      <c r="GE1336" s="1" t="s">
        <v>210</v>
      </c>
      <c r="GI1336" s="1" t="s">
        <v>213</v>
      </c>
      <c r="GJ1336" s="1" t="s">
        <v>260</v>
      </c>
      <c r="GK1336" s="1" t="s">
        <v>210</v>
      </c>
      <c r="GL1336" s="2">
        <v>42012</v>
      </c>
      <c r="GM1336" s="1" t="s">
        <v>13422</v>
      </c>
    </row>
    <row r="1337" spans="1:195">
      <c r="A1337" s="1">
        <v>95000</v>
      </c>
      <c r="B1337" s="1" t="s">
        <v>195</v>
      </c>
      <c r="C1337" s="1" t="str">
        <f>"08661310"</f>
        <v>08661310</v>
      </c>
      <c r="D1337" s="1" t="s">
        <v>196</v>
      </c>
      <c r="F1337" s="1" t="str">
        <f>"137"</f>
        <v>137</v>
      </c>
      <c r="G1337" s="2">
        <v>41822</v>
      </c>
      <c r="H1337" s="1">
        <v>114000</v>
      </c>
      <c r="I1337" s="1">
        <v>105000</v>
      </c>
      <c r="J1337" s="1">
        <v>95000</v>
      </c>
      <c r="K1337" s="2">
        <v>41822</v>
      </c>
      <c r="L1337" s="1">
        <v>140</v>
      </c>
      <c r="M1337" s="2">
        <v>41961</v>
      </c>
      <c r="N1337" s="1">
        <v>140</v>
      </c>
      <c r="O1337" s="2">
        <v>41961</v>
      </c>
      <c r="P1337" s="1">
        <v>20179</v>
      </c>
      <c r="Q1337" s="1" t="s">
        <v>302</v>
      </c>
      <c r="R1337" s="2">
        <v>41984</v>
      </c>
      <c r="S1337" s="1">
        <v>239038</v>
      </c>
      <c r="U1337" s="1">
        <v>476</v>
      </c>
      <c r="V1337" s="1" t="s">
        <v>1101</v>
      </c>
      <c r="W1337" s="1" t="s">
        <v>304</v>
      </c>
      <c r="X1337" s="1" t="s">
        <v>577</v>
      </c>
      <c r="Y1337" s="1">
        <v>8</v>
      </c>
      <c r="Z1337" s="1" t="s">
        <v>249</v>
      </c>
      <c r="AA1337" s="1" t="s">
        <v>201</v>
      </c>
      <c r="AB1337" s="1">
        <v>60137</v>
      </c>
      <c r="AD1337" s="1" t="s">
        <v>9381</v>
      </c>
      <c r="AE1337" s="1" t="s">
        <v>13423</v>
      </c>
      <c r="AF1337" s="1">
        <v>1969</v>
      </c>
      <c r="AG1337" s="1" t="s">
        <v>213</v>
      </c>
      <c r="AH1337" s="1" t="s">
        <v>205</v>
      </c>
      <c r="AI1337" s="1" t="s">
        <v>206</v>
      </c>
      <c r="AJ1337" s="1" t="s">
        <v>207</v>
      </c>
      <c r="AL1337" s="1">
        <v>5</v>
      </c>
      <c r="AM1337" s="1">
        <v>2</v>
      </c>
      <c r="AN1337" s="1">
        <v>2</v>
      </c>
      <c r="AO1337" s="1">
        <v>0</v>
      </c>
      <c r="AP1337" s="1" t="s">
        <v>209</v>
      </c>
      <c r="AR1337" s="1" t="s">
        <v>210</v>
      </c>
      <c r="AS1337" s="1" t="s">
        <v>204</v>
      </c>
      <c r="AT1337" s="1" t="s">
        <v>271</v>
      </c>
      <c r="AV1337" s="1">
        <v>2</v>
      </c>
      <c r="AW1337" s="1" t="s">
        <v>213</v>
      </c>
      <c r="AX1337" s="1" t="s">
        <v>212</v>
      </c>
      <c r="AZ1337" s="1">
        <v>2438</v>
      </c>
      <c r="BA1337" s="1">
        <v>2013</v>
      </c>
      <c r="BB1337" s="1" t="s">
        <v>210</v>
      </c>
      <c r="BE1337" s="1">
        <v>1198</v>
      </c>
      <c r="BF1337" s="1">
        <v>2</v>
      </c>
      <c r="BG1337" s="1">
        <v>30</v>
      </c>
      <c r="BJ1337" s="1">
        <v>100</v>
      </c>
      <c r="BL1337" s="1">
        <v>327</v>
      </c>
      <c r="BM1337" s="1" t="s">
        <v>204</v>
      </c>
      <c r="BN1337" s="1" t="s">
        <v>204</v>
      </c>
      <c r="BP1337" s="1" t="s">
        <v>204</v>
      </c>
      <c r="BR1337" s="1" t="str">
        <f>"0523321307"</f>
        <v>0523321307</v>
      </c>
      <c r="BT1337" s="1" t="s">
        <v>13424</v>
      </c>
      <c r="BU1337" s="1" t="s">
        <v>215</v>
      </c>
      <c r="BV1337" s="1" t="s">
        <v>216</v>
      </c>
      <c r="BW1337" s="1" t="s">
        <v>217</v>
      </c>
      <c r="BX1337" s="1">
        <v>89</v>
      </c>
      <c r="BY1337" s="1">
        <v>89</v>
      </c>
      <c r="BZ1337" s="1">
        <v>87</v>
      </c>
      <c r="CB1337" s="1" t="str">
        <f t="shared" ref="CB1337:CC1337" si="1027">"0"</f>
        <v>0</v>
      </c>
      <c r="CC1337" s="1" t="str">
        <f t="shared" si="1027"/>
        <v>0</v>
      </c>
      <c r="CD1337" s="1">
        <v>22</v>
      </c>
      <c r="CE1337" s="1">
        <v>1</v>
      </c>
      <c r="CG1337" s="1" t="s">
        <v>5897</v>
      </c>
      <c r="CH1337" s="1" t="s">
        <v>219</v>
      </c>
      <c r="CI1337" s="1" t="s">
        <v>229</v>
      </c>
      <c r="CK1337" s="1" t="s">
        <v>278</v>
      </c>
      <c r="CL1337" s="1" t="s">
        <v>219</v>
      </c>
      <c r="CM1337" s="1" t="s">
        <v>229</v>
      </c>
      <c r="CO1337" s="1" t="s">
        <v>837</v>
      </c>
      <c r="CP1337" s="1" t="s">
        <v>219</v>
      </c>
      <c r="CQ1337" s="1" t="s">
        <v>229</v>
      </c>
      <c r="CS1337" s="1" t="s">
        <v>317</v>
      </c>
      <c r="CT1337" s="1" t="s">
        <v>219</v>
      </c>
      <c r="CU1337" s="1" t="s">
        <v>229</v>
      </c>
      <c r="CX1337" s="1" t="s">
        <v>224</v>
      </c>
      <c r="DB1337" s="1" t="s">
        <v>224</v>
      </c>
      <c r="DE1337" s="1" t="s">
        <v>630</v>
      </c>
      <c r="DF1337" s="1" t="s">
        <v>219</v>
      </c>
      <c r="DG1337" s="1" t="s">
        <v>226</v>
      </c>
      <c r="DJ1337" s="1" t="s">
        <v>224</v>
      </c>
      <c r="DS1337" s="1" t="s">
        <v>230</v>
      </c>
      <c r="DW1337" s="1" t="s">
        <v>230</v>
      </c>
      <c r="EA1337" s="1" t="s">
        <v>230</v>
      </c>
      <c r="EE1337" s="1" t="s">
        <v>230</v>
      </c>
      <c r="EI1337" s="1" t="s">
        <v>230</v>
      </c>
      <c r="EL1337" s="1" t="s">
        <v>605</v>
      </c>
      <c r="EM1337" s="1" t="s">
        <v>319</v>
      </c>
      <c r="EN1337" s="1" t="s">
        <v>282</v>
      </c>
      <c r="EO1337" s="1" t="s">
        <v>234</v>
      </c>
      <c r="EP1337" s="1" t="s">
        <v>13425</v>
      </c>
      <c r="EQ1337" s="1" t="s">
        <v>284</v>
      </c>
      <c r="ER1337" s="1" t="s">
        <v>210</v>
      </c>
      <c r="ES1337" s="1" t="s">
        <v>322</v>
      </c>
      <c r="EV1337" s="1" t="s">
        <v>240</v>
      </c>
      <c r="EW1337" s="1" t="s">
        <v>494</v>
      </c>
      <c r="EZ1337" s="1" t="s">
        <v>287</v>
      </c>
      <c r="FB1337" s="1" t="s">
        <v>244</v>
      </c>
      <c r="FC1337" s="1" t="s">
        <v>548</v>
      </c>
      <c r="FD1337" s="1" t="s">
        <v>1112</v>
      </c>
      <c r="FE1337" s="1" t="s">
        <v>247</v>
      </c>
      <c r="FF1337" s="1" t="s">
        <v>248</v>
      </c>
      <c r="FH1337" s="1" t="s">
        <v>249</v>
      </c>
      <c r="FJ1337" s="1" t="s">
        <v>197</v>
      </c>
      <c r="FK1337" s="1" t="s">
        <v>891</v>
      </c>
      <c r="FL1337" s="1" t="s">
        <v>292</v>
      </c>
      <c r="FM1337" s="1" t="s">
        <v>252</v>
      </c>
      <c r="FN1337" s="1" t="s">
        <v>213</v>
      </c>
      <c r="FO1337" s="1" t="s">
        <v>213</v>
      </c>
      <c r="FQ1337" s="1" t="s">
        <v>849</v>
      </c>
      <c r="FR1337" s="1" t="s">
        <v>210</v>
      </c>
      <c r="FS1337" s="1" t="s">
        <v>2753</v>
      </c>
      <c r="FT1337" s="1" t="s">
        <v>295</v>
      </c>
      <c r="FU1337" s="1" t="s">
        <v>204</v>
      </c>
      <c r="FW1337" s="1" t="s">
        <v>719</v>
      </c>
      <c r="FX1337" s="1">
        <v>22029</v>
      </c>
      <c r="FY1337" s="1" t="s">
        <v>720</v>
      </c>
      <c r="FZ1337" s="1" t="s">
        <v>13426</v>
      </c>
      <c r="GA1337" s="1">
        <v>220516</v>
      </c>
      <c r="GB1337" s="1" t="s">
        <v>13427</v>
      </c>
      <c r="GE1337" s="1" t="s">
        <v>1764</v>
      </c>
      <c r="GI1337" s="1" t="s">
        <v>204</v>
      </c>
      <c r="GJ1337" s="1" t="s">
        <v>260</v>
      </c>
      <c r="GK1337" s="1" t="s">
        <v>261</v>
      </c>
      <c r="GL1337" s="2">
        <v>41984</v>
      </c>
      <c r="GM1337" s="1" t="s">
        <v>13428</v>
      </c>
    </row>
    <row r="1338" spans="1:195">
      <c r="A1338" s="1">
        <v>109000</v>
      </c>
      <c r="B1338" s="1" t="s">
        <v>195</v>
      </c>
      <c r="C1338" s="1" t="str">
        <f>"08721877"</f>
        <v>08721877</v>
      </c>
      <c r="D1338" s="1" t="s">
        <v>196</v>
      </c>
      <c r="F1338" s="1" t="str">
        <f>"31"</f>
        <v>31</v>
      </c>
      <c r="G1338" s="2">
        <v>41890</v>
      </c>
      <c r="H1338" s="1">
        <v>124900</v>
      </c>
      <c r="I1338" s="1">
        <v>114900</v>
      </c>
      <c r="J1338" s="1">
        <v>109000</v>
      </c>
      <c r="K1338" s="2">
        <v>41888</v>
      </c>
      <c r="L1338" s="1">
        <v>70</v>
      </c>
      <c r="M1338" s="2">
        <v>41957</v>
      </c>
      <c r="N1338" s="1">
        <v>70</v>
      </c>
      <c r="O1338" s="2">
        <v>41957</v>
      </c>
      <c r="P1338" s="1">
        <v>25211</v>
      </c>
      <c r="Q1338" s="1" t="s">
        <v>197</v>
      </c>
      <c r="R1338" s="2">
        <v>42002</v>
      </c>
      <c r="S1338" s="1">
        <v>240049</v>
      </c>
      <c r="U1338" s="1">
        <v>17852</v>
      </c>
      <c r="V1338" s="1" t="s">
        <v>13429</v>
      </c>
      <c r="W1338" s="1" t="s">
        <v>264</v>
      </c>
      <c r="Y1338" s="1">
        <v>4</v>
      </c>
      <c r="Z1338" s="1" t="s">
        <v>370</v>
      </c>
      <c r="AA1338" s="1" t="s">
        <v>1057</v>
      </c>
      <c r="AB1338" s="1">
        <v>60031</v>
      </c>
      <c r="AD1338" s="1" t="s">
        <v>13430</v>
      </c>
      <c r="AE1338" s="1" t="s">
        <v>13431</v>
      </c>
      <c r="AF1338" s="1">
        <v>1993</v>
      </c>
      <c r="AG1338" s="1" t="s">
        <v>204</v>
      </c>
      <c r="AH1338" s="1" t="s">
        <v>1060</v>
      </c>
      <c r="AI1338" s="1" t="s">
        <v>509</v>
      </c>
      <c r="AJ1338" s="1" t="s">
        <v>1061</v>
      </c>
      <c r="AL1338" s="1">
        <v>5</v>
      </c>
      <c r="AM1338" s="1">
        <v>2</v>
      </c>
      <c r="AN1338" s="1">
        <v>2</v>
      </c>
      <c r="AO1338" s="1">
        <v>1</v>
      </c>
      <c r="AP1338" s="1" t="s">
        <v>209</v>
      </c>
      <c r="AR1338" s="1" t="s">
        <v>210</v>
      </c>
      <c r="AS1338" s="1" t="s">
        <v>204</v>
      </c>
      <c r="AT1338" s="1" t="s">
        <v>211</v>
      </c>
      <c r="AU1338" s="1">
        <v>1</v>
      </c>
      <c r="AW1338" s="1" t="s">
        <v>204</v>
      </c>
      <c r="AX1338" s="1" t="s">
        <v>1813</v>
      </c>
      <c r="AZ1338" s="3">
        <v>3655</v>
      </c>
      <c r="BA1338" s="1">
        <v>2012</v>
      </c>
      <c r="BE1338" s="1">
        <v>1268</v>
      </c>
      <c r="BF1338" s="1">
        <v>1</v>
      </c>
      <c r="BG1338" s="1">
        <v>0</v>
      </c>
      <c r="BL1338" s="1">
        <v>170</v>
      </c>
      <c r="BM1338" s="1" t="s">
        <v>204</v>
      </c>
      <c r="BN1338" s="1" t="s">
        <v>213</v>
      </c>
      <c r="BO1338" s="1">
        <v>999</v>
      </c>
      <c r="BP1338" s="1" t="s">
        <v>204</v>
      </c>
      <c r="BR1338" s="1" t="str">
        <f>"07083150260000"</f>
        <v>07083150260000</v>
      </c>
      <c r="BT1338" s="1" t="s">
        <v>13432</v>
      </c>
      <c r="BU1338" s="1" t="s">
        <v>1064</v>
      </c>
      <c r="BV1338" s="1" t="s">
        <v>1065</v>
      </c>
      <c r="BW1338" s="1" t="s">
        <v>1066</v>
      </c>
      <c r="BX1338" s="1">
        <v>50</v>
      </c>
      <c r="BY1338" s="1">
        <v>50</v>
      </c>
      <c r="BZ1338" s="1">
        <v>121</v>
      </c>
      <c r="CB1338" s="1" t="str">
        <f>"36"</f>
        <v>36</v>
      </c>
      <c r="CC1338" s="1" t="str">
        <f>"0"</f>
        <v>0</v>
      </c>
      <c r="CD1338" s="1">
        <v>17</v>
      </c>
      <c r="CE1338" s="1">
        <v>0</v>
      </c>
      <c r="CG1338" s="1" t="s">
        <v>278</v>
      </c>
      <c r="CH1338" s="1" t="s">
        <v>219</v>
      </c>
      <c r="CI1338" s="1" t="s">
        <v>220</v>
      </c>
      <c r="CK1338" s="1" t="s">
        <v>228</v>
      </c>
      <c r="CL1338" s="1" t="s">
        <v>277</v>
      </c>
      <c r="CM1338" s="1" t="s">
        <v>220</v>
      </c>
      <c r="CO1338" s="1" t="s">
        <v>1598</v>
      </c>
      <c r="CP1338" s="1" t="s">
        <v>219</v>
      </c>
      <c r="CQ1338" s="1" t="s">
        <v>220</v>
      </c>
      <c r="CR1338" s="1" t="s">
        <v>210</v>
      </c>
      <c r="CS1338" s="1" t="s">
        <v>465</v>
      </c>
      <c r="CT1338" s="1" t="s">
        <v>277</v>
      </c>
      <c r="CU1338" s="1" t="s">
        <v>220</v>
      </c>
      <c r="CX1338" s="1" t="s">
        <v>224</v>
      </c>
      <c r="DB1338" s="1" t="s">
        <v>224</v>
      </c>
      <c r="DE1338" s="1" t="s">
        <v>786</v>
      </c>
      <c r="DF1338" s="1" t="s">
        <v>219</v>
      </c>
      <c r="DG1338" s="1" t="s">
        <v>342</v>
      </c>
      <c r="DH1338" s="1" t="s">
        <v>210</v>
      </c>
      <c r="DJ1338" s="1" t="s">
        <v>224</v>
      </c>
      <c r="DS1338" s="1" t="s">
        <v>230</v>
      </c>
      <c r="DW1338" s="1" t="s">
        <v>230</v>
      </c>
      <c r="EA1338" s="1" t="s">
        <v>230</v>
      </c>
      <c r="EE1338" s="1" t="s">
        <v>230</v>
      </c>
      <c r="EI1338" s="1" t="s">
        <v>230</v>
      </c>
      <c r="EL1338" s="1" t="s">
        <v>382</v>
      </c>
      <c r="EM1338" s="1" t="s">
        <v>319</v>
      </c>
      <c r="EN1338" s="1" t="s">
        <v>282</v>
      </c>
      <c r="EO1338" s="1" t="s">
        <v>234</v>
      </c>
      <c r="EQ1338" s="1" t="s">
        <v>236</v>
      </c>
      <c r="ER1338" s="1" t="s">
        <v>210</v>
      </c>
      <c r="EW1338" s="1" t="s">
        <v>887</v>
      </c>
      <c r="EZ1338" s="1" t="s">
        <v>287</v>
      </c>
      <c r="FD1338" s="1" t="s">
        <v>246</v>
      </c>
      <c r="FE1338" s="1" t="s">
        <v>472</v>
      </c>
      <c r="FF1338" s="1" t="s">
        <v>248</v>
      </c>
      <c r="FH1338" s="1" t="s">
        <v>550</v>
      </c>
      <c r="FL1338" s="1" t="s">
        <v>358</v>
      </c>
      <c r="FM1338" s="1" t="s">
        <v>252</v>
      </c>
      <c r="FN1338" s="1" t="s">
        <v>213</v>
      </c>
      <c r="FO1338" s="1" t="s">
        <v>213</v>
      </c>
      <c r="FQ1338" s="1" t="s">
        <v>13433</v>
      </c>
      <c r="FR1338" s="1" t="s">
        <v>210</v>
      </c>
      <c r="FS1338" s="1" t="s">
        <v>13434</v>
      </c>
      <c r="FT1338" s="1" t="s">
        <v>362</v>
      </c>
      <c r="FU1338" s="1" t="s">
        <v>204</v>
      </c>
      <c r="FW1338" s="1" t="s">
        <v>1077</v>
      </c>
      <c r="FX1338" s="1">
        <v>2752</v>
      </c>
      <c r="FY1338" s="1" t="s">
        <v>1078</v>
      </c>
      <c r="FZ1338" s="1" t="s">
        <v>13435</v>
      </c>
      <c r="GA1338" s="1">
        <v>82558</v>
      </c>
      <c r="GB1338" s="1" t="s">
        <v>13436</v>
      </c>
      <c r="GE1338" s="1" t="s">
        <v>210</v>
      </c>
      <c r="GH1338" s="1" t="s">
        <v>589</v>
      </c>
      <c r="GI1338" s="1" t="s">
        <v>213</v>
      </c>
      <c r="GJ1338" s="1" t="s">
        <v>260</v>
      </c>
      <c r="GK1338" s="1" t="s">
        <v>210</v>
      </c>
      <c r="GL1338" s="2">
        <v>42002</v>
      </c>
      <c r="GM1338" s="1" t="s">
        <v>13437</v>
      </c>
    </row>
    <row r="1339" spans="1:195">
      <c r="A1339" s="1">
        <v>84300</v>
      </c>
      <c r="B1339" s="1" t="s">
        <v>195</v>
      </c>
      <c r="C1339" s="1" t="str">
        <f>"08663974"</f>
        <v>08663974</v>
      </c>
      <c r="D1339" s="1" t="s">
        <v>196</v>
      </c>
      <c r="F1339" s="1" t="str">
        <f>"545"</f>
        <v>545</v>
      </c>
      <c r="G1339" s="2">
        <v>41825</v>
      </c>
      <c r="H1339" s="1">
        <v>78000</v>
      </c>
      <c r="I1339" s="1">
        <v>78000</v>
      </c>
      <c r="J1339" s="1">
        <v>84300</v>
      </c>
      <c r="K1339" s="2">
        <v>41825</v>
      </c>
      <c r="L1339" s="1">
        <v>3</v>
      </c>
      <c r="M1339" s="2">
        <v>41827</v>
      </c>
      <c r="N1339" s="1">
        <v>3</v>
      </c>
      <c r="O1339" s="2">
        <v>41827</v>
      </c>
      <c r="P1339" s="1">
        <v>23156</v>
      </c>
      <c r="Q1339" s="1" t="s">
        <v>302</v>
      </c>
      <c r="R1339" s="2">
        <v>42009</v>
      </c>
      <c r="S1339" s="1">
        <v>215006</v>
      </c>
      <c r="U1339" s="1">
        <v>3920</v>
      </c>
      <c r="V1339" s="1" t="s">
        <v>8498</v>
      </c>
      <c r="W1339" s="1" t="s">
        <v>725</v>
      </c>
      <c r="Y1339" s="1">
        <v>4</v>
      </c>
      <c r="Z1339" s="1" t="s">
        <v>370</v>
      </c>
      <c r="AA1339" s="1" t="s">
        <v>1335</v>
      </c>
      <c r="AB1339" s="1">
        <v>60545</v>
      </c>
      <c r="AD1339" s="1" t="s">
        <v>8499</v>
      </c>
      <c r="AE1339" s="1" t="s">
        <v>13438</v>
      </c>
      <c r="AF1339" s="1">
        <v>2008</v>
      </c>
      <c r="AG1339" s="1" t="s">
        <v>204</v>
      </c>
      <c r="AH1339" s="1" t="s">
        <v>1338</v>
      </c>
      <c r="AI1339" s="1" t="s">
        <v>453</v>
      </c>
      <c r="AJ1339" s="1" t="s">
        <v>1339</v>
      </c>
      <c r="AK1339" s="1" t="s">
        <v>9888</v>
      </c>
      <c r="AL1339" s="1">
        <v>6</v>
      </c>
      <c r="AM1339" s="1">
        <v>2</v>
      </c>
      <c r="AN1339" s="1">
        <v>2</v>
      </c>
      <c r="AO1339" s="1">
        <v>1</v>
      </c>
      <c r="AP1339" s="1" t="s">
        <v>209</v>
      </c>
      <c r="AQ1339" s="1">
        <v>1</v>
      </c>
      <c r="AR1339" s="1" t="s">
        <v>210</v>
      </c>
      <c r="AS1339" s="1" t="s">
        <v>204</v>
      </c>
      <c r="AT1339" s="1" t="s">
        <v>211</v>
      </c>
      <c r="AU1339" s="1">
        <v>2</v>
      </c>
      <c r="AW1339" s="1" t="s">
        <v>204</v>
      </c>
      <c r="AX1339" s="1" t="s">
        <v>212</v>
      </c>
      <c r="AZ1339" s="1">
        <v>4001.68</v>
      </c>
      <c r="BA1339" s="1">
        <v>2012</v>
      </c>
      <c r="BB1339" s="1" t="s">
        <v>405</v>
      </c>
      <c r="BE1339" s="1">
        <v>1474</v>
      </c>
      <c r="BF1339" s="1">
        <v>1</v>
      </c>
      <c r="BG1339" s="1">
        <v>15</v>
      </c>
      <c r="BL1339" s="1">
        <v>134</v>
      </c>
      <c r="BM1339" s="1" t="s">
        <v>204</v>
      </c>
      <c r="BN1339" s="1" t="s">
        <v>213</v>
      </c>
      <c r="BO1339" s="1">
        <v>0</v>
      </c>
      <c r="BP1339" s="1" t="s">
        <v>204</v>
      </c>
      <c r="BR1339" s="1" t="str">
        <f>"0125204030"</f>
        <v>0125204030</v>
      </c>
      <c r="BT1339" s="1" t="s">
        <v>13439</v>
      </c>
      <c r="BX1339" s="1">
        <v>88</v>
      </c>
      <c r="BY1339" s="1">
        <v>88</v>
      </c>
      <c r="BZ1339" s="1">
        <v>88</v>
      </c>
      <c r="CB1339" s="1" t="str">
        <f t="shared" ref="CB1339:CC1339" si="1028">""</f>
        <v/>
      </c>
      <c r="CC1339" s="1" t="str">
        <f t="shared" si="1028"/>
        <v/>
      </c>
      <c r="CG1339" s="1" t="s">
        <v>13440</v>
      </c>
      <c r="CH1339" s="1" t="s">
        <v>219</v>
      </c>
      <c r="CI1339" s="1" t="s">
        <v>220</v>
      </c>
      <c r="CK1339" s="1" t="s">
        <v>1403</v>
      </c>
      <c r="CL1339" s="1" t="s">
        <v>277</v>
      </c>
      <c r="CM1339" s="1" t="s">
        <v>220</v>
      </c>
      <c r="CO1339" s="1" t="s">
        <v>951</v>
      </c>
      <c r="CP1339" s="1" t="s">
        <v>219</v>
      </c>
      <c r="CQ1339" s="1" t="s">
        <v>438</v>
      </c>
      <c r="CS1339" s="1" t="s">
        <v>346</v>
      </c>
      <c r="CT1339" s="1" t="s">
        <v>277</v>
      </c>
      <c r="CU1339" s="1" t="s">
        <v>220</v>
      </c>
      <c r="CX1339" s="1" t="s">
        <v>224</v>
      </c>
      <c r="DB1339" s="1" t="s">
        <v>224</v>
      </c>
      <c r="DE1339" s="1" t="s">
        <v>1469</v>
      </c>
      <c r="DF1339" s="1" t="s">
        <v>219</v>
      </c>
      <c r="DG1339" s="1" t="s">
        <v>438</v>
      </c>
      <c r="DJ1339" s="1" t="s">
        <v>224</v>
      </c>
      <c r="DM1339" s="1" t="s">
        <v>464</v>
      </c>
      <c r="DR1339" s="1" t="s">
        <v>1403</v>
      </c>
      <c r="DS1339" s="1" t="s">
        <v>277</v>
      </c>
      <c r="DT1339" s="1" t="s">
        <v>220</v>
      </c>
      <c r="DW1339" s="1" t="s">
        <v>230</v>
      </c>
      <c r="EA1339" s="1" t="s">
        <v>230</v>
      </c>
      <c r="EE1339" s="1" t="s">
        <v>230</v>
      </c>
      <c r="EI1339" s="1" t="s">
        <v>230</v>
      </c>
      <c r="EL1339" s="1" t="s">
        <v>491</v>
      </c>
      <c r="EM1339" s="1" t="s">
        <v>319</v>
      </c>
      <c r="EN1339" s="1" t="s">
        <v>282</v>
      </c>
      <c r="EO1339" s="1" t="s">
        <v>234</v>
      </c>
      <c r="EP1339" s="1" t="s">
        <v>8505</v>
      </c>
      <c r="ER1339" s="1" t="s">
        <v>210</v>
      </c>
      <c r="ET1339" s="1" t="s">
        <v>2404</v>
      </c>
      <c r="EV1339" s="1" t="s">
        <v>324</v>
      </c>
      <c r="EW1339" s="1" t="s">
        <v>1679</v>
      </c>
      <c r="EZ1339" s="1" t="s">
        <v>464</v>
      </c>
      <c r="FD1339" s="1" t="s">
        <v>246</v>
      </c>
      <c r="FE1339" s="1" t="s">
        <v>975</v>
      </c>
      <c r="FF1339" s="1" t="s">
        <v>248</v>
      </c>
      <c r="FG1339" s="1" t="s">
        <v>292</v>
      </c>
      <c r="FH1339" s="1" t="s">
        <v>550</v>
      </c>
      <c r="FI1339" s="1" t="s">
        <v>357</v>
      </c>
      <c r="FL1339" s="1" t="s">
        <v>358</v>
      </c>
      <c r="FM1339" s="1" t="s">
        <v>252</v>
      </c>
      <c r="FN1339" s="1" t="s">
        <v>213</v>
      </c>
      <c r="FO1339" s="1" t="s">
        <v>213</v>
      </c>
      <c r="FQ1339" s="1" t="s">
        <v>329</v>
      </c>
      <c r="FR1339" s="1" t="s">
        <v>360</v>
      </c>
      <c r="FS1339" s="1" t="s">
        <v>13441</v>
      </c>
      <c r="FT1339" s="1" t="s">
        <v>295</v>
      </c>
      <c r="FU1339" s="1" t="s">
        <v>204</v>
      </c>
      <c r="FW1339" s="1" t="s">
        <v>2726</v>
      </c>
      <c r="FX1339" s="1">
        <v>1109</v>
      </c>
      <c r="FY1339" s="1" t="s">
        <v>2727</v>
      </c>
      <c r="FZ1339" s="1" t="s">
        <v>13442</v>
      </c>
      <c r="GA1339" s="1">
        <v>29430</v>
      </c>
      <c r="GB1339" s="1" t="s">
        <v>13443</v>
      </c>
      <c r="GD1339" s="1" t="s">
        <v>13444</v>
      </c>
      <c r="GE1339" s="1" t="s">
        <v>480</v>
      </c>
      <c r="GI1339" s="1" t="s">
        <v>213</v>
      </c>
      <c r="GJ1339" s="1" t="s">
        <v>260</v>
      </c>
      <c r="GK1339" s="1" t="s">
        <v>210</v>
      </c>
      <c r="GL1339" s="2">
        <v>42009</v>
      </c>
      <c r="GM1339" s="2" t="s">
        <v>13445</v>
      </c>
    </row>
    <row r="1340" spans="1:195">
      <c r="A1340" s="1">
        <v>386275</v>
      </c>
      <c r="B1340" s="1" t="s">
        <v>195</v>
      </c>
      <c r="C1340" s="1" t="str">
        <f>"08662992"</f>
        <v>08662992</v>
      </c>
      <c r="D1340" s="1" t="s">
        <v>196</v>
      </c>
      <c r="F1340" s="1" t="str">
        <f>"521"</f>
        <v>521</v>
      </c>
      <c r="G1340" s="2">
        <v>41823</v>
      </c>
      <c r="H1340" s="1">
        <v>359000</v>
      </c>
      <c r="I1340" s="1">
        <v>359000</v>
      </c>
      <c r="J1340" s="1">
        <v>386275</v>
      </c>
      <c r="K1340" s="2">
        <v>41823</v>
      </c>
      <c r="L1340" s="1">
        <v>78</v>
      </c>
      <c r="M1340" s="2">
        <v>41900</v>
      </c>
      <c r="N1340" s="1">
        <v>78</v>
      </c>
      <c r="O1340" s="2">
        <v>41900</v>
      </c>
      <c r="P1340" s="1">
        <v>22049</v>
      </c>
      <c r="Q1340" s="1" t="s">
        <v>197</v>
      </c>
      <c r="R1340" s="2">
        <v>41983</v>
      </c>
      <c r="S1340" s="1">
        <v>242034</v>
      </c>
      <c r="U1340" s="1">
        <v>7</v>
      </c>
      <c r="V1340" s="1" t="s">
        <v>1537</v>
      </c>
      <c r="W1340" s="1" t="s">
        <v>504</v>
      </c>
      <c r="X1340" s="1">
        <v>305</v>
      </c>
      <c r="Y1340" s="1">
        <v>23</v>
      </c>
      <c r="Z1340" s="1" t="s">
        <v>249</v>
      </c>
      <c r="AA1340" s="1" t="s">
        <v>1538</v>
      </c>
      <c r="AB1340" s="1">
        <v>60521</v>
      </c>
      <c r="AD1340" s="1" t="s">
        <v>1539</v>
      </c>
      <c r="AE1340" s="1" t="s">
        <v>1540</v>
      </c>
      <c r="AF1340" s="1">
        <v>2013</v>
      </c>
      <c r="AG1340" s="1" t="s">
        <v>204</v>
      </c>
      <c r="AH1340" s="1" t="s">
        <v>1541</v>
      </c>
      <c r="AI1340" s="1" t="s">
        <v>206</v>
      </c>
      <c r="AJ1340" s="1" t="s">
        <v>903</v>
      </c>
      <c r="AK1340" s="1" t="s">
        <v>5495</v>
      </c>
      <c r="AL1340" s="1">
        <v>6</v>
      </c>
      <c r="AM1340" s="1">
        <v>2</v>
      </c>
      <c r="AN1340" s="1">
        <v>1</v>
      </c>
      <c r="AO1340" s="1">
        <v>1</v>
      </c>
      <c r="AP1340" s="1" t="s">
        <v>209</v>
      </c>
      <c r="AQ1340" s="1">
        <v>1</v>
      </c>
      <c r="AR1340" s="1" t="s">
        <v>210</v>
      </c>
      <c r="AS1340" s="1" t="s">
        <v>204</v>
      </c>
      <c r="AT1340" s="1" t="s">
        <v>211</v>
      </c>
      <c r="AU1340" s="1">
        <v>1</v>
      </c>
      <c r="AW1340" s="1" t="s">
        <v>204</v>
      </c>
      <c r="AX1340" s="1" t="s">
        <v>212</v>
      </c>
      <c r="AZ1340" s="1" t="s">
        <v>751</v>
      </c>
      <c r="BA1340" s="1">
        <v>2012</v>
      </c>
      <c r="BE1340" s="1">
        <v>1466</v>
      </c>
      <c r="BF1340" s="1">
        <v>2</v>
      </c>
      <c r="BG1340" s="1">
        <v>0</v>
      </c>
      <c r="BL1340" s="1">
        <v>341</v>
      </c>
      <c r="BM1340" s="1" t="s">
        <v>204</v>
      </c>
      <c r="BN1340" s="1" t="s">
        <v>213</v>
      </c>
      <c r="BO1340" s="1">
        <v>999</v>
      </c>
      <c r="BP1340" s="1" t="s">
        <v>213</v>
      </c>
      <c r="BQ1340" s="2">
        <v>41791</v>
      </c>
      <c r="BR1340" s="1" t="str">
        <f>"0913104021"</f>
        <v>0913104021</v>
      </c>
      <c r="BT1340" s="1" t="s">
        <v>13446</v>
      </c>
      <c r="BU1340" s="1" t="s">
        <v>1544</v>
      </c>
      <c r="BV1340" s="1" t="s">
        <v>1545</v>
      </c>
      <c r="BW1340" s="1" t="s">
        <v>1546</v>
      </c>
      <c r="BX1340" s="1">
        <v>181</v>
      </c>
      <c r="BY1340" s="1">
        <v>181</v>
      </c>
      <c r="BZ1340" s="1">
        <v>86</v>
      </c>
      <c r="CB1340" s="1" t="str">
        <f t="shared" ref="CB1340:CC1340" si="1029">""</f>
        <v/>
      </c>
      <c r="CC1340" s="1" t="str">
        <f t="shared" si="1029"/>
        <v/>
      </c>
      <c r="CG1340" s="1" t="s">
        <v>2992</v>
      </c>
      <c r="CH1340" s="1" t="s">
        <v>219</v>
      </c>
      <c r="CK1340" s="1" t="s">
        <v>1045</v>
      </c>
      <c r="CL1340" s="1" t="s">
        <v>219</v>
      </c>
      <c r="CM1340" s="1" t="s">
        <v>220</v>
      </c>
      <c r="CO1340" s="1" t="s">
        <v>629</v>
      </c>
      <c r="CP1340" s="1" t="s">
        <v>219</v>
      </c>
      <c r="CS1340" s="1" t="s">
        <v>317</v>
      </c>
      <c r="CT1340" s="1" t="s">
        <v>219</v>
      </c>
      <c r="CU1340" s="1" t="s">
        <v>220</v>
      </c>
      <c r="CX1340" s="1" t="s">
        <v>224</v>
      </c>
      <c r="DB1340" s="1" t="s">
        <v>224</v>
      </c>
      <c r="DE1340" s="1" t="s">
        <v>1297</v>
      </c>
      <c r="DF1340" s="1" t="s">
        <v>219</v>
      </c>
      <c r="DG1340" s="1" t="s">
        <v>438</v>
      </c>
      <c r="DJ1340" s="1" t="s">
        <v>224</v>
      </c>
      <c r="DM1340" s="1" t="s">
        <v>1005</v>
      </c>
      <c r="DR1340" s="1" t="s">
        <v>318</v>
      </c>
      <c r="DS1340" s="1" t="s">
        <v>219</v>
      </c>
      <c r="DW1340" s="1" t="s">
        <v>230</v>
      </c>
      <c r="EA1340" s="1" t="s">
        <v>230</v>
      </c>
      <c r="EE1340" s="1" t="s">
        <v>230</v>
      </c>
      <c r="EI1340" s="1" t="s">
        <v>230</v>
      </c>
      <c r="EL1340" s="1" t="s">
        <v>760</v>
      </c>
      <c r="EM1340" s="1" t="s">
        <v>232</v>
      </c>
      <c r="EN1340" s="1" t="s">
        <v>282</v>
      </c>
      <c r="EO1340" s="1" t="s">
        <v>234</v>
      </c>
      <c r="EP1340" s="1" t="s">
        <v>1550</v>
      </c>
      <c r="EQ1340" s="1" t="s">
        <v>1551</v>
      </c>
      <c r="ER1340" s="1" t="s">
        <v>210</v>
      </c>
      <c r="ES1340" s="1" t="s">
        <v>1552</v>
      </c>
      <c r="ET1340" s="1" t="s">
        <v>866</v>
      </c>
      <c r="EU1340" s="1" t="s">
        <v>712</v>
      </c>
      <c r="EV1340" s="1" t="s">
        <v>1553</v>
      </c>
      <c r="EW1340" s="1" t="s">
        <v>13447</v>
      </c>
      <c r="EY1340" s="1" t="s">
        <v>242</v>
      </c>
      <c r="EZ1340" s="1" t="s">
        <v>1005</v>
      </c>
      <c r="FA1340" s="1" t="s">
        <v>1554</v>
      </c>
      <c r="FB1340" s="1" t="s">
        <v>289</v>
      </c>
      <c r="FC1340" s="1" t="s">
        <v>326</v>
      </c>
      <c r="FD1340" s="1" t="s">
        <v>246</v>
      </c>
      <c r="FE1340" s="1" t="s">
        <v>1556</v>
      </c>
      <c r="FF1340" s="1" t="s">
        <v>248</v>
      </c>
      <c r="FH1340" s="1" t="s">
        <v>716</v>
      </c>
      <c r="FI1340" s="1" t="s">
        <v>250</v>
      </c>
      <c r="FL1340" s="1" t="s">
        <v>358</v>
      </c>
      <c r="FM1340" s="1" t="s">
        <v>252</v>
      </c>
      <c r="FN1340" s="1" t="s">
        <v>213</v>
      </c>
      <c r="FO1340" s="1" t="s">
        <v>213</v>
      </c>
      <c r="FQ1340" s="1" t="s">
        <v>2293</v>
      </c>
      <c r="FR1340" s="1" t="s">
        <v>652</v>
      </c>
      <c r="FS1340" s="1" t="s">
        <v>13448</v>
      </c>
      <c r="FT1340" s="1" t="s">
        <v>255</v>
      </c>
      <c r="FU1340" s="1" t="s">
        <v>204</v>
      </c>
      <c r="FW1340" s="1" t="s">
        <v>1559</v>
      </c>
      <c r="FX1340" s="1">
        <v>10900</v>
      </c>
      <c r="FY1340" s="1" t="s">
        <v>1560</v>
      </c>
      <c r="FZ1340" s="1" t="s">
        <v>1561</v>
      </c>
      <c r="GA1340" s="1">
        <v>116598</v>
      </c>
      <c r="GB1340" s="1" t="s">
        <v>1562</v>
      </c>
      <c r="GE1340" s="1" t="s">
        <v>658</v>
      </c>
      <c r="GH1340" s="1" t="s">
        <v>800</v>
      </c>
      <c r="GI1340" s="1" t="s">
        <v>213</v>
      </c>
      <c r="GJ1340" s="1" t="s">
        <v>260</v>
      </c>
      <c r="GK1340" s="1" t="s">
        <v>210</v>
      </c>
      <c r="GL1340" s="2">
        <v>41983</v>
      </c>
      <c r="GM1340" s="1" t="s">
        <v>13449</v>
      </c>
    </row>
    <row r="1341" spans="1:195">
      <c r="A1341" s="1">
        <v>140000</v>
      </c>
      <c r="B1341" s="1" t="s">
        <v>195</v>
      </c>
      <c r="C1341" s="1" t="str">
        <f>"08668783"</f>
        <v>08668783</v>
      </c>
      <c r="D1341" s="1" t="s">
        <v>196</v>
      </c>
      <c r="F1341" s="1" t="str">
        <f>"555"</f>
        <v>555</v>
      </c>
      <c r="G1341" s="2">
        <v>41830</v>
      </c>
      <c r="H1341" s="1">
        <v>140000</v>
      </c>
      <c r="I1341" s="1">
        <v>135000</v>
      </c>
      <c r="J1341" s="1">
        <v>140000</v>
      </c>
      <c r="K1341" s="2">
        <v>41830</v>
      </c>
      <c r="L1341" s="1">
        <v>202</v>
      </c>
      <c r="M1341" s="2">
        <v>42031</v>
      </c>
      <c r="N1341" s="1">
        <v>202</v>
      </c>
      <c r="O1341" s="2">
        <v>42031</v>
      </c>
      <c r="P1341" s="1">
        <v>25088</v>
      </c>
      <c r="Q1341" s="1" t="s">
        <v>197</v>
      </c>
      <c r="R1341" s="2">
        <v>42114</v>
      </c>
      <c r="S1341" s="1">
        <v>256862</v>
      </c>
      <c r="U1341" s="1" t="s">
        <v>13450</v>
      </c>
      <c r="V1341" s="1" t="s">
        <v>4986</v>
      </c>
      <c r="W1341" s="1" t="s">
        <v>264</v>
      </c>
      <c r="Y1341" s="1">
        <v>4</v>
      </c>
      <c r="Z1341" s="1" t="s">
        <v>249</v>
      </c>
      <c r="AA1341" s="1" t="s">
        <v>984</v>
      </c>
      <c r="AB1341" s="1">
        <v>60555</v>
      </c>
      <c r="AD1341" s="1" t="s">
        <v>11829</v>
      </c>
      <c r="AE1341" s="1" t="s">
        <v>13451</v>
      </c>
      <c r="AF1341" s="1">
        <v>1989</v>
      </c>
      <c r="AG1341" s="1" t="s">
        <v>204</v>
      </c>
      <c r="AH1341" s="1" t="s">
        <v>986</v>
      </c>
      <c r="AI1341" s="1" t="s">
        <v>206</v>
      </c>
      <c r="AJ1341" s="1" t="s">
        <v>987</v>
      </c>
      <c r="AK1341" s="1" t="s">
        <v>5115</v>
      </c>
      <c r="AL1341" s="1">
        <v>6</v>
      </c>
      <c r="AM1341" s="1">
        <v>2</v>
      </c>
      <c r="AN1341" s="1">
        <v>1</v>
      </c>
      <c r="AO1341" s="1">
        <v>1</v>
      </c>
      <c r="AP1341" s="1" t="s">
        <v>667</v>
      </c>
      <c r="AQ1341" s="1">
        <v>1</v>
      </c>
      <c r="AR1341" s="1" t="s">
        <v>210</v>
      </c>
      <c r="AS1341" s="1" t="s">
        <v>204</v>
      </c>
      <c r="AT1341" s="1" t="s">
        <v>211</v>
      </c>
      <c r="AU1341" s="1">
        <v>2</v>
      </c>
      <c r="AW1341" s="1" t="s">
        <v>204</v>
      </c>
      <c r="AX1341" s="1" t="s">
        <v>212</v>
      </c>
      <c r="AZ1341" s="1">
        <v>3493</v>
      </c>
      <c r="BA1341" s="1">
        <v>2013</v>
      </c>
      <c r="BB1341" s="1" t="s">
        <v>405</v>
      </c>
      <c r="BE1341" s="1">
        <v>1448</v>
      </c>
      <c r="BF1341" s="1">
        <v>1</v>
      </c>
      <c r="BG1341" s="1">
        <v>0</v>
      </c>
      <c r="BL1341" s="1">
        <v>205</v>
      </c>
      <c r="BM1341" s="1" t="s">
        <v>204</v>
      </c>
      <c r="BN1341" s="1" t="s">
        <v>213</v>
      </c>
      <c r="BO1341" s="1">
        <v>0</v>
      </c>
      <c r="BP1341" s="1" t="s">
        <v>204</v>
      </c>
      <c r="BR1341" s="1" t="str">
        <f>"0434124020"</f>
        <v>0434124020</v>
      </c>
      <c r="BT1341" s="1" t="s">
        <v>13452</v>
      </c>
      <c r="BU1341" s="1" t="s">
        <v>989</v>
      </c>
      <c r="BV1341" s="1" t="s">
        <v>990</v>
      </c>
      <c r="BW1341" s="1" t="s">
        <v>971</v>
      </c>
      <c r="BX1341" s="1">
        <v>200</v>
      </c>
      <c r="BY1341" s="1">
        <v>200</v>
      </c>
      <c r="BZ1341" s="1">
        <v>200</v>
      </c>
      <c r="CB1341" s="1" t="str">
        <f t="shared" ref="CB1341:CC1341" si="1030">""</f>
        <v/>
      </c>
      <c r="CC1341" s="1" t="str">
        <f t="shared" si="1030"/>
        <v/>
      </c>
      <c r="CG1341" s="1" t="s">
        <v>538</v>
      </c>
      <c r="CH1341" s="1" t="s">
        <v>219</v>
      </c>
      <c r="CI1341" s="1" t="s">
        <v>229</v>
      </c>
      <c r="CJ1341" s="1" t="s">
        <v>210</v>
      </c>
      <c r="CK1341" s="1" t="s">
        <v>218</v>
      </c>
      <c r="CL1341" s="1" t="s">
        <v>277</v>
      </c>
      <c r="CM1341" s="1" t="s">
        <v>220</v>
      </c>
      <c r="CN1341" s="1" t="s">
        <v>210</v>
      </c>
      <c r="CO1341" s="1" t="s">
        <v>630</v>
      </c>
      <c r="CP1341" s="1" t="s">
        <v>219</v>
      </c>
      <c r="CQ1341" s="1" t="s">
        <v>229</v>
      </c>
      <c r="CR1341" s="1" t="s">
        <v>343</v>
      </c>
      <c r="CS1341" s="1" t="s">
        <v>465</v>
      </c>
      <c r="CT1341" s="1" t="s">
        <v>277</v>
      </c>
      <c r="CU1341" s="1" t="s">
        <v>220</v>
      </c>
      <c r="CV1341" s="1" t="s">
        <v>210</v>
      </c>
      <c r="CX1341" s="1" t="s">
        <v>224</v>
      </c>
      <c r="DB1341" s="1" t="s">
        <v>224</v>
      </c>
      <c r="DE1341" s="1" t="s">
        <v>2899</v>
      </c>
      <c r="DF1341" s="1" t="s">
        <v>219</v>
      </c>
      <c r="DG1341" s="1" t="s">
        <v>342</v>
      </c>
      <c r="DH1341" s="1" t="s">
        <v>210</v>
      </c>
      <c r="DI1341" s="1" t="s">
        <v>8108</v>
      </c>
      <c r="DJ1341" s="1" t="s">
        <v>277</v>
      </c>
      <c r="DK1341" s="1" t="s">
        <v>220</v>
      </c>
      <c r="DL1341" s="1" t="s">
        <v>343</v>
      </c>
      <c r="DS1341" s="1" t="s">
        <v>230</v>
      </c>
      <c r="DW1341" s="1" t="s">
        <v>230</v>
      </c>
      <c r="EA1341" s="1" t="s">
        <v>230</v>
      </c>
      <c r="EE1341" s="1" t="s">
        <v>230</v>
      </c>
      <c r="EI1341" s="1" t="s">
        <v>230</v>
      </c>
      <c r="EL1341" s="1" t="s">
        <v>542</v>
      </c>
      <c r="EM1341" s="1" t="s">
        <v>319</v>
      </c>
      <c r="EN1341" s="1" t="s">
        <v>282</v>
      </c>
      <c r="EO1341" s="1" t="s">
        <v>234</v>
      </c>
      <c r="EQ1341" s="1" t="s">
        <v>1094</v>
      </c>
      <c r="ER1341" s="1" t="s">
        <v>383</v>
      </c>
      <c r="ES1341" s="1" t="s">
        <v>545</v>
      </c>
      <c r="EU1341" s="1" t="s">
        <v>239</v>
      </c>
      <c r="EV1341" s="1" t="s">
        <v>240</v>
      </c>
      <c r="EW1341" s="1" t="s">
        <v>887</v>
      </c>
      <c r="EZ1341" s="1" t="s">
        <v>287</v>
      </c>
      <c r="FA1341" s="1" t="s">
        <v>471</v>
      </c>
      <c r="FB1341" s="1" t="s">
        <v>289</v>
      </c>
      <c r="FD1341" s="1" t="s">
        <v>246</v>
      </c>
      <c r="FE1341" s="1" t="s">
        <v>1220</v>
      </c>
      <c r="FF1341" s="1" t="s">
        <v>248</v>
      </c>
      <c r="FG1341" s="1" t="s">
        <v>1682</v>
      </c>
      <c r="FH1341" s="1" t="s">
        <v>550</v>
      </c>
      <c r="FI1341" s="1" t="s">
        <v>473</v>
      </c>
      <c r="FJ1341" s="1" t="s">
        <v>518</v>
      </c>
      <c r="FL1341" s="1" t="s">
        <v>358</v>
      </c>
      <c r="FM1341" s="1" t="s">
        <v>252</v>
      </c>
      <c r="FN1341" s="1" t="s">
        <v>213</v>
      </c>
      <c r="FO1341" s="1" t="s">
        <v>213</v>
      </c>
      <c r="FQ1341" s="1" t="s">
        <v>13453</v>
      </c>
      <c r="FR1341" s="1" t="s">
        <v>210</v>
      </c>
      <c r="FS1341" s="1" t="s">
        <v>13454</v>
      </c>
      <c r="FT1341" s="1" t="s">
        <v>362</v>
      </c>
      <c r="FU1341" s="1" t="s">
        <v>204</v>
      </c>
      <c r="FW1341" s="1" t="s">
        <v>915</v>
      </c>
      <c r="FX1341" s="1">
        <v>25088</v>
      </c>
      <c r="FY1341" s="1" t="s">
        <v>1761</v>
      </c>
      <c r="FZ1341" s="1" t="s">
        <v>13455</v>
      </c>
      <c r="GA1341" s="1">
        <v>256862</v>
      </c>
      <c r="GB1341" s="1" t="s">
        <v>13456</v>
      </c>
      <c r="GE1341" s="1" t="s">
        <v>480</v>
      </c>
      <c r="GI1341" s="1" t="s">
        <v>213</v>
      </c>
      <c r="GJ1341" s="1" t="s">
        <v>260</v>
      </c>
      <c r="GK1341" s="1" t="s">
        <v>210</v>
      </c>
      <c r="GL1341" s="2">
        <v>42114</v>
      </c>
      <c r="GM1341" s="1" t="s">
        <v>13457</v>
      </c>
    </row>
    <row r="1342" spans="1:195">
      <c r="A1342" s="1">
        <v>141500</v>
      </c>
      <c r="B1342" s="1" t="s">
        <v>195</v>
      </c>
      <c r="C1342" s="1" t="str">
        <f>"08661394"</f>
        <v>08661394</v>
      </c>
      <c r="D1342" s="1" t="s">
        <v>196</v>
      </c>
      <c r="F1342" s="1" t="str">
        <f>"137"</f>
        <v>137</v>
      </c>
      <c r="G1342" s="2">
        <v>41822</v>
      </c>
      <c r="H1342" s="1">
        <v>159900</v>
      </c>
      <c r="I1342" s="1">
        <v>149900</v>
      </c>
      <c r="J1342" s="1">
        <v>141500</v>
      </c>
      <c r="K1342" s="2">
        <v>41822</v>
      </c>
      <c r="L1342" s="1">
        <v>188</v>
      </c>
      <c r="M1342" s="2">
        <v>42009</v>
      </c>
      <c r="N1342" s="1">
        <v>188</v>
      </c>
      <c r="O1342" s="2">
        <v>42009</v>
      </c>
      <c r="P1342" s="1">
        <v>23163</v>
      </c>
      <c r="Q1342" s="1" t="s">
        <v>197</v>
      </c>
      <c r="R1342" s="2">
        <v>42062</v>
      </c>
      <c r="S1342" s="1">
        <v>254277</v>
      </c>
      <c r="U1342" s="1">
        <v>410</v>
      </c>
      <c r="V1342" s="1" t="s">
        <v>13458</v>
      </c>
      <c r="W1342" s="1" t="s">
        <v>425</v>
      </c>
      <c r="X1342" s="1">
        <v>102</v>
      </c>
      <c r="Y1342" s="1">
        <v>6</v>
      </c>
      <c r="Z1342" s="1" t="s">
        <v>249</v>
      </c>
      <c r="AA1342" s="1" t="s">
        <v>201</v>
      </c>
      <c r="AB1342" s="1">
        <v>60137</v>
      </c>
      <c r="AD1342" s="1" t="s">
        <v>13459</v>
      </c>
      <c r="AE1342" s="1" t="s">
        <v>13460</v>
      </c>
      <c r="AF1342" s="1">
        <v>1986</v>
      </c>
      <c r="AG1342" s="1" t="s">
        <v>204</v>
      </c>
      <c r="AH1342" s="1" t="s">
        <v>205</v>
      </c>
      <c r="AI1342" s="1" t="s">
        <v>206</v>
      </c>
      <c r="AJ1342" s="1" t="s">
        <v>207</v>
      </c>
      <c r="AL1342" s="1">
        <v>5</v>
      </c>
      <c r="AM1342" s="1">
        <v>2</v>
      </c>
      <c r="AN1342" s="1">
        <v>2</v>
      </c>
      <c r="AO1342" s="1">
        <v>0</v>
      </c>
      <c r="AP1342" s="1" t="s">
        <v>209</v>
      </c>
      <c r="AQ1342" s="1">
        <v>1</v>
      </c>
      <c r="AR1342" s="1" t="s">
        <v>210</v>
      </c>
      <c r="AS1342" s="1" t="s">
        <v>204</v>
      </c>
      <c r="AT1342" s="1" t="s">
        <v>211</v>
      </c>
      <c r="AU1342" s="1">
        <v>1</v>
      </c>
      <c r="AW1342" s="1" t="s">
        <v>204</v>
      </c>
      <c r="AX1342" s="1" t="s">
        <v>1528</v>
      </c>
      <c r="AZ1342" s="1">
        <v>3946</v>
      </c>
      <c r="BA1342" s="1">
        <v>2013</v>
      </c>
      <c r="BB1342" s="1" t="s">
        <v>2694</v>
      </c>
      <c r="BE1342" s="1">
        <v>1023</v>
      </c>
      <c r="BF1342" s="1">
        <v>1</v>
      </c>
      <c r="BG1342" s="1">
        <v>10</v>
      </c>
      <c r="BL1342" s="1">
        <v>273</v>
      </c>
      <c r="BM1342" s="1" t="s">
        <v>204</v>
      </c>
      <c r="BN1342" s="1" t="s">
        <v>213</v>
      </c>
      <c r="BO1342" s="1">
        <v>999</v>
      </c>
      <c r="BP1342" s="1" t="s">
        <v>204</v>
      </c>
      <c r="BR1342" s="1" t="str">
        <f>"0511332014"</f>
        <v>0511332014</v>
      </c>
      <c r="BT1342" s="1" t="s">
        <v>13461</v>
      </c>
      <c r="BU1342" s="1" t="s">
        <v>969</v>
      </c>
      <c r="BV1342" s="1" t="s">
        <v>2168</v>
      </c>
      <c r="BW1342" s="1" t="s">
        <v>2169</v>
      </c>
      <c r="BX1342" s="1">
        <v>41</v>
      </c>
      <c r="BY1342" s="1">
        <v>41</v>
      </c>
      <c r="BZ1342" s="1">
        <v>87</v>
      </c>
      <c r="CB1342" s="1" t="str">
        <f t="shared" ref="CB1342:CC1342" si="1031">"0"</f>
        <v>0</v>
      </c>
      <c r="CC1342" s="1" t="str">
        <f t="shared" si="1031"/>
        <v>0</v>
      </c>
      <c r="CD1342" s="1">
        <v>22</v>
      </c>
      <c r="CE1342" s="1">
        <v>0</v>
      </c>
      <c r="CG1342" s="1" t="s">
        <v>1045</v>
      </c>
      <c r="CH1342" s="1" t="s">
        <v>219</v>
      </c>
      <c r="CI1342" s="1" t="s">
        <v>438</v>
      </c>
      <c r="CJ1342" s="1" t="s">
        <v>252</v>
      </c>
      <c r="CK1342" s="1" t="s">
        <v>278</v>
      </c>
      <c r="CL1342" s="1" t="s">
        <v>219</v>
      </c>
      <c r="CM1342" s="1" t="s">
        <v>220</v>
      </c>
      <c r="CN1342" s="1" t="s">
        <v>252</v>
      </c>
      <c r="CO1342" s="1" t="s">
        <v>316</v>
      </c>
      <c r="CP1342" s="1" t="s">
        <v>219</v>
      </c>
      <c r="CQ1342" s="1" t="s">
        <v>229</v>
      </c>
      <c r="CS1342" s="1" t="s">
        <v>1297</v>
      </c>
      <c r="CT1342" s="1" t="s">
        <v>219</v>
      </c>
      <c r="CU1342" s="1" t="s">
        <v>220</v>
      </c>
      <c r="CV1342" s="1" t="s">
        <v>7316</v>
      </c>
      <c r="CX1342" s="1" t="s">
        <v>224</v>
      </c>
      <c r="DB1342" s="1" t="s">
        <v>224</v>
      </c>
      <c r="DE1342" s="1" t="s">
        <v>3284</v>
      </c>
      <c r="DF1342" s="1" t="s">
        <v>219</v>
      </c>
      <c r="DG1342" s="1" t="s">
        <v>226</v>
      </c>
      <c r="DH1342" s="1" t="s">
        <v>252</v>
      </c>
      <c r="DJ1342" s="1" t="s">
        <v>224</v>
      </c>
      <c r="DM1342" s="1" t="s">
        <v>3011</v>
      </c>
      <c r="DS1342" s="1" t="s">
        <v>230</v>
      </c>
      <c r="DW1342" s="1" t="s">
        <v>230</v>
      </c>
      <c r="EA1342" s="1" t="s">
        <v>230</v>
      </c>
      <c r="EE1342" s="1" t="s">
        <v>230</v>
      </c>
      <c r="EI1342" s="1" t="s">
        <v>230</v>
      </c>
      <c r="EL1342" s="1" t="s">
        <v>542</v>
      </c>
      <c r="EM1342" s="1" t="s">
        <v>232</v>
      </c>
      <c r="EN1342" s="1" t="s">
        <v>282</v>
      </c>
      <c r="EO1342" s="1" t="s">
        <v>234</v>
      </c>
      <c r="EP1342" s="1" t="s">
        <v>2172</v>
      </c>
      <c r="EQ1342" s="1" t="s">
        <v>236</v>
      </c>
      <c r="ER1342" s="1" t="s">
        <v>210</v>
      </c>
      <c r="ES1342" s="1" t="s">
        <v>493</v>
      </c>
      <c r="EU1342" s="1" t="s">
        <v>239</v>
      </c>
      <c r="EV1342" s="1" t="s">
        <v>352</v>
      </c>
      <c r="EW1342" s="1" t="s">
        <v>286</v>
      </c>
      <c r="EZ1342" s="1" t="s">
        <v>3011</v>
      </c>
      <c r="FD1342" s="1" t="s">
        <v>888</v>
      </c>
      <c r="FE1342" s="1" t="s">
        <v>247</v>
      </c>
      <c r="FF1342" s="1" t="s">
        <v>248</v>
      </c>
      <c r="FH1342" s="1" t="s">
        <v>249</v>
      </c>
      <c r="FI1342" s="1" t="s">
        <v>357</v>
      </c>
      <c r="FL1342" s="1" t="s">
        <v>358</v>
      </c>
      <c r="FM1342" s="1" t="s">
        <v>252</v>
      </c>
      <c r="FN1342" s="1" t="s">
        <v>213</v>
      </c>
      <c r="FO1342" s="1" t="s">
        <v>213</v>
      </c>
      <c r="FQ1342" s="1" t="s">
        <v>329</v>
      </c>
      <c r="FR1342" s="1" t="s">
        <v>6053</v>
      </c>
      <c r="FS1342" s="1" t="s">
        <v>13462</v>
      </c>
      <c r="FT1342" s="1" t="s">
        <v>295</v>
      </c>
      <c r="FU1342" s="1" t="s">
        <v>204</v>
      </c>
      <c r="FW1342" s="1" t="s">
        <v>256</v>
      </c>
      <c r="FX1342" s="1">
        <v>25244</v>
      </c>
      <c r="FY1342" s="1" t="s">
        <v>1365</v>
      </c>
      <c r="FZ1342" s="1" t="s">
        <v>13463</v>
      </c>
      <c r="GA1342" s="1">
        <v>251121</v>
      </c>
      <c r="GB1342" s="1" t="s">
        <v>13464</v>
      </c>
      <c r="GC1342" s="1">
        <v>241756</v>
      </c>
      <c r="GE1342" s="1" t="s">
        <v>210</v>
      </c>
      <c r="GI1342" s="1" t="s">
        <v>213</v>
      </c>
      <c r="GJ1342" s="1" t="s">
        <v>260</v>
      </c>
      <c r="GK1342" s="1" t="s">
        <v>261</v>
      </c>
      <c r="GL1342" s="2">
        <v>42062</v>
      </c>
      <c r="GM1342" s="1" t="s">
        <v>397</v>
      </c>
    </row>
    <row r="1343" spans="1:195">
      <c r="A1343" s="1">
        <v>133000</v>
      </c>
      <c r="B1343" s="1" t="s">
        <v>195</v>
      </c>
      <c r="C1343" s="1" t="str">
        <f>"08663715"</f>
        <v>08663715</v>
      </c>
      <c r="D1343" s="1" t="s">
        <v>196</v>
      </c>
      <c r="F1343" s="1" t="str">
        <f>"507"</f>
        <v>507</v>
      </c>
      <c r="G1343" s="2">
        <v>41825</v>
      </c>
      <c r="H1343" s="1">
        <v>145000</v>
      </c>
      <c r="I1343" s="1">
        <v>135900</v>
      </c>
      <c r="J1343" s="1">
        <v>133000</v>
      </c>
      <c r="K1343" s="2">
        <v>41825</v>
      </c>
      <c r="L1343" s="1">
        <v>157</v>
      </c>
      <c r="M1343" s="2">
        <v>41981</v>
      </c>
      <c r="N1343" s="1">
        <v>157</v>
      </c>
      <c r="O1343" s="2">
        <v>41981</v>
      </c>
      <c r="P1343" s="1">
        <v>11036</v>
      </c>
      <c r="Q1343" s="1" t="s">
        <v>197</v>
      </c>
      <c r="R1343" s="2">
        <v>42013</v>
      </c>
      <c r="S1343" s="1">
        <v>163479</v>
      </c>
      <c r="U1343" s="1">
        <v>3086</v>
      </c>
      <c r="V1343" s="1" t="s">
        <v>13465</v>
      </c>
      <c r="W1343" s="1" t="s">
        <v>449</v>
      </c>
      <c r="X1343" s="1">
        <v>3086</v>
      </c>
      <c r="Y1343" s="1">
        <v>4</v>
      </c>
      <c r="Z1343" s="1" t="s">
        <v>249</v>
      </c>
      <c r="AA1343" s="1" t="s">
        <v>1123</v>
      </c>
      <c r="AB1343" s="1">
        <v>60504</v>
      </c>
      <c r="AD1343" s="1" t="s">
        <v>2479</v>
      </c>
      <c r="AE1343" s="1" t="s">
        <v>13466</v>
      </c>
      <c r="AF1343" s="1">
        <v>1991</v>
      </c>
      <c r="AG1343" s="1" t="s">
        <v>204</v>
      </c>
      <c r="AH1343" s="1" t="s">
        <v>1126</v>
      </c>
      <c r="AI1343" s="1" t="s">
        <v>206</v>
      </c>
      <c r="AJ1343" s="1" t="s">
        <v>924</v>
      </c>
      <c r="AL1343" s="1">
        <v>6</v>
      </c>
      <c r="AM1343" s="1">
        <v>2</v>
      </c>
      <c r="AN1343" s="1">
        <v>1</v>
      </c>
      <c r="AO1343" s="1">
        <v>1</v>
      </c>
      <c r="AP1343" s="1" t="s">
        <v>455</v>
      </c>
      <c r="AQ1343" s="1">
        <v>1</v>
      </c>
      <c r="AR1343" s="1" t="s">
        <v>210</v>
      </c>
      <c r="AS1343" s="1" t="s">
        <v>204</v>
      </c>
      <c r="AT1343" s="1" t="s">
        <v>211</v>
      </c>
      <c r="AU1343" s="1">
        <v>1</v>
      </c>
      <c r="AW1343" s="1" t="s">
        <v>204</v>
      </c>
      <c r="AX1343" s="1" t="s">
        <v>212</v>
      </c>
      <c r="AZ1343" s="1">
        <v>4186</v>
      </c>
      <c r="BA1343" s="1">
        <v>2013</v>
      </c>
      <c r="BE1343" s="1">
        <v>1535</v>
      </c>
      <c r="BF1343" s="1">
        <v>1</v>
      </c>
      <c r="BG1343" s="1">
        <v>0</v>
      </c>
      <c r="BL1343" s="1">
        <v>195</v>
      </c>
      <c r="BM1343" s="1" t="s">
        <v>204</v>
      </c>
      <c r="BN1343" s="1" t="s">
        <v>213</v>
      </c>
      <c r="BO1343" s="1">
        <v>0</v>
      </c>
      <c r="BP1343" s="1" t="s">
        <v>204</v>
      </c>
      <c r="BR1343" s="1" t="str">
        <f>"0720307019"</f>
        <v>0720307019</v>
      </c>
      <c r="BT1343" s="1" t="s">
        <v>13467</v>
      </c>
      <c r="BU1343" s="1" t="s">
        <v>1647</v>
      </c>
      <c r="BV1343" s="1" t="s">
        <v>1648</v>
      </c>
      <c r="BW1343" s="1" t="s">
        <v>1312</v>
      </c>
      <c r="BX1343" s="1">
        <v>204</v>
      </c>
      <c r="BY1343" s="1">
        <v>204</v>
      </c>
      <c r="BZ1343" s="1">
        <v>204</v>
      </c>
      <c r="CB1343" s="1" t="str">
        <f t="shared" ref="CB1343:CC1343" si="1032">"0"</f>
        <v>0</v>
      </c>
      <c r="CC1343" s="1" t="str">
        <f t="shared" si="1032"/>
        <v>0</v>
      </c>
      <c r="CD1343" s="1">
        <v>31</v>
      </c>
      <c r="CE1343" s="1">
        <v>8</v>
      </c>
      <c r="CG1343" s="1" t="s">
        <v>908</v>
      </c>
      <c r="CH1343" s="1" t="s">
        <v>219</v>
      </c>
      <c r="CI1343" s="1" t="s">
        <v>220</v>
      </c>
      <c r="CK1343" s="1" t="s">
        <v>729</v>
      </c>
      <c r="CL1343" s="1" t="s">
        <v>277</v>
      </c>
      <c r="CM1343" s="1" t="s">
        <v>220</v>
      </c>
      <c r="CO1343" s="1" t="s">
        <v>1297</v>
      </c>
      <c r="CP1343" s="1" t="s">
        <v>219</v>
      </c>
      <c r="CQ1343" s="1" t="s">
        <v>220</v>
      </c>
      <c r="CS1343" s="1" t="s">
        <v>465</v>
      </c>
      <c r="CT1343" s="1" t="s">
        <v>277</v>
      </c>
      <c r="CU1343" s="1" t="s">
        <v>220</v>
      </c>
      <c r="CX1343" s="1" t="s">
        <v>224</v>
      </c>
      <c r="DB1343" s="1" t="s">
        <v>224</v>
      </c>
      <c r="DE1343" s="1" t="s">
        <v>729</v>
      </c>
      <c r="DF1343" s="1" t="s">
        <v>219</v>
      </c>
      <c r="DG1343" s="1" t="s">
        <v>229</v>
      </c>
      <c r="DH1343" s="1" t="s">
        <v>210</v>
      </c>
      <c r="DJ1343" s="1" t="s">
        <v>224</v>
      </c>
      <c r="DM1343" s="1" t="s">
        <v>464</v>
      </c>
      <c r="DR1343" s="1" t="s">
        <v>317</v>
      </c>
      <c r="DS1343" s="1" t="s">
        <v>277</v>
      </c>
      <c r="DT1343" s="1" t="s">
        <v>220</v>
      </c>
      <c r="DW1343" s="1" t="s">
        <v>230</v>
      </c>
      <c r="EA1343" s="1" t="s">
        <v>230</v>
      </c>
      <c r="EE1343" s="1" t="s">
        <v>230</v>
      </c>
      <c r="EI1343" s="1" t="s">
        <v>230</v>
      </c>
      <c r="EL1343" s="1" t="s">
        <v>382</v>
      </c>
      <c r="EM1343" s="1" t="s">
        <v>319</v>
      </c>
      <c r="EN1343" s="1" t="s">
        <v>282</v>
      </c>
      <c r="EO1343" s="1" t="s">
        <v>234</v>
      </c>
      <c r="EP1343" s="1" t="s">
        <v>2682</v>
      </c>
      <c r="EQ1343" s="1" t="s">
        <v>236</v>
      </c>
      <c r="ER1343" s="1" t="s">
        <v>210</v>
      </c>
      <c r="ES1343" s="1" t="s">
        <v>824</v>
      </c>
      <c r="EU1343" s="1" t="s">
        <v>1820</v>
      </c>
      <c r="EV1343" s="1" t="s">
        <v>240</v>
      </c>
      <c r="EW1343" s="1" t="s">
        <v>1426</v>
      </c>
      <c r="EY1343" s="1" t="s">
        <v>242</v>
      </c>
      <c r="EZ1343" s="1" t="s">
        <v>464</v>
      </c>
      <c r="FA1343" s="1" t="s">
        <v>1072</v>
      </c>
      <c r="FB1343" s="1" t="s">
        <v>289</v>
      </c>
      <c r="FC1343" s="1" t="s">
        <v>1386</v>
      </c>
      <c r="FD1343" s="1" t="s">
        <v>246</v>
      </c>
      <c r="FE1343" s="1" t="s">
        <v>975</v>
      </c>
      <c r="FF1343" s="1" t="s">
        <v>248</v>
      </c>
      <c r="FG1343" s="1" t="s">
        <v>871</v>
      </c>
      <c r="FH1343" s="1" t="s">
        <v>550</v>
      </c>
      <c r="FI1343" s="1" t="s">
        <v>357</v>
      </c>
      <c r="FL1343" s="1" t="s">
        <v>358</v>
      </c>
      <c r="FM1343" s="1" t="s">
        <v>252</v>
      </c>
      <c r="FN1343" s="1" t="s">
        <v>213</v>
      </c>
      <c r="FO1343" s="1" t="s">
        <v>213</v>
      </c>
      <c r="FQ1343" s="1" t="s">
        <v>13468</v>
      </c>
      <c r="FR1343" s="1" t="s">
        <v>210</v>
      </c>
      <c r="FS1343" s="1" t="s">
        <v>13469</v>
      </c>
      <c r="FT1343" s="1" t="s">
        <v>675</v>
      </c>
      <c r="FU1343" s="1" t="s">
        <v>204</v>
      </c>
      <c r="FW1343" s="1" t="s">
        <v>3546</v>
      </c>
      <c r="FX1343" s="1">
        <v>24695</v>
      </c>
      <c r="FY1343" s="1" t="s">
        <v>3547</v>
      </c>
      <c r="FZ1343" s="1" t="s">
        <v>13470</v>
      </c>
      <c r="GA1343" s="1">
        <v>217860</v>
      </c>
      <c r="GB1343" s="1" t="s">
        <v>13471</v>
      </c>
      <c r="GE1343" s="1" t="s">
        <v>480</v>
      </c>
      <c r="GI1343" s="1" t="s">
        <v>213</v>
      </c>
      <c r="GJ1343" s="1" t="s">
        <v>260</v>
      </c>
      <c r="GK1343" s="1" t="s">
        <v>210</v>
      </c>
      <c r="GL1343" s="2">
        <v>42013</v>
      </c>
      <c r="GM1343" s="1" t="s">
        <v>13472</v>
      </c>
    </row>
    <row r="1344" spans="1:195">
      <c r="A1344" s="1">
        <v>60010</v>
      </c>
      <c r="B1344" s="1" t="s">
        <v>195</v>
      </c>
      <c r="C1344" s="1" t="str">
        <f>"08655307"</f>
        <v>08655307</v>
      </c>
      <c r="D1344" s="1" t="s">
        <v>196</v>
      </c>
      <c r="F1344" s="1" t="str">
        <f>"8064"</f>
        <v>8064</v>
      </c>
      <c r="G1344" s="2">
        <v>41815</v>
      </c>
      <c r="H1344" s="1">
        <v>70850</v>
      </c>
      <c r="I1344" s="1">
        <v>54900</v>
      </c>
      <c r="J1344" s="1">
        <v>60010</v>
      </c>
      <c r="K1344" s="2">
        <v>41814</v>
      </c>
      <c r="L1344" s="1">
        <v>263</v>
      </c>
      <c r="M1344" s="2">
        <v>42076</v>
      </c>
      <c r="N1344" s="1">
        <v>263</v>
      </c>
      <c r="O1344" s="2">
        <v>42076</v>
      </c>
      <c r="P1344" s="1">
        <v>12555</v>
      </c>
      <c r="Q1344" s="1" t="s">
        <v>302</v>
      </c>
      <c r="R1344" s="2">
        <v>42090</v>
      </c>
      <c r="S1344" s="1">
        <v>126892</v>
      </c>
      <c r="U1344" s="1">
        <v>6111</v>
      </c>
      <c r="V1344" s="1" t="s">
        <v>4474</v>
      </c>
      <c r="W1344" s="1" t="s">
        <v>779</v>
      </c>
      <c r="X1344" s="1">
        <v>8</v>
      </c>
      <c r="Y1344" s="1">
        <v>9</v>
      </c>
      <c r="Z1344" s="1" t="s">
        <v>249</v>
      </c>
      <c r="AA1344" s="1" t="s">
        <v>400</v>
      </c>
      <c r="AB1344" s="1">
        <v>60638</v>
      </c>
      <c r="AE1344" s="1" t="s">
        <v>13473</v>
      </c>
      <c r="AF1344" s="1" t="s">
        <v>402</v>
      </c>
      <c r="AG1344" s="1" t="s">
        <v>213</v>
      </c>
      <c r="AH1344" s="1" t="s">
        <v>403</v>
      </c>
      <c r="AI1344" s="1" t="s">
        <v>310</v>
      </c>
      <c r="AJ1344" s="1" t="s">
        <v>683</v>
      </c>
      <c r="AL1344" s="1">
        <v>5</v>
      </c>
      <c r="AM1344" s="1">
        <v>2</v>
      </c>
      <c r="AN1344" s="1">
        <v>1</v>
      </c>
      <c r="AO1344" s="1">
        <v>0</v>
      </c>
      <c r="AP1344" s="1" t="s">
        <v>210</v>
      </c>
      <c r="AR1344" s="1" t="s">
        <v>210</v>
      </c>
      <c r="AS1344" s="1" t="s">
        <v>204</v>
      </c>
      <c r="AT1344" s="1" t="s">
        <v>271</v>
      </c>
      <c r="AV1344" s="1">
        <v>1</v>
      </c>
      <c r="AW1344" s="1" t="s">
        <v>204</v>
      </c>
      <c r="AX1344" s="1" t="s">
        <v>212</v>
      </c>
      <c r="AZ1344" s="1">
        <v>1747.45</v>
      </c>
      <c r="BA1344" s="1">
        <v>2012</v>
      </c>
      <c r="BE1344" s="1">
        <v>0</v>
      </c>
      <c r="BF1344" s="1">
        <v>2</v>
      </c>
      <c r="BG1344" s="1">
        <v>30</v>
      </c>
      <c r="BL1344" s="1">
        <v>210</v>
      </c>
      <c r="BM1344" s="1" t="s">
        <v>413</v>
      </c>
      <c r="BN1344" s="1" t="s">
        <v>213</v>
      </c>
      <c r="BO1344" s="1">
        <v>0</v>
      </c>
      <c r="BP1344" s="1" t="s">
        <v>204</v>
      </c>
      <c r="BR1344" s="1" t="str">
        <f>"19201140321008"</f>
        <v>19201140321008</v>
      </c>
      <c r="BT1344" s="1" t="s">
        <v>13474</v>
      </c>
      <c r="BX1344" s="1">
        <v>299</v>
      </c>
      <c r="BY1344" s="1">
        <v>299</v>
      </c>
      <c r="BZ1344" s="1">
        <v>299</v>
      </c>
      <c r="CB1344" s="1" t="str">
        <f t="shared" ref="CB1344:CC1344" si="1033">"0"</f>
        <v>0</v>
      </c>
      <c r="CC1344" s="1" t="str">
        <f t="shared" si="1033"/>
        <v>0</v>
      </c>
      <c r="CD1344" s="1">
        <v>6111</v>
      </c>
      <c r="CE1344" s="1">
        <v>6430</v>
      </c>
      <c r="CG1344" s="1" t="s">
        <v>1957</v>
      </c>
      <c r="CH1344" s="1" t="s">
        <v>219</v>
      </c>
      <c r="CK1344" s="1" t="s">
        <v>757</v>
      </c>
      <c r="CL1344" s="1" t="s">
        <v>219</v>
      </c>
      <c r="CO1344" s="1" t="s">
        <v>318</v>
      </c>
      <c r="CP1344" s="1" t="s">
        <v>219</v>
      </c>
      <c r="CS1344" s="1" t="s">
        <v>378</v>
      </c>
      <c r="CT1344" s="1" t="s">
        <v>219</v>
      </c>
      <c r="CX1344" s="1" t="s">
        <v>224</v>
      </c>
      <c r="DB1344" s="1" t="s">
        <v>224</v>
      </c>
      <c r="DE1344" s="1" t="s">
        <v>281</v>
      </c>
      <c r="DF1344" s="1" t="s">
        <v>219</v>
      </c>
      <c r="DJ1344" s="1" t="s">
        <v>224</v>
      </c>
      <c r="DS1344" s="1" t="s">
        <v>230</v>
      </c>
      <c r="DW1344" s="1" t="s">
        <v>230</v>
      </c>
      <c r="EA1344" s="1" t="s">
        <v>230</v>
      </c>
      <c r="EE1344" s="1" t="s">
        <v>230</v>
      </c>
      <c r="EI1344" s="1" t="s">
        <v>230</v>
      </c>
      <c r="EL1344" s="1" t="s">
        <v>649</v>
      </c>
      <c r="EM1344" s="1" t="s">
        <v>319</v>
      </c>
      <c r="EN1344" s="1" t="s">
        <v>1158</v>
      </c>
      <c r="EO1344" s="1" t="s">
        <v>234</v>
      </c>
      <c r="ER1344" s="1" t="s">
        <v>210</v>
      </c>
      <c r="EW1344" s="1" t="s">
        <v>286</v>
      </c>
      <c r="EZ1344" s="1" t="s">
        <v>287</v>
      </c>
      <c r="FD1344" s="1" t="s">
        <v>736</v>
      </c>
      <c r="FE1344" s="1" t="s">
        <v>247</v>
      </c>
      <c r="FF1344" s="1" t="s">
        <v>248</v>
      </c>
      <c r="FH1344" s="1" t="s">
        <v>249</v>
      </c>
      <c r="FL1344" s="1" t="s">
        <v>414</v>
      </c>
      <c r="FM1344" s="1" t="s">
        <v>252</v>
      </c>
      <c r="FN1344" s="1" t="s">
        <v>213</v>
      </c>
      <c r="FO1344" s="1" t="s">
        <v>213</v>
      </c>
      <c r="FQ1344" s="1" t="s">
        <v>689</v>
      </c>
      <c r="FR1344" s="1" t="s">
        <v>210</v>
      </c>
      <c r="FS1344" s="1" t="s">
        <v>13276</v>
      </c>
      <c r="FT1344" s="1" t="s">
        <v>1828</v>
      </c>
      <c r="FU1344" s="1" t="s">
        <v>204</v>
      </c>
      <c r="FW1344" s="1" t="s">
        <v>13170</v>
      </c>
      <c r="FX1344" s="1">
        <v>12511</v>
      </c>
      <c r="FY1344" s="1" t="s">
        <v>13171</v>
      </c>
      <c r="FZ1344" s="1" t="s">
        <v>13172</v>
      </c>
      <c r="GA1344" s="1">
        <v>121408</v>
      </c>
      <c r="GB1344" s="1" t="s">
        <v>13173</v>
      </c>
      <c r="GE1344" s="1" t="s">
        <v>210</v>
      </c>
      <c r="GH1344" s="1" t="s">
        <v>589</v>
      </c>
      <c r="GI1344" s="1" t="s">
        <v>213</v>
      </c>
      <c r="GJ1344" s="1" t="s">
        <v>260</v>
      </c>
      <c r="GK1344" s="1" t="s">
        <v>210</v>
      </c>
      <c r="GL1344" s="2">
        <v>42093</v>
      </c>
      <c r="GM1344" s="1" t="s">
        <v>13475</v>
      </c>
    </row>
    <row r="1345" spans="1:195">
      <c r="A1345" s="1">
        <v>103000</v>
      </c>
      <c r="B1345" s="1" t="s">
        <v>195</v>
      </c>
      <c r="C1345" s="1" t="str">
        <f>"08662111"</f>
        <v>08662111</v>
      </c>
      <c r="D1345" s="1" t="s">
        <v>196</v>
      </c>
      <c r="F1345" s="1" t="str">
        <f>"123"</f>
        <v>123</v>
      </c>
      <c r="G1345" s="2">
        <v>41822</v>
      </c>
      <c r="H1345" s="1">
        <v>119900</v>
      </c>
      <c r="I1345" s="1">
        <v>104900</v>
      </c>
      <c r="J1345" s="1">
        <v>103000</v>
      </c>
      <c r="K1345" s="2">
        <v>41820</v>
      </c>
      <c r="L1345" s="1">
        <v>168</v>
      </c>
      <c r="M1345" s="2">
        <v>41987</v>
      </c>
      <c r="N1345" s="1">
        <v>168</v>
      </c>
      <c r="O1345" s="2">
        <v>41987</v>
      </c>
      <c r="P1345" s="1">
        <v>8079</v>
      </c>
      <c r="Q1345" s="1" t="s">
        <v>302</v>
      </c>
      <c r="R1345" s="2">
        <v>42039</v>
      </c>
      <c r="S1345" s="1">
        <v>80918</v>
      </c>
      <c r="U1345" s="1">
        <v>1325</v>
      </c>
      <c r="V1345" s="1" t="s">
        <v>2731</v>
      </c>
      <c r="W1345" s="1" t="s">
        <v>449</v>
      </c>
      <c r="Y1345" s="1">
        <v>4</v>
      </c>
      <c r="Z1345" s="1" t="s">
        <v>200</v>
      </c>
      <c r="AA1345" s="1" t="s">
        <v>1173</v>
      </c>
      <c r="AB1345" s="1">
        <v>60120</v>
      </c>
      <c r="AD1345" s="1" t="s">
        <v>3601</v>
      </c>
      <c r="AE1345" s="1" t="s">
        <v>13476</v>
      </c>
      <c r="AF1345" s="1">
        <v>1996</v>
      </c>
      <c r="AG1345" s="1" t="s">
        <v>204</v>
      </c>
      <c r="AH1345" s="1" t="s">
        <v>1175</v>
      </c>
      <c r="AI1345" s="1" t="s">
        <v>310</v>
      </c>
      <c r="AJ1345" s="1" t="s">
        <v>374</v>
      </c>
      <c r="AL1345" s="1">
        <v>6</v>
      </c>
      <c r="AM1345" s="1">
        <v>2</v>
      </c>
      <c r="AN1345" s="1">
        <v>2</v>
      </c>
      <c r="AO1345" s="1">
        <v>1</v>
      </c>
      <c r="AP1345" s="1" t="s">
        <v>209</v>
      </c>
      <c r="AR1345" s="1" t="s">
        <v>210</v>
      </c>
      <c r="AS1345" s="1" t="s">
        <v>204</v>
      </c>
      <c r="AT1345" s="1" t="s">
        <v>211</v>
      </c>
      <c r="AU1345" s="1">
        <v>1</v>
      </c>
      <c r="AW1345" s="1" t="s">
        <v>204</v>
      </c>
      <c r="AX1345" s="1" t="s">
        <v>212</v>
      </c>
      <c r="AZ1345" s="1">
        <v>3190.2</v>
      </c>
      <c r="BA1345" s="1">
        <v>2012</v>
      </c>
      <c r="BB1345" s="1" t="s">
        <v>405</v>
      </c>
      <c r="BE1345" s="1">
        <v>0</v>
      </c>
      <c r="BF1345" s="1">
        <v>1</v>
      </c>
      <c r="BG1345" s="1">
        <v>0</v>
      </c>
      <c r="BL1345" s="1">
        <v>179</v>
      </c>
      <c r="BM1345" s="1" t="s">
        <v>204</v>
      </c>
      <c r="BN1345" s="1" t="s">
        <v>213</v>
      </c>
      <c r="BO1345" s="1">
        <v>0</v>
      </c>
      <c r="BP1345" s="1" t="s">
        <v>204</v>
      </c>
      <c r="BR1345" s="1" t="str">
        <f>"06062080081147"</f>
        <v>06062080081147</v>
      </c>
      <c r="BT1345" s="1" t="s">
        <v>13477</v>
      </c>
      <c r="BX1345" s="1">
        <v>46</v>
      </c>
      <c r="BY1345" s="1">
        <v>46</v>
      </c>
      <c r="BZ1345" s="1">
        <v>46</v>
      </c>
      <c r="CB1345" s="1" t="str">
        <f t="shared" ref="CB1345:CC1345" si="1034">""</f>
        <v/>
      </c>
      <c r="CC1345" s="1" t="str">
        <f t="shared" si="1034"/>
        <v/>
      </c>
      <c r="CG1345" s="1" t="s">
        <v>1045</v>
      </c>
      <c r="CH1345" s="1" t="s">
        <v>219</v>
      </c>
      <c r="CK1345" s="1" t="s">
        <v>757</v>
      </c>
      <c r="CL1345" s="1" t="s">
        <v>277</v>
      </c>
      <c r="CO1345" s="1" t="s">
        <v>1046</v>
      </c>
      <c r="CP1345" s="1" t="s">
        <v>219</v>
      </c>
      <c r="CS1345" s="1" t="s">
        <v>465</v>
      </c>
      <c r="CT1345" s="1" t="s">
        <v>277</v>
      </c>
      <c r="CX1345" s="1" t="s">
        <v>224</v>
      </c>
      <c r="DB1345" s="1" t="s">
        <v>224</v>
      </c>
      <c r="DE1345" s="1" t="s">
        <v>1854</v>
      </c>
      <c r="DF1345" s="1" t="s">
        <v>219</v>
      </c>
      <c r="DJ1345" s="1" t="s">
        <v>224</v>
      </c>
      <c r="DM1345" s="1" t="s">
        <v>464</v>
      </c>
      <c r="DR1345" s="1" t="s">
        <v>630</v>
      </c>
      <c r="DS1345" s="1" t="s">
        <v>277</v>
      </c>
      <c r="DW1345" s="1" t="s">
        <v>230</v>
      </c>
      <c r="EA1345" s="1" t="s">
        <v>230</v>
      </c>
      <c r="EE1345" s="1" t="s">
        <v>230</v>
      </c>
      <c r="EI1345" s="1" t="s">
        <v>230</v>
      </c>
      <c r="EL1345" s="1" t="s">
        <v>670</v>
      </c>
      <c r="EM1345" s="1" t="s">
        <v>319</v>
      </c>
      <c r="EN1345" s="1" t="s">
        <v>282</v>
      </c>
      <c r="EO1345" s="1" t="s">
        <v>234</v>
      </c>
      <c r="ER1345" s="1" t="s">
        <v>210</v>
      </c>
      <c r="EW1345" s="1" t="s">
        <v>1219</v>
      </c>
      <c r="EY1345" s="1" t="s">
        <v>242</v>
      </c>
      <c r="EZ1345" s="1" t="s">
        <v>464</v>
      </c>
      <c r="FD1345" s="1" t="s">
        <v>246</v>
      </c>
      <c r="FE1345" s="1" t="s">
        <v>975</v>
      </c>
      <c r="FF1345" s="1" t="s">
        <v>248</v>
      </c>
      <c r="FH1345" s="1" t="s">
        <v>550</v>
      </c>
      <c r="FL1345" s="1" t="s">
        <v>358</v>
      </c>
      <c r="FM1345" s="1" t="s">
        <v>252</v>
      </c>
      <c r="FN1345" s="1" t="s">
        <v>213</v>
      </c>
      <c r="FO1345" s="1" t="s">
        <v>213</v>
      </c>
      <c r="FQ1345" s="1" t="s">
        <v>4594</v>
      </c>
      <c r="FR1345" s="1" t="s">
        <v>360</v>
      </c>
      <c r="FS1345" s="1" t="s">
        <v>13478</v>
      </c>
      <c r="FT1345" s="1" t="s">
        <v>255</v>
      </c>
      <c r="FU1345" s="1" t="s">
        <v>204</v>
      </c>
      <c r="FW1345" s="1" t="s">
        <v>3291</v>
      </c>
      <c r="FX1345" s="1">
        <v>7450</v>
      </c>
      <c r="FY1345" s="1" t="s">
        <v>3292</v>
      </c>
      <c r="FZ1345" s="1" t="s">
        <v>13479</v>
      </c>
      <c r="GA1345" s="1">
        <v>8423</v>
      </c>
      <c r="GB1345" s="1" t="s">
        <v>13480</v>
      </c>
      <c r="GE1345" s="1" t="s">
        <v>480</v>
      </c>
      <c r="GI1345" s="1" t="s">
        <v>213</v>
      </c>
      <c r="GJ1345" s="1" t="s">
        <v>260</v>
      </c>
      <c r="GK1345" s="1" t="s">
        <v>210</v>
      </c>
      <c r="GL1345" s="2">
        <v>42041</v>
      </c>
      <c r="GM1345" s="1" t="s">
        <v>397</v>
      </c>
    </row>
    <row r="1346" spans="1:195">
      <c r="A1346" s="1">
        <v>51504</v>
      </c>
      <c r="B1346" s="1" t="s">
        <v>195</v>
      </c>
      <c r="C1346" s="1" t="str">
        <f>"08659018"</f>
        <v>08659018</v>
      </c>
      <c r="D1346" s="1" t="s">
        <v>196</v>
      </c>
      <c r="F1346" s="1" t="str">
        <f>"139"</f>
        <v>139</v>
      </c>
      <c r="G1346" s="2">
        <v>41820</v>
      </c>
      <c r="H1346" s="1">
        <v>50000</v>
      </c>
      <c r="I1346" s="1">
        <v>50000</v>
      </c>
      <c r="J1346" s="1">
        <v>51504</v>
      </c>
      <c r="K1346" s="2">
        <v>41820</v>
      </c>
      <c r="L1346" s="1">
        <v>9</v>
      </c>
      <c r="M1346" s="2">
        <v>41828</v>
      </c>
      <c r="N1346" s="1">
        <v>9</v>
      </c>
      <c r="O1346" s="2">
        <v>41828</v>
      </c>
      <c r="P1346" s="1">
        <v>22833</v>
      </c>
      <c r="Q1346" s="1" t="s">
        <v>302</v>
      </c>
      <c r="R1346" s="2">
        <v>42009</v>
      </c>
      <c r="S1346" s="1">
        <v>259137</v>
      </c>
      <c r="U1346" s="1">
        <v>1276</v>
      </c>
      <c r="V1346" s="1" t="s">
        <v>7295</v>
      </c>
      <c r="W1346" s="1" t="s">
        <v>425</v>
      </c>
      <c r="X1346" s="1" t="s">
        <v>1000</v>
      </c>
      <c r="Y1346" s="1">
        <v>1</v>
      </c>
      <c r="Z1346" s="1" t="s">
        <v>249</v>
      </c>
      <c r="AA1346" s="1" t="s">
        <v>1732</v>
      </c>
      <c r="AB1346" s="1">
        <v>60139</v>
      </c>
      <c r="AE1346" s="1" t="s">
        <v>13481</v>
      </c>
      <c r="AF1346" s="1">
        <v>1973</v>
      </c>
      <c r="AG1346" s="1" t="s">
        <v>213</v>
      </c>
      <c r="AH1346" s="1" t="s">
        <v>1735</v>
      </c>
      <c r="AI1346" s="1" t="s">
        <v>206</v>
      </c>
      <c r="AJ1346" s="1" t="s">
        <v>269</v>
      </c>
      <c r="AL1346" s="1">
        <v>5</v>
      </c>
      <c r="AM1346" s="1">
        <v>2</v>
      </c>
      <c r="AN1346" s="1">
        <v>1</v>
      </c>
      <c r="AO1346" s="1">
        <v>0</v>
      </c>
      <c r="AP1346" s="1" t="s">
        <v>210</v>
      </c>
      <c r="AR1346" s="1" t="s">
        <v>210</v>
      </c>
      <c r="AT1346" s="1" t="s">
        <v>211</v>
      </c>
      <c r="AU1346" s="1">
        <v>1</v>
      </c>
      <c r="AW1346" s="1" t="s">
        <v>204</v>
      </c>
      <c r="AX1346" s="1" t="s">
        <v>270</v>
      </c>
      <c r="AZ1346" s="1">
        <v>2542</v>
      </c>
      <c r="BA1346" s="1">
        <v>2013</v>
      </c>
      <c r="BE1346" s="1">
        <v>882</v>
      </c>
      <c r="BF1346" s="1">
        <v>2</v>
      </c>
      <c r="BG1346" s="1">
        <v>0</v>
      </c>
      <c r="BL1346" s="1">
        <v>218</v>
      </c>
      <c r="BM1346" s="1" t="s">
        <v>413</v>
      </c>
      <c r="BN1346" s="1" t="s">
        <v>204</v>
      </c>
      <c r="BP1346" s="1" t="s">
        <v>204</v>
      </c>
      <c r="BR1346" s="1" t="str">
        <f>"0235314016"</f>
        <v>0235314016</v>
      </c>
      <c r="BT1346" s="1" t="s">
        <v>3770</v>
      </c>
      <c r="BX1346" s="1">
        <v>15</v>
      </c>
      <c r="BY1346" s="1">
        <v>15</v>
      </c>
      <c r="BZ1346" s="1">
        <v>87</v>
      </c>
      <c r="CB1346" s="1" t="str">
        <f>"2"</f>
        <v>2</v>
      </c>
      <c r="CC1346" s="1" t="str">
        <f>"0"</f>
        <v>0</v>
      </c>
      <c r="CD1346" s="1">
        <v>22</v>
      </c>
      <c r="CE1346" s="1">
        <v>0</v>
      </c>
      <c r="CG1346" s="1" t="s">
        <v>221</v>
      </c>
      <c r="CH1346" s="1" t="s">
        <v>219</v>
      </c>
      <c r="CK1346" s="1" t="s">
        <v>223</v>
      </c>
      <c r="CL1346" s="1" t="s">
        <v>277</v>
      </c>
      <c r="CO1346" s="1" t="s">
        <v>1534</v>
      </c>
      <c r="CP1346" s="1" t="s">
        <v>219</v>
      </c>
      <c r="CS1346" s="1" t="s">
        <v>379</v>
      </c>
      <c r="CT1346" s="1" t="s">
        <v>277</v>
      </c>
      <c r="CX1346" s="1" t="s">
        <v>224</v>
      </c>
      <c r="DB1346" s="1" t="s">
        <v>224</v>
      </c>
      <c r="DE1346" s="1" t="s">
        <v>1534</v>
      </c>
      <c r="DF1346" s="1" t="s">
        <v>219</v>
      </c>
      <c r="DJ1346" s="1" t="s">
        <v>224</v>
      </c>
      <c r="DS1346" s="1" t="s">
        <v>230</v>
      </c>
      <c r="DW1346" s="1" t="s">
        <v>230</v>
      </c>
      <c r="EA1346" s="1" t="s">
        <v>230</v>
      </c>
      <c r="EE1346" s="1" t="s">
        <v>230</v>
      </c>
      <c r="EI1346" s="1" t="s">
        <v>230</v>
      </c>
      <c r="EL1346" s="1" t="s">
        <v>605</v>
      </c>
      <c r="EM1346" s="1" t="s">
        <v>232</v>
      </c>
      <c r="EN1346" s="1" t="s">
        <v>282</v>
      </c>
      <c r="EO1346" s="1" t="s">
        <v>234</v>
      </c>
      <c r="ER1346" s="1" t="s">
        <v>210</v>
      </c>
      <c r="EW1346" s="1" t="s">
        <v>911</v>
      </c>
      <c r="EZ1346" s="1" t="s">
        <v>287</v>
      </c>
      <c r="FD1346" s="1" t="s">
        <v>1112</v>
      </c>
      <c r="FE1346" s="1" t="s">
        <v>870</v>
      </c>
      <c r="FF1346" s="1" t="s">
        <v>248</v>
      </c>
      <c r="FH1346" s="1" t="s">
        <v>249</v>
      </c>
      <c r="FJ1346" s="1" t="s">
        <v>1472</v>
      </c>
      <c r="FL1346" s="1" t="s">
        <v>358</v>
      </c>
      <c r="FM1346" s="1" t="s">
        <v>252</v>
      </c>
      <c r="FN1346" s="1" t="s">
        <v>213</v>
      </c>
      <c r="FO1346" s="1" t="s">
        <v>213</v>
      </c>
      <c r="FQ1346" s="1" t="s">
        <v>582</v>
      </c>
      <c r="FR1346" s="1" t="s">
        <v>210</v>
      </c>
      <c r="FS1346" s="1" t="s">
        <v>13482</v>
      </c>
      <c r="FT1346" s="1" t="s">
        <v>8607</v>
      </c>
      <c r="FU1346" s="1" t="s">
        <v>204</v>
      </c>
      <c r="FW1346" s="1" t="s">
        <v>3774</v>
      </c>
      <c r="FX1346" s="1">
        <v>1984</v>
      </c>
      <c r="FY1346" s="1" t="s">
        <v>3775</v>
      </c>
      <c r="FZ1346" s="1" t="s">
        <v>3776</v>
      </c>
      <c r="GA1346" s="1">
        <v>922950</v>
      </c>
      <c r="GE1346" s="1" t="s">
        <v>210</v>
      </c>
      <c r="GI1346" s="1" t="s">
        <v>204</v>
      </c>
      <c r="GJ1346" s="1" t="s">
        <v>260</v>
      </c>
      <c r="GK1346" s="1" t="s">
        <v>210</v>
      </c>
      <c r="GL1346" s="2">
        <v>42010</v>
      </c>
      <c r="GM1346" s="1" t="s">
        <v>3777</v>
      </c>
    </row>
    <row r="1347" spans="1:195">
      <c r="A1347" s="1">
        <v>36000</v>
      </c>
      <c r="B1347" s="1" t="s">
        <v>195</v>
      </c>
      <c r="C1347" s="1" t="str">
        <f>"08658295"</f>
        <v>08658295</v>
      </c>
      <c r="D1347" s="1" t="s">
        <v>196</v>
      </c>
      <c r="F1347" s="1" t="str">
        <f>"73"</f>
        <v>73</v>
      </c>
      <c r="G1347" s="2">
        <v>41818</v>
      </c>
      <c r="H1347" s="1">
        <v>63000</v>
      </c>
      <c r="I1347" s="1">
        <v>50400</v>
      </c>
      <c r="J1347" s="1">
        <v>36000</v>
      </c>
      <c r="K1347" s="2">
        <v>41817</v>
      </c>
      <c r="L1347" s="1">
        <v>133</v>
      </c>
      <c r="M1347" s="2">
        <v>41949</v>
      </c>
      <c r="N1347" s="1">
        <v>133</v>
      </c>
      <c r="O1347" s="2">
        <v>41949</v>
      </c>
      <c r="P1347" s="1">
        <v>6477</v>
      </c>
      <c r="Q1347" s="1" t="s">
        <v>302</v>
      </c>
      <c r="R1347" s="2">
        <v>41990</v>
      </c>
      <c r="S1347" s="1">
        <v>63160</v>
      </c>
      <c r="U1347" s="1">
        <v>435</v>
      </c>
      <c r="V1347" s="1" t="s">
        <v>13483</v>
      </c>
      <c r="W1347" s="1" t="s">
        <v>504</v>
      </c>
      <c r="Y1347" s="1">
        <v>4</v>
      </c>
      <c r="Z1347" s="1" t="s">
        <v>370</v>
      </c>
      <c r="AA1347" s="1" t="s">
        <v>1027</v>
      </c>
      <c r="AB1347" s="1">
        <v>60073</v>
      </c>
      <c r="AD1347" s="1" t="s">
        <v>13484</v>
      </c>
      <c r="AE1347" s="1" t="s">
        <v>13485</v>
      </c>
      <c r="AF1347" s="1">
        <v>1987</v>
      </c>
      <c r="AG1347" s="1" t="s">
        <v>204</v>
      </c>
      <c r="AH1347" s="1" t="s">
        <v>1029</v>
      </c>
      <c r="AI1347" s="1" t="s">
        <v>509</v>
      </c>
      <c r="AJ1347" s="1" t="s">
        <v>1263</v>
      </c>
      <c r="AL1347" s="1">
        <v>5</v>
      </c>
      <c r="AM1347" s="1">
        <v>2</v>
      </c>
      <c r="AN1347" s="1">
        <v>1</v>
      </c>
      <c r="AO1347" s="1">
        <v>1</v>
      </c>
      <c r="AP1347" s="1" t="s">
        <v>210</v>
      </c>
      <c r="AQ1347" s="1">
        <v>1</v>
      </c>
      <c r="AR1347" s="1" t="s">
        <v>210</v>
      </c>
      <c r="AS1347" s="1" t="s">
        <v>204</v>
      </c>
      <c r="AT1347" s="1" t="s">
        <v>211</v>
      </c>
      <c r="AU1347" s="1">
        <v>1</v>
      </c>
      <c r="AW1347" s="1" t="s">
        <v>204</v>
      </c>
      <c r="AX1347" s="1" t="s">
        <v>212</v>
      </c>
      <c r="AZ1347" s="1">
        <v>1608</v>
      </c>
      <c r="BA1347" s="1">
        <v>2013</v>
      </c>
      <c r="BB1347" s="1" t="s">
        <v>599</v>
      </c>
      <c r="BE1347" s="1">
        <v>990</v>
      </c>
      <c r="BF1347" s="1">
        <v>1</v>
      </c>
      <c r="BG1347" s="1">
        <v>15</v>
      </c>
      <c r="BL1347" s="1">
        <v>118</v>
      </c>
      <c r="BM1347" s="1" t="s">
        <v>204</v>
      </c>
      <c r="BN1347" s="1" t="s">
        <v>213</v>
      </c>
      <c r="BO1347" s="1">
        <v>99</v>
      </c>
      <c r="BP1347" s="1" t="s">
        <v>204</v>
      </c>
      <c r="BR1347" s="1" t="str">
        <f>"06171240430000"</f>
        <v>06171240430000</v>
      </c>
      <c r="BT1347" s="1" t="s">
        <v>13486</v>
      </c>
      <c r="BX1347" s="1">
        <v>116</v>
      </c>
      <c r="BY1347" s="1">
        <v>116</v>
      </c>
      <c r="BZ1347" s="1">
        <v>116</v>
      </c>
      <c r="CB1347" s="1" t="str">
        <f t="shared" ref="CB1347:CC1347" si="1035">""</f>
        <v/>
      </c>
      <c r="CC1347" s="1" t="str">
        <f t="shared" si="1035"/>
        <v/>
      </c>
      <c r="CG1347" s="1" t="s">
        <v>648</v>
      </c>
      <c r="CH1347" s="1" t="s">
        <v>219</v>
      </c>
      <c r="CK1347" s="1" t="s">
        <v>461</v>
      </c>
      <c r="CL1347" s="1" t="s">
        <v>277</v>
      </c>
      <c r="CO1347" s="1" t="s">
        <v>629</v>
      </c>
      <c r="CP1347" s="1" t="s">
        <v>219</v>
      </c>
      <c r="CS1347" s="1" t="s">
        <v>1297</v>
      </c>
      <c r="CT1347" s="1" t="s">
        <v>277</v>
      </c>
      <c r="CX1347" s="1" t="s">
        <v>224</v>
      </c>
      <c r="DB1347" s="1" t="s">
        <v>224</v>
      </c>
      <c r="DE1347" s="1" t="s">
        <v>437</v>
      </c>
      <c r="DF1347" s="1" t="s">
        <v>219</v>
      </c>
      <c r="DJ1347" s="1" t="s">
        <v>224</v>
      </c>
      <c r="DS1347" s="1" t="s">
        <v>230</v>
      </c>
      <c r="DW1347" s="1" t="s">
        <v>230</v>
      </c>
      <c r="EA1347" s="1" t="s">
        <v>230</v>
      </c>
      <c r="EE1347" s="1" t="s">
        <v>230</v>
      </c>
      <c r="EI1347" s="1" t="s">
        <v>230</v>
      </c>
      <c r="EL1347" s="1" t="s">
        <v>542</v>
      </c>
      <c r="EM1347" s="1" t="s">
        <v>319</v>
      </c>
      <c r="EN1347" s="1" t="s">
        <v>282</v>
      </c>
      <c r="EO1347" s="1" t="s">
        <v>234</v>
      </c>
      <c r="ER1347" s="1" t="s">
        <v>383</v>
      </c>
      <c r="EW1347" s="1" t="s">
        <v>1250</v>
      </c>
      <c r="EY1347" s="1" t="s">
        <v>242</v>
      </c>
      <c r="EZ1347" s="1" t="s">
        <v>287</v>
      </c>
      <c r="FB1347" s="1" t="s">
        <v>289</v>
      </c>
      <c r="FD1347" s="1" t="s">
        <v>246</v>
      </c>
      <c r="FE1347" s="1" t="s">
        <v>355</v>
      </c>
      <c r="FF1347" s="1" t="s">
        <v>387</v>
      </c>
      <c r="FH1347" s="1" t="s">
        <v>550</v>
      </c>
      <c r="FL1347" s="1" t="s">
        <v>358</v>
      </c>
      <c r="FM1347" s="1" t="s">
        <v>252</v>
      </c>
      <c r="FN1347" s="1" t="s">
        <v>213</v>
      </c>
      <c r="FO1347" s="1" t="s">
        <v>213</v>
      </c>
      <c r="FQ1347" s="1" t="s">
        <v>689</v>
      </c>
      <c r="FR1347" s="1" t="s">
        <v>210</v>
      </c>
      <c r="FS1347" s="1" t="s">
        <v>13487</v>
      </c>
      <c r="FT1347" s="1" t="s">
        <v>3440</v>
      </c>
      <c r="FU1347" s="1" t="s">
        <v>204</v>
      </c>
      <c r="FW1347" s="1" t="s">
        <v>4563</v>
      </c>
      <c r="FX1347" s="1">
        <v>6025</v>
      </c>
      <c r="FY1347" s="1" t="s">
        <v>4564</v>
      </c>
      <c r="FZ1347" s="1" t="s">
        <v>13488</v>
      </c>
      <c r="GA1347" s="1">
        <v>62251</v>
      </c>
      <c r="GB1347" s="1" t="s">
        <v>4564</v>
      </c>
      <c r="GD1347" s="1" t="s">
        <v>230</v>
      </c>
      <c r="GE1347" s="1" t="s">
        <v>480</v>
      </c>
      <c r="GI1347" s="1" t="s">
        <v>213</v>
      </c>
      <c r="GJ1347" s="1" t="s">
        <v>260</v>
      </c>
      <c r="GK1347" s="1" t="s">
        <v>210</v>
      </c>
      <c r="GL1347" s="2">
        <v>41999</v>
      </c>
      <c r="GM1347" s="1" t="s">
        <v>13489</v>
      </c>
    </row>
    <row r="1348" spans="1:195">
      <c r="A1348" s="1">
        <v>66450</v>
      </c>
      <c r="B1348" s="1" t="s">
        <v>195</v>
      </c>
      <c r="C1348" s="1" t="str">
        <f>"08658443"</f>
        <v>08658443</v>
      </c>
      <c r="D1348" s="1" t="s">
        <v>196</v>
      </c>
      <c r="F1348" s="1" t="str">
        <f>"84"</f>
        <v>84</v>
      </c>
      <c r="G1348" s="2">
        <v>41818</v>
      </c>
      <c r="H1348" s="1">
        <v>74900</v>
      </c>
      <c r="I1348" s="1">
        <v>74900</v>
      </c>
      <c r="J1348" s="1">
        <v>66450</v>
      </c>
      <c r="K1348" s="2">
        <v>41817</v>
      </c>
      <c r="L1348" s="1">
        <v>127</v>
      </c>
      <c r="M1348" s="2">
        <v>41943</v>
      </c>
      <c r="N1348" s="1">
        <v>127</v>
      </c>
      <c r="O1348" s="2">
        <v>41943</v>
      </c>
      <c r="P1348" s="1">
        <v>1572</v>
      </c>
      <c r="Q1348" s="1" t="s">
        <v>197</v>
      </c>
      <c r="R1348" s="2">
        <v>41989</v>
      </c>
      <c r="S1348" s="1">
        <v>28840</v>
      </c>
      <c r="U1348" s="1">
        <v>220</v>
      </c>
      <c r="V1348" s="1" t="s">
        <v>13490</v>
      </c>
      <c r="W1348" s="1" t="s">
        <v>264</v>
      </c>
      <c r="X1348" s="1" t="s">
        <v>527</v>
      </c>
      <c r="Y1348" s="1">
        <v>8</v>
      </c>
      <c r="Z1348" s="1" t="s">
        <v>370</v>
      </c>
      <c r="AA1348" s="1" t="s">
        <v>5871</v>
      </c>
      <c r="AB1348" s="1">
        <v>60084</v>
      </c>
      <c r="AD1348" s="1" t="s">
        <v>13491</v>
      </c>
      <c r="AE1348" s="1" t="s">
        <v>13492</v>
      </c>
      <c r="AF1348" s="1">
        <v>1991</v>
      </c>
      <c r="AG1348" s="1" t="s">
        <v>204</v>
      </c>
      <c r="AH1348" s="1" t="s">
        <v>2599</v>
      </c>
      <c r="AI1348" s="1" t="s">
        <v>509</v>
      </c>
      <c r="AJ1348" s="1" t="s">
        <v>2599</v>
      </c>
      <c r="AL1348" s="1">
        <v>5</v>
      </c>
      <c r="AM1348" s="1">
        <v>2</v>
      </c>
      <c r="AN1348" s="1">
        <v>2</v>
      </c>
      <c r="AO1348" s="1">
        <v>0</v>
      </c>
      <c r="AP1348" s="1" t="s">
        <v>209</v>
      </c>
      <c r="AR1348" s="1" t="s">
        <v>210</v>
      </c>
      <c r="AS1348" s="1" t="s">
        <v>204</v>
      </c>
      <c r="AT1348" s="1" t="s">
        <v>375</v>
      </c>
      <c r="AU1348" s="1">
        <v>1</v>
      </c>
      <c r="AV1348" s="1">
        <v>1</v>
      </c>
      <c r="AW1348" s="1" t="s">
        <v>204</v>
      </c>
      <c r="AX1348" s="1" t="s">
        <v>579</v>
      </c>
      <c r="AZ1348" s="1">
        <v>2339.17</v>
      </c>
      <c r="BA1348" s="1">
        <v>2013</v>
      </c>
      <c r="BB1348" s="1" t="s">
        <v>2694</v>
      </c>
      <c r="BE1348" s="1">
        <v>1015</v>
      </c>
      <c r="BF1348" s="1">
        <v>1</v>
      </c>
      <c r="BG1348" s="1">
        <v>30</v>
      </c>
      <c r="BL1348" s="1">
        <v>221</v>
      </c>
      <c r="BM1348" s="1" t="s">
        <v>213</v>
      </c>
      <c r="BN1348" s="1" t="s">
        <v>213</v>
      </c>
      <c r="BO1348" s="1">
        <v>0</v>
      </c>
      <c r="BP1348" s="1" t="s">
        <v>204</v>
      </c>
      <c r="BR1348" s="1" t="str">
        <f>"09254060320000"</f>
        <v>09254060320000</v>
      </c>
      <c r="BT1348" s="1" t="s">
        <v>13493</v>
      </c>
      <c r="BX1348" s="1">
        <v>118</v>
      </c>
      <c r="BY1348" s="1">
        <v>118</v>
      </c>
      <c r="BZ1348" s="1">
        <v>118</v>
      </c>
      <c r="CB1348" s="1" t="str">
        <f>"27"</f>
        <v>27</v>
      </c>
      <c r="CC1348" s="1" t="str">
        <f>"0"</f>
        <v>0</v>
      </c>
      <c r="CD1348" s="1">
        <v>25</v>
      </c>
      <c r="CE1348" s="1">
        <v>0</v>
      </c>
      <c r="CG1348" s="1" t="s">
        <v>315</v>
      </c>
      <c r="CH1348" s="1" t="s">
        <v>219</v>
      </c>
      <c r="CI1348" s="1" t="s">
        <v>220</v>
      </c>
      <c r="CK1348" s="1" t="s">
        <v>757</v>
      </c>
      <c r="CL1348" s="1" t="s">
        <v>219</v>
      </c>
      <c r="CM1348" s="1" t="s">
        <v>220</v>
      </c>
      <c r="CO1348" s="1" t="s">
        <v>3284</v>
      </c>
      <c r="CP1348" s="1" t="s">
        <v>219</v>
      </c>
      <c r="CQ1348" s="1" t="s">
        <v>342</v>
      </c>
      <c r="CS1348" s="1" t="s">
        <v>465</v>
      </c>
      <c r="CT1348" s="1" t="s">
        <v>219</v>
      </c>
      <c r="CU1348" s="1" t="s">
        <v>220</v>
      </c>
      <c r="CX1348" s="1" t="s">
        <v>224</v>
      </c>
      <c r="DB1348" s="1" t="s">
        <v>224</v>
      </c>
      <c r="DE1348" s="1" t="s">
        <v>3284</v>
      </c>
      <c r="DF1348" s="1" t="s">
        <v>219</v>
      </c>
      <c r="DG1348" s="1" t="s">
        <v>342</v>
      </c>
      <c r="DJ1348" s="1" t="s">
        <v>224</v>
      </c>
      <c r="DS1348" s="1" t="s">
        <v>230</v>
      </c>
      <c r="DW1348" s="1" t="s">
        <v>230</v>
      </c>
      <c r="EA1348" s="1" t="s">
        <v>230</v>
      </c>
      <c r="EE1348" s="1" t="s">
        <v>230</v>
      </c>
      <c r="EI1348" s="1" t="s">
        <v>230</v>
      </c>
      <c r="EL1348" s="1" t="s">
        <v>382</v>
      </c>
      <c r="EM1348" s="1" t="s">
        <v>319</v>
      </c>
      <c r="EN1348" s="1" t="s">
        <v>282</v>
      </c>
      <c r="EO1348" s="1" t="s">
        <v>234</v>
      </c>
      <c r="EQ1348" s="1" t="s">
        <v>468</v>
      </c>
      <c r="ER1348" s="1" t="s">
        <v>210</v>
      </c>
      <c r="ES1348" s="1" t="s">
        <v>322</v>
      </c>
      <c r="EU1348" s="1" t="s">
        <v>1820</v>
      </c>
      <c r="EW1348" s="1" t="s">
        <v>353</v>
      </c>
      <c r="EY1348" s="1" t="s">
        <v>242</v>
      </c>
      <c r="EZ1348" s="1" t="s">
        <v>287</v>
      </c>
      <c r="FB1348" s="1" t="s">
        <v>289</v>
      </c>
      <c r="FC1348" s="1" t="s">
        <v>633</v>
      </c>
      <c r="FD1348" s="1" t="s">
        <v>246</v>
      </c>
      <c r="FE1348" s="1" t="s">
        <v>386</v>
      </c>
      <c r="FF1348" s="1" t="s">
        <v>248</v>
      </c>
      <c r="FH1348" s="1" t="s">
        <v>249</v>
      </c>
      <c r="FK1348" s="1" t="s">
        <v>2076</v>
      </c>
      <c r="FL1348" s="1" t="s">
        <v>358</v>
      </c>
      <c r="FM1348" s="1" t="s">
        <v>252</v>
      </c>
      <c r="FN1348" s="1" t="s">
        <v>213</v>
      </c>
      <c r="FO1348" s="1" t="s">
        <v>213</v>
      </c>
      <c r="FQ1348" s="1" t="s">
        <v>673</v>
      </c>
      <c r="FR1348" s="1" t="s">
        <v>210</v>
      </c>
      <c r="FS1348" s="1" t="s">
        <v>13494</v>
      </c>
      <c r="FT1348" s="1" t="s">
        <v>13495</v>
      </c>
      <c r="FU1348" s="1" t="s">
        <v>204</v>
      </c>
      <c r="FW1348" s="1" t="s">
        <v>13496</v>
      </c>
      <c r="FX1348" s="1">
        <v>2666</v>
      </c>
      <c r="FY1348" s="1" t="s">
        <v>13497</v>
      </c>
      <c r="FZ1348" s="1" t="s">
        <v>13498</v>
      </c>
      <c r="GA1348" s="1">
        <v>14324</v>
      </c>
      <c r="GB1348" s="1" t="s">
        <v>13499</v>
      </c>
      <c r="GE1348" s="1" t="s">
        <v>480</v>
      </c>
      <c r="GI1348" s="1" t="s">
        <v>213</v>
      </c>
      <c r="GJ1348" s="1" t="s">
        <v>260</v>
      </c>
      <c r="GK1348" s="1" t="s">
        <v>210</v>
      </c>
      <c r="GL1348" s="2">
        <v>41989</v>
      </c>
      <c r="GM1348" s="1" t="s">
        <v>13500</v>
      </c>
    </row>
    <row r="1349" spans="1:195">
      <c r="A1349" s="1">
        <v>132000</v>
      </c>
      <c r="B1349" s="1" t="s">
        <v>195</v>
      </c>
      <c r="C1349" s="1" t="str">
        <f>"08660732"</f>
        <v>08660732</v>
      </c>
      <c r="D1349" s="1" t="s">
        <v>196</v>
      </c>
      <c r="F1349" s="1" t="str">
        <f>"136"</f>
        <v>136</v>
      </c>
      <c r="G1349" s="2">
        <v>41821</v>
      </c>
      <c r="H1349" s="1">
        <v>159900</v>
      </c>
      <c r="I1349" s="1">
        <v>129900</v>
      </c>
      <c r="J1349" s="1">
        <v>132000</v>
      </c>
      <c r="K1349" s="2">
        <v>41821</v>
      </c>
      <c r="L1349" s="1">
        <v>126</v>
      </c>
      <c r="M1349" s="2">
        <v>41946</v>
      </c>
      <c r="N1349" s="1">
        <v>126</v>
      </c>
      <c r="O1349" s="2">
        <v>41946</v>
      </c>
      <c r="P1349" s="1">
        <v>7450</v>
      </c>
      <c r="Q1349" s="1" t="s">
        <v>197</v>
      </c>
      <c r="R1349" s="2">
        <v>41985</v>
      </c>
      <c r="S1349" s="1">
        <v>879525</v>
      </c>
      <c r="U1349" s="1">
        <v>168</v>
      </c>
      <c r="V1349" s="1" t="s">
        <v>9089</v>
      </c>
      <c r="W1349" s="1" t="s">
        <v>725</v>
      </c>
      <c r="Y1349" s="1">
        <v>8</v>
      </c>
      <c r="Z1349" s="1" t="s">
        <v>370</v>
      </c>
      <c r="AA1349" s="1" t="s">
        <v>3680</v>
      </c>
      <c r="AB1349" s="1">
        <v>60136</v>
      </c>
      <c r="AD1349" s="1" t="s">
        <v>8883</v>
      </c>
      <c r="AE1349" s="1" t="s">
        <v>13501</v>
      </c>
      <c r="AF1349" s="1">
        <v>2006</v>
      </c>
      <c r="AG1349" s="1" t="s">
        <v>204</v>
      </c>
      <c r="AH1349" s="1" t="s">
        <v>3682</v>
      </c>
      <c r="AI1349" s="1" t="s">
        <v>665</v>
      </c>
      <c r="AJ1349" s="1" t="s">
        <v>748</v>
      </c>
      <c r="AL1349" s="1">
        <v>7</v>
      </c>
      <c r="AM1349" s="1">
        <v>2</v>
      </c>
      <c r="AN1349" s="1">
        <v>2</v>
      </c>
      <c r="AO1349" s="1">
        <v>1</v>
      </c>
      <c r="AP1349" s="1" t="s">
        <v>209</v>
      </c>
      <c r="AQ1349" s="1">
        <v>1</v>
      </c>
      <c r="AR1349" s="1" t="s">
        <v>1421</v>
      </c>
      <c r="AS1349" s="1" t="s">
        <v>204</v>
      </c>
      <c r="AT1349" s="1" t="s">
        <v>211</v>
      </c>
      <c r="AU1349" s="1">
        <v>2</v>
      </c>
      <c r="AW1349" s="1" t="s">
        <v>204</v>
      </c>
      <c r="AX1349" s="1" t="s">
        <v>212</v>
      </c>
      <c r="AZ1349" s="1">
        <v>5498.36</v>
      </c>
      <c r="BA1349" s="1">
        <v>2013</v>
      </c>
      <c r="BE1349" s="1">
        <v>2082</v>
      </c>
      <c r="BF1349" s="1">
        <v>1</v>
      </c>
      <c r="BG1349" s="1">
        <v>0</v>
      </c>
      <c r="BL1349" s="1">
        <v>149</v>
      </c>
      <c r="BM1349" s="1" t="s">
        <v>204</v>
      </c>
      <c r="BN1349" s="1" t="s">
        <v>213</v>
      </c>
      <c r="BO1349" s="1">
        <v>0</v>
      </c>
      <c r="BP1349" s="1" t="s">
        <v>204</v>
      </c>
      <c r="BR1349" s="1" t="str">
        <f>"0224151082"</f>
        <v>0224151082</v>
      </c>
      <c r="BT1349" s="1" t="s">
        <v>13502</v>
      </c>
      <c r="BX1349" s="1">
        <v>300</v>
      </c>
      <c r="BY1349" s="1">
        <v>300</v>
      </c>
      <c r="BZ1349" s="1">
        <v>300</v>
      </c>
      <c r="CB1349" s="1" t="str">
        <f t="shared" ref="CB1349:CC1349" si="1036">""</f>
        <v/>
      </c>
      <c r="CC1349" s="1" t="str">
        <f t="shared" si="1036"/>
        <v/>
      </c>
      <c r="CG1349" s="1" t="s">
        <v>628</v>
      </c>
      <c r="CH1349" s="1" t="s">
        <v>219</v>
      </c>
      <c r="CK1349" s="1" t="s">
        <v>228</v>
      </c>
      <c r="CL1349" s="1" t="s">
        <v>277</v>
      </c>
      <c r="CO1349" s="1" t="s">
        <v>1297</v>
      </c>
      <c r="CP1349" s="1" t="s">
        <v>219</v>
      </c>
      <c r="CS1349" s="1" t="s">
        <v>1297</v>
      </c>
      <c r="CT1349" s="1" t="s">
        <v>277</v>
      </c>
      <c r="CX1349" s="1" t="s">
        <v>224</v>
      </c>
      <c r="DB1349" s="1" t="s">
        <v>224</v>
      </c>
      <c r="DE1349" s="1" t="s">
        <v>317</v>
      </c>
      <c r="DF1349" s="1" t="s">
        <v>219</v>
      </c>
      <c r="DJ1349" s="1" t="s">
        <v>224</v>
      </c>
      <c r="DM1349" s="1" t="s">
        <v>1005</v>
      </c>
      <c r="DN1349" s="1" t="s">
        <v>464</v>
      </c>
      <c r="DR1349" s="1" t="s">
        <v>379</v>
      </c>
      <c r="DS1349" s="1" t="s">
        <v>822</v>
      </c>
      <c r="DV1349" s="1" t="s">
        <v>379</v>
      </c>
      <c r="DW1349" s="1" t="s">
        <v>277</v>
      </c>
      <c r="EA1349" s="1" t="s">
        <v>230</v>
      </c>
      <c r="EE1349" s="1" t="s">
        <v>230</v>
      </c>
      <c r="EI1349" s="1" t="s">
        <v>230</v>
      </c>
      <c r="EL1349" s="1" t="s">
        <v>491</v>
      </c>
      <c r="EM1349" s="1" t="s">
        <v>319</v>
      </c>
      <c r="EN1349" s="1" t="s">
        <v>282</v>
      </c>
      <c r="EO1349" s="1" t="s">
        <v>234</v>
      </c>
      <c r="ER1349" s="1" t="s">
        <v>544</v>
      </c>
      <c r="ES1349" s="1" t="s">
        <v>608</v>
      </c>
      <c r="EU1349" s="1" t="s">
        <v>239</v>
      </c>
      <c r="EV1349" s="1" t="s">
        <v>240</v>
      </c>
      <c r="EW1349" s="1" t="s">
        <v>937</v>
      </c>
      <c r="EZ1349" s="1" t="s">
        <v>6712</v>
      </c>
      <c r="FD1349" s="1" t="s">
        <v>246</v>
      </c>
      <c r="FE1349" s="1" t="s">
        <v>386</v>
      </c>
      <c r="FF1349" s="1" t="s">
        <v>248</v>
      </c>
      <c r="FG1349" s="1" t="s">
        <v>3685</v>
      </c>
      <c r="FH1349" s="1" t="s">
        <v>1428</v>
      </c>
      <c r="FL1349" s="1" t="s">
        <v>414</v>
      </c>
      <c r="FM1349" s="1" t="s">
        <v>252</v>
      </c>
      <c r="FN1349" s="1" t="s">
        <v>213</v>
      </c>
      <c r="FO1349" s="1" t="s">
        <v>213</v>
      </c>
      <c r="FQ1349" s="1" t="s">
        <v>673</v>
      </c>
      <c r="FR1349" s="1" t="s">
        <v>210</v>
      </c>
      <c r="FS1349" s="1" t="s">
        <v>5747</v>
      </c>
      <c r="FT1349" s="1" t="s">
        <v>13503</v>
      </c>
      <c r="FU1349" s="1" t="s">
        <v>204</v>
      </c>
      <c r="FW1349" s="1" t="s">
        <v>554</v>
      </c>
      <c r="FX1349" s="1">
        <v>5040</v>
      </c>
      <c r="FY1349" s="1" t="s">
        <v>2611</v>
      </c>
      <c r="FZ1349" s="1" t="s">
        <v>11164</v>
      </c>
      <c r="GA1349" s="1">
        <v>54168</v>
      </c>
      <c r="GB1349" s="1" t="s">
        <v>11165</v>
      </c>
      <c r="GC1349" s="1">
        <v>55673</v>
      </c>
      <c r="GE1349" s="1" t="s">
        <v>210</v>
      </c>
      <c r="GI1349" s="1" t="s">
        <v>213</v>
      </c>
      <c r="GJ1349" s="1" t="s">
        <v>300</v>
      </c>
      <c r="GK1349" s="1" t="s">
        <v>210</v>
      </c>
      <c r="GL1349" s="2">
        <v>41986</v>
      </c>
      <c r="GM1349" s="1" t="s">
        <v>13504</v>
      </c>
    </row>
    <row r="1350" spans="1:195">
      <c r="A1350" s="1">
        <v>180000</v>
      </c>
      <c r="B1350" s="1" t="s">
        <v>195</v>
      </c>
      <c r="C1350" s="1" t="str">
        <f>"08657531"</f>
        <v>08657531</v>
      </c>
      <c r="D1350" s="1" t="s">
        <v>196</v>
      </c>
      <c r="F1350" s="1" t="str">
        <f>"634"</f>
        <v>634</v>
      </c>
      <c r="G1350" s="2">
        <v>41817</v>
      </c>
      <c r="H1350" s="1">
        <v>189900</v>
      </c>
      <c r="I1350" s="1">
        <v>187900</v>
      </c>
      <c r="J1350" s="1">
        <v>180000</v>
      </c>
      <c r="K1350" s="2">
        <v>41817</v>
      </c>
      <c r="L1350" s="1">
        <v>161</v>
      </c>
      <c r="M1350" s="2">
        <v>41977</v>
      </c>
      <c r="N1350" s="1">
        <v>161</v>
      </c>
      <c r="O1350" s="2">
        <v>41977</v>
      </c>
      <c r="P1350" s="1">
        <v>85240</v>
      </c>
      <c r="Q1350" s="1" t="s">
        <v>197</v>
      </c>
      <c r="R1350" s="2">
        <v>42020</v>
      </c>
      <c r="S1350" s="1">
        <v>163391</v>
      </c>
      <c r="U1350" s="1">
        <v>8580</v>
      </c>
      <c r="V1350" s="1" t="s">
        <v>5509</v>
      </c>
      <c r="W1350" s="1" t="s">
        <v>425</v>
      </c>
      <c r="X1350" s="1">
        <v>305</v>
      </c>
      <c r="Y1350" s="1">
        <v>60</v>
      </c>
      <c r="Z1350" s="1" t="s">
        <v>200</v>
      </c>
      <c r="AA1350" s="1" t="s">
        <v>3197</v>
      </c>
      <c r="AB1350" s="1">
        <v>60706</v>
      </c>
      <c r="AE1350" s="1" t="s">
        <v>13505</v>
      </c>
      <c r="AF1350" s="1">
        <v>1993</v>
      </c>
      <c r="AG1350" s="1" t="s">
        <v>204</v>
      </c>
      <c r="AH1350" s="1" t="s">
        <v>3199</v>
      </c>
      <c r="AI1350" s="1" t="s">
        <v>310</v>
      </c>
      <c r="AJ1350" s="1" t="s">
        <v>311</v>
      </c>
      <c r="AL1350" s="1">
        <v>5</v>
      </c>
      <c r="AM1350" s="1">
        <v>2</v>
      </c>
      <c r="AN1350" s="1">
        <v>2</v>
      </c>
      <c r="AO1350" s="1">
        <v>0</v>
      </c>
      <c r="AP1350" s="1" t="s">
        <v>209</v>
      </c>
      <c r="AR1350" s="1" t="s">
        <v>210</v>
      </c>
      <c r="AT1350" s="1" t="s">
        <v>211</v>
      </c>
      <c r="AU1350" s="1">
        <v>1</v>
      </c>
      <c r="AW1350" s="1" t="s">
        <v>204</v>
      </c>
      <c r="AX1350" s="1" t="s">
        <v>4740</v>
      </c>
      <c r="AZ1350" s="1">
        <v>1807</v>
      </c>
      <c r="BA1350" s="1">
        <v>2012</v>
      </c>
      <c r="BB1350" s="1" t="s">
        <v>599</v>
      </c>
      <c r="BE1350" s="1">
        <v>1500</v>
      </c>
      <c r="BF1350" s="1">
        <v>3</v>
      </c>
      <c r="BG1350" s="1">
        <v>30</v>
      </c>
      <c r="BL1350" s="1">
        <v>257</v>
      </c>
      <c r="BM1350" s="1" t="s">
        <v>204</v>
      </c>
      <c r="BN1350" s="1" t="s">
        <v>204</v>
      </c>
      <c r="BP1350" s="1" t="s">
        <v>204</v>
      </c>
      <c r="BR1350" s="1" t="str">
        <f>"12111021131015"</f>
        <v>12111021131015</v>
      </c>
      <c r="BT1350" s="1" t="s">
        <v>13506</v>
      </c>
      <c r="BU1350" s="1" t="s">
        <v>8426</v>
      </c>
      <c r="BV1350" s="1" t="s">
        <v>8426</v>
      </c>
      <c r="BW1350" s="1" t="s">
        <v>8427</v>
      </c>
      <c r="BX1350" s="1">
        <v>79</v>
      </c>
      <c r="BY1350" s="1">
        <v>79</v>
      </c>
      <c r="BZ1350" s="1">
        <v>207</v>
      </c>
      <c r="CB1350" s="1" t="str">
        <f t="shared" ref="CB1350:CC1350" si="1037">""</f>
        <v/>
      </c>
      <c r="CC1350" s="1" t="str">
        <f t="shared" si="1037"/>
        <v/>
      </c>
      <c r="CG1350" s="1" t="s">
        <v>707</v>
      </c>
      <c r="CH1350" s="1" t="s">
        <v>219</v>
      </c>
      <c r="CI1350" s="1" t="s">
        <v>220</v>
      </c>
      <c r="CJ1350" s="1" t="s">
        <v>343</v>
      </c>
      <c r="CK1350" s="1" t="s">
        <v>932</v>
      </c>
      <c r="CL1350" s="1" t="s">
        <v>219</v>
      </c>
      <c r="CM1350" s="1" t="s">
        <v>220</v>
      </c>
      <c r="CN1350" s="1" t="s">
        <v>343</v>
      </c>
      <c r="CO1350" s="1" t="s">
        <v>281</v>
      </c>
      <c r="CP1350" s="1" t="s">
        <v>219</v>
      </c>
      <c r="CQ1350" s="1" t="s">
        <v>220</v>
      </c>
      <c r="CR1350" s="1" t="s">
        <v>210</v>
      </c>
      <c r="CS1350" s="1" t="s">
        <v>346</v>
      </c>
      <c r="CT1350" s="1" t="s">
        <v>219</v>
      </c>
      <c r="CU1350" s="1" t="s">
        <v>220</v>
      </c>
      <c r="CV1350" s="1" t="s">
        <v>343</v>
      </c>
      <c r="CX1350" s="1" t="s">
        <v>224</v>
      </c>
      <c r="DB1350" s="1" t="s">
        <v>224</v>
      </c>
      <c r="DE1350" s="1" t="s">
        <v>1045</v>
      </c>
      <c r="DF1350" s="1" t="s">
        <v>219</v>
      </c>
      <c r="DG1350" s="1" t="s">
        <v>342</v>
      </c>
      <c r="DH1350" s="1" t="s">
        <v>210</v>
      </c>
      <c r="DJ1350" s="1" t="s">
        <v>224</v>
      </c>
      <c r="DM1350" s="1" t="s">
        <v>838</v>
      </c>
      <c r="DR1350" s="1" t="s">
        <v>13507</v>
      </c>
      <c r="DS1350" s="1" t="s">
        <v>219</v>
      </c>
      <c r="DT1350" s="1" t="s">
        <v>220</v>
      </c>
      <c r="DU1350" s="1" t="s">
        <v>210</v>
      </c>
      <c r="DW1350" s="1" t="s">
        <v>230</v>
      </c>
      <c r="EA1350" s="1" t="s">
        <v>230</v>
      </c>
      <c r="EE1350" s="1" t="s">
        <v>230</v>
      </c>
      <c r="EI1350" s="1" t="s">
        <v>230</v>
      </c>
      <c r="EL1350" s="1" t="s">
        <v>382</v>
      </c>
      <c r="EM1350" s="1" t="s">
        <v>232</v>
      </c>
      <c r="EN1350" s="1" t="s">
        <v>282</v>
      </c>
      <c r="EO1350" s="1" t="s">
        <v>234</v>
      </c>
      <c r="EQ1350" s="1" t="s">
        <v>492</v>
      </c>
      <c r="ER1350" s="1" t="s">
        <v>210</v>
      </c>
      <c r="ES1350" s="1" t="s">
        <v>322</v>
      </c>
      <c r="ET1350" s="1" t="s">
        <v>1404</v>
      </c>
      <c r="EV1350" s="1" t="s">
        <v>240</v>
      </c>
      <c r="EW1350" s="1" t="s">
        <v>1284</v>
      </c>
      <c r="EZ1350" s="1" t="s">
        <v>838</v>
      </c>
      <c r="FD1350" s="1" t="s">
        <v>1112</v>
      </c>
      <c r="FE1350" s="1" t="s">
        <v>247</v>
      </c>
      <c r="FF1350" s="1" t="s">
        <v>248</v>
      </c>
      <c r="FH1350" s="1" t="s">
        <v>249</v>
      </c>
      <c r="FI1350" s="1" t="s">
        <v>848</v>
      </c>
      <c r="FL1350" s="1" t="s">
        <v>358</v>
      </c>
      <c r="FM1350" s="1" t="s">
        <v>252</v>
      </c>
      <c r="FN1350" s="1" t="s">
        <v>213</v>
      </c>
      <c r="FO1350" s="1" t="s">
        <v>213</v>
      </c>
      <c r="FQ1350" s="1" t="s">
        <v>913</v>
      </c>
      <c r="FR1350" s="1" t="s">
        <v>210</v>
      </c>
      <c r="FS1350" s="1" t="s">
        <v>13508</v>
      </c>
      <c r="FT1350" s="1" t="s">
        <v>13509</v>
      </c>
      <c r="FU1350" s="1" t="s">
        <v>204</v>
      </c>
      <c r="FW1350" s="1" t="s">
        <v>13510</v>
      </c>
      <c r="FX1350" s="1">
        <v>8817</v>
      </c>
      <c r="FY1350" s="1" t="s">
        <v>13511</v>
      </c>
      <c r="FZ1350" s="1" t="s">
        <v>13512</v>
      </c>
      <c r="GA1350" s="1">
        <v>242020</v>
      </c>
      <c r="GC1350" s="1">
        <v>80250</v>
      </c>
      <c r="GE1350" s="1" t="s">
        <v>210</v>
      </c>
      <c r="GH1350" s="1" t="s">
        <v>589</v>
      </c>
      <c r="GI1350" s="1" t="s">
        <v>213</v>
      </c>
      <c r="GJ1350" s="1" t="s">
        <v>260</v>
      </c>
      <c r="GK1350" s="1" t="s">
        <v>210</v>
      </c>
      <c r="GL1350" s="2">
        <v>42023</v>
      </c>
      <c r="GM1350" s="1" t="s">
        <v>13513</v>
      </c>
    </row>
    <row r="1351" spans="1:195">
      <c r="A1351" s="1">
        <v>62000</v>
      </c>
      <c r="B1351" s="1" t="s">
        <v>195</v>
      </c>
      <c r="C1351" s="1" t="str">
        <f>"08658809"</f>
        <v>08658809</v>
      </c>
      <c r="D1351" s="1" t="s">
        <v>196</v>
      </c>
      <c r="F1351" s="1" t="str">
        <f>"517"</f>
        <v>517</v>
      </c>
      <c r="G1351" s="2">
        <v>41819</v>
      </c>
      <c r="H1351" s="1">
        <v>85000</v>
      </c>
      <c r="I1351" s="1">
        <v>75000</v>
      </c>
      <c r="J1351" s="1">
        <v>62000</v>
      </c>
      <c r="K1351" s="2">
        <v>41819</v>
      </c>
      <c r="L1351" s="1">
        <v>94</v>
      </c>
      <c r="M1351" s="2">
        <v>41912</v>
      </c>
      <c r="N1351" s="1">
        <v>94</v>
      </c>
      <c r="O1351" s="2">
        <v>41912</v>
      </c>
      <c r="P1351" s="1">
        <v>22993</v>
      </c>
      <c r="Q1351" s="1" t="s">
        <v>197</v>
      </c>
      <c r="R1351" s="2">
        <v>41988</v>
      </c>
      <c r="S1351" s="1">
        <v>241769</v>
      </c>
      <c r="U1351" s="1">
        <v>2900</v>
      </c>
      <c r="V1351" s="1" t="s">
        <v>13514</v>
      </c>
      <c r="W1351" s="1" t="s">
        <v>264</v>
      </c>
      <c r="X1351" s="1">
        <v>7</v>
      </c>
      <c r="Y1351" s="1">
        <v>8</v>
      </c>
      <c r="Z1351" s="1" t="s">
        <v>249</v>
      </c>
      <c r="AA1351" s="1" t="s">
        <v>2850</v>
      </c>
      <c r="AB1351" s="1">
        <v>60517</v>
      </c>
      <c r="AE1351" s="1" t="s">
        <v>13515</v>
      </c>
      <c r="AF1351" s="1">
        <v>1972</v>
      </c>
      <c r="AG1351" s="1" t="s">
        <v>213</v>
      </c>
      <c r="AH1351" s="1" t="s">
        <v>2853</v>
      </c>
      <c r="AI1351" s="1" t="s">
        <v>206</v>
      </c>
      <c r="AJ1351" s="1" t="s">
        <v>925</v>
      </c>
      <c r="AL1351" s="1">
        <v>5</v>
      </c>
      <c r="AM1351" s="1">
        <v>2</v>
      </c>
      <c r="AN1351" s="1">
        <v>2</v>
      </c>
      <c r="AO1351" s="1">
        <v>0</v>
      </c>
      <c r="AP1351" s="1" t="s">
        <v>209</v>
      </c>
      <c r="AR1351" s="1" t="s">
        <v>210</v>
      </c>
      <c r="AT1351" s="1" t="s">
        <v>271</v>
      </c>
      <c r="AV1351" s="1">
        <v>2</v>
      </c>
      <c r="AW1351" s="1" t="s">
        <v>204</v>
      </c>
      <c r="AX1351" s="1" t="s">
        <v>212</v>
      </c>
      <c r="AZ1351" s="5">
        <v>2776.34</v>
      </c>
      <c r="BA1351" s="1">
        <v>2013</v>
      </c>
      <c r="BE1351" s="1">
        <v>1150</v>
      </c>
      <c r="BF1351" s="1">
        <v>2</v>
      </c>
      <c r="BG1351" s="1">
        <v>0</v>
      </c>
      <c r="BL1351" s="1">
        <v>293</v>
      </c>
      <c r="BM1351" s="1" t="s">
        <v>413</v>
      </c>
      <c r="BN1351" s="1" t="s">
        <v>213</v>
      </c>
      <c r="BO1351" s="1">
        <v>35</v>
      </c>
      <c r="BP1351" s="1" t="s">
        <v>204</v>
      </c>
      <c r="BR1351" s="1" t="str">
        <f>"0823209013"</f>
        <v>0823209013</v>
      </c>
      <c r="BT1351" s="1" t="s">
        <v>13516</v>
      </c>
      <c r="BX1351" s="1">
        <v>68</v>
      </c>
      <c r="BY1351" s="1">
        <v>68</v>
      </c>
      <c r="BZ1351" s="1">
        <v>68</v>
      </c>
      <c r="CB1351" s="1" t="str">
        <f t="shared" ref="CB1351:CC1351" si="1038">""</f>
        <v/>
      </c>
      <c r="CC1351" s="1" t="str">
        <f t="shared" si="1038"/>
        <v/>
      </c>
      <c r="CH1351" s="1" t="s">
        <v>224</v>
      </c>
      <c r="CK1351" s="1" t="s">
        <v>437</v>
      </c>
      <c r="CL1351" s="1" t="s">
        <v>219</v>
      </c>
      <c r="CM1351" s="1" t="s">
        <v>220</v>
      </c>
      <c r="CO1351" s="1" t="s">
        <v>318</v>
      </c>
      <c r="CP1351" s="1" t="s">
        <v>219</v>
      </c>
      <c r="CQ1351" s="1" t="s">
        <v>229</v>
      </c>
      <c r="CS1351" s="1" t="s">
        <v>1297</v>
      </c>
      <c r="CT1351" s="1" t="s">
        <v>219</v>
      </c>
      <c r="CU1351" s="1" t="s">
        <v>220</v>
      </c>
      <c r="CX1351" s="1" t="s">
        <v>224</v>
      </c>
      <c r="DB1351" s="1" t="s">
        <v>224</v>
      </c>
      <c r="DE1351" s="1" t="s">
        <v>837</v>
      </c>
      <c r="DF1351" s="1" t="s">
        <v>219</v>
      </c>
      <c r="DG1351" s="1" t="s">
        <v>226</v>
      </c>
      <c r="DI1351" s="1" t="s">
        <v>1570</v>
      </c>
      <c r="DJ1351" s="1" t="s">
        <v>219</v>
      </c>
      <c r="DK1351" s="1" t="s">
        <v>229</v>
      </c>
      <c r="DS1351" s="1" t="s">
        <v>230</v>
      </c>
      <c r="DW1351" s="1" t="s">
        <v>230</v>
      </c>
      <c r="EA1351" s="1" t="s">
        <v>230</v>
      </c>
      <c r="EE1351" s="1" t="s">
        <v>230</v>
      </c>
      <c r="EI1351" s="1" t="s">
        <v>230</v>
      </c>
      <c r="EL1351" s="1" t="s">
        <v>605</v>
      </c>
      <c r="EM1351" s="1" t="s">
        <v>232</v>
      </c>
      <c r="EN1351" s="1" t="s">
        <v>282</v>
      </c>
      <c r="EO1351" s="1" t="s">
        <v>234</v>
      </c>
      <c r="EQ1351" s="1" t="s">
        <v>350</v>
      </c>
      <c r="ER1351" s="1" t="s">
        <v>210</v>
      </c>
      <c r="ES1351" s="1" t="s">
        <v>545</v>
      </c>
      <c r="ET1351" s="1" t="s">
        <v>323</v>
      </c>
      <c r="EU1351" s="1" t="s">
        <v>712</v>
      </c>
      <c r="EV1351" s="1" t="s">
        <v>352</v>
      </c>
      <c r="EW1351" s="1" t="s">
        <v>353</v>
      </c>
      <c r="EY1351" s="1" t="s">
        <v>242</v>
      </c>
      <c r="EZ1351" s="1" t="s">
        <v>287</v>
      </c>
      <c r="FA1351" s="1" t="s">
        <v>471</v>
      </c>
      <c r="FD1351" s="1" t="s">
        <v>246</v>
      </c>
      <c r="FE1351" s="1" t="s">
        <v>386</v>
      </c>
      <c r="FF1351" s="1" t="s">
        <v>248</v>
      </c>
      <c r="FH1351" s="1" t="s">
        <v>249</v>
      </c>
      <c r="FJ1351" s="1" t="s">
        <v>518</v>
      </c>
      <c r="FL1351" s="1" t="s">
        <v>358</v>
      </c>
      <c r="FM1351" s="1" t="s">
        <v>252</v>
      </c>
      <c r="FN1351" s="1" t="s">
        <v>213</v>
      </c>
      <c r="FO1351" s="1" t="s">
        <v>213</v>
      </c>
      <c r="FQ1351" s="1" t="s">
        <v>793</v>
      </c>
      <c r="FR1351" s="1" t="s">
        <v>360</v>
      </c>
      <c r="FS1351" s="1" t="s">
        <v>10844</v>
      </c>
      <c r="FT1351" s="1" t="s">
        <v>295</v>
      </c>
      <c r="FU1351" s="1" t="s">
        <v>204</v>
      </c>
      <c r="FW1351" s="1" t="s">
        <v>676</v>
      </c>
      <c r="FX1351" s="1">
        <v>30</v>
      </c>
      <c r="FY1351" s="1" t="s">
        <v>677</v>
      </c>
      <c r="FZ1351" s="1" t="s">
        <v>10845</v>
      </c>
      <c r="GA1351" s="1">
        <v>7679</v>
      </c>
      <c r="GB1351" s="1" t="s">
        <v>10846</v>
      </c>
      <c r="GC1351" s="1">
        <v>8664</v>
      </c>
      <c r="GE1351" s="1" t="s">
        <v>1764</v>
      </c>
      <c r="GI1351" s="1" t="s">
        <v>213</v>
      </c>
      <c r="GJ1351" s="1" t="s">
        <v>260</v>
      </c>
      <c r="GK1351" s="1" t="s">
        <v>210</v>
      </c>
      <c r="GL1351" s="2">
        <v>41988</v>
      </c>
      <c r="GM1351" s="1" t="s">
        <v>10847</v>
      </c>
    </row>
    <row r="1352" spans="1:195">
      <c r="A1352" s="1">
        <v>152500</v>
      </c>
      <c r="B1352" s="1" t="s">
        <v>195</v>
      </c>
      <c r="C1352" s="1" t="str">
        <f>"08806009"</f>
        <v>08806009</v>
      </c>
      <c r="D1352" s="1" t="s">
        <v>196</v>
      </c>
      <c r="F1352" s="1" t="str">
        <f>"30"</f>
        <v>30</v>
      </c>
      <c r="G1352" s="2">
        <v>41998</v>
      </c>
      <c r="H1352" s="1">
        <v>167950</v>
      </c>
      <c r="I1352" s="1">
        <v>159900</v>
      </c>
      <c r="J1352" s="1">
        <v>152500</v>
      </c>
      <c r="K1352" s="2">
        <v>41997</v>
      </c>
      <c r="L1352" s="1">
        <v>55</v>
      </c>
      <c r="M1352" s="2">
        <v>42051</v>
      </c>
      <c r="N1352" s="1">
        <v>55</v>
      </c>
      <c r="O1352" s="2">
        <v>42051</v>
      </c>
      <c r="P1352" s="1">
        <v>8002</v>
      </c>
      <c r="Q1352" s="1" t="s">
        <v>197</v>
      </c>
      <c r="R1352" s="2">
        <v>42089</v>
      </c>
      <c r="S1352" s="1">
        <v>86932</v>
      </c>
      <c r="U1352" s="1">
        <v>80</v>
      </c>
      <c r="V1352" s="1" t="s">
        <v>3736</v>
      </c>
      <c r="W1352" s="1" t="s">
        <v>504</v>
      </c>
      <c r="Y1352" s="1">
        <v>4</v>
      </c>
      <c r="Z1352" s="1" t="s">
        <v>370</v>
      </c>
      <c r="AA1352" s="1" t="s">
        <v>1834</v>
      </c>
      <c r="AB1352" s="1">
        <v>60030</v>
      </c>
      <c r="AD1352" s="1" t="s">
        <v>10289</v>
      </c>
      <c r="AE1352" s="1" t="s">
        <v>13517</v>
      </c>
      <c r="AF1352" s="1">
        <v>2005</v>
      </c>
      <c r="AG1352" s="1" t="s">
        <v>204</v>
      </c>
      <c r="AH1352" s="1" t="s">
        <v>1837</v>
      </c>
      <c r="AI1352" s="1" t="s">
        <v>509</v>
      </c>
      <c r="AJ1352" s="1" t="s">
        <v>1263</v>
      </c>
      <c r="AK1352" s="1" t="s">
        <v>13518</v>
      </c>
      <c r="AL1352" s="1">
        <v>7</v>
      </c>
      <c r="AM1352" s="1">
        <v>2</v>
      </c>
      <c r="AN1352" s="1">
        <v>2</v>
      </c>
      <c r="AO1352" s="1">
        <v>1</v>
      </c>
      <c r="AP1352" s="1" t="s">
        <v>209</v>
      </c>
      <c r="AR1352" s="1" t="s">
        <v>2165</v>
      </c>
      <c r="AS1352" s="1" t="s">
        <v>204</v>
      </c>
      <c r="AT1352" s="1" t="s">
        <v>211</v>
      </c>
      <c r="AU1352" s="1">
        <v>2</v>
      </c>
      <c r="AW1352" s="1" t="s">
        <v>204</v>
      </c>
      <c r="AX1352" s="1" t="s">
        <v>579</v>
      </c>
      <c r="AZ1352" s="1">
        <v>4850.5</v>
      </c>
      <c r="BA1352" s="1">
        <v>2013</v>
      </c>
      <c r="BB1352" s="1" t="s">
        <v>405</v>
      </c>
      <c r="BE1352" s="1">
        <v>1360</v>
      </c>
      <c r="BF1352" s="1">
        <v>1</v>
      </c>
      <c r="BG1352" s="1">
        <v>0</v>
      </c>
      <c r="BL1352" s="1">
        <v>194</v>
      </c>
      <c r="BM1352" s="1" t="s">
        <v>413</v>
      </c>
      <c r="BN1352" s="1" t="s">
        <v>213</v>
      </c>
      <c r="BO1352" s="1">
        <v>100</v>
      </c>
      <c r="BP1352" s="1" t="s">
        <v>204</v>
      </c>
      <c r="BR1352" s="1" t="str">
        <f>"06344020260000"</f>
        <v>06344020260000</v>
      </c>
      <c r="BT1352" s="1" t="s">
        <v>13519</v>
      </c>
      <c r="BU1352" s="1" t="s">
        <v>5332</v>
      </c>
      <c r="BV1352" s="1" t="s">
        <v>1842</v>
      </c>
      <c r="BW1352" s="1" t="s">
        <v>2737</v>
      </c>
      <c r="BX1352" s="1">
        <v>46</v>
      </c>
      <c r="BY1352" s="1">
        <v>46</v>
      </c>
      <c r="BZ1352" s="1">
        <v>127</v>
      </c>
      <c r="CB1352" s="1" t="str">
        <f>"32"</f>
        <v>32</v>
      </c>
      <c r="CC1352" s="1" t="str">
        <f>"0"</f>
        <v>0</v>
      </c>
      <c r="CD1352" s="1">
        <v>21</v>
      </c>
      <c r="CE1352" s="1">
        <v>0</v>
      </c>
      <c r="CG1352" s="1" t="s">
        <v>1045</v>
      </c>
      <c r="CH1352" s="1" t="s">
        <v>219</v>
      </c>
      <c r="CI1352" s="1" t="s">
        <v>438</v>
      </c>
      <c r="CK1352" s="1" t="s">
        <v>729</v>
      </c>
      <c r="CL1352" s="1" t="s">
        <v>277</v>
      </c>
      <c r="CM1352" s="1" t="s">
        <v>220</v>
      </c>
      <c r="CO1352" s="1" t="s">
        <v>461</v>
      </c>
      <c r="CP1352" s="1" t="s">
        <v>219</v>
      </c>
      <c r="CQ1352" s="1" t="s">
        <v>438</v>
      </c>
      <c r="CS1352" s="1" t="s">
        <v>465</v>
      </c>
      <c r="CT1352" s="1" t="s">
        <v>277</v>
      </c>
      <c r="CU1352" s="1" t="s">
        <v>220</v>
      </c>
      <c r="CX1352" s="1" t="s">
        <v>224</v>
      </c>
      <c r="DB1352" s="1" t="s">
        <v>224</v>
      </c>
      <c r="DE1352" s="1" t="s">
        <v>317</v>
      </c>
      <c r="DF1352" s="1" t="s">
        <v>219</v>
      </c>
      <c r="DG1352" s="1" t="s">
        <v>438</v>
      </c>
      <c r="DI1352" s="1" t="s">
        <v>317</v>
      </c>
      <c r="DJ1352" s="1" t="s">
        <v>822</v>
      </c>
      <c r="DK1352" s="1" t="s">
        <v>220</v>
      </c>
      <c r="DM1352" s="1" t="s">
        <v>1548</v>
      </c>
      <c r="DR1352" s="1" t="s">
        <v>317</v>
      </c>
      <c r="DS1352" s="1" t="s">
        <v>219</v>
      </c>
      <c r="DT1352" s="1" t="s">
        <v>438</v>
      </c>
      <c r="DW1352" s="1" t="s">
        <v>230</v>
      </c>
      <c r="EA1352" s="1" t="s">
        <v>230</v>
      </c>
      <c r="EE1352" s="1" t="s">
        <v>230</v>
      </c>
      <c r="EI1352" s="1" t="s">
        <v>230</v>
      </c>
      <c r="EL1352" s="1" t="s">
        <v>491</v>
      </c>
      <c r="EM1352" s="1" t="s">
        <v>319</v>
      </c>
      <c r="EN1352" s="1" t="s">
        <v>282</v>
      </c>
      <c r="EO1352" s="1" t="s">
        <v>234</v>
      </c>
      <c r="EP1352" s="1" t="s">
        <v>650</v>
      </c>
      <c r="EQ1352" s="1" t="s">
        <v>236</v>
      </c>
      <c r="ER1352" s="1" t="s">
        <v>823</v>
      </c>
      <c r="ES1352" s="1" t="s">
        <v>3218</v>
      </c>
      <c r="ET1352" s="1" t="s">
        <v>323</v>
      </c>
      <c r="EU1352" s="1" t="s">
        <v>239</v>
      </c>
      <c r="EV1352" s="1" t="s">
        <v>240</v>
      </c>
      <c r="EW1352" s="1" t="s">
        <v>353</v>
      </c>
      <c r="EY1352" s="1" t="s">
        <v>242</v>
      </c>
      <c r="EZ1352" s="1" t="s">
        <v>1548</v>
      </c>
      <c r="FA1352" s="1" t="s">
        <v>1072</v>
      </c>
      <c r="FB1352" s="1" t="s">
        <v>289</v>
      </c>
      <c r="FD1352" s="1" t="s">
        <v>246</v>
      </c>
      <c r="FE1352" s="1" t="s">
        <v>247</v>
      </c>
      <c r="FF1352" s="1" t="s">
        <v>248</v>
      </c>
      <c r="FH1352" s="1" t="s">
        <v>1428</v>
      </c>
      <c r="FI1352" s="1" t="s">
        <v>357</v>
      </c>
      <c r="FL1352" s="1" t="s">
        <v>358</v>
      </c>
      <c r="FM1352" s="1" t="s">
        <v>252</v>
      </c>
      <c r="FN1352" s="1" t="s">
        <v>213</v>
      </c>
      <c r="FO1352" s="1" t="s">
        <v>213</v>
      </c>
      <c r="FQ1352" s="1" t="s">
        <v>582</v>
      </c>
      <c r="FR1352" s="1" t="s">
        <v>210</v>
      </c>
      <c r="FS1352" s="1" t="s">
        <v>583</v>
      </c>
      <c r="FT1352" s="1" t="s">
        <v>584</v>
      </c>
      <c r="FU1352" s="1" t="s">
        <v>204</v>
      </c>
      <c r="FW1352" s="1" t="s">
        <v>585</v>
      </c>
      <c r="FX1352" s="1">
        <v>8002</v>
      </c>
      <c r="FY1352" s="1" t="s">
        <v>586</v>
      </c>
      <c r="FZ1352" s="1" t="s">
        <v>587</v>
      </c>
      <c r="GA1352" s="1">
        <v>89090</v>
      </c>
      <c r="GB1352" s="1" t="s">
        <v>588</v>
      </c>
      <c r="GC1352" s="1">
        <v>35055</v>
      </c>
      <c r="GE1352" s="1" t="s">
        <v>1256</v>
      </c>
      <c r="GI1352" s="1" t="s">
        <v>213</v>
      </c>
      <c r="GJ1352" s="1" t="s">
        <v>260</v>
      </c>
      <c r="GK1352" s="1" t="s">
        <v>210</v>
      </c>
      <c r="GL1352" s="2">
        <v>42089</v>
      </c>
      <c r="GM1352" s="1" t="s">
        <v>13520</v>
      </c>
    </row>
    <row r="1353" spans="1:195">
      <c r="A1353" s="1">
        <v>85000</v>
      </c>
      <c r="B1353" s="1" t="s">
        <v>195</v>
      </c>
      <c r="C1353" s="1" t="str">
        <f>"08665660"</f>
        <v>08665660</v>
      </c>
      <c r="D1353" s="1" t="s">
        <v>196</v>
      </c>
      <c r="F1353" s="1" t="str">
        <f>"31"</f>
        <v>31</v>
      </c>
      <c r="G1353" s="2">
        <v>41827</v>
      </c>
      <c r="H1353" s="1">
        <v>105000</v>
      </c>
      <c r="I1353" s="1">
        <v>99900</v>
      </c>
      <c r="J1353" s="1">
        <v>85000</v>
      </c>
      <c r="K1353" s="2">
        <v>41827</v>
      </c>
      <c r="L1353" s="1">
        <v>275</v>
      </c>
      <c r="M1353" s="2">
        <v>42101</v>
      </c>
      <c r="N1353" s="1">
        <v>275</v>
      </c>
      <c r="O1353" s="2">
        <v>42101</v>
      </c>
      <c r="P1353" s="1">
        <v>2472</v>
      </c>
      <c r="Q1353" s="1" t="s">
        <v>302</v>
      </c>
      <c r="R1353" s="2">
        <v>42118</v>
      </c>
      <c r="S1353" s="1">
        <v>20278</v>
      </c>
      <c r="U1353" s="1">
        <v>34250</v>
      </c>
      <c r="V1353" s="1" t="s">
        <v>9664</v>
      </c>
      <c r="W1353" s="1" t="s">
        <v>504</v>
      </c>
      <c r="X1353" s="1" t="s">
        <v>1000</v>
      </c>
      <c r="Y1353" s="1">
        <v>6</v>
      </c>
      <c r="Z1353" s="1" t="s">
        <v>370</v>
      </c>
      <c r="AA1353" s="1" t="s">
        <v>1057</v>
      </c>
      <c r="AB1353" s="1">
        <v>60031</v>
      </c>
      <c r="AD1353" s="1" t="s">
        <v>6932</v>
      </c>
      <c r="AE1353" s="1" t="s">
        <v>13521</v>
      </c>
      <c r="AF1353" s="1">
        <v>1988</v>
      </c>
      <c r="AG1353" s="1" t="s">
        <v>204</v>
      </c>
      <c r="AH1353" s="1" t="s">
        <v>882</v>
      </c>
      <c r="AI1353" s="1" t="s">
        <v>509</v>
      </c>
      <c r="AJ1353" s="1" t="s">
        <v>1061</v>
      </c>
      <c r="AK1353" s="1" t="s">
        <v>9334</v>
      </c>
      <c r="AL1353" s="1">
        <v>6</v>
      </c>
      <c r="AM1353" s="1">
        <v>2</v>
      </c>
      <c r="AN1353" s="1">
        <v>1</v>
      </c>
      <c r="AO1353" s="1">
        <v>1</v>
      </c>
      <c r="AP1353" s="1" t="s">
        <v>209</v>
      </c>
      <c r="AR1353" s="1" t="s">
        <v>210</v>
      </c>
      <c r="AS1353" s="1" t="s">
        <v>204</v>
      </c>
      <c r="AT1353" s="1" t="s">
        <v>211</v>
      </c>
      <c r="AU1353" s="1">
        <v>1</v>
      </c>
      <c r="AW1353" s="1" t="s">
        <v>204</v>
      </c>
      <c r="AX1353" s="1" t="s">
        <v>212</v>
      </c>
      <c r="AZ1353" s="1">
        <v>3297.7</v>
      </c>
      <c r="BA1353" s="1">
        <v>2013</v>
      </c>
      <c r="BE1353" s="1">
        <v>1320</v>
      </c>
      <c r="BF1353" s="1">
        <v>1</v>
      </c>
      <c r="BG1353" s="1">
        <v>14</v>
      </c>
      <c r="BL1353" s="1">
        <v>202</v>
      </c>
      <c r="BM1353" s="1" t="s">
        <v>204</v>
      </c>
      <c r="BN1353" s="1" t="s">
        <v>213</v>
      </c>
      <c r="BO1353" s="1">
        <v>0</v>
      </c>
      <c r="BP1353" s="1" t="s">
        <v>204</v>
      </c>
      <c r="BR1353" s="1" t="str">
        <f>"07204001860000"</f>
        <v>07204001860000</v>
      </c>
      <c r="BT1353" s="1" t="s">
        <v>13522</v>
      </c>
      <c r="BU1353" s="1" t="s">
        <v>1064</v>
      </c>
      <c r="BV1353" s="1" t="s">
        <v>1065</v>
      </c>
      <c r="BW1353" s="1" t="s">
        <v>1066</v>
      </c>
      <c r="BX1353" s="1">
        <v>50</v>
      </c>
      <c r="BY1353" s="1">
        <v>50</v>
      </c>
      <c r="BZ1353" s="1">
        <v>121</v>
      </c>
      <c r="CB1353" s="1" t="str">
        <f>"34"</f>
        <v>34</v>
      </c>
      <c r="CC1353" s="1" t="str">
        <f>""</f>
        <v/>
      </c>
      <c r="CD1353" s="1">
        <v>17</v>
      </c>
      <c r="CG1353" s="1" t="s">
        <v>218</v>
      </c>
      <c r="CH1353" s="1" t="s">
        <v>219</v>
      </c>
      <c r="CI1353" s="1" t="s">
        <v>220</v>
      </c>
      <c r="CJ1353" s="1" t="s">
        <v>343</v>
      </c>
      <c r="CK1353" s="1" t="s">
        <v>1533</v>
      </c>
      <c r="CL1353" s="1" t="s">
        <v>277</v>
      </c>
      <c r="CM1353" s="1" t="s">
        <v>220</v>
      </c>
      <c r="CN1353" s="1" t="s">
        <v>343</v>
      </c>
      <c r="CO1353" s="1" t="s">
        <v>629</v>
      </c>
      <c r="CP1353" s="1" t="s">
        <v>219</v>
      </c>
      <c r="CS1353" s="1" t="s">
        <v>908</v>
      </c>
      <c r="CT1353" s="1" t="s">
        <v>277</v>
      </c>
      <c r="CU1353" s="1" t="s">
        <v>220</v>
      </c>
      <c r="CV1353" s="1" t="s">
        <v>463</v>
      </c>
      <c r="CX1353" s="1" t="s">
        <v>224</v>
      </c>
      <c r="DB1353" s="1" t="s">
        <v>224</v>
      </c>
      <c r="DE1353" s="1" t="s">
        <v>729</v>
      </c>
      <c r="DF1353" s="1" t="s">
        <v>219</v>
      </c>
      <c r="DG1353" s="1" t="s">
        <v>342</v>
      </c>
      <c r="DH1353" s="1" t="s">
        <v>463</v>
      </c>
      <c r="DI1353" s="1" t="s">
        <v>221</v>
      </c>
      <c r="DJ1353" s="1" t="s">
        <v>277</v>
      </c>
      <c r="DK1353" s="1" t="s">
        <v>220</v>
      </c>
      <c r="DL1353" s="1" t="s">
        <v>210</v>
      </c>
      <c r="DS1353" s="1" t="s">
        <v>230</v>
      </c>
      <c r="DW1353" s="1" t="s">
        <v>230</v>
      </c>
      <c r="EA1353" s="1" t="s">
        <v>230</v>
      </c>
      <c r="EE1353" s="1" t="s">
        <v>230</v>
      </c>
      <c r="EI1353" s="1" t="s">
        <v>230</v>
      </c>
      <c r="EL1353" s="1" t="s">
        <v>542</v>
      </c>
      <c r="EM1353" s="1" t="s">
        <v>319</v>
      </c>
      <c r="EN1353" s="1" t="s">
        <v>282</v>
      </c>
      <c r="EO1353" s="1" t="s">
        <v>234</v>
      </c>
      <c r="EQ1353" s="1" t="s">
        <v>1094</v>
      </c>
      <c r="ER1353" s="1" t="s">
        <v>210</v>
      </c>
      <c r="ES1353" s="1" t="s">
        <v>322</v>
      </c>
      <c r="ET1353" s="1" t="s">
        <v>1161</v>
      </c>
      <c r="EU1353" s="1" t="s">
        <v>239</v>
      </c>
      <c r="EV1353" s="1" t="s">
        <v>240</v>
      </c>
      <c r="EW1353" s="1" t="s">
        <v>887</v>
      </c>
      <c r="EY1353" s="1" t="s">
        <v>242</v>
      </c>
      <c r="EZ1353" s="1" t="s">
        <v>287</v>
      </c>
      <c r="FA1353" s="1" t="s">
        <v>714</v>
      </c>
      <c r="FB1353" s="1" t="s">
        <v>289</v>
      </c>
      <c r="FD1353" s="1" t="s">
        <v>495</v>
      </c>
      <c r="FE1353" s="1" t="s">
        <v>13523</v>
      </c>
      <c r="FF1353" s="1" t="s">
        <v>248</v>
      </c>
      <c r="FH1353" s="1" t="s">
        <v>550</v>
      </c>
      <c r="FI1353" s="1" t="s">
        <v>473</v>
      </c>
      <c r="FL1353" s="1" t="s">
        <v>414</v>
      </c>
      <c r="FM1353" s="1" t="s">
        <v>252</v>
      </c>
      <c r="FN1353" s="1" t="s">
        <v>213</v>
      </c>
      <c r="FO1353" s="1" t="s">
        <v>213</v>
      </c>
      <c r="FQ1353" s="1" t="s">
        <v>13524</v>
      </c>
      <c r="FR1353" s="1" t="s">
        <v>210</v>
      </c>
      <c r="FS1353" s="1" t="s">
        <v>13525</v>
      </c>
      <c r="FT1353" s="1" t="s">
        <v>362</v>
      </c>
      <c r="FU1353" s="1" t="s">
        <v>204</v>
      </c>
      <c r="FW1353" s="1" t="s">
        <v>5024</v>
      </c>
      <c r="FX1353" s="1">
        <v>1886</v>
      </c>
      <c r="FY1353" s="1" t="s">
        <v>5025</v>
      </c>
      <c r="FZ1353" s="1" t="s">
        <v>13526</v>
      </c>
      <c r="GA1353" s="1">
        <v>19271</v>
      </c>
      <c r="GB1353" s="1" t="s">
        <v>13527</v>
      </c>
      <c r="GD1353" s="1" t="s">
        <v>13528</v>
      </c>
      <c r="GE1353" s="1" t="s">
        <v>1120</v>
      </c>
      <c r="GH1353" s="1" t="s">
        <v>230</v>
      </c>
      <c r="GI1353" s="1" t="s">
        <v>204</v>
      </c>
      <c r="GJ1353" s="1" t="s">
        <v>260</v>
      </c>
      <c r="GK1353" s="1" t="s">
        <v>210</v>
      </c>
      <c r="GL1353" s="2">
        <v>42118</v>
      </c>
      <c r="GM1353" s="1" t="s">
        <v>13529</v>
      </c>
    </row>
    <row r="1354" spans="1:195">
      <c r="A1354" s="1">
        <v>70000</v>
      </c>
      <c r="B1354" s="1" t="s">
        <v>195</v>
      </c>
      <c r="C1354" s="1" t="str">
        <f>"08665473"</f>
        <v>08665473</v>
      </c>
      <c r="D1354" s="1" t="s">
        <v>196</v>
      </c>
      <c r="F1354" s="1" t="str">
        <f>"635"</f>
        <v>635</v>
      </c>
      <c r="G1354" s="2">
        <v>41827</v>
      </c>
      <c r="H1354" s="1">
        <v>75000</v>
      </c>
      <c r="I1354" s="1">
        <v>70000</v>
      </c>
      <c r="J1354" s="1">
        <v>70000</v>
      </c>
      <c r="K1354" s="2">
        <v>41827</v>
      </c>
      <c r="L1354" s="1">
        <v>135</v>
      </c>
      <c r="M1354" s="2">
        <v>41961</v>
      </c>
      <c r="N1354" s="1">
        <v>135</v>
      </c>
      <c r="O1354" s="2">
        <v>41961</v>
      </c>
      <c r="P1354" s="1">
        <v>90811</v>
      </c>
      <c r="Q1354" s="1" t="s">
        <v>302</v>
      </c>
      <c r="R1354" s="2">
        <v>42034</v>
      </c>
      <c r="S1354" s="1">
        <v>901702</v>
      </c>
      <c r="U1354" s="1">
        <v>7607</v>
      </c>
      <c r="V1354" s="1" t="s">
        <v>12219</v>
      </c>
      <c r="W1354" s="1" t="s">
        <v>425</v>
      </c>
      <c r="X1354" s="1" t="s">
        <v>10396</v>
      </c>
      <c r="Y1354" s="1">
        <v>6</v>
      </c>
      <c r="Z1354" s="1" t="s">
        <v>249</v>
      </c>
      <c r="AA1354" s="1" t="s">
        <v>2377</v>
      </c>
      <c r="AB1354" s="1">
        <v>60707</v>
      </c>
      <c r="AE1354" s="1" t="s">
        <v>13530</v>
      </c>
      <c r="AF1354" s="1" t="s">
        <v>402</v>
      </c>
      <c r="AG1354" s="1" t="s">
        <v>213</v>
      </c>
      <c r="AH1354" s="1" t="s">
        <v>5686</v>
      </c>
      <c r="AI1354" s="1" t="s">
        <v>310</v>
      </c>
      <c r="AJ1354" s="1" t="s">
        <v>311</v>
      </c>
      <c r="AL1354" s="1">
        <v>4</v>
      </c>
      <c r="AM1354" s="1">
        <v>2</v>
      </c>
      <c r="AN1354" s="1">
        <v>1</v>
      </c>
      <c r="AO1354" s="1">
        <v>0</v>
      </c>
      <c r="AP1354" s="1" t="s">
        <v>210</v>
      </c>
      <c r="AR1354" s="1" t="s">
        <v>210</v>
      </c>
      <c r="AS1354" s="1" t="s">
        <v>204</v>
      </c>
      <c r="AT1354" s="1" t="s">
        <v>271</v>
      </c>
      <c r="AV1354" s="1">
        <v>1</v>
      </c>
      <c r="AW1354" s="1" t="s">
        <v>204</v>
      </c>
      <c r="AX1354" s="1" t="s">
        <v>4740</v>
      </c>
      <c r="AZ1354" s="1">
        <v>1488.76</v>
      </c>
      <c r="BA1354" s="1">
        <v>2013</v>
      </c>
      <c r="BB1354" s="1" t="s">
        <v>405</v>
      </c>
      <c r="BE1354" s="1">
        <v>900</v>
      </c>
      <c r="BF1354" s="1">
        <v>2</v>
      </c>
      <c r="BG1354" s="1">
        <v>0</v>
      </c>
      <c r="BJ1354" s="1">
        <v>16</v>
      </c>
      <c r="BL1354" s="1">
        <v>150</v>
      </c>
      <c r="BM1354" s="1" t="s">
        <v>204</v>
      </c>
      <c r="BN1354" s="1" t="s">
        <v>213</v>
      </c>
      <c r="BO1354" s="1">
        <v>100</v>
      </c>
      <c r="BP1354" s="1" t="s">
        <v>204</v>
      </c>
      <c r="BR1354" s="1" t="str">
        <f>"12361040851003"</f>
        <v>12361040851003</v>
      </c>
      <c r="BT1354" s="1" t="s">
        <v>13531</v>
      </c>
      <c r="BX1354" s="1">
        <v>401</v>
      </c>
      <c r="BY1354" s="1">
        <v>401</v>
      </c>
      <c r="BZ1354" s="1">
        <v>401</v>
      </c>
      <c r="CB1354" s="1" t="str">
        <f>"2400"</f>
        <v>2400</v>
      </c>
      <c r="CC1354" s="1" t="str">
        <f>"0"</f>
        <v>0</v>
      </c>
      <c r="CD1354" s="1">
        <v>7607</v>
      </c>
      <c r="CE1354" s="1">
        <v>0</v>
      </c>
      <c r="CG1354" s="1" t="s">
        <v>908</v>
      </c>
      <c r="CH1354" s="1" t="s">
        <v>219</v>
      </c>
      <c r="CI1354" s="1" t="s">
        <v>438</v>
      </c>
      <c r="CK1354" s="1" t="s">
        <v>379</v>
      </c>
      <c r="CL1354" s="1" t="s">
        <v>219</v>
      </c>
      <c r="CM1354" s="1" t="s">
        <v>438</v>
      </c>
      <c r="CP1354" s="1" t="s">
        <v>224</v>
      </c>
      <c r="CS1354" s="1" t="s">
        <v>346</v>
      </c>
      <c r="CT1354" s="1" t="s">
        <v>219</v>
      </c>
      <c r="CU1354" s="1" t="s">
        <v>438</v>
      </c>
      <c r="CX1354" s="1" t="s">
        <v>224</v>
      </c>
      <c r="DB1354" s="1" t="s">
        <v>224</v>
      </c>
      <c r="DE1354" s="1" t="s">
        <v>581</v>
      </c>
      <c r="DF1354" s="1" t="s">
        <v>219</v>
      </c>
      <c r="DG1354" s="1" t="s">
        <v>226</v>
      </c>
      <c r="DJ1354" s="1" t="s">
        <v>224</v>
      </c>
      <c r="DS1354" s="1" t="s">
        <v>230</v>
      </c>
      <c r="DW1354" s="1" t="s">
        <v>230</v>
      </c>
      <c r="EA1354" s="1" t="s">
        <v>230</v>
      </c>
      <c r="EE1354" s="1" t="s">
        <v>230</v>
      </c>
      <c r="EI1354" s="1" t="s">
        <v>230</v>
      </c>
      <c r="EL1354" s="1" t="s">
        <v>231</v>
      </c>
      <c r="EM1354" s="1" t="s">
        <v>232</v>
      </c>
      <c r="EN1354" s="1" t="s">
        <v>210</v>
      </c>
      <c r="EO1354" s="1" t="s">
        <v>234</v>
      </c>
      <c r="EP1354" s="1" t="s">
        <v>4323</v>
      </c>
      <c r="ER1354" s="1" t="s">
        <v>210</v>
      </c>
      <c r="EW1354" s="1" t="s">
        <v>13532</v>
      </c>
      <c r="EY1354" s="1" t="s">
        <v>242</v>
      </c>
      <c r="EZ1354" s="1" t="s">
        <v>287</v>
      </c>
      <c r="FB1354" s="1" t="s">
        <v>734</v>
      </c>
      <c r="FC1354" s="1" t="s">
        <v>2470</v>
      </c>
      <c r="FD1354" s="1" t="s">
        <v>246</v>
      </c>
      <c r="FE1354" s="1" t="s">
        <v>247</v>
      </c>
      <c r="FF1354" s="1" t="s">
        <v>248</v>
      </c>
      <c r="FH1354" s="1" t="s">
        <v>249</v>
      </c>
      <c r="FK1354" s="1" t="s">
        <v>2309</v>
      </c>
      <c r="FL1354" s="1" t="s">
        <v>6699</v>
      </c>
      <c r="FM1354" s="1" t="s">
        <v>252</v>
      </c>
      <c r="FN1354" s="1" t="s">
        <v>213</v>
      </c>
      <c r="FO1354" s="1" t="s">
        <v>213</v>
      </c>
      <c r="FQ1354" s="1" t="s">
        <v>13533</v>
      </c>
      <c r="FR1354" s="1" t="s">
        <v>360</v>
      </c>
      <c r="FS1354" s="1" t="s">
        <v>13534</v>
      </c>
      <c r="FT1354" s="1" t="s">
        <v>362</v>
      </c>
      <c r="FU1354" s="1" t="s">
        <v>204</v>
      </c>
      <c r="FW1354" s="1" t="s">
        <v>585</v>
      </c>
      <c r="FX1354" s="1">
        <v>3110</v>
      </c>
      <c r="FY1354" s="1" t="s">
        <v>13535</v>
      </c>
      <c r="FZ1354" s="1" t="s">
        <v>13536</v>
      </c>
      <c r="GA1354" s="1">
        <v>34332</v>
      </c>
      <c r="GE1354" s="1" t="s">
        <v>210</v>
      </c>
      <c r="GH1354" s="1" t="s">
        <v>589</v>
      </c>
      <c r="GI1354" s="1" t="s">
        <v>213</v>
      </c>
      <c r="GJ1354" s="1" t="s">
        <v>260</v>
      </c>
      <c r="GK1354" s="1" t="s">
        <v>210</v>
      </c>
      <c r="GL1354" s="2">
        <v>42034</v>
      </c>
      <c r="GM1354" s="2" t="s">
        <v>13537</v>
      </c>
    </row>
    <row r="1355" spans="1:195">
      <c r="A1355" s="1">
        <v>225000</v>
      </c>
      <c r="B1355" s="1" t="s">
        <v>195</v>
      </c>
      <c r="C1355" s="1" t="str">
        <f>"08667284"</f>
        <v>08667284</v>
      </c>
      <c r="D1355" s="1" t="s">
        <v>196</v>
      </c>
      <c r="F1355" s="1" t="str">
        <f>"8064"</f>
        <v>8064</v>
      </c>
      <c r="G1355" s="2">
        <v>41829</v>
      </c>
      <c r="H1355" s="1">
        <v>255000</v>
      </c>
      <c r="I1355" s="1">
        <v>235000</v>
      </c>
      <c r="J1355" s="1">
        <v>225000</v>
      </c>
      <c r="K1355" s="2">
        <v>41829</v>
      </c>
      <c r="L1355" s="1">
        <v>136</v>
      </c>
      <c r="M1355" s="2">
        <v>41964</v>
      </c>
      <c r="N1355" s="1">
        <v>136</v>
      </c>
      <c r="O1355" s="2">
        <v>41964</v>
      </c>
      <c r="P1355" s="1">
        <v>14090</v>
      </c>
      <c r="Q1355" s="1" t="s">
        <v>197</v>
      </c>
      <c r="R1355" s="2">
        <v>42024</v>
      </c>
      <c r="S1355" s="1">
        <v>115218</v>
      </c>
      <c r="U1355" s="1">
        <v>6446</v>
      </c>
      <c r="V1355" s="1" t="s">
        <v>778</v>
      </c>
      <c r="W1355" s="1" t="s">
        <v>725</v>
      </c>
      <c r="X1355" s="1" t="s">
        <v>230</v>
      </c>
      <c r="Y1355" s="1" t="s">
        <v>432</v>
      </c>
      <c r="Z1355" s="1" t="s">
        <v>200</v>
      </c>
      <c r="AA1355" s="1" t="s">
        <v>400</v>
      </c>
      <c r="AB1355" s="1">
        <v>60638</v>
      </c>
      <c r="AE1355" s="1" t="s">
        <v>13538</v>
      </c>
      <c r="AF1355" s="1">
        <v>2003</v>
      </c>
      <c r="AG1355" s="1" t="s">
        <v>204</v>
      </c>
      <c r="AH1355" s="1" t="s">
        <v>403</v>
      </c>
      <c r="AI1355" s="1" t="s">
        <v>310</v>
      </c>
      <c r="AJ1355" s="1" t="s">
        <v>683</v>
      </c>
      <c r="AL1355" s="1">
        <v>5</v>
      </c>
      <c r="AM1355" s="1">
        <v>2</v>
      </c>
      <c r="AN1355" s="1">
        <v>2</v>
      </c>
      <c r="AO1355" s="1">
        <v>2</v>
      </c>
      <c r="AP1355" s="1" t="s">
        <v>209</v>
      </c>
      <c r="AQ1355" s="1">
        <v>1</v>
      </c>
      <c r="AR1355" s="1" t="s">
        <v>209</v>
      </c>
      <c r="AS1355" s="1" t="s">
        <v>213</v>
      </c>
      <c r="AT1355" s="1" t="s">
        <v>211</v>
      </c>
      <c r="AU1355" s="1">
        <v>2.5</v>
      </c>
      <c r="AW1355" s="1" t="s">
        <v>204</v>
      </c>
      <c r="AX1355" s="1" t="s">
        <v>13539</v>
      </c>
      <c r="AZ1355" s="1">
        <v>4130.66</v>
      </c>
      <c r="BA1355" s="1">
        <v>2012</v>
      </c>
      <c r="BB1355" s="1" t="s">
        <v>405</v>
      </c>
      <c r="BE1355" s="1">
        <v>2076</v>
      </c>
      <c r="BF1355" s="1">
        <v>1</v>
      </c>
      <c r="BG1355" s="1">
        <v>0</v>
      </c>
      <c r="BJ1355" s="1">
        <v>100</v>
      </c>
      <c r="BL1355" s="1">
        <v>140</v>
      </c>
      <c r="BM1355" s="1" t="s">
        <v>204</v>
      </c>
      <c r="BN1355" s="1" t="s">
        <v>213</v>
      </c>
      <c r="BO1355" s="1" t="s">
        <v>432</v>
      </c>
      <c r="BP1355" s="1" t="s">
        <v>204</v>
      </c>
      <c r="BR1355" s="1" t="str">
        <f>"19192150360000"</f>
        <v>19192150360000</v>
      </c>
      <c r="BT1355" s="1" t="s">
        <v>13540</v>
      </c>
      <c r="BX1355" s="1">
        <v>110</v>
      </c>
      <c r="BY1355" s="1">
        <v>110</v>
      </c>
      <c r="BZ1355" s="1">
        <v>220</v>
      </c>
      <c r="CB1355" s="1" t="str">
        <f t="shared" ref="CB1355:CC1355" si="1039">"0"</f>
        <v>0</v>
      </c>
      <c r="CC1355" s="1" t="str">
        <f t="shared" si="1039"/>
        <v>0</v>
      </c>
      <c r="CD1355" s="1">
        <v>6446</v>
      </c>
      <c r="CE1355" s="1">
        <v>6500</v>
      </c>
      <c r="CG1355" s="1" t="s">
        <v>8861</v>
      </c>
      <c r="CH1355" s="1" t="s">
        <v>219</v>
      </c>
      <c r="CI1355" s="1" t="s">
        <v>438</v>
      </c>
      <c r="CJ1355" s="1" t="s">
        <v>463</v>
      </c>
      <c r="CK1355" s="1" t="s">
        <v>218</v>
      </c>
      <c r="CL1355" s="1" t="s">
        <v>277</v>
      </c>
      <c r="CM1355" s="1" t="s">
        <v>220</v>
      </c>
      <c r="CN1355" s="1" t="s">
        <v>343</v>
      </c>
      <c r="CP1355" s="1" t="s">
        <v>224</v>
      </c>
      <c r="CS1355" s="1" t="s">
        <v>564</v>
      </c>
      <c r="CT1355" s="1" t="s">
        <v>277</v>
      </c>
      <c r="CU1355" s="1" t="s">
        <v>220</v>
      </c>
      <c r="CV1355" s="1" t="s">
        <v>463</v>
      </c>
      <c r="CX1355" s="1" t="s">
        <v>224</v>
      </c>
      <c r="DB1355" s="1" t="s">
        <v>224</v>
      </c>
      <c r="DE1355" s="1" t="s">
        <v>13541</v>
      </c>
      <c r="DF1355" s="1" t="s">
        <v>219</v>
      </c>
      <c r="DG1355" s="1" t="s">
        <v>226</v>
      </c>
      <c r="DH1355" s="1" t="s">
        <v>343</v>
      </c>
      <c r="DI1355" s="1" t="s">
        <v>2402</v>
      </c>
      <c r="DJ1355" s="1" t="s">
        <v>43</v>
      </c>
      <c r="DK1355" s="1" t="s">
        <v>226</v>
      </c>
      <c r="DL1355" s="1" t="s">
        <v>343</v>
      </c>
      <c r="DS1355" s="1" t="s">
        <v>230</v>
      </c>
      <c r="DW1355" s="1" t="s">
        <v>230</v>
      </c>
      <c r="EA1355" s="1" t="s">
        <v>230</v>
      </c>
      <c r="EE1355" s="1" t="s">
        <v>230</v>
      </c>
      <c r="EI1355" s="1" t="s">
        <v>230</v>
      </c>
      <c r="EL1355" s="1" t="s">
        <v>466</v>
      </c>
      <c r="EM1355" s="1" t="s">
        <v>232</v>
      </c>
      <c r="EN1355" s="1" t="s">
        <v>282</v>
      </c>
      <c r="EO1355" s="1" t="s">
        <v>234</v>
      </c>
      <c r="EQ1355" s="1" t="s">
        <v>2188</v>
      </c>
      <c r="ER1355" s="1" t="s">
        <v>544</v>
      </c>
      <c r="ES1355" s="1" t="s">
        <v>954</v>
      </c>
      <c r="ET1355" s="1" t="s">
        <v>1404</v>
      </c>
      <c r="EU1355" s="1" t="s">
        <v>1820</v>
      </c>
      <c r="EW1355" s="1" t="s">
        <v>887</v>
      </c>
      <c r="EY1355" s="1" t="s">
        <v>242</v>
      </c>
      <c r="EZ1355" s="1" t="s">
        <v>287</v>
      </c>
      <c r="FA1355" s="1" t="s">
        <v>13542</v>
      </c>
      <c r="FD1355" s="1" t="s">
        <v>246</v>
      </c>
      <c r="FE1355" s="1" t="s">
        <v>247</v>
      </c>
      <c r="FF1355" s="1" t="s">
        <v>248</v>
      </c>
      <c r="FG1355" s="1" t="s">
        <v>13543</v>
      </c>
      <c r="FH1355" s="1" t="s">
        <v>550</v>
      </c>
      <c r="FI1355" s="1" t="s">
        <v>3300</v>
      </c>
      <c r="FL1355" s="1" t="s">
        <v>414</v>
      </c>
      <c r="FM1355" s="1" t="s">
        <v>252</v>
      </c>
      <c r="FN1355" s="1" t="s">
        <v>213</v>
      </c>
      <c r="FO1355" s="1" t="s">
        <v>213</v>
      </c>
      <c r="FQ1355" s="1" t="s">
        <v>8948</v>
      </c>
      <c r="FR1355" s="1" t="s">
        <v>210</v>
      </c>
      <c r="FS1355" s="1" t="s">
        <v>13544</v>
      </c>
      <c r="FT1355" s="1" t="s">
        <v>362</v>
      </c>
      <c r="FU1355" s="1" t="s">
        <v>204</v>
      </c>
      <c r="FW1355" s="1" t="s">
        <v>915</v>
      </c>
      <c r="FX1355" s="1">
        <v>22049</v>
      </c>
      <c r="FY1355" s="1" t="s">
        <v>4731</v>
      </c>
      <c r="FZ1355" s="1" t="s">
        <v>13545</v>
      </c>
      <c r="GA1355" s="1">
        <v>241806</v>
      </c>
      <c r="GB1355" s="1" t="s">
        <v>13546</v>
      </c>
      <c r="GE1355" s="1" t="s">
        <v>1145</v>
      </c>
      <c r="GH1355" s="1" t="s">
        <v>589</v>
      </c>
      <c r="GI1355" s="1" t="s">
        <v>213</v>
      </c>
      <c r="GJ1355" s="1" t="s">
        <v>260</v>
      </c>
      <c r="GK1355" s="1" t="s">
        <v>210</v>
      </c>
      <c r="GL1355" s="2">
        <v>42024</v>
      </c>
    </row>
    <row r="1356" spans="1:195">
      <c r="A1356" s="1">
        <v>105000</v>
      </c>
      <c r="B1356" s="1" t="s">
        <v>195</v>
      </c>
      <c r="C1356" s="1" t="str">
        <f>"08744318"</f>
        <v>08744318</v>
      </c>
      <c r="D1356" s="1" t="s">
        <v>196</v>
      </c>
      <c r="F1356" s="1" t="str">
        <f>"635"</f>
        <v>635</v>
      </c>
      <c r="G1356" s="2">
        <v>41915</v>
      </c>
      <c r="H1356" s="1">
        <v>109900</v>
      </c>
      <c r="I1356" s="1">
        <v>109900</v>
      </c>
      <c r="J1356" s="1">
        <v>105000</v>
      </c>
      <c r="K1356" s="2">
        <v>41915</v>
      </c>
      <c r="L1356" s="1">
        <v>116</v>
      </c>
      <c r="M1356" s="2">
        <v>42030</v>
      </c>
      <c r="N1356" s="1">
        <v>116</v>
      </c>
      <c r="O1356" s="2">
        <v>42030</v>
      </c>
      <c r="P1356" s="1">
        <v>90811</v>
      </c>
      <c r="Q1356" s="1" t="s">
        <v>302</v>
      </c>
      <c r="R1356" s="2">
        <v>42066</v>
      </c>
      <c r="S1356" s="1">
        <v>901586</v>
      </c>
      <c r="U1356" s="1">
        <v>7921</v>
      </c>
      <c r="V1356" s="1" t="s">
        <v>6871</v>
      </c>
      <c r="W1356" s="1" t="s">
        <v>425</v>
      </c>
      <c r="X1356" s="1" t="s">
        <v>265</v>
      </c>
      <c r="Y1356" s="1">
        <v>12</v>
      </c>
      <c r="Z1356" s="1" t="s">
        <v>200</v>
      </c>
      <c r="AA1356" s="1" t="s">
        <v>2377</v>
      </c>
      <c r="AB1356" s="1">
        <v>60707</v>
      </c>
      <c r="AE1356" s="1" t="s">
        <v>13547</v>
      </c>
      <c r="AF1356" s="1">
        <v>1967</v>
      </c>
      <c r="AG1356" s="1" t="s">
        <v>213</v>
      </c>
      <c r="AH1356" s="1" t="s">
        <v>5686</v>
      </c>
      <c r="AI1356" s="1" t="s">
        <v>310</v>
      </c>
      <c r="AJ1356" s="1" t="s">
        <v>311</v>
      </c>
      <c r="AL1356" s="1">
        <v>4</v>
      </c>
      <c r="AM1356" s="1">
        <v>2</v>
      </c>
      <c r="AN1356" s="1">
        <v>1</v>
      </c>
      <c r="AO1356" s="1">
        <v>0</v>
      </c>
      <c r="AP1356" s="1" t="s">
        <v>210</v>
      </c>
      <c r="AR1356" s="1" t="s">
        <v>210</v>
      </c>
      <c r="AS1356" s="1" t="s">
        <v>204</v>
      </c>
      <c r="AT1356" s="1" t="s">
        <v>271</v>
      </c>
      <c r="AV1356" s="1">
        <v>1</v>
      </c>
      <c r="AW1356" s="1" t="s">
        <v>213</v>
      </c>
      <c r="AX1356" s="1" t="s">
        <v>212</v>
      </c>
      <c r="AZ1356" s="1" t="s">
        <v>751</v>
      </c>
      <c r="BA1356" s="1">
        <v>2013</v>
      </c>
      <c r="BB1356" s="1" t="s">
        <v>210</v>
      </c>
      <c r="BE1356" s="1">
        <v>860</v>
      </c>
      <c r="BF1356" s="1">
        <v>2</v>
      </c>
      <c r="BG1356" s="1">
        <v>0</v>
      </c>
      <c r="BJ1356" s="1">
        <v>100</v>
      </c>
      <c r="BL1356" s="1">
        <v>105</v>
      </c>
      <c r="BM1356" s="1" t="s">
        <v>204</v>
      </c>
      <c r="BN1356" s="1" t="s">
        <v>213</v>
      </c>
      <c r="BO1356" s="1">
        <v>40</v>
      </c>
      <c r="BP1356" s="1" t="s">
        <v>204</v>
      </c>
      <c r="BR1356" s="1" t="str">
        <f>"12253200571008"</f>
        <v>12253200571008</v>
      </c>
      <c r="BT1356" s="1" t="s">
        <v>13548</v>
      </c>
      <c r="BU1356" s="1" t="s">
        <v>928</v>
      </c>
      <c r="BV1356" s="1" t="s">
        <v>8101</v>
      </c>
      <c r="BW1356" s="1" t="s">
        <v>8102</v>
      </c>
      <c r="BX1356" s="1">
        <v>401</v>
      </c>
      <c r="BY1356" s="1">
        <v>401</v>
      </c>
      <c r="BZ1356" s="1">
        <v>401</v>
      </c>
      <c r="CB1356" s="1" t="str">
        <f>"2300"</f>
        <v>2300</v>
      </c>
      <c r="CC1356" s="1" t="str">
        <f t="shared" ref="CC1356:CC1358" si="1040">"0"</f>
        <v>0</v>
      </c>
      <c r="CD1356" s="1">
        <v>7921</v>
      </c>
      <c r="CE1356" s="1">
        <v>0</v>
      </c>
      <c r="CG1356" s="1" t="s">
        <v>228</v>
      </c>
      <c r="CH1356" s="1" t="s">
        <v>277</v>
      </c>
      <c r="CI1356" s="1" t="s">
        <v>438</v>
      </c>
      <c r="CJ1356" s="1" t="s">
        <v>210</v>
      </c>
      <c r="CK1356" s="1" t="s">
        <v>1358</v>
      </c>
      <c r="CL1356" s="1" t="s">
        <v>277</v>
      </c>
      <c r="CM1356" s="1" t="s">
        <v>438</v>
      </c>
      <c r="CN1356" s="1" t="s">
        <v>210</v>
      </c>
      <c r="CP1356" s="1" t="s">
        <v>224</v>
      </c>
      <c r="CS1356" s="1" t="s">
        <v>318</v>
      </c>
      <c r="CT1356" s="1" t="s">
        <v>277</v>
      </c>
      <c r="CU1356" s="1" t="s">
        <v>438</v>
      </c>
      <c r="CV1356" s="1" t="s">
        <v>210</v>
      </c>
      <c r="CX1356" s="1" t="s">
        <v>224</v>
      </c>
      <c r="DB1356" s="1" t="s">
        <v>224</v>
      </c>
      <c r="DE1356" s="1" t="s">
        <v>972</v>
      </c>
      <c r="DF1356" s="1" t="s">
        <v>277</v>
      </c>
      <c r="DG1356" s="1" t="s">
        <v>438</v>
      </c>
      <c r="DH1356" s="1" t="s">
        <v>210</v>
      </c>
      <c r="DJ1356" s="1" t="s">
        <v>224</v>
      </c>
      <c r="DS1356" s="1" t="s">
        <v>230</v>
      </c>
      <c r="DW1356" s="1" t="s">
        <v>230</v>
      </c>
      <c r="EA1356" s="1" t="s">
        <v>230</v>
      </c>
      <c r="EE1356" s="1" t="s">
        <v>230</v>
      </c>
      <c r="EI1356" s="1" t="s">
        <v>230</v>
      </c>
      <c r="EL1356" s="1" t="s">
        <v>605</v>
      </c>
      <c r="EM1356" s="1" t="s">
        <v>232</v>
      </c>
      <c r="EN1356" s="1" t="s">
        <v>731</v>
      </c>
      <c r="EO1356" s="1" t="s">
        <v>234</v>
      </c>
      <c r="EP1356" s="1" t="s">
        <v>7720</v>
      </c>
      <c r="EQ1356" s="1" t="s">
        <v>4356</v>
      </c>
      <c r="ER1356" s="1" t="s">
        <v>210</v>
      </c>
      <c r="ES1356" s="1" t="s">
        <v>322</v>
      </c>
      <c r="EW1356" s="1" t="s">
        <v>286</v>
      </c>
      <c r="EY1356" s="1" t="s">
        <v>790</v>
      </c>
      <c r="EZ1356" s="1" t="s">
        <v>287</v>
      </c>
      <c r="FA1356" s="1" t="s">
        <v>5547</v>
      </c>
      <c r="FB1356" s="1" t="s">
        <v>846</v>
      </c>
      <c r="FC1356" s="1" t="s">
        <v>326</v>
      </c>
      <c r="FD1356" s="1" t="s">
        <v>290</v>
      </c>
      <c r="FE1356" s="1" t="s">
        <v>247</v>
      </c>
      <c r="FF1356" s="1" t="s">
        <v>248</v>
      </c>
      <c r="FH1356" s="1" t="s">
        <v>249</v>
      </c>
      <c r="FJ1356" s="1" t="s">
        <v>197</v>
      </c>
      <c r="FK1356" s="1" t="s">
        <v>688</v>
      </c>
      <c r="FL1356" s="1" t="s">
        <v>292</v>
      </c>
      <c r="FM1356" s="1" t="s">
        <v>252</v>
      </c>
      <c r="FN1356" s="1" t="s">
        <v>213</v>
      </c>
      <c r="FO1356" s="1" t="s">
        <v>213</v>
      </c>
      <c r="FQ1356" s="1" t="s">
        <v>1441</v>
      </c>
      <c r="FR1356" s="1" t="s">
        <v>210</v>
      </c>
      <c r="FS1356" s="1" t="s">
        <v>13549</v>
      </c>
      <c r="FT1356" s="1" t="s">
        <v>13550</v>
      </c>
      <c r="FU1356" s="1" t="s">
        <v>204</v>
      </c>
      <c r="FW1356" s="1" t="s">
        <v>6773</v>
      </c>
      <c r="FX1356" s="1">
        <v>90811</v>
      </c>
      <c r="FY1356" s="1" t="s">
        <v>6774</v>
      </c>
      <c r="FZ1356" s="1" t="s">
        <v>6775</v>
      </c>
      <c r="GA1356" s="1">
        <v>901705</v>
      </c>
      <c r="GB1356" s="1" t="s">
        <v>6776</v>
      </c>
      <c r="GC1356" s="1">
        <v>900642</v>
      </c>
      <c r="GE1356" s="1" t="s">
        <v>658</v>
      </c>
      <c r="GH1356" s="1" t="s">
        <v>589</v>
      </c>
      <c r="GI1356" s="1" t="s">
        <v>213</v>
      </c>
      <c r="GJ1356" s="1" t="s">
        <v>260</v>
      </c>
      <c r="GK1356" s="1" t="s">
        <v>210</v>
      </c>
      <c r="GL1356" s="2">
        <v>42066</v>
      </c>
      <c r="GM1356" s="1" t="s">
        <v>13551</v>
      </c>
    </row>
    <row r="1357" spans="1:195">
      <c r="A1357" s="1">
        <v>121000</v>
      </c>
      <c r="B1357" s="1" t="s">
        <v>195</v>
      </c>
      <c r="C1357" s="1" t="str">
        <f>"08665908"</f>
        <v>08665908</v>
      </c>
      <c r="D1357" s="1" t="s">
        <v>196</v>
      </c>
      <c r="F1357" s="1" t="str">
        <f>"20"</f>
        <v>20</v>
      </c>
      <c r="G1357" s="2">
        <v>41828</v>
      </c>
      <c r="H1357" s="1">
        <v>135000</v>
      </c>
      <c r="I1357" s="1">
        <v>130000</v>
      </c>
      <c r="J1357" s="1">
        <v>121000</v>
      </c>
      <c r="K1357" s="2">
        <v>41828</v>
      </c>
      <c r="L1357" s="1">
        <v>224</v>
      </c>
      <c r="M1357" s="2">
        <v>42051</v>
      </c>
      <c r="N1357" s="1">
        <v>224</v>
      </c>
      <c r="O1357" s="2">
        <v>42051</v>
      </c>
      <c r="P1357" s="1">
        <v>2737</v>
      </c>
      <c r="Q1357" s="1" t="s">
        <v>197</v>
      </c>
      <c r="R1357" s="2">
        <v>42097</v>
      </c>
      <c r="S1357" s="1">
        <v>16056</v>
      </c>
      <c r="U1357" s="1">
        <v>1034</v>
      </c>
      <c r="V1357" s="1" t="s">
        <v>6611</v>
      </c>
      <c r="W1357" s="1" t="s">
        <v>264</v>
      </c>
      <c r="Y1357" s="1">
        <v>2</v>
      </c>
      <c r="Z1357" s="1" t="s">
        <v>370</v>
      </c>
      <c r="AA1357" s="1" t="s">
        <v>592</v>
      </c>
      <c r="AB1357" s="1">
        <v>60020</v>
      </c>
      <c r="AD1357" s="1" t="s">
        <v>13552</v>
      </c>
      <c r="AE1357" s="1" t="s">
        <v>13553</v>
      </c>
      <c r="AF1357" s="1">
        <v>2003</v>
      </c>
      <c r="AG1357" s="1" t="s">
        <v>204</v>
      </c>
      <c r="AH1357" s="1" t="s">
        <v>595</v>
      </c>
      <c r="AI1357" s="1" t="s">
        <v>509</v>
      </c>
      <c r="AJ1357" s="1" t="s">
        <v>596</v>
      </c>
      <c r="AK1357" s="1" t="s">
        <v>13554</v>
      </c>
      <c r="AL1357" s="1">
        <v>6</v>
      </c>
      <c r="AM1357" s="1">
        <v>2</v>
      </c>
      <c r="AN1357" s="1">
        <v>2</v>
      </c>
      <c r="AO1357" s="1">
        <v>1</v>
      </c>
      <c r="AP1357" s="1" t="s">
        <v>209</v>
      </c>
      <c r="AQ1357" s="1">
        <v>1</v>
      </c>
      <c r="AR1357" s="1" t="s">
        <v>2275</v>
      </c>
      <c r="AS1357" s="1" t="s">
        <v>213</v>
      </c>
      <c r="AT1357" s="1" t="s">
        <v>375</v>
      </c>
      <c r="AU1357" s="1">
        <v>2</v>
      </c>
      <c r="AV1357" s="1">
        <v>2</v>
      </c>
      <c r="AW1357" s="1" t="s">
        <v>204</v>
      </c>
      <c r="AX1357" s="1" t="s">
        <v>13555</v>
      </c>
      <c r="AZ1357" s="1">
        <v>4458.9799999999996</v>
      </c>
      <c r="BA1357" s="1">
        <v>2013</v>
      </c>
      <c r="BE1357" s="1">
        <v>1853</v>
      </c>
      <c r="BF1357" s="1">
        <v>1</v>
      </c>
      <c r="BG1357" s="1">
        <v>5</v>
      </c>
      <c r="BL1357" s="1">
        <v>200</v>
      </c>
      <c r="BM1357" s="1" t="s">
        <v>204</v>
      </c>
      <c r="BN1357" s="1" t="s">
        <v>213</v>
      </c>
      <c r="BO1357" s="1">
        <v>40</v>
      </c>
      <c r="BP1357" s="1" t="s">
        <v>204</v>
      </c>
      <c r="BR1357" s="1" t="str">
        <f>"01283010990000"</f>
        <v>01283010990000</v>
      </c>
      <c r="BT1357" s="1" t="s">
        <v>13556</v>
      </c>
      <c r="BX1357" s="1">
        <v>114</v>
      </c>
      <c r="BY1357" s="1">
        <v>114</v>
      </c>
      <c r="BZ1357" s="1">
        <v>124</v>
      </c>
      <c r="CB1357" s="1" t="str">
        <f>"38"</f>
        <v>38</v>
      </c>
      <c r="CC1357" s="1" t="str">
        <f t="shared" si="1040"/>
        <v>0</v>
      </c>
      <c r="CD1357" s="1">
        <v>28</v>
      </c>
      <c r="CE1357" s="1">
        <v>0</v>
      </c>
      <c r="CG1357" s="1" t="s">
        <v>669</v>
      </c>
      <c r="CH1357" s="1" t="s">
        <v>219</v>
      </c>
      <c r="CI1357" s="1" t="s">
        <v>220</v>
      </c>
      <c r="CK1357" s="1" t="s">
        <v>437</v>
      </c>
      <c r="CL1357" s="1" t="s">
        <v>219</v>
      </c>
      <c r="CM1357" s="1" t="s">
        <v>220</v>
      </c>
      <c r="CO1357" s="1" t="s">
        <v>223</v>
      </c>
      <c r="CP1357" s="1" t="s">
        <v>219</v>
      </c>
      <c r="CQ1357" s="1" t="s">
        <v>220</v>
      </c>
      <c r="CS1357" s="1" t="s">
        <v>757</v>
      </c>
      <c r="CT1357" s="1" t="s">
        <v>822</v>
      </c>
      <c r="CU1357" s="1" t="s">
        <v>220</v>
      </c>
      <c r="CX1357" s="1" t="s">
        <v>224</v>
      </c>
      <c r="DB1357" s="1" t="s">
        <v>224</v>
      </c>
      <c r="DE1357" s="1" t="s">
        <v>708</v>
      </c>
      <c r="DF1357" s="1" t="s">
        <v>219</v>
      </c>
      <c r="DG1357" s="1" t="s">
        <v>342</v>
      </c>
      <c r="DI1357" s="1" t="s">
        <v>1615</v>
      </c>
      <c r="DJ1357" s="1" t="s">
        <v>822</v>
      </c>
      <c r="DK1357" s="1" t="s">
        <v>220</v>
      </c>
      <c r="DS1357" s="1" t="s">
        <v>230</v>
      </c>
      <c r="DW1357" s="1" t="s">
        <v>230</v>
      </c>
      <c r="EA1357" s="1" t="s">
        <v>230</v>
      </c>
      <c r="EE1357" s="1" t="s">
        <v>230</v>
      </c>
      <c r="EI1357" s="1" t="s">
        <v>230</v>
      </c>
      <c r="EL1357" s="1" t="s">
        <v>466</v>
      </c>
      <c r="EM1357" s="1" t="s">
        <v>319</v>
      </c>
      <c r="EN1357" s="1" t="s">
        <v>282</v>
      </c>
      <c r="EO1357" s="1" t="s">
        <v>234</v>
      </c>
      <c r="EQ1357" s="1" t="s">
        <v>236</v>
      </c>
      <c r="ER1357" s="1" t="s">
        <v>544</v>
      </c>
      <c r="ES1357" s="1" t="s">
        <v>824</v>
      </c>
      <c r="EV1357" s="1" t="s">
        <v>324</v>
      </c>
      <c r="EW1357" s="1" t="s">
        <v>1372</v>
      </c>
      <c r="EZ1357" s="1" t="s">
        <v>287</v>
      </c>
      <c r="FD1357" s="1" t="s">
        <v>290</v>
      </c>
      <c r="FE1357" s="1" t="s">
        <v>472</v>
      </c>
      <c r="FF1357" s="1" t="s">
        <v>248</v>
      </c>
      <c r="FH1357" s="1" t="s">
        <v>13557</v>
      </c>
      <c r="FJ1357" s="1" t="s">
        <v>197</v>
      </c>
      <c r="FL1357" s="1" t="s">
        <v>358</v>
      </c>
      <c r="FM1357" s="1" t="s">
        <v>252</v>
      </c>
      <c r="FN1357" s="1" t="s">
        <v>213</v>
      </c>
      <c r="FO1357" s="1" t="s">
        <v>213</v>
      </c>
      <c r="FQ1357" s="1" t="s">
        <v>13558</v>
      </c>
      <c r="FR1357" s="1" t="s">
        <v>210</v>
      </c>
      <c r="FS1357" s="1" t="s">
        <v>552</v>
      </c>
      <c r="FT1357" s="1" t="s">
        <v>520</v>
      </c>
      <c r="FU1357" s="1" t="s">
        <v>204</v>
      </c>
      <c r="FW1357" s="1" t="s">
        <v>5024</v>
      </c>
      <c r="FX1357" s="1">
        <v>1886</v>
      </c>
      <c r="FY1357" s="1" t="s">
        <v>5025</v>
      </c>
      <c r="FZ1357" s="1" t="s">
        <v>13559</v>
      </c>
      <c r="GA1357" s="1">
        <v>18032</v>
      </c>
      <c r="GB1357" s="1" t="s">
        <v>13560</v>
      </c>
      <c r="GE1357" s="1" t="s">
        <v>480</v>
      </c>
      <c r="GI1357" s="1" t="s">
        <v>204</v>
      </c>
      <c r="GJ1357" s="1" t="s">
        <v>260</v>
      </c>
      <c r="GK1357" s="1" t="s">
        <v>210</v>
      </c>
      <c r="GL1357" s="2">
        <v>42099</v>
      </c>
      <c r="GM1357" s="1" t="s">
        <v>13561</v>
      </c>
    </row>
    <row r="1358" spans="1:195">
      <c r="A1358" s="1">
        <v>115000</v>
      </c>
      <c r="B1358" s="1" t="s">
        <v>195</v>
      </c>
      <c r="C1358" s="1" t="str">
        <f>"08665141"</f>
        <v>08665141</v>
      </c>
      <c r="D1358" s="1" t="s">
        <v>196</v>
      </c>
      <c r="F1358" s="1" t="str">
        <f>"31"</f>
        <v>31</v>
      </c>
      <c r="G1358" s="2">
        <v>41827</v>
      </c>
      <c r="H1358" s="1">
        <v>125000</v>
      </c>
      <c r="I1358" s="1">
        <v>117000</v>
      </c>
      <c r="J1358" s="1">
        <v>115000</v>
      </c>
      <c r="K1358" s="2">
        <v>41825</v>
      </c>
      <c r="L1358" s="1">
        <v>140</v>
      </c>
      <c r="M1358" s="2">
        <v>41964</v>
      </c>
      <c r="N1358" s="1">
        <v>140</v>
      </c>
      <c r="O1358" s="2">
        <v>41964</v>
      </c>
      <c r="P1358" s="1">
        <v>2050</v>
      </c>
      <c r="Q1358" s="1" t="s">
        <v>197</v>
      </c>
      <c r="R1358" s="2">
        <v>42090</v>
      </c>
      <c r="S1358" s="1">
        <v>16016</v>
      </c>
      <c r="U1358" s="1">
        <v>34086</v>
      </c>
      <c r="V1358" s="1" t="s">
        <v>13562</v>
      </c>
      <c r="W1358" s="1" t="s">
        <v>504</v>
      </c>
      <c r="Y1358" s="1">
        <v>4</v>
      </c>
      <c r="Z1358" s="1" t="s">
        <v>370</v>
      </c>
      <c r="AA1358" s="1" t="s">
        <v>1057</v>
      </c>
      <c r="AB1358" s="1">
        <v>60031</v>
      </c>
      <c r="AD1358" s="1" t="s">
        <v>6932</v>
      </c>
      <c r="AE1358" s="1" t="s">
        <v>13563</v>
      </c>
      <c r="AF1358" s="1">
        <v>1992</v>
      </c>
      <c r="AG1358" s="1" t="s">
        <v>204</v>
      </c>
      <c r="AH1358" s="1" t="s">
        <v>882</v>
      </c>
      <c r="AI1358" s="1" t="s">
        <v>509</v>
      </c>
      <c r="AJ1358" s="1" t="s">
        <v>1061</v>
      </c>
      <c r="AL1358" s="1">
        <v>6</v>
      </c>
      <c r="AM1358" s="1">
        <v>2</v>
      </c>
      <c r="AN1358" s="1">
        <v>1</v>
      </c>
      <c r="AO1358" s="1">
        <v>1</v>
      </c>
      <c r="AP1358" s="1" t="s">
        <v>210</v>
      </c>
      <c r="AR1358" s="1" t="s">
        <v>210</v>
      </c>
      <c r="AS1358" s="1" t="s">
        <v>204</v>
      </c>
      <c r="AT1358" s="1" t="s">
        <v>211</v>
      </c>
      <c r="AU1358" s="1">
        <v>2</v>
      </c>
      <c r="AW1358" s="1" t="s">
        <v>204</v>
      </c>
      <c r="AX1358" s="1" t="s">
        <v>579</v>
      </c>
      <c r="AZ1358" s="5">
        <v>3688.96</v>
      </c>
      <c r="BA1358" s="1">
        <v>2013</v>
      </c>
      <c r="BB1358" s="1" t="s">
        <v>210</v>
      </c>
      <c r="BE1358" s="1">
        <v>1346</v>
      </c>
      <c r="BF1358" s="1">
        <v>1</v>
      </c>
      <c r="BG1358" s="1">
        <v>0</v>
      </c>
      <c r="BL1358" s="1">
        <v>211</v>
      </c>
      <c r="BM1358" s="1" t="s">
        <v>204</v>
      </c>
      <c r="BN1358" s="1" t="s">
        <v>213</v>
      </c>
      <c r="BO1358" s="1">
        <v>999</v>
      </c>
      <c r="BP1358" s="1" t="s">
        <v>204</v>
      </c>
      <c r="BR1358" s="1" t="str">
        <f>"07204002610000"</f>
        <v>07204002610000</v>
      </c>
      <c r="BT1358" s="1" t="s">
        <v>13564</v>
      </c>
      <c r="BU1358" s="1" t="s">
        <v>1064</v>
      </c>
      <c r="BV1358" s="1" t="s">
        <v>1065</v>
      </c>
      <c r="BW1358" s="1" t="s">
        <v>1066</v>
      </c>
      <c r="BX1358" s="1">
        <v>50</v>
      </c>
      <c r="BY1358" s="1">
        <v>50</v>
      </c>
      <c r="BZ1358" s="1">
        <v>121</v>
      </c>
      <c r="CB1358" s="1" t="str">
        <f>"34"</f>
        <v>34</v>
      </c>
      <c r="CC1358" s="1" t="str">
        <f t="shared" si="1040"/>
        <v>0</v>
      </c>
      <c r="CD1358" s="1">
        <v>17</v>
      </c>
      <c r="CE1358" s="1">
        <v>0</v>
      </c>
      <c r="CF1358" s="1" t="s">
        <v>4203</v>
      </c>
      <c r="CG1358" s="1" t="s">
        <v>669</v>
      </c>
      <c r="CH1358" s="1" t="s">
        <v>219</v>
      </c>
      <c r="CI1358" s="1" t="s">
        <v>220</v>
      </c>
      <c r="CK1358" s="1" t="s">
        <v>1045</v>
      </c>
      <c r="CL1358" s="1" t="s">
        <v>277</v>
      </c>
      <c r="CM1358" s="1" t="s">
        <v>220</v>
      </c>
      <c r="CO1358" s="1" t="s">
        <v>223</v>
      </c>
      <c r="CP1358" s="1" t="s">
        <v>219</v>
      </c>
      <c r="CQ1358" s="1" t="s">
        <v>220</v>
      </c>
      <c r="CS1358" s="1" t="s">
        <v>465</v>
      </c>
      <c r="CT1358" s="1" t="s">
        <v>277</v>
      </c>
      <c r="CU1358" s="1" t="s">
        <v>220</v>
      </c>
      <c r="CX1358" s="1" t="s">
        <v>224</v>
      </c>
      <c r="DB1358" s="1" t="s">
        <v>224</v>
      </c>
      <c r="DE1358" s="1" t="s">
        <v>316</v>
      </c>
      <c r="DF1358" s="1" t="s">
        <v>219</v>
      </c>
      <c r="DG1358" s="1" t="s">
        <v>229</v>
      </c>
      <c r="DI1358" s="1" t="s">
        <v>379</v>
      </c>
      <c r="DJ1358" s="1" t="s">
        <v>277</v>
      </c>
      <c r="DK1358" s="1" t="s">
        <v>220</v>
      </c>
      <c r="DM1358" s="1" t="s">
        <v>1614</v>
      </c>
      <c r="DR1358" s="1" t="s">
        <v>316</v>
      </c>
      <c r="DS1358" s="1" t="s">
        <v>219</v>
      </c>
      <c r="DW1358" s="1" t="s">
        <v>230</v>
      </c>
      <c r="EA1358" s="1" t="s">
        <v>230</v>
      </c>
      <c r="EE1358" s="1" t="s">
        <v>230</v>
      </c>
      <c r="EI1358" s="1" t="s">
        <v>230</v>
      </c>
      <c r="EL1358" s="1" t="s">
        <v>382</v>
      </c>
      <c r="EM1358" s="1" t="s">
        <v>319</v>
      </c>
      <c r="EN1358" s="1" t="s">
        <v>282</v>
      </c>
      <c r="EO1358" s="1" t="s">
        <v>234</v>
      </c>
      <c r="EQ1358" s="1" t="s">
        <v>953</v>
      </c>
      <c r="ER1358" s="1" t="s">
        <v>383</v>
      </c>
      <c r="ES1358" s="1" t="s">
        <v>493</v>
      </c>
      <c r="ET1358" s="1" t="s">
        <v>1752</v>
      </c>
      <c r="EU1358" s="1" t="s">
        <v>239</v>
      </c>
      <c r="EW1358" s="1" t="s">
        <v>887</v>
      </c>
      <c r="EY1358" s="1" t="s">
        <v>242</v>
      </c>
      <c r="EZ1358" s="1" t="s">
        <v>1614</v>
      </c>
      <c r="FA1358" s="1" t="s">
        <v>1072</v>
      </c>
      <c r="FB1358" s="1" t="s">
        <v>289</v>
      </c>
      <c r="FD1358" s="1" t="s">
        <v>246</v>
      </c>
      <c r="FE1358" s="1" t="s">
        <v>355</v>
      </c>
      <c r="FF1358" s="1" t="s">
        <v>248</v>
      </c>
      <c r="FH1358" s="1" t="s">
        <v>550</v>
      </c>
      <c r="FI1358" s="1" t="s">
        <v>473</v>
      </c>
      <c r="FL1358" s="1" t="s">
        <v>414</v>
      </c>
      <c r="FM1358" s="1" t="s">
        <v>252</v>
      </c>
      <c r="FN1358" s="1" t="s">
        <v>213</v>
      </c>
      <c r="FO1358" s="1" t="s">
        <v>213</v>
      </c>
      <c r="FQ1358" s="1" t="s">
        <v>13565</v>
      </c>
      <c r="FR1358" s="1" t="s">
        <v>652</v>
      </c>
      <c r="FS1358" s="1" t="s">
        <v>13566</v>
      </c>
      <c r="FT1358" s="1" t="s">
        <v>255</v>
      </c>
      <c r="FU1358" s="1" t="s">
        <v>204</v>
      </c>
      <c r="FW1358" s="1" t="s">
        <v>2590</v>
      </c>
      <c r="FX1358" s="1">
        <v>2644</v>
      </c>
      <c r="FY1358" s="1" t="s">
        <v>2591</v>
      </c>
      <c r="FZ1358" s="1" t="s">
        <v>13567</v>
      </c>
      <c r="GA1358" s="1">
        <v>922386</v>
      </c>
      <c r="GD1358" s="1" t="s">
        <v>13568</v>
      </c>
      <c r="GE1358" s="1" t="s">
        <v>480</v>
      </c>
      <c r="GH1358" s="1" t="s">
        <v>230</v>
      </c>
      <c r="GI1358" s="1" t="s">
        <v>213</v>
      </c>
      <c r="GJ1358" s="1" t="s">
        <v>260</v>
      </c>
      <c r="GK1358" s="1" t="s">
        <v>210</v>
      </c>
      <c r="GL1358" s="2">
        <v>42090</v>
      </c>
      <c r="GM1358" s="1" t="s">
        <v>13569</v>
      </c>
    </row>
    <row r="1359" spans="1:195">
      <c r="A1359" s="1">
        <v>92000</v>
      </c>
      <c r="B1359" s="1" t="s">
        <v>195</v>
      </c>
      <c r="C1359" s="1" t="str">
        <f>"08663347"</f>
        <v>08663347</v>
      </c>
      <c r="D1359" s="1" t="s">
        <v>196</v>
      </c>
      <c r="F1359" s="1" t="str">
        <f>"8041"</f>
        <v>8041</v>
      </c>
      <c r="G1359" s="2">
        <v>41823</v>
      </c>
      <c r="H1359" s="1">
        <v>127500</v>
      </c>
      <c r="I1359" s="1">
        <v>115069</v>
      </c>
      <c r="J1359" s="1">
        <v>92000</v>
      </c>
      <c r="K1359" s="2">
        <v>41823</v>
      </c>
      <c r="L1359" s="1">
        <v>240</v>
      </c>
      <c r="M1359" s="2">
        <v>42062</v>
      </c>
      <c r="N1359" s="1">
        <v>240</v>
      </c>
      <c r="O1359" s="2">
        <v>42062</v>
      </c>
      <c r="P1359" s="1">
        <v>11000</v>
      </c>
      <c r="Q1359" s="1" t="s">
        <v>302</v>
      </c>
      <c r="R1359" s="2">
        <v>42082</v>
      </c>
      <c r="S1359" s="1">
        <v>182092</v>
      </c>
      <c r="U1359" s="1">
        <v>1451</v>
      </c>
      <c r="V1359" s="1" t="s">
        <v>5725</v>
      </c>
      <c r="W1359" s="1" t="s">
        <v>725</v>
      </c>
      <c r="X1359" s="1" t="s">
        <v>13570</v>
      </c>
      <c r="Y1359" s="1">
        <v>540</v>
      </c>
      <c r="Z1359" s="1" t="s">
        <v>249</v>
      </c>
      <c r="AA1359" s="1" t="s">
        <v>400</v>
      </c>
      <c r="AB1359" s="1">
        <v>60615</v>
      </c>
      <c r="AE1359" s="1" t="s">
        <v>13571</v>
      </c>
      <c r="AF1359" s="1">
        <v>1958</v>
      </c>
      <c r="AG1359" s="1" t="s">
        <v>213</v>
      </c>
      <c r="AH1359" s="1" t="s">
        <v>403</v>
      </c>
      <c r="AI1359" s="1" t="s">
        <v>310</v>
      </c>
      <c r="AJ1359" s="1" t="s">
        <v>562</v>
      </c>
      <c r="AL1359" s="1">
        <v>5</v>
      </c>
      <c r="AM1359" s="1">
        <v>2</v>
      </c>
      <c r="AN1359" s="1">
        <v>2</v>
      </c>
      <c r="AO1359" s="1">
        <v>0</v>
      </c>
      <c r="AP1359" s="1" t="s">
        <v>209</v>
      </c>
      <c r="AQ1359" s="1">
        <v>0</v>
      </c>
      <c r="AR1359" s="1" t="s">
        <v>210</v>
      </c>
      <c r="AS1359" s="1" t="s">
        <v>204</v>
      </c>
      <c r="AT1359" s="1" t="s">
        <v>210</v>
      </c>
      <c r="AW1359" s="1" t="s">
        <v>204</v>
      </c>
      <c r="AX1359" s="1" t="s">
        <v>212</v>
      </c>
      <c r="AZ1359" s="5">
        <v>2351.85</v>
      </c>
      <c r="BA1359" s="1">
        <v>2013</v>
      </c>
      <c r="BB1359" s="1" t="s">
        <v>210</v>
      </c>
      <c r="BE1359" s="1">
        <v>0</v>
      </c>
      <c r="BF1359" s="1">
        <v>7</v>
      </c>
      <c r="BG1359" s="1">
        <v>0</v>
      </c>
      <c r="BH1359" s="1">
        <v>70</v>
      </c>
      <c r="BI1359" s="1">
        <v>140</v>
      </c>
      <c r="BL1359" s="1">
        <v>768</v>
      </c>
      <c r="BM1359" s="1" t="s">
        <v>204</v>
      </c>
      <c r="BN1359" s="1" t="s">
        <v>213</v>
      </c>
      <c r="BO1359" s="1">
        <v>999</v>
      </c>
      <c r="BP1359" s="1" t="s">
        <v>204</v>
      </c>
      <c r="BR1359" s="1" t="str">
        <f>"20142020761267"</f>
        <v>20142020761267</v>
      </c>
      <c r="BT1359" s="1" t="s">
        <v>13572</v>
      </c>
      <c r="BU1359" s="1" t="s">
        <v>10876</v>
      </c>
      <c r="BX1359" s="1">
        <v>299</v>
      </c>
      <c r="BY1359" s="1">
        <v>299</v>
      </c>
      <c r="BZ1359" s="1">
        <v>299</v>
      </c>
      <c r="CB1359" s="1" t="str">
        <f t="shared" ref="CB1359:CB1361" si="1041">"0"</f>
        <v>0</v>
      </c>
      <c r="CC1359" s="1" t="str">
        <f>"1400"</f>
        <v>1400</v>
      </c>
      <c r="CD1359" s="1">
        <v>0</v>
      </c>
      <c r="CE1359" s="1">
        <v>5500</v>
      </c>
      <c r="CG1359" s="1" t="s">
        <v>11448</v>
      </c>
      <c r="CH1359" s="1" t="s">
        <v>219</v>
      </c>
      <c r="CI1359" s="1" t="s">
        <v>438</v>
      </c>
      <c r="CJ1359" s="1" t="s">
        <v>210</v>
      </c>
      <c r="CK1359" s="1" t="s">
        <v>228</v>
      </c>
      <c r="CL1359" s="1" t="s">
        <v>219</v>
      </c>
      <c r="CM1359" s="1" t="s">
        <v>438</v>
      </c>
      <c r="CN1359" s="1" t="s">
        <v>210</v>
      </c>
      <c r="CO1359" s="1" t="s">
        <v>629</v>
      </c>
      <c r="CP1359" s="1" t="s">
        <v>219</v>
      </c>
      <c r="CS1359" s="1" t="s">
        <v>346</v>
      </c>
      <c r="CT1359" s="1" t="s">
        <v>219</v>
      </c>
      <c r="CU1359" s="1" t="s">
        <v>438</v>
      </c>
      <c r="CV1359" s="1" t="s">
        <v>210</v>
      </c>
      <c r="CX1359" s="1" t="s">
        <v>224</v>
      </c>
      <c r="DB1359" s="1" t="s">
        <v>224</v>
      </c>
      <c r="DE1359" s="1" t="s">
        <v>2031</v>
      </c>
      <c r="DF1359" s="1" t="s">
        <v>219</v>
      </c>
      <c r="DG1359" s="1" t="s">
        <v>342</v>
      </c>
      <c r="DH1359" s="1" t="s">
        <v>210</v>
      </c>
      <c r="DJ1359" s="1" t="s">
        <v>224</v>
      </c>
      <c r="DS1359" s="1" t="s">
        <v>230</v>
      </c>
      <c r="DW1359" s="1" t="s">
        <v>230</v>
      </c>
      <c r="EA1359" s="1" t="s">
        <v>230</v>
      </c>
      <c r="EE1359" s="1" t="s">
        <v>230</v>
      </c>
      <c r="EI1359" s="1" t="s">
        <v>230</v>
      </c>
      <c r="EL1359" s="1" t="s">
        <v>649</v>
      </c>
      <c r="EM1359" s="1" t="s">
        <v>730</v>
      </c>
      <c r="EN1359" s="1" t="s">
        <v>233</v>
      </c>
      <c r="EO1359" s="1" t="s">
        <v>234</v>
      </c>
      <c r="EP1359" s="1" t="s">
        <v>13573</v>
      </c>
      <c r="EQ1359" s="1" t="s">
        <v>350</v>
      </c>
      <c r="ER1359" s="1" t="s">
        <v>210</v>
      </c>
      <c r="ES1359" s="1" t="s">
        <v>469</v>
      </c>
      <c r="EU1359" s="1" t="s">
        <v>13574</v>
      </c>
      <c r="EV1359" s="1" t="s">
        <v>240</v>
      </c>
      <c r="EW1359" s="1" t="s">
        <v>13575</v>
      </c>
      <c r="EZ1359" s="1" t="s">
        <v>287</v>
      </c>
      <c r="FA1359" s="1" t="s">
        <v>1554</v>
      </c>
      <c r="FB1359" s="1" t="s">
        <v>244</v>
      </c>
      <c r="FC1359" s="1" t="s">
        <v>13576</v>
      </c>
      <c r="FD1359" s="1" t="s">
        <v>246</v>
      </c>
      <c r="FE1359" s="1" t="s">
        <v>6952</v>
      </c>
      <c r="FF1359" s="1" t="s">
        <v>248</v>
      </c>
      <c r="FH1359" s="1" t="s">
        <v>2432</v>
      </c>
      <c r="FJ1359" s="1" t="s">
        <v>197</v>
      </c>
      <c r="FL1359" s="1" t="s">
        <v>5090</v>
      </c>
      <c r="FM1359" s="1" t="s">
        <v>252</v>
      </c>
      <c r="FN1359" s="1" t="s">
        <v>213</v>
      </c>
      <c r="FO1359" s="1" t="s">
        <v>213</v>
      </c>
      <c r="FQ1359" s="1" t="s">
        <v>849</v>
      </c>
      <c r="FR1359" s="1" t="s">
        <v>210</v>
      </c>
      <c r="FS1359" s="1" t="s">
        <v>13577</v>
      </c>
      <c r="FT1359" s="1" t="s">
        <v>362</v>
      </c>
      <c r="FU1359" s="1" t="s">
        <v>204</v>
      </c>
      <c r="FW1359" s="1" t="s">
        <v>13578</v>
      </c>
      <c r="FX1359" s="1">
        <v>85387</v>
      </c>
      <c r="FY1359" s="1" t="s">
        <v>13579</v>
      </c>
      <c r="FZ1359" s="1" t="s">
        <v>13580</v>
      </c>
      <c r="GA1359" s="1">
        <v>119743</v>
      </c>
      <c r="GB1359" s="1" t="s">
        <v>13579</v>
      </c>
      <c r="GD1359" s="1" t="s">
        <v>13581</v>
      </c>
      <c r="GE1359" s="1" t="s">
        <v>2504</v>
      </c>
      <c r="GH1359" s="1" t="s">
        <v>800</v>
      </c>
      <c r="GI1359" s="1" t="s">
        <v>204</v>
      </c>
      <c r="GJ1359" s="1" t="s">
        <v>260</v>
      </c>
      <c r="GK1359" s="1" t="s">
        <v>210</v>
      </c>
      <c r="GL1359" s="2">
        <v>42082</v>
      </c>
      <c r="GM1359" s="1" t="s">
        <v>13582</v>
      </c>
    </row>
    <row r="1360" spans="1:195">
      <c r="A1360" s="1">
        <v>147000</v>
      </c>
      <c r="B1360" s="1" t="s">
        <v>195</v>
      </c>
      <c r="C1360" s="1" t="str">
        <f>"08666044"</f>
        <v>08666044</v>
      </c>
      <c r="D1360" s="1" t="s">
        <v>196</v>
      </c>
      <c r="F1360" s="1" t="str">
        <f>"540"</f>
        <v>540</v>
      </c>
      <c r="G1360" s="2">
        <v>41828</v>
      </c>
      <c r="H1360" s="1">
        <v>169000</v>
      </c>
      <c r="I1360" s="1">
        <v>150000</v>
      </c>
      <c r="J1360" s="1">
        <v>147000</v>
      </c>
      <c r="K1360" s="2">
        <v>41828</v>
      </c>
      <c r="L1360" s="1">
        <v>218</v>
      </c>
      <c r="M1360" s="2">
        <v>42045</v>
      </c>
      <c r="N1360" s="1">
        <v>218</v>
      </c>
      <c r="O1360" s="2">
        <v>42045</v>
      </c>
      <c r="P1360" s="1">
        <v>25769</v>
      </c>
      <c r="Q1360" s="1" t="s">
        <v>197</v>
      </c>
      <c r="R1360" s="2">
        <v>42090</v>
      </c>
      <c r="S1360" s="1">
        <v>242794</v>
      </c>
      <c r="U1360" s="1">
        <v>1264</v>
      </c>
      <c r="V1360" s="1" t="s">
        <v>13583</v>
      </c>
      <c r="W1360" s="1" t="s">
        <v>304</v>
      </c>
      <c r="X1360" s="1">
        <v>1264</v>
      </c>
      <c r="Y1360" s="1">
        <v>5</v>
      </c>
      <c r="Z1360" s="1" t="s">
        <v>370</v>
      </c>
      <c r="AA1360" s="1" t="s">
        <v>921</v>
      </c>
      <c r="AB1360" s="1">
        <v>60540</v>
      </c>
      <c r="AD1360" s="1" t="s">
        <v>12282</v>
      </c>
      <c r="AE1360" s="1" t="s">
        <v>13584</v>
      </c>
      <c r="AF1360" s="1">
        <v>1994</v>
      </c>
      <c r="AG1360" s="1" t="s">
        <v>204</v>
      </c>
      <c r="AH1360" s="1" t="s">
        <v>924</v>
      </c>
      <c r="AI1360" s="1" t="s">
        <v>206</v>
      </c>
      <c r="AJ1360" s="1" t="s">
        <v>924</v>
      </c>
      <c r="AK1360" s="1" t="s">
        <v>4519</v>
      </c>
      <c r="AL1360" s="1">
        <v>6</v>
      </c>
      <c r="AM1360" s="1">
        <v>2</v>
      </c>
      <c r="AN1360" s="1">
        <v>2</v>
      </c>
      <c r="AO1360" s="1">
        <v>1</v>
      </c>
      <c r="AP1360" s="1" t="s">
        <v>209</v>
      </c>
      <c r="AQ1360" s="1">
        <v>1</v>
      </c>
      <c r="AR1360" s="1" t="s">
        <v>210</v>
      </c>
      <c r="AS1360" s="1" t="s">
        <v>204</v>
      </c>
      <c r="AT1360" s="1" t="s">
        <v>211</v>
      </c>
      <c r="AU1360" s="1">
        <v>1</v>
      </c>
      <c r="AW1360" s="1" t="s">
        <v>204</v>
      </c>
      <c r="AX1360" s="1" t="s">
        <v>212</v>
      </c>
      <c r="AZ1360" s="1">
        <v>3354</v>
      </c>
      <c r="BA1360" s="1">
        <v>2013</v>
      </c>
      <c r="BB1360" s="1" t="s">
        <v>405</v>
      </c>
      <c r="BE1360" s="1">
        <v>1298</v>
      </c>
      <c r="BF1360" s="1">
        <v>1</v>
      </c>
      <c r="BG1360" s="1">
        <v>30</v>
      </c>
      <c r="BL1360" s="1">
        <v>150</v>
      </c>
      <c r="BM1360" s="1" t="s">
        <v>204</v>
      </c>
      <c r="BN1360" s="1" t="s">
        <v>213</v>
      </c>
      <c r="BO1360" s="1">
        <v>999</v>
      </c>
      <c r="BP1360" s="1" t="s">
        <v>204</v>
      </c>
      <c r="BR1360" s="1" t="str">
        <f>"0726112030"</f>
        <v>0726112030</v>
      </c>
      <c r="BT1360" s="1" t="s">
        <v>13585</v>
      </c>
      <c r="BU1360" s="1" t="s">
        <v>10521</v>
      </c>
      <c r="BV1360" s="1" t="s">
        <v>2535</v>
      </c>
      <c r="BW1360" s="1" t="s">
        <v>1131</v>
      </c>
      <c r="BX1360" s="1">
        <v>204</v>
      </c>
      <c r="BY1360" s="1">
        <v>204</v>
      </c>
      <c r="BZ1360" s="1">
        <v>204</v>
      </c>
      <c r="CB1360" s="1" t="str">
        <f t="shared" si="1041"/>
        <v>0</v>
      </c>
      <c r="CC1360" s="1" t="str">
        <f>"0"</f>
        <v>0</v>
      </c>
      <c r="CD1360" s="1">
        <v>28</v>
      </c>
      <c r="CE1360" s="1">
        <v>8</v>
      </c>
      <c r="CG1360" s="1" t="s">
        <v>218</v>
      </c>
      <c r="CH1360" s="1" t="s">
        <v>219</v>
      </c>
      <c r="CI1360" s="1" t="s">
        <v>220</v>
      </c>
      <c r="CK1360" s="1" t="s">
        <v>437</v>
      </c>
      <c r="CL1360" s="1" t="s">
        <v>277</v>
      </c>
      <c r="CM1360" s="1" t="s">
        <v>220</v>
      </c>
      <c r="CO1360" s="1" t="s">
        <v>629</v>
      </c>
      <c r="CP1360" s="1" t="s">
        <v>219</v>
      </c>
      <c r="CQ1360" s="1" t="s">
        <v>220</v>
      </c>
      <c r="CS1360" s="1" t="s">
        <v>318</v>
      </c>
      <c r="CT1360" s="1" t="s">
        <v>277</v>
      </c>
      <c r="CU1360" s="1" t="s">
        <v>220</v>
      </c>
      <c r="CX1360" s="1" t="s">
        <v>224</v>
      </c>
      <c r="DB1360" s="1" t="s">
        <v>224</v>
      </c>
      <c r="DE1360" s="1" t="s">
        <v>317</v>
      </c>
      <c r="DF1360" s="1" t="s">
        <v>219</v>
      </c>
      <c r="DG1360" s="1" t="s">
        <v>226</v>
      </c>
      <c r="DJ1360" s="1" t="s">
        <v>224</v>
      </c>
      <c r="DM1360" s="1" t="s">
        <v>464</v>
      </c>
      <c r="DR1360" s="1" t="s">
        <v>461</v>
      </c>
      <c r="DS1360" s="1" t="s">
        <v>277</v>
      </c>
      <c r="DT1360" s="1" t="s">
        <v>220</v>
      </c>
      <c r="DW1360" s="1" t="s">
        <v>230</v>
      </c>
      <c r="EA1360" s="1" t="s">
        <v>230</v>
      </c>
      <c r="EE1360" s="1" t="s">
        <v>230</v>
      </c>
      <c r="EI1360" s="1" t="s">
        <v>230</v>
      </c>
      <c r="EL1360" s="1" t="s">
        <v>382</v>
      </c>
      <c r="EM1360" s="1" t="s">
        <v>730</v>
      </c>
      <c r="EN1360" s="1" t="s">
        <v>282</v>
      </c>
      <c r="EO1360" s="1" t="s">
        <v>234</v>
      </c>
      <c r="EP1360" s="1" t="s">
        <v>650</v>
      </c>
      <c r="EQ1360" s="1" t="s">
        <v>468</v>
      </c>
      <c r="ER1360" s="1" t="s">
        <v>210</v>
      </c>
      <c r="ES1360" s="1" t="s">
        <v>322</v>
      </c>
      <c r="EU1360" s="1" t="s">
        <v>1894</v>
      </c>
      <c r="EV1360" s="1" t="s">
        <v>240</v>
      </c>
      <c r="EW1360" s="1" t="s">
        <v>353</v>
      </c>
      <c r="EZ1360" s="1" t="s">
        <v>464</v>
      </c>
      <c r="FA1360" s="1" t="s">
        <v>471</v>
      </c>
      <c r="FB1360" s="1" t="s">
        <v>289</v>
      </c>
      <c r="FD1360" s="1" t="s">
        <v>246</v>
      </c>
      <c r="FE1360" s="1" t="s">
        <v>496</v>
      </c>
      <c r="FF1360" s="1" t="s">
        <v>248</v>
      </c>
      <c r="FG1360" s="1" t="s">
        <v>1682</v>
      </c>
      <c r="FH1360" s="1" t="s">
        <v>550</v>
      </c>
      <c r="FI1360" s="1" t="s">
        <v>357</v>
      </c>
      <c r="FL1360" s="1" t="s">
        <v>358</v>
      </c>
      <c r="FM1360" s="1" t="s">
        <v>252</v>
      </c>
      <c r="FN1360" s="1" t="s">
        <v>213</v>
      </c>
      <c r="FO1360" s="1" t="s">
        <v>213</v>
      </c>
      <c r="FQ1360" s="1" t="s">
        <v>913</v>
      </c>
      <c r="FR1360" s="1" t="s">
        <v>210</v>
      </c>
      <c r="FS1360" s="1" t="s">
        <v>10523</v>
      </c>
      <c r="FT1360" s="1" t="s">
        <v>691</v>
      </c>
      <c r="FU1360" s="1" t="s">
        <v>204</v>
      </c>
      <c r="FW1360" s="1" t="s">
        <v>915</v>
      </c>
      <c r="FX1360" s="1">
        <v>23076</v>
      </c>
      <c r="FY1360" s="1" t="s">
        <v>1909</v>
      </c>
      <c r="FZ1360" s="1" t="s">
        <v>10339</v>
      </c>
      <c r="GA1360" s="1">
        <v>233999</v>
      </c>
      <c r="GB1360" s="1" t="s">
        <v>10340</v>
      </c>
      <c r="GD1360" s="1" t="s">
        <v>10341</v>
      </c>
      <c r="GE1360" s="1" t="s">
        <v>335</v>
      </c>
      <c r="GI1360" s="1" t="s">
        <v>213</v>
      </c>
      <c r="GJ1360" s="1" t="s">
        <v>260</v>
      </c>
      <c r="GK1360" s="1" t="s">
        <v>210</v>
      </c>
      <c r="GL1360" s="2">
        <v>42091</v>
      </c>
      <c r="GM1360" s="1" t="s">
        <v>13586</v>
      </c>
    </row>
    <row r="1361" spans="1:195">
      <c r="A1361" s="1">
        <v>21500</v>
      </c>
      <c r="B1361" s="1" t="s">
        <v>195</v>
      </c>
      <c r="C1361" s="1" t="str">
        <f>"08666008"</f>
        <v>08666008</v>
      </c>
      <c r="D1361" s="1" t="s">
        <v>196</v>
      </c>
      <c r="F1361" s="1" t="str">
        <f>"8043"</f>
        <v>8043</v>
      </c>
      <c r="G1361" s="2">
        <v>41828</v>
      </c>
      <c r="H1361" s="1">
        <v>38400</v>
      </c>
      <c r="I1361" s="1">
        <v>23900</v>
      </c>
      <c r="J1361" s="1">
        <v>21500</v>
      </c>
      <c r="K1361" s="2">
        <v>41828</v>
      </c>
      <c r="L1361" s="1">
        <v>274</v>
      </c>
      <c r="M1361" s="2">
        <v>42101</v>
      </c>
      <c r="N1361" s="1">
        <v>274</v>
      </c>
      <c r="O1361" s="2">
        <v>42101</v>
      </c>
      <c r="P1361" s="1">
        <v>85244</v>
      </c>
      <c r="Q1361" s="1" t="s">
        <v>302</v>
      </c>
      <c r="R1361" s="2">
        <v>42104</v>
      </c>
      <c r="S1361" s="1">
        <v>112372</v>
      </c>
      <c r="U1361" s="1">
        <v>2001</v>
      </c>
      <c r="V1361" s="1" t="s">
        <v>11177</v>
      </c>
      <c r="W1361" s="1" t="s">
        <v>725</v>
      </c>
      <c r="Y1361" s="1" t="s">
        <v>432</v>
      </c>
      <c r="Z1361" s="1" t="s">
        <v>200</v>
      </c>
      <c r="AA1361" s="1" t="s">
        <v>400</v>
      </c>
      <c r="AB1361" s="1">
        <v>60649</v>
      </c>
      <c r="AE1361" s="1" t="s">
        <v>13587</v>
      </c>
      <c r="AF1361" s="1">
        <v>1945</v>
      </c>
      <c r="AG1361" s="1" t="s">
        <v>213</v>
      </c>
      <c r="AH1361" s="1" t="s">
        <v>403</v>
      </c>
      <c r="AI1361" s="1" t="s">
        <v>310</v>
      </c>
      <c r="AJ1361" s="1" t="s">
        <v>562</v>
      </c>
      <c r="AL1361" s="1">
        <v>7</v>
      </c>
      <c r="AM1361" s="1">
        <v>2</v>
      </c>
      <c r="AN1361" s="1">
        <v>1</v>
      </c>
      <c r="AO1361" s="1">
        <v>1</v>
      </c>
      <c r="AP1361" s="1" t="s">
        <v>210</v>
      </c>
      <c r="AR1361" s="1" t="s">
        <v>1631</v>
      </c>
      <c r="AS1361" s="1" t="s">
        <v>213</v>
      </c>
      <c r="AT1361" s="1" t="s">
        <v>271</v>
      </c>
      <c r="AV1361" s="1">
        <v>1</v>
      </c>
      <c r="AW1361" s="1" t="s">
        <v>204</v>
      </c>
      <c r="AX1361" s="1" t="s">
        <v>212</v>
      </c>
      <c r="AZ1361" s="1">
        <v>1908.25</v>
      </c>
      <c r="BA1361" s="1">
        <v>2012</v>
      </c>
      <c r="BE1361" s="1">
        <v>1044</v>
      </c>
      <c r="BF1361" s="1">
        <v>1</v>
      </c>
      <c r="BG1361" s="1">
        <v>0</v>
      </c>
      <c r="BL1361" s="1">
        <v>0</v>
      </c>
      <c r="BM1361" s="1" t="s">
        <v>204</v>
      </c>
      <c r="BN1361" s="1" t="s">
        <v>213</v>
      </c>
      <c r="BO1361" s="1">
        <v>999</v>
      </c>
      <c r="BP1361" s="1" t="s">
        <v>204</v>
      </c>
      <c r="BR1361" s="1" t="str">
        <f>"20252210430000"</f>
        <v>20252210430000</v>
      </c>
      <c r="BT1361" s="1" t="s">
        <v>13588</v>
      </c>
      <c r="BX1361" s="1">
        <v>299</v>
      </c>
      <c r="BY1361" s="1">
        <v>299</v>
      </c>
      <c r="BZ1361" s="1">
        <v>299</v>
      </c>
      <c r="CB1361" s="1" t="str">
        <f t="shared" si="1041"/>
        <v>0</v>
      </c>
      <c r="CC1361" s="1" t="str">
        <f>"2001"</f>
        <v>2001</v>
      </c>
      <c r="CD1361" s="1">
        <v>0</v>
      </c>
      <c r="CE1361" s="1">
        <v>7400</v>
      </c>
      <c r="CG1361" s="1" t="s">
        <v>7317</v>
      </c>
      <c r="CH1361" s="1" t="s">
        <v>219</v>
      </c>
      <c r="CK1361" s="1" t="s">
        <v>669</v>
      </c>
      <c r="CL1361" s="1" t="s">
        <v>277</v>
      </c>
      <c r="CO1361" s="1" t="s">
        <v>379</v>
      </c>
      <c r="CP1361" s="1" t="s">
        <v>219</v>
      </c>
      <c r="CS1361" s="1" t="s">
        <v>7355</v>
      </c>
      <c r="CT1361" s="1" t="s">
        <v>277</v>
      </c>
      <c r="CW1361" s="1" t="s">
        <v>346</v>
      </c>
      <c r="CX1361" s="1" t="s">
        <v>43</v>
      </c>
      <c r="DB1361" s="1" t="s">
        <v>224</v>
      </c>
      <c r="DE1361" s="1" t="s">
        <v>7355</v>
      </c>
      <c r="DF1361" s="1" t="s">
        <v>219</v>
      </c>
      <c r="DI1361" s="1" t="s">
        <v>669</v>
      </c>
      <c r="DJ1361" s="1" t="s">
        <v>822</v>
      </c>
      <c r="DS1361" s="1" t="s">
        <v>230</v>
      </c>
      <c r="DW1361" s="1" t="s">
        <v>230</v>
      </c>
      <c r="EA1361" s="1" t="s">
        <v>230</v>
      </c>
      <c r="EE1361" s="1" t="s">
        <v>230</v>
      </c>
      <c r="EI1361" s="1" t="s">
        <v>230</v>
      </c>
      <c r="EL1361" s="1" t="s">
        <v>3717</v>
      </c>
      <c r="EM1361" s="1" t="s">
        <v>730</v>
      </c>
      <c r="EN1361" s="1" t="s">
        <v>210</v>
      </c>
      <c r="EO1361" s="1" t="s">
        <v>234</v>
      </c>
      <c r="ER1361" s="1" t="s">
        <v>544</v>
      </c>
      <c r="EW1361" s="1" t="s">
        <v>210</v>
      </c>
      <c r="EZ1361" s="1" t="s">
        <v>287</v>
      </c>
      <c r="FD1361" s="1" t="s">
        <v>246</v>
      </c>
      <c r="FE1361" s="1" t="s">
        <v>247</v>
      </c>
      <c r="FF1361" s="1" t="s">
        <v>248</v>
      </c>
      <c r="FH1361" s="1" t="s">
        <v>550</v>
      </c>
      <c r="FL1361" s="1" t="s">
        <v>414</v>
      </c>
      <c r="FM1361" s="1" t="s">
        <v>252</v>
      </c>
      <c r="FN1361" s="1" t="s">
        <v>213</v>
      </c>
      <c r="FO1361" s="1" t="s">
        <v>213</v>
      </c>
      <c r="FQ1361" s="1" t="s">
        <v>13589</v>
      </c>
      <c r="FR1361" s="1" t="s">
        <v>360</v>
      </c>
      <c r="FS1361" s="1" t="s">
        <v>3061</v>
      </c>
      <c r="FT1361" s="1" t="s">
        <v>295</v>
      </c>
      <c r="FU1361" s="1" t="s">
        <v>204</v>
      </c>
      <c r="FW1361" s="1" t="s">
        <v>13590</v>
      </c>
      <c r="FX1361" s="1">
        <v>18016</v>
      </c>
      <c r="FY1361" s="1" t="s">
        <v>13591</v>
      </c>
      <c r="FZ1361" s="1" t="s">
        <v>13592</v>
      </c>
      <c r="GA1361" s="1">
        <v>158141</v>
      </c>
      <c r="GB1361" s="1" t="s">
        <v>13591</v>
      </c>
      <c r="GC1361" s="1">
        <v>120040</v>
      </c>
      <c r="GE1361" s="1" t="s">
        <v>1576</v>
      </c>
      <c r="GH1361" s="1" t="s">
        <v>800</v>
      </c>
      <c r="GI1361" s="1" t="s">
        <v>204</v>
      </c>
      <c r="GJ1361" s="1" t="s">
        <v>260</v>
      </c>
      <c r="GK1361" s="1" t="s">
        <v>210</v>
      </c>
      <c r="GL1361" s="2">
        <v>42117</v>
      </c>
      <c r="GM1361" s="1" t="s">
        <v>13593</v>
      </c>
    </row>
    <row r="1362" spans="1:195">
      <c r="A1362" s="1">
        <v>97000</v>
      </c>
      <c r="B1362" s="1" t="s">
        <v>195</v>
      </c>
      <c r="C1362" s="1" t="str">
        <f>"08663226"</f>
        <v>08663226</v>
      </c>
      <c r="D1362" s="1" t="s">
        <v>196</v>
      </c>
      <c r="F1362" s="1" t="str">
        <f>"110"</f>
        <v>110</v>
      </c>
      <c r="G1362" s="2">
        <v>41823</v>
      </c>
      <c r="H1362" s="1">
        <v>97000</v>
      </c>
      <c r="I1362" s="1">
        <v>95500</v>
      </c>
      <c r="J1362" s="1">
        <v>97000</v>
      </c>
      <c r="K1362" s="2">
        <v>41822</v>
      </c>
      <c r="L1362" s="1">
        <v>8</v>
      </c>
      <c r="M1362" s="2">
        <v>41829</v>
      </c>
      <c r="N1362" s="1">
        <v>8</v>
      </c>
      <c r="O1362" s="2">
        <v>41829</v>
      </c>
      <c r="P1362" s="1">
        <v>23742</v>
      </c>
      <c r="Q1362" s="1" t="s">
        <v>423</v>
      </c>
      <c r="R1362" s="2">
        <v>42004</v>
      </c>
      <c r="S1362" s="1">
        <v>240747</v>
      </c>
      <c r="T1362" s="1">
        <v>970</v>
      </c>
      <c r="U1362" s="1">
        <v>2256</v>
      </c>
      <c r="V1362" s="1" t="s">
        <v>13594</v>
      </c>
      <c r="W1362" s="1" t="s">
        <v>264</v>
      </c>
      <c r="Y1362" s="1">
        <v>4</v>
      </c>
      <c r="Z1362" s="1" t="s">
        <v>370</v>
      </c>
      <c r="AA1362" s="1" t="s">
        <v>803</v>
      </c>
      <c r="AB1362" s="1">
        <v>60110</v>
      </c>
      <c r="AE1362" s="1" t="s">
        <v>13595</v>
      </c>
      <c r="AF1362" s="1">
        <v>2004</v>
      </c>
      <c r="AG1362" s="1" t="s">
        <v>204</v>
      </c>
      <c r="AH1362" s="1" t="s">
        <v>2557</v>
      </c>
      <c r="AI1362" s="1" t="s">
        <v>665</v>
      </c>
      <c r="AJ1362" s="1" t="s">
        <v>805</v>
      </c>
      <c r="AL1362" s="1">
        <v>4</v>
      </c>
      <c r="AM1362" s="1">
        <v>2</v>
      </c>
      <c r="AN1362" s="1">
        <v>1</v>
      </c>
      <c r="AO1362" s="1">
        <v>1</v>
      </c>
      <c r="AP1362" s="1" t="s">
        <v>210</v>
      </c>
      <c r="AR1362" s="1" t="s">
        <v>210</v>
      </c>
      <c r="AS1362" s="1" t="s">
        <v>204</v>
      </c>
      <c r="AT1362" s="1" t="s">
        <v>211</v>
      </c>
      <c r="AU1362" s="1">
        <v>1</v>
      </c>
      <c r="AW1362" s="1" t="s">
        <v>204</v>
      </c>
      <c r="AX1362" s="1" t="s">
        <v>212</v>
      </c>
      <c r="AZ1362" s="1">
        <v>2473.52</v>
      </c>
      <c r="BA1362" s="1">
        <v>2013</v>
      </c>
      <c r="BE1362" s="1">
        <v>1096</v>
      </c>
      <c r="BF1362" s="1">
        <v>1</v>
      </c>
      <c r="BG1362" s="1">
        <v>3</v>
      </c>
      <c r="BL1362" s="1">
        <v>110</v>
      </c>
      <c r="BM1362" s="1" t="s">
        <v>413</v>
      </c>
      <c r="BN1362" s="1" t="s">
        <v>213</v>
      </c>
      <c r="BO1362" s="1">
        <v>35</v>
      </c>
      <c r="BP1362" s="1" t="s">
        <v>204</v>
      </c>
      <c r="BR1362" s="1" t="str">
        <f>"0302428030"</f>
        <v>0302428030</v>
      </c>
      <c r="BT1362" s="1" t="s">
        <v>13596</v>
      </c>
      <c r="BX1362" s="1">
        <v>300</v>
      </c>
      <c r="BY1362" s="1">
        <v>300</v>
      </c>
      <c r="BZ1362" s="1">
        <v>300</v>
      </c>
      <c r="CB1362" s="1" t="str">
        <f t="shared" ref="CB1362:CC1362" si="1042">""</f>
        <v/>
      </c>
      <c r="CC1362" s="1" t="str">
        <f t="shared" si="1042"/>
        <v/>
      </c>
      <c r="CG1362" s="1" t="s">
        <v>1045</v>
      </c>
      <c r="CH1362" s="1" t="s">
        <v>219</v>
      </c>
      <c r="CK1362" s="1" t="s">
        <v>437</v>
      </c>
      <c r="CL1362" s="1" t="s">
        <v>277</v>
      </c>
      <c r="CP1362" s="1" t="s">
        <v>224</v>
      </c>
      <c r="CS1362" s="1" t="s">
        <v>318</v>
      </c>
      <c r="CT1362" s="1" t="s">
        <v>277</v>
      </c>
      <c r="CX1362" s="1" t="s">
        <v>224</v>
      </c>
      <c r="DB1362" s="1" t="s">
        <v>224</v>
      </c>
      <c r="DE1362" s="1" t="s">
        <v>757</v>
      </c>
      <c r="DF1362" s="1" t="s">
        <v>219</v>
      </c>
      <c r="DJ1362" s="1" t="s">
        <v>224</v>
      </c>
      <c r="DS1362" s="1" t="s">
        <v>230</v>
      </c>
      <c r="DW1362" s="1" t="s">
        <v>230</v>
      </c>
      <c r="EA1362" s="1" t="s">
        <v>230</v>
      </c>
      <c r="EE1362" s="1" t="s">
        <v>230</v>
      </c>
      <c r="EI1362" s="1" t="s">
        <v>230</v>
      </c>
      <c r="EL1362" s="1" t="s">
        <v>491</v>
      </c>
      <c r="EM1362" s="1" t="s">
        <v>319</v>
      </c>
      <c r="EN1362" s="1" t="s">
        <v>282</v>
      </c>
      <c r="EO1362" s="1" t="s">
        <v>234</v>
      </c>
      <c r="ER1362" s="1" t="s">
        <v>383</v>
      </c>
      <c r="EW1362" s="1" t="s">
        <v>1250</v>
      </c>
      <c r="EZ1362" s="1" t="s">
        <v>287</v>
      </c>
      <c r="FD1362" s="1" t="s">
        <v>246</v>
      </c>
      <c r="FE1362" s="1" t="s">
        <v>975</v>
      </c>
      <c r="FF1362" s="1" t="s">
        <v>248</v>
      </c>
      <c r="FH1362" s="1" t="s">
        <v>550</v>
      </c>
      <c r="FL1362" s="1" t="s">
        <v>358</v>
      </c>
      <c r="FM1362" s="1" t="s">
        <v>252</v>
      </c>
      <c r="FN1362" s="1" t="s">
        <v>213</v>
      </c>
      <c r="FO1362" s="1" t="s">
        <v>213</v>
      </c>
      <c r="FQ1362" s="1" t="s">
        <v>13597</v>
      </c>
      <c r="FR1362" s="1" t="s">
        <v>360</v>
      </c>
      <c r="FS1362" s="1" t="s">
        <v>13598</v>
      </c>
      <c r="FT1362" s="1" t="s">
        <v>13599</v>
      </c>
      <c r="FU1362" s="1" t="s">
        <v>204</v>
      </c>
      <c r="FW1362" s="1" t="s">
        <v>813</v>
      </c>
      <c r="FX1362" s="1">
        <v>5030</v>
      </c>
      <c r="FY1362" s="1" t="s">
        <v>814</v>
      </c>
      <c r="FZ1362" s="1" t="s">
        <v>13600</v>
      </c>
      <c r="GA1362" s="1">
        <v>55195</v>
      </c>
      <c r="GB1362" s="1" t="s">
        <v>13601</v>
      </c>
      <c r="GE1362" s="1" t="s">
        <v>480</v>
      </c>
      <c r="GI1362" s="1" t="s">
        <v>213</v>
      </c>
      <c r="GJ1362" s="1" t="s">
        <v>260</v>
      </c>
      <c r="GK1362" s="1" t="s">
        <v>210</v>
      </c>
      <c r="GL1362" s="2">
        <v>42004</v>
      </c>
      <c r="GM1362" s="1" t="s">
        <v>13602</v>
      </c>
    </row>
    <row r="1363" spans="1:195">
      <c r="A1363" s="1">
        <v>108000</v>
      </c>
      <c r="B1363" s="1" t="s">
        <v>195</v>
      </c>
      <c r="C1363" s="1" t="str">
        <f>"08670583"</f>
        <v>08670583</v>
      </c>
      <c r="D1363" s="1" t="s">
        <v>196</v>
      </c>
      <c r="F1363" s="1" t="str">
        <f>"188"</f>
        <v>188</v>
      </c>
      <c r="G1363" s="2">
        <v>41831</v>
      </c>
      <c r="H1363" s="1">
        <v>118500</v>
      </c>
      <c r="I1363" s="1">
        <v>118500</v>
      </c>
      <c r="J1363" s="1">
        <v>108000</v>
      </c>
      <c r="K1363" s="2">
        <v>41831</v>
      </c>
      <c r="L1363" s="1">
        <v>105</v>
      </c>
      <c r="M1363" s="2">
        <v>41935</v>
      </c>
      <c r="N1363" s="1">
        <v>105</v>
      </c>
      <c r="O1363" s="2">
        <v>41935</v>
      </c>
      <c r="P1363" s="1">
        <v>25514</v>
      </c>
      <c r="Q1363" s="1" t="s">
        <v>197</v>
      </c>
      <c r="R1363" s="2">
        <v>41999</v>
      </c>
      <c r="S1363" s="1">
        <v>239605</v>
      </c>
      <c r="U1363" s="1">
        <v>1345</v>
      </c>
      <c r="V1363" s="1" t="s">
        <v>8151</v>
      </c>
      <c r="W1363" s="1" t="s">
        <v>1056</v>
      </c>
      <c r="X1363" s="1">
        <v>1345</v>
      </c>
      <c r="Y1363" s="1">
        <v>4</v>
      </c>
      <c r="Z1363" s="1" t="s">
        <v>370</v>
      </c>
      <c r="AA1363" s="1" t="s">
        <v>1084</v>
      </c>
      <c r="AB1363" s="1">
        <v>60188</v>
      </c>
      <c r="AD1363" s="1" t="s">
        <v>13603</v>
      </c>
      <c r="AE1363" s="1" t="s">
        <v>13604</v>
      </c>
      <c r="AF1363" s="1">
        <v>1991</v>
      </c>
      <c r="AG1363" s="1" t="s">
        <v>204</v>
      </c>
      <c r="AH1363" s="1" t="s">
        <v>1087</v>
      </c>
      <c r="AI1363" s="1" t="s">
        <v>206</v>
      </c>
      <c r="AJ1363" s="1" t="s">
        <v>2654</v>
      </c>
      <c r="AL1363" s="1">
        <v>5</v>
      </c>
      <c r="AM1363" s="1">
        <v>2</v>
      </c>
      <c r="AN1363" s="1">
        <v>2</v>
      </c>
      <c r="AO1363" s="1">
        <v>0</v>
      </c>
      <c r="AP1363" s="1" t="s">
        <v>209</v>
      </c>
      <c r="AR1363" s="1" t="s">
        <v>210</v>
      </c>
      <c r="AS1363" s="1" t="s">
        <v>204</v>
      </c>
      <c r="AT1363" s="1" t="s">
        <v>211</v>
      </c>
      <c r="AU1363" s="1">
        <v>1</v>
      </c>
      <c r="AW1363" s="1" t="s">
        <v>204</v>
      </c>
      <c r="AX1363" s="1" t="s">
        <v>212</v>
      </c>
      <c r="AZ1363" s="1">
        <v>3917</v>
      </c>
      <c r="BA1363" s="1">
        <v>2013</v>
      </c>
      <c r="BE1363" s="1">
        <v>1086</v>
      </c>
      <c r="BF1363" s="1">
        <v>2</v>
      </c>
      <c r="BG1363" s="1">
        <v>30</v>
      </c>
      <c r="BL1363" s="1">
        <v>204</v>
      </c>
      <c r="BM1363" s="1" t="s">
        <v>204</v>
      </c>
      <c r="BN1363" s="1" t="s">
        <v>213</v>
      </c>
      <c r="BO1363" s="1">
        <v>0</v>
      </c>
      <c r="BP1363" s="1" t="s">
        <v>204</v>
      </c>
      <c r="BR1363" s="1" t="str">
        <f>"0124224058"</f>
        <v>0124224058</v>
      </c>
      <c r="BT1363" s="1" t="s">
        <v>13605</v>
      </c>
      <c r="BX1363" s="1">
        <v>93</v>
      </c>
      <c r="BY1363" s="1">
        <v>93</v>
      </c>
      <c r="BZ1363" s="1">
        <v>87</v>
      </c>
      <c r="CB1363" s="1" t="str">
        <f t="shared" ref="CB1363:CC1363" si="1043">""</f>
        <v/>
      </c>
      <c r="CC1363" s="1" t="str">
        <f t="shared" si="1043"/>
        <v/>
      </c>
      <c r="CG1363" s="1" t="s">
        <v>461</v>
      </c>
      <c r="CH1363" s="1" t="s">
        <v>277</v>
      </c>
      <c r="CK1363" s="1" t="s">
        <v>461</v>
      </c>
      <c r="CL1363" s="1" t="s">
        <v>277</v>
      </c>
      <c r="CO1363" s="1" t="s">
        <v>281</v>
      </c>
      <c r="CP1363" s="1" t="s">
        <v>277</v>
      </c>
      <c r="CS1363" s="1" t="s">
        <v>379</v>
      </c>
      <c r="CT1363" s="1" t="s">
        <v>277</v>
      </c>
      <c r="CX1363" s="1" t="s">
        <v>224</v>
      </c>
      <c r="DB1363" s="1" t="s">
        <v>224</v>
      </c>
      <c r="DE1363" s="1" t="s">
        <v>409</v>
      </c>
      <c r="DF1363" s="1" t="s">
        <v>277</v>
      </c>
      <c r="DJ1363" s="1" t="s">
        <v>224</v>
      </c>
      <c r="DS1363" s="1" t="s">
        <v>230</v>
      </c>
      <c r="DW1363" s="1" t="s">
        <v>230</v>
      </c>
      <c r="EA1363" s="1" t="s">
        <v>230</v>
      </c>
      <c r="EE1363" s="1" t="s">
        <v>230</v>
      </c>
      <c r="EI1363" s="1" t="s">
        <v>230</v>
      </c>
      <c r="EL1363" s="1" t="s">
        <v>382</v>
      </c>
      <c r="EM1363" s="1" t="s">
        <v>232</v>
      </c>
      <c r="EN1363" s="1" t="s">
        <v>282</v>
      </c>
      <c r="EO1363" s="1" t="s">
        <v>234</v>
      </c>
      <c r="ER1363" s="1" t="s">
        <v>210</v>
      </c>
      <c r="EW1363" s="1" t="s">
        <v>1426</v>
      </c>
      <c r="EZ1363" s="1" t="s">
        <v>287</v>
      </c>
      <c r="FB1363" s="1" t="s">
        <v>4027</v>
      </c>
      <c r="FD1363" s="1" t="s">
        <v>246</v>
      </c>
      <c r="FE1363" s="1" t="s">
        <v>386</v>
      </c>
      <c r="FF1363" s="1" t="s">
        <v>248</v>
      </c>
      <c r="FH1363" s="1" t="s">
        <v>550</v>
      </c>
      <c r="FL1363" s="1" t="s">
        <v>358</v>
      </c>
      <c r="FM1363" s="1" t="s">
        <v>252</v>
      </c>
      <c r="FN1363" s="1" t="s">
        <v>213</v>
      </c>
      <c r="FO1363" s="1" t="s">
        <v>213</v>
      </c>
      <c r="FQ1363" s="1" t="s">
        <v>689</v>
      </c>
      <c r="FR1363" s="1" t="s">
        <v>210</v>
      </c>
      <c r="FS1363" s="1" t="s">
        <v>4028</v>
      </c>
      <c r="FT1363" s="1" t="s">
        <v>1182</v>
      </c>
      <c r="FU1363" s="1" t="s">
        <v>204</v>
      </c>
      <c r="FW1363" s="1" t="s">
        <v>4029</v>
      </c>
      <c r="FX1363" s="1">
        <v>1455</v>
      </c>
      <c r="FY1363" s="1" t="s">
        <v>4030</v>
      </c>
      <c r="FZ1363" s="1" t="s">
        <v>4031</v>
      </c>
      <c r="GA1363" s="1">
        <v>85585</v>
      </c>
      <c r="GE1363" s="1" t="s">
        <v>210</v>
      </c>
      <c r="GI1363" s="1" t="s">
        <v>213</v>
      </c>
      <c r="GJ1363" s="1" t="s">
        <v>260</v>
      </c>
      <c r="GK1363" s="1" t="s">
        <v>210</v>
      </c>
      <c r="GL1363" s="2">
        <v>42003</v>
      </c>
      <c r="GM1363" s="1" t="s">
        <v>13606</v>
      </c>
    </row>
    <row r="1364" spans="1:195">
      <c r="A1364" s="1">
        <v>80000</v>
      </c>
      <c r="B1364" s="1" t="s">
        <v>195</v>
      </c>
      <c r="C1364" s="1" t="str">
        <f>"08672637"</f>
        <v>08672637</v>
      </c>
      <c r="D1364" s="1" t="s">
        <v>196</v>
      </c>
      <c r="F1364" s="1" t="str">
        <f>"8045"</f>
        <v>8045</v>
      </c>
      <c r="G1364" s="2">
        <v>41834</v>
      </c>
      <c r="H1364" s="1">
        <v>96999</v>
      </c>
      <c r="I1364" s="1">
        <v>96999</v>
      </c>
      <c r="J1364" s="1">
        <v>80000</v>
      </c>
      <c r="K1364" s="2">
        <v>41834</v>
      </c>
      <c r="L1364" s="1">
        <v>241</v>
      </c>
      <c r="M1364" s="2">
        <v>42002</v>
      </c>
      <c r="N1364" s="1">
        <v>169</v>
      </c>
      <c r="O1364" s="2">
        <v>42002</v>
      </c>
      <c r="P1364" s="1">
        <v>85085</v>
      </c>
      <c r="Q1364" s="1" t="s">
        <v>423</v>
      </c>
      <c r="R1364" s="2">
        <v>42093</v>
      </c>
      <c r="S1364" s="1">
        <v>185438</v>
      </c>
      <c r="T1364" s="1">
        <v>2400</v>
      </c>
      <c r="U1364" s="1">
        <v>1336</v>
      </c>
      <c r="V1364" s="1" t="s">
        <v>13607</v>
      </c>
      <c r="W1364" s="1" t="s">
        <v>725</v>
      </c>
      <c r="Y1364" s="1">
        <v>5</v>
      </c>
      <c r="Z1364" s="1" t="s">
        <v>200</v>
      </c>
      <c r="AA1364" s="1" t="s">
        <v>400</v>
      </c>
      <c r="AB1364" s="1">
        <v>60619</v>
      </c>
      <c r="AE1364" s="1" t="s">
        <v>13608</v>
      </c>
      <c r="AF1364" s="1">
        <v>1955</v>
      </c>
      <c r="AG1364" s="1" t="s">
        <v>213</v>
      </c>
      <c r="AH1364" s="1" t="s">
        <v>403</v>
      </c>
      <c r="AI1364" s="1" t="s">
        <v>310</v>
      </c>
      <c r="AJ1364" s="1" t="s">
        <v>562</v>
      </c>
      <c r="AL1364" s="1">
        <v>6</v>
      </c>
      <c r="AM1364" s="1">
        <v>2</v>
      </c>
      <c r="AN1364" s="1">
        <v>1</v>
      </c>
      <c r="AO1364" s="1">
        <v>1</v>
      </c>
      <c r="AP1364" s="1" t="s">
        <v>210</v>
      </c>
      <c r="AR1364" s="1" t="s">
        <v>1631</v>
      </c>
      <c r="AS1364" s="1" t="s">
        <v>204</v>
      </c>
      <c r="AT1364" s="1" t="s">
        <v>271</v>
      </c>
      <c r="AV1364" s="1">
        <v>1</v>
      </c>
      <c r="AW1364" s="1" t="s">
        <v>204</v>
      </c>
      <c r="AX1364" s="1" t="s">
        <v>2379</v>
      </c>
      <c r="AZ1364" s="1">
        <v>281</v>
      </c>
      <c r="BA1364" s="1">
        <v>2012</v>
      </c>
      <c r="BB1364" s="1" t="s">
        <v>8684</v>
      </c>
      <c r="BE1364" s="1">
        <v>800</v>
      </c>
      <c r="BF1364" s="1">
        <v>4</v>
      </c>
      <c r="BG1364" s="1">
        <v>0</v>
      </c>
      <c r="BL1364" s="1">
        <v>0</v>
      </c>
      <c r="BM1364" s="1" t="s">
        <v>204</v>
      </c>
      <c r="BN1364" s="1" t="s">
        <v>213</v>
      </c>
      <c r="BO1364" s="1">
        <v>0</v>
      </c>
      <c r="BP1364" s="1" t="s">
        <v>204</v>
      </c>
      <c r="BR1364" s="1" t="str">
        <f>"20354250300000"</f>
        <v>20354250300000</v>
      </c>
      <c r="BT1364" s="1" t="s">
        <v>13609</v>
      </c>
      <c r="BX1364" s="1">
        <v>299</v>
      </c>
      <c r="BY1364" s="1">
        <v>299</v>
      </c>
      <c r="BZ1364" s="1">
        <v>299</v>
      </c>
      <c r="CB1364" s="1" t="str">
        <f t="shared" ref="CB1364:CB1365" si="1044">"0"</f>
        <v>0</v>
      </c>
      <c r="CC1364" s="1" t="str">
        <f>"1336"</f>
        <v>1336</v>
      </c>
      <c r="CD1364" s="1">
        <v>0</v>
      </c>
      <c r="CE1364" s="1">
        <v>8700</v>
      </c>
      <c r="CG1364" s="1" t="s">
        <v>628</v>
      </c>
      <c r="CH1364" s="1" t="s">
        <v>219</v>
      </c>
      <c r="CI1364" s="1" t="s">
        <v>220</v>
      </c>
      <c r="CK1364" s="1" t="s">
        <v>344</v>
      </c>
      <c r="CL1364" s="1" t="s">
        <v>277</v>
      </c>
      <c r="CO1364" s="1" t="s">
        <v>629</v>
      </c>
      <c r="CP1364" s="1" t="s">
        <v>822</v>
      </c>
      <c r="CQ1364" s="1" t="s">
        <v>220</v>
      </c>
      <c r="CS1364" s="1" t="s">
        <v>346</v>
      </c>
      <c r="CT1364" s="1" t="s">
        <v>277</v>
      </c>
      <c r="CX1364" s="1" t="s">
        <v>224</v>
      </c>
      <c r="DB1364" s="1" t="s">
        <v>224</v>
      </c>
      <c r="DE1364" s="1" t="s">
        <v>318</v>
      </c>
      <c r="DF1364" s="1" t="s">
        <v>822</v>
      </c>
      <c r="DI1364" s="1" t="s">
        <v>602</v>
      </c>
      <c r="DJ1364" s="1" t="s">
        <v>43</v>
      </c>
      <c r="DS1364" s="1" t="s">
        <v>230</v>
      </c>
      <c r="DW1364" s="1" t="s">
        <v>230</v>
      </c>
      <c r="EA1364" s="1" t="s">
        <v>230</v>
      </c>
      <c r="EE1364" s="1" t="s">
        <v>230</v>
      </c>
      <c r="EI1364" s="1" t="s">
        <v>230</v>
      </c>
      <c r="EL1364" s="1" t="s">
        <v>649</v>
      </c>
      <c r="EM1364" s="1" t="s">
        <v>232</v>
      </c>
      <c r="EN1364" s="1" t="s">
        <v>282</v>
      </c>
      <c r="EO1364" s="1" t="s">
        <v>234</v>
      </c>
      <c r="ER1364" s="1" t="s">
        <v>544</v>
      </c>
      <c r="EW1364" s="1" t="s">
        <v>210</v>
      </c>
      <c r="EZ1364" s="1" t="s">
        <v>287</v>
      </c>
      <c r="FD1364" s="1" t="s">
        <v>246</v>
      </c>
      <c r="FE1364" s="1" t="s">
        <v>247</v>
      </c>
      <c r="FF1364" s="1" t="s">
        <v>248</v>
      </c>
      <c r="FH1364" s="1" t="s">
        <v>2175</v>
      </c>
      <c r="FL1364" s="1" t="s">
        <v>358</v>
      </c>
      <c r="FM1364" s="1" t="s">
        <v>252</v>
      </c>
      <c r="FN1364" s="1" t="s">
        <v>213</v>
      </c>
      <c r="FO1364" s="1" t="s">
        <v>213</v>
      </c>
      <c r="FQ1364" s="1" t="s">
        <v>793</v>
      </c>
      <c r="FR1364" s="1" t="s">
        <v>210</v>
      </c>
      <c r="FS1364" s="1" t="s">
        <v>13610</v>
      </c>
      <c r="FT1364" s="1" t="s">
        <v>362</v>
      </c>
      <c r="FU1364" s="1" t="s">
        <v>204</v>
      </c>
      <c r="FW1364" s="1" t="s">
        <v>1637</v>
      </c>
      <c r="FX1364" s="1">
        <v>12293</v>
      </c>
      <c r="FY1364" s="1" t="s">
        <v>10402</v>
      </c>
      <c r="FZ1364" s="1" t="s">
        <v>13611</v>
      </c>
      <c r="GA1364" s="1">
        <v>126208</v>
      </c>
      <c r="GB1364" s="1" t="s">
        <v>13612</v>
      </c>
      <c r="GD1364" s="1" t="s">
        <v>13613</v>
      </c>
      <c r="GE1364" s="1" t="s">
        <v>210</v>
      </c>
      <c r="GH1364" s="1" t="s">
        <v>800</v>
      </c>
      <c r="GI1364" s="1" t="s">
        <v>213</v>
      </c>
      <c r="GJ1364" s="1" t="s">
        <v>260</v>
      </c>
      <c r="GK1364" s="1" t="s">
        <v>210</v>
      </c>
      <c r="GL1364" s="2">
        <v>42093</v>
      </c>
    </row>
    <row r="1365" spans="1:195">
      <c r="A1365" s="1">
        <v>100000</v>
      </c>
      <c r="B1365" s="1" t="s">
        <v>195</v>
      </c>
      <c r="C1365" s="1" t="str">
        <f>"08676342"</f>
        <v>08676342</v>
      </c>
      <c r="D1365" s="1" t="s">
        <v>196</v>
      </c>
      <c r="F1365" s="1" t="str">
        <f>"515"</f>
        <v>515</v>
      </c>
      <c r="G1365" s="2">
        <v>41838</v>
      </c>
      <c r="H1365" s="1">
        <v>120000</v>
      </c>
      <c r="I1365" s="1">
        <v>110000</v>
      </c>
      <c r="J1365" s="1">
        <v>100000</v>
      </c>
      <c r="K1365" s="2">
        <v>41837</v>
      </c>
      <c r="L1365" s="1">
        <v>127</v>
      </c>
      <c r="M1365" s="2">
        <v>41963</v>
      </c>
      <c r="N1365" s="1">
        <v>127</v>
      </c>
      <c r="O1365" s="2">
        <v>41963</v>
      </c>
      <c r="P1365" s="1">
        <v>20001</v>
      </c>
      <c r="Q1365" s="1" t="s">
        <v>302</v>
      </c>
      <c r="R1365" s="2">
        <v>41992</v>
      </c>
      <c r="S1365" s="1">
        <v>223770</v>
      </c>
      <c r="U1365" s="1">
        <v>4043</v>
      </c>
      <c r="V1365" s="1" t="s">
        <v>5751</v>
      </c>
      <c r="W1365" s="1" t="s">
        <v>425</v>
      </c>
      <c r="X1365" s="1" t="s">
        <v>13614</v>
      </c>
      <c r="Y1365" s="1">
        <v>22</v>
      </c>
      <c r="Z1365" s="1" t="s">
        <v>249</v>
      </c>
      <c r="AA1365" s="1" t="s">
        <v>1294</v>
      </c>
      <c r="AB1365" s="1">
        <v>60515</v>
      </c>
      <c r="AD1365" s="1" t="s">
        <v>7469</v>
      </c>
      <c r="AE1365" s="1" t="s">
        <v>13615</v>
      </c>
      <c r="AF1365" s="1">
        <v>1967</v>
      </c>
      <c r="AG1365" s="1" t="s">
        <v>213</v>
      </c>
      <c r="AH1365" s="1" t="s">
        <v>903</v>
      </c>
      <c r="AI1365" s="1" t="s">
        <v>206</v>
      </c>
      <c r="AJ1365" s="1" t="s">
        <v>903</v>
      </c>
      <c r="AL1365" s="1">
        <v>5</v>
      </c>
      <c r="AM1365" s="1">
        <v>2</v>
      </c>
      <c r="AN1365" s="1">
        <v>1</v>
      </c>
      <c r="AO1365" s="1">
        <v>0</v>
      </c>
      <c r="AP1365" s="1" t="s">
        <v>210</v>
      </c>
      <c r="AR1365" s="1" t="s">
        <v>209</v>
      </c>
      <c r="AS1365" s="1" t="s">
        <v>204</v>
      </c>
      <c r="AT1365" s="1" t="s">
        <v>271</v>
      </c>
      <c r="AV1365" s="1">
        <v>1</v>
      </c>
      <c r="AW1365" s="1" t="s">
        <v>204</v>
      </c>
      <c r="AX1365" s="1" t="s">
        <v>212</v>
      </c>
      <c r="AZ1365" s="1">
        <v>668.9</v>
      </c>
      <c r="BA1365" s="1">
        <v>2013</v>
      </c>
      <c r="BB1365" s="1" t="s">
        <v>599</v>
      </c>
      <c r="BE1365" s="1">
        <v>1150</v>
      </c>
      <c r="BF1365" s="1">
        <v>2</v>
      </c>
      <c r="BG1365" s="1">
        <v>0</v>
      </c>
      <c r="BL1365" s="1">
        <v>316</v>
      </c>
      <c r="BM1365" s="1" t="s">
        <v>204</v>
      </c>
      <c r="BN1365" s="1" t="s">
        <v>204</v>
      </c>
      <c r="BP1365" s="1" t="s">
        <v>204</v>
      </c>
      <c r="BR1365" s="1" t="str">
        <f>"0905123085"</f>
        <v>0905123085</v>
      </c>
      <c r="BT1365" s="1" t="s">
        <v>13616</v>
      </c>
      <c r="BX1365" s="1">
        <v>58</v>
      </c>
      <c r="BY1365" s="1">
        <v>58</v>
      </c>
      <c r="BZ1365" s="1">
        <v>99</v>
      </c>
      <c r="CB1365" s="1" t="str">
        <f t="shared" si="1044"/>
        <v>0</v>
      </c>
      <c r="CC1365" s="1" t="str">
        <f>"0"</f>
        <v>0</v>
      </c>
      <c r="CD1365" s="1">
        <v>19</v>
      </c>
      <c r="CE1365" s="1">
        <v>4</v>
      </c>
      <c r="CG1365" s="1" t="s">
        <v>1936</v>
      </c>
      <c r="CH1365" s="1" t="s">
        <v>219</v>
      </c>
      <c r="CK1365" s="1" t="s">
        <v>344</v>
      </c>
      <c r="CL1365" s="1" t="s">
        <v>219</v>
      </c>
      <c r="CO1365" s="1" t="s">
        <v>346</v>
      </c>
      <c r="CP1365" s="1" t="s">
        <v>219</v>
      </c>
      <c r="CS1365" s="1" t="s">
        <v>317</v>
      </c>
      <c r="CT1365" s="1" t="s">
        <v>219</v>
      </c>
      <c r="CX1365" s="1" t="s">
        <v>224</v>
      </c>
      <c r="DB1365" s="1" t="s">
        <v>224</v>
      </c>
      <c r="DE1365" s="1" t="s">
        <v>3316</v>
      </c>
      <c r="DF1365" s="1" t="s">
        <v>219</v>
      </c>
      <c r="DJ1365" s="1" t="s">
        <v>224</v>
      </c>
      <c r="DS1365" s="1" t="s">
        <v>230</v>
      </c>
      <c r="DW1365" s="1" t="s">
        <v>230</v>
      </c>
      <c r="EA1365" s="1" t="s">
        <v>230</v>
      </c>
      <c r="EE1365" s="1" t="s">
        <v>230</v>
      </c>
      <c r="EI1365" s="1" t="s">
        <v>230</v>
      </c>
      <c r="EL1365" s="1" t="s">
        <v>605</v>
      </c>
      <c r="EM1365" s="1" t="s">
        <v>319</v>
      </c>
      <c r="EN1365" s="1" t="s">
        <v>210</v>
      </c>
      <c r="EO1365" s="1" t="s">
        <v>234</v>
      </c>
      <c r="ER1365" s="1" t="s">
        <v>1249</v>
      </c>
      <c r="EW1365" s="1" t="s">
        <v>8090</v>
      </c>
      <c r="EZ1365" s="1" t="s">
        <v>287</v>
      </c>
      <c r="FD1365" s="1" t="s">
        <v>1112</v>
      </c>
      <c r="FE1365" s="1" t="s">
        <v>247</v>
      </c>
      <c r="FF1365" s="1" t="s">
        <v>248</v>
      </c>
      <c r="FH1365" s="1" t="s">
        <v>249</v>
      </c>
      <c r="FK1365" s="1" t="s">
        <v>891</v>
      </c>
      <c r="FL1365" s="1" t="s">
        <v>358</v>
      </c>
      <c r="FM1365" s="1" t="s">
        <v>252</v>
      </c>
      <c r="FN1365" s="1" t="s">
        <v>213</v>
      </c>
      <c r="FO1365" s="1" t="s">
        <v>213</v>
      </c>
      <c r="FQ1365" s="1" t="s">
        <v>13617</v>
      </c>
      <c r="FR1365" s="1" t="s">
        <v>210</v>
      </c>
      <c r="FS1365" s="1" t="s">
        <v>13618</v>
      </c>
      <c r="FT1365" s="1" t="s">
        <v>13619</v>
      </c>
      <c r="FU1365" s="1" t="s">
        <v>204</v>
      </c>
      <c r="FW1365" s="1" t="s">
        <v>585</v>
      </c>
      <c r="FX1365" s="1">
        <v>20001</v>
      </c>
      <c r="FY1365" s="1" t="s">
        <v>5002</v>
      </c>
      <c r="FZ1365" s="1" t="s">
        <v>9369</v>
      </c>
      <c r="GA1365" s="1">
        <v>223770</v>
      </c>
      <c r="GB1365" s="1" t="s">
        <v>9370</v>
      </c>
      <c r="GE1365" s="1" t="s">
        <v>210</v>
      </c>
      <c r="GI1365" s="1" t="s">
        <v>213</v>
      </c>
      <c r="GJ1365" s="1" t="s">
        <v>260</v>
      </c>
      <c r="GK1365" s="1" t="s">
        <v>210</v>
      </c>
      <c r="GL1365" s="2">
        <v>41992</v>
      </c>
      <c r="GM1365" s="1" t="s">
        <v>13620</v>
      </c>
    </row>
    <row r="1366" spans="1:195">
      <c r="A1366" s="1">
        <v>221500</v>
      </c>
      <c r="B1366" s="1" t="s">
        <v>195</v>
      </c>
      <c r="C1366" s="1" t="str">
        <f>"08670796"</f>
        <v>08670796</v>
      </c>
      <c r="D1366" s="1" t="s">
        <v>196</v>
      </c>
      <c r="F1366" s="1" t="str">
        <f>"540"</f>
        <v>540</v>
      </c>
      <c r="G1366" s="2">
        <v>41832</v>
      </c>
      <c r="H1366" s="1">
        <v>235000</v>
      </c>
      <c r="I1366" s="1">
        <v>229900</v>
      </c>
      <c r="J1366" s="1">
        <v>221500</v>
      </c>
      <c r="K1366" s="2">
        <v>41830</v>
      </c>
      <c r="L1366" s="1">
        <v>187</v>
      </c>
      <c r="M1366" s="2">
        <v>42016</v>
      </c>
      <c r="N1366" s="1">
        <v>187</v>
      </c>
      <c r="O1366" s="2">
        <v>42016</v>
      </c>
      <c r="P1366" s="1">
        <v>23099</v>
      </c>
      <c r="Q1366" s="1" t="s">
        <v>197</v>
      </c>
      <c r="R1366" s="2">
        <v>42069</v>
      </c>
      <c r="S1366" s="1">
        <v>231797</v>
      </c>
      <c r="U1366" s="1" t="s">
        <v>13621</v>
      </c>
      <c r="V1366" s="1" t="s">
        <v>13622</v>
      </c>
      <c r="W1366" s="1" t="s">
        <v>304</v>
      </c>
      <c r="Y1366" s="1">
        <v>4</v>
      </c>
      <c r="Z1366" s="1" t="s">
        <v>370</v>
      </c>
      <c r="AA1366" s="1" t="s">
        <v>921</v>
      </c>
      <c r="AB1366" s="1">
        <v>60540</v>
      </c>
      <c r="AE1366" s="1" t="s">
        <v>13623</v>
      </c>
      <c r="AF1366" s="1">
        <v>1987</v>
      </c>
      <c r="AG1366" s="1" t="s">
        <v>204</v>
      </c>
      <c r="AH1366" s="1" t="s">
        <v>924</v>
      </c>
      <c r="AI1366" s="1" t="s">
        <v>206</v>
      </c>
      <c r="AJ1366" s="1" t="s">
        <v>925</v>
      </c>
      <c r="AL1366" s="1">
        <v>7</v>
      </c>
      <c r="AM1366" s="1">
        <v>2</v>
      </c>
      <c r="AN1366" s="1">
        <v>1</v>
      </c>
      <c r="AO1366" s="1">
        <v>1</v>
      </c>
      <c r="AP1366" s="1" t="s">
        <v>455</v>
      </c>
      <c r="AR1366" s="1" t="s">
        <v>209</v>
      </c>
      <c r="AS1366" s="1" t="s">
        <v>204</v>
      </c>
      <c r="AT1366" s="1" t="s">
        <v>211</v>
      </c>
      <c r="AU1366" s="1">
        <v>2</v>
      </c>
      <c r="AW1366" s="1" t="s">
        <v>204</v>
      </c>
      <c r="AX1366" s="1" t="s">
        <v>1813</v>
      </c>
      <c r="AZ1366" s="1">
        <v>4145.82</v>
      </c>
      <c r="BA1366" s="1">
        <v>2013</v>
      </c>
      <c r="BB1366" s="1" t="s">
        <v>8684</v>
      </c>
      <c r="BE1366" s="1">
        <v>1200</v>
      </c>
      <c r="BF1366" s="1">
        <v>1</v>
      </c>
      <c r="BG1366" s="1">
        <v>5</v>
      </c>
      <c r="BL1366" s="1">
        <v>250</v>
      </c>
      <c r="BM1366" s="1" t="s">
        <v>204</v>
      </c>
      <c r="BN1366" s="1" t="s">
        <v>213</v>
      </c>
      <c r="BO1366" s="1">
        <v>999</v>
      </c>
      <c r="BP1366" s="1" t="s">
        <v>204</v>
      </c>
      <c r="BR1366" s="1" t="str">
        <f>"0822202009"</f>
        <v>0822202009</v>
      </c>
      <c r="BT1366" s="1" t="s">
        <v>13624</v>
      </c>
      <c r="BX1366" s="1">
        <v>203</v>
      </c>
      <c r="BY1366" s="1">
        <v>203</v>
      </c>
      <c r="BZ1366" s="1">
        <v>203</v>
      </c>
      <c r="CB1366" s="1" t="str">
        <f t="shared" ref="CB1366:CC1366" si="1045">""</f>
        <v/>
      </c>
      <c r="CC1366" s="1" t="str">
        <f t="shared" si="1045"/>
        <v/>
      </c>
      <c r="CG1366" s="1" t="s">
        <v>315</v>
      </c>
      <c r="CH1366" s="1" t="s">
        <v>219</v>
      </c>
      <c r="CI1366" s="1" t="s">
        <v>220</v>
      </c>
      <c r="CK1366" s="1" t="s">
        <v>3913</v>
      </c>
      <c r="CL1366" s="1" t="s">
        <v>277</v>
      </c>
      <c r="CM1366" s="1" t="s">
        <v>220</v>
      </c>
      <c r="CO1366" s="1" t="s">
        <v>629</v>
      </c>
      <c r="CP1366" s="1" t="s">
        <v>219</v>
      </c>
      <c r="CS1366" s="1" t="s">
        <v>3716</v>
      </c>
      <c r="CT1366" s="1" t="s">
        <v>277</v>
      </c>
      <c r="CX1366" s="1" t="s">
        <v>224</v>
      </c>
      <c r="DB1366" s="1" t="s">
        <v>224</v>
      </c>
      <c r="DE1366" s="1" t="s">
        <v>1297</v>
      </c>
      <c r="DF1366" s="1" t="s">
        <v>219</v>
      </c>
      <c r="DI1366" s="1" t="s">
        <v>1723</v>
      </c>
      <c r="DJ1366" s="1" t="s">
        <v>219</v>
      </c>
      <c r="DM1366" s="1" t="s">
        <v>464</v>
      </c>
      <c r="DR1366" s="1" t="s">
        <v>13625</v>
      </c>
      <c r="DS1366" s="1" t="s">
        <v>277</v>
      </c>
      <c r="DW1366" s="1" t="s">
        <v>230</v>
      </c>
      <c r="EA1366" s="1" t="s">
        <v>230</v>
      </c>
      <c r="EE1366" s="1" t="s">
        <v>230</v>
      </c>
      <c r="EI1366" s="1" t="s">
        <v>230</v>
      </c>
      <c r="EL1366" s="1" t="s">
        <v>542</v>
      </c>
      <c r="EM1366" s="1" t="s">
        <v>319</v>
      </c>
      <c r="EN1366" s="1" t="s">
        <v>282</v>
      </c>
      <c r="EO1366" s="1" t="s">
        <v>234</v>
      </c>
      <c r="ER1366" s="1" t="s">
        <v>1249</v>
      </c>
      <c r="EW1366" s="1" t="s">
        <v>1372</v>
      </c>
      <c r="EZ1366" s="1" t="s">
        <v>464</v>
      </c>
      <c r="FD1366" s="1" t="s">
        <v>246</v>
      </c>
      <c r="FE1366" s="1" t="s">
        <v>975</v>
      </c>
      <c r="FF1366" s="1" t="s">
        <v>248</v>
      </c>
      <c r="FH1366" s="1" t="s">
        <v>550</v>
      </c>
      <c r="FL1366" s="1" t="s">
        <v>414</v>
      </c>
      <c r="FM1366" s="1" t="s">
        <v>252</v>
      </c>
      <c r="FN1366" s="1" t="s">
        <v>213</v>
      </c>
      <c r="FO1366" s="1" t="s">
        <v>213</v>
      </c>
      <c r="FQ1366" s="1" t="s">
        <v>9647</v>
      </c>
      <c r="FR1366" s="1" t="s">
        <v>210</v>
      </c>
      <c r="FS1366" s="1" t="s">
        <v>13626</v>
      </c>
      <c r="FT1366" s="1" t="s">
        <v>295</v>
      </c>
      <c r="FU1366" s="1" t="s">
        <v>204</v>
      </c>
      <c r="FW1366" s="1" t="s">
        <v>13627</v>
      </c>
      <c r="FX1366" s="1">
        <v>23813</v>
      </c>
      <c r="FY1366" s="1" t="s">
        <v>13628</v>
      </c>
      <c r="FZ1366" s="1" t="s">
        <v>13629</v>
      </c>
      <c r="GA1366" s="1">
        <v>214907</v>
      </c>
      <c r="GB1366" s="1" t="s">
        <v>13630</v>
      </c>
      <c r="GE1366" s="1" t="s">
        <v>480</v>
      </c>
      <c r="GI1366" s="1" t="s">
        <v>213</v>
      </c>
      <c r="GJ1366" s="1" t="s">
        <v>300</v>
      </c>
      <c r="GK1366" s="1" t="s">
        <v>210</v>
      </c>
      <c r="GL1366" s="2">
        <v>42083</v>
      </c>
    </row>
    <row r="1367" spans="1:195">
      <c r="A1367" s="1">
        <v>54900</v>
      </c>
      <c r="B1367" s="1" t="s">
        <v>195</v>
      </c>
      <c r="C1367" s="1" t="str">
        <f>"08674488"</f>
        <v>08674488</v>
      </c>
      <c r="D1367" s="1" t="s">
        <v>196</v>
      </c>
      <c r="F1367" s="1" t="str">
        <f>"507"</f>
        <v>507</v>
      </c>
      <c r="G1367" s="2">
        <v>41836</v>
      </c>
      <c r="H1367" s="1">
        <v>64000</v>
      </c>
      <c r="I1367" s="1">
        <v>54900</v>
      </c>
      <c r="J1367" s="1">
        <v>54900</v>
      </c>
      <c r="K1367" s="2">
        <v>41834</v>
      </c>
      <c r="L1367" s="1">
        <v>162</v>
      </c>
      <c r="M1367" s="2">
        <v>41995</v>
      </c>
      <c r="N1367" s="1">
        <v>162</v>
      </c>
      <c r="O1367" s="2">
        <v>41995</v>
      </c>
      <c r="P1367" s="1">
        <v>23076</v>
      </c>
      <c r="Q1367" s="1" t="s">
        <v>302</v>
      </c>
      <c r="R1367" s="2">
        <v>42087</v>
      </c>
      <c r="S1367" s="1">
        <v>242225</v>
      </c>
      <c r="U1367" s="1">
        <v>2061</v>
      </c>
      <c r="V1367" s="1" t="s">
        <v>13631</v>
      </c>
      <c r="W1367" s="1" t="s">
        <v>504</v>
      </c>
      <c r="X1367" s="1">
        <v>2061</v>
      </c>
      <c r="Y1367" s="1">
        <v>4</v>
      </c>
      <c r="Z1367" s="1" t="s">
        <v>249</v>
      </c>
      <c r="AA1367" s="1" t="s">
        <v>1123</v>
      </c>
      <c r="AB1367" s="1">
        <v>60505</v>
      </c>
      <c r="AD1367" s="1" t="s">
        <v>13632</v>
      </c>
      <c r="AE1367" s="1" t="s">
        <v>13633</v>
      </c>
      <c r="AF1367" s="1">
        <v>1982</v>
      </c>
      <c r="AG1367" s="1" t="s">
        <v>204</v>
      </c>
      <c r="AH1367" s="1" t="s">
        <v>1126</v>
      </c>
      <c r="AI1367" s="1" t="s">
        <v>665</v>
      </c>
      <c r="AJ1367" s="1" t="s">
        <v>1126</v>
      </c>
      <c r="AL1367" s="1">
        <v>5</v>
      </c>
      <c r="AM1367" s="1">
        <v>2</v>
      </c>
      <c r="AN1367" s="1">
        <v>1</v>
      </c>
      <c r="AO1367" s="1">
        <v>1</v>
      </c>
      <c r="AP1367" s="1" t="s">
        <v>210</v>
      </c>
      <c r="AQ1367" s="1">
        <v>1</v>
      </c>
      <c r="AR1367" s="1" t="s">
        <v>210</v>
      </c>
      <c r="AS1367" s="1" t="s">
        <v>204</v>
      </c>
      <c r="AT1367" s="1" t="s">
        <v>211</v>
      </c>
      <c r="AU1367" s="1">
        <v>1</v>
      </c>
      <c r="AW1367" s="1" t="s">
        <v>204</v>
      </c>
      <c r="AX1367" s="1" t="s">
        <v>212</v>
      </c>
      <c r="AZ1367" s="1">
        <v>1885.02</v>
      </c>
      <c r="BA1367" s="1">
        <v>2013</v>
      </c>
      <c r="BB1367" s="1" t="s">
        <v>405</v>
      </c>
      <c r="BE1367" s="1">
        <v>1056</v>
      </c>
      <c r="BF1367" s="1">
        <v>1</v>
      </c>
      <c r="BG1367" s="1">
        <v>0</v>
      </c>
      <c r="BL1367" s="1">
        <v>160</v>
      </c>
      <c r="BM1367" s="1" t="s">
        <v>204</v>
      </c>
      <c r="BN1367" s="1" t="s">
        <v>213</v>
      </c>
      <c r="BO1367" s="1">
        <v>30</v>
      </c>
      <c r="BP1367" s="1" t="s">
        <v>204</v>
      </c>
      <c r="BR1367" s="1" t="str">
        <f>"1501351037"</f>
        <v>1501351037</v>
      </c>
      <c r="BT1367" s="1" t="s">
        <v>13634</v>
      </c>
      <c r="BX1367" s="1">
        <v>131</v>
      </c>
      <c r="BY1367" s="1">
        <v>131</v>
      </c>
      <c r="BZ1367" s="1">
        <v>131</v>
      </c>
      <c r="CB1367" s="1" t="str">
        <f t="shared" ref="CB1367:CC1367" si="1046">"0"</f>
        <v>0</v>
      </c>
      <c r="CC1367" s="1" t="str">
        <f t="shared" si="1046"/>
        <v>0</v>
      </c>
      <c r="CD1367" s="1">
        <v>34</v>
      </c>
      <c r="CE1367" s="1">
        <v>5</v>
      </c>
      <c r="CG1367" s="1" t="s">
        <v>1853</v>
      </c>
      <c r="CH1367" s="1" t="s">
        <v>219</v>
      </c>
      <c r="CI1367" s="1" t="s">
        <v>220</v>
      </c>
      <c r="CJ1367" s="1" t="s">
        <v>210</v>
      </c>
      <c r="CK1367" s="1" t="s">
        <v>564</v>
      </c>
      <c r="CL1367" s="1" t="s">
        <v>277</v>
      </c>
      <c r="CM1367" s="1" t="s">
        <v>220</v>
      </c>
      <c r="CO1367" s="1" t="s">
        <v>346</v>
      </c>
      <c r="CP1367" s="1" t="s">
        <v>219</v>
      </c>
      <c r="CQ1367" s="1" t="s">
        <v>220</v>
      </c>
      <c r="CS1367" s="1" t="s">
        <v>317</v>
      </c>
      <c r="CT1367" s="1" t="s">
        <v>277</v>
      </c>
      <c r="CU1367" s="1" t="s">
        <v>220</v>
      </c>
      <c r="CX1367" s="1" t="s">
        <v>224</v>
      </c>
      <c r="DB1367" s="1" t="s">
        <v>224</v>
      </c>
      <c r="DE1367" s="1" t="s">
        <v>821</v>
      </c>
      <c r="DF1367" s="1" t="s">
        <v>219</v>
      </c>
      <c r="DG1367" s="1" t="s">
        <v>226</v>
      </c>
      <c r="DH1367" s="1" t="s">
        <v>210</v>
      </c>
      <c r="DJ1367" s="1" t="s">
        <v>224</v>
      </c>
      <c r="DS1367" s="1" t="s">
        <v>230</v>
      </c>
      <c r="DW1367" s="1" t="s">
        <v>230</v>
      </c>
      <c r="EA1367" s="1" t="s">
        <v>230</v>
      </c>
      <c r="EE1367" s="1" t="s">
        <v>230</v>
      </c>
      <c r="EI1367" s="1" t="s">
        <v>230</v>
      </c>
      <c r="EL1367" s="1" t="s">
        <v>231</v>
      </c>
      <c r="EM1367" s="1" t="s">
        <v>319</v>
      </c>
      <c r="EN1367" s="1" t="s">
        <v>282</v>
      </c>
      <c r="EO1367" s="1" t="s">
        <v>234</v>
      </c>
      <c r="EQ1367" s="1" t="s">
        <v>10067</v>
      </c>
      <c r="ER1367" s="1" t="s">
        <v>383</v>
      </c>
      <c r="ES1367" s="1" t="s">
        <v>493</v>
      </c>
      <c r="EU1367" s="1" t="s">
        <v>239</v>
      </c>
      <c r="EV1367" s="1" t="s">
        <v>324</v>
      </c>
      <c r="EW1367" s="1" t="s">
        <v>887</v>
      </c>
      <c r="EY1367" s="1" t="s">
        <v>242</v>
      </c>
      <c r="EZ1367" s="1" t="s">
        <v>287</v>
      </c>
      <c r="FA1367" s="1" t="s">
        <v>471</v>
      </c>
      <c r="FB1367" s="1" t="s">
        <v>289</v>
      </c>
      <c r="FD1367" s="1" t="s">
        <v>246</v>
      </c>
      <c r="FE1367" s="1" t="s">
        <v>472</v>
      </c>
      <c r="FF1367" s="1" t="s">
        <v>248</v>
      </c>
      <c r="FH1367" s="1" t="s">
        <v>249</v>
      </c>
      <c r="FJ1367" s="1" t="s">
        <v>2046</v>
      </c>
      <c r="FL1367" s="1" t="s">
        <v>292</v>
      </c>
      <c r="FM1367" s="1" t="s">
        <v>252</v>
      </c>
      <c r="FN1367" s="1" t="s">
        <v>213</v>
      </c>
      <c r="FO1367" s="1" t="s">
        <v>213</v>
      </c>
      <c r="FQ1367" s="1" t="s">
        <v>13635</v>
      </c>
      <c r="FR1367" s="1" t="s">
        <v>360</v>
      </c>
      <c r="FS1367" s="1" t="s">
        <v>13636</v>
      </c>
      <c r="FT1367" s="1" t="s">
        <v>295</v>
      </c>
      <c r="FU1367" s="1" t="s">
        <v>204</v>
      </c>
      <c r="FW1367" s="1" t="s">
        <v>13637</v>
      </c>
      <c r="FX1367" s="1">
        <v>31380</v>
      </c>
      <c r="FY1367" s="1" t="s">
        <v>13638</v>
      </c>
      <c r="FZ1367" s="1" t="s">
        <v>13639</v>
      </c>
      <c r="GA1367" s="1">
        <v>315215</v>
      </c>
      <c r="GB1367" s="1" t="s">
        <v>13640</v>
      </c>
      <c r="GD1367" s="1" t="s">
        <v>13641</v>
      </c>
      <c r="GE1367" s="1" t="s">
        <v>1145</v>
      </c>
      <c r="GI1367" s="1" t="s">
        <v>213</v>
      </c>
      <c r="GJ1367" s="1" t="s">
        <v>260</v>
      </c>
      <c r="GK1367" s="1" t="s">
        <v>210</v>
      </c>
      <c r="GL1367" s="2">
        <v>42089</v>
      </c>
      <c r="GM1367" s="1" t="s">
        <v>13642</v>
      </c>
    </row>
    <row r="1368" spans="1:195">
      <c r="A1368" s="1">
        <v>230000</v>
      </c>
      <c r="B1368" s="1" t="s">
        <v>195</v>
      </c>
      <c r="C1368" s="1" t="str">
        <f>"08670588"</f>
        <v>08670588</v>
      </c>
      <c r="D1368" s="1" t="s">
        <v>196</v>
      </c>
      <c r="F1368" s="1" t="str">
        <f>"522"</f>
        <v>522</v>
      </c>
      <c r="G1368" s="2">
        <v>41831</v>
      </c>
      <c r="H1368" s="1">
        <v>259000</v>
      </c>
      <c r="I1368" s="1">
        <v>242500</v>
      </c>
      <c r="J1368" s="1">
        <v>230000</v>
      </c>
      <c r="K1368" s="2">
        <v>41831</v>
      </c>
      <c r="L1368" s="1">
        <v>98</v>
      </c>
      <c r="M1368" s="2">
        <v>41928</v>
      </c>
      <c r="N1368" s="1">
        <v>98</v>
      </c>
      <c r="O1368" s="2">
        <v>41928</v>
      </c>
      <c r="P1368" s="1">
        <v>22029</v>
      </c>
      <c r="Q1368" s="1" t="s">
        <v>197</v>
      </c>
      <c r="R1368" s="2">
        <v>41999</v>
      </c>
      <c r="S1368" s="1">
        <v>232768</v>
      </c>
      <c r="U1368" s="1" t="s">
        <v>13643</v>
      </c>
      <c r="V1368" s="1" t="s">
        <v>13644</v>
      </c>
      <c r="W1368" s="1" t="s">
        <v>304</v>
      </c>
      <c r="Y1368" s="1">
        <v>5</v>
      </c>
      <c r="Z1368" s="1" t="s">
        <v>370</v>
      </c>
      <c r="AA1368" s="1" t="s">
        <v>698</v>
      </c>
      <c r="AB1368" s="1">
        <v>60527</v>
      </c>
      <c r="AE1368" s="1" t="s">
        <v>13645</v>
      </c>
      <c r="AF1368" s="1">
        <v>2000</v>
      </c>
      <c r="AG1368" s="1" t="s">
        <v>204</v>
      </c>
      <c r="AH1368" s="1" t="s">
        <v>882</v>
      </c>
      <c r="AI1368" s="1" t="s">
        <v>206</v>
      </c>
      <c r="AJ1368" s="1" t="s">
        <v>903</v>
      </c>
      <c r="AK1368" s="1" t="s">
        <v>13646</v>
      </c>
      <c r="AL1368" s="1">
        <v>6</v>
      </c>
      <c r="AM1368" s="1">
        <v>2</v>
      </c>
      <c r="AN1368" s="1">
        <v>2</v>
      </c>
      <c r="AO1368" s="1">
        <v>2</v>
      </c>
      <c r="AP1368" s="1" t="s">
        <v>209</v>
      </c>
      <c r="AR1368" s="1" t="s">
        <v>1483</v>
      </c>
      <c r="AS1368" s="1" t="s">
        <v>213</v>
      </c>
      <c r="AT1368" s="1" t="s">
        <v>211</v>
      </c>
      <c r="AU1368" s="1">
        <v>2</v>
      </c>
      <c r="AW1368" s="1" t="s">
        <v>204</v>
      </c>
      <c r="AX1368" s="1" t="s">
        <v>212</v>
      </c>
      <c r="AZ1368" s="1">
        <v>3940</v>
      </c>
      <c r="BA1368" s="1">
        <v>2013</v>
      </c>
      <c r="BB1368" s="1" t="s">
        <v>405</v>
      </c>
      <c r="BE1368" s="1">
        <v>0</v>
      </c>
      <c r="BF1368" s="1">
        <v>1</v>
      </c>
      <c r="BG1368" s="1">
        <v>0</v>
      </c>
      <c r="BL1368" s="1">
        <v>200</v>
      </c>
      <c r="BM1368" s="1" t="s">
        <v>204</v>
      </c>
      <c r="BN1368" s="1" t="s">
        <v>213</v>
      </c>
      <c r="BO1368" s="1">
        <v>0</v>
      </c>
      <c r="BP1368" s="1" t="s">
        <v>204</v>
      </c>
      <c r="BR1368" s="1" t="str">
        <f>"1011303045"</f>
        <v>1011303045</v>
      </c>
      <c r="BT1368" s="1" t="s">
        <v>13647</v>
      </c>
      <c r="BU1368" s="1" t="s">
        <v>1423</v>
      </c>
      <c r="BV1368" s="1" t="s">
        <v>1424</v>
      </c>
      <c r="BW1368" s="1" t="s">
        <v>907</v>
      </c>
      <c r="BX1368" s="1">
        <v>180</v>
      </c>
      <c r="BY1368" s="1">
        <v>180</v>
      </c>
      <c r="BZ1368" s="1">
        <v>86</v>
      </c>
      <c r="CB1368" s="1" t="str">
        <f t="shared" ref="CB1368:CC1368" si="1047">""</f>
        <v/>
      </c>
      <c r="CC1368" s="1" t="str">
        <f t="shared" si="1047"/>
        <v/>
      </c>
      <c r="CG1368" s="1" t="s">
        <v>1155</v>
      </c>
      <c r="CH1368" s="1" t="s">
        <v>219</v>
      </c>
      <c r="CI1368" s="1" t="s">
        <v>438</v>
      </c>
      <c r="CJ1368" s="1" t="s">
        <v>252</v>
      </c>
      <c r="CK1368" s="1" t="s">
        <v>4571</v>
      </c>
      <c r="CL1368" s="1" t="s">
        <v>277</v>
      </c>
      <c r="CM1368" s="1" t="s">
        <v>220</v>
      </c>
      <c r="CN1368" s="1" t="s">
        <v>252</v>
      </c>
      <c r="CP1368" s="1" t="s">
        <v>224</v>
      </c>
      <c r="CS1368" s="1" t="s">
        <v>461</v>
      </c>
      <c r="CT1368" s="1" t="s">
        <v>277</v>
      </c>
      <c r="CU1368" s="1" t="s">
        <v>220</v>
      </c>
      <c r="CV1368" s="1" t="s">
        <v>252</v>
      </c>
      <c r="CX1368" s="1" t="s">
        <v>224</v>
      </c>
      <c r="DB1368" s="1" t="s">
        <v>224</v>
      </c>
      <c r="DE1368" s="1" t="s">
        <v>1737</v>
      </c>
      <c r="DF1368" s="1" t="s">
        <v>219</v>
      </c>
      <c r="DG1368" s="1" t="s">
        <v>438</v>
      </c>
      <c r="DI1368" s="1" t="s">
        <v>1615</v>
      </c>
      <c r="DJ1368" s="1" t="s">
        <v>43</v>
      </c>
      <c r="DK1368" s="1" t="s">
        <v>220</v>
      </c>
      <c r="DM1368" s="1" t="s">
        <v>464</v>
      </c>
      <c r="DN1368" s="1" t="s">
        <v>709</v>
      </c>
      <c r="DO1368" s="1" t="s">
        <v>2278</v>
      </c>
      <c r="DR1368" s="1" t="s">
        <v>837</v>
      </c>
      <c r="DS1368" s="1" t="s">
        <v>277</v>
      </c>
      <c r="DT1368" s="1" t="s">
        <v>220</v>
      </c>
      <c r="DV1368" s="1" t="s">
        <v>345</v>
      </c>
      <c r="DW1368" s="1" t="s">
        <v>219</v>
      </c>
      <c r="DZ1368" s="1" t="s">
        <v>409</v>
      </c>
      <c r="EA1368" s="1" t="s">
        <v>822</v>
      </c>
      <c r="EE1368" s="1" t="s">
        <v>230</v>
      </c>
      <c r="EI1368" s="1" t="s">
        <v>230</v>
      </c>
      <c r="EL1368" s="1" t="s">
        <v>466</v>
      </c>
      <c r="EM1368" s="1" t="s">
        <v>232</v>
      </c>
      <c r="EN1368" s="1" t="s">
        <v>282</v>
      </c>
      <c r="EO1368" s="1" t="s">
        <v>234</v>
      </c>
      <c r="EQ1368" s="1" t="s">
        <v>12914</v>
      </c>
      <c r="ER1368" s="1" t="s">
        <v>544</v>
      </c>
      <c r="ES1368" s="1" t="s">
        <v>493</v>
      </c>
      <c r="ET1368" s="1" t="s">
        <v>866</v>
      </c>
      <c r="EU1368" s="1" t="s">
        <v>1573</v>
      </c>
      <c r="EW1368" s="1" t="s">
        <v>384</v>
      </c>
      <c r="EZ1368" s="1" t="s">
        <v>13648</v>
      </c>
      <c r="FA1368" s="1" t="s">
        <v>1427</v>
      </c>
      <c r="FC1368" s="1" t="s">
        <v>548</v>
      </c>
      <c r="FD1368" s="1" t="s">
        <v>246</v>
      </c>
      <c r="FE1368" s="1" t="s">
        <v>870</v>
      </c>
      <c r="FF1368" s="1" t="s">
        <v>248</v>
      </c>
      <c r="FH1368" s="1" t="s">
        <v>550</v>
      </c>
      <c r="FI1368" s="1" t="s">
        <v>473</v>
      </c>
      <c r="FL1368" s="1" t="s">
        <v>358</v>
      </c>
      <c r="FM1368" s="1" t="s">
        <v>252</v>
      </c>
      <c r="FN1368" s="1" t="s">
        <v>213</v>
      </c>
      <c r="FO1368" s="1" t="s">
        <v>213</v>
      </c>
      <c r="FQ1368" s="1" t="s">
        <v>615</v>
      </c>
      <c r="FR1368" s="1" t="s">
        <v>210</v>
      </c>
      <c r="FS1368" s="1" t="s">
        <v>13649</v>
      </c>
      <c r="FT1368" s="1" t="s">
        <v>255</v>
      </c>
      <c r="FU1368" s="1" t="s">
        <v>204</v>
      </c>
      <c r="FW1368" s="1" t="s">
        <v>915</v>
      </c>
      <c r="FX1368" s="1">
        <v>22076</v>
      </c>
      <c r="FY1368" s="1" t="s">
        <v>916</v>
      </c>
      <c r="FZ1368" s="1" t="s">
        <v>13650</v>
      </c>
      <c r="GA1368" s="1">
        <v>217762</v>
      </c>
      <c r="GB1368" s="1" t="s">
        <v>13651</v>
      </c>
      <c r="GC1368" s="1">
        <v>243719</v>
      </c>
      <c r="GD1368" s="1" t="s">
        <v>13652</v>
      </c>
      <c r="GE1368" s="1" t="s">
        <v>1764</v>
      </c>
      <c r="GI1368" s="1" t="s">
        <v>213</v>
      </c>
      <c r="GJ1368" s="1" t="s">
        <v>260</v>
      </c>
      <c r="GK1368" s="1" t="s">
        <v>4920</v>
      </c>
      <c r="GL1368" s="2">
        <v>42002</v>
      </c>
      <c r="GM1368" s="1" t="s">
        <v>13653</v>
      </c>
    </row>
    <row r="1369" spans="1:195">
      <c r="A1369" s="1">
        <v>176000</v>
      </c>
      <c r="B1369" s="1" t="s">
        <v>195</v>
      </c>
      <c r="C1369" s="1" t="str">
        <f>"08677230"</f>
        <v>08677230</v>
      </c>
      <c r="D1369" s="1" t="s">
        <v>196</v>
      </c>
      <c r="F1369" s="1" t="str">
        <f>"562"</f>
        <v>562</v>
      </c>
      <c r="G1369" s="2">
        <v>41838</v>
      </c>
      <c r="H1369" s="1">
        <v>195000</v>
      </c>
      <c r="I1369" s="1">
        <v>185000</v>
      </c>
      <c r="J1369" s="1">
        <v>176000</v>
      </c>
      <c r="K1369" s="2">
        <v>41838</v>
      </c>
      <c r="L1369" s="1">
        <v>131</v>
      </c>
      <c r="M1369" s="2">
        <v>41968</v>
      </c>
      <c r="N1369" s="1">
        <v>131</v>
      </c>
      <c r="O1369" s="2">
        <v>41968</v>
      </c>
      <c r="P1369" s="1">
        <v>25580</v>
      </c>
      <c r="Q1369" s="1" t="s">
        <v>197</v>
      </c>
      <c r="R1369" s="2">
        <v>42013</v>
      </c>
      <c r="S1369" s="1">
        <v>922134</v>
      </c>
      <c r="U1369" s="1">
        <v>8154</v>
      </c>
      <c r="V1369" s="1" t="s">
        <v>2810</v>
      </c>
      <c r="W1369" s="1" t="s">
        <v>264</v>
      </c>
      <c r="Y1369" s="1">
        <v>6</v>
      </c>
      <c r="Z1369" s="1" t="s">
        <v>249</v>
      </c>
      <c r="AA1369" s="1" t="s">
        <v>899</v>
      </c>
      <c r="AB1369" s="1">
        <v>60561</v>
      </c>
      <c r="AD1369" s="1" t="s">
        <v>900</v>
      </c>
      <c r="AE1369" s="1" t="s">
        <v>13654</v>
      </c>
      <c r="AF1369" s="1">
        <v>1994</v>
      </c>
      <c r="AG1369" s="1" t="s">
        <v>204</v>
      </c>
      <c r="AH1369" s="1" t="s">
        <v>902</v>
      </c>
      <c r="AI1369" s="1" t="s">
        <v>206</v>
      </c>
      <c r="AJ1369" s="1" t="s">
        <v>903</v>
      </c>
      <c r="AK1369" s="1" t="s">
        <v>13655</v>
      </c>
      <c r="AL1369" s="1">
        <v>5</v>
      </c>
      <c r="AM1369" s="1">
        <v>2</v>
      </c>
      <c r="AN1369" s="1">
        <v>2</v>
      </c>
      <c r="AO1369" s="1">
        <v>1</v>
      </c>
      <c r="AP1369" s="1" t="s">
        <v>209</v>
      </c>
      <c r="AR1369" s="1" t="s">
        <v>210</v>
      </c>
      <c r="AS1369" s="1" t="s">
        <v>204</v>
      </c>
      <c r="AT1369" s="1" t="s">
        <v>211</v>
      </c>
      <c r="AU1369" s="1">
        <v>1</v>
      </c>
      <c r="AW1369" s="1" t="s">
        <v>204</v>
      </c>
      <c r="AX1369" s="1" t="s">
        <v>212</v>
      </c>
      <c r="AZ1369" s="1">
        <v>3552.76</v>
      </c>
      <c r="BA1369" s="1">
        <v>2013</v>
      </c>
      <c r="BB1369" s="1" t="s">
        <v>405</v>
      </c>
      <c r="BE1369" s="1">
        <v>1273</v>
      </c>
      <c r="BF1369" s="1">
        <v>1</v>
      </c>
      <c r="BG1369" s="1">
        <v>10</v>
      </c>
      <c r="BL1369" s="1">
        <v>193</v>
      </c>
      <c r="BM1369" s="1" t="s">
        <v>413</v>
      </c>
      <c r="BN1369" s="1" t="s">
        <v>213</v>
      </c>
      <c r="BO1369" s="1">
        <v>100</v>
      </c>
      <c r="BP1369" s="1" t="s">
        <v>204</v>
      </c>
      <c r="BR1369" s="1" t="str">
        <f>"0934123223"</f>
        <v>0934123223</v>
      </c>
      <c r="BT1369" s="1" t="s">
        <v>13656</v>
      </c>
      <c r="BU1369" s="1" t="s">
        <v>2882</v>
      </c>
      <c r="BV1369" s="1" t="s">
        <v>2883</v>
      </c>
      <c r="BW1369" s="1" t="s">
        <v>907</v>
      </c>
      <c r="BX1369" s="1">
        <v>63</v>
      </c>
      <c r="BY1369" s="1">
        <v>63</v>
      </c>
      <c r="BZ1369" s="1">
        <v>86</v>
      </c>
      <c r="CB1369" s="1" t="str">
        <f t="shared" ref="CB1369:CC1369" si="1048">"0"</f>
        <v>0</v>
      </c>
      <c r="CC1369" s="1" t="str">
        <f t="shared" si="1048"/>
        <v>0</v>
      </c>
      <c r="CD1369" s="1">
        <v>17</v>
      </c>
      <c r="CE1369" s="1">
        <v>9</v>
      </c>
      <c r="CG1369" s="1" t="s">
        <v>1045</v>
      </c>
      <c r="CH1369" s="1" t="s">
        <v>219</v>
      </c>
      <c r="CI1369" s="1" t="s">
        <v>229</v>
      </c>
      <c r="CK1369" s="1" t="s">
        <v>885</v>
      </c>
      <c r="CL1369" s="1" t="s">
        <v>277</v>
      </c>
      <c r="CM1369" s="1" t="s">
        <v>220</v>
      </c>
      <c r="CO1369" s="1" t="s">
        <v>3034</v>
      </c>
      <c r="CP1369" s="1" t="s">
        <v>219</v>
      </c>
      <c r="CQ1369" s="1" t="s">
        <v>229</v>
      </c>
      <c r="CS1369" s="1" t="s">
        <v>1046</v>
      </c>
      <c r="CT1369" s="1" t="s">
        <v>277</v>
      </c>
      <c r="CU1369" s="1" t="s">
        <v>220</v>
      </c>
      <c r="CX1369" s="1" t="s">
        <v>224</v>
      </c>
      <c r="DB1369" s="1" t="s">
        <v>224</v>
      </c>
      <c r="DE1369" s="1" t="s">
        <v>13657</v>
      </c>
      <c r="DF1369" s="1" t="s">
        <v>219</v>
      </c>
      <c r="DG1369" s="1" t="s">
        <v>229</v>
      </c>
      <c r="DJ1369" s="1" t="s">
        <v>224</v>
      </c>
      <c r="DM1369" s="1" t="s">
        <v>1770</v>
      </c>
      <c r="DR1369" s="1" t="s">
        <v>1774</v>
      </c>
      <c r="DS1369" s="1" t="s">
        <v>277</v>
      </c>
      <c r="DT1369" s="1" t="s">
        <v>342</v>
      </c>
      <c r="DW1369" s="1" t="s">
        <v>230</v>
      </c>
      <c r="EA1369" s="1" t="s">
        <v>230</v>
      </c>
      <c r="EE1369" s="1" t="s">
        <v>230</v>
      </c>
      <c r="EI1369" s="1" t="s">
        <v>230</v>
      </c>
      <c r="EL1369" s="1" t="s">
        <v>670</v>
      </c>
      <c r="EM1369" s="1" t="s">
        <v>319</v>
      </c>
      <c r="EN1369" s="1" t="s">
        <v>282</v>
      </c>
      <c r="EO1369" s="1" t="s">
        <v>234</v>
      </c>
      <c r="EP1369" s="1" t="s">
        <v>650</v>
      </c>
      <c r="EQ1369" s="1" t="s">
        <v>8369</v>
      </c>
      <c r="ER1369" s="1" t="s">
        <v>383</v>
      </c>
      <c r="ES1369" s="1" t="s">
        <v>824</v>
      </c>
      <c r="EU1369" s="1" t="s">
        <v>239</v>
      </c>
      <c r="EV1369" s="1" t="s">
        <v>240</v>
      </c>
      <c r="EW1369" s="1" t="s">
        <v>353</v>
      </c>
      <c r="EZ1369" s="1" t="s">
        <v>1770</v>
      </c>
      <c r="FA1369" s="1" t="s">
        <v>471</v>
      </c>
      <c r="FB1369" s="1" t="s">
        <v>289</v>
      </c>
      <c r="FC1369" s="1" t="s">
        <v>1739</v>
      </c>
      <c r="FD1369" s="1" t="s">
        <v>495</v>
      </c>
      <c r="FE1369" s="1" t="s">
        <v>247</v>
      </c>
      <c r="FF1369" s="1" t="s">
        <v>248</v>
      </c>
      <c r="FH1369" s="1" t="s">
        <v>550</v>
      </c>
      <c r="FI1369" s="1" t="s">
        <v>357</v>
      </c>
      <c r="FL1369" s="1" t="s">
        <v>358</v>
      </c>
      <c r="FM1369" s="1" t="s">
        <v>252</v>
      </c>
      <c r="FN1369" s="1" t="s">
        <v>213</v>
      </c>
      <c r="FO1369" s="1" t="s">
        <v>213</v>
      </c>
      <c r="FQ1369" s="1" t="s">
        <v>13658</v>
      </c>
      <c r="FR1369" s="1" t="s">
        <v>210</v>
      </c>
      <c r="FS1369" s="1" t="s">
        <v>13659</v>
      </c>
      <c r="FT1369" s="1" t="s">
        <v>13660</v>
      </c>
      <c r="FU1369" s="1" t="s">
        <v>204</v>
      </c>
      <c r="FW1369" s="1" t="s">
        <v>813</v>
      </c>
      <c r="FX1369" s="1">
        <v>23177</v>
      </c>
      <c r="FY1369" s="1" t="s">
        <v>5258</v>
      </c>
      <c r="FZ1369" s="1" t="s">
        <v>13661</v>
      </c>
      <c r="GA1369" s="1">
        <v>230115</v>
      </c>
      <c r="GB1369" s="1" t="s">
        <v>13662</v>
      </c>
      <c r="GE1369" s="1" t="s">
        <v>210</v>
      </c>
      <c r="GI1369" s="1" t="s">
        <v>213</v>
      </c>
      <c r="GJ1369" s="1" t="s">
        <v>260</v>
      </c>
      <c r="GK1369" s="1" t="s">
        <v>210</v>
      </c>
      <c r="GL1369" s="2">
        <v>42013</v>
      </c>
    </row>
    <row r="1370" spans="1:195">
      <c r="A1370" s="1">
        <v>129000</v>
      </c>
      <c r="B1370" s="1" t="s">
        <v>195</v>
      </c>
      <c r="C1370" s="1" t="str">
        <f>"08690701"</f>
        <v>08690701</v>
      </c>
      <c r="D1370" s="1" t="s">
        <v>196</v>
      </c>
      <c r="F1370" s="1" t="str">
        <f>"540"</f>
        <v>540</v>
      </c>
      <c r="G1370" s="2">
        <v>41853</v>
      </c>
      <c r="H1370" s="1">
        <v>142000</v>
      </c>
      <c r="I1370" s="1">
        <v>129999</v>
      </c>
      <c r="J1370" s="1">
        <v>129000</v>
      </c>
      <c r="K1370" s="2">
        <v>41853</v>
      </c>
      <c r="L1370" s="1">
        <v>162</v>
      </c>
      <c r="M1370" s="2">
        <v>42014</v>
      </c>
      <c r="N1370" s="1">
        <v>162</v>
      </c>
      <c r="O1370" s="2">
        <v>42014</v>
      </c>
      <c r="P1370" s="1" t="s">
        <v>1039</v>
      </c>
      <c r="Q1370" s="1" t="s">
        <v>302</v>
      </c>
      <c r="R1370" s="2">
        <v>42037</v>
      </c>
      <c r="S1370" s="1">
        <v>99999</v>
      </c>
      <c r="U1370" s="1">
        <v>2415</v>
      </c>
      <c r="V1370" s="1" t="s">
        <v>13663</v>
      </c>
      <c r="W1370" s="1" t="s">
        <v>449</v>
      </c>
      <c r="X1370" s="1">
        <v>2415</v>
      </c>
      <c r="Y1370" s="1">
        <v>1</v>
      </c>
      <c r="Z1370" s="1" t="s">
        <v>200</v>
      </c>
      <c r="AA1370" s="1" t="s">
        <v>921</v>
      </c>
      <c r="AB1370" s="1">
        <v>60563</v>
      </c>
      <c r="AD1370" s="1" t="s">
        <v>13664</v>
      </c>
      <c r="AE1370" s="1" t="s">
        <v>13665</v>
      </c>
      <c r="AF1370" s="1">
        <v>2001</v>
      </c>
      <c r="AG1370" s="1" t="s">
        <v>204</v>
      </c>
      <c r="AH1370" s="1" t="s">
        <v>924</v>
      </c>
      <c r="AI1370" s="1" t="s">
        <v>206</v>
      </c>
      <c r="AJ1370" s="1" t="s">
        <v>924</v>
      </c>
      <c r="AL1370" s="1">
        <v>5</v>
      </c>
      <c r="AM1370" s="1">
        <v>2</v>
      </c>
      <c r="AN1370" s="1">
        <v>2</v>
      </c>
      <c r="AO1370" s="1">
        <v>0</v>
      </c>
      <c r="AP1370" s="1" t="s">
        <v>209</v>
      </c>
      <c r="AR1370" s="1" t="s">
        <v>210</v>
      </c>
      <c r="AS1370" s="1" t="s">
        <v>204</v>
      </c>
      <c r="AT1370" s="1" t="s">
        <v>211</v>
      </c>
      <c r="AU1370" s="1">
        <v>1</v>
      </c>
      <c r="AW1370" s="1" t="s">
        <v>204</v>
      </c>
      <c r="AX1370" s="1" t="s">
        <v>13666</v>
      </c>
      <c r="AZ1370" s="1">
        <v>3403.76</v>
      </c>
      <c r="BA1370" s="1">
        <v>2013</v>
      </c>
      <c r="BE1370" s="1">
        <v>1200</v>
      </c>
      <c r="BF1370" s="1">
        <v>1</v>
      </c>
      <c r="BG1370" s="1">
        <v>0</v>
      </c>
      <c r="BL1370" s="1">
        <v>196</v>
      </c>
      <c r="BM1370" s="1" t="s">
        <v>204</v>
      </c>
      <c r="BN1370" s="1" t="s">
        <v>213</v>
      </c>
      <c r="BO1370" s="1">
        <v>999</v>
      </c>
      <c r="BP1370" s="1" t="s">
        <v>204</v>
      </c>
      <c r="BR1370" s="1" t="str">
        <f>"0709310333"</f>
        <v>0709310333</v>
      </c>
      <c r="BT1370" s="1" t="s">
        <v>13667</v>
      </c>
      <c r="BW1370" s="1" t="s">
        <v>1312</v>
      </c>
      <c r="BX1370" s="1">
        <v>204</v>
      </c>
      <c r="BY1370" s="1">
        <v>204</v>
      </c>
      <c r="BZ1370" s="1">
        <v>204</v>
      </c>
      <c r="CB1370" s="1" t="str">
        <f t="shared" ref="CB1370:CC1370" si="1049">"0"</f>
        <v>0</v>
      </c>
      <c r="CC1370" s="1" t="str">
        <f t="shared" si="1049"/>
        <v>0</v>
      </c>
      <c r="CD1370" s="1">
        <v>30</v>
      </c>
      <c r="CE1370" s="1">
        <v>5</v>
      </c>
      <c r="CG1370" s="1" t="s">
        <v>461</v>
      </c>
      <c r="CH1370" s="1" t="s">
        <v>219</v>
      </c>
      <c r="CI1370" s="1" t="s">
        <v>220</v>
      </c>
      <c r="CK1370" s="1" t="s">
        <v>317</v>
      </c>
      <c r="CL1370" s="1" t="s">
        <v>219</v>
      </c>
      <c r="CM1370" s="1" t="s">
        <v>220</v>
      </c>
      <c r="CO1370" s="1" t="s">
        <v>539</v>
      </c>
      <c r="CP1370" s="1" t="s">
        <v>219</v>
      </c>
      <c r="CQ1370" s="1" t="s">
        <v>220</v>
      </c>
      <c r="CS1370" s="1" t="s">
        <v>346</v>
      </c>
      <c r="CT1370" s="1" t="s">
        <v>219</v>
      </c>
      <c r="CU1370" s="1" t="s">
        <v>220</v>
      </c>
      <c r="CX1370" s="1" t="s">
        <v>224</v>
      </c>
      <c r="DB1370" s="1" t="s">
        <v>224</v>
      </c>
      <c r="DE1370" s="1" t="s">
        <v>318</v>
      </c>
      <c r="DF1370" s="1" t="s">
        <v>219</v>
      </c>
      <c r="DG1370" s="1" t="s">
        <v>342</v>
      </c>
      <c r="DJ1370" s="1" t="s">
        <v>224</v>
      </c>
      <c r="DS1370" s="1" t="s">
        <v>230</v>
      </c>
      <c r="DW1370" s="1" t="s">
        <v>230</v>
      </c>
      <c r="EA1370" s="1" t="s">
        <v>230</v>
      </c>
      <c r="EE1370" s="1" t="s">
        <v>230</v>
      </c>
      <c r="EI1370" s="1" t="s">
        <v>230</v>
      </c>
      <c r="EL1370" s="1" t="s">
        <v>466</v>
      </c>
      <c r="EM1370" s="1" t="s">
        <v>319</v>
      </c>
      <c r="EN1370" s="1" t="s">
        <v>282</v>
      </c>
      <c r="EO1370" s="1" t="s">
        <v>234</v>
      </c>
      <c r="EP1370" s="1" t="s">
        <v>210</v>
      </c>
      <c r="EQ1370" s="1" t="s">
        <v>13668</v>
      </c>
      <c r="ER1370" s="1" t="s">
        <v>210</v>
      </c>
      <c r="EV1370" s="1" t="s">
        <v>1553</v>
      </c>
      <c r="EW1370" s="1" t="s">
        <v>210</v>
      </c>
      <c r="EY1370" s="1" t="s">
        <v>1315</v>
      </c>
      <c r="EZ1370" s="1" t="s">
        <v>287</v>
      </c>
      <c r="FD1370" s="1" t="s">
        <v>12989</v>
      </c>
      <c r="FE1370" s="1" t="s">
        <v>889</v>
      </c>
      <c r="FF1370" s="1" t="s">
        <v>248</v>
      </c>
      <c r="FH1370" s="1" t="s">
        <v>825</v>
      </c>
      <c r="FL1370" s="1" t="s">
        <v>358</v>
      </c>
      <c r="FM1370" s="1" t="s">
        <v>252</v>
      </c>
      <c r="FN1370" s="1" t="s">
        <v>213</v>
      </c>
      <c r="FO1370" s="1" t="s">
        <v>213</v>
      </c>
      <c r="FQ1370" s="1" t="s">
        <v>11194</v>
      </c>
      <c r="FR1370" s="1" t="s">
        <v>210</v>
      </c>
      <c r="FS1370" s="1" t="s">
        <v>13669</v>
      </c>
      <c r="FT1370" s="1" t="s">
        <v>362</v>
      </c>
      <c r="FU1370" s="1" t="s">
        <v>204</v>
      </c>
      <c r="FW1370" s="1" t="s">
        <v>13670</v>
      </c>
      <c r="FX1370" s="1">
        <v>24062</v>
      </c>
      <c r="FY1370" s="1" t="s">
        <v>13671</v>
      </c>
      <c r="FZ1370" s="1" t="s">
        <v>13672</v>
      </c>
      <c r="GA1370" s="1">
        <v>229796</v>
      </c>
      <c r="GB1370" s="1" t="s">
        <v>13671</v>
      </c>
      <c r="GD1370" s="1" t="s">
        <v>13673</v>
      </c>
      <c r="GE1370" s="1" t="s">
        <v>210</v>
      </c>
      <c r="GI1370" s="1" t="s">
        <v>204</v>
      </c>
      <c r="GJ1370" s="1" t="s">
        <v>260</v>
      </c>
      <c r="GK1370" s="1" t="s">
        <v>210</v>
      </c>
      <c r="GL1370" s="2">
        <v>42037</v>
      </c>
    </row>
    <row r="1371" spans="1:195">
      <c r="A1371" s="1">
        <v>92500</v>
      </c>
      <c r="B1371" s="1" t="s">
        <v>195</v>
      </c>
      <c r="C1371" s="1" t="str">
        <f>"08677329"</f>
        <v>08677329</v>
      </c>
      <c r="D1371" s="1" t="s">
        <v>196</v>
      </c>
      <c r="F1371" s="1" t="str">
        <f>"531"</f>
        <v>531</v>
      </c>
      <c r="G1371" s="2">
        <v>41838</v>
      </c>
      <c r="H1371" s="1">
        <v>100000</v>
      </c>
      <c r="I1371" s="1">
        <v>95000</v>
      </c>
      <c r="J1371" s="1">
        <v>92500</v>
      </c>
      <c r="K1371" s="2">
        <v>41838</v>
      </c>
      <c r="L1371" s="1">
        <v>279</v>
      </c>
      <c r="M1371" s="2">
        <v>41984</v>
      </c>
      <c r="N1371" s="1">
        <v>147</v>
      </c>
      <c r="O1371" s="2">
        <v>41984</v>
      </c>
      <c r="P1371" s="1">
        <v>25792</v>
      </c>
      <c r="Q1371" s="1" t="s">
        <v>197</v>
      </c>
      <c r="R1371" s="2">
        <v>41991</v>
      </c>
      <c r="S1371" s="1">
        <v>222669</v>
      </c>
      <c r="U1371" s="1">
        <v>7211</v>
      </c>
      <c r="V1371" s="1" t="s">
        <v>2489</v>
      </c>
      <c r="W1371" s="1" t="s">
        <v>1056</v>
      </c>
      <c r="X1371" s="1">
        <v>202</v>
      </c>
      <c r="Y1371" s="1">
        <v>32</v>
      </c>
      <c r="Z1371" s="1" t="s">
        <v>249</v>
      </c>
      <c r="AA1371" s="1" t="s">
        <v>2326</v>
      </c>
      <c r="AB1371" s="1">
        <v>60525</v>
      </c>
      <c r="AE1371" s="1" t="s">
        <v>13674</v>
      </c>
      <c r="AF1371" s="1" t="s">
        <v>402</v>
      </c>
      <c r="AG1371" s="1" t="s">
        <v>213</v>
      </c>
      <c r="AH1371" s="1" t="s">
        <v>2329</v>
      </c>
      <c r="AI1371" s="1" t="s">
        <v>310</v>
      </c>
      <c r="AJ1371" s="1" t="s">
        <v>702</v>
      </c>
      <c r="AL1371" s="1">
        <v>5</v>
      </c>
      <c r="AM1371" s="1">
        <v>2</v>
      </c>
      <c r="AN1371" s="1">
        <v>2</v>
      </c>
      <c r="AO1371" s="1">
        <v>0</v>
      </c>
      <c r="AP1371" s="1" t="s">
        <v>209</v>
      </c>
      <c r="AR1371" s="1" t="s">
        <v>210</v>
      </c>
      <c r="AS1371" s="1" t="s">
        <v>204</v>
      </c>
      <c r="AT1371" s="1" t="s">
        <v>271</v>
      </c>
      <c r="AV1371" s="1">
        <v>2</v>
      </c>
      <c r="AW1371" s="1" t="s">
        <v>204</v>
      </c>
      <c r="AX1371" s="1" t="s">
        <v>212</v>
      </c>
      <c r="AZ1371" s="1">
        <v>1497</v>
      </c>
      <c r="BA1371" s="1">
        <v>2012</v>
      </c>
      <c r="BE1371" s="1">
        <v>0</v>
      </c>
      <c r="BF1371" s="1">
        <v>2</v>
      </c>
      <c r="BG1371" s="1">
        <v>24</v>
      </c>
      <c r="BL1371" s="1">
        <v>280</v>
      </c>
      <c r="BM1371" s="1" t="s">
        <v>204</v>
      </c>
      <c r="BN1371" s="1" t="s">
        <v>213</v>
      </c>
      <c r="BO1371" s="1">
        <v>20</v>
      </c>
      <c r="BP1371" s="1" t="s">
        <v>204</v>
      </c>
      <c r="BR1371" s="1" t="str">
        <f>"18291010171014"</f>
        <v>18291010171014</v>
      </c>
      <c r="BT1371" s="1" t="s">
        <v>13675</v>
      </c>
      <c r="BX1371" s="1">
        <v>107</v>
      </c>
      <c r="BY1371" s="1">
        <v>107</v>
      </c>
      <c r="BZ1371" s="1">
        <v>204</v>
      </c>
      <c r="CB1371" s="1" t="str">
        <f t="shared" ref="CB1371:CC1371" si="1050">"0"</f>
        <v>0</v>
      </c>
      <c r="CC1371" s="1" t="str">
        <f t="shared" si="1050"/>
        <v>0</v>
      </c>
      <c r="CD1371" s="1">
        <v>13</v>
      </c>
      <c r="CE1371" s="1">
        <v>8</v>
      </c>
      <c r="CG1371" s="1" t="s">
        <v>931</v>
      </c>
      <c r="CH1371" s="1" t="s">
        <v>277</v>
      </c>
      <c r="CI1371" s="1" t="s">
        <v>347</v>
      </c>
      <c r="CK1371" s="1" t="s">
        <v>278</v>
      </c>
      <c r="CL1371" s="1" t="s">
        <v>277</v>
      </c>
      <c r="CM1371" s="1" t="s">
        <v>220</v>
      </c>
      <c r="CO1371" s="1" t="s">
        <v>318</v>
      </c>
      <c r="CP1371" s="1" t="s">
        <v>277</v>
      </c>
      <c r="CQ1371" s="1" t="s">
        <v>347</v>
      </c>
      <c r="CS1371" s="1" t="s">
        <v>317</v>
      </c>
      <c r="CT1371" s="1" t="s">
        <v>277</v>
      </c>
      <c r="CU1371" s="1" t="s">
        <v>220</v>
      </c>
      <c r="CX1371" s="1" t="s">
        <v>224</v>
      </c>
      <c r="DB1371" s="1" t="s">
        <v>224</v>
      </c>
      <c r="DE1371" s="1" t="s">
        <v>318</v>
      </c>
      <c r="DF1371" s="1" t="s">
        <v>277</v>
      </c>
      <c r="DG1371" s="1" t="s">
        <v>347</v>
      </c>
      <c r="DJ1371" s="1" t="s">
        <v>224</v>
      </c>
      <c r="DS1371" s="1" t="s">
        <v>230</v>
      </c>
      <c r="DW1371" s="1" t="s">
        <v>230</v>
      </c>
      <c r="EA1371" s="1" t="s">
        <v>230</v>
      </c>
      <c r="EE1371" s="1" t="s">
        <v>230</v>
      </c>
      <c r="EI1371" s="1" t="s">
        <v>230</v>
      </c>
      <c r="EL1371" s="1" t="s">
        <v>413</v>
      </c>
      <c r="EM1371" s="1" t="s">
        <v>232</v>
      </c>
      <c r="EN1371" s="1" t="s">
        <v>1158</v>
      </c>
      <c r="EO1371" s="1" t="s">
        <v>234</v>
      </c>
      <c r="ER1371" s="1" t="s">
        <v>210</v>
      </c>
      <c r="EW1371" s="1" t="s">
        <v>13676</v>
      </c>
      <c r="EZ1371" s="1" t="s">
        <v>287</v>
      </c>
      <c r="FD1371" s="1" t="s">
        <v>888</v>
      </c>
      <c r="FE1371" s="1" t="s">
        <v>247</v>
      </c>
      <c r="FF1371" s="1" t="s">
        <v>248</v>
      </c>
      <c r="FH1371" s="1" t="s">
        <v>249</v>
      </c>
      <c r="FK1371" s="1" t="s">
        <v>291</v>
      </c>
      <c r="FL1371" s="1" t="s">
        <v>414</v>
      </c>
      <c r="FM1371" s="1" t="s">
        <v>252</v>
      </c>
      <c r="FN1371" s="1" t="s">
        <v>213</v>
      </c>
      <c r="FO1371" s="1" t="s">
        <v>213</v>
      </c>
      <c r="FQ1371" s="1" t="s">
        <v>293</v>
      </c>
      <c r="FR1371" s="1" t="s">
        <v>360</v>
      </c>
      <c r="FS1371" s="1" t="s">
        <v>13677</v>
      </c>
      <c r="FT1371" s="1" t="s">
        <v>13678</v>
      </c>
      <c r="FU1371" s="1" t="s">
        <v>204</v>
      </c>
      <c r="FW1371" s="1" t="s">
        <v>2006</v>
      </c>
      <c r="FX1371" s="1">
        <v>25792</v>
      </c>
      <c r="FY1371" s="1" t="s">
        <v>3181</v>
      </c>
      <c r="FZ1371" s="1" t="s">
        <v>13679</v>
      </c>
      <c r="GA1371" s="1">
        <v>222669</v>
      </c>
      <c r="GB1371" s="1" t="s">
        <v>13680</v>
      </c>
      <c r="GE1371" s="1" t="s">
        <v>210</v>
      </c>
      <c r="GI1371" s="1" t="s">
        <v>213</v>
      </c>
      <c r="GJ1371" s="1" t="s">
        <v>260</v>
      </c>
      <c r="GK1371" s="1" t="s">
        <v>210</v>
      </c>
      <c r="GL1371" s="2">
        <v>41992</v>
      </c>
      <c r="GM1371" s="1" t="s">
        <v>13681</v>
      </c>
    </row>
    <row r="1372" spans="1:195">
      <c r="A1372" s="1">
        <v>139000</v>
      </c>
      <c r="B1372" s="1" t="s">
        <v>195</v>
      </c>
      <c r="C1372" s="1" t="str">
        <f>"08680615"</f>
        <v>08680615</v>
      </c>
      <c r="D1372" s="1" t="s">
        <v>196</v>
      </c>
      <c r="F1372" s="1" t="str">
        <f>"507"</f>
        <v>507</v>
      </c>
      <c r="G1372" s="2">
        <v>41842</v>
      </c>
      <c r="H1372" s="1">
        <v>169900</v>
      </c>
      <c r="I1372" s="1">
        <v>139900</v>
      </c>
      <c r="J1372" s="1">
        <v>139000</v>
      </c>
      <c r="K1372" s="2">
        <v>41841</v>
      </c>
      <c r="L1372" s="1">
        <v>123</v>
      </c>
      <c r="M1372" s="2">
        <v>41963</v>
      </c>
      <c r="N1372" s="1">
        <v>123</v>
      </c>
      <c r="O1372" s="2">
        <v>41963</v>
      </c>
      <c r="P1372" s="1">
        <v>23076</v>
      </c>
      <c r="Q1372" s="1" t="s">
        <v>302</v>
      </c>
      <c r="R1372" s="2">
        <v>42034</v>
      </c>
      <c r="S1372" s="1">
        <v>225492</v>
      </c>
      <c r="U1372" s="1">
        <v>3367</v>
      </c>
      <c r="V1372" s="1" t="s">
        <v>13682</v>
      </c>
      <c r="W1372" s="1" t="s">
        <v>449</v>
      </c>
      <c r="Y1372" s="1">
        <v>5</v>
      </c>
      <c r="Z1372" s="1" t="s">
        <v>370</v>
      </c>
      <c r="AA1372" s="1" t="s">
        <v>1123</v>
      </c>
      <c r="AB1372" s="1">
        <v>60504</v>
      </c>
      <c r="AD1372" s="1" t="s">
        <v>13683</v>
      </c>
      <c r="AE1372" s="1" t="s">
        <v>13684</v>
      </c>
      <c r="AF1372" s="1">
        <v>1999</v>
      </c>
      <c r="AG1372" s="1" t="s">
        <v>204</v>
      </c>
      <c r="AH1372" s="1" t="s">
        <v>1126</v>
      </c>
      <c r="AI1372" s="1" t="s">
        <v>206</v>
      </c>
      <c r="AJ1372" s="1" t="s">
        <v>924</v>
      </c>
      <c r="AL1372" s="1">
        <v>6</v>
      </c>
      <c r="AM1372" s="1">
        <v>2</v>
      </c>
      <c r="AN1372" s="1">
        <v>2</v>
      </c>
      <c r="AO1372" s="1">
        <v>1</v>
      </c>
      <c r="AP1372" s="1" t="s">
        <v>209</v>
      </c>
      <c r="AR1372" s="1" t="s">
        <v>1483</v>
      </c>
      <c r="AS1372" s="1" t="s">
        <v>204</v>
      </c>
      <c r="AT1372" s="1" t="s">
        <v>211</v>
      </c>
      <c r="AU1372" s="1">
        <v>2</v>
      </c>
      <c r="AW1372" s="1" t="s">
        <v>204</v>
      </c>
      <c r="AX1372" s="1" t="s">
        <v>212</v>
      </c>
      <c r="AZ1372" s="1">
        <v>4506.42</v>
      </c>
      <c r="BA1372" s="1">
        <v>2013</v>
      </c>
      <c r="BE1372" s="1">
        <v>1484</v>
      </c>
      <c r="BF1372" s="1">
        <v>1</v>
      </c>
      <c r="BG1372" s="1">
        <v>30</v>
      </c>
      <c r="BL1372" s="1">
        <v>195</v>
      </c>
      <c r="BM1372" s="1" t="s">
        <v>204</v>
      </c>
      <c r="BN1372" s="1" t="s">
        <v>213</v>
      </c>
      <c r="BO1372" s="1">
        <v>50</v>
      </c>
      <c r="BP1372" s="1" t="s">
        <v>204</v>
      </c>
      <c r="BR1372" s="1" t="str">
        <f>"0729419129"</f>
        <v>0729419129</v>
      </c>
      <c r="BT1372" s="1" t="s">
        <v>13685</v>
      </c>
      <c r="BX1372" s="1">
        <v>204</v>
      </c>
      <c r="BY1372" s="1">
        <v>204</v>
      </c>
      <c r="BZ1372" s="1">
        <v>204</v>
      </c>
      <c r="CB1372" s="1" t="str">
        <f t="shared" ref="CB1372:CC1372" si="1051">""</f>
        <v/>
      </c>
      <c r="CC1372" s="1" t="str">
        <f t="shared" si="1051"/>
        <v/>
      </c>
      <c r="CG1372" s="1" t="s">
        <v>837</v>
      </c>
      <c r="CH1372" s="1" t="s">
        <v>219</v>
      </c>
      <c r="CI1372" s="1" t="s">
        <v>220</v>
      </c>
      <c r="CK1372" s="1" t="s">
        <v>377</v>
      </c>
      <c r="CL1372" s="1" t="s">
        <v>277</v>
      </c>
      <c r="CM1372" s="1" t="s">
        <v>220</v>
      </c>
      <c r="CO1372" s="1" t="s">
        <v>317</v>
      </c>
      <c r="CP1372" s="1" t="s">
        <v>219</v>
      </c>
      <c r="CQ1372" s="1" t="s">
        <v>220</v>
      </c>
      <c r="CS1372" s="1" t="s">
        <v>602</v>
      </c>
      <c r="CT1372" s="1" t="s">
        <v>277</v>
      </c>
      <c r="CU1372" s="1" t="s">
        <v>220</v>
      </c>
      <c r="CX1372" s="1" t="s">
        <v>224</v>
      </c>
      <c r="DB1372" s="1" t="s">
        <v>224</v>
      </c>
      <c r="DE1372" s="1" t="s">
        <v>223</v>
      </c>
      <c r="DF1372" s="1" t="s">
        <v>219</v>
      </c>
      <c r="DG1372" s="1" t="s">
        <v>229</v>
      </c>
      <c r="DI1372" s="1" t="s">
        <v>221</v>
      </c>
      <c r="DJ1372" s="1" t="s">
        <v>43</v>
      </c>
      <c r="DK1372" s="1" t="s">
        <v>220</v>
      </c>
      <c r="DS1372" s="1" t="s">
        <v>230</v>
      </c>
      <c r="DW1372" s="1" t="s">
        <v>230</v>
      </c>
      <c r="EA1372" s="1" t="s">
        <v>230</v>
      </c>
      <c r="EE1372" s="1" t="s">
        <v>230</v>
      </c>
      <c r="EI1372" s="1" t="s">
        <v>230</v>
      </c>
      <c r="EL1372" s="1" t="s">
        <v>670</v>
      </c>
      <c r="EM1372" s="1" t="s">
        <v>319</v>
      </c>
      <c r="EN1372" s="1" t="s">
        <v>282</v>
      </c>
      <c r="EO1372" s="1" t="s">
        <v>840</v>
      </c>
      <c r="ER1372" s="1" t="s">
        <v>544</v>
      </c>
      <c r="ES1372" s="1" t="s">
        <v>322</v>
      </c>
      <c r="EV1372" s="1" t="s">
        <v>324</v>
      </c>
      <c r="EW1372" s="1" t="s">
        <v>13686</v>
      </c>
      <c r="EZ1372" s="1" t="s">
        <v>287</v>
      </c>
      <c r="FD1372" s="1" t="s">
        <v>246</v>
      </c>
      <c r="FE1372" s="1" t="s">
        <v>355</v>
      </c>
      <c r="FF1372" s="1" t="s">
        <v>248</v>
      </c>
      <c r="FH1372" s="1" t="s">
        <v>550</v>
      </c>
      <c r="FL1372" s="1" t="s">
        <v>358</v>
      </c>
      <c r="FM1372" s="1" t="s">
        <v>252</v>
      </c>
      <c r="FN1372" s="1" t="s">
        <v>213</v>
      </c>
      <c r="FO1372" s="1" t="s">
        <v>213</v>
      </c>
      <c r="FQ1372" s="1" t="s">
        <v>689</v>
      </c>
      <c r="FR1372" s="1" t="s">
        <v>210</v>
      </c>
      <c r="FS1372" s="1" t="s">
        <v>13687</v>
      </c>
      <c r="FT1372" s="1" t="s">
        <v>584</v>
      </c>
      <c r="FU1372" s="1" t="s">
        <v>204</v>
      </c>
      <c r="FW1372" s="1" t="s">
        <v>3449</v>
      </c>
      <c r="FX1372" s="1">
        <v>605</v>
      </c>
      <c r="FY1372" s="1" t="s">
        <v>3450</v>
      </c>
      <c r="FZ1372" s="1" t="s">
        <v>3451</v>
      </c>
      <c r="GA1372" s="1">
        <v>170</v>
      </c>
      <c r="GB1372" s="1" t="s">
        <v>3450</v>
      </c>
      <c r="GE1372" s="1" t="s">
        <v>480</v>
      </c>
      <c r="GI1372" s="1" t="s">
        <v>213</v>
      </c>
      <c r="GJ1372" s="1" t="s">
        <v>260</v>
      </c>
      <c r="GK1372" s="1" t="s">
        <v>210</v>
      </c>
      <c r="GL1372" s="2">
        <v>42034</v>
      </c>
      <c r="GM1372" s="1" t="s">
        <v>13688</v>
      </c>
    </row>
    <row r="1373" spans="1:195">
      <c r="A1373" s="1">
        <v>9500</v>
      </c>
      <c r="B1373" s="1" t="s">
        <v>195</v>
      </c>
      <c r="C1373" s="1" t="str">
        <f>"08669101"</f>
        <v>08669101</v>
      </c>
      <c r="D1373" s="1" t="s">
        <v>196</v>
      </c>
      <c r="F1373" s="1" t="str">
        <f>"8043"</f>
        <v>8043</v>
      </c>
      <c r="G1373" s="2">
        <v>41830</v>
      </c>
      <c r="H1373" s="1">
        <v>28900</v>
      </c>
      <c r="I1373" s="1">
        <v>0</v>
      </c>
      <c r="J1373" s="1">
        <v>9500</v>
      </c>
      <c r="K1373" s="2">
        <v>41828</v>
      </c>
      <c r="L1373" s="1">
        <v>288</v>
      </c>
      <c r="M1373" s="2">
        <v>42115</v>
      </c>
      <c r="N1373" s="1">
        <v>288</v>
      </c>
      <c r="O1373" s="2">
        <v>42115</v>
      </c>
      <c r="P1373" s="1" t="s">
        <v>1039</v>
      </c>
      <c r="Q1373" s="1" t="s">
        <v>302</v>
      </c>
      <c r="R1373" s="2">
        <v>42117</v>
      </c>
      <c r="S1373" s="1">
        <v>99999</v>
      </c>
      <c r="U1373" s="1">
        <v>2860</v>
      </c>
      <c r="V1373" s="1" t="s">
        <v>6575</v>
      </c>
      <c r="W1373" s="1" t="s">
        <v>725</v>
      </c>
      <c r="X1373" s="1" t="s">
        <v>9400</v>
      </c>
      <c r="Y1373" s="1">
        <v>24</v>
      </c>
      <c r="Z1373" s="1" t="s">
        <v>249</v>
      </c>
      <c r="AA1373" s="1" t="s">
        <v>400</v>
      </c>
      <c r="AB1373" s="1">
        <v>60649</v>
      </c>
      <c r="AE1373" s="1" t="s">
        <v>6576</v>
      </c>
      <c r="AF1373" s="1">
        <v>1933</v>
      </c>
      <c r="AG1373" s="1" t="s">
        <v>213</v>
      </c>
      <c r="AH1373" s="1" t="s">
        <v>403</v>
      </c>
      <c r="AI1373" s="1" t="s">
        <v>310</v>
      </c>
      <c r="AJ1373" s="1" t="s">
        <v>562</v>
      </c>
      <c r="AL1373" s="1">
        <v>4</v>
      </c>
      <c r="AM1373" s="1">
        <v>2</v>
      </c>
      <c r="AN1373" s="1">
        <v>1</v>
      </c>
      <c r="AO1373" s="1">
        <v>0</v>
      </c>
      <c r="AP1373" s="1" t="s">
        <v>210</v>
      </c>
      <c r="AQ1373" s="1">
        <v>0</v>
      </c>
      <c r="AR1373" s="1" t="s">
        <v>210</v>
      </c>
      <c r="AS1373" s="1" t="s">
        <v>204</v>
      </c>
      <c r="AT1373" s="1" t="s">
        <v>210</v>
      </c>
      <c r="AW1373" s="1" t="s">
        <v>204</v>
      </c>
      <c r="AX1373" s="1" t="s">
        <v>212</v>
      </c>
      <c r="AZ1373" s="1">
        <v>1403.36</v>
      </c>
      <c r="BA1373" s="1">
        <v>2013</v>
      </c>
      <c r="BC1373" s="1">
        <v>0</v>
      </c>
      <c r="BE1373" s="1">
        <v>800</v>
      </c>
      <c r="BF1373" s="1">
        <v>6</v>
      </c>
      <c r="BG1373" s="1">
        <v>0</v>
      </c>
      <c r="BL1373" s="1">
        <v>286</v>
      </c>
      <c r="BM1373" s="1" t="s">
        <v>204</v>
      </c>
      <c r="BN1373" s="1" t="s">
        <v>204</v>
      </c>
      <c r="BP1373" s="1" t="s">
        <v>204</v>
      </c>
      <c r="BR1373" s="1" t="str">
        <f>"21302020151017"</f>
        <v>21302020151017</v>
      </c>
      <c r="BT1373" s="1" t="s">
        <v>13689</v>
      </c>
      <c r="BX1373" s="1">
        <v>299</v>
      </c>
      <c r="BY1373" s="1">
        <v>299</v>
      </c>
      <c r="BZ1373" s="1">
        <v>299</v>
      </c>
      <c r="CB1373" s="1" t="str">
        <f>"0"</f>
        <v>0</v>
      </c>
      <c r="CC1373" s="1" t="str">
        <f>"2800"</f>
        <v>2800</v>
      </c>
      <c r="CD1373" s="1">
        <v>0</v>
      </c>
      <c r="CE1373" s="1">
        <v>7600</v>
      </c>
      <c r="CG1373" s="1" t="s">
        <v>5353</v>
      </c>
      <c r="CH1373" s="1" t="s">
        <v>219</v>
      </c>
      <c r="CK1373" s="1" t="s">
        <v>315</v>
      </c>
      <c r="CL1373" s="1" t="s">
        <v>219</v>
      </c>
      <c r="CP1373" s="1" t="s">
        <v>224</v>
      </c>
      <c r="CS1373" s="1" t="s">
        <v>379</v>
      </c>
      <c r="CT1373" s="1" t="s">
        <v>219</v>
      </c>
      <c r="CX1373" s="1" t="s">
        <v>224</v>
      </c>
      <c r="DB1373" s="1" t="s">
        <v>224</v>
      </c>
      <c r="DE1373" s="1" t="s">
        <v>6342</v>
      </c>
      <c r="DF1373" s="1" t="s">
        <v>219</v>
      </c>
      <c r="DJ1373" s="1" t="s">
        <v>224</v>
      </c>
      <c r="DS1373" s="1" t="s">
        <v>230</v>
      </c>
      <c r="DW1373" s="1" t="s">
        <v>230</v>
      </c>
      <c r="EA1373" s="1" t="s">
        <v>230</v>
      </c>
      <c r="EE1373" s="1" t="s">
        <v>230</v>
      </c>
      <c r="EI1373" s="1" t="s">
        <v>230</v>
      </c>
      <c r="EL1373" s="1" t="s">
        <v>2154</v>
      </c>
      <c r="EM1373" s="1" t="s">
        <v>232</v>
      </c>
      <c r="EN1373" s="1" t="s">
        <v>210</v>
      </c>
      <c r="EO1373" s="1" t="s">
        <v>234</v>
      </c>
      <c r="ER1373" s="1" t="s">
        <v>210</v>
      </c>
      <c r="EW1373" s="1" t="s">
        <v>347</v>
      </c>
      <c r="EZ1373" s="1" t="s">
        <v>287</v>
      </c>
      <c r="FD1373" s="1" t="s">
        <v>1112</v>
      </c>
      <c r="FE1373" s="1" t="s">
        <v>247</v>
      </c>
      <c r="FF1373" s="1" t="s">
        <v>248</v>
      </c>
      <c r="FH1373" s="1" t="s">
        <v>249</v>
      </c>
      <c r="FL1373" s="1" t="s">
        <v>347</v>
      </c>
      <c r="FM1373" s="1" t="s">
        <v>252</v>
      </c>
      <c r="FN1373" s="1" t="s">
        <v>213</v>
      </c>
      <c r="FO1373" s="1" t="s">
        <v>213</v>
      </c>
      <c r="FQ1373" s="1" t="s">
        <v>13690</v>
      </c>
      <c r="FR1373" s="1" t="s">
        <v>210</v>
      </c>
      <c r="FS1373" s="1" t="s">
        <v>4325</v>
      </c>
      <c r="FT1373" s="1" t="s">
        <v>1828</v>
      </c>
      <c r="FU1373" s="1" t="s">
        <v>204</v>
      </c>
      <c r="FW1373" s="1" t="s">
        <v>13691</v>
      </c>
      <c r="FX1373" s="1">
        <v>18712</v>
      </c>
      <c r="FY1373" s="1" t="s">
        <v>13692</v>
      </c>
      <c r="FZ1373" s="1" t="s">
        <v>13693</v>
      </c>
      <c r="GA1373" s="1">
        <v>113736</v>
      </c>
      <c r="GB1373" s="1" t="s">
        <v>13692</v>
      </c>
      <c r="GE1373" s="1" t="s">
        <v>210</v>
      </c>
      <c r="GH1373" s="1" t="s">
        <v>800</v>
      </c>
      <c r="GI1373" s="1" t="s">
        <v>213</v>
      </c>
      <c r="GJ1373" s="1" t="s">
        <v>260</v>
      </c>
      <c r="GK1373" s="1" t="s">
        <v>210</v>
      </c>
      <c r="GL1373" s="2">
        <v>42117</v>
      </c>
      <c r="GM1373" s="1" t="s">
        <v>13694</v>
      </c>
    </row>
    <row r="1374" spans="1:195">
      <c r="A1374" s="1">
        <v>72000</v>
      </c>
      <c r="B1374" s="1" t="s">
        <v>195</v>
      </c>
      <c r="C1374" s="1" t="str">
        <f>"08667122"</f>
        <v>08667122</v>
      </c>
      <c r="D1374" s="1" t="s">
        <v>196</v>
      </c>
      <c r="F1374" s="1" t="str">
        <f>"139"</f>
        <v>139</v>
      </c>
      <c r="G1374" s="2">
        <v>41829</v>
      </c>
      <c r="H1374" s="1">
        <v>70000</v>
      </c>
      <c r="I1374" s="1">
        <v>70000</v>
      </c>
      <c r="J1374" s="1">
        <v>72000</v>
      </c>
      <c r="K1374" s="2">
        <v>41829</v>
      </c>
      <c r="L1374" s="1">
        <v>91</v>
      </c>
      <c r="M1374" s="2">
        <v>41919</v>
      </c>
      <c r="N1374" s="1">
        <v>91</v>
      </c>
      <c r="O1374" s="2">
        <v>41919</v>
      </c>
      <c r="P1374" s="1">
        <v>8517</v>
      </c>
      <c r="Q1374" s="1" t="s">
        <v>197</v>
      </c>
      <c r="R1374" s="2">
        <v>41996</v>
      </c>
      <c r="S1374" s="1">
        <v>81732</v>
      </c>
      <c r="U1374" s="1">
        <v>160</v>
      </c>
      <c r="V1374" s="1" t="s">
        <v>2831</v>
      </c>
      <c r="W1374" s="1" t="s">
        <v>264</v>
      </c>
      <c r="X1374" s="1">
        <v>302</v>
      </c>
      <c r="Y1374" s="1">
        <v>6</v>
      </c>
      <c r="Z1374" s="1" t="s">
        <v>249</v>
      </c>
      <c r="AA1374" s="1" t="s">
        <v>1732</v>
      </c>
      <c r="AB1374" s="1">
        <v>60139</v>
      </c>
      <c r="AE1374" s="1" t="s">
        <v>13695</v>
      </c>
      <c r="AF1374" s="1">
        <v>1982</v>
      </c>
      <c r="AG1374" s="1" t="s">
        <v>204</v>
      </c>
      <c r="AH1374" s="1" t="s">
        <v>1735</v>
      </c>
      <c r="AI1374" s="1" t="s">
        <v>206</v>
      </c>
      <c r="AJ1374" s="1" t="s">
        <v>269</v>
      </c>
      <c r="AL1374" s="1">
        <v>5</v>
      </c>
      <c r="AM1374" s="1">
        <v>2</v>
      </c>
      <c r="AN1374" s="1">
        <v>2</v>
      </c>
      <c r="AO1374" s="1">
        <v>0</v>
      </c>
      <c r="AP1374" s="1" t="s">
        <v>209</v>
      </c>
      <c r="AR1374" s="1" t="s">
        <v>210</v>
      </c>
      <c r="AS1374" s="1" t="s">
        <v>204</v>
      </c>
      <c r="AT1374" s="1" t="s">
        <v>211</v>
      </c>
      <c r="AU1374" s="1">
        <v>1</v>
      </c>
      <c r="AW1374" s="1" t="s">
        <v>204</v>
      </c>
      <c r="AX1374" s="1" t="s">
        <v>212</v>
      </c>
      <c r="AZ1374" s="1">
        <v>2018</v>
      </c>
      <c r="BA1374" s="1">
        <v>2013</v>
      </c>
      <c r="BE1374" s="1">
        <v>0</v>
      </c>
      <c r="BF1374" s="1">
        <v>3</v>
      </c>
      <c r="BG1374" s="1">
        <v>0</v>
      </c>
      <c r="BL1374" s="1">
        <v>221</v>
      </c>
      <c r="BM1374" s="1" t="s">
        <v>204</v>
      </c>
      <c r="BN1374" s="1" t="s">
        <v>213</v>
      </c>
      <c r="BO1374" s="1">
        <v>999</v>
      </c>
      <c r="BP1374" s="1" t="s">
        <v>204</v>
      </c>
      <c r="BR1374" s="1" t="str">
        <f>"0222113184"</f>
        <v>0222113184</v>
      </c>
      <c r="BT1374" s="1" t="s">
        <v>13696</v>
      </c>
      <c r="BX1374" s="1">
        <v>15</v>
      </c>
      <c r="BY1374" s="1">
        <v>15</v>
      </c>
      <c r="BZ1374" s="1">
        <v>87</v>
      </c>
      <c r="CB1374" s="1" t="str">
        <f t="shared" ref="CB1374:CC1374" si="1052">""</f>
        <v/>
      </c>
      <c r="CC1374" s="1" t="str">
        <f t="shared" si="1052"/>
        <v/>
      </c>
      <c r="CG1374" s="1" t="s">
        <v>221</v>
      </c>
      <c r="CH1374" s="1" t="s">
        <v>219</v>
      </c>
      <c r="CK1374" s="1" t="s">
        <v>539</v>
      </c>
      <c r="CL1374" s="1" t="s">
        <v>219</v>
      </c>
      <c r="CO1374" s="1" t="s">
        <v>837</v>
      </c>
      <c r="CP1374" s="1" t="s">
        <v>219</v>
      </c>
      <c r="CS1374" s="1" t="s">
        <v>465</v>
      </c>
      <c r="CT1374" s="1" t="s">
        <v>219</v>
      </c>
      <c r="CX1374" s="1" t="s">
        <v>224</v>
      </c>
      <c r="DB1374" s="1" t="s">
        <v>224</v>
      </c>
      <c r="DE1374" s="1" t="s">
        <v>346</v>
      </c>
      <c r="DF1374" s="1" t="s">
        <v>219</v>
      </c>
      <c r="DJ1374" s="1" t="s">
        <v>224</v>
      </c>
      <c r="DM1374" s="1" t="s">
        <v>838</v>
      </c>
      <c r="DR1374" s="1" t="s">
        <v>13697</v>
      </c>
      <c r="DS1374" s="1" t="s">
        <v>219</v>
      </c>
      <c r="DW1374" s="1" t="s">
        <v>230</v>
      </c>
      <c r="EA1374" s="1" t="s">
        <v>230</v>
      </c>
      <c r="EE1374" s="1" t="s">
        <v>230</v>
      </c>
      <c r="EI1374" s="1" t="s">
        <v>230</v>
      </c>
      <c r="EL1374" s="1" t="s">
        <v>231</v>
      </c>
      <c r="EM1374" s="1" t="s">
        <v>232</v>
      </c>
      <c r="EN1374" s="1" t="s">
        <v>1158</v>
      </c>
      <c r="EO1374" s="1" t="s">
        <v>7003</v>
      </c>
      <c r="ER1374" s="1" t="s">
        <v>210</v>
      </c>
      <c r="EW1374" s="1" t="s">
        <v>8576</v>
      </c>
      <c r="EZ1374" s="1" t="s">
        <v>838</v>
      </c>
      <c r="FD1374" s="1" t="s">
        <v>246</v>
      </c>
      <c r="FE1374" s="1" t="s">
        <v>247</v>
      </c>
      <c r="FF1374" s="1" t="s">
        <v>387</v>
      </c>
      <c r="FH1374" s="1" t="s">
        <v>249</v>
      </c>
      <c r="FL1374" s="1" t="s">
        <v>292</v>
      </c>
      <c r="FM1374" s="1" t="s">
        <v>252</v>
      </c>
      <c r="FN1374" s="1" t="s">
        <v>213</v>
      </c>
      <c r="FO1374" s="1" t="s">
        <v>213</v>
      </c>
      <c r="FQ1374" s="1" t="s">
        <v>1032</v>
      </c>
      <c r="FR1374" s="1" t="s">
        <v>360</v>
      </c>
      <c r="FS1374" s="1" t="s">
        <v>13698</v>
      </c>
      <c r="FT1374" s="1" t="s">
        <v>295</v>
      </c>
      <c r="FU1374" s="1" t="s">
        <v>204</v>
      </c>
      <c r="FW1374" s="1" t="s">
        <v>9556</v>
      </c>
      <c r="FX1374" s="1">
        <v>13295</v>
      </c>
      <c r="FY1374" s="1" t="s">
        <v>9557</v>
      </c>
      <c r="FZ1374" s="1" t="s">
        <v>13699</v>
      </c>
      <c r="GA1374" s="1">
        <v>173243</v>
      </c>
      <c r="GB1374" s="1" t="s">
        <v>13700</v>
      </c>
      <c r="GC1374" s="1">
        <v>186412</v>
      </c>
      <c r="GE1374" s="1" t="s">
        <v>210</v>
      </c>
      <c r="GH1374" s="1" t="s">
        <v>421</v>
      </c>
      <c r="GI1374" s="1" t="s">
        <v>213</v>
      </c>
      <c r="GJ1374" s="1" t="s">
        <v>260</v>
      </c>
      <c r="GK1374" s="1" t="s">
        <v>210</v>
      </c>
      <c r="GL1374" s="2">
        <v>41997</v>
      </c>
      <c r="GM1374" s="1" t="s">
        <v>13701</v>
      </c>
    </row>
    <row r="1375" spans="1:195">
      <c r="A1375" s="1">
        <v>77000</v>
      </c>
      <c r="B1375" s="1" t="s">
        <v>195</v>
      </c>
      <c r="C1375" s="1" t="str">
        <f>"08708891"</f>
        <v>08708891</v>
      </c>
      <c r="D1375" s="1" t="s">
        <v>196</v>
      </c>
      <c r="F1375" s="1" t="str">
        <f>"187"</f>
        <v>187</v>
      </c>
      <c r="G1375" s="2">
        <v>41873</v>
      </c>
      <c r="H1375" s="1">
        <v>89900</v>
      </c>
      <c r="I1375" s="1">
        <v>77900</v>
      </c>
      <c r="J1375" s="1">
        <v>77000</v>
      </c>
      <c r="K1375" s="2">
        <v>41872</v>
      </c>
      <c r="L1375" s="1">
        <v>76</v>
      </c>
      <c r="M1375" s="2">
        <v>41947</v>
      </c>
      <c r="N1375" s="1">
        <v>76</v>
      </c>
      <c r="O1375" s="2">
        <v>41947</v>
      </c>
      <c r="P1375" s="1">
        <v>90140</v>
      </c>
      <c r="Q1375" s="1" t="s">
        <v>302</v>
      </c>
      <c r="R1375" s="2">
        <v>41978</v>
      </c>
      <c r="S1375" s="1">
        <v>901306</v>
      </c>
      <c r="U1375" s="1">
        <v>1464</v>
      </c>
      <c r="V1375" s="1" t="s">
        <v>1040</v>
      </c>
      <c r="W1375" s="1" t="s">
        <v>449</v>
      </c>
      <c r="X1375" s="1" t="s">
        <v>13702</v>
      </c>
      <c r="Y1375" s="1">
        <v>12</v>
      </c>
      <c r="Z1375" s="1" t="s">
        <v>249</v>
      </c>
      <c r="AA1375" s="1" t="s">
        <v>964</v>
      </c>
      <c r="AB1375" s="1">
        <v>60189</v>
      </c>
      <c r="AD1375" s="1" t="s">
        <v>1042</v>
      </c>
      <c r="AE1375" s="1" t="s">
        <v>13703</v>
      </c>
      <c r="AF1375" s="1">
        <v>1982</v>
      </c>
      <c r="AG1375" s="1" t="s">
        <v>204</v>
      </c>
      <c r="AH1375" s="1" t="s">
        <v>967</v>
      </c>
      <c r="AI1375" s="1" t="s">
        <v>206</v>
      </c>
      <c r="AJ1375" s="1" t="s">
        <v>207</v>
      </c>
      <c r="AL1375" s="1">
        <v>5</v>
      </c>
      <c r="AM1375" s="1">
        <v>2</v>
      </c>
      <c r="AN1375" s="1">
        <v>2</v>
      </c>
      <c r="AO1375" s="1">
        <v>0</v>
      </c>
      <c r="AP1375" s="1" t="s">
        <v>209</v>
      </c>
      <c r="AQ1375" s="1">
        <v>1</v>
      </c>
      <c r="AR1375" s="1" t="s">
        <v>210</v>
      </c>
      <c r="AS1375" s="1" t="s">
        <v>204</v>
      </c>
      <c r="AT1375" s="1" t="s">
        <v>271</v>
      </c>
      <c r="AV1375" s="1">
        <v>2</v>
      </c>
      <c r="AW1375" s="1" t="s">
        <v>204</v>
      </c>
      <c r="AX1375" s="1" t="s">
        <v>212</v>
      </c>
      <c r="AZ1375" s="1">
        <v>3084.6</v>
      </c>
      <c r="BA1375" s="1">
        <v>2013</v>
      </c>
      <c r="BE1375" s="1">
        <v>994</v>
      </c>
      <c r="BF1375" s="1">
        <v>3</v>
      </c>
      <c r="BG1375" s="1">
        <v>0</v>
      </c>
      <c r="BL1375" s="1">
        <v>268</v>
      </c>
      <c r="BM1375" s="1" t="s">
        <v>204</v>
      </c>
      <c r="BN1375" s="1" t="s">
        <v>213</v>
      </c>
      <c r="BO1375" s="1">
        <v>999</v>
      </c>
      <c r="BP1375" s="1" t="s">
        <v>204</v>
      </c>
      <c r="BR1375" s="1" t="str">
        <f>"0519414057"</f>
        <v>0519414057</v>
      </c>
      <c r="BT1375" s="1" t="s">
        <v>13704</v>
      </c>
      <c r="BX1375" s="1">
        <v>200</v>
      </c>
      <c r="BY1375" s="1">
        <v>200</v>
      </c>
      <c r="BZ1375" s="1">
        <v>200</v>
      </c>
      <c r="CB1375" s="1" t="str">
        <f t="shared" ref="CB1375:CC1375" si="1053">""</f>
        <v/>
      </c>
      <c r="CC1375" s="1" t="str">
        <f t="shared" si="1053"/>
        <v/>
      </c>
      <c r="CG1375" s="1" t="s">
        <v>315</v>
      </c>
      <c r="CH1375" s="1" t="s">
        <v>219</v>
      </c>
      <c r="CK1375" s="1" t="s">
        <v>757</v>
      </c>
      <c r="CL1375" s="1" t="s">
        <v>219</v>
      </c>
      <c r="CO1375" s="1" t="s">
        <v>379</v>
      </c>
      <c r="CP1375" s="1" t="s">
        <v>219</v>
      </c>
      <c r="CS1375" s="1" t="s">
        <v>1046</v>
      </c>
      <c r="CT1375" s="1" t="s">
        <v>219</v>
      </c>
      <c r="CX1375" s="1" t="s">
        <v>224</v>
      </c>
      <c r="DB1375" s="1" t="s">
        <v>224</v>
      </c>
      <c r="DE1375" s="1" t="s">
        <v>409</v>
      </c>
      <c r="DF1375" s="1" t="s">
        <v>219</v>
      </c>
      <c r="DJ1375" s="1" t="s">
        <v>224</v>
      </c>
      <c r="DS1375" s="1" t="s">
        <v>230</v>
      </c>
      <c r="DW1375" s="1" t="s">
        <v>230</v>
      </c>
      <c r="EA1375" s="1" t="s">
        <v>230</v>
      </c>
      <c r="EE1375" s="1" t="s">
        <v>230</v>
      </c>
      <c r="EI1375" s="1" t="s">
        <v>230</v>
      </c>
      <c r="EL1375" s="1" t="s">
        <v>231</v>
      </c>
      <c r="EM1375" s="1" t="s">
        <v>319</v>
      </c>
      <c r="EN1375" s="1" t="s">
        <v>282</v>
      </c>
      <c r="EO1375" s="1" t="s">
        <v>234</v>
      </c>
      <c r="EQ1375" s="1" t="s">
        <v>5020</v>
      </c>
      <c r="ER1375" s="1" t="s">
        <v>210</v>
      </c>
      <c r="ES1375" s="1" t="s">
        <v>545</v>
      </c>
      <c r="EV1375" s="1" t="s">
        <v>240</v>
      </c>
      <c r="EW1375" s="1" t="s">
        <v>1804</v>
      </c>
      <c r="EZ1375" s="1" t="s">
        <v>287</v>
      </c>
      <c r="FD1375" s="1" t="s">
        <v>246</v>
      </c>
      <c r="FE1375" s="1" t="s">
        <v>549</v>
      </c>
      <c r="FF1375" s="1" t="s">
        <v>248</v>
      </c>
      <c r="FH1375" s="1" t="s">
        <v>249</v>
      </c>
      <c r="FK1375" s="1" t="s">
        <v>2806</v>
      </c>
      <c r="FL1375" s="1" t="s">
        <v>292</v>
      </c>
      <c r="FM1375" s="1" t="s">
        <v>252</v>
      </c>
      <c r="FN1375" s="1" t="s">
        <v>213</v>
      </c>
      <c r="FO1375" s="1" t="s">
        <v>213</v>
      </c>
      <c r="FQ1375" s="1" t="s">
        <v>10375</v>
      </c>
      <c r="FR1375" s="1" t="s">
        <v>210</v>
      </c>
      <c r="FS1375" s="1" t="s">
        <v>2418</v>
      </c>
      <c r="FT1375" s="1" t="s">
        <v>584</v>
      </c>
      <c r="FU1375" s="1" t="s">
        <v>204</v>
      </c>
      <c r="FV1375" s="1" t="s">
        <v>2419</v>
      </c>
      <c r="FW1375" s="1" t="s">
        <v>2420</v>
      </c>
      <c r="FX1375" s="1">
        <v>41</v>
      </c>
      <c r="FY1375" s="1" t="s">
        <v>2421</v>
      </c>
      <c r="FZ1375" s="1" t="s">
        <v>2422</v>
      </c>
      <c r="GA1375" s="1">
        <v>8483</v>
      </c>
      <c r="GB1375" s="1" t="s">
        <v>2423</v>
      </c>
      <c r="GD1375" s="1" t="s">
        <v>2424</v>
      </c>
      <c r="GE1375" s="1" t="s">
        <v>210</v>
      </c>
      <c r="GI1375" s="1" t="s">
        <v>213</v>
      </c>
      <c r="GJ1375" s="1" t="s">
        <v>260</v>
      </c>
      <c r="GK1375" s="1" t="s">
        <v>210</v>
      </c>
      <c r="GL1375" s="2">
        <v>41981</v>
      </c>
      <c r="GM1375" s="1" t="s">
        <v>13705</v>
      </c>
    </row>
    <row r="1376" spans="1:195">
      <c r="A1376" s="1">
        <v>205667</v>
      </c>
      <c r="B1376" s="1" t="s">
        <v>195</v>
      </c>
      <c r="C1376" s="1" t="str">
        <f>"08673191"</f>
        <v>08673191</v>
      </c>
      <c r="D1376" s="1" t="s">
        <v>196</v>
      </c>
      <c r="F1376" s="1" t="str">
        <f>"137"</f>
        <v>137</v>
      </c>
      <c r="G1376" s="2">
        <v>41835</v>
      </c>
      <c r="H1376" s="1">
        <v>289900</v>
      </c>
      <c r="I1376" s="1">
        <v>229900</v>
      </c>
      <c r="J1376" s="1">
        <v>205667</v>
      </c>
      <c r="K1376" s="2">
        <v>41834</v>
      </c>
      <c r="L1376" s="1">
        <v>131</v>
      </c>
      <c r="M1376" s="2">
        <v>41964</v>
      </c>
      <c r="N1376" s="1">
        <v>131</v>
      </c>
      <c r="O1376" s="2">
        <v>41964</v>
      </c>
      <c r="P1376" s="1">
        <v>23099</v>
      </c>
      <c r="Q1376" s="1" t="s">
        <v>197</v>
      </c>
      <c r="R1376" s="2">
        <v>42004</v>
      </c>
      <c r="S1376" s="1">
        <v>219216</v>
      </c>
      <c r="T1376" s="1">
        <v>6225</v>
      </c>
      <c r="U1376" s="1">
        <v>190</v>
      </c>
      <c r="V1376" s="1" t="s">
        <v>13706</v>
      </c>
      <c r="W1376" s="1" t="s">
        <v>264</v>
      </c>
      <c r="X1376" s="1">
        <v>190</v>
      </c>
      <c r="Y1376" s="1">
        <v>10</v>
      </c>
      <c r="Z1376" s="1" t="s">
        <v>200</v>
      </c>
      <c r="AA1376" s="1" t="s">
        <v>201</v>
      </c>
      <c r="AB1376" s="1">
        <v>60137</v>
      </c>
      <c r="AD1376" s="1" t="s">
        <v>8204</v>
      </c>
      <c r="AE1376" s="1" t="s">
        <v>13707</v>
      </c>
      <c r="AF1376" s="1">
        <v>2000</v>
      </c>
      <c r="AG1376" s="1" t="s">
        <v>204</v>
      </c>
      <c r="AH1376" s="1" t="s">
        <v>205</v>
      </c>
      <c r="AI1376" s="1" t="s">
        <v>206</v>
      </c>
      <c r="AJ1376" s="1" t="s">
        <v>207</v>
      </c>
      <c r="AK1376" s="1" t="s">
        <v>4646</v>
      </c>
      <c r="AL1376" s="1">
        <v>8</v>
      </c>
      <c r="AM1376" s="1">
        <v>2</v>
      </c>
      <c r="AN1376" s="1">
        <v>3</v>
      </c>
      <c r="AO1376" s="1">
        <v>1</v>
      </c>
      <c r="AP1376" s="1" t="s">
        <v>209</v>
      </c>
      <c r="AQ1376" s="1">
        <v>1</v>
      </c>
      <c r="AR1376" s="1" t="s">
        <v>2275</v>
      </c>
      <c r="AS1376" s="1" t="s">
        <v>213</v>
      </c>
      <c r="AT1376" s="1" t="s">
        <v>211</v>
      </c>
      <c r="AU1376" s="1">
        <v>2</v>
      </c>
      <c r="AW1376" s="1" t="s">
        <v>204</v>
      </c>
      <c r="AX1376" s="1" t="s">
        <v>212</v>
      </c>
      <c r="AZ1376" s="1">
        <v>6353.02</v>
      </c>
      <c r="BA1376" s="1">
        <v>2013</v>
      </c>
      <c r="BE1376" s="1">
        <v>1461</v>
      </c>
      <c r="BF1376" s="1">
        <v>1</v>
      </c>
      <c r="BG1376" s="1">
        <v>0</v>
      </c>
      <c r="BL1376" s="1">
        <v>203</v>
      </c>
      <c r="BM1376" s="1" t="s">
        <v>204</v>
      </c>
      <c r="BN1376" s="1" t="s">
        <v>213</v>
      </c>
      <c r="BO1376" s="1">
        <v>999</v>
      </c>
      <c r="BP1376" s="1" t="s">
        <v>204</v>
      </c>
      <c r="BR1376" s="1" t="str">
        <f>"5133330880"</f>
        <v>5133330880</v>
      </c>
      <c r="BT1376" s="1" t="s">
        <v>13708</v>
      </c>
      <c r="BX1376" s="1">
        <v>89</v>
      </c>
      <c r="BY1376" s="1">
        <v>89</v>
      </c>
      <c r="BZ1376" s="1">
        <v>87</v>
      </c>
      <c r="CB1376" s="1" t="str">
        <f t="shared" ref="CB1376:CC1376" si="1054">"0"</f>
        <v>0</v>
      </c>
      <c r="CC1376" s="1" t="str">
        <f t="shared" si="1054"/>
        <v>0</v>
      </c>
      <c r="CD1376" s="1">
        <v>21</v>
      </c>
      <c r="CE1376" s="1">
        <v>0</v>
      </c>
      <c r="CG1376" s="1" t="s">
        <v>1853</v>
      </c>
      <c r="CH1376" s="1" t="s">
        <v>43</v>
      </c>
      <c r="CK1376" s="1" t="s">
        <v>462</v>
      </c>
      <c r="CL1376" s="1" t="s">
        <v>277</v>
      </c>
      <c r="CO1376" s="1" t="s">
        <v>1470</v>
      </c>
      <c r="CP1376" s="1" t="s">
        <v>219</v>
      </c>
      <c r="CS1376" s="1" t="s">
        <v>1046</v>
      </c>
      <c r="CT1376" s="1" t="s">
        <v>277</v>
      </c>
      <c r="CU1376" s="1" t="s">
        <v>220</v>
      </c>
      <c r="CX1376" s="1" t="s">
        <v>224</v>
      </c>
      <c r="DB1376" s="1" t="s">
        <v>224</v>
      </c>
      <c r="DE1376" s="1" t="s">
        <v>2982</v>
      </c>
      <c r="DF1376" s="1" t="s">
        <v>219</v>
      </c>
      <c r="DI1376" s="1" t="s">
        <v>1402</v>
      </c>
      <c r="DJ1376" s="1" t="s">
        <v>219</v>
      </c>
      <c r="DM1376" s="1" t="s">
        <v>464</v>
      </c>
      <c r="DN1376" s="1" t="s">
        <v>411</v>
      </c>
      <c r="DR1376" s="1" t="s">
        <v>222</v>
      </c>
      <c r="DS1376" s="1" t="s">
        <v>277</v>
      </c>
      <c r="DV1376" s="1" t="s">
        <v>1107</v>
      </c>
      <c r="DW1376" s="1" t="s">
        <v>43</v>
      </c>
      <c r="EA1376" s="1" t="s">
        <v>230</v>
      </c>
      <c r="EE1376" s="1" t="s">
        <v>230</v>
      </c>
      <c r="EI1376" s="1" t="s">
        <v>230</v>
      </c>
      <c r="EL1376" s="1" t="s">
        <v>466</v>
      </c>
      <c r="EM1376" s="1" t="s">
        <v>319</v>
      </c>
      <c r="EN1376" s="1" t="s">
        <v>282</v>
      </c>
      <c r="EO1376" s="1" t="s">
        <v>234</v>
      </c>
      <c r="ER1376" s="1" t="s">
        <v>823</v>
      </c>
      <c r="EV1376" s="1" t="s">
        <v>324</v>
      </c>
      <c r="EW1376" s="1" t="s">
        <v>887</v>
      </c>
      <c r="EY1376" s="1" t="s">
        <v>242</v>
      </c>
      <c r="EZ1376" s="1" t="s">
        <v>13709</v>
      </c>
      <c r="FD1376" s="1" t="s">
        <v>246</v>
      </c>
      <c r="FE1376" s="1" t="s">
        <v>1006</v>
      </c>
      <c r="FF1376" s="1" t="s">
        <v>248</v>
      </c>
      <c r="FH1376" s="1" t="s">
        <v>550</v>
      </c>
      <c r="FL1376" s="1" t="s">
        <v>358</v>
      </c>
      <c r="FM1376" s="1" t="s">
        <v>252</v>
      </c>
      <c r="FN1376" s="1" t="s">
        <v>213</v>
      </c>
      <c r="FO1376" s="1" t="s">
        <v>213</v>
      </c>
      <c r="FQ1376" s="1" t="s">
        <v>582</v>
      </c>
      <c r="FR1376" s="1" t="s">
        <v>210</v>
      </c>
      <c r="FS1376" s="1" t="s">
        <v>13710</v>
      </c>
      <c r="FT1376" s="1" t="s">
        <v>584</v>
      </c>
      <c r="FU1376" s="1" t="s">
        <v>204</v>
      </c>
      <c r="FW1376" s="1" t="s">
        <v>2577</v>
      </c>
      <c r="FX1376" s="1">
        <v>31982</v>
      </c>
      <c r="FY1376" s="1" t="s">
        <v>2578</v>
      </c>
      <c r="FZ1376" s="1" t="s">
        <v>2579</v>
      </c>
      <c r="GA1376" s="1">
        <v>319888</v>
      </c>
      <c r="GB1376" s="1" t="s">
        <v>2580</v>
      </c>
      <c r="GE1376" s="1" t="s">
        <v>210</v>
      </c>
      <c r="GI1376" s="1" t="s">
        <v>204</v>
      </c>
      <c r="GJ1376" s="1" t="s">
        <v>260</v>
      </c>
      <c r="GK1376" s="1" t="s">
        <v>210</v>
      </c>
      <c r="GL1376" s="2">
        <v>42004</v>
      </c>
      <c r="GM1376" s="1" t="s">
        <v>13711</v>
      </c>
    </row>
    <row r="1377" spans="1:195">
      <c r="A1377" s="1">
        <v>125000</v>
      </c>
      <c r="B1377" s="1" t="s">
        <v>195</v>
      </c>
      <c r="C1377" s="1" t="str">
        <f>"08731662"</f>
        <v>08731662</v>
      </c>
      <c r="D1377" s="1" t="s">
        <v>196</v>
      </c>
      <c r="F1377" s="1" t="str">
        <f>"532"</f>
        <v>532</v>
      </c>
      <c r="G1377" s="2">
        <v>41900</v>
      </c>
      <c r="H1377" s="1">
        <v>142500</v>
      </c>
      <c r="I1377" s="1">
        <v>129900</v>
      </c>
      <c r="J1377" s="1">
        <v>125000</v>
      </c>
      <c r="K1377" s="2">
        <v>41900</v>
      </c>
      <c r="L1377" s="1">
        <v>164</v>
      </c>
      <c r="M1377" s="2">
        <v>42063</v>
      </c>
      <c r="N1377" s="1">
        <v>164</v>
      </c>
      <c r="O1377" s="2">
        <v>42063</v>
      </c>
      <c r="P1377" s="1">
        <v>349</v>
      </c>
      <c r="Q1377" s="1" t="s">
        <v>197</v>
      </c>
      <c r="R1377" s="2">
        <v>42123</v>
      </c>
      <c r="S1377" s="1">
        <v>8766</v>
      </c>
      <c r="U1377" s="1">
        <v>1850</v>
      </c>
      <c r="V1377" s="1" t="s">
        <v>6479</v>
      </c>
      <c r="W1377" s="1" t="s">
        <v>264</v>
      </c>
      <c r="X1377" s="1" t="s">
        <v>527</v>
      </c>
      <c r="Y1377" s="1">
        <v>4</v>
      </c>
      <c r="Z1377" s="1" t="s">
        <v>249</v>
      </c>
      <c r="AA1377" s="1" t="s">
        <v>1566</v>
      </c>
      <c r="AB1377" s="1">
        <v>60532</v>
      </c>
      <c r="AD1377" s="1" t="s">
        <v>5495</v>
      </c>
      <c r="AE1377" s="1" t="s">
        <v>13712</v>
      </c>
      <c r="AF1377" s="1">
        <v>1983</v>
      </c>
      <c r="AG1377" s="1" t="s">
        <v>204</v>
      </c>
      <c r="AH1377" s="1" t="s">
        <v>925</v>
      </c>
      <c r="AI1377" s="1" t="s">
        <v>206</v>
      </c>
      <c r="AJ1377" s="1" t="s">
        <v>925</v>
      </c>
      <c r="AK1377" s="1" t="s">
        <v>13713</v>
      </c>
      <c r="AL1377" s="1">
        <v>5</v>
      </c>
      <c r="AM1377" s="1">
        <v>2</v>
      </c>
      <c r="AN1377" s="1">
        <v>1</v>
      </c>
      <c r="AO1377" s="1">
        <v>0</v>
      </c>
      <c r="AP1377" s="1" t="s">
        <v>667</v>
      </c>
      <c r="AQ1377" s="1">
        <v>1</v>
      </c>
      <c r="AR1377" s="1" t="s">
        <v>210</v>
      </c>
      <c r="AS1377" s="1" t="s">
        <v>204</v>
      </c>
      <c r="AT1377" s="1" t="s">
        <v>211</v>
      </c>
      <c r="AU1377" s="1">
        <v>1</v>
      </c>
      <c r="AW1377" s="1" t="s">
        <v>204</v>
      </c>
      <c r="AX1377" s="1" t="s">
        <v>212</v>
      </c>
      <c r="AZ1377" s="1">
        <v>3122.84</v>
      </c>
      <c r="BA1377" s="1">
        <v>2013</v>
      </c>
      <c r="BB1377" s="1" t="s">
        <v>405</v>
      </c>
      <c r="BE1377" s="1">
        <v>1128</v>
      </c>
      <c r="BF1377" s="1">
        <v>1</v>
      </c>
      <c r="BG1377" s="1">
        <v>14</v>
      </c>
      <c r="BL1377" s="1">
        <v>180</v>
      </c>
      <c r="BM1377" s="1" t="s">
        <v>204</v>
      </c>
      <c r="BN1377" s="1" t="s">
        <v>213</v>
      </c>
      <c r="BP1377" s="1" t="s">
        <v>204</v>
      </c>
      <c r="BR1377" s="1" t="str">
        <f>"0810310026"</f>
        <v>0810310026</v>
      </c>
      <c r="BT1377" s="1" t="s">
        <v>13714</v>
      </c>
      <c r="BU1377" s="1" t="s">
        <v>5789</v>
      </c>
      <c r="BV1377" s="1" t="s">
        <v>5790</v>
      </c>
      <c r="BW1377" s="1" t="s">
        <v>5791</v>
      </c>
      <c r="BX1377" s="1">
        <v>202</v>
      </c>
      <c r="BY1377" s="1">
        <v>202</v>
      </c>
      <c r="BZ1377" s="1">
        <v>202</v>
      </c>
      <c r="CB1377" s="1" t="str">
        <f t="shared" ref="CB1377:CC1377" si="1055">""</f>
        <v/>
      </c>
      <c r="CC1377" s="1" t="str">
        <f t="shared" si="1055"/>
        <v/>
      </c>
      <c r="CG1377" s="1" t="s">
        <v>861</v>
      </c>
      <c r="CH1377" s="1" t="s">
        <v>219</v>
      </c>
      <c r="CI1377" s="1" t="s">
        <v>220</v>
      </c>
      <c r="CK1377" s="1" t="s">
        <v>757</v>
      </c>
      <c r="CL1377" s="1" t="s">
        <v>219</v>
      </c>
      <c r="CM1377" s="1" t="s">
        <v>220</v>
      </c>
      <c r="CO1377" s="1" t="s">
        <v>630</v>
      </c>
      <c r="CP1377" s="1" t="s">
        <v>219</v>
      </c>
      <c r="CQ1377" s="1" t="s">
        <v>220</v>
      </c>
      <c r="CS1377" s="1" t="s">
        <v>318</v>
      </c>
      <c r="CT1377" s="1" t="s">
        <v>219</v>
      </c>
      <c r="CU1377" s="1" t="s">
        <v>220</v>
      </c>
      <c r="CX1377" s="1" t="s">
        <v>224</v>
      </c>
      <c r="DB1377" s="1" t="s">
        <v>224</v>
      </c>
      <c r="DE1377" s="1" t="s">
        <v>3034</v>
      </c>
      <c r="DF1377" s="1" t="s">
        <v>219</v>
      </c>
      <c r="DG1377" s="1" t="s">
        <v>342</v>
      </c>
      <c r="DJ1377" s="1" t="s">
        <v>224</v>
      </c>
      <c r="DM1377" s="1" t="s">
        <v>1614</v>
      </c>
      <c r="DR1377" s="1" t="s">
        <v>13715</v>
      </c>
      <c r="DS1377" s="1" t="s">
        <v>219</v>
      </c>
      <c r="DW1377" s="1" t="s">
        <v>230</v>
      </c>
      <c r="EA1377" s="1" t="s">
        <v>230</v>
      </c>
      <c r="EE1377" s="1" t="s">
        <v>230</v>
      </c>
      <c r="EI1377" s="1" t="s">
        <v>230</v>
      </c>
      <c r="EL1377" s="1" t="s">
        <v>231</v>
      </c>
      <c r="EM1377" s="1" t="s">
        <v>232</v>
      </c>
      <c r="EN1377" s="1" t="s">
        <v>282</v>
      </c>
      <c r="EO1377" s="1" t="s">
        <v>234</v>
      </c>
      <c r="EQ1377" s="1" t="s">
        <v>1094</v>
      </c>
      <c r="ER1377" s="1" t="s">
        <v>210</v>
      </c>
      <c r="ET1377" s="1" t="s">
        <v>1404</v>
      </c>
      <c r="EV1377" s="1" t="s">
        <v>352</v>
      </c>
      <c r="EW1377" s="1" t="s">
        <v>353</v>
      </c>
      <c r="EZ1377" s="1" t="s">
        <v>1614</v>
      </c>
      <c r="FA1377" s="1" t="s">
        <v>471</v>
      </c>
      <c r="FD1377" s="1" t="s">
        <v>4003</v>
      </c>
      <c r="FE1377" s="1" t="s">
        <v>247</v>
      </c>
      <c r="FF1377" s="1" t="s">
        <v>387</v>
      </c>
      <c r="FH1377" s="1" t="s">
        <v>1387</v>
      </c>
      <c r="FI1377" s="1" t="s">
        <v>473</v>
      </c>
      <c r="FL1377" s="1" t="s">
        <v>358</v>
      </c>
      <c r="FM1377" s="1" t="s">
        <v>252</v>
      </c>
      <c r="FN1377" s="1" t="s">
        <v>213</v>
      </c>
      <c r="FO1377" s="1" t="s">
        <v>213</v>
      </c>
      <c r="FQ1377" s="1" t="s">
        <v>2253</v>
      </c>
      <c r="FR1377" s="1" t="s">
        <v>210</v>
      </c>
      <c r="FS1377" s="1" t="s">
        <v>1407</v>
      </c>
      <c r="FT1377" s="1" t="s">
        <v>362</v>
      </c>
      <c r="FU1377" s="1" t="s">
        <v>204</v>
      </c>
      <c r="FW1377" s="1" t="s">
        <v>5648</v>
      </c>
      <c r="FX1377" s="1">
        <v>23099</v>
      </c>
      <c r="FY1377" s="1" t="s">
        <v>5649</v>
      </c>
      <c r="FZ1377" s="1" t="s">
        <v>13716</v>
      </c>
      <c r="GA1377" s="1">
        <v>222381</v>
      </c>
      <c r="GB1377" s="1" t="s">
        <v>13717</v>
      </c>
      <c r="GE1377" s="1" t="s">
        <v>480</v>
      </c>
      <c r="GI1377" s="1" t="s">
        <v>213</v>
      </c>
      <c r="GJ1377" s="1" t="s">
        <v>260</v>
      </c>
      <c r="GK1377" s="1" t="s">
        <v>210</v>
      </c>
      <c r="GL1377" s="2">
        <v>42123</v>
      </c>
      <c r="GM1377" s="1" t="s">
        <v>13718</v>
      </c>
    </row>
    <row r="1378" spans="1:195">
      <c r="A1378" s="1">
        <v>33000</v>
      </c>
      <c r="B1378" s="1" t="s">
        <v>195</v>
      </c>
      <c r="C1378" s="1" t="str">
        <f>"08683486"</f>
        <v>08683486</v>
      </c>
      <c r="D1378" s="1" t="s">
        <v>196</v>
      </c>
      <c r="F1378" s="1" t="str">
        <f>"8042"</f>
        <v>8042</v>
      </c>
      <c r="G1378" s="2">
        <v>41845</v>
      </c>
      <c r="H1378" s="1">
        <v>35000</v>
      </c>
      <c r="I1378" s="1">
        <v>33000</v>
      </c>
      <c r="J1378" s="1">
        <v>33000</v>
      </c>
      <c r="K1378" s="2">
        <v>41843</v>
      </c>
      <c r="L1378" s="1">
        <v>29</v>
      </c>
      <c r="M1378" s="2">
        <v>41871</v>
      </c>
      <c r="N1378" s="1">
        <v>29</v>
      </c>
      <c r="O1378" s="2">
        <v>41871</v>
      </c>
      <c r="P1378" s="1">
        <v>85244</v>
      </c>
      <c r="Q1378" s="1" t="s">
        <v>302</v>
      </c>
      <c r="R1378" s="2">
        <v>42108</v>
      </c>
      <c r="S1378" s="1">
        <v>135365</v>
      </c>
      <c r="U1378" s="1">
        <v>6614</v>
      </c>
      <c r="V1378" s="1" t="s">
        <v>13272</v>
      </c>
      <c r="W1378" s="1" t="s">
        <v>425</v>
      </c>
      <c r="X1378" s="1">
        <v>206</v>
      </c>
      <c r="Y1378" s="1">
        <v>35</v>
      </c>
      <c r="Z1378" s="1" t="s">
        <v>249</v>
      </c>
      <c r="AA1378" s="1" t="s">
        <v>400</v>
      </c>
      <c r="AB1378" s="1">
        <v>60637</v>
      </c>
      <c r="AE1378" s="1" t="s">
        <v>13273</v>
      </c>
      <c r="AF1378" s="1">
        <v>1929</v>
      </c>
      <c r="AG1378" s="1" t="s">
        <v>213</v>
      </c>
      <c r="AH1378" s="1" t="s">
        <v>403</v>
      </c>
      <c r="AI1378" s="1" t="s">
        <v>310</v>
      </c>
      <c r="AJ1378" s="1" t="s">
        <v>562</v>
      </c>
      <c r="AL1378" s="1">
        <v>5</v>
      </c>
      <c r="AM1378" s="1">
        <v>2</v>
      </c>
      <c r="AN1378" s="1">
        <v>2</v>
      </c>
      <c r="AO1378" s="1">
        <v>0</v>
      </c>
      <c r="AP1378" s="1" t="s">
        <v>209</v>
      </c>
      <c r="AQ1378" s="1">
        <v>1</v>
      </c>
      <c r="AR1378" s="1" t="s">
        <v>210</v>
      </c>
      <c r="AT1378" s="1" t="s">
        <v>210</v>
      </c>
      <c r="AW1378" s="1" t="s">
        <v>204</v>
      </c>
      <c r="AX1378" s="1" t="s">
        <v>13274</v>
      </c>
      <c r="AZ1378" s="1">
        <v>1632</v>
      </c>
      <c r="BA1378" s="1">
        <v>2012</v>
      </c>
      <c r="BE1378" s="1">
        <v>0</v>
      </c>
      <c r="BF1378" s="1">
        <v>2</v>
      </c>
      <c r="BG1378" s="1">
        <v>0</v>
      </c>
      <c r="BL1378" s="1">
        <v>155</v>
      </c>
      <c r="BM1378" s="1" t="s">
        <v>204</v>
      </c>
      <c r="BN1378" s="1" t="s">
        <v>213</v>
      </c>
      <c r="BO1378" s="1">
        <v>30</v>
      </c>
      <c r="BP1378" s="1" t="s">
        <v>204</v>
      </c>
      <c r="BR1378" s="1" t="str">
        <f>"20232230170000"</f>
        <v>20232230170000</v>
      </c>
      <c r="BT1378" s="1" t="s">
        <v>13719</v>
      </c>
      <c r="BX1378" s="1">
        <v>299</v>
      </c>
      <c r="BY1378" s="1">
        <v>299</v>
      </c>
      <c r="BZ1378" s="1">
        <v>299</v>
      </c>
      <c r="CB1378" s="1" t="str">
        <f>"0"</f>
        <v>0</v>
      </c>
      <c r="CC1378" s="1" t="str">
        <f>"1332"</f>
        <v>1332</v>
      </c>
      <c r="CD1378" s="1">
        <v>0</v>
      </c>
      <c r="CE1378" s="1">
        <v>6610</v>
      </c>
      <c r="CG1378" s="1" t="s">
        <v>3656</v>
      </c>
      <c r="CH1378" s="1" t="s">
        <v>277</v>
      </c>
      <c r="CI1378" s="1" t="s">
        <v>438</v>
      </c>
      <c r="CK1378" s="1" t="s">
        <v>344</v>
      </c>
      <c r="CL1378" s="1" t="s">
        <v>277</v>
      </c>
      <c r="CO1378" s="1" t="s">
        <v>629</v>
      </c>
      <c r="CP1378" s="1" t="s">
        <v>277</v>
      </c>
      <c r="CS1378" s="1" t="s">
        <v>1046</v>
      </c>
      <c r="CT1378" s="1" t="s">
        <v>277</v>
      </c>
      <c r="CX1378" s="1" t="s">
        <v>224</v>
      </c>
      <c r="DB1378" s="1" t="s">
        <v>224</v>
      </c>
      <c r="DE1378" s="1" t="s">
        <v>837</v>
      </c>
      <c r="DF1378" s="1" t="s">
        <v>277</v>
      </c>
      <c r="DJ1378" s="1" t="s">
        <v>224</v>
      </c>
      <c r="DS1378" s="1" t="s">
        <v>230</v>
      </c>
      <c r="DW1378" s="1" t="s">
        <v>230</v>
      </c>
      <c r="EA1378" s="1" t="s">
        <v>230</v>
      </c>
      <c r="EE1378" s="1" t="s">
        <v>230</v>
      </c>
      <c r="EI1378" s="1" t="s">
        <v>230</v>
      </c>
      <c r="EL1378" s="1" t="s">
        <v>2154</v>
      </c>
      <c r="EM1378" s="1" t="s">
        <v>730</v>
      </c>
      <c r="EN1378" s="1" t="s">
        <v>282</v>
      </c>
      <c r="EO1378" s="1" t="s">
        <v>234</v>
      </c>
      <c r="ER1378" s="1" t="s">
        <v>210</v>
      </c>
      <c r="EW1378" s="1" t="s">
        <v>937</v>
      </c>
      <c r="EZ1378" s="1" t="s">
        <v>287</v>
      </c>
      <c r="FD1378" s="1" t="s">
        <v>246</v>
      </c>
      <c r="FE1378" s="1" t="s">
        <v>247</v>
      </c>
      <c r="FF1378" s="1" t="s">
        <v>4927</v>
      </c>
      <c r="FH1378" s="1" t="s">
        <v>249</v>
      </c>
      <c r="FL1378" s="1" t="s">
        <v>414</v>
      </c>
      <c r="FM1378" s="1" t="s">
        <v>252</v>
      </c>
      <c r="FN1378" s="1" t="s">
        <v>213</v>
      </c>
      <c r="FO1378" s="1" t="s">
        <v>213</v>
      </c>
      <c r="FQ1378" s="1" t="s">
        <v>13720</v>
      </c>
      <c r="FR1378" s="1" t="s">
        <v>360</v>
      </c>
      <c r="FS1378" s="1" t="s">
        <v>13721</v>
      </c>
      <c r="FT1378" s="1" t="s">
        <v>295</v>
      </c>
      <c r="FU1378" s="1" t="s">
        <v>204</v>
      </c>
      <c r="FW1378" s="1" t="s">
        <v>13722</v>
      </c>
      <c r="FX1378" s="1">
        <v>85244</v>
      </c>
      <c r="FY1378" s="1" t="s">
        <v>13723</v>
      </c>
      <c r="FZ1378" s="1" t="s">
        <v>13724</v>
      </c>
      <c r="GA1378" s="1">
        <v>135365</v>
      </c>
      <c r="GB1378" s="1" t="s">
        <v>13725</v>
      </c>
      <c r="GE1378" s="1" t="s">
        <v>210</v>
      </c>
      <c r="GH1378" s="1" t="s">
        <v>421</v>
      </c>
      <c r="GI1378" s="1" t="s">
        <v>213</v>
      </c>
      <c r="GJ1378" s="1" t="s">
        <v>260</v>
      </c>
      <c r="GK1378" s="1" t="s">
        <v>210</v>
      </c>
      <c r="GL1378" s="2">
        <v>42108</v>
      </c>
      <c r="GM1378" s="2" t="s">
        <v>13726</v>
      </c>
    </row>
    <row r="1379" spans="1:195">
      <c r="A1379" s="1">
        <v>145000</v>
      </c>
      <c r="B1379" s="1" t="s">
        <v>195</v>
      </c>
      <c r="C1379" s="1" t="str">
        <f>"08671436"</f>
        <v>08671436</v>
      </c>
      <c r="D1379" s="1" t="s">
        <v>196</v>
      </c>
      <c r="F1379" s="1" t="str">
        <f>"540"</f>
        <v>540</v>
      </c>
      <c r="G1379" s="2">
        <v>41833</v>
      </c>
      <c r="H1379" s="1">
        <v>146900</v>
      </c>
      <c r="I1379" s="1">
        <v>146900</v>
      </c>
      <c r="J1379" s="1">
        <v>145000</v>
      </c>
      <c r="K1379" s="2">
        <v>41832</v>
      </c>
      <c r="L1379" s="1">
        <v>263</v>
      </c>
      <c r="M1379" s="2">
        <v>42094</v>
      </c>
      <c r="N1379" s="1">
        <v>263</v>
      </c>
      <c r="O1379" s="2">
        <v>42094</v>
      </c>
      <c r="P1379" s="1">
        <v>23177</v>
      </c>
      <c r="Q1379" s="1" t="s">
        <v>197</v>
      </c>
      <c r="R1379" s="2">
        <v>42135</v>
      </c>
      <c r="S1379" s="1">
        <v>229340</v>
      </c>
      <c r="U1379" s="1">
        <v>2912</v>
      </c>
      <c r="V1379" s="1" t="s">
        <v>6750</v>
      </c>
      <c r="W1379" s="1" t="s">
        <v>264</v>
      </c>
      <c r="X1379" s="1">
        <v>2912</v>
      </c>
      <c r="Y1379" s="1">
        <v>6</v>
      </c>
      <c r="Z1379" s="1" t="s">
        <v>249</v>
      </c>
      <c r="AA1379" s="1" t="s">
        <v>921</v>
      </c>
      <c r="AB1379" s="1">
        <v>60564</v>
      </c>
      <c r="AE1379" s="1" t="s">
        <v>13727</v>
      </c>
      <c r="AF1379" s="1">
        <v>1999</v>
      </c>
      <c r="AG1379" s="1" t="s">
        <v>204</v>
      </c>
      <c r="AH1379" s="1" t="s">
        <v>924</v>
      </c>
      <c r="AI1379" s="1" t="s">
        <v>1800</v>
      </c>
      <c r="AJ1379" s="1" t="s">
        <v>1801</v>
      </c>
      <c r="AL1379" s="1">
        <v>4</v>
      </c>
      <c r="AM1379" s="1">
        <v>2</v>
      </c>
      <c r="AN1379" s="1">
        <v>1</v>
      </c>
      <c r="AO1379" s="1">
        <v>1</v>
      </c>
      <c r="AP1379" s="1" t="s">
        <v>209</v>
      </c>
      <c r="AQ1379" s="1">
        <v>1</v>
      </c>
      <c r="AR1379" s="1" t="s">
        <v>210</v>
      </c>
      <c r="AS1379" s="1" t="s">
        <v>204</v>
      </c>
      <c r="AT1379" s="1" t="s">
        <v>211</v>
      </c>
      <c r="AU1379" s="1">
        <v>1</v>
      </c>
      <c r="AW1379" s="1" t="s">
        <v>204</v>
      </c>
      <c r="AX1379" s="1" t="s">
        <v>212</v>
      </c>
      <c r="AZ1379" s="1">
        <v>3263</v>
      </c>
      <c r="BA1379" s="1">
        <v>2012</v>
      </c>
      <c r="BB1379" s="1" t="s">
        <v>405</v>
      </c>
      <c r="BE1379" s="1">
        <v>928</v>
      </c>
      <c r="BF1379" s="1">
        <v>1</v>
      </c>
      <c r="BG1379" s="1">
        <v>7</v>
      </c>
      <c r="BL1379" s="1">
        <v>134</v>
      </c>
      <c r="BM1379" s="1" t="s">
        <v>204</v>
      </c>
      <c r="BN1379" s="1" t="s">
        <v>213</v>
      </c>
      <c r="BO1379" s="1">
        <v>999</v>
      </c>
      <c r="BP1379" s="1" t="s">
        <v>204</v>
      </c>
      <c r="BR1379" s="1" t="str">
        <f>"01033041107100"</f>
        <v>01033041107100</v>
      </c>
      <c r="BT1379" s="1" t="s">
        <v>13728</v>
      </c>
      <c r="BX1379" s="1">
        <v>204</v>
      </c>
      <c r="BY1379" s="1">
        <v>204</v>
      </c>
      <c r="BZ1379" s="1">
        <v>204</v>
      </c>
      <c r="CB1379" s="1" t="str">
        <f t="shared" ref="CB1379:CC1379" si="1056">""</f>
        <v/>
      </c>
      <c r="CC1379" s="1" t="str">
        <f t="shared" si="1056"/>
        <v/>
      </c>
      <c r="CG1379" s="1" t="s">
        <v>4556</v>
      </c>
      <c r="CH1379" s="1" t="s">
        <v>219</v>
      </c>
      <c r="CI1379" s="1" t="s">
        <v>220</v>
      </c>
      <c r="CJ1379" s="1" t="s">
        <v>343</v>
      </c>
      <c r="CK1379" s="1" t="s">
        <v>1788</v>
      </c>
      <c r="CL1379" s="1" t="s">
        <v>219</v>
      </c>
      <c r="CM1379" s="1" t="s">
        <v>220</v>
      </c>
      <c r="CN1379" s="1" t="s">
        <v>343</v>
      </c>
      <c r="CP1379" s="1" t="s">
        <v>224</v>
      </c>
      <c r="CS1379" s="1" t="s">
        <v>407</v>
      </c>
      <c r="CT1379" s="1" t="s">
        <v>219</v>
      </c>
      <c r="CU1379" s="1" t="s">
        <v>220</v>
      </c>
      <c r="CV1379" s="1" t="s">
        <v>343</v>
      </c>
      <c r="CX1379" s="1" t="s">
        <v>224</v>
      </c>
      <c r="DB1379" s="1" t="s">
        <v>224</v>
      </c>
      <c r="DE1379" s="1" t="s">
        <v>407</v>
      </c>
      <c r="DF1379" s="1" t="s">
        <v>219</v>
      </c>
      <c r="DG1379" s="1" t="s">
        <v>342</v>
      </c>
      <c r="DJ1379" s="1" t="s">
        <v>224</v>
      </c>
      <c r="DS1379" s="1" t="s">
        <v>230</v>
      </c>
      <c r="DW1379" s="1" t="s">
        <v>230</v>
      </c>
      <c r="EA1379" s="1" t="s">
        <v>230</v>
      </c>
      <c r="EE1379" s="1" t="s">
        <v>230</v>
      </c>
      <c r="EI1379" s="1" t="s">
        <v>230</v>
      </c>
      <c r="EL1379" s="1" t="s">
        <v>670</v>
      </c>
      <c r="EM1379" s="1" t="s">
        <v>232</v>
      </c>
      <c r="EN1379" s="1" t="s">
        <v>282</v>
      </c>
      <c r="EO1379" s="1" t="s">
        <v>234</v>
      </c>
      <c r="ER1379" s="1" t="s">
        <v>210</v>
      </c>
      <c r="EW1379" s="1" t="s">
        <v>887</v>
      </c>
      <c r="EY1379" s="1" t="s">
        <v>242</v>
      </c>
      <c r="EZ1379" s="1" t="s">
        <v>287</v>
      </c>
      <c r="FD1379" s="1" t="s">
        <v>246</v>
      </c>
      <c r="FE1379" s="1" t="s">
        <v>975</v>
      </c>
      <c r="FF1379" s="1" t="s">
        <v>248</v>
      </c>
      <c r="FG1379" s="1" t="s">
        <v>912</v>
      </c>
      <c r="FH1379" s="1" t="s">
        <v>249</v>
      </c>
      <c r="FI1379" s="1" t="s">
        <v>4358</v>
      </c>
      <c r="FL1379" s="1" t="s">
        <v>414</v>
      </c>
      <c r="FM1379" s="1" t="s">
        <v>252</v>
      </c>
      <c r="FN1379" s="1" t="s">
        <v>213</v>
      </c>
      <c r="FO1379" s="1" t="s">
        <v>213</v>
      </c>
      <c r="FQ1379" s="1" t="s">
        <v>4425</v>
      </c>
      <c r="FR1379" s="1" t="s">
        <v>210</v>
      </c>
      <c r="FS1379" s="1" t="s">
        <v>13729</v>
      </c>
      <c r="FT1379" s="1" t="s">
        <v>295</v>
      </c>
      <c r="FU1379" s="1" t="s">
        <v>204</v>
      </c>
      <c r="FW1379" s="1" t="s">
        <v>813</v>
      </c>
      <c r="FX1379" s="1">
        <v>72505</v>
      </c>
      <c r="FY1379" s="1" t="s">
        <v>9297</v>
      </c>
      <c r="FZ1379" s="1" t="s">
        <v>13730</v>
      </c>
      <c r="GA1379" s="1">
        <v>700252</v>
      </c>
      <c r="GB1379" s="1" t="s">
        <v>13731</v>
      </c>
      <c r="GE1379" s="1" t="s">
        <v>210</v>
      </c>
      <c r="GI1379" s="1" t="s">
        <v>213</v>
      </c>
      <c r="GJ1379" s="1" t="s">
        <v>260</v>
      </c>
      <c r="GK1379" s="1" t="s">
        <v>210</v>
      </c>
      <c r="GL1379" s="2">
        <v>42137</v>
      </c>
      <c r="GM1379" s="1" t="s">
        <v>13732</v>
      </c>
    </row>
    <row r="1380" spans="1:195">
      <c r="A1380" s="1">
        <v>106600</v>
      </c>
      <c r="B1380" s="1" t="s">
        <v>195</v>
      </c>
      <c r="C1380" s="1" t="str">
        <f>"08676684"</f>
        <v>08676684</v>
      </c>
      <c r="D1380" s="1" t="s">
        <v>196</v>
      </c>
      <c r="F1380" s="1" t="str">
        <f>"507"</f>
        <v>507</v>
      </c>
      <c r="G1380" s="2">
        <v>41838</v>
      </c>
      <c r="H1380" s="1">
        <v>109900</v>
      </c>
      <c r="I1380" s="1">
        <v>108000</v>
      </c>
      <c r="J1380" s="1">
        <v>106600</v>
      </c>
      <c r="K1380" s="2">
        <v>41836</v>
      </c>
      <c r="L1380" s="1">
        <v>108</v>
      </c>
      <c r="M1380" s="2">
        <v>41943</v>
      </c>
      <c r="N1380" s="1">
        <v>108</v>
      </c>
      <c r="O1380" s="2">
        <v>41943</v>
      </c>
      <c r="P1380" s="1">
        <v>30</v>
      </c>
      <c r="Q1380" s="1" t="s">
        <v>197</v>
      </c>
      <c r="R1380" s="2">
        <v>42034</v>
      </c>
      <c r="S1380" s="1">
        <v>8173</v>
      </c>
      <c r="U1380" s="1">
        <v>2420</v>
      </c>
      <c r="V1380" s="1" t="s">
        <v>3924</v>
      </c>
      <c r="W1380" s="1" t="s">
        <v>449</v>
      </c>
      <c r="X1380" s="1">
        <v>1</v>
      </c>
      <c r="Y1380" s="1">
        <v>5</v>
      </c>
      <c r="Z1380" s="1" t="s">
        <v>370</v>
      </c>
      <c r="AA1380" s="1" t="s">
        <v>1123</v>
      </c>
      <c r="AB1380" s="1">
        <v>60506</v>
      </c>
      <c r="AE1380" s="1" t="s">
        <v>13733</v>
      </c>
      <c r="AF1380" s="1">
        <v>1999</v>
      </c>
      <c r="AG1380" s="1" t="s">
        <v>204</v>
      </c>
      <c r="AH1380" s="1" t="s">
        <v>1126</v>
      </c>
      <c r="AI1380" s="1" t="s">
        <v>665</v>
      </c>
      <c r="AJ1380" s="1" t="s">
        <v>1126</v>
      </c>
      <c r="AL1380" s="1">
        <v>6</v>
      </c>
      <c r="AM1380" s="1">
        <v>2</v>
      </c>
      <c r="AN1380" s="1">
        <v>2</v>
      </c>
      <c r="AO1380" s="1">
        <v>0</v>
      </c>
      <c r="AP1380" s="1" t="s">
        <v>209</v>
      </c>
      <c r="AR1380" s="1" t="s">
        <v>1421</v>
      </c>
      <c r="AS1380" s="1" t="s">
        <v>204</v>
      </c>
      <c r="AT1380" s="1" t="s">
        <v>211</v>
      </c>
      <c r="AU1380" s="1">
        <v>2</v>
      </c>
      <c r="AW1380" s="1" t="s">
        <v>204</v>
      </c>
      <c r="AX1380" s="1" t="s">
        <v>212</v>
      </c>
      <c r="AZ1380" s="1">
        <v>4508</v>
      </c>
      <c r="BA1380" s="1">
        <v>2013</v>
      </c>
      <c r="BE1380" s="1">
        <v>1270</v>
      </c>
      <c r="BF1380" s="1">
        <v>1</v>
      </c>
      <c r="BG1380" s="1">
        <v>0</v>
      </c>
      <c r="BL1380" s="1">
        <v>154</v>
      </c>
      <c r="BM1380" s="1" t="s">
        <v>204</v>
      </c>
      <c r="BN1380" s="1" t="s">
        <v>213</v>
      </c>
      <c r="BO1380" s="1">
        <v>0</v>
      </c>
      <c r="BP1380" s="1" t="s">
        <v>204</v>
      </c>
      <c r="BR1380" s="1" t="str">
        <f>"1413232016"</f>
        <v>1413232016</v>
      </c>
      <c r="BT1380" s="1" t="s">
        <v>13734</v>
      </c>
      <c r="BX1380" s="1">
        <v>129</v>
      </c>
      <c r="BY1380" s="1">
        <v>129</v>
      </c>
      <c r="BZ1380" s="1">
        <v>129</v>
      </c>
      <c r="CB1380" s="1" t="str">
        <f t="shared" ref="CB1380:CC1380" si="1057">""</f>
        <v/>
      </c>
      <c r="CC1380" s="1" t="str">
        <f t="shared" si="1057"/>
        <v/>
      </c>
      <c r="CG1380" s="1" t="s">
        <v>3083</v>
      </c>
      <c r="CH1380" s="1" t="s">
        <v>219</v>
      </c>
      <c r="CI1380" s="1" t="s">
        <v>220</v>
      </c>
      <c r="CK1380" s="1" t="s">
        <v>2935</v>
      </c>
      <c r="CL1380" s="1" t="s">
        <v>219</v>
      </c>
      <c r="CM1380" s="1" t="s">
        <v>220</v>
      </c>
      <c r="CO1380" s="1" t="s">
        <v>1360</v>
      </c>
      <c r="CP1380" s="1" t="s">
        <v>219</v>
      </c>
      <c r="CQ1380" s="1" t="s">
        <v>220</v>
      </c>
      <c r="CS1380" s="1" t="s">
        <v>1046</v>
      </c>
      <c r="CT1380" s="1" t="s">
        <v>219</v>
      </c>
      <c r="CU1380" s="1" t="s">
        <v>220</v>
      </c>
      <c r="CX1380" s="1" t="s">
        <v>224</v>
      </c>
      <c r="DB1380" s="1" t="s">
        <v>224</v>
      </c>
      <c r="DE1380" s="1" t="s">
        <v>4098</v>
      </c>
      <c r="DF1380" s="1" t="s">
        <v>219</v>
      </c>
      <c r="DG1380" s="1" t="s">
        <v>438</v>
      </c>
      <c r="DJ1380" s="1" t="s">
        <v>224</v>
      </c>
      <c r="DM1380" s="1" t="s">
        <v>411</v>
      </c>
      <c r="DR1380" s="1" t="s">
        <v>346</v>
      </c>
      <c r="DS1380" s="1" t="s">
        <v>822</v>
      </c>
      <c r="DW1380" s="1" t="s">
        <v>230</v>
      </c>
      <c r="EA1380" s="1" t="s">
        <v>230</v>
      </c>
      <c r="EE1380" s="1" t="s">
        <v>230</v>
      </c>
      <c r="EI1380" s="1" t="s">
        <v>230</v>
      </c>
      <c r="EL1380" s="1" t="s">
        <v>466</v>
      </c>
      <c r="EM1380" s="1" t="s">
        <v>319</v>
      </c>
      <c r="EN1380" s="1" t="s">
        <v>282</v>
      </c>
      <c r="EO1380" s="1" t="s">
        <v>234</v>
      </c>
      <c r="ER1380" s="1" t="s">
        <v>544</v>
      </c>
      <c r="EU1380" s="1" t="s">
        <v>239</v>
      </c>
      <c r="EW1380" s="1" t="s">
        <v>867</v>
      </c>
      <c r="EY1380" s="1" t="s">
        <v>441</v>
      </c>
      <c r="EZ1380" s="1" t="s">
        <v>411</v>
      </c>
      <c r="FD1380" s="1" t="s">
        <v>246</v>
      </c>
      <c r="FE1380" s="1" t="s">
        <v>1031</v>
      </c>
      <c r="FF1380" s="1" t="s">
        <v>248</v>
      </c>
      <c r="FH1380" s="1" t="s">
        <v>550</v>
      </c>
      <c r="FL1380" s="1" t="s">
        <v>414</v>
      </c>
      <c r="FM1380" s="1" t="s">
        <v>252</v>
      </c>
      <c r="FN1380" s="1" t="s">
        <v>213</v>
      </c>
      <c r="FO1380" s="1" t="s">
        <v>213</v>
      </c>
      <c r="FQ1380" s="1" t="s">
        <v>9915</v>
      </c>
      <c r="FR1380" s="1" t="s">
        <v>360</v>
      </c>
      <c r="FS1380" s="1" t="s">
        <v>13735</v>
      </c>
      <c r="FT1380" s="1" t="s">
        <v>295</v>
      </c>
      <c r="FU1380" s="1" t="s">
        <v>204</v>
      </c>
      <c r="FW1380" s="1" t="s">
        <v>1652</v>
      </c>
      <c r="FX1380" s="1">
        <v>306</v>
      </c>
      <c r="FY1380" s="1" t="s">
        <v>13736</v>
      </c>
      <c r="FZ1380" s="1" t="s">
        <v>13737</v>
      </c>
      <c r="GA1380" s="1">
        <v>310453</v>
      </c>
      <c r="GB1380" s="1" t="s">
        <v>13738</v>
      </c>
      <c r="GE1380" s="1" t="s">
        <v>480</v>
      </c>
      <c r="GI1380" s="1" t="s">
        <v>213</v>
      </c>
      <c r="GJ1380" s="1" t="s">
        <v>260</v>
      </c>
      <c r="GK1380" s="1" t="s">
        <v>210</v>
      </c>
      <c r="GL1380" s="2">
        <v>42034</v>
      </c>
      <c r="GM1380" s="1" t="s">
        <v>13739</v>
      </c>
    </row>
    <row r="1381" spans="1:195">
      <c r="A1381" s="1">
        <v>15500</v>
      </c>
      <c r="B1381" s="1" t="s">
        <v>195</v>
      </c>
      <c r="C1381" s="1" t="str">
        <f>"08680829"</f>
        <v>08680829</v>
      </c>
      <c r="D1381" s="1" t="s">
        <v>196</v>
      </c>
      <c r="F1381" s="1" t="str">
        <f>"8040"</f>
        <v>8040</v>
      </c>
      <c r="G1381" s="2">
        <v>41843</v>
      </c>
      <c r="H1381" s="1">
        <v>19900</v>
      </c>
      <c r="I1381" s="1">
        <v>17500</v>
      </c>
      <c r="J1381" s="1">
        <v>15500</v>
      </c>
      <c r="K1381" s="2">
        <v>41841</v>
      </c>
      <c r="L1381" s="1">
        <v>247</v>
      </c>
      <c r="M1381" s="2">
        <v>42087</v>
      </c>
      <c r="N1381" s="1">
        <v>247</v>
      </c>
      <c r="O1381" s="2">
        <v>42087</v>
      </c>
      <c r="P1381" s="1">
        <v>85217</v>
      </c>
      <c r="Q1381" s="1" t="s">
        <v>302</v>
      </c>
      <c r="R1381" s="2">
        <v>42118</v>
      </c>
      <c r="S1381" s="1">
        <v>862734</v>
      </c>
      <c r="U1381" s="1">
        <v>5734</v>
      </c>
      <c r="V1381" s="1" t="s">
        <v>13740</v>
      </c>
      <c r="W1381" s="1" t="s">
        <v>264</v>
      </c>
      <c r="X1381" s="1" t="s">
        <v>8124</v>
      </c>
      <c r="Y1381" s="1">
        <v>40</v>
      </c>
      <c r="Z1381" s="1" t="s">
        <v>249</v>
      </c>
      <c r="AA1381" s="1" t="s">
        <v>400</v>
      </c>
      <c r="AB1381" s="1">
        <v>60637</v>
      </c>
      <c r="AE1381" s="1" t="s">
        <v>13741</v>
      </c>
      <c r="AF1381" s="1" t="s">
        <v>402</v>
      </c>
      <c r="AG1381" s="1" t="s">
        <v>213</v>
      </c>
      <c r="AH1381" s="1" t="s">
        <v>403</v>
      </c>
      <c r="AI1381" s="1" t="s">
        <v>310</v>
      </c>
      <c r="AJ1381" s="1" t="s">
        <v>562</v>
      </c>
      <c r="AL1381" s="1">
        <v>5</v>
      </c>
      <c r="AM1381" s="1">
        <v>2</v>
      </c>
      <c r="AN1381" s="1">
        <v>1</v>
      </c>
      <c r="AO1381" s="1">
        <v>0</v>
      </c>
      <c r="AP1381" s="1" t="s">
        <v>667</v>
      </c>
      <c r="AR1381" s="1" t="s">
        <v>210</v>
      </c>
      <c r="AS1381" s="1" t="s">
        <v>204</v>
      </c>
      <c r="AT1381" s="1" t="s">
        <v>210</v>
      </c>
      <c r="AW1381" s="1" t="s">
        <v>204</v>
      </c>
      <c r="AX1381" s="1" t="s">
        <v>212</v>
      </c>
      <c r="AZ1381" s="1">
        <v>1100</v>
      </c>
      <c r="BA1381" s="1">
        <v>2012</v>
      </c>
      <c r="BE1381" s="1">
        <v>0</v>
      </c>
      <c r="BF1381" s="1">
        <v>1</v>
      </c>
      <c r="BG1381" s="1">
        <v>0</v>
      </c>
      <c r="BL1381" s="1">
        <v>245</v>
      </c>
      <c r="BM1381" s="1" t="s">
        <v>413</v>
      </c>
      <c r="BN1381" s="1" t="s">
        <v>204</v>
      </c>
      <c r="BP1381" s="1" t="s">
        <v>204</v>
      </c>
      <c r="BR1381" s="1" t="str">
        <f>"20151180221018"</f>
        <v>20151180221018</v>
      </c>
      <c r="BT1381" s="1" t="s">
        <v>13742</v>
      </c>
      <c r="BX1381" s="1">
        <v>299</v>
      </c>
      <c r="BY1381" s="1">
        <v>299</v>
      </c>
      <c r="BZ1381" s="1">
        <v>299</v>
      </c>
      <c r="CB1381" s="1" t="str">
        <f>"0"</f>
        <v>0</v>
      </c>
      <c r="CC1381" s="1" t="str">
        <f>"400"</f>
        <v>400</v>
      </c>
      <c r="CD1381" s="1">
        <v>0</v>
      </c>
      <c r="CE1381" s="1">
        <v>5734</v>
      </c>
      <c r="CG1381" s="1" t="s">
        <v>1267</v>
      </c>
      <c r="CH1381" s="1" t="s">
        <v>219</v>
      </c>
      <c r="CK1381" s="1" t="s">
        <v>669</v>
      </c>
      <c r="CL1381" s="1" t="s">
        <v>219</v>
      </c>
      <c r="CO1381" s="1" t="s">
        <v>629</v>
      </c>
      <c r="CP1381" s="1" t="s">
        <v>219</v>
      </c>
      <c r="CS1381" s="1" t="s">
        <v>729</v>
      </c>
      <c r="CT1381" s="1" t="s">
        <v>219</v>
      </c>
      <c r="CX1381" s="1" t="s">
        <v>224</v>
      </c>
      <c r="DB1381" s="1" t="s">
        <v>224</v>
      </c>
      <c r="DE1381" s="1" t="s">
        <v>379</v>
      </c>
      <c r="DF1381" s="1" t="s">
        <v>219</v>
      </c>
      <c r="DJ1381" s="1" t="s">
        <v>224</v>
      </c>
      <c r="DS1381" s="1" t="s">
        <v>230</v>
      </c>
      <c r="DW1381" s="1" t="s">
        <v>230</v>
      </c>
      <c r="EA1381" s="1" t="s">
        <v>230</v>
      </c>
      <c r="EE1381" s="1" t="s">
        <v>230</v>
      </c>
      <c r="EI1381" s="1" t="s">
        <v>230</v>
      </c>
      <c r="EL1381" s="1" t="s">
        <v>413</v>
      </c>
      <c r="EM1381" s="1" t="s">
        <v>319</v>
      </c>
      <c r="EN1381" s="1" t="s">
        <v>210</v>
      </c>
      <c r="EO1381" s="1" t="s">
        <v>234</v>
      </c>
      <c r="EP1381" s="1" t="s">
        <v>13743</v>
      </c>
      <c r="ER1381" s="1" t="s">
        <v>210</v>
      </c>
      <c r="ES1381" s="1" t="s">
        <v>322</v>
      </c>
      <c r="EU1381" s="1" t="s">
        <v>610</v>
      </c>
      <c r="EV1381" s="1" t="s">
        <v>240</v>
      </c>
      <c r="EW1381" s="1" t="s">
        <v>937</v>
      </c>
      <c r="EZ1381" s="1" t="s">
        <v>287</v>
      </c>
      <c r="FD1381" s="1" t="s">
        <v>1112</v>
      </c>
      <c r="FE1381" s="1" t="s">
        <v>247</v>
      </c>
      <c r="FF1381" s="1" t="s">
        <v>248</v>
      </c>
      <c r="FH1381" s="1" t="s">
        <v>13744</v>
      </c>
      <c r="FL1381" s="1" t="s">
        <v>358</v>
      </c>
      <c r="FM1381" s="1" t="s">
        <v>252</v>
      </c>
      <c r="FN1381" s="1" t="s">
        <v>213</v>
      </c>
      <c r="FO1381" s="1" t="s">
        <v>213</v>
      </c>
      <c r="FQ1381" s="1" t="s">
        <v>13745</v>
      </c>
      <c r="FR1381" s="1" t="s">
        <v>210</v>
      </c>
      <c r="FS1381" s="1" t="s">
        <v>2541</v>
      </c>
      <c r="FT1381" s="1" t="s">
        <v>362</v>
      </c>
      <c r="FU1381" s="1" t="s">
        <v>204</v>
      </c>
      <c r="FW1381" s="1" t="s">
        <v>5215</v>
      </c>
      <c r="FX1381" s="1">
        <v>23920</v>
      </c>
      <c r="FY1381" s="1" t="s">
        <v>5216</v>
      </c>
      <c r="FZ1381" s="1" t="s">
        <v>5217</v>
      </c>
      <c r="GA1381" s="1">
        <v>604434</v>
      </c>
      <c r="GB1381" s="1" t="s">
        <v>5216</v>
      </c>
      <c r="GE1381" s="1" t="s">
        <v>210</v>
      </c>
      <c r="GH1381" s="1" t="s">
        <v>421</v>
      </c>
      <c r="GI1381" s="1" t="s">
        <v>213</v>
      </c>
      <c r="GJ1381" s="1" t="s">
        <v>260</v>
      </c>
      <c r="GK1381" s="1" t="s">
        <v>210</v>
      </c>
      <c r="GL1381" s="2">
        <v>42123</v>
      </c>
      <c r="GM1381" s="1" t="s">
        <v>13746</v>
      </c>
    </row>
    <row r="1382" spans="1:195">
      <c r="A1382" s="1">
        <v>197500</v>
      </c>
      <c r="B1382" s="1" t="s">
        <v>195</v>
      </c>
      <c r="C1382" s="1" t="str">
        <f>"08677268"</f>
        <v>08677268</v>
      </c>
      <c r="D1382" s="1" t="s">
        <v>196</v>
      </c>
      <c r="F1382" s="1" t="str">
        <f>"174"</f>
        <v>174</v>
      </c>
      <c r="G1382" s="2">
        <v>41838</v>
      </c>
      <c r="H1382" s="1">
        <v>219500</v>
      </c>
      <c r="I1382" s="1">
        <v>205000</v>
      </c>
      <c r="J1382" s="1">
        <v>197500</v>
      </c>
      <c r="K1382" s="2">
        <v>41838</v>
      </c>
      <c r="L1382" s="1">
        <v>163</v>
      </c>
      <c r="M1382" s="2">
        <v>42000</v>
      </c>
      <c r="N1382" s="1">
        <v>163</v>
      </c>
      <c r="O1382" s="2">
        <v>42000</v>
      </c>
      <c r="P1382" s="1">
        <v>23426</v>
      </c>
      <c r="Q1382" s="1" t="s">
        <v>302</v>
      </c>
      <c r="R1382" s="2">
        <v>42062</v>
      </c>
      <c r="S1382" s="1">
        <v>215495</v>
      </c>
      <c r="U1382" s="1">
        <v>849</v>
      </c>
      <c r="V1382" s="1" t="s">
        <v>8925</v>
      </c>
      <c r="W1382" s="1" t="s">
        <v>526</v>
      </c>
      <c r="Y1382" s="1">
        <v>4</v>
      </c>
      <c r="Z1382" s="1" t="s">
        <v>370</v>
      </c>
      <c r="AA1382" s="1" t="s">
        <v>879</v>
      </c>
      <c r="AB1382" s="1">
        <v>60174</v>
      </c>
      <c r="AD1382" s="1" t="s">
        <v>13747</v>
      </c>
      <c r="AE1382" s="1" t="s">
        <v>13748</v>
      </c>
      <c r="AF1382" s="1">
        <v>2004</v>
      </c>
      <c r="AG1382" s="1" t="s">
        <v>204</v>
      </c>
      <c r="AH1382" s="1" t="s">
        <v>883</v>
      </c>
      <c r="AI1382" s="1" t="s">
        <v>206</v>
      </c>
      <c r="AJ1382" s="1" t="s">
        <v>2654</v>
      </c>
      <c r="AK1382" s="1" t="s">
        <v>3642</v>
      </c>
      <c r="AL1382" s="1">
        <v>8</v>
      </c>
      <c r="AM1382" s="1">
        <v>2</v>
      </c>
      <c r="AN1382" s="1">
        <v>2</v>
      </c>
      <c r="AO1382" s="1">
        <v>0</v>
      </c>
      <c r="AP1382" s="1" t="s">
        <v>209</v>
      </c>
      <c r="AQ1382" s="1">
        <v>1</v>
      </c>
      <c r="AR1382" s="1" t="s">
        <v>209</v>
      </c>
      <c r="AS1382" s="1" t="s">
        <v>204</v>
      </c>
      <c r="AT1382" s="1" t="s">
        <v>211</v>
      </c>
      <c r="AU1382" s="1">
        <v>2</v>
      </c>
      <c r="AW1382" s="1" t="s">
        <v>204</v>
      </c>
      <c r="AX1382" s="1" t="s">
        <v>212</v>
      </c>
      <c r="AZ1382" s="1">
        <v>4230</v>
      </c>
      <c r="BA1382" s="1">
        <v>2013</v>
      </c>
      <c r="BB1382" s="1" t="s">
        <v>405</v>
      </c>
      <c r="BE1382" s="1">
        <v>1914</v>
      </c>
      <c r="BF1382" s="1">
        <v>1</v>
      </c>
      <c r="BG1382" s="1">
        <v>0</v>
      </c>
      <c r="BL1382" s="1">
        <v>250</v>
      </c>
      <c r="BM1382" s="1" t="s">
        <v>204</v>
      </c>
      <c r="BN1382" s="1" t="s">
        <v>213</v>
      </c>
      <c r="BO1382" s="1">
        <v>50</v>
      </c>
      <c r="BP1382" s="1" t="s">
        <v>204</v>
      </c>
      <c r="BR1382" s="1" t="str">
        <f>"0130103211"</f>
        <v>0130103211</v>
      </c>
      <c r="BT1382" s="1" t="s">
        <v>13749</v>
      </c>
      <c r="BU1382" s="1" t="s">
        <v>8722</v>
      </c>
      <c r="BV1382" s="1" t="s">
        <v>2118</v>
      </c>
      <c r="BW1382" s="1" t="s">
        <v>13750</v>
      </c>
      <c r="BX1382" s="1">
        <v>303</v>
      </c>
      <c r="BY1382" s="1">
        <v>303</v>
      </c>
      <c r="BZ1382" s="1">
        <v>303</v>
      </c>
      <c r="CB1382" s="1" t="str">
        <f>"3"</f>
        <v>3</v>
      </c>
      <c r="CC1382" s="1" t="str">
        <f>"0"</f>
        <v>0</v>
      </c>
      <c r="CD1382" s="1">
        <v>32</v>
      </c>
      <c r="CE1382" s="1">
        <v>0</v>
      </c>
      <c r="CG1382" s="1" t="s">
        <v>437</v>
      </c>
      <c r="CH1382" s="1" t="s">
        <v>219</v>
      </c>
      <c r="CI1382" s="1" t="s">
        <v>220</v>
      </c>
      <c r="CK1382" s="1" t="s">
        <v>278</v>
      </c>
      <c r="CL1382" s="1" t="s">
        <v>219</v>
      </c>
      <c r="CM1382" s="1" t="s">
        <v>220</v>
      </c>
      <c r="CO1382" s="1" t="s">
        <v>379</v>
      </c>
      <c r="CP1382" s="1" t="s">
        <v>219</v>
      </c>
      <c r="CQ1382" s="1" t="s">
        <v>438</v>
      </c>
      <c r="CS1382" s="1" t="s">
        <v>379</v>
      </c>
      <c r="CT1382" s="1" t="s">
        <v>219</v>
      </c>
      <c r="CU1382" s="1" t="s">
        <v>220</v>
      </c>
      <c r="CX1382" s="1" t="s">
        <v>224</v>
      </c>
      <c r="DB1382" s="1" t="s">
        <v>224</v>
      </c>
      <c r="DE1382" s="1" t="s">
        <v>317</v>
      </c>
      <c r="DF1382" s="1" t="s">
        <v>219</v>
      </c>
      <c r="DG1382" s="1" t="s">
        <v>226</v>
      </c>
      <c r="DH1382" s="1" t="s">
        <v>210</v>
      </c>
      <c r="DI1382" s="1" t="s">
        <v>9164</v>
      </c>
      <c r="DJ1382" s="1" t="s">
        <v>822</v>
      </c>
      <c r="DK1382" s="1" t="s">
        <v>220</v>
      </c>
      <c r="DM1382" s="1" t="s">
        <v>464</v>
      </c>
      <c r="DN1382" s="1" t="s">
        <v>934</v>
      </c>
      <c r="DR1382" s="1" t="s">
        <v>281</v>
      </c>
      <c r="DS1382" s="1" t="s">
        <v>219</v>
      </c>
      <c r="DT1382" s="1" t="s">
        <v>220</v>
      </c>
      <c r="DV1382" s="1" t="s">
        <v>12256</v>
      </c>
      <c r="DW1382" s="1" t="s">
        <v>219</v>
      </c>
      <c r="DX1382" s="1" t="s">
        <v>220</v>
      </c>
      <c r="EA1382" s="1" t="s">
        <v>230</v>
      </c>
      <c r="EE1382" s="1" t="s">
        <v>230</v>
      </c>
      <c r="EI1382" s="1" t="s">
        <v>230</v>
      </c>
      <c r="EL1382" s="1" t="s">
        <v>491</v>
      </c>
      <c r="EM1382" s="1" t="s">
        <v>319</v>
      </c>
      <c r="EN1382" s="1" t="s">
        <v>282</v>
      </c>
      <c r="EO1382" s="1" t="s">
        <v>234</v>
      </c>
      <c r="EQ1382" s="1" t="s">
        <v>350</v>
      </c>
      <c r="ER1382" s="1" t="s">
        <v>544</v>
      </c>
      <c r="ES1382" s="1" t="s">
        <v>322</v>
      </c>
      <c r="EV1382" s="1" t="s">
        <v>324</v>
      </c>
      <c r="EW1382" s="1" t="s">
        <v>353</v>
      </c>
      <c r="EZ1382" s="1" t="s">
        <v>3875</v>
      </c>
      <c r="FA1382" s="1" t="s">
        <v>6201</v>
      </c>
      <c r="FC1382" s="1" t="s">
        <v>4152</v>
      </c>
      <c r="FD1382" s="1" t="s">
        <v>246</v>
      </c>
      <c r="FE1382" s="1" t="s">
        <v>247</v>
      </c>
      <c r="FF1382" s="1" t="s">
        <v>248</v>
      </c>
      <c r="FH1382" s="1" t="s">
        <v>550</v>
      </c>
      <c r="FL1382" s="1" t="s">
        <v>358</v>
      </c>
      <c r="FM1382" s="1" t="s">
        <v>252</v>
      </c>
      <c r="FN1382" s="1" t="s">
        <v>213</v>
      </c>
      <c r="FO1382" s="1" t="s">
        <v>213</v>
      </c>
      <c r="FQ1382" s="1" t="s">
        <v>1758</v>
      </c>
      <c r="FR1382" s="1" t="s">
        <v>210</v>
      </c>
      <c r="FS1382" s="1" t="s">
        <v>13751</v>
      </c>
      <c r="FT1382" s="1" t="s">
        <v>295</v>
      </c>
      <c r="FU1382" s="1" t="s">
        <v>204</v>
      </c>
      <c r="FW1382" s="1" t="s">
        <v>676</v>
      </c>
      <c r="FX1382" s="1">
        <v>30</v>
      </c>
      <c r="FY1382" s="1" t="s">
        <v>677</v>
      </c>
      <c r="FZ1382" s="1" t="s">
        <v>13752</v>
      </c>
      <c r="GA1382" s="1">
        <v>497</v>
      </c>
      <c r="GB1382" s="1" t="s">
        <v>13753</v>
      </c>
      <c r="GC1382" s="1">
        <v>8177</v>
      </c>
      <c r="GD1382" s="1">
        <v>8177</v>
      </c>
      <c r="GE1382" s="1" t="s">
        <v>210</v>
      </c>
      <c r="GI1382" s="1" t="s">
        <v>213</v>
      </c>
      <c r="GJ1382" s="1" t="s">
        <v>260</v>
      </c>
      <c r="GK1382" s="1" t="s">
        <v>210</v>
      </c>
      <c r="GL1382" s="2">
        <v>42062</v>
      </c>
    </row>
    <row r="1383" spans="1:195">
      <c r="A1383" s="1">
        <v>81900</v>
      </c>
      <c r="B1383" s="1" t="s">
        <v>195</v>
      </c>
      <c r="C1383" s="1" t="str">
        <f>"08678219"</f>
        <v>08678219</v>
      </c>
      <c r="D1383" s="1" t="s">
        <v>196</v>
      </c>
      <c r="F1383" s="1" t="str">
        <f>"187"</f>
        <v>187</v>
      </c>
      <c r="G1383" s="2">
        <v>41840</v>
      </c>
      <c r="H1383" s="1">
        <v>136900</v>
      </c>
      <c r="I1383" s="1">
        <v>109900</v>
      </c>
      <c r="J1383" s="1">
        <v>81900</v>
      </c>
      <c r="K1383" s="2">
        <v>41840</v>
      </c>
      <c r="L1383" s="1">
        <v>186</v>
      </c>
      <c r="M1383" s="2">
        <v>42025</v>
      </c>
      <c r="N1383" s="1">
        <v>186</v>
      </c>
      <c r="O1383" s="2">
        <v>42025</v>
      </c>
      <c r="P1383" s="1">
        <v>23705</v>
      </c>
      <c r="Q1383" s="1" t="s">
        <v>302</v>
      </c>
      <c r="R1383" s="2">
        <v>42061</v>
      </c>
      <c r="S1383" s="1">
        <v>238897</v>
      </c>
      <c r="U1383" s="1">
        <v>1675</v>
      </c>
      <c r="V1383" s="1" t="s">
        <v>12371</v>
      </c>
      <c r="W1383" s="1" t="s">
        <v>304</v>
      </c>
      <c r="X1383" s="1" t="s">
        <v>1000</v>
      </c>
      <c r="Y1383" s="1">
        <v>4</v>
      </c>
      <c r="Z1383" s="1" t="s">
        <v>370</v>
      </c>
      <c r="AA1383" s="1" t="s">
        <v>964</v>
      </c>
      <c r="AB1383" s="1">
        <v>60189</v>
      </c>
      <c r="AD1383" s="1" t="s">
        <v>965</v>
      </c>
      <c r="AE1383" s="1" t="s">
        <v>13754</v>
      </c>
      <c r="AF1383" s="1">
        <v>1974</v>
      </c>
      <c r="AG1383" s="1" t="s">
        <v>213</v>
      </c>
      <c r="AH1383" s="1" t="s">
        <v>967</v>
      </c>
      <c r="AI1383" s="1" t="s">
        <v>206</v>
      </c>
      <c r="AJ1383" s="1" t="s">
        <v>207</v>
      </c>
      <c r="AL1383" s="1">
        <v>6</v>
      </c>
      <c r="AM1383" s="1">
        <v>2</v>
      </c>
      <c r="AN1383" s="1">
        <v>1</v>
      </c>
      <c r="AO1383" s="1">
        <v>1</v>
      </c>
      <c r="AP1383" s="1" t="s">
        <v>210</v>
      </c>
      <c r="AR1383" s="1" t="s">
        <v>209</v>
      </c>
      <c r="AS1383" s="1" t="s">
        <v>204</v>
      </c>
      <c r="AT1383" s="1" t="s">
        <v>271</v>
      </c>
      <c r="AV1383" s="1">
        <v>2</v>
      </c>
      <c r="AW1383" s="1" t="s">
        <v>204</v>
      </c>
      <c r="AX1383" s="1" t="s">
        <v>212</v>
      </c>
      <c r="AZ1383" s="1">
        <v>3355</v>
      </c>
      <c r="BA1383" s="1">
        <v>2013</v>
      </c>
      <c r="BB1383" s="1" t="s">
        <v>405</v>
      </c>
      <c r="BE1383" s="1">
        <v>968</v>
      </c>
      <c r="BF1383" s="1">
        <v>1</v>
      </c>
      <c r="BG1383" s="1">
        <v>0</v>
      </c>
      <c r="BL1383" s="1">
        <v>172</v>
      </c>
      <c r="BM1383" s="1" t="s">
        <v>204</v>
      </c>
      <c r="BN1383" s="1" t="s">
        <v>213</v>
      </c>
      <c r="BO1383" s="1">
        <v>25</v>
      </c>
      <c r="BP1383" s="1" t="s">
        <v>204</v>
      </c>
      <c r="BR1383" s="1" t="str">
        <f>"0527106162"</f>
        <v>0527106162</v>
      </c>
      <c r="BT1383" s="1" t="s">
        <v>13755</v>
      </c>
      <c r="BX1383" s="1">
        <v>200</v>
      </c>
      <c r="BY1383" s="1">
        <v>200</v>
      </c>
      <c r="BZ1383" s="1">
        <v>200</v>
      </c>
      <c r="CB1383" s="1" t="str">
        <f t="shared" ref="CB1383:CC1383" si="1058">"0"</f>
        <v>0</v>
      </c>
      <c r="CC1383" s="1" t="str">
        <f t="shared" si="1058"/>
        <v>0</v>
      </c>
      <c r="CD1383" s="1">
        <v>23</v>
      </c>
      <c r="CE1383" s="1">
        <v>2</v>
      </c>
      <c r="CG1383" s="1" t="s">
        <v>581</v>
      </c>
      <c r="CH1383" s="1" t="s">
        <v>219</v>
      </c>
      <c r="CI1383" s="1" t="s">
        <v>438</v>
      </c>
      <c r="CK1383" s="1" t="s">
        <v>223</v>
      </c>
      <c r="CL1383" s="1" t="s">
        <v>277</v>
      </c>
      <c r="CM1383" s="1" t="s">
        <v>220</v>
      </c>
      <c r="CO1383" s="1" t="s">
        <v>516</v>
      </c>
      <c r="CP1383" s="1" t="s">
        <v>219</v>
      </c>
      <c r="CQ1383" s="1" t="s">
        <v>438</v>
      </c>
      <c r="CS1383" s="1" t="s">
        <v>1046</v>
      </c>
      <c r="CT1383" s="1" t="s">
        <v>277</v>
      </c>
      <c r="CU1383" s="1" t="s">
        <v>220</v>
      </c>
      <c r="CX1383" s="1" t="s">
        <v>224</v>
      </c>
      <c r="DB1383" s="1" t="s">
        <v>224</v>
      </c>
      <c r="DE1383" s="1" t="s">
        <v>2138</v>
      </c>
      <c r="DF1383" s="1" t="s">
        <v>219</v>
      </c>
      <c r="DG1383" s="1" t="s">
        <v>438</v>
      </c>
      <c r="DI1383" s="1" t="s">
        <v>437</v>
      </c>
      <c r="DJ1383" s="1" t="s">
        <v>822</v>
      </c>
      <c r="DK1383" s="1" t="s">
        <v>220</v>
      </c>
      <c r="DS1383" s="1" t="s">
        <v>230</v>
      </c>
      <c r="DW1383" s="1" t="s">
        <v>230</v>
      </c>
      <c r="EA1383" s="1" t="s">
        <v>230</v>
      </c>
      <c r="EE1383" s="1" t="s">
        <v>230</v>
      </c>
      <c r="EI1383" s="1" t="s">
        <v>230</v>
      </c>
      <c r="EL1383" s="1" t="s">
        <v>231</v>
      </c>
      <c r="EM1383" s="1" t="s">
        <v>232</v>
      </c>
      <c r="EN1383" s="1" t="s">
        <v>282</v>
      </c>
      <c r="EO1383" s="1" t="s">
        <v>234</v>
      </c>
      <c r="EP1383" s="1" t="s">
        <v>10667</v>
      </c>
      <c r="EQ1383" s="1" t="s">
        <v>492</v>
      </c>
      <c r="ER1383" s="1" t="s">
        <v>351</v>
      </c>
      <c r="EU1383" s="1" t="s">
        <v>239</v>
      </c>
      <c r="EV1383" s="1" t="s">
        <v>352</v>
      </c>
      <c r="EW1383" s="1" t="s">
        <v>2205</v>
      </c>
      <c r="EZ1383" s="1" t="s">
        <v>287</v>
      </c>
      <c r="FB1383" s="1" t="s">
        <v>289</v>
      </c>
      <c r="FD1383" s="1" t="s">
        <v>246</v>
      </c>
      <c r="FE1383" s="1" t="s">
        <v>472</v>
      </c>
      <c r="FF1383" s="1" t="s">
        <v>248</v>
      </c>
      <c r="FH1383" s="1" t="s">
        <v>13756</v>
      </c>
      <c r="FK1383" s="1" t="s">
        <v>2309</v>
      </c>
      <c r="FL1383" s="1" t="s">
        <v>414</v>
      </c>
      <c r="FM1383" s="1" t="s">
        <v>252</v>
      </c>
      <c r="FN1383" s="1" t="s">
        <v>213</v>
      </c>
      <c r="FO1383" s="1" t="s">
        <v>213</v>
      </c>
      <c r="FQ1383" s="1" t="s">
        <v>2562</v>
      </c>
      <c r="FR1383" s="1" t="s">
        <v>210</v>
      </c>
      <c r="FS1383" s="1" t="s">
        <v>5145</v>
      </c>
      <c r="FT1383" s="1" t="s">
        <v>362</v>
      </c>
      <c r="FU1383" s="1" t="s">
        <v>204</v>
      </c>
      <c r="FW1383" s="1" t="s">
        <v>1050</v>
      </c>
      <c r="FX1383" s="1">
        <v>23025</v>
      </c>
      <c r="FY1383" s="1" t="s">
        <v>1051</v>
      </c>
      <c r="FZ1383" s="1" t="s">
        <v>1052</v>
      </c>
      <c r="GA1383" s="1">
        <v>233762</v>
      </c>
      <c r="GB1383" s="1" t="s">
        <v>1053</v>
      </c>
      <c r="GE1383" s="1" t="s">
        <v>480</v>
      </c>
      <c r="GI1383" s="1" t="s">
        <v>213</v>
      </c>
      <c r="GJ1383" s="1" t="s">
        <v>260</v>
      </c>
      <c r="GK1383" s="1" t="s">
        <v>210</v>
      </c>
      <c r="GL1383" s="2">
        <v>42061</v>
      </c>
      <c r="GM1383" s="1" t="s">
        <v>13757</v>
      </c>
    </row>
    <row r="1384" spans="1:195">
      <c r="A1384" s="1">
        <v>169000</v>
      </c>
      <c r="B1384" s="1" t="s">
        <v>195</v>
      </c>
      <c r="C1384" s="1" t="str">
        <f>"08674988"</f>
        <v>08674988</v>
      </c>
      <c r="D1384" s="1" t="s">
        <v>196</v>
      </c>
      <c r="F1384" s="1" t="str">
        <f>"108"</f>
        <v>108</v>
      </c>
      <c r="G1384" s="2">
        <v>41836</v>
      </c>
      <c r="H1384" s="1">
        <v>190000</v>
      </c>
      <c r="I1384" s="1">
        <v>179900</v>
      </c>
      <c r="J1384" s="1">
        <v>169000</v>
      </c>
      <c r="K1384" s="2">
        <v>41836</v>
      </c>
      <c r="L1384" s="1">
        <v>121</v>
      </c>
      <c r="M1384" s="2">
        <v>41956</v>
      </c>
      <c r="N1384" s="1">
        <v>121</v>
      </c>
      <c r="O1384" s="2">
        <v>41956</v>
      </c>
      <c r="P1384" s="1">
        <v>22029</v>
      </c>
      <c r="Q1384" s="1" t="s">
        <v>423</v>
      </c>
      <c r="R1384" s="2">
        <v>41996</v>
      </c>
      <c r="S1384" s="1">
        <v>256857</v>
      </c>
      <c r="U1384" s="1">
        <v>248</v>
      </c>
      <c r="V1384" s="1" t="s">
        <v>13758</v>
      </c>
      <c r="W1384" s="1" t="s">
        <v>504</v>
      </c>
      <c r="Y1384" s="1">
        <v>4</v>
      </c>
      <c r="Z1384" s="1" t="s">
        <v>370</v>
      </c>
      <c r="AA1384" s="1" t="s">
        <v>829</v>
      </c>
      <c r="AB1384" s="1">
        <v>60108</v>
      </c>
      <c r="AD1384" s="1" t="s">
        <v>13759</v>
      </c>
      <c r="AE1384" s="1" t="s">
        <v>13760</v>
      </c>
      <c r="AF1384" s="1">
        <v>1978</v>
      </c>
      <c r="AG1384" s="1" t="s">
        <v>204</v>
      </c>
      <c r="AH1384" s="1" t="s">
        <v>269</v>
      </c>
      <c r="AI1384" s="1" t="s">
        <v>206</v>
      </c>
      <c r="AJ1384" s="1" t="s">
        <v>269</v>
      </c>
      <c r="AL1384" s="1">
        <v>7</v>
      </c>
      <c r="AM1384" s="1">
        <v>2</v>
      </c>
      <c r="AN1384" s="1">
        <v>2</v>
      </c>
      <c r="AO1384" s="1">
        <v>0</v>
      </c>
      <c r="AP1384" s="1" t="s">
        <v>667</v>
      </c>
      <c r="AR1384" s="1" t="s">
        <v>210</v>
      </c>
      <c r="AS1384" s="1" t="s">
        <v>204</v>
      </c>
      <c r="AT1384" s="1" t="s">
        <v>211</v>
      </c>
      <c r="AU1384" s="1">
        <v>1</v>
      </c>
      <c r="AW1384" s="1" t="s">
        <v>204</v>
      </c>
      <c r="AX1384" s="1" t="s">
        <v>13761</v>
      </c>
      <c r="AZ1384" s="1">
        <v>5197</v>
      </c>
      <c r="BA1384" s="1">
        <v>2013</v>
      </c>
      <c r="BB1384" s="1" t="s">
        <v>405</v>
      </c>
      <c r="BE1384" s="1">
        <v>1510</v>
      </c>
      <c r="BF1384" s="1">
        <v>1</v>
      </c>
      <c r="BG1384" s="1">
        <v>0</v>
      </c>
      <c r="BL1384" s="1">
        <v>140</v>
      </c>
      <c r="BM1384" s="1" t="s">
        <v>204</v>
      </c>
      <c r="BN1384" s="1" t="s">
        <v>213</v>
      </c>
      <c r="BO1384" s="1">
        <v>999</v>
      </c>
      <c r="BP1384" s="1" t="s">
        <v>204</v>
      </c>
      <c r="BR1384" s="1" t="str">
        <f>"0223129035"</f>
        <v>0223129035</v>
      </c>
      <c r="BT1384" s="1" t="s">
        <v>13762</v>
      </c>
      <c r="BU1384" s="1" t="s">
        <v>2014</v>
      </c>
      <c r="BV1384" s="1" t="s">
        <v>2015</v>
      </c>
      <c r="BW1384" s="1" t="s">
        <v>1935</v>
      </c>
      <c r="BX1384" s="1">
        <v>15</v>
      </c>
      <c r="BY1384" s="1">
        <v>15</v>
      </c>
      <c r="BZ1384" s="1">
        <v>87</v>
      </c>
      <c r="CB1384" s="1" t="str">
        <f>"4"</f>
        <v>4</v>
      </c>
      <c r="CC1384" s="1" t="str">
        <f>""</f>
        <v/>
      </c>
      <c r="CD1384" s="1">
        <v>22</v>
      </c>
      <c r="CG1384" s="1" t="s">
        <v>1132</v>
      </c>
      <c r="CH1384" s="1" t="s">
        <v>219</v>
      </c>
      <c r="CI1384" s="1" t="s">
        <v>220</v>
      </c>
      <c r="CK1384" s="1" t="s">
        <v>539</v>
      </c>
      <c r="CL1384" s="1" t="s">
        <v>277</v>
      </c>
      <c r="CM1384" s="1" t="s">
        <v>220</v>
      </c>
      <c r="CO1384" s="1" t="s">
        <v>346</v>
      </c>
      <c r="CP1384" s="1" t="s">
        <v>219</v>
      </c>
      <c r="CQ1384" s="1" t="s">
        <v>220</v>
      </c>
      <c r="CS1384" s="1" t="s">
        <v>837</v>
      </c>
      <c r="CT1384" s="1" t="s">
        <v>277</v>
      </c>
      <c r="CU1384" s="1" t="s">
        <v>220</v>
      </c>
      <c r="CX1384" s="1" t="s">
        <v>224</v>
      </c>
      <c r="DB1384" s="1" t="s">
        <v>224</v>
      </c>
      <c r="DE1384" s="1" t="s">
        <v>1046</v>
      </c>
      <c r="DF1384" s="1" t="s">
        <v>219</v>
      </c>
      <c r="DG1384" s="1" t="s">
        <v>226</v>
      </c>
      <c r="DI1384" s="1" t="s">
        <v>346</v>
      </c>
      <c r="DJ1384" s="1" t="s">
        <v>219</v>
      </c>
      <c r="DK1384" s="1" t="s">
        <v>220</v>
      </c>
      <c r="DM1384" s="1" t="s">
        <v>3592</v>
      </c>
      <c r="DR1384" s="1" t="s">
        <v>785</v>
      </c>
      <c r="DS1384" s="1" t="s">
        <v>277</v>
      </c>
      <c r="DT1384" s="1" t="s">
        <v>220</v>
      </c>
      <c r="DW1384" s="1" t="s">
        <v>230</v>
      </c>
      <c r="EA1384" s="1" t="s">
        <v>230</v>
      </c>
      <c r="EE1384" s="1" t="s">
        <v>230</v>
      </c>
      <c r="EI1384" s="1" t="s">
        <v>230</v>
      </c>
      <c r="EL1384" s="1" t="s">
        <v>231</v>
      </c>
      <c r="EM1384" s="1" t="s">
        <v>232</v>
      </c>
      <c r="EN1384" s="1" t="s">
        <v>282</v>
      </c>
      <c r="EO1384" s="1" t="s">
        <v>234</v>
      </c>
      <c r="EP1384" s="1" t="s">
        <v>4830</v>
      </c>
      <c r="EQ1384" s="1" t="s">
        <v>13763</v>
      </c>
      <c r="ER1384" s="1" t="s">
        <v>210</v>
      </c>
      <c r="ET1384" s="1" t="s">
        <v>323</v>
      </c>
      <c r="EU1384" s="1" t="s">
        <v>13764</v>
      </c>
      <c r="EV1384" s="1" t="s">
        <v>324</v>
      </c>
      <c r="EW1384" s="1" t="s">
        <v>1426</v>
      </c>
      <c r="EZ1384" s="1" t="s">
        <v>3592</v>
      </c>
      <c r="FA1384" s="1" t="s">
        <v>13765</v>
      </c>
      <c r="FB1384" s="1" t="s">
        <v>289</v>
      </c>
      <c r="FC1384" s="1" t="s">
        <v>1386</v>
      </c>
      <c r="FD1384" s="1" t="s">
        <v>246</v>
      </c>
      <c r="FE1384" s="1" t="s">
        <v>975</v>
      </c>
      <c r="FF1384" s="1" t="s">
        <v>248</v>
      </c>
      <c r="FH1384" s="1" t="s">
        <v>550</v>
      </c>
      <c r="FI1384" s="1" t="s">
        <v>473</v>
      </c>
      <c r="FL1384" s="1" t="s">
        <v>358</v>
      </c>
      <c r="FM1384" s="1" t="s">
        <v>252</v>
      </c>
      <c r="FN1384" s="1" t="s">
        <v>213</v>
      </c>
      <c r="FO1384" s="1" t="s">
        <v>213</v>
      </c>
      <c r="FQ1384" s="1" t="s">
        <v>2017</v>
      </c>
      <c r="FR1384" s="1" t="s">
        <v>652</v>
      </c>
      <c r="FS1384" s="1" t="s">
        <v>13766</v>
      </c>
      <c r="FT1384" s="1" t="s">
        <v>295</v>
      </c>
      <c r="FU1384" s="1" t="s">
        <v>204</v>
      </c>
      <c r="FW1384" s="1" t="s">
        <v>2019</v>
      </c>
      <c r="FX1384" s="1">
        <v>24007</v>
      </c>
      <c r="FY1384" s="1" t="s">
        <v>2020</v>
      </c>
      <c r="FZ1384" s="1" t="s">
        <v>6538</v>
      </c>
      <c r="GA1384" s="1">
        <v>245248</v>
      </c>
      <c r="GB1384" s="1" t="s">
        <v>6539</v>
      </c>
      <c r="GE1384" s="1" t="s">
        <v>480</v>
      </c>
      <c r="GI1384" s="1" t="s">
        <v>213</v>
      </c>
      <c r="GJ1384" s="1" t="s">
        <v>260</v>
      </c>
      <c r="GK1384" s="1" t="s">
        <v>210</v>
      </c>
      <c r="GL1384" s="2">
        <v>41996</v>
      </c>
      <c r="GM1384" s="1" t="s">
        <v>13767</v>
      </c>
    </row>
    <row r="1385" spans="1:195">
      <c r="A1385" s="1">
        <v>120000</v>
      </c>
      <c r="B1385" s="1" t="s">
        <v>195</v>
      </c>
      <c r="C1385" s="1" t="str">
        <f>"08675139"</f>
        <v>08675139</v>
      </c>
      <c r="D1385" s="1" t="s">
        <v>196</v>
      </c>
      <c r="F1385" s="1" t="str">
        <f>"507"</f>
        <v>507</v>
      </c>
      <c r="G1385" s="2">
        <v>41837</v>
      </c>
      <c r="H1385" s="1">
        <v>139900</v>
      </c>
      <c r="I1385" s="1">
        <v>138900</v>
      </c>
      <c r="J1385" s="1">
        <v>120000</v>
      </c>
      <c r="K1385" s="2">
        <v>41837</v>
      </c>
      <c r="L1385" s="1">
        <v>183</v>
      </c>
      <c r="M1385" s="2">
        <v>42019</v>
      </c>
      <c r="N1385" s="1">
        <v>183</v>
      </c>
      <c r="O1385" s="2">
        <v>42019</v>
      </c>
      <c r="P1385" s="1">
        <v>23290</v>
      </c>
      <c r="Q1385" s="1" t="s">
        <v>1393</v>
      </c>
      <c r="R1385" s="2">
        <v>42062</v>
      </c>
      <c r="S1385" s="1">
        <v>216019</v>
      </c>
      <c r="U1385" s="1">
        <v>2422</v>
      </c>
      <c r="V1385" s="1" t="s">
        <v>3924</v>
      </c>
      <c r="W1385" s="1" t="s">
        <v>449</v>
      </c>
      <c r="X1385" s="1">
        <v>2</v>
      </c>
      <c r="Y1385" s="1">
        <v>5</v>
      </c>
      <c r="Z1385" s="1" t="s">
        <v>370</v>
      </c>
      <c r="AA1385" s="1" t="s">
        <v>1123</v>
      </c>
      <c r="AB1385" s="1">
        <v>60506</v>
      </c>
      <c r="AD1385" s="1" t="s">
        <v>13768</v>
      </c>
      <c r="AE1385" s="1" t="s">
        <v>13769</v>
      </c>
      <c r="AF1385" s="1">
        <v>1999</v>
      </c>
      <c r="AG1385" s="1" t="s">
        <v>204</v>
      </c>
      <c r="AH1385" s="1" t="s">
        <v>1126</v>
      </c>
      <c r="AI1385" s="1" t="s">
        <v>665</v>
      </c>
      <c r="AJ1385" s="1" t="s">
        <v>3240</v>
      </c>
      <c r="AK1385" s="1" t="s">
        <v>4049</v>
      </c>
      <c r="AL1385" s="1">
        <v>6</v>
      </c>
      <c r="AM1385" s="1">
        <v>2</v>
      </c>
      <c r="AN1385" s="1">
        <v>2</v>
      </c>
      <c r="AO1385" s="1">
        <v>1</v>
      </c>
      <c r="AP1385" s="1" t="s">
        <v>209</v>
      </c>
      <c r="AQ1385" s="1">
        <v>0</v>
      </c>
      <c r="AR1385" s="1" t="s">
        <v>210</v>
      </c>
      <c r="AT1385" s="1" t="s">
        <v>211</v>
      </c>
      <c r="AU1385" s="1">
        <v>2</v>
      </c>
      <c r="AW1385" s="1" t="s">
        <v>204</v>
      </c>
      <c r="AX1385" s="1" t="s">
        <v>212</v>
      </c>
      <c r="AZ1385" s="1">
        <v>4779</v>
      </c>
      <c r="BA1385" s="1">
        <v>2013</v>
      </c>
      <c r="BE1385" s="1">
        <v>1257</v>
      </c>
      <c r="BF1385" s="1">
        <v>1</v>
      </c>
      <c r="BG1385" s="1">
        <v>0</v>
      </c>
      <c r="BL1385" s="1">
        <v>164</v>
      </c>
      <c r="BM1385" s="1" t="s">
        <v>204</v>
      </c>
      <c r="BN1385" s="1" t="s">
        <v>213</v>
      </c>
      <c r="BO1385" s="1">
        <v>999</v>
      </c>
      <c r="BP1385" s="1" t="s">
        <v>204</v>
      </c>
      <c r="BR1385" s="1" t="str">
        <f>"1413233057"</f>
        <v>1413233057</v>
      </c>
      <c r="BT1385" s="1" t="s">
        <v>13770</v>
      </c>
      <c r="BX1385" s="1">
        <v>129</v>
      </c>
      <c r="BY1385" s="1">
        <v>129</v>
      </c>
      <c r="BZ1385" s="1">
        <v>129</v>
      </c>
      <c r="CB1385" s="1" t="str">
        <f t="shared" ref="CB1385:CC1385" si="1059">""</f>
        <v/>
      </c>
      <c r="CC1385" s="1" t="str">
        <f t="shared" si="1059"/>
        <v/>
      </c>
      <c r="CG1385" s="1" t="s">
        <v>3151</v>
      </c>
      <c r="CH1385" s="1" t="s">
        <v>219</v>
      </c>
      <c r="CI1385" s="1" t="s">
        <v>220</v>
      </c>
      <c r="CJ1385" s="1" t="s">
        <v>343</v>
      </c>
      <c r="CK1385" s="1" t="s">
        <v>378</v>
      </c>
      <c r="CL1385" s="1" t="s">
        <v>277</v>
      </c>
      <c r="CM1385" s="1" t="s">
        <v>220</v>
      </c>
      <c r="CN1385" s="1" t="s">
        <v>343</v>
      </c>
      <c r="CO1385" s="1" t="s">
        <v>2138</v>
      </c>
      <c r="CP1385" s="1" t="s">
        <v>219</v>
      </c>
      <c r="CQ1385" s="1" t="s">
        <v>220</v>
      </c>
      <c r="CR1385" s="1" t="s">
        <v>343</v>
      </c>
      <c r="CS1385" s="1" t="s">
        <v>1046</v>
      </c>
      <c r="CT1385" s="1" t="s">
        <v>277</v>
      </c>
      <c r="CU1385" s="1" t="s">
        <v>220</v>
      </c>
      <c r="CV1385" s="1" t="s">
        <v>343</v>
      </c>
      <c r="CX1385" s="1" t="s">
        <v>224</v>
      </c>
      <c r="DB1385" s="1" t="s">
        <v>224</v>
      </c>
      <c r="DE1385" s="1" t="s">
        <v>837</v>
      </c>
      <c r="DF1385" s="1" t="s">
        <v>219</v>
      </c>
      <c r="DG1385" s="1" t="s">
        <v>438</v>
      </c>
      <c r="DH1385" s="1" t="s">
        <v>343</v>
      </c>
      <c r="DJ1385" s="1" t="s">
        <v>224</v>
      </c>
      <c r="DN1385" s="1" t="s">
        <v>411</v>
      </c>
      <c r="DS1385" s="1" t="s">
        <v>230</v>
      </c>
      <c r="DV1385" s="1" t="s">
        <v>346</v>
      </c>
      <c r="DW1385" s="1" t="s">
        <v>822</v>
      </c>
      <c r="DX1385" s="1" t="s">
        <v>220</v>
      </c>
      <c r="DY1385" s="1" t="s">
        <v>343</v>
      </c>
      <c r="EA1385" s="1" t="s">
        <v>230</v>
      </c>
      <c r="EE1385" s="1" t="s">
        <v>230</v>
      </c>
      <c r="EI1385" s="1" t="s">
        <v>230</v>
      </c>
      <c r="EL1385" s="1" t="s">
        <v>670</v>
      </c>
      <c r="EM1385" s="1" t="s">
        <v>319</v>
      </c>
      <c r="EN1385" s="1" t="s">
        <v>282</v>
      </c>
      <c r="EO1385" s="1" t="s">
        <v>234</v>
      </c>
      <c r="EQ1385" s="1" t="s">
        <v>9668</v>
      </c>
      <c r="ER1385" s="1" t="s">
        <v>210</v>
      </c>
      <c r="EV1385" s="1" t="s">
        <v>324</v>
      </c>
      <c r="EW1385" s="1" t="s">
        <v>867</v>
      </c>
      <c r="EZ1385" s="1" t="s">
        <v>411</v>
      </c>
      <c r="FB1385" s="1" t="s">
        <v>289</v>
      </c>
      <c r="FC1385" s="1" t="s">
        <v>1362</v>
      </c>
      <c r="FD1385" s="1" t="s">
        <v>495</v>
      </c>
      <c r="FE1385" s="1" t="s">
        <v>472</v>
      </c>
      <c r="FF1385" s="1" t="s">
        <v>248</v>
      </c>
      <c r="FH1385" s="1" t="s">
        <v>249</v>
      </c>
      <c r="FJ1385" s="1" t="s">
        <v>1251</v>
      </c>
      <c r="FL1385" s="1" t="s">
        <v>358</v>
      </c>
      <c r="FM1385" s="1" t="s">
        <v>252</v>
      </c>
      <c r="FN1385" s="1" t="s">
        <v>213</v>
      </c>
      <c r="FO1385" s="1" t="s">
        <v>213</v>
      </c>
      <c r="FQ1385" s="1" t="s">
        <v>793</v>
      </c>
      <c r="FR1385" s="1" t="s">
        <v>652</v>
      </c>
      <c r="FS1385" s="1" t="s">
        <v>13771</v>
      </c>
      <c r="FT1385" s="1" t="s">
        <v>13772</v>
      </c>
      <c r="FU1385" s="1" t="s">
        <v>204</v>
      </c>
      <c r="FV1385" s="1" t="s">
        <v>13773</v>
      </c>
      <c r="FW1385" s="1" t="s">
        <v>3231</v>
      </c>
      <c r="FX1385" s="1">
        <v>24451</v>
      </c>
      <c r="FY1385" s="1" t="s">
        <v>3232</v>
      </c>
      <c r="FZ1385" s="1" t="s">
        <v>13774</v>
      </c>
      <c r="GA1385" s="1">
        <v>87800</v>
      </c>
      <c r="GB1385" s="1" t="s">
        <v>13775</v>
      </c>
      <c r="GE1385" s="1" t="s">
        <v>210</v>
      </c>
      <c r="GI1385" s="1" t="s">
        <v>204</v>
      </c>
      <c r="GJ1385" s="1" t="s">
        <v>300</v>
      </c>
      <c r="GK1385" s="1" t="s">
        <v>210</v>
      </c>
      <c r="GL1385" s="2">
        <v>42062</v>
      </c>
      <c r="GM1385" s="1" t="s">
        <v>13776</v>
      </c>
    </row>
    <row r="1386" spans="1:195">
      <c r="A1386" s="1">
        <v>105000</v>
      </c>
      <c r="B1386" s="1" t="s">
        <v>195</v>
      </c>
      <c r="C1386" s="1" t="str">
        <f>"08864955"</f>
        <v>08864955</v>
      </c>
      <c r="D1386" s="1" t="s">
        <v>196</v>
      </c>
      <c r="F1386" s="1" t="str">
        <f>"635"</f>
        <v>635</v>
      </c>
      <c r="G1386" s="2">
        <v>42081</v>
      </c>
      <c r="H1386" s="1">
        <v>109900</v>
      </c>
      <c r="I1386" s="1">
        <v>109900</v>
      </c>
      <c r="J1386" s="1">
        <v>105000</v>
      </c>
      <c r="K1386" s="2">
        <v>42081</v>
      </c>
      <c r="L1386" s="1">
        <v>1</v>
      </c>
      <c r="M1386" s="2">
        <v>42081</v>
      </c>
      <c r="N1386" s="1">
        <v>1</v>
      </c>
      <c r="O1386" s="2">
        <v>42081</v>
      </c>
      <c r="P1386" s="1">
        <v>14316</v>
      </c>
      <c r="Q1386" s="1" t="s">
        <v>197</v>
      </c>
      <c r="R1386" s="2">
        <v>42130</v>
      </c>
      <c r="S1386" s="1">
        <v>137663</v>
      </c>
      <c r="U1386" s="1">
        <v>7921</v>
      </c>
      <c r="V1386" s="1" t="s">
        <v>3296</v>
      </c>
      <c r="W1386" s="1" t="s">
        <v>425</v>
      </c>
      <c r="X1386" s="1" t="s">
        <v>305</v>
      </c>
      <c r="Y1386" s="1">
        <v>12</v>
      </c>
      <c r="Z1386" s="1" t="s">
        <v>200</v>
      </c>
      <c r="AA1386" s="1" t="s">
        <v>2377</v>
      </c>
      <c r="AB1386" s="1">
        <v>60707</v>
      </c>
      <c r="AE1386" s="1" t="s">
        <v>13777</v>
      </c>
      <c r="AF1386" s="1">
        <v>1967</v>
      </c>
      <c r="AG1386" s="1" t="s">
        <v>213</v>
      </c>
      <c r="AH1386" s="1" t="s">
        <v>5686</v>
      </c>
      <c r="AI1386" s="1" t="s">
        <v>310</v>
      </c>
      <c r="AJ1386" s="1" t="s">
        <v>311</v>
      </c>
      <c r="AL1386" s="1">
        <v>2</v>
      </c>
      <c r="AM1386" s="1">
        <v>2</v>
      </c>
      <c r="AN1386" s="1">
        <v>1</v>
      </c>
      <c r="AO1386" s="1">
        <v>0</v>
      </c>
      <c r="AP1386" s="1" t="s">
        <v>210</v>
      </c>
      <c r="AR1386" s="1" t="s">
        <v>210</v>
      </c>
      <c r="AS1386" s="1" t="s">
        <v>204</v>
      </c>
      <c r="AT1386" s="1" t="s">
        <v>271</v>
      </c>
      <c r="AV1386" s="1">
        <v>1</v>
      </c>
      <c r="AW1386" s="1" t="s">
        <v>204</v>
      </c>
      <c r="AX1386" s="1" t="s">
        <v>212</v>
      </c>
      <c r="AZ1386" s="1">
        <v>692.2</v>
      </c>
      <c r="BA1386" s="1">
        <v>2013</v>
      </c>
      <c r="BB1386" s="1" t="s">
        <v>405</v>
      </c>
      <c r="BE1386" s="1">
        <v>860</v>
      </c>
      <c r="BF1386" s="1">
        <v>3</v>
      </c>
      <c r="BG1386" s="1">
        <v>5</v>
      </c>
      <c r="BL1386" s="1">
        <v>85</v>
      </c>
      <c r="BM1386" s="1" t="s">
        <v>204</v>
      </c>
      <c r="BN1386" s="1" t="s">
        <v>213</v>
      </c>
      <c r="BO1386" s="1">
        <v>40</v>
      </c>
      <c r="BP1386" s="1" t="s">
        <v>204</v>
      </c>
      <c r="BR1386" s="1" t="str">
        <f>"12253200571010"</f>
        <v>12253200571010</v>
      </c>
      <c r="BT1386" s="1" t="s">
        <v>13778</v>
      </c>
      <c r="BU1386" s="1" t="s">
        <v>928</v>
      </c>
      <c r="BV1386" s="1" t="s">
        <v>8101</v>
      </c>
      <c r="BW1386" s="1" t="s">
        <v>8102</v>
      </c>
      <c r="BX1386" s="1">
        <v>401</v>
      </c>
      <c r="BY1386" s="1">
        <v>401</v>
      </c>
      <c r="BZ1386" s="1">
        <v>401</v>
      </c>
      <c r="CB1386" s="1" t="str">
        <f t="shared" ref="CB1386:CC1386" si="1060">""</f>
        <v/>
      </c>
      <c r="CC1386" s="1" t="str">
        <f t="shared" si="1060"/>
        <v/>
      </c>
      <c r="CH1386" s="1" t="s">
        <v>224</v>
      </c>
      <c r="CK1386" s="1" t="s">
        <v>1358</v>
      </c>
      <c r="CL1386" s="1" t="s">
        <v>219</v>
      </c>
      <c r="CP1386" s="1" t="s">
        <v>224</v>
      </c>
      <c r="CS1386" s="1" t="s">
        <v>318</v>
      </c>
      <c r="CT1386" s="1" t="s">
        <v>219</v>
      </c>
      <c r="CX1386" s="1" t="s">
        <v>224</v>
      </c>
      <c r="DB1386" s="1" t="s">
        <v>224</v>
      </c>
      <c r="DF1386" s="1" t="s">
        <v>224</v>
      </c>
      <c r="DJ1386" s="1" t="s">
        <v>224</v>
      </c>
      <c r="DS1386" s="1" t="s">
        <v>230</v>
      </c>
      <c r="DW1386" s="1" t="s">
        <v>230</v>
      </c>
      <c r="EA1386" s="1" t="s">
        <v>230</v>
      </c>
      <c r="EE1386" s="1" t="s">
        <v>230</v>
      </c>
      <c r="EI1386" s="1" t="s">
        <v>230</v>
      </c>
      <c r="EL1386" s="1" t="s">
        <v>605</v>
      </c>
      <c r="EM1386" s="1" t="s">
        <v>232</v>
      </c>
      <c r="EN1386" s="1" t="s">
        <v>731</v>
      </c>
      <c r="EO1386" s="1" t="s">
        <v>234</v>
      </c>
      <c r="ER1386" s="1" t="s">
        <v>210</v>
      </c>
      <c r="EW1386" s="1" t="s">
        <v>5888</v>
      </c>
      <c r="EZ1386" s="1" t="s">
        <v>287</v>
      </c>
      <c r="FD1386" s="1" t="s">
        <v>246</v>
      </c>
      <c r="FE1386" s="1" t="s">
        <v>247</v>
      </c>
      <c r="FF1386" s="1" t="s">
        <v>248</v>
      </c>
      <c r="FH1386" s="1" t="s">
        <v>249</v>
      </c>
      <c r="FL1386" s="1" t="s">
        <v>292</v>
      </c>
      <c r="FM1386" s="1" t="s">
        <v>252</v>
      </c>
      <c r="FN1386" s="1" t="s">
        <v>213</v>
      </c>
      <c r="FO1386" s="1" t="s">
        <v>213</v>
      </c>
      <c r="FQ1386" s="1" t="s">
        <v>12835</v>
      </c>
      <c r="FR1386" s="1" t="s">
        <v>210</v>
      </c>
      <c r="FS1386" s="1" t="s">
        <v>13779</v>
      </c>
      <c r="FT1386" s="1" t="s">
        <v>362</v>
      </c>
      <c r="FU1386" s="1" t="s">
        <v>204</v>
      </c>
      <c r="FW1386" s="1" t="s">
        <v>6773</v>
      </c>
      <c r="FX1386" s="1">
        <v>90811</v>
      </c>
      <c r="FY1386" s="1" t="s">
        <v>6774</v>
      </c>
      <c r="FZ1386" s="1" t="s">
        <v>6775</v>
      </c>
      <c r="GA1386" s="1">
        <v>901705</v>
      </c>
      <c r="GB1386" s="1" t="s">
        <v>6776</v>
      </c>
      <c r="GC1386" s="1">
        <v>900642</v>
      </c>
      <c r="GE1386" s="1" t="s">
        <v>210</v>
      </c>
      <c r="GH1386" s="1" t="s">
        <v>589</v>
      </c>
      <c r="GI1386" s="1" t="s">
        <v>213</v>
      </c>
      <c r="GJ1386" s="1" t="s">
        <v>260</v>
      </c>
      <c r="GK1386" s="1" t="s">
        <v>210</v>
      </c>
      <c r="GL1386" s="2">
        <v>42130</v>
      </c>
      <c r="GM1386" s="1" t="s">
        <v>13780</v>
      </c>
    </row>
    <row r="1387" spans="1:195">
      <c r="A1387" s="1">
        <v>112000</v>
      </c>
      <c r="B1387" s="1" t="s">
        <v>195</v>
      </c>
      <c r="C1387" s="1" t="str">
        <f>"08675324"</f>
        <v>08675324</v>
      </c>
      <c r="D1387" s="1" t="s">
        <v>196</v>
      </c>
      <c r="F1387" s="1" t="str">
        <f>"61"</f>
        <v>61</v>
      </c>
      <c r="G1387" s="2">
        <v>41837</v>
      </c>
      <c r="H1387" s="1">
        <v>155000</v>
      </c>
      <c r="I1387" s="1">
        <v>119900</v>
      </c>
      <c r="J1387" s="1">
        <v>112000</v>
      </c>
      <c r="K1387" s="2">
        <v>41837</v>
      </c>
      <c r="L1387" s="1">
        <v>64</v>
      </c>
      <c r="M1387" s="2">
        <v>41900</v>
      </c>
      <c r="N1387" s="1">
        <v>64</v>
      </c>
      <c r="O1387" s="2">
        <v>41900</v>
      </c>
      <c r="P1387" s="1">
        <v>2050</v>
      </c>
      <c r="Q1387" s="1" t="s">
        <v>197</v>
      </c>
      <c r="R1387" s="2">
        <v>41989</v>
      </c>
      <c r="S1387" s="1">
        <v>239908</v>
      </c>
      <c r="U1387" s="1">
        <v>464</v>
      </c>
      <c r="V1387" s="1" t="s">
        <v>13781</v>
      </c>
      <c r="W1387" s="1" t="s">
        <v>779</v>
      </c>
      <c r="Y1387" s="1">
        <v>6</v>
      </c>
      <c r="Z1387" s="1" t="s">
        <v>249</v>
      </c>
      <c r="AA1387" s="1" t="s">
        <v>505</v>
      </c>
      <c r="AB1387" s="1">
        <v>60061</v>
      </c>
      <c r="AD1387" s="1" t="s">
        <v>4034</v>
      </c>
      <c r="AE1387" s="1" t="s">
        <v>13782</v>
      </c>
      <c r="AF1387" s="1">
        <v>1979</v>
      </c>
      <c r="AG1387" s="1" t="s">
        <v>204</v>
      </c>
      <c r="AH1387" s="1" t="s">
        <v>508</v>
      </c>
      <c r="AI1387" s="1" t="s">
        <v>509</v>
      </c>
      <c r="AJ1387" s="1" t="s">
        <v>1693</v>
      </c>
      <c r="AK1387" s="1" t="s">
        <v>9254</v>
      </c>
      <c r="AL1387" s="1">
        <v>5</v>
      </c>
      <c r="AM1387" s="1">
        <v>2</v>
      </c>
      <c r="AN1387" s="1">
        <v>1</v>
      </c>
      <c r="AO1387" s="1">
        <v>1</v>
      </c>
      <c r="AP1387" s="1" t="s">
        <v>210</v>
      </c>
      <c r="AQ1387" s="1">
        <v>0</v>
      </c>
      <c r="AR1387" s="1" t="s">
        <v>210</v>
      </c>
      <c r="AS1387" s="1" t="s">
        <v>204</v>
      </c>
      <c r="AT1387" s="1" t="s">
        <v>211</v>
      </c>
      <c r="AU1387" s="1">
        <v>1</v>
      </c>
      <c r="AW1387" s="1" t="s">
        <v>204</v>
      </c>
      <c r="AX1387" s="1" t="s">
        <v>1265</v>
      </c>
      <c r="AZ1387" s="1">
        <v>3152.82</v>
      </c>
      <c r="BA1387" s="1">
        <v>2012</v>
      </c>
      <c r="BB1387" s="1" t="s">
        <v>405</v>
      </c>
      <c r="BC1387" s="1">
        <v>0</v>
      </c>
      <c r="BD1387" s="1">
        <v>2011</v>
      </c>
      <c r="BE1387" s="1">
        <v>0</v>
      </c>
      <c r="BF1387" s="1">
        <v>1</v>
      </c>
      <c r="BG1387" s="1">
        <v>5</v>
      </c>
      <c r="BL1387" s="1">
        <v>225</v>
      </c>
      <c r="BM1387" s="1" t="s">
        <v>204</v>
      </c>
      <c r="BN1387" s="1" t="s">
        <v>213</v>
      </c>
      <c r="BO1387" s="1">
        <v>0</v>
      </c>
      <c r="BP1387" s="1" t="s">
        <v>204</v>
      </c>
      <c r="BR1387" s="1" t="str">
        <f>"11323060950000"</f>
        <v>11323060950000</v>
      </c>
      <c r="BT1387" s="1" t="s">
        <v>13783</v>
      </c>
      <c r="BU1387" s="1" t="s">
        <v>1879</v>
      </c>
      <c r="BV1387" s="1" t="s">
        <v>1880</v>
      </c>
      <c r="BW1387" s="1" t="s">
        <v>514</v>
      </c>
      <c r="BX1387" s="1">
        <v>73</v>
      </c>
      <c r="BY1387" s="1">
        <v>73</v>
      </c>
      <c r="BZ1387" s="1">
        <v>128</v>
      </c>
      <c r="CB1387" s="1" t="str">
        <f>"26"</f>
        <v>26</v>
      </c>
      <c r="CC1387" s="1" t="str">
        <f>"0"</f>
        <v>0</v>
      </c>
      <c r="CD1387" s="1">
        <v>17</v>
      </c>
      <c r="CE1387" s="1">
        <v>0</v>
      </c>
      <c r="CG1387" s="1" t="s">
        <v>861</v>
      </c>
      <c r="CH1387" s="1" t="s">
        <v>219</v>
      </c>
      <c r="CI1387" s="1" t="s">
        <v>229</v>
      </c>
      <c r="CK1387" s="1" t="s">
        <v>315</v>
      </c>
      <c r="CL1387" s="1" t="s">
        <v>277</v>
      </c>
      <c r="CM1387" s="1" t="s">
        <v>229</v>
      </c>
      <c r="CO1387" s="1" t="s">
        <v>785</v>
      </c>
      <c r="CP1387" s="1" t="s">
        <v>219</v>
      </c>
      <c r="CQ1387" s="1" t="s">
        <v>342</v>
      </c>
      <c r="CS1387" s="1" t="s">
        <v>346</v>
      </c>
      <c r="CT1387" s="1" t="s">
        <v>277</v>
      </c>
      <c r="CU1387" s="1" t="s">
        <v>229</v>
      </c>
      <c r="CX1387" s="1" t="s">
        <v>224</v>
      </c>
      <c r="DB1387" s="1" t="s">
        <v>224</v>
      </c>
      <c r="DE1387" s="1" t="s">
        <v>516</v>
      </c>
      <c r="DF1387" s="1" t="s">
        <v>219</v>
      </c>
      <c r="DG1387" s="1" t="s">
        <v>342</v>
      </c>
      <c r="DJ1387" s="1" t="s">
        <v>224</v>
      </c>
      <c r="DS1387" s="1" t="s">
        <v>230</v>
      </c>
      <c r="DW1387" s="1" t="s">
        <v>230</v>
      </c>
      <c r="EA1387" s="1" t="s">
        <v>230</v>
      </c>
      <c r="EE1387" s="1" t="s">
        <v>230</v>
      </c>
      <c r="EI1387" s="1" t="s">
        <v>230</v>
      </c>
      <c r="EL1387" s="1" t="s">
        <v>231</v>
      </c>
      <c r="EM1387" s="1" t="s">
        <v>232</v>
      </c>
      <c r="EN1387" s="1" t="s">
        <v>282</v>
      </c>
      <c r="EO1387" s="1" t="s">
        <v>234</v>
      </c>
      <c r="EP1387" s="1" t="s">
        <v>8505</v>
      </c>
      <c r="EQ1387" s="1" t="s">
        <v>236</v>
      </c>
      <c r="ER1387" s="1" t="s">
        <v>383</v>
      </c>
      <c r="ES1387" s="1" t="s">
        <v>322</v>
      </c>
      <c r="EU1387" s="1" t="s">
        <v>239</v>
      </c>
      <c r="EV1387" s="1" t="s">
        <v>324</v>
      </c>
      <c r="EW1387" s="1" t="s">
        <v>991</v>
      </c>
      <c r="EY1387" s="1" t="s">
        <v>790</v>
      </c>
      <c r="EZ1387" s="1" t="s">
        <v>287</v>
      </c>
      <c r="FA1387" s="1" t="s">
        <v>672</v>
      </c>
      <c r="FB1387" s="1" t="s">
        <v>289</v>
      </c>
      <c r="FD1387" s="1" t="s">
        <v>246</v>
      </c>
      <c r="FE1387" s="1" t="s">
        <v>13784</v>
      </c>
      <c r="FF1387" s="1" t="s">
        <v>248</v>
      </c>
      <c r="FH1387" s="1" t="s">
        <v>550</v>
      </c>
      <c r="FI1387" s="1" t="s">
        <v>473</v>
      </c>
      <c r="FL1387" s="1" t="s">
        <v>358</v>
      </c>
      <c r="FM1387" s="1" t="s">
        <v>252</v>
      </c>
      <c r="FN1387" s="1" t="s">
        <v>213</v>
      </c>
      <c r="FO1387" s="1" t="s">
        <v>213</v>
      </c>
      <c r="FQ1387" s="1" t="s">
        <v>2004</v>
      </c>
      <c r="FR1387" s="1" t="s">
        <v>360</v>
      </c>
      <c r="FS1387" s="1" t="s">
        <v>13785</v>
      </c>
      <c r="FT1387" s="1" t="s">
        <v>13786</v>
      </c>
      <c r="FU1387" s="1" t="s">
        <v>204</v>
      </c>
      <c r="FW1387" s="1" t="s">
        <v>13787</v>
      </c>
      <c r="FX1387" s="1">
        <v>4793</v>
      </c>
      <c r="FY1387" s="1" t="s">
        <v>13788</v>
      </c>
      <c r="FZ1387" s="1" t="s">
        <v>13789</v>
      </c>
      <c r="GA1387" s="1">
        <v>30765</v>
      </c>
      <c r="GB1387" s="1" t="s">
        <v>13790</v>
      </c>
      <c r="GE1387" s="1" t="s">
        <v>210</v>
      </c>
      <c r="GI1387" s="1" t="s">
        <v>213</v>
      </c>
      <c r="GJ1387" s="1" t="s">
        <v>260</v>
      </c>
      <c r="GK1387" s="1" t="s">
        <v>210</v>
      </c>
      <c r="GL1387" s="2">
        <v>41990</v>
      </c>
      <c r="GM1387" s="1" t="s">
        <v>397</v>
      </c>
    </row>
    <row r="1388" spans="1:195">
      <c r="A1388" s="1">
        <v>252500</v>
      </c>
      <c r="B1388" s="1" t="s">
        <v>195</v>
      </c>
      <c r="C1388" s="1" t="str">
        <f>"08676870"</f>
        <v>08676870</v>
      </c>
      <c r="D1388" s="1" t="s">
        <v>196</v>
      </c>
      <c r="F1388" s="1" t="str">
        <f>"540"</f>
        <v>540</v>
      </c>
      <c r="G1388" s="2">
        <v>41838</v>
      </c>
      <c r="H1388" s="1">
        <v>272000</v>
      </c>
      <c r="I1388" s="1">
        <v>259900</v>
      </c>
      <c r="J1388" s="1">
        <v>252500</v>
      </c>
      <c r="K1388" s="2">
        <v>41838</v>
      </c>
      <c r="L1388" s="1">
        <v>70</v>
      </c>
      <c r="M1388" s="2">
        <v>41907</v>
      </c>
      <c r="N1388" s="1">
        <v>70</v>
      </c>
      <c r="O1388" s="2">
        <v>41907</v>
      </c>
      <c r="P1388" s="1">
        <v>22029</v>
      </c>
      <c r="Q1388" s="1" t="s">
        <v>197</v>
      </c>
      <c r="R1388" s="2">
        <v>41971</v>
      </c>
      <c r="S1388" s="1">
        <v>242252</v>
      </c>
      <c r="U1388" s="1">
        <v>2971</v>
      </c>
      <c r="V1388" s="1" t="s">
        <v>13791</v>
      </c>
      <c r="W1388" s="1" t="s">
        <v>504</v>
      </c>
      <c r="X1388" s="1">
        <v>2971</v>
      </c>
      <c r="Y1388" s="1">
        <v>4</v>
      </c>
      <c r="Z1388" s="1" t="s">
        <v>200</v>
      </c>
      <c r="AA1388" s="1" t="s">
        <v>921</v>
      </c>
      <c r="AB1388" s="1">
        <v>60564</v>
      </c>
      <c r="AD1388" s="1" t="s">
        <v>12147</v>
      </c>
      <c r="AE1388" s="1" t="s">
        <v>13792</v>
      </c>
      <c r="AF1388" s="1">
        <v>2004</v>
      </c>
      <c r="AG1388" s="1" t="s">
        <v>204</v>
      </c>
      <c r="AH1388" s="1" t="s">
        <v>924</v>
      </c>
      <c r="AI1388" s="1" t="s">
        <v>1800</v>
      </c>
      <c r="AJ1388" s="1" t="s">
        <v>1801</v>
      </c>
      <c r="AK1388" s="1" t="s">
        <v>12149</v>
      </c>
      <c r="AL1388" s="1">
        <v>7</v>
      </c>
      <c r="AM1388" s="1">
        <v>2</v>
      </c>
      <c r="AN1388" s="1">
        <v>2</v>
      </c>
      <c r="AO1388" s="1">
        <v>1</v>
      </c>
      <c r="AP1388" s="1" t="s">
        <v>209</v>
      </c>
      <c r="AQ1388" s="1">
        <v>0</v>
      </c>
      <c r="AR1388" s="1" t="s">
        <v>209</v>
      </c>
      <c r="AS1388" s="1" t="s">
        <v>204</v>
      </c>
      <c r="AT1388" s="1" t="s">
        <v>211</v>
      </c>
      <c r="AU1388" s="1">
        <v>2</v>
      </c>
      <c r="AW1388" s="1" t="s">
        <v>204</v>
      </c>
      <c r="AX1388" s="1" t="s">
        <v>212</v>
      </c>
      <c r="AZ1388" s="1">
        <v>5864</v>
      </c>
      <c r="BA1388" s="1">
        <v>2012</v>
      </c>
      <c r="BB1388" s="1" t="s">
        <v>405</v>
      </c>
      <c r="BC1388" s="1">
        <v>0</v>
      </c>
      <c r="BD1388" s="1">
        <v>2014</v>
      </c>
      <c r="BE1388" s="1">
        <v>1962</v>
      </c>
      <c r="BF1388" s="1">
        <v>1</v>
      </c>
      <c r="BG1388" s="1">
        <v>30</v>
      </c>
      <c r="BL1388" s="1">
        <v>170</v>
      </c>
      <c r="BM1388" s="1" t="s">
        <v>204</v>
      </c>
      <c r="BN1388" s="1" t="s">
        <v>213</v>
      </c>
      <c r="BO1388" s="1">
        <v>0</v>
      </c>
      <c r="BP1388" s="1" t="s">
        <v>204</v>
      </c>
      <c r="BR1388" s="1" t="str">
        <f>"01094030320000"</f>
        <v>01094030320000</v>
      </c>
      <c r="BT1388" s="1" t="s">
        <v>13793</v>
      </c>
      <c r="BU1388" s="1" t="s">
        <v>7599</v>
      </c>
      <c r="BV1388" s="1" t="s">
        <v>2217</v>
      </c>
      <c r="BW1388" s="1" t="s">
        <v>2218</v>
      </c>
      <c r="BX1388" s="1">
        <v>204</v>
      </c>
      <c r="BY1388" s="1">
        <v>204</v>
      </c>
      <c r="BZ1388" s="1">
        <v>204</v>
      </c>
      <c r="CB1388" s="1" t="str">
        <f t="shared" ref="CB1388:CC1388" si="1061">"0"</f>
        <v>0</v>
      </c>
      <c r="CC1388" s="1" t="str">
        <f t="shared" si="1061"/>
        <v>0</v>
      </c>
      <c r="CD1388" s="1">
        <v>30</v>
      </c>
      <c r="CE1388" s="1">
        <v>10</v>
      </c>
      <c r="CG1388" s="1" t="s">
        <v>1267</v>
      </c>
      <c r="CH1388" s="1" t="s">
        <v>219</v>
      </c>
      <c r="CI1388" s="1" t="s">
        <v>438</v>
      </c>
      <c r="CK1388" s="1" t="s">
        <v>437</v>
      </c>
      <c r="CL1388" s="1" t="s">
        <v>219</v>
      </c>
      <c r="CM1388" s="1" t="s">
        <v>220</v>
      </c>
      <c r="CO1388" s="1" t="s">
        <v>1297</v>
      </c>
      <c r="CP1388" s="1" t="s">
        <v>219</v>
      </c>
      <c r="CQ1388" s="1" t="s">
        <v>438</v>
      </c>
      <c r="CS1388" s="1" t="s">
        <v>378</v>
      </c>
      <c r="CT1388" s="1" t="s">
        <v>822</v>
      </c>
      <c r="CU1388" s="1" t="s">
        <v>220</v>
      </c>
      <c r="CX1388" s="1" t="s">
        <v>224</v>
      </c>
      <c r="DB1388" s="1" t="s">
        <v>224</v>
      </c>
      <c r="DE1388" s="1" t="s">
        <v>1358</v>
      </c>
      <c r="DF1388" s="1" t="s">
        <v>219</v>
      </c>
      <c r="DG1388" s="1" t="s">
        <v>438</v>
      </c>
      <c r="DI1388" s="1" t="s">
        <v>862</v>
      </c>
      <c r="DJ1388" s="1" t="s">
        <v>822</v>
      </c>
      <c r="DK1388" s="1" t="s">
        <v>220</v>
      </c>
      <c r="DM1388" s="1" t="s">
        <v>1005</v>
      </c>
      <c r="DR1388" s="1" t="s">
        <v>1297</v>
      </c>
      <c r="DS1388" s="1" t="s">
        <v>219</v>
      </c>
      <c r="DT1388" s="1" t="s">
        <v>220</v>
      </c>
      <c r="DW1388" s="1" t="s">
        <v>230</v>
      </c>
      <c r="EA1388" s="1" t="s">
        <v>230</v>
      </c>
      <c r="EE1388" s="1" t="s">
        <v>230</v>
      </c>
      <c r="EI1388" s="1" t="s">
        <v>230</v>
      </c>
      <c r="EL1388" s="1" t="s">
        <v>491</v>
      </c>
      <c r="EM1388" s="1" t="s">
        <v>232</v>
      </c>
      <c r="EN1388" s="1" t="s">
        <v>282</v>
      </c>
      <c r="EO1388" s="1" t="s">
        <v>234</v>
      </c>
      <c r="EP1388" s="1" t="s">
        <v>9713</v>
      </c>
      <c r="EQ1388" s="1" t="s">
        <v>953</v>
      </c>
      <c r="ER1388" s="1" t="s">
        <v>1249</v>
      </c>
      <c r="ES1388" s="1" t="s">
        <v>13794</v>
      </c>
      <c r="ET1388" s="1" t="s">
        <v>323</v>
      </c>
      <c r="EU1388" s="1" t="s">
        <v>239</v>
      </c>
      <c r="EV1388" s="1" t="s">
        <v>352</v>
      </c>
      <c r="EW1388" s="1" t="s">
        <v>6645</v>
      </c>
      <c r="EZ1388" s="1" t="s">
        <v>1005</v>
      </c>
      <c r="FA1388" s="1" t="s">
        <v>1427</v>
      </c>
      <c r="FB1388" s="1" t="s">
        <v>289</v>
      </c>
      <c r="FC1388" s="1" t="s">
        <v>548</v>
      </c>
      <c r="FD1388" s="1" t="s">
        <v>246</v>
      </c>
      <c r="FE1388" s="1" t="s">
        <v>247</v>
      </c>
      <c r="FF1388" s="1" t="s">
        <v>248</v>
      </c>
      <c r="FH1388" s="1" t="s">
        <v>550</v>
      </c>
      <c r="FL1388" s="1" t="s">
        <v>358</v>
      </c>
      <c r="FM1388" s="1" t="s">
        <v>252</v>
      </c>
      <c r="FN1388" s="1" t="s">
        <v>213</v>
      </c>
      <c r="FO1388" s="1" t="s">
        <v>213</v>
      </c>
      <c r="FQ1388" s="1" t="s">
        <v>8948</v>
      </c>
      <c r="FR1388" s="1" t="s">
        <v>210</v>
      </c>
      <c r="FS1388" s="1" t="s">
        <v>1575</v>
      </c>
      <c r="FT1388" s="1" t="s">
        <v>13795</v>
      </c>
      <c r="FU1388" s="1" t="s">
        <v>204</v>
      </c>
      <c r="FW1388" s="1" t="s">
        <v>943</v>
      </c>
      <c r="FX1388" s="1">
        <v>23120</v>
      </c>
      <c r="FY1388" s="1" t="s">
        <v>944</v>
      </c>
      <c r="FZ1388" s="1" t="s">
        <v>945</v>
      </c>
      <c r="GA1388" s="1">
        <v>214831</v>
      </c>
      <c r="GB1388" s="1" t="s">
        <v>944</v>
      </c>
      <c r="GE1388" s="1" t="s">
        <v>210</v>
      </c>
      <c r="GI1388" s="1" t="s">
        <v>213</v>
      </c>
      <c r="GJ1388" s="1" t="s">
        <v>260</v>
      </c>
      <c r="GK1388" s="1" t="s">
        <v>210</v>
      </c>
      <c r="GL1388" s="2">
        <v>41975</v>
      </c>
    </row>
    <row r="1389" spans="1:195">
      <c r="A1389" s="1">
        <v>357500</v>
      </c>
      <c r="B1389" s="1" t="s">
        <v>195</v>
      </c>
      <c r="C1389" s="1" t="str">
        <f>"08681916"</f>
        <v>08681916</v>
      </c>
      <c r="D1389" s="1" t="s">
        <v>196</v>
      </c>
      <c r="F1389" s="1" t="str">
        <f>"174"</f>
        <v>174</v>
      </c>
      <c r="G1389" s="2">
        <v>41844</v>
      </c>
      <c r="H1389" s="1">
        <v>375000</v>
      </c>
      <c r="I1389" s="1">
        <v>369900</v>
      </c>
      <c r="J1389" s="1">
        <v>357500</v>
      </c>
      <c r="K1389" s="2">
        <v>41843</v>
      </c>
      <c r="L1389" s="1">
        <v>176</v>
      </c>
      <c r="M1389" s="2">
        <v>41944</v>
      </c>
      <c r="N1389" s="1">
        <v>102</v>
      </c>
      <c r="O1389" s="2">
        <v>41944</v>
      </c>
      <c r="P1389" s="1">
        <v>25088</v>
      </c>
      <c r="Q1389" s="1" t="s">
        <v>1393</v>
      </c>
      <c r="R1389" s="2">
        <v>41979</v>
      </c>
      <c r="S1389" s="1">
        <v>251165</v>
      </c>
      <c r="U1389" s="1">
        <v>1607</v>
      </c>
      <c r="V1389" s="1" t="s">
        <v>13796</v>
      </c>
      <c r="W1389" s="1" t="s">
        <v>264</v>
      </c>
      <c r="Y1389" s="1">
        <v>2</v>
      </c>
      <c r="Z1389" s="1" t="s">
        <v>370</v>
      </c>
      <c r="AA1389" s="1" t="s">
        <v>879</v>
      </c>
      <c r="AB1389" s="1">
        <v>60174</v>
      </c>
      <c r="AD1389" s="1" t="s">
        <v>13797</v>
      </c>
      <c r="AE1389" s="1" t="s">
        <v>13798</v>
      </c>
      <c r="AF1389" s="1">
        <v>1987</v>
      </c>
      <c r="AG1389" s="1" t="s">
        <v>204</v>
      </c>
      <c r="AH1389" s="1" t="s">
        <v>883</v>
      </c>
      <c r="AI1389" s="1" t="s">
        <v>665</v>
      </c>
      <c r="AJ1389" s="1" t="s">
        <v>883</v>
      </c>
      <c r="AL1389" s="1">
        <v>8</v>
      </c>
      <c r="AM1389" s="1">
        <v>2</v>
      </c>
      <c r="AN1389" s="1">
        <v>3</v>
      </c>
      <c r="AO1389" s="1">
        <v>1</v>
      </c>
      <c r="AP1389" s="1" t="s">
        <v>209</v>
      </c>
      <c r="AQ1389" s="1">
        <v>2</v>
      </c>
      <c r="AR1389" s="1" t="s">
        <v>4448</v>
      </c>
      <c r="AS1389" s="1" t="s">
        <v>213</v>
      </c>
      <c r="AT1389" s="1" t="s">
        <v>211</v>
      </c>
      <c r="AU1389" s="1">
        <v>2</v>
      </c>
      <c r="AW1389" s="1" t="s">
        <v>213</v>
      </c>
      <c r="AX1389" s="1" t="s">
        <v>13799</v>
      </c>
      <c r="AZ1389" s="1">
        <v>9849.7000000000007</v>
      </c>
      <c r="BA1389" s="1">
        <v>2012</v>
      </c>
      <c r="BB1389" s="1" t="s">
        <v>599</v>
      </c>
      <c r="BE1389" s="1">
        <v>3275</v>
      </c>
      <c r="BF1389" s="1">
        <v>1</v>
      </c>
      <c r="BG1389" s="1">
        <v>0</v>
      </c>
      <c r="BL1389" s="1">
        <v>290</v>
      </c>
      <c r="BM1389" s="1" t="s">
        <v>204</v>
      </c>
      <c r="BN1389" s="1" t="s">
        <v>213</v>
      </c>
      <c r="BO1389" s="1">
        <v>999</v>
      </c>
      <c r="BP1389" s="1" t="s">
        <v>204</v>
      </c>
      <c r="BR1389" s="1" t="str">
        <f>"0921426040"</f>
        <v>0921426040</v>
      </c>
      <c r="BT1389" s="1" t="s">
        <v>13800</v>
      </c>
      <c r="BU1389" s="1" t="s">
        <v>4718</v>
      </c>
      <c r="BV1389" s="1" t="s">
        <v>11579</v>
      </c>
      <c r="BW1389" s="1" t="s">
        <v>4719</v>
      </c>
      <c r="BX1389" s="1">
        <v>303</v>
      </c>
      <c r="BY1389" s="1">
        <v>303</v>
      </c>
      <c r="BZ1389" s="1">
        <v>303</v>
      </c>
      <c r="CB1389" s="1" t="str">
        <f t="shared" ref="CB1389:CC1389" si="1062">""</f>
        <v/>
      </c>
      <c r="CC1389" s="1" t="str">
        <f t="shared" si="1062"/>
        <v/>
      </c>
      <c r="CG1389" s="1" t="s">
        <v>1723</v>
      </c>
      <c r="CH1389" s="1" t="s">
        <v>219</v>
      </c>
      <c r="CI1389" s="1" t="s">
        <v>220</v>
      </c>
      <c r="CJ1389" s="1" t="s">
        <v>252</v>
      </c>
      <c r="CK1389" s="1" t="s">
        <v>1737</v>
      </c>
      <c r="CL1389" s="1" t="s">
        <v>219</v>
      </c>
      <c r="CM1389" s="1" t="s">
        <v>220</v>
      </c>
      <c r="CN1389" s="1" t="s">
        <v>252</v>
      </c>
      <c r="CO1389" s="1" t="s">
        <v>317</v>
      </c>
      <c r="CP1389" s="1" t="s">
        <v>219</v>
      </c>
      <c r="CQ1389" s="1" t="s">
        <v>438</v>
      </c>
      <c r="CR1389" s="1" t="s">
        <v>252</v>
      </c>
      <c r="CS1389" s="1" t="s">
        <v>1358</v>
      </c>
      <c r="CT1389" s="1" t="s">
        <v>277</v>
      </c>
      <c r="CU1389" s="1" t="s">
        <v>220</v>
      </c>
      <c r="CV1389" s="1" t="s">
        <v>252</v>
      </c>
      <c r="CX1389" s="1" t="s">
        <v>224</v>
      </c>
      <c r="DB1389" s="1" t="s">
        <v>224</v>
      </c>
      <c r="DE1389" s="1" t="s">
        <v>278</v>
      </c>
      <c r="DF1389" s="1" t="s">
        <v>219</v>
      </c>
      <c r="DG1389" s="1" t="s">
        <v>438</v>
      </c>
      <c r="DI1389" s="1" t="s">
        <v>9820</v>
      </c>
      <c r="DJ1389" s="1" t="s">
        <v>4450</v>
      </c>
      <c r="DK1389" s="1" t="s">
        <v>438</v>
      </c>
      <c r="DL1389" s="1" t="s">
        <v>252</v>
      </c>
      <c r="DM1389" s="1" t="s">
        <v>8319</v>
      </c>
      <c r="DN1389" s="1" t="s">
        <v>934</v>
      </c>
      <c r="DO1389" s="1" t="s">
        <v>464</v>
      </c>
      <c r="DR1389" s="1" t="s">
        <v>346</v>
      </c>
      <c r="DS1389" s="1" t="s">
        <v>4450</v>
      </c>
      <c r="DT1389" s="1" t="s">
        <v>438</v>
      </c>
      <c r="DV1389" s="1" t="s">
        <v>2992</v>
      </c>
      <c r="DW1389" s="1" t="s">
        <v>4450</v>
      </c>
      <c r="DX1389" s="1" t="s">
        <v>438</v>
      </c>
      <c r="DY1389" s="1" t="s">
        <v>252</v>
      </c>
      <c r="DZ1389" s="1" t="s">
        <v>278</v>
      </c>
      <c r="EA1389" s="1" t="s">
        <v>277</v>
      </c>
      <c r="EB1389" s="1" t="s">
        <v>220</v>
      </c>
      <c r="EC1389" s="1" t="s">
        <v>252</v>
      </c>
      <c r="EE1389" s="1" t="s">
        <v>230</v>
      </c>
      <c r="EI1389" s="1" t="s">
        <v>230</v>
      </c>
      <c r="EL1389" s="1" t="s">
        <v>542</v>
      </c>
      <c r="EM1389" s="1" t="s">
        <v>319</v>
      </c>
      <c r="EN1389" s="1" t="s">
        <v>282</v>
      </c>
      <c r="EO1389" s="1" t="s">
        <v>234</v>
      </c>
      <c r="EP1389" s="1" t="s">
        <v>283</v>
      </c>
      <c r="EQ1389" s="1" t="s">
        <v>13801</v>
      </c>
      <c r="ER1389" s="1" t="s">
        <v>544</v>
      </c>
      <c r="ES1389" s="1" t="s">
        <v>322</v>
      </c>
      <c r="ET1389" s="1" t="s">
        <v>238</v>
      </c>
      <c r="EU1389" s="1" t="s">
        <v>13802</v>
      </c>
      <c r="EV1389" s="1" t="s">
        <v>324</v>
      </c>
      <c r="EW1389" s="1" t="s">
        <v>4410</v>
      </c>
      <c r="EY1389" s="1" t="s">
        <v>242</v>
      </c>
      <c r="EZ1389" s="1" t="s">
        <v>13803</v>
      </c>
      <c r="FA1389" s="1" t="s">
        <v>6201</v>
      </c>
      <c r="FD1389" s="1" t="s">
        <v>246</v>
      </c>
      <c r="FE1389" s="1" t="s">
        <v>889</v>
      </c>
      <c r="FF1389" s="1" t="s">
        <v>248</v>
      </c>
      <c r="FG1389" s="1" t="s">
        <v>1682</v>
      </c>
      <c r="FH1389" s="1" t="s">
        <v>442</v>
      </c>
      <c r="FI1389" s="1" t="s">
        <v>473</v>
      </c>
      <c r="FL1389" s="1" t="s">
        <v>358</v>
      </c>
      <c r="FM1389" s="1" t="s">
        <v>252</v>
      </c>
      <c r="FN1389" s="1" t="s">
        <v>213</v>
      </c>
      <c r="FO1389" s="1" t="s">
        <v>213</v>
      </c>
      <c r="FQ1389" s="1" t="s">
        <v>793</v>
      </c>
      <c r="FR1389" s="1" t="s">
        <v>210</v>
      </c>
      <c r="FS1389" s="1" t="s">
        <v>5680</v>
      </c>
      <c r="FT1389" s="1" t="s">
        <v>295</v>
      </c>
      <c r="FU1389" s="1" t="s">
        <v>204</v>
      </c>
      <c r="FW1389" s="1" t="s">
        <v>915</v>
      </c>
      <c r="FX1389" s="1">
        <v>23591</v>
      </c>
      <c r="FY1389" s="1" t="s">
        <v>1710</v>
      </c>
      <c r="FZ1389" s="1" t="s">
        <v>8110</v>
      </c>
      <c r="GA1389" s="1">
        <v>230482</v>
      </c>
      <c r="GB1389" s="1" t="s">
        <v>8111</v>
      </c>
      <c r="GD1389" s="1" t="s">
        <v>8112</v>
      </c>
      <c r="GE1389" s="1" t="s">
        <v>480</v>
      </c>
      <c r="GI1389" s="1" t="s">
        <v>213</v>
      </c>
      <c r="GJ1389" s="1" t="s">
        <v>260</v>
      </c>
      <c r="GK1389" s="1" t="s">
        <v>210</v>
      </c>
      <c r="GL1389" s="2">
        <v>41979</v>
      </c>
    </row>
    <row r="1390" spans="1:195">
      <c r="A1390" s="1">
        <v>135000</v>
      </c>
      <c r="B1390" s="1" t="s">
        <v>195</v>
      </c>
      <c r="C1390" s="1" t="str">
        <f>"08678866"</f>
        <v>08678866</v>
      </c>
      <c r="D1390" s="1" t="s">
        <v>196</v>
      </c>
      <c r="F1390" s="1" t="str">
        <f>"134"</f>
        <v>134</v>
      </c>
      <c r="G1390" s="2">
        <v>41841</v>
      </c>
      <c r="H1390" s="1">
        <v>174900</v>
      </c>
      <c r="I1390" s="1">
        <v>129900</v>
      </c>
      <c r="J1390" s="1">
        <v>135000</v>
      </c>
      <c r="K1390" s="2">
        <v>41841</v>
      </c>
      <c r="L1390" s="1">
        <v>163</v>
      </c>
      <c r="M1390" s="2">
        <v>42003</v>
      </c>
      <c r="N1390" s="1">
        <v>163</v>
      </c>
      <c r="O1390" s="2">
        <v>42003</v>
      </c>
      <c r="P1390" s="1">
        <v>25042</v>
      </c>
      <c r="Q1390" s="1" t="s">
        <v>197</v>
      </c>
      <c r="R1390" s="2">
        <v>42072</v>
      </c>
      <c r="S1390" s="1">
        <v>245398</v>
      </c>
      <c r="T1390" s="1">
        <v>5000</v>
      </c>
      <c r="U1390" s="1">
        <v>2219</v>
      </c>
      <c r="V1390" s="1" t="s">
        <v>2743</v>
      </c>
      <c r="W1390" s="1" t="s">
        <v>264</v>
      </c>
      <c r="X1390" s="1">
        <v>2219</v>
      </c>
      <c r="Y1390" s="1">
        <v>6</v>
      </c>
      <c r="Z1390" s="1" t="s">
        <v>370</v>
      </c>
      <c r="AA1390" s="1" t="s">
        <v>661</v>
      </c>
      <c r="AB1390" s="1">
        <v>60134</v>
      </c>
      <c r="AD1390" s="1" t="s">
        <v>13804</v>
      </c>
      <c r="AE1390" s="1" t="s">
        <v>13805</v>
      </c>
      <c r="AF1390" s="1">
        <v>2000</v>
      </c>
      <c r="AG1390" s="1" t="s">
        <v>204</v>
      </c>
      <c r="AH1390" s="1" t="s">
        <v>664</v>
      </c>
      <c r="AI1390" s="1" t="s">
        <v>665</v>
      </c>
      <c r="AJ1390" s="1" t="s">
        <v>664</v>
      </c>
      <c r="AK1390" s="1" t="s">
        <v>13806</v>
      </c>
      <c r="AL1390" s="1">
        <v>4</v>
      </c>
      <c r="AM1390" s="1">
        <v>2</v>
      </c>
      <c r="AN1390" s="1">
        <v>2</v>
      </c>
      <c r="AO1390" s="1">
        <v>0</v>
      </c>
      <c r="AP1390" s="1" t="s">
        <v>209</v>
      </c>
      <c r="AR1390" s="1" t="s">
        <v>210</v>
      </c>
      <c r="AS1390" s="1" t="s">
        <v>204</v>
      </c>
      <c r="AT1390" s="1" t="s">
        <v>211</v>
      </c>
      <c r="AU1390" s="1">
        <v>2</v>
      </c>
      <c r="AW1390" s="1" t="s">
        <v>204</v>
      </c>
      <c r="AX1390" s="1" t="s">
        <v>212</v>
      </c>
      <c r="AZ1390" s="1">
        <v>4816.6000000000004</v>
      </c>
      <c r="BA1390" s="1">
        <v>2013</v>
      </c>
      <c r="BB1390" s="1" t="s">
        <v>405</v>
      </c>
      <c r="BE1390" s="1">
        <v>1466</v>
      </c>
      <c r="BF1390" s="1">
        <v>2</v>
      </c>
      <c r="BG1390" s="1">
        <v>0</v>
      </c>
      <c r="BL1390" s="1">
        <v>194</v>
      </c>
      <c r="BM1390" s="1" t="s">
        <v>213</v>
      </c>
      <c r="BN1390" s="1" t="s">
        <v>213</v>
      </c>
      <c r="BO1390" s="1">
        <v>99</v>
      </c>
      <c r="BP1390" s="1" t="s">
        <v>204</v>
      </c>
      <c r="BR1390" s="1" t="str">
        <f>"1204102058"</f>
        <v>1204102058</v>
      </c>
      <c r="BT1390" s="1" t="s">
        <v>13807</v>
      </c>
      <c r="BX1390" s="1">
        <v>304</v>
      </c>
      <c r="BY1390" s="1">
        <v>304</v>
      </c>
      <c r="BZ1390" s="1">
        <v>304</v>
      </c>
      <c r="CB1390" s="1" t="str">
        <f>"1"</f>
        <v>1</v>
      </c>
      <c r="CC1390" s="1" t="str">
        <f>"0"</f>
        <v>0</v>
      </c>
      <c r="CD1390" s="1">
        <v>36</v>
      </c>
      <c r="CE1390" s="1">
        <v>0</v>
      </c>
      <c r="CG1390" s="1" t="s">
        <v>6862</v>
      </c>
      <c r="CH1390" s="1" t="s">
        <v>277</v>
      </c>
      <c r="CI1390" s="1" t="s">
        <v>229</v>
      </c>
      <c r="CK1390" s="1" t="s">
        <v>315</v>
      </c>
      <c r="CL1390" s="1" t="s">
        <v>277</v>
      </c>
      <c r="CM1390" s="1" t="s">
        <v>220</v>
      </c>
      <c r="CP1390" s="1" t="s">
        <v>224</v>
      </c>
      <c r="CS1390" s="1" t="s">
        <v>1297</v>
      </c>
      <c r="CT1390" s="1" t="s">
        <v>277</v>
      </c>
      <c r="CU1390" s="1" t="s">
        <v>229</v>
      </c>
      <c r="CX1390" s="1" t="s">
        <v>224</v>
      </c>
      <c r="DB1390" s="1" t="s">
        <v>224</v>
      </c>
      <c r="DE1390" s="1" t="s">
        <v>465</v>
      </c>
      <c r="DF1390" s="1" t="s">
        <v>277</v>
      </c>
      <c r="DG1390" s="1" t="s">
        <v>342</v>
      </c>
      <c r="DJ1390" s="1" t="s">
        <v>224</v>
      </c>
      <c r="DM1390" s="1" t="s">
        <v>1770</v>
      </c>
      <c r="DR1390" s="1" t="s">
        <v>2031</v>
      </c>
      <c r="DS1390" s="1" t="s">
        <v>277</v>
      </c>
      <c r="DW1390" s="1" t="s">
        <v>230</v>
      </c>
      <c r="EA1390" s="1" t="s">
        <v>230</v>
      </c>
      <c r="EE1390" s="1" t="s">
        <v>230</v>
      </c>
      <c r="EI1390" s="1" t="s">
        <v>230</v>
      </c>
      <c r="EL1390" s="1" t="s">
        <v>466</v>
      </c>
      <c r="EM1390" s="1" t="s">
        <v>319</v>
      </c>
      <c r="EN1390" s="1" t="s">
        <v>282</v>
      </c>
      <c r="EO1390" s="1" t="s">
        <v>234</v>
      </c>
      <c r="EQ1390" s="1" t="s">
        <v>2416</v>
      </c>
      <c r="ER1390" s="1" t="s">
        <v>210</v>
      </c>
      <c r="ES1390" s="1" t="s">
        <v>322</v>
      </c>
      <c r="ET1390" s="1" t="s">
        <v>323</v>
      </c>
      <c r="EW1390" s="1" t="s">
        <v>353</v>
      </c>
      <c r="EZ1390" s="1" t="s">
        <v>1770</v>
      </c>
      <c r="FB1390" s="1" t="s">
        <v>289</v>
      </c>
      <c r="FD1390" s="1" t="s">
        <v>495</v>
      </c>
      <c r="FE1390" s="1" t="s">
        <v>549</v>
      </c>
      <c r="FF1390" s="1" t="s">
        <v>248</v>
      </c>
      <c r="FH1390" s="1" t="s">
        <v>249</v>
      </c>
      <c r="FL1390" s="1" t="s">
        <v>358</v>
      </c>
      <c r="FM1390" s="1" t="s">
        <v>252</v>
      </c>
      <c r="FN1390" s="1" t="s">
        <v>213</v>
      </c>
      <c r="FO1390" s="1" t="s">
        <v>213</v>
      </c>
      <c r="FQ1390" s="1" t="s">
        <v>10375</v>
      </c>
      <c r="FR1390" s="1" t="s">
        <v>210</v>
      </c>
      <c r="FS1390" s="1" t="s">
        <v>2418</v>
      </c>
      <c r="FT1390" s="1" t="s">
        <v>584</v>
      </c>
      <c r="FU1390" s="1" t="s">
        <v>204</v>
      </c>
      <c r="FV1390" s="1" t="s">
        <v>2419</v>
      </c>
      <c r="FW1390" s="1" t="s">
        <v>2420</v>
      </c>
      <c r="FX1390" s="1">
        <v>41</v>
      </c>
      <c r="FY1390" s="1" t="s">
        <v>2421</v>
      </c>
      <c r="FZ1390" s="1" t="s">
        <v>2422</v>
      </c>
      <c r="GA1390" s="1">
        <v>8483</v>
      </c>
      <c r="GB1390" s="1" t="s">
        <v>2423</v>
      </c>
      <c r="GD1390" s="1" t="s">
        <v>2424</v>
      </c>
      <c r="GE1390" s="1" t="s">
        <v>210</v>
      </c>
      <c r="GI1390" s="1" t="s">
        <v>213</v>
      </c>
      <c r="GJ1390" s="1" t="s">
        <v>260</v>
      </c>
      <c r="GK1390" s="1" t="s">
        <v>210</v>
      </c>
      <c r="GL1390" s="2">
        <v>42072</v>
      </c>
      <c r="GM1390" s="1" t="s">
        <v>13808</v>
      </c>
    </row>
    <row r="1391" spans="1:195">
      <c r="A1391" s="1">
        <v>285000</v>
      </c>
      <c r="B1391" s="1" t="s">
        <v>195</v>
      </c>
      <c r="C1391" s="1" t="str">
        <f>"08691146"</f>
        <v>08691146</v>
      </c>
      <c r="D1391" s="1" t="s">
        <v>196</v>
      </c>
      <c r="F1391" s="1" t="str">
        <f>"559"</f>
        <v>559</v>
      </c>
      <c r="G1391" s="2">
        <v>41854</v>
      </c>
      <c r="H1391" s="1">
        <v>295900</v>
      </c>
      <c r="I1391" s="1">
        <v>294900</v>
      </c>
      <c r="J1391" s="1">
        <v>285000</v>
      </c>
      <c r="K1391" s="2">
        <v>41854</v>
      </c>
      <c r="L1391" s="1">
        <v>185</v>
      </c>
      <c r="M1391" s="2">
        <v>42038</v>
      </c>
      <c r="N1391" s="1">
        <v>185</v>
      </c>
      <c r="O1391" s="2">
        <v>42038</v>
      </c>
      <c r="P1391" s="1">
        <v>20132</v>
      </c>
      <c r="Q1391" s="1" t="s">
        <v>197</v>
      </c>
      <c r="R1391" s="2">
        <v>42096</v>
      </c>
      <c r="S1391" s="1">
        <v>211020</v>
      </c>
      <c r="U1391" s="1">
        <v>696</v>
      </c>
      <c r="V1391" s="1" t="s">
        <v>7765</v>
      </c>
      <c r="W1391" s="1" t="s">
        <v>264</v>
      </c>
      <c r="Y1391" s="1">
        <v>4</v>
      </c>
      <c r="Z1391" s="1" t="s">
        <v>370</v>
      </c>
      <c r="AA1391" s="1" t="s">
        <v>1950</v>
      </c>
      <c r="AB1391" s="1">
        <v>60559</v>
      </c>
      <c r="AD1391" s="1" t="s">
        <v>7766</v>
      </c>
      <c r="AE1391" s="1" t="s">
        <v>13809</v>
      </c>
      <c r="AF1391" s="1">
        <v>1996</v>
      </c>
      <c r="AG1391" s="1" t="s">
        <v>204</v>
      </c>
      <c r="AH1391" s="1" t="s">
        <v>1952</v>
      </c>
      <c r="AI1391" s="1" t="s">
        <v>206</v>
      </c>
      <c r="AJ1391" s="1" t="s">
        <v>1608</v>
      </c>
      <c r="AL1391" s="1">
        <v>7</v>
      </c>
      <c r="AM1391" s="1">
        <v>2</v>
      </c>
      <c r="AN1391" s="1">
        <v>2</v>
      </c>
      <c r="AO1391" s="1">
        <v>1</v>
      </c>
      <c r="AP1391" s="1" t="s">
        <v>209</v>
      </c>
      <c r="AQ1391" s="1">
        <v>1</v>
      </c>
      <c r="AR1391" s="1" t="s">
        <v>209</v>
      </c>
      <c r="AS1391" s="1" t="s">
        <v>204</v>
      </c>
      <c r="AT1391" s="1" t="s">
        <v>211</v>
      </c>
      <c r="AU1391" s="1">
        <v>2</v>
      </c>
      <c r="AW1391" s="1" t="s">
        <v>204</v>
      </c>
      <c r="AX1391" s="1" t="s">
        <v>1813</v>
      </c>
      <c r="AZ1391" s="1">
        <v>5308.94</v>
      </c>
      <c r="BA1391" s="1">
        <v>2013</v>
      </c>
      <c r="BB1391" s="1" t="s">
        <v>405</v>
      </c>
      <c r="BE1391" s="1">
        <v>1600</v>
      </c>
      <c r="BF1391" s="1">
        <v>1</v>
      </c>
      <c r="BG1391" s="1">
        <v>0</v>
      </c>
      <c r="BJ1391" s="1">
        <v>100</v>
      </c>
      <c r="BL1391" s="1">
        <v>236</v>
      </c>
      <c r="BM1391" s="1" t="s">
        <v>204</v>
      </c>
      <c r="BN1391" s="1" t="s">
        <v>213</v>
      </c>
      <c r="BO1391" s="1" t="s">
        <v>432</v>
      </c>
      <c r="BP1391" s="1" t="s">
        <v>204</v>
      </c>
      <c r="BR1391" s="1" t="str">
        <f>"0903213049"</f>
        <v>0903213049</v>
      </c>
      <c r="BT1391" s="1" t="s">
        <v>13810</v>
      </c>
      <c r="BU1391" s="1" t="s">
        <v>1954</v>
      </c>
      <c r="BV1391" s="1" t="s">
        <v>1955</v>
      </c>
      <c r="BW1391" s="1" t="s">
        <v>1956</v>
      </c>
      <c r="BX1391" s="1">
        <v>201</v>
      </c>
      <c r="BY1391" s="1">
        <v>201</v>
      </c>
      <c r="BZ1391" s="1">
        <v>201</v>
      </c>
      <c r="CB1391" s="1" t="str">
        <f t="shared" ref="CB1391:CC1391" si="1063">""</f>
        <v/>
      </c>
      <c r="CC1391" s="1" t="str">
        <f t="shared" si="1063"/>
        <v/>
      </c>
      <c r="CG1391" s="1" t="s">
        <v>315</v>
      </c>
      <c r="CH1391" s="1" t="s">
        <v>219</v>
      </c>
      <c r="CI1391" s="1" t="s">
        <v>220</v>
      </c>
      <c r="CJ1391" s="1" t="s">
        <v>252</v>
      </c>
      <c r="CK1391" s="1" t="s">
        <v>221</v>
      </c>
      <c r="CL1391" s="1" t="s">
        <v>277</v>
      </c>
      <c r="CM1391" s="1" t="s">
        <v>220</v>
      </c>
      <c r="CN1391" s="1" t="s">
        <v>252</v>
      </c>
      <c r="CO1391" s="1" t="s">
        <v>465</v>
      </c>
      <c r="CP1391" s="1" t="s">
        <v>219</v>
      </c>
      <c r="CQ1391" s="1" t="s">
        <v>220</v>
      </c>
      <c r="CR1391" s="1" t="s">
        <v>252</v>
      </c>
      <c r="CS1391" s="1" t="s">
        <v>465</v>
      </c>
      <c r="CT1391" s="1" t="s">
        <v>277</v>
      </c>
      <c r="CU1391" s="1" t="s">
        <v>220</v>
      </c>
      <c r="CV1391" s="1" t="s">
        <v>252</v>
      </c>
      <c r="CX1391" s="1" t="s">
        <v>224</v>
      </c>
      <c r="DB1391" s="1" t="s">
        <v>224</v>
      </c>
      <c r="DE1391" s="1" t="s">
        <v>379</v>
      </c>
      <c r="DF1391" s="1" t="s">
        <v>219</v>
      </c>
      <c r="DG1391" s="1" t="s">
        <v>4958</v>
      </c>
      <c r="DH1391" s="1" t="s">
        <v>252</v>
      </c>
      <c r="DJ1391" s="1" t="s">
        <v>224</v>
      </c>
      <c r="DM1391" s="1" t="s">
        <v>1548</v>
      </c>
      <c r="DN1391" s="1" t="s">
        <v>464</v>
      </c>
      <c r="DO1391" s="1" t="s">
        <v>709</v>
      </c>
      <c r="DR1391" s="1" t="s">
        <v>346</v>
      </c>
      <c r="DS1391" s="1" t="s">
        <v>219</v>
      </c>
      <c r="DT1391" s="1" t="s">
        <v>4958</v>
      </c>
      <c r="DU1391" s="1" t="s">
        <v>252</v>
      </c>
      <c r="DV1391" s="1" t="s">
        <v>1454</v>
      </c>
      <c r="DW1391" s="1" t="s">
        <v>277</v>
      </c>
      <c r="DX1391" s="1" t="s">
        <v>220</v>
      </c>
      <c r="DZ1391" s="1" t="s">
        <v>6362</v>
      </c>
      <c r="EA1391" s="1" t="s">
        <v>219</v>
      </c>
      <c r="EB1391" s="1" t="s">
        <v>4958</v>
      </c>
      <c r="EE1391" s="1" t="s">
        <v>230</v>
      </c>
      <c r="EI1391" s="1" t="s">
        <v>230</v>
      </c>
      <c r="EL1391" s="1" t="s">
        <v>670</v>
      </c>
      <c r="EM1391" s="1" t="s">
        <v>319</v>
      </c>
      <c r="EN1391" s="1" t="s">
        <v>282</v>
      </c>
      <c r="EO1391" s="1" t="s">
        <v>234</v>
      </c>
      <c r="EQ1391" s="1" t="s">
        <v>1551</v>
      </c>
      <c r="ER1391" s="1" t="s">
        <v>1249</v>
      </c>
      <c r="ES1391" s="1" t="s">
        <v>493</v>
      </c>
      <c r="ET1391" s="1" t="s">
        <v>866</v>
      </c>
      <c r="EV1391" s="1" t="s">
        <v>1999</v>
      </c>
      <c r="EW1391" s="1" t="s">
        <v>911</v>
      </c>
      <c r="EY1391" s="1" t="s">
        <v>242</v>
      </c>
      <c r="EZ1391" s="1" t="s">
        <v>2815</v>
      </c>
      <c r="FA1391" s="1" t="s">
        <v>869</v>
      </c>
      <c r="FD1391" s="1" t="s">
        <v>246</v>
      </c>
      <c r="FE1391" s="1" t="s">
        <v>975</v>
      </c>
      <c r="FF1391" s="1" t="s">
        <v>248</v>
      </c>
      <c r="FG1391" s="1" t="s">
        <v>912</v>
      </c>
      <c r="FH1391" s="1" t="s">
        <v>550</v>
      </c>
      <c r="FI1391" s="1" t="s">
        <v>357</v>
      </c>
      <c r="FJ1391" s="1" t="s">
        <v>197</v>
      </c>
      <c r="FL1391" s="1" t="s">
        <v>358</v>
      </c>
      <c r="FM1391" s="1" t="s">
        <v>252</v>
      </c>
      <c r="FN1391" s="1" t="s">
        <v>213</v>
      </c>
      <c r="FO1391" s="1" t="s">
        <v>213</v>
      </c>
      <c r="FQ1391" s="1" t="s">
        <v>293</v>
      </c>
      <c r="FR1391" s="1" t="s">
        <v>210</v>
      </c>
      <c r="FS1391" s="1" t="s">
        <v>13811</v>
      </c>
      <c r="FT1391" s="1" t="s">
        <v>675</v>
      </c>
      <c r="FU1391" s="1" t="s">
        <v>204</v>
      </c>
      <c r="FW1391" s="1" t="s">
        <v>13812</v>
      </c>
      <c r="FX1391" s="1">
        <v>25368</v>
      </c>
      <c r="FY1391" s="1" t="s">
        <v>13813</v>
      </c>
      <c r="FZ1391" s="1" t="s">
        <v>13814</v>
      </c>
      <c r="GA1391" s="1">
        <v>258106</v>
      </c>
      <c r="GB1391" s="1" t="s">
        <v>13815</v>
      </c>
      <c r="GD1391" s="1" t="s">
        <v>13816</v>
      </c>
      <c r="GE1391" s="1" t="s">
        <v>210</v>
      </c>
      <c r="GI1391" s="1" t="s">
        <v>204</v>
      </c>
      <c r="GJ1391" s="1" t="s">
        <v>260</v>
      </c>
      <c r="GK1391" s="1" t="s">
        <v>210</v>
      </c>
      <c r="GL1391" s="2">
        <v>42096</v>
      </c>
      <c r="GM1391" s="1" t="s">
        <v>13817</v>
      </c>
    </row>
    <row r="1392" spans="1:195">
      <c r="A1392" s="1">
        <v>103000</v>
      </c>
      <c r="B1392" s="1" t="s">
        <v>195</v>
      </c>
      <c r="C1392" s="1" t="str">
        <f>"08669044"</f>
        <v>08669044</v>
      </c>
      <c r="D1392" s="1" t="s">
        <v>196</v>
      </c>
      <c r="F1392" s="1" t="str">
        <f>"103"</f>
        <v>103</v>
      </c>
      <c r="G1392" s="2">
        <v>41830</v>
      </c>
      <c r="H1392" s="1">
        <v>120000</v>
      </c>
      <c r="I1392" s="1">
        <v>110000</v>
      </c>
      <c r="J1392" s="1">
        <v>103000</v>
      </c>
      <c r="K1392" s="2">
        <v>41830</v>
      </c>
      <c r="L1392" s="1">
        <v>146</v>
      </c>
      <c r="M1392" s="2">
        <v>41975</v>
      </c>
      <c r="N1392" s="1">
        <v>146</v>
      </c>
      <c r="O1392" s="2">
        <v>41975</v>
      </c>
      <c r="P1392" s="1">
        <v>23948</v>
      </c>
      <c r="Q1392" s="1" t="s">
        <v>197</v>
      </c>
      <c r="R1392" s="2">
        <v>42019</v>
      </c>
      <c r="S1392" s="1">
        <v>230392</v>
      </c>
      <c r="U1392" s="1">
        <v>6383</v>
      </c>
      <c r="V1392" s="1" t="s">
        <v>10848</v>
      </c>
      <c r="W1392" s="1" t="s">
        <v>264</v>
      </c>
      <c r="Y1392" s="1">
        <v>4</v>
      </c>
      <c r="Z1392" s="1" t="s">
        <v>370</v>
      </c>
      <c r="AA1392" s="1" t="s">
        <v>337</v>
      </c>
      <c r="AB1392" s="1">
        <v>60133</v>
      </c>
      <c r="AD1392" s="1" t="s">
        <v>13818</v>
      </c>
      <c r="AE1392" s="1" t="s">
        <v>13819</v>
      </c>
      <c r="AF1392" s="1">
        <v>1992</v>
      </c>
      <c r="AG1392" s="1" t="s">
        <v>204</v>
      </c>
      <c r="AH1392" s="1" t="s">
        <v>339</v>
      </c>
      <c r="AI1392" s="1" t="s">
        <v>206</v>
      </c>
      <c r="AJ1392" s="1" t="s">
        <v>269</v>
      </c>
      <c r="AK1392" s="1" t="s">
        <v>13820</v>
      </c>
      <c r="AL1392" s="1">
        <v>5</v>
      </c>
      <c r="AM1392" s="1">
        <v>2</v>
      </c>
      <c r="AN1392" s="1">
        <v>1</v>
      </c>
      <c r="AO1392" s="1">
        <v>0</v>
      </c>
      <c r="AP1392" s="1" t="s">
        <v>210</v>
      </c>
      <c r="AR1392" s="1" t="s">
        <v>210</v>
      </c>
      <c r="AT1392" s="1" t="s">
        <v>211</v>
      </c>
      <c r="AU1392" s="1">
        <v>2</v>
      </c>
      <c r="AW1392" s="1" t="s">
        <v>204</v>
      </c>
      <c r="AX1392" s="1" t="s">
        <v>579</v>
      </c>
      <c r="AZ1392" s="1">
        <v>1796.94</v>
      </c>
      <c r="BA1392" s="1">
        <v>2013</v>
      </c>
      <c r="BE1392" s="1">
        <v>880</v>
      </c>
      <c r="BF1392" s="1">
        <v>1</v>
      </c>
      <c r="BG1392" s="1">
        <v>0</v>
      </c>
      <c r="BL1392" s="1">
        <v>179</v>
      </c>
      <c r="BM1392" s="1" t="s">
        <v>204</v>
      </c>
      <c r="BN1392" s="1" t="s">
        <v>213</v>
      </c>
      <c r="BO1392" s="1">
        <v>999</v>
      </c>
      <c r="BP1392" s="1" t="s">
        <v>204</v>
      </c>
      <c r="BR1392" s="1" t="str">
        <f>"0206107027"</f>
        <v>0206107027</v>
      </c>
      <c r="BT1392" s="1" t="s">
        <v>13821</v>
      </c>
      <c r="BU1392" s="1" t="s">
        <v>341</v>
      </c>
      <c r="BV1392" s="1" t="s">
        <v>274</v>
      </c>
      <c r="BW1392" s="1" t="s">
        <v>275</v>
      </c>
      <c r="BX1392" s="1">
        <v>20</v>
      </c>
      <c r="BY1392" s="1">
        <v>20</v>
      </c>
      <c r="BZ1392" s="1">
        <v>108</v>
      </c>
      <c r="CB1392" s="1" t="str">
        <f>"7"</f>
        <v>7</v>
      </c>
      <c r="CC1392" s="1" t="str">
        <f>""</f>
        <v/>
      </c>
      <c r="CD1392" s="1">
        <v>26</v>
      </c>
      <c r="CG1392" s="1" t="s">
        <v>223</v>
      </c>
      <c r="CH1392" s="1" t="s">
        <v>219</v>
      </c>
      <c r="CI1392" s="1" t="s">
        <v>220</v>
      </c>
      <c r="CK1392" s="1" t="s">
        <v>223</v>
      </c>
      <c r="CL1392" s="1" t="s">
        <v>277</v>
      </c>
      <c r="CM1392" s="1" t="s">
        <v>220</v>
      </c>
      <c r="CP1392" s="1" t="s">
        <v>224</v>
      </c>
      <c r="CS1392" s="1" t="s">
        <v>281</v>
      </c>
      <c r="CT1392" s="1" t="s">
        <v>277</v>
      </c>
      <c r="CU1392" s="1" t="s">
        <v>220</v>
      </c>
      <c r="CX1392" s="1" t="s">
        <v>224</v>
      </c>
      <c r="DB1392" s="1" t="s">
        <v>224</v>
      </c>
      <c r="DE1392" s="1" t="s">
        <v>316</v>
      </c>
      <c r="DF1392" s="1" t="s">
        <v>219</v>
      </c>
      <c r="DG1392" s="1" t="s">
        <v>342</v>
      </c>
      <c r="DJ1392" s="1" t="s">
        <v>224</v>
      </c>
      <c r="DM1392" s="1" t="s">
        <v>709</v>
      </c>
      <c r="DN1392" s="1" t="s">
        <v>381</v>
      </c>
      <c r="DR1392" s="1" t="s">
        <v>2451</v>
      </c>
      <c r="DS1392" s="1" t="s">
        <v>219</v>
      </c>
      <c r="DT1392" s="1" t="s">
        <v>342</v>
      </c>
      <c r="DV1392" s="1" t="s">
        <v>1571</v>
      </c>
      <c r="DW1392" s="1" t="s">
        <v>219</v>
      </c>
      <c r="DX1392" s="1" t="s">
        <v>342</v>
      </c>
      <c r="EA1392" s="1" t="s">
        <v>230</v>
      </c>
      <c r="EE1392" s="1" t="s">
        <v>230</v>
      </c>
      <c r="EI1392" s="1" t="s">
        <v>230</v>
      </c>
      <c r="EL1392" s="1" t="s">
        <v>382</v>
      </c>
      <c r="EM1392" s="1" t="s">
        <v>232</v>
      </c>
      <c r="EN1392" s="1" t="s">
        <v>282</v>
      </c>
      <c r="EO1392" s="1" t="s">
        <v>234</v>
      </c>
      <c r="EQ1392" s="1" t="s">
        <v>1094</v>
      </c>
      <c r="ER1392" s="1" t="s">
        <v>210</v>
      </c>
      <c r="ES1392" s="1" t="s">
        <v>824</v>
      </c>
      <c r="EU1392" s="1" t="s">
        <v>1894</v>
      </c>
      <c r="EW1392" s="1" t="s">
        <v>353</v>
      </c>
      <c r="EZ1392" s="1" t="s">
        <v>8019</v>
      </c>
      <c r="FD1392" s="1" t="s">
        <v>246</v>
      </c>
      <c r="FE1392" s="1" t="s">
        <v>1031</v>
      </c>
      <c r="FF1392" s="1" t="s">
        <v>248</v>
      </c>
      <c r="FH1392" s="1" t="s">
        <v>550</v>
      </c>
      <c r="FL1392" s="1" t="s">
        <v>2370</v>
      </c>
      <c r="FM1392" s="1" t="s">
        <v>252</v>
      </c>
      <c r="FN1392" s="1" t="s">
        <v>213</v>
      </c>
      <c r="FO1392" s="1" t="s">
        <v>213</v>
      </c>
      <c r="FQ1392" s="1" t="s">
        <v>2293</v>
      </c>
      <c r="FR1392" s="1" t="s">
        <v>210</v>
      </c>
      <c r="FS1392" s="1" t="s">
        <v>13822</v>
      </c>
      <c r="FT1392" s="1" t="s">
        <v>362</v>
      </c>
      <c r="FU1392" s="1" t="s">
        <v>204</v>
      </c>
      <c r="FW1392" s="1" t="s">
        <v>1559</v>
      </c>
      <c r="FX1392" s="1">
        <v>3754</v>
      </c>
      <c r="FY1392" s="1" t="s">
        <v>13823</v>
      </c>
      <c r="FZ1392" s="1" t="s">
        <v>13824</v>
      </c>
      <c r="GA1392" s="1">
        <v>37528</v>
      </c>
      <c r="GB1392" s="1" t="s">
        <v>13825</v>
      </c>
      <c r="GE1392" s="1" t="s">
        <v>210</v>
      </c>
      <c r="GI1392" s="1" t="s">
        <v>213</v>
      </c>
      <c r="GJ1392" s="1" t="s">
        <v>260</v>
      </c>
      <c r="GK1392" s="1" t="s">
        <v>210</v>
      </c>
      <c r="GL1392" s="2">
        <v>42019</v>
      </c>
    </row>
    <row r="1393" spans="1:195">
      <c r="A1393" s="1">
        <v>77000</v>
      </c>
      <c r="B1393" s="1" t="s">
        <v>195</v>
      </c>
      <c r="C1393" s="1" t="str">
        <f>"08669335"</f>
        <v>08669335</v>
      </c>
      <c r="D1393" s="1" t="s">
        <v>196</v>
      </c>
      <c r="F1393" s="1" t="str">
        <f>"135"</f>
        <v>135</v>
      </c>
      <c r="G1393" s="2">
        <v>41830</v>
      </c>
      <c r="H1393" s="1">
        <v>79000</v>
      </c>
      <c r="I1393" s="1">
        <v>79000</v>
      </c>
      <c r="J1393" s="1">
        <v>77000</v>
      </c>
      <c r="K1393" s="2">
        <v>41829</v>
      </c>
      <c r="L1393" s="1">
        <v>16</v>
      </c>
      <c r="M1393" s="2">
        <v>41844</v>
      </c>
      <c r="N1393" s="1">
        <v>16</v>
      </c>
      <c r="O1393" s="2">
        <v>41844</v>
      </c>
      <c r="P1393" s="1">
        <v>22808</v>
      </c>
      <c r="Q1393" s="1" t="s">
        <v>302</v>
      </c>
      <c r="R1393" s="2">
        <v>41989</v>
      </c>
      <c r="S1393" s="1">
        <v>215726</v>
      </c>
      <c r="U1393" s="1">
        <v>906</v>
      </c>
      <c r="V1393" s="1" t="s">
        <v>9721</v>
      </c>
      <c r="W1393" s="1" t="s">
        <v>264</v>
      </c>
      <c r="Y1393" s="1">
        <v>4</v>
      </c>
      <c r="Z1393" s="1" t="s">
        <v>200</v>
      </c>
      <c r="AA1393" s="1" t="s">
        <v>3384</v>
      </c>
      <c r="AB1393" s="1">
        <v>60135</v>
      </c>
      <c r="AD1393" s="1" t="s">
        <v>13826</v>
      </c>
      <c r="AE1393" s="1" t="s">
        <v>13827</v>
      </c>
      <c r="AF1393" s="1">
        <v>1996</v>
      </c>
      <c r="AG1393" s="1" t="s">
        <v>204</v>
      </c>
      <c r="AH1393" s="1" t="s">
        <v>3386</v>
      </c>
      <c r="AI1393" s="1" t="s">
        <v>2246</v>
      </c>
      <c r="AJ1393" s="1" t="s">
        <v>3386</v>
      </c>
      <c r="AL1393" s="1">
        <v>4</v>
      </c>
      <c r="AM1393" s="1">
        <v>2</v>
      </c>
      <c r="AN1393" s="1">
        <v>1</v>
      </c>
      <c r="AO1393" s="1">
        <v>1</v>
      </c>
      <c r="AP1393" s="1" t="s">
        <v>210</v>
      </c>
      <c r="AQ1393" s="1">
        <v>1</v>
      </c>
      <c r="AR1393" s="1" t="s">
        <v>210</v>
      </c>
      <c r="AT1393" s="1" t="s">
        <v>211</v>
      </c>
      <c r="AU1393" s="1">
        <v>2</v>
      </c>
      <c r="AW1393" s="1" t="s">
        <v>204</v>
      </c>
      <c r="AX1393" s="1" t="s">
        <v>13828</v>
      </c>
      <c r="AZ1393" s="1">
        <v>3368.96</v>
      </c>
      <c r="BA1393" s="1">
        <v>2013</v>
      </c>
      <c r="BB1393" s="1" t="s">
        <v>405</v>
      </c>
      <c r="BE1393" s="1">
        <v>1200</v>
      </c>
      <c r="BF1393" s="1">
        <v>1</v>
      </c>
      <c r="BG1393" s="1">
        <v>0</v>
      </c>
      <c r="BL1393" s="1">
        <v>0</v>
      </c>
      <c r="BM1393" s="1" t="s">
        <v>204</v>
      </c>
      <c r="BN1393" s="1" t="s">
        <v>213</v>
      </c>
      <c r="BO1393" s="1" t="s">
        <v>2932</v>
      </c>
      <c r="BP1393" s="1" t="s">
        <v>204</v>
      </c>
      <c r="BR1393" s="1" t="str">
        <f>"0330305018"</f>
        <v>0330305018</v>
      </c>
      <c r="BT1393" s="1" t="s">
        <v>13829</v>
      </c>
      <c r="BX1393" s="1">
        <v>424</v>
      </c>
      <c r="BY1393" s="1">
        <v>424</v>
      </c>
      <c r="BZ1393" s="1">
        <v>424</v>
      </c>
      <c r="CB1393" s="1" t="str">
        <f t="shared" ref="CB1393:CC1393" si="1064">""</f>
        <v/>
      </c>
      <c r="CC1393" s="1" t="str">
        <f t="shared" si="1064"/>
        <v/>
      </c>
      <c r="CG1393" s="1" t="s">
        <v>317</v>
      </c>
      <c r="CH1393" s="1" t="s">
        <v>219</v>
      </c>
      <c r="CI1393" s="1" t="s">
        <v>229</v>
      </c>
      <c r="CK1393" s="1" t="s">
        <v>378</v>
      </c>
      <c r="CL1393" s="1" t="s">
        <v>277</v>
      </c>
      <c r="CM1393" s="1" t="s">
        <v>220</v>
      </c>
      <c r="CP1393" s="1" t="s">
        <v>224</v>
      </c>
      <c r="CS1393" s="1" t="s">
        <v>346</v>
      </c>
      <c r="CT1393" s="1" t="s">
        <v>277</v>
      </c>
      <c r="CU1393" s="1" t="s">
        <v>220</v>
      </c>
      <c r="CX1393" s="1" t="s">
        <v>224</v>
      </c>
      <c r="DB1393" s="1" t="s">
        <v>224</v>
      </c>
      <c r="DE1393" s="1" t="s">
        <v>223</v>
      </c>
      <c r="DF1393" s="1" t="s">
        <v>219</v>
      </c>
      <c r="DG1393" s="1" t="s">
        <v>229</v>
      </c>
      <c r="DJ1393" s="1" t="s">
        <v>224</v>
      </c>
      <c r="DS1393" s="1" t="s">
        <v>230</v>
      </c>
      <c r="DW1393" s="1" t="s">
        <v>230</v>
      </c>
      <c r="EA1393" s="1" t="s">
        <v>230</v>
      </c>
      <c r="EE1393" s="1" t="s">
        <v>230</v>
      </c>
      <c r="EI1393" s="1" t="s">
        <v>230</v>
      </c>
      <c r="EL1393" s="1" t="s">
        <v>670</v>
      </c>
      <c r="EM1393" s="1" t="s">
        <v>319</v>
      </c>
      <c r="EN1393" s="1" t="s">
        <v>282</v>
      </c>
      <c r="EO1393" s="1" t="s">
        <v>234</v>
      </c>
      <c r="EP1393" s="1" t="s">
        <v>13830</v>
      </c>
      <c r="ER1393" s="1" t="s">
        <v>383</v>
      </c>
      <c r="ES1393" s="1" t="s">
        <v>824</v>
      </c>
      <c r="EU1393" s="1" t="s">
        <v>1820</v>
      </c>
      <c r="EV1393" s="1" t="s">
        <v>240</v>
      </c>
      <c r="EW1393" s="1" t="s">
        <v>210</v>
      </c>
      <c r="EZ1393" s="1" t="s">
        <v>287</v>
      </c>
      <c r="FC1393" s="1" t="s">
        <v>326</v>
      </c>
      <c r="FD1393" s="1" t="s">
        <v>246</v>
      </c>
      <c r="FE1393" s="1" t="s">
        <v>472</v>
      </c>
      <c r="FF1393" s="1" t="s">
        <v>248</v>
      </c>
      <c r="FH1393" s="1" t="s">
        <v>550</v>
      </c>
      <c r="FL1393" s="1" t="s">
        <v>358</v>
      </c>
      <c r="FM1393" s="1" t="s">
        <v>252</v>
      </c>
      <c r="FN1393" s="1" t="s">
        <v>213</v>
      </c>
      <c r="FO1393" s="1" t="s">
        <v>213</v>
      </c>
      <c r="FQ1393" s="1" t="s">
        <v>13831</v>
      </c>
      <c r="FR1393" s="1" t="s">
        <v>360</v>
      </c>
      <c r="FS1393" s="1" t="s">
        <v>13832</v>
      </c>
      <c r="FT1393" s="1" t="s">
        <v>295</v>
      </c>
      <c r="FU1393" s="1" t="s">
        <v>204</v>
      </c>
      <c r="FW1393" s="1" t="s">
        <v>1183</v>
      </c>
      <c r="FX1393" s="1">
        <v>1384</v>
      </c>
      <c r="FY1393" s="1" t="s">
        <v>1184</v>
      </c>
      <c r="FZ1393" s="1" t="s">
        <v>13833</v>
      </c>
      <c r="GA1393" s="1">
        <v>88359</v>
      </c>
      <c r="GB1393" s="1" t="s">
        <v>13834</v>
      </c>
      <c r="GE1393" s="1" t="s">
        <v>210</v>
      </c>
      <c r="GH1393" s="1" t="s">
        <v>230</v>
      </c>
      <c r="GI1393" s="1" t="s">
        <v>213</v>
      </c>
      <c r="GJ1393" s="1" t="s">
        <v>260</v>
      </c>
      <c r="GK1393" s="1" t="s">
        <v>210</v>
      </c>
      <c r="GL1393" s="2">
        <v>41989</v>
      </c>
      <c r="GM1393" s="1" t="s">
        <v>13835</v>
      </c>
    </row>
    <row r="1394" spans="1:195">
      <c r="A1394" s="1">
        <v>186000</v>
      </c>
      <c r="B1394" s="1" t="s">
        <v>195</v>
      </c>
      <c r="C1394" s="1" t="str">
        <f>"08671947"</f>
        <v>08671947</v>
      </c>
      <c r="D1394" s="1" t="s">
        <v>196</v>
      </c>
      <c r="F1394" s="1" t="str">
        <f>"634"</f>
        <v>634</v>
      </c>
      <c r="G1394" s="2">
        <v>41834</v>
      </c>
      <c r="H1394" s="1">
        <v>199900</v>
      </c>
      <c r="I1394" s="1">
        <v>192500</v>
      </c>
      <c r="J1394" s="1">
        <v>186000</v>
      </c>
      <c r="K1394" s="2">
        <v>41834</v>
      </c>
      <c r="L1394" s="1">
        <v>112</v>
      </c>
      <c r="M1394" s="2">
        <v>41945</v>
      </c>
      <c r="N1394" s="1">
        <v>112</v>
      </c>
      <c r="O1394" s="2">
        <v>41945</v>
      </c>
      <c r="P1394" s="1">
        <v>84025</v>
      </c>
      <c r="Q1394" s="1" t="s">
        <v>197</v>
      </c>
      <c r="R1394" s="2">
        <v>41977</v>
      </c>
      <c r="S1394" s="1">
        <v>107836</v>
      </c>
      <c r="U1394" s="1">
        <v>8560</v>
      </c>
      <c r="V1394" s="1" t="s">
        <v>13836</v>
      </c>
      <c r="W1394" s="1" t="s">
        <v>425</v>
      </c>
      <c r="X1394" s="1">
        <v>201</v>
      </c>
      <c r="Y1394" s="1">
        <v>60</v>
      </c>
      <c r="Z1394" s="1" t="s">
        <v>249</v>
      </c>
      <c r="AA1394" s="1" t="s">
        <v>3197</v>
      </c>
      <c r="AB1394" s="1">
        <v>60706</v>
      </c>
      <c r="AD1394" s="1" t="s">
        <v>13837</v>
      </c>
      <c r="AE1394" s="1" t="s">
        <v>13838</v>
      </c>
      <c r="AF1394" s="1">
        <v>1993</v>
      </c>
      <c r="AG1394" s="1" t="s">
        <v>204</v>
      </c>
      <c r="AH1394" s="1" t="s">
        <v>3199</v>
      </c>
      <c r="AI1394" s="1" t="s">
        <v>310</v>
      </c>
      <c r="AJ1394" s="1" t="s">
        <v>3200</v>
      </c>
      <c r="AK1394" s="1" t="s">
        <v>666</v>
      </c>
      <c r="AL1394" s="1">
        <v>5</v>
      </c>
      <c r="AM1394" s="1">
        <v>2</v>
      </c>
      <c r="AN1394" s="1">
        <v>2</v>
      </c>
      <c r="AO1394" s="1">
        <v>0</v>
      </c>
      <c r="AP1394" s="1" t="s">
        <v>209</v>
      </c>
      <c r="AR1394" s="1" t="s">
        <v>210</v>
      </c>
      <c r="AS1394" s="1" t="s">
        <v>204</v>
      </c>
      <c r="AT1394" s="1" t="s">
        <v>211</v>
      </c>
      <c r="AU1394" s="1">
        <v>1</v>
      </c>
      <c r="AW1394" s="1" t="s">
        <v>204</v>
      </c>
      <c r="AX1394" s="1" t="s">
        <v>4740</v>
      </c>
      <c r="AZ1394" s="1">
        <v>1745.1</v>
      </c>
      <c r="BA1394" s="1">
        <v>2013</v>
      </c>
      <c r="BB1394" s="1" t="s">
        <v>3996</v>
      </c>
      <c r="BE1394" s="1">
        <v>1400</v>
      </c>
      <c r="BF1394" s="1">
        <v>2</v>
      </c>
      <c r="BG1394" s="1">
        <v>30</v>
      </c>
      <c r="BJ1394" s="1">
        <v>100</v>
      </c>
      <c r="BL1394" s="1">
        <v>319</v>
      </c>
      <c r="BM1394" s="1" t="s">
        <v>204</v>
      </c>
      <c r="BN1394" s="1" t="s">
        <v>204</v>
      </c>
      <c r="BP1394" s="1" t="s">
        <v>204</v>
      </c>
      <c r="BR1394" s="1" t="str">
        <f>"12111021101001"</f>
        <v>12111021101001</v>
      </c>
      <c r="BT1394" s="1" t="s">
        <v>13839</v>
      </c>
      <c r="BU1394" s="1" t="s">
        <v>8426</v>
      </c>
      <c r="BV1394" s="1" t="s">
        <v>8426</v>
      </c>
      <c r="BW1394" s="1" t="s">
        <v>8427</v>
      </c>
      <c r="BX1394" s="1">
        <v>79</v>
      </c>
      <c r="BY1394" s="1">
        <v>79</v>
      </c>
      <c r="BZ1394" s="1">
        <v>207</v>
      </c>
      <c r="CB1394" s="1" t="str">
        <f>"5200"</f>
        <v>5200</v>
      </c>
      <c r="CC1394" s="1" t="str">
        <f>""</f>
        <v/>
      </c>
      <c r="CD1394" s="1">
        <v>8560</v>
      </c>
      <c r="CG1394" s="1" t="s">
        <v>581</v>
      </c>
      <c r="CH1394" s="1" t="s">
        <v>219</v>
      </c>
      <c r="CI1394" s="1" t="s">
        <v>220</v>
      </c>
      <c r="CJ1394" s="1" t="s">
        <v>343</v>
      </c>
      <c r="CK1394" s="1" t="s">
        <v>538</v>
      </c>
      <c r="CL1394" s="1" t="s">
        <v>219</v>
      </c>
      <c r="CM1394" s="1" t="s">
        <v>220</v>
      </c>
      <c r="CN1394" s="1" t="s">
        <v>909</v>
      </c>
      <c r="CO1394" s="1" t="s">
        <v>758</v>
      </c>
      <c r="CP1394" s="1" t="s">
        <v>219</v>
      </c>
      <c r="CQ1394" s="1" t="s">
        <v>220</v>
      </c>
      <c r="CS1394" s="1" t="s">
        <v>346</v>
      </c>
      <c r="CT1394" s="1" t="s">
        <v>219</v>
      </c>
      <c r="CU1394" s="1" t="s">
        <v>220</v>
      </c>
      <c r="CV1394" s="1" t="s">
        <v>343</v>
      </c>
      <c r="CX1394" s="1" t="s">
        <v>224</v>
      </c>
      <c r="DB1394" s="1" t="s">
        <v>224</v>
      </c>
      <c r="DE1394" s="1" t="s">
        <v>1612</v>
      </c>
      <c r="DF1394" s="1" t="s">
        <v>219</v>
      </c>
      <c r="DG1394" s="1" t="s">
        <v>229</v>
      </c>
      <c r="DH1394" s="1" t="s">
        <v>343</v>
      </c>
      <c r="DJ1394" s="1" t="s">
        <v>224</v>
      </c>
      <c r="DM1394" s="1" t="s">
        <v>1614</v>
      </c>
      <c r="DN1394" s="1" t="s">
        <v>709</v>
      </c>
      <c r="DP1394" s="1" t="s">
        <v>1771</v>
      </c>
      <c r="DQ1394" s="1" t="s">
        <v>838</v>
      </c>
      <c r="DS1394" s="1" t="s">
        <v>230</v>
      </c>
      <c r="DV1394" s="1" t="s">
        <v>412</v>
      </c>
      <c r="DW1394" s="1" t="s">
        <v>219</v>
      </c>
      <c r="DX1394" s="1" t="s">
        <v>1236</v>
      </c>
      <c r="EA1394" s="1" t="s">
        <v>230</v>
      </c>
      <c r="ED1394" s="1" t="s">
        <v>4299</v>
      </c>
      <c r="EE1394" s="1" t="s">
        <v>219</v>
      </c>
      <c r="EF1394" s="1" t="s">
        <v>220</v>
      </c>
      <c r="EH1394" s="1" t="s">
        <v>5758</v>
      </c>
      <c r="EI1394" s="1" t="s">
        <v>219</v>
      </c>
      <c r="EL1394" s="1" t="s">
        <v>382</v>
      </c>
      <c r="EM1394" s="1" t="s">
        <v>232</v>
      </c>
      <c r="EN1394" s="1" t="s">
        <v>282</v>
      </c>
      <c r="EO1394" s="1" t="s">
        <v>234</v>
      </c>
      <c r="EP1394" s="1" t="s">
        <v>13840</v>
      </c>
      <c r="EQ1394" s="1" t="s">
        <v>492</v>
      </c>
      <c r="ER1394" s="1" t="s">
        <v>210</v>
      </c>
      <c r="ES1394" s="1" t="s">
        <v>1552</v>
      </c>
      <c r="ET1394" s="1" t="s">
        <v>7232</v>
      </c>
      <c r="EU1394" s="1" t="s">
        <v>610</v>
      </c>
      <c r="EW1394" s="1" t="s">
        <v>733</v>
      </c>
      <c r="EY1394" s="1" t="s">
        <v>242</v>
      </c>
      <c r="EZ1394" s="1" t="s">
        <v>13841</v>
      </c>
      <c r="FA1394" s="1" t="s">
        <v>3462</v>
      </c>
      <c r="FB1394" s="1" t="s">
        <v>734</v>
      </c>
      <c r="FC1394" s="1" t="s">
        <v>1386</v>
      </c>
      <c r="FD1394" s="1" t="s">
        <v>1112</v>
      </c>
      <c r="FE1394" s="1" t="s">
        <v>247</v>
      </c>
      <c r="FF1394" s="1" t="s">
        <v>248</v>
      </c>
      <c r="FH1394" s="1" t="s">
        <v>249</v>
      </c>
      <c r="FI1394" s="1" t="s">
        <v>250</v>
      </c>
      <c r="FJ1394" s="1" t="s">
        <v>197</v>
      </c>
      <c r="FL1394" s="1" t="s">
        <v>4895</v>
      </c>
      <c r="FM1394" s="1" t="s">
        <v>252</v>
      </c>
      <c r="FN1394" s="1" t="s">
        <v>213</v>
      </c>
      <c r="FO1394" s="1" t="s">
        <v>213</v>
      </c>
      <c r="FQ1394" s="1" t="s">
        <v>253</v>
      </c>
      <c r="FR1394" s="1" t="s">
        <v>210</v>
      </c>
      <c r="FS1394" s="1" t="s">
        <v>13842</v>
      </c>
      <c r="FT1394" s="1" t="s">
        <v>13843</v>
      </c>
      <c r="FU1394" s="1" t="s">
        <v>204</v>
      </c>
      <c r="FW1394" s="1" t="s">
        <v>1637</v>
      </c>
      <c r="FX1394" s="1">
        <v>8058</v>
      </c>
      <c r="FY1394" s="1" t="s">
        <v>13844</v>
      </c>
      <c r="FZ1394" s="1" t="s">
        <v>13845</v>
      </c>
      <c r="GA1394" s="1">
        <v>87141</v>
      </c>
      <c r="GB1394" s="1" t="s">
        <v>13846</v>
      </c>
      <c r="GE1394" s="1" t="s">
        <v>1764</v>
      </c>
      <c r="GH1394" s="1" t="s">
        <v>589</v>
      </c>
      <c r="GI1394" s="1" t="s">
        <v>213</v>
      </c>
      <c r="GJ1394" s="1" t="s">
        <v>260</v>
      </c>
      <c r="GK1394" s="1" t="s">
        <v>210</v>
      </c>
      <c r="GL1394" s="2">
        <v>41977</v>
      </c>
      <c r="GM1394" s="1" t="s">
        <v>13847</v>
      </c>
    </row>
    <row r="1395" spans="1:195">
      <c r="A1395" s="1">
        <v>63000</v>
      </c>
      <c r="B1395" s="1" t="s">
        <v>195</v>
      </c>
      <c r="C1395" s="1" t="str">
        <f>"08678211"</f>
        <v>08678211</v>
      </c>
      <c r="D1395" s="1" t="s">
        <v>196</v>
      </c>
      <c r="F1395" s="1" t="str">
        <f>"8041"</f>
        <v>8041</v>
      </c>
      <c r="G1395" s="2">
        <v>41840</v>
      </c>
      <c r="H1395" s="1">
        <v>85000</v>
      </c>
      <c r="I1395" s="1">
        <v>75000</v>
      </c>
      <c r="J1395" s="1">
        <v>63000</v>
      </c>
      <c r="K1395" s="2">
        <v>41840</v>
      </c>
      <c r="L1395" s="1">
        <v>149</v>
      </c>
      <c r="M1395" s="2">
        <v>41988</v>
      </c>
      <c r="N1395" s="1">
        <v>149</v>
      </c>
      <c r="O1395" s="2">
        <v>41988</v>
      </c>
      <c r="P1395" s="1">
        <v>60321</v>
      </c>
      <c r="Q1395" s="1" t="s">
        <v>302</v>
      </c>
      <c r="R1395" s="2">
        <v>42003</v>
      </c>
      <c r="S1395" s="1">
        <v>605387</v>
      </c>
      <c r="T1395" s="1">
        <v>500</v>
      </c>
      <c r="U1395" s="1">
        <v>823</v>
      </c>
      <c r="V1395" s="1" t="s">
        <v>13848</v>
      </c>
      <c r="W1395" s="1" t="s">
        <v>725</v>
      </c>
      <c r="X1395" s="1">
        <v>2</v>
      </c>
      <c r="Y1395" s="1">
        <v>24</v>
      </c>
      <c r="Z1395" s="1" t="s">
        <v>249</v>
      </c>
      <c r="AA1395" s="1" t="s">
        <v>400</v>
      </c>
      <c r="AB1395" s="1">
        <v>60615</v>
      </c>
      <c r="AE1395" s="1" t="s">
        <v>13849</v>
      </c>
      <c r="AF1395" s="1" t="s">
        <v>402</v>
      </c>
      <c r="AG1395" s="1" t="s">
        <v>213</v>
      </c>
      <c r="AH1395" s="1" t="s">
        <v>403</v>
      </c>
      <c r="AI1395" s="1" t="s">
        <v>310</v>
      </c>
      <c r="AJ1395" s="1" t="s">
        <v>683</v>
      </c>
      <c r="AK1395" s="1" t="s">
        <v>1088</v>
      </c>
      <c r="AL1395" s="1">
        <v>5</v>
      </c>
      <c r="AM1395" s="1">
        <v>2</v>
      </c>
      <c r="AN1395" s="1">
        <v>1</v>
      </c>
      <c r="AO1395" s="1">
        <v>0</v>
      </c>
      <c r="AP1395" s="1" t="s">
        <v>210</v>
      </c>
      <c r="AR1395" s="1" t="s">
        <v>210</v>
      </c>
      <c r="AS1395" s="1" t="s">
        <v>204</v>
      </c>
      <c r="AT1395" s="1" t="s">
        <v>210</v>
      </c>
      <c r="AW1395" s="1" t="s">
        <v>204</v>
      </c>
      <c r="AX1395" s="1" t="s">
        <v>13850</v>
      </c>
      <c r="AZ1395" s="1">
        <v>2425.56</v>
      </c>
      <c r="BA1395" s="1">
        <v>2012</v>
      </c>
      <c r="BB1395" s="1" t="s">
        <v>210</v>
      </c>
      <c r="BE1395" s="1">
        <v>950</v>
      </c>
      <c r="BF1395" s="1">
        <v>2</v>
      </c>
      <c r="BG1395" s="1">
        <v>5</v>
      </c>
      <c r="BL1395" s="1">
        <v>363</v>
      </c>
      <c r="BM1395" s="1" t="s">
        <v>413</v>
      </c>
      <c r="BN1395" s="1" t="s">
        <v>213</v>
      </c>
      <c r="BO1395" s="1">
        <v>15</v>
      </c>
      <c r="BP1395" s="1" t="s">
        <v>204</v>
      </c>
      <c r="BR1395" s="1" t="str">
        <f>"20113130261020"</f>
        <v>20113130261020</v>
      </c>
      <c r="BT1395" s="1" t="s">
        <v>13851</v>
      </c>
      <c r="BX1395" s="1">
        <v>299</v>
      </c>
      <c r="BY1395" s="1">
        <v>299</v>
      </c>
      <c r="BZ1395" s="1">
        <v>299</v>
      </c>
      <c r="CB1395" s="1" t="str">
        <f>"0"</f>
        <v>0</v>
      </c>
      <c r="CC1395" s="1" t="str">
        <f>"823"</f>
        <v>823</v>
      </c>
      <c r="CD1395" s="1">
        <v>0</v>
      </c>
      <c r="CE1395" s="1">
        <v>5300</v>
      </c>
      <c r="CG1395" s="1" t="s">
        <v>581</v>
      </c>
      <c r="CH1395" s="1" t="s">
        <v>219</v>
      </c>
      <c r="CI1395" s="1" t="s">
        <v>1236</v>
      </c>
      <c r="CK1395" s="1" t="s">
        <v>1403</v>
      </c>
      <c r="CL1395" s="1" t="s">
        <v>219</v>
      </c>
      <c r="CM1395" s="1" t="s">
        <v>438</v>
      </c>
      <c r="CO1395" s="1" t="s">
        <v>315</v>
      </c>
      <c r="CP1395" s="1" t="s">
        <v>219</v>
      </c>
      <c r="CS1395" s="1" t="s">
        <v>378</v>
      </c>
      <c r="CT1395" s="1" t="s">
        <v>219</v>
      </c>
      <c r="CU1395" s="1" t="s">
        <v>438</v>
      </c>
      <c r="CX1395" s="1" t="s">
        <v>224</v>
      </c>
      <c r="DB1395" s="1" t="s">
        <v>224</v>
      </c>
      <c r="DE1395" s="1" t="s">
        <v>836</v>
      </c>
      <c r="DF1395" s="1" t="s">
        <v>219</v>
      </c>
      <c r="DG1395" s="1" t="s">
        <v>226</v>
      </c>
      <c r="DJ1395" s="1" t="s">
        <v>224</v>
      </c>
      <c r="DS1395" s="1" t="s">
        <v>230</v>
      </c>
      <c r="DW1395" s="1" t="s">
        <v>230</v>
      </c>
      <c r="EA1395" s="1" t="s">
        <v>230</v>
      </c>
      <c r="EE1395" s="1" t="s">
        <v>230</v>
      </c>
      <c r="EI1395" s="1" t="s">
        <v>230</v>
      </c>
      <c r="EL1395" s="1" t="s">
        <v>413</v>
      </c>
      <c r="EM1395" s="1" t="s">
        <v>232</v>
      </c>
      <c r="EN1395" s="1" t="s">
        <v>210</v>
      </c>
      <c r="EO1395" s="1" t="s">
        <v>234</v>
      </c>
      <c r="EQ1395" s="1" t="s">
        <v>3718</v>
      </c>
      <c r="ER1395" s="1" t="s">
        <v>210</v>
      </c>
      <c r="EU1395" s="1" t="s">
        <v>1820</v>
      </c>
      <c r="EV1395" s="1" t="s">
        <v>324</v>
      </c>
      <c r="EW1395" s="1" t="s">
        <v>4815</v>
      </c>
      <c r="EZ1395" s="1" t="s">
        <v>287</v>
      </c>
      <c r="FC1395" s="1" t="s">
        <v>326</v>
      </c>
      <c r="FD1395" s="1" t="s">
        <v>13852</v>
      </c>
      <c r="FE1395" s="1" t="s">
        <v>247</v>
      </c>
      <c r="FF1395" s="1" t="s">
        <v>248</v>
      </c>
      <c r="FH1395" s="1" t="s">
        <v>249</v>
      </c>
      <c r="FJ1395" s="1" t="s">
        <v>197</v>
      </c>
      <c r="FL1395" s="1" t="s">
        <v>2370</v>
      </c>
      <c r="FM1395" s="1" t="s">
        <v>252</v>
      </c>
      <c r="FN1395" s="1" t="s">
        <v>213</v>
      </c>
      <c r="FO1395" s="1" t="s">
        <v>204</v>
      </c>
      <c r="FQ1395" s="1" t="s">
        <v>3545</v>
      </c>
      <c r="FR1395" s="1" t="s">
        <v>210</v>
      </c>
      <c r="FS1395" s="1" t="s">
        <v>13853</v>
      </c>
      <c r="FT1395" s="1" t="s">
        <v>1182</v>
      </c>
      <c r="FU1395" s="1" t="s">
        <v>204</v>
      </c>
      <c r="FW1395" s="1" t="s">
        <v>5576</v>
      </c>
      <c r="FX1395" s="1">
        <v>60321</v>
      </c>
      <c r="FY1395" s="1" t="s">
        <v>5577</v>
      </c>
      <c r="FZ1395" s="1" t="s">
        <v>13854</v>
      </c>
      <c r="GA1395" s="1">
        <v>605387</v>
      </c>
      <c r="GB1395" s="1" t="s">
        <v>13855</v>
      </c>
      <c r="GE1395" s="1" t="s">
        <v>210</v>
      </c>
      <c r="GH1395" s="1" t="s">
        <v>800</v>
      </c>
      <c r="GI1395" s="1" t="s">
        <v>213</v>
      </c>
      <c r="GJ1395" s="1" t="s">
        <v>260</v>
      </c>
      <c r="GK1395" s="1" t="s">
        <v>261</v>
      </c>
      <c r="GL1395" s="2">
        <v>42003</v>
      </c>
      <c r="GM1395" s="1" t="s">
        <v>13856</v>
      </c>
    </row>
    <row r="1396" spans="1:195">
      <c r="A1396" s="1">
        <v>155000</v>
      </c>
      <c r="B1396" s="1" t="s">
        <v>195</v>
      </c>
      <c r="C1396" s="1" t="str">
        <f>"08683441"</f>
        <v>08683441</v>
      </c>
      <c r="D1396" s="1" t="s">
        <v>196</v>
      </c>
      <c r="F1396" s="1" t="str">
        <f>"559"</f>
        <v>559</v>
      </c>
      <c r="G1396" s="2">
        <v>41845</v>
      </c>
      <c r="H1396" s="1">
        <v>175000</v>
      </c>
      <c r="I1396" s="1">
        <v>165000</v>
      </c>
      <c r="J1396" s="1">
        <v>155000</v>
      </c>
      <c r="K1396" s="2">
        <v>41845</v>
      </c>
      <c r="L1396" s="1">
        <v>130</v>
      </c>
      <c r="M1396" s="2">
        <v>41974</v>
      </c>
      <c r="N1396" s="1">
        <v>130</v>
      </c>
      <c r="O1396" s="2">
        <v>41974</v>
      </c>
      <c r="P1396" s="1">
        <v>22029</v>
      </c>
      <c r="Q1396" s="1" t="s">
        <v>197</v>
      </c>
      <c r="R1396" s="2">
        <v>42006</v>
      </c>
      <c r="S1396" s="1">
        <v>18786</v>
      </c>
      <c r="U1396" s="1">
        <v>5842</v>
      </c>
      <c r="V1396" s="1" t="s">
        <v>13857</v>
      </c>
      <c r="W1396" s="1" t="s">
        <v>304</v>
      </c>
      <c r="X1396" s="1">
        <v>5842</v>
      </c>
      <c r="Y1396" s="1">
        <v>4</v>
      </c>
      <c r="Z1396" s="1" t="s">
        <v>370</v>
      </c>
      <c r="AA1396" s="1" t="s">
        <v>1950</v>
      </c>
      <c r="AB1396" s="1">
        <v>60559</v>
      </c>
      <c r="AE1396" s="1" t="s">
        <v>13858</v>
      </c>
      <c r="AF1396" s="1">
        <v>1976</v>
      </c>
      <c r="AG1396" s="1" t="s">
        <v>213</v>
      </c>
      <c r="AH1396" s="1" t="s">
        <v>1952</v>
      </c>
      <c r="AI1396" s="1" t="s">
        <v>206</v>
      </c>
      <c r="AJ1396" s="1" t="s">
        <v>903</v>
      </c>
      <c r="AL1396" s="1">
        <v>6</v>
      </c>
      <c r="AM1396" s="1">
        <v>2</v>
      </c>
      <c r="AN1396" s="1">
        <v>2</v>
      </c>
      <c r="AO1396" s="1">
        <v>0</v>
      </c>
      <c r="AP1396" s="1" t="s">
        <v>209</v>
      </c>
      <c r="AQ1396" s="1">
        <v>1</v>
      </c>
      <c r="AR1396" s="1" t="s">
        <v>210</v>
      </c>
      <c r="AS1396" s="1" t="s">
        <v>204</v>
      </c>
      <c r="AT1396" s="1" t="s">
        <v>211</v>
      </c>
      <c r="AU1396" s="1">
        <v>1</v>
      </c>
      <c r="AW1396" s="1" t="s">
        <v>204</v>
      </c>
      <c r="AX1396" s="1" t="s">
        <v>212</v>
      </c>
      <c r="AZ1396" s="1">
        <v>3034</v>
      </c>
      <c r="BA1396" s="1">
        <v>2013</v>
      </c>
      <c r="BB1396" s="1" t="s">
        <v>405</v>
      </c>
      <c r="BE1396" s="1">
        <v>1423</v>
      </c>
      <c r="BF1396" s="1">
        <v>2</v>
      </c>
      <c r="BG1396" s="1">
        <v>30</v>
      </c>
      <c r="BL1396" s="1">
        <v>216</v>
      </c>
      <c r="BM1396" s="1" t="s">
        <v>204</v>
      </c>
      <c r="BN1396" s="1" t="s">
        <v>213</v>
      </c>
      <c r="BO1396" s="1">
        <v>20</v>
      </c>
      <c r="BP1396" s="1" t="s">
        <v>204</v>
      </c>
      <c r="BR1396" s="1" t="str">
        <f>"0916112059"</f>
        <v>0916112059</v>
      </c>
      <c r="BT1396" s="1" t="s">
        <v>13859</v>
      </c>
      <c r="BU1396" s="1" t="s">
        <v>13860</v>
      </c>
      <c r="BV1396" s="1" t="s">
        <v>4258</v>
      </c>
      <c r="BW1396" s="1" t="s">
        <v>3099</v>
      </c>
      <c r="BX1396" s="1">
        <v>58</v>
      </c>
      <c r="BY1396" s="1">
        <v>58</v>
      </c>
      <c r="BZ1396" s="1">
        <v>99</v>
      </c>
      <c r="CB1396" s="1" t="str">
        <f t="shared" ref="CB1396:CC1396" si="1065">""</f>
        <v/>
      </c>
      <c r="CC1396" s="1" t="str">
        <f t="shared" si="1065"/>
        <v/>
      </c>
      <c r="CG1396" s="1" t="s">
        <v>628</v>
      </c>
      <c r="CH1396" s="1" t="s">
        <v>277</v>
      </c>
      <c r="CI1396" s="1" t="s">
        <v>220</v>
      </c>
      <c r="CJ1396" s="1" t="s">
        <v>343</v>
      </c>
      <c r="CK1396" s="1" t="s">
        <v>228</v>
      </c>
      <c r="CL1396" s="1" t="s">
        <v>277</v>
      </c>
      <c r="CM1396" s="1" t="s">
        <v>220</v>
      </c>
      <c r="CN1396" s="1" t="s">
        <v>343</v>
      </c>
      <c r="CO1396" s="1" t="s">
        <v>318</v>
      </c>
      <c r="CP1396" s="1" t="s">
        <v>277</v>
      </c>
      <c r="CQ1396" s="1" t="s">
        <v>220</v>
      </c>
      <c r="CS1396" s="1" t="s">
        <v>317</v>
      </c>
      <c r="CT1396" s="1" t="s">
        <v>277</v>
      </c>
      <c r="CU1396" s="1" t="s">
        <v>220</v>
      </c>
      <c r="CV1396" s="1" t="s">
        <v>343</v>
      </c>
      <c r="CX1396" s="1" t="s">
        <v>224</v>
      </c>
      <c r="DB1396" s="1" t="s">
        <v>224</v>
      </c>
      <c r="DE1396" s="1" t="s">
        <v>13657</v>
      </c>
      <c r="DF1396" s="1" t="s">
        <v>277</v>
      </c>
      <c r="DG1396" s="1" t="s">
        <v>226</v>
      </c>
      <c r="DJ1396" s="1" t="s">
        <v>224</v>
      </c>
      <c r="DM1396" s="1" t="s">
        <v>1005</v>
      </c>
      <c r="DR1396" s="1" t="s">
        <v>379</v>
      </c>
      <c r="DS1396" s="1" t="s">
        <v>277</v>
      </c>
      <c r="DT1396" s="1" t="s">
        <v>220</v>
      </c>
      <c r="DU1396" s="1" t="s">
        <v>343</v>
      </c>
      <c r="DW1396" s="1" t="s">
        <v>230</v>
      </c>
      <c r="EA1396" s="1" t="s">
        <v>230</v>
      </c>
      <c r="EE1396" s="1" t="s">
        <v>230</v>
      </c>
      <c r="EI1396" s="1" t="s">
        <v>230</v>
      </c>
      <c r="EL1396" s="1" t="s">
        <v>231</v>
      </c>
      <c r="EM1396" s="1" t="s">
        <v>232</v>
      </c>
      <c r="EN1396" s="1" t="s">
        <v>282</v>
      </c>
      <c r="EO1396" s="1" t="s">
        <v>234</v>
      </c>
      <c r="EQ1396" s="1" t="s">
        <v>492</v>
      </c>
      <c r="ER1396" s="1" t="s">
        <v>210</v>
      </c>
      <c r="ES1396" s="1" t="s">
        <v>322</v>
      </c>
      <c r="EV1396" s="1" t="s">
        <v>240</v>
      </c>
      <c r="EW1396" s="1" t="s">
        <v>937</v>
      </c>
      <c r="EZ1396" s="1" t="s">
        <v>1005</v>
      </c>
      <c r="FB1396" s="1" t="s">
        <v>734</v>
      </c>
      <c r="FD1396" s="1" t="s">
        <v>246</v>
      </c>
      <c r="FE1396" s="1" t="s">
        <v>549</v>
      </c>
      <c r="FF1396" s="1" t="s">
        <v>387</v>
      </c>
      <c r="FG1396" s="1" t="s">
        <v>912</v>
      </c>
      <c r="FH1396" s="1" t="s">
        <v>249</v>
      </c>
      <c r="FI1396" s="1" t="s">
        <v>3300</v>
      </c>
      <c r="FL1396" s="1" t="s">
        <v>358</v>
      </c>
      <c r="FM1396" s="1" t="s">
        <v>252</v>
      </c>
      <c r="FN1396" s="1" t="s">
        <v>213</v>
      </c>
      <c r="FO1396" s="1" t="s">
        <v>213</v>
      </c>
      <c r="FQ1396" s="1" t="s">
        <v>1599</v>
      </c>
      <c r="FR1396" s="1" t="s">
        <v>210</v>
      </c>
      <c r="FS1396" s="1" t="s">
        <v>13861</v>
      </c>
      <c r="FT1396" s="1" t="s">
        <v>255</v>
      </c>
      <c r="FU1396" s="1" t="s">
        <v>204</v>
      </c>
      <c r="FW1396" s="1" t="s">
        <v>3495</v>
      </c>
      <c r="FX1396" s="1">
        <v>22145</v>
      </c>
      <c r="FY1396" s="1" t="s">
        <v>3496</v>
      </c>
      <c r="FZ1396" s="1" t="s">
        <v>13862</v>
      </c>
      <c r="GA1396" s="1">
        <v>225171</v>
      </c>
      <c r="GB1396" s="1" t="s">
        <v>13863</v>
      </c>
      <c r="GC1396" s="1">
        <v>214372</v>
      </c>
      <c r="GE1396" s="1" t="s">
        <v>658</v>
      </c>
      <c r="GI1396" s="1" t="s">
        <v>213</v>
      </c>
      <c r="GJ1396" s="1" t="s">
        <v>260</v>
      </c>
      <c r="GK1396" s="1" t="s">
        <v>210</v>
      </c>
      <c r="GL1396" s="2">
        <v>42009</v>
      </c>
      <c r="GM1396" s="1" t="s">
        <v>13864</v>
      </c>
    </row>
    <row r="1397" spans="1:195">
      <c r="A1397" s="1">
        <v>144000</v>
      </c>
      <c r="B1397" s="1" t="s">
        <v>195</v>
      </c>
      <c r="C1397" s="1" t="str">
        <f>"08680064"</f>
        <v>08680064</v>
      </c>
      <c r="D1397" s="1" t="s">
        <v>196</v>
      </c>
      <c r="F1397" s="1" t="str">
        <f>"560"</f>
        <v>560</v>
      </c>
      <c r="G1397" s="2">
        <v>41842</v>
      </c>
      <c r="H1397" s="1">
        <v>149900</v>
      </c>
      <c r="I1397" s="1">
        <v>149900</v>
      </c>
      <c r="J1397" s="1">
        <v>144000</v>
      </c>
      <c r="K1397" s="2">
        <v>41841</v>
      </c>
      <c r="L1397" s="1">
        <v>144</v>
      </c>
      <c r="M1397" s="2">
        <v>41984</v>
      </c>
      <c r="N1397" s="1">
        <v>144</v>
      </c>
      <c r="O1397" s="2">
        <v>41984</v>
      </c>
      <c r="P1397" s="1">
        <v>23076</v>
      </c>
      <c r="Q1397" s="1" t="s">
        <v>197</v>
      </c>
      <c r="R1397" s="2">
        <v>42030</v>
      </c>
      <c r="S1397" s="1">
        <v>242177</v>
      </c>
      <c r="U1397" s="1" t="s">
        <v>13865</v>
      </c>
      <c r="V1397" s="1" t="s">
        <v>9833</v>
      </c>
      <c r="W1397" s="1" t="s">
        <v>425</v>
      </c>
      <c r="X1397" s="1" t="s">
        <v>13865</v>
      </c>
      <c r="Y1397" s="1">
        <v>2</v>
      </c>
      <c r="Z1397" s="1" t="s">
        <v>200</v>
      </c>
      <c r="AA1397" s="1" t="s">
        <v>484</v>
      </c>
      <c r="AB1397" s="1">
        <v>60560</v>
      </c>
      <c r="AE1397" s="1" t="s">
        <v>13866</v>
      </c>
      <c r="AF1397" s="1">
        <v>1990</v>
      </c>
      <c r="AG1397" s="1" t="s">
        <v>204</v>
      </c>
      <c r="AH1397" s="1" t="s">
        <v>487</v>
      </c>
      <c r="AI1397" s="1" t="s">
        <v>453</v>
      </c>
      <c r="AJ1397" s="1" t="s">
        <v>454</v>
      </c>
      <c r="AL1397" s="1">
        <v>4</v>
      </c>
      <c r="AM1397" s="1">
        <v>2</v>
      </c>
      <c r="AN1397" s="1">
        <v>2</v>
      </c>
      <c r="AO1397" s="1">
        <v>0</v>
      </c>
      <c r="AP1397" s="1" t="s">
        <v>209</v>
      </c>
      <c r="AR1397" s="1" t="s">
        <v>210</v>
      </c>
      <c r="AS1397" s="1" t="s">
        <v>204</v>
      </c>
      <c r="AT1397" s="1" t="s">
        <v>211</v>
      </c>
      <c r="AU1397" s="1">
        <v>1</v>
      </c>
      <c r="AW1397" s="1" t="s">
        <v>204</v>
      </c>
      <c r="AX1397" s="1" t="s">
        <v>13867</v>
      </c>
      <c r="AZ1397" s="1">
        <v>3947.34</v>
      </c>
      <c r="BA1397" s="1">
        <v>2013</v>
      </c>
      <c r="BB1397" s="1" t="s">
        <v>405</v>
      </c>
      <c r="BE1397" s="1">
        <v>1250</v>
      </c>
      <c r="BF1397" s="1">
        <v>1</v>
      </c>
      <c r="BG1397" s="1">
        <v>0</v>
      </c>
      <c r="BL1397" s="1">
        <v>0</v>
      </c>
      <c r="BM1397" s="1" t="s">
        <v>204</v>
      </c>
      <c r="BN1397" s="1" t="s">
        <v>213</v>
      </c>
      <c r="BO1397" s="1">
        <v>250</v>
      </c>
      <c r="BP1397" s="1" t="s">
        <v>204</v>
      </c>
      <c r="BR1397" s="1" t="str">
        <f>"0229283012"</f>
        <v>0229283012</v>
      </c>
      <c r="BT1397" s="1" t="s">
        <v>13868</v>
      </c>
      <c r="BX1397" s="1">
        <v>115</v>
      </c>
      <c r="BY1397" s="1">
        <v>115</v>
      </c>
      <c r="BZ1397" s="1">
        <v>115</v>
      </c>
      <c r="CB1397" s="1" t="str">
        <f t="shared" ref="CB1397:CC1397" si="1066">""</f>
        <v/>
      </c>
      <c r="CC1397" s="1" t="str">
        <f t="shared" si="1066"/>
        <v/>
      </c>
      <c r="CG1397" s="1" t="s">
        <v>2402</v>
      </c>
      <c r="CH1397" s="1" t="s">
        <v>219</v>
      </c>
      <c r="CI1397" s="1" t="s">
        <v>220</v>
      </c>
      <c r="CJ1397" s="1" t="s">
        <v>343</v>
      </c>
      <c r="CK1397" s="1" t="s">
        <v>757</v>
      </c>
      <c r="CL1397" s="1" t="s">
        <v>219</v>
      </c>
      <c r="CM1397" s="1" t="s">
        <v>220</v>
      </c>
      <c r="CN1397" s="1" t="s">
        <v>343</v>
      </c>
      <c r="CP1397" s="1" t="s">
        <v>224</v>
      </c>
      <c r="CS1397" s="1" t="s">
        <v>461</v>
      </c>
      <c r="CT1397" s="1" t="s">
        <v>219</v>
      </c>
      <c r="CU1397" s="1" t="s">
        <v>220</v>
      </c>
      <c r="CV1397" s="1" t="s">
        <v>343</v>
      </c>
      <c r="CX1397" s="1" t="s">
        <v>224</v>
      </c>
      <c r="DB1397" s="1" t="s">
        <v>224</v>
      </c>
      <c r="DE1397" s="1" t="s">
        <v>729</v>
      </c>
      <c r="DF1397" s="1" t="s">
        <v>219</v>
      </c>
      <c r="DG1397" s="1" t="s">
        <v>342</v>
      </c>
      <c r="DH1397" s="1" t="s">
        <v>343</v>
      </c>
      <c r="DJ1397" s="1" t="s">
        <v>224</v>
      </c>
      <c r="DS1397" s="1" t="s">
        <v>230</v>
      </c>
      <c r="DW1397" s="1" t="s">
        <v>230</v>
      </c>
      <c r="EA1397" s="1" t="s">
        <v>230</v>
      </c>
      <c r="EE1397" s="1" t="s">
        <v>230</v>
      </c>
      <c r="EI1397" s="1" t="s">
        <v>230</v>
      </c>
      <c r="EL1397" s="1" t="s">
        <v>382</v>
      </c>
      <c r="EM1397" s="1" t="s">
        <v>319</v>
      </c>
      <c r="EN1397" s="1" t="s">
        <v>282</v>
      </c>
      <c r="EO1397" s="1" t="s">
        <v>234</v>
      </c>
      <c r="EQ1397" s="1" t="s">
        <v>13869</v>
      </c>
      <c r="ER1397" s="1" t="s">
        <v>383</v>
      </c>
      <c r="ES1397" s="1" t="s">
        <v>322</v>
      </c>
      <c r="EU1397" s="1" t="s">
        <v>13870</v>
      </c>
      <c r="EW1397" s="1" t="s">
        <v>210</v>
      </c>
      <c r="EY1397" s="1" t="s">
        <v>242</v>
      </c>
      <c r="EZ1397" s="1" t="s">
        <v>287</v>
      </c>
      <c r="FA1397" s="1" t="s">
        <v>1072</v>
      </c>
      <c r="FD1397" s="1" t="s">
        <v>246</v>
      </c>
      <c r="FE1397" s="1" t="s">
        <v>247</v>
      </c>
      <c r="FF1397" s="1" t="s">
        <v>248</v>
      </c>
      <c r="FH1397" s="1" t="s">
        <v>442</v>
      </c>
      <c r="FI1397" s="1" t="s">
        <v>1114</v>
      </c>
      <c r="FL1397" s="1" t="s">
        <v>414</v>
      </c>
      <c r="FM1397" s="1" t="s">
        <v>252</v>
      </c>
      <c r="FN1397" s="1" t="s">
        <v>213</v>
      </c>
      <c r="FO1397" s="1" t="s">
        <v>213</v>
      </c>
      <c r="FQ1397" s="1" t="s">
        <v>9915</v>
      </c>
      <c r="FR1397" s="1" t="s">
        <v>210</v>
      </c>
      <c r="FS1397" s="1" t="s">
        <v>13871</v>
      </c>
      <c r="FT1397" s="1" t="s">
        <v>295</v>
      </c>
      <c r="FU1397" s="1" t="s">
        <v>204</v>
      </c>
      <c r="FW1397" s="1" t="s">
        <v>813</v>
      </c>
      <c r="FX1397" s="1">
        <v>22588</v>
      </c>
      <c r="FY1397" s="1" t="s">
        <v>2685</v>
      </c>
      <c r="FZ1397" s="1" t="s">
        <v>13872</v>
      </c>
      <c r="GA1397" s="1">
        <v>225498</v>
      </c>
      <c r="GB1397" s="1" t="s">
        <v>2685</v>
      </c>
      <c r="GD1397" s="1" t="s">
        <v>13873</v>
      </c>
      <c r="GE1397" s="1" t="s">
        <v>210</v>
      </c>
      <c r="GI1397" s="1" t="s">
        <v>213</v>
      </c>
      <c r="GJ1397" s="1" t="s">
        <v>260</v>
      </c>
      <c r="GK1397" s="1" t="s">
        <v>210</v>
      </c>
      <c r="GL1397" s="2">
        <v>42030</v>
      </c>
      <c r="GM1397" s="1" t="s">
        <v>13874</v>
      </c>
    </row>
    <row r="1398" spans="1:195">
      <c r="A1398" s="1">
        <v>119000</v>
      </c>
      <c r="B1398" s="1" t="s">
        <v>195</v>
      </c>
      <c r="C1398" s="1" t="str">
        <f>"08680804"</f>
        <v>08680804</v>
      </c>
      <c r="D1398" s="1" t="s">
        <v>196</v>
      </c>
      <c r="F1398" s="1" t="str">
        <f>"136"</f>
        <v>136</v>
      </c>
      <c r="G1398" s="2">
        <v>41843</v>
      </c>
      <c r="H1398" s="1">
        <v>119000</v>
      </c>
      <c r="I1398" s="1">
        <v>119000</v>
      </c>
      <c r="J1398" s="1">
        <v>119000</v>
      </c>
      <c r="K1398" s="2">
        <v>41843</v>
      </c>
      <c r="L1398" s="1">
        <v>401</v>
      </c>
      <c r="M1398" s="2">
        <v>41849</v>
      </c>
      <c r="N1398" s="1">
        <v>7</v>
      </c>
      <c r="O1398" s="2">
        <v>41849</v>
      </c>
      <c r="P1398" s="1">
        <v>93044</v>
      </c>
      <c r="Q1398" s="1" t="s">
        <v>197</v>
      </c>
      <c r="R1398" s="2">
        <v>41985</v>
      </c>
      <c r="S1398" s="1">
        <v>930168</v>
      </c>
      <c r="U1398" s="1">
        <v>246</v>
      </c>
      <c r="V1398" s="1" t="s">
        <v>12657</v>
      </c>
      <c r="W1398" s="1" t="s">
        <v>199</v>
      </c>
      <c r="X1398" s="1">
        <v>246</v>
      </c>
      <c r="Y1398" s="1">
        <v>6</v>
      </c>
      <c r="Z1398" s="1" t="s">
        <v>249</v>
      </c>
      <c r="AA1398" s="1" t="s">
        <v>3680</v>
      </c>
      <c r="AB1398" s="1">
        <v>60136</v>
      </c>
      <c r="AD1398" s="1" t="s">
        <v>12657</v>
      </c>
      <c r="AE1398" s="1" t="s">
        <v>13875</v>
      </c>
      <c r="AF1398" s="1">
        <v>2003</v>
      </c>
      <c r="AG1398" s="1" t="s">
        <v>204</v>
      </c>
      <c r="AH1398" s="1" t="s">
        <v>3682</v>
      </c>
      <c r="AI1398" s="1" t="s">
        <v>665</v>
      </c>
      <c r="AJ1398" s="1" t="s">
        <v>748</v>
      </c>
      <c r="AK1398" s="1" t="s">
        <v>3400</v>
      </c>
      <c r="AL1398" s="1">
        <v>6</v>
      </c>
      <c r="AM1398" s="1">
        <v>2</v>
      </c>
      <c r="AN1398" s="1">
        <v>2</v>
      </c>
      <c r="AO1398" s="1">
        <v>1</v>
      </c>
      <c r="AP1398" s="1" t="s">
        <v>209</v>
      </c>
      <c r="AR1398" s="1" t="s">
        <v>2165</v>
      </c>
      <c r="AS1398" s="1" t="s">
        <v>204</v>
      </c>
      <c r="AT1398" s="1" t="s">
        <v>211</v>
      </c>
      <c r="AU1398" s="1">
        <v>2</v>
      </c>
      <c r="AW1398" s="1" t="s">
        <v>204</v>
      </c>
      <c r="AX1398" s="1" t="s">
        <v>212</v>
      </c>
      <c r="AZ1398" s="1">
        <v>4338.9399999999996</v>
      </c>
      <c r="BA1398" s="1">
        <v>2012</v>
      </c>
      <c r="BB1398" s="1" t="s">
        <v>405</v>
      </c>
      <c r="BE1398" s="1">
        <v>0</v>
      </c>
      <c r="BF1398" s="1">
        <v>1</v>
      </c>
      <c r="BG1398" s="1">
        <v>0</v>
      </c>
      <c r="BL1398" s="1">
        <v>183</v>
      </c>
      <c r="BM1398" s="1" t="s">
        <v>213</v>
      </c>
      <c r="BN1398" s="1" t="s">
        <v>213</v>
      </c>
      <c r="BO1398" s="1">
        <v>200</v>
      </c>
      <c r="BP1398" s="1" t="s">
        <v>204</v>
      </c>
      <c r="BR1398" s="1" t="str">
        <f>"0225381102"</f>
        <v>0225381102</v>
      </c>
      <c r="BT1398" s="1" t="s">
        <v>13876</v>
      </c>
      <c r="BU1398" s="1" t="s">
        <v>4061</v>
      </c>
      <c r="BV1398" s="1" t="s">
        <v>754</v>
      </c>
      <c r="BW1398" s="1" t="s">
        <v>755</v>
      </c>
      <c r="BX1398" s="1">
        <v>300</v>
      </c>
      <c r="BY1398" s="1">
        <v>300</v>
      </c>
      <c r="BZ1398" s="1">
        <v>300</v>
      </c>
      <c r="CB1398" s="1" t="str">
        <f>"15"</f>
        <v>15</v>
      </c>
      <c r="CC1398" s="1" t="str">
        <f>"0"</f>
        <v>0</v>
      </c>
      <c r="CD1398" s="1">
        <v>39</v>
      </c>
      <c r="CE1398" s="1">
        <v>0</v>
      </c>
      <c r="CG1398" s="1" t="s">
        <v>7317</v>
      </c>
      <c r="CH1398" s="1" t="s">
        <v>219</v>
      </c>
      <c r="CI1398" s="1" t="s">
        <v>220</v>
      </c>
      <c r="CJ1398" s="1" t="s">
        <v>210</v>
      </c>
      <c r="CK1398" s="1" t="s">
        <v>315</v>
      </c>
      <c r="CL1398" s="1" t="s">
        <v>277</v>
      </c>
      <c r="CM1398" s="1" t="s">
        <v>220</v>
      </c>
      <c r="CO1398" s="1" t="s">
        <v>281</v>
      </c>
      <c r="CP1398" s="1" t="s">
        <v>219</v>
      </c>
      <c r="CQ1398" s="1" t="s">
        <v>438</v>
      </c>
      <c r="CR1398" s="1" t="s">
        <v>210</v>
      </c>
      <c r="CS1398" s="1" t="s">
        <v>1046</v>
      </c>
      <c r="CT1398" s="1" t="s">
        <v>277</v>
      </c>
      <c r="CU1398" s="1" t="s">
        <v>220</v>
      </c>
      <c r="CX1398" s="1" t="s">
        <v>224</v>
      </c>
      <c r="DB1398" s="1" t="s">
        <v>224</v>
      </c>
      <c r="DE1398" s="1" t="s">
        <v>281</v>
      </c>
      <c r="DF1398" s="1" t="s">
        <v>219</v>
      </c>
      <c r="DG1398" s="1" t="s">
        <v>438</v>
      </c>
      <c r="DH1398" s="1" t="s">
        <v>210</v>
      </c>
      <c r="DJ1398" s="1" t="s">
        <v>224</v>
      </c>
      <c r="DM1398" s="1" t="s">
        <v>464</v>
      </c>
      <c r="DN1398" s="1" t="s">
        <v>709</v>
      </c>
      <c r="DO1398" s="1" t="s">
        <v>1771</v>
      </c>
      <c r="DP1398" s="1" t="s">
        <v>1614</v>
      </c>
      <c r="DR1398" s="1" t="s">
        <v>2122</v>
      </c>
      <c r="DS1398" s="1" t="s">
        <v>277</v>
      </c>
      <c r="DV1398" s="1" t="s">
        <v>710</v>
      </c>
      <c r="DW1398" s="1" t="s">
        <v>219</v>
      </c>
      <c r="DX1398" s="1" t="s">
        <v>226</v>
      </c>
      <c r="DY1398" s="1" t="s">
        <v>210</v>
      </c>
      <c r="DZ1398" s="1" t="s">
        <v>2968</v>
      </c>
      <c r="EA1398" s="1" t="s">
        <v>277</v>
      </c>
      <c r="EB1398" s="1" t="s">
        <v>220</v>
      </c>
      <c r="EC1398" s="1" t="s">
        <v>210</v>
      </c>
      <c r="ED1398" s="1" t="s">
        <v>2138</v>
      </c>
      <c r="EE1398" s="1" t="s">
        <v>822</v>
      </c>
      <c r="EF1398" s="1" t="s">
        <v>226</v>
      </c>
      <c r="EG1398" s="1" t="s">
        <v>210</v>
      </c>
      <c r="EI1398" s="1" t="s">
        <v>230</v>
      </c>
      <c r="EL1398" s="1" t="s">
        <v>466</v>
      </c>
      <c r="EM1398" s="1" t="s">
        <v>319</v>
      </c>
      <c r="EN1398" s="1" t="s">
        <v>282</v>
      </c>
      <c r="EO1398" s="1" t="s">
        <v>234</v>
      </c>
      <c r="EP1398" s="1" t="s">
        <v>2682</v>
      </c>
      <c r="EQ1398" s="1" t="s">
        <v>1867</v>
      </c>
      <c r="ER1398" s="1" t="s">
        <v>351</v>
      </c>
      <c r="ES1398" s="1" t="s">
        <v>865</v>
      </c>
      <c r="EU1398" s="1" t="s">
        <v>239</v>
      </c>
      <c r="EW1398" s="1" t="s">
        <v>937</v>
      </c>
      <c r="EY1398" s="1" t="s">
        <v>242</v>
      </c>
      <c r="EZ1398" s="1" t="s">
        <v>13877</v>
      </c>
      <c r="FA1398" s="1" t="s">
        <v>471</v>
      </c>
      <c r="FB1398" s="1" t="s">
        <v>289</v>
      </c>
      <c r="FD1398" s="1" t="s">
        <v>246</v>
      </c>
      <c r="FE1398" s="1" t="s">
        <v>247</v>
      </c>
      <c r="FF1398" s="1" t="s">
        <v>248</v>
      </c>
      <c r="FH1398" s="1" t="s">
        <v>550</v>
      </c>
      <c r="FI1398" s="1" t="s">
        <v>473</v>
      </c>
      <c r="FL1398" s="1" t="s">
        <v>358</v>
      </c>
      <c r="FM1398" s="1" t="s">
        <v>252</v>
      </c>
      <c r="FN1398" s="1" t="s">
        <v>213</v>
      </c>
      <c r="FO1398" s="1" t="s">
        <v>213</v>
      </c>
      <c r="FQ1398" s="1" t="s">
        <v>1599</v>
      </c>
      <c r="FR1398" s="1" t="s">
        <v>360</v>
      </c>
      <c r="FS1398" s="1" t="s">
        <v>13878</v>
      </c>
      <c r="FT1398" s="1" t="s">
        <v>295</v>
      </c>
      <c r="FU1398" s="1" t="s">
        <v>204</v>
      </c>
      <c r="FW1398" s="1" t="s">
        <v>13879</v>
      </c>
      <c r="FX1398" s="1">
        <v>11062</v>
      </c>
      <c r="FY1398" s="1" t="s">
        <v>13880</v>
      </c>
      <c r="FZ1398" s="1" t="s">
        <v>13881</v>
      </c>
      <c r="GA1398" s="1">
        <v>168793</v>
      </c>
      <c r="GB1398" s="1" t="s">
        <v>13882</v>
      </c>
      <c r="GE1398" s="1" t="s">
        <v>1333</v>
      </c>
      <c r="GI1398" s="1" t="s">
        <v>204</v>
      </c>
      <c r="GJ1398" s="1" t="s">
        <v>260</v>
      </c>
      <c r="GK1398" s="1" t="s">
        <v>210</v>
      </c>
      <c r="GL1398" s="2">
        <v>41989</v>
      </c>
      <c r="GM1398" s="1" t="s">
        <v>13883</v>
      </c>
    </row>
    <row r="1399" spans="1:195">
      <c r="A1399" s="1">
        <v>70000</v>
      </c>
      <c r="B1399" s="1" t="s">
        <v>195</v>
      </c>
      <c r="C1399" s="1" t="str">
        <f>"08682594"</f>
        <v>08682594</v>
      </c>
      <c r="D1399" s="1" t="s">
        <v>196</v>
      </c>
      <c r="F1399" s="1" t="str">
        <f>"148"</f>
        <v>148</v>
      </c>
      <c r="G1399" s="2">
        <v>41844</v>
      </c>
      <c r="H1399" s="1">
        <v>99900</v>
      </c>
      <c r="I1399" s="1">
        <v>75000</v>
      </c>
      <c r="J1399" s="1">
        <v>70000</v>
      </c>
      <c r="K1399" s="2">
        <v>41844</v>
      </c>
      <c r="L1399" s="1">
        <v>121</v>
      </c>
      <c r="M1399" s="2">
        <v>41964</v>
      </c>
      <c r="N1399" s="1">
        <v>121</v>
      </c>
      <c r="O1399" s="2">
        <v>41964</v>
      </c>
      <c r="P1399" s="1">
        <v>23099</v>
      </c>
      <c r="Q1399" s="1" t="s">
        <v>197</v>
      </c>
      <c r="R1399" s="2">
        <v>42002</v>
      </c>
      <c r="S1399" s="1">
        <v>214427</v>
      </c>
      <c r="U1399" s="1">
        <v>1320</v>
      </c>
      <c r="V1399" s="1" t="s">
        <v>13884</v>
      </c>
      <c r="W1399" s="1" t="s">
        <v>504</v>
      </c>
      <c r="X1399" s="1">
        <v>101</v>
      </c>
      <c r="Y1399" s="1">
        <v>10</v>
      </c>
      <c r="Z1399" s="1" t="s">
        <v>249</v>
      </c>
      <c r="AA1399" s="1" t="s">
        <v>1927</v>
      </c>
      <c r="AB1399" s="1">
        <v>60148</v>
      </c>
      <c r="AD1399" s="1" t="s">
        <v>3422</v>
      </c>
      <c r="AE1399" s="1" t="s">
        <v>13885</v>
      </c>
      <c r="AF1399" s="1">
        <v>1970</v>
      </c>
      <c r="AG1399" s="1" t="s">
        <v>213</v>
      </c>
      <c r="AH1399" s="1" t="s">
        <v>1930</v>
      </c>
      <c r="AI1399" s="1" t="s">
        <v>206</v>
      </c>
      <c r="AJ1399" s="1" t="s">
        <v>1608</v>
      </c>
      <c r="AL1399" s="1">
        <v>5</v>
      </c>
      <c r="AM1399" s="1">
        <v>2</v>
      </c>
      <c r="AN1399" s="1">
        <v>1</v>
      </c>
      <c r="AO1399" s="1">
        <v>1</v>
      </c>
      <c r="AP1399" s="1" t="s">
        <v>1234</v>
      </c>
      <c r="AR1399" s="1" t="s">
        <v>210</v>
      </c>
      <c r="AT1399" s="1" t="s">
        <v>271</v>
      </c>
      <c r="AV1399" s="1">
        <v>1</v>
      </c>
      <c r="AW1399" s="1" t="s">
        <v>204</v>
      </c>
      <c r="AX1399" s="1" t="s">
        <v>212</v>
      </c>
      <c r="AZ1399" s="1">
        <v>2046</v>
      </c>
      <c r="BA1399" s="1">
        <v>2013</v>
      </c>
      <c r="BB1399" s="1" t="s">
        <v>405</v>
      </c>
      <c r="BE1399" s="1">
        <v>1090</v>
      </c>
      <c r="BF1399" s="1">
        <v>1</v>
      </c>
      <c r="BG1399" s="1">
        <v>30</v>
      </c>
      <c r="BL1399" s="1">
        <v>287</v>
      </c>
      <c r="BM1399" s="1" t="s">
        <v>204</v>
      </c>
      <c r="BN1399" s="1" t="s">
        <v>213</v>
      </c>
      <c r="BO1399" s="1">
        <v>15</v>
      </c>
      <c r="BP1399" s="1" t="s">
        <v>204</v>
      </c>
      <c r="BR1399" s="1" t="str">
        <f>"0619203049"</f>
        <v>0619203049</v>
      </c>
      <c r="BT1399" s="1" t="s">
        <v>13886</v>
      </c>
      <c r="BU1399" s="1" t="s">
        <v>1933</v>
      </c>
      <c r="BV1399" s="1" t="s">
        <v>1934</v>
      </c>
      <c r="BW1399" s="1" t="s">
        <v>1935</v>
      </c>
      <c r="BX1399" s="1">
        <v>44</v>
      </c>
      <c r="BY1399" s="1">
        <v>44</v>
      </c>
      <c r="BZ1399" s="1">
        <v>87</v>
      </c>
      <c r="CB1399" s="1" t="str">
        <f t="shared" ref="CB1399:CC1399" si="1067">"0"</f>
        <v>0</v>
      </c>
      <c r="CC1399" s="1" t="str">
        <f t="shared" si="1067"/>
        <v>0</v>
      </c>
      <c r="CD1399" s="1">
        <v>20</v>
      </c>
      <c r="CE1399" s="1">
        <v>1</v>
      </c>
      <c r="CG1399" s="1" t="s">
        <v>2042</v>
      </c>
      <c r="CH1399" s="1" t="s">
        <v>219</v>
      </c>
      <c r="CI1399" s="1" t="s">
        <v>229</v>
      </c>
      <c r="CK1399" s="1" t="s">
        <v>344</v>
      </c>
      <c r="CL1399" s="1" t="s">
        <v>219</v>
      </c>
      <c r="CM1399" s="1" t="s">
        <v>229</v>
      </c>
      <c r="CO1399" s="1" t="s">
        <v>1598</v>
      </c>
      <c r="CP1399" s="1" t="s">
        <v>219</v>
      </c>
      <c r="CQ1399" s="1" t="s">
        <v>229</v>
      </c>
      <c r="CS1399" s="1" t="s">
        <v>1046</v>
      </c>
      <c r="CT1399" s="1" t="s">
        <v>219</v>
      </c>
      <c r="CU1399" s="1" t="s">
        <v>229</v>
      </c>
      <c r="CX1399" s="1" t="s">
        <v>224</v>
      </c>
      <c r="DB1399" s="1" t="s">
        <v>224</v>
      </c>
      <c r="DE1399" s="1" t="s">
        <v>465</v>
      </c>
      <c r="DF1399" s="1" t="s">
        <v>219</v>
      </c>
      <c r="DG1399" s="1" t="s">
        <v>226</v>
      </c>
      <c r="DH1399" s="1" t="s">
        <v>210</v>
      </c>
      <c r="DJ1399" s="1" t="s">
        <v>224</v>
      </c>
      <c r="DS1399" s="1" t="s">
        <v>230</v>
      </c>
      <c r="DW1399" s="1" t="s">
        <v>230</v>
      </c>
      <c r="EA1399" s="1" t="s">
        <v>230</v>
      </c>
      <c r="EE1399" s="1" t="s">
        <v>230</v>
      </c>
      <c r="EI1399" s="1" t="s">
        <v>230</v>
      </c>
      <c r="EL1399" s="1" t="s">
        <v>605</v>
      </c>
      <c r="EM1399" s="1" t="s">
        <v>232</v>
      </c>
      <c r="EN1399" s="1" t="s">
        <v>1158</v>
      </c>
      <c r="EO1399" s="1" t="s">
        <v>234</v>
      </c>
      <c r="EP1399" s="1" t="s">
        <v>5863</v>
      </c>
      <c r="EQ1399" s="1" t="s">
        <v>2994</v>
      </c>
      <c r="ER1399" s="1" t="s">
        <v>210</v>
      </c>
      <c r="ES1399" s="1" t="s">
        <v>322</v>
      </c>
      <c r="EV1399" s="1" t="s">
        <v>240</v>
      </c>
      <c r="EW1399" s="1" t="s">
        <v>4301</v>
      </c>
      <c r="EZ1399" s="1" t="s">
        <v>287</v>
      </c>
      <c r="FD1399" s="1" t="s">
        <v>290</v>
      </c>
      <c r="FE1399" s="1" t="s">
        <v>247</v>
      </c>
      <c r="FF1399" s="1" t="s">
        <v>248</v>
      </c>
      <c r="FH1399" s="1" t="s">
        <v>249</v>
      </c>
      <c r="FK1399" s="1" t="s">
        <v>291</v>
      </c>
      <c r="FL1399" s="1" t="s">
        <v>5090</v>
      </c>
      <c r="FM1399" s="1" t="s">
        <v>252</v>
      </c>
      <c r="FN1399" s="1" t="s">
        <v>213</v>
      </c>
      <c r="FO1399" s="1" t="s">
        <v>213</v>
      </c>
      <c r="FQ1399" s="1" t="s">
        <v>793</v>
      </c>
      <c r="FR1399" s="1" t="s">
        <v>210</v>
      </c>
      <c r="FS1399" s="1" t="s">
        <v>13887</v>
      </c>
      <c r="FT1399" s="1" t="s">
        <v>617</v>
      </c>
      <c r="FU1399" s="1" t="s">
        <v>204</v>
      </c>
      <c r="FW1399" s="1" t="s">
        <v>915</v>
      </c>
      <c r="FX1399" s="1">
        <v>24071</v>
      </c>
      <c r="FY1399" s="1" t="s">
        <v>2208</v>
      </c>
      <c r="FZ1399" s="1" t="s">
        <v>7372</v>
      </c>
      <c r="GA1399" s="1">
        <v>222489</v>
      </c>
      <c r="GB1399" s="1" t="s">
        <v>7373</v>
      </c>
      <c r="GE1399" s="1" t="s">
        <v>210</v>
      </c>
      <c r="GI1399" s="1" t="s">
        <v>213</v>
      </c>
      <c r="GJ1399" s="1" t="s">
        <v>260</v>
      </c>
      <c r="GK1399" s="1" t="s">
        <v>210</v>
      </c>
      <c r="GL1399" s="2">
        <v>42002</v>
      </c>
      <c r="GM1399" s="1" t="s">
        <v>13888</v>
      </c>
    </row>
    <row r="1400" spans="1:195">
      <c r="A1400" s="1">
        <v>103000</v>
      </c>
      <c r="B1400" s="1" t="s">
        <v>195</v>
      </c>
      <c r="C1400" s="1" t="str">
        <f>"08680790"</f>
        <v>08680790</v>
      </c>
      <c r="D1400" s="1" t="s">
        <v>196</v>
      </c>
      <c r="F1400" s="1" t="str">
        <f>"30"</f>
        <v>30</v>
      </c>
      <c r="G1400" s="2">
        <v>41843</v>
      </c>
      <c r="H1400" s="1">
        <v>110000</v>
      </c>
      <c r="I1400" s="1">
        <v>110000</v>
      </c>
      <c r="J1400" s="1">
        <v>103000</v>
      </c>
      <c r="K1400" s="2">
        <v>41843</v>
      </c>
      <c r="L1400" s="1">
        <v>10</v>
      </c>
      <c r="M1400" s="2">
        <v>41852</v>
      </c>
      <c r="N1400" s="1">
        <v>10</v>
      </c>
      <c r="O1400" s="2">
        <v>41852</v>
      </c>
      <c r="P1400" s="1">
        <v>2280</v>
      </c>
      <c r="Q1400" s="1" t="s">
        <v>302</v>
      </c>
      <c r="R1400" s="2">
        <v>41971</v>
      </c>
      <c r="S1400" s="1">
        <v>85534</v>
      </c>
      <c r="U1400" s="1">
        <v>359</v>
      </c>
      <c r="V1400" s="1" t="s">
        <v>12386</v>
      </c>
      <c r="W1400" s="1" t="s">
        <v>264</v>
      </c>
      <c r="Y1400" s="1">
        <v>6</v>
      </c>
      <c r="Z1400" s="1" t="s">
        <v>249</v>
      </c>
      <c r="AA1400" s="1" t="s">
        <v>1834</v>
      </c>
      <c r="AB1400" s="1">
        <v>60030</v>
      </c>
      <c r="AD1400" s="1" t="s">
        <v>7905</v>
      </c>
      <c r="AE1400" s="1" t="s">
        <v>13889</v>
      </c>
      <c r="AF1400" s="1">
        <v>2003</v>
      </c>
      <c r="AG1400" s="1" t="s">
        <v>204</v>
      </c>
      <c r="AH1400" s="1" t="s">
        <v>1630</v>
      </c>
      <c r="AI1400" s="1" t="s">
        <v>509</v>
      </c>
      <c r="AJ1400" s="1" t="s">
        <v>1263</v>
      </c>
      <c r="AL1400" s="1">
        <v>6</v>
      </c>
      <c r="AM1400" s="1">
        <v>2</v>
      </c>
      <c r="AN1400" s="1">
        <v>2</v>
      </c>
      <c r="AO1400" s="1">
        <v>1</v>
      </c>
      <c r="AP1400" s="1" t="s">
        <v>209</v>
      </c>
      <c r="AR1400" s="1" t="s">
        <v>210</v>
      </c>
      <c r="AS1400" s="1" t="s">
        <v>204</v>
      </c>
      <c r="AT1400" s="1" t="s">
        <v>211</v>
      </c>
      <c r="AU1400" s="1">
        <v>2</v>
      </c>
      <c r="AW1400" s="1" t="s">
        <v>204</v>
      </c>
      <c r="AX1400" s="1" t="s">
        <v>13890</v>
      </c>
      <c r="AZ1400" s="1">
        <v>4651</v>
      </c>
      <c r="BA1400" s="1">
        <v>2013</v>
      </c>
      <c r="BB1400" s="1" t="s">
        <v>405</v>
      </c>
      <c r="BE1400" s="1">
        <v>1512</v>
      </c>
      <c r="BF1400" s="1">
        <v>1</v>
      </c>
      <c r="BG1400" s="1">
        <v>0</v>
      </c>
      <c r="BL1400" s="1">
        <v>183</v>
      </c>
      <c r="BM1400" s="1" t="s">
        <v>204</v>
      </c>
      <c r="BN1400" s="1" t="s">
        <v>213</v>
      </c>
      <c r="BO1400" s="1">
        <v>75</v>
      </c>
      <c r="BP1400" s="1" t="s">
        <v>204</v>
      </c>
      <c r="BR1400" s="1" t="str">
        <f>"06282100380000"</f>
        <v>06282100380000</v>
      </c>
      <c r="BT1400" s="1" t="s">
        <v>13891</v>
      </c>
      <c r="BU1400" s="1" t="s">
        <v>5332</v>
      </c>
      <c r="BV1400" s="1" t="s">
        <v>1842</v>
      </c>
      <c r="BW1400" s="1" t="s">
        <v>2737</v>
      </c>
      <c r="BX1400" s="1">
        <v>46</v>
      </c>
      <c r="BY1400" s="1">
        <v>46</v>
      </c>
      <c r="BZ1400" s="1">
        <v>127</v>
      </c>
      <c r="CA1400" s="1">
        <v>532</v>
      </c>
      <c r="CB1400" s="1" t="str">
        <f t="shared" ref="CB1400:CC1400" si="1068">""</f>
        <v/>
      </c>
      <c r="CC1400" s="1" t="str">
        <f t="shared" si="1068"/>
        <v/>
      </c>
      <c r="CF1400" s="1" t="s">
        <v>4203</v>
      </c>
      <c r="CG1400" s="1" t="s">
        <v>13892</v>
      </c>
      <c r="CH1400" s="1" t="s">
        <v>219</v>
      </c>
      <c r="CI1400" s="1" t="s">
        <v>220</v>
      </c>
      <c r="CK1400" s="1" t="s">
        <v>602</v>
      </c>
      <c r="CL1400" s="1" t="s">
        <v>277</v>
      </c>
      <c r="CM1400" s="1" t="s">
        <v>220</v>
      </c>
      <c r="CN1400" s="1" t="s">
        <v>1199</v>
      </c>
      <c r="CO1400" s="1" t="s">
        <v>837</v>
      </c>
      <c r="CP1400" s="1" t="s">
        <v>219</v>
      </c>
      <c r="CQ1400" s="1" t="s">
        <v>220</v>
      </c>
      <c r="CR1400" s="1" t="s">
        <v>463</v>
      </c>
      <c r="CS1400" s="1" t="s">
        <v>318</v>
      </c>
      <c r="CT1400" s="1" t="s">
        <v>277</v>
      </c>
      <c r="CU1400" s="1" t="s">
        <v>220</v>
      </c>
      <c r="CV1400" s="1" t="s">
        <v>1199</v>
      </c>
      <c r="CX1400" s="1" t="s">
        <v>224</v>
      </c>
      <c r="DB1400" s="1" t="s">
        <v>224</v>
      </c>
      <c r="DE1400" s="1" t="s">
        <v>317</v>
      </c>
      <c r="DF1400" s="1" t="s">
        <v>219</v>
      </c>
      <c r="DG1400" s="1" t="s">
        <v>342</v>
      </c>
      <c r="DJ1400" s="1" t="s">
        <v>224</v>
      </c>
      <c r="DM1400" s="1" t="s">
        <v>464</v>
      </c>
      <c r="DR1400" s="1" t="s">
        <v>602</v>
      </c>
      <c r="DS1400" s="1" t="s">
        <v>277</v>
      </c>
      <c r="DT1400" s="1" t="s">
        <v>220</v>
      </c>
      <c r="DU1400" s="1" t="s">
        <v>1199</v>
      </c>
      <c r="DW1400" s="1" t="s">
        <v>230</v>
      </c>
      <c r="EA1400" s="1" t="s">
        <v>230</v>
      </c>
      <c r="EE1400" s="1" t="s">
        <v>230</v>
      </c>
      <c r="EI1400" s="1" t="s">
        <v>230</v>
      </c>
      <c r="EL1400" s="1" t="s">
        <v>466</v>
      </c>
      <c r="EM1400" s="1" t="s">
        <v>319</v>
      </c>
      <c r="EN1400" s="1" t="s">
        <v>282</v>
      </c>
      <c r="EO1400" s="1" t="s">
        <v>234</v>
      </c>
      <c r="EP1400" s="1" t="s">
        <v>2738</v>
      </c>
      <c r="EQ1400" s="1" t="s">
        <v>953</v>
      </c>
      <c r="ER1400" s="1" t="s">
        <v>383</v>
      </c>
      <c r="EU1400" s="1" t="s">
        <v>239</v>
      </c>
      <c r="EV1400" s="1" t="s">
        <v>324</v>
      </c>
      <c r="EW1400" s="1" t="s">
        <v>937</v>
      </c>
      <c r="EY1400" s="1" t="s">
        <v>242</v>
      </c>
      <c r="EZ1400" s="1" t="s">
        <v>464</v>
      </c>
      <c r="FA1400" s="1" t="s">
        <v>471</v>
      </c>
      <c r="FC1400" s="1" t="s">
        <v>1362</v>
      </c>
      <c r="FD1400" s="1" t="s">
        <v>246</v>
      </c>
      <c r="FE1400" s="1" t="s">
        <v>386</v>
      </c>
      <c r="FF1400" s="1" t="s">
        <v>248</v>
      </c>
      <c r="FH1400" s="1" t="s">
        <v>550</v>
      </c>
      <c r="FI1400" s="1" t="s">
        <v>473</v>
      </c>
      <c r="FL1400" s="1" t="s">
        <v>358</v>
      </c>
      <c r="FM1400" s="1" t="s">
        <v>252</v>
      </c>
      <c r="FN1400" s="1" t="s">
        <v>213</v>
      </c>
      <c r="FO1400" s="1" t="s">
        <v>213</v>
      </c>
      <c r="FQ1400" s="1" t="s">
        <v>1074</v>
      </c>
      <c r="FR1400" s="1" t="s">
        <v>360</v>
      </c>
      <c r="FS1400" s="1" t="s">
        <v>13893</v>
      </c>
      <c r="FT1400" s="1" t="s">
        <v>362</v>
      </c>
      <c r="FU1400" s="1" t="s">
        <v>204</v>
      </c>
      <c r="FW1400" s="1" t="s">
        <v>1077</v>
      </c>
      <c r="FX1400" s="1">
        <v>2752</v>
      </c>
      <c r="FY1400" s="1" t="s">
        <v>1078</v>
      </c>
      <c r="FZ1400" s="1" t="s">
        <v>13894</v>
      </c>
      <c r="GA1400" s="1">
        <v>20911</v>
      </c>
      <c r="GB1400" s="1" t="s">
        <v>13895</v>
      </c>
      <c r="GE1400" s="1" t="s">
        <v>480</v>
      </c>
      <c r="GH1400" s="1" t="s">
        <v>230</v>
      </c>
      <c r="GI1400" s="1" t="s">
        <v>213</v>
      </c>
      <c r="GJ1400" s="1" t="s">
        <v>260</v>
      </c>
      <c r="GK1400" s="1" t="s">
        <v>210</v>
      </c>
      <c r="GL1400" s="2">
        <v>41974</v>
      </c>
      <c r="GM1400" s="1" t="s">
        <v>13896</v>
      </c>
    </row>
    <row r="1401" spans="1:195">
      <c r="A1401" s="1">
        <v>160000</v>
      </c>
      <c r="B1401" s="1" t="s">
        <v>195</v>
      </c>
      <c r="C1401" s="1" t="str">
        <f>"08668125"</f>
        <v>08668125</v>
      </c>
      <c r="D1401" s="1" t="s">
        <v>196</v>
      </c>
      <c r="F1401" s="1" t="str">
        <f>"191"</f>
        <v>191</v>
      </c>
      <c r="G1401" s="2">
        <v>41829</v>
      </c>
      <c r="H1401" s="1">
        <v>159000</v>
      </c>
      <c r="I1401" s="1">
        <v>159000</v>
      </c>
      <c r="J1401" s="1">
        <v>160000</v>
      </c>
      <c r="K1401" s="2">
        <v>41829</v>
      </c>
      <c r="L1401" s="1">
        <v>91</v>
      </c>
      <c r="M1401" s="2">
        <v>41919</v>
      </c>
      <c r="N1401" s="1">
        <v>91</v>
      </c>
      <c r="O1401" s="2">
        <v>41919</v>
      </c>
      <c r="P1401" s="1">
        <v>8005</v>
      </c>
      <c r="Q1401" s="1" t="s">
        <v>423</v>
      </c>
      <c r="R1401" s="2">
        <v>41985</v>
      </c>
      <c r="S1401" s="1">
        <v>83789</v>
      </c>
      <c r="T1401" s="1">
        <v>5000</v>
      </c>
      <c r="U1401" s="1">
        <v>384</v>
      </c>
      <c r="V1401" s="1" t="s">
        <v>6431</v>
      </c>
      <c r="W1401" s="1" t="s">
        <v>264</v>
      </c>
      <c r="X1401" s="1">
        <v>384</v>
      </c>
      <c r="Y1401" s="1">
        <v>4</v>
      </c>
      <c r="Z1401" s="1" t="s">
        <v>370</v>
      </c>
      <c r="AA1401" s="1" t="s">
        <v>1966</v>
      </c>
      <c r="AB1401" s="1">
        <v>60191</v>
      </c>
      <c r="AD1401" s="1" t="s">
        <v>13897</v>
      </c>
      <c r="AE1401" s="1" t="s">
        <v>13898</v>
      </c>
      <c r="AF1401" s="1">
        <v>1985</v>
      </c>
      <c r="AG1401" s="1" t="s">
        <v>204</v>
      </c>
      <c r="AH1401" s="1" t="s">
        <v>1969</v>
      </c>
      <c r="AI1401" s="1" t="s">
        <v>206</v>
      </c>
      <c r="AJ1401" s="1" t="s">
        <v>1233</v>
      </c>
      <c r="AK1401" s="1" t="s">
        <v>1460</v>
      </c>
      <c r="AL1401" s="1">
        <v>6</v>
      </c>
      <c r="AM1401" s="1">
        <v>2</v>
      </c>
      <c r="AN1401" s="1">
        <v>2</v>
      </c>
      <c r="AO1401" s="1">
        <v>0</v>
      </c>
      <c r="AP1401" s="1" t="s">
        <v>209</v>
      </c>
      <c r="AQ1401" s="1">
        <v>1</v>
      </c>
      <c r="AR1401" s="1" t="s">
        <v>210</v>
      </c>
      <c r="AS1401" s="1" t="s">
        <v>204</v>
      </c>
      <c r="AT1401" s="1" t="s">
        <v>211</v>
      </c>
      <c r="AU1401" s="1">
        <v>1</v>
      </c>
      <c r="AW1401" s="1" t="s">
        <v>204</v>
      </c>
      <c r="AX1401" s="1" t="s">
        <v>212</v>
      </c>
      <c r="AZ1401" s="1">
        <v>3139</v>
      </c>
      <c r="BA1401" s="1">
        <v>2013</v>
      </c>
      <c r="BB1401" s="1" t="s">
        <v>599</v>
      </c>
      <c r="BE1401" s="1">
        <v>1410</v>
      </c>
      <c r="BF1401" s="1">
        <v>2</v>
      </c>
      <c r="BG1401" s="1">
        <v>7</v>
      </c>
      <c r="BL1401" s="1">
        <v>283</v>
      </c>
      <c r="BM1401" s="1" t="s">
        <v>204</v>
      </c>
      <c r="BN1401" s="1" t="s">
        <v>213</v>
      </c>
      <c r="BO1401" s="1">
        <v>25</v>
      </c>
      <c r="BP1401" s="1" t="s">
        <v>204</v>
      </c>
      <c r="BR1401" s="1" t="str">
        <f>"0316310056"</f>
        <v>0316310056</v>
      </c>
      <c r="BT1401" s="1" t="s">
        <v>13899</v>
      </c>
      <c r="BU1401" s="1" t="s">
        <v>2719</v>
      </c>
      <c r="BV1401" s="1" t="s">
        <v>2720</v>
      </c>
      <c r="BW1401" s="1" t="s">
        <v>2721</v>
      </c>
      <c r="BX1401" s="1">
        <v>4</v>
      </c>
      <c r="BY1401" s="1">
        <v>4</v>
      </c>
      <c r="BZ1401" s="1">
        <v>88</v>
      </c>
      <c r="CB1401" s="1" t="str">
        <f t="shared" ref="CB1401:CC1401" si="1069">""</f>
        <v/>
      </c>
      <c r="CC1401" s="1" t="str">
        <f t="shared" si="1069"/>
        <v/>
      </c>
      <c r="CG1401" s="1" t="s">
        <v>3035</v>
      </c>
      <c r="CH1401" s="1" t="s">
        <v>277</v>
      </c>
      <c r="CI1401" s="1" t="s">
        <v>438</v>
      </c>
      <c r="CK1401" s="1" t="s">
        <v>437</v>
      </c>
      <c r="CL1401" s="1" t="s">
        <v>277</v>
      </c>
      <c r="CM1401" s="1" t="s">
        <v>438</v>
      </c>
      <c r="CO1401" s="1" t="s">
        <v>348</v>
      </c>
      <c r="CP1401" s="1" t="s">
        <v>277</v>
      </c>
      <c r="CQ1401" s="1" t="s">
        <v>438</v>
      </c>
      <c r="CS1401" s="1" t="s">
        <v>465</v>
      </c>
      <c r="CT1401" s="1" t="s">
        <v>277</v>
      </c>
      <c r="CU1401" s="1" t="s">
        <v>438</v>
      </c>
      <c r="CX1401" s="1" t="s">
        <v>224</v>
      </c>
      <c r="DB1401" s="1" t="s">
        <v>224</v>
      </c>
      <c r="DE1401" s="1" t="s">
        <v>281</v>
      </c>
      <c r="DF1401" s="1" t="s">
        <v>277</v>
      </c>
      <c r="DJ1401" s="1" t="s">
        <v>224</v>
      </c>
      <c r="DM1401" s="1" t="s">
        <v>1005</v>
      </c>
      <c r="DR1401" s="1" t="s">
        <v>461</v>
      </c>
      <c r="DS1401" s="1" t="s">
        <v>277</v>
      </c>
      <c r="DT1401" s="1" t="s">
        <v>438</v>
      </c>
      <c r="DW1401" s="1" t="s">
        <v>230</v>
      </c>
      <c r="EA1401" s="1" t="s">
        <v>230</v>
      </c>
      <c r="EE1401" s="1" t="s">
        <v>230</v>
      </c>
      <c r="EI1401" s="1" t="s">
        <v>230</v>
      </c>
      <c r="EL1401" s="1" t="s">
        <v>542</v>
      </c>
      <c r="EM1401" s="1" t="s">
        <v>232</v>
      </c>
      <c r="EN1401" s="1" t="s">
        <v>282</v>
      </c>
      <c r="EO1401" s="1" t="s">
        <v>234</v>
      </c>
      <c r="EP1401" s="1" t="s">
        <v>936</v>
      </c>
      <c r="EQ1401" s="1" t="s">
        <v>13801</v>
      </c>
      <c r="ER1401" s="1" t="s">
        <v>210</v>
      </c>
      <c r="EU1401" s="1" t="s">
        <v>13900</v>
      </c>
      <c r="EV1401" s="1" t="s">
        <v>240</v>
      </c>
      <c r="EW1401" s="1" t="s">
        <v>13901</v>
      </c>
      <c r="EZ1401" s="1" t="s">
        <v>1005</v>
      </c>
      <c r="FA1401" s="1" t="s">
        <v>471</v>
      </c>
      <c r="FB1401" s="1" t="s">
        <v>289</v>
      </c>
      <c r="FD1401" s="1" t="s">
        <v>246</v>
      </c>
      <c r="FE1401" s="1" t="s">
        <v>2016</v>
      </c>
      <c r="FF1401" s="1" t="s">
        <v>2998</v>
      </c>
      <c r="FG1401" s="1" t="s">
        <v>1271</v>
      </c>
      <c r="FH1401" s="1" t="s">
        <v>249</v>
      </c>
      <c r="FI1401" s="1" t="s">
        <v>473</v>
      </c>
      <c r="FL1401" s="1" t="s">
        <v>414</v>
      </c>
      <c r="FM1401" s="1" t="s">
        <v>252</v>
      </c>
      <c r="FN1401" s="1" t="s">
        <v>213</v>
      </c>
      <c r="FO1401" s="1" t="s">
        <v>213</v>
      </c>
      <c r="FQ1401" s="1" t="s">
        <v>1032</v>
      </c>
      <c r="FR1401" s="1" t="s">
        <v>210</v>
      </c>
      <c r="FS1401" s="1" t="s">
        <v>13902</v>
      </c>
      <c r="FT1401" s="1" t="s">
        <v>13903</v>
      </c>
      <c r="FU1401" s="1" t="s">
        <v>204</v>
      </c>
      <c r="FW1401" s="1" t="s">
        <v>13904</v>
      </c>
      <c r="FX1401" s="1">
        <v>21277</v>
      </c>
      <c r="FY1401" s="1" t="s">
        <v>13905</v>
      </c>
      <c r="FZ1401" s="1" t="s">
        <v>13906</v>
      </c>
      <c r="GA1401" s="1">
        <v>219551</v>
      </c>
      <c r="GB1401" s="1" t="s">
        <v>13907</v>
      </c>
      <c r="GE1401" s="1" t="s">
        <v>480</v>
      </c>
      <c r="GI1401" s="1" t="s">
        <v>213</v>
      </c>
      <c r="GJ1401" s="1" t="s">
        <v>260</v>
      </c>
      <c r="GK1401" s="1" t="s">
        <v>210</v>
      </c>
      <c r="GL1401" s="2">
        <v>41985</v>
      </c>
      <c r="GM1401" s="1" t="s">
        <v>13908</v>
      </c>
    </row>
    <row r="1402" spans="1:195">
      <c r="A1402" s="1">
        <v>228500</v>
      </c>
      <c r="B1402" s="1" t="s">
        <v>195</v>
      </c>
      <c r="C1402" s="1" t="str">
        <f>"08668244"</f>
        <v>08668244</v>
      </c>
      <c r="D1402" s="1" t="s">
        <v>196</v>
      </c>
      <c r="F1402" s="1" t="str">
        <f>"30"</f>
        <v>30</v>
      </c>
      <c r="G1402" s="2">
        <v>41829</v>
      </c>
      <c r="H1402" s="1">
        <v>239900</v>
      </c>
      <c r="I1402" s="1">
        <v>234500</v>
      </c>
      <c r="J1402" s="1">
        <v>228500</v>
      </c>
      <c r="K1402" s="2">
        <v>41829</v>
      </c>
      <c r="L1402" s="1">
        <v>263</v>
      </c>
      <c r="M1402" s="2">
        <v>42091</v>
      </c>
      <c r="N1402" s="1">
        <v>263</v>
      </c>
      <c r="O1402" s="2">
        <v>42091</v>
      </c>
      <c r="P1402" s="1">
        <v>2050</v>
      </c>
      <c r="Q1402" s="1" t="s">
        <v>197</v>
      </c>
      <c r="R1402" s="2">
        <v>42121</v>
      </c>
      <c r="S1402" s="1">
        <v>20708</v>
      </c>
      <c r="U1402" s="1">
        <v>2308</v>
      </c>
      <c r="V1402" s="1" t="s">
        <v>9230</v>
      </c>
      <c r="W1402" s="1" t="s">
        <v>504</v>
      </c>
      <c r="X1402" s="1">
        <v>2308</v>
      </c>
      <c r="Y1402" s="1">
        <v>6</v>
      </c>
      <c r="Z1402" s="1" t="s">
        <v>370</v>
      </c>
      <c r="AA1402" s="1" t="s">
        <v>1834</v>
      </c>
      <c r="AB1402" s="1">
        <v>60030</v>
      </c>
      <c r="AD1402" s="1" t="s">
        <v>9231</v>
      </c>
      <c r="AE1402" s="1" t="s">
        <v>13909</v>
      </c>
      <c r="AF1402" s="1">
        <v>2000</v>
      </c>
      <c r="AG1402" s="1" t="s">
        <v>204</v>
      </c>
      <c r="AH1402" s="1" t="s">
        <v>1837</v>
      </c>
      <c r="AI1402" s="1" t="s">
        <v>509</v>
      </c>
      <c r="AJ1402" s="1" t="s">
        <v>1263</v>
      </c>
      <c r="AK1402" s="1" t="s">
        <v>4551</v>
      </c>
      <c r="AL1402" s="1">
        <v>9</v>
      </c>
      <c r="AM1402" s="1">
        <v>2</v>
      </c>
      <c r="AN1402" s="1">
        <v>3</v>
      </c>
      <c r="AO1402" s="1">
        <v>0</v>
      </c>
      <c r="AP1402" s="1" t="s">
        <v>209</v>
      </c>
      <c r="AQ1402" s="1">
        <v>1</v>
      </c>
      <c r="AR1402" s="1" t="s">
        <v>209</v>
      </c>
      <c r="AS1402" s="1" t="s">
        <v>213</v>
      </c>
      <c r="AT1402" s="1" t="s">
        <v>211</v>
      </c>
      <c r="AU1402" s="1">
        <v>2</v>
      </c>
      <c r="AW1402" s="1" t="s">
        <v>204</v>
      </c>
      <c r="AX1402" s="1" t="s">
        <v>212</v>
      </c>
      <c r="AZ1402" s="1">
        <v>7956.35</v>
      </c>
      <c r="BA1402" s="1">
        <v>2013</v>
      </c>
      <c r="BB1402" s="1" t="s">
        <v>405</v>
      </c>
      <c r="BE1402" s="1">
        <v>1572</v>
      </c>
      <c r="BF1402" s="1">
        <v>1</v>
      </c>
      <c r="BG1402" s="1">
        <v>1</v>
      </c>
      <c r="BL1402" s="1">
        <v>271</v>
      </c>
      <c r="BM1402" s="1" t="s">
        <v>204</v>
      </c>
      <c r="BN1402" s="1" t="s">
        <v>213</v>
      </c>
      <c r="BO1402" s="1">
        <v>99</v>
      </c>
      <c r="BP1402" s="1" t="s">
        <v>204</v>
      </c>
      <c r="BR1402" s="1" t="str">
        <f>"06141010890000"</f>
        <v>06141010890000</v>
      </c>
      <c r="BT1402" s="1" t="s">
        <v>13910</v>
      </c>
      <c r="BX1402" s="1">
        <v>46</v>
      </c>
      <c r="BY1402" s="1">
        <v>46</v>
      </c>
      <c r="BZ1402" s="1">
        <v>127</v>
      </c>
      <c r="CB1402" s="1" t="str">
        <f t="shared" ref="CB1402:CC1402" si="1070">""</f>
        <v/>
      </c>
      <c r="CC1402" s="1" t="str">
        <f t="shared" si="1070"/>
        <v/>
      </c>
      <c r="CF1402" s="1" t="s">
        <v>7909</v>
      </c>
      <c r="CG1402" s="1" t="s">
        <v>437</v>
      </c>
      <c r="CH1402" s="1" t="s">
        <v>219</v>
      </c>
      <c r="CI1402" s="1" t="s">
        <v>438</v>
      </c>
      <c r="CJ1402" s="1" t="s">
        <v>343</v>
      </c>
      <c r="CK1402" s="1" t="s">
        <v>6862</v>
      </c>
      <c r="CL1402" s="1" t="s">
        <v>219</v>
      </c>
      <c r="CM1402" s="1" t="s">
        <v>220</v>
      </c>
      <c r="CN1402" s="1" t="s">
        <v>252</v>
      </c>
      <c r="CO1402" s="1" t="s">
        <v>223</v>
      </c>
      <c r="CP1402" s="1" t="s">
        <v>219</v>
      </c>
      <c r="CQ1402" s="1" t="s">
        <v>438</v>
      </c>
      <c r="CR1402" s="1" t="s">
        <v>343</v>
      </c>
      <c r="CS1402" s="1" t="s">
        <v>465</v>
      </c>
      <c r="CT1402" s="1" t="s">
        <v>219</v>
      </c>
      <c r="CU1402" s="1" t="s">
        <v>220</v>
      </c>
      <c r="CV1402" s="1" t="s">
        <v>252</v>
      </c>
      <c r="CW1402" s="1" t="s">
        <v>729</v>
      </c>
      <c r="CX1402" s="1" t="s">
        <v>43</v>
      </c>
      <c r="CY1402" s="1" t="s">
        <v>220</v>
      </c>
      <c r="CZ1402" s="1" t="s">
        <v>252</v>
      </c>
      <c r="DB1402" s="1" t="s">
        <v>224</v>
      </c>
      <c r="DE1402" s="1" t="s">
        <v>1358</v>
      </c>
      <c r="DF1402" s="1" t="s">
        <v>219</v>
      </c>
      <c r="DG1402" s="1" t="s">
        <v>226</v>
      </c>
      <c r="DH1402" s="1" t="s">
        <v>343</v>
      </c>
      <c r="DI1402" s="1" t="s">
        <v>437</v>
      </c>
      <c r="DJ1402" s="1" t="s">
        <v>219</v>
      </c>
      <c r="DK1402" s="1" t="s">
        <v>220</v>
      </c>
      <c r="DL1402" s="1" t="s">
        <v>343</v>
      </c>
      <c r="DM1402" s="1" t="s">
        <v>381</v>
      </c>
      <c r="DN1402" s="1" t="s">
        <v>934</v>
      </c>
      <c r="DO1402" s="1" t="s">
        <v>709</v>
      </c>
      <c r="DR1402" s="1" t="s">
        <v>281</v>
      </c>
      <c r="DS1402" s="1" t="s">
        <v>219</v>
      </c>
      <c r="DT1402" s="1" t="s">
        <v>226</v>
      </c>
      <c r="DV1402" s="1" t="s">
        <v>13911</v>
      </c>
      <c r="DW1402" s="1" t="s">
        <v>43</v>
      </c>
      <c r="DX1402" s="1" t="s">
        <v>220</v>
      </c>
      <c r="DZ1402" s="1" t="s">
        <v>13912</v>
      </c>
      <c r="EA1402" s="1" t="s">
        <v>219</v>
      </c>
      <c r="EB1402" s="1" t="s">
        <v>226</v>
      </c>
      <c r="EE1402" s="1" t="s">
        <v>230</v>
      </c>
      <c r="EI1402" s="1" t="s">
        <v>230</v>
      </c>
      <c r="EL1402" s="1" t="s">
        <v>466</v>
      </c>
      <c r="EM1402" s="1" t="s">
        <v>730</v>
      </c>
      <c r="EN1402" s="1" t="s">
        <v>282</v>
      </c>
      <c r="EO1402" s="1" t="s">
        <v>840</v>
      </c>
      <c r="EP1402" s="1" t="s">
        <v>13913</v>
      </c>
      <c r="EQ1402" s="1" t="s">
        <v>236</v>
      </c>
      <c r="ER1402" s="1" t="s">
        <v>544</v>
      </c>
      <c r="ES1402" s="1" t="s">
        <v>865</v>
      </c>
      <c r="ET1402" s="1" t="s">
        <v>1869</v>
      </c>
      <c r="EU1402" s="1" t="s">
        <v>13914</v>
      </c>
      <c r="EV1402" s="1" t="s">
        <v>240</v>
      </c>
      <c r="EW1402" s="1" t="s">
        <v>5021</v>
      </c>
      <c r="EY1402" s="1" t="s">
        <v>242</v>
      </c>
      <c r="EZ1402" s="1" t="s">
        <v>10867</v>
      </c>
      <c r="FA1402" s="1" t="s">
        <v>9237</v>
      </c>
      <c r="FB1402" s="1" t="s">
        <v>613</v>
      </c>
      <c r="FC1402" s="1" t="s">
        <v>2470</v>
      </c>
      <c r="FD1402" s="1" t="s">
        <v>246</v>
      </c>
      <c r="FE1402" s="1" t="s">
        <v>975</v>
      </c>
      <c r="FF1402" s="1" t="s">
        <v>248</v>
      </c>
      <c r="FG1402" s="1" t="s">
        <v>10870</v>
      </c>
      <c r="FH1402" s="1" t="s">
        <v>825</v>
      </c>
      <c r="FI1402" s="1" t="s">
        <v>473</v>
      </c>
      <c r="FL1402" s="1" t="s">
        <v>358</v>
      </c>
      <c r="FM1402" s="1" t="s">
        <v>252</v>
      </c>
      <c r="FN1402" s="1" t="s">
        <v>213</v>
      </c>
      <c r="FO1402" s="1" t="s">
        <v>213</v>
      </c>
      <c r="FQ1402" s="1" t="s">
        <v>13915</v>
      </c>
      <c r="FR1402" s="1" t="s">
        <v>210</v>
      </c>
      <c r="FS1402" s="1" t="s">
        <v>13916</v>
      </c>
      <c r="FT1402" s="1" t="s">
        <v>2589</v>
      </c>
      <c r="FU1402" s="1" t="s">
        <v>204</v>
      </c>
      <c r="FW1402" s="1" t="s">
        <v>1275</v>
      </c>
      <c r="FX1402" s="1">
        <v>2411</v>
      </c>
      <c r="FY1402" s="1" t="s">
        <v>1276</v>
      </c>
      <c r="FZ1402" s="1" t="s">
        <v>13917</v>
      </c>
      <c r="GA1402" s="1">
        <v>14440</v>
      </c>
      <c r="GB1402" s="1" t="s">
        <v>13918</v>
      </c>
      <c r="GD1402" s="1" t="s">
        <v>13919</v>
      </c>
      <c r="GE1402" s="1" t="s">
        <v>9240</v>
      </c>
      <c r="GI1402" s="1" t="s">
        <v>213</v>
      </c>
      <c r="GJ1402" s="1" t="s">
        <v>260</v>
      </c>
      <c r="GK1402" s="1" t="s">
        <v>261</v>
      </c>
      <c r="GL1402" s="2">
        <v>42122</v>
      </c>
      <c r="GM1402" s="1" t="s">
        <v>13920</v>
      </c>
    </row>
    <row r="1403" spans="1:195">
      <c r="A1403" s="1">
        <v>240000</v>
      </c>
      <c r="B1403" s="1" t="s">
        <v>195</v>
      </c>
      <c r="C1403" s="1" t="str">
        <f>"08676663"</f>
        <v>08676663</v>
      </c>
      <c r="D1403" s="1" t="s">
        <v>196</v>
      </c>
      <c r="F1403" s="1" t="str">
        <f>"174"</f>
        <v>174</v>
      </c>
      <c r="G1403" s="2">
        <v>41838</v>
      </c>
      <c r="H1403" s="1">
        <v>259900</v>
      </c>
      <c r="I1403" s="1">
        <v>244650</v>
      </c>
      <c r="J1403" s="1">
        <v>240000</v>
      </c>
      <c r="K1403" s="2">
        <v>41838</v>
      </c>
      <c r="L1403" s="1">
        <v>95</v>
      </c>
      <c r="M1403" s="2">
        <v>41932</v>
      </c>
      <c r="N1403" s="1">
        <v>95</v>
      </c>
      <c r="O1403" s="2">
        <v>41932</v>
      </c>
      <c r="P1403" s="1">
        <v>41</v>
      </c>
      <c r="Q1403" s="1" t="s">
        <v>197</v>
      </c>
      <c r="R1403" s="2">
        <v>41969</v>
      </c>
      <c r="S1403" s="1">
        <v>7786</v>
      </c>
      <c r="U1403" s="1">
        <v>104</v>
      </c>
      <c r="V1403" s="1" t="s">
        <v>13921</v>
      </c>
      <c r="W1403" s="1" t="s">
        <v>304</v>
      </c>
      <c r="Y1403" s="1">
        <v>3</v>
      </c>
      <c r="Z1403" s="1" t="s">
        <v>370</v>
      </c>
      <c r="AA1403" s="1" t="s">
        <v>879</v>
      </c>
      <c r="AB1403" s="1">
        <v>60174</v>
      </c>
      <c r="AD1403" s="1" t="s">
        <v>13797</v>
      </c>
      <c r="AE1403" s="1" t="s">
        <v>13922</v>
      </c>
      <c r="AF1403" s="1">
        <v>1987</v>
      </c>
      <c r="AG1403" s="1" t="s">
        <v>204</v>
      </c>
      <c r="AH1403" s="1" t="s">
        <v>883</v>
      </c>
      <c r="AI1403" s="1" t="s">
        <v>665</v>
      </c>
      <c r="AJ1403" s="1" t="s">
        <v>883</v>
      </c>
      <c r="AL1403" s="1">
        <v>9</v>
      </c>
      <c r="AM1403" s="1">
        <v>2</v>
      </c>
      <c r="AN1403" s="1">
        <v>3</v>
      </c>
      <c r="AO1403" s="1">
        <v>1</v>
      </c>
      <c r="AP1403" s="1" t="s">
        <v>209</v>
      </c>
      <c r="AQ1403" s="1">
        <v>1</v>
      </c>
      <c r="AR1403" s="1" t="s">
        <v>209</v>
      </c>
      <c r="AS1403" s="1" t="s">
        <v>213</v>
      </c>
      <c r="AT1403" s="1" t="s">
        <v>211</v>
      </c>
      <c r="AU1403" s="1">
        <v>2</v>
      </c>
      <c r="AW1403" s="1" t="s">
        <v>204</v>
      </c>
      <c r="AX1403" s="1" t="s">
        <v>13923</v>
      </c>
      <c r="AZ1403" s="1">
        <v>7625.72</v>
      </c>
      <c r="BA1403" s="1">
        <v>2013</v>
      </c>
      <c r="BB1403" s="1" t="s">
        <v>599</v>
      </c>
      <c r="BE1403" s="1">
        <v>1913</v>
      </c>
      <c r="BF1403" s="1">
        <v>1</v>
      </c>
      <c r="BG1403" s="1">
        <v>0</v>
      </c>
      <c r="BL1403" s="1">
        <v>293</v>
      </c>
      <c r="BM1403" s="1" t="s">
        <v>204</v>
      </c>
      <c r="BN1403" s="1" t="s">
        <v>213</v>
      </c>
      <c r="BO1403" s="1">
        <v>999</v>
      </c>
      <c r="BP1403" s="1" t="s">
        <v>204</v>
      </c>
      <c r="BR1403" s="1" t="str">
        <f>"0921426076"</f>
        <v>0921426076</v>
      </c>
      <c r="BT1403" s="1" t="s">
        <v>13924</v>
      </c>
      <c r="BU1403" s="1" t="s">
        <v>4718</v>
      </c>
      <c r="BV1403" s="1" t="s">
        <v>11579</v>
      </c>
      <c r="BW1403" s="1" t="s">
        <v>4719</v>
      </c>
      <c r="BX1403" s="1">
        <v>303</v>
      </c>
      <c r="BY1403" s="1">
        <v>303</v>
      </c>
      <c r="BZ1403" s="1">
        <v>303</v>
      </c>
      <c r="CB1403" s="1" t="str">
        <f>"4"</f>
        <v>4</v>
      </c>
      <c r="CC1403" s="1" t="str">
        <f>""</f>
        <v/>
      </c>
      <c r="CD1403" s="1">
        <v>36</v>
      </c>
      <c r="CG1403" s="1" t="s">
        <v>2747</v>
      </c>
      <c r="CH1403" s="1" t="s">
        <v>219</v>
      </c>
      <c r="CI1403" s="1" t="s">
        <v>220</v>
      </c>
      <c r="CJ1403" s="1" t="s">
        <v>439</v>
      </c>
      <c r="CK1403" s="1" t="s">
        <v>1045</v>
      </c>
      <c r="CL1403" s="1" t="s">
        <v>277</v>
      </c>
      <c r="CM1403" s="1" t="s">
        <v>220</v>
      </c>
      <c r="CN1403" s="1" t="s">
        <v>439</v>
      </c>
      <c r="CO1403" s="1" t="s">
        <v>757</v>
      </c>
      <c r="CP1403" s="1" t="s">
        <v>219</v>
      </c>
      <c r="CQ1403" s="1" t="s">
        <v>220</v>
      </c>
      <c r="CR1403" s="1" t="s">
        <v>439</v>
      </c>
      <c r="CS1403" s="1" t="s">
        <v>972</v>
      </c>
      <c r="CT1403" s="1" t="s">
        <v>277</v>
      </c>
      <c r="CU1403" s="1" t="s">
        <v>220</v>
      </c>
      <c r="CV1403" s="1" t="s">
        <v>463</v>
      </c>
      <c r="CW1403" s="1" t="s">
        <v>379</v>
      </c>
      <c r="CX1403" s="1" t="s">
        <v>43</v>
      </c>
      <c r="CY1403" s="1" t="s">
        <v>229</v>
      </c>
      <c r="DB1403" s="1" t="s">
        <v>224</v>
      </c>
      <c r="DE1403" s="1" t="s">
        <v>2138</v>
      </c>
      <c r="DF1403" s="1" t="s">
        <v>219</v>
      </c>
      <c r="DG1403" s="1" t="s">
        <v>226</v>
      </c>
      <c r="DH1403" s="1" t="s">
        <v>343</v>
      </c>
      <c r="DJ1403" s="1" t="s">
        <v>224</v>
      </c>
      <c r="DM1403" s="1" t="s">
        <v>381</v>
      </c>
      <c r="DN1403" s="1" t="s">
        <v>464</v>
      </c>
      <c r="DP1403" s="1" t="s">
        <v>934</v>
      </c>
      <c r="DR1403" s="1" t="s">
        <v>1571</v>
      </c>
      <c r="DS1403" s="1" t="s">
        <v>219</v>
      </c>
      <c r="DT1403" s="1" t="s">
        <v>226</v>
      </c>
      <c r="DU1403" s="1" t="s">
        <v>252</v>
      </c>
      <c r="DV1403" s="1" t="s">
        <v>1533</v>
      </c>
      <c r="DW1403" s="1" t="s">
        <v>277</v>
      </c>
      <c r="DX1403" s="1" t="s">
        <v>220</v>
      </c>
      <c r="DY1403" s="1" t="s">
        <v>252</v>
      </c>
      <c r="EA1403" s="1" t="s">
        <v>230</v>
      </c>
      <c r="ED1403" s="1" t="s">
        <v>1200</v>
      </c>
      <c r="EE1403" s="1" t="s">
        <v>43</v>
      </c>
      <c r="EF1403" s="1" t="s">
        <v>229</v>
      </c>
      <c r="EI1403" s="1" t="s">
        <v>230</v>
      </c>
      <c r="EL1403" s="1" t="s">
        <v>542</v>
      </c>
      <c r="EM1403" s="1" t="s">
        <v>319</v>
      </c>
      <c r="EN1403" s="1" t="s">
        <v>282</v>
      </c>
      <c r="EO1403" s="1" t="s">
        <v>234</v>
      </c>
      <c r="EP1403" s="1" t="s">
        <v>543</v>
      </c>
      <c r="EQ1403" s="1" t="s">
        <v>11523</v>
      </c>
      <c r="ER1403" s="1" t="s">
        <v>544</v>
      </c>
      <c r="ES1403" s="1" t="s">
        <v>322</v>
      </c>
      <c r="ET1403" s="1" t="s">
        <v>1161</v>
      </c>
      <c r="EU1403" s="1" t="s">
        <v>239</v>
      </c>
      <c r="EV1403" s="1" t="s">
        <v>324</v>
      </c>
      <c r="EW1403" s="1" t="s">
        <v>4410</v>
      </c>
      <c r="EY1403" s="1" t="s">
        <v>242</v>
      </c>
      <c r="EZ1403" s="1" t="s">
        <v>13925</v>
      </c>
      <c r="FB1403" s="1" t="s">
        <v>289</v>
      </c>
      <c r="FD1403" s="1" t="s">
        <v>495</v>
      </c>
      <c r="FE1403" s="1" t="s">
        <v>889</v>
      </c>
      <c r="FF1403" s="1" t="s">
        <v>387</v>
      </c>
      <c r="FG1403" s="1" t="s">
        <v>1682</v>
      </c>
      <c r="FH1403" s="1" t="s">
        <v>550</v>
      </c>
      <c r="FL1403" s="1" t="s">
        <v>358</v>
      </c>
      <c r="FM1403" s="1" t="s">
        <v>252</v>
      </c>
      <c r="FN1403" s="1" t="s">
        <v>213</v>
      </c>
      <c r="FO1403" s="1" t="s">
        <v>213</v>
      </c>
      <c r="FQ1403" s="1" t="s">
        <v>1599</v>
      </c>
      <c r="FR1403" s="1" t="s">
        <v>210</v>
      </c>
      <c r="FS1403" s="1" t="s">
        <v>13926</v>
      </c>
      <c r="FT1403" s="1" t="s">
        <v>295</v>
      </c>
      <c r="FU1403" s="1" t="s">
        <v>204</v>
      </c>
      <c r="FW1403" s="1" t="s">
        <v>915</v>
      </c>
      <c r="FX1403" s="1">
        <v>3640</v>
      </c>
      <c r="FY1403" s="1" t="s">
        <v>4798</v>
      </c>
      <c r="FZ1403" s="1" t="s">
        <v>4799</v>
      </c>
      <c r="GA1403" s="1">
        <v>32387</v>
      </c>
      <c r="GB1403" s="1" t="s">
        <v>4800</v>
      </c>
      <c r="GD1403" s="1" t="s">
        <v>13927</v>
      </c>
      <c r="GE1403" s="1" t="s">
        <v>480</v>
      </c>
      <c r="GI1403" s="1" t="s">
        <v>213</v>
      </c>
      <c r="GJ1403" s="1" t="s">
        <v>260</v>
      </c>
      <c r="GK1403" s="1" t="s">
        <v>210</v>
      </c>
      <c r="GL1403" s="2">
        <v>41969</v>
      </c>
      <c r="GM1403" s="1" t="s">
        <v>13928</v>
      </c>
    </row>
    <row r="1404" spans="1:195">
      <c r="A1404" s="1">
        <v>155000</v>
      </c>
      <c r="B1404" s="1" t="s">
        <v>195</v>
      </c>
      <c r="C1404" s="1" t="str">
        <f>"08678967"</f>
        <v>08678967</v>
      </c>
      <c r="D1404" s="1" t="s">
        <v>196</v>
      </c>
      <c r="F1404" s="1" t="str">
        <f>"104"</f>
        <v>104</v>
      </c>
      <c r="G1404" s="2">
        <v>41841</v>
      </c>
      <c r="H1404" s="1">
        <v>175000</v>
      </c>
      <c r="I1404" s="1">
        <v>164900</v>
      </c>
      <c r="J1404" s="1">
        <v>155000</v>
      </c>
      <c r="K1404" s="2">
        <v>41841</v>
      </c>
      <c r="L1404" s="1">
        <v>142</v>
      </c>
      <c r="M1404" s="2">
        <v>41982</v>
      </c>
      <c r="N1404" s="1">
        <v>142</v>
      </c>
      <c r="O1404" s="2">
        <v>41982</v>
      </c>
      <c r="P1404" s="1">
        <v>23163</v>
      </c>
      <c r="Q1404" s="1" t="s">
        <v>197</v>
      </c>
      <c r="R1404" s="2">
        <v>42030</v>
      </c>
      <c r="S1404" s="1">
        <v>256847</v>
      </c>
      <c r="U1404" s="1">
        <v>1641</v>
      </c>
      <c r="V1404" s="1" t="s">
        <v>13929</v>
      </c>
      <c r="W1404" s="1" t="s">
        <v>1056</v>
      </c>
      <c r="Y1404" s="1">
        <v>4</v>
      </c>
      <c r="Z1404" s="1" t="s">
        <v>200</v>
      </c>
      <c r="AA1404" s="1" t="s">
        <v>371</v>
      </c>
      <c r="AB1404" s="1">
        <v>60103</v>
      </c>
      <c r="AC1404" s="1">
        <v>1221</v>
      </c>
      <c r="AE1404" s="1" t="s">
        <v>13930</v>
      </c>
      <c r="AF1404" s="1">
        <v>1995</v>
      </c>
      <c r="AG1404" s="1" t="s">
        <v>204</v>
      </c>
      <c r="AH1404" s="1" t="s">
        <v>373</v>
      </c>
      <c r="AI1404" s="1" t="s">
        <v>310</v>
      </c>
      <c r="AJ1404" s="1" t="s">
        <v>374</v>
      </c>
      <c r="AK1404" s="1" t="s">
        <v>11087</v>
      </c>
      <c r="AL1404" s="1">
        <v>6</v>
      </c>
      <c r="AM1404" s="1">
        <v>2</v>
      </c>
      <c r="AN1404" s="1">
        <v>2</v>
      </c>
      <c r="AO1404" s="1">
        <v>1</v>
      </c>
      <c r="AP1404" s="1" t="s">
        <v>209</v>
      </c>
      <c r="AQ1404" s="1">
        <v>0</v>
      </c>
      <c r="AR1404" s="1" t="s">
        <v>210</v>
      </c>
      <c r="AS1404" s="1" t="s">
        <v>204</v>
      </c>
      <c r="AT1404" s="1" t="s">
        <v>211</v>
      </c>
      <c r="AU1404" s="1">
        <v>2</v>
      </c>
      <c r="AW1404" s="1" t="s">
        <v>204</v>
      </c>
      <c r="AX1404" s="1" t="s">
        <v>212</v>
      </c>
      <c r="AZ1404" s="1">
        <v>3641.52</v>
      </c>
      <c r="BA1404" s="1">
        <v>2013</v>
      </c>
      <c r="BB1404" s="1" t="s">
        <v>405</v>
      </c>
      <c r="BE1404" s="1">
        <v>1700</v>
      </c>
      <c r="BF1404" s="1">
        <v>1</v>
      </c>
      <c r="BG1404" s="1">
        <v>0</v>
      </c>
      <c r="BL1404" s="1">
        <v>188</v>
      </c>
      <c r="BM1404" s="1" t="s">
        <v>204</v>
      </c>
      <c r="BN1404" s="1" t="s">
        <v>213</v>
      </c>
      <c r="BO1404" s="1">
        <v>999</v>
      </c>
      <c r="BP1404" s="1" t="s">
        <v>204</v>
      </c>
      <c r="BR1404" s="1" t="str">
        <f>"06294080061055"</f>
        <v>06294080061055</v>
      </c>
      <c r="BT1404" s="1" t="s">
        <v>13931</v>
      </c>
      <c r="BX1404" s="1">
        <v>46</v>
      </c>
      <c r="BY1404" s="1">
        <v>46</v>
      </c>
      <c r="BZ1404" s="1">
        <v>46</v>
      </c>
      <c r="CB1404" s="1" t="str">
        <f>"9"</f>
        <v>9</v>
      </c>
      <c r="CC1404" s="1" t="str">
        <f>"0"</f>
        <v>0</v>
      </c>
      <c r="CD1404" s="1">
        <v>30</v>
      </c>
      <c r="CE1404" s="1">
        <v>0</v>
      </c>
      <c r="CG1404" s="1" t="s">
        <v>861</v>
      </c>
      <c r="CH1404" s="1" t="s">
        <v>219</v>
      </c>
      <c r="CI1404" s="1" t="s">
        <v>229</v>
      </c>
      <c r="CK1404" s="1" t="s">
        <v>538</v>
      </c>
      <c r="CL1404" s="1" t="s">
        <v>277</v>
      </c>
      <c r="CM1404" s="1" t="s">
        <v>220</v>
      </c>
      <c r="CO1404" s="1" t="s">
        <v>489</v>
      </c>
      <c r="CP1404" s="1" t="s">
        <v>219</v>
      </c>
      <c r="CQ1404" s="1" t="s">
        <v>229</v>
      </c>
      <c r="CS1404" s="1" t="s">
        <v>1046</v>
      </c>
      <c r="CT1404" s="1" t="s">
        <v>277</v>
      </c>
      <c r="CU1404" s="1" t="s">
        <v>220</v>
      </c>
      <c r="CX1404" s="1" t="s">
        <v>224</v>
      </c>
      <c r="DB1404" s="1" t="s">
        <v>224</v>
      </c>
      <c r="DE1404" s="1" t="s">
        <v>2231</v>
      </c>
      <c r="DF1404" s="1" t="s">
        <v>219</v>
      </c>
      <c r="DG1404" s="1" t="s">
        <v>229</v>
      </c>
      <c r="DJ1404" s="1" t="s">
        <v>224</v>
      </c>
      <c r="DM1404" s="1" t="s">
        <v>464</v>
      </c>
      <c r="DN1404" s="1" t="s">
        <v>709</v>
      </c>
      <c r="DS1404" s="1" t="s">
        <v>230</v>
      </c>
      <c r="DV1404" s="1" t="s">
        <v>2968</v>
      </c>
      <c r="DW1404" s="1" t="s">
        <v>277</v>
      </c>
      <c r="EA1404" s="1" t="s">
        <v>230</v>
      </c>
      <c r="EE1404" s="1" t="s">
        <v>230</v>
      </c>
      <c r="EI1404" s="1" t="s">
        <v>230</v>
      </c>
      <c r="EL1404" s="1" t="s">
        <v>670</v>
      </c>
      <c r="EM1404" s="1" t="s">
        <v>232</v>
      </c>
      <c r="EN1404" s="1" t="s">
        <v>282</v>
      </c>
      <c r="EO1404" s="1" t="s">
        <v>234</v>
      </c>
      <c r="EQ1404" s="1" t="s">
        <v>492</v>
      </c>
      <c r="ER1404" s="1" t="s">
        <v>383</v>
      </c>
      <c r="ES1404" s="1" t="s">
        <v>1552</v>
      </c>
      <c r="ET1404" s="1" t="s">
        <v>842</v>
      </c>
      <c r="EV1404" s="1" t="s">
        <v>352</v>
      </c>
      <c r="EW1404" s="1" t="s">
        <v>3851</v>
      </c>
      <c r="EY1404" s="1" t="s">
        <v>242</v>
      </c>
      <c r="EZ1404" s="1" t="s">
        <v>2549</v>
      </c>
      <c r="FA1404" s="1" t="s">
        <v>4742</v>
      </c>
      <c r="FC1404" s="1" t="s">
        <v>1405</v>
      </c>
      <c r="FD1404" s="1" t="s">
        <v>246</v>
      </c>
      <c r="FE1404" s="1" t="s">
        <v>1031</v>
      </c>
      <c r="FF1404" s="1" t="s">
        <v>248</v>
      </c>
      <c r="FH1404" s="1" t="s">
        <v>550</v>
      </c>
      <c r="FI1404" s="1" t="s">
        <v>473</v>
      </c>
      <c r="FJ1404" s="1" t="s">
        <v>518</v>
      </c>
      <c r="FL1404" s="1" t="s">
        <v>358</v>
      </c>
      <c r="FM1404" s="1" t="s">
        <v>252</v>
      </c>
      <c r="FN1404" s="1" t="s">
        <v>213</v>
      </c>
      <c r="FO1404" s="1" t="s">
        <v>213</v>
      </c>
      <c r="FQ1404" s="1" t="s">
        <v>3545</v>
      </c>
      <c r="FR1404" s="1" t="s">
        <v>210</v>
      </c>
      <c r="FS1404" s="1" t="s">
        <v>13932</v>
      </c>
      <c r="FT1404" s="1" t="s">
        <v>13933</v>
      </c>
      <c r="FU1404" s="1" t="s">
        <v>204</v>
      </c>
      <c r="FW1404" s="1" t="s">
        <v>1097</v>
      </c>
      <c r="FX1404" s="1">
        <v>5338</v>
      </c>
      <c r="FY1404" s="1" t="s">
        <v>13934</v>
      </c>
      <c r="FZ1404" s="1" t="s">
        <v>13935</v>
      </c>
      <c r="GA1404" s="1">
        <v>55689</v>
      </c>
      <c r="GB1404" s="1" t="s">
        <v>13936</v>
      </c>
      <c r="GE1404" s="1" t="s">
        <v>1333</v>
      </c>
      <c r="GI1404" s="1" t="s">
        <v>213</v>
      </c>
      <c r="GJ1404" s="1" t="s">
        <v>260</v>
      </c>
      <c r="GK1404" s="1" t="s">
        <v>261</v>
      </c>
      <c r="GL1404" s="2">
        <v>42031</v>
      </c>
    </row>
    <row r="1405" spans="1:195">
      <c r="A1405" s="1">
        <v>105000</v>
      </c>
      <c r="B1405" s="1" t="s">
        <v>195</v>
      </c>
      <c r="C1405" s="1" t="str">
        <f>"08672945"</f>
        <v>08672945</v>
      </c>
      <c r="D1405" s="1" t="s">
        <v>196</v>
      </c>
      <c r="F1405" s="1" t="str">
        <f>"2"</f>
        <v>2</v>
      </c>
      <c r="G1405" s="2">
        <v>41835</v>
      </c>
      <c r="H1405" s="1">
        <v>119900</v>
      </c>
      <c r="I1405" s="1">
        <v>112000</v>
      </c>
      <c r="J1405" s="1">
        <v>105000</v>
      </c>
      <c r="K1405" s="2">
        <v>41835</v>
      </c>
      <c r="L1405" s="1">
        <v>91</v>
      </c>
      <c r="M1405" s="2">
        <v>41925</v>
      </c>
      <c r="N1405" s="1">
        <v>91</v>
      </c>
      <c r="O1405" s="2">
        <v>41925</v>
      </c>
      <c r="P1405" s="1">
        <v>2648</v>
      </c>
      <c r="Q1405" s="1" t="s">
        <v>197</v>
      </c>
      <c r="R1405" s="2">
        <v>42024</v>
      </c>
      <c r="S1405" s="1">
        <v>18093</v>
      </c>
      <c r="U1405" s="1">
        <v>287</v>
      </c>
      <c r="V1405" s="1" t="s">
        <v>13937</v>
      </c>
      <c r="W1405" s="1" t="s">
        <v>304</v>
      </c>
      <c r="Y1405" s="1">
        <v>5</v>
      </c>
      <c r="Z1405" s="1" t="s">
        <v>370</v>
      </c>
      <c r="AA1405" s="1" t="s">
        <v>5713</v>
      </c>
      <c r="AB1405" s="1">
        <v>60002</v>
      </c>
      <c r="AD1405" s="1" t="s">
        <v>13938</v>
      </c>
      <c r="AE1405" s="1" t="s">
        <v>13939</v>
      </c>
      <c r="AF1405" s="1">
        <v>2003</v>
      </c>
      <c r="AG1405" s="1" t="s">
        <v>204</v>
      </c>
      <c r="AH1405" s="1" t="s">
        <v>596</v>
      </c>
      <c r="AI1405" s="1" t="s">
        <v>509</v>
      </c>
      <c r="AJ1405" s="1" t="s">
        <v>596</v>
      </c>
      <c r="AL1405" s="1">
        <v>6</v>
      </c>
      <c r="AM1405" s="1">
        <v>2</v>
      </c>
      <c r="AN1405" s="1">
        <v>1</v>
      </c>
      <c r="AO1405" s="1">
        <v>1</v>
      </c>
      <c r="AP1405" s="1" t="s">
        <v>667</v>
      </c>
      <c r="AR1405" s="1" t="s">
        <v>210</v>
      </c>
      <c r="AS1405" s="1" t="s">
        <v>204</v>
      </c>
      <c r="AT1405" s="1" t="s">
        <v>211</v>
      </c>
      <c r="AU1405" s="1">
        <v>1</v>
      </c>
      <c r="AW1405" s="1" t="s">
        <v>204</v>
      </c>
      <c r="AX1405" s="1" t="s">
        <v>212</v>
      </c>
      <c r="AZ1405" s="1">
        <v>3008</v>
      </c>
      <c r="BA1405" s="1">
        <v>2013</v>
      </c>
      <c r="BE1405" s="1">
        <v>1320</v>
      </c>
      <c r="BF1405" s="1">
        <v>1</v>
      </c>
      <c r="BG1405" s="1">
        <v>0</v>
      </c>
      <c r="BL1405" s="1">
        <v>105</v>
      </c>
      <c r="BM1405" s="1" t="s">
        <v>204</v>
      </c>
      <c r="BN1405" s="1" t="s">
        <v>213</v>
      </c>
      <c r="BO1405" s="1">
        <v>999</v>
      </c>
      <c r="BP1405" s="1" t="s">
        <v>204</v>
      </c>
      <c r="BR1405" s="1" t="str">
        <f>"02081041050000"</f>
        <v>02081041050000</v>
      </c>
      <c r="BT1405" s="1" t="s">
        <v>13940</v>
      </c>
      <c r="BU1405" s="1" t="s">
        <v>13117</v>
      </c>
      <c r="BV1405" s="1" t="s">
        <v>6892</v>
      </c>
      <c r="BW1405" s="1" t="s">
        <v>13118</v>
      </c>
      <c r="BX1405" s="1">
        <v>34</v>
      </c>
      <c r="BY1405" s="1">
        <v>34</v>
      </c>
      <c r="BZ1405" s="1">
        <v>117</v>
      </c>
      <c r="CB1405" s="1" t="str">
        <f t="shared" ref="CB1405:CC1405" si="1071">""</f>
        <v/>
      </c>
      <c r="CC1405" s="1" t="str">
        <f t="shared" si="1071"/>
        <v/>
      </c>
      <c r="CG1405" s="1" t="s">
        <v>278</v>
      </c>
      <c r="CH1405" s="1" t="s">
        <v>277</v>
      </c>
      <c r="CI1405" s="1" t="s">
        <v>438</v>
      </c>
      <c r="CK1405" s="1" t="s">
        <v>1045</v>
      </c>
      <c r="CL1405" s="1" t="s">
        <v>784</v>
      </c>
      <c r="CM1405" s="1" t="s">
        <v>220</v>
      </c>
      <c r="CO1405" s="1" t="s">
        <v>821</v>
      </c>
      <c r="CP1405" s="1" t="s">
        <v>277</v>
      </c>
      <c r="CQ1405" s="1" t="s">
        <v>438</v>
      </c>
      <c r="CS1405" s="1" t="s">
        <v>379</v>
      </c>
      <c r="CT1405" s="1" t="s">
        <v>784</v>
      </c>
      <c r="CU1405" s="1" t="s">
        <v>220</v>
      </c>
      <c r="CX1405" s="1" t="s">
        <v>224</v>
      </c>
      <c r="DB1405" s="1" t="s">
        <v>224</v>
      </c>
      <c r="DE1405" s="1" t="s">
        <v>465</v>
      </c>
      <c r="DF1405" s="1" t="s">
        <v>277</v>
      </c>
      <c r="DG1405" s="1" t="s">
        <v>438</v>
      </c>
      <c r="DJ1405" s="1" t="s">
        <v>224</v>
      </c>
      <c r="DM1405" s="1" t="s">
        <v>1005</v>
      </c>
      <c r="DR1405" s="1" t="s">
        <v>1854</v>
      </c>
      <c r="DS1405" s="1" t="s">
        <v>219</v>
      </c>
      <c r="DT1405" s="1" t="s">
        <v>226</v>
      </c>
      <c r="DW1405" s="1" t="s">
        <v>230</v>
      </c>
      <c r="EA1405" s="1" t="s">
        <v>230</v>
      </c>
      <c r="EE1405" s="1" t="s">
        <v>230</v>
      </c>
      <c r="EI1405" s="1" t="s">
        <v>230</v>
      </c>
      <c r="EL1405" s="1" t="s">
        <v>466</v>
      </c>
      <c r="EM1405" s="1" t="s">
        <v>319</v>
      </c>
      <c r="EN1405" s="1" t="s">
        <v>282</v>
      </c>
      <c r="EO1405" s="1" t="s">
        <v>234</v>
      </c>
      <c r="EQ1405" s="1" t="s">
        <v>468</v>
      </c>
      <c r="ER1405" s="1" t="s">
        <v>383</v>
      </c>
      <c r="ES1405" s="1" t="s">
        <v>493</v>
      </c>
      <c r="ET1405" s="1" t="s">
        <v>842</v>
      </c>
      <c r="EU1405" s="1" t="s">
        <v>5043</v>
      </c>
      <c r="EV1405" s="1" t="s">
        <v>240</v>
      </c>
      <c r="EW1405" s="1" t="s">
        <v>353</v>
      </c>
      <c r="EZ1405" s="1" t="s">
        <v>1005</v>
      </c>
      <c r="FA1405" s="1" t="s">
        <v>471</v>
      </c>
      <c r="FD1405" s="1" t="s">
        <v>246</v>
      </c>
      <c r="FE1405" s="1" t="s">
        <v>247</v>
      </c>
      <c r="FF1405" s="1" t="s">
        <v>248</v>
      </c>
      <c r="FH1405" s="1" t="s">
        <v>1428</v>
      </c>
      <c r="FI1405" s="1" t="s">
        <v>473</v>
      </c>
      <c r="FL1405" s="1" t="s">
        <v>358</v>
      </c>
      <c r="FM1405" s="1" t="s">
        <v>252</v>
      </c>
      <c r="FN1405" s="1" t="s">
        <v>213</v>
      </c>
      <c r="FO1405" s="1" t="s">
        <v>213</v>
      </c>
      <c r="FQ1405" s="1" t="s">
        <v>293</v>
      </c>
      <c r="FR1405" s="1" t="s">
        <v>360</v>
      </c>
      <c r="FS1405" s="1" t="s">
        <v>13941</v>
      </c>
      <c r="FT1405" s="1" t="s">
        <v>295</v>
      </c>
      <c r="FU1405" s="1" t="s">
        <v>204</v>
      </c>
      <c r="FW1405" s="1" t="s">
        <v>2006</v>
      </c>
      <c r="FX1405" s="1">
        <v>25752</v>
      </c>
      <c r="FY1405" s="1" t="s">
        <v>4745</v>
      </c>
      <c r="FZ1405" s="1" t="s">
        <v>13942</v>
      </c>
      <c r="GA1405" s="1">
        <v>240337</v>
      </c>
      <c r="GB1405" s="1" t="s">
        <v>13943</v>
      </c>
      <c r="GE1405" s="1" t="s">
        <v>1333</v>
      </c>
      <c r="GI1405" s="1" t="s">
        <v>213</v>
      </c>
      <c r="GJ1405" s="1" t="s">
        <v>260</v>
      </c>
      <c r="GK1405" s="1" t="s">
        <v>210</v>
      </c>
      <c r="GL1405" s="2">
        <v>42024</v>
      </c>
      <c r="GM1405" s="1" t="s">
        <v>13944</v>
      </c>
    </row>
    <row r="1406" spans="1:195">
      <c r="A1406" s="1">
        <v>165000</v>
      </c>
      <c r="B1406" s="1" t="s">
        <v>195</v>
      </c>
      <c r="C1406" s="1" t="str">
        <f>"08676019"</f>
        <v>08676019</v>
      </c>
      <c r="D1406" s="1" t="s">
        <v>196</v>
      </c>
      <c r="F1406" s="1" t="str">
        <f>"554"</f>
        <v>554</v>
      </c>
      <c r="G1406" s="2">
        <v>41837</v>
      </c>
      <c r="H1406" s="1">
        <v>174500</v>
      </c>
      <c r="I1406" s="1">
        <v>169500</v>
      </c>
      <c r="J1406" s="1">
        <v>165000</v>
      </c>
      <c r="K1406" s="2">
        <v>41837</v>
      </c>
      <c r="L1406" s="1">
        <v>140</v>
      </c>
      <c r="M1406" s="2">
        <v>41976</v>
      </c>
      <c r="N1406" s="1">
        <v>140</v>
      </c>
      <c r="O1406" s="2">
        <v>41976</v>
      </c>
      <c r="P1406" s="1">
        <v>31380</v>
      </c>
      <c r="Q1406" s="1" t="s">
        <v>197</v>
      </c>
      <c r="R1406" s="2">
        <v>42003</v>
      </c>
      <c r="S1406" s="1">
        <v>313811</v>
      </c>
      <c r="U1406" s="1">
        <v>178</v>
      </c>
      <c r="V1406" s="1" t="s">
        <v>13945</v>
      </c>
      <c r="W1406" s="1" t="s">
        <v>264</v>
      </c>
      <c r="X1406" s="1" t="s">
        <v>1688</v>
      </c>
      <c r="Y1406" s="1">
        <v>2</v>
      </c>
      <c r="Z1406" s="1" t="s">
        <v>370</v>
      </c>
      <c r="AA1406" s="1" t="s">
        <v>3443</v>
      </c>
      <c r="AB1406" s="1">
        <v>60554</v>
      </c>
      <c r="AE1406" s="1" t="s">
        <v>13946</v>
      </c>
      <c r="AF1406" s="1">
        <v>2002</v>
      </c>
      <c r="AG1406" s="1" t="s">
        <v>204</v>
      </c>
      <c r="AH1406" s="1" t="s">
        <v>3240</v>
      </c>
      <c r="AI1406" s="1" t="s">
        <v>665</v>
      </c>
      <c r="AJ1406" s="1" t="s">
        <v>3240</v>
      </c>
      <c r="AL1406" s="1">
        <v>7</v>
      </c>
      <c r="AM1406" s="1">
        <v>2</v>
      </c>
      <c r="AN1406" s="1">
        <v>2</v>
      </c>
      <c r="AO1406" s="1">
        <v>1</v>
      </c>
      <c r="AP1406" s="1" t="s">
        <v>209</v>
      </c>
      <c r="AR1406" s="1" t="s">
        <v>210</v>
      </c>
      <c r="AS1406" s="1" t="s">
        <v>204</v>
      </c>
      <c r="AT1406" s="1" t="s">
        <v>211</v>
      </c>
      <c r="AU1406" s="1">
        <v>2</v>
      </c>
      <c r="AW1406" s="1" t="s">
        <v>204</v>
      </c>
      <c r="AX1406" s="1">
        <v>0</v>
      </c>
      <c r="AZ1406" s="5">
        <v>4801.16</v>
      </c>
      <c r="BA1406" s="1">
        <v>2013</v>
      </c>
      <c r="BB1406" s="1" t="s">
        <v>405</v>
      </c>
      <c r="BE1406" s="1">
        <v>1697</v>
      </c>
      <c r="BF1406" s="1">
        <v>1</v>
      </c>
      <c r="BG1406" s="1">
        <v>0</v>
      </c>
      <c r="BL1406" s="1">
        <v>145</v>
      </c>
      <c r="BM1406" s="1" t="s">
        <v>204</v>
      </c>
      <c r="BN1406" s="1" t="s">
        <v>213</v>
      </c>
      <c r="BO1406" s="1">
        <v>999</v>
      </c>
      <c r="BP1406" s="1" t="s">
        <v>204</v>
      </c>
      <c r="BR1406" s="1" t="str">
        <f>"1416277011"</f>
        <v>1416277011</v>
      </c>
      <c r="BT1406" s="1" t="s">
        <v>13947</v>
      </c>
      <c r="BX1406" s="1">
        <v>302</v>
      </c>
      <c r="BY1406" s="1">
        <v>302</v>
      </c>
      <c r="BZ1406" s="1">
        <v>302</v>
      </c>
      <c r="CB1406" s="1" t="str">
        <f t="shared" ref="CB1406:CC1406" si="1072">""</f>
        <v/>
      </c>
      <c r="CC1406" s="1" t="str">
        <f t="shared" si="1072"/>
        <v/>
      </c>
      <c r="CG1406" s="1" t="s">
        <v>861</v>
      </c>
      <c r="CH1406" s="1" t="s">
        <v>219</v>
      </c>
      <c r="CI1406" s="1" t="s">
        <v>438</v>
      </c>
      <c r="CK1406" s="1" t="s">
        <v>221</v>
      </c>
      <c r="CL1406" s="1" t="s">
        <v>277</v>
      </c>
      <c r="CM1406" s="1" t="s">
        <v>438</v>
      </c>
      <c r="CP1406" s="1" t="s">
        <v>224</v>
      </c>
      <c r="CS1406" s="1" t="s">
        <v>378</v>
      </c>
      <c r="CT1406" s="1" t="s">
        <v>277</v>
      </c>
      <c r="CU1406" s="1" t="s">
        <v>438</v>
      </c>
      <c r="CX1406" s="1" t="s">
        <v>224</v>
      </c>
      <c r="DB1406" s="1" t="s">
        <v>224</v>
      </c>
      <c r="DE1406" s="1" t="s">
        <v>461</v>
      </c>
      <c r="DF1406" s="1" t="s">
        <v>219</v>
      </c>
      <c r="DG1406" s="1" t="s">
        <v>226</v>
      </c>
      <c r="DJ1406" s="1" t="s">
        <v>224</v>
      </c>
      <c r="DM1406" s="1" t="s">
        <v>381</v>
      </c>
      <c r="DN1406" s="1" t="s">
        <v>227</v>
      </c>
      <c r="DO1406" s="1" t="s">
        <v>464</v>
      </c>
      <c r="DR1406" s="1" t="s">
        <v>2123</v>
      </c>
      <c r="DS1406" s="1" t="s">
        <v>219</v>
      </c>
      <c r="DT1406" s="1" t="s">
        <v>226</v>
      </c>
      <c r="DV1406" s="1" t="s">
        <v>785</v>
      </c>
      <c r="DW1406" s="1" t="s">
        <v>277</v>
      </c>
      <c r="DX1406" s="1" t="s">
        <v>438</v>
      </c>
      <c r="DZ1406" s="1" t="s">
        <v>972</v>
      </c>
      <c r="EA1406" s="1" t="s">
        <v>277</v>
      </c>
      <c r="EB1406" s="1" t="s">
        <v>438</v>
      </c>
      <c r="EE1406" s="1" t="s">
        <v>230</v>
      </c>
      <c r="EI1406" s="1" t="s">
        <v>230</v>
      </c>
      <c r="EL1406" s="1" t="s">
        <v>466</v>
      </c>
      <c r="EM1406" s="1" t="s">
        <v>319</v>
      </c>
      <c r="EN1406" s="1" t="s">
        <v>282</v>
      </c>
      <c r="EO1406" s="1" t="s">
        <v>234</v>
      </c>
      <c r="EQ1406" s="1" t="s">
        <v>236</v>
      </c>
      <c r="ER1406" s="1" t="s">
        <v>210</v>
      </c>
      <c r="ES1406" s="1" t="s">
        <v>824</v>
      </c>
      <c r="EW1406" s="1" t="s">
        <v>3471</v>
      </c>
      <c r="EZ1406" s="1" t="s">
        <v>8887</v>
      </c>
      <c r="FA1406" s="1" t="s">
        <v>1072</v>
      </c>
      <c r="FD1406" s="1" t="s">
        <v>246</v>
      </c>
      <c r="FE1406" s="1" t="s">
        <v>355</v>
      </c>
      <c r="FF1406" s="1" t="s">
        <v>248</v>
      </c>
      <c r="FH1406" s="1" t="s">
        <v>550</v>
      </c>
      <c r="FI1406" s="1" t="s">
        <v>473</v>
      </c>
      <c r="FJ1406" s="1" t="s">
        <v>518</v>
      </c>
      <c r="FL1406" s="1" t="s">
        <v>358</v>
      </c>
      <c r="FM1406" s="1" t="s">
        <v>252</v>
      </c>
      <c r="FN1406" s="1" t="s">
        <v>213</v>
      </c>
      <c r="FO1406" s="1" t="s">
        <v>213</v>
      </c>
      <c r="FQ1406" s="1" t="s">
        <v>13948</v>
      </c>
      <c r="FR1406" s="1" t="s">
        <v>210</v>
      </c>
      <c r="FS1406" s="1" t="s">
        <v>13949</v>
      </c>
      <c r="FT1406" s="1" t="s">
        <v>295</v>
      </c>
      <c r="FU1406" s="1" t="s">
        <v>204</v>
      </c>
      <c r="FW1406" s="1" t="s">
        <v>13950</v>
      </c>
      <c r="FX1406" s="1">
        <v>209</v>
      </c>
      <c r="FY1406" s="1" t="s">
        <v>13951</v>
      </c>
      <c r="FZ1406" s="1" t="s">
        <v>13952</v>
      </c>
      <c r="GA1406" s="1">
        <v>29</v>
      </c>
      <c r="GB1406" s="1" t="s">
        <v>13953</v>
      </c>
      <c r="GE1406" s="1" t="s">
        <v>480</v>
      </c>
      <c r="GI1406" s="1" t="s">
        <v>213</v>
      </c>
      <c r="GJ1406" s="1" t="s">
        <v>260</v>
      </c>
      <c r="GK1406" s="1" t="s">
        <v>210</v>
      </c>
      <c r="GL1406" s="2">
        <v>42006</v>
      </c>
      <c r="GM1406" s="1" t="s">
        <v>13954</v>
      </c>
    </row>
    <row r="1407" spans="1:195">
      <c r="A1407" s="1">
        <v>163000</v>
      </c>
      <c r="B1407" s="1" t="s">
        <v>195</v>
      </c>
      <c r="C1407" s="1" t="str">
        <f>"08674710"</f>
        <v>08674710</v>
      </c>
      <c r="D1407" s="1" t="s">
        <v>196</v>
      </c>
      <c r="F1407" s="1" t="str">
        <f>"177"</f>
        <v>177</v>
      </c>
      <c r="G1407" s="2">
        <v>41836</v>
      </c>
      <c r="H1407" s="1">
        <v>161000</v>
      </c>
      <c r="I1407" s="1">
        <v>166500</v>
      </c>
      <c r="J1407" s="1">
        <v>163000</v>
      </c>
      <c r="K1407" s="2">
        <v>41836</v>
      </c>
      <c r="L1407" s="1">
        <v>150</v>
      </c>
      <c r="M1407" s="2">
        <v>41985</v>
      </c>
      <c r="N1407" s="1">
        <v>150</v>
      </c>
      <c r="O1407" s="2">
        <v>41985</v>
      </c>
      <c r="P1407" s="1">
        <v>30</v>
      </c>
      <c r="Q1407" s="1" t="s">
        <v>423</v>
      </c>
      <c r="R1407" s="2">
        <v>42041</v>
      </c>
      <c r="S1407" s="1">
        <v>710</v>
      </c>
      <c r="T1407" s="1">
        <v>3000</v>
      </c>
      <c r="U1407" s="1">
        <v>1452</v>
      </c>
      <c r="V1407" s="1" t="s">
        <v>13955</v>
      </c>
      <c r="W1407" s="1" t="s">
        <v>504</v>
      </c>
      <c r="Y1407" s="1">
        <v>2</v>
      </c>
      <c r="Z1407" s="1" t="s">
        <v>200</v>
      </c>
      <c r="AA1407" s="1" t="s">
        <v>1461</v>
      </c>
      <c r="AB1407" s="1">
        <v>60177</v>
      </c>
      <c r="AD1407" s="1" t="s">
        <v>13956</v>
      </c>
      <c r="AE1407" s="1" t="s">
        <v>13957</v>
      </c>
      <c r="AF1407" s="1">
        <v>1992</v>
      </c>
      <c r="AG1407" s="1" t="s">
        <v>204</v>
      </c>
      <c r="AH1407" s="1" t="s">
        <v>1464</v>
      </c>
      <c r="AI1407" s="1" t="s">
        <v>665</v>
      </c>
      <c r="AJ1407" s="1" t="s">
        <v>1175</v>
      </c>
      <c r="AK1407" s="1" t="s">
        <v>13958</v>
      </c>
      <c r="AL1407" s="1">
        <v>6</v>
      </c>
      <c r="AM1407" s="1">
        <v>2</v>
      </c>
      <c r="AN1407" s="1">
        <v>1</v>
      </c>
      <c r="AO1407" s="1">
        <v>1</v>
      </c>
      <c r="AP1407" s="1" t="s">
        <v>667</v>
      </c>
      <c r="AQ1407" s="1">
        <v>1</v>
      </c>
      <c r="AR1407" s="1" t="s">
        <v>209</v>
      </c>
      <c r="AS1407" s="1" t="s">
        <v>204</v>
      </c>
      <c r="AT1407" s="1" t="s">
        <v>211</v>
      </c>
      <c r="AU1407" s="1">
        <v>2</v>
      </c>
      <c r="AW1407" s="1" t="s">
        <v>204</v>
      </c>
      <c r="AX1407" s="1" t="s">
        <v>13959</v>
      </c>
      <c r="AZ1407" s="1">
        <v>3397</v>
      </c>
      <c r="BA1407" s="1">
        <v>2013</v>
      </c>
      <c r="BB1407" s="1" t="s">
        <v>405</v>
      </c>
      <c r="BE1407" s="1">
        <v>1200</v>
      </c>
      <c r="BF1407" s="1">
        <v>1</v>
      </c>
      <c r="BG1407" s="1">
        <v>0</v>
      </c>
      <c r="BL1407" s="1">
        <v>0</v>
      </c>
      <c r="BM1407" s="1" t="s">
        <v>204</v>
      </c>
      <c r="BN1407" s="1" t="s">
        <v>213</v>
      </c>
      <c r="BO1407" s="1">
        <v>999</v>
      </c>
      <c r="BP1407" s="1" t="s">
        <v>204</v>
      </c>
      <c r="BR1407" s="1" t="str">
        <f>"0633277045"</f>
        <v>0633277045</v>
      </c>
      <c r="BT1407" s="1" t="s">
        <v>13960</v>
      </c>
      <c r="BU1407" s="1" t="s">
        <v>6003</v>
      </c>
      <c r="BV1407" s="1" t="s">
        <v>1467</v>
      </c>
      <c r="BW1407" s="1" t="s">
        <v>1468</v>
      </c>
      <c r="BX1407" s="1">
        <v>46</v>
      </c>
      <c r="BY1407" s="1">
        <v>46</v>
      </c>
      <c r="BZ1407" s="1">
        <v>46</v>
      </c>
      <c r="CB1407" s="1" t="str">
        <f>"8"</f>
        <v>8</v>
      </c>
      <c r="CC1407" s="1" t="str">
        <f>"0"</f>
        <v>0</v>
      </c>
      <c r="CD1407" s="1">
        <v>36</v>
      </c>
      <c r="CE1407" s="1">
        <v>0</v>
      </c>
      <c r="CG1407" s="1" t="s">
        <v>581</v>
      </c>
      <c r="CH1407" s="1" t="s">
        <v>219</v>
      </c>
      <c r="CI1407" s="1" t="s">
        <v>229</v>
      </c>
      <c r="CJ1407" s="1" t="s">
        <v>252</v>
      </c>
      <c r="CK1407" s="1" t="s">
        <v>932</v>
      </c>
      <c r="CL1407" s="1" t="s">
        <v>277</v>
      </c>
      <c r="CM1407" s="1" t="s">
        <v>220</v>
      </c>
      <c r="CN1407" s="1" t="s">
        <v>252</v>
      </c>
      <c r="CP1407" s="1" t="s">
        <v>224</v>
      </c>
      <c r="CS1407" s="1" t="s">
        <v>1297</v>
      </c>
      <c r="CT1407" s="1" t="s">
        <v>277</v>
      </c>
      <c r="CU1407" s="1" t="s">
        <v>220</v>
      </c>
      <c r="CV1407" s="1" t="s">
        <v>252</v>
      </c>
      <c r="CX1407" s="1" t="s">
        <v>224</v>
      </c>
      <c r="DB1407" s="1" t="s">
        <v>224</v>
      </c>
      <c r="DE1407" s="1" t="s">
        <v>837</v>
      </c>
      <c r="DF1407" s="1" t="s">
        <v>219</v>
      </c>
      <c r="DG1407" s="1" t="s">
        <v>229</v>
      </c>
      <c r="DH1407" s="1" t="s">
        <v>252</v>
      </c>
      <c r="DI1407" s="1" t="s">
        <v>581</v>
      </c>
      <c r="DJ1407" s="1" t="s">
        <v>43</v>
      </c>
      <c r="DK1407" s="1" t="s">
        <v>226</v>
      </c>
      <c r="DL1407" s="1" t="s">
        <v>252</v>
      </c>
      <c r="DM1407" s="1" t="s">
        <v>381</v>
      </c>
      <c r="DR1407" s="1" t="s">
        <v>516</v>
      </c>
      <c r="DS1407" s="1" t="s">
        <v>219</v>
      </c>
      <c r="DT1407" s="1" t="s">
        <v>229</v>
      </c>
      <c r="DW1407" s="1" t="s">
        <v>230</v>
      </c>
      <c r="EA1407" s="1" t="s">
        <v>230</v>
      </c>
      <c r="EE1407" s="1" t="s">
        <v>230</v>
      </c>
      <c r="EI1407" s="1" t="s">
        <v>230</v>
      </c>
      <c r="EL1407" s="1" t="s">
        <v>382</v>
      </c>
      <c r="EM1407" s="1" t="s">
        <v>319</v>
      </c>
      <c r="EN1407" s="1" t="s">
        <v>282</v>
      </c>
      <c r="EO1407" s="1" t="s">
        <v>234</v>
      </c>
      <c r="EP1407" s="1" t="s">
        <v>10234</v>
      </c>
      <c r="EQ1407" s="1" t="s">
        <v>607</v>
      </c>
      <c r="ER1407" s="1" t="s">
        <v>544</v>
      </c>
      <c r="ES1407" s="1" t="s">
        <v>322</v>
      </c>
      <c r="EU1407" s="1" t="s">
        <v>610</v>
      </c>
      <c r="EW1407" s="1" t="s">
        <v>210</v>
      </c>
      <c r="EY1407" s="1" t="s">
        <v>242</v>
      </c>
      <c r="EZ1407" s="1" t="s">
        <v>381</v>
      </c>
      <c r="FC1407" s="1" t="s">
        <v>1362</v>
      </c>
      <c r="FD1407" s="1" t="s">
        <v>246</v>
      </c>
      <c r="FE1407" s="1" t="s">
        <v>472</v>
      </c>
      <c r="FF1407" s="1" t="s">
        <v>248</v>
      </c>
      <c r="FG1407" s="1" t="s">
        <v>1682</v>
      </c>
      <c r="FH1407" s="1" t="s">
        <v>442</v>
      </c>
      <c r="FI1407" s="1" t="s">
        <v>357</v>
      </c>
      <c r="FL1407" s="1" t="s">
        <v>358</v>
      </c>
      <c r="FM1407" s="1" t="s">
        <v>252</v>
      </c>
      <c r="FN1407" s="1" t="s">
        <v>213</v>
      </c>
      <c r="FO1407" s="1" t="s">
        <v>213</v>
      </c>
      <c r="FQ1407" s="1" t="s">
        <v>1473</v>
      </c>
      <c r="FR1407" s="1" t="s">
        <v>210</v>
      </c>
      <c r="FS1407" s="1" t="s">
        <v>13961</v>
      </c>
      <c r="FT1407" s="1" t="s">
        <v>362</v>
      </c>
      <c r="FU1407" s="1" t="s">
        <v>204</v>
      </c>
      <c r="FW1407" s="1" t="s">
        <v>915</v>
      </c>
      <c r="FX1407" s="1">
        <v>23591</v>
      </c>
      <c r="FY1407" s="1" t="s">
        <v>1710</v>
      </c>
      <c r="FZ1407" s="1" t="s">
        <v>13962</v>
      </c>
      <c r="GA1407" s="1">
        <v>234965</v>
      </c>
      <c r="GB1407" s="1" t="s">
        <v>13963</v>
      </c>
      <c r="GE1407" s="1" t="s">
        <v>480</v>
      </c>
      <c r="GI1407" s="1" t="s">
        <v>204</v>
      </c>
      <c r="GJ1407" s="1" t="s">
        <v>260</v>
      </c>
      <c r="GK1407" s="1" t="s">
        <v>210</v>
      </c>
      <c r="GL1407" s="2">
        <v>42041</v>
      </c>
      <c r="GM1407" s="1" t="s">
        <v>13964</v>
      </c>
    </row>
    <row r="1408" spans="1:195">
      <c r="A1408" s="1">
        <v>94000</v>
      </c>
      <c r="B1408" s="1" t="s">
        <v>195</v>
      </c>
      <c r="C1408" s="1" t="str">
        <f>"08680384"</f>
        <v>08680384</v>
      </c>
      <c r="D1408" s="1" t="s">
        <v>196</v>
      </c>
      <c r="F1408" s="1" t="str">
        <f>"560"</f>
        <v>560</v>
      </c>
      <c r="G1408" s="2">
        <v>41842</v>
      </c>
      <c r="H1408" s="1">
        <v>100000</v>
      </c>
      <c r="I1408" s="1">
        <v>89900</v>
      </c>
      <c r="J1408" s="1">
        <v>94000</v>
      </c>
      <c r="K1408" s="2">
        <v>41842</v>
      </c>
      <c r="L1408" s="1">
        <v>152</v>
      </c>
      <c r="M1408" s="2">
        <v>41993</v>
      </c>
      <c r="N1408" s="1">
        <v>152</v>
      </c>
      <c r="O1408" s="2">
        <v>41993</v>
      </c>
      <c r="P1408" s="1">
        <v>300</v>
      </c>
      <c r="Q1408" s="1" t="s">
        <v>197</v>
      </c>
      <c r="R1408" s="2">
        <v>42069</v>
      </c>
      <c r="S1408" s="1">
        <v>8604</v>
      </c>
      <c r="U1408" s="1">
        <v>1293</v>
      </c>
      <c r="V1408" s="1" t="s">
        <v>13965</v>
      </c>
      <c r="W1408" s="1" t="s">
        <v>504</v>
      </c>
      <c r="X1408" s="1">
        <v>1293</v>
      </c>
      <c r="Y1408" s="1">
        <v>1</v>
      </c>
      <c r="Z1408" s="1" t="s">
        <v>249</v>
      </c>
      <c r="AA1408" s="1" t="s">
        <v>484</v>
      </c>
      <c r="AB1408" s="1">
        <v>60560</v>
      </c>
      <c r="AD1408" s="1" t="s">
        <v>13966</v>
      </c>
      <c r="AE1408" s="1" t="s">
        <v>13967</v>
      </c>
      <c r="AF1408" s="1">
        <v>2001</v>
      </c>
      <c r="AG1408" s="1" t="s">
        <v>204</v>
      </c>
      <c r="AH1408" s="1" t="s">
        <v>487</v>
      </c>
      <c r="AI1408" s="1" t="s">
        <v>453</v>
      </c>
      <c r="AJ1408" s="1" t="s">
        <v>454</v>
      </c>
      <c r="AL1408" s="1">
        <v>5</v>
      </c>
      <c r="AM1408" s="1">
        <v>2</v>
      </c>
      <c r="AN1408" s="1">
        <v>1</v>
      </c>
      <c r="AO1408" s="1">
        <v>1</v>
      </c>
      <c r="AP1408" s="1" t="s">
        <v>667</v>
      </c>
      <c r="AR1408" s="1" t="s">
        <v>1421</v>
      </c>
      <c r="AS1408" s="1" t="s">
        <v>204</v>
      </c>
      <c r="AT1408" s="1" t="s">
        <v>211</v>
      </c>
      <c r="AU1408" s="1">
        <v>2</v>
      </c>
      <c r="AW1408" s="1" t="s">
        <v>204</v>
      </c>
      <c r="AX1408" s="1" t="s">
        <v>212</v>
      </c>
      <c r="AZ1408" s="1">
        <v>2632.12</v>
      </c>
      <c r="BA1408" s="1">
        <v>2012</v>
      </c>
      <c r="BE1408" s="1">
        <v>0</v>
      </c>
      <c r="BF1408" s="1">
        <v>1</v>
      </c>
      <c r="BG1408" s="1">
        <v>10</v>
      </c>
      <c r="BL1408" s="1">
        <v>125</v>
      </c>
      <c r="BM1408" s="1" t="s">
        <v>204</v>
      </c>
      <c r="BN1408" s="1" t="s">
        <v>213</v>
      </c>
      <c r="BO1408" s="1">
        <v>50</v>
      </c>
      <c r="BP1408" s="1" t="s">
        <v>204</v>
      </c>
      <c r="BR1408" s="1" t="str">
        <f>"0230216026"</f>
        <v>0230216026</v>
      </c>
      <c r="BT1408" s="1" t="s">
        <v>13968</v>
      </c>
      <c r="BX1408" s="1">
        <v>115</v>
      </c>
      <c r="BY1408" s="1">
        <v>115</v>
      </c>
      <c r="BZ1408" s="1">
        <v>115</v>
      </c>
      <c r="CB1408" s="1" t="str">
        <f t="shared" ref="CB1408:CC1408" si="1073">"0"</f>
        <v>0</v>
      </c>
      <c r="CC1408" s="1" t="str">
        <f t="shared" si="1073"/>
        <v>0</v>
      </c>
      <c r="CD1408" s="1">
        <v>44</v>
      </c>
      <c r="CE1408" s="1">
        <v>14</v>
      </c>
      <c r="CG1408" s="1" t="s">
        <v>564</v>
      </c>
      <c r="CH1408" s="1" t="s">
        <v>219</v>
      </c>
      <c r="CI1408" s="1" t="s">
        <v>229</v>
      </c>
      <c r="CK1408" s="1" t="s">
        <v>315</v>
      </c>
      <c r="CL1408" s="1" t="s">
        <v>277</v>
      </c>
      <c r="CM1408" s="1" t="s">
        <v>220</v>
      </c>
      <c r="CO1408" s="1" t="s">
        <v>687</v>
      </c>
      <c r="CP1408" s="1" t="s">
        <v>219</v>
      </c>
      <c r="CQ1408" s="1" t="s">
        <v>229</v>
      </c>
      <c r="CS1408" s="1" t="s">
        <v>1046</v>
      </c>
      <c r="CT1408" s="1" t="s">
        <v>277</v>
      </c>
      <c r="CU1408" s="1" t="s">
        <v>220</v>
      </c>
      <c r="CX1408" s="1" t="s">
        <v>224</v>
      </c>
      <c r="DB1408" s="1" t="s">
        <v>224</v>
      </c>
      <c r="DE1408" s="1" t="s">
        <v>11021</v>
      </c>
      <c r="DF1408" s="1" t="s">
        <v>219</v>
      </c>
      <c r="DG1408" s="1" t="s">
        <v>226</v>
      </c>
      <c r="DJ1408" s="1" t="s">
        <v>224</v>
      </c>
      <c r="DS1408" s="1" t="s">
        <v>230</v>
      </c>
      <c r="DW1408" s="1" t="s">
        <v>230</v>
      </c>
      <c r="EA1408" s="1" t="s">
        <v>230</v>
      </c>
      <c r="EE1408" s="1" t="s">
        <v>230</v>
      </c>
      <c r="EI1408" s="1" t="s">
        <v>230</v>
      </c>
      <c r="EL1408" s="1" t="s">
        <v>466</v>
      </c>
      <c r="EM1408" s="1" t="s">
        <v>319</v>
      </c>
      <c r="EN1408" s="1" t="s">
        <v>282</v>
      </c>
      <c r="EO1408" s="1" t="s">
        <v>234</v>
      </c>
      <c r="EQ1408" s="1" t="s">
        <v>953</v>
      </c>
      <c r="ER1408" s="1" t="s">
        <v>544</v>
      </c>
      <c r="ES1408" s="1" t="s">
        <v>322</v>
      </c>
      <c r="EV1408" s="1" t="s">
        <v>324</v>
      </c>
      <c r="EW1408" s="1" t="s">
        <v>353</v>
      </c>
      <c r="EZ1408" s="1" t="s">
        <v>287</v>
      </c>
      <c r="FD1408" s="1" t="s">
        <v>246</v>
      </c>
      <c r="FE1408" s="1" t="s">
        <v>472</v>
      </c>
      <c r="FF1408" s="1" t="s">
        <v>248</v>
      </c>
      <c r="FH1408" s="1" t="s">
        <v>550</v>
      </c>
      <c r="FL1408" s="1" t="s">
        <v>414</v>
      </c>
      <c r="FM1408" s="1" t="s">
        <v>252</v>
      </c>
      <c r="FN1408" s="1" t="s">
        <v>213</v>
      </c>
      <c r="FO1408" s="1" t="s">
        <v>213</v>
      </c>
      <c r="FQ1408" s="1" t="s">
        <v>10639</v>
      </c>
      <c r="FR1408" s="1" t="s">
        <v>360</v>
      </c>
      <c r="FS1408" s="1" t="s">
        <v>13969</v>
      </c>
      <c r="FT1408" s="1" t="s">
        <v>255</v>
      </c>
      <c r="FU1408" s="1" t="s">
        <v>204</v>
      </c>
      <c r="FW1408" s="1" t="s">
        <v>13970</v>
      </c>
      <c r="FX1408" s="1">
        <v>25673</v>
      </c>
      <c r="FY1408" s="1" t="s">
        <v>13971</v>
      </c>
      <c r="FZ1408" s="1" t="s">
        <v>13972</v>
      </c>
      <c r="GA1408" s="1">
        <v>229005</v>
      </c>
      <c r="GB1408" s="1" t="s">
        <v>13971</v>
      </c>
      <c r="GE1408" s="1" t="s">
        <v>210</v>
      </c>
      <c r="GI1408" s="1" t="s">
        <v>213</v>
      </c>
      <c r="GJ1408" s="1" t="s">
        <v>260</v>
      </c>
      <c r="GK1408" s="1" t="s">
        <v>210</v>
      </c>
      <c r="GL1408" s="2">
        <v>42072</v>
      </c>
      <c r="GM1408" s="1" t="s">
        <v>13973</v>
      </c>
    </row>
    <row r="1409" spans="1:195">
      <c r="A1409" s="1">
        <v>294000</v>
      </c>
      <c r="B1409" s="1" t="s">
        <v>195</v>
      </c>
      <c r="C1409" s="1" t="str">
        <f>"08679170"</f>
        <v>08679170</v>
      </c>
      <c r="D1409" s="1" t="s">
        <v>196</v>
      </c>
      <c r="F1409" s="1" t="str">
        <f>"525"</f>
        <v>525</v>
      </c>
      <c r="G1409" s="2">
        <v>41841</v>
      </c>
      <c r="H1409" s="1">
        <v>330000</v>
      </c>
      <c r="I1409" s="1">
        <v>299999</v>
      </c>
      <c r="J1409" s="1">
        <v>294000</v>
      </c>
      <c r="K1409" s="2">
        <v>41841</v>
      </c>
      <c r="L1409" s="1">
        <v>146</v>
      </c>
      <c r="M1409" s="2">
        <v>41986</v>
      </c>
      <c r="N1409" s="1">
        <v>146</v>
      </c>
      <c r="O1409" s="2">
        <v>41986</v>
      </c>
      <c r="P1409" s="1">
        <v>22049</v>
      </c>
      <c r="Q1409" s="1" t="s">
        <v>302</v>
      </c>
      <c r="R1409" s="2">
        <v>42020</v>
      </c>
      <c r="S1409" s="1">
        <v>240897</v>
      </c>
      <c r="U1409" s="1">
        <v>1</v>
      </c>
      <c r="V1409" s="1" t="s">
        <v>13974</v>
      </c>
      <c r="W1409" s="1" t="s">
        <v>779</v>
      </c>
      <c r="X1409" s="1">
        <v>506</v>
      </c>
      <c r="Y1409" s="1">
        <v>78</v>
      </c>
      <c r="Z1409" s="1" t="s">
        <v>249</v>
      </c>
      <c r="AA1409" s="1" t="s">
        <v>1148</v>
      </c>
      <c r="AB1409" s="1">
        <v>60525</v>
      </c>
      <c r="AD1409" s="1" t="s">
        <v>13975</v>
      </c>
      <c r="AE1409" s="1" t="s">
        <v>13976</v>
      </c>
      <c r="AF1409" s="1">
        <v>2003</v>
      </c>
      <c r="AG1409" s="1" t="s">
        <v>204</v>
      </c>
      <c r="AH1409" s="1" t="s">
        <v>1150</v>
      </c>
      <c r="AI1409" s="1" t="s">
        <v>310</v>
      </c>
      <c r="AJ1409" s="1" t="s">
        <v>702</v>
      </c>
      <c r="AL1409" s="1">
        <v>5</v>
      </c>
      <c r="AM1409" s="1">
        <v>2</v>
      </c>
      <c r="AN1409" s="1">
        <v>2</v>
      </c>
      <c r="AO1409" s="1">
        <v>0</v>
      </c>
      <c r="AP1409" s="1" t="s">
        <v>209</v>
      </c>
      <c r="AQ1409" s="1">
        <v>0</v>
      </c>
      <c r="AR1409" s="1" t="s">
        <v>210</v>
      </c>
      <c r="AS1409" s="1" t="s">
        <v>204</v>
      </c>
      <c r="AT1409" s="1" t="s">
        <v>211</v>
      </c>
      <c r="AU1409" s="1">
        <v>1</v>
      </c>
      <c r="AW1409" s="1" t="s">
        <v>204</v>
      </c>
      <c r="AX1409" s="1" t="s">
        <v>270</v>
      </c>
      <c r="AZ1409" s="1">
        <v>4572.88</v>
      </c>
      <c r="BA1409" s="1">
        <v>2013</v>
      </c>
      <c r="BB1409" s="1" t="s">
        <v>599</v>
      </c>
      <c r="BE1409" s="1">
        <v>0</v>
      </c>
      <c r="BF1409" s="1">
        <v>5</v>
      </c>
      <c r="BG1409" s="1">
        <v>0</v>
      </c>
      <c r="BJ1409" s="1">
        <v>80</v>
      </c>
      <c r="BL1409" s="1">
        <v>390</v>
      </c>
      <c r="BM1409" s="1" t="s">
        <v>204</v>
      </c>
      <c r="BN1409" s="1" t="s">
        <v>213</v>
      </c>
      <c r="BO1409" s="1">
        <v>25</v>
      </c>
      <c r="BP1409" s="1" t="s">
        <v>204</v>
      </c>
      <c r="BR1409" s="1" t="str">
        <f>"18042090131045"</f>
        <v>18042090131045</v>
      </c>
      <c r="BT1409" s="1" t="s">
        <v>13977</v>
      </c>
      <c r="BU1409" s="1" t="s">
        <v>13978</v>
      </c>
      <c r="BV1409" s="1" t="s">
        <v>1154</v>
      </c>
      <c r="BW1409" s="1" t="s">
        <v>706</v>
      </c>
      <c r="BX1409" s="1">
        <v>102</v>
      </c>
      <c r="BY1409" s="1">
        <v>102</v>
      </c>
      <c r="BZ1409" s="1">
        <v>204</v>
      </c>
      <c r="CB1409" s="1" t="str">
        <f t="shared" ref="CB1409:CC1409" si="1074">""</f>
        <v/>
      </c>
      <c r="CC1409" s="1" t="str">
        <f t="shared" si="1074"/>
        <v/>
      </c>
      <c r="CG1409" s="1" t="s">
        <v>862</v>
      </c>
      <c r="CH1409" s="1" t="s">
        <v>219</v>
      </c>
      <c r="CI1409" s="1" t="s">
        <v>220</v>
      </c>
      <c r="CJ1409" s="1" t="s">
        <v>343</v>
      </c>
      <c r="CK1409" s="1" t="s">
        <v>932</v>
      </c>
      <c r="CL1409" s="1" t="s">
        <v>219</v>
      </c>
      <c r="CM1409" s="1" t="s">
        <v>220</v>
      </c>
      <c r="CN1409" s="1" t="s">
        <v>343</v>
      </c>
      <c r="CO1409" s="1" t="s">
        <v>2138</v>
      </c>
      <c r="CP1409" s="1" t="s">
        <v>219</v>
      </c>
      <c r="CQ1409" s="1" t="s">
        <v>220</v>
      </c>
      <c r="CS1409" s="1" t="s">
        <v>378</v>
      </c>
      <c r="CT1409" s="1" t="s">
        <v>219</v>
      </c>
      <c r="CU1409" s="1" t="s">
        <v>220</v>
      </c>
      <c r="CV1409" s="1" t="s">
        <v>343</v>
      </c>
      <c r="CX1409" s="1" t="s">
        <v>224</v>
      </c>
      <c r="DB1409" s="1" t="s">
        <v>224</v>
      </c>
      <c r="DE1409" s="1" t="s">
        <v>379</v>
      </c>
      <c r="DF1409" s="1" t="s">
        <v>219</v>
      </c>
      <c r="DG1409" s="1" t="s">
        <v>438</v>
      </c>
      <c r="DJ1409" s="1" t="s">
        <v>224</v>
      </c>
      <c r="DM1409" s="1" t="s">
        <v>709</v>
      </c>
      <c r="DN1409" s="1" t="s">
        <v>1771</v>
      </c>
      <c r="DR1409" s="1" t="s">
        <v>3126</v>
      </c>
      <c r="DS1409" s="1" t="s">
        <v>219</v>
      </c>
      <c r="DT1409" s="1" t="s">
        <v>438</v>
      </c>
      <c r="DV1409" s="1" t="s">
        <v>5954</v>
      </c>
      <c r="DW1409" s="1" t="s">
        <v>219</v>
      </c>
      <c r="DX1409" s="1" t="s">
        <v>438</v>
      </c>
      <c r="EA1409" s="1" t="s">
        <v>230</v>
      </c>
      <c r="EE1409" s="1" t="s">
        <v>230</v>
      </c>
      <c r="EI1409" s="1" t="s">
        <v>230</v>
      </c>
      <c r="EL1409" s="1" t="s">
        <v>466</v>
      </c>
      <c r="EM1409" s="1" t="s">
        <v>730</v>
      </c>
      <c r="EN1409" s="1" t="s">
        <v>282</v>
      </c>
      <c r="EO1409" s="1" t="s">
        <v>234</v>
      </c>
      <c r="EP1409" s="1" t="s">
        <v>13979</v>
      </c>
      <c r="EQ1409" s="1" t="s">
        <v>236</v>
      </c>
      <c r="ER1409" s="1" t="s">
        <v>210</v>
      </c>
      <c r="ES1409" s="1" t="s">
        <v>3914</v>
      </c>
      <c r="ET1409" s="1" t="s">
        <v>866</v>
      </c>
      <c r="EU1409" s="1" t="s">
        <v>610</v>
      </c>
      <c r="EV1409" s="1" t="s">
        <v>324</v>
      </c>
      <c r="EW1409" s="1" t="s">
        <v>13980</v>
      </c>
      <c r="EY1409" s="1" t="s">
        <v>242</v>
      </c>
      <c r="EZ1409" s="1" t="s">
        <v>2948</v>
      </c>
      <c r="FA1409" s="1" t="s">
        <v>13981</v>
      </c>
      <c r="FB1409" s="1" t="s">
        <v>289</v>
      </c>
      <c r="FC1409" s="1" t="s">
        <v>13982</v>
      </c>
      <c r="FD1409" s="1" t="s">
        <v>290</v>
      </c>
      <c r="FE1409" s="1" t="s">
        <v>247</v>
      </c>
      <c r="FF1409" s="1" t="s">
        <v>248</v>
      </c>
      <c r="FH1409" s="1" t="s">
        <v>249</v>
      </c>
      <c r="FI1409" s="1" t="s">
        <v>250</v>
      </c>
      <c r="FL1409" s="1" t="s">
        <v>358</v>
      </c>
      <c r="FM1409" s="1" t="s">
        <v>252</v>
      </c>
      <c r="FN1409" s="1" t="s">
        <v>213</v>
      </c>
      <c r="FO1409" s="1" t="s">
        <v>213</v>
      </c>
      <c r="FQ1409" s="1" t="s">
        <v>329</v>
      </c>
      <c r="FR1409" s="1" t="s">
        <v>210</v>
      </c>
      <c r="FS1409" s="1" t="s">
        <v>13983</v>
      </c>
      <c r="FT1409" s="1" t="s">
        <v>362</v>
      </c>
      <c r="FU1409" s="1" t="s">
        <v>204</v>
      </c>
      <c r="FV1409" s="1" t="s">
        <v>13984</v>
      </c>
      <c r="FW1409" s="1" t="s">
        <v>8599</v>
      </c>
      <c r="FX1409" s="1">
        <v>22375</v>
      </c>
      <c r="FY1409" s="1" t="s">
        <v>8600</v>
      </c>
      <c r="FZ1409" s="1" t="s">
        <v>13985</v>
      </c>
      <c r="GA1409" s="1">
        <v>225063</v>
      </c>
      <c r="GB1409" s="1" t="s">
        <v>13986</v>
      </c>
      <c r="GD1409" s="1" t="s">
        <v>13987</v>
      </c>
      <c r="GE1409" s="1" t="s">
        <v>1379</v>
      </c>
      <c r="GH1409" s="1" t="s">
        <v>230</v>
      </c>
      <c r="GI1409" s="1" t="s">
        <v>213</v>
      </c>
      <c r="GJ1409" s="1" t="s">
        <v>260</v>
      </c>
      <c r="GK1409" s="1" t="s">
        <v>210</v>
      </c>
      <c r="GL1409" s="2">
        <v>42021</v>
      </c>
      <c r="GM1409" s="1" t="s">
        <v>13988</v>
      </c>
    </row>
    <row r="1410" spans="1:195">
      <c r="A1410" s="1">
        <v>148490</v>
      </c>
      <c r="B1410" s="1" t="s">
        <v>195</v>
      </c>
      <c r="C1410" s="1" t="str">
        <f>"08681072"</f>
        <v>08681072</v>
      </c>
      <c r="D1410" s="1" t="s">
        <v>196</v>
      </c>
      <c r="F1410" s="1" t="str">
        <f>"140"</f>
        <v>140</v>
      </c>
      <c r="G1410" s="2">
        <v>41843</v>
      </c>
      <c r="H1410" s="1">
        <v>159990</v>
      </c>
      <c r="I1410" s="1">
        <v>149990</v>
      </c>
      <c r="J1410" s="1">
        <v>148490</v>
      </c>
      <c r="K1410" s="2">
        <v>41843</v>
      </c>
      <c r="L1410" s="1">
        <v>125</v>
      </c>
      <c r="M1410" s="2">
        <v>41967</v>
      </c>
      <c r="N1410" s="1">
        <v>125</v>
      </c>
      <c r="O1410" s="2">
        <v>41967</v>
      </c>
      <c r="P1410" s="1">
        <v>22029</v>
      </c>
      <c r="Q1410" s="1" t="s">
        <v>302</v>
      </c>
      <c r="R1410" s="2">
        <v>41988</v>
      </c>
      <c r="S1410" s="1">
        <v>239863</v>
      </c>
      <c r="U1410" s="1">
        <v>1744</v>
      </c>
      <c r="V1410" s="1" t="s">
        <v>6371</v>
      </c>
      <c r="W1410" s="1" t="s">
        <v>504</v>
      </c>
      <c r="X1410" s="1">
        <v>1031</v>
      </c>
      <c r="Y1410" s="1">
        <v>4</v>
      </c>
      <c r="Z1410" s="1" t="s">
        <v>370</v>
      </c>
      <c r="AA1410" s="1" t="s">
        <v>744</v>
      </c>
      <c r="AB1410" s="1">
        <v>60140</v>
      </c>
      <c r="AD1410" s="1" t="s">
        <v>6372</v>
      </c>
      <c r="AE1410" s="1" t="s">
        <v>6373</v>
      </c>
      <c r="AF1410" s="1">
        <v>2014</v>
      </c>
      <c r="AG1410" s="1" t="s">
        <v>204</v>
      </c>
      <c r="AH1410" s="1" t="s">
        <v>747</v>
      </c>
      <c r="AI1410" s="1" t="s">
        <v>665</v>
      </c>
      <c r="AJ1410" s="1" t="s">
        <v>748</v>
      </c>
      <c r="AK1410" s="1" t="s">
        <v>4058</v>
      </c>
      <c r="AL1410" s="1">
        <v>5</v>
      </c>
      <c r="AM1410" s="1">
        <v>2</v>
      </c>
      <c r="AN1410" s="1">
        <v>2</v>
      </c>
      <c r="AO1410" s="1">
        <v>0</v>
      </c>
      <c r="AP1410" s="1" t="s">
        <v>209</v>
      </c>
      <c r="AR1410" s="1" t="s">
        <v>210</v>
      </c>
      <c r="AS1410" s="1" t="s">
        <v>204</v>
      </c>
      <c r="AT1410" s="1" t="s">
        <v>211</v>
      </c>
      <c r="AU1410" s="1">
        <v>2</v>
      </c>
      <c r="AW1410" s="1" t="s">
        <v>204</v>
      </c>
      <c r="AX1410" s="1" t="s">
        <v>6374</v>
      </c>
      <c r="AZ1410" s="1" t="s">
        <v>751</v>
      </c>
      <c r="BA1410" s="1">
        <v>2013</v>
      </c>
      <c r="BE1410" s="1">
        <v>1290</v>
      </c>
      <c r="BF1410" s="1">
        <v>1</v>
      </c>
      <c r="BG1410" s="1">
        <v>0</v>
      </c>
      <c r="BL1410" s="1">
        <v>186</v>
      </c>
      <c r="BM1410" s="1" t="s">
        <v>204</v>
      </c>
      <c r="BN1410" s="1" t="s">
        <v>213</v>
      </c>
      <c r="BO1410" s="1">
        <v>999</v>
      </c>
      <c r="BP1410" s="1" t="s">
        <v>213</v>
      </c>
      <c r="BQ1410" s="2">
        <v>41843</v>
      </c>
      <c r="BR1410" s="1" t="str">
        <f>"0228130019"</f>
        <v>0228130019</v>
      </c>
      <c r="BT1410" s="1" t="s">
        <v>13989</v>
      </c>
      <c r="BX1410" s="1">
        <v>300</v>
      </c>
      <c r="BY1410" s="1">
        <v>300</v>
      </c>
      <c r="BZ1410" s="1">
        <v>300</v>
      </c>
      <c r="CB1410" s="1" t="str">
        <f t="shared" ref="CB1410:CC1410" si="1075">""</f>
        <v/>
      </c>
      <c r="CC1410" s="1" t="str">
        <f t="shared" si="1075"/>
        <v/>
      </c>
      <c r="CG1410" s="1" t="s">
        <v>278</v>
      </c>
      <c r="CH1410" s="1" t="s">
        <v>219</v>
      </c>
      <c r="CI1410" s="1" t="s">
        <v>220</v>
      </c>
      <c r="CK1410" s="1" t="s">
        <v>861</v>
      </c>
      <c r="CL1410" s="1" t="s">
        <v>219</v>
      </c>
      <c r="CM1410" s="1" t="s">
        <v>220</v>
      </c>
      <c r="CO1410" s="1" t="s">
        <v>2899</v>
      </c>
      <c r="CP1410" s="1" t="s">
        <v>219</v>
      </c>
      <c r="CQ1410" s="1" t="s">
        <v>220</v>
      </c>
      <c r="CS1410" s="1" t="s">
        <v>465</v>
      </c>
      <c r="CT1410" s="1" t="s">
        <v>219</v>
      </c>
      <c r="CU1410" s="1" t="s">
        <v>220</v>
      </c>
      <c r="CX1410" s="1" t="s">
        <v>224</v>
      </c>
      <c r="DB1410" s="1" t="s">
        <v>224</v>
      </c>
      <c r="DE1410" s="1" t="s">
        <v>281</v>
      </c>
      <c r="DF1410" s="1" t="s">
        <v>219</v>
      </c>
      <c r="DG1410" s="1" t="s">
        <v>438</v>
      </c>
      <c r="DJ1410" s="1" t="s">
        <v>224</v>
      </c>
      <c r="DS1410" s="1" t="s">
        <v>230</v>
      </c>
      <c r="DW1410" s="1" t="s">
        <v>230</v>
      </c>
      <c r="EA1410" s="1" t="s">
        <v>230</v>
      </c>
      <c r="EE1410" s="1" t="s">
        <v>230</v>
      </c>
      <c r="EI1410" s="1" t="s">
        <v>230</v>
      </c>
      <c r="EL1410" s="1" t="s">
        <v>1455</v>
      </c>
      <c r="EM1410" s="1" t="s">
        <v>319</v>
      </c>
      <c r="EN1410" s="1" t="s">
        <v>282</v>
      </c>
      <c r="EO1410" s="1" t="s">
        <v>234</v>
      </c>
      <c r="EP1410" s="1" t="s">
        <v>6376</v>
      </c>
      <c r="EQ1410" s="1" t="s">
        <v>953</v>
      </c>
      <c r="ER1410" s="1" t="s">
        <v>383</v>
      </c>
      <c r="ES1410" s="1" t="s">
        <v>608</v>
      </c>
      <c r="ET1410" s="1" t="s">
        <v>842</v>
      </c>
      <c r="EW1410" s="1" t="s">
        <v>6377</v>
      </c>
      <c r="EY1410" s="1" t="s">
        <v>790</v>
      </c>
      <c r="EZ1410" s="1" t="s">
        <v>287</v>
      </c>
      <c r="FD1410" s="1" t="s">
        <v>246</v>
      </c>
      <c r="FE1410" s="1" t="s">
        <v>472</v>
      </c>
      <c r="FF1410" s="1" t="s">
        <v>248</v>
      </c>
      <c r="FH1410" s="1" t="s">
        <v>6378</v>
      </c>
      <c r="FI1410" s="1" t="s">
        <v>473</v>
      </c>
      <c r="FL1410" s="1" t="s">
        <v>358</v>
      </c>
      <c r="FM1410" s="1" t="s">
        <v>769</v>
      </c>
      <c r="FN1410" s="1" t="s">
        <v>213</v>
      </c>
      <c r="FO1410" s="1" t="s">
        <v>204</v>
      </c>
      <c r="FQ1410" s="1" t="s">
        <v>582</v>
      </c>
      <c r="FR1410" s="1" t="s">
        <v>210</v>
      </c>
      <c r="FS1410" s="1" t="s">
        <v>13990</v>
      </c>
      <c r="FT1410" s="1" t="s">
        <v>771</v>
      </c>
      <c r="FU1410" s="1" t="s">
        <v>204</v>
      </c>
      <c r="FW1410" s="1" t="s">
        <v>772</v>
      </c>
      <c r="FX1410" s="1">
        <v>92038</v>
      </c>
      <c r="FY1410" s="1" t="s">
        <v>773</v>
      </c>
      <c r="FZ1410" s="1" t="s">
        <v>774</v>
      </c>
      <c r="GA1410" s="1">
        <v>21137</v>
      </c>
      <c r="GB1410" s="1" t="s">
        <v>775</v>
      </c>
      <c r="GE1410" s="1" t="s">
        <v>623</v>
      </c>
      <c r="GI1410" s="1" t="s">
        <v>204</v>
      </c>
      <c r="GJ1410" s="1" t="s">
        <v>260</v>
      </c>
      <c r="GK1410" s="1" t="s">
        <v>210</v>
      </c>
      <c r="GL1410" s="2">
        <v>41989</v>
      </c>
      <c r="GM1410" s="1" t="s">
        <v>13991</v>
      </c>
    </row>
    <row r="1411" spans="1:195">
      <c r="A1411" s="1">
        <v>105000</v>
      </c>
      <c r="B1411" s="1" t="s">
        <v>195</v>
      </c>
      <c r="C1411" s="1" t="str">
        <f>"08724141"</f>
        <v>08724141</v>
      </c>
      <c r="D1411" s="1" t="s">
        <v>196</v>
      </c>
      <c r="F1411" s="1" t="str">
        <f>"61"</f>
        <v>61</v>
      </c>
      <c r="G1411" s="2">
        <v>41892</v>
      </c>
      <c r="H1411" s="1">
        <v>110000</v>
      </c>
      <c r="I1411" s="1">
        <v>110000</v>
      </c>
      <c r="J1411" s="1">
        <v>105000</v>
      </c>
      <c r="K1411" s="2">
        <v>41891</v>
      </c>
      <c r="L1411" s="1">
        <v>76</v>
      </c>
      <c r="M1411" s="2">
        <v>41966</v>
      </c>
      <c r="N1411" s="1">
        <v>76</v>
      </c>
      <c r="O1411" s="2">
        <v>41966</v>
      </c>
      <c r="P1411" s="1">
        <v>2415</v>
      </c>
      <c r="Q1411" s="1" t="s">
        <v>197</v>
      </c>
      <c r="R1411" s="2">
        <v>42024</v>
      </c>
      <c r="S1411" s="1">
        <v>239919</v>
      </c>
      <c r="U1411" s="1">
        <v>400</v>
      </c>
      <c r="V1411" s="1" t="s">
        <v>13242</v>
      </c>
      <c r="W1411" s="1" t="s">
        <v>304</v>
      </c>
      <c r="Y1411" s="1">
        <v>4</v>
      </c>
      <c r="Z1411" s="1" t="s">
        <v>370</v>
      </c>
      <c r="AA1411" s="1" t="s">
        <v>505</v>
      </c>
      <c r="AB1411" s="1">
        <v>60061</v>
      </c>
      <c r="AE1411" s="1" t="s">
        <v>13992</v>
      </c>
      <c r="AF1411" s="1">
        <v>1978</v>
      </c>
      <c r="AG1411" s="1" t="s">
        <v>204</v>
      </c>
      <c r="AH1411" s="1" t="s">
        <v>508</v>
      </c>
      <c r="AI1411" s="1" t="s">
        <v>509</v>
      </c>
      <c r="AJ1411" s="1" t="s">
        <v>510</v>
      </c>
      <c r="AL1411" s="1">
        <v>5</v>
      </c>
      <c r="AM1411" s="1">
        <v>2</v>
      </c>
      <c r="AN1411" s="1">
        <v>1</v>
      </c>
      <c r="AO1411" s="1">
        <v>0</v>
      </c>
      <c r="AP1411" s="1" t="s">
        <v>667</v>
      </c>
      <c r="AR1411" s="1" t="s">
        <v>210</v>
      </c>
      <c r="AS1411" s="1" t="s">
        <v>204</v>
      </c>
      <c r="AT1411" s="1" t="s">
        <v>211</v>
      </c>
      <c r="AU1411" s="1">
        <v>1</v>
      </c>
      <c r="AW1411" s="1" t="s">
        <v>204</v>
      </c>
      <c r="AX1411" s="1" t="s">
        <v>212</v>
      </c>
      <c r="AZ1411" s="1">
        <v>2965.88</v>
      </c>
      <c r="BA1411" s="1">
        <v>2012</v>
      </c>
      <c r="BE1411" s="1">
        <v>1034</v>
      </c>
      <c r="BF1411" s="1">
        <v>1</v>
      </c>
      <c r="BG1411" s="1">
        <v>0</v>
      </c>
      <c r="BL1411" s="1">
        <v>217</v>
      </c>
      <c r="BM1411" s="1" t="s">
        <v>204</v>
      </c>
      <c r="BN1411" s="1" t="s">
        <v>213</v>
      </c>
      <c r="BP1411" s="1" t="s">
        <v>204</v>
      </c>
      <c r="BR1411" s="1" t="str">
        <f>"15054230450000"</f>
        <v>15054230450000</v>
      </c>
      <c r="BT1411" s="1" t="s">
        <v>13993</v>
      </c>
      <c r="BX1411" s="1">
        <v>73</v>
      </c>
      <c r="BY1411" s="1">
        <v>73</v>
      </c>
      <c r="BZ1411" s="1">
        <v>128</v>
      </c>
      <c r="CB1411" s="1" t="str">
        <f t="shared" ref="CB1411:CC1411" si="1076">""</f>
        <v/>
      </c>
      <c r="CC1411" s="1" t="str">
        <f t="shared" si="1076"/>
        <v/>
      </c>
      <c r="CG1411" s="1" t="s">
        <v>228</v>
      </c>
      <c r="CH1411" s="1" t="s">
        <v>277</v>
      </c>
      <c r="CI1411" s="1" t="s">
        <v>220</v>
      </c>
      <c r="CK1411" s="1" t="s">
        <v>278</v>
      </c>
      <c r="CL1411" s="1" t="s">
        <v>277</v>
      </c>
      <c r="CM1411" s="1" t="s">
        <v>220</v>
      </c>
      <c r="CO1411" s="1" t="s">
        <v>837</v>
      </c>
      <c r="CP1411" s="1" t="s">
        <v>277</v>
      </c>
      <c r="CQ1411" s="1" t="s">
        <v>220</v>
      </c>
      <c r="CS1411" s="1" t="s">
        <v>1046</v>
      </c>
      <c r="CT1411" s="1" t="s">
        <v>277</v>
      </c>
      <c r="CU1411" s="1" t="s">
        <v>220</v>
      </c>
      <c r="CX1411" s="1" t="s">
        <v>224</v>
      </c>
      <c r="DB1411" s="1" t="s">
        <v>224</v>
      </c>
      <c r="DE1411" s="1" t="s">
        <v>951</v>
      </c>
      <c r="DF1411" s="1" t="s">
        <v>277</v>
      </c>
      <c r="DG1411" s="1" t="s">
        <v>342</v>
      </c>
      <c r="DJ1411" s="1" t="s">
        <v>224</v>
      </c>
      <c r="DS1411" s="1" t="s">
        <v>230</v>
      </c>
      <c r="DW1411" s="1" t="s">
        <v>230</v>
      </c>
      <c r="EA1411" s="1" t="s">
        <v>230</v>
      </c>
      <c r="EE1411" s="1" t="s">
        <v>230</v>
      </c>
      <c r="EI1411" s="1" t="s">
        <v>230</v>
      </c>
      <c r="EL1411" s="1" t="s">
        <v>231</v>
      </c>
      <c r="EM1411" s="1" t="s">
        <v>319</v>
      </c>
      <c r="EN1411" s="1" t="s">
        <v>282</v>
      </c>
      <c r="EO1411" s="1" t="s">
        <v>234</v>
      </c>
      <c r="ER1411" s="1" t="s">
        <v>210</v>
      </c>
      <c r="EW1411" s="1" t="s">
        <v>4939</v>
      </c>
      <c r="EZ1411" s="1" t="s">
        <v>287</v>
      </c>
      <c r="FB1411" s="1" t="s">
        <v>289</v>
      </c>
      <c r="FD1411" s="1" t="s">
        <v>736</v>
      </c>
      <c r="FE1411" s="1" t="s">
        <v>472</v>
      </c>
      <c r="FF1411" s="1" t="s">
        <v>248</v>
      </c>
      <c r="FH1411" s="1" t="s">
        <v>825</v>
      </c>
      <c r="FI1411" s="1" t="s">
        <v>3300</v>
      </c>
      <c r="FL1411" s="1" t="s">
        <v>810</v>
      </c>
      <c r="FM1411" s="1" t="s">
        <v>252</v>
      </c>
      <c r="FN1411" s="1" t="s">
        <v>213</v>
      </c>
      <c r="FO1411" s="1" t="s">
        <v>213</v>
      </c>
      <c r="FQ1411" s="1" t="s">
        <v>253</v>
      </c>
      <c r="FR1411" s="1" t="s">
        <v>210</v>
      </c>
      <c r="FS1411" s="1" t="s">
        <v>13994</v>
      </c>
      <c r="FT1411" s="1" t="s">
        <v>675</v>
      </c>
      <c r="FU1411" s="1" t="s">
        <v>204</v>
      </c>
      <c r="FW1411" s="1" t="s">
        <v>1637</v>
      </c>
      <c r="FX1411" s="1">
        <v>2626</v>
      </c>
      <c r="FY1411" s="1" t="s">
        <v>1638</v>
      </c>
      <c r="FZ1411" s="1" t="s">
        <v>13995</v>
      </c>
      <c r="GA1411" s="1">
        <v>20886</v>
      </c>
      <c r="GB1411" s="1" t="s">
        <v>13996</v>
      </c>
      <c r="GE1411" s="1" t="s">
        <v>480</v>
      </c>
      <c r="GI1411" s="1" t="s">
        <v>213</v>
      </c>
      <c r="GJ1411" s="1" t="s">
        <v>260</v>
      </c>
      <c r="GK1411" s="1" t="s">
        <v>210</v>
      </c>
      <c r="GL1411" s="2">
        <v>42025</v>
      </c>
      <c r="GM1411" s="1" t="s">
        <v>13997</v>
      </c>
    </row>
    <row r="1412" spans="1:195">
      <c r="A1412" s="1">
        <v>133000</v>
      </c>
      <c r="B1412" s="1" t="s">
        <v>195</v>
      </c>
      <c r="C1412" s="1" t="str">
        <f>"08870363"</f>
        <v>08870363</v>
      </c>
      <c r="D1412" s="1" t="s">
        <v>196</v>
      </c>
      <c r="F1412" s="1" t="str">
        <f>"186"</f>
        <v>186</v>
      </c>
      <c r="G1412" s="2">
        <v>42087</v>
      </c>
      <c r="H1412" s="1">
        <v>135000</v>
      </c>
      <c r="I1412" s="1">
        <v>135000</v>
      </c>
      <c r="J1412" s="1">
        <v>133000</v>
      </c>
      <c r="K1412" s="2">
        <v>42086</v>
      </c>
      <c r="L1412" s="1">
        <v>4</v>
      </c>
      <c r="M1412" s="2">
        <v>42089</v>
      </c>
      <c r="N1412" s="1">
        <v>4</v>
      </c>
      <c r="O1412" s="2">
        <v>42089</v>
      </c>
      <c r="P1412" s="1">
        <v>84180</v>
      </c>
      <c r="Q1412" s="1" t="s">
        <v>423</v>
      </c>
      <c r="R1412" s="2">
        <v>42125</v>
      </c>
      <c r="S1412" s="1">
        <v>162889</v>
      </c>
      <c r="T1412" s="1">
        <v>2000</v>
      </c>
      <c r="U1412" s="1" t="s">
        <v>13998</v>
      </c>
      <c r="V1412" s="1" t="s">
        <v>4188</v>
      </c>
      <c r="W1412" s="1" t="s">
        <v>425</v>
      </c>
      <c r="Y1412" s="1">
        <v>4</v>
      </c>
      <c r="Z1412" s="1" t="s">
        <v>370</v>
      </c>
      <c r="AA1412" s="1" t="s">
        <v>2099</v>
      </c>
      <c r="AB1412" s="1">
        <v>60181</v>
      </c>
      <c r="AD1412" s="1" t="s">
        <v>2195</v>
      </c>
      <c r="AE1412" s="1" t="s">
        <v>13999</v>
      </c>
      <c r="AF1412" s="1">
        <v>1966</v>
      </c>
      <c r="AG1412" s="1" t="s">
        <v>213</v>
      </c>
      <c r="AH1412" s="1" t="s">
        <v>2101</v>
      </c>
      <c r="AI1412" s="1" t="s">
        <v>206</v>
      </c>
      <c r="AJ1412" s="1" t="s">
        <v>1608</v>
      </c>
      <c r="AL1412" s="1">
        <v>7</v>
      </c>
      <c r="AM1412" s="1">
        <v>2</v>
      </c>
      <c r="AN1412" s="1">
        <v>1</v>
      </c>
      <c r="AO1412" s="1">
        <v>1</v>
      </c>
      <c r="AP1412" s="1" t="s">
        <v>210</v>
      </c>
      <c r="AR1412" s="1" t="s">
        <v>209</v>
      </c>
      <c r="AS1412" s="1" t="s">
        <v>204</v>
      </c>
      <c r="AT1412" s="1" t="s">
        <v>271</v>
      </c>
      <c r="AV1412" s="1">
        <v>1</v>
      </c>
      <c r="AW1412" s="1" t="s">
        <v>204</v>
      </c>
      <c r="AX1412" s="1" t="s">
        <v>212</v>
      </c>
      <c r="AZ1412" s="1">
        <v>1310</v>
      </c>
      <c r="BA1412" s="1">
        <v>2013</v>
      </c>
      <c r="BB1412" s="1" t="s">
        <v>405</v>
      </c>
      <c r="BE1412" s="1">
        <v>0</v>
      </c>
      <c r="BF1412" s="1">
        <v>1</v>
      </c>
      <c r="BG1412" s="1">
        <v>30</v>
      </c>
      <c r="BL1412" s="1">
        <v>194</v>
      </c>
      <c r="BM1412" s="1" t="s">
        <v>204</v>
      </c>
      <c r="BN1412" s="1" t="s">
        <v>213</v>
      </c>
      <c r="BO1412" s="1">
        <v>999</v>
      </c>
      <c r="BP1412" s="1" t="s">
        <v>204</v>
      </c>
      <c r="BR1412" s="1" t="str">
        <f>"0621211092"</f>
        <v>0621211092</v>
      </c>
      <c r="BT1412" s="1" t="s">
        <v>14000</v>
      </c>
      <c r="BX1412" s="1">
        <v>45</v>
      </c>
      <c r="BY1412" s="1">
        <v>45</v>
      </c>
      <c r="BZ1412" s="1">
        <v>88</v>
      </c>
      <c r="CB1412" s="1" t="str">
        <f t="shared" ref="CB1412:CC1412" si="1077">"0"</f>
        <v>0</v>
      </c>
      <c r="CC1412" s="1" t="str">
        <f t="shared" si="1077"/>
        <v>0</v>
      </c>
      <c r="CD1412" s="1">
        <v>18</v>
      </c>
      <c r="CE1412" s="1">
        <v>1</v>
      </c>
      <c r="CG1412" s="1" t="s">
        <v>315</v>
      </c>
      <c r="CH1412" s="1" t="s">
        <v>219</v>
      </c>
      <c r="CI1412" s="1" t="s">
        <v>438</v>
      </c>
      <c r="CK1412" s="1" t="s">
        <v>278</v>
      </c>
      <c r="CL1412" s="1" t="s">
        <v>277</v>
      </c>
      <c r="CM1412" s="1" t="s">
        <v>438</v>
      </c>
      <c r="CO1412" s="1" t="s">
        <v>821</v>
      </c>
      <c r="CP1412" s="1" t="s">
        <v>219</v>
      </c>
      <c r="CQ1412" s="1" t="s">
        <v>438</v>
      </c>
      <c r="CS1412" s="1" t="s">
        <v>346</v>
      </c>
      <c r="CT1412" s="1" t="s">
        <v>277</v>
      </c>
      <c r="CU1412" s="1" t="s">
        <v>438</v>
      </c>
      <c r="CX1412" s="1" t="s">
        <v>224</v>
      </c>
      <c r="DB1412" s="1" t="s">
        <v>224</v>
      </c>
      <c r="DE1412" s="1" t="s">
        <v>2103</v>
      </c>
      <c r="DF1412" s="1" t="s">
        <v>219</v>
      </c>
      <c r="DG1412" s="1" t="s">
        <v>226</v>
      </c>
      <c r="DI1412" s="1" t="s">
        <v>1004</v>
      </c>
      <c r="DJ1412" s="1" t="s">
        <v>822</v>
      </c>
      <c r="DK1412" s="1" t="s">
        <v>226</v>
      </c>
      <c r="DM1412" s="1" t="s">
        <v>4083</v>
      </c>
      <c r="DR1412" s="1" t="s">
        <v>757</v>
      </c>
      <c r="DS1412" s="1" t="s">
        <v>822</v>
      </c>
      <c r="DW1412" s="1" t="s">
        <v>230</v>
      </c>
      <c r="EA1412" s="1" t="s">
        <v>230</v>
      </c>
      <c r="EE1412" s="1" t="s">
        <v>230</v>
      </c>
      <c r="EI1412" s="1" t="s">
        <v>230</v>
      </c>
      <c r="EL1412" s="1" t="s">
        <v>605</v>
      </c>
      <c r="EM1412" s="1" t="s">
        <v>232</v>
      </c>
      <c r="EN1412" s="1" t="s">
        <v>282</v>
      </c>
      <c r="EO1412" s="1" t="s">
        <v>234</v>
      </c>
      <c r="EP1412" s="1" t="s">
        <v>14001</v>
      </c>
      <c r="EQ1412" s="1" t="s">
        <v>10028</v>
      </c>
      <c r="ER1412" s="1" t="s">
        <v>544</v>
      </c>
      <c r="ES1412" s="1" t="s">
        <v>3719</v>
      </c>
      <c r="EV1412" s="1" t="s">
        <v>352</v>
      </c>
      <c r="EW1412" s="1" t="s">
        <v>9701</v>
      </c>
      <c r="EZ1412" s="1" t="s">
        <v>4083</v>
      </c>
      <c r="FC1412" s="1" t="s">
        <v>1386</v>
      </c>
      <c r="FD1412" s="1" t="s">
        <v>246</v>
      </c>
      <c r="FE1412" s="1" t="s">
        <v>247</v>
      </c>
      <c r="FF1412" s="1" t="s">
        <v>248</v>
      </c>
      <c r="FH1412" s="1" t="s">
        <v>550</v>
      </c>
      <c r="FK1412" s="1" t="s">
        <v>2309</v>
      </c>
      <c r="FL1412" s="1" t="s">
        <v>810</v>
      </c>
      <c r="FM1412" s="1" t="s">
        <v>252</v>
      </c>
      <c r="FN1412" s="1" t="s">
        <v>213</v>
      </c>
      <c r="FO1412" s="1" t="s">
        <v>213</v>
      </c>
      <c r="FQ1412" s="1" t="s">
        <v>793</v>
      </c>
      <c r="FR1412" s="1" t="s">
        <v>210</v>
      </c>
      <c r="FS1412" s="1" t="s">
        <v>14002</v>
      </c>
      <c r="FT1412" s="1" t="s">
        <v>14003</v>
      </c>
      <c r="FU1412" s="1" t="s">
        <v>204</v>
      </c>
      <c r="FW1412" s="1" t="s">
        <v>7036</v>
      </c>
      <c r="FX1412" s="1">
        <v>20119</v>
      </c>
      <c r="FY1412" s="1" t="s">
        <v>14004</v>
      </c>
      <c r="FZ1412" s="1" t="s">
        <v>14005</v>
      </c>
      <c r="GA1412" s="1">
        <v>220752</v>
      </c>
      <c r="GB1412" s="1" t="s">
        <v>14006</v>
      </c>
      <c r="GE1412" s="1" t="s">
        <v>210</v>
      </c>
      <c r="GI1412" s="1" t="s">
        <v>213</v>
      </c>
      <c r="GJ1412" s="1" t="s">
        <v>260</v>
      </c>
      <c r="GK1412" s="1" t="s">
        <v>210</v>
      </c>
      <c r="GL1412" s="2">
        <v>42125</v>
      </c>
    </row>
    <row r="1413" spans="1:195">
      <c r="A1413" s="1">
        <v>29900</v>
      </c>
      <c r="B1413" s="1" t="s">
        <v>195</v>
      </c>
      <c r="C1413" s="1" t="str">
        <f>"08860342"</f>
        <v>08860342</v>
      </c>
      <c r="D1413" s="1" t="s">
        <v>196</v>
      </c>
      <c r="F1413" s="1" t="str">
        <f>"8043"</f>
        <v>8043</v>
      </c>
      <c r="G1413" s="2">
        <v>42076</v>
      </c>
      <c r="H1413" s="1">
        <v>29900</v>
      </c>
      <c r="I1413" s="1">
        <v>29900</v>
      </c>
      <c r="J1413" s="1">
        <v>29900</v>
      </c>
      <c r="K1413" s="2">
        <v>42075</v>
      </c>
      <c r="L1413" s="1">
        <v>28</v>
      </c>
      <c r="M1413" s="2">
        <v>42102</v>
      </c>
      <c r="N1413" s="1">
        <v>28</v>
      </c>
      <c r="O1413" s="2">
        <v>42102</v>
      </c>
      <c r="P1413" s="1">
        <v>18180</v>
      </c>
      <c r="Q1413" s="1" t="s">
        <v>302</v>
      </c>
      <c r="R1413" s="2">
        <v>42138</v>
      </c>
      <c r="S1413" s="1">
        <v>159426</v>
      </c>
      <c r="U1413" s="1">
        <v>7722</v>
      </c>
      <c r="V1413" s="1" t="s">
        <v>10884</v>
      </c>
      <c r="W1413" s="1" t="s">
        <v>425</v>
      </c>
      <c r="X1413" s="1" t="s">
        <v>5917</v>
      </c>
      <c r="Y1413" s="1">
        <v>12</v>
      </c>
      <c r="Z1413" s="1" t="s">
        <v>249</v>
      </c>
      <c r="AA1413" s="1" t="s">
        <v>400</v>
      </c>
      <c r="AB1413" s="1">
        <v>60649</v>
      </c>
      <c r="AE1413" s="1" t="s">
        <v>14007</v>
      </c>
      <c r="AF1413" s="1">
        <v>1927</v>
      </c>
      <c r="AG1413" s="1" t="s">
        <v>213</v>
      </c>
      <c r="AH1413" s="1" t="s">
        <v>403</v>
      </c>
      <c r="AI1413" s="1" t="s">
        <v>310</v>
      </c>
      <c r="AJ1413" s="1" t="s">
        <v>562</v>
      </c>
      <c r="AL1413" s="1">
        <v>5</v>
      </c>
      <c r="AM1413" s="1">
        <v>2</v>
      </c>
      <c r="AN1413" s="1">
        <v>2</v>
      </c>
      <c r="AO1413" s="1">
        <v>0</v>
      </c>
      <c r="AP1413" s="1" t="s">
        <v>209</v>
      </c>
      <c r="AR1413" s="1" t="s">
        <v>210</v>
      </c>
      <c r="AS1413" s="1" t="s">
        <v>204</v>
      </c>
      <c r="AT1413" s="1" t="s">
        <v>210</v>
      </c>
      <c r="AW1413" s="1" t="s">
        <v>204</v>
      </c>
      <c r="AX1413" s="1" t="s">
        <v>212</v>
      </c>
      <c r="AZ1413" s="1">
        <v>1939.13</v>
      </c>
      <c r="BA1413" s="1">
        <v>2013</v>
      </c>
      <c r="BE1413" s="1">
        <v>943</v>
      </c>
      <c r="BF1413" s="1">
        <v>1</v>
      </c>
      <c r="BG1413" s="1">
        <v>0</v>
      </c>
      <c r="BL1413" s="1">
        <v>249</v>
      </c>
      <c r="BM1413" s="1" t="s">
        <v>413</v>
      </c>
      <c r="BN1413" s="1" t="s">
        <v>204</v>
      </c>
      <c r="BP1413" s="1" t="s">
        <v>204</v>
      </c>
      <c r="BR1413" s="1" t="str">
        <f>"20253160471004"</f>
        <v>20253160471004</v>
      </c>
      <c r="BT1413" s="1" t="s">
        <v>14008</v>
      </c>
      <c r="BX1413" s="1">
        <v>299</v>
      </c>
      <c r="BY1413" s="1">
        <v>299</v>
      </c>
      <c r="BZ1413" s="1">
        <v>299</v>
      </c>
      <c r="CB1413" s="1" t="str">
        <f>"0"</f>
        <v>0</v>
      </c>
      <c r="CC1413" s="1" t="str">
        <f>"1000"</f>
        <v>1000</v>
      </c>
      <c r="CD1413" s="1">
        <v>0</v>
      </c>
      <c r="CE1413" s="1">
        <v>7700</v>
      </c>
      <c r="CG1413" s="1" t="s">
        <v>378</v>
      </c>
      <c r="CH1413" s="1" t="s">
        <v>219</v>
      </c>
      <c r="CI1413" s="1" t="s">
        <v>438</v>
      </c>
      <c r="CK1413" s="1" t="s">
        <v>836</v>
      </c>
      <c r="CL1413" s="1" t="s">
        <v>219</v>
      </c>
      <c r="CO1413" s="1" t="s">
        <v>3318</v>
      </c>
      <c r="CP1413" s="1" t="s">
        <v>219</v>
      </c>
      <c r="CQ1413" s="1" t="s">
        <v>438</v>
      </c>
      <c r="CS1413" s="1" t="s">
        <v>836</v>
      </c>
      <c r="CT1413" s="1" t="s">
        <v>219</v>
      </c>
      <c r="CX1413" s="1" t="s">
        <v>224</v>
      </c>
      <c r="DB1413" s="1" t="s">
        <v>224</v>
      </c>
      <c r="DE1413" s="1" t="s">
        <v>2468</v>
      </c>
      <c r="DF1413" s="1" t="s">
        <v>219</v>
      </c>
      <c r="DG1413" s="1" t="s">
        <v>566</v>
      </c>
      <c r="DJ1413" s="1" t="s">
        <v>224</v>
      </c>
      <c r="DS1413" s="1" t="s">
        <v>230</v>
      </c>
      <c r="DW1413" s="1" t="s">
        <v>230</v>
      </c>
      <c r="EA1413" s="1" t="s">
        <v>230</v>
      </c>
      <c r="EE1413" s="1" t="s">
        <v>230</v>
      </c>
      <c r="EI1413" s="1" t="s">
        <v>230</v>
      </c>
      <c r="EL1413" s="1" t="s">
        <v>2154</v>
      </c>
      <c r="EM1413" s="1" t="s">
        <v>232</v>
      </c>
      <c r="EN1413" s="1" t="s">
        <v>282</v>
      </c>
      <c r="EO1413" s="1" t="s">
        <v>234</v>
      </c>
      <c r="ER1413" s="1" t="s">
        <v>210</v>
      </c>
      <c r="ES1413" s="1" t="s">
        <v>545</v>
      </c>
      <c r="EW1413" s="1" t="s">
        <v>937</v>
      </c>
      <c r="EZ1413" s="1" t="s">
        <v>287</v>
      </c>
      <c r="FB1413" s="1" t="s">
        <v>289</v>
      </c>
      <c r="FD1413" s="1" t="s">
        <v>1112</v>
      </c>
      <c r="FE1413" s="1" t="s">
        <v>247</v>
      </c>
      <c r="FF1413" s="1" t="s">
        <v>248</v>
      </c>
      <c r="FH1413" s="1" t="s">
        <v>249</v>
      </c>
      <c r="FL1413" s="1" t="s">
        <v>358</v>
      </c>
      <c r="FM1413" s="1" t="s">
        <v>252</v>
      </c>
      <c r="FN1413" s="1" t="s">
        <v>213</v>
      </c>
      <c r="FO1413" s="1" t="s">
        <v>213</v>
      </c>
      <c r="FQ1413" s="1" t="s">
        <v>582</v>
      </c>
      <c r="FR1413" s="1" t="s">
        <v>210</v>
      </c>
      <c r="FS1413" s="1" t="s">
        <v>2541</v>
      </c>
      <c r="FT1413" s="1" t="s">
        <v>654</v>
      </c>
      <c r="FU1413" s="1" t="s">
        <v>204</v>
      </c>
      <c r="FW1413" s="1" t="s">
        <v>3797</v>
      </c>
      <c r="FX1413" s="1">
        <v>84460</v>
      </c>
      <c r="FY1413" s="1" t="s">
        <v>3798</v>
      </c>
      <c r="FZ1413" s="1" t="s">
        <v>3799</v>
      </c>
      <c r="GA1413" s="1">
        <v>105643</v>
      </c>
      <c r="GB1413" s="1" t="s">
        <v>3800</v>
      </c>
      <c r="GE1413" s="1" t="s">
        <v>210</v>
      </c>
      <c r="GH1413" s="1" t="s">
        <v>421</v>
      </c>
      <c r="GI1413" s="1" t="s">
        <v>213</v>
      </c>
      <c r="GJ1413" s="1" t="s">
        <v>260</v>
      </c>
      <c r="GK1413" s="1" t="s">
        <v>210</v>
      </c>
      <c r="GL1413" s="2">
        <v>42143</v>
      </c>
      <c r="GM1413" s="1" t="s">
        <v>14009</v>
      </c>
    </row>
    <row r="1414" spans="1:195">
      <c r="A1414" s="1">
        <v>138500</v>
      </c>
      <c r="B1414" s="1" t="s">
        <v>195</v>
      </c>
      <c r="C1414" s="1" t="str">
        <f>"08861784"</f>
        <v>08861784</v>
      </c>
      <c r="D1414" s="1" t="s">
        <v>196</v>
      </c>
      <c r="F1414" s="1" t="str">
        <f>"507"</f>
        <v>507</v>
      </c>
      <c r="G1414" s="2">
        <v>42077</v>
      </c>
      <c r="H1414" s="1">
        <v>145000</v>
      </c>
      <c r="I1414" s="1">
        <v>145000</v>
      </c>
      <c r="J1414" s="1">
        <v>138500</v>
      </c>
      <c r="K1414" s="2">
        <v>42077</v>
      </c>
      <c r="L1414" s="1">
        <v>106</v>
      </c>
      <c r="M1414" s="2">
        <v>42091</v>
      </c>
      <c r="N1414" s="1">
        <v>15</v>
      </c>
      <c r="O1414" s="2">
        <v>42091</v>
      </c>
      <c r="P1414" s="1">
        <v>22029</v>
      </c>
      <c r="Q1414" s="1" t="s">
        <v>302</v>
      </c>
      <c r="R1414" s="2">
        <v>42121</v>
      </c>
      <c r="S1414" s="1">
        <v>253302</v>
      </c>
      <c r="U1414" s="1">
        <v>3030</v>
      </c>
      <c r="V1414" s="1" t="s">
        <v>14010</v>
      </c>
      <c r="W1414" s="1" t="s">
        <v>264</v>
      </c>
      <c r="Y1414" s="1">
        <v>4</v>
      </c>
      <c r="Z1414" s="1" t="s">
        <v>249</v>
      </c>
      <c r="AA1414" s="1" t="s">
        <v>1123</v>
      </c>
      <c r="AB1414" s="1">
        <v>60504</v>
      </c>
      <c r="AD1414" s="1" t="s">
        <v>14011</v>
      </c>
      <c r="AE1414" s="1" t="s">
        <v>14012</v>
      </c>
      <c r="AF1414" s="1">
        <v>1995</v>
      </c>
      <c r="AG1414" s="1" t="s">
        <v>204</v>
      </c>
      <c r="AH1414" s="1" t="s">
        <v>1126</v>
      </c>
      <c r="AI1414" s="1" t="s">
        <v>206</v>
      </c>
      <c r="AJ1414" s="1" t="s">
        <v>924</v>
      </c>
      <c r="AL1414" s="1">
        <v>5</v>
      </c>
      <c r="AM1414" s="1">
        <v>2</v>
      </c>
      <c r="AN1414" s="1">
        <v>2</v>
      </c>
      <c r="AO1414" s="1">
        <v>0</v>
      </c>
      <c r="AP1414" s="1" t="s">
        <v>209</v>
      </c>
      <c r="AQ1414" s="1">
        <v>0</v>
      </c>
      <c r="AR1414" s="1" t="s">
        <v>210</v>
      </c>
      <c r="AS1414" s="1" t="s">
        <v>204</v>
      </c>
      <c r="AT1414" s="1" t="s">
        <v>211</v>
      </c>
      <c r="AU1414" s="1">
        <v>1</v>
      </c>
      <c r="AW1414" s="1" t="s">
        <v>204</v>
      </c>
      <c r="AX1414" s="1" t="s">
        <v>212</v>
      </c>
      <c r="AZ1414" s="1">
        <v>2763</v>
      </c>
      <c r="BA1414" s="1">
        <v>2013</v>
      </c>
      <c r="BB1414" s="1" t="s">
        <v>405</v>
      </c>
      <c r="BE1414" s="1">
        <v>1219</v>
      </c>
      <c r="BF1414" s="1">
        <v>1</v>
      </c>
      <c r="BG1414" s="1">
        <v>0</v>
      </c>
      <c r="BL1414" s="1">
        <v>178</v>
      </c>
      <c r="BM1414" s="1" t="s">
        <v>204</v>
      </c>
      <c r="BN1414" s="1" t="s">
        <v>213</v>
      </c>
      <c r="BO1414" s="1">
        <v>200</v>
      </c>
      <c r="BP1414" s="1" t="s">
        <v>204</v>
      </c>
      <c r="BR1414" s="1" t="str">
        <f>"0720313077"</f>
        <v>0720313077</v>
      </c>
      <c r="BT1414" s="1" t="s">
        <v>14013</v>
      </c>
      <c r="BX1414" s="1">
        <v>204</v>
      </c>
      <c r="BY1414" s="1">
        <v>204</v>
      </c>
      <c r="BZ1414" s="1">
        <v>204</v>
      </c>
      <c r="CB1414" s="1" t="str">
        <f t="shared" ref="CB1414:CC1414" si="1078">""</f>
        <v/>
      </c>
      <c r="CC1414" s="1" t="str">
        <f t="shared" si="1078"/>
        <v/>
      </c>
      <c r="CG1414" s="1" t="s">
        <v>564</v>
      </c>
      <c r="CH1414" s="1" t="s">
        <v>219</v>
      </c>
      <c r="CI1414" s="1" t="s">
        <v>220</v>
      </c>
      <c r="CK1414" s="1" t="s">
        <v>757</v>
      </c>
      <c r="CL1414" s="1" t="s">
        <v>219</v>
      </c>
      <c r="CM1414" s="1" t="s">
        <v>220</v>
      </c>
      <c r="CO1414" s="1" t="s">
        <v>380</v>
      </c>
      <c r="CP1414" s="1" t="s">
        <v>219</v>
      </c>
      <c r="CQ1414" s="1" t="s">
        <v>220</v>
      </c>
      <c r="CS1414" s="1" t="s">
        <v>379</v>
      </c>
      <c r="CT1414" s="1" t="s">
        <v>219</v>
      </c>
      <c r="CU1414" s="1" t="s">
        <v>220</v>
      </c>
      <c r="CX1414" s="1" t="s">
        <v>224</v>
      </c>
      <c r="DB1414" s="1" t="s">
        <v>224</v>
      </c>
      <c r="DE1414" s="1" t="s">
        <v>669</v>
      </c>
      <c r="DF1414" s="1" t="s">
        <v>219</v>
      </c>
      <c r="DG1414" s="1" t="s">
        <v>438</v>
      </c>
      <c r="DJ1414" s="1" t="s">
        <v>224</v>
      </c>
      <c r="DS1414" s="1" t="s">
        <v>230</v>
      </c>
      <c r="DW1414" s="1" t="s">
        <v>230</v>
      </c>
      <c r="EA1414" s="1" t="s">
        <v>230</v>
      </c>
      <c r="EE1414" s="1" t="s">
        <v>230</v>
      </c>
      <c r="EI1414" s="1" t="s">
        <v>230</v>
      </c>
      <c r="EL1414" s="1" t="s">
        <v>670</v>
      </c>
      <c r="EM1414" s="1" t="s">
        <v>319</v>
      </c>
      <c r="EN1414" s="1" t="s">
        <v>282</v>
      </c>
      <c r="EO1414" s="1" t="s">
        <v>234</v>
      </c>
      <c r="EQ1414" s="1" t="s">
        <v>236</v>
      </c>
      <c r="ER1414" s="1" t="s">
        <v>210</v>
      </c>
      <c r="ES1414" s="1" t="s">
        <v>322</v>
      </c>
      <c r="EV1414" s="1" t="s">
        <v>240</v>
      </c>
      <c r="EW1414" s="1" t="s">
        <v>1617</v>
      </c>
      <c r="EZ1414" s="1" t="s">
        <v>287</v>
      </c>
      <c r="FA1414" s="1" t="s">
        <v>1072</v>
      </c>
      <c r="FD1414" s="1" t="s">
        <v>246</v>
      </c>
      <c r="FE1414" s="1" t="s">
        <v>472</v>
      </c>
      <c r="FF1414" s="1" t="s">
        <v>1113</v>
      </c>
      <c r="FH1414" s="1" t="s">
        <v>825</v>
      </c>
      <c r="FI1414" s="1" t="s">
        <v>473</v>
      </c>
      <c r="FL1414" s="1" t="s">
        <v>358</v>
      </c>
      <c r="FM1414" s="1" t="s">
        <v>252</v>
      </c>
      <c r="FN1414" s="1" t="s">
        <v>213</v>
      </c>
      <c r="FO1414" s="1" t="s">
        <v>213</v>
      </c>
      <c r="FQ1414" s="1" t="s">
        <v>4088</v>
      </c>
      <c r="FR1414" s="1" t="s">
        <v>210</v>
      </c>
      <c r="FS1414" s="1" t="s">
        <v>14014</v>
      </c>
      <c r="FT1414" s="1" t="s">
        <v>295</v>
      </c>
      <c r="FU1414" s="1" t="s">
        <v>204</v>
      </c>
      <c r="FW1414" s="1" t="s">
        <v>813</v>
      </c>
      <c r="FX1414" s="1">
        <v>23196</v>
      </c>
      <c r="FY1414" s="1" t="s">
        <v>14015</v>
      </c>
      <c r="FZ1414" s="1" t="s">
        <v>14016</v>
      </c>
      <c r="GA1414" s="1">
        <v>233155</v>
      </c>
      <c r="GB1414" s="1" t="s">
        <v>14017</v>
      </c>
      <c r="GC1414" s="1">
        <v>221629</v>
      </c>
      <c r="GD1414" s="1" t="s">
        <v>14018</v>
      </c>
      <c r="GE1414" s="1" t="s">
        <v>335</v>
      </c>
      <c r="GI1414" s="1" t="s">
        <v>213</v>
      </c>
      <c r="GJ1414" s="1" t="s">
        <v>260</v>
      </c>
      <c r="GK1414" s="1" t="s">
        <v>210</v>
      </c>
      <c r="GL1414" s="2">
        <v>42121</v>
      </c>
      <c r="GM1414" s="1" t="s">
        <v>14019</v>
      </c>
    </row>
    <row r="1415" spans="1:195">
      <c r="A1415" s="1">
        <v>169000</v>
      </c>
      <c r="B1415" s="1" t="s">
        <v>195</v>
      </c>
      <c r="C1415" s="1" t="str">
        <f>"08860182"</f>
        <v>08860182</v>
      </c>
      <c r="D1415" s="1" t="s">
        <v>196</v>
      </c>
      <c r="F1415" s="1" t="str">
        <f>"60"</f>
        <v>60</v>
      </c>
      <c r="G1415" s="2">
        <v>42075</v>
      </c>
      <c r="H1415" s="1">
        <v>176999</v>
      </c>
      <c r="I1415" s="1">
        <v>176999</v>
      </c>
      <c r="J1415" s="1">
        <v>169000</v>
      </c>
      <c r="K1415" s="2">
        <v>42075</v>
      </c>
      <c r="L1415" s="1">
        <v>29</v>
      </c>
      <c r="M1415" s="2">
        <v>42103</v>
      </c>
      <c r="N1415" s="1">
        <v>29</v>
      </c>
      <c r="O1415" s="2">
        <v>42103</v>
      </c>
      <c r="P1415" s="1">
        <v>2512</v>
      </c>
      <c r="Q1415" s="1" t="s">
        <v>197</v>
      </c>
      <c r="R1415" s="2">
        <v>42131</v>
      </c>
      <c r="S1415" s="1">
        <v>243552</v>
      </c>
      <c r="U1415" s="1">
        <v>1213</v>
      </c>
      <c r="V1415" s="1" t="s">
        <v>1706</v>
      </c>
      <c r="W1415" s="1" t="s">
        <v>264</v>
      </c>
      <c r="X1415" s="1" t="s">
        <v>5590</v>
      </c>
      <c r="Y1415" s="1">
        <v>2</v>
      </c>
      <c r="Z1415" s="1" t="s">
        <v>200</v>
      </c>
      <c r="AA1415" s="1" t="s">
        <v>1689</v>
      </c>
      <c r="AB1415" s="1">
        <v>60060</v>
      </c>
      <c r="AD1415" s="1" t="s">
        <v>14020</v>
      </c>
      <c r="AE1415" s="1" t="s">
        <v>14021</v>
      </c>
      <c r="AF1415" s="1">
        <v>1996</v>
      </c>
      <c r="AG1415" s="1" t="s">
        <v>204</v>
      </c>
      <c r="AH1415" s="1" t="s">
        <v>1692</v>
      </c>
      <c r="AI1415" s="1" t="s">
        <v>509</v>
      </c>
      <c r="AJ1415" s="1" t="s">
        <v>5836</v>
      </c>
      <c r="AK1415" s="1" t="s">
        <v>2391</v>
      </c>
      <c r="AL1415" s="1">
        <v>6</v>
      </c>
      <c r="AM1415" s="1">
        <v>2</v>
      </c>
      <c r="AN1415" s="1">
        <v>1</v>
      </c>
      <c r="AO1415" s="1">
        <v>1</v>
      </c>
      <c r="AP1415" s="1" t="s">
        <v>667</v>
      </c>
      <c r="AR1415" s="1" t="s">
        <v>210</v>
      </c>
      <c r="AT1415" s="1" t="s">
        <v>211</v>
      </c>
      <c r="AU1415" s="1">
        <v>2</v>
      </c>
      <c r="AW1415" s="1" t="s">
        <v>204</v>
      </c>
      <c r="AX1415" s="1" t="s">
        <v>14022</v>
      </c>
      <c r="AZ1415" s="1">
        <v>5342</v>
      </c>
      <c r="BA1415" s="1">
        <v>2013</v>
      </c>
      <c r="BB1415" s="1" t="s">
        <v>210</v>
      </c>
      <c r="BE1415" s="1">
        <v>1522</v>
      </c>
      <c r="BF1415" s="1">
        <v>1</v>
      </c>
      <c r="BG1415" s="1">
        <v>0</v>
      </c>
      <c r="BL1415" s="1">
        <v>0</v>
      </c>
      <c r="BM1415" s="1" t="s">
        <v>204</v>
      </c>
      <c r="BN1415" s="1" t="s">
        <v>213</v>
      </c>
      <c r="BO1415" s="1">
        <v>100</v>
      </c>
      <c r="BP1415" s="1" t="s">
        <v>204</v>
      </c>
      <c r="BR1415" s="1" t="str">
        <f>"10131150160000"</f>
        <v>10131150160000</v>
      </c>
      <c r="BT1415" s="1" t="s">
        <v>14023</v>
      </c>
      <c r="BU1415" s="1" t="s">
        <v>14024</v>
      </c>
      <c r="BV1415" s="1" t="s">
        <v>14025</v>
      </c>
      <c r="BW1415" s="1" t="s">
        <v>5840</v>
      </c>
      <c r="BX1415" s="1">
        <v>79</v>
      </c>
      <c r="BY1415" s="1">
        <v>79</v>
      </c>
      <c r="BZ1415" s="1">
        <v>120</v>
      </c>
      <c r="CB1415" s="1" t="str">
        <f>"29"</f>
        <v>29</v>
      </c>
      <c r="CC1415" s="1" t="str">
        <f>"0"</f>
        <v>0</v>
      </c>
      <c r="CD1415" s="1">
        <v>20</v>
      </c>
      <c r="CE1415" s="1">
        <v>0</v>
      </c>
      <c r="CG1415" s="1" t="s">
        <v>861</v>
      </c>
      <c r="CH1415" s="1" t="s">
        <v>219</v>
      </c>
      <c r="CI1415" s="1" t="s">
        <v>220</v>
      </c>
      <c r="CK1415" s="1" t="s">
        <v>315</v>
      </c>
      <c r="CL1415" s="1" t="s">
        <v>277</v>
      </c>
      <c r="CM1415" s="1" t="s">
        <v>220</v>
      </c>
      <c r="CO1415" s="1" t="s">
        <v>223</v>
      </c>
      <c r="CP1415" s="1" t="s">
        <v>219</v>
      </c>
      <c r="CQ1415" s="1" t="s">
        <v>220</v>
      </c>
      <c r="CS1415" s="1" t="s">
        <v>346</v>
      </c>
      <c r="CT1415" s="1" t="s">
        <v>277</v>
      </c>
      <c r="CU1415" s="1" t="s">
        <v>220</v>
      </c>
      <c r="CX1415" s="1" t="s">
        <v>224</v>
      </c>
      <c r="DB1415" s="1" t="s">
        <v>224</v>
      </c>
      <c r="DE1415" s="1" t="s">
        <v>758</v>
      </c>
      <c r="DF1415" s="1" t="s">
        <v>219</v>
      </c>
      <c r="DG1415" s="1" t="s">
        <v>342</v>
      </c>
      <c r="DJ1415" s="1" t="s">
        <v>224</v>
      </c>
      <c r="DM1415" s="1" t="s">
        <v>464</v>
      </c>
      <c r="DR1415" s="1" t="s">
        <v>465</v>
      </c>
      <c r="DS1415" s="1" t="s">
        <v>277</v>
      </c>
      <c r="DT1415" s="1" t="s">
        <v>220</v>
      </c>
      <c r="DW1415" s="1" t="s">
        <v>230</v>
      </c>
      <c r="EA1415" s="1" t="s">
        <v>230</v>
      </c>
      <c r="EE1415" s="1" t="s">
        <v>230</v>
      </c>
      <c r="EI1415" s="1" t="s">
        <v>230</v>
      </c>
      <c r="EL1415" s="1" t="s">
        <v>670</v>
      </c>
      <c r="EM1415" s="1" t="s">
        <v>232</v>
      </c>
      <c r="EN1415" s="1" t="s">
        <v>282</v>
      </c>
      <c r="EO1415" s="1" t="s">
        <v>840</v>
      </c>
      <c r="EP1415" s="1" t="s">
        <v>14026</v>
      </c>
      <c r="EQ1415" s="1" t="s">
        <v>236</v>
      </c>
      <c r="ER1415" s="1" t="s">
        <v>383</v>
      </c>
      <c r="ES1415" s="1" t="s">
        <v>545</v>
      </c>
      <c r="EU1415" s="1" t="s">
        <v>610</v>
      </c>
      <c r="EV1415" s="1" t="s">
        <v>240</v>
      </c>
      <c r="EW1415" s="1" t="s">
        <v>210</v>
      </c>
      <c r="EY1415" s="1" t="s">
        <v>242</v>
      </c>
      <c r="EZ1415" s="1" t="s">
        <v>464</v>
      </c>
      <c r="FA1415" s="1" t="s">
        <v>6559</v>
      </c>
      <c r="FC1415" s="1" t="s">
        <v>326</v>
      </c>
      <c r="FD1415" s="1" t="s">
        <v>246</v>
      </c>
      <c r="FE1415" s="1" t="s">
        <v>1031</v>
      </c>
      <c r="FF1415" s="1" t="s">
        <v>248</v>
      </c>
      <c r="FH1415" s="1" t="s">
        <v>442</v>
      </c>
      <c r="FI1415" s="1" t="s">
        <v>473</v>
      </c>
      <c r="FJ1415" s="1" t="s">
        <v>518</v>
      </c>
      <c r="FL1415" s="1" t="s">
        <v>358</v>
      </c>
      <c r="FM1415" s="1" t="s">
        <v>252</v>
      </c>
      <c r="FN1415" s="1" t="s">
        <v>213</v>
      </c>
      <c r="FO1415" s="1" t="s">
        <v>213</v>
      </c>
      <c r="FQ1415" s="1" t="s">
        <v>14027</v>
      </c>
      <c r="FR1415" s="1" t="s">
        <v>652</v>
      </c>
      <c r="FS1415" s="1" t="s">
        <v>2712</v>
      </c>
      <c r="FT1415" s="1" t="s">
        <v>14028</v>
      </c>
      <c r="FU1415" s="1" t="s">
        <v>204</v>
      </c>
      <c r="FW1415" s="1" t="s">
        <v>1275</v>
      </c>
      <c r="FX1415" s="1">
        <v>2700</v>
      </c>
      <c r="FY1415" s="1" t="s">
        <v>1276</v>
      </c>
      <c r="FZ1415" s="1" t="s">
        <v>6652</v>
      </c>
      <c r="GA1415" s="1">
        <v>12114</v>
      </c>
      <c r="GB1415" s="1" t="s">
        <v>6653</v>
      </c>
      <c r="GE1415" s="1" t="s">
        <v>210</v>
      </c>
      <c r="GI1415" s="1" t="s">
        <v>213</v>
      </c>
      <c r="GJ1415" s="1" t="s">
        <v>260</v>
      </c>
      <c r="GK1415" s="1" t="s">
        <v>210</v>
      </c>
      <c r="GL1415" s="2">
        <v>42132</v>
      </c>
      <c r="GM1415" s="1" t="s">
        <v>14029</v>
      </c>
    </row>
    <row r="1416" spans="1:195">
      <c r="A1416" s="1">
        <v>169000</v>
      </c>
      <c r="B1416" s="1" t="s">
        <v>195</v>
      </c>
      <c r="C1416" s="1" t="str">
        <f>"08860774"</f>
        <v>08860774</v>
      </c>
      <c r="D1416" s="1" t="s">
        <v>196</v>
      </c>
      <c r="F1416" s="1" t="str">
        <f>"106"</f>
        <v>106</v>
      </c>
      <c r="G1416" s="2">
        <v>42076</v>
      </c>
      <c r="H1416" s="1">
        <v>189900</v>
      </c>
      <c r="I1416" s="1">
        <v>179900</v>
      </c>
      <c r="J1416" s="1">
        <v>169000</v>
      </c>
      <c r="K1416" s="2">
        <v>42076</v>
      </c>
      <c r="L1416" s="1">
        <v>40</v>
      </c>
      <c r="M1416" s="2">
        <v>42115</v>
      </c>
      <c r="N1416" s="1">
        <v>40</v>
      </c>
      <c r="O1416" s="2">
        <v>42115</v>
      </c>
      <c r="P1416" s="1">
        <v>22739</v>
      </c>
      <c r="Q1416" s="1" t="s">
        <v>302</v>
      </c>
      <c r="R1416" s="2">
        <v>42150</v>
      </c>
      <c r="U1416" s="1">
        <v>100</v>
      </c>
      <c r="V1416" s="1" t="s">
        <v>12355</v>
      </c>
      <c r="W1416" s="1" t="s">
        <v>425</v>
      </c>
      <c r="X1416" s="1">
        <v>407</v>
      </c>
      <c r="Y1416" s="1">
        <v>60</v>
      </c>
      <c r="Z1416" s="1" t="s">
        <v>249</v>
      </c>
      <c r="AA1416" s="1" t="s">
        <v>1229</v>
      </c>
      <c r="AB1416" s="1">
        <v>60106</v>
      </c>
      <c r="AD1416" s="1" t="s">
        <v>14030</v>
      </c>
      <c r="AE1416" s="1" t="s">
        <v>14031</v>
      </c>
      <c r="AF1416" s="1">
        <v>1999</v>
      </c>
      <c r="AG1416" s="1" t="s">
        <v>204</v>
      </c>
      <c r="AH1416" s="1" t="s">
        <v>1232</v>
      </c>
      <c r="AI1416" s="1" t="s">
        <v>206</v>
      </c>
      <c r="AJ1416" s="1" t="s">
        <v>1233</v>
      </c>
      <c r="AL1416" s="1">
        <v>5</v>
      </c>
      <c r="AM1416" s="1">
        <v>2</v>
      </c>
      <c r="AN1416" s="1">
        <v>2</v>
      </c>
      <c r="AO1416" s="1">
        <v>0</v>
      </c>
      <c r="AP1416" s="1" t="s">
        <v>209</v>
      </c>
      <c r="AQ1416" s="1">
        <v>0</v>
      </c>
      <c r="AR1416" s="1" t="s">
        <v>210</v>
      </c>
      <c r="AS1416" s="1" t="s">
        <v>204</v>
      </c>
      <c r="AT1416" s="1" t="s">
        <v>211</v>
      </c>
      <c r="AU1416" s="1">
        <v>2</v>
      </c>
      <c r="AW1416" s="1" t="s">
        <v>204</v>
      </c>
      <c r="AX1416" s="1" t="s">
        <v>212</v>
      </c>
      <c r="AZ1416" s="1">
        <v>3627.8</v>
      </c>
      <c r="BA1416" s="1">
        <v>2013</v>
      </c>
      <c r="BB1416" s="1" t="s">
        <v>405</v>
      </c>
      <c r="BE1416" s="1">
        <v>1300</v>
      </c>
      <c r="BF1416" s="1">
        <v>4</v>
      </c>
      <c r="BG1416" s="1">
        <v>30</v>
      </c>
      <c r="BJ1416" s="1">
        <v>92</v>
      </c>
      <c r="BL1416" s="1">
        <v>320</v>
      </c>
      <c r="BM1416" s="1" t="s">
        <v>204</v>
      </c>
      <c r="BN1416" s="1" t="s">
        <v>213</v>
      </c>
      <c r="BO1416" s="1">
        <v>50</v>
      </c>
      <c r="BP1416" s="1" t="s">
        <v>204</v>
      </c>
      <c r="BR1416" s="1" t="str">
        <f>"03142190370000"</f>
        <v>03142190370000</v>
      </c>
      <c r="BT1416" s="1" t="s">
        <v>14032</v>
      </c>
      <c r="BW1416" s="1" t="s">
        <v>1973</v>
      </c>
      <c r="BX1416" s="1">
        <v>2</v>
      </c>
      <c r="BY1416" s="1">
        <v>2</v>
      </c>
      <c r="BZ1416" s="1">
        <v>100</v>
      </c>
      <c r="CB1416" s="1" t="str">
        <f t="shared" ref="CB1416:CC1416" si="1079">""</f>
        <v/>
      </c>
      <c r="CC1416" s="1" t="str">
        <f t="shared" si="1079"/>
        <v/>
      </c>
      <c r="CG1416" s="1" t="s">
        <v>8708</v>
      </c>
      <c r="CH1416" s="1" t="s">
        <v>219</v>
      </c>
      <c r="CI1416" s="1" t="s">
        <v>438</v>
      </c>
      <c r="CJ1416" s="1" t="s">
        <v>210</v>
      </c>
      <c r="CK1416" s="1" t="s">
        <v>581</v>
      </c>
      <c r="CL1416" s="1" t="s">
        <v>219</v>
      </c>
      <c r="CM1416" s="1" t="s">
        <v>220</v>
      </c>
      <c r="CN1416" s="1" t="s">
        <v>210</v>
      </c>
      <c r="CO1416" s="1" t="s">
        <v>629</v>
      </c>
      <c r="CP1416" s="1" t="s">
        <v>219</v>
      </c>
      <c r="CS1416" s="1" t="s">
        <v>757</v>
      </c>
      <c r="CT1416" s="1" t="s">
        <v>219</v>
      </c>
      <c r="CU1416" s="1" t="s">
        <v>220</v>
      </c>
      <c r="CV1416" s="1" t="s">
        <v>210</v>
      </c>
      <c r="CX1416" s="1" t="s">
        <v>224</v>
      </c>
      <c r="DB1416" s="1" t="s">
        <v>224</v>
      </c>
      <c r="DE1416" s="1" t="s">
        <v>602</v>
      </c>
      <c r="DF1416" s="1" t="s">
        <v>219</v>
      </c>
      <c r="DG1416" s="1" t="s">
        <v>438</v>
      </c>
      <c r="DH1416" s="1" t="s">
        <v>210</v>
      </c>
      <c r="DJ1416" s="1" t="s">
        <v>224</v>
      </c>
      <c r="DM1416" s="1" t="s">
        <v>838</v>
      </c>
      <c r="DN1416" s="1" t="s">
        <v>1771</v>
      </c>
      <c r="DO1416" s="1" t="s">
        <v>709</v>
      </c>
      <c r="DR1416" s="1" t="s">
        <v>4214</v>
      </c>
      <c r="DS1416" s="1" t="s">
        <v>219</v>
      </c>
      <c r="DV1416" s="1" t="s">
        <v>10027</v>
      </c>
      <c r="DW1416" s="1" t="s">
        <v>219</v>
      </c>
      <c r="DX1416" s="1" t="s">
        <v>220</v>
      </c>
      <c r="DZ1416" s="1" t="s">
        <v>4260</v>
      </c>
      <c r="EA1416" s="1" t="s">
        <v>219</v>
      </c>
      <c r="EB1416" s="1" t="s">
        <v>438</v>
      </c>
      <c r="EE1416" s="1" t="s">
        <v>230</v>
      </c>
      <c r="EI1416" s="1" t="s">
        <v>230</v>
      </c>
      <c r="EL1416" s="1" t="s">
        <v>670</v>
      </c>
      <c r="EM1416" s="1" t="s">
        <v>232</v>
      </c>
      <c r="EN1416" s="1" t="s">
        <v>282</v>
      </c>
      <c r="EO1416" s="1" t="s">
        <v>234</v>
      </c>
      <c r="EP1416" s="1" t="s">
        <v>14033</v>
      </c>
      <c r="EQ1416" s="1" t="s">
        <v>236</v>
      </c>
      <c r="ER1416" s="1" t="s">
        <v>210</v>
      </c>
      <c r="ES1416" s="1" t="s">
        <v>493</v>
      </c>
      <c r="EV1416" s="1" t="s">
        <v>240</v>
      </c>
      <c r="EW1416" s="1" t="s">
        <v>2765</v>
      </c>
      <c r="EY1416" s="1" t="s">
        <v>242</v>
      </c>
      <c r="EZ1416" s="1" t="s">
        <v>14034</v>
      </c>
      <c r="FA1416" s="1" t="s">
        <v>14035</v>
      </c>
      <c r="FB1416" s="1" t="s">
        <v>289</v>
      </c>
      <c r="FC1416" s="1" t="s">
        <v>2470</v>
      </c>
      <c r="FD1416" s="1" t="s">
        <v>495</v>
      </c>
      <c r="FE1416" s="1" t="s">
        <v>247</v>
      </c>
      <c r="FF1416" s="1" t="s">
        <v>248</v>
      </c>
      <c r="FH1416" s="1" t="s">
        <v>249</v>
      </c>
      <c r="FI1416" s="1" t="s">
        <v>357</v>
      </c>
      <c r="FJ1416" s="1" t="s">
        <v>1251</v>
      </c>
      <c r="FL1416" s="1" t="s">
        <v>414</v>
      </c>
      <c r="FM1416" s="1" t="s">
        <v>252</v>
      </c>
      <c r="FN1416" s="1" t="s">
        <v>213</v>
      </c>
      <c r="FO1416" s="1" t="s">
        <v>213</v>
      </c>
      <c r="FQ1416" s="1" t="s">
        <v>1221</v>
      </c>
      <c r="FR1416" s="1" t="s">
        <v>210</v>
      </c>
      <c r="FS1416" s="1" t="s">
        <v>14036</v>
      </c>
      <c r="FT1416" s="1" t="s">
        <v>2589</v>
      </c>
      <c r="FU1416" s="1" t="s">
        <v>213</v>
      </c>
      <c r="FW1416" s="1" t="s">
        <v>14037</v>
      </c>
      <c r="FX1416" s="1">
        <v>15899</v>
      </c>
      <c r="FY1416" s="1" t="s">
        <v>14038</v>
      </c>
      <c r="FZ1416" s="1" t="s">
        <v>14039</v>
      </c>
      <c r="GA1416" s="1">
        <v>141587</v>
      </c>
      <c r="GB1416" s="1" t="s">
        <v>14038</v>
      </c>
      <c r="GD1416" s="1" t="s">
        <v>14040</v>
      </c>
      <c r="GE1416" s="1" t="s">
        <v>1256</v>
      </c>
      <c r="GH1416" s="1" t="s">
        <v>589</v>
      </c>
      <c r="GI1416" s="1" t="s">
        <v>213</v>
      </c>
      <c r="GJ1416" s="1" t="s">
        <v>260</v>
      </c>
      <c r="GK1416" s="1" t="s">
        <v>210</v>
      </c>
      <c r="GL1416" s="2">
        <v>42150</v>
      </c>
      <c r="GM1416" s="1" t="s">
        <v>14041</v>
      </c>
    </row>
    <row r="1417" spans="1:195">
      <c r="A1417" s="1">
        <v>137000</v>
      </c>
      <c r="B1417" s="1" t="s">
        <v>195</v>
      </c>
      <c r="C1417" s="1" t="str">
        <f>"08863893"</f>
        <v>08863893</v>
      </c>
      <c r="D1417" s="1" t="s">
        <v>196</v>
      </c>
      <c r="F1417" s="1" t="str">
        <f>"60"</f>
        <v>60</v>
      </c>
      <c r="G1417" s="2">
        <v>42080</v>
      </c>
      <c r="H1417" s="1">
        <v>139900</v>
      </c>
      <c r="I1417" s="1">
        <v>139900</v>
      </c>
      <c r="J1417" s="1">
        <v>137000</v>
      </c>
      <c r="K1417" s="2">
        <v>42080</v>
      </c>
      <c r="L1417" s="1">
        <v>6</v>
      </c>
      <c r="M1417" s="2">
        <v>42085</v>
      </c>
      <c r="N1417" s="1">
        <v>6</v>
      </c>
      <c r="O1417" s="2">
        <v>42085</v>
      </c>
      <c r="P1417" s="1">
        <v>2700</v>
      </c>
      <c r="Q1417" s="1" t="s">
        <v>197</v>
      </c>
      <c r="R1417" s="2">
        <v>42121</v>
      </c>
      <c r="S1417" s="1">
        <v>19248</v>
      </c>
      <c r="U1417" s="1">
        <v>1321</v>
      </c>
      <c r="V1417" s="1" t="s">
        <v>14042</v>
      </c>
      <c r="W1417" s="1" t="s">
        <v>264</v>
      </c>
      <c r="Y1417" s="1">
        <v>2</v>
      </c>
      <c r="Z1417" s="1" t="s">
        <v>200</v>
      </c>
      <c r="AA1417" s="1" t="s">
        <v>1689</v>
      </c>
      <c r="AB1417" s="1">
        <v>60060</v>
      </c>
      <c r="AD1417" s="1" t="s">
        <v>14043</v>
      </c>
      <c r="AE1417" s="1" t="s">
        <v>14044</v>
      </c>
      <c r="AF1417" s="1">
        <v>1988</v>
      </c>
      <c r="AG1417" s="1" t="s">
        <v>204</v>
      </c>
      <c r="AH1417" s="1" t="s">
        <v>1692</v>
      </c>
      <c r="AI1417" s="1" t="s">
        <v>509</v>
      </c>
      <c r="AJ1417" s="1" t="s">
        <v>5836</v>
      </c>
      <c r="AL1417" s="1">
        <v>6</v>
      </c>
      <c r="AM1417" s="1">
        <v>2</v>
      </c>
      <c r="AN1417" s="1">
        <v>1</v>
      </c>
      <c r="AO1417" s="1">
        <v>1</v>
      </c>
      <c r="AP1417" s="1" t="s">
        <v>209</v>
      </c>
      <c r="AQ1417" s="1">
        <v>1</v>
      </c>
      <c r="AR1417" s="1" t="s">
        <v>210</v>
      </c>
      <c r="AS1417" s="1" t="s">
        <v>204</v>
      </c>
      <c r="AT1417" s="1" t="s">
        <v>211</v>
      </c>
      <c r="AU1417" s="1">
        <v>1</v>
      </c>
      <c r="AW1417" s="1" t="s">
        <v>204</v>
      </c>
      <c r="AX1417" s="1" t="s">
        <v>14045</v>
      </c>
      <c r="AZ1417" s="1">
        <v>3952.79</v>
      </c>
      <c r="BA1417" s="1">
        <v>2013</v>
      </c>
      <c r="BB1417" s="1" t="s">
        <v>599</v>
      </c>
      <c r="BE1417" s="1">
        <v>1321</v>
      </c>
      <c r="BF1417" s="1">
        <v>1</v>
      </c>
      <c r="BG1417" s="1">
        <v>0</v>
      </c>
      <c r="BL1417" s="1">
        <v>0</v>
      </c>
      <c r="BM1417" s="1" t="s">
        <v>204</v>
      </c>
      <c r="BN1417" s="1" t="s">
        <v>213</v>
      </c>
      <c r="BO1417" s="1">
        <v>150</v>
      </c>
      <c r="BP1417" s="1" t="s">
        <v>204</v>
      </c>
      <c r="BR1417" s="1" t="str">
        <f>"10251110200000"</f>
        <v>10251110200000</v>
      </c>
      <c r="BT1417" s="1" t="s">
        <v>14046</v>
      </c>
      <c r="BU1417" s="1" t="s">
        <v>14047</v>
      </c>
      <c r="BV1417" s="1" t="s">
        <v>5839</v>
      </c>
      <c r="BW1417" s="1" t="s">
        <v>5840</v>
      </c>
      <c r="BX1417" s="1">
        <v>75</v>
      </c>
      <c r="BY1417" s="1">
        <v>75</v>
      </c>
      <c r="BZ1417" s="1">
        <v>120</v>
      </c>
      <c r="CB1417" s="1" t="str">
        <f t="shared" ref="CB1417:CC1417" si="1080">""</f>
        <v/>
      </c>
      <c r="CC1417" s="1" t="str">
        <f t="shared" si="1080"/>
        <v/>
      </c>
      <c r="CG1417" s="1" t="s">
        <v>1723</v>
      </c>
      <c r="CH1417" s="1" t="s">
        <v>219</v>
      </c>
      <c r="CI1417" s="1" t="s">
        <v>438</v>
      </c>
      <c r="CK1417" s="1" t="s">
        <v>377</v>
      </c>
      <c r="CL1417" s="1" t="s">
        <v>219</v>
      </c>
      <c r="CM1417" s="1" t="s">
        <v>229</v>
      </c>
      <c r="CO1417" s="1" t="s">
        <v>629</v>
      </c>
      <c r="CP1417" s="1" t="s">
        <v>219</v>
      </c>
      <c r="CS1417" s="1" t="s">
        <v>461</v>
      </c>
      <c r="CT1417" s="1" t="s">
        <v>219</v>
      </c>
      <c r="CU1417" s="1" t="s">
        <v>229</v>
      </c>
      <c r="CX1417" s="1" t="s">
        <v>224</v>
      </c>
      <c r="DB1417" s="1" t="s">
        <v>224</v>
      </c>
      <c r="DE1417" s="1" t="s">
        <v>409</v>
      </c>
      <c r="DF1417" s="1" t="s">
        <v>219</v>
      </c>
      <c r="DG1417" s="1" t="s">
        <v>438</v>
      </c>
      <c r="DI1417" s="1" t="s">
        <v>437</v>
      </c>
      <c r="DJ1417" s="1" t="s">
        <v>219</v>
      </c>
      <c r="DK1417" s="1" t="s">
        <v>438</v>
      </c>
      <c r="DS1417" s="1" t="s">
        <v>230</v>
      </c>
      <c r="DW1417" s="1" t="s">
        <v>230</v>
      </c>
      <c r="EA1417" s="1" t="s">
        <v>230</v>
      </c>
      <c r="EE1417" s="1" t="s">
        <v>230</v>
      </c>
      <c r="EI1417" s="1" t="s">
        <v>230</v>
      </c>
      <c r="EL1417" s="1" t="s">
        <v>542</v>
      </c>
      <c r="EM1417" s="1" t="s">
        <v>232</v>
      </c>
      <c r="EN1417" s="1" t="s">
        <v>282</v>
      </c>
      <c r="EO1417" s="1" t="s">
        <v>234</v>
      </c>
      <c r="EQ1417" s="1" t="s">
        <v>492</v>
      </c>
      <c r="ER1417" s="1" t="s">
        <v>210</v>
      </c>
      <c r="ES1417" s="1" t="s">
        <v>322</v>
      </c>
      <c r="ET1417" s="1" t="s">
        <v>323</v>
      </c>
      <c r="EU1417" s="1" t="s">
        <v>546</v>
      </c>
      <c r="EV1417" s="1" t="s">
        <v>240</v>
      </c>
      <c r="EW1417" s="1" t="s">
        <v>210</v>
      </c>
      <c r="EY1417" s="1" t="s">
        <v>441</v>
      </c>
      <c r="EZ1417" s="1" t="s">
        <v>287</v>
      </c>
      <c r="FA1417" s="1" t="s">
        <v>1270</v>
      </c>
      <c r="FD1417" s="1" t="s">
        <v>246</v>
      </c>
      <c r="FE1417" s="1" t="s">
        <v>472</v>
      </c>
      <c r="FF1417" s="1" t="s">
        <v>248</v>
      </c>
      <c r="FG1417" s="1" t="s">
        <v>871</v>
      </c>
      <c r="FH1417" s="1" t="s">
        <v>442</v>
      </c>
      <c r="FJ1417" s="1" t="s">
        <v>518</v>
      </c>
      <c r="FL1417" s="1" t="s">
        <v>358</v>
      </c>
      <c r="FM1417" s="1" t="s">
        <v>252</v>
      </c>
      <c r="FN1417" s="1" t="s">
        <v>213</v>
      </c>
      <c r="FO1417" s="1" t="s">
        <v>213</v>
      </c>
      <c r="FQ1417" s="1" t="s">
        <v>359</v>
      </c>
      <c r="FR1417" s="1" t="s">
        <v>210</v>
      </c>
      <c r="FS1417" s="1" t="s">
        <v>14048</v>
      </c>
      <c r="FT1417" s="1" t="s">
        <v>14049</v>
      </c>
      <c r="FU1417" s="1" t="s">
        <v>204</v>
      </c>
      <c r="FW1417" s="1" t="s">
        <v>256</v>
      </c>
      <c r="FX1417" s="1">
        <v>2648</v>
      </c>
      <c r="FY1417" s="1" t="s">
        <v>1022</v>
      </c>
      <c r="FZ1417" s="1" t="s">
        <v>7675</v>
      </c>
      <c r="GA1417" s="1">
        <v>18093</v>
      </c>
      <c r="GB1417" s="1" t="s">
        <v>7676</v>
      </c>
      <c r="GE1417" s="1" t="s">
        <v>1256</v>
      </c>
      <c r="GI1417" s="1" t="s">
        <v>213</v>
      </c>
      <c r="GJ1417" s="1" t="s">
        <v>260</v>
      </c>
      <c r="GK1417" s="1" t="s">
        <v>210</v>
      </c>
      <c r="GL1417" s="2">
        <v>42123</v>
      </c>
      <c r="GM1417" s="1" t="s">
        <v>14050</v>
      </c>
    </row>
    <row r="1418" spans="1:195">
      <c r="A1418" s="1">
        <v>65000</v>
      </c>
      <c r="B1418" s="1" t="s">
        <v>195</v>
      </c>
      <c r="C1418" s="1" t="str">
        <f>"08860072"</f>
        <v>08860072</v>
      </c>
      <c r="D1418" s="1" t="s">
        <v>196</v>
      </c>
      <c r="F1418" s="1" t="str">
        <f>"118"</f>
        <v>118</v>
      </c>
      <c r="G1418" s="2">
        <v>42075</v>
      </c>
      <c r="H1418" s="1">
        <v>78000</v>
      </c>
      <c r="I1418" s="1">
        <v>78000</v>
      </c>
      <c r="J1418" s="1">
        <v>65000</v>
      </c>
      <c r="K1418" s="2">
        <v>42075</v>
      </c>
      <c r="L1418" s="1">
        <v>9</v>
      </c>
      <c r="M1418" s="2">
        <v>42083</v>
      </c>
      <c r="N1418" s="1">
        <v>9</v>
      </c>
      <c r="O1418" s="2">
        <v>42083</v>
      </c>
      <c r="P1418" s="1">
        <v>6022</v>
      </c>
      <c r="Q1418" s="1" t="s">
        <v>302</v>
      </c>
      <c r="R1418" s="2">
        <v>42125</v>
      </c>
      <c r="S1418" s="1">
        <v>60667</v>
      </c>
      <c r="U1418" s="1">
        <v>605</v>
      </c>
      <c r="V1418" s="1" t="s">
        <v>6729</v>
      </c>
      <c r="W1418" s="1" t="s">
        <v>425</v>
      </c>
      <c r="X1418" s="1">
        <v>348</v>
      </c>
      <c r="Y1418" s="1">
        <v>90</v>
      </c>
      <c r="Z1418" s="1" t="s">
        <v>249</v>
      </c>
      <c r="AA1418" s="1" t="s">
        <v>4079</v>
      </c>
      <c r="AB1418" s="1">
        <v>60118</v>
      </c>
      <c r="AD1418" s="1" t="s">
        <v>12785</v>
      </c>
      <c r="AE1418" s="1" t="s">
        <v>12786</v>
      </c>
      <c r="AF1418" s="1">
        <v>2000</v>
      </c>
      <c r="AG1418" s="1" t="s">
        <v>204</v>
      </c>
      <c r="AH1418" s="1" t="s">
        <v>7861</v>
      </c>
      <c r="AI1418" s="1" t="s">
        <v>665</v>
      </c>
      <c r="AJ1418" s="1" t="s">
        <v>805</v>
      </c>
      <c r="AL1418" s="1">
        <v>4</v>
      </c>
      <c r="AM1418" s="1">
        <v>2</v>
      </c>
      <c r="AN1418" s="1">
        <v>1</v>
      </c>
      <c r="AO1418" s="1">
        <v>1</v>
      </c>
      <c r="AP1418" s="1" t="s">
        <v>209</v>
      </c>
      <c r="AR1418" s="1" t="s">
        <v>209</v>
      </c>
      <c r="AS1418" s="1" t="s">
        <v>204</v>
      </c>
      <c r="AT1418" s="1" t="s">
        <v>210</v>
      </c>
      <c r="AW1418" s="1" t="s">
        <v>204</v>
      </c>
      <c r="AX1418" s="1" t="s">
        <v>4740</v>
      </c>
      <c r="AZ1418" s="1">
        <v>2041</v>
      </c>
      <c r="BA1418" s="1">
        <v>2013</v>
      </c>
      <c r="BB1418" s="1" t="s">
        <v>405</v>
      </c>
      <c r="BE1418" s="1">
        <v>975</v>
      </c>
      <c r="BF1418" s="1">
        <v>3</v>
      </c>
      <c r="BG1418" s="1">
        <v>0</v>
      </c>
      <c r="BL1418" s="1">
        <v>1110</v>
      </c>
      <c r="BM1418" s="1" t="s">
        <v>204</v>
      </c>
      <c r="BN1418" s="1" t="s">
        <v>213</v>
      </c>
      <c r="BO1418" s="1">
        <v>20</v>
      </c>
      <c r="BP1418" s="1" t="s">
        <v>204</v>
      </c>
      <c r="BR1418" s="1" t="str">
        <f>"0323251051"</f>
        <v>0323251051</v>
      </c>
      <c r="BT1418" s="1" t="s">
        <v>14051</v>
      </c>
      <c r="BX1418" s="1">
        <v>300</v>
      </c>
      <c r="BY1418" s="1">
        <v>300</v>
      </c>
      <c r="BZ1418" s="1">
        <v>300</v>
      </c>
      <c r="CB1418" s="1" t="str">
        <f>"16"</f>
        <v>16</v>
      </c>
      <c r="CC1418" s="1" t="str">
        <f>"0"</f>
        <v>0</v>
      </c>
      <c r="CD1418" s="1">
        <v>33</v>
      </c>
      <c r="CE1418" s="1">
        <v>0</v>
      </c>
      <c r="CG1418" s="1" t="s">
        <v>1267</v>
      </c>
      <c r="CH1418" s="1" t="s">
        <v>784</v>
      </c>
      <c r="CI1418" s="1" t="s">
        <v>220</v>
      </c>
      <c r="CJ1418" s="1" t="s">
        <v>252</v>
      </c>
      <c r="CK1418" s="1" t="s">
        <v>344</v>
      </c>
      <c r="CL1418" s="1" t="s">
        <v>784</v>
      </c>
      <c r="CM1418" s="1" t="s">
        <v>220</v>
      </c>
      <c r="CN1418" s="1" t="s">
        <v>252</v>
      </c>
      <c r="CP1418" s="1" t="s">
        <v>224</v>
      </c>
      <c r="CS1418" s="1" t="s">
        <v>317</v>
      </c>
      <c r="CT1418" s="1" t="s">
        <v>784</v>
      </c>
      <c r="CU1418" s="1" t="s">
        <v>220</v>
      </c>
      <c r="CV1418" s="1" t="s">
        <v>252</v>
      </c>
      <c r="CX1418" s="1" t="s">
        <v>224</v>
      </c>
      <c r="DB1418" s="1" t="s">
        <v>224</v>
      </c>
      <c r="DE1418" s="1" t="s">
        <v>346</v>
      </c>
      <c r="DF1418" s="1" t="s">
        <v>784</v>
      </c>
      <c r="DG1418" s="1" t="s">
        <v>342</v>
      </c>
      <c r="DH1418" s="1" t="s">
        <v>252</v>
      </c>
      <c r="DJ1418" s="1" t="s">
        <v>224</v>
      </c>
      <c r="DS1418" s="1" t="s">
        <v>230</v>
      </c>
      <c r="DW1418" s="1" t="s">
        <v>230</v>
      </c>
      <c r="EA1418" s="1" t="s">
        <v>230</v>
      </c>
      <c r="EE1418" s="1" t="s">
        <v>230</v>
      </c>
      <c r="EI1418" s="1" t="s">
        <v>230</v>
      </c>
      <c r="EL1418" s="1" t="s">
        <v>466</v>
      </c>
      <c r="EM1418" s="1" t="s">
        <v>319</v>
      </c>
      <c r="EN1418" s="1" t="s">
        <v>282</v>
      </c>
      <c r="EO1418" s="1" t="s">
        <v>234</v>
      </c>
      <c r="EP1418" s="1" t="s">
        <v>12788</v>
      </c>
      <c r="EQ1418" s="1" t="s">
        <v>492</v>
      </c>
      <c r="ER1418" s="1" t="s">
        <v>1249</v>
      </c>
      <c r="ES1418" s="1" t="s">
        <v>493</v>
      </c>
      <c r="ET1418" s="1" t="s">
        <v>609</v>
      </c>
      <c r="EU1418" s="1" t="s">
        <v>239</v>
      </c>
      <c r="EV1418" s="1" t="s">
        <v>240</v>
      </c>
      <c r="EW1418" s="1" t="s">
        <v>14052</v>
      </c>
      <c r="EY1418" s="1" t="s">
        <v>242</v>
      </c>
      <c r="EZ1418" s="1" t="s">
        <v>287</v>
      </c>
      <c r="FA1418" s="1" t="s">
        <v>10364</v>
      </c>
      <c r="FB1418" s="1" t="s">
        <v>2888</v>
      </c>
      <c r="FC1418" s="1" t="s">
        <v>1386</v>
      </c>
      <c r="FD1418" s="1" t="s">
        <v>4676</v>
      </c>
      <c r="FE1418" s="1" t="s">
        <v>247</v>
      </c>
      <c r="FF1418" s="1" t="s">
        <v>248</v>
      </c>
      <c r="FH1418" s="1" t="s">
        <v>249</v>
      </c>
      <c r="FJ1418" s="1" t="s">
        <v>197</v>
      </c>
      <c r="FL1418" s="1" t="s">
        <v>1826</v>
      </c>
      <c r="FM1418" s="1" t="s">
        <v>252</v>
      </c>
      <c r="FN1418" s="1" t="s">
        <v>213</v>
      </c>
      <c r="FO1418" s="1" t="s">
        <v>213</v>
      </c>
      <c r="FQ1418" s="1" t="s">
        <v>11797</v>
      </c>
      <c r="FR1418" s="1" t="s">
        <v>210</v>
      </c>
      <c r="FS1418" s="1" t="s">
        <v>4452</v>
      </c>
      <c r="FT1418" s="1" t="s">
        <v>362</v>
      </c>
      <c r="FU1418" s="1" t="s">
        <v>204</v>
      </c>
      <c r="FV1418" s="1" t="s">
        <v>1589</v>
      </c>
      <c r="FW1418" s="1" t="s">
        <v>1097</v>
      </c>
      <c r="FX1418" s="1">
        <v>5153</v>
      </c>
      <c r="FY1418" s="1" t="s">
        <v>1590</v>
      </c>
      <c r="FZ1418" s="1" t="s">
        <v>1591</v>
      </c>
      <c r="GA1418" s="1">
        <v>55327</v>
      </c>
      <c r="GB1418" s="1" t="s">
        <v>1592</v>
      </c>
      <c r="GD1418" s="1" t="s">
        <v>1593</v>
      </c>
      <c r="GE1418" s="1" t="s">
        <v>623</v>
      </c>
      <c r="GI1418" s="1" t="s">
        <v>213</v>
      </c>
      <c r="GJ1418" s="1" t="s">
        <v>260</v>
      </c>
      <c r="GK1418" s="1" t="s">
        <v>210</v>
      </c>
      <c r="GL1418" s="2">
        <v>42126</v>
      </c>
      <c r="GM1418" s="1" t="s">
        <v>14053</v>
      </c>
    </row>
    <row r="1419" spans="1:195">
      <c r="A1419" s="1">
        <v>124000</v>
      </c>
      <c r="B1419" s="1" t="s">
        <v>195</v>
      </c>
      <c r="C1419" s="1" t="str">
        <f>"08866028"</f>
        <v>08866028</v>
      </c>
      <c r="D1419" s="1" t="s">
        <v>196</v>
      </c>
      <c r="F1419" s="1" t="str">
        <f>"61"</f>
        <v>61</v>
      </c>
      <c r="G1419" s="2">
        <v>42082</v>
      </c>
      <c r="H1419" s="1">
        <v>136900</v>
      </c>
      <c r="I1419" s="1">
        <v>136900</v>
      </c>
      <c r="J1419" s="1">
        <v>124000</v>
      </c>
      <c r="K1419" s="2">
        <v>42079</v>
      </c>
      <c r="L1419" s="1">
        <v>39</v>
      </c>
      <c r="M1419" s="2">
        <v>42117</v>
      </c>
      <c r="N1419" s="1">
        <v>39</v>
      </c>
      <c r="O1419" s="2">
        <v>42117</v>
      </c>
      <c r="P1419" s="1">
        <v>3460</v>
      </c>
      <c r="Q1419" s="1" t="s">
        <v>302</v>
      </c>
      <c r="R1419" s="2">
        <v>42124</v>
      </c>
      <c r="S1419" s="1">
        <v>35222</v>
      </c>
      <c r="U1419" s="1">
        <v>16</v>
      </c>
      <c r="V1419" s="1" t="s">
        <v>14054</v>
      </c>
      <c r="W1419" s="1" t="s">
        <v>304</v>
      </c>
      <c r="Y1419" s="1">
        <v>4</v>
      </c>
      <c r="Z1419" s="1" t="s">
        <v>249</v>
      </c>
      <c r="AA1419" s="1" t="s">
        <v>505</v>
      </c>
      <c r="AB1419" s="1">
        <v>60061</v>
      </c>
      <c r="AE1419" s="1" t="s">
        <v>14055</v>
      </c>
      <c r="AF1419" s="1">
        <v>1979</v>
      </c>
      <c r="AG1419" s="1" t="s">
        <v>204</v>
      </c>
      <c r="AH1419" s="1" t="s">
        <v>508</v>
      </c>
      <c r="AI1419" s="1" t="s">
        <v>509</v>
      </c>
      <c r="AJ1419" s="1" t="s">
        <v>510</v>
      </c>
      <c r="AL1419" s="1">
        <v>6</v>
      </c>
      <c r="AM1419" s="1">
        <v>2</v>
      </c>
      <c r="AN1419" s="1">
        <v>1</v>
      </c>
      <c r="AO1419" s="1">
        <v>1</v>
      </c>
      <c r="AP1419" s="1" t="s">
        <v>210</v>
      </c>
      <c r="AR1419" s="1" t="s">
        <v>1631</v>
      </c>
      <c r="AS1419" s="1" t="s">
        <v>213</v>
      </c>
      <c r="AT1419" s="1" t="s">
        <v>211</v>
      </c>
      <c r="AU1419" s="1">
        <v>1</v>
      </c>
      <c r="AW1419" s="1" t="s">
        <v>204</v>
      </c>
      <c r="AX1419" s="1" t="s">
        <v>212</v>
      </c>
      <c r="AZ1419" s="1">
        <v>3008.21</v>
      </c>
      <c r="BA1419" s="1">
        <v>2013</v>
      </c>
      <c r="BE1419" s="1">
        <v>900</v>
      </c>
      <c r="BF1419" s="1">
        <v>1</v>
      </c>
      <c r="BG1419" s="1">
        <v>0</v>
      </c>
      <c r="BL1419" s="1">
        <v>250</v>
      </c>
      <c r="BM1419" s="1" t="s">
        <v>204</v>
      </c>
      <c r="BN1419" s="1" t="s">
        <v>213</v>
      </c>
      <c r="BP1419" s="1" t="s">
        <v>204</v>
      </c>
      <c r="BR1419" s="1" t="str">
        <f>"15054230780000"</f>
        <v>15054230780000</v>
      </c>
      <c r="BT1419" s="1" t="s">
        <v>14056</v>
      </c>
      <c r="BX1419" s="1">
        <v>73</v>
      </c>
      <c r="BY1419" s="1">
        <v>73</v>
      </c>
      <c r="BZ1419" s="1">
        <v>128</v>
      </c>
      <c r="CB1419" s="1" t="str">
        <f t="shared" ref="CB1419:CC1419" si="1081">""</f>
        <v/>
      </c>
      <c r="CC1419" s="1" t="str">
        <f t="shared" si="1081"/>
        <v/>
      </c>
      <c r="CG1419" s="1" t="s">
        <v>1045</v>
      </c>
      <c r="CH1419" s="1" t="s">
        <v>219</v>
      </c>
      <c r="CK1419" s="1" t="s">
        <v>539</v>
      </c>
      <c r="CL1419" s="1" t="s">
        <v>219</v>
      </c>
      <c r="CP1419" s="1" t="s">
        <v>224</v>
      </c>
      <c r="CS1419" s="1" t="s">
        <v>379</v>
      </c>
      <c r="CT1419" s="1" t="s">
        <v>219</v>
      </c>
      <c r="CX1419" s="1" t="s">
        <v>224</v>
      </c>
      <c r="DB1419" s="1" t="s">
        <v>224</v>
      </c>
      <c r="DE1419" s="1" t="s">
        <v>1454</v>
      </c>
      <c r="DF1419" s="1" t="s">
        <v>219</v>
      </c>
      <c r="DI1419" s="1" t="s">
        <v>465</v>
      </c>
      <c r="DJ1419" s="1" t="s">
        <v>43</v>
      </c>
      <c r="DM1419" s="1" t="s">
        <v>1005</v>
      </c>
      <c r="DR1419" s="1" t="s">
        <v>318</v>
      </c>
      <c r="DS1419" s="1" t="s">
        <v>43</v>
      </c>
      <c r="DW1419" s="1" t="s">
        <v>230</v>
      </c>
      <c r="EA1419" s="1" t="s">
        <v>230</v>
      </c>
      <c r="EE1419" s="1" t="s">
        <v>230</v>
      </c>
      <c r="EI1419" s="1" t="s">
        <v>230</v>
      </c>
      <c r="EL1419" s="1" t="s">
        <v>231</v>
      </c>
      <c r="EM1419" s="1" t="s">
        <v>319</v>
      </c>
      <c r="EN1419" s="1" t="s">
        <v>210</v>
      </c>
      <c r="EO1419" s="1" t="s">
        <v>234</v>
      </c>
      <c r="ER1419" s="1" t="s">
        <v>544</v>
      </c>
      <c r="EW1419" s="1" t="s">
        <v>210</v>
      </c>
      <c r="EZ1419" s="1" t="s">
        <v>1005</v>
      </c>
      <c r="FD1419" s="1" t="s">
        <v>736</v>
      </c>
      <c r="FE1419" s="1" t="s">
        <v>472</v>
      </c>
      <c r="FF1419" s="1" t="s">
        <v>248</v>
      </c>
      <c r="FH1419" s="1" t="s">
        <v>2175</v>
      </c>
      <c r="FL1419" s="1" t="s">
        <v>414</v>
      </c>
      <c r="FM1419" s="1" t="s">
        <v>252</v>
      </c>
      <c r="FN1419" s="1" t="s">
        <v>213</v>
      </c>
      <c r="FO1419" s="1" t="s">
        <v>213</v>
      </c>
      <c r="FQ1419" s="1" t="s">
        <v>689</v>
      </c>
      <c r="FR1419" s="1" t="s">
        <v>210</v>
      </c>
      <c r="FS1419" s="1" t="s">
        <v>1805</v>
      </c>
      <c r="FT1419" s="1" t="s">
        <v>11469</v>
      </c>
      <c r="FU1419" s="1" t="s">
        <v>204</v>
      </c>
      <c r="FW1419" s="1" t="s">
        <v>1806</v>
      </c>
      <c r="FX1419" s="1">
        <v>25196</v>
      </c>
      <c r="FY1419" s="1" t="s">
        <v>1807</v>
      </c>
      <c r="FZ1419" s="1" t="s">
        <v>1808</v>
      </c>
      <c r="GA1419" s="1">
        <v>214545</v>
      </c>
      <c r="GB1419" s="1" t="s">
        <v>1807</v>
      </c>
      <c r="GC1419" s="1">
        <v>239627</v>
      </c>
      <c r="GE1419" s="1" t="s">
        <v>210</v>
      </c>
      <c r="GI1419" s="1" t="s">
        <v>213</v>
      </c>
      <c r="GJ1419" s="1" t="s">
        <v>260</v>
      </c>
      <c r="GK1419" s="1" t="s">
        <v>210</v>
      </c>
      <c r="GL1419" s="2">
        <v>42128</v>
      </c>
      <c r="GM1419" s="1" t="s">
        <v>11470</v>
      </c>
    </row>
    <row r="1420" spans="1:195">
      <c r="A1420" s="1">
        <v>82500</v>
      </c>
      <c r="B1420" s="1" t="s">
        <v>195</v>
      </c>
      <c r="C1420" s="1" t="str">
        <f>"08860919"</f>
        <v>08860919</v>
      </c>
      <c r="D1420" s="1" t="s">
        <v>196</v>
      </c>
      <c r="F1420" s="1" t="str">
        <f>"515"</f>
        <v>515</v>
      </c>
      <c r="G1420" s="2">
        <v>42076</v>
      </c>
      <c r="H1420" s="1">
        <v>99000</v>
      </c>
      <c r="I1420" s="1">
        <v>99000</v>
      </c>
      <c r="J1420" s="1">
        <v>82500</v>
      </c>
      <c r="K1420" s="2">
        <v>42076</v>
      </c>
      <c r="L1420" s="1">
        <v>1</v>
      </c>
      <c r="M1420" s="2">
        <v>42076</v>
      </c>
      <c r="N1420" s="1">
        <v>1</v>
      </c>
      <c r="O1420" s="2">
        <v>42076</v>
      </c>
      <c r="P1420" s="1">
        <v>23099</v>
      </c>
      <c r="Q1420" s="1" t="s">
        <v>197</v>
      </c>
      <c r="R1420" s="2">
        <v>42115</v>
      </c>
      <c r="S1420" s="1">
        <v>224937</v>
      </c>
      <c r="U1420" s="1">
        <v>2</v>
      </c>
      <c r="V1420" s="1" t="s">
        <v>12386</v>
      </c>
      <c r="W1420" s="1" t="s">
        <v>304</v>
      </c>
      <c r="X1420" s="1">
        <v>2</v>
      </c>
      <c r="Y1420" s="1">
        <v>2</v>
      </c>
      <c r="Z1420" s="1" t="s">
        <v>249</v>
      </c>
      <c r="AA1420" s="1" t="s">
        <v>1294</v>
      </c>
      <c r="AB1420" s="1">
        <v>60516</v>
      </c>
      <c r="AD1420" s="1" t="s">
        <v>13001</v>
      </c>
      <c r="AE1420" s="1" t="s">
        <v>14057</v>
      </c>
      <c r="AF1420" s="1">
        <v>1971</v>
      </c>
      <c r="AG1420" s="1" t="s">
        <v>213</v>
      </c>
      <c r="AH1420" s="1" t="s">
        <v>903</v>
      </c>
      <c r="AI1420" s="1" t="s">
        <v>206</v>
      </c>
      <c r="AJ1420" s="1" t="s">
        <v>903</v>
      </c>
      <c r="AL1420" s="1">
        <v>4</v>
      </c>
      <c r="AM1420" s="1">
        <v>2</v>
      </c>
      <c r="AN1420" s="1">
        <v>1</v>
      </c>
      <c r="AO1420" s="1">
        <v>1</v>
      </c>
      <c r="AP1420" s="1" t="s">
        <v>210</v>
      </c>
      <c r="AR1420" s="1" t="s">
        <v>210</v>
      </c>
      <c r="AS1420" s="1" t="s">
        <v>204</v>
      </c>
      <c r="AT1420" s="1" t="s">
        <v>271</v>
      </c>
      <c r="AV1420" s="1">
        <v>2</v>
      </c>
      <c r="AW1420" s="1" t="s">
        <v>204</v>
      </c>
      <c r="AX1420" s="1" t="s">
        <v>212</v>
      </c>
      <c r="AZ1420" s="1">
        <v>2162</v>
      </c>
      <c r="BA1420" s="1">
        <v>2013</v>
      </c>
      <c r="BE1420" s="1">
        <v>952</v>
      </c>
      <c r="BF1420" s="1">
        <v>1</v>
      </c>
      <c r="BG1420" s="1">
        <v>10</v>
      </c>
      <c r="BL1420" s="1">
        <v>256</v>
      </c>
      <c r="BM1420" s="1" t="s">
        <v>204</v>
      </c>
      <c r="BN1420" s="1" t="s">
        <v>213</v>
      </c>
      <c r="BO1420" s="1">
        <v>50</v>
      </c>
      <c r="BP1420" s="1" t="s">
        <v>204</v>
      </c>
      <c r="BR1420" s="1" t="str">
        <f>"0929203008"</f>
        <v>0929203008</v>
      </c>
      <c r="BT1420" s="1" t="s">
        <v>13003</v>
      </c>
      <c r="BV1420" s="1" t="s">
        <v>3098</v>
      </c>
      <c r="BW1420" s="1" t="s">
        <v>3099</v>
      </c>
      <c r="BX1420" s="1">
        <v>61</v>
      </c>
      <c r="BY1420" s="1">
        <v>61</v>
      </c>
      <c r="BZ1420" s="1">
        <v>99</v>
      </c>
      <c r="CB1420" s="1" t="str">
        <f t="shared" ref="CB1420:CC1420" si="1082">""</f>
        <v/>
      </c>
      <c r="CC1420" s="1" t="str">
        <f t="shared" si="1082"/>
        <v/>
      </c>
      <c r="CG1420" s="1" t="s">
        <v>315</v>
      </c>
      <c r="CH1420" s="1" t="s">
        <v>219</v>
      </c>
      <c r="CI1420" s="1" t="s">
        <v>229</v>
      </c>
      <c r="CK1420" s="1" t="s">
        <v>461</v>
      </c>
      <c r="CL1420" s="1" t="s">
        <v>277</v>
      </c>
      <c r="CM1420" s="1" t="s">
        <v>229</v>
      </c>
      <c r="CP1420" s="1" t="s">
        <v>224</v>
      </c>
      <c r="CS1420" s="1" t="s">
        <v>346</v>
      </c>
      <c r="CT1420" s="1" t="s">
        <v>277</v>
      </c>
      <c r="CU1420" s="1" t="s">
        <v>229</v>
      </c>
      <c r="CX1420" s="1" t="s">
        <v>224</v>
      </c>
      <c r="DB1420" s="1" t="s">
        <v>224</v>
      </c>
      <c r="DE1420" s="1" t="s">
        <v>1157</v>
      </c>
      <c r="DF1420" s="1" t="s">
        <v>219</v>
      </c>
      <c r="DG1420" s="1" t="s">
        <v>226</v>
      </c>
      <c r="DJ1420" s="1" t="s">
        <v>224</v>
      </c>
      <c r="DS1420" s="1" t="s">
        <v>230</v>
      </c>
      <c r="DW1420" s="1" t="s">
        <v>230</v>
      </c>
      <c r="EA1420" s="1" t="s">
        <v>230</v>
      </c>
      <c r="EE1420" s="1" t="s">
        <v>230</v>
      </c>
      <c r="EI1420" s="1" t="s">
        <v>230</v>
      </c>
      <c r="EL1420" s="1" t="s">
        <v>605</v>
      </c>
      <c r="EM1420" s="1" t="s">
        <v>232</v>
      </c>
      <c r="EN1420" s="1" t="s">
        <v>282</v>
      </c>
      <c r="EO1420" s="1" t="s">
        <v>234</v>
      </c>
      <c r="EP1420" s="1" t="s">
        <v>2139</v>
      </c>
      <c r="ER1420" s="1" t="s">
        <v>210</v>
      </c>
      <c r="EW1420" s="1" t="s">
        <v>1679</v>
      </c>
      <c r="EZ1420" s="1" t="s">
        <v>287</v>
      </c>
      <c r="FD1420" s="1" t="s">
        <v>246</v>
      </c>
      <c r="FE1420" s="1" t="s">
        <v>247</v>
      </c>
      <c r="FF1420" s="1" t="s">
        <v>248</v>
      </c>
      <c r="FH1420" s="1" t="s">
        <v>249</v>
      </c>
      <c r="FL1420" s="1" t="s">
        <v>358</v>
      </c>
      <c r="FM1420" s="1" t="s">
        <v>252</v>
      </c>
      <c r="FN1420" s="1" t="s">
        <v>213</v>
      </c>
      <c r="FO1420" s="1" t="s">
        <v>213</v>
      </c>
      <c r="FQ1420" s="1" t="s">
        <v>12810</v>
      </c>
      <c r="FR1420" s="1" t="s">
        <v>210</v>
      </c>
      <c r="FS1420" s="1" t="s">
        <v>13003</v>
      </c>
      <c r="FT1420" s="1" t="s">
        <v>295</v>
      </c>
      <c r="FU1420" s="1" t="s">
        <v>204</v>
      </c>
      <c r="FV1420" s="1" t="s">
        <v>295</v>
      </c>
      <c r="FW1420" s="1" t="s">
        <v>5648</v>
      </c>
      <c r="FX1420" s="1">
        <v>23099</v>
      </c>
      <c r="FY1420" s="1" t="s">
        <v>5649</v>
      </c>
      <c r="FZ1420" s="1" t="s">
        <v>13004</v>
      </c>
      <c r="GA1420" s="1">
        <v>224937</v>
      </c>
      <c r="GB1420" s="1" t="s">
        <v>13005</v>
      </c>
      <c r="GD1420" s="1" t="s">
        <v>13006</v>
      </c>
      <c r="GE1420" s="1" t="s">
        <v>210</v>
      </c>
      <c r="GI1420" s="1" t="s">
        <v>213</v>
      </c>
      <c r="GJ1420" s="1" t="s">
        <v>260</v>
      </c>
      <c r="GK1420" s="1" t="s">
        <v>210</v>
      </c>
      <c r="GL1420" s="2">
        <v>42116</v>
      </c>
    </row>
    <row r="1421" spans="1:195">
      <c r="A1421" s="1">
        <v>112000</v>
      </c>
      <c r="B1421" s="1" t="s">
        <v>195</v>
      </c>
      <c r="C1421" s="1" t="str">
        <f>"08867299"</f>
        <v>08867299</v>
      </c>
      <c r="D1421" s="1" t="s">
        <v>196</v>
      </c>
      <c r="F1421" s="1" t="str">
        <f>"635"</f>
        <v>635</v>
      </c>
      <c r="G1421" s="2">
        <v>42083</v>
      </c>
      <c r="H1421" s="1">
        <v>130000</v>
      </c>
      <c r="I1421" s="1">
        <v>130000</v>
      </c>
      <c r="J1421" s="1">
        <v>112000</v>
      </c>
      <c r="K1421" s="2">
        <v>42083</v>
      </c>
      <c r="L1421" s="1">
        <v>23</v>
      </c>
      <c r="M1421" s="2">
        <v>42105</v>
      </c>
      <c r="N1421" s="1">
        <v>23</v>
      </c>
      <c r="O1421" s="2">
        <v>42105</v>
      </c>
      <c r="P1421" s="1">
        <v>15391</v>
      </c>
      <c r="Q1421" s="1" t="s">
        <v>302</v>
      </c>
      <c r="R1421" s="2">
        <v>42137</v>
      </c>
      <c r="S1421" s="1">
        <v>183010</v>
      </c>
      <c r="U1421" s="1">
        <v>2422</v>
      </c>
      <c r="V1421" s="1" t="s">
        <v>4012</v>
      </c>
      <c r="W1421" s="1" t="s">
        <v>304</v>
      </c>
      <c r="X1421" s="1" t="s">
        <v>2798</v>
      </c>
      <c r="Y1421" s="1">
        <v>5</v>
      </c>
      <c r="Z1421" s="1" t="s">
        <v>249</v>
      </c>
      <c r="AA1421" s="1" t="s">
        <v>2377</v>
      </c>
      <c r="AB1421" s="1">
        <v>60707</v>
      </c>
      <c r="AE1421" s="1" t="s">
        <v>14058</v>
      </c>
      <c r="AF1421" s="1">
        <v>1995</v>
      </c>
      <c r="AG1421" s="1" t="s">
        <v>204</v>
      </c>
      <c r="AH1421" s="1" t="s">
        <v>5686</v>
      </c>
      <c r="AI1421" s="1" t="s">
        <v>310</v>
      </c>
      <c r="AJ1421" s="1" t="s">
        <v>311</v>
      </c>
      <c r="AL1421" s="1">
        <v>4</v>
      </c>
      <c r="AM1421" s="1">
        <v>2</v>
      </c>
      <c r="AN1421" s="1">
        <v>2</v>
      </c>
      <c r="AO1421" s="1">
        <v>0</v>
      </c>
      <c r="AP1421" s="1" t="s">
        <v>209</v>
      </c>
      <c r="AR1421" s="1" t="s">
        <v>209</v>
      </c>
      <c r="AS1421" s="1" t="s">
        <v>204</v>
      </c>
      <c r="AT1421" s="1" t="s">
        <v>271</v>
      </c>
      <c r="AV1421" s="1">
        <v>1</v>
      </c>
      <c r="AW1421" s="1" t="s">
        <v>204</v>
      </c>
      <c r="AX1421" s="1" t="s">
        <v>1813</v>
      </c>
      <c r="AZ1421" s="1">
        <v>3221.52</v>
      </c>
      <c r="BA1421" s="1">
        <v>2014</v>
      </c>
      <c r="BE1421" s="1">
        <v>1100</v>
      </c>
      <c r="BF1421" s="1">
        <v>3</v>
      </c>
      <c r="BG1421" s="1">
        <v>0</v>
      </c>
      <c r="BL1421" s="1">
        <v>151</v>
      </c>
      <c r="BM1421" s="1" t="s">
        <v>204</v>
      </c>
      <c r="BN1421" s="1" t="s">
        <v>213</v>
      </c>
      <c r="BO1421" s="1">
        <v>80</v>
      </c>
      <c r="BP1421" s="1" t="s">
        <v>204</v>
      </c>
      <c r="BR1421" s="1" t="str">
        <f>"12253310421005"</f>
        <v>12253310421005</v>
      </c>
      <c r="BT1421" s="1" t="s">
        <v>14059</v>
      </c>
      <c r="BX1421" s="1">
        <v>401</v>
      </c>
      <c r="BY1421" s="1">
        <v>401</v>
      </c>
      <c r="BZ1421" s="1">
        <v>401</v>
      </c>
      <c r="CB1421" s="1" t="str">
        <f>"3"</f>
        <v>3</v>
      </c>
      <c r="CC1421" s="1" t="str">
        <f>"0"</f>
        <v>0</v>
      </c>
      <c r="CD1421" s="1">
        <v>8</v>
      </c>
      <c r="CE1421" s="1">
        <v>0</v>
      </c>
      <c r="CG1421" s="1" t="s">
        <v>2992</v>
      </c>
      <c r="CH1421" s="1" t="s">
        <v>784</v>
      </c>
      <c r="CI1421" s="1" t="s">
        <v>438</v>
      </c>
      <c r="CJ1421" s="1" t="s">
        <v>210</v>
      </c>
      <c r="CK1421" s="1" t="s">
        <v>461</v>
      </c>
      <c r="CL1421" s="1" t="s">
        <v>784</v>
      </c>
      <c r="CM1421" s="1" t="s">
        <v>220</v>
      </c>
      <c r="CN1421" s="1" t="s">
        <v>463</v>
      </c>
      <c r="CP1421" s="1" t="s">
        <v>224</v>
      </c>
      <c r="CS1421" s="1" t="s">
        <v>461</v>
      </c>
      <c r="CT1421" s="1" t="s">
        <v>784</v>
      </c>
      <c r="CU1421" s="1" t="s">
        <v>220</v>
      </c>
      <c r="CV1421" s="1" t="s">
        <v>463</v>
      </c>
      <c r="CX1421" s="1" t="s">
        <v>224</v>
      </c>
      <c r="DB1421" s="1" t="s">
        <v>224</v>
      </c>
      <c r="DE1421" s="1" t="s">
        <v>932</v>
      </c>
      <c r="DF1421" s="1" t="s">
        <v>784</v>
      </c>
      <c r="DG1421" s="1" t="s">
        <v>342</v>
      </c>
      <c r="DH1421" s="1" t="s">
        <v>343</v>
      </c>
      <c r="DJ1421" s="1" t="s">
        <v>224</v>
      </c>
      <c r="DS1421" s="1" t="s">
        <v>230</v>
      </c>
      <c r="DW1421" s="1" t="s">
        <v>230</v>
      </c>
      <c r="EA1421" s="1" t="s">
        <v>230</v>
      </c>
      <c r="EE1421" s="1" t="s">
        <v>230</v>
      </c>
      <c r="EI1421" s="1" t="s">
        <v>230</v>
      </c>
      <c r="EL1421" s="1" t="s">
        <v>670</v>
      </c>
      <c r="EM1421" s="1" t="s">
        <v>232</v>
      </c>
      <c r="EN1421" s="1" t="s">
        <v>282</v>
      </c>
      <c r="EO1421" s="1" t="s">
        <v>234</v>
      </c>
      <c r="EQ1421" s="1" t="s">
        <v>492</v>
      </c>
      <c r="ER1421" s="1" t="s">
        <v>1249</v>
      </c>
      <c r="ES1421" s="1" t="s">
        <v>322</v>
      </c>
      <c r="EV1421" s="1" t="s">
        <v>240</v>
      </c>
      <c r="EW1421" s="1" t="s">
        <v>14060</v>
      </c>
      <c r="EZ1421" s="1" t="s">
        <v>287</v>
      </c>
      <c r="FD1421" s="1" t="s">
        <v>246</v>
      </c>
      <c r="FE1421" s="1" t="s">
        <v>247</v>
      </c>
      <c r="FF1421" s="1" t="s">
        <v>248</v>
      </c>
      <c r="FH1421" s="1" t="s">
        <v>249</v>
      </c>
      <c r="FK1421" s="1" t="s">
        <v>291</v>
      </c>
      <c r="FL1421" s="1" t="s">
        <v>358</v>
      </c>
      <c r="FM1421" s="1" t="s">
        <v>252</v>
      </c>
      <c r="FN1421" s="1" t="s">
        <v>213</v>
      </c>
      <c r="FO1421" s="1" t="s">
        <v>213</v>
      </c>
      <c r="FQ1421" s="1" t="s">
        <v>1599</v>
      </c>
      <c r="FR1421" s="1" t="s">
        <v>210</v>
      </c>
      <c r="FS1421" s="1" t="s">
        <v>14061</v>
      </c>
      <c r="FT1421" s="1" t="s">
        <v>1139</v>
      </c>
      <c r="FU1421" s="1" t="s">
        <v>204</v>
      </c>
      <c r="FW1421" s="1" t="s">
        <v>915</v>
      </c>
      <c r="FX1421" s="1">
        <v>3310</v>
      </c>
      <c r="FY1421" s="1" t="s">
        <v>14062</v>
      </c>
      <c r="FZ1421" s="1" t="s">
        <v>14063</v>
      </c>
      <c r="GA1421" s="1">
        <v>36757</v>
      </c>
      <c r="GB1421" s="1" t="s">
        <v>14064</v>
      </c>
      <c r="GE1421" s="1" t="s">
        <v>480</v>
      </c>
      <c r="GH1421" s="1" t="s">
        <v>230</v>
      </c>
      <c r="GI1421" s="1" t="s">
        <v>213</v>
      </c>
      <c r="GJ1421" s="1" t="s">
        <v>260</v>
      </c>
      <c r="GK1421" s="1" t="s">
        <v>210</v>
      </c>
      <c r="GL1421" s="2">
        <v>42137</v>
      </c>
    </row>
    <row r="1422" spans="1:195">
      <c r="A1422" s="1">
        <v>168000</v>
      </c>
      <c r="B1422" s="1" t="s">
        <v>195</v>
      </c>
      <c r="C1422" s="1" t="str">
        <f>"08867953"</f>
        <v>08867953</v>
      </c>
      <c r="D1422" s="1" t="s">
        <v>196</v>
      </c>
      <c r="F1422" s="1" t="str">
        <f>"148"</f>
        <v>148</v>
      </c>
      <c r="G1422" s="2">
        <v>42083</v>
      </c>
      <c r="H1422" s="1">
        <v>180000</v>
      </c>
      <c r="I1422" s="1">
        <v>180000</v>
      </c>
      <c r="J1422" s="1">
        <v>168000</v>
      </c>
      <c r="K1422" s="2">
        <v>42083</v>
      </c>
      <c r="L1422" s="1">
        <v>6</v>
      </c>
      <c r="M1422" s="2">
        <v>42088</v>
      </c>
      <c r="N1422" s="1">
        <v>6</v>
      </c>
      <c r="O1422" s="2">
        <v>42088</v>
      </c>
      <c r="P1422" s="1">
        <v>24074</v>
      </c>
      <c r="Q1422" s="1" t="s">
        <v>302</v>
      </c>
      <c r="R1422" s="2">
        <v>42100</v>
      </c>
      <c r="S1422" s="1">
        <v>220613</v>
      </c>
      <c r="U1422" s="1">
        <v>2020</v>
      </c>
      <c r="V1422" s="1" t="s">
        <v>12697</v>
      </c>
      <c r="W1422" s="1" t="s">
        <v>264</v>
      </c>
      <c r="X1422" s="1">
        <v>508</v>
      </c>
      <c r="Y1422" s="1">
        <v>45</v>
      </c>
      <c r="Z1422" s="1" t="s">
        <v>249</v>
      </c>
      <c r="AA1422" s="1" t="s">
        <v>1927</v>
      </c>
      <c r="AB1422" s="1">
        <v>60148</v>
      </c>
      <c r="AD1422" s="1" t="s">
        <v>1928</v>
      </c>
      <c r="AE1422" s="1" t="s">
        <v>14065</v>
      </c>
      <c r="AF1422" s="1">
        <v>2000</v>
      </c>
      <c r="AG1422" s="1" t="s">
        <v>204</v>
      </c>
      <c r="AH1422" s="1" t="s">
        <v>1930</v>
      </c>
      <c r="AI1422" s="1" t="s">
        <v>206</v>
      </c>
      <c r="AJ1422" s="1" t="s">
        <v>1608</v>
      </c>
      <c r="AL1422" s="1">
        <v>5</v>
      </c>
      <c r="AM1422" s="1">
        <v>2</v>
      </c>
      <c r="AN1422" s="1">
        <v>2</v>
      </c>
      <c r="AO1422" s="1">
        <v>0</v>
      </c>
      <c r="AP1422" s="1" t="s">
        <v>209</v>
      </c>
      <c r="AQ1422" s="1">
        <v>0</v>
      </c>
      <c r="AR1422" s="1" t="s">
        <v>210</v>
      </c>
      <c r="AS1422" s="1" t="s">
        <v>204</v>
      </c>
      <c r="AT1422" s="1" t="s">
        <v>211</v>
      </c>
      <c r="AU1422" s="1">
        <v>1</v>
      </c>
      <c r="AW1422" s="1" t="s">
        <v>204</v>
      </c>
      <c r="AX1422" s="1" t="s">
        <v>212</v>
      </c>
      <c r="AZ1422" s="1">
        <v>3435</v>
      </c>
      <c r="BA1422" s="1">
        <v>2013</v>
      </c>
      <c r="BB1422" s="1" t="s">
        <v>405</v>
      </c>
      <c r="BE1422" s="1">
        <v>1351</v>
      </c>
      <c r="BF1422" s="1">
        <v>5</v>
      </c>
      <c r="BG1422" s="1">
        <v>0</v>
      </c>
      <c r="BL1422" s="1">
        <v>181</v>
      </c>
      <c r="BM1422" s="1" t="s">
        <v>204</v>
      </c>
      <c r="BN1422" s="1" t="s">
        <v>213</v>
      </c>
      <c r="BP1422" s="1" t="s">
        <v>204</v>
      </c>
      <c r="BR1422" s="1" t="str">
        <f>"0620417035"</f>
        <v>0620417035</v>
      </c>
      <c r="BT1422" s="1" t="s">
        <v>14066</v>
      </c>
      <c r="BU1422" s="1" t="s">
        <v>1933</v>
      </c>
      <c r="BV1422" s="1" t="s">
        <v>1934</v>
      </c>
      <c r="BW1422" s="1" t="s">
        <v>1935</v>
      </c>
      <c r="BX1422" s="1">
        <v>44</v>
      </c>
      <c r="BY1422" s="1">
        <v>44</v>
      </c>
      <c r="BZ1422" s="1">
        <v>87</v>
      </c>
      <c r="CB1422" s="1" t="str">
        <f t="shared" ref="CB1422:CC1422" si="1083">""</f>
        <v/>
      </c>
      <c r="CC1422" s="1" t="str">
        <f t="shared" si="1083"/>
        <v/>
      </c>
      <c r="CD1422" s="1">
        <v>19</v>
      </c>
      <c r="CE1422" s="1">
        <v>1</v>
      </c>
      <c r="CG1422" s="1" t="s">
        <v>3100</v>
      </c>
      <c r="CH1422" s="1" t="s">
        <v>219</v>
      </c>
      <c r="CI1422" s="1" t="s">
        <v>438</v>
      </c>
      <c r="CK1422" s="1" t="s">
        <v>2122</v>
      </c>
      <c r="CL1422" s="1" t="s">
        <v>219</v>
      </c>
      <c r="CM1422" s="1" t="s">
        <v>229</v>
      </c>
      <c r="CN1422" s="1" t="s">
        <v>343</v>
      </c>
      <c r="CO1422" s="1" t="s">
        <v>3460</v>
      </c>
      <c r="CP1422" s="1" t="s">
        <v>219</v>
      </c>
      <c r="CQ1422" s="1" t="s">
        <v>438</v>
      </c>
      <c r="CS1422" s="1" t="s">
        <v>378</v>
      </c>
      <c r="CT1422" s="1" t="s">
        <v>219</v>
      </c>
      <c r="CU1422" s="1" t="s">
        <v>229</v>
      </c>
      <c r="CV1422" s="1" t="s">
        <v>343</v>
      </c>
      <c r="CX1422" s="1" t="s">
        <v>224</v>
      </c>
      <c r="DB1422" s="1" t="s">
        <v>224</v>
      </c>
      <c r="DE1422" s="1" t="s">
        <v>3460</v>
      </c>
      <c r="DF1422" s="1" t="s">
        <v>219</v>
      </c>
      <c r="DG1422" s="1" t="s">
        <v>438</v>
      </c>
      <c r="DJ1422" s="1" t="s">
        <v>224</v>
      </c>
      <c r="DS1422" s="1" t="s">
        <v>230</v>
      </c>
      <c r="DW1422" s="1" t="s">
        <v>230</v>
      </c>
      <c r="EA1422" s="1" t="s">
        <v>230</v>
      </c>
      <c r="EE1422" s="1" t="s">
        <v>230</v>
      </c>
      <c r="EI1422" s="1" t="s">
        <v>230</v>
      </c>
      <c r="EL1422" s="1" t="s">
        <v>466</v>
      </c>
      <c r="EM1422" s="1" t="s">
        <v>232</v>
      </c>
      <c r="EN1422" s="1" t="s">
        <v>282</v>
      </c>
      <c r="EO1422" s="1" t="s">
        <v>840</v>
      </c>
      <c r="EP1422" s="1" t="s">
        <v>14067</v>
      </c>
      <c r="EQ1422" s="1" t="s">
        <v>492</v>
      </c>
      <c r="ER1422" s="1" t="s">
        <v>210</v>
      </c>
      <c r="ES1422" s="1" t="s">
        <v>3914</v>
      </c>
      <c r="ET1422" s="1" t="s">
        <v>1404</v>
      </c>
      <c r="EU1422" s="1" t="s">
        <v>239</v>
      </c>
      <c r="EV1422" s="1" t="s">
        <v>240</v>
      </c>
      <c r="EW1422" s="1" t="s">
        <v>2947</v>
      </c>
      <c r="EY1422" s="1" t="s">
        <v>242</v>
      </c>
      <c r="EZ1422" s="1" t="s">
        <v>287</v>
      </c>
      <c r="FA1422" s="1" t="s">
        <v>714</v>
      </c>
      <c r="FB1422" s="1" t="s">
        <v>289</v>
      </c>
      <c r="FD1422" s="1" t="s">
        <v>736</v>
      </c>
      <c r="FE1422" s="1" t="s">
        <v>6104</v>
      </c>
      <c r="FF1422" s="1" t="s">
        <v>248</v>
      </c>
      <c r="FH1422" s="1" t="s">
        <v>249</v>
      </c>
      <c r="FI1422" s="1" t="s">
        <v>250</v>
      </c>
      <c r="FJ1422" s="1" t="s">
        <v>197</v>
      </c>
      <c r="FL1422" s="1" t="s">
        <v>358</v>
      </c>
      <c r="FM1422" s="1" t="s">
        <v>252</v>
      </c>
      <c r="FN1422" s="1" t="s">
        <v>213</v>
      </c>
      <c r="FO1422" s="1" t="s">
        <v>213</v>
      </c>
      <c r="FQ1422" s="1" t="s">
        <v>10018</v>
      </c>
      <c r="FR1422" s="1" t="s">
        <v>210</v>
      </c>
      <c r="FS1422" s="1" t="s">
        <v>14068</v>
      </c>
      <c r="FT1422" s="1" t="s">
        <v>520</v>
      </c>
      <c r="FU1422" s="1" t="s">
        <v>204</v>
      </c>
      <c r="FW1422" s="1" t="s">
        <v>4415</v>
      </c>
      <c r="FX1422" s="1">
        <v>6018</v>
      </c>
      <c r="FY1422" s="1" t="s">
        <v>4416</v>
      </c>
      <c r="FZ1422" s="1" t="s">
        <v>14069</v>
      </c>
      <c r="GA1422" s="1">
        <v>62639</v>
      </c>
      <c r="GB1422" s="1" t="s">
        <v>14070</v>
      </c>
      <c r="GC1422" s="1">
        <v>62636</v>
      </c>
      <c r="GD1422" s="1" t="s">
        <v>14071</v>
      </c>
      <c r="GE1422" s="1" t="s">
        <v>1145</v>
      </c>
      <c r="GI1422" s="1" t="s">
        <v>213</v>
      </c>
      <c r="GJ1422" s="1" t="s">
        <v>260</v>
      </c>
      <c r="GK1422" s="1" t="s">
        <v>210</v>
      </c>
      <c r="GL1422" s="2">
        <v>42101</v>
      </c>
      <c r="GM1422" s="1" t="s">
        <v>14072</v>
      </c>
    </row>
    <row r="1423" spans="1:195">
      <c r="A1423" s="1">
        <v>130500</v>
      </c>
      <c r="B1423" s="1" t="s">
        <v>195</v>
      </c>
      <c r="C1423" s="1" t="str">
        <f>"08863787"</f>
        <v>08863787</v>
      </c>
      <c r="D1423" s="1" t="s">
        <v>196</v>
      </c>
      <c r="F1423" s="1" t="str">
        <f>"507"</f>
        <v>507</v>
      </c>
      <c r="G1423" s="2">
        <v>42080</v>
      </c>
      <c r="H1423" s="1">
        <v>135000</v>
      </c>
      <c r="I1423" s="1">
        <v>135000</v>
      </c>
      <c r="J1423" s="1">
        <v>130500</v>
      </c>
      <c r="K1423" s="2">
        <v>42080</v>
      </c>
      <c r="L1423" s="1">
        <v>7</v>
      </c>
      <c r="M1423" s="2">
        <v>42086</v>
      </c>
      <c r="N1423" s="1">
        <v>7</v>
      </c>
      <c r="O1423" s="2">
        <v>42086</v>
      </c>
      <c r="P1423" s="1">
        <v>1481</v>
      </c>
      <c r="Q1423" s="1" t="s">
        <v>197</v>
      </c>
      <c r="R1423" s="2">
        <v>42142</v>
      </c>
      <c r="S1423" s="1">
        <v>28920</v>
      </c>
      <c r="U1423" s="1">
        <v>2275</v>
      </c>
      <c r="V1423" s="1" t="s">
        <v>14073</v>
      </c>
      <c r="W1423" s="1" t="s">
        <v>264</v>
      </c>
      <c r="Y1423" s="1">
        <v>8</v>
      </c>
      <c r="Z1423" s="1" t="s">
        <v>249</v>
      </c>
      <c r="AA1423" s="1" t="s">
        <v>1123</v>
      </c>
      <c r="AB1423" s="1">
        <v>60503</v>
      </c>
      <c r="AD1423" s="1" t="s">
        <v>3884</v>
      </c>
      <c r="AE1423" s="1" t="s">
        <v>14074</v>
      </c>
      <c r="AF1423" s="1">
        <v>2004</v>
      </c>
      <c r="AG1423" s="1" t="s">
        <v>204</v>
      </c>
      <c r="AH1423" s="1" t="s">
        <v>1126</v>
      </c>
      <c r="AI1423" s="1" t="s">
        <v>1800</v>
      </c>
      <c r="AJ1423" s="1" t="s">
        <v>1801</v>
      </c>
      <c r="AK1423" s="1" t="s">
        <v>14075</v>
      </c>
      <c r="AL1423" s="1">
        <v>5</v>
      </c>
      <c r="AM1423" s="1">
        <v>2</v>
      </c>
      <c r="AN1423" s="1">
        <v>2</v>
      </c>
      <c r="AO1423" s="1">
        <v>1</v>
      </c>
      <c r="AP1423" s="1" t="s">
        <v>209</v>
      </c>
      <c r="AQ1423" s="1">
        <v>1</v>
      </c>
      <c r="AR1423" s="1" t="s">
        <v>210</v>
      </c>
      <c r="AS1423" s="1" t="s">
        <v>204</v>
      </c>
      <c r="AT1423" s="1" t="s">
        <v>211</v>
      </c>
      <c r="AU1423" s="1">
        <v>2</v>
      </c>
      <c r="AW1423" s="1" t="s">
        <v>204</v>
      </c>
      <c r="AX1423" s="1" t="s">
        <v>212</v>
      </c>
      <c r="AZ1423" s="1">
        <v>5254</v>
      </c>
      <c r="BA1423" s="1">
        <v>2013</v>
      </c>
      <c r="BB1423" s="1" t="s">
        <v>210</v>
      </c>
      <c r="BE1423" s="1">
        <v>1532</v>
      </c>
      <c r="BF1423" s="1">
        <v>1</v>
      </c>
      <c r="BG1423" s="1">
        <v>0</v>
      </c>
      <c r="BL1423" s="1">
        <v>148</v>
      </c>
      <c r="BM1423" s="1" t="s">
        <v>204</v>
      </c>
      <c r="BN1423" s="1" t="s">
        <v>213</v>
      </c>
      <c r="BO1423" s="1" t="s">
        <v>2932</v>
      </c>
      <c r="BP1423" s="1" t="s">
        <v>204</v>
      </c>
      <c r="BR1423" s="1" t="str">
        <f>"01064120141003"</f>
        <v>01064120141003</v>
      </c>
      <c r="BT1423" s="1" t="s">
        <v>14076</v>
      </c>
      <c r="BU1423" s="1" t="s">
        <v>14077</v>
      </c>
      <c r="BV1423" s="1" t="s">
        <v>7954</v>
      </c>
      <c r="BW1423" s="1" t="s">
        <v>460</v>
      </c>
      <c r="BX1423" s="1">
        <v>308</v>
      </c>
      <c r="BY1423" s="1">
        <v>308</v>
      </c>
      <c r="BZ1423" s="1">
        <v>308</v>
      </c>
      <c r="CB1423" s="1" t="str">
        <f t="shared" ref="CB1423:CC1423" si="1084">""</f>
        <v/>
      </c>
      <c r="CC1423" s="1" t="str">
        <f t="shared" si="1084"/>
        <v/>
      </c>
      <c r="CD1423" s="1">
        <v>32</v>
      </c>
      <c r="CG1423" s="1" t="s">
        <v>729</v>
      </c>
      <c r="CH1423" s="1" t="s">
        <v>219</v>
      </c>
      <c r="CI1423" s="1" t="s">
        <v>220</v>
      </c>
      <c r="CJ1423" s="1" t="s">
        <v>252</v>
      </c>
      <c r="CK1423" s="1" t="s">
        <v>3035</v>
      </c>
      <c r="CL1423" s="1" t="s">
        <v>277</v>
      </c>
      <c r="CM1423" s="1" t="s">
        <v>220</v>
      </c>
      <c r="CN1423" s="1" t="s">
        <v>343</v>
      </c>
      <c r="CO1423" s="1" t="s">
        <v>316</v>
      </c>
      <c r="CP1423" s="1" t="s">
        <v>219</v>
      </c>
      <c r="CQ1423" s="1" t="s">
        <v>220</v>
      </c>
      <c r="CR1423" s="1" t="s">
        <v>210</v>
      </c>
      <c r="CS1423" s="1" t="s">
        <v>628</v>
      </c>
      <c r="CT1423" s="1" t="s">
        <v>277</v>
      </c>
      <c r="CU1423" s="1" t="s">
        <v>220</v>
      </c>
      <c r="CV1423" s="1" t="s">
        <v>343</v>
      </c>
      <c r="CX1423" s="1" t="s">
        <v>224</v>
      </c>
      <c r="DB1423" s="1" t="s">
        <v>224</v>
      </c>
      <c r="DE1423" s="1" t="s">
        <v>348</v>
      </c>
      <c r="DF1423" s="1" t="s">
        <v>219</v>
      </c>
      <c r="DG1423" s="1" t="s">
        <v>226</v>
      </c>
      <c r="DH1423" s="1" t="s">
        <v>210</v>
      </c>
      <c r="DJ1423" s="1" t="s">
        <v>224</v>
      </c>
      <c r="DS1423" s="1" t="s">
        <v>230</v>
      </c>
      <c r="DW1423" s="1" t="s">
        <v>230</v>
      </c>
      <c r="EA1423" s="1" t="s">
        <v>230</v>
      </c>
      <c r="EE1423" s="1" t="s">
        <v>230</v>
      </c>
      <c r="EI1423" s="1" t="s">
        <v>230</v>
      </c>
      <c r="EL1423" s="1" t="s">
        <v>466</v>
      </c>
      <c r="EM1423" s="1" t="s">
        <v>319</v>
      </c>
      <c r="EN1423" s="1" t="s">
        <v>282</v>
      </c>
      <c r="EO1423" s="1" t="s">
        <v>840</v>
      </c>
      <c r="EP1423" s="1" t="s">
        <v>1268</v>
      </c>
      <c r="EQ1423" s="1" t="s">
        <v>236</v>
      </c>
      <c r="ER1423" s="1" t="s">
        <v>210</v>
      </c>
      <c r="ES1423" s="1" t="s">
        <v>608</v>
      </c>
      <c r="EU1423" s="1" t="s">
        <v>3536</v>
      </c>
      <c r="EV1423" s="1" t="s">
        <v>324</v>
      </c>
      <c r="EW1423" s="1" t="s">
        <v>1804</v>
      </c>
      <c r="EY1423" s="1" t="s">
        <v>242</v>
      </c>
      <c r="EZ1423" s="1" t="s">
        <v>287</v>
      </c>
      <c r="FA1423" s="1" t="s">
        <v>714</v>
      </c>
      <c r="FC1423" s="1" t="s">
        <v>1386</v>
      </c>
      <c r="FD1423" s="1" t="s">
        <v>246</v>
      </c>
      <c r="FE1423" s="1" t="s">
        <v>472</v>
      </c>
      <c r="FF1423" s="1" t="s">
        <v>248</v>
      </c>
      <c r="FG1423" s="1" t="s">
        <v>13543</v>
      </c>
      <c r="FH1423" s="1" t="s">
        <v>940</v>
      </c>
      <c r="FI1423" s="1" t="s">
        <v>473</v>
      </c>
      <c r="FJ1423" s="1" t="s">
        <v>14078</v>
      </c>
      <c r="FL1423" s="1" t="s">
        <v>358</v>
      </c>
      <c r="FM1423" s="1" t="s">
        <v>252</v>
      </c>
      <c r="FN1423" s="1" t="s">
        <v>213</v>
      </c>
      <c r="FO1423" s="1" t="s">
        <v>204</v>
      </c>
      <c r="FQ1423" s="1" t="s">
        <v>3545</v>
      </c>
      <c r="FR1423" s="1" t="s">
        <v>210</v>
      </c>
      <c r="FS1423" s="1" t="s">
        <v>14079</v>
      </c>
      <c r="FT1423" s="1" t="s">
        <v>295</v>
      </c>
      <c r="FU1423" s="1" t="s">
        <v>204</v>
      </c>
      <c r="FW1423" s="1" t="s">
        <v>943</v>
      </c>
      <c r="FX1423" s="1">
        <v>23279</v>
      </c>
      <c r="FY1423" s="1" t="s">
        <v>3636</v>
      </c>
      <c r="FZ1423" s="1" t="s">
        <v>14080</v>
      </c>
      <c r="GA1423" s="1">
        <v>241401</v>
      </c>
      <c r="GD1423" s="1" t="s">
        <v>14081</v>
      </c>
      <c r="GE1423" s="1" t="s">
        <v>776</v>
      </c>
      <c r="GI1423" s="1" t="s">
        <v>213</v>
      </c>
      <c r="GJ1423" s="1" t="s">
        <v>260</v>
      </c>
      <c r="GK1423" s="1" t="s">
        <v>1413</v>
      </c>
      <c r="GL1423" s="2">
        <v>42143</v>
      </c>
      <c r="GM1423" s="1" t="s">
        <v>14082</v>
      </c>
    </row>
    <row r="1424" spans="1:195">
      <c r="A1424" s="1">
        <v>86000</v>
      </c>
      <c r="B1424" s="1" t="s">
        <v>195</v>
      </c>
      <c r="C1424" s="1" t="str">
        <f>"08873535"</f>
        <v>08873535</v>
      </c>
      <c r="D1424" s="1" t="s">
        <v>196</v>
      </c>
      <c r="F1424" s="1" t="str">
        <f>"106"</f>
        <v>106</v>
      </c>
      <c r="G1424" s="2">
        <v>42090</v>
      </c>
      <c r="H1424" s="1">
        <v>89000</v>
      </c>
      <c r="I1424" s="1">
        <v>89000</v>
      </c>
      <c r="J1424" s="1">
        <v>86000</v>
      </c>
      <c r="K1424" s="2">
        <v>42090</v>
      </c>
      <c r="L1424" s="1">
        <v>16</v>
      </c>
      <c r="M1424" s="2">
        <v>42105</v>
      </c>
      <c r="N1424" s="1">
        <v>16</v>
      </c>
      <c r="O1424" s="2">
        <v>42105</v>
      </c>
      <c r="P1424" s="1">
        <v>24213</v>
      </c>
      <c r="Q1424" s="1" t="s">
        <v>302</v>
      </c>
      <c r="R1424" s="2">
        <v>42136</v>
      </c>
      <c r="S1424" s="1">
        <v>244751</v>
      </c>
      <c r="U1424" s="1">
        <v>240</v>
      </c>
      <c r="V1424" s="1" t="s">
        <v>11608</v>
      </c>
      <c r="W1424" s="1" t="s">
        <v>725</v>
      </c>
      <c r="X1424" s="1" t="s">
        <v>3349</v>
      </c>
      <c r="Y1424" s="1">
        <v>8</v>
      </c>
      <c r="Z1424" s="1" t="s">
        <v>14083</v>
      </c>
      <c r="AA1424" s="1" t="s">
        <v>1229</v>
      </c>
      <c r="AB1424" s="1">
        <v>60106</v>
      </c>
      <c r="AE1424" s="1" t="s">
        <v>14084</v>
      </c>
      <c r="AF1424" s="1">
        <v>1979</v>
      </c>
      <c r="AG1424" s="1" t="s">
        <v>204</v>
      </c>
      <c r="AH1424" s="1" t="s">
        <v>1232</v>
      </c>
      <c r="AI1424" s="1" t="s">
        <v>206</v>
      </c>
      <c r="AJ1424" s="1" t="s">
        <v>1233</v>
      </c>
      <c r="AL1424" s="1">
        <v>5</v>
      </c>
      <c r="AM1424" s="1">
        <v>2</v>
      </c>
      <c r="AN1424" s="1">
        <v>2</v>
      </c>
      <c r="AO1424" s="1">
        <v>0</v>
      </c>
      <c r="AP1424" s="1" t="s">
        <v>209</v>
      </c>
      <c r="AR1424" s="1" t="s">
        <v>210</v>
      </c>
      <c r="AS1424" s="1" t="s">
        <v>204</v>
      </c>
      <c r="AT1424" s="1" t="s">
        <v>271</v>
      </c>
      <c r="AV1424" s="1">
        <v>2</v>
      </c>
      <c r="AW1424" s="1" t="s">
        <v>204</v>
      </c>
      <c r="AX1424" s="1" t="s">
        <v>14085</v>
      </c>
      <c r="AZ1424" s="1">
        <v>2291</v>
      </c>
      <c r="BA1424" s="1">
        <v>2013</v>
      </c>
      <c r="BE1424" s="1">
        <v>0</v>
      </c>
      <c r="BF1424" s="1">
        <v>2</v>
      </c>
      <c r="BG1424" s="1">
        <v>10</v>
      </c>
      <c r="BL1424" s="1">
        <v>289</v>
      </c>
      <c r="BM1424" s="1" t="s">
        <v>204</v>
      </c>
      <c r="BN1424" s="1" t="s">
        <v>213</v>
      </c>
      <c r="BO1424" s="1">
        <v>0</v>
      </c>
      <c r="BP1424" s="1" t="s">
        <v>204</v>
      </c>
      <c r="BR1424" s="1" t="str">
        <f>"0324313018"</f>
        <v>0324313018</v>
      </c>
      <c r="BT1424" s="1" t="s">
        <v>14086</v>
      </c>
      <c r="BX1424" s="1">
        <v>2</v>
      </c>
      <c r="BY1424" s="1">
        <v>2</v>
      </c>
      <c r="BZ1424" s="1">
        <v>100</v>
      </c>
      <c r="CB1424" s="1" t="str">
        <f>"4"</f>
        <v>4</v>
      </c>
      <c r="CC1424" s="1" t="str">
        <f>"0"</f>
        <v>0</v>
      </c>
      <c r="CD1424" s="1">
        <v>15</v>
      </c>
      <c r="CE1424" s="1">
        <v>0</v>
      </c>
      <c r="CG1424" s="1" t="s">
        <v>5319</v>
      </c>
      <c r="CH1424" s="1" t="s">
        <v>219</v>
      </c>
      <c r="CI1424" s="1" t="s">
        <v>229</v>
      </c>
      <c r="CK1424" s="1" t="s">
        <v>1615</v>
      </c>
      <c r="CL1424" s="1" t="s">
        <v>219</v>
      </c>
      <c r="CM1424" s="1" t="s">
        <v>229</v>
      </c>
      <c r="CO1424" s="1" t="s">
        <v>348</v>
      </c>
      <c r="CP1424" s="1" t="s">
        <v>219</v>
      </c>
      <c r="CQ1424" s="1" t="s">
        <v>229</v>
      </c>
      <c r="CS1424" s="1" t="s">
        <v>465</v>
      </c>
      <c r="CT1424" s="1" t="s">
        <v>219</v>
      </c>
      <c r="CU1424" s="1" t="s">
        <v>229</v>
      </c>
      <c r="CX1424" s="1" t="s">
        <v>224</v>
      </c>
      <c r="DB1424" s="1" t="s">
        <v>224</v>
      </c>
      <c r="DE1424" s="1" t="s">
        <v>3657</v>
      </c>
      <c r="DF1424" s="1" t="s">
        <v>219</v>
      </c>
      <c r="DG1424" s="1" t="s">
        <v>229</v>
      </c>
      <c r="DJ1424" s="1" t="s">
        <v>224</v>
      </c>
      <c r="DS1424" s="1" t="s">
        <v>230</v>
      </c>
      <c r="DW1424" s="1" t="s">
        <v>230</v>
      </c>
      <c r="EA1424" s="1" t="s">
        <v>230</v>
      </c>
      <c r="EE1424" s="1" t="s">
        <v>230</v>
      </c>
      <c r="EI1424" s="1" t="s">
        <v>230</v>
      </c>
      <c r="EL1424" s="1" t="s">
        <v>231</v>
      </c>
      <c r="EM1424" s="1" t="s">
        <v>730</v>
      </c>
      <c r="EN1424" s="1" t="s">
        <v>1158</v>
      </c>
      <c r="EO1424" s="1" t="s">
        <v>234</v>
      </c>
      <c r="EQ1424" s="1" t="s">
        <v>1109</v>
      </c>
      <c r="ER1424" s="1" t="s">
        <v>210</v>
      </c>
      <c r="EV1424" s="1" t="s">
        <v>352</v>
      </c>
      <c r="EW1424" s="1" t="s">
        <v>14087</v>
      </c>
      <c r="EZ1424" s="1" t="s">
        <v>287</v>
      </c>
      <c r="FD1424" s="1" t="s">
        <v>495</v>
      </c>
      <c r="FE1424" s="1" t="s">
        <v>2016</v>
      </c>
      <c r="FF1424" s="1" t="s">
        <v>248</v>
      </c>
      <c r="FH1424" s="1" t="s">
        <v>249</v>
      </c>
      <c r="FJ1424" s="1" t="s">
        <v>1251</v>
      </c>
      <c r="FK1424" s="1" t="s">
        <v>891</v>
      </c>
      <c r="FL1424" s="1" t="s">
        <v>292</v>
      </c>
      <c r="FM1424" s="1" t="s">
        <v>252</v>
      </c>
      <c r="FN1424" s="1" t="s">
        <v>213</v>
      </c>
      <c r="FO1424" s="1" t="s">
        <v>213</v>
      </c>
      <c r="FQ1424" s="1" t="s">
        <v>14088</v>
      </c>
      <c r="FR1424" s="1" t="s">
        <v>210</v>
      </c>
      <c r="FS1424" s="1" t="s">
        <v>14089</v>
      </c>
      <c r="FT1424" s="1" t="s">
        <v>675</v>
      </c>
      <c r="FU1424" s="1" t="s">
        <v>213</v>
      </c>
      <c r="FW1424" s="1" t="s">
        <v>14090</v>
      </c>
      <c r="FX1424" s="1">
        <v>21944</v>
      </c>
      <c r="FY1424" s="1" t="s">
        <v>14091</v>
      </c>
      <c r="FZ1424" s="1" t="s">
        <v>14092</v>
      </c>
      <c r="GA1424" s="1">
        <v>220218</v>
      </c>
      <c r="GB1424" s="1" t="s">
        <v>14093</v>
      </c>
      <c r="GE1424" s="1" t="s">
        <v>480</v>
      </c>
      <c r="GI1424" s="1" t="s">
        <v>213</v>
      </c>
      <c r="GJ1424" s="1" t="s">
        <v>260</v>
      </c>
      <c r="GK1424" s="1" t="s">
        <v>210</v>
      </c>
      <c r="GL1424" s="2">
        <v>42137</v>
      </c>
      <c r="GM1424" s="1" t="s">
        <v>14094</v>
      </c>
    </row>
    <row r="1425" spans="1:195">
      <c r="A1425" s="1">
        <v>154500</v>
      </c>
      <c r="B1425" s="1" t="s">
        <v>195</v>
      </c>
      <c r="C1425" s="1" t="str">
        <f>"08876558"</f>
        <v>08876558</v>
      </c>
      <c r="D1425" s="1" t="s">
        <v>196</v>
      </c>
      <c r="F1425" s="1" t="str">
        <f>"123"</f>
        <v>123</v>
      </c>
      <c r="G1425" s="2">
        <v>42094</v>
      </c>
      <c r="H1425" s="1">
        <v>159900</v>
      </c>
      <c r="I1425" s="1">
        <v>159900</v>
      </c>
      <c r="J1425" s="1">
        <v>154500</v>
      </c>
      <c r="K1425" s="2">
        <v>42094</v>
      </c>
      <c r="L1425" s="1">
        <v>3</v>
      </c>
      <c r="M1425" s="2">
        <v>42096</v>
      </c>
      <c r="N1425" s="1">
        <v>3</v>
      </c>
      <c r="O1425" s="2">
        <v>42096</v>
      </c>
      <c r="P1425" s="1">
        <v>7661</v>
      </c>
      <c r="Q1425" s="1" t="s">
        <v>197</v>
      </c>
      <c r="R1425" s="2">
        <v>42139</v>
      </c>
      <c r="S1425" s="1">
        <v>8729</v>
      </c>
      <c r="U1425" s="1">
        <v>815</v>
      </c>
      <c r="V1425" s="1" t="s">
        <v>10124</v>
      </c>
      <c r="W1425" s="1" t="s">
        <v>449</v>
      </c>
      <c r="Y1425" s="1">
        <v>5</v>
      </c>
      <c r="Z1425" s="1" t="s">
        <v>370</v>
      </c>
      <c r="AA1425" s="1" t="s">
        <v>1173</v>
      </c>
      <c r="AB1425" s="1">
        <v>60123</v>
      </c>
      <c r="AD1425" s="1" t="s">
        <v>14095</v>
      </c>
      <c r="AE1425" s="1" t="s">
        <v>14096</v>
      </c>
      <c r="AF1425" s="1">
        <v>1993</v>
      </c>
      <c r="AG1425" s="1" t="s">
        <v>204</v>
      </c>
      <c r="AH1425" s="1" t="s">
        <v>1175</v>
      </c>
      <c r="AI1425" s="1" t="s">
        <v>665</v>
      </c>
      <c r="AJ1425" s="1" t="s">
        <v>1175</v>
      </c>
      <c r="AK1425" s="1" t="s">
        <v>14097</v>
      </c>
      <c r="AL1425" s="1">
        <v>6</v>
      </c>
      <c r="AM1425" s="1">
        <v>2</v>
      </c>
      <c r="AN1425" s="1">
        <v>2</v>
      </c>
      <c r="AO1425" s="1">
        <v>0</v>
      </c>
      <c r="AP1425" s="1" t="s">
        <v>667</v>
      </c>
      <c r="AQ1425" s="1">
        <v>1</v>
      </c>
      <c r="AR1425" s="1" t="s">
        <v>2275</v>
      </c>
      <c r="AS1425" s="1" t="s">
        <v>213</v>
      </c>
      <c r="AT1425" s="1" t="s">
        <v>211</v>
      </c>
      <c r="AU1425" s="1">
        <v>2</v>
      </c>
      <c r="AW1425" s="1" t="s">
        <v>204</v>
      </c>
      <c r="AX1425" s="1" t="s">
        <v>14098</v>
      </c>
      <c r="AZ1425" s="1">
        <v>4621</v>
      </c>
      <c r="BA1425" s="1">
        <v>2014</v>
      </c>
      <c r="BB1425" s="1" t="s">
        <v>405</v>
      </c>
      <c r="BE1425" s="1">
        <v>1904</v>
      </c>
      <c r="BF1425" s="1">
        <v>1</v>
      </c>
      <c r="BG1425" s="1">
        <v>0</v>
      </c>
      <c r="BL1425" s="1">
        <v>205</v>
      </c>
      <c r="BM1425" s="1" t="s">
        <v>204</v>
      </c>
      <c r="BN1425" s="1" t="s">
        <v>213</v>
      </c>
      <c r="BO1425" s="1">
        <v>90</v>
      </c>
      <c r="BP1425" s="1" t="s">
        <v>204</v>
      </c>
      <c r="BR1425" s="1" t="str">
        <f>"0609127018"</f>
        <v>0609127018</v>
      </c>
      <c r="BT1425" s="1" t="s">
        <v>14099</v>
      </c>
      <c r="BX1425" s="1">
        <v>46</v>
      </c>
      <c r="BY1425" s="1">
        <v>46</v>
      </c>
      <c r="BZ1425" s="1">
        <v>46</v>
      </c>
      <c r="CB1425" s="1" t="str">
        <f t="shared" ref="CB1425:CC1425" si="1085">""</f>
        <v/>
      </c>
      <c r="CC1425" s="1" t="str">
        <f t="shared" si="1085"/>
        <v/>
      </c>
      <c r="CG1425" s="1" t="s">
        <v>377</v>
      </c>
      <c r="CH1425" s="1" t="s">
        <v>219</v>
      </c>
      <c r="CI1425" s="1" t="s">
        <v>220</v>
      </c>
      <c r="CJ1425" s="1" t="s">
        <v>252</v>
      </c>
      <c r="CK1425" s="1" t="s">
        <v>932</v>
      </c>
      <c r="CL1425" s="1" t="s">
        <v>277</v>
      </c>
      <c r="CM1425" s="1" t="s">
        <v>220</v>
      </c>
      <c r="CN1425" s="1" t="s">
        <v>252</v>
      </c>
      <c r="CO1425" s="1" t="s">
        <v>409</v>
      </c>
      <c r="CP1425" s="1" t="s">
        <v>219</v>
      </c>
      <c r="CQ1425" s="1" t="s">
        <v>229</v>
      </c>
      <c r="CR1425" s="1" t="s">
        <v>252</v>
      </c>
      <c r="CS1425" s="1" t="s">
        <v>223</v>
      </c>
      <c r="CT1425" s="1" t="s">
        <v>277</v>
      </c>
      <c r="CU1425" s="1" t="s">
        <v>220</v>
      </c>
      <c r="CV1425" s="1" t="s">
        <v>252</v>
      </c>
      <c r="CX1425" s="1" t="s">
        <v>224</v>
      </c>
      <c r="DB1425" s="1" t="s">
        <v>224</v>
      </c>
      <c r="DE1425" s="1" t="s">
        <v>318</v>
      </c>
      <c r="DF1425" s="1" t="s">
        <v>219</v>
      </c>
      <c r="DG1425" s="1" t="s">
        <v>229</v>
      </c>
      <c r="DH1425" s="1" t="s">
        <v>252</v>
      </c>
      <c r="DI1425" s="1" t="s">
        <v>4808</v>
      </c>
      <c r="DJ1425" s="1" t="s">
        <v>822</v>
      </c>
      <c r="DK1425" s="1" t="s">
        <v>220</v>
      </c>
      <c r="DL1425" s="1" t="s">
        <v>252</v>
      </c>
      <c r="DS1425" s="1" t="s">
        <v>230</v>
      </c>
      <c r="DW1425" s="1" t="s">
        <v>230</v>
      </c>
      <c r="EA1425" s="1" t="s">
        <v>230</v>
      </c>
      <c r="EE1425" s="1" t="s">
        <v>230</v>
      </c>
      <c r="EI1425" s="1" t="s">
        <v>230</v>
      </c>
      <c r="EL1425" s="1" t="s">
        <v>382</v>
      </c>
      <c r="EM1425" s="1" t="s">
        <v>319</v>
      </c>
      <c r="EN1425" s="1" t="s">
        <v>282</v>
      </c>
      <c r="EO1425" s="1" t="s">
        <v>234</v>
      </c>
      <c r="EP1425" s="1" t="s">
        <v>1489</v>
      </c>
      <c r="EQ1425" s="1" t="s">
        <v>2188</v>
      </c>
      <c r="ER1425" s="1" t="s">
        <v>823</v>
      </c>
      <c r="ES1425" s="1" t="s">
        <v>493</v>
      </c>
      <c r="EW1425" s="1" t="s">
        <v>353</v>
      </c>
      <c r="EY1425" s="1" t="s">
        <v>790</v>
      </c>
      <c r="EZ1425" s="1" t="s">
        <v>287</v>
      </c>
      <c r="FA1425" s="1" t="s">
        <v>12208</v>
      </c>
      <c r="FB1425" s="1" t="s">
        <v>4027</v>
      </c>
      <c r="FC1425" s="1" t="s">
        <v>326</v>
      </c>
      <c r="FD1425" s="1" t="s">
        <v>290</v>
      </c>
      <c r="FE1425" s="1" t="s">
        <v>549</v>
      </c>
      <c r="FF1425" s="1" t="s">
        <v>248</v>
      </c>
      <c r="FG1425" s="1" t="s">
        <v>5121</v>
      </c>
      <c r="FH1425" s="1" t="s">
        <v>2175</v>
      </c>
      <c r="FI1425" s="1" t="s">
        <v>473</v>
      </c>
      <c r="FJ1425" s="1" t="s">
        <v>518</v>
      </c>
      <c r="FL1425" s="1" t="s">
        <v>358</v>
      </c>
      <c r="FM1425" s="1" t="s">
        <v>252</v>
      </c>
      <c r="FN1425" s="1" t="s">
        <v>213</v>
      </c>
      <c r="FO1425" s="1" t="s">
        <v>213</v>
      </c>
      <c r="FQ1425" s="1" t="s">
        <v>293</v>
      </c>
      <c r="FR1425" s="1" t="s">
        <v>210</v>
      </c>
      <c r="FS1425" s="1" t="s">
        <v>8888</v>
      </c>
      <c r="FT1425" s="1" t="s">
        <v>295</v>
      </c>
      <c r="FU1425" s="1" t="s">
        <v>204</v>
      </c>
      <c r="FW1425" s="1" t="s">
        <v>7048</v>
      </c>
      <c r="FX1425" s="1">
        <v>432</v>
      </c>
      <c r="FY1425" s="1" t="s">
        <v>7049</v>
      </c>
      <c r="FZ1425" s="1" t="s">
        <v>14100</v>
      </c>
      <c r="GA1425" s="1">
        <v>77472</v>
      </c>
      <c r="GB1425" s="1" t="s">
        <v>14101</v>
      </c>
      <c r="GE1425" s="1" t="s">
        <v>1764</v>
      </c>
      <c r="GI1425" s="1" t="s">
        <v>213</v>
      </c>
      <c r="GJ1425" s="1" t="s">
        <v>260</v>
      </c>
      <c r="GK1425" s="1" t="s">
        <v>210</v>
      </c>
      <c r="GL1425" s="2">
        <v>42139</v>
      </c>
    </row>
    <row r="1426" spans="1:195">
      <c r="A1426" s="1">
        <v>88000</v>
      </c>
      <c r="B1426" s="1" t="s">
        <v>195</v>
      </c>
      <c r="C1426" s="1" t="str">
        <f>"08863454"</f>
        <v>08863454</v>
      </c>
      <c r="D1426" s="1" t="s">
        <v>196</v>
      </c>
      <c r="F1426" s="1" t="str">
        <f>"84"</f>
        <v>84</v>
      </c>
      <c r="G1426" s="2">
        <v>42080</v>
      </c>
      <c r="H1426" s="1">
        <v>92000</v>
      </c>
      <c r="I1426" s="1">
        <v>92000</v>
      </c>
      <c r="J1426" s="1">
        <v>88000</v>
      </c>
      <c r="K1426" s="2">
        <v>42080</v>
      </c>
      <c r="L1426" s="1">
        <v>18</v>
      </c>
      <c r="M1426" s="2">
        <v>42097</v>
      </c>
      <c r="N1426" s="1">
        <v>18</v>
      </c>
      <c r="O1426" s="2">
        <v>42097</v>
      </c>
      <c r="P1426" s="1">
        <v>22549</v>
      </c>
      <c r="Q1426" s="1" t="s">
        <v>197</v>
      </c>
      <c r="R1426" s="2">
        <v>42146</v>
      </c>
      <c r="S1426" s="1">
        <v>230034</v>
      </c>
      <c r="U1426" s="1">
        <v>220</v>
      </c>
      <c r="V1426" s="1" t="s">
        <v>14102</v>
      </c>
      <c r="W1426" s="1" t="s">
        <v>449</v>
      </c>
      <c r="X1426" s="1" t="s">
        <v>483</v>
      </c>
      <c r="Y1426" s="1">
        <v>4</v>
      </c>
      <c r="Z1426" s="1" t="s">
        <v>200</v>
      </c>
      <c r="AA1426" s="1" t="s">
        <v>5871</v>
      </c>
      <c r="AB1426" s="1">
        <v>60084</v>
      </c>
      <c r="AE1426" s="1" t="s">
        <v>14103</v>
      </c>
      <c r="AF1426" s="1">
        <v>1991</v>
      </c>
      <c r="AG1426" s="1" t="s">
        <v>204</v>
      </c>
      <c r="AH1426" s="1" t="s">
        <v>2599</v>
      </c>
      <c r="AI1426" s="1" t="s">
        <v>509</v>
      </c>
      <c r="AJ1426" s="1" t="s">
        <v>2599</v>
      </c>
      <c r="AL1426" s="1">
        <v>5</v>
      </c>
      <c r="AM1426" s="1">
        <v>2</v>
      </c>
      <c r="AN1426" s="1">
        <v>2</v>
      </c>
      <c r="AO1426" s="1">
        <v>0</v>
      </c>
      <c r="AP1426" s="1" t="s">
        <v>209</v>
      </c>
      <c r="AR1426" s="1" t="s">
        <v>210</v>
      </c>
      <c r="AS1426" s="1" t="s">
        <v>204</v>
      </c>
      <c r="AT1426" s="1" t="s">
        <v>211</v>
      </c>
      <c r="AU1426" s="1">
        <v>1</v>
      </c>
      <c r="AW1426" s="1" t="s">
        <v>204</v>
      </c>
      <c r="AX1426" s="1" t="s">
        <v>212</v>
      </c>
      <c r="AZ1426" s="1">
        <v>1829.05</v>
      </c>
      <c r="BA1426" s="1">
        <v>2013</v>
      </c>
      <c r="BE1426" s="1">
        <v>1093</v>
      </c>
      <c r="BF1426" s="1">
        <v>2</v>
      </c>
      <c r="BG1426" s="1">
        <v>30</v>
      </c>
      <c r="BL1426" s="1">
        <v>183</v>
      </c>
      <c r="BM1426" s="1" t="s">
        <v>204</v>
      </c>
      <c r="BN1426" s="1" t="s">
        <v>213</v>
      </c>
      <c r="BO1426" s="1">
        <v>50</v>
      </c>
      <c r="BP1426" s="1" t="s">
        <v>204</v>
      </c>
      <c r="BR1426" s="1" t="str">
        <f>"09254060410000"</f>
        <v>09254060410000</v>
      </c>
      <c r="BT1426" s="1" t="s">
        <v>14104</v>
      </c>
      <c r="BX1426" s="1">
        <v>118</v>
      </c>
      <c r="BY1426" s="1">
        <v>118</v>
      </c>
      <c r="BZ1426" s="1">
        <v>118</v>
      </c>
      <c r="CB1426" s="1" t="str">
        <f t="shared" ref="CB1426:CC1426" si="1086">""</f>
        <v/>
      </c>
      <c r="CC1426" s="1" t="str">
        <f t="shared" si="1086"/>
        <v/>
      </c>
      <c r="CG1426" s="1" t="s">
        <v>861</v>
      </c>
      <c r="CH1426" s="1" t="s">
        <v>277</v>
      </c>
      <c r="CK1426" s="1" t="s">
        <v>581</v>
      </c>
      <c r="CL1426" s="1" t="s">
        <v>277</v>
      </c>
      <c r="CP1426" s="1" t="s">
        <v>224</v>
      </c>
      <c r="CS1426" s="1" t="s">
        <v>1046</v>
      </c>
      <c r="CT1426" s="1" t="s">
        <v>277</v>
      </c>
      <c r="CX1426" s="1" t="s">
        <v>224</v>
      </c>
      <c r="DB1426" s="1" t="s">
        <v>224</v>
      </c>
      <c r="DE1426" s="1" t="s">
        <v>837</v>
      </c>
      <c r="DF1426" s="1" t="s">
        <v>277</v>
      </c>
      <c r="DJ1426" s="1" t="s">
        <v>224</v>
      </c>
      <c r="DM1426" s="1" t="s">
        <v>381</v>
      </c>
      <c r="DR1426" s="1" t="s">
        <v>409</v>
      </c>
      <c r="DS1426" s="1" t="s">
        <v>277</v>
      </c>
      <c r="DW1426" s="1" t="s">
        <v>230</v>
      </c>
      <c r="EA1426" s="1" t="s">
        <v>230</v>
      </c>
      <c r="EE1426" s="1" t="s">
        <v>230</v>
      </c>
      <c r="EI1426" s="1" t="s">
        <v>230</v>
      </c>
      <c r="EL1426" s="1" t="s">
        <v>382</v>
      </c>
      <c r="EM1426" s="1" t="s">
        <v>319</v>
      </c>
      <c r="EN1426" s="1" t="s">
        <v>282</v>
      </c>
      <c r="EO1426" s="1" t="s">
        <v>234</v>
      </c>
      <c r="EQ1426" s="1" t="s">
        <v>350</v>
      </c>
      <c r="ER1426" s="1" t="s">
        <v>210</v>
      </c>
      <c r="ES1426" s="1" t="s">
        <v>322</v>
      </c>
      <c r="EW1426" s="1" t="s">
        <v>10337</v>
      </c>
      <c r="EZ1426" s="1" t="s">
        <v>381</v>
      </c>
      <c r="FD1426" s="1" t="s">
        <v>246</v>
      </c>
      <c r="FE1426" s="1" t="s">
        <v>975</v>
      </c>
      <c r="FF1426" s="1" t="s">
        <v>248</v>
      </c>
      <c r="FH1426" s="1" t="s">
        <v>249</v>
      </c>
      <c r="FI1426" s="1" t="s">
        <v>357</v>
      </c>
      <c r="FL1426" s="1" t="s">
        <v>414</v>
      </c>
      <c r="FM1426" s="1" t="s">
        <v>252</v>
      </c>
      <c r="FN1426" s="1" t="s">
        <v>213</v>
      </c>
      <c r="FO1426" s="1" t="s">
        <v>204</v>
      </c>
      <c r="FQ1426" s="1" t="s">
        <v>11194</v>
      </c>
      <c r="FR1426" s="1" t="s">
        <v>210</v>
      </c>
      <c r="FS1426" s="1" t="s">
        <v>14105</v>
      </c>
      <c r="FT1426" s="1" t="s">
        <v>362</v>
      </c>
      <c r="FU1426" s="1" t="s">
        <v>204</v>
      </c>
      <c r="FW1426" s="1" t="s">
        <v>585</v>
      </c>
      <c r="FX1426" s="1">
        <v>6026</v>
      </c>
      <c r="FY1426" s="1" t="s">
        <v>1223</v>
      </c>
      <c r="FZ1426" s="1" t="s">
        <v>14106</v>
      </c>
      <c r="GA1426" s="1">
        <v>63119</v>
      </c>
      <c r="GB1426" s="1" t="s">
        <v>14107</v>
      </c>
      <c r="GE1426" s="1" t="s">
        <v>480</v>
      </c>
      <c r="GI1426" s="1" t="s">
        <v>213</v>
      </c>
      <c r="GJ1426" s="1" t="s">
        <v>260</v>
      </c>
      <c r="GK1426" s="1" t="s">
        <v>4920</v>
      </c>
      <c r="GL1426" s="2">
        <v>42148</v>
      </c>
      <c r="GM1426" s="1" t="s">
        <v>14108</v>
      </c>
    </row>
    <row r="1427" spans="1:195">
      <c r="A1427" s="1">
        <v>149000</v>
      </c>
      <c r="B1427" s="1" t="s">
        <v>195</v>
      </c>
      <c r="C1427" s="1" t="str">
        <f>"08867632"</f>
        <v>08867632</v>
      </c>
      <c r="D1427" s="1" t="s">
        <v>196</v>
      </c>
      <c r="F1427" s="1" t="str">
        <f>"540"</f>
        <v>540</v>
      </c>
      <c r="G1427" s="2">
        <v>42083</v>
      </c>
      <c r="H1427" s="1">
        <v>157500</v>
      </c>
      <c r="I1427" s="1">
        <v>157500</v>
      </c>
      <c r="J1427" s="1">
        <v>149000</v>
      </c>
      <c r="K1427" s="2">
        <v>42083</v>
      </c>
      <c r="L1427" s="1">
        <v>127</v>
      </c>
      <c r="M1427" s="2">
        <v>42088</v>
      </c>
      <c r="N1427" s="1">
        <v>6</v>
      </c>
      <c r="O1427" s="2">
        <v>42088</v>
      </c>
      <c r="P1427" s="1">
        <v>20131</v>
      </c>
      <c r="Q1427" s="1" t="s">
        <v>197</v>
      </c>
      <c r="R1427" s="2">
        <v>42132</v>
      </c>
      <c r="S1427" s="1">
        <v>234298</v>
      </c>
      <c r="U1427" s="1">
        <v>1392</v>
      </c>
      <c r="V1427" s="1" t="s">
        <v>14109</v>
      </c>
      <c r="W1427" s="1" t="s">
        <v>449</v>
      </c>
      <c r="X1427" s="1">
        <v>1392</v>
      </c>
      <c r="Y1427" s="1">
        <v>4</v>
      </c>
      <c r="Z1427" s="1" t="s">
        <v>370</v>
      </c>
      <c r="AA1427" s="1" t="s">
        <v>921</v>
      </c>
      <c r="AB1427" s="1">
        <v>60563</v>
      </c>
      <c r="AE1427" s="1" t="s">
        <v>14110</v>
      </c>
      <c r="AF1427" s="1">
        <v>1986</v>
      </c>
      <c r="AG1427" s="1" t="s">
        <v>204</v>
      </c>
      <c r="AH1427" s="1" t="s">
        <v>924</v>
      </c>
      <c r="AI1427" s="1" t="s">
        <v>206</v>
      </c>
      <c r="AJ1427" s="1" t="s">
        <v>924</v>
      </c>
      <c r="AL1427" s="1">
        <v>6</v>
      </c>
      <c r="AM1427" s="1">
        <v>2</v>
      </c>
      <c r="AN1427" s="1">
        <v>1</v>
      </c>
      <c r="AO1427" s="1">
        <v>1</v>
      </c>
      <c r="AP1427" s="1" t="s">
        <v>667</v>
      </c>
      <c r="AQ1427" s="1">
        <v>1</v>
      </c>
      <c r="AR1427" s="1" t="s">
        <v>210</v>
      </c>
      <c r="AS1427" s="1" t="s">
        <v>204</v>
      </c>
      <c r="AT1427" s="1" t="s">
        <v>211</v>
      </c>
      <c r="AU1427" s="1">
        <v>1</v>
      </c>
      <c r="AW1427" s="1" t="s">
        <v>204</v>
      </c>
      <c r="AX1427" s="1" t="s">
        <v>212</v>
      </c>
      <c r="AZ1427" s="1">
        <v>3253</v>
      </c>
      <c r="BA1427" s="1">
        <v>2013</v>
      </c>
      <c r="BB1427" s="1" t="s">
        <v>405</v>
      </c>
      <c r="BE1427" s="1">
        <v>1297</v>
      </c>
      <c r="BF1427" s="1">
        <v>1</v>
      </c>
      <c r="BG1427" s="1">
        <v>0</v>
      </c>
      <c r="BL1427" s="1">
        <v>210</v>
      </c>
      <c r="BM1427" s="1" t="s">
        <v>204</v>
      </c>
      <c r="BN1427" s="1" t="s">
        <v>213</v>
      </c>
      <c r="BO1427" s="1" t="s">
        <v>6360</v>
      </c>
      <c r="BP1427" s="1" t="s">
        <v>204</v>
      </c>
      <c r="BR1427" s="1" t="str">
        <f>"0710212029"</f>
        <v>0710212029</v>
      </c>
      <c r="BT1427" s="1" t="s">
        <v>14111</v>
      </c>
      <c r="BU1427" s="1" t="s">
        <v>1247</v>
      </c>
      <c r="BV1427" s="1" t="s">
        <v>1248</v>
      </c>
      <c r="BW1427" s="1" t="s">
        <v>1131</v>
      </c>
      <c r="BX1427" s="1">
        <v>204</v>
      </c>
      <c r="BY1427" s="1">
        <v>204</v>
      </c>
      <c r="BZ1427" s="1">
        <v>204</v>
      </c>
      <c r="CB1427" s="1" t="str">
        <f t="shared" ref="CB1427:CC1427" si="1087">"0"</f>
        <v>0</v>
      </c>
      <c r="CC1427" s="1" t="str">
        <f t="shared" si="1087"/>
        <v>0</v>
      </c>
      <c r="CD1427" s="1">
        <v>29</v>
      </c>
      <c r="CE1427" s="1">
        <v>5</v>
      </c>
      <c r="CG1427" s="1" t="s">
        <v>3151</v>
      </c>
      <c r="CH1427" s="1" t="s">
        <v>219</v>
      </c>
      <c r="CI1427" s="1" t="s">
        <v>220</v>
      </c>
      <c r="CJ1427" s="1" t="s">
        <v>252</v>
      </c>
      <c r="CK1427" s="1" t="s">
        <v>3591</v>
      </c>
      <c r="CL1427" s="1" t="s">
        <v>277</v>
      </c>
      <c r="CM1427" s="1" t="s">
        <v>220</v>
      </c>
      <c r="CO1427" s="1" t="s">
        <v>346</v>
      </c>
      <c r="CP1427" s="1" t="s">
        <v>219</v>
      </c>
      <c r="CQ1427" s="1" t="s">
        <v>229</v>
      </c>
      <c r="CR1427" s="1" t="s">
        <v>252</v>
      </c>
      <c r="CS1427" s="1" t="s">
        <v>318</v>
      </c>
      <c r="CT1427" s="1" t="s">
        <v>277</v>
      </c>
      <c r="CU1427" s="1" t="s">
        <v>220</v>
      </c>
      <c r="CX1427" s="1" t="s">
        <v>224</v>
      </c>
      <c r="DB1427" s="1" t="s">
        <v>224</v>
      </c>
      <c r="DE1427" s="1" t="s">
        <v>408</v>
      </c>
      <c r="DF1427" s="1" t="s">
        <v>219</v>
      </c>
      <c r="DH1427" s="1" t="s">
        <v>210</v>
      </c>
      <c r="DJ1427" s="1" t="s">
        <v>224</v>
      </c>
      <c r="DM1427" s="1" t="s">
        <v>464</v>
      </c>
      <c r="DR1427" s="1" t="s">
        <v>1469</v>
      </c>
      <c r="DS1427" s="1" t="s">
        <v>277</v>
      </c>
      <c r="DT1427" s="1" t="s">
        <v>220</v>
      </c>
      <c r="DW1427" s="1" t="s">
        <v>230</v>
      </c>
      <c r="EA1427" s="1" t="s">
        <v>230</v>
      </c>
      <c r="EE1427" s="1" t="s">
        <v>230</v>
      </c>
      <c r="EI1427" s="1" t="s">
        <v>230</v>
      </c>
      <c r="EL1427" s="1" t="s">
        <v>542</v>
      </c>
      <c r="EM1427" s="1" t="s">
        <v>232</v>
      </c>
      <c r="EN1427" s="1" t="s">
        <v>282</v>
      </c>
      <c r="EO1427" s="1" t="s">
        <v>234</v>
      </c>
      <c r="EQ1427" s="1" t="s">
        <v>1094</v>
      </c>
      <c r="ER1427" s="1" t="s">
        <v>210</v>
      </c>
      <c r="EU1427" s="1" t="s">
        <v>239</v>
      </c>
      <c r="EW1427" s="1" t="s">
        <v>1250</v>
      </c>
      <c r="EY1427" s="1" t="s">
        <v>242</v>
      </c>
      <c r="EZ1427" s="1" t="s">
        <v>464</v>
      </c>
      <c r="FB1427" s="1" t="s">
        <v>289</v>
      </c>
      <c r="FC1427" s="1" t="s">
        <v>326</v>
      </c>
      <c r="FD1427" s="1" t="s">
        <v>246</v>
      </c>
      <c r="FE1427" s="1" t="s">
        <v>975</v>
      </c>
      <c r="FF1427" s="1" t="s">
        <v>248</v>
      </c>
      <c r="FG1427" s="1" t="s">
        <v>2739</v>
      </c>
      <c r="FH1427" s="1" t="s">
        <v>550</v>
      </c>
      <c r="FI1427" s="1" t="s">
        <v>473</v>
      </c>
      <c r="FJ1427" s="1" t="s">
        <v>1620</v>
      </c>
      <c r="FL1427" s="1" t="s">
        <v>358</v>
      </c>
      <c r="FM1427" s="1" t="s">
        <v>252</v>
      </c>
      <c r="FN1427" s="1" t="s">
        <v>213</v>
      </c>
      <c r="FO1427" s="1" t="s">
        <v>213</v>
      </c>
      <c r="FQ1427" s="1" t="s">
        <v>793</v>
      </c>
      <c r="FR1427" s="1" t="s">
        <v>210</v>
      </c>
      <c r="FS1427" s="1" t="s">
        <v>14112</v>
      </c>
      <c r="FT1427" s="1" t="s">
        <v>14113</v>
      </c>
      <c r="FU1427" s="1" t="s">
        <v>204</v>
      </c>
      <c r="FW1427" s="1" t="s">
        <v>915</v>
      </c>
      <c r="FX1427" s="1">
        <v>23076</v>
      </c>
      <c r="FY1427" s="1" t="s">
        <v>1909</v>
      </c>
      <c r="FZ1427" s="1" t="s">
        <v>14114</v>
      </c>
      <c r="GA1427" s="1">
        <v>232566</v>
      </c>
      <c r="GB1427" s="1" t="s">
        <v>14115</v>
      </c>
      <c r="GE1427" s="1" t="s">
        <v>1226</v>
      </c>
      <c r="GI1427" s="1" t="s">
        <v>213</v>
      </c>
      <c r="GJ1427" s="1" t="s">
        <v>260</v>
      </c>
      <c r="GK1427" s="1" t="s">
        <v>210</v>
      </c>
      <c r="GL1427" s="2">
        <v>42135</v>
      </c>
      <c r="GM1427" s="1" t="s">
        <v>14116</v>
      </c>
    </row>
    <row r="1428" spans="1:195">
      <c r="A1428" s="1">
        <v>107000</v>
      </c>
      <c r="B1428" s="1" t="s">
        <v>195</v>
      </c>
      <c r="C1428" s="1" t="str">
        <f>"08871539"</f>
        <v>08871539</v>
      </c>
      <c r="D1428" s="1" t="s">
        <v>196</v>
      </c>
      <c r="F1428" s="1" t="str">
        <f>"516"</f>
        <v>516</v>
      </c>
      <c r="G1428" s="2">
        <v>42088</v>
      </c>
      <c r="H1428" s="1">
        <v>110900</v>
      </c>
      <c r="I1428" s="1">
        <v>110900</v>
      </c>
      <c r="J1428" s="1">
        <v>107000</v>
      </c>
      <c r="K1428" s="2">
        <v>42087</v>
      </c>
      <c r="L1428" s="1">
        <v>4</v>
      </c>
      <c r="M1428" s="2">
        <v>42090</v>
      </c>
      <c r="N1428" s="1">
        <v>4</v>
      </c>
      <c r="O1428" s="2">
        <v>42090</v>
      </c>
      <c r="P1428" s="1">
        <v>22067</v>
      </c>
      <c r="Q1428" s="1" t="s">
        <v>197</v>
      </c>
      <c r="R1428" s="2">
        <v>42142</v>
      </c>
      <c r="S1428" s="1">
        <v>213895</v>
      </c>
      <c r="U1428" s="1">
        <v>6102</v>
      </c>
      <c r="V1428" s="1" t="s">
        <v>14117</v>
      </c>
      <c r="W1428" s="1" t="s">
        <v>264</v>
      </c>
      <c r="X1428" s="1">
        <v>206</v>
      </c>
      <c r="Y1428" s="1">
        <v>8</v>
      </c>
      <c r="Z1428" s="1" t="s">
        <v>249</v>
      </c>
      <c r="AA1428" s="1" t="s">
        <v>1417</v>
      </c>
      <c r="AB1428" s="1">
        <v>60527</v>
      </c>
      <c r="AD1428" s="1" t="s">
        <v>14118</v>
      </c>
      <c r="AE1428" s="1" t="s">
        <v>14119</v>
      </c>
      <c r="AF1428" s="1">
        <v>1973</v>
      </c>
      <c r="AG1428" s="1" t="s">
        <v>213</v>
      </c>
      <c r="AH1428" s="1" t="s">
        <v>1419</v>
      </c>
      <c r="AI1428" s="1" t="s">
        <v>206</v>
      </c>
      <c r="AJ1428" s="1" t="s">
        <v>903</v>
      </c>
      <c r="AL1428" s="1">
        <v>5</v>
      </c>
      <c r="AM1428" s="1">
        <v>2</v>
      </c>
      <c r="AN1428" s="1">
        <v>2</v>
      </c>
      <c r="AO1428" s="1">
        <v>0</v>
      </c>
      <c r="AP1428" s="1" t="s">
        <v>210</v>
      </c>
      <c r="AR1428" s="1" t="s">
        <v>210</v>
      </c>
      <c r="AS1428" s="1" t="s">
        <v>204</v>
      </c>
      <c r="AT1428" s="1" t="s">
        <v>271</v>
      </c>
      <c r="AV1428" s="1">
        <v>2</v>
      </c>
      <c r="AW1428" s="1" t="s">
        <v>204</v>
      </c>
      <c r="AX1428" s="1" t="s">
        <v>212</v>
      </c>
      <c r="AZ1428" s="1">
        <v>2073</v>
      </c>
      <c r="BA1428" s="1">
        <v>2013</v>
      </c>
      <c r="BB1428" s="1" t="s">
        <v>210</v>
      </c>
      <c r="BE1428" s="1">
        <v>825</v>
      </c>
      <c r="BF1428" s="1">
        <v>2</v>
      </c>
      <c r="BG1428" s="1">
        <v>30</v>
      </c>
      <c r="BL1428" s="1">
        <v>306</v>
      </c>
      <c r="BM1428" s="1" t="s">
        <v>204</v>
      </c>
      <c r="BN1428" s="1" t="s">
        <v>213</v>
      </c>
      <c r="BP1428" s="1" t="s">
        <v>204</v>
      </c>
      <c r="BR1428" s="1" t="str">
        <f>"0914303246"</f>
        <v>0914303246</v>
      </c>
      <c r="BT1428" s="1" t="s">
        <v>14120</v>
      </c>
      <c r="BX1428" s="1">
        <v>60</v>
      </c>
      <c r="BY1428" s="1">
        <v>60</v>
      </c>
      <c r="BZ1428" s="1">
        <v>86</v>
      </c>
      <c r="CB1428" s="1" t="str">
        <f t="shared" ref="CB1428:CC1428" si="1088">""</f>
        <v/>
      </c>
      <c r="CC1428" s="1" t="str">
        <f t="shared" si="1088"/>
        <v/>
      </c>
      <c r="CG1428" s="1" t="s">
        <v>1737</v>
      </c>
      <c r="CH1428" s="1" t="s">
        <v>277</v>
      </c>
      <c r="CI1428" s="1" t="s">
        <v>229</v>
      </c>
      <c r="CK1428" s="1" t="s">
        <v>539</v>
      </c>
      <c r="CL1428" s="1" t="s">
        <v>277</v>
      </c>
      <c r="CM1428" s="1" t="s">
        <v>220</v>
      </c>
      <c r="CO1428" s="1" t="s">
        <v>2277</v>
      </c>
      <c r="CP1428" s="1" t="s">
        <v>277</v>
      </c>
      <c r="CQ1428" s="1" t="s">
        <v>229</v>
      </c>
      <c r="CS1428" s="1" t="s">
        <v>346</v>
      </c>
      <c r="CT1428" s="1" t="s">
        <v>277</v>
      </c>
      <c r="CU1428" s="1" t="s">
        <v>220</v>
      </c>
      <c r="CX1428" s="1" t="s">
        <v>224</v>
      </c>
      <c r="DB1428" s="1" t="s">
        <v>224</v>
      </c>
      <c r="DE1428" s="1" t="s">
        <v>4148</v>
      </c>
      <c r="DF1428" s="1" t="s">
        <v>277</v>
      </c>
      <c r="DG1428" s="1" t="s">
        <v>226</v>
      </c>
      <c r="DJ1428" s="1" t="s">
        <v>224</v>
      </c>
      <c r="DS1428" s="1" t="s">
        <v>230</v>
      </c>
      <c r="DW1428" s="1" t="s">
        <v>230</v>
      </c>
      <c r="EA1428" s="1" t="s">
        <v>230</v>
      </c>
      <c r="EE1428" s="1" t="s">
        <v>230</v>
      </c>
      <c r="EI1428" s="1" t="s">
        <v>230</v>
      </c>
      <c r="EL1428" s="1" t="s">
        <v>605</v>
      </c>
      <c r="EM1428" s="1" t="s">
        <v>730</v>
      </c>
      <c r="EN1428" s="1" t="s">
        <v>282</v>
      </c>
      <c r="EO1428" s="1" t="s">
        <v>234</v>
      </c>
      <c r="EP1428" s="1" t="s">
        <v>14121</v>
      </c>
      <c r="EQ1428" s="1" t="s">
        <v>953</v>
      </c>
      <c r="ER1428" s="1" t="s">
        <v>210</v>
      </c>
      <c r="EV1428" s="1" t="s">
        <v>240</v>
      </c>
      <c r="EW1428" s="1" t="s">
        <v>14122</v>
      </c>
      <c r="EZ1428" s="1" t="s">
        <v>287</v>
      </c>
      <c r="FD1428" s="1" t="s">
        <v>736</v>
      </c>
      <c r="FE1428" s="1" t="s">
        <v>247</v>
      </c>
      <c r="FF1428" s="1" t="s">
        <v>248</v>
      </c>
      <c r="FH1428" s="1" t="s">
        <v>249</v>
      </c>
      <c r="FK1428" s="1" t="s">
        <v>891</v>
      </c>
      <c r="FL1428" s="1" t="s">
        <v>358</v>
      </c>
      <c r="FM1428" s="1" t="s">
        <v>252</v>
      </c>
      <c r="FN1428" s="1" t="s">
        <v>213</v>
      </c>
      <c r="FO1428" s="1" t="s">
        <v>213</v>
      </c>
      <c r="FQ1428" s="1" t="s">
        <v>4005</v>
      </c>
      <c r="FR1428" s="1" t="s">
        <v>210</v>
      </c>
      <c r="FS1428" s="1" t="s">
        <v>14123</v>
      </c>
      <c r="FT1428" s="1" t="s">
        <v>295</v>
      </c>
      <c r="FU1428" s="1" t="s">
        <v>204</v>
      </c>
      <c r="FW1428" s="1" t="s">
        <v>5202</v>
      </c>
      <c r="FX1428" s="1">
        <v>22067</v>
      </c>
      <c r="FY1428" s="1" t="s">
        <v>5203</v>
      </c>
      <c r="FZ1428" s="1" t="s">
        <v>5204</v>
      </c>
      <c r="GA1428" s="1">
        <v>213895</v>
      </c>
      <c r="GB1428" s="1" t="s">
        <v>5203</v>
      </c>
      <c r="GE1428" s="1" t="s">
        <v>480</v>
      </c>
      <c r="GI1428" s="1" t="s">
        <v>213</v>
      </c>
      <c r="GJ1428" s="1" t="s">
        <v>260</v>
      </c>
      <c r="GK1428" s="1" t="s">
        <v>210</v>
      </c>
      <c r="GL1428" s="2">
        <v>42143</v>
      </c>
      <c r="GM1428" s="1" t="s">
        <v>14124</v>
      </c>
    </row>
    <row r="1429" spans="1:195">
      <c r="A1429" s="1">
        <v>197500</v>
      </c>
      <c r="B1429" s="1" t="s">
        <v>195</v>
      </c>
      <c r="C1429" s="1" t="str">
        <f>"08866992"</f>
        <v>08866992</v>
      </c>
      <c r="D1429" s="1" t="s">
        <v>196</v>
      </c>
      <c r="F1429" s="1" t="str">
        <f>"148"</f>
        <v>148</v>
      </c>
      <c r="G1429" s="2">
        <v>42083</v>
      </c>
      <c r="H1429" s="1">
        <v>209900</v>
      </c>
      <c r="I1429" s="1">
        <v>209900</v>
      </c>
      <c r="J1429" s="1">
        <v>197500</v>
      </c>
      <c r="K1429" s="2">
        <v>42083</v>
      </c>
      <c r="L1429" s="1">
        <v>9</v>
      </c>
      <c r="M1429" s="2">
        <v>42091</v>
      </c>
      <c r="N1429" s="1">
        <v>9</v>
      </c>
      <c r="O1429" s="2">
        <v>42091</v>
      </c>
      <c r="P1429" s="1">
        <v>25113</v>
      </c>
      <c r="Q1429" s="1" t="s">
        <v>197</v>
      </c>
      <c r="R1429" s="2">
        <v>42145</v>
      </c>
      <c r="S1429" s="1">
        <v>239805</v>
      </c>
      <c r="T1429" s="1">
        <v>400</v>
      </c>
      <c r="U1429" s="1">
        <v>1115</v>
      </c>
      <c r="V1429" s="1" t="s">
        <v>2631</v>
      </c>
      <c r="W1429" s="1" t="s">
        <v>425</v>
      </c>
      <c r="Y1429" s="1">
        <v>8</v>
      </c>
      <c r="Z1429" s="1" t="s">
        <v>200</v>
      </c>
      <c r="AA1429" s="1" t="s">
        <v>1927</v>
      </c>
      <c r="AB1429" s="1">
        <v>60148</v>
      </c>
      <c r="AD1429" s="1" t="s">
        <v>14125</v>
      </c>
      <c r="AE1429" s="1" t="s">
        <v>14126</v>
      </c>
      <c r="AF1429" s="1">
        <v>1992</v>
      </c>
      <c r="AG1429" s="1" t="s">
        <v>204</v>
      </c>
      <c r="AH1429" s="1" t="s">
        <v>1930</v>
      </c>
      <c r="AI1429" s="1" t="s">
        <v>206</v>
      </c>
      <c r="AJ1429" s="1" t="s">
        <v>1608</v>
      </c>
      <c r="AL1429" s="1">
        <v>6</v>
      </c>
      <c r="AM1429" s="1">
        <v>2</v>
      </c>
      <c r="AN1429" s="1">
        <v>2</v>
      </c>
      <c r="AO1429" s="1">
        <v>1</v>
      </c>
      <c r="AP1429" s="1" t="s">
        <v>209</v>
      </c>
      <c r="AQ1429" s="1">
        <v>1</v>
      </c>
      <c r="AR1429" s="1" t="s">
        <v>210</v>
      </c>
      <c r="AS1429" s="1" t="s">
        <v>204</v>
      </c>
      <c r="AT1429" s="1" t="s">
        <v>211</v>
      </c>
      <c r="AU1429" s="1">
        <v>1</v>
      </c>
      <c r="AW1429" s="1" t="s">
        <v>204</v>
      </c>
      <c r="AX1429" s="1" t="s">
        <v>212</v>
      </c>
      <c r="AZ1429" s="1">
        <v>3655</v>
      </c>
      <c r="BA1429" s="1">
        <v>2013</v>
      </c>
      <c r="BE1429" s="1">
        <v>1584</v>
      </c>
      <c r="BF1429" s="1">
        <v>1</v>
      </c>
      <c r="BG1429" s="1">
        <v>0</v>
      </c>
      <c r="BL1429" s="1">
        <v>189</v>
      </c>
      <c r="BM1429" s="1" t="s">
        <v>204</v>
      </c>
      <c r="BN1429" s="1" t="s">
        <v>213</v>
      </c>
      <c r="BO1429" s="1">
        <v>999</v>
      </c>
      <c r="BP1429" s="1" t="s">
        <v>204</v>
      </c>
      <c r="BR1429" s="1" t="str">
        <f>"0616119018"</f>
        <v>0616119018</v>
      </c>
      <c r="BT1429" s="1" t="s">
        <v>14127</v>
      </c>
      <c r="BU1429" s="1" t="s">
        <v>8567</v>
      </c>
      <c r="BV1429" s="1" t="s">
        <v>3929</v>
      </c>
      <c r="BW1429" s="1" t="s">
        <v>2201</v>
      </c>
      <c r="BX1429" s="1">
        <v>45</v>
      </c>
      <c r="BY1429" s="1">
        <v>45</v>
      </c>
      <c r="BZ1429" s="1">
        <v>88</v>
      </c>
      <c r="CB1429" s="1" t="str">
        <f t="shared" ref="CB1429:CC1429" si="1089">""</f>
        <v/>
      </c>
      <c r="CC1429" s="1" t="str">
        <f t="shared" si="1089"/>
        <v/>
      </c>
      <c r="CG1429" s="1" t="s">
        <v>437</v>
      </c>
      <c r="CH1429" s="1" t="s">
        <v>219</v>
      </c>
      <c r="CI1429" s="1" t="s">
        <v>438</v>
      </c>
      <c r="CK1429" s="1" t="s">
        <v>317</v>
      </c>
      <c r="CL1429" s="1" t="s">
        <v>277</v>
      </c>
      <c r="CM1429" s="1" t="s">
        <v>438</v>
      </c>
      <c r="CO1429" s="1" t="s">
        <v>465</v>
      </c>
      <c r="CP1429" s="1" t="s">
        <v>219</v>
      </c>
      <c r="CQ1429" s="1" t="s">
        <v>438</v>
      </c>
      <c r="CS1429" s="1" t="s">
        <v>318</v>
      </c>
      <c r="CT1429" s="1" t="s">
        <v>277</v>
      </c>
      <c r="CU1429" s="1" t="s">
        <v>438</v>
      </c>
      <c r="CX1429" s="1" t="s">
        <v>224</v>
      </c>
      <c r="DB1429" s="1" t="s">
        <v>224</v>
      </c>
      <c r="DE1429" s="1" t="s">
        <v>564</v>
      </c>
      <c r="DF1429" s="1" t="s">
        <v>219</v>
      </c>
      <c r="DG1429" s="1" t="s">
        <v>438</v>
      </c>
      <c r="DJ1429" s="1" t="s">
        <v>224</v>
      </c>
      <c r="DM1429" s="1" t="s">
        <v>464</v>
      </c>
      <c r="DR1429" s="1" t="s">
        <v>1358</v>
      </c>
      <c r="DS1429" s="1" t="s">
        <v>277</v>
      </c>
      <c r="DT1429" s="1" t="s">
        <v>438</v>
      </c>
      <c r="DW1429" s="1" t="s">
        <v>230</v>
      </c>
      <c r="EA1429" s="1" t="s">
        <v>230</v>
      </c>
      <c r="EE1429" s="1" t="s">
        <v>230</v>
      </c>
      <c r="EI1429" s="1" t="s">
        <v>230</v>
      </c>
      <c r="EL1429" s="1" t="s">
        <v>382</v>
      </c>
      <c r="EM1429" s="1" t="s">
        <v>232</v>
      </c>
      <c r="EN1429" s="1" t="s">
        <v>282</v>
      </c>
      <c r="EO1429" s="1" t="s">
        <v>234</v>
      </c>
      <c r="EQ1429" s="1" t="s">
        <v>236</v>
      </c>
      <c r="ER1429" s="1" t="s">
        <v>210</v>
      </c>
      <c r="ES1429" s="1" t="s">
        <v>322</v>
      </c>
      <c r="EW1429" s="1" t="s">
        <v>353</v>
      </c>
      <c r="EZ1429" s="1" t="s">
        <v>464</v>
      </c>
      <c r="FD1429" s="1" t="s">
        <v>246</v>
      </c>
      <c r="FE1429" s="1" t="s">
        <v>975</v>
      </c>
      <c r="FF1429" s="1" t="s">
        <v>1113</v>
      </c>
      <c r="FG1429" s="1" t="s">
        <v>2406</v>
      </c>
      <c r="FH1429" s="1" t="s">
        <v>550</v>
      </c>
      <c r="FL1429" s="1" t="s">
        <v>414</v>
      </c>
      <c r="FM1429" s="1" t="s">
        <v>252</v>
      </c>
      <c r="FN1429" s="1" t="s">
        <v>213</v>
      </c>
      <c r="FO1429" s="1" t="s">
        <v>204</v>
      </c>
      <c r="FQ1429" s="1" t="s">
        <v>3342</v>
      </c>
      <c r="FR1429" s="1" t="s">
        <v>210</v>
      </c>
      <c r="FS1429" s="1" t="s">
        <v>14128</v>
      </c>
      <c r="FT1429" s="1" t="s">
        <v>295</v>
      </c>
      <c r="FU1429" s="1" t="s">
        <v>204</v>
      </c>
      <c r="FW1429" s="1" t="s">
        <v>915</v>
      </c>
      <c r="FX1429" s="1">
        <v>20179</v>
      </c>
      <c r="FY1429" s="1" t="s">
        <v>1944</v>
      </c>
      <c r="FZ1429" s="1" t="s">
        <v>1945</v>
      </c>
      <c r="GA1429" s="1">
        <v>239974</v>
      </c>
      <c r="GB1429" s="1" t="s">
        <v>1946</v>
      </c>
      <c r="GE1429" s="1" t="s">
        <v>335</v>
      </c>
      <c r="GH1429" s="1" t="s">
        <v>800</v>
      </c>
      <c r="GI1429" s="1" t="s">
        <v>213</v>
      </c>
      <c r="GJ1429" s="1" t="s">
        <v>260</v>
      </c>
      <c r="GK1429" s="1" t="s">
        <v>210</v>
      </c>
      <c r="GL1429" s="2">
        <v>42145</v>
      </c>
      <c r="GM1429" s="1" t="s">
        <v>14129</v>
      </c>
    </row>
    <row r="1430" spans="1:195">
      <c r="A1430" s="1">
        <v>198000</v>
      </c>
      <c r="B1430" s="1" t="s">
        <v>195</v>
      </c>
      <c r="C1430" s="1" t="str">
        <f>"08863637"</f>
        <v>08863637</v>
      </c>
      <c r="D1430" s="1" t="s">
        <v>196</v>
      </c>
      <c r="F1430" s="1" t="str">
        <f>"143"</f>
        <v>143</v>
      </c>
      <c r="G1430" s="2">
        <v>42080</v>
      </c>
      <c r="H1430" s="1">
        <v>208900</v>
      </c>
      <c r="I1430" s="1">
        <v>208900</v>
      </c>
      <c r="J1430" s="1">
        <v>198000</v>
      </c>
      <c r="K1430" s="2">
        <v>42080</v>
      </c>
      <c r="L1430" s="1">
        <v>278</v>
      </c>
      <c r="M1430" s="2">
        <v>42094</v>
      </c>
      <c r="N1430" s="1">
        <v>15</v>
      </c>
      <c r="O1430" s="2">
        <v>42094</v>
      </c>
      <c r="P1430" s="1">
        <v>14316</v>
      </c>
      <c r="Q1430" s="1" t="s">
        <v>197</v>
      </c>
      <c r="R1430" s="2">
        <v>42131</v>
      </c>
      <c r="S1430" s="1">
        <v>165158</v>
      </c>
      <c r="U1430" s="1">
        <v>197</v>
      </c>
      <c r="V1430" s="1" t="s">
        <v>11126</v>
      </c>
      <c r="Y1430" s="1">
        <v>6</v>
      </c>
      <c r="Z1430" s="1" t="s">
        <v>249</v>
      </c>
      <c r="AA1430" s="1" t="s">
        <v>7871</v>
      </c>
      <c r="AB1430" s="1">
        <v>60143</v>
      </c>
      <c r="AD1430" s="1" t="s">
        <v>11127</v>
      </c>
      <c r="AE1430" s="1" t="s">
        <v>14130</v>
      </c>
      <c r="AF1430" s="1">
        <v>1993</v>
      </c>
      <c r="AG1430" s="1" t="s">
        <v>204</v>
      </c>
      <c r="AH1430" s="1" t="s">
        <v>7873</v>
      </c>
      <c r="AI1430" s="1" t="s">
        <v>206</v>
      </c>
      <c r="AJ1430" s="1" t="s">
        <v>1233</v>
      </c>
      <c r="AK1430" s="1" t="s">
        <v>14131</v>
      </c>
      <c r="AL1430" s="1">
        <v>6</v>
      </c>
      <c r="AM1430" s="1">
        <v>2</v>
      </c>
      <c r="AN1430" s="1">
        <v>2</v>
      </c>
      <c r="AO1430" s="1">
        <v>1</v>
      </c>
      <c r="AP1430" s="1" t="s">
        <v>209</v>
      </c>
      <c r="AQ1430" s="1">
        <v>1</v>
      </c>
      <c r="AR1430" s="1" t="s">
        <v>210</v>
      </c>
      <c r="AS1430" s="1" t="s">
        <v>204</v>
      </c>
      <c r="AT1430" s="1" t="s">
        <v>211</v>
      </c>
      <c r="AU1430" s="1">
        <v>2</v>
      </c>
      <c r="AW1430" s="1" t="s">
        <v>204</v>
      </c>
      <c r="AX1430" s="1" t="s">
        <v>4740</v>
      </c>
      <c r="AZ1430" s="1">
        <v>3777</v>
      </c>
      <c r="BA1430" s="1">
        <v>2013</v>
      </c>
      <c r="BB1430" s="1" t="s">
        <v>405</v>
      </c>
      <c r="BE1430" s="1">
        <v>1200</v>
      </c>
      <c r="BF1430" s="1">
        <v>1</v>
      </c>
      <c r="BG1430" s="1">
        <v>0</v>
      </c>
      <c r="BL1430" s="1">
        <v>207</v>
      </c>
      <c r="BM1430" s="1" t="s">
        <v>204</v>
      </c>
      <c r="BN1430" s="1" t="s">
        <v>213</v>
      </c>
      <c r="BO1430" s="1">
        <v>0</v>
      </c>
      <c r="BP1430" s="1" t="s">
        <v>204</v>
      </c>
      <c r="BR1430" s="1" t="str">
        <f>"0305313027"</f>
        <v>0305313027</v>
      </c>
      <c r="BT1430" s="1" t="s">
        <v>14132</v>
      </c>
      <c r="BU1430" s="1" t="s">
        <v>11130</v>
      </c>
      <c r="BV1430" s="1" t="s">
        <v>7877</v>
      </c>
      <c r="BW1430" s="1" t="s">
        <v>275</v>
      </c>
      <c r="BX1430" s="1">
        <v>10</v>
      </c>
      <c r="BY1430" s="1">
        <v>10</v>
      </c>
      <c r="BZ1430" s="1">
        <v>108</v>
      </c>
      <c r="CB1430" s="1" t="str">
        <f t="shared" ref="CB1430:CC1430" si="1090">""</f>
        <v/>
      </c>
      <c r="CC1430" s="1" t="str">
        <f t="shared" si="1090"/>
        <v/>
      </c>
      <c r="CG1430" s="1" t="s">
        <v>462</v>
      </c>
      <c r="CH1430" s="1" t="s">
        <v>219</v>
      </c>
      <c r="CI1430" s="1" t="s">
        <v>220</v>
      </c>
      <c r="CJ1430" s="1" t="s">
        <v>343</v>
      </c>
      <c r="CK1430" s="1" t="s">
        <v>1533</v>
      </c>
      <c r="CL1430" s="1" t="s">
        <v>277</v>
      </c>
      <c r="CM1430" s="1" t="s">
        <v>220</v>
      </c>
      <c r="CN1430" s="1" t="s">
        <v>343</v>
      </c>
      <c r="CO1430" s="1" t="s">
        <v>408</v>
      </c>
      <c r="CP1430" s="1" t="s">
        <v>219</v>
      </c>
      <c r="CQ1430" s="1" t="s">
        <v>220</v>
      </c>
      <c r="CR1430" s="1" t="s">
        <v>343</v>
      </c>
      <c r="CS1430" s="1" t="s">
        <v>408</v>
      </c>
      <c r="CT1430" s="1" t="s">
        <v>277</v>
      </c>
      <c r="CU1430" s="1" t="s">
        <v>220</v>
      </c>
      <c r="CV1430" s="1" t="s">
        <v>343</v>
      </c>
      <c r="CX1430" s="1" t="s">
        <v>224</v>
      </c>
      <c r="DB1430" s="1" t="s">
        <v>224</v>
      </c>
      <c r="DE1430" s="1" t="s">
        <v>407</v>
      </c>
      <c r="DF1430" s="1" t="s">
        <v>219</v>
      </c>
      <c r="DG1430" s="1" t="s">
        <v>229</v>
      </c>
      <c r="DH1430" s="1" t="s">
        <v>210</v>
      </c>
      <c r="DJ1430" s="1" t="s">
        <v>224</v>
      </c>
      <c r="DM1430" s="1" t="s">
        <v>1771</v>
      </c>
      <c r="DN1430" s="1" t="s">
        <v>381</v>
      </c>
      <c r="DR1430" s="1" t="s">
        <v>1774</v>
      </c>
      <c r="DS1430" s="1" t="s">
        <v>277</v>
      </c>
      <c r="DT1430" s="1" t="s">
        <v>220</v>
      </c>
      <c r="DU1430" s="1" t="s">
        <v>210</v>
      </c>
      <c r="DV1430" s="1" t="s">
        <v>345</v>
      </c>
      <c r="DW1430" s="1" t="s">
        <v>219</v>
      </c>
      <c r="DX1430" s="1" t="s">
        <v>229</v>
      </c>
      <c r="DY1430" s="1" t="s">
        <v>210</v>
      </c>
      <c r="EA1430" s="1" t="s">
        <v>230</v>
      </c>
      <c r="EE1430" s="1" t="s">
        <v>230</v>
      </c>
      <c r="EI1430" s="1" t="s">
        <v>230</v>
      </c>
      <c r="EL1430" s="1" t="s">
        <v>382</v>
      </c>
      <c r="EM1430" s="1" t="s">
        <v>232</v>
      </c>
      <c r="EN1430" s="1" t="s">
        <v>282</v>
      </c>
      <c r="EO1430" s="1" t="s">
        <v>840</v>
      </c>
      <c r="EP1430" s="1" t="s">
        <v>650</v>
      </c>
      <c r="EQ1430" s="1" t="s">
        <v>1094</v>
      </c>
      <c r="ER1430" s="1" t="s">
        <v>210</v>
      </c>
      <c r="ES1430" s="1" t="s">
        <v>1552</v>
      </c>
      <c r="ET1430" s="1" t="s">
        <v>842</v>
      </c>
      <c r="EU1430" s="1" t="s">
        <v>239</v>
      </c>
      <c r="EV1430" s="1" t="s">
        <v>1999</v>
      </c>
      <c r="EW1430" s="1" t="s">
        <v>5251</v>
      </c>
      <c r="EY1430" s="1" t="s">
        <v>242</v>
      </c>
      <c r="EZ1430" s="1" t="s">
        <v>14133</v>
      </c>
      <c r="FA1430" s="1" t="s">
        <v>1072</v>
      </c>
      <c r="FB1430" s="1" t="s">
        <v>289</v>
      </c>
      <c r="FC1430" s="1" t="s">
        <v>1386</v>
      </c>
      <c r="FD1430" s="1" t="s">
        <v>246</v>
      </c>
      <c r="FE1430" s="1" t="s">
        <v>386</v>
      </c>
      <c r="FF1430" s="1" t="s">
        <v>248</v>
      </c>
      <c r="FG1430" s="1" t="s">
        <v>1204</v>
      </c>
      <c r="FH1430" s="1" t="s">
        <v>940</v>
      </c>
      <c r="FI1430" s="1" t="s">
        <v>473</v>
      </c>
      <c r="FL1430" s="1" t="s">
        <v>358</v>
      </c>
      <c r="FM1430" s="1" t="s">
        <v>252</v>
      </c>
      <c r="FN1430" s="1" t="s">
        <v>213</v>
      </c>
      <c r="FO1430" s="1" t="s">
        <v>213</v>
      </c>
      <c r="FQ1430" s="1" t="s">
        <v>14134</v>
      </c>
      <c r="FR1430" s="1" t="s">
        <v>652</v>
      </c>
      <c r="FS1430" s="1" t="s">
        <v>14135</v>
      </c>
      <c r="FT1430" s="1" t="s">
        <v>14136</v>
      </c>
      <c r="FU1430" s="1" t="s">
        <v>204</v>
      </c>
      <c r="FW1430" s="1" t="s">
        <v>14137</v>
      </c>
      <c r="FX1430" s="1">
        <v>8385</v>
      </c>
      <c r="FY1430" s="1" t="s">
        <v>14138</v>
      </c>
      <c r="FZ1430" s="1" t="s">
        <v>14139</v>
      </c>
      <c r="GA1430" s="1">
        <v>80895</v>
      </c>
      <c r="GB1430" s="1" t="s">
        <v>14138</v>
      </c>
      <c r="GE1430" s="1" t="s">
        <v>776</v>
      </c>
      <c r="GI1430" s="1" t="s">
        <v>204</v>
      </c>
      <c r="GJ1430" s="1" t="s">
        <v>260</v>
      </c>
      <c r="GK1430" s="1" t="s">
        <v>210</v>
      </c>
      <c r="GL1430" s="2">
        <v>42132</v>
      </c>
      <c r="GM1430" s="1" t="s">
        <v>14140</v>
      </c>
    </row>
    <row r="1431" spans="1:195">
      <c r="A1431" s="1">
        <v>144500</v>
      </c>
      <c r="B1431" s="1" t="s">
        <v>195</v>
      </c>
      <c r="C1431" s="1" t="str">
        <f>"08870083"</f>
        <v>08870083</v>
      </c>
      <c r="D1431" s="1" t="s">
        <v>196</v>
      </c>
      <c r="F1431" s="1" t="str">
        <f>"540"</f>
        <v>540</v>
      </c>
      <c r="G1431" s="2">
        <v>42087</v>
      </c>
      <c r="H1431" s="1">
        <v>150000</v>
      </c>
      <c r="I1431" s="1">
        <v>150000</v>
      </c>
      <c r="J1431" s="1">
        <v>144500</v>
      </c>
      <c r="K1431" s="2">
        <v>42087</v>
      </c>
      <c r="L1431" s="1">
        <v>5</v>
      </c>
      <c r="M1431" s="2">
        <v>42091</v>
      </c>
      <c r="N1431" s="1">
        <v>5</v>
      </c>
      <c r="O1431" s="2">
        <v>42091</v>
      </c>
      <c r="P1431" s="1">
        <v>23156</v>
      </c>
      <c r="Q1431" s="1" t="s">
        <v>197</v>
      </c>
      <c r="R1431" s="2">
        <v>42125</v>
      </c>
      <c r="S1431" s="1">
        <v>242720</v>
      </c>
      <c r="U1431" s="1">
        <v>2607</v>
      </c>
      <c r="V1431" s="1" t="s">
        <v>4860</v>
      </c>
      <c r="W1431" s="1" t="s">
        <v>304</v>
      </c>
      <c r="X1431" s="1">
        <v>204</v>
      </c>
      <c r="Y1431" s="1">
        <v>8</v>
      </c>
      <c r="Z1431" s="1" t="s">
        <v>249</v>
      </c>
      <c r="AA1431" s="1" t="s">
        <v>921</v>
      </c>
      <c r="AB1431" s="1">
        <v>60564</v>
      </c>
      <c r="AD1431" s="1" t="s">
        <v>5178</v>
      </c>
      <c r="AE1431" s="1" t="s">
        <v>14141</v>
      </c>
      <c r="AF1431" s="1">
        <v>1999</v>
      </c>
      <c r="AG1431" s="1" t="s">
        <v>204</v>
      </c>
      <c r="AH1431" s="1" t="s">
        <v>924</v>
      </c>
      <c r="AI1431" s="1" t="s">
        <v>1800</v>
      </c>
      <c r="AJ1431" s="1" t="s">
        <v>1801</v>
      </c>
      <c r="AL1431" s="1">
        <v>5</v>
      </c>
      <c r="AM1431" s="1">
        <v>2</v>
      </c>
      <c r="AN1431" s="1">
        <v>2</v>
      </c>
      <c r="AO1431" s="1">
        <v>0</v>
      </c>
      <c r="AP1431" s="1" t="s">
        <v>209</v>
      </c>
      <c r="AQ1431" s="1">
        <v>0</v>
      </c>
      <c r="AR1431" s="1" t="s">
        <v>210</v>
      </c>
      <c r="AS1431" s="1" t="s">
        <v>204</v>
      </c>
      <c r="AT1431" s="1" t="s">
        <v>211</v>
      </c>
      <c r="AU1431" s="1">
        <v>1</v>
      </c>
      <c r="AW1431" s="1" t="s">
        <v>204</v>
      </c>
      <c r="AX1431" s="1" t="s">
        <v>212</v>
      </c>
      <c r="AZ1431" s="1">
        <v>3590.52</v>
      </c>
      <c r="BA1431" s="1">
        <v>2013</v>
      </c>
      <c r="BB1431" s="1" t="s">
        <v>405</v>
      </c>
      <c r="BE1431" s="1">
        <v>1240</v>
      </c>
      <c r="BF1431" s="1">
        <v>2</v>
      </c>
      <c r="BG1431" s="1">
        <v>30</v>
      </c>
      <c r="BL1431" s="1">
        <v>249</v>
      </c>
      <c r="BM1431" s="1" t="s">
        <v>204</v>
      </c>
      <c r="BN1431" s="1" t="s">
        <v>213</v>
      </c>
      <c r="BO1431" s="1">
        <v>999</v>
      </c>
      <c r="BP1431" s="1" t="s">
        <v>204</v>
      </c>
      <c r="BR1431" s="1" t="str">
        <f>"01031050091008"</f>
        <v>01031050091008</v>
      </c>
      <c r="BT1431" s="1" t="s">
        <v>14142</v>
      </c>
      <c r="BU1431" s="1" t="s">
        <v>2216</v>
      </c>
      <c r="BV1431" s="1" t="s">
        <v>2217</v>
      </c>
      <c r="BW1431" s="1" t="s">
        <v>2218</v>
      </c>
      <c r="BX1431" s="1">
        <v>204</v>
      </c>
      <c r="BY1431" s="1">
        <v>204</v>
      </c>
      <c r="BZ1431" s="1">
        <v>204</v>
      </c>
      <c r="CB1431" s="1" t="str">
        <f t="shared" ref="CB1431:CC1431" si="1091">""</f>
        <v/>
      </c>
      <c r="CC1431" s="1" t="str">
        <f t="shared" si="1091"/>
        <v/>
      </c>
      <c r="CG1431" s="1" t="s">
        <v>862</v>
      </c>
      <c r="CH1431" s="1" t="s">
        <v>277</v>
      </c>
      <c r="CI1431" s="1" t="s">
        <v>229</v>
      </c>
      <c r="CJ1431" s="1" t="s">
        <v>463</v>
      </c>
      <c r="CK1431" s="1" t="s">
        <v>564</v>
      </c>
      <c r="CL1431" s="1" t="s">
        <v>277</v>
      </c>
      <c r="CM1431" s="1" t="s">
        <v>220</v>
      </c>
      <c r="CN1431" s="1" t="s">
        <v>463</v>
      </c>
      <c r="CO1431" s="1" t="s">
        <v>2031</v>
      </c>
      <c r="CP1431" s="1" t="s">
        <v>277</v>
      </c>
      <c r="CQ1431" s="1" t="s">
        <v>229</v>
      </c>
      <c r="CR1431" s="1" t="s">
        <v>343</v>
      </c>
      <c r="CS1431" s="1" t="s">
        <v>1107</v>
      </c>
      <c r="CT1431" s="1" t="s">
        <v>277</v>
      </c>
      <c r="CU1431" s="1" t="s">
        <v>220</v>
      </c>
      <c r="CV1431" s="1" t="s">
        <v>909</v>
      </c>
      <c r="CX1431" s="1" t="s">
        <v>224</v>
      </c>
      <c r="DB1431" s="1" t="s">
        <v>224</v>
      </c>
      <c r="DE1431" s="1" t="s">
        <v>408</v>
      </c>
      <c r="DF1431" s="1" t="s">
        <v>277</v>
      </c>
      <c r="DG1431" s="1" t="s">
        <v>226</v>
      </c>
      <c r="DH1431" s="1" t="s">
        <v>343</v>
      </c>
      <c r="DJ1431" s="1" t="s">
        <v>224</v>
      </c>
      <c r="DM1431" s="1" t="s">
        <v>709</v>
      </c>
      <c r="DR1431" s="1" t="s">
        <v>14143</v>
      </c>
      <c r="DS1431" s="1" t="s">
        <v>219</v>
      </c>
      <c r="DT1431" s="1" t="s">
        <v>226</v>
      </c>
      <c r="DU1431" s="1" t="s">
        <v>343</v>
      </c>
      <c r="DW1431" s="1" t="s">
        <v>230</v>
      </c>
      <c r="EA1431" s="1" t="s">
        <v>230</v>
      </c>
      <c r="EE1431" s="1" t="s">
        <v>230</v>
      </c>
      <c r="EI1431" s="1" t="s">
        <v>230</v>
      </c>
      <c r="EL1431" s="1" t="s">
        <v>670</v>
      </c>
      <c r="EM1431" s="1" t="s">
        <v>232</v>
      </c>
      <c r="EN1431" s="1" t="s">
        <v>282</v>
      </c>
      <c r="EO1431" s="1" t="s">
        <v>234</v>
      </c>
      <c r="EP1431" s="1" t="s">
        <v>650</v>
      </c>
      <c r="EQ1431" s="1" t="s">
        <v>11636</v>
      </c>
      <c r="ER1431" s="1" t="s">
        <v>210</v>
      </c>
      <c r="ET1431" s="1" t="s">
        <v>1752</v>
      </c>
      <c r="EU1431" s="1" t="s">
        <v>1202</v>
      </c>
      <c r="EW1431" s="1" t="s">
        <v>1804</v>
      </c>
      <c r="EY1431" s="1" t="s">
        <v>242</v>
      </c>
      <c r="EZ1431" s="1" t="s">
        <v>709</v>
      </c>
      <c r="FB1431" s="1" t="s">
        <v>289</v>
      </c>
      <c r="FD1431" s="1" t="s">
        <v>246</v>
      </c>
      <c r="FE1431" s="1" t="s">
        <v>355</v>
      </c>
      <c r="FF1431" s="1" t="s">
        <v>248</v>
      </c>
      <c r="FH1431" s="1" t="s">
        <v>2221</v>
      </c>
      <c r="FI1431" s="1" t="s">
        <v>473</v>
      </c>
      <c r="FJ1431" s="1" t="s">
        <v>1251</v>
      </c>
      <c r="FL1431" s="1" t="s">
        <v>414</v>
      </c>
      <c r="FM1431" s="1" t="s">
        <v>252</v>
      </c>
      <c r="FN1431" s="1" t="s">
        <v>213</v>
      </c>
      <c r="FO1431" s="1" t="s">
        <v>213</v>
      </c>
      <c r="FQ1431" s="1" t="s">
        <v>14144</v>
      </c>
      <c r="FR1431" s="1" t="s">
        <v>210</v>
      </c>
      <c r="FS1431" s="1" t="s">
        <v>14145</v>
      </c>
      <c r="FT1431" s="1" t="s">
        <v>295</v>
      </c>
      <c r="FU1431" s="1" t="s">
        <v>204</v>
      </c>
      <c r="FW1431" s="1" t="s">
        <v>915</v>
      </c>
      <c r="FX1431" s="1">
        <v>23076</v>
      </c>
      <c r="FY1431" s="1" t="s">
        <v>1909</v>
      </c>
      <c r="FZ1431" s="1" t="s">
        <v>14146</v>
      </c>
      <c r="GA1431" s="1">
        <v>239119</v>
      </c>
      <c r="GB1431" s="1" t="s">
        <v>14147</v>
      </c>
      <c r="GE1431" s="1" t="s">
        <v>480</v>
      </c>
      <c r="GI1431" s="1" t="s">
        <v>213</v>
      </c>
      <c r="GJ1431" s="1" t="s">
        <v>260</v>
      </c>
      <c r="GK1431" s="1" t="s">
        <v>210</v>
      </c>
      <c r="GL1431" s="2">
        <v>42125</v>
      </c>
      <c r="GM1431" s="1" t="s">
        <v>14148</v>
      </c>
    </row>
    <row r="1432" spans="1:195">
      <c r="A1432" s="1">
        <v>95000</v>
      </c>
      <c r="B1432" s="1" t="s">
        <v>195</v>
      </c>
      <c r="C1432" s="1" t="str">
        <f>"08896832"</f>
        <v>08896832</v>
      </c>
      <c r="D1432" s="1" t="s">
        <v>196</v>
      </c>
      <c r="F1432" s="1" t="str">
        <f>"61"</f>
        <v>61</v>
      </c>
      <c r="G1432" s="2">
        <v>42114</v>
      </c>
      <c r="H1432" s="1">
        <v>95000</v>
      </c>
      <c r="I1432" s="1">
        <v>95000</v>
      </c>
      <c r="J1432" s="1">
        <v>95000</v>
      </c>
      <c r="K1432" s="2">
        <v>42114</v>
      </c>
      <c r="L1432" s="1">
        <v>3</v>
      </c>
      <c r="M1432" s="2">
        <v>42116</v>
      </c>
      <c r="N1432" s="1">
        <v>3</v>
      </c>
      <c r="O1432" s="2">
        <v>42116</v>
      </c>
      <c r="P1432" s="1">
        <v>24060</v>
      </c>
      <c r="Q1432" s="1" t="s">
        <v>302</v>
      </c>
      <c r="R1432" s="2">
        <v>42139</v>
      </c>
      <c r="S1432" s="1">
        <v>20735</v>
      </c>
      <c r="U1432" s="1">
        <v>230</v>
      </c>
      <c r="V1432" s="1" t="s">
        <v>13399</v>
      </c>
      <c r="X1432" s="1">
        <v>1</v>
      </c>
      <c r="Y1432" s="1">
        <v>6</v>
      </c>
      <c r="Z1432" s="1" t="s">
        <v>249</v>
      </c>
      <c r="AA1432" s="1" t="s">
        <v>505</v>
      </c>
      <c r="AB1432" s="1">
        <v>60061</v>
      </c>
      <c r="AD1432" s="1" t="s">
        <v>576</v>
      </c>
      <c r="AE1432" s="1" t="s">
        <v>14149</v>
      </c>
      <c r="AF1432" s="1">
        <v>1977</v>
      </c>
      <c r="AG1432" s="1" t="s">
        <v>213</v>
      </c>
      <c r="AH1432" s="1" t="s">
        <v>508</v>
      </c>
      <c r="AI1432" s="1" t="s">
        <v>509</v>
      </c>
      <c r="AJ1432" s="1" t="s">
        <v>510</v>
      </c>
      <c r="AL1432" s="1">
        <v>5</v>
      </c>
      <c r="AM1432" s="1">
        <v>2</v>
      </c>
      <c r="AN1432" s="1">
        <v>1</v>
      </c>
      <c r="AO1432" s="1">
        <v>0</v>
      </c>
      <c r="AP1432" s="1" t="s">
        <v>210</v>
      </c>
      <c r="AQ1432" s="1">
        <v>0</v>
      </c>
      <c r="AR1432" s="1" t="s">
        <v>210</v>
      </c>
      <c r="AT1432" s="1" t="s">
        <v>271</v>
      </c>
      <c r="AV1432" s="1">
        <v>2</v>
      </c>
      <c r="AW1432" s="1" t="s">
        <v>204</v>
      </c>
      <c r="AX1432" s="1" t="s">
        <v>579</v>
      </c>
      <c r="AZ1432" s="1">
        <v>2313.4499999999998</v>
      </c>
      <c r="BA1432" s="1">
        <v>2013</v>
      </c>
      <c r="BB1432" s="1" t="s">
        <v>405</v>
      </c>
      <c r="BC1432" s="1">
        <v>0</v>
      </c>
      <c r="BE1432" s="1">
        <v>942</v>
      </c>
      <c r="BF1432" s="1">
        <v>1</v>
      </c>
      <c r="BG1432" s="1">
        <v>30</v>
      </c>
      <c r="BL1432" s="1">
        <v>170</v>
      </c>
      <c r="BM1432" s="1" t="s">
        <v>204</v>
      </c>
      <c r="BN1432" s="1" t="s">
        <v>213</v>
      </c>
      <c r="BO1432" s="1">
        <v>99</v>
      </c>
      <c r="BP1432" s="1" t="s">
        <v>204</v>
      </c>
      <c r="BR1432" s="1" t="str">
        <f>"15072050550000"</f>
        <v>15072050550000</v>
      </c>
      <c r="BT1432" s="1" t="s">
        <v>14150</v>
      </c>
      <c r="BU1432" s="1" t="s">
        <v>13402</v>
      </c>
      <c r="BV1432" s="1" t="s">
        <v>13403</v>
      </c>
      <c r="BW1432" s="1" t="s">
        <v>1532</v>
      </c>
      <c r="BX1432" s="1">
        <v>96</v>
      </c>
      <c r="BY1432" s="1">
        <v>96</v>
      </c>
      <c r="BZ1432" s="1">
        <v>125</v>
      </c>
      <c r="CB1432" s="1" t="str">
        <f>"24"</f>
        <v>24</v>
      </c>
      <c r="CC1432" s="1" t="str">
        <f>"0"</f>
        <v>0</v>
      </c>
      <c r="CD1432" s="1">
        <v>18</v>
      </c>
      <c r="CE1432" s="1">
        <v>0</v>
      </c>
      <c r="CG1432" s="1" t="s">
        <v>581</v>
      </c>
      <c r="CH1432" s="1" t="s">
        <v>219</v>
      </c>
      <c r="CI1432" s="1" t="s">
        <v>229</v>
      </c>
      <c r="CK1432" s="1" t="s">
        <v>344</v>
      </c>
      <c r="CL1432" s="1" t="s">
        <v>219</v>
      </c>
      <c r="CM1432" s="1" t="s">
        <v>220</v>
      </c>
      <c r="CO1432" s="1" t="s">
        <v>348</v>
      </c>
      <c r="CP1432" s="1" t="s">
        <v>219</v>
      </c>
      <c r="CQ1432" s="1" t="s">
        <v>229</v>
      </c>
      <c r="CS1432" s="1" t="s">
        <v>379</v>
      </c>
      <c r="CT1432" s="1" t="s">
        <v>219</v>
      </c>
      <c r="CU1432" s="1" t="s">
        <v>220</v>
      </c>
      <c r="CX1432" s="1" t="s">
        <v>224</v>
      </c>
      <c r="DB1432" s="1" t="s">
        <v>224</v>
      </c>
      <c r="DE1432" s="1" t="s">
        <v>348</v>
      </c>
      <c r="DF1432" s="1" t="s">
        <v>219</v>
      </c>
      <c r="DG1432" s="1" t="s">
        <v>5665</v>
      </c>
      <c r="DJ1432" s="1" t="s">
        <v>224</v>
      </c>
      <c r="DS1432" s="1" t="s">
        <v>230</v>
      </c>
      <c r="DW1432" s="1" t="s">
        <v>230</v>
      </c>
      <c r="EA1432" s="1" t="s">
        <v>230</v>
      </c>
      <c r="EE1432" s="1" t="s">
        <v>230</v>
      </c>
      <c r="EI1432" s="1" t="s">
        <v>230</v>
      </c>
      <c r="EL1432" s="1" t="s">
        <v>231</v>
      </c>
      <c r="EM1432" s="1" t="s">
        <v>319</v>
      </c>
      <c r="EN1432" s="1" t="s">
        <v>282</v>
      </c>
      <c r="EO1432" s="1" t="s">
        <v>234</v>
      </c>
      <c r="EP1432" s="1" t="s">
        <v>1047</v>
      </c>
      <c r="EQ1432" s="1" t="s">
        <v>284</v>
      </c>
      <c r="ER1432" s="1" t="s">
        <v>210</v>
      </c>
      <c r="EV1432" s="1" t="s">
        <v>352</v>
      </c>
      <c r="EW1432" s="1" t="s">
        <v>887</v>
      </c>
      <c r="EY1432" s="1" t="s">
        <v>441</v>
      </c>
      <c r="EZ1432" s="1" t="s">
        <v>287</v>
      </c>
      <c r="FA1432" s="1" t="s">
        <v>14151</v>
      </c>
      <c r="FB1432" s="1" t="s">
        <v>289</v>
      </c>
      <c r="FD1432" s="1" t="s">
        <v>246</v>
      </c>
      <c r="FE1432" s="1" t="s">
        <v>247</v>
      </c>
      <c r="FF1432" s="1" t="s">
        <v>248</v>
      </c>
      <c r="FH1432" s="1" t="s">
        <v>249</v>
      </c>
      <c r="FK1432" s="1" t="s">
        <v>291</v>
      </c>
      <c r="FL1432" s="1" t="s">
        <v>1073</v>
      </c>
      <c r="FM1432" s="1" t="s">
        <v>252</v>
      </c>
      <c r="FN1432" s="1" t="s">
        <v>213</v>
      </c>
      <c r="FO1432" s="1" t="s">
        <v>213</v>
      </c>
      <c r="FQ1432" s="1" t="s">
        <v>1599</v>
      </c>
      <c r="FR1432" s="1" t="s">
        <v>210</v>
      </c>
      <c r="FS1432" s="1" t="s">
        <v>14152</v>
      </c>
      <c r="FT1432" s="1" t="s">
        <v>295</v>
      </c>
      <c r="FU1432" s="1" t="s">
        <v>204</v>
      </c>
      <c r="FW1432" s="1" t="s">
        <v>2006</v>
      </c>
      <c r="FX1432" s="1">
        <v>4594</v>
      </c>
      <c r="FY1432" s="1" t="s">
        <v>14153</v>
      </c>
      <c r="FZ1432" s="1" t="s">
        <v>14154</v>
      </c>
      <c r="GA1432" s="1">
        <v>30786</v>
      </c>
      <c r="GB1432" s="1" t="s">
        <v>14155</v>
      </c>
      <c r="GE1432" s="1" t="s">
        <v>480</v>
      </c>
      <c r="GH1432" s="1" t="s">
        <v>800</v>
      </c>
      <c r="GI1432" s="1" t="s">
        <v>213</v>
      </c>
      <c r="GJ1432" s="1" t="s">
        <v>260</v>
      </c>
      <c r="GK1432" s="1" t="s">
        <v>210</v>
      </c>
      <c r="GL1432" s="2">
        <v>42139</v>
      </c>
    </row>
    <row r="1433" spans="1:195">
      <c r="A1433" s="1">
        <v>100000</v>
      </c>
      <c r="B1433" s="1" t="s">
        <v>195</v>
      </c>
      <c r="C1433" s="1" t="str">
        <f>"08869676"</f>
        <v>08869676</v>
      </c>
      <c r="D1433" s="1" t="s">
        <v>196</v>
      </c>
      <c r="F1433" s="1" t="str">
        <f>"543"</f>
        <v>543</v>
      </c>
      <c r="G1433" s="2">
        <v>42086</v>
      </c>
      <c r="H1433" s="1">
        <v>99900</v>
      </c>
      <c r="I1433" s="1">
        <v>99900</v>
      </c>
      <c r="J1433" s="1">
        <v>100000</v>
      </c>
      <c r="K1433" s="2">
        <v>42086</v>
      </c>
      <c r="L1433" s="1">
        <v>11</v>
      </c>
      <c r="M1433" s="2">
        <v>42096</v>
      </c>
      <c r="N1433" s="1">
        <v>11</v>
      </c>
      <c r="O1433" s="2">
        <v>42096</v>
      </c>
      <c r="P1433" s="1">
        <v>23265</v>
      </c>
      <c r="Q1433" s="1" t="s">
        <v>302</v>
      </c>
      <c r="R1433" s="2">
        <v>42142</v>
      </c>
      <c r="S1433" s="1">
        <v>234125</v>
      </c>
      <c r="U1433" s="1">
        <v>76</v>
      </c>
      <c r="V1433" s="1" t="s">
        <v>2638</v>
      </c>
      <c r="W1433" s="1" t="s">
        <v>449</v>
      </c>
      <c r="Y1433" s="1">
        <v>4</v>
      </c>
      <c r="Z1433" s="1" t="s">
        <v>370</v>
      </c>
      <c r="AA1433" s="1" t="s">
        <v>2639</v>
      </c>
      <c r="AB1433" s="1">
        <v>60543</v>
      </c>
      <c r="AE1433" s="1" t="s">
        <v>14156</v>
      </c>
      <c r="AF1433" s="1">
        <v>2000</v>
      </c>
      <c r="AG1433" s="1" t="s">
        <v>204</v>
      </c>
      <c r="AH1433" s="1" t="s">
        <v>1397</v>
      </c>
      <c r="AI1433" s="1" t="s">
        <v>453</v>
      </c>
      <c r="AJ1433" s="1" t="s">
        <v>1397</v>
      </c>
      <c r="AL1433" s="1">
        <v>6</v>
      </c>
      <c r="AM1433" s="1">
        <v>2</v>
      </c>
      <c r="AN1433" s="1">
        <v>2</v>
      </c>
      <c r="AO1433" s="1">
        <v>1</v>
      </c>
      <c r="AP1433" s="1" t="s">
        <v>209</v>
      </c>
      <c r="AQ1433" s="1">
        <v>1</v>
      </c>
      <c r="AR1433" s="1" t="s">
        <v>210</v>
      </c>
      <c r="AS1433" s="1" t="s">
        <v>204</v>
      </c>
      <c r="AT1433" s="1" t="s">
        <v>211</v>
      </c>
      <c r="AU1433" s="1">
        <v>2</v>
      </c>
      <c r="AW1433" s="1" t="s">
        <v>204</v>
      </c>
      <c r="AX1433" s="1" t="s">
        <v>212</v>
      </c>
      <c r="AZ1433" s="1">
        <v>4001</v>
      </c>
      <c r="BA1433" s="1">
        <v>2013</v>
      </c>
      <c r="BE1433" s="1">
        <v>1535</v>
      </c>
      <c r="BF1433" s="1">
        <v>1</v>
      </c>
      <c r="BG1433" s="1">
        <v>0</v>
      </c>
      <c r="BL1433" s="1">
        <v>132</v>
      </c>
      <c r="BM1433" s="1" t="s">
        <v>413</v>
      </c>
      <c r="BN1433" s="1" t="s">
        <v>213</v>
      </c>
      <c r="BO1433" s="1">
        <v>999</v>
      </c>
      <c r="BP1433" s="1" t="s">
        <v>204</v>
      </c>
      <c r="BR1433" s="1" t="str">
        <f>"0302456023"</f>
        <v>0302456023</v>
      </c>
      <c r="BT1433" s="1" t="s">
        <v>14157</v>
      </c>
      <c r="BX1433" s="1">
        <v>308</v>
      </c>
      <c r="BY1433" s="1">
        <v>308</v>
      </c>
      <c r="BZ1433" s="1">
        <v>308</v>
      </c>
      <c r="CB1433" s="1" t="str">
        <f t="shared" ref="CB1433:CC1433" si="1092">""</f>
        <v/>
      </c>
      <c r="CC1433" s="1" t="str">
        <f t="shared" si="1092"/>
        <v/>
      </c>
      <c r="CG1433" s="1" t="s">
        <v>757</v>
      </c>
      <c r="CH1433" s="1" t="s">
        <v>219</v>
      </c>
      <c r="CI1433" s="1" t="s">
        <v>220</v>
      </c>
      <c r="CK1433" s="1" t="s">
        <v>757</v>
      </c>
      <c r="CL1433" s="1" t="s">
        <v>277</v>
      </c>
      <c r="CM1433" s="1" t="s">
        <v>220</v>
      </c>
      <c r="CO1433" s="1" t="s">
        <v>318</v>
      </c>
      <c r="CP1433" s="1" t="s">
        <v>219</v>
      </c>
      <c r="CQ1433" s="1" t="s">
        <v>226</v>
      </c>
      <c r="CS1433" s="1" t="s">
        <v>378</v>
      </c>
      <c r="CT1433" s="1" t="s">
        <v>277</v>
      </c>
      <c r="CU1433" s="1" t="s">
        <v>220</v>
      </c>
      <c r="CX1433" s="1" t="s">
        <v>224</v>
      </c>
      <c r="DB1433" s="1" t="s">
        <v>224</v>
      </c>
      <c r="DE1433" s="1" t="s">
        <v>379</v>
      </c>
      <c r="DF1433" s="1" t="s">
        <v>219</v>
      </c>
      <c r="DG1433" s="1" t="s">
        <v>226</v>
      </c>
      <c r="DI1433" s="1" t="s">
        <v>757</v>
      </c>
      <c r="DJ1433" s="1" t="s">
        <v>219</v>
      </c>
      <c r="DK1433" s="1" t="s">
        <v>220</v>
      </c>
      <c r="DS1433" s="1" t="s">
        <v>230</v>
      </c>
      <c r="DW1433" s="1" t="s">
        <v>230</v>
      </c>
      <c r="EA1433" s="1" t="s">
        <v>230</v>
      </c>
      <c r="EE1433" s="1" t="s">
        <v>230</v>
      </c>
      <c r="EI1433" s="1" t="s">
        <v>230</v>
      </c>
      <c r="EL1433" s="1" t="s">
        <v>466</v>
      </c>
      <c r="EM1433" s="1" t="s">
        <v>319</v>
      </c>
      <c r="EN1433" s="1" t="s">
        <v>282</v>
      </c>
      <c r="EO1433" s="1" t="s">
        <v>234</v>
      </c>
      <c r="ER1433" s="1" t="s">
        <v>210</v>
      </c>
      <c r="ES1433" s="1" t="s">
        <v>1552</v>
      </c>
      <c r="EW1433" s="1" t="s">
        <v>867</v>
      </c>
      <c r="EZ1433" s="1" t="s">
        <v>287</v>
      </c>
      <c r="FD1433" s="1" t="s">
        <v>246</v>
      </c>
      <c r="FE1433" s="1" t="s">
        <v>496</v>
      </c>
      <c r="FF1433" s="1" t="s">
        <v>248</v>
      </c>
      <c r="FH1433" s="1" t="s">
        <v>550</v>
      </c>
      <c r="FL1433" s="1" t="s">
        <v>358</v>
      </c>
      <c r="FM1433" s="1" t="s">
        <v>252</v>
      </c>
      <c r="FN1433" s="1" t="s">
        <v>213</v>
      </c>
      <c r="FO1433" s="1" t="s">
        <v>213</v>
      </c>
      <c r="FQ1433" s="1" t="s">
        <v>689</v>
      </c>
      <c r="FR1433" s="1" t="s">
        <v>652</v>
      </c>
      <c r="FS1433" s="1" t="s">
        <v>6634</v>
      </c>
      <c r="FT1433" s="1" t="s">
        <v>295</v>
      </c>
      <c r="FU1433" s="1" t="s">
        <v>204</v>
      </c>
      <c r="FW1433" s="1" t="s">
        <v>1857</v>
      </c>
      <c r="FX1433" s="1">
        <v>22993</v>
      </c>
      <c r="FY1433" s="1" t="s">
        <v>1858</v>
      </c>
      <c r="FZ1433" s="1" t="s">
        <v>1859</v>
      </c>
      <c r="GA1433" s="1">
        <v>233401</v>
      </c>
      <c r="GB1433" s="1" t="s">
        <v>1858</v>
      </c>
      <c r="GD1433" s="1" t="s">
        <v>1860</v>
      </c>
      <c r="GE1433" s="1" t="s">
        <v>210</v>
      </c>
      <c r="GI1433" s="1" t="s">
        <v>213</v>
      </c>
      <c r="GJ1433" s="1" t="s">
        <v>260</v>
      </c>
      <c r="GK1433" s="1" t="s">
        <v>210</v>
      </c>
      <c r="GL1433" s="2">
        <v>42142</v>
      </c>
      <c r="GM1433" s="1" t="s">
        <v>14158</v>
      </c>
    </row>
    <row r="1434" spans="1:195">
      <c r="A1434" s="1">
        <v>112000</v>
      </c>
      <c r="B1434" s="1" t="s">
        <v>195</v>
      </c>
      <c r="C1434" s="1" t="str">
        <f>"08865247"</f>
        <v>08865247</v>
      </c>
      <c r="D1434" s="1" t="s">
        <v>196</v>
      </c>
      <c r="F1434" s="1" t="str">
        <f>"134"</f>
        <v>134</v>
      </c>
      <c r="G1434" s="2">
        <v>42081</v>
      </c>
      <c r="H1434" s="1">
        <v>118000</v>
      </c>
      <c r="I1434" s="1">
        <v>118000</v>
      </c>
      <c r="J1434" s="1">
        <v>112000</v>
      </c>
      <c r="K1434" s="2">
        <v>42081</v>
      </c>
      <c r="L1434" s="1">
        <v>15</v>
      </c>
      <c r="M1434" s="2">
        <v>42095</v>
      </c>
      <c r="N1434" s="1">
        <v>15</v>
      </c>
      <c r="O1434" s="2">
        <v>42095</v>
      </c>
      <c r="P1434" s="1">
        <v>15391</v>
      </c>
      <c r="Q1434" s="1" t="s">
        <v>197</v>
      </c>
      <c r="R1434" s="2">
        <v>42135</v>
      </c>
      <c r="S1434" s="1">
        <v>121667</v>
      </c>
      <c r="U1434" s="1">
        <v>317</v>
      </c>
      <c r="V1434" s="1" t="s">
        <v>14159</v>
      </c>
      <c r="W1434" s="1" t="s">
        <v>725</v>
      </c>
      <c r="X1434" s="1">
        <v>317</v>
      </c>
      <c r="Y1434" s="1">
        <v>4</v>
      </c>
      <c r="Z1434" s="1" t="s">
        <v>370</v>
      </c>
      <c r="AA1434" s="1" t="s">
        <v>661</v>
      </c>
      <c r="AB1434" s="1">
        <v>60134</v>
      </c>
      <c r="AE1434" s="1" t="s">
        <v>14160</v>
      </c>
      <c r="AF1434" s="1">
        <v>1987</v>
      </c>
      <c r="AG1434" s="1" t="s">
        <v>204</v>
      </c>
      <c r="AH1434" s="1" t="s">
        <v>664</v>
      </c>
      <c r="AI1434" s="1" t="s">
        <v>665</v>
      </c>
      <c r="AJ1434" s="1" t="s">
        <v>664</v>
      </c>
      <c r="AL1434" s="1">
        <v>5</v>
      </c>
      <c r="AM1434" s="1">
        <v>2</v>
      </c>
      <c r="AN1434" s="1">
        <v>2</v>
      </c>
      <c r="AO1434" s="1">
        <v>0</v>
      </c>
      <c r="AP1434" s="1" t="s">
        <v>209</v>
      </c>
      <c r="AQ1434" s="1">
        <v>1</v>
      </c>
      <c r="AR1434" s="1" t="s">
        <v>210</v>
      </c>
      <c r="AS1434" s="1" t="s">
        <v>204</v>
      </c>
      <c r="AT1434" s="1" t="s">
        <v>211</v>
      </c>
      <c r="AU1434" s="1">
        <v>1</v>
      </c>
      <c r="AW1434" s="1" t="s">
        <v>204</v>
      </c>
      <c r="AX1434" s="1" t="s">
        <v>212</v>
      </c>
      <c r="AZ1434" s="1">
        <v>2501</v>
      </c>
      <c r="BA1434" s="1">
        <v>2013</v>
      </c>
      <c r="BB1434" s="1" t="s">
        <v>405</v>
      </c>
      <c r="BE1434" s="1">
        <v>1165</v>
      </c>
      <c r="BF1434" s="1">
        <v>2</v>
      </c>
      <c r="BG1434" s="1">
        <v>30</v>
      </c>
      <c r="BL1434" s="1">
        <v>150</v>
      </c>
      <c r="BM1434" s="1" t="s">
        <v>204</v>
      </c>
      <c r="BN1434" s="1" t="s">
        <v>213</v>
      </c>
      <c r="BO1434" s="1">
        <v>999</v>
      </c>
      <c r="BP1434" s="1" t="s">
        <v>204</v>
      </c>
      <c r="BR1434" s="1" t="str">
        <f>"1211128068"</f>
        <v>1211128068</v>
      </c>
      <c r="BT1434" s="1" t="s">
        <v>14161</v>
      </c>
      <c r="BU1434" s="1" t="s">
        <v>11726</v>
      </c>
      <c r="BX1434" s="1">
        <v>304</v>
      </c>
      <c r="BY1434" s="1">
        <v>304</v>
      </c>
      <c r="BZ1434" s="1">
        <v>304</v>
      </c>
      <c r="CB1434" s="1" t="str">
        <f t="shared" ref="CB1434:CC1434" si="1093">""</f>
        <v/>
      </c>
      <c r="CC1434" s="1" t="str">
        <f t="shared" si="1093"/>
        <v/>
      </c>
      <c r="CG1434" s="1" t="s">
        <v>861</v>
      </c>
      <c r="CH1434" s="1" t="s">
        <v>219</v>
      </c>
      <c r="CI1434" s="1" t="s">
        <v>229</v>
      </c>
      <c r="CK1434" s="1" t="s">
        <v>729</v>
      </c>
      <c r="CL1434" s="1" t="s">
        <v>219</v>
      </c>
      <c r="CM1434" s="1" t="s">
        <v>229</v>
      </c>
      <c r="CO1434" s="1" t="s">
        <v>2138</v>
      </c>
      <c r="CP1434" s="1" t="s">
        <v>219</v>
      </c>
      <c r="CQ1434" s="1" t="s">
        <v>229</v>
      </c>
      <c r="CS1434" s="1" t="s">
        <v>379</v>
      </c>
      <c r="CT1434" s="1" t="s">
        <v>219</v>
      </c>
      <c r="CU1434" s="1" t="s">
        <v>229</v>
      </c>
      <c r="CX1434" s="1" t="s">
        <v>224</v>
      </c>
      <c r="DB1434" s="1" t="s">
        <v>224</v>
      </c>
      <c r="DE1434" s="1" t="s">
        <v>465</v>
      </c>
      <c r="DF1434" s="1" t="s">
        <v>219</v>
      </c>
      <c r="DG1434" s="1" t="s">
        <v>342</v>
      </c>
      <c r="DJ1434" s="1" t="s">
        <v>224</v>
      </c>
      <c r="DS1434" s="1" t="s">
        <v>230</v>
      </c>
      <c r="DW1434" s="1" t="s">
        <v>230</v>
      </c>
      <c r="EA1434" s="1" t="s">
        <v>230</v>
      </c>
      <c r="EE1434" s="1" t="s">
        <v>230</v>
      </c>
      <c r="EI1434" s="1" t="s">
        <v>230</v>
      </c>
      <c r="EL1434" s="1" t="s">
        <v>542</v>
      </c>
      <c r="EM1434" s="1" t="s">
        <v>319</v>
      </c>
      <c r="EN1434" s="1" t="s">
        <v>282</v>
      </c>
      <c r="EO1434" s="1" t="s">
        <v>234</v>
      </c>
      <c r="EP1434" s="1" t="s">
        <v>1489</v>
      </c>
      <c r="EQ1434" s="1" t="s">
        <v>1094</v>
      </c>
      <c r="ER1434" s="1" t="s">
        <v>210</v>
      </c>
      <c r="ES1434" s="1" t="s">
        <v>824</v>
      </c>
      <c r="EU1434" s="1" t="s">
        <v>14162</v>
      </c>
      <c r="EV1434" s="1" t="s">
        <v>324</v>
      </c>
      <c r="EW1434" s="1" t="s">
        <v>887</v>
      </c>
      <c r="EY1434" s="1" t="s">
        <v>242</v>
      </c>
      <c r="EZ1434" s="1" t="s">
        <v>287</v>
      </c>
      <c r="FA1434" s="1" t="s">
        <v>471</v>
      </c>
      <c r="FB1434" s="1" t="s">
        <v>734</v>
      </c>
      <c r="FD1434" s="1" t="s">
        <v>246</v>
      </c>
      <c r="FE1434" s="1" t="s">
        <v>549</v>
      </c>
      <c r="FF1434" s="1" t="s">
        <v>248</v>
      </c>
      <c r="FG1434" s="1" t="s">
        <v>912</v>
      </c>
      <c r="FH1434" s="1" t="s">
        <v>249</v>
      </c>
      <c r="FI1434" s="1" t="s">
        <v>473</v>
      </c>
      <c r="FL1434" s="1" t="s">
        <v>358</v>
      </c>
      <c r="FM1434" s="1" t="s">
        <v>252</v>
      </c>
      <c r="FN1434" s="1" t="s">
        <v>213</v>
      </c>
      <c r="FO1434" s="1" t="s">
        <v>213</v>
      </c>
      <c r="FQ1434" s="1" t="s">
        <v>1758</v>
      </c>
      <c r="FR1434" s="1" t="s">
        <v>210</v>
      </c>
      <c r="FS1434" s="1" t="s">
        <v>14163</v>
      </c>
      <c r="FT1434" s="1" t="s">
        <v>362</v>
      </c>
      <c r="FU1434" s="1" t="s">
        <v>204</v>
      </c>
      <c r="FW1434" s="1" t="s">
        <v>3243</v>
      </c>
      <c r="FX1434" s="1">
        <v>604</v>
      </c>
      <c r="FY1434" s="1" t="s">
        <v>3244</v>
      </c>
      <c r="FZ1434" s="1" t="s">
        <v>14164</v>
      </c>
      <c r="GA1434" s="1">
        <v>681</v>
      </c>
      <c r="GB1434" s="1" t="s">
        <v>14165</v>
      </c>
      <c r="GC1434" s="1">
        <v>824</v>
      </c>
      <c r="GD1434" s="1" t="s">
        <v>14166</v>
      </c>
      <c r="GE1434" s="1" t="s">
        <v>480</v>
      </c>
      <c r="GH1434" s="1" t="s">
        <v>421</v>
      </c>
      <c r="GI1434" s="1" t="s">
        <v>213</v>
      </c>
      <c r="GJ1434" s="1" t="s">
        <v>260</v>
      </c>
      <c r="GK1434" s="1" t="s">
        <v>210</v>
      </c>
      <c r="GL1434" s="2">
        <v>42135</v>
      </c>
    </row>
    <row r="1435" spans="1:195">
      <c r="A1435" s="1">
        <v>137000</v>
      </c>
      <c r="B1435" s="1" t="s">
        <v>195</v>
      </c>
      <c r="C1435" s="1" t="str">
        <f>"08863029"</f>
        <v>08863029</v>
      </c>
      <c r="D1435" s="1" t="s">
        <v>196</v>
      </c>
      <c r="F1435" s="1" t="str">
        <f>"507"</f>
        <v>507</v>
      </c>
      <c r="G1435" s="2">
        <v>42079</v>
      </c>
      <c r="H1435" s="1">
        <v>144900</v>
      </c>
      <c r="I1435" s="1">
        <v>142900</v>
      </c>
      <c r="J1435" s="1">
        <v>137000</v>
      </c>
      <c r="K1435" s="2">
        <v>42079</v>
      </c>
      <c r="L1435" s="1">
        <v>22</v>
      </c>
      <c r="M1435" s="2">
        <v>42100</v>
      </c>
      <c r="N1435" s="1">
        <v>22</v>
      </c>
      <c r="O1435" s="2">
        <v>42100</v>
      </c>
      <c r="P1435" s="1">
        <v>306</v>
      </c>
      <c r="Q1435" s="1" t="s">
        <v>423</v>
      </c>
      <c r="R1435" s="2">
        <v>42139</v>
      </c>
      <c r="S1435" s="1">
        <v>310453</v>
      </c>
      <c r="T1435" s="1">
        <v>2000</v>
      </c>
      <c r="U1435" s="1">
        <v>1126</v>
      </c>
      <c r="V1435" s="1" t="s">
        <v>4045</v>
      </c>
      <c r="W1435" s="1" t="s">
        <v>4046</v>
      </c>
      <c r="X1435" s="1">
        <v>3</v>
      </c>
      <c r="Y1435" s="1">
        <v>4</v>
      </c>
      <c r="Z1435" s="1" t="s">
        <v>370</v>
      </c>
      <c r="AA1435" s="1" t="s">
        <v>1123</v>
      </c>
      <c r="AB1435" s="1">
        <v>60506</v>
      </c>
      <c r="AD1435" s="1" t="s">
        <v>4047</v>
      </c>
      <c r="AE1435" s="1" t="s">
        <v>4048</v>
      </c>
      <c r="AF1435" s="1">
        <v>1997</v>
      </c>
      <c r="AG1435" s="1" t="s">
        <v>204</v>
      </c>
      <c r="AH1435" s="1" t="s">
        <v>1126</v>
      </c>
      <c r="AI1435" s="1" t="s">
        <v>665</v>
      </c>
      <c r="AJ1435" s="1" t="s">
        <v>3240</v>
      </c>
      <c r="AK1435" s="1" t="s">
        <v>4049</v>
      </c>
      <c r="AL1435" s="1">
        <v>6</v>
      </c>
      <c r="AM1435" s="1">
        <v>2</v>
      </c>
      <c r="AN1435" s="1">
        <v>2</v>
      </c>
      <c r="AO1435" s="1">
        <v>1</v>
      </c>
      <c r="AP1435" s="1" t="s">
        <v>209</v>
      </c>
      <c r="AR1435" s="1" t="s">
        <v>1421</v>
      </c>
      <c r="AS1435" s="1" t="s">
        <v>204</v>
      </c>
      <c r="AT1435" s="1" t="s">
        <v>211</v>
      </c>
      <c r="AU1435" s="1">
        <v>2</v>
      </c>
      <c r="AW1435" s="1" t="s">
        <v>204</v>
      </c>
      <c r="AX1435" s="1" t="s">
        <v>212</v>
      </c>
      <c r="AZ1435" s="1">
        <v>4505</v>
      </c>
      <c r="BA1435" s="1">
        <v>2013</v>
      </c>
      <c r="BE1435" s="1">
        <v>1260</v>
      </c>
      <c r="BF1435" s="1">
        <v>1</v>
      </c>
      <c r="BG1435" s="1">
        <v>10</v>
      </c>
      <c r="BL1435" s="1">
        <v>154</v>
      </c>
      <c r="BM1435" s="1" t="s">
        <v>204</v>
      </c>
      <c r="BN1435" s="1" t="s">
        <v>213</v>
      </c>
      <c r="BO1435" s="1">
        <v>100</v>
      </c>
      <c r="BP1435" s="1" t="s">
        <v>204</v>
      </c>
      <c r="BR1435" s="1" t="str">
        <f>"1413230043"</f>
        <v>1413230043</v>
      </c>
      <c r="BT1435" s="1" t="s">
        <v>14167</v>
      </c>
      <c r="BX1435" s="1">
        <v>129</v>
      </c>
      <c r="BY1435" s="1">
        <v>129</v>
      </c>
      <c r="BZ1435" s="1">
        <v>129</v>
      </c>
      <c r="CB1435" s="1" t="str">
        <f t="shared" ref="CB1435:CC1435" si="1094">""</f>
        <v/>
      </c>
      <c r="CC1435" s="1" t="str">
        <f t="shared" si="1094"/>
        <v/>
      </c>
      <c r="CG1435" s="1" t="s">
        <v>564</v>
      </c>
      <c r="CH1435" s="1" t="s">
        <v>219</v>
      </c>
      <c r="CI1435" s="1" t="s">
        <v>220</v>
      </c>
      <c r="CJ1435" s="1" t="s">
        <v>343</v>
      </c>
      <c r="CK1435" s="1" t="s">
        <v>378</v>
      </c>
      <c r="CL1435" s="1" t="s">
        <v>277</v>
      </c>
      <c r="CM1435" s="1" t="s">
        <v>220</v>
      </c>
      <c r="CN1435" s="1" t="s">
        <v>343</v>
      </c>
      <c r="CO1435" s="1" t="s">
        <v>687</v>
      </c>
      <c r="CP1435" s="1" t="s">
        <v>219</v>
      </c>
      <c r="CQ1435" s="1" t="s">
        <v>229</v>
      </c>
      <c r="CR1435" s="1" t="s">
        <v>343</v>
      </c>
      <c r="CS1435" s="1" t="s">
        <v>1046</v>
      </c>
      <c r="CT1435" s="1" t="s">
        <v>277</v>
      </c>
      <c r="CU1435" s="1" t="s">
        <v>220</v>
      </c>
      <c r="CV1435" s="1" t="s">
        <v>343</v>
      </c>
      <c r="CW1435" s="1" t="s">
        <v>318</v>
      </c>
      <c r="CX1435" s="1" t="s">
        <v>43</v>
      </c>
      <c r="DB1435" s="1" t="s">
        <v>224</v>
      </c>
      <c r="DE1435" s="1" t="s">
        <v>630</v>
      </c>
      <c r="DF1435" s="1" t="s">
        <v>219</v>
      </c>
      <c r="DG1435" s="1" t="s">
        <v>229</v>
      </c>
      <c r="DH1435" s="1" t="s">
        <v>343</v>
      </c>
      <c r="DJ1435" s="1" t="s">
        <v>224</v>
      </c>
      <c r="DS1435" s="1" t="s">
        <v>230</v>
      </c>
      <c r="DW1435" s="1" t="s">
        <v>230</v>
      </c>
      <c r="EA1435" s="1" t="s">
        <v>230</v>
      </c>
      <c r="EE1435" s="1" t="s">
        <v>230</v>
      </c>
      <c r="EI1435" s="1" t="s">
        <v>230</v>
      </c>
      <c r="EL1435" s="1" t="s">
        <v>670</v>
      </c>
      <c r="EM1435" s="1" t="s">
        <v>319</v>
      </c>
      <c r="EN1435" s="1" t="s">
        <v>282</v>
      </c>
      <c r="EO1435" s="1" t="s">
        <v>234</v>
      </c>
      <c r="EP1435" s="1" t="s">
        <v>650</v>
      </c>
      <c r="EQ1435" s="1" t="s">
        <v>4356</v>
      </c>
      <c r="ER1435" s="1" t="s">
        <v>544</v>
      </c>
      <c r="ES1435" s="1" t="s">
        <v>1552</v>
      </c>
      <c r="EV1435" s="1" t="s">
        <v>324</v>
      </c>
      <c r="EW1435" s="1" t="s">
        <v>887</v>
      </c>
      <c r="EY1435" s="1" t="s">
        <v>790</v>
      </c>
      <c r="EZ1435" s="1" t="s">
        <v>287</v>
      </c>
      <c r="FD1435" s="1" t="s">
        <v>246</v>
      </c>
      <c r="FE1435" s="1" t="s">
        <v>355</v>
      </c>
      <c r="FF1435" s="1" t="s">
        <v>248</v>
      </c>
      <c r="FH1435" s="1" t="s">
        <v>550</v>
      </c>
      <c r="FI1435" s="1" t="s">
        <v>767</v>
      </c>
      <c r="FJ1435" s="1" t="s">
        <v>518</v>
      </c>
      <c r="FL1435" s="1" t="s">
        <v>358</v>
      </c>
      <c r="FM1435" s="1" t="s">
        <v>252</v>
      </c>
      <c r="FN1435" s="1" t="s">
        <v>213</v>
      </c>
      <c r="FO1435" s="1" t="s">
        <v>213</v>
      </c>
      <c r="FQ1435" s="1" t="s">
        <v>14168</v>
      </c>
      <c r="FR1435" s="1" t="s">
        <v>210</v>
      </c>
      <c r="FS1435" s="1" t="s">
        <v>14169</v>
      </c>
      <c r="FT1435" s="1" t="s">
        <v>295</v>
      </c>
      <c r="FU1435" s="1" t="s">
        <v>213</v>
      </c>
      <c r="FW1435" s="1" t="s">
        <v>14170</v>
      </c>
      <c r="FX1435" s="1">
        <v>281</v>
      </c>
      <c r="FY1435" s="1" t="s">
        <v>14171</v>
      </c>
      <c r="FZ1435" s="1" t="s">
        <v>14172</v>
      </c>
      <c r="GA1435" s="1">
        <v>2107</v>
      </c>
      <c r="GB1435" s="1" t="s">
        <v>14171</v>
      </c>
      <c r="GE1435" s="1" t="s">
        <v>776</v>
      </c>
      <c r="GI1435" s="1" t="s">
        <v>204</v>
      </c>
      <c r="GJ1435" s="1" t="s">
        <v>260</v>
      </c>
      <c r="GK1435" s="1" t="s">
        <v>210</v>
      </c>
      <c r="GL1435" s="2">
        <v>42141</v>
      </c>
      <c r="GM1435" s="1" t="s">
        <v>14173</v>
      </c>
    </row>
    <row r="1436" spans="1:195">
      <c r="A1436" s="1">
        <v>152500</v>
      </c>
      <c r="B1436" s="1" t="s">
        <v>195</v>
      </c>
      <c r="C1436" s="1" t="str">
        <f>"08866596"</f>
        <v>08866596</v>
      </c>
      <c r="D1436" s="1" t="s">
        <v>196</v>
      </c>
      <c r="F1436" s="1" t="str">
        <f>"10"</f>
        <v>10</v>
      </c>
      <c r="G1436" s="2">
        <v>42082</v>
      </c>
      <c r="H1436" s="1">
        <v>160000</v>
      </c>
      <c r="I1436" s="1">
        <v>160000</v>
      </c>
      <c r="J1436" s="1">
        <v>152500</v>
      </c>
      <c r="K1436" s="2">
        <v>42082</v>
      </c>
      <c r="L1436" s="1">
        <v>1</v>
      </c>
      <c r="M1436" s="2">
        <v>42082</v>
      </c>
      <c r="N1436" s="1">
        <v>1</v>
      </c>
      <c r="O1436" s="2">
        <v>42082</v>
      </c>
      <c r="P1436" s="1">
        <v>10646</v>
      </c>
      <c r="Q1436" s="1" t="s">
        <v>302</v>
      </c>
      <c r="R1436" s="2">
        <v>42121</v>
      </c>
      <c r="S1436" s="1">
        <v>120575</v>
      </c>
      <c r="U1436" s="1">
        <v>600</v>
      </c>
      <c r="V1436" s="1" t="s">
        <v>6726</v>
      </c>
      <c r="W1436" s="1" t="s">
        <v>725</v>
      </c>
      <c r="X1436" s="1">
        <v>104</v>
      </c>
      <c r="Y1436" s="1">
        <v>39</v>
      </c>
      <c r="Z1436" s="1" t="s">
        <v>249</v>
      </c>
      <c r="AA1436" s="1" t="s">
        <v>6288</v>
      </c>
      <c r="AB1436" s="1">
        <v>60010</v>
      </c>
      <c r="AD1436" s="1" t="s">
        <v>6727</v>
      </c>
      <c r="AE1436" s="1" t="s">
        <v>14174</v>
      </c>
      <c r="AF1436" s="1">
        <v>1973</v>
      </c>
      <c r="AG1436" s="1" t="s">
        <v>213</v>
      </c>
      <c r="AH1436" s="1" t="s">
        <v>6729</v>
      </c>
      <c r="AI1436" s="1" t="s">
        <v>310</v>
      </c>
      <c r="AJ1436" s="1" t="s">
        <v>6729</v>
      </c>
      <c r="AL1436" s="1">
        <v>5</v>
      </c>
      <c r="AM1436" s="1">
        <v>2</v>
      </c>
      <c r="AN1436" s="1">
        <v>1</v>
      </c>
      <c r="AO1436" s="1">
        <v>1</v>
      </c>
      <c r="AP1436" s="1" t="s">
        <v>209</v>
      </c>
      <c r="AR1436" s="1" t="s">
        <v>210</v>
      </c>
      <c r="AS1436" s="1" t="s">
        <v>204</v>
      </c>
      <c r="AT1436" s="1" t="s">
        <v>211</v>
      </c>
      <c r="AU1436" s="1">
        <v>1</v>
      </c>
      <c r="AW1436" s="1" t="s">
        <v>204</v>
      </c>
      <c r="AX1436" s="1" t="s">
        <v>212</v>
      </c>
      <c r="AZ1436" s="1">
        <v>2310.7199999999998</v>
      </c>
      <c r="BA1436" s="1">
        <v>2013</v>
      </c>
      <c r="BE1436" s="1">
        <v>1014</v>
      </c>
      <c r="BF1436" s="1">
        <v>1</v>
      </c>
      <c r="BG1436" s="1">
        <v>0</v>
      </c>
      <c r="BL1436" s="1">
        <v>220</v>
      </c>
      <c r="BM1436" s="1" t="s">
        <v>204</v>
      </c>
      <c r="BN1436" s="1" t="s">
        <v>213</v>
      </c>
      <c r="BO1436" s="1">
        <v>85</v>
      </c>
      <c r="BP1436" s="1" t="s">
        <v>204</v>
      </c>
      <c r="BR1436" s="1" t="str">
        <f>"01022020501101"</f>
        <v>01022020501101</v>
      </c>
      <c r="BT1436" s="1" t="s">
        <v>14175</v>
      </c>
      <c r="BU1436" s="1" t="s">
        <v>6731</v>
      </c>
      <c r="BV1436" s="1" t="s">
        <v>6732</v>
      </c>
      <c r="BW1436" s="1" t="s">
        <v>1994</v>
      </c>
      <c r="BX1436" s="1">
        <v>220</v>
      </c>
      <c r="BY1436" s="1">
        <v>220</v>
      </c>
      <c r="BZ1436" s="1">
        <v>220</v>
      </c>
      <c r="CB1436" s="1" t="str">
        <f>"18"</f>
        <v>18</v>
      </c>
      <c r="CC1436" s="1" t="str">
        <f>"0"</f>
        <v>0</v>
      </c>
      <c r="CD1436" s="1">
        <v>26</v>
      </c>
      <c r="CE1436" s="1">
        <v>0</v>
      </c>
      <c r="CG1436" s="1" t="s">
        <v>3083</v>
      </c>
      <c r="CH1436" s="1" t="s">
        <v>219</v>
      </c>
      <c r="CI1436" s="1" t="s">
        <v>438</v>
      </c>
      <c r="CK1436" s="1" t="s">
        <v>1469</v>
      </c>
      <c r="CL1436" s="1" t="s">
        <v>219</v>
      </c>
      <c r="CM1436" s="1" t="s">
        <v>220</v>
      </c>
      <c r="CO1436" s="1" t="s">
        <v>821</v>
      </c>
      <c r="CP1436" s="1" t="s">
        <v>219</v>
      </c>
      <c r="CQ1436" s="1" t="s">
        <v>438</v>
      </c>
      <c r="CS1436" s="1" t="s">
        <v>2170</v>
      </c>
      <c r="CT1436" s="1" t="s">
        <v>219</v>
      </c>
      <c r="CU1436" s="1" t="s">
        <v>220</v>
      </c>
      <c r="CX1436" s="1" t="s">
        <v>224</v>
      </c>
      <c r="DB1436" s="1" t="s">
        <v>224</v>
      </c>
      <c r="DE1436" s="1" t="s">
        <v>14176</v>
      </c>
      <c r="DF1436" s="1" t="s">
        <v>219</v>
      </c>
      <c r="DG1436" s="1" t="s">
        <v>438</v>
      </c>
      <c r="DJ1436" s="1" t="s">
        <v>224</v>
      </c>
      <c r="DS1436" s="1" t="s">
        <v>230</v>
      </c>
      <c r="DW1436" s="1" t="s">
        <v>230</v>
      </c>
      <c r="EA1436" s="1" t="s">
        <v>230</v>
      </c>
      <c r="EE1436" s="1" t="s">
        <v>230</v>
      </c>
      <c r="EI1436" s="1" t="s">
        <v>230</v>
      </c>
      <c r="EL1436" s="1" t="s">
        <v>605</v>
      </c>
      <c r="EM1436" s="1" t="s">
        <v>319</v>
      </c>
      <c r="EN1436" s="1" t="s">
        <v>282</v>
      </c>
      <c r="EO1436" s="1" t="s">
        <v>234</v>
      </c>
      <c r="EP1436" s="1" t="s">
        <v>11048</v>
      </c>
      <c r="EQ1436" s="1" t="s">
        <v>2188</v>
      </c>
      <c r="ER1436" s="1" t="s">
        <v>210</v>
      </c>
      <c r="ES1436" s="1" t="s">
        <v>545</v>
      </c>
      <c r="EU1436" s="1" t="s">
        <v>6734</v>
      </c>
      <c r="EV1436" s="1" t="s">
        <v>240</v>
      </c>
      <c r="EW1436" s="1" t="s">
        <v>887</v>
      </c>
      <c r="EZ1436" s="1" t="s">
        <v>287</v>
      </c>
      <c r="FA1436" s="1" t="s">
        <v>1048</v>
      </c>
      <c r="FB1436" s="1" t="s">
        <v>846</v>
      </c>
      <c r="FD1436" s="1" t="s">
        <v>2914</v>
      </c>
      <c r="FE1436" s="1" t="s">
        <v>247</v>
      </c>
      <c r="FF1436" s="1" t="s">
        <v>248</v>
      </c>
      <c r="FH1436" s="1" t="s">
        <v>249</v>
      </c>
      <c r="FL1436" s="1" t="s">
        <v>292</v>
      </c>
      <c r="FM1436" s="1" t="s">
        <v>252</v>
      </c>
      <c r="FN1436" s="1" t="s">
        <v>213</v>
      </c>
      <c r="FO1436" s="1" t="s">
        <v>213</v>
      </c>
      <c r="FQ1436" s="1" t="s">
        <v>14177</v>
      </c>
      <c r="FR1436" s="1" t="s">
        <v>210</v>
      </c>
      <c r="FS1436" s="1" t="s">
        <v>14178</v>
      </c>
      <c r="FT1436" s="1" t="s">
        <v>520</v>
      </c>
      <c r="FU1436" s="1" t="s">
        <v>204</v>
      </c>
      <c r="FW1436" s="1" t="s">
        <v>6737</v>
      </c>
      <c r="FX1436" s="1">
        <v>10646</v>
      </c>
      <c r="FY1436" s="1" t="s">
        <v>6738</v>
      </c>
      <c r="FZ1436" s="1" t="s">
        <v>6739</v>
      </c>
      <c r="GA1436" s="1">
        <v>120575</v>
      </c>
      <c r="GB1436" s="1" t="s">
        <v>6740</v>
      </c>
      <c r="GE1436" s="1" t="s">
        <v>210</v>
      </c>
      <c r="GH1436" s="1" t="s">
        <v>589</v>
      </c>
      <c r="GI1436" s="1" t="s">
        <v>213</v>
      </c>
      <c r="GJ1436" s="1" t="s">
        <v>260</v>
      </c>
      <c r="GK1436" s="1" t="s">
        <v>210</v>
      </c>
      <c r="GL1436" s="2">
        <v>42122</v>
      </c>
      <c r="GM1436" s="1" t="s">
        <v>14179</v>
      </c>
    </row>
    <row r="1437" spans="1:195">
      <c r="A1437" s="1">
        <v>332900</v>
      </c>
      <c r="B1437" s="1" t="s">
        <v>195</v>
      </c>
      <c r="C1437" s="1" t="str">
        <f>"08870314"</f>
        <v>08870314</v>
      </c>
      <c r="D1437" s="1" t="s">
        <v>196</v>
      </c>
      <c r="F1437" s="1" t="str">
        <f>"101"</f>
        <v>101</v>
      </c>
      <c r="G1437" s="2">
        <v>42087</v>
      </c>
      <c r="H1437" s="1">
        <v>339900</v>
      </c>
      <c r="I1437" s="1">
        <v>339900</v>
      </c>
      <c r="J1437" s="1">
        <v>332900</v>
      </c>
      <c r="K1437" s="2">
        <v>42086</v>
      </c>
      <c r="L1437" s="1">
        <v>5</v>
      </c>
      <c r="M1437" s="2">
        <v>42090</v>
      </c>
      <c r="N1437" s="1">
        <v>5</v>
      </c>
      <c r="O1437" s="2">
        <v>42090</v>
      </c>
      <c r="P1437" s="1">
        <v>24007</v>
      </c>
      <c r="Q1437" s="1" t="s">
        <v>197</v>
      </c>
      <c r="R1437" s="2">
        <v>42130</v>
      </c>
      <c r="S1437" s="1">
        <v>222125</v>
      </c>
      <c r="U1437" s="1">
        <v>2430</v>
      </c>
      <c r="V1437" s="1" t="s">
        <v>14180</v>
      </c>
      <c r="W1437" s="1" t="s">
        <v>304</v>
      </c>
      <c r="Y1437" s="1">
        <v>4</v>
      </c>
      <c r="Z1437" s="1" t="s">
        <v>370</v>
      </c>
      <c r="AA1437" s="1" t="s">
        <v>2631</v>
      </c>
      <c r="AB1437" s="1">
        <v>60101</v>
      </c>
      <c r="AE1437" s="1" t="s">
        <v>14181</v>
      </c>
      <c r="AF1437" s="1">
        <v>2010</v>
      </c>
      <c r="AG1437" s="1" t="s">
        <v>204</v>
      </c>
      <c r="AH1437" s="1" t="s">
        <v>1233</v>
      </c>
      <c r="AI1437" s="1" t="s">
        <v>206</v>
      </c>
      <c r="AJ1437" s="1" t="s">
        <v>269</v>
      </c>
      <c r="AL1437" s="1">
        <v>6</v>
      </c>
      <c r="AM1437" s="1">
        <v>2</v>
      </c>
      <c r="AN1437" s="1">
        <v>2</v>
      </c>
      <c r="AO1437" s="1">
        <v>1</v>
      </c>
      <c r="AP1437" s="1" t="s">
        <v>209</v>
      </c>
      <c r="AR1437" s="1" t="s">
        <v>209</v>
      </c>
      <c r="AS1437" s="1" t="s">
        <v>204</v>
      </c>
      <c r="AT1437" s="1" t="s">
        <v>211</v>
      </c>
      <c r="AU1437" s="1">
        <v>2</v>
      </c>
      <c r="AW1437" s="1" t="s">
        <v>204</v>
      </c>
      <c r="AX1437" s="1" t="s">
        <v>1813</v>
      </c>
      <c r="AZ1437" s="1">
        <v>8180</v>
      </c>
      <c r="BA1437" s="1">
        <v>2013</v>
      </c>
      <c r="BE1437" s="1">
        <v>2021</v>
      </c>
      <c r="BF1437" s="1">
        <v>1</v>
      </c>
      <c r="BG1437" s="1">
        <v>0</v>
      </c>
      <c r="BL1437" s="1">
        <v>177</v>
      </c>
      <c r="BM1437" s="1" t="s">
        <v>204</v>
      </c>
      <c r="BN1437" s="1" t="s">
        <v>213</v>
      </c>
      <c r="BO1437" s="1">
        <v>999</v>
      </c>
      <c r="BP1437" s="1" t="s">
        <v>204</v>
      </c>
      <c r="BR1437" s="1" t="str">
        <f>"0213302055"</f>
        <v>0213302055</v>
      </c>
      <c r="BT1437" s="1" t="s">
        <v>14182</v>
      </c>
      <c r="BX1437" s="1">
        <v>13</v>
      </c>
      <c r="BY1437" s="1">
        <v>13</v>
      </c>
      <c r="BZ1437" s="1">
        <v>108</v>
      </c>
      <c r="CB1437" s="1" t="str">
        <f t="shared" ref="CB1437:CC1437" si="1095">""</f>
        <v/>
      </c>
      <c r="CC1437" s="1" t="str">
        <f t="shared" si="1095"/>
        <v/>
      </c>
      <c r="CG1437" s="1" t="s">
        <v>218</v>
      </c>
      <c r="CH1437" s="1" t="s">
        <v>219</v>
      </c>
      <c r="CI1437" s="1" t="s">
        <v>438</v>
      </c>
      <c r="CJ1437" s="1" t="s">
        <v>463</v>
      </c>
      <c r="CK1437" s="1" t="s">
        <v>538</v>
      </c>
      <c r="CL1437" s="1" t="s">
        <v>277</v>
      </c>
      <c r="CM1437" s="1" t="s">
        <v>220</v>
      </c>
      <c r="CN1437" s="1" t="s">
        <v>2449</v>
      </c>
      <c r="CO1437" s="1" t="s">
        <v>378</v>
      </c>
      <c r="CP1437" s="1" t="s">
        <v>219</v>
      </c>
      <c r="CQ1437" s="1" t="s">
        <v>438</v>
      </c>
      <c r="CR1437" s="1" t="s">
        <v>463</v>
      </c>
      <c r="CS1437" s="1" t="s">
        <v>708</v>
      </c>
      <c r="CT1437" s="1" t="s">
        <v>277</v>
      </c>
      <c r="CU1437" s="1" t="s">
        <v>220</v>
      </c>
      <c r="CV1437" s="1" t="s">
        <v>210</v>
      </c>
      <c r="CX1437" s="1" t="s">
        <v>224</v>
      </c>
      <c r="DB1437" s="1" t="s">
        <v>224</v>
      </c>
      <c r="DE1437" s="1" t="s">
        <v>1358</v>
      </c>
      <c r="DF1437" s="1" t="s">
        <v>219</v>
      </c>
      <c r="DG1437" s="1" t="s">
        <v>226</v>
      </c>
      <c r="DH1437" s="1" t="s">
        <v>210</v>
      </c>
      <c r="DJ1437" s="1" t="s">
        <v>224</v>
      </c>
      <c r="DM1437" s="1" t="s">
        <v>464</v>
      </c>
      <c r="DR1437" s="1" t="s">
        <v>757</v>
      </c>
      <c r="DS1437" s="1" t="s">
        <v>277</v>
      </c>
      <c r="DW1437" s="1" t="s">
        <v>230</v>
      </c>
      <c r="EA1437" s="1" t="s">
        <v>230</v>
      </c>
      <c r="EE1437" s="1" t="s">
        <v>230</v>
      </c>
      <c r="EI1437" s="1" t="s">
        <v>230</v>
      </c>
      <c r="EL1437" s="1" t="s">
        <v>1549</v>
      </c>
      <c r="EM1437" s="1" t="s">
        <v>232</v>
      </c>
      <c r="EN1437" s="1" t="s">
        <v>282</v>
      </c>
      <c r="EO1437" s="1" t="s">
        <v>234</v>
      </c>
      <c r="EQ1437" s="1" t="s">
        <v>2188</v>
      </c>
      <c r="ER1437" s="1" t="s">
        <v>1249</v>
      </c>
      <c r="ES1437" s="1" t="s">
        <v>608</v>
      </c>
      <c r="EW1437" s="1" t="s">
        <v>887</v>
      </c>
      <c r="EZ1437" s="1" t="s">
        <v>464</v>
      </c>
      <c r="FA1437" s="1" t="s">
        <v>14183</v>
      </c>
      <c r="FD1437" s="1" t="s">
        <v>246</v>
      </c>
      <c r="FE1437" s="1" t="s">
        <v>847</v>
      </c>
      <c r="FF1437" s="1" t="s">
        <v>248</v>
      </c>
      <c r="FH1437" s="1" t="s">
        <v>550</v>
      </c>
      <c r="FL1437" s="1" t="s">
        <v>414</v>
      </c>
      <c r="FM1437" s="1" t="s">
        <v>252</v>
      </c>
      <c r="FN1437" s="1" t="s">
        <v>213</v>
      </c>
      <c r="FO1437" s="1" t="s">
        <v>213</v>
      </c>
      <c r="FQ1437" s="1" t="s">
        <v>1599</v>
      </c>
      <c r="FR1437" s="1" t="s">
        <v>210</v>
      </c>
      <c r="FS1437" s="1" t="s">
        <v>14184</v>
      </c>
      <c r="FT1437" s="1" t="s">
        <v>295</v>
      </c>
      <c r="FU1437" s="1" t="s">
        <v>204</v>
      </c>
      <c r="FW1437" s="1" t="s">
        <v>2726</v>
      </c>
      <c r="FX1437" s="1">
        <v>1109</v>
      </c>
      <c r="FY1437" s="1" t="s">
        <v>2727</v>
      </c>
      <c r="FZ1437" s="1" t="s">
        <v>14185</v>
      </c>
      <c r="GA1437" s="1">
        <v>26680</v>
      </c>
      <c r="GB1437" s="1" t="s">
        <v>14186</v>
      </c>
      <c r="GE1437" s="1" t="s">
        <v>210</v>
      </c>
      <c r="GI1437" s="1" t="s">
        <v>213</v>
      </c>
      <c r="GJ1437" s="1" t="s">
        <v>260</v>
      </c>
      <c r="GK1437" s="1" t="s">
        <v>261</v>
      </c>
      <c r="GL1437" s="2">
        <v>42131</v>
      </c>
      <c r="GM1437" s="1" t="s">
        <v>14187</v>
      </c>
    </row>
    <row r="1438" spans="1:195">
      <c r="A1438" s="1">
        <v>95000</v>
      </c>
      <c r="B1438" s="1" t="s">
        <v>195</v>
      </c>
      <c r="C1438" s="1" t="str">
        <f>"08863915"</f>
        <v>08863915</v>
      </c>
      <c r="D1438" s="1" t="s">
        <v>196</v>
      </c>
      <c r="F1438" s="1" t="str">
        <f>"103"</f>
        <v>103</v>
      </c>
      <c r="G1438" s="2">
        <v>42080</v>
      </c>
      <c r="H1438" s="1">
        <v>89900</v>
      </c>
      <c r="I1438" s="1">
        <v>89900</v>
      </c>
      <c r="J1438" s="1">
        <v>95000</v>
      </c>
      <c r="K1438" s="2">
        <v>42080</v>
      </c>
      <c r="L1438" s="1">
        <v>3</v>
      </c>
      <c r="M1438" s="2">
        <v>42082</v>
      </c>
      <c r="N1438" s="1">
        <v>3</v>
      </c>
      <c r="O1438" s="2">
        <v>42082</v>
      </c>
      <c r="P1438" s="1">
        <v>25611</v>
      </c>
      <c r="Q1438" s="1" t="s">
        <v>302</v>
      </c>
      <c r="R1438" s="2">
        <v>42101</v>
      </c>
      <c r="S1438" s="1">
        <v>85991</v>
      </c>
      <c r="U1438" s="1">
        <v>6266</v>
      </c>
      <c r="V1438" s="1" t="s">
        <v>14188</v>
      </c>
      <c r="W1438" s="1" t="s">
        <v>449</v>
      </c>
      <c r="X1438" s="1">
        <v>3</v>
      </c>
      <c r="Y1438" s="1">
        <v>4</v>
      </c>
      <c r="Z1438" s="1" t="s">
        <v>370</v>
      </c>
      <c r="AA1438" s="1" t="s">
        <v>337</v>
      </c>
      <c r="AB1438" s="1">
        <v>60133</v>
      </c>
      <c r="AE1438" s="1" t="s">
        <v>14189</v>
      </c>
      <c r="AF1438" s="1">
        <v>1979</v>
      </c>
      <c r="AG1438" s="1" t="s">
        <v>204</v>
      </c>
      <c r="AH1438" s="1" t="s">
        <v>339</v>
      </c>
      <c r="AI1438" s="1" t="s">
        <v>206</v>
      </c>
      <c r="AJ1438" s="1" t="s">
        <v>269</v>
      </c>
      <c r="AL1438" s="1">
        <v>6</v>
      </c>
      <c r="AM1438" s="1">
        <v>2</v>
      </c>
      <c r="AN1438" s="1">
        <v>1</v>
      </c>
      <c r="AO1438" s="1">
        <v>1</v>
      </c>
      <c r="AP1438" s="1" t="s">
        <v>210</v>
      </c>
      <c r="AR1438" s="1" t="s">
        <v>209</v>
      </c>
      <c r="AS1438" s="1" t="s">
        <v>204</v>
      </c>
      <c r="AT1438" s="1" t="s">
        <v>211</v>
      </c>
      <c r="AU1438" s="1">
        <v>1</v>
      </c>
      <c r="AW1438" s="1" t="s">
        <v>204</v>
      </c>
      <c r="AX1438" s="1" t="s">
        <v>212</v>
      </c>
      <c r="AZ1438" s="1">
        <v>2639.6</v>
      </c>
      <c r="BA1438" s="1">
        <v>2013</v>
      </c>
      <c r="BB1438" s="1" t="s">
        <v>405</v>
      </c>
      <c r="BE1438" s="1">
        <v>950</v>
      </c>
      <c r="BF1438" s="1">
        <v>1</v>
      </c>
      <c r="BG1438" s="1">
        <v>0</v>
      </c>
      <c r="BL1438" s="1">
        <v>189</v>
      </c>
      <c r="BM1438" s="1" t="s">
        <v>204</v>
      </c>
      <c r="BN1438" s="1" t="s">
        <v>213</v>
      </c>
      <c r="BO1438" s="1">
        <v>2</v>
      </c>
      <c r="BP1438" s="1" t="s">
        <v>204</v>
      </c>
      <c r="BR1438" s="1" t="str">
        <f>"0206105179"</f>
        <v>0206105179</v>
      </c>
      <c r="BT1438" s="1" t="s">
        <v>14190</v>
      </c>
      <c r="BU1438" s="1" t="s">
        <v>341</v>
      </c>
      <c r="BV1438" s="1" t="s">
        <v>274</v>
      </c>
      <c r="BW1438" s="1" t="s">
        <v>275</v>
      </c>
      <c r="BX1438" s="1">
        <v>20</v>
      </c>
      <c r="BY1438" s="1">
        <v>20</v>
      </c>
      <c r="BZ1438" s="1">
        <v>108</v>
      </c>
      <c r="CB1438" s="1" t="str">
        <f t="shared" ref="CB1438:CC1438" si="1096">""</f>
        <v/>
      </c>
      <c r="CC1438" s="1" t="str">
        <f t="shared" si="1096"/>
        <v/>
      </c>
      <c r="CG1438" s="1" t="s">
        <v>315</v>
      </c>
      <c r="CH1438" s="1" t="s">
        <v>219</v>
      </c>
      <c r="CI1438" s="1" t="s">
        <v>229</v>
      </c>
      <c r="CJ1438" s="1" t="s">
        <v>252</v>
      </c>
      <c r="CK1438" s="1" t="s">
        <v>539</v>
      </c>
      <c r="CL1438" s="1" t="s">
        <v>277</v>
      </c>
      <c r="CM1438" s="1" t="s">
        <v>220</v>
      </c>
      <c r="CN1438" s="1" t="s">
        <v>252</v>
      </c>
      <c r="CO1438" s="1" t="s">
        <v>2031</v>
      </c>
      <c r="CP1438" s="1" t="s">
        <v>219</v>
      </c>
      <c r="CQ1438" s="1" t="s">
        <v>229</v>
      </c>
      <c r="CR1438" s="1" t="s">
        <v>252</v>
      </c>
      <c r="CS1438" s="1" t="s">
        <v>346</v>
      </c>
      <c r="CT1438" s="1" t="s">
        <v>277</v>
      </c>
      <c r="CU1438" s="1" t="s">
        <v>220</v>
      </c>
      <c r="CV1438" s="1" t="s">
        <v>252</v>
      </c>
      <c r="CX1438" s="1" t="s">
        <v>224</v>
      </c>
      <c r="DB1438" s="1" t="s">
        <v>224</v>
      </c>
      <c r="DE1438" s="1" t="s">
        <v>316</v>
      </c>
      <c r="DF1438" s="1" t="s">
        <v>219</v>
      </c>
      <c r="DG1438" s="1" t="s">
        <v>226</v>
      </c>
      <c r="DI1438" s="1" t="s">
        <v>931</v>
      </c>
      <c r="DJ1438" s="1" t="s">
        <v>822</v>
      </c>
      <c r="DK1438" s="1" t="s">
        <v>220</v>
      </c>
      <c r="DL1438" s="1" t="s">
        <v>252</v>
      </c>
      <c r="DS1438" s="1" t="s">
        <v>230</v>
      </c>
      <c r="DW1438" s="1" t="s">
        <v>230</v>
      </c>
      <c r="EA1438" s="1" t="s">
        <v>230</v>
      </c>
      <c r="EE1438" s="1" t="s">
        <v>230</v>
      </c>
      <c r="EI1438" s="1" t="s">
        <v>230</v>
      </c>
      <c r="EL1438" s="1" t="s">
        <v>231</v>
      </c>
      <c r="EM1438" s="1" t="s">
        <v>232</v>
      </c>
      <c r="EN1438" s="1" t="s">
        <v>282</v>
      </c>
      <c r="EO1438" s="1" t="s">
        <v>234</v>
      </c>
      <c r="EP1438" s="1" t="s">
        <v>6076</v>
      </c>
      <c r="EQ1438" s="1" t="s">
        <v>1094</v>
      </c>
      <c r="ER1438" s="1" t="s">
        <v>544</v>
      </c>
      <c r="EW1438" s="1" t="s">
        <v>887</v>
      </c>
      <c r="EZ1438" s="1" t="s">
        <v>287</v>
      </c>
      <c r="FD1438" s="1" t="s">
        <v>495</v>
      </c>
      <c r="FE1438" s="1" t="s">
        <v>472</v>
      </c>
      <c r="FF1438" s="1" t="s">
        <v>248</v>
      </c>
      <c r="FH1438" s="1" t="s">
        <v>356</v>
      </c>
      <c r="FI1438" s="1" t="s">
        <v>473</v>
      </c>
      <c r="FL1438" s="1" t="s">
        <v>358</v>
      </c>
      <c r="FM1438" s="1" t="s">
        <v>252</v>
      </c>
      <c r="FN1438" s="1" t="s">
        <v>213</v>
      </c>
      <c r="FO1438" s="1" t="s">
        <v>213</v>
      </c>
      <c r="FQ1438" s="1" t="s">
        <v>1758</v>
      </c>
      <c r="FR1438" s="1" t="s">
        <v>210</v>
      </c>
      <c r="FS1438" s="1" t="s">
        <v>4124</v>
      </c>
      <c r="FT1438" s="1" t="s">
        <v>255</v>
      </c>
      <c r="FU1438" s="1" t="s">
        <v>204</v>
      </c>
      <c r="FW1438" s="1" t="s">
        <v>4125</v>
      </c>
      <c r="FX1438" s="1">
        <v>8073</v>
      </c>
      <c r="FY1438" s="1" t="s">
        <v>4126</v>
      </c>
      <c r="FZ1438" s="1" t="s">
        <v>12125</v>
      </c>
      <c r="GA1438" s="1">
        <v>241962</v>
      </c>
      <c r="GB1438" s="1" t="s">
        <v>12126</v>
      </c>
      <c r="GE1438" s="1" t="s">
        <v>210</v>
      </c>
      <c r="GI1438" s="1" t="s">
        <v>213</v>
      </c>
      <c r="GJ1438" s="1" t="s">
        <v>260</v>
      </c>
      <c r="GK1438" s="1" t="s">
        <v>210</v>
      </c>
      <c r="GL1438" s="2">
        <v>42101</v>
      </c>
    </row>
    <row r="1439" spans="1:195">
      <c r="A1439" s="1">
        <v>130000</v>
      </c>
      <c r="B1439" s="1" t="s">
        <v>195</v>
      </c>
      <c r="C1439" s="1" t="str">
        <f>"08864119"</f>
        <v>08864119</v>
      </c>
      <c r="D1439" s="1" t="s">
        <v>196</v>
      </c>
      <c r="F1439" s="1" t="str">
        <f>"48"</f>
        <v>48</v>
      </c>
      <c r="G1439" s="2">
        <v>42080</v>
      </c>
      <c r="H1439" s="1">
        <v>134900</v>
      </c>
      <c r="I1439" s="1">
        <v>134900</v>
      </c>
      <c r="J1439" s="1">
        <v>130000</v>
      </c>
      <c r="K1439" s="2">
        <v>42080</v>
      </c>
      <c r="L1439" s="1">
        <v>294</v>
      </c>
      <c r="M1439" s="2">
        <v>42096</v>
      </c>
      <c r="N1439" s="1">
        <v>17</v>
      </c>
      <c r="O1439" s="2">
        <v>42096</v>
      </c>
      <c r="P1439" s="1">
        <v>85464</v>
      </c>
      <c r="Q1439" s="1" t="s">
        <v>302</v>
      </c>
      <c r="R1439" s="2">
        <v>42109</v>
      </c>
      <c r="S1439" s="1">
        <v>180068</v>
      </c>
      <c r="U1439" s="1">
        <v>104</v>
      </c>
      <c r="V1439" s="1" t="s">
        <v>2134</v>
      </c>
      <c r="W1439" s="1" t="s">
        <v>1056</v>
      </c>
      <c r="X1439" s="1" t="s">
        <v>800</v>
      </c>
      <c r="Y1439" s="1">
        <v>6</v>
      </c>
      <c r="Z1439" s="1" t="s">
        <v>249</v>
      </c>
      <c r="AA1439" s="1" t="s">
        <v>6674</v>
      </c>
      <c r="AB1439" s="1">
        <v>60048</v>
      </c>
      <c r="AD1439" s="1" t="s">
        <v>14191</v>
      </c>
      <c r="AE1439" s="1" t="s">
        <v>14192</v>
      </c>
      <c r="AF1439" s="1">
        <v>1985</v>
      </c>
      <c r="AG1439" s="1" t="s">
        <v>204</v>
      </c>
      <c r="AH1439" s="1" t="s">
        <v>1693</v>
      </c>
      <c r="AI1439" s="1" t="s">
        <v>509</v>
      </c>
      <c r="AJ1439" s="1" t="s">
        <v>1693</v>
      </c>
      <c r="AL1439" s="1">
        <v>5</v>
      </c>
      <c r="AM1439" s="1">
        <v>2</v>
      </c>
      <c r="AN1439" s="1">
        <v>2</v>
      </c>
      <c r="AO1439" s="1">
        <v>0</v>
      </c>
      <c r="AP1439" s="1" t="s">
        <v>209</v>
      </c>
      <c r="AQ1439" s="1">
        <v>0</v>
      </c>
      <c r="AR1439" s="1" t="s">
        <v>210</v>
      </c>
      <c r="AS1439" s="1" t="s">
        <v>204</v>
      </c>
      <c r="AT1439" s="1" t="s">
        <v>375</v>
      </c>
      <c r="AU1439" s="1">
        <v>1</v>
      </c>
      <c r="AV1439" s="1">
        <v>1</v>
      </c>
      <c r="AW1439" s="1" t="s">
        <v>204</v>
      </c>
      <c r="AX1439" s="1" t="s">
        <v>1265</v>
      </c>
      <c r="AZ1439" s="1">
        <v>2899</v>
      </c>
      <c r="BA1439" s="1">
        <v>2013</v>
      </c>
      <c r="BB1439" s="1" t="s">
        <v>405</v>
      </c>
      <c r="BE1439" s="1">
        <v>950</v>
      </c>
      <c r="BF1439" s="1">
        <v>3</v>
      </c>
      <c r="BG1439" s="1">
        <v>0</v>
      </c>
      <c r="BL1439" s="1">
        <v>290</v>
      </c>
      <c r="BM1439" s="1" t="s">
        <v>204</v>
      </c>
      <c r="BN1439" s="1" t="s">
        <v>213</v>
      </c>
      <c r="BO1439" s="1">
        <v>999</v>
      </c>
      <c r="BP1439" s="1" t="s">
        <v>204</v>
      </c>
      <c r="BR1439" s="1" t="str">
        <f>"11161120600000"</f>
        <v>11161120600000</v>
      </c>
      <c r="BT1439" s="1" t="s">
        <v>14193</v>
      </c>
      <c r="BU1439" s="1" t="s">
        <v>6679</v>
      </c>
      <c r="BV1439" s="1" t="s">
        <v>6680</v>
      </c>
      <c r="BW1439" s="1" t="s">
        <v>1696</v>
      </c>
      <c r="BX1439" s="1">
        <v>70</v>
      </c>
      <c r="BY1439" s="1">
        <v>70</v>
      </c>
      <c r="BZ1439" s="1">
        <v>128</v>
      </c>
      <c r="CB1439" s="1" t="str">
        <f>"29"</f>
        <v>29</v>
      </c>
      <c r="CC1439" s="1" t="str">
        <f>"0"</f>
        <v>0</v>
      </c>
      <c r="CD1439" s="1">
        <v>16</v>
      </c>
      <c r="CE1439" s="1">
        <v>0</v>
      </c>
      <c r="CG1439" s="1" t="s">
        <v>932</v>
      </c>
      <c r="CH1439" s="1" t="s">
        <v>784</v>
      </c>
      <c r="CI1439" s="1" t="s">
        <v>220</v>
      </c>
      <c r="CJ1439" s="1" t="s">
        <v>343</v>
      </c>
      <c r="CK1439" s="1" t="s">
        <v>757</v>
      </c>
      <c r="CL1439" s="1" t="s">
        <v>784</v>
      </c>
      <c r="CM1439" s="1" t="s">
        <v>220</v>
      </c>
      <c r="CN1439" s="1" t="s">
        <v>343</v>
      </c>
      <c r="CO1439" s="1" t="s">
        <v>281</v>
      </c>
      <c r="CP1439" s="1" t="s">
        <v>784</v>
      </c>
      <c r="CQ1439" s="1" t="s">
        <v>220</v>
      </c>
      <c r="CR1439" s="1" t="s">
        <v>210</v>
      </c>
      <c r="CS1439" s="1" t="s">
        <v>465</v>
      </c>
      <c r="CT1439" s="1" t="s">
        <v>784</v>
      </c>
      <c r="CU1439" s="1" t="s">
        <v>220</v>
      </c>
      <c r="CV1439" s="1" t="s">
        <v>343</v>
      </c>
      <c r="CX1439" s="1" t="s">
        <v>224</v>
      </c>
      <c r="DB1439" s="1" t="s">
        <v>224</v>
      </c>
      <c r="DE1439" s="1" t="s">
        <v>317</v>
      </c>
      <c r="DF1439" s="1" t="s">
        <v>784</v>
      </c>
      <c r="DG1439" s="1" t="s">
        <v>347</v>
      </c>
      <c r="DH1439" s="1" t="s">
        <v>343</v>
      </c>
      <c r="DJ1439" s="1" t="s">
        <v>224</v>
      </c>
      <c r="DS1439" s="1" t="s">
        <v>230</v>
      </c>
      <c r="DW1439" s="1" t="s">
        <v>230</v>
      </c>
      <c r="EA1439" s="1" t="s">
        <v>230</v>
      </c>
      <c r="EE1439" s="1" t="s">
        <v>230</v>
      </c>
      <c r="EI1439" s="1" t="s">
        <v>230</v>
      </c>
      <c r="EL1439" s="1" t="s">
        <v>542</v>
      </c>
      <c r="EM1439" s="1" t="s">
        <v>730</v>
      </c>
      <c r="EN1439" s="1" t="s">
        <v>282</v>
      </c>
      <c r="EO1439" s="1" t="s">
        <v>840</v>
      </c>
      <c r="EP1439" s="1" t="s">
        <v>1047</v>
      </c>
      <c r="EQ1439" s="1" t="s">
        <v>1094</v>
      </c>
      <c r="ER1439" s="1" t="s">
        <v>383</v>
      </c>
      <c r="ES1439" s="1" t="s">
        <v>322</v>
      </c>
      <c r="EU1439" s="1" t="s">
        <v>712</v>
      </c>
      <c r="EV1439" s="1" t="s">
        <v>240</v>
      </c>
      <c r="EW1439" s="1" t="s">
        <v>286</v>
      </c>
      <c r="EY1439" s="1" t="s">
        <v>242</v>
      </c>
      <c r="EZ1439" s="1" t="s">
        <v>287</v>
      </c>
      <c r="FB1439" s="1" t="s">
        <v>289</v>
      </c>
      <c r="FC1439" s="1" t="s">
        <v>326</v>
      </c>
      <c r="FD1439" s="1" t="s">
        <v>495</v>
      </c>
      <c r="FE1439" s="1" t="s">
        <v>3783</v>
      </c>
      <c r="FF1439" s="1" t="s">
        <v>248</v>
      </c>
      <c r="FH1439" s="1" t="s">
        <v>249</v>
      </c>
      <c r="FI1439" s="1" t="s">
        <v>473</v>
      </c>
      <c r="FK1439" s="1" t="s">
        <v>4534</v>
      </c>
      <c r="FL1439" s="1" t="s">
        <v>1073</v>
      </c>
      <c r="FM1439" s="1" t="s">
        <v>252</v>
      </c>
      <c r="FN1439" s="1" t="s">
        <v>213</v>
      </c>
      <c r="FO1439" s="1" t="s">
        <v>213</v>
      </c>
      <c r="FQ1439" s="1" t="s">
        <v>329</v>
      </c>
      <c r="FR1439" s="1" t="s">
        <v>210</v>
      </c>
      <c r="FS1439" s="1" t="s">
        <v>1535</v>
      </c>
      <c r="FT1439" s="1" t="s">
        <v>1408</v>
      </c>
      <c r="FU1439" s="1" t="s">
        <v>204</v>
      </c>
      <c r="FW1439" s="1" t="s">
        <v>256</v>
      </c>
      <c r="FX1439" s="1">
        <v>2648</v>
      </c>
      <c r="FY1439" s="1" t="s">
        <v>1022</v>
      </c>
      <c r="FZ1439" s="1" t="s">
        <v>1023</v>
      </c>
      <c r="GA1439" s="1">
        <v>13380</v>
      </c>
      <c r="GB1439" s="1" t="s">
        <v>1024</v>
      </c>
      <c r="GE1439" s="1" t="s">
        <v>658</v>
      </c>
      <c r="GH1439" s="1" t="s">
        <v>800</v>
      </c>
      <c r="GI1439" s="1" t="s">
        <v>213</v>
      </c>
      <c r="GJ1439" s="1" t="s">
        <v>260</v>
      </c>
      <c r="GK1439" s="1" t="s">
        <v>210</v>
      </c>
      <c r="GL1439" s="2">
        <v>42110</v>
      </c>
      <c r="GM1439" s="1" t="s">
        <v>14194</v>
      </c>
    </row>
    <row r="1440" spans="1:195">
      <c r="A1440" s="1">
        <v>200000</v>
      </c>
      <c r="B1440" s="1" t="s">
        <v>195</v>
      </c>
      <c r="C1440" s="1" t="str">
        <f>"08863942"</f>
        <v>08863942</v>
      </c>
      <c r="D1440" s="1" t="s">
        <v>196</v>
      </c>
      <c r="F1440" s="1" t="str">
        <f>"188"</f>
        <v>188</v>
      </c>
      <c r="G1440" s="2">
        <v>42080</v>
      </c>
      <c r="H1440" s="1">
        <v>199900</v>
      </c>
      <c r="I1440" s="1">
        <v>199900</v>
      </c>
      <c r="J1440" s="1">
        <v>200000</v>
      </c>
      <c r="K1440" s="2">
        <v>42080</v>
      </c>
      <c r="L1440" s="1">
        <v>4</v>
      </c>
      <c r="M1440" s="2">
        <v>42083</v>
      </c>
      <c r="N1440" s="1">
        <v>4</v>
      </c>
      <c r="O1440" s="2">
        <v>42083</v>
      </c>
      <c r="P1440" s="1">
        <v>25163</v>
      </c>
      <c r="Q1440" s="1" t="s">
        <v>302</v>
      </c>
      <c r="R1440" s="2">
        <v>42124</v>
      </c>
      <c r="S1440" s="1">
        <v>216866</v>
      </c>
      <c r="U1440" s="1">
        <v>600</v>
      </c>
      <c r="V1440" s="1" t="s">
        <v>12449</v>
      </c>
      <c r="W1440" s="1" t="s">
        <v>264</v>
      </c>
      <c r="Y1440" s="1">
        <v>4</v>
      </c>
      <c r="Z1440" s="1" t="s">
        <v>249</v>
      </c>
      <c r="AA1440" s="1" t="s">
        <v>1084</v>
      </c>
      <c r="AB1440" s="1">
        <v>60188</v>
      </c>
      <c r="AD1440" s="1" t="s">
        <v>12450</v>
      </c>
      <c r="AE1440" s="1" t="s">
        <v>14195</v>
      </c>
      <c r="AF1440" s="1">
        <v>1989</v>
      </c>
      <c r="AG1440" s="1" t="s">
        <v>204</v>
      </c>
      <c r="AH1440" s="1" t="s">
        <v>1087</v>
      </c>
      <c r="AI1440" s="1" t="s">
        <v>206</v>
      </c>
      <c r="AJ1440" s="1" t="s">
        <v>269</v>
      </c>
      <c r="AL1440" s="1">
        <v>7</v>
      </c>
      <c r="AM1440" s="1">
        <v>2</v>
      </c>
      <c r="AN1440" s="1">
        <v>1</v>
      </c>
      <c r="AO1440" s="1">
        <v>1</v>
      </c>
      <c r="AP1440" s="1" t="s">
        <v>455</v>
      </c>
      <c r="AQ1440" s="1">
        <v>1</v>
      </c>
      <c r="AR1440" s="1" t="s">
        <v>210</v>
      </c>
      <c r="AT1440" s="1" t="s">
        <v>211</v>
      </c>
      <c r="AU1440" s="1">
        <v>2</v>
      </c>
      <c r="AW1440" s="1" t="s">
        <v>204</v>
      </c>
      <c r="AX1440" s="1" t="s">
        <v>14196</v>
      </c>
      <c r="AZ1440" s="1">
        <v>5170</v>
      </c>
      <c r="BA1440" s="1">
        <v>2013</v>
      </c>
      <c r="BB1440" s="1" t="s">
        <v>405</v>
      </c>
      <c r="BE1440" s="1">
        <v>1499</v>
      </c>
      <c r="BF1440" s="1">
        <v>1</v>
      </c>
      <c r="BG1440" s="1">
        <v>0</v>
      </c>
      <c r="BL1440" s="1">
        <v>208</v>
      </c>
      <c r="BM1440" s="1" t="s">
        <v>204</v>
      </c>
      <c r="BN1440" s="1" t="s">
        <v>213</v>
      </c>
      <c r="BO1440" s="1">
        <v>0</v>
      </c>
      <c r="BP1440" s="1" t="s">
        <v>204</v>
      </c>
      <c r="BR1440" s="1" t="str">
        <f>"0219305003"</f>
        <v>0219305003</v>
      </c>
      <c r="BT1440" s="1" t="s">
        <v>14197</v>
      </c>
      <c r="BU1440" s="1" t="s">
        <v>1090</v>
      </c>
      <c r="BV1440" s="1" t="s">
        <v>1091</v>
      </c>
      <c r="BW1440" s="1" t="s">
        <v>1092</v>
      </c>
      <c r="BX1440" s="1">
        <v>93</v>
      </c>
      <c r="BY1440" s="1">
        <v>93</v>
      </c>
      <c r="BZ1440" s="1">
        <v>87</v>
      </c>
      <c r="CB1440" s="1" t="str">
        <f t="shared" ref="CB1440:CC1440" si="1097">""</f>
        <v/>
      </c>
      <c r="CC1440" s="1" t="str">
        <f t="shared" si="1097"/>
        <v/>
      </c>
      <c r="CH1440" s="1" t="s">
        <v>224</v>
      </c>
      <c r="CK1440" s="1" t="s">
        <v>932</v>
      </c>
      <c r="CL1440" s="1" t="s">
        <v>277</v>
      </c>
      <c r="CM1440" s="1" t="s">
        <v>220</v>
      </c>
      <c r="CN1440" s="1" t="s">
        <v>439</v>
      </c>
      <c r="CO1440" s="1" t="s">
        <v>316</v>
      </c>
      <c r="CP1440" s="1" t="s">
        <v>219</v>
      </c>
      <c r="CQ1440" s="1" t="s">
        <v>438</v>
      </c>
      <c r="CR1440" s="1" t="s">
        <v>210</v>
      </c>
      <c r="CS1440" s="1" t="s">
        <v>346</v>
      </c>
      <c r="CT1440" s="1" t="s">
        <v>277</v>
      </c>
      <c r="CU1440" s="1" t="s">
        <v>220</v>
      </c>
      <c r="CV1440" s="1" t="s">
        <v>439</v>
      </c>
      <c r="CX1440" s="1" t="s">
        <v>224</v>
      </c>
      <c r="DB1440" s="1" t="s">
        <v>224</v>
      </c>
      <c r="DE1440" s="1" t="s">
        <v>346</v>
      </c>
      <c r="DF1440" s="1" t="s">
        <v>219</v>
      </c>
      <c r="DG1440" s="1" t="s">
        <v>438</v>
      </c>
      <c r="DI1440" s="1" t="s">
        <v>228</v>
      </c>
      <c r="DJ1440" s="1" t="s">
        <v>219</v>
      </c>
      <c r="DK1440" s="1" t="s">
        <v>438</v>
      </c>
      <c r="DL1440" s="1" t="s">
        <v>439</v>
      </c>
      <c r="DM1440" s="1" t="s">
        <v>464</v>
      </c>
      <c r="DN1440" s="1" t="s">
        <v>381</v>
      </c>
      <c r="DR1440" s="1" t="s">
        <v>379</v>
      </c>
      <c r="DS1440" s="1" t="s">
        <v>277</v>
      </c>
      <c r="DT1440" s="1" t="s">
        <v>220</v>
      </c>
      <c r="DU1440" s="1" t="s">
        <v>343</v>
      </c>
      <c r="DV1440" s="1" t="s">
        <v>1571</v>
      </c>
      <c r="DW1440" s="1" t="s">
        <v>219</v>
      </c>
      <c r="DX1440" s="1" t="s">
        <v>438</v>
      </c>
      <c r="DY1440" s="1" t="s">
        <v>439</v>
      </c>
      <c r="EA1440" s="1" t="s">
        <v>230</v>
      </c>
      <c r="EE1440" s="1" t="s">
        <v>230</v>
      </c>
      <c r="EI1440" s="1" t="s">
        <v>230</v>
      </c>
      <c r="EL1440" s="1" t="s">
        <v>542</v>
      </c>
      <c r="EM1440" s="1" t="s">
        <v>232</v>
      </c>
      <c r="EN1440" s="1" t="s">
        <v>282</v>
      </c>
      <c r="EO1440" s="1" t="s">
        <v>234</v>
      </c>
      <c r="EQ1440" s="1" t="s">
        <v>492</v>
      </c>
      <c r="ER1440" s="1" t="s">
        <v>383</v>
      </c>
      <c r="ES1440" s="1" t="s">
        <v>954</v>
      </c>
      <c r="ET1440" s="1" t="s">
        <v>866</v>
      </c>
      <c r="EU1440" s="1" t="s">
        <v>712</v>
      </c>
      <c r="EV1440" s="1" t="s">
        <v>324</v>
      </c>
      <c r="EW1440" s="1" t="s">
        <v>887</v>
      </c>
      <c r="EZ1440" s="1" t="s">
        <v>4284</v>
      </c>
      <c r="FA1440" s="1" t="s">
        <v>672</v>
      </c>
      <c r="FD1440" s="1" t="s">
        <v>246</v>
      </c>
      <c r="FE1440" s="1" t="s">
        <v>2074</v>
      </c>
      <c r="FF1440" s="1" t="s">
        <v>248</v>
      </c>
      <c r="FG1440" s="1" t="s">
        <v>912</v>
      </c>
      <c r="FH1440" s="1" t="s">
        <v>550</v>
      </c>
      <c r="FI1440" s="1" t="s">
        <v>357</v>
      </c>
      <c r="FJ1440" s="1" t="s">
        <v>1251</v>
      </c>
      <c r="FL1440" s="1" t="s">
        <v>358</v>
      </c>
      <c r="FM1440" s="1" t="s">
        <v>252</v>
      </c>
      <c r="FN1440" s="1" t="s">
        <v>213</v>
      </c>
      <c r="FO1440" s="1" t="s">
        <v>213</v>
      </c>
      <c r="FQ1440" s="1" t="s">
        <v>329</v>
      </c>
      <c r="FR1440" s="1" t="s">
        <v>210</v>
      </c>
      <c r="FS1440" s="1" t="s">
        <v>14198</v>
      </c>
      <c r="FT1440" s="1" t="s">
        <v>362</v>
      </c>
      <c r="FU1440" s="1" t="s">
        <v>204</v>
      </c>
      <c r="FV1440" s="1" t="s">
        <v>14199</v>
      </c>
      <c r="FW1440" s="1" t="s">
        <v>1898</v>
      </c>
      <c r="FX1440" s="1">
        <v>23030</v>
      </c>
      <c r="FY1440" s="1" t="s">
        <v>1899</v>
      </c>
      <c r="FZ1440" s="1" t="s">
        <v>14200</v>
      </c>
      <c r="GA1440" s="1">
        <v>232961</v>
      </c>
      <c r="GB1440" s="1" t="s">
        <v>14201</v>
      </c>
      <c r="GE1440" s="1" t="s">
        <v>210</v>
      </c>
      <c r="GI1440" s="1" t="s">
        <v>213</v>
      </c>
      <c r="GJ1440" s="1" t="s">
        <v>300</v>
      </c>
      <c r="GK1440" s="1" t="s">
        <v>210</v>
      </c>
      <c r="GL1440" s="2">
        <v>42124</v>
      </c>
      <c r="GM1440" s="1" t="s">
        <v>14202</v>
      </c>
    </row>
    <row r="1441" spans="1:195">
      <c r="A1441" s="1">
        <v>134500</v>
      </c>
      <c r="B1441" s="1" t="s">
        <v>195</v>
      </c>
      <c r="C1441" s="1" t="str">
        <f>"08864383"</f>
        <v>08864383</v>
      </c>
      <c r="D1441" s="1" t="s">
        <v>196</v>
      </c>
      <c r="F1441" s="1" t="str">
        <f>"140"</f>
        <v>140</v>
      </c>
      <c r="G1441" s="2">
        <v>42080</v>
      </c>
      <c r="H1441" s="1">
        <v>140000</v>
      </c>
      <c r="I1441" s="1">
        <v>138500</v>
      </c>
      <c r="J1441" s="1">
        <v>134500</v>
      </c>
      <c r="K1441" s="2">
        <v>42080</v>
      </c>
      <c r="L1441" s="1">
        <v>33</v>
      </c>
      <c r="M1441" s="2">
        <v>42112</v>
      </c>
      <c r="N1441" s="1">
        <v>33</v>
      </c>
      <c r="O1441" s="2">
        <v>42112</v>
      </c>
      <c r="P1441" s="1">
        <v>372</v>
      </c>
      <c r="Q1441" s="1" t="s">
        <v>197</v>
      </c>
      <c r="R1441" s="2">
        <v>42146</v>
      </c>
      <c r="S1441" s="1">
        <v>7968</v>
      </c>
      <c r="U1441" s="1">
        <v>1574</v>
      </c>
      <c r="V1441" s="1" t="s">
        <v>8489</v>
      </c>
      <c r="W1441" s="1" t="s">
        <v>504</v>
      </c>
      <c r="Y1441" s="1">
        <v>4</v>
      </c>
      <c r="Z1441" s="1" t="s">
        <v>370</v>
      </c>
      <c r="AA1441" s="1" t="s">
        <v>744</v>
      </c>
      <c r="AB1441" s="1">
        <v>60140</v>
      </c>
      <c r="AD1441" s="1" t="s">
        <v>8490</v>
      </c>
      <c r="AE1441" s="1" t="s">
        <v>14203</v>
      </c>
      <c r="AF1441" s="1">
        <v>2008</v>
      </c>
      <c r="AG1441" s="1" t="s">
        <v>204</v>
      </c>
      <c r="AH1441" s="1" t="s">
        <v>747</v>
      </c>
      <c r="AI1441" s="1" t="s">
        <v>665</v>
      </c>
      <c r="AJ1441" s="1" t="s">
        <v>748</v>
      </c>
      <c r="AK1441" s="1" t="s">
        <v>9267</v>
      </c>
      <c r="AL1441" s="1">
        <v>7</v>
      </c>
      <c r="AM1441" s="1">
        <v>2</v>
      </c>
      <c r="AN1441" s="1">
        <v>1</v>
      </c>
      <c r="AO1441" s="1">
        <v>1</v>
      </c>
      <c r="AP1441" s="1" t="s">
        <v>667</v>
      </c>
      <c r="AR1441" s="1" t="s">
        <v>10454</v>
      </c>
      <c r="AS1441" s="1" t="s">
        <v>204</v>
      </c>
      <c r="AT1441" s="1" t="s">
        <v>211</v>
      </c>
      <c r="AU1441" s="1">
        <v>2</v>
      </c>
      <c r="AW1441" s="1" t="s">
        <v>204</v>
      </c>
      <c r="AX1441" s="1" t="s">
        <v>212</v>
      </c>
      <c r="AZ1441" s="1">
        <v>3155.5</v>
      </c>
      <c r="BA1441" s="1">
        <v>2013</v>
      </c>
      <c r="BB1441" s="1" t="s">
        <v>405</v>
      </c>
      <c r="BE1441" s="1">
        <v>1483</v>
      </c>
      <c r="BF1441" s="1">
        <v>1</v>
      </c>
      <c r="BG1441" s="1">
        <v>0</v>
      </c>
      <c r="BL1441" s="1">
        <v>131</v>
      </c>
      <c r="BM1441" s="1" t="s">
        <v>213</v>
      </c>
      <c r="BN1441" s="1" t="s">
        <v>213</v>
      </c>
      <c r="BO1441" s="1">
        <v>999</v>
      </c>
      <c r="BP1441" s="1" t="s">
        <v>204</v>
      </c>
      <c r="BR1441" s="1" t="str">
        <f>"0229341036"</f>
        <v>0229341036</v>
      </c>
      <c r="BT1441" s="1" t="s">
        <v>14204</v>
      </c>
      <c r="BU1441" s="1" t="s">
        <v>753</v>
      </c>
      <c r="BV1441" s="1" t="s">
        <v>754</v>
      </c>
      <c r="BW1441" s="1" t="s">
        <v>755</v>
      </c>
      <c r="BX1441" s="1">
        <v>300</v>
      </c>
      <c r="BY1441" s="1">
        <v>300</v>
      </c>
      <c r="BZ1441" s="1">
        <v>300</v>
      </c>
      <c r="CB1441" s="1" t="str">
        <f>"15"</f>
        <v>15</v>
      </c>
      <c r="CC1441" s="1" t="str">
        <f>"0"</f>
        <v>0</v>
      </c>
      <c r="CD1441" s="1">
        <v>47</v>
      </c>
      <c r="CE1441" s="1">
        <v>0</v>
      </c>
      <c r="CG1441" s="1" t="s">
        <v>1297</v>
      </c>
      <c r="CH1441" s="1" t="s">
        <v>219</v>
      </c>
      <c r="CI1441" s="1" t="s">
        <v>220</v>
      </c>
      <c r="CJ1441" s="1" t="s">
        <v>252</v>
      </c>
      <c r="CK1441" s="1" t="s">
        <v>885</v>
      </c>
      <c r="CL1441" s="1" t="s">
        <v>277</v>
      </c>
      <c r="CM1441" s="1" t="s">
        <v>220</v>
      </c>
      <c r="CN1441" s="1" t="s">
        <v>252</v>
      </c>
      <c r="CO1441" s="1" t="s">
        <v>972</v>
      </c>
      <c r="CP1441" s="1" t="s">
        <v>219</v>
      </c>
      <c r="CQ1441" s="1" t="s">
        <v>220</v>
      </c>
      <c r="CR1441" s="1" t="s">
        <v>210</v>
      </c>
      <c r="CS1441" s="1" t="s">
        <v>346</v>
      </c>
      <c r="CT1441" s="1" t="s">
        <v>277</v>
      </c>
      <c r="CU1441" s="1" t="s">
        <v>220</v>
      </c>
      <c r="CV1441" s="1" t="s">
        <v>252</v>
      </c>
      <c r="CX1441" s="1" t="s">
        <v>224</v>
      </c>
      <c r="DB1441" s="1" t="s">
        <v>224</v>
      </c>
      <c r="DE1441" s="1" t="s">
        <v>757</v>
      </c>
      <c r="DF1441" s="1" t="s">
        <v>219</v>
      </c>
      <c r="DG1441" s="1" t="s">
        <v>342</v>
      </c>
      <c r="DH1441" s="1" t="s">
        <v>252</v>
      </c>
      <c r="DI1441" s="1" t="s">
        <v>378</v>
      </c>
      <c r="DJ1441" s="1" t="s">
        <v>822</v>
      </c>
      <c r="DK1441" s="1" t="s">
        <v>220</v>
      </c>
      <c r="DM1441" s="1" t="s">
        <v>464</v>
      </c>
      <c r="DR1441" s="1" t="s">
        <v>318</v>
      </c>
      <c r="DS1441" s="1" t="s">
        <v>277</v>
      </c>
      <c r="DT1441" s="1" t="s">
        <v>220</v>
      </c>
      <c r="DU1441" s="1" t="s">
        <v>343</v>
      </c>
      <c r="DW1441" s="1" t="s">
        <v>230</v>
      </c>
      <c r="EA1441" s="1" t="s">
        <v>230</v>
      </c>
      <c r="EE1441" s="1" t="s">
        <v>230</v>
      </c>
      <c r="EI1441" s="1" t="s">
        <v>230</v>
      </c>
      <c r="EL1441" s="1" t="s">
        <v>491</v>
      </c>
      <c r="EM1441" s="1" t="s">
        <v>319</v>
      </c>
      <c r="EN1441" s="1" t="s">
        <v>282</v>
      </c>
      <c r="EO1441" s="1" t="s">
        <v>840</v>
      </c>
      <c r="EP1441" s="1" t="s">
        <v>14205</v>
      </c>
      <c r="EQ1441" s="1" t="s">
        <v>2188</v>
      </c>
      <c r="ER1441" s="1" t="s">
        <v>823</v>
      </c>
      <c r="ES1441" s="1" t="s">
        <v>469</v>
      </c>
      <c r="EV1441" s="1" t="s">
        <v>240</v>
      </c>
      <c r="EW1441" s="1" t="s">
        <v>14206</v>
      </c>
      <c r="EY1441" s="1" t="s">
        <v>790</v>
      </c>
      <c r="EZ1441" s="1" t="s">
        <v>464</v>
      </c>
      <c r="FA1441" s="1" t="s">
        <v>1726</v>
      </c>
      <c r="FB1441" s="1" t="s">
        <v>289</v>
      </c>
      <c r="FD1441" s="1" t="s">
        <v>246</v>
      </c>
      <c r="FE1441" s="1" t="s">
        <v>472</v>
      </c>
      <c r="FF1441" s="1" t="s">
        <v>248</v>
      </c>
      <c r="FH1441" s="1" t="s">
        <v>550</v>
      </c>
      <c r="FI1441" s="1" t="s">
        <v>473</v>
      </c>
      <c r="FL1441" s="1" t="s">
        <v>358</v>
      </c>
      <c r="FM1441" s="1" t="s">
        <v>252</v>
      </c>
      <c r="FN1441" s="1" t="s">
        <v>213</v>
      </c>
      <c r="FO1441" s="1" t="s">
        <v>213</v>
      </c>
      <c r="FQ1441" s="1" t="s">
        <v>635</v>
      </c>
      <c r="FR1441" s="1" t="s">
        <v>210</v>
      </c>
      <c r="FS1441" s="1" t="s">
        <v>4325</v>
      </c>
      <c r="FT1441" s="1" t="s">
        <v>14207</v>
      </c>
      <c r="FU1441" s="1" t="s">
        <v>204</v>
      </c>
      <c r="FW1441" s="1" t="s">
        <v>14208</v>
      </c>
      <c r="FX1441" s="1">
        <v>21198</v>
      </c>
      <c r="FY1441" s="1" t="s">
        <v>14209</v>
      </c>
      <c r="FZ1441" s="1" t="s">
        <v>14210</v>
      </c>
      <c r="GA1441" s="1">
        <v>233200</v>
      </c>
      <c r="GB1441" s="1" t="s">
        <v>14211</v>
      </c>
      <c r="GC1441" s="1">
        <v>228334</v>
      </c>
      <c r="GE1441" s="1" t="s">
        <v>480</v>
      </c>
      <c r="GI1441" s="1" t="s">
        <v>213</v>
      </c>
      <c r="GJ1441" s="1" t="s">
        <v>260</v>
      </c>
      <c r="GK1441" s="1" t="s">
        <v>210</v>
      </c>
      <c r="GL1441" s="2">
        <v>42146</v>
      </c>
    </row>
    <row r="1442" spans="1:195">
      <c r="A1442" s="1">
        <v>110000</v>
      </c>
      <c r="B1442" s="1" t="s">
        <v>195</v>
      </c>
      <c r="C1442" s="1" t="str">
        <f>"08869650"</f>
        <v>08869650</v>
      </c>
      <c r="D1442" s="1" t="s">
        <v>196</v>
      </c>
      <c r="F1442" s="1" t="str">
        <f>"187"</f>
        <v>187</v>
      </c>
      <c r="G1442" s="2">
        <v>42086</v>
      </c>
      <c r="H1442" s="1">
        <v>119000</v>
      </c>
      <c r="I1442" s="1">
        <v>119000</v>
      </c>
      <c r="J1442" s="1">
        <v>110000</v>
      </c>
      <c r="K1442" s="2">
        <v>42086</v>
      </c>
      <c r="L1442" s="1">
        <v>8</v>
      </c>
      <c r="M1442" s="2">
        <v>42093</v>
      </c>
      <c r="N1442" s="1">
        <v>8</v>
      </c>
      <c r="O1442" s="2">
        <v>42093</v>
      </c>
      <c r="P1442" s="1">
        <v>25244</v>
      </c>
      <c r="Q1442" s="1" t="s">
        <v>197</v>
      </c>
      <c r="R1442" s="2">
        <v>42128</v>
      </c>
      <c r="S1442" s="1">
        <v>258075</v>
      </c>
      <c r="U1442" s="1">
        <v>1718</v>
      </c>
      <c r="V1442" s="1" t="s">
        <v>14212</v>
      </c>
      <c r="W1442" s="1" t="s">
        <v>264</v>
      </c>
      <c r="X1442" s="1" t="s">
        <v>1000</v>
      </c>
      <c r="Y1442" s="1">
        <v>4</v>
      </c>
      <c r="Z1442" s="1" t="s">
        <v>249</v>
      </c>
      <c r="AA1442" s="1" t="s">
        <v>964</v>
      </c>
      <c r="AB1442" s="1">
        <v>60189</v>
      </c>
      <c r="AD1442" s="1" t="s">
        <v>7731</v>
      </c>
      <c r="AE1442" s="1" t="s">
        <v>14213</v>
      </c>
      <c r="AF1442" s="1">
        <v>1977</v>
      </c>
      <c r="AG1442" s="1" t="s">
        <v>213</v>
      </c>
      <c r="AH1442" s="1" t="s">
        <v>967</v>
      </c>
      <c r="AI1442" s="1" t="s">
        <v>206</v>
      </c>
      <c r="AJ1442" s="1" t="s">
        <v>207</v>
      </c>
      <c r="AL1442" s="1">
        <v>5</v>
      </c>
      <c r="AM1442" s="1">
        <v>2</v>
      </c>
      <c r="AN1442" s="1">
        <v>1</v>
      </c>
      <c r="AO1442" s="1">
        <v>0</v>
      </c>
      <c r="AP1442" s="1" t="s">
        <v>210</v>
      </c>
      <c r="AQ1442" s="1">
        <v>1</v>
      </c>
      <c r="AR1442" s="1" t="s">
        <v>210</v>
      </c>
      <c r="AS1442" s="1" t="s">
        <v>204</v>
      </c>
      <c r="AT1442" s="1" t="s">
        <v>211</v>
      </c>
      <c r="AU1442" s="1">
        <v>1</v>
      </c>
      <c r="AW1442" s="1" t="s">
        <v>204</v>
      </c>
      <c r="AX1442" s="1" t="s">
        <v>212</v>
      </c>
      <c r="AZ1442" s="1">
        <v>2557</v>
      </c>
      <c r="BA1442" s="1">
        <v>2013</v>
      </c>
      <c r="BB1442" s="1" t="s">
        <v>210</v>
      </c>
      <c r="BE1442" s="1">
        <v>1056</v>
      </c>
      <c r="BF1442" s="1">
        <v>2</v>
      </c>
      <c r="BG1442" s="1">
        <v>0</v>
      </c>
      <c r="BL1442" s="1">
        <v>301</v>
      </c>
      <c r="BM1442" s="1" t="s">
        <v>204</v>
      </c>
      <c r="BN1442" s="1" t="s">
        <v>213</v>
      </c>
      <c r="BO1442" s="1">
        <v>999</v>
      </c>
      <c r="BP1442" s="1" t="s">
        <v>204</v>
      </c>
      <c r="BR1442" s="1" t="str">
        <f>"0527107315"</f>
        <v>0527107315</v>
      </c>
      <c r="BT1442" s="1" t="s">
        <v>14214</v>
      </c>
      <c r="BU1442" s="1" t="s">
        <v>7734</v>
      </c>
      <c r="BV1442" s="1" t="s">
        <v>216</v>
      </c>
      <c r="BW1442" s="1" t="s">
        <v>217</v>
      </c>
      <c r="BX1442" s="1">
        <v>89</v>
      </c>
      <c r="BY1442" s="1">
        <v>89</v>
      </c>
      <c r="BZ1442" s="1">
        <v>87</v>
      </c>
      <c r="CB1442" s="1" t="str">
        <f t="shared" ref="CB1442:CC1442" si="1098">""</f>
        <v/>
      </c>
      <c r="CC1442" s="1" t="str">
        <f t="shared" si="1098"/>
        <v/>
      </c>
      <c r="CG1442" s="1" t="s">
        <v>1004</v>
      </c>
      <c r="CH1442" s="1" t="s">
        <v>277</v>
      </c>
      <c r="CI1442" s="1" t="s">
        <v>220</v>
      </c>
      <c r="CJ1442" s="1" t="s">
        <v>343</v>
      </c>
      <c r="CK1442" s="1" t="s">
        <v>602</v>
      </c>
      <c r="CL1442" s="1" t="s">
        <v>277</v>
      </c>
      <c r="CM1442" s="1" t="s">
        <v>220</v>
      </c>
      <c r="CN1442" s="1" t="s">
        <v>210</v>
      </c>
      <c r="CO1442" s="1" t="s">
        <v>837</v>
      </c>
      <c r="CP1442" s="1" t="s">
        <v>277</v>
      </c>
      <c r="CQ1442" s="1" t="s">
        <v>220</v>
      </c>
      <c r="CR1442" s="1" t="s">
        <v>210</v>
      </c>
      <c r="CS1442" s="1" t="s">
        <v>1297</v>
      </c>
      <c r="CT1442" s="1" t="s">
        <v>277</v>
      </c>
      <c r="CU1442" s="1" t="s">
        <v>220</v>
      </c>
      <c r="CV1442" s="1" t="s">
        <v>210</v>
      </c>
      <c r="CX1442" s="1" t="s">
        <v>224</v>
      </c>
      <c r="DB1442" s="1" t="s">
        <v>224</v>
      </c>
      <c r="DE1442" s="1" t="s">
        <v>409</v>
      </c>
      <c r="DF1442" s="1" t="s">
        <v>277</v>
      </c>
      <c r="DG1442" s="1" t="s">
        <v>229</v>
      </c>
      <c r="DH1442" s="1" t="s">
        <v>210</v>
      </c>
      <c r="DJ1442" s="1" t="s">
        <v>224</v>
      </c>
      <c r="DS1442" s="1" t="s">
        <v>230</v>
      </c>
      <c r="DW1442" s="1" t="s">
        <v>230</v>
      </c>
      <c r="EA1442" s="1" t="s">
        <v>230</v>
      </c>
      <c r="EE1442" s="1" t="s">
        <v>230</v>
      </c>
      <c r="EI1442" s="1" t="s">
        <v>230</v>
      </c>
      <c r="EL1442" s="1" t="s">
        <v>231</v>
      </c>
      <c r="EM1442" s="1" t="s">
        <v>232</v>
      </c>
      <c r="EN1442" s="1" t="s">
        <v>282</v>
      </c>
      <c r="EO1442" s="1" t="s">
        <v>840</v>
      </c>
      <c r="EP1442" s="1" t="s">
        <v>14215</v>
      </c>
      <c r="EQ1442" s="1" t="s">
        <v>1094</v>
      </c>
      <c r="ER1442" s="1" t="s">
        <v>210</v>
      </c>
      <c r="ES1442" s="1" t="s">
        <v>954</v>
      </c>
      <c r="EU1442" s="1" t="s">
        <v>239</v>
      </c>
      <c r="EV1442" s="1" t="s">
        <v>352</v>
      </c>
      <c r="EW1442" s="1" t="s">
        <v>353</v>
      </c>
      <c r="EY1442" s="1" t="s">
        <v>790</v>
      </c>
      <c r="EZ1442" s="1" t="s">
        <v>287</v>
      </c>
      <c r="FA1442" s="1" t="s">
        <v>4439</v>
      </c>
      <c r="FB1442" s="1" t="s">
        <v>289</v>
      </c>
      <c r="FD1442" s="1" t="s">
        <v>246</v>
      </c>
      <c r="FE1442" s="1" t="s">
        <v>14216</v>
      </c>
      <c r="FF1442" s="1" t="s">
        <v>248</v>
      </c>
      <c r="FG1442" s="1" t="s">
        <v>871</v>
      </c>
      <c r="FH1442" s="1" t="s">
        <v>249</v>
      </c>
      <c r="FI1442" s="1" t="s">
        <v>473</v>
      </c>
      <c r="FJ1442" s="1" t="s">
        <v>197</v>
      </c>
      <c r="FL1442" s="1" t="s">
        <v>358</v>
      </c>
      <c r="FM1442" s="1" t="s">
        <v>252</v>
      </c>
      <c r="FN1442" s="1" t="s">
        <v>213</v>
      </c>
      <c r="FO1442" s="1" t="s">
        <v>213</v>
      </c>
      <c r="FQ1442" s="1" t="s">
        <v>913</v>
      </c>
      <c r="FR1442" s="1" t="s">
        <v>210</v>
      </c>
      <c r="FS1442" s="1" t="s">
        <v>14217</v>
      </c>
      <c r="FT1442" s="1" t="s">
        <v>362</v>
      </c>
      <c r="FU1442" s="1" t="s">
        <v>204</v>
      </c>
      <c r="FW1442" s="1" t="s">
        <v>915</v>
      </c>
      <c r="FX1442" s="1">
        <v>24042</v>
      </c>
      <c r="FY1442" s="1" t="s">
        <v>8521</v>
      </c>
      <c r="FZ1442" s="1" t="s">
        <v>14218</v>
      </c>
      <c r="GA1442" s="1">
        <v>245491</v>
      </c>
      <c r="GB1442" s="1" t="s">
        <v>14219</v>
      </c>
      <c r="GE1442" s="1" t="s">
        <v>658</v>
      </c>
      <c r="GI1442" s="1" t="s">
        <v>213</v>
      </c>
      <c r="GJ1442" s="1" t="s">
        <v>260</v>
      </c>
      <c r="GK1442" s="1" t="s">
        <v>210</v>
      </c>
      <c r="GL1442" s="2">
        <v>42128</v>
      </c>
      <c r="GM1442" s="1" t="s">
        <v>14220</v>
      </c>
    </row>
    <row r="1443" spans="1:195">
      <c r="A1443" s="1">
        <v>154500</v>
      </c>
      <c r="B1443" s="1" t="s">
        <v>195</v>
      </c>
      <c r="C1443" s="1" t="str">
        <f>"08864677"</f>
        <v>08864677</v>
      </c>
      <c r="D1443" s="1" t="s">
        <v>196</v>
      </c>
      <c r="F1443" s="1" t="str">
        <f>"30"</f>
        <v>30</v>
      </c>
      <c r="G1443" s="2">
        <v>42081</v>
      </c>
      <c r="H1443" s="1">
        <v>154900</v>
      </c>
      <c r="I1443" s="1">
        <v>154900</v>
      </c>
      <c r="J1443" s="1">
        <v>154500</v>
      </c>
      <c r="K1443" s="2">
        <v>42081</v>
      </c>
      <c r="L1443" s="1">
        <v>10</v>
      </c>
      <c r="M1443" s="2">
        <v>42090</v>
      </c>
      <c r="N1443" s="1">
        <v>10</v>
      </c>
      <c r="O1443" s="2">
        <v>42090</v>
      </c>
      <c r="P1443" s="1">
        <v>4694</v>
      </c>
      <c r="Q1443" s="1" t="s">
        <v>197</v>
      </c>
      <c r="R1443" s="2">
        <v>42132</v>
      </c>
      <c r="S1443" s="1">
        <v>38126</v>
      </c>
      <c r="T1443" s="1">
        <v>2500</v>
      </c>
      <c r="U1443" s="1">
        <v>957</v>
      </c>
      <c r="V1443" s="1" t="s">
        <v>14221</v>
      </c>
      <c r="W1443" s="1" t="s">
        <v>264</v>
      </c>
      <c r="Y1443" s="1">
        <v>6</v>
      </c>
      <c r="Z1443" s="1" t="s">
        <v>370</v>
      </c>
      <c r="AA1443" s="1" t="s">
        <v>1834</v>
      </c>
      <c r="AB1443" s="1">
        <v>60030</v>
      </c>
      <c r="AD1443" s="1" t="s">
        <v>14222</v>
      </c>
      <c r="AE1443" s="1" t="s">
        <v>14223</v>
      </c>
      <c r="AF1443" s="1">
        <v>2002</v>
      </c>
      <c r="AG1443" s="1" t="s">
        <v>204</v>
      </c>
      <c r="AH1443" s="1" t="s">
        <v>1837</v>
      </c>
      <c r="AI1443" s="1" t="s">
        <v>509</v>
      </c>
      <c r="AJ1443" s="1" t="s">
        <v>1263</v>
      </c>
      <c r="AK1443" s="1" t="s">
        <v>14224</v>
      </c>
      <c r="AL1443" s="1">
        <v>7</v>
      </c>
      <c r="AM1443" s="1">
        <v>2</v>
      </c>
      <c r="AN1443" s="1">
        <v>2</v>
      </c>
      <c r="AO1443" s="1">
        <v>1</v>
      </c>
      <c r="AP1443" s="1" t="s">
        <v>209</v>
      </c>
      <c r="AR1443" s="1" t="s">
        <v>2165</v>
      </c>
      <c r="AS1443" s="1" t="s">
        <v>204</v>
      </c>
      <c r="AT1443" s="1" t="s">
        <v>211</v>
      </c>
      <c r="AU1443" s="1">
        <v>2</v>
      </c>
      <c r="AW1443" s="1" t="s">
        <v>204</v>
      </c>
      <c r="AX1443" s="1" t="s">
        <v>14225</v>
      </c>
      <c r="AZ1443" s="1">
        <v>6636</v>
      </c>
      <c r="BA1443" s="1">
        <v>2014</v>
      </c>
      <c r="BE1443" s="1">
        <v>1728</v>
      </c>
      <c r="BF1443" s="1">
        <v>1</v>
      </c>
      <c r="BG1443" s="1">
        <v>0</v>
      </c>
      <c r="BL1443" s="1">
        <v>191</v>
      </c>
      <c r="BM1443" s="1" t="s">
        <v>204</v>
      </c>
      <c r="BN1443" s="1" t="s">
        <v>213</v>
      </c>
      <c r="BO1443" s="1">
        <v>999</v>
      </c>
      <c r="BP1443" s="1" t="s">
        <v>204</v>
      </c>
      <c r="BR1443" s="1" t="str">
        <f>"06234050980000"</f>
        <v>06234050980000</v>
      </c>
      <c r="BT1443" s="1" t="s">
        <v>14226</v>
      </c>
      <c r="BU1443" s="1" t="s">
        <v>14227</v>
      </c>
      <c r="BV1443" s="1" t="s">
        <v>1842</v>
      </c>
      <c r="BW1443" s="1" t="s">
        <v>2737</v>
      </c>
      <c r="BX1443" s="1">
        <v>46</v>
      </c>
      <c r="BY1443" s="1">
        <v>46</v>
      </c>
      <c r="BZ1443" s="1">
        <v>127</v>
      </c>
      <c r="CB1443" s="1" t="str">
        <f>"34"</f>
        <v>34</v>
      </c>
      <c r="CC1443" s="1" t="str">
        <f>"0"</f>
        <v>0</v>
      </c>
      <c r="CD1443" s="1">
        <v>20</v>
      </c>
      <c r="CE1443" s="1">
        <v>0</v>
      </c>
      <c r="CG1443" s="1" t="s">
        <v>757</v>
      </c>
      <c r="CH1443" s="1" t="s">
        <v>219</v>
      </c>
      <c r="CI1443" s="1" t="s">
        <v>220</v>
      </c>
      <c r="CK1443" s="1" t="s">
        <v>932</v>
      </c>
      <c r="CL1443" s="1" t="s">
        <v>277</v>
      </c>
      <c r="CM1443" s="1" t="s">
        <v>220</v>
      </c>
      <c r="CO1443" s="1" t="s">
        <v>2138</v>
      </c>
      <c r="CP1443" s="1" t="s">
        <v>219</v>
      </c>
      <c r="CQ1443" s="1" t="s">
        <v>220</v>
      </c>
      <c r="CS1443" s="1" t="s">
        <v>932</v>
      </c>
      <c r="CT1443" s="1" t="s">
        <v>277</v>
      </c>
      <c r="CU1443" s="1" t="s">
        <v>220</v>
      </c>
      <c r="CX1443" s="1" t="s">
        <v>224</v>
      </c>
      <c r="DB1443" s="1" t="s">
        <v>224</v>
      </c>
      <c r="DE1443" s="1" t="s">
        <v>1297</v>
      </c>
      <c r="DF1443" s="1" t="s">
        <v>219</v>
      </c>
      <c r="DG1443" s="1" t="s">
        <v>342</v>
      </c>
      <c r="DI1443" s="1" t="s">
        <v>461</v>
      </c>
      <c r="DJ1443" s="1" t="s">
        <v>822</v>
      </c>
      <c r="DK1443" s="1" t="s">
        <v>220</v>
      </c>
      <c r="DM1443" s="1" t="s">
        <v>381</v>
      </c>
      <c r="DN1443" s="1" t="s">
        <v>1771</v>
      </c>
      <c r="DR1443" s="1" t="s">
        <v>516</v>
      </c>
      <c r="DS1443" s="1" t="s">
        <v>219</v>
      </c>
      <c r="DT1443" s="1" t="s">
        <v>342</v>
      </c>
      <c r="DV1443" s="1" t="s">
        <v>6174</v>
      </c>
      <c r="DW1443" s="1" t="s">
        <v>277</v>
      </c>
      <c r="DX1443" s="1" t="s">
        <v>220</v>
      </c>
      <c r="EA1443" s="1" t="s">
        <v>230</v>
      </c>
      <c r="EE1443" s="1" t="s">
        <v>230</v>
      </c>
      <c r="EI1443" s="1" t="s">
        <v>230</v>
      </c>
      <c r="EL1443" s="1" t="s">
        <v>466</v>
      </c>
      <c r="EM1443" s="1" t="s">
        <v>319</v>
      </c>
      <c r="EN1443" s="1" t="s">
        <v>282</v>
      </c>
      <c r="EO1443" s="1" t="s">
        <v>234</v>
      </c>
      <c r="EP1443" s="1" t="s">
        <v>14228</v>
      </c>
      <c r="EQ1443" s="1" t="s">
        <v>236</v>
      </c>
      <c r="ER1443" s="1" t="s">
        <v>544</v>
      </c>
      <c r="ES1443" s="1" t="s">
        <v>322</v>
      </c>
      <c r="EU1443" s="1" t="s">
        <v>712</v>
      </c>
      <c r="EV1443" s="1" t="s">
        <v>240</v>
      </c>
      <c r="EW1443" s="1" t="s">
        <v>5806</v>
      </c>
      <c r="EY1443" s="1" t="s">
        <v>242</v>
      </c>
      <c r="EZ1443" s="1" t="s">
        <v>14133</v>
      </c>
      <c r="FA1443" s="1" t="s">
        <v>1554</v>
      </c>
      <c r="FB1443" s="1" t="s">
        <v>289</v>
      </c>
      <c r="FD1443" s="1" t="s">
        <v>246</v>
      </c>
      <c r="FE1443" s="1" t="s">
        <v>472</v>
      </c>
      <c r="FF1443" s="1" t="s">
        <v>248</v>
      </c>
      <c r="FH1443" s="1" t="s">
        <v>1428</v>
      </c>
      <c r="FI1443" s="1" t="s">
        <v>473</v>
      </c>
      <c r="FL1443" s="1" t="s">
        <v>358</v>
      </c>
      <c r="FM1443" s="1" t="s">
        <v>252</v>
      </c>
      <c r="FN1443" s="1" t="s">
        <v>213</v>
      </c>
      <c r="FO1443" s="1" t="s">
        <v>213</v>
      </c>
      <c r="FQ1443" s="1" t="s">
        <v>14229</v>
      </c>
      <c r="FR1443" s="1" t="s">
        <v>210</v>
      </c>
      <c r="FS1443" s="1" t="s">
        <v>443</v>
      </c>
      <c r="FT1443" s="1" t="s">
        <v>1139</v>
      </c>
      <c r="FU1443" s="1" t="s">
        <v>204</v>
      </c>
      <c r="FW1443" s="1" t="s">
        <v>1275</v>
      </c>
      <c r="FX1443" s="1">
        <v>2700</v>
      </c>
      <c r="FY1443" s="1" t="s">
        <v>1276</v>
      </c>
      <c r="FZ1443" s="1" t="s">
        <v>14230</v>
      </c>
      <c r="GA1443" s="1">
        <v>19245</v>
      </c>
      <c r="GB1443" s="1" t="s">
        <v>14231</v>
      </c>
      <c r="GE1443" s="1" t="s">
        <v>210</v>
      </c>
      <c r="GI1443" s="1" t="s">
        <v>213</v>
      </c>
      <c r="GJ1443" s="1" t="s">
        <v>260</v>
      </c>
      <c r="GK1443" s="1" t="s">
        <v>210</v>
      </c>
      <c r="GL1443" s="2">
        <v>42136</v>
      </c>
      <c r="GM1443" s="1" t="s">
        <v>14232</v>
      </c>
    </row>
    <row r="1444" spans="1:195">
      <c r="A1444" s="1">
        <v>75200</v>
      </c>
      <c r="B1444" s="1" t="s">
        <v>195</v>
      </c>
      <c r="C1444" s="1" t="str">
        <f>"08863972"</f>
        <v>08863972</v>
      </c>
      <c r="D1444" s="1" t="s">
        <v>196</v>
      </c>
      <c r="F1444" s="1" t="str">
        <f>"555"</f>
        <v>555</v>
      </c>
      <c r="G1444" s="2">
        <v>42080</v>
      </c>
      <c r="H1444" s="1">
        <v>59800</v>
      </c>
      <c r="I1444" s="1">
        <v>59800</v>
      </c>
      <c r="J1444" s="1">
        <v>75200</v>
      </c>
      <c r="K1444" s="2">
        <v>42080</v>
      </c>
      <c r="L1444" s="1">
        <v>11</v>
      </c>
      <c r="M1444" s="2">
        <v>42090</v>
      </c>
      <c r="N1444" s="1">
        <v>11</v>
      </c>
      <c r="O1444" s="2">
        <v>42090</v>
      </c>
      <c r="P1444" s="1">
        <v>24641</v>
      </c>
      <c r="Q1444" s="1" t="s">
        <v>14233</v>
      </c>
      <c r="R1444" s="2">
        <v>42129</v>
      </c>
      <c r="S1444" s="1">
        <v>222481</v>
      </c>
      <c r="U1444" s="1" t="s">
        <v>14234</v>
      </c>
      <c r="V1444" s="1" t="s">
        <v>2134</v>
      </c>
      <c r="W1444" s="1" t="s">
        <v>449</v>
      </c>
      <c r="X1444" s="1">
        <v>3</v>
      </c>
      <c r="Y1444" s="1">
        <v>4</v>
      </c>
      <c r="Z1444" s="1" t="s">
        <v>370</v>
      </c>
      <c r="AA1444" s="1" t="s">
        <v>984</v>
      </c>
      <c r="AB1444" s="1">
        <v>60555</v>
      </c>
      <c r="AD1444" s="1" t="s">
        <v>983</v>
      </c>
      <c r="AE1444" s="1" t="s">
        <v>14235</v>
      </c>
      <c r="AF1444" s="1">
        <v>1974</v>
      </c>
      <c r="AG1444" s="1" t="s">
        <v>213</v>
      </c>
      <c r="AH1444" s="1" t="s">
        <v>986</v>
      </c>
      <c r="AI1444" s="1" t="s">
        <v>206</v>
      </c>
      <c r="AJ1444" s="1" t="s">
        <v>987</v>
      </c>
      <c r="AL1444" s="1">
        <v>6</v>
      </c>
      <c r="AM1444" s="1">
        <v>2</v>
      </c>
      <c r="AN1444" s="1">
        <v>1</v>
      </c>
      <c r="AO1444" s="1">
        <v>0</v>
      </c>
      <c r="AP1444" s="1" t="s">
        <v>210</v>
      </c>
      <c r="AR1444" s="1" t="s">
        <v>209</v>
      </c>
      <c r="AS1444" s="1" t="s">
        <v>213</v>
      </c>
      <c r="AT1444" s="1" t="s">
        <v>211</v>
      </c>
      <c r="AU1444" s="1">
        <v>1</v>
      </c>
      <c r="AW1444" s="1" t="s">
        <v>204</v>
      </c>
      <c r="AX1444" s="1" t="s">
        <v>212</v>
      </c>
      <c r="AZ1444" s="1">
        <v>1676.14</v>
      </c>
      <c r="BA1444" s="1">
        <v>2013</v>
      </c>
      <c r="BE1444" s="1">
        <v>966</v>
      </c>
      <c r="BF1444" s="1">
        <v>1</v>
      </c>
      <c r="BG1444" s="1">
        <v>0</v>
      </c>
      <c r="BL1444" s="1">
        <v>200</v>
      </c>
      <c r="BM1444" s="1" t="s">
        <v>204</v>
      </c>
      <c r="BN1444" s="1" t="s">
        <v>213</v>
      </c>
      <c r="BO1444" s="1">
        <v>99</v>
      </c>
      <c r="BP1444" s="1" t="s">
        <v>204</v>
      </c>
      <c r="BR1444" s="1" t="str">
        <f>"0427307011"</f>
        <v>0427307011</v>
      </c>
      <c r="BT1444" s="1" t="s">
        <v>14236</v>
      </c>
      <c r="BX1444" s="1">
        <v>200</v>
      </c>
      <c r="BY1444" s="1">
        <v>200</v>
      </c>
      <c r="BZ1444" s="1">
        <v>200</v>
      </c>
      <c r="CB1444" s="1" t="str">
        <f t="shared" ref="CB1444:CC1444" si="1099">"0"</f>
        <v>0</v>
      </c>
      <c r="CC1444" s="1" t="str">
        <f t="shared" si="1099"/>
        <v>0</v>
      </c>
      <c r="CD1444" s="1">
        <v>29</v>
      </c>
      <c r="CE1444" s="1">
        <v>2</v>
      </c>
      <c r="CG1444" s="1" t="s">
        <v>729</v>
      </c>
      <c r="CH1444" s="1" t="s">
        <v>219</v>
      </c>
      <c r="CK1444" s="1" t="s">
        <v>223</v>
      </c>
      <c r="CL1444" s="1" t="s">
        <v>277</v>
      </c>
      <c r="CO1444" s="1" t="s">
        <v>489</v>
      </c>
      <c r="CP1444" s="1" t="s">
        <v>219</v>
      </c>
      <c r="CS1444" s="1" t="s">
        <v>346</v>
      </c>
      <c r="CT1444" s="1" t="s">
        <v>277</v>
      </c>
      <c r="CX1444" s="1" t="s">
        <v>224</v>
      </c>
      <c r="DB1444" s="1" t="s">
        <v>224</v>
      </c>
      <c r="DE1444" s="1" t="s">
        <v>489</v>
      </c>
      <c r="DF1444" s="1" t="s">
        <v>219</v>
      </c>
      <c r="DI1444" s="1" t="s">
        <v>379</v>
      </c>
      <c r="DJ1444" s="1" t="s">
        <v>43</v>
      </c>
      <c r="DS1444" s="1" t="s">
        <v>230</v>
      </c>
      <c r="DW1444" s="1" t="s">
        <v>230</v>
      </c>
      <c r="EA1444" s="1" t="s">
        <v>230</v>
      </c>
      <c r="EE1444" s="1" t="s">
        <v>230</v>
      </c>
      <c r="EI1444" s="1" t="s">
        <v>230</v>
      </c>
      <c r="EL1444" s="1" t="s">
        <v>605</v>
      </c>
      <c r="EM1444" s="1" t="s">
        <v>232</v>
      </c>
      <c r="EN1444" s="1" t="s">
        <v>282</v>
      </c>
      <c r="EO1444" s="1" t="s">
        <v>234</v>
      </c>
      <c r="ER1444" s="1" t="s">
        <v>351</v>
      </c>
      <c r="EW1444" s="1" t="s">
        <v>353</v>
      </c>
      <c r="EZ1444" s="1" t="s">
        <v>287</v>
      </c>
      <c r="FD1444" s="1" t="s">
        <v>246</v>
      </c>
      <c r="FE1444" s="1" t="s">
        <v>870</v>
      </c>
      <c r="FF1444" s="1" t="s">
        <v>248</v>
      </c>
      <c r="FH1444" s="1" t="s">
        <v>356</v>
      </c>
      <c r="FL1444" s="1" t="s">
        <v>414</v>
      </c>
      <c r="FM1444" s="1" t="s">
        <v>252</v>
      </c>
      <c r="FN1444" s="1" t="s">
        <v>213</v>
      </c>
      <c r="FO1444" s="1" t="s">
        <v>213</v>
      </c>
      <c r="FQ1444" s="1" t="s">
        <v>582</v>
      </c>
      <c r="FR1444" s="1" t="s">
        <v>210</v>
      </c>
      <c r="FS1444" s="1" t="s">
        <v>2624</v>
      </c>
      <c r="FT1444" s="1" t="s">
        <v>295</v>
      </c>
      <c r="FU1444" s="1" t="s">
        <v>204</v>
      </c>
      <c r="FW1444" s="1" t="s">
        <v>2845</v>
      </c>
      <c r="FX1444" s="1">
        <v>5293</v>
      </c>
      <c r="FY1444" s="1" t="s">
        <v>2846</v>
      </c>
      <c r="FZ1444" s="1" t="s">
        <v>2847</v>
      </c>
      <c r="GA1444" s="1">
        <v>53957</v>
      </c>
      <c r="GE1444" s="1" t="s">
        <v>210</v>
      </c>
      <c r="GI1444" s="1" t="s">
        <v>204</v>
      </c>
      <c r="GJ1444" s="1" t="s">
        <v>260</v>
      </c>
      <c r="GK1444" s="1" t="s">
        <v>210</v>
      </c>
      <c r="GL1444" s="2">
        <v>42132</v>
      </c>
      <c r="GM1444" s="1" t="s">
        <v>14237</v>
      </c>
    </row>
    <row r="1445" spans="1:195">
      <c r="A1445" s="1">
        <v>295000</v>
      </c>
      <c r="B1445" s="1" t="s">
        <v>195</v>
      </c>
      <c r="C1445" s="1" t="str">
        <f>"08866961"</f>
        <v>08866961</v>
      </c>
      <c r="D1445" s="1" t="s">
        <v>196</v>
      </c>
      <c r="F1445" s="1" t="str">
        <f>"540"</f>
        <v>540</v>
      </c>
      <c r="G1445" s="2">
        <v>42083</v>
      </c>
      <c r="H1445" s="1">
        <v>305000</v>
      </c>
      <c r="I1445" s="1">
        <v>305000</v>
      </c>
      <c r="J1445" s="1">
        <v>295000</v>
      </c>
      <c r="K1445" s="2">
        <v>42082</v>
      </c>
      <c r="L1445" s="1">
        <v>11</v>
      </c>
      <c r="M1445" s="2">
        <v>42092</v>
      </c>
      <c r="N1445" s="1">
        <v>11</v>
      </c>
      <c r="O1445" s="2">
        <v>42092</v>
      </c>
      <c r="P1445" s="1">
        <v>23076</v>
      </c>
      <c r="Q1445" s="1" t="s">
        <v>302</v>
      </c>
      <c r="R1445" s="2">
        <v>42124</v>
      </c>
      <c r="S1445" s="1">
        <v>232128</v>
      </c>
      <c r="U1445" s="1">
        <v>311</v>
      </c>
      <c r="V1445" s="1" t="s">
        <v>14238</v>
      </c>
      <c r="W1445" s="1" t="s">
        <v>304</v>
      </c>
      <c r="Y1445" s="1" t="s">
        <v>432</v>
      </c>
      <c r="Z1445" s="1" t="s">
        <v>370</v>
      </c>
      <c r="AA1445" s="1" t="s">
        <v>921</v>
      </c>
      <c r="AB1445" s="1">
        <v>60540</v>
      </c>
      <c r="AD1445" s="1" t="s">
        <v>14239</v>
      </c>
      <c r="AE1445" s="1" t="s">
        <v>14240</v>
      </c>
      <c r="AF1445" s="1">
        <v>1991</v>
      </c>
      <c r="AG1445" s="1" t="s">
        <v>204</v>
      </c>
      <c r="AH1445" s="1" t="s">
        <v>924</v>
      </c>
      <c r="AI1445" s="1" t="s">
        <v>206</v>
      </c>
      <c r="AJ1445" s="1" t="s">
        <v>925</v>
      </c>
      <c r="AL1445" s="1">
        <v>6</v>
      </c>
      <c r="AM1445" s="1">
        <v>2</v>
      </c>
      <c r="AN1445" s="1">
        <v>2</v>
      </c>
      <c r="AO1445" s="1">
        <v>1</v>
      </c>
      <c r="AP1445" s="1" t="s">
        <v>209</v>
      </c>
      <c r="AQ1445" s="1">
        <v>1</v>
      </c>
      <c r="AR1445" s="1" t="s">
        <v>209</v>
      </c>
      <c r="AS1445" s="1" t="s">
        <v>204</v>
      </c>
      <c r="AT1445" s="1" t="s">
        <v>211</v>
      </c>
      <c r="AU1445" s="1">
        <v>2</v>
      </c>
      <c r="AW1445" s="1" t="s">
        <v>204</v>
      </c>
      <c r="AX1445" s="1">
        <v>2345</v>
      </c>
      <c r="AZ1445" s="1">
        <v>5262</v>
      </c>
      <c r="BA1445" s="1">
        <v>2013</v>
      </c>
      <c r="BB1445" s="1" t="s">
        <v>405</v>
      </c>
      <c r="BE1445" s="1">
        <v>1476</v>
      </c>
      <c r="BF1445" s="1">
        <v>1</v>
      </c>
      <c r="BG1445" s="1">
        <v>30</v>
      </c>
      <c r="BL1445" s="1">
        <v>210</v>
      </c>
      <c r="BM1445" s="1" t="s">
        <v>204</v>
      </c>
      <c r="BN1445" s="1" t="s">
        <v>213</v>
      </c>
      <c r="BO1445" s="1" t="s">
        <v>432</v>
      </c>
      <c r="BP1445" s="1" t="s">
        <v>204</v>
      </c>
      <c r="BR1445" s="1" t="str">
        <f>"0818221116"</f>
        <v>0818221116</v>
      </c>
      <c r="BT1445" s="1" t="s">
        <v>14241</v>
      </c>
      <c r="BU1445" s="1" t="s">
        <v>2495</v>
      </c>
      <c r="BV1445" s="1" t="s">
        <v>4937</v>
      </c>
      <c r="BW1445" s="1" t="s">
        <v>2825</v>
      </c>
      <c r="BX1445" s="1">
        <v>203</v>
      </c>
      <c r="BY1445" s="1">
        <v>203</v>
      </c>
      <c r="BZ1445" s="1">
        <v>203</v>
      </c>
      <c r="CB1445" s="1" t="str">
        <f t="shared" ref="CB1445:CC1445" si="1100">""</f>
        <v/>
      </c>
      <c r="CC1445" s="1" t="str">
        <f t="shared" si="1100"/>
        <v/>
      </c>
      <c r="CG1445" s="1" t="s">
        <v>14242</v>
      </c>
      <c r="CH1445" s="1" t="s">
        <v>219</v>
      </c>
      <c r="CI1445" s="1" t="s">
        <v>438</v>
      </c>
      <c r="CJ1445" s="1" t="s">
        <v>343</v>
      </c>
      <c r="CK1445" s="1" t="s">
        <v>1200</v>
      </c>
      <c r="CL1445" s="1" t="s">
        <v>277</v>
      </c>
      <c r="CM1445" s="1" t="s">
        <v>220</v>
      </c>
      <c r="CN1445" s="1" t="s">
        <v>343</v>
      </c>
      <c r="CO1445" s="1" t="s">
        <v>629</v>
      </c>
      <c r="CP1445" s="1" t="s">
        <v>219</v>
      </c>
      <c r="CQ1445" s="1" t="s">
        <v>438</v>
      </c>
      <c r="CR1445" s="1" t="s">
        <v>463</v>
      </c>
      <c r="CS1445" s="1" t="s">
        <v>2170</v>
      </c>
      <c r="CT1445" s="1" t="s">
        <v>277</v>
      </c>
      <c r="CU1445" s="1" t="s">
        <v>220</v>
      </c>
      <c r="CV1445" s="1" t="s">
        <v>343</v>
      </c>
      <c r="CX1445" s="1" t="s">
        <v>224</v>
      </c>
      <c r="DB1445" s="1" t="s">
        <v>224</v>
      </c>
      <c r="DE1445" s="1" t="s">
        <v>4435</v>
      </c>
      <c r="DF1445" s="1" t="s">
        <v>219</v>
      </c>
      <c r="DG1445" s="1" t="s">
        <v>438</v>
      </c>
      <c r="DH1445" s="1" t="s">
        <v>343</v>
      </c>
      <c r="DI1445" s="1" t="s">
        <v>9111</v>
      </c>
      <c r="DJ1445" s="1" t="s">
        <v>822</v>
      </c>
      <c r="DK1445" s="1" t="s">
        <v>220</v>
      </c>
      <c r="DL1445" s="1" t="s">
        <v>343</v>
      </c>
      <c r="DM1445" s="1" t="s">
        <v>1771</v>
      </c>
      <c r="DR1445" s="1" t="s">
        <v>14243</v>
      </c>
      <c r="DS1445" s="1" t="s">
        <v>277</v>
      </c>
      <c r="DT1445" s="1" t="s">
        <v>220</v>
      </c>
      <c r="DU1445" s="1" t="s">
        <v>210</v>
      </c>
      <c r="DW1445" s="1" t="s">
        <v>230</v>
      </c>
      <c r="EA1445" s="1" t="s">
        <v>230</v>
      </c>
      <c r="EE1445" s="1" t="s">
        <v>230</v>
      </c>
      <c r="EI1445" s="1" t="s">
        <v>230</v>
      </c>
      <c r="EL1445" s="1" t="s">
        <v>382</v>
      </c>
      <c r="EM1445" s="1" t="s">
        <v>730</v>
      </c>
      <c r="EN1445" s="1" t="s">
        <v>282</v>
      </c>
      <c r="EO1445" s="1" t="s">
        <v>234</v>
      </c>
      <c r="EQ1445" s="1" t="s">
        <v>671</v>
      </c>
      <c r="ER1445" s="1" t="s">
        <v>544</v>
      </c>
      <c r="ES1445" s="1" t="s">
        <v>824</v>
      </c>
      <c r="ET1445" s="1" t="s">
        <v>1201</v>
      </c>
      <c r="EV1445" s="1" t="s">
        <v>240</v>
      </c>
      <c r="EW1445" s="1" t="s">
        <v>353</v>
      </c>
      <c r="EY1445" s="1" t="s">
        <v>242</v>
      </c>
      <c r="EZ1445" s="1" t="s">
        <v>1771</v>
      </c>
      <c r="FA1445" s="1" t="s">
        <v>7047</v>
      </c>
      <c r="FB1445" s="1" t="s">
        <v>289</v>
      </c>
      <c r="FC1445" s="1" t="s">
        <v>1386</v>
      </c>
      <c r="FD1445" s="1" t="s">
        <v>246</v>
      </c>
      <c r="FE1445" s="1" t="s">
        <v>549</v>
      </c>
      <c r="FF1445" s="1" t="s">
        <v>248</v>
      </c>
      <c r="FG1445" s="1" t="s">
        <v>10870</v>
      </c>
      <c r="FH1445" s="1" t="s">
        <v>550</v>
      </c>
      <c r="FI1445" s="1" t="s">
        <v>473</v>
      </c>
      <c r="FL1445" s="1" t="s">
        <v>358</v>
      </c>
      <c r="FM1445" s="1" t="s">
        <v>252</v>
      </c>
      <c r="FN1445" s="1" t="s">
        <v>213</v>
      </c>
      <c r="FO1445" s="1" t="s">
        <v>204</v>
      </c>
      <c r="FQ1445" s="1" t="s">
        <v>4088</v>
      </c>
      <c r="FR1445" s="1" t="s">
        <v>210</v>
      </c>
      <c r="FS1445" s="1" t="s">
        <v>14244</v>
      </c>
      <c r="FT1445" s="1" t="s">
        <v>12925</v>
      </c>
      <c r="FU1445" s="1" t="s">
        <v>204</v>
      </c>
      <c r="FW1445" s="1" t="s">
        <v>1898</v>
      </c>
      <c r="FX1445" s="1">
        <v>23030</v>
      </c>
      <c r="FY1445" s="1" t="s">
        <v>1899</v>
      </c>
      <c r="FZ1445" s="1" t="s">
        <v>14245</v>
      </c>
      <c r="GA1445" s="1">
        <v>221325</v>
      </c>
      <c r="GB1445" s="1" t="s">
        <v>14246</v>
      </c>
      <c r="GD1445" s="1" t="s">
        <v>14247</v>
      </c>
      <c r="GE1445" s="1" t="s">
        <v>1187</v>
      </c>
      <c r="GI1445" s="1" t="s">
        <v>213</v>
      </c>
      <c r="GJ1445" s="1" t="s">
        <v>260</v>
      </c>
      <c r="GK1445" s="1" t="s">
        <v>261</v>
      </c>
      <c r="GL1445" s="2">
        <v>42124</v>
      </c>
      <c r="GM1445" s="1" t="s">
        <v>14248</v>
      </c>
    </row>
    <row r="1446" spans="1:195">
      <c r="A1446" s="1">
        <v>90000</v>
      </c>
      <c r="B1446" s="1" t="s">
        <v>195</v>
      </c>
      <c r="C1446" s="1" t="str">
        <f>"08872915"</f>
        <v>08872915</v>
      </c>
      <c r="D1446" s="1" t="s">
        <v>196</v>
      </c>
      <c r="F1446" s="1" t="str">
        <f>"61"</f>
        <v>61</v>
      </c>
      <c r="G1446" s="2">
        <v>42089</v>
      </c>
      <c r="H1446" s="1">
        <v>94900</v>
      </c>
      <c r="I1446" s="1">
        <v>94900</v>
      </c>
      <c r="J1446" s="1">
        <v>90000</v>
      </c>
      <c r="K1446" s="2">
        <v>42089</v>
      </c>
      <c r="L1446" s="1">
        <v>2</v>
      </c>
      <c r="M1446" s="2">
        <v>42090</v>
      </c>
      <c r="N1446" s="1">
        <v>2</v>
      </c>
      <c r="O1446" s="2">
        <v>42090</v>
      </c>
      <c r="P1446" s="1">
        <v>3718</v>
      </c>
      <c r="Q1446" s="1" t="s">
        <v>302</v>
      </c>
      <c r="R1446" s="2">
        <v>42109</v>
      </c>
      <c r="S1446" s="1">
        <v>36034</v>
      </c>
      <c r="U1446" s="1">
        <v>800</v>
      </c>
      <c r="V1446" s="1" t="s">
        <v>9999</v>
      </c>
      <c r="W1446" s="1" t="s">
        <v>264</v>
      </c>
      <c r="X1446" s="1" t="s">
        <v>265</v>
      </c>
      <c r="Y1446" s="1">
        <v>12</v>
      </c>
      <c r="Z1446" s="1" t="s">
        <v>370</v>
      </c>
      <c r="AA1446" s="1" t="s">
        <v>505</v>
      </c>
      <c r="AB1446" s="1">
        <v>60061</v>
      </c>
      <c r="AD1446" s="1" t="s">
        <v>14249</v>
      </c>
      <c r="AE1446" s="1" t="s">
        <v>14250</v>
      </c>
      <c r="AF1446" s="1">
        <v>1995</v>
      </c>
      <c r="AG1446" s="1" t="s">
        <v>204</v>
      </c>
      <c r="AH1446" s="1" t="s">
        <v>508</v>
      </c>
      <c r="AI1446" s="1" t="s">
        <v>509</v>
      </c>
      <c r="AJ1446" s="1" t="s">
        <v>510</v>
      </c>
      <c r="AL1446" s="1">
        <v>5</v>
      </c>
      <c r="AM1446" s="1">
        <v>2</v>
      </c>
      <c r="AN1446" s="1">
        <v>1</v>
      </c>
      <c r="AO1446" s="1">
        <v>0</v>
      </c>
      <c r="AP1446" s="1" t="s">
        <v>455</v>
      </c>
      <c r="AR1446" s="1" t="s">
        <v>210</v>
      </c>
      <c r="AS1446" s="1" t="s">
        <v>204</v>
      </c>
      <c r="AT1446" s="1" t="s">
        <v>271</v>
      </c>
      <c r="AV1446" s="1">
        <v>2</v>
      </c>
      <c r="AW1446" s="1" t="s">
        <v>204</v>
      </c>
      <c r="AX1446" s="1" t="s">
        <v>212</v>
      </c>
      <c r="AZ1446" s="1">
        <v>1388.78</v>
      </c>
      <c r="BA1446" s="1">
        <v>2013</v>
      </c>
      <c r="BB1446" s="1" t="s">
        <v>599</v>
      </c>
      <c r="BE1446" s="1">
        <v>830</v>
      </c>
      <c r="BF1446" s="1">
        <v>2</v>
      </c>
      <c r="BG1446" s="1">
        <v>0</v>
      </c>
      <c r="BL1446" s="1">
        <v>230</v>
      </c>
      <c r="BM1446" s="1" t="s">
        <v>413</v>
      </c>
      <c r="BN1446" s="1" t="s">
        <v>213</v>
      </c>
      <c r="BO1446" s="1">
        <v>50</v>
      </c>
      <c r="BP1446" s="1" t="s">
        <v>204</v>
      </c>
      <c r="BR1446" s="1" t="str">
        <f>"15072000720000"</f>
        <v>15072000720000</v>
      </c>
      <c r="BT1446" s="1" t="s">
        <v>14251</v>
      </c>
      <c r="BW1446" s="1" t="s">
        <v>1532</v>
      </c>
      <c r="BX1446" s="1">
        <v>96</v>
      </c>
      <c r="BY1446" s="1">
        <v>96</v>
      </c>
      <c r="BZ1446" s="1">
        <v>125</v>
      </c>
      <c r="CB1446" s="1" t="str">
        <f t="shared" ref="CB1446:CC1446" si="1101">""</f>
        <v/>
      </c>
      <c r="CC1446" s="1" t="str">
        <f t="shared" si="1101"/>
        <v/>
      </c>
      <c r="CG1446" s="1" t="s">
        <v>2121</v>
      </c>
      <c r="CH1446" s="1" t="s">
        <v>277</v>
      </c>
      <c r="CI1446" s="1" t="s">
        <v>220</v>
      </c>
      <c r="CJ1446" s="1" t="s">
        <v>252</v>
      </c>
      <c r="CK1446" s="1" t="s">
        <v>3083</v>
      </c>
      <c r="CL1446" s="1" t="s">
        <v>277</v>
      </c>
      <c r="CM1446" s="1" t="s">
        <v>220</v>
      </c>
      <c r="CN1446" s="1" t="s">
        <v>252</v>
      </c>
      <c r="CO1446" s="1" t="s">
        <v>516</v>
      </c>
      <c r="CP1446" s="1" t="s">
        <v>277</v>
      </c>
      <c r="CQ1446" s="1" t="s">
        <v>220</v>
      </c>
      <c r="CS1446" s="1" t="s">
        <v>1046</v>
      </c>
      <c r="CT1446" s="1" t="s">
        <v>277</v>
      </c>
      <c r="CU1446" s="1" t="s">
        <v>220</v>
      </c>
      <c r="CV1446" s="1" t="s">
        <v>252</v>
      </c>
      <c r="CX1446" s="1" t="s">
        <v>224</v>
      </c>
      <c r="DB1446" s="1" t="s">
        <v>224</v>
      </c>
      <c r="DE1446" s="1" t="s">
        <v>348</v>
      </c>
      <c r="DF1446" s="1" t="s">
        <v>277</v>
      </c>
      <c r="DG1446" s="1" t="s">
        <v>342</v>
      </c>
      <c r="DJ1446" s="1" t="s">
        <v>224</v>
      </c>
      <c r="DM1446" s="1" t="s">
        <v>838</v>
      </c>
      <c r="DR1446" s="1" t="s">
        <v>9678</v>
      </c>
      <c r="DS1446" s="1" t="s">
        <v>277</v>
      </c>
      <c r="DT1446" s="1" t="s">
        <v>438</v>
      </c>
      <c r="DW1446" s="1" t="s">
        <v>230</v>
      </c>
      <c r="EA1446" s="1" t="s">
        <v>230</v>
      </c>
      <c r="EE1446" s="1" t="s">
        <v>230</v>
      </c>
      <c r="EI1446" s="1" t="s">
        <v>230</v>
      </c>
      <c r="EL1446" s="1" t="s">
        <v>670</v>
      </c>
      <c r="EM1446" s="1" t="s">
        <v>319</v>
      </c>
      <c r="EN1446" s="1" t="s">
        <v>1158</v>
      </c>
      <c r="EO1446" s="1" t="s">
        <v>234</v>
      </c>
      <c r="EP1446" s="1" t="s">
        <v>650</v>
      </c>
      <c r="EQ1446" s="1" t="s">
        <v>492</v>
      </c>
      <c r="ER1446" s="1" t="s">
        <v>210</v>
      </c>
      <c r="ES1446" s="1" t="s">
        <v>3719</v>
      </c>
      <c r="EU1446" s="1" t="s">
        <v>712</v>
      </c>
      <c r="EV1446" s="1" t="s">
        <v>324</v>
      </c>
      <c r="EW1446" s="1" t="s">
        <v>14252</v>
      </c>
      <c r="EY1446" s="1" t="s">
        <v>242</v>
      </c>
      <c r="EZ1446" s="1" t="s">
        <v>838</v>
      </c>
      <c r="FA1446" s="1" t="s">
        <v>714</v>
      </c>
      <c r="FB1446" s="1" t="s">
        <v>289</v>
      </c>
      <c r="FD1446" s="1" t="s">
        <v>290</v>
      </c>
      <c r="FE1446" s="1" t="s">
        <v>247</v>
      </c>
      <c r="FF1446" s="1" t="s">
        <v>248</v>
      </c>
      <c r="FH1446" s="1" t="s">
        <v>249</v>
      </c>
      <c r="FJ1446" s="1" t="s">
        <v>518</v>
      </c>
      <c r="FK1446" s="1" t="s">
        <v>4663</v>
      </c>
      <c r="FL1446" s="1" t="s">
        <v>292</v>
      </c>
      <c r="FM1446" s="1" t="s">
        <v>252</v>
      </c>
      <c r="FN1446" s="1" t="s">
        <v>213</v>
      </c>
      <c r="FO1446" s="1" t="s">
        <v>213</v>
      </c>
      <c r="FQ1446" s="1" t="s">
        <v>1758</v>
      </c>
      <c r="FR1446" s="1" t="s">
        <v>210</v>
      </c>
      <c r="FS1446" s="1" t="s">
        <v>14253</v>
      </c>
      <c r="FT1446" s="1" t="s">
        <v>295</v>
      </c>
      <c r="FU1446" s="1" t="s">
        <v>204</v>
      </c>
      <c r="FW1446" s="1" t="s">
        <v>1097</v>
      </c>
      <c r="FX1446" s="1">
        <v>5338</v>
      </c>
      <c r="FY1446" s="1" t="s">
        <v>13934</v>
      </c>
      <c r="FZ1446" s="1" t="s">
        <v>14254</v>
      </c>
      <c r="GA1446" s="1">
        <v>54519</v>
      </c>
      <c r="GB1446" s="1" t="s">
        <v>14255</v>
      </c>
      <c r="GC1446" s="1">
        <v>52165</v>
      </c>
      <c r="GE1446" s="1" t="s">
        <v>480</v>
      </c>
      <c r="GH1446" s="1" t="s">
        <v>230</v>
      </c>
      <c r="GI1446" s="1" t="s">
        <v>213</v>
      </c>
      <c r="GJ1446" s="1" t="s">
        <v>260</v>
      </c>
      <c r="GK1446" s="1" t="s">
        <v>210</v>
      </c>
      <c r="GL1446" s="2">
        <v>42109</v>
      </c>
    </row>
    <row r="1447" spans="1:195">
      <c r="A1447" s="1">
        <v>149500</v>
      </c>
      <c r="B1447" s="1" t="s">
        <v>195</v>
      </c>
      <c r="C1447" s="1" t="str">
        <f>"08870098"</f>
        <v>08870098</v>
      </c>
      <c r="D1447" s="1" t="s">
        <v>196</v>
      </c>
      <c r="F1447" s="1" t="str">
        <f>"540"</f>
        <v>540</v>
      </c>
      <c r="G1447" s="2">
        <v>42087</v>
      </c>
      <c r="H1447" s="1">
        <v>149999</v>
      </c>
      <c r="I1447" s="1">
        <v>149999</v>
      </c>
      <c r="J1447" s="1">
        <v>149500</v>
      </c>
      <c r="K1447" s="2">
        <v>42087</v>
      </c>
      <c r="L1447" s="1">
        <v>3</v>
      </c>
      <c r="M1447" s="2">
        <v>42089</v>
      </c>
      <c r="N1447" s="1">
        <v>3</v>
      </c>
      <c r="O1447" s="2">
        <v>42089</v>
      </c>
      <c r="P1447" s="1">
        <v>25769</v>
      </c>
      <c r="Q1447" s="1" t="s">
        <v>197</v>
      </c>
      <c r="R1447" s="2">
        <v>42132</v>
      </c>
      <c r="S1447" s="1">
        <v>242794</v>
      </c>
      <c r="U1447" s="1">
        <v>2424</v>
      </c>
      <c r="V1447" s="1" t="s">
        <v>14256</v>
      </c>
      <c r="W1447" s="1" t="s">
        <v>504</v>
      </c>
      <c r="Y1447" s="1">
        <v>6</v>
      </c>
      <c r="Z1447" s="1" t="s">
        <v>249</v>
      </c>
      <c r="AA1447" s="1" t="s">
        <v>921</v>
      </c>
      <c r="AB1447" s="1">
        <v>60563</v>
      </c>
      <c r="AD1447" s="1" t="s">
        <v>14257</v>
      </c>
      <c r="AE1447" s="1" t="s">
        <v>14258</v>
      </c>
      <c r="AF1447" s="1">
        <v>2000</v>
      </c>
      <c r="AG1447" s="1" t="s">
        <v>204</v>
      </c>
      <c r="AH1447" s="1" t="s">
        <v>924</v>
      </c>
      <c r="AI1447" s="1" t="s">
        <v>206</v>
      </c>
      <c r="AJ1447" s="1" t="s">
        <v>924</v>
      </c>
      <c r="AK1447" s="1" t="s">
        <v>7413</v>
      </c>
      <c r="AL1447" s="1">
        <v>6</v>
      </c>
      <c r="AM1447" s="1">
        <v>2</v>
      </c>
      <c r="AN1447" s="1">
        <v>1</v>
      </c>
      <c r="AO1447" s="1">
        <v>1</v>
      </c>
      <c r="AP1447" s="1" t="s">
        <v>455</v>
      </c>
      <c r="AQ1447" s="1">
        <v>1</v>
      </c>
      <c r="AR1447" s="1" t="s">
        <v>210</v>
      </c>
      <c r="AS1447" s="1" t="s">
        <v>204</v>
      </c>
      <c r="AT1447" s="1" t="s">
        <v>211</v>
      </c>
      <c r="AU1447" s="1">
        <v>1</v>
      </c>
      <c r="AW1447" s="1" t="s">
        <v>204</v>
      </c>
      <c r="AX1447" s="1">
        <v>1412</v>
      </c>
      <c r="AZ1447" s="3">
        <v>3166</v>
      </c>
      <c r="BA1447" s="1">
        <v>2013</v>
      </c>
      <c r="BB1447" s="1" t="s">
        <v>405</v>
      </c>
      <c r="BE1447" s="1">
        <v>0</v>
      </c>
      <c r="BF1447" s="1">
        <v>1</v>
      </c>
      <c r="BG1447" s="1">
        <v>0</v>
      </c>
      <c r="BJ1447" s="1">
        <v>100</v>
      </c>
      <c r="BL1447" s="1">
        <v>220</v>
      </c>
      <c r="BM1447" s="1" t="s">
        <v>204</v>
      </c>
      <c r="BN1447" s="1" t="s">
        <v>213</v>
      </c>
      <c r="BO1447" s="1">
        <v>999</v>
      </c>
      <c r="BP1447" s="1" t="s">
        <v>204</v>
      </c>
      <c r="BR1447" s="1" t="str">
        <f>"0709310118"</f>
        <v>0709310118</v>
      </c>
      <c r="BT1447" s="1" t="s">
        <v>14259</v>
      </c>
      <c r="BU1447" s="1" t="s">
        <v>5426</v>
      </c>
      <c r="BW1447" s="1" t="s">
        <v>1131</v>
      </c>
      <c r="BX1447" s="1">
        <v>204</v>
      </c>
      <c r="BY1447" s="1">
        <v>204</v>
      </c>
      <c r="BZ1447" s="1">
        <v>204</v>
      </c>
      <c r="CB1447" s="1" t="str">
        <f t="shared" ref="CB1447:CC1447" si="1102">"0"</f>
        <v>0</v>
      </c>
      <c r="CC1447" s="1" t="str">
        <f t="shared" si="1102"/>
        <v>0</v>
      </c>
      <c r="CD1447" s="1">
        <v>30</v>
      </c>
      <c r="CE1447" s="1">
        <v>5</v>
      </c>
      <c r="CG1447" s="1" t="s">
        <v>972</v>
      </c>
      <c r="CH1447" s="1" t="s">
        <v>219</v>
      </c>
      <c r="CI1447" s="1" t="s">
        <v>220</v>
      </c>
      <c r="CK1447" s="1" t="s">
        <v>757</v>
      </c>
      <c r="CL1447" s="1" t="s">
        <v>277</v>
      </c>
      <c r="CM1447" s="1" t="s">
        <v>220</v>
      </c>
      <c r="CO1447" s="1" t="s">
        <v>318</v>
      </c>
      <c r="CP1447" s="1" t="s">
        <v>219</v>
      </c>
      <c r="CQ1447" s="1" t="s">
        <v>220</v>
      </c>
      <c r="CS1447" s="1" t="s">
        <v>465</v>
      </c>
      <c r="CT1447" s="1" t="s">
        <v>277</v>
      </c>
      <c r="CU1447" s="1" t="s">
        <v>220</v>
      </c>
      <c r="CX1447" s="1" t="s">
        <v>224</v>
      </c>
      <c r="DB1447" s="1" t="s">
        <v>224</v>
      </c>
      <c r="DE1447" s="1" t="s">
        <v>951</v>
      </c>
      <c r="DF1447" s="1" t="s">
        <v>219</v>
      </c>
      <c r="DG1447" s="1" t="s">
        <v>229</v>
      </c>
      <c r="DJ1447" s="1" t="s">
        <v>224</v>
      </c>
      <c r="DM1447" s="1" t="s">
        <v>464</v>
      </c>
      <c r="DR1447" s="1" t="s">
        <v>1750</v>
      </c>
      <c r="DS1447" s="1" t="s">
        <v>277</v>
      </c>
      <c r="DT1447" s="1" t="s">
        <v>220</v>
      </c>
      <c r="DW1447" s="1" t="s">
        <v>230</v>
      </c>
      <c r="EA1447" s="1" t="s">
        <v>230</v>
      </c>
      <c r="EE1447" s="1" t="s">
        <v>230</v>
      </c>
      <c r="EI1447" s="1" t="s">
        <v>230</v>
      </c>
      <c r="EL1447" s="1" t="s">
        <v>466</v>
      </c>
      <c r="EM1447" s="1" t="s">
        <v>232</v>
      </c>
      <c r="EN1447" s="1" t="s">
        <v>282</v>
      </c>
      <c r="EO1447" s="1" t="s">
        <v>234</v>
      </c>
      <c r="EP1447" s="1" t="s">
        <v>8388</v>
      </c>
      <c r="EQ1447" s="1" t="s">
        <v>1094</v>
      </c>
      <c r="ER1447" s="1" t="s">
        <v>210</v>
      </c>
      <c r="ES1447" s="1" t="s">
        <v>1552</v>
      </c>
      <c r="ET1447" s="1" t="s">
        <v>4523</v>
      </c>
      <c r="EU1447" s="1" t="s">
        <v>712</v>
      </c>
      <c r="EV1447" s="1" t="s">
        <v>240</v>
      </c>
      <c r="EW1447" s="1" t="s">
        <v>1219</v>
      </c>
      <c r="EZ1447" s="1" t="s">
        <v>464</v>
      </c>
      <c r="FA1447" s="1" t="s">
        <v>14260</v>
      </c>
      <c r="FC1447" s="1" t="s">
        <v>548</v>
      </c>
      <c r="FD1447" s="1" t="s">
        <v>246</v>
      </c>
      <c r="FE1447" s="1" t="s">
        <v>355</v>
      </c>
      <c r="FF1447" s="1" t="s">
        <v>387</v>
      </c>
      <c r="FG1447" s="1" t="s">
        <v>871</v>
      </c>
      <c r="FH1447" s="1" t="s">
        <v>940</v>
      </c>
      <c r="FL1447" s="1" t="s">
        <v>358</v>
      </c>
      <c r="FM1447" s="1" t="s">
        <v>252</v>
      </c>
      <c r="FN1447" s="1" t="s">
        <v>213</v>
      </c>
      <c r="FO1447" s="1" t="s">
        <v>213</v>
      </c>
      <c r="FQ1447" s="1" t="s">
        <v>913</v>
      </c>
      <c r="FR1447" s="1" t="s">
        <v>652</v>
      </c>
      <c r="FS1447" s="1" t="s">
        <v>14261</v>
      </c>
      <c r="FT1447" s="1" t="s">
        <v>1408</v>
      </c>
      <c r="FU1447" s="1" t="s">
        <v>204</v>
      </c>
      <c r="FW1447" s="1" t="s">
        <v>915</v>
      </c>
      <c r="FX1447" s="1">
        <v>23076</v>
      </c>
      <c r="FY1447" s="1" t="s">
        <v>1909</v>
      </c>
      <c r="FZ1447" s="1" t="s">
        <v>14262</v>
      </c>
      <c r="GA1447" s="1">
        <v>602412</v>
      </c>
      <c r="GB1447" s="1" t="s">
        <v>14263</v>
      </c>
      <c r="GC1447" s="1">
        <v>226121</v>
      </c>
      <c r="GD1447" s="1" t="s">
        <v>14264</v>
      </c>
      <c r="GE1447" s="1" t="s">
        <v>1226</v>
      </c>
      <c r="GI1447" s="1" t="s">
        <v>213</v>
      </c>
      <c r="GJ1447" s="1" t="s">
        <v>260</v>
      </c>
      <c r="GK1447" s="1" t="s">
        <v>210</v>
      </c>
      <c r="GL1447" s="2">
        <v>42132</v>
      </c>
      <c r="GM1447" s="1" t="s">
        <v>14265</v>
      </c>
    </row>
    <row r="1448" spans="1:195">
      <c r="A1448" s="1">
        <v>227500</v>
      </c>
      <c r="B1448" s="1" t="s">
        <v>195</v>
      </c>
      <c r="C1448" s="1" t="str">
        <f>"08869775"</f>
        <v>08869775</v>
      </c>
      <c r="D1448" s="1" t="s">
        <v>196</v>
      </c>
      <c r="F1448" s="1" t="str">
        <f>"521"</f>
        <v>521</v>
      </c>
      <c r="G1448" s="2">
        <v>42086</v>
      </c>
      <c r="H1448" s="1">
        <v>227500</v>
      </c>
      <c r="I1448" s="1">
        <v>227500</v>
      </c>
      <c r="J1448" s="1">
        <v>227500</v>
      </c>
      <c r="K1448" s="2">
        <v>42083</v>
      </c>
      <c r="L1448" s="1">
        <v>1</v>
      </c>
      <c r="M1448" s="2">
        <v>42083</v>
      </c>
      <c r="N1448" s="1">
        <v>1</v>
      </c>
      <c r="O1448" s="2">
        <v>42083</v>
      </c>
      <c r="P1448" s="1">
        <v>22145</v>
      </c>
      <c r="Q1448" s="1" t="s">
        <v>197</v>
      </c>
      <c r="R1448" s="2">
        <v>42093</v>
      </c>
      <c r="S1448" s="1">
        <v>223235</v>
      </c>
      <c r="U1448" s="1">
        <v>1409</v>
      </c>
      <c r="V1448" s="1" t="s">
        <v>14266</v>
      </c>
      <c r="W1448" s="1" t="s">
        <v>1056</v>
      </c>
      <c r="X1448" s="1" t="s">
        <v>14267</v>
      </c>
      <c r="Y1448" s="1">
        <v>44</v>
      </c>
      <c r="Z1448" s="1" t="s">
        <v>249</v>
      </c>
      <c r="AA1448" s="1" t="s">
        <v>1538</v>
      </c>
      <c r="AB1448" s="1">
        <v>60521</v>
      </c>
      <c r="AE1448" s="1" t="s">
        <v>14268</v>
      </c>
      <c r="AF1448" s="1">
        <v>1978</v>
      </c>
      <c r="AG1448" s="1" t="s">
        <v>204</v>
      </c>
      <c r="AH1448" s="1" t="s">
        <v>1541</v>
      </c>
      <c r="AI1448" s="1" t="s">
        <v>206</v>
      </c>
      <c r="AJ1448" s="1" t="s">
        <v>1608</v>
      </c>
      <c r="AL1448" s="1">
        <v>5</v>
      </c>
      <c r="AM1448" s="1">
        <v>2</v>
      </c>
      <c r="AN1448" s="1">
        <v>2</v>
      </c>
      <c r="AO1448" s="1">
        <v>0</v>
      </c>
      <c r="AP1448" s="1" t="s">
        <v>209</v>
      </c>
      <c r="AQ1448" s="1">
        <v>1</v>
      </c>
      <c r="AR1448" s="1" t="s">
        <v>210</v>
      </c>
      <c r="AS1448" s="1" t="s">
        <v>204</v>
      </c>
      <c r="AT1448" s="1" t="s">
        <v>211</v>
      </c>
      <c r="AU1448" s="1">
        <v>2</v>
      </c>
      <c r="AW1448" s="1" t="s">
        <v>204</v>
      </c>
      <c r="AX1448" s="1" t="s">
        <v>212</v>
      </c>
      <c r="AZ1448" s="1">
        <v>3254</v>
      </c>
      <c r="BA1448" s="1">
        <v>2013</v>
      </c>
      <c r="BB1448" s="1" t="s">
        <v>599</v>
      </c>
      <c r="BE1448" s="1">
        <v>2000</v>
      </c>
      <c r="BF1448" s="1">
        <v>3</v>
      </c>
      <c r="BG1448" s="1">
        <v>30</v>
      </c>
      <c r="BJ1448" s="1">
        <v>100</v>
      </c>
      <c r="BL1448" s="1">
        <v>374</v>
      </c>
      <c r="BM1448" s="1" t="s">
        <v>204</v>
      </c>
      <c r="BN1448" s="1" t="s">
        <v>213</v>
      </c>
      <c r="BO1448" s="1">
        <v>25</v>
      </c>
      <c r="BP1448" s="1" t="s">
        <v>204</v>
      </c>
      <c r="BR1448" s="1" t="str">
        <f>"0636407036"</f>
        <v>0636407036</v>
      </c>
      <c r="BX1448" s="1">
        <v>181</v>
      </c>
      <c r="BY1448" s="1">
        <v>181</v>
      </c>
      <c r="BZ1448" s="1">
        <v>86</v>
      </c>
      <c r="CB1448" s="1" t="str">
        <f t="shared" ref="CB1448:CC1448" si="1103">""</f>
        <v/>
      </c>
      <c r="CC1448" s="1" t="str">
        <f t="shared" si="1103"/>
        <v/>
      </c>
      <c r="CG1448" s="1" t="s">
        <v>4795</v>
      </c>
      <c r="CH1448" s="1" t="s">
        <v>219</v>
      </c>
      <c r="CI1448" s="1" t="s">
        <v>220</v>
      </c>
      <c r="CK1448" s="1" t="s">
        <v>14269</v>
      </c>
      <c r="CL1448" s="1" t="s">
        <v>219</v>
      </c>
      <c r="CM1448" s="1" t="s">
        <v>220</v>
      </c>
      <c r="CO1448" s="1" t="s">
        <v>3748</v>
      </c>
      <c r="CP1448" s="1" t="s">
        <v>219</v>
      </c>
      <c r="CQ1448" s="1" t="s">
        <v>220</v>
      </c>
      <c r="CS1448" s="1" t="s">
        <v>3151</v>
      </c>
      <c r="CT1448" s="1" t="s">
        <v>219</v>
      </c>
      <c r="CX1448" s="1" t="s">
        <v>224</v>
      </c>
      <c r="DB1448" s="1" t="s">
        <v>224</v>
      </c>
      <c r="DE1448" s="1" t="s">
        <v>2170</v>
      </c>
      <c r="DF1448" s="1" t="s">
        <v>219</v>
      </c>
      <c r="DG1448" s="1" t="s">
        <v>342</v>
      </c>
      <c r="DJ1448" s="1" t="s">
        <v>224</v>
      </c>
      <c r="DM1448" s="1" t="s">
        <v>709</v>
      </c>
      <c r="DR1448" s="1" t="s">
        <v>4299</v>
      </c>
      <c r="DS1448" s="1" t="s">
        <v>219</v>
      </c>
      <c r="DW1448" s="1" t="s">
        <v>230</v>
      </c>
      <c r="EA1448" s="1" t="s">
        <v>230</v>
      </c>
      <c r="EE1448" s="1" t="s">
        <v>230</v>
      </c>
      <c r="EI1448" s="1" t="s">
        <v>230</v>
      </c>
      <c r="EL1448" s="1" t="s">
        <v>231</v>
      </c>
      <c r="EM1448" s="1" t="s">
        <v>232</v>
      </c>
      <c r="EN1448" s="1" t="s">
        <v>282</v>
      </c>
      <c r="EO1448" s="1" t="s">
        <v>840</v>
      </c>
      <c r="EP1448" s="1" t="s">
        <v>14270</v>
      </c>
      <c r="ER1448" s="1" t="s">
        <v>210</v>
      </c>
      <c r="EW1448" s="1" t="s">
        <v>14271</v>
      </c>
      <c r="EZ1448" s="1" t="s">
        <v>709</v>
      </c>
      <c r="FB1448" s="1" t="s">
        <v>4027</v>
      </c>
      <c r="FC1448" s="1" t="s">
        <v>326</v>
      </c>
      <c r="FD1448" s="1" t="s">
        <v>246</v>
      </c>
      <c r="FE1448" s="1" t="s">
        <v>247</v>
      </c>
      <c r="FF1448" s="1" t="s">
        <v>248</v>
      </c>
      <c r="FH1448" s="1" t="s">
        <v>249</v>
      </c>
      <c r="FL1448" s="1" t="s">
        <v>292</v>
      </c>
      <c r="FM1448" s="1" t="s">
        <v>252</v>
      </c>
      <c r="FN1448" s="1" t="s">
        <v>213</v>
      </c>
      <c r="FO1448" s="1" t="s">
        <v>213</v>
      </c>
      <c r="FQ1448" s="1" t="s">
        <v>9805</v>
      </c>
      <c r="FR1448" s="1" t="s">
        <v>210</v>
      </c>
      <c r="FS1448" s="1" t="s">
        <v>14272</v>
      </c>
      <c r="FT1448" s="1" t="s">
        <v>362</v>
      </c>
      <c r="FU1448" s="1" t="s">
        <v>204</v>
      </c>
      <c r="FW1448" s="1" t="s">
        <v>3495</v>
      </c>
      <c r="FX1448" s="1">
        <v>22145</v>
      </c>
      <c r="FY1448" s="1" t="s">
        <v>3496</v>
      </c>
      <c r="FZ1448" s="1" t="s">
        <v>3497</v>
      </c>
      <c r="GA1448" s="1">
        <v>226985</v>
      </c>
      <c r="GB1448" s="1" t="s">
        <v>3498</v>
      </c>
      <c r="GE1448" s="1" t="s">
        <v>776</v>
      </c>
      <c r="GI1448" s="1" t="s">
        <v>213</v>
      </c>
      <c r="GJ1448" s="1" t="s">
        <v>260</v>
      </c>
      <c r="GK1448" s="1" t="s">
        <v>210</v>
      </c>
      <c r="GL1448" s="2">
        <v>42094</v>
      </c>
    </row>
    <row r="1449" spans="1:195">
      <c r="A1449" s="1">
        <v>173000</v>
      </c>
      <c r="B1449" s="1" t="s">
        <v>195</v>
      </c>
      <c r="C1449" s="1" t="str">
        <f>"08876942"</f>
        <v>08876942</v>
      </c>
      <c r="D1449" s="1" t="s">
        <v>196</v>
      </c>
      <c r="F1449" s="1" t="str">
        <f>"104"</f>
        <v>104</v>
      </c>
      <c r="G1449" s="2">
        <v>42094</v>
      </c>
      <c r="H1449" s="1">
        <v>169000</v>
      </c>
      <c r="I1449" s="1">
        <v>169000</v>
      </c>
      <c r="J1449" s="1">
        <v>173000</v>
      </c>
      <c r="K1449" s="2">
        <v>42094</v>
      </c>
      <c r="L1449" s="1">
        <v>6</v>
      </c>
      <c r="M1449" s="2">
        <v>42099</v>
      </c>
      <c r="N1449" s="1">
        <v>6</v>
      </c>
      <c r="O1449" s="2">
        <v>42099</v>
      </c>
      <c r="P1449" s="1">
        <v>25088</v>
      </c>
      <c r="Q1449" s="1" t="s">
        <v>197</v>
      </c>
      <c r="R1449" s="2">
        <v>42139</v>
      </c>
      <c r="S1449" s="1">
        <v>253914</v>
      </c>
      <c r="U1449" s="1">
        <v>1172</v>
      </c>
      <c r="V1449" s="1" t="s">
        <v>14273</v>
      </c>
      <c r="W1449" s="1" t="s">
        <v>1056</v>
      </c>
      <c r="Y1449" s="1">
        <v>4</v>
      </c>
      <c r="Z1449" s="1" t="s">
        <v>370</v>
      </c>
      <c r="AA1449" s="1" t="s">
        <v>371</v>
      </c>
      <c r="AB1449" s="1">
        <v>60103</v>
      </c>
      <c r="AD1449" s="1" t="s">
        <v>14274</v>
      </c>
      <c r="AE1449" s="1" t="s">
        <v>14275</v>
      </c>
      <c r="AF1449" s="1">
        <v>1991</v>
      </c>
      <c r="AG1449" s="1" t="s">
        <v>204</v>
      </c>
      <c r="AH1449" s="1" t="s">
        <v>373</v>
      </c>
      <c r="AI1449" s="1" t="s">
        <v>206</v>
      </c>
      <c r="AJ1449" s="1" t="s">
        <v>2654</v>
      </c>
      <c r="AL1449" s="1">
        <v>6</v>
      </c>
      <c r="AM1449" s="1">
        <v>2</v>
      </c>
      <c r="AN1449" s="1">
        <v>2</v>
      </c>
      <c r="AO1449" s="1">
        <v>1</v>
      </c>
      <c r="AP1449" s="1" t="s">
        <v>209</v>
      </c>
      <c r="AQ1449" s="1">
        <v>1</v>
      </c>
      <c r="AR1449" s="1" t="s">
        <v>209</v>
      </c>
      <c r="AS1449" s="1" t="s">
        <v>204</v>
      </c>
      <c r="AT1449" s="1" t="s">
        <v>211</v>
      </c>
      <c r="AU1449" s="1">
        <v>2</v>
      </c>
      <c r="AW1449" s="1" t="s">
        <v>204</v>
      </c>
      <c r="AX1449" s="1" t="s">
        <v>1813</v>
      </c>
      <c r="AZ1449" s="1">
        <v>5381</v>
      </c>
      <c r="BA1449" s="1">
        <v>2014</v>
      </c>
      <c r="BE1449" s="1">
        <v>1530</v>
      </c>
      <c r="BF1449" s="1">
        <v>1</v>
      </c>
      <c r="BG1449" s="1">
        <v>0</v>
      </c>
      <c r="BL1449" s="1">
        <v>262</v>
      </c>
      <c r="BM1449" s="1" t="s">
        <v>413</v>
      </c>
      <c r="BN1449" s="1" t="s">
        <v>213</v>
      </c>
      <c r="BO1449" s="1" t="s">
        <v>432</v>
      </c>
      <c r="BP1449" s="1" t="s">
        <v>204</v>
      </c>
      <c r="BR1449" s="1" t="str">
        <f>"0101309038"</f>
        <v>0101309038</v>
      </c>
      <c r="BT1449" s="1" t="s">
        <v>14276</v>
      </c>
      <c r="BX1449" s="1">
        <v>46</v>
      </c>
      <c r="BY1449" s="1">
        <v>46</v>
      </c>
      <c r="BZ1449" s="1">
        <v>46</v>
      </c>
      <c r="CB1449" s="1" t="str">
        <f t="shared" ref="CB1449:CC1449" si="1104">""</f>
        <v/>
      </c>
      <c r="CC1449" s="1" t="str">
        <f t="shared" si="1104"/>
        <v/>
      </c>
      <c r="CG1449" s="1" t="s">
        <v>3591</v>
      </c>
      <c r="CH1449" s="1" t="s">
        <v>219</v>
      </c>
      <c r="CI1449" s="1" t="s">
        <v>229</v>
      </c>
      <c r="CJ1449" s="1" t="s">
        <v>439</v>
      </c>
      <c r="CK1449" s="1" t="s">
        <v>2934</v>
      </c>
      <c r="CL1449" s="1" t="s">
        <v>277</v>
      </c>
      <c r="CM1449" s="1" t="s">
        <v>220</v>
      </c>
      <c r="CO1449" s="1" t="s">
        <v>2982</v>
      </c>
      <c r="CP1449" s="1" t="s">
        <v>219</v>
      </c>
      <c r="CQ1449" s="1" t="s">
        <v>229</v>
      </c>
      <c r="CS1449" s="1" t="s">
        <v>1854</v>
      </c>
      <c r="CT1449" s="1" t="s">
        <v>277</v>
      </c>
      <c r="CU1449" s="1" t="s">
        <v>220</v>
      </c>
      <c r="CV1449" s="1" t="s">
        <v>439</v>
      </c>
      <c r="CX1449" s="1" t="s">
        <v>224</v>
      </c>
      <c r="DB1449" s="1" t="s">
        <v>224</v>
      </c>
      <c r="DE1449" s="1" t="s">
        <v>1854</v>
      </c>
      <c r="DF1449" s="1" t="s">
        <v>219</v>
      </c>
      <c r="DG1449" s="1" t="s">
        <v>226</v>
      </c>
      <c r="DH1449" s="1" t="s">
        <v>439</v>
      </c>
      <c r="DJ1449" s="1" t="s">
        <v>224</v>
      </c>
      <c r="DM1449" s="1" t="s">
        <v>1548</v>
      </c>
      <c r="DR1449" s="1" t="s">
        <v>3657</v>
      </c>
      <c r="DS1449" s="1" t="s">
        <v>219</v>
      </c>
      <c r="DT1449" s="1" t="s">
        <v>226</v>
      </c>
      <c r="DW1449" s="1" t="s">
        <v>230</v>
      </c>
      <c r="EA1449" s="1" t="s">
        <v>230</v>
      </c>
      <c r="EE1449" s="1" t="s">
        <v>230</v>
      </c>
      <c r="EI1449" s="1" t="s">
        <v>230</v>
      </c>
      <c r="EL1449" s="1" t="s">
        <v>382</v>
      </c>
      <c r="EM1449" s="1" t="s">
        <v>232</v>
      </c>
      <c r="EN1449" s="1" t="s">
        <v>282</v>
      </c>
      <c r="EO1449" s="1" t="s">
        <v>234</v>
      </c>
      <c r="EQ1449" s="1" t="s">
        <v>236</v>
      </c>
      <c r="ER1449" s="1" t="s">
        <v>1249</v>
      </c>
      <c r="ES1449" s="1" t="s">
        <v>954</v>
      </c>
      <c r="EV1449" s="1" t="s">
        <v>240</v>
      </c>
      <c r="EW1449" s="1" t="s">
        <v>867</v>
      </c>
      <c r="EZ1449" s="1" t="s">
        <v>1548</v>
      </c>
      <c r="FD1449" s="1" t="s">
        <v>246</v>
      </c>
      <c r="FE1449" s="1" t="s">
        <v>355</v>
      </c>
      <c r="FF1449" s="1" t="s">
        <v>248</v>
      </c>
      <c r="FH1449" s="1" t="s">
        <v>550</v>
      </c>
      <c r="FL1449" s="1" t="s">
        <v>358</v>
      </c>
      <c r="FM1449" s="1" t="s">
        <v>252</v>
      </c>
      <c r="FN1449" s="1" t="s">
        <v>213</v>
      </c>
      <c r="FO1449" s="1" t="s">
        <v>213</v>
      </c>
      <c r="FQ1449" s="1" t="s">
        <v>673</v>
      </c>
      <c r="FR1449" s="1" t="s">
        <v>210</v>
      </c>
      <c r="FS1449" s="1" t="s">
        <v>14277</v>
      </c>
      <c r="FT1449" s="1" t="s">
        <v>295</v>
      </c>
      <c r="FU1449" s="1" t="s">
        <v>204</v>
      </c>
      <c r="FW1449" s="1" t="s">
        <v>8912</v>
      </c>
      <c r="FX1449" s="1">
        <v>302</v>
      </c>
      <c r="FY1449" s="1" t="s">
        <v>8913</v>
      </c>
      <c r="FZ1449" s="1" t="s">
        <v>14278</v>
      </c>
      <c r="GA1449" s="1">
        <v>7214</v>
      </c>
      <c r="GB1449" s="1" t="s">
        <v>14279</v>
      </c>
      <c r="GE1449" s="1" t="s">
        <v>480</v>
      </c>
      <c r="GI1449" s="1" t="s">
        <v>204</v>
      </c>
      <c r="GJ1449" s="1" t="s">
        <v>260</v>
      </c>
      <c r="GK1449" s="1" t="s">
        <v>4920</v>
      </c>
      <c r="GL1449" s="2">
        <v>42150</v>
      </c>
      <c r="GM1449" s="1" t="s">
        <v>14280</v>
      </c>
    </row>
    <row r="1450" spans="1:195">
      <c r="A1450" s="1">
        <v>280000</v>
      </c>
      <c r="B1450" s="1" t="s">
        <v>195</v>
      </c>
      <c r="C1450" s="1" t="str">
        <f>"08870462"</f>
        <v>08870462</v>
      </c>
      <c r="D1450" s="1" t="s">
        <v>196</v>
      </c>
      <c r="F1450" s="1" t="str">
        <f>"521"</f>
        <v>521</v>
      </c>
      <c r="G1450" s="2">
        <v>42087</v>
      </c>
      <c r="H1450" s="1">
        <v>298000</v>
      </c>
      <c r="I1450" s="1">
        <v>298000</v>
      </c>
      <c r="J1450" s="1">
        <v>280000</v>
      </c>
      <c r="K1450" s="2">
        <v>42031</v>
      </c>
      <c r="L1450" s="1">
        <v>10</v>
      </c>
      <c r="M1450" s="2">
        <v>42039</v>
      </c>
      <c r="N1450" s="1">
        <v>9</v>
      </c>
      <c r="O1450" s="2">
        <v>42039</v>
      </c>
      <c r="P1450" s="1">
        <v>24288</v>
      </c>
      <c r="Q1450" s="1" t="s">
        <v>197</v>
      </c>
      <c r="R1450" s="2">
        <v>42081</v>
      </c>
      <c r="S1450" s="1">
        <v>240954</v>
      </c>
      <c r="U1450" s="1">
        <v>1409</v>
      </c>
      <c r="V1450" s="1" t="s">
        <v>14266</v>
      </c>
      <c r="W1450" s="1" t="s">
        <v>1056</v>
      </c>
      <c r="X1450" s="1" t="s">
        <v>14281</v>
      </c>
      <c r="Y1450" s="1">
        <v>46</v>
      </c>
      <c r="Z1450" s="1" t="s">
        <v>249</v>
      </c>
      <c r="AA1450" s="1" t="s">
        <v>1538</v>
      </c>
      <c r="AB1450" s="1">
        <v>60521</v>
      </c>
      <c r="AD1450" s="1" t="s">
        <v>10783</v>
      </c>
      <c r="AE1450" s="1" t="s">
        <v>14282</v>
      </c>
      <c r="AF1450" s="1">
        <v>1978</v>
      </c>
      <c r="AG1450" s="1" t="s">
        <v>204</v>
      </c>
      <c r="AH1450" s="1" t="s">
        <v>1541</v>
      </c>
      <c r="AI1450" s="1" t="s">
        <v>206</v>
      </c>
      <c r="AJ1450" s="1" t="s">
        <v>1608</v>
      </c>
      <c r="AL1450" s="1">
        <v>5</v>
      </c>
      <c r="AM1450" s="1">
        <v>2</v>
      </c>
      <c r="AN1450" s="1">
        <v>2</v>
      </c>
      <c r="AO1450" s="1">
        <v>0</v>
      </c>
      <c r="AP1450" s="1" t="s">
        <v>209</v>
      </c>
      <c r="AQ1450" s="1">
        <v>1</v>
      </c>
      <c r="AR1450" s="1" t="s">
        <v>210</v>
      </c>
      <c r="AT1450" s="1" t="s">
        <v>211</v>
      </c>
      <c r="AU1450" s="1">
        <v>2</v>
      </c>
      <c r="AW1450" s="1" t="s">
        <v>204</v>
      </c>
      <c r="AX1450" s="1" t="s">
        <v>212</v>
      </c>
      <c r="AZ1450" s="1">
        <v>3464</v>
      </c>
      <c r="BA1450" s="1">
        <v>2013</v>
      </c>
      <c r="BE1450" s="1">
        <v>0</v>
      </c>
      <c r="BF1450" s="1">
        <v>4</v>
      </c>
      <c r="BG1450" s="1">
        <v>30</v>
      </c>
      <c r="BL1450" s="1">
        <v>729</v>
      </c>
      <c r="BM1450" s="1" t="s">
        <v>213</v>
      </c>
      <c r="BN1450" s="1" t="s">
        <v>213</v>
      </c>
      <c r="BO1450" s="1">
        <v>25</v>
      </c>
      <c r="BP1450" s="1" t="s">
        <v>204</v>
      </c>
      <c r="BR1450" s="1" t="str">
        <f>"0636407004"</f>
        <v>0636407004</v>
      </c>
      <c r="BT1450" s="1" t="s">
        <v>14283</v>
      </c>
      <c r="BU1450" s="1" t="s">
        <v>14284</v>
      </c>
      <c r="BV1450" s="1" t="s">
        <v>2697</v>
      </c>
      <c r="BW1450" s="1" t="s">
        <v>1546</v>
      </c>
      <c r="BX1450" s="1">
        <v>181</v>
      </c>
      <c r="BY1450" s="1">
        <v>181</v>
      </c>
      <c r="BZ1450" s="1">
        <v>86</v>
      </c>
      <c r="CB1450" s="1" t="str">
        <f t="shared" ref="CB1450:CC1450" si="1105">""</f>
        <v/>
      </c>
      <c r="CC1450" s="1" t="str">
        <f t="shared" si="1105"/>
        <v/>
      </c>
      <c r="CG1450" s="1" t="s">
        <v>5353</v>
      </c>
      <c r="CH1450" s="1" t="s">
        <v>219</v>
      </c>
      <c r="CI1450" s="1" t="s">
        <v>229</v>
      </c>
      <c r="CK1450" s="1" t="s">
        <v>1267</v>
      </c>
      <c r="CL1450" s="1" t="s">
        <v>219</v>
      </c>
      <c r="CM1450" s="1" t="s">
        <v>220</v>
      </c>
      <c r="CO1450" s="1" t="s">
        <v>1045</v>
      </c>
      <c r="CP1450" s="1" t="s">
        <v>219</v>
      </c>
      <c r="CQ1450" s="1" t="s">
        <v>229</v>
      </c>
      <c r="CS1450" s="1" t="s">
        <v>315</v>
      </c>
      <c r="CT1450" s="1" t="s">
        <v>219</v>
      </c>
      <c r="CU1450" s="1" t="s">
        <v>220</v>
      </c>
      <c r="CX1450" s="1" t="s">
        <v>224</v>
      </c>
      <c r="DB1450" s="1" t="s">
        <v>224</v>
      </c>
      <c r="DE1450" s="1" t="s">
        <v>2935</v>
      </c>
      <c r="DF1450" s="1" t="s">
        <v>219</v>
      </c>
      <c r="DG1450" s="1" t="s">
        <v>229</v>
      </c>
      <c r="DJ1450" s="1" t="s">
        <v>224</v>
      </c>
      <c r="DS1450" s="1" t="s">
        <v>230</v>
      </c>
      <c r="DW1450" s="1" t="s">
        <v>230</v>
      </c>
      <c r="EA1450" s="1" t="s">
        <v>230</v>
      </c>
      <c r="EE1450" s="1" t="s">
        <v>230</v>
      </c>
      <c r="EI1450" s="1" t="s">
        <v>230</v>
      </c>
      <c r="EL1450" s="1" t="s">
        <v>231</v>
      </c>
      <c r="EM1450" s="1" t="s">
        <v>232</v>
      </c>
      <c r="EN1450" s="1" t="s">
        <v>282</v>
      </c>
      <c r="EO1450" s="1" t="s">
        <v>234</v>
      </c>
      <c r="EP1450" s="1" t="s">
        <v>14285</v>
      </c>
      <c r="EQ1450" s="1" t="s">
        <v>236</v>
      </c>
      <c r="ER1450" s="1" t="s">
        <v>210</v>
      </c>
      <c r="ES1450" s="1" t="s">
        <v>322</v>
      </c>
      <c r="ET1450" s="1" t="s">
        <v>14286</v>
      </c>
      <c r="EU1450" s="1" t="s">
        <v>14287</v>
      </c>
      <c r="EV1450" s="1" t="s">
        <v>324</v>
      </c>
      <c r="EW1450" s="1" t="s">
        <v>14288</v>
      </c>
      <c r="EY1450" s="1" t="s">
        <v>1315</v>
      </c>
      <c r="EZ1450" s="1" t="s">
        <v>287</v>
      </c>
      <c r="FB1450" s="1" t="s">
        <v>244</v>
      </c>
      <c r="FC1450" s="1" t="s">
        <v>548</v>
      </c>
      <c r="FD1450" s="1" t="s">
        <v>290</v>
      </c>
      <c r="FE1450" s="1" t="s">
        <v>247</v>
      </c>
      <c r="FF1450" s="1" t="s">
        <v>248</v>
      </c>
      <c r="FG1450" s="1" t="s">
        <v>939</v>
      </c>
      <c r="FH1450" s="1" t="s">
        <v>249</v>
      </c>
      <c r="FI1450" s="1" t="s">
        <v>14289</v>
      </c>
      <c r="FL1450" s="1" t="s">
        <v>1073</v>
      </c>
      <c r="FM1450" s="1" t="s">
        <v>210</v>
      </c>
      <c r="FN1450" s="1" t="s">
        <v>204</v>
      </c>
      <c r="FO1450" s="1" t="s">
        <v>204</v>
      </c>
      <c r="FQ1450" s="1" t="s">
        <v>14290</v>
      </c>
      <c r="FR1450" s="1" t="s">
        <v>652</v>
      </c>
      <c r="FS1450" s="1" t="s">
        <v>14291</v>
      </c>
      <c r="FT1450" s="1" t="s">
        <v>2589</v>
      </c>
      <c r="FU1450" s="1" t="s">
        <v>204</v>
      </c>
      <c r="FW1450" s="1" t="s">
        <v>14292</v>
      </c>
      <c r="FX1450" s="1">
        <v>24288</v>
      </c>
      <c r="FY1450" s="1" t="s">
        <v>14293</v>
      </c>
      <c r="FZ1450" s="1" t="s">
        <v>14294</v>
      </c>
      <c r="GA1450" s="1">
        <v>242519</v>
      </c>
      <c r="GB1450" s="1" t="s">
        <v>14295</v>
      </c>
      <c r="GE1450" s="1" t="s">
        <v>335</v>
      </c>
      <c r="GI1450" s="1" t="s">
        <v>213</v>
      </c>
      <c r="GJ1450" s="1" t="s">
        <v>260</v>
      </c>
      <c r="GK1450" s="1" t="s">
        <v>210</v>
      </c>
      <c r="GL1450" s="2">
        <v>42087</v>
      </c>
      <c r="GM1450" s="1" t="s">
        <v>14296</v>
      </c>
    </row>
    <row r="1451" spans="1:195">
      <c r="A1451" s="1">
        <v>113000</v>
      </c>
      <c r="B1451" s="1" t="s">
        <v>195</v>
      </c>
      <c r="C1451" s="1" t="str">
        <f>"08868423"</f>
        <v>08868423</v>
      </c>
      <c r="D1451" s="1" t="s">
        <v>196</v>
      </c>
      <c r="F1451" s="1" t="str">
        <f>"139"</f>
        <v>139</v>
      </c>
      <c r="G1451" s="2">
        <v>42084</v>
      </c>
      <c r="H1451" s="1">
        <v>119900</v>
      </c>
      <c r="I1451" s="1">
        <v>119900</v>
      </c>
      <c r="J1451" s="1">
        <v>113000</v>
      </c>
      <c r="K1451" s="2">
        <v>42083</v>
      </c>
      <c r="L1451" s="1">
        <v>15</v>
      </c>
      <c r="M1451" s="2">
        <v>42097</v>
      </c>
      <c r="N1451" s="1">
        <v>15</v>
      </c>
      <c r="O1451" s="2">
        <v>42097</v>
      </c>
      <c r="P1451" s="1">
        <v>22070</v>
      </c>
      <c r="Q1451" s="1" t="s">
        <v>302</v>
      </c>
      <c r="R1451" s="2">
        <v>42117</v>
      </c>
      <c r="S1451" s="1">
        <v>215206</v>
      </c>
      <c r="U1451" s="1">
        <v>162</v>
      </c>
      <c r="V1451" s="1" t="s">
        <v>13781</v>
      </c>
      <c r="W1451" s="1" t="s">
        <v>264</v>
      </c>
      <c r="Y1451" s="1">
        <v>2</v>
      </c>
      <c r="Z1451" s="1" t="s">
        <v>200</v>
      </c>
      <c r="AA1451" s="1" t="s">
        <v>1732</v>
      </c>
      <c r="AB1451" s="1">
        <v>60139</v>
      </c>
      <c r="AD1451" s="1" t="s">
        <v>8926</v>
      </c>
      <c r="AE1451" s="1" t="s">
        <v>14297</v>
      </c>
      <c r="AF1451" s="1">
        <v>1977</v>
      </c>
      <c r="AG1451" s="1" t="s">
        <v>213</v>
      </c>
      <c r="AH1451" s="1" t="s">
        <v>1735</v>
      </c>
      <c r="AI1451" s="1" t="s">
        <v>206</v>
      </c>
      <c r="AJ1451" s="1" t="s">
        <v>269</v>
      </c>
      <c r="AK1451" s="1" t="s">
        <v>430</v>
      </c>
      <c r="AL1451" s="1">
        <v>5</v>
      </c>
      <c r="AM1451" s="1">
        <v>2</v>
      </c>
      <c r="AN1451" s="1">
        <v>1</v>
      </c>
      <c r="AO1451" s="1">
        <v>0</v>
      </c>
      <c r="AP1451" s="1" t="s">
        <v>210</v>
      </c>
      <c r="AQ1451" s="1">
        <v>0</v>
      </c>
      <c r="AR1451" s="1" t="s">
        <v>210</v>
      </c>
      <c r="AS1451" s="1" t="s">
        <v>204</v>
      </c>
      <c r="AT1451" s="1" t="s">
        <v>211</v>
      </c>
      <c r="AU1451" s="1">
        <v>1</v>
      </c>
      <c r="AW1451" s="1" t="s">
        <v>204</v>
      </c>
      <c r="AX1451" s="1" t="s">
        <v>14298</v>
      </c>
      <c r="AZ1451" s="1">
        <v>3054</v>
      </c>
      <c r="BA1451" s="1">
        <v>2013</v>
      </c>
      <c r="BE1451" s="1">
        <v>929</v>
      </c>
      <c r="BF1451" s="1">
        <v>1</v>
      </c>
      <c r="BG1451" s="1">
        <v>0</v>
      </c>
      <c r="BL1451" s="1">
        <v>0</v>
      </c>
      <c r="BM1451" s="1" t="s">
        <v>204</v>
      </c>
      <c r="BN1451" s="1" t="s">
        <v>213</v>
      </c>
      <c r="BO1451" s="1">
        <v>999</v>
      </c>
      <c r="BP1451" s="1" t="s">
        <v>204</v>
      </c>
      <c r="BR1451" s="1" t="str">
        <f>"0228428017"</f>
        <v>0228428017</v>
      </c>
      <c r="BT1451" s="1" t="s">
        <v>14299</v>
      </c>
      <c r="BU1451" s="1" t="s">
        <v>7513</v>
      </c>
      <c r="BV1451" s="1" t="s">
        <v>3645</v>
      </c>
      <c r="BW1451" s="1" t="s">
        <v>1092</v>
      </c>
      <c r="BX1451" s="1">
        <v>16</v>
      </c>
      <c r="BY1451" s="1">
        <v>16</v>
      </c>
      <c r="BZ1451" s="1">
        <v>87</v>
      </c>
      <c r="CB1451" s="1" t="str">
        <f>"3"</f>
        <v>3</v>
      </c>
      <c r="CC1451" s="1" t="str">
        <f>"0"</f>
        <v>0</v>
      </c>
      <c r="CD1451" s="1">
        <v>24</v>
      </c>
      <c r="CE1451" s="1">
        <v>0</v>
      </c>
      <c r="CG1451" s="1" t="s">
        <v>228</v>
      </c>
      <c r="CH1451" s="1" t="s">
        <v>219</v>
      </c>
      <c r="CI1451" s="1" t="s">
        <v>220</v>
      </c>
      <c r="CJ1451" s="1" t="s">
        <v>252</v>
      </c>
      <c r="CK1451" s="1" t="s">
        <v>344</v>
      </c>
      <c r="CL1451" s="1" t="s">
        <v>219</v>
      </c>
      <c r="CM1451" s="1" t="s">
        <v>220</v>
      </c>
      <c r="CO1451" s="1" t="s">
        <v>629</v>
      </c>
      <c r="CP1451" s="1" t="s">
        <v>219</v>
      </c>
      <c r="CS1451" s="1" t="s">
        <v>1297</v>
      </c>
      <c r="CT1451" s="1" t="s">
        <v>219</v>
      </c>
      <c r="CU1451" s="1" t="s">
        <v>220</v>
      </c>
      <c r="CX1451" s="1" t="s">
        <v>224</v>
      </c>
      <c r="DB1451" s="1" t="s">
        <v>224</v>
      </c>
      <c r="DE1451" s="1" t="s">
        <v>564</v>
      </c>
      <c r="DF1451" s="1" t="s">
        <v>219</v>
      </c>
      <c r="DG1451" s="1" t="s">
        <v>342</v>
      </c>
      <c r="DJ1451" s="1" t="s">
        <v>224</v>
      </c>
      <c r="DS1451" s="1" t="s">
        <v>230</v>
      </c>
      <c r="DW1451" s="1" t="s">
        <v>230</v>
      </c>
      <c r="EA1451" s="1" t="s">
        <v>230</v>
      </c>
      <c r="EE1451" s="1" t="s">
        <v>230</v>
      </c>
      <c r="EI1451" s="1" t="s">
        <v>230</v>
      </c>
      <c r="EL1451" s="1" t="s">
        <v>231</v>
      </c>
      <c r="EM1451" s="1" t="s">
        <v>232</v>
      </c>
      <c r="EN1451" s="1" t="s">
        <v>282</v>
      </c>
      <c r="EO1451" s="1" t="s">
        <v>234</v>
      </c>
      <c r="EP1451" s="1" t="s">
        <v>650</v>
      </c>
      <c r="EQ1451" s="1" t="s">
        <v>492</v>
      </c>
      <c r="ER1451" s="1" t="s">
        <v>383</v>
      </c>
      <c r="ES1451" s="1" t="s">
        <v>322</v>
      </c>
      <c r="EW1451" s="1" t="s">
        <v>210</v>
      </c>
      <c r="EZ1451" s="1" t="s">
        <v>287</v>
      </c>
      <c r="FA1451" s="1" t="s">
        <v>5405</v>
      </c>
      <c r="FC1451" s="1" t="s">
        <v>548</v>
      </c>
      <c r="FD1451" s="1" t="s">
        <v>246</v>
      </c>
      <c r="FE1451" s="1" t="s">
        <v>247</v>
      </c>
      <c r="FF1451" s="1" t="s">
        <v>248</v>
      </c>
      <c r="FH1451" s="1" t="s">
        <v>442</v>
      </c>
      <c r="FI1451" s="1" t="s">
        <v>473</v>
      </c>
      <c r="FL1451" s="1" t="s">
        <v>358</v>
      </c>
      <c r="FM1451" s="1" t="s">
        <v>252</v>
      </c>
      <c r="FN1451" s="1" t="s">
        <v>213</v>
      </c>
      <c r="FO1451" s="1" t="s">
        <v>213</v>
      </c>
      <c r="FQ1451" s="1" t="s">
        <v>14300</v>
      </c>
      <c r="FR1451" s="1" t="s">
        <v>210</v>
      </c>
      <c r="FS1451" s="1" t="s">
        <v>1429</v>
      </c>
      <c r="FT1451" s="1" t="s">
        <v>255</v>
      </c>
      <c r="FU1451" s="1" t="s">
        <v>204</v>
      </c>
      <c r="FW1451" s="1" t="s">
        <v>4596</v>
      </c>
      <c r="FX1451" s="1">
        <v>8969</v>
      </c>
      <c r="FY1451" s="1" t="s">
        <v>4597</v>
      </c>
      <c r="FZ1451" s="1" t="s">
        <v>14301</v>
      </c>
      <c r="GA1451" s="1">
        <v>82216</v>
      </c>
      <c r="GB1451" s="1" t="s">
        <v>14302</v>
      </c>
      <c r="GE1451" s="1" t="s">
        <v>210</v>
      </c>
      <c r="GH1451" s="1" t="s">
        <v>589</v>
      </c>
      <c r="GI1451" s="1" t="s">
        <v>213</v>
      </c>
      <c r="GJ1451" s="1" t="s">
        <v>260</v>
      </c>
      <c r="GK1451" s="1" t="s">
        <v>210</v>
      </c>
      <c r="GL1451" s="2">
        <v>42117</v>
      </c>
    </row>
    <row r="1452" spans="1:195">
      <c r="A1452" s="1">
        <v>183500</v>
      </c>
      <c r="B1452" s="1" t="s">
        <v>195</v>
      </c>
      <c r="C1452" s="1" t="str">
        <f>"08873213"</f>
        <v>08873213</v>
      </c>
      <c r="D1452" s="1" t="s">
        <v>196</v>
      </c>
      <c r="F1452" s="1" t="str">
        <f>"532"</f>
        <v>532</v>
      </c>
      <c r="G1452" s="2">
        <v>42089</v>
      </c>
      <c r="H1452" s="1">
        <v>190000</v>
      </c>
      <c r="I1452" s="1">
        <v>190000</v>
      </c>
      <c r="J1452" s="1">
        <v>183500</v>
      </c>
      <c r="K1452" s="2">
        <v>42088</v>
      </c>
      <c r="L1452" s="1">
        <v>9</v>
      </c>
      <c r="M1452" s="2">
        <v>42096</v>
      </c>
      <c r="N1452" s="1">
        <v>9</v>
      </c>
      <c r="O1452" s="2">
        <v>42096</v>
      </c>
      <c r="P1452" s="1">
        <v>23120</v>
      </c>
      <c r="Q1452" s="1" t="s">
        <v>197</v>
      </c>
      <c r="R1452" s="2">
        <v>42145</v>
      </c>
      <c r="S1452" s="1">
        <v>227850</v>
      </c>
      <c r="U1452" s="1">
        <v>1111</v>
      </c>
      <c r="V1452" s="1" t="s">
        <v>14303</v>
      </c>
      <c r="W1452" s="1" t="s">
        <v>425</v>
      </c>
      <c r="X1452" s="1">
        <v>214</v>
      </c>
      <c r="Y1452" s="1">
        <v>59</v>
      </c>
      <c r="Z1452" s="1" t="s">
        <v>249</v>
      </c>
      <c r="AA1452" s="1" t="s">
        <v>1566</v>
      </c>
      <c r="AB1452" s="1">
        <v>60532</v>
      </c>
      <c r="AD1452" s="1" t="s">
        <v>14304</v>
      </c>
      <c r="AE1452" s="1" t="s">
        <v>14305</v>
      </c>
      <c r="AF1452" s="1">
        <v>2001</v>
      </c>
      <c r="AG1452" s="1" t="s">
        <v>204</v>
      </c>
      <c r="AH1452" s="1" t="s">
        <v>925</v>
      </c>
      <c r="AI1452" s="1" t="s">
        <v>206</v>
      </c>
      <c r="AJ1452" s="1" t="s">
        <v>925</v>
      </c>
      <c r="AL1452" s="1">
        <v>5</v>
      </c>
      <c r="AM1452" s="1">
        <v>2</v>
      </c>
      <c r="AN1452" s="1">
        <v>2</v>
      </c>
      <c r="AO1452" s="1">
        <v>0</v>
      </c>
      <c r="AP1452" s="1" t="s">
        <v>209</v>
      </c>
      <c r="AR1452" s="1" t="s">
        <v>210</v>
      </c>
      <c r="AT1452" s="1" t="s">
        <v>211</v>
      </c>
      <c r="AU1452" s="1">
        <v>1</v>
      </c>
      <c r="AW1452" s="1" t="s">
        <v>204</v>
      </c>
      <c r="AX1452" s="1" t="s">
        <v>212</v>
      </c>
      <c r="AZ1452" s="1">
        <v>4614</v>
      </c>
      <c r="BA1452" s="1">
        <v>2013</v>
      </c>
      <c r="BB1452" s="1" t="s">
        <v>405</v>
      </c>
      <c r="BE1452" s="1">
        <v>1187</v>
      </c>
      <c r="BF1452" s="1">
        <v>2</v>
      </c>
      <c r="BG1452" s="1">
        <v>30</v>
      </c>
      <c r="BL1452" s="1">
        <v>289</v>
      </c>
      <c r="BM1452" s="1" t="s">
        <v>204</v>
      </c>
      <c r="BN1452" s="1" t="s">
        <v>213</v>
      </c>
      <c r="BO1452" s="1">
        <v>40</v>
      </c>
      <c r="BP1452" s="1" t="s">
        <v>204</v>
      </c>
      <c r="BR1452" s="1" t="str">
        <f>"0810227016"</f>
        <v>0810227016</v>
      </c>
      <c r="BT1452" s="1" t="s">
        <v>14306</v>
      </c>
      <c r="BU1452" s="1" t="s">
        <v>5789</v>
      </c>
      <c r="BV1452" s="1" t="s">
        <v>5790</v>
      </c>
      <c r="BW1452" s="1" t="s">
        <v>5791</v>
      </c>
      <c r="BX1452" s="1">
        <v>202</v>
      </c>
      <c r="BY1452" s="1">
        <v>202</v>
      </c>
      <c r="BZ1452" s="1">
        <v>202</v>
      </c>
      <c r="CB1452" s="1" t="str">
        <f t="shared" ref="CB1452:CC1452" si="1106">"0"</f>
        <v>0</v>
      </c>
      <c r="CC1452" s="1" t="str">
        <f t="shared" si="1106"/>
        <v>0</v>
      </c>
      <c r="CD1452" s="1">
        <v>23</v>
      </c>
      <c r="CE1452" s="1">
        <v>5</v>
      </c>
      <c r="CG1452" s="1" t="s">
        <v>861</v>
      </c>
      <c r="CH1452" s="1" t="s">
        <v>219</v>
      </c>
      <c r="CI1452" s="1" t="s">
        <v>220</v>
      </c>
      <c r="CJ1452" s="1" t="s">
        <v>343</v>
      </c>
      <c r="CK1452" s="1" t="s">
        <v>564</v>
      </c>
      <c r="CL1452" s="1" t="s">
        <v>219</v>
      </c>
      <c r="CM1452" s="1" t="s">
        <v>220</v>
      </c>
      <c r="CO1452" s="1" t="s">
        <v>2308</v>
      </c>
      <c r="CP1452" s="1" t="s">
        <v>219</v>
      </c>
      <c r="CQ1452" s="1" t="s">
        <v>220</v>
      </c>
      <c r="CS1452" s="1" t="s">
        <v>379</v>
      </c>
      <c r="CT1452" s="1" t="s">
        <v>219</v>
      </c>
      <c r="CU1452" s="1" t="s">
        <v>220</v>
      </c>
      <c r="CX1452" s="1" t="s">
        <v>224</v>
      </c>
      <c r="DB1452" s="1" t="s">
        <v>224</v>
      </c>
      <c r="DE1452" s="1" t="s">
        <v>316</v>
      </c>
      <c r="DF1452" s="1" t="s">
        <v>219</v>
      </c>
      <c r="DG1452" s="1" t="s">
        <v>226</v>
      </c>
      <c r="DJ1452" s="1" t="s">
        <v>224</v>
      </c>
      <c r="DS1452" s="1" t="s">
        <v>230</v>
      </c>
      <c r="DW1452" s="1" t="s">
        <v>230</v>
      </c>
      <c r="EA1452" s="1" t="s">
        <v>230</v>
      </c>
      <c r="EE1452" s="1" t="s">
        <v>230</v>
      </c>
      <c r="EI1452" s="1" t="s">
        <v>230</v>
      </c>
      <c r="EL1452" s="1" t="s">
        <v>466</v>
      </c>
      <c r="EM1452" s="1" t="s">
        <v>232</v>
      </c>
      <c r="EN1452" s="1" t="s">
        <v>282</v>
      </c>
      <c r="EO1452" s="1" t="s">
        <v>234</v>
      </c>
      <c r="EP1452" s="1" t="s">
        <v>10476</v>
      </c>
      <c r="EQ1452" s="1" t="s">
        <v>492</v>
      </c>
      <c r="ER1452" s="1" t="s">
        <v>210</v>
      </c>
      <c r="EU1452" s="1" t="s">
        <v>239</v>
      </c>
      <c r="EW1452" s="1" t="s">
        <v>14307</v>
      </c>
      <c r="EZ1452" s="1" t="s">
        <v>287</v>
      </c>
      <c r="FC1452" s="1" t="s">
        <v>548</v>
      </c>
      <c r="FD1452" s="1" t="s">
        <v>3287</v>
      </c>
      <c r="FE1452" s="1" t="s">
        <v>247</v>
      </c>
      <c r="FF1452" s="1" t="s">
        <v>248</v>
      </c>
      <c r="FH1452" s="1" t="s">
        <v>249</v>
      </c>
      <c r="FI1452" s="1" t="s">
        <v>848</v>
      </c>
      <c r="FL1452" s="1" t="s">
        <v>414</v>
      </c>
      <c r="FM1452" s="1" t="s">
        <v>252</v>
      </c>
      <c r="FN1452" s="1" t="s">
        <v>213</v>
      </c>
      <c r="FO1452" s="1" t="s">
        <v>213</v>
      </c>
      <c r="FQ1452" s="1" t="s">
        <v>673</v>
      </c>
      <c r="FR1452" s="1" t="s">
        <v>210</v>
      </c>
      <c r="FS1452" s="1" t="s">
        <v>14308</v>
      </c>
      <c r="FT1452" s="1" t="s">
        <v>675</v>
      </c>
      <c r="FU1452" s="1" t="s">
        <v>204</v>
      </c>
      <c r="FW1452" s="1" t="s">
        <v>5648</v>
      </c>
      <c r="FX1452" s="1">
        <v>23099</v>
      </c>
      <c r="FY1452" s="1" t="s">
        <v>5649</v>
      </c>
      <c r="FZ1452" s="1" t="s">
        <v>5650</v>
      </c>
      <c r="GA1452" s="1">
        <v>223832</v>
      </c>
      <c r="GB1452" s="1" t="s">
        <v>5651</v>
      </c>
      <c r="GE1452" s="1" t="s">
        <v>1226</v>
      </c>
      <c r="GI1452" s="1" t="s">
        <v>213</v>
      </c>
      <c r="GJ1452" s="1" t="s">
        <v>260</v>
      </c>
      <c r="GK1452" s="1" t="s">
        <v>210</v>
      </c>
      <c r="GL1452" s="2">
        <v>42146</v>
      </c>
      <c r="GM1452" s="1" t="s">
        <v>14309</v>
      </c>
    </row>
    <row r="1453" spans="1:195">
      <c r="A1453" s="1">
        <v>112900</v>
      </c>
      <c r="B1453" s="1" t="s">
        <v>195</v>
      </c>
      <c r="C1453" s="1" t="str">
        <f>"08874871"</f>
        <v>08874871</v>
      </c>
      <c r="D1453" s="1" t="s">
        <v>196</v>
      </c>
      <c r="F1453" s="1" t="str">
        <f>"19"</f>
        <v>19</v>
      </c>
      <c r="G1453" s="2">
        <v>42091</v>
      </c>
      <c r="H1453" s="1">
        <v>112900</v>
      </c>
      <c r="I1453" s="1">
        <v>112900</v>
      </c>
      <c r="J1453" s="1">
        <v>112900</v>
      </c>
      <c r="K1453" s="2">
        <v>42091</v>
      </c>
      <c r="L1453" s="1">
        <v>5</v>
      </c>
      <c r="M1453" s="2">
        <v>42095</v>
      </c>
      <c r="N1453" s="1">
        <v>5</v>
      </c>
      <c r="O1453" s="2">
        <v>42095</v>
      </c>
      <c r="P1453" s="1">
        <v>8079</v>
      </c>
      <c r="Q1453" s="1" t="s">
        <v>423</v>
      </c>
      <c r="R1453" s="2">
        <v>42143</v>
      </c>
      <c r="S1453" s="1">
        <v>80727</v>
      </c>
      <c r="T1453" s="1">
        <v>3300</v>
      </c>
      <c r="U1453" s="1">
        <v>329</v>
      </c>
      <c r="V1453" s="1" t="s">
        <v>1012</v>
      </c>
      <c r="W1453" s="1" t="s">
        <v>449</v>
      </c>
      <c r="Y1453" s="1">
        <v>1</v>
      </c>
      <c r="Z1453" s="1" t="s">
        <v>370</v>
      </c>
      <c r="AA1453" s="1" t="s">
        <v>1013</v>
      </c>
      <c r="AB1453" s="1">
        <v>60020</v>
      </c>
      <c r="AD1453" s="1" t="s">
        <v>1012</v>
      </c>
      <c r="AE1453" s="1" t="s">
        <v>14310</v>
      </c>
      <c r="AF1453" s="1">
        <v>2005</v>
      </c>
      <c r="AG1453" s="1" t="s">
        <v>204</v>
      </c>
      <c r="AH1453" s="1" t="s">
        <v>1015</v>
      </c>
      <c r="AI1453" s="1" t="s">
        <v>509</v>
      </c>
      <c r="AJ1453" s="1" t="s">
        <v>1016</v>
      </c>
      <c r="AK1453" s="1" t="s">
        <v>1017</v>
      </c>
      <c r="AL1453" s="1">
        <v>5</v>
      </c>
      <c r="AM1453" s="1">
        <v>2</v>
      </c>
      <c r="AN1453" s="1">
        <v>1</v>
      </c>
      <c r="AO1453" s="1">
        <v>1</v>
      </c>
      <c r="AP1453" s="1" t="s">
        <v>667</v>
      </c>
      <c r="AR1453" s="1" t="s">
        <v>210</v>
      </c>
      <c r="AS1453" s="1" t="s">
        <v>204</v>
      </c>
      <c r="AT1453" s="1" t="s">
        <v>211</v>
      </c>
      <c r="AU1453" s="1">
        <v>2</v>
      </c>
      <c r="AW1453" s="1" t="s">
        <v>204</v>
      </c>
      <c r="AX1453" s="1" t="s">
        <v>579</v>
      </c>
      <c r="AZ1453" s="1">
        <v>1972.77</v>
      </c>
      <c r="BA1453" s="1">
        <v>2014</v>
      </c>
      <c r="BB1453" s="1" t="s">
        <v>405</v>
      </c>
      <c r="BE1453" s="1">
        <v>1144</v>
      </c>
      <c r="BF1453" s="1">
        <v>1</v>
      </c>
      <c r="BG1453" s="1">
        <v>0</v>
      </c>
      <c r="BL1453" s="1">
        <v>117</v>
      </c>
      <c r="BM1453" s="1" t="s">
        <v>204</v>
      </c>
      <c r="BN1453" s="1" t="s">
        <v>213</v>
      </c>
      <c r="BP1453" s="1" t="s">
        <v>204</v>
      </c>
      <c r="BR1453" s="1" t="str">
        <f>"05224010580000"</f>
        <v>05224010580000</v>
      </c>
      <c r="BT1453" s="1" t="s">
        <v>14311</v>
      </c>
      <c r="BU1453" s="1" t="s">
        <v>6153</v>
      </c>
      <c r="BV1453" s="1" t="s">
        <v>6488</v>
      </c>
      <c r="BW1453" s="1" t="s">
        <v>2264</v>
      </c>
      <c r="BX1453" s="1">
        <v>38</v>
      </c>
      <c r="BY1453" s="1">
        <v>38</v>
      </c>
      <c r="BZ1453" s="1">
        <v>124</v>
      </c>
      <c r="CB1453" s="1" t="str">
        <f t="shared" ref="CB1453:CC1453" si="1107">""</f>
        <v/>
      </c>
      <c r="CC1453" s="1" t="str">
        <f t="shared" si="1107"/>
        <v/>
      </c>
      <c r="CG1453" s="1" t="s">
        <v>344</v>
      </c>
      <c r="CH1453" s="1" t="s">
        <v>219</v>
      </c>
      <c r="CI1453" s="1" t="s">
        <v>220</v>
      </c>
      <c r="CK1453" s="1" t="s">
        <v>602</v>
      </c>
      <c r="CL1453" s="1" t="s">
        <v>277</v>
      </c>
      <c r="CM1453" s="1" t="s">
        <v>220</v>
      </c>
      <c r="CP1453" s="1" t="s">
        <v>224</v>
      </c>
      <c r="CS1453" s="1" t="s">
        <v>379</v>
      </c>
      <c r="CT1453" s="1" t="s">
        <v>277</v>
      </c>
      <c r="CU1453" s="1" t="s">
        <v>220</v>
      </c>
      <c r="CX1453" s="1" t="s">
        <v>224</v>
      </c>
      <c r="DB1453" s="1" t="s">
        <v>224</v>
      </c>
      <c r="DE1453" s="1" t="s">
        <v>281</v>
      </c>
      <c r="DF1453" s="1" t="s">
        <v>219</v>
      </c>
      <c r="DG1453" s="1" t="s">
        <v>438</v>
      </c>
      <c r="DJ1453" s="1" t="s">
        <v>224</v>
      </c>
      <c r="DM1453" s="1" t="s">
        <v>381</v>
      </c>
      <c r="DR1453" s="1" t="s">
        <v>379</v>
      </c>
      <c r="DS1453" s="1" t="s">
        <v>219</v>
      </c>
      <c r="DT1453" s="1" t="s">
        <v>438</v>
      </c>
      <c r="DW1453" s="1" t="s">
        <v>230</v>
      </c>
      <c r="EA1453" s="1" t="s">
        <v>230</v>
      </c>
      <c r="EE1453" s="1" t="s">
        <v>230</v>
      </c>
      <c r="EI1453" s="1" t="s">
        <v>230</v>
      </c>
      <c r="EL1453" s="1" t="s">
        <v>491</v>
      </c>
      <c r="EM1453" s="1" t="s">
        <v>319</v>
      </c>
      <c r="EN1453" s="1" t="s">
        <v>282</v>
      </c>
      <c r="EO1453" s="1" t="s">
        <v>234</v>
      </c>
      <c r="EQ1453" s="1" t="s">
        <v>468</v>
      </c>
      <c r="ER1453" s="1" t="s">
        <v>210</v>
      </c>
      <c r="ES1453" s="1" t="s">
        <v>322</v>
      </c>
      <c r="EW1453" s="1" t="s">
        <v>1250</v>
      </c>
      <c r="EZ1453" s="1" t="s">
        <v>381</v>
      </c>
      <c r="FB1453" s="1" t="s">
        <v>289</v>
      </c>
      <c r="FC1453" s="1" t="s">
        <v>326</v>
      </c>
      <c r="FD1453" s="1" t="s">
        <v>3287</v>
      </c>
      <c r="FE1453" s="1" t="s">
        <v>975</v>
      </c>
      <c r="FF1453" s="1" t="s">
        <v>248</v>
      </c>
      <c r="FH1453" s="1" t="s">
        <v>550</v>
      </c>
      <c r="FI1453" s="1" t="s">
        <v>357</v>
      </c>
      <c r="FJ1453" s="1" t="s">
        <v>518</v>
      </c>
      <c r="FL1453" s="1" t="s">
        <v>358</v>
      </c>
      <c r="FM1453" s="1" t="s">
        <v>252</v>
      </c>
      <c r="FN1453" s="1" t="s">
        <v>213</v>
      </c>
      <c r="FO1453" s="1" t="s">
        <v>213</v>
      </c>
      <c r="FQ1453" s="1" t="s">
        <v>14312</v>
      </c>
      <c r="FR1453" s="1" t="s">
        <v>652</v>
      </c>
      <c r="FS1453" s="1" t="s">
        <v>14313</v>
      </c>
      <c r="FT1453" s="1" t="s">
        <v>295</v>
      </c>
      <c r="FU1453" s="1" t="s">
        <v>204</v>
      </c>
      <c r="FW1453" s="1" t="s">
        <v>14314</v>
      </c>
      <c r="FX1453" s="1">
        <v>1835</v>
      </c>
      <c r="FY1453" s="1" t="s">
        <v>14315</v>
      </c>
      <c r="FZ1453" s="1" t="s">
        <v>14316</v>
      </c>
      <c r="GA1453" s="1">
        <v>16179</v>
      </c>
      <c r="GB1453" s="1" t="s">
        <v>14317</v>
      </c>
      <c r="GE1453" s="1" t="s">
        <v>480</v>
      </c>
      <c r="GI1453" s="1" t="s">
        <v>213</v>
      </c>
      <c r="GJ1453" s="1" t="s">
        <v>260</v>
      </c>
      <c r="GK1453" s="1" t="s">
        <v>210</v>
      </c>
      <c r="GL1453" s="2">
        <v>42143</v>
      </c>
      <c r="GM1453" s="1" t="s">
        <v>14318</v>
      </c>
    </row>
    <row r="1454" spans="1:195">
      <c r="A1454" s="1">
        <v>77000</v>
      </c>
      <c r="B1454" s="1" t="s">
        <v>195</v>
      </c>
      <c r="C1454" s="1" t="str">
        <f>"08868084"</f>
        <v>08868084</v>
      </c>
      <c r="D1454" s="1" t="s">
        <v>196</v>
      </c>
      <c r="F1454" s="1" t="str">
        <f>"148"</f>
        <v>148</v>
      </c>
      <c r="G1454" s="2">
        <v>42083</v>
      </c>
      <c r="H1454" s="1">
        <v>90000</v>
      </c>
      <c r="I1454" s="1">
        <v>90000</v>
      </c>
      <c r="J1454" s="1">
        <v>77000</v>
      </c>
      <c r="K1454" s="2">
        <v>42083</v>
      </c>
      <c r="L1454" s="1">
        <v>9</v>
      </c>
      <c r="M1454" s="2">
        <v>42091</v>
      </c>
      <c r="N1454" s="1">
        <v>9</v>
      </c>
      <c r="O1454" s="2">
        <v>42091</v>
      </c>
      <c r="P1454" s="1">
        <v>24213</v>
      </c>
      <c r="Q1454" s="1" t="s">
        <v>302</v>
      </c>
      <c r="R1454" s="2">
        <v>42109</v>
      </c>
      <c r="S1454" s="1">
        <v>244751</v>
      </c>
      <c r="U1454" s="1">
        <v>1320</v>
      </c>
      <c r="V1454" s="1" t="s">
        <v>13884</v>
      </c>
      <c r="W1454" s="1" t="s">
        <v>504</v>
      </c>
      <c r="X1454" s="1">
        <v>202</v>
      </c>
      <c r="Y1454" s="1">
        <v>45</v>
      </c>
      <c r="Z1454" s="1" t="s">
        <v>249</v>
      </c>
      <c r="AA1454" s="1" t="s">
        <v>1927</v>
      </c>
      <c r="AB1454" s="1">
        <v>60148</v>
      </c>
      <c r="AE1454" s="1" t="s">
        <v>14319</v>
      </c>
      <c r="AF1454" s="1">
        <v>1967</v>
      </c>
      <c r="AG1454" s="1" t="s">
        <v>213</v>
      </c>
      <c r="AH1454" s="1" t="s">
        <v>1930</v>
      </c>
      <c r="AI1454" s="1" t="s">
        <v>206</v>
      </c>
      <c r="AJ1454" s="1" t="s">
        <v>1608</v>
      </c>
      <c r="AL1454" s="1">
        <v>5</v>
      </c>
      <c r="AM1454" s="1">
        <v>2</v>
      </c>
      <c r="AN1454" s="1">
        <v>1</v>
      </c>
      <c r="AO1454" s="1">
        <v>1</v>
      </c>
      <c r="AP1454" s="1" t="s">
        <v>1234</v>
      </c>
      <c r="AR1454" s="1" t="s">
        <v>210</v>
      </c>
      <c r="AT1454" s="1" t="s">
        <v>271</v>
      </c>
      <c r="AV1454" s="1">
        <v>2</v>
      </c>
      <c r="AW1454" s="1" t="s">
        <v>204</v>
      </c>
      <c r="AX1454" s="1" t="s">
        <v>212</v>
      </c>
      <c r="AZ1454" s="1">
        <v>1507.78</v>
      </c>
      <c r="BA1454" s="1">
        <v>2013</v>
      </c>
      <c r="BE1454" s="1">
        <v>1058</v>
      </c>
      <c r="BF1454" s="1">
        <v>2</v>
      </c>
      <c r="BG1454" s="1">
        <v>0</v>
      </c>
      <c r="BL1454" s="1">
        <v>363</v>
      </c>
      <c r="BM1454" s="1" t="s">
        <v>204</v>
      </c>
      <c r="BN1454" s="1" t="s">
        <v>213</v>
      </c>
      <c r="BO1454" s="1">
        <v>15</v>
      </c>
      <c r="BP1454" s="1" t="s">
        <v>204</v>
      </c>
      <c r="BR1454" s="1" t="str">
        <f>"0619203072"</f>
        <v>0619203072</v>
      </c>
      <c r="BT1454" s="1" t="s">
        <v>14320</v>
      </c>
      <c r="BU1454" s="1" t="s">
        <v>1933</v>
      </c>
      <c r="BV1454" s="1" t="s">
        <v>1934</v>
      </c>
      <c r="BW1454" s="1" t="s">
        <v>1935</v>
      </c>
      <c r="BX1454" s="1">
        <v>44</v>
      </c>
      <c r="BY1454" s="1">
        <v>44</v>
      </c>
      <c r="BZ1454" s="1">
        <v>87</v>
      </c>
      <c r="CB1454" s="1" t="str">
        <f t="shared" ref="CB1454:CC1454" si="1108">""</f>
        <v/>
      </c>
      <c r="CC1454" s="1" t="str">
        <f t="shared" si="1108"/>
        <v/>
      </c>
      <c r="CG1454" s="1" t="s">
        <v>10859</v>
      </c>
      <c r="CH1454" s="1" t="s">
        <v>219</v>
      </c>
      <c r="CI1454" s="1" t="s">
        <v>220</v>
      </c>
      <c r="CJ1454" s="1" t="s">
        <v>343</v>
      </c>
      <c r="CK1454" s="1" t="s">
        <v>729</v>
      </c>
      <c r="CL1454" s="1" t="s">
        <v>277</v>
      </c>
      <c r="CM1454" s="1" t="s">
        <v>220</v>
      </c>
      <c r="CN1454" s="1" t="s">
        <v>210</v>
      </c>
      <c r="CO1454" s="1" t="s">
        <v>629</v>
      </c>
      <c r="CP1454" s="1" t="s">
        <v>219</v>
      </c>
      <c r="CQ1454" s="1" t="s">
        <v>220</v>
      </c>
      <c r="CR1454" s="1" t="s">
        <v>210</v>
      </c>
      <c r="CS1454" s="1" t="s">
        <v>346</v>
      </c>
      <c r="CT1454" s="1" t="s">
        <v>277</v>
      </c>
      <c r="CU1454" s="1" t="s">
        <v>220</v>
      </c>
      <c r="CV1454" s="1" t="s">
        <v>210</v>
      </c>
      <c r="CX1454" s="1" t="s">
        <v>224</v>
      </c>
      <c r="DB1454" s="1" t="s">
        <v>224</v>
      </c>
      <c r="DE1454" s="1" t="s">
        <v>379</v>
      </c>
      <c r="DF1454" s="1" t="s">
        <v>219</v>
      </c>
      <c r="DG1454" s="1" t="s">
        <v>226</v>
      </c>
      <c r="DH1454" s="1" t="s">
        <v>210</v>
      </c>
      <c r="DJ1454" s="1" t="s">
        <v>224</v>
      </c>
      <c r="DS1454" s="1" t="s">
        <v>230</v>
      </c>
      <c r="DW1454" s="1" t="s">
        <v>230</v>
      </c>
      <c r="EA1454" s="1" t="s">
        <v>230</v>
      </c>
      <c r="EE1454" s="1" t="s">
        <v>230</v>
      </c>
      <c r="EI1454" s="1" t="s">
        <v>230</v>
      </c>
      <c r="EL1454" s="1" t="s">
        <v>605</v>
      </c>
      <c r="EM1454" s="1" t="s">
        <v>319</v>
      </c>
      <c r="EN1454" s="1" t="s">
        <v>233</v>
      </c>
      <c r="EO1454" s="1" t="s">
        <v>234</v>
      </c>
      <c r="ER1454" s="1" t="s">
        <v>210</v>
      </c>
      <c r="ES1454" s="1" t="s">
        <v>322</v>
      </c>
      <c r="EV1454" s="1" t="s">
        <v>240</v>
      </c>
      <c r="EW1454" s="1" t="s">
        <v>1574</v>
      </c>
      <c r="EZ1454" s="1" t="s">
        <v>287</v>
      </c>
      <c r="FD1454" s="1" t="s">
        <v>290</v>
      </c>
      <c r="FE1454" s="1" t="s">
        <v>247</v>
      </c>
      <c r="FF1454" s="1" t="s">
        <v>248</v>
      </c>
      <c r="FH1454" s="1" t="s">
        <v>249</v>
      </c>
      <c r="FL1454" s="1" t="s">
        <v>2233</v>
      </c>
      <c r="FM1454" s="1" t="s">
        <v>252</v>
      </c>
      <c r="FN1454" s="1" t="s">
        <v>213</v>
      </c>
      <c r="FO1454" s="1" t="s">
        <v>213</v>
      </c>
      <c r="FQ1454" s="1" t="s">
        <v>793</v>
      </c>
      <c r="FR1454" s="1" t="s">
        <v>210</v>
      </c>
      <c r="FS1454" s="1" t="s">
        <v>9415</v>
      </c>
      <c r="FT1454" s="1" t="s">
        <v>362</v>
      </c>
      <c r="FU1454" s="1" t="s">
        <v>204</v>
      </c>
      <c r="FW1454" s="1" t="s">
        <v>915</v>
      </c>
      <c r="FX1454" s="1">
        <v>24071</v>
      </c>
      <c r="FY1454" s="1" t="s">
        <v>2208</v>
      </c>
      <c r="FZ1454" s="1" t="s">
        <v>8053</v>
      </c>
      <c r="GA1454" s="1">
        <v>245237</v>
      </c>
      <c r="GB1454" s="1" t="s">
        <v>8054</v>
      </c>
      <c r="GC1454" s="1">
        <v>236918</v>
      </c>
      <c r="GE1454" s="1" t="s">
        <v>210</v>
      </c>
      <c r="GI1454" s="1" t="s">
        <v>213</v>
      </c>
      <c r="GJ1454" s="1" t="s">
        <v>260</v>
      </c>
      <c r="GK1454" s="1" t="s">
        <v>210</v>
      </c>
      <c r="GL1454" s="2">
        <v>42110</v>
      </c>
      <c r="GM1454" s="1" t="s">
        <v>14321</v>
      </c>
    </row>
    <row r="1455" spans="1:195">
      <c r="A1455" s="1">
        <v>102000</v>
      </c>
      <c r="B1455" s="1" t="s">
        <v>195</v>
      </c>
      <c r="C1455" s="1" t="str">
        <f>"08873668"</f>
        <v>08873668</v>
      </c>
      <c r="D1455" s="1" t="s">
        <v>196</v>
      </c>
      <c r="F1455" s="1" t="str">
        <f>"187"</f>
        <v>187</v>
      </c>
      <c r="G1455" s="2">
        <v>42090</v>
      </c>
      <c r="H1455" s="1">
        <v>109900</v>
      </c>
      <c r="I1455" s="1">
        <v>109900</v>
      </c>
      <c r="J1455" s="1">
        <v>102000</v>
      </c>
      <c r="K1455" s="2">
        <v>42090</v>
      </c>
      <c r="L1455" s="1">
        <v>5</v>
      </c>
      <c r="M1455" s="2">
        <v>42094</v>
      </c>
      <c r="N1455" s="1">
        <v>5</v>
      </c>
      <c r="O1455" s="2">
        <v>42094</v>
      </c>
      <c r="P1455" s="1">
        <v>23099</v>
      </c>
      <c r="Q1455" s="1" t="s">
        <v>197</v>
      </c>
      <c r="R1455" s="2">
        <v>42142</v>
      </c>
      <c r="S1455" s="1">
        <v>256407</v>
      </c>
      <c r="U1455" s="1">
        <v>2051</v>
      </c>
      <c r="V1455" s="1" t="s">
        <v>12328</v>
      </c>
      <c r="W1455" s="1" t="s">
        <v>264</v>
      </c>
      <c r="X1455" s="7">
        <v>42008</v>
      </c>
      <c r="Y1455" s="1">
        <v>8</v>
      </c>
      <c r="Z1455" s="1" t="s">
        <v>249</v>
      </c>
      <c r="AA1455" s="1" t="s">
        <v>964</v>
      </c>
      <c r="AB1455" s="1">
        <v>60189</v>
      </c>
      <c r="AD1455" s="1" t="s">
        <v>2789</v>
      </c>
      <c r="AE1455" s="1" t="s">
        <v>14322</v>
      </c>
      <c r="AF1455" s="1">
        <v>1972</v>
      </c>
      <c r="AG1455" s="1" t="s">
        <v>213</v>
      </c>
      <c r="AH1455" s="1" t="s">
        <v>967</v>
      </c>
      <c r="AI1455" s="1" t="s">
        <v>206</v>
      </c>
      <c r="AJ1455" s="1" t="s">
        <v>207</v>
      </c>
      <c r="AL1455" s="1">
        <v>5</v>
      </c>
      <c r="AM1455" s="1">
        <v>2</v>
      </c>
      <c r="AN1455" s="1">
        <v>1</v>
      </c>
      <c r="AO1455" s="1">
        <v>0</v>
      </c>
      <c r="AP1455" s="1" t="s">
        <v>210</v>
      </c>
      <c r="AQ1455" s="1">
        <v>1</v>
      </c>
      <c r="AR1455" s="1" t="s">
        <v>210</v>
      </c>
      <c r="AS1455" s="1" t="s">
        <v>204</v>
      </c>
      <c r="AT1455" s="1" t="s">
        <v>211</v>
      </c>
      <c r="AU1455" s="1">
        <v>1</v>
      </c>
      <c r="AW1455" s="1" t="s">
        <v>204</v>
      </c>
      <c r="AX1455" s="1" t="s">
        <v>212</v>
      </c>
      <c r="AZ1455" s="1">
        <v>2818</v>
      </c>
      <c r="BA1455" s="1">
        <v>2013</v>
      </c>
      <c r="BB1455" s="1" t="s">
        <v>405</v>
      </c>
      <c r="BE1455" s="1">
        <v>934</v>
      </c>
      <c r="BF1455" s="1">
        <v>1</v>
      </c>
      <c r="BG1455" s="1">
        <v>0</v>
      </c>
      <c r="BL1455" s="1">
        <v>246</v>
      </c>
      <c r="BM1455" s="1" t="s">
        <v>204</v>
      </c>
      <c r="BN1455" s="1" t="s">
        <v>213</v>
      </c>
      <c r="BO1455" s="1">
        <v>999</v>
      </c>
      <c r="BP1455" s="1" t="s">
        <v>204</v>
      </c>
      <c r="BR1455" s="1" t="str">
        <f>"0519411051"</f>
        <v>0519411051</v>
      </c>
      <c r="BT1455" s="1" t="s">
        <v>14323</v>
      </c>
      <c r="BU1455" s="1" t="s">
        <v>1327</v>
      </c>
      <c r="BV1455" s="1" t="s">
        <v>970</v>
      </c>
      <c r="BW1455" s="1" t="s">
        <v>971</v>
      </c>
      <c r="BX1455" s="1">
        <v>200</v>
      </c>
      <c r="BY1455" s="1">
        <v>200</v>
      </c>
      <c r="BZ1455" s="1">
        <v>200</v>
      </c>
      <c r="CB1455" s="1" t="str">
        <f t="shared" ref="CB1455:CC1455" si="1109">""</f>
        <v/>
      </c>
      <c r="CC1455" s="1" t="str">
        <f t="shared" si="1109"/>
        <v/>
      </c>
      <c r="CG1455" s="1" t="s">
        <v>7425</v>
      </c>
      <c r="CH1455" s="1" t="s">
        <v>219</v>
      </c>
      <c r="CI1455" s="1" t="s">
        <v>220</v>
      </c>
      <c r="CJ1455" s="1" t="s">
        <v>252</v>
      </c>
      <c r="CK1455" s="1" t="s">
        <v>315</v>
      </c>
      <c r="CL1455" s="1" t="s">
        <v>219</v>
      </c>
      <c r="CM1455" s="1" t="s">
        <v>220</v>
      </c>
      <c r="CN1455" s="1" t="s">
        <v>252</v>
      </c>
      <c r="CO1455" s="1" t="s">
        <v>379</v>
      </c>
      <c r="CP1455" s="1" t="s">
        <v>219</v>
      </c>
      <c r="CQ1455" s="1" t="s">
        <v>220</v>
      </c>
      <c r="CR1455" s="1" t="s">
        <v>210</v>
      </c>
      <c r="CS1455" s="1" t="s">
        <v>346</v>
      </c>
      <c r="CT1455" s="1" t="s">
        <v>219</v>
      </c>
      <c r="CU1455" s="1" t="s">
        <v>220</v>
      </c>
      <c r="CV1455" s="1" t="s">
        <v>252</v>
      </c>
      <c r="CX1455" s="1" t="s">
        <v>224</v>
      </c>
      <c r="DB1455" s="1" t="s">
        <v>224</v>
      </c>
      <c r="DE1455" s="1" t="s">
        <v>379</v>
      </c>
      <c r="DF1455" s="1" t="s">
        <v>219</v>
      </c>
      <c r="DG1455" s="1" t="s">
        <v>342</v>
      </c>
      <c r="DH1455" s="1" t="s">
        <v>210</v>
      </c>
      <c r="DJ1455" s="1" t="s">
        <v>224</v>
      </c>
      <c r="DS1455" s="1" t="s">
        <v>230</v>
      </c>
      <c r="DW1455" s="1" t="s">
        <v>230</v>
      </c>
      <c r="EA1455" s="1" t="s">
        <v>230</v>
      </c>
      <c r="EE1455" s="1" t="s">
        <v>230</v>
      </c>
      <c r="EI1455" s="1" t="s">
        <v>230</v>
      </c>
      <c r="EL1455" s="1" t="s">
        <v>605</v>
      </c>
      <c r="EM1455" s="1" t="s">
        <v>232</v>
      </c>
      <c r="EN1455" s="1" t="s">
        <v>282</v>
      </c>
      <c r="EO1455" s="1" t="s">
        <v>234</v>
      </c>
      <c r="EQ1455" s="1" t="s">
        <v>350</v>
      </c>
      <c r="ER1455" s="1" t="s">
        <v>383</v>
      </c>
      <c r="EV1455" s="1" t="s">
        <v>240</v>
      </c>
      <c r="EW1455" s="1" t="s">
        <v>7015</v>
      </c>
      <c r="EZ1455" s="1" t="s">
        <v>287</v>
      </c>
      <c r="FA1455" s="1" t="s">
        <v>1072</v>
      </c>
      <c r="FD1455" s="1" t="s">
        <v>246</v>
      </c>
      <c r="FE1455" s="1" t="s">
        <v>549</v>
      </c>
      <c r="FF1455" s="1" t="s">
        <v>248</v>
      </c>
      <c r="FG1455" s="1" t="s">
        <v>871</v>
      </c>
      <c r="FH1455" s="1" t="s">
        <v>249</v>
      </c>
      <c r="FI1455" s="1" t="s">
        <v>473</v>
      </c>
      <c r="FJ1455" s="1" t="s">
        <v>197</v>
      </c>
      <c r="FL1455" s="1" t="s">
        <v>358</v>
      </c>
      <c r="FM1455" s="1" t="s">
        <v>252</v>
      </c>
      <c r="FN1455" s="1" t="s">
        <v>213</v>
      </c>
      <c r="FO1455" s="1" t="s">
        <v>213</v>
      </c>
      <c r="FQ1455" s="1" t="s">
        <v>615</v>
      </c>
      <c r="FR1455" s="1" t="s">
        <v>652</v>
      </c>
      <c r="FS1455" s="1" t="s">
        <v>14324</v>
      </c>
      <c r="FT1455" s="1" t="s">
        <v>362</v>
      </c>
      <c r="FU1455" s="1" t="s">
        <v>204</v>
      </c>
      <c r="FW1455" s="1" t="s">
        <v>256</v>
      </c>
      <c r="FX1455" s="1">
        <v>25163</v>
      </c>
      <c r="FY1455" s="1" t="s">
        <v>257</v>
      </c>
      <c r="FZ1455" s="1" t="s">
        <v>3840</v>
      </c>
      <c r="GA1455" s="1">
        <v>254153</v>
      </c>
      <c r="GB1455" s="1" t="s">
        <v>3841</v>
      </c>
      <c r="GE1455" s="1" t="s">
        <v>658</v>
      </c>
      <c r="GI1455" s="1" t="s">
        <v>213</v>
      </c>
      <c r="GJ1455" s="1" t="s">
        <v>260</v>
      </c>
      <c r="GK1455" s="1" t="s">
        <v>210</v>
      </c>
      <c r="GL1455" s="2">
        <v>42145</v>
      </c>
      <c r="GM1455" s="1" t="s">
        <v>14325</v>
      </c>
    </row>
    <row r="1456" spans="1:195">
      <c r="A1456" s="1">
        <v>123000</v>
      </c>
      <c r="B1456" s="1" t="s">
        <v>195</v>
      </c>
      <c r="C1456" s="1" t="str">
        <f>"08873195"</f>
        <v>08873195</v>
      </c>
      <c r="D1456" s="1" t="s">
        <v>196</v>
      </c>
      <c r="F1456" s="1" t="str">
        <f>"46"</f>
        <v>46</v>
      </c>
      <c r="G1456" s="2">
        <v>42089</v>
      </c>
      <c r="H1456" s="1">
        <v>122500</v>
      </c>
      <c r="I1456" s="1">
        <v>122500</v>
      </c>
      <c r="J1456" s="1">
        <v>123000</v>
      </c>
      <c r="K1456" s="2">
        <v>42089</v>
      </c>
      <c r="L1456" s="1">
        <v>88</v>
      </c>
      <c r="M1456" s="2">
        <v>42097</v>
      </c>
      <c r="N1456" s="1">
        <v>9</v>
      </c>
      <c r="O1456" s="2">
        <v>42097</v>
      </c>
      <c r="P1456" s="1">
        <v>2414</v>
      </c>
      <c r="Q1456" s="1" t="s">
        <v>302</v>
      </c>
      <c r="R1456" s="2">
        <v>42124</v>
      </c>
      <c r="S1456" s="1">
        <v>239837</v>
      </c>
      <c r="U1456" s="1">
        <v>537</v>
      </c>
      <c r="V1456" s="1" t="s">
        <v>9317</v>
      </c>
      <c r="W1456" s="1" t="s">
        <v>3006</v>
      </c>
      <c r="X1456" s="1">
        <v>537</v>
      </c>
      <c r="Y1456" s="1">
        <v>5</v>
      </c>
      <c r="Z1456" s="1" t="s">
        <v>370</v>
      </c>
      <c r="AA1456" s="1" t="s">
        <v>2772</v>
      </c>
      <c r="AB1456" s="1">
        <v>60046</v>
      </c>
      <c r="AD1456" s="1" t="s">
        <v>14274</v>
      </c>
      <c r="AE1456" s="1" t="s">
        <v>14326</v>
      </c>
      <c r="AF1456" s="1">
        <v>1996</v>
      </c>
      <c r="AG1456" s="1" t="s">
        <v>204</v>
      </c>
      <c r="AH1456" s="1" t="s">
        <v>2775</v>
      </c>
      <c r="AI1456" s="1" t="s">
        <v>509</v>
      </c>
      <c r="AJ1456" s="1" t="s">
        <v>1437</v>
      </c>
      <c r="AL1456" s="1">
        <v>5</v>
      </c>
      <c r="AM1456" s="1">
        <v>2</v>
      </c>
      <c r="AN1456" s="1">
        <v>1</v>
      </c>
      <c r="AO1456" s="1">
        <v>0</v>
      </c>
      <c r="AP1456" s="1" t="s">
        <v>667</v>
      </c>
      <c r="AQ1456" s="1">
        <v>1</v>
      </c>
      <c r="AR1456" s="1" t="s">
        <v>210</v>
      </c>
      <c r="AS1456" s="1" t="s">
        <v>204</v>
      </c>
      <c r="AT1456" s="1" t="s">
        <v>211</v>
      </c>
      <c r="AU1456" s="1">
        <v>2</v>
      </c>
      <c r="AW1456" s="1" t="s">
        <v>204</v>
      </c>
      <c r="AX1456" s="1" t="s">
        <v>579</v>
      </c>
      <c r="AZ1456" s="5">
        <v>3460.62</v>
      </c>
      <c r="BA1456" s="1">
        <v>2013</v>
      </c>
      <c r="BE1456" s="1">
        <v>1276</v>
      </c>
      <c r="BF1456" s="1">
        <v>1</v>
      </c>
      <c r="BG1456" s="1">
        <v>5</v>
      </c>
      <c r="BL1456" s="1">
        <v>267</v>
      </c>
      <c r="BM1456" s="1" t="s">
        <v>204</v>
      </c>
      <c r="BN1456" s="1" t="s">
        <v>213</v>
      </c>
      <c r="BO1456" s="1">
        <v>40</v>
      </c>
      <c r="BP1456" s="1" t="s">
        <v>204</v>
      </c>
      <c r="BR1456" s="1" t="str">
        <f>"06013080440000"</f>
        <v>06013080440000</v>
      </c>
      <c r="BT1456" s="1" t="s">
        <v>14327</v>
      </c>
      <c r="BU1456" s="1" t="s">
        <v>9591</v>
      </c>
      <c r="BV1456" s="1" t="s">
        <v>9591</v>
      </c>
      <c r="BW1456" s="1" t="s">
        <v>1843</v>
      </c>
      <c r="BX1456" s="1">
        <v>24</v>
      </c>
      <c r="BY1456" s="1">
        <v>24</v>
      </c>
      <c r="BZ1456" s="1">
        <v>127</v>
      </c>
      <c r="CB1456" s="1" t="str">
        <f t="shared" ref="CB1456:CC1456" si="1110">""</f>
        <v/>
      </c>
      <c r="CC1456" s="1" t="str">
        <f t="shared" si="1110"/>
        <v/>
      </c>
      <c r="CG1456" s="1" t="s">
        <v>9164</v>
      </c>
      <c r="CH1456" s="1" t="s">
        <v>219</v>
      </c>
      <c r="CI1456" s="1" t="s">
        <v>229</v>
      </c>
      <c r="CK1456" s="1" t="s">
        <v>228</v>
      </c>
      <c r="CL1456" s="1" t="s">
        <v>219</v>
      </c>
      <c r="CM1456" s="1" t="s">
        <v>220</v>
      </c>
      <c r="CP1456" s="1" t="s">
        <v>224</v>
      </c>
      <c r="CS1456" s="1" t="s">
        <v>318</v>
      </c>
      <c r="CT1456" s="1" t="s">
        <v>219</v>
      </c>
      <c r="CU1456" s="1" t="s">
        <v>220</v>
      </c>
      <c r="CX1456" s="1" t="s">
        <v>224</v>
      </c>
      <c r="DB1456" s="1" t="s">
        <v>224</v>
      </c>
      <c r="DE1456" s="1" t="s">
        <v>318</v>
      </c>
      <c r="DF1456" s="1" t="s">
        <v>219</v>
      </c>
      <c r="DG1456" s="1" t="s">
        <v>342</v>
      </c>
      <c r="DJ1456" s="1" t="s">
        <v>224</v>
      </c>
      <c r="DM1456" s="1" t="s">
        <v>381</v>
      </c>
      <c r="DN1456" s="1" t="s">
        <v>3011</v>
      </c>
      <c r="DR1456" s="1" t="s">
        <v>318</v>
      </c>
      <c r="DS1456" s="1" t="s">
        <v>219</v>
      </c>
      <c r="DT1456" s="1" t="s">
        <v>229</v>
      </c>
      <c r="DV1456" s="1" t="s">
        <v>1774</v>
      </c>
      <c r="DW1456" s="1" t="s">
        <v>219</v>
      </c>
      <c r="DX1456" s="1" t="s">
        <v>342</v>
      </c>
      <c r="EA1456" s="1" t="s">
        <v>230</v>
      </c>
      <c r="EE1456" s="1" t="s">
        <v>230</v>
      </c>
      <c r="EI1456" s="1" t="s">
        <v>230</v>
      </c>
      <c r="EL1456" s="1" t="s">
        <v>670</v>
      </c>
      <c r="EM1456" s="1" t="s">
        <v>319</v>
      </c>
      <c r="EN1456" s="1" t="s">
        <v>282</v>
      </c>
      <c r="EO1456" s="1" t="s">
        <v>234</v>
      </c>
      <c r="EQ1456" s="1" t="s">
        <v>2994</v>
      </c>
      <c r="ER1456" s="1" t="s">
        <v>383</v>
      </c>
      <c r="EW1456" s="1" t="s">
        <v>353</v>
      </c>
      <c r="EZ1456" s="1" t="s">
        <v>14328</v>
      </c>
      <c r="FB1456" s="1" t="s">
        <v>289</v>
      </c>
      <c r="FD1456" s="1" t="s">
        <v>246</v>
      </c>
      <c r="FE1456" s="1" t="s">
        <v>472</v>
      </c>
      <c r="FF1456" s="1" t="s">
        <v>248</v>
      </c>
      <c r="FG1456" s="1" t="s">
        <v>912</v>
      </c>
      <c r="FH1456" s="1" t="s">
        <v>249</v>
      </c>
      <c r="FI1456" s="1" t="s">
        <v>357</v>
      </c>
      <c r="FJ1456" s="1" t="s">
        <v>518</v>
      </c>
      <c r="FL1456" s="1" t="s">
        <v>414</v>
      </c>
      <c r="FM1456" s="1" t="s">
        <v>252</v>
      </c>
      <c r="FN1456" s="1" t="s">
        <v>213</v>
      </c>
      <c r="FO1456" s="1" t="s">
        <v>213</v>
      </c>
      <c r="FQ1456" s="1" t="s">
        <v>14329</v>
      </c>
      <c r="FR1456" s="1" t="s">
        <v>210</v>
      </c>
      <c r="FS1456" s="1" t="s">
        <v>14313</v>
      </c>
      <c r="FT1456" s="1" t="s">
        <v>14330</v>
      </c>
      <c r="FU1456" s="1" t="s">
        <v>204</v>
      </c>
      <c r="FW1456" s="1" t="s">
        <v>14314</v>
      </c>
      <c r="FX1456" s="1">
        <v>1835</v>
      </c>
      <c r="FY1456" s="1" t="s">
        <v>14315</v>
      </c>
      <c r="FZ1456" s="1" t="s">
        <v>14316</v>
      </c>
      <c r="GA1456" s="1">
        <v>16179</v>
      </c>
      <c r="GB1456" s="1" t="s">
        <v>14317</v>
      </c>
      <c r="GE1456" s="1" t="s">
        <v>480</v>
      </c>
      <c r="GI1456" s="1" t="s">
        <v>213</v>
      </c>
      <c r="GJ1456" s="1" t="s">
        <v>260</v>
      </c>
      <c r="GK1456" s="1" t="s">
        <v>210</v>
      </c>
      <c r="GL1456" s="2">
        <v>42124</v>
      </c>
      <c r="GM1456" s="1" t="s">
        <v>14331</v>
      </c>
    </row>
    <row r="1457" spans="1:195">
      <c r="A1457" s="1">
        <v>125000</v>
      </c>
      <c r="B1457" s="1" t="s">
        <v>195</v>
      </c>
      <c r="C1457" s="1" t="str">
        <f>"08873744"</f>
        <v>08873744</v>
      </c>
      <c r="D1457" s="1" t="s">
        <v>196</v>
      </c>
      <c r="F1457" s="1" t="str">
        <f>"187"</f>
        <v>187</v>
      </c>
      <c r="G1457" s="2">
        <v>42090</v>
      </c>
      <c r="H1457" s="1">
        <v>134900</v>
      </c>
      <c r="I1457" s="1">
        <v>134900</v>
      </c>
      <c r="J1457" s="1">
        <v>125000</v>
      </c>
      <c r="K1457" s="2">
        <v>42090</v>
      </c>
      <c r="L1457" s="1">
        <v>5</v>
      </c>
      <c r="M1457" s="2">
        <v>42094</v>
      </c>
      <c r="N1457" s="1">
        <v>5</v>
      </c>
      <c r="O1457" s="2">
        <v>42094</v>
      </c>
      <c r="P1457" s="1">
        <v>25658</v>
      </c>
      <c r="Q1457" s="1" t="s">
        <v>197</v>
      </c>
      <c r="R1457" s="2">
        <v>42124</v>
      </c>
      <c r="S1457" s="1">
        <v>240001</v>
      </c>
      <c r="U1457" s="1">
        <v>1120</v>
      </c>
      <c r="V1457" s="1" t="s">
        <v>14332</v>
      </c>
      <c r="W1457" s="1" t="s">
        <v>304</v>
      </c>
      <c r="X1457" s="1" t="s">
        <v>1000</v>
      </c>
      <c r="Y1457" s="1">
        <v>4</v>
      </c>
      <c r="Z1457" s="1" t="s">
        <v>370</v>
      </c>
      <c r="AA1457" s="1" t="s">
        <v>964</v>
      </c>
      <c r="AB1457" s="1">
        <v>60187</v>
      </c>
      <c r="AE1457" s="1" t="s">
        <v>14333</v>
      </c>
      <c r="AF1457" s="1">
        <v>1975</v>
      </c>
      <c r="AG1457" s="1" t="s">
        <v>213</v>
      </c>
      <c r="AH1457" s="1" t="s">
        <v>967</v>
      </c>
      <c r="AI1457" s="1" t="s">
        <v>206</v>
      </c>
      <c r="AJ1457" s="1" t="s">
        <v>207</v>
      </c>
      <c r="AL1457" s="1">
        <v>6</v>
      </c>
      <c r="AM1457" s="1">
        <v>2</v>
      </c>
      <c r="AN1457" s="1">
        <v>1</v>
      </c>
      <c r="AO1457" s="1">
        <v>1</v>
      </c>
      <c r="AP1457" s="1" t="s">
        <v>210</v>
      </c>
      <c r="AR1457" s="1" t="s">
        <v>209</v>
      </c>
      <c r="AS1457" s="1" t="s">
        <v>204</v>
      </c>
      <c r="AT1457" s="1" t="s">
        <v>211</v>
      </c>
      <c r="AU1457" s="1">
        <v>1</v>
      </c>
      <c r="AW1457" s="1" t="s">
        <v>204</v>
      </c>
      <c r="AX1457" s="1" t="s">
        <v>212</v>
      </c>
      <c r="AZ1457" s="1">
        <v>3531</v>
      </c>
      <c r="BA1457" s="1">
        <v>2013</v>
      </c>
      <c r="BB1457" s="1" t="s">
        <v>210</v>
      </c>
      <c r="BE1457" s="1">
        <v>968</v>
      </c>
      <c r="BF1457" s="1">
        <v>1</v>
      </c>
      <c r="BG1457" s="1">
        <v>0</v>
      </c>
      <c r="BL1457" s="1">
        <v>187</v>
      </c>
      <c r="BM1457" s="1" t="s">
        <v>204</v>
      </c>
      <c r="BN1457" s="1" t="s">
        <v>213</v>
      </c>
      <c r="BO1457" s="1">
        <v>999</v>
      </c>
      <c r="BP1457" s="1" t="s">
        <v>204</v>
      </c>
      <c r="BR1457" s="1" t="str">
        <f>"0527106210"</f>
        <v>0527106210</v>
      </c>
      <c r="BT1457" s="1" t="s">
        <v>14334</v>
      </c>
      <c r="BU1457" s="1" t="s">
        <v>969</v>
      </c>
      <c r="BV1457" s="1" t="s">
        <v>970</v>
      </c>
      <c r="BW1457" s="1" t="s">
        <v>971</v>
      </c>
      <c r="BX1457" s="1">
        <v>200</v>
      </c>
      <c r="BY1457" s="1">
        <v>200</v>
      </c>
      <c r="BZ1457" s="1">
        <v>200</v>
      </c>
      <c r="CB1457" s="1" t="str">
        <f t="shared" ref="CB1457:CC1457" si="1111">""</f>
        <v/>
      </c>
      <c r="CC1457" s="1" t="str">
        <f t="shared" si="1111"/>
        <v/>
      </c>
      <c r="CD1457" s="1">
        <v>23</v>
      </c>
      <c r="CE1457" s="1">
        <v>1</v>
      </c>
      <c r="CG1457" s="1" t="s">
        <v>581</v>
      </c>
      <c r="CH1457" s="1" t="s">
        <v>219</v>
      </c>
      <c r="CI1457" s="1" t="s">
        <v>220</v>
      </c>
      <c r="CK1457" s="1" t="s">
        <v>1454</v>
      </c>
      <c r="CL1457" s="1" t="s">
        <v>277</v>
      </c>
      <c r="CM1457" s="1" t="s">
        <v>220</v>
      </c>
      <c r="CO1457" s="1" t="s">
        <v>348</v>
      </c>
      <c r="CP1457" s="1" t="s">
        <v>219</v>
      </c>
      <c r="CQ1457" s="1" t="s">
        <v>438</v>
      </c>
      <c r="CS1457" s="1" t="s">
        <v>1046</v>
      </c>
      <c r="CT1457" s="1" t="s">
        <v>277</v>
      </c>
      <c r="CU1457" s="1" t="s">
        <v>220</v>
      </c>
      <c r="CX1457" s="1" t="s">
        <v>224</v>
      </c>
      <c r="DB1457" s="1" t="s">
        <v>224</v>
      </c>
      <c r="DE1457" s="1" t="s">
        <v>380</v>
      </c>
      <c r="DF1457" s="1" t="s">
        <v>219</v>
      </c>
      <c r="DG1457" s="1" t="s">
        <v>438</v>
      </c>
      <c r="DI1457" s="1" t="s">
        <v>862</v>
      </c>
      <c r="DJ1457" s="1" t="s">
        <v>43</v>
      </c>
      <c r="DK1457" s="1" t="s">
        <v>226</v>
      </c>
      <c r="DS1457" s="1" t="s">
        <v>230</v>
      </c>
      <c r="DW1457" s="1" t="s">
        <v>230</v>
      </c>
      <c r="EA1457" s="1" t="s">
        <v>230</v>
      </c>
      <c r="EE1457" s="1" t="s">
        <v>230</v>
      </c>
      <c r="EI1457" s="1" t="s">
        <v>230</v>
      </c>
      <c r="EL1457" s="1" t="s">
        <v>231</v>
      </c>
      <c r="EM1457" s="1" t="s">
        <v>232</v>
      </c>
      <c r="EN1457" s="1" t="s">
        <v>282</v>
      </c>
      <c r="EO1457" s="1" t="s">
        <v>234</v>
      </c>
      <c r="ER1457" s="1" t="s">
        <v>544</v>
      </c>
      <c r="EW1457" s="1" t="s">
        <v>2205</v>
      </c>
      <c r="EZ1457" s="1" t="s">
        <v>287</v>
      </c>
      <c r="FB1457" s="1" t="s">
        <v>289</v>
      </c>
      <c r="FD1457" s="1" t="s">
        <v>246</v>
      </c>
      <c r="FE1457" s="1" t="s">
        <v>472</v>
      </c>
      <c r="FF1457" s="1" t="s">
        <v>248</v>
      </c>
      <c r="FH1457" s="1" t="s">
        <v>550</v>
      </c>
      <c r="FJ1457" s="1" t="s">
        <v>197</v>
      </c>
      <c r="FL1457" s="1" t="s">
        <v>358</v>
      </c>
      <c r="FM1457" s="1" t="s">
        <v>252</v>
      </c>
      <c r="FN1457" s="1" t="s">
        <v>213</v>
      </c>
      <c r="FO1457" s="1" t="s">
        <v>213</v>
      </c>
      <c r="FQ1457" s="1" t="s">
        <v>569</v>
      </c>
      <c r="FR1457" s="1" t="s">
        <v>210</v>
      </c>
      <c r="FS1457" s="1" t="s">
        <v>14335</v>
      </c>
      <c r="FT1457" s="1" t="s">
        <v>362</v>
      </c>
      <c r="FU1457" s="1" t="s">
        <v>204</v>
      </c>
      <c r="FW1457" s="1" t="s">
        <v>1559</v>
      </c>
      <c r="FX1457" s="1">
        <v>25083</v>
      </c>
      <c r="FY1457" s="1" t="s">
        <v>4110</v>
      </c>
      <c r="FZ1457" s="1" t="s">
        <v>4503</v>
      </c>
      <c r="GA1457" s="1">
        <v>250887</v>
      </c>
      <c r="GC1457" s="1">
        <v>235046</v>
      </c>
      <c r="GE1457" s="1" t="s">
        <v>210</v>
      </c>
      <c r="GI1457" s="1" t="s">
        <v>213</v>
      </c>
      <c r="GJ1457" s="1" t="s">
        <v>260</v>
      </c>
      <c r="GK1457" s="1" t="s">
        <v>210</v>
      </c>
      <c r="GL1457" s="2">
        <v>42125</v>
      </c>
      <c r="GM1457" s="1" t="s">
        <v>14336</v>
      </c>
    </row>
    <row r="1458" spans="1:195">
      <c r="A1458" s="1">
        <v>160000</v>
      </c>
      <c r="B1458" s="1" t="s">
        <v>195</v>
      </c>
      <c r="C1458" s="1" t="str">
        <f>"08868958"</f>
        <v>08868958</v>
      </c>
      <c r="D1458" s="1" t="s">
        <v>196</v>
      </c>
      <c r="F1458" s="1" t="str">
        <f>"525"</f>
        <v>525</v>
      </c>
      <c r="G1458" s="2">
        <v>42086</v>
      </c>
      <c r="H1458" s="1">
        <v>159900</v>
      </c>
      <c r="I1458" s="1">
        <v>159900</v>
      </c>
      <c r="J1458" s="1">
        <v>160000</v>
      </c>
      <c r="K1458" s="2">
        <v>42086</v>
      </c>
      <c r="L1458" s="1">
        <v>6</v>
      </c>
      <c r="M1458" s="2">
        <v>42091</v>
      </c>
      <c r="N1458" s="1">
        <v>6</v>
      </c>
      <c r="O1458" s="2">
        <v>42091</v>
      </c>
      <c r="P1458" s="1">
        <v>22205</v>
      </c>
      <c r="Q1458" s="1" t="s">
        <v>197</v>
      </c>
      <c r="R1458" s="2">
        <v>42139</v>
      </c>
      <c r="S1458" s="1">
        <v>228195</v>
      </c>
      <c r="U1458" s="1">
        <v>33</v>
      </c>
      <c r="V1458" s="1" t="s">
        <v>14337</v>
      </c>
      <c r="W1458" s="1" t="s">
        <v>425</v>
      </c>
      <c r="X1458" s="1" t="s">
        <v>6507</v>
      </c>
      <c r="Y1458" s="1">
        <v>16</v>
      </c>
      <c r="Z1458" s="1" t="s">
        <v>249</v>
      </c>
      <c r="AA1458" s="1" t="s">
        <v>1148</v>
      </c>
      <c r="AB1458" s="1">
        <v>60525</v>
      </c>
      <c r="AE1458" s="1" t="s">
        <v>14338</v>
      </c>
      <c r="AF1458" s="1" t="s">
        <v>402</v>
      </c>
      <c r="AG1458" s="1" t="s">
        <v>213</v>
      </c>
      <c r="AH1458" s="1" t="s">
        <v>1150</v>
      </c>
      <c r="AI1458" s="1" t="s">
        <v>310</v>
      </c>
      <c r="AJ1458" s="1" t="s">
        <v>702</v>
      </c>
      <c r="AL1458" s="1">
        <v>4</v>
      </c>
      <c r="AM1458" s="1">
        <v>2</v>
      </c>
      <c r="AN1458" s="1">
        <v>1</v>
      </c>
      <c r="AO1458" s="1">
        <v>0</v>
      </c>
      <c r="AP1458" s="1" t="s">
        <v>210</v>
      </c>
      <c r="AR1458" s="1" t="s">
        <v>209</v>
      </c>
      <c r="AS1458" s="1" t="s">
        <v>204</v>
      </c>
      <c r="AT1458" s="1" t="s">
        <v>211</v>
      </c>
      <c r="AU1458" s="1">
        <v>1</v>
      </c>
      <c r="AW1458" s="1" t="s">
        <v>204</v>
      </c>
      <c r="AX1458" s="1" t="s">
        <v>212</v>
      </c>
      <c r="AZ1458" s="1">
        <v>3492.26</v>
      </c>
      <c r="BA1458" s="1">
        <v>2013</v>
      </c>
      <c r="BB1458" s="1" t="s">
        <v>210</v>
      </c>
      <c r="BE1458" s="1">
        <v>0</v>
      </c>
      <c r="BF1458" s="1">
        <v>1</v>
      </c>
      <c r="BG1458" s="1">
        <v>0</v>
      </c>
      <c r="BJ1458" s="1">
        <v>100</v>
      </c>
      <c r="BL1458" s="1">
        <v>238</v>
      </c>
      <c r="BM1458" s="1" t="s">
        <v>213</v>
      </c>
      <c r="BN1458" s="1" t="s">
        <v>213</v>
      </c>
      <c r="BO1458" s="1">
        <v>50</v>
      </c>
      <c r="BP1458" s="1" t="s">
        <v>204</v>
      </c>
      <c r="BR1458" s="1" t="str">
        <f>"18041290331003"</f>
        <v>18041290331003</v>
      </c>
      <c r="BT1458" s="1" t="s">
        <v>14339</v>
      </c>
      <c r="BU1458" s="1" t="s">
        <v>1153</v>
      </c>
      <c r="BV1458" s="1" t="s">
        <v>1154</v>
      </c>
      <c r="BW1458" s="1" t="s">
        <v>706</v>
      </c>
      <c r="BX1458" s="1">
        <v>102</v>
      </c>
      <c r="BY1458" s="1">
        <v>102</v>
      </c>
      <c r="BZ1458" s="1">
        <v>204</v>
      </c>
      <c r="CB1458" s="1" t="str">
        <f t="shared" ref="CB1458:CC1458" si="1112">"0"</f>
        <v>0</v>
      </c>
      <c r="CC1458" s="1" t="str">
        <f t="shared" si="1112"/>
        <v>0</v>
      </c>
      <c r="CD1458" s="1">
        <v>12</v>
      </c>
      <c r="CE1458" s="1">
        <v>4</v>
      </c>
      <c r="CG1458" s="1" t="s">
        <v>1737</v>
      </c>
      <c r="CH1458" s="1" t="s">
        <v>219</v>
      </c>
      <c r="CI1458" s="1" t="s">
        <v>438</v>
      </c>
      <c r="CK1458" s="1" t="s">
        <v>461</v>
      </c>
      <c r="CL1458" s="1" t="s">
        <v>219</v>
      </c>
      <c r="CM1458" s="1" t="s">
        <v>438</v>
      </c>
      <c r="CP1458" s="1" t="s">
        <v>224</v>
      </c>
      <c r="CS1458" s="1" t="s">
        <v>465</v>
      </c>
      <c r="CT1458" s="1" t="s">
        <v>219</v>
      </c>
      <c r="CU1458" s="1" t="s">
        <v>438</v>
      </c>
      <c r="CX1458" s="1" t="s">
        <v>224</v>
      </c>
      <c r="DB1458" s="1" t="s">
        <v>224</v>
      </c>
      <c r="DE1458" s="1" t="s">
        <v>539</v>
      </c>
      <c r="DF1458" s="1" t="s">
        <v>219</v>
      </c>
      <c r="DG1458" s="1" t="s">
        <v>226</v>
      </c>
      <c r="DJ1458" s="1" t="s">
        <v>224</v>
      </c>
      <c r="DM1458" s="1" t="s">
        <v>1771</v>
      </c>
      <c r="DR1458" s="1" t="s">
        <v>3126</v>
      </c>
      <c r="DS1458" s="1" t="s">
        <v>219</v>
      </c>
      <c r="DT1458" s="1" t="s">
        <v>438</v>
      </c>
      <c r="DW1458" s="1" t="s">
        <v>230</v>
      </c>
      <c r="EA1458" s="1" t="s">
        <v>230</v>
      </c>
      <c r="EE1458" s="1" t="s">
        <v>230</v>
      </c>
      <c r="EI1458" s="1" t="s">
        <v>230</v>
      </c>
      <c r="EL1458" s="1" t="s">
        <v>413</v>
      </c>
      <c r="EM1458" s="1" t="s">
        <v>232</v>
      </c>
      <c r="EN1458" s="1" t="s">
        <v>731</v>
      </c>
      <c r="EO1458" s="1" t="s">
        <v>234</v>
      </c>
      <c r="EP1458" s="1" t="s">
        <v>14340</v>
      </c>
      <c r="EQ1458" s="1" t="s">
        <v>5566</v>
      </c>
      <c r="ER1458" s="1" t="s">
        <v>351</v>
      </c>
      <c r="ES1458" s="1" t="s">
        <v>322</v>
      </c>
      <c r="EW1458" s="1" t="s">
        <v>1134</v>
      </c>
      <c r="EZ1458" s="1" t="s">
        <v>1771</v>
      </c>
      <c r="FA1458" s="1" t="s">
        <v>471</v>
      </c>
      <c r="FB1458" s="1" t="s">
        <v>289</v>
      </c>
      <c r="FC1458" s="1" t="s">
        <v>3646</v>
      </c>
      <c r="FD1458" s="1" t="s">
        <v>290</v>
      </c>
      <c r="FE1458" s="1" t="s">
        <v>247</v>
      </c>
      <c r="FF1458" s="1" t="s">
        <v>248</v>
      </c>
      <c r="FH1458" s="1" t="s">
        <v>249</v>
      </c>
      <c r="FI1458" s="1" t="s">
        <v>357</v>
      </c>
      <c r="FL1458" s="1" t="s">
        <v>5090</v>
      </c>
      <c r="FM1458" s="1" t="s">
        <v>252</v>
      </c>
      <c r="FN1458" s="1" t="s">
        <v>213</v>
      </c>
      <c r="FO1458" s="1" t="s">
        <v>204</v>
      </c>
      <c r="FQ1458" s="1" t="s">
        <v>2004</v>
      </c>
      <c r="FR1458" s="1" t="s">
        <v>210</v>
      </c>
      <c r="FS1458" s="1" t="s">
        <v>14341</v>
      </c>
      <c r="FT1458" s="1" t="s">
        <v>255</v>
      </c>
      <c r="FU1458" s="1" t="s">
        <v>204</v>
      </c>
      <c r="FW1458" s="1" t="s">
        <v>13590</v>
      </c>
      <c r="FX1458" s="1">
        <v>18016</v>
      </c>
      <c r="FY1458" s="1" t="s">
        <v>13591</v>
      </c>
      <c r="FZ1458" s="1" t="s">
        <v>14342</v>
      </c>
      <c r="GA1458" s="1">
        <v>108703</v>
      </c>
      <c r="GB1458" s="1" t="s">
        <v>14343</v>
      </c>
      <c r="GD1458" s="1" t="s">
        <v>14344</v>
      </c>
      <c r="GE1458" s="1" t="s">
        <v>2504</v>
      </c>
      <c r="GH1458" s="1" t="s">
        <v>421</v>
      </c>
      <c r="GI1458" s="1" t="s">
        <v>213</v>
      </c>
      <c r="GJ1458" s="1" t="s">
        <v>260</v>
      </c>
      <c r="GK1458" s="1" t="s">
        <v>210</v>
      </c>
      <c r="GL1458" s="2">
        <v>42142</v>
      </c>
      <c r="GM1458" s="1" t="s">
        <v>14345</v>
      </c>
    </row>
    <row r="1459" spans="1:195">
      <c r="A1459" s="1">
        <v>116000</v>
      </c>
      <c r="B1459" s="1" t="s">
        <v>195</v>
      </c>
      <c r="C1459" s="1" t="str">
        <f>"08871230"</f>
        <v>08871230</v>
      </c>
      <c r="D1459" s="1" t="s">
        <v>196</v>
      </c>
      <c r="F1459" s="1" t="str">
        <f>"61"</f>
        <v>61</v>
      </c>
      <c r="G1459" s="2">
        <v>42088</v>
      </c>
      <c r="H1459" s="1">
        <v>125000</v>
      </c>
      <c r="I1459" s="1">
        <v>125000</v>
      </c>
      <c r="J1459" s="1">
        <v>116000</v>
      </c>
      <c r="K1459" s="2">
        <v>42088</v>
      </c>
      <c r="L1459" s="1">
        <v>232</v>
      </c>
      <c r="M1459" s="2">
        <v>42099</v>
      </c>
      <c r="N1459" s="1">
        <v>12</v>
      </c>
      <c r="O1459" s="2">
        <v>42099</v>
      </c>
      <c r="P1459" s="1">
        <v>22980</v>
      </c>
      <c r="Q1459" s="1" t="s">
        <v>302</v>
      </c>
      <c r="R1459" s="2">
        <v>42123</v>
      </c>
      <c r="S1459" s="1">
        <v>217346</v>
      </c>
      <c r="U1459" s="1">
        <v>450</v>
      </c>
      <c r="V1459" s="1" t="s">
        <v>8196</v>
      </c>
      <c r="W1459" s="1" t="s">
        <v>779</v>
      </c>
      <c r="X1459" s="1">
        <v>450</v>
      </c>
      <c r="Y1459" s="1">
        <v>6</v>
      </c>
      <c r="Z1459" s="1" t="s">
        <v>200</v>
      </c>
      <c r="AA1459" s="1" t="s">
        <v>505</v>
      </c>
      <c r="AB1459" s="1">
        <v>60061</v>
      </c>
      <c r="AD1459" s="1" t="s">
        <v>4955</v>
      </c>
      <c r="AE1459" s="1" t="s">
        <v>14346</v>
      </c>
      <c r="AF1459" s="1">
        <v>1979</v>
      </c>
      <c r="AG1459" s="1" t="s">
        <v>204</v>
      </c>
      <c r="AH1459" s="1" t="s">
        <v>508</v>
      </c>
      <c r="AI1459" s="1" t="s">
        <v>509</v>
      </c>
      <c r="AJ1459" s="1" t="s">
        <v>1693</v>
      </c>
      <c r="AK1459" s="1" t="s">
        <v>9254</v>
      </c>
      <c r="AL1459" s="1">
        <v>5</v>
      </c>
      <c r="AM1459" s="1">
        <v>2</v>
      </c>
      <c r="AN1459" s="1">
        <v>1</v>
      </c>
      <c r="AO1459" s="1">
        <v>1</v>
      </c>
      <c r="AP1459" s="1" t="s">
        <v>667</v>
      </c>
      <c r="AR1459" s="1" t="s">
        <v>210</v>
      </c>
      <c r="AS1459" s="1" t="s">
        <v>204</v>
      </c>
      <c r="AT1459" s="1" t="s">
        <v>211</v>
      </c>
      <c r="AU1459" s="1">
        <v>1</v>
      </c>
      <c r="AW1459" s="1" t="s">
        <v>204</v>
      </c>
      <c r="AX1459" s="1" t="s">
        <v>212</v>
      </c>
      <c r="AZ1459" s="1">
        <v>3730</v>
      </c>
      <c r="BA1459" s="1">
        <v>2013</v>
      </c>
      <c r="BB1459" s="1" t="s">
        <v>210</v>
      </c>
      <c r="BE1459" s="1">
        <v>1025</v>
      </c>
      <c r="BF1459" s="1">
        <v>1</v>
      </c>
      <c r="BG1459" s="1">
        <v>30</v>
      </c>
      <c r="BL1459" s="1">
        <v>217</v>
      </c>
      <c r="BM1459" s="1" t="s">
        <v>204</v>
      </c>
      <c r="BN1459" s="1" t="s">
        <v>213</v>
      </c>
      <c r="BO1459" s="1">
        <v>999</v>
      </c>
      <c r="BP1459" s="1" t="s">
        <v>204</v>
      </c>
      <c r="BR1459" s="1" t="str">
        <f>"11323061240000"</f>
        <v>11323061240000</v>
      </c>
      <c r="BT1459" s="1" t="s">
        <v>14347</v>
      </c>
      <c r="BU1459" s="1" t="s">
        <v>1879</v>
      </c>
      <c r="BV1459" s="1" t="s">
        <v>1880</v>
      </c>
      <c r="BW1459" s="1" t="s">
        <v>514</v>
      </c>
      <c r="BX1459" s="1">
        <v>73</v>
      </c>
      <c r="BY1459" s="1">
        <v>73</v>
      </c>
      <c r="BZ1459" s="1">
        <v>128</v>
      </c>
      <c r="CB1459" s="1" t="str">
        <f>"26"</f>
        <v>26</v>
      </c>
      <c r="CC1459" s="1" t="str">
        <f>"0"</f>
        <v>0</v>
      </c>
      <c r="CD1459" s="1">
        <v>17</v>
      </c>
      <c r="CE1459" s="1">
        <v>0</v>
      </c>
      <c r="CG1459" s="1" t="s">
        <v>861</v>
      </c>
      <c r="CH1459" s="1" t="s">
        <v>219</v>
      </c>
      <c r="CI1459" s="1" t="s">
        <v>220</v>
      </c>
      <c r="CK1459" s="1" t="s">
        <v>278</v>
      </c>
      <c r="CL1459" s="1" t="s">
        <v>277</v>
      </c>
      <c r="CM1459" s="1" t="s">
        <v>220</v>
      </c>
      <c r="CO1459" s="1" t="s">
        <v>516</v>
      </c>
      <c r="CP1459" s="1" t="s">
        <v>219</v>
      </c>
      <c r="CQ1459" s="1" t="s">
        <v>220</v>
      </c>
      <c r="CR1459" s="1" t="s">
        <v>252</v>
      </c>
      <c r="CS1459" s="1" t="s">
        <v>346</v>
      </c>
      <c r="CT1459" s="1" t="s">
        <v>277</v>
      </c>
      <c r="CU1459" s="1" t="s">
        <v>220</v>
      </c>
      <c r="CX1459" s="1" t="s">
        <v>224</v>
      </c>
      <c r="DB1459" s="1" t="s">
        <v>224</v>
      </c>
      <c r="DE1459" s="1" t="s">
        <v>516</v>
      </c>
      <c r="DF1459" s="1" t="s">
        <v>219</v>
      </c>
      <c r="DG1459" s="1" t="s">
        <v>342</v>
      </c>
      <c r="DH1459" s="1" t="s">
        <v>210</v>
      </c>
      <c r="DJ1459" s="1" t="s">
        <v>224</v>
      </c>
      <c r="DS1459" s="1" t="s">
        <v>230</v>
      </c>
      <c r="DW1459" s="1" t="s">
        <v>230</v>
      </c>
      <c r="EA1459" s="1" t="s">
        <v>230</v>
      </c>
      <c r="EE1459" s="1" t="s">
        <v>230</v>
      </c>
      <c r="EI1459" s="1" t="s">
        <v>230</v>
      </c>
      <c r="EL1459" s="1" t="s">
        <v>231</v>
      </c>
      <c r="EM1459" s="1" t="s">
        <v>232</v>
      </c>
      <c r="EN1459" s="1" t="s">
        <v>282</v>
      </c>
      <c r="EO1459" s="1" t="s">
        <v>234</v>
      </c>
      <c r="EP1459" s="1" t="s">
        <v>467</v>
      </c>
      <c r="EQ1459" s="1" t="s">
        <v>468</v>
      </c>
      <c r="ER1459" s="1" t="s">
        <v>210</v>
      </c>
      <c r="ES1459" s="1" t="s">
        <v>824</v>
      </c>
      <c r="EU1459" s="1" t="s">
        <v>239</v>
      </c>
      <c r="EV1459" s="1" t="s">
        <v>352</v>
      </c>
      <c r="EW1459" s="1" t="s">
        <v>517</v>
      </c>
      <c r="EZ1459" s="1" t="s">
        <v>287</v>
      </c>
      <c r="FB1459" s="1" t="s">
        <v>289</v>
      </c>
      <c r="FC1459" s="1" t="s">
        <v>2690</v>
      </c>
      <c r="FD1459" s="1" t="s">
        <v>246</v>
      </c>
      <c r="FE1459" s="1" t="s">
        <v>496</v>
      </c>
      <c r="FF1459" s="1" t="s">
        <v>387</v>
      </c>
      <c r="FH1459" s="1" t="s">
        <v>940</v>
      </c>
      <c r="FI1459" s="1" t="s">
        <v>473</v>
      </c>
      <c r="FL1459" s="1" t="s">
        <v>358</v>
      </c>
      <c r="FM1459" s="1" t="s">
        <v>252</v>
      </c>
      <c r="FN1459" s="1" t="s">
        <v>213</v>
      </c>
      <c r="FO1459" s="1" t="s">
        <v>213</v>
      </c>
      <c r="FQ1459" s="1" t="s">
        <v>14348</v>
      </c>
      <c r="FR1459" s="1" t="s">
        <v>210</v>
      </c>
      <c r="FS1459" s="1" t="s">
        <v>14349</v>
      </c>
      <c r="FT1459" s="1" t="s">
        <v>362</v>
      </c>
      <c r="FU1459" s="1" t="s">
        <v>204</v>
      </c>
      <c r="FW1459" s="1" t="s">
        <v>585</v>
      </c>
      <c r="FX1459" s="1">
        <v>2050</v>
      </c>
      <c r="FY1459" s="1" t="s">
        <v>4207</v>
      </c>
      <c r="FZ1459" s="1" t="s">
        <v>14350</v>
      </c>
      <c r="GA1459" s="1">
        <v>18821</v>
      </c>
      <c r="GB1459" s="1" t="s">
        <v>14351</v>
      </c>
      <c r="GE1459" s="1" t="s">
        <v>210</v>
      </c>
      <c r="GI1459" s="1" t="s">
        <v>213</v>
      </c>
      <c r="GJ1459" s="1" t="s">
        <v>260</v>
      </c>
      <c r="GK1459" s="1" t="s">
        <v>210</v>
      </c>
      <c r="GL1459" s="2">
        <v>42125</v>
      </c>
      <c r="GM1459" s="1" t="s">
        <v>14352</v>
      </c>
    </row>
    <row r="1460" spans="1:195">
      <c r="A1460" s="1">
        <v>72100</v>
      </c>
      <c r="B1460" s="1" t="s">
        <v>195</v>
      </c>
      <c r="C1460" s="1" t="str">
        <f>"08874207"</f>
        <v>08874207</v>
      </c>
      <c r="D1460" s="1" t="s">
        <v>196</v>
      </c>
      <c r="F1460" s="1" t="str">
        <f>"186"</f>
        <v>186</v>
      </c>
      <c r="G1460" s="2">
        <v>42090</v>
      </c>
      <c r="H1460" s="1">
        <v>63000</v>
      </c>
      <c r="I1460" s="1">
        <v>63000</v>
      </c>
      <c r="J1460" s="1">
        <v>72100</v>
      </c>
      <c r="K1460" s="2">
        <v>42088</v>
      </c>
      <c r="L1460" s="1">
        <v>8</v>
      </c>
      <c r="M1460" s="2">
        <v>42095</v>
      </c>
      <c r="N1460" s="1">
        <v>8</v>
      </c>
      <c r="O1460" s="2">
        <v>42095</v>
      </c>
      <c r="P1460" s="1">
        <v>22005</v>
      </c>
      <c r="Q1460" s="1" t="s">
        <v>302</v>
      </c>
      <c r="R1460" s="2">
        <v>42132</v>
      </c>
      <c r="S1460" s="1">
        <v>219044</v>
      </c>
      <c r="U1460" s="1" t="s">
        <v>14353</v>
      </c>
      <c r="V1460" s="1" t="s">
        <v>4188</v>
      </c>
      <c r="W1460" s="1" t="s">
        <v>425</v>
      </c>
      <c r="X1460" s="1">
        <v>272</v>
      </c>
      <c r="Y1460" s="1">
        <v>6</v>
      </c>
      <c r="Z1460" s="1" t="s">
        <v>200</v>
      </c>
      <c r="AA1460" s="1" t="s">
        <v>2099</v>
      </c>
      <c r="AB1460" s="1">
        <v>60181</v>
      </c>
      <c r="AD1460" s="1" t="s">
        <v>2195</v>
      </c>
      <c r="AE1460" s="1" t="s">
        <v>14354</v>
      </c>
      <c r="AF1460" s="1">
        <v>1966</v>
      </c>
      <c r="AG1460" s="1" t="s">
        <v>213</v>
      </c>
      <c r="AH1460" s="1" t="s">
        <v>2101</v>
      </c>
      <c r="AI1460" s="1" t="s">
        <v>206</v>
      </c>
      <c r="AJ1460" s="1" t="s">
        <v>1608</v>
      </c>
      <c r="AL1460" s="1">
        <v>6</v>
      </c>
      <c r="AM1460" s="1">
        <v>2</v>
      </c>
      <c r="AN1460" s="1">
        <v>1</v>
      </c>
      <c r="AO1460" s="1">
        <v>1</v>
      </c>
      <c r="AP1460" s="1" t="s">
        <v>210</v>
      </c>
      <c r="AR1460" s="1" t="s">
        <v>209</v>
      </c>
      <c r="AS1460" s="1" t="s">
        <v>204</v>
      </c>
      <c r="AT1460" s="1" t="s">
        <v>271</v>
      </c>
      <c r="AV1460" s="1">
        <v>1</v>
      </c>
      <c r="AW1460" s="1" t="s">
        <v>204</v>
      </c>
      <c r="AX1460" s="1" t="s">
        <v>14355</v>
      </c>
      <c r="AZ1460" s="1">
        <v>2400</v>
      </c>
      <c r="BA1460" s="1">
        <v>2013</v>
      </c>
      <c r="BE1460" s="1">
        <v>1290</v>
      </c>
      <c r="BF1460" s="1">
        <v>1</v>
      </c>
      <c r="BG1460" s="1">
        <v>1</v>
      </c>
      <c r="BL1460" s="1">
        <v>194</v>
      </c>
      <c r="BM1460" s="1" t="s">
        <v>204</v>
      </c>
      <c r="BN1460" s="1" t="s">
        <v>213</v>
      </c>
      <c r="BO1460" s="1">
        <v>60</v>
      </c>
      <c r="BP1460" s="1" t="s">
        <v>204</v>
      </c>
      <c r="BR1460" s="1" t="str">
        <f>"0621211097"</f>
        <v>0621211097</v>
      </c>
      <c r="BT1460" s="1" t="s">
        <v>14356</v>
      </c>
      <c r="BX1460" s="1">
        <v>45</v>
      </c>
      <c r="BY1460" s="1">
        <v>45</v>
      </c>
      <c r="BZ1460" s="1">
        <v>88</v>
      </c>
      <c r="CB1460" s="1" t="str">
        <f t="shared" ref="CB1460:CC1460" si="1113">""</f>
        <v/>
      </c>
      <c r="CC1460" s="1" t="str">
        <f t="shared" si="1113"/>
        <v/>
      </c>
      <c r="CG1460" s="1" t="s">
        <v>315</v>
      </c>
      <c r="CH1460" s="1" t="s">
        <v>219</v>
      </c>
      <c r="CK1460" s="1" t="s">
        <v>278</v>
      </c>
      <c r="CL1460" s="1" t="s">
        <v>277</v>
      </c>
      <c r="CM1460" s="1" t="s">
        <v>220</v>
      </c>
      <c r="CO1460" s="1" t="s">
        <v>821</v>
      </c>
      <c r="CP1460" s="1" t="s">
        <v>219</v>
      </c>
      <c r="CS1460" s="1" t="s">
        <v>346</v>
      </c>
      <c r="CT1460" s="1" t="s">
        <v>277</v>
      </c>
      <c r="CU1460" s="1" t="s">
        <v>220</v>
      </c>
      <c r="CX1460" s="1" t="s">
        <v>224</v>
      </c>
      <c r="DB1460" s="1" t="s">
        <v>224</v>
      </c>
      <c r="DE1460" s="1" t="s">
        <v>2103</v>
      </c>
      <c r="DF1460" s="1" t="s">
        <v>219</v>
      </c>
      <c r="DG1460" s="1" t="s">
        <v>226</v>
      </c>
      <c r="DJ1460" s="1" t="s">
        <v>224</v>
      </c>
      <c r="DM1460" s="1" t="s">
        <v>934</v>
      </c>
      <c r="DR1460" s="1" t="s">
        <v>315</v>
      </c>
      <c r="DS1460" s="1" t="s">
        <v>43</v>
      </c>
      <c r="DW1460" s="1" t="s">
        <v>230</v>
      </c>
      <c r="EA1460" s="1" t="s">
        <v>230</v>
      </c>
      <c r="EE1460" s="1" t="s">
        <v>230</v>
      </c>
      <c r="EI1460" s="1" t="s">
        <v>230</v>
      </c>
      <c r="EL1460" s="1" t="s">
        <v>605</v>
      </c>
      <c r="EM1460" s="1" t="s">
        <v>319</v>
      </c>
      <c r="EN1460" s="1" t="s">
        <v>210</v>
      </c>
      <c r="EO1460" s="1" t="s">
        <v>234</v>
      </c>
      <c r="EP1460" s="1" t="s">
        <v>6649</v>
      </c>
      <c r="ER1460" s="1" t="s">
        <v>351</v>
      </c>
      <c r="EU1460" s="1" t="s">
        <v>546</v>
      </c>
      <c r="EV1460" s="1" t="s">
        <v>352</v>
      </c>
      <c r="EW1460" s="1" t="s">
        <v>1504</v>
      </c>
      <c r="EZ1460" s="1" t="s">
        <v>934</v>
      </c>
      <c r="FD1460" s="1" t="s">
        <v>246</v>
      </c>
      <c r="FE1460" s="1" t="s">
        <v>651</v>
      </c>
      <c r="FF1460" s="1" t="s">
        <v>387</v>
      </c>
      <c r="FH1460" s="1" t="s">
        <v>550</v>
      </c>
      <c r="FJ1460" s="1" t="s">
        <v>14357</v>
      </c>
      <c r="FK1460" s="1" t="s">
        <v>291</v>
      </c>
      <c r="FL1460" s="1" t="s">
        <v>614</v>
      </c>
      <c r="FM1460" s="1" t="s">
        <v>252</v>
      </c>
      <c r="FN1460" s="1" t="s">
        <v>213</v>
      </c>
      <c r="FO1460" s="1" t="s">
        <v>213</v>
      </c>
      <c r="FQ1460" s="1" t="s">
        <v>7144</v>
      </c>
      <c r="FR1460" s="1" t="s">
        <v>8300</v>
      </c>
      <c r="FS1460" s="1" t="s">
        <v>14358</v>
      </c>
      <c r="FT1460" s="1" t="s">
        <v>1408</v>
      </c>
      <c r="FU1460" s="1" t="s">
        <v>204</v>
      </c>
      <c r="FW1460" s="1" t="s">
        <v>14359</v>
      </c>
      <c r="FX1460" s="1">
        <v>23095</v>
      </c>
      <c r="FY1460" s="1" t="s">
        <v>14360</v>
      </c>
      <c r="FZ1460" s="1" t="s">
        <v>14361</v>
      </c>
      <c r="GA1460" s="1">
        <v>244742</v>
      </c>
      <c r="GB1460" s="1" t="s">
        <v>14360</v>
      </c>
      <c r="GE1460" s="1" t="s">
        <v>210</v>
      </c>
      <c r="GI1460" s="1" t="s">
        <v>213</v>
      </c>
      <c r="GJ1460" s="1" t="s">
        <v>260</v>
      </c>
      <c r="GK1460" s="1" t="s">
        <v>210</v>
      </c>
      <c r="GL1460" s="2">
        <v>42136</v>
      </c>
      <c r="GM1460" s="1" t="s">
        <v>14362</v>
      </c>
    </row>
    <row r="1461" spans="1:195">
      <c r="A1461" s="1">
        <v>105000</v>
      </c>
      <c r="B1461" s="1" t="s">
        <v>195</v>
      </c>
      <c r="C1461" s="1" t="str">
        <f>"08881659"</f>
        <v>08881659</v>
      </c>
      <c r="D1461" s="1" t="s">
        <v>196</v>
      </c>
      <c r="F1461" s="1" t="str">
        <f>"87"</f>
        <v>87</v>
      </c>
      <c r="G1461" s="2">
        <v>42100</v>
      </c>
      <c r="H1461" s="1">
        <v>125000</v>
      </c>
      <c r="I1461" s="1">
        <v>125000</v>
      </c>
      <c r="J1461" s="1">
        <v>105000</v>
      </c>
      <c r="K1461" s="2">
        <v>42100</v>
      </c>
      <c r="L1461" s="1">
        <v>6</v>
      </c>
      <c r="M1461" s="2">
        <v>42105</v>
      </c>
      <c r="N1461" s="1">
        <v>6</v>
      </c>
      <c r="O1461" s="2">
        <v>42105</v>
      </c>
      <c r="P1461" s="1">
        <v>2648</v>
      </c>
      <c r="Q1461" s="1" t="s">
        <v>197</v>
      </c>
      <c r="R1461" s="2">
        <v>42138</v>
      </c>
      <c r="S1461" s="1">
        <v>18093</v>
      </c>
      <c r="U1461" s="1">
        <v>13198</v>
      </c>
      <c r="V1461" s="1" t="s">
        <v>14363</v>
      </c>
      <c r="W1461" s="1" t="s">
        <v>504</v>
      </c>
      <c r="Y1461" s="1">
        <v>4</v>
      </c>
      <c r="Z1461" s="1" t="s">
        <v>370</v>
      </c>
      <c r="AA1461" s="1" t="s">
        <v>4385</v>
      </c>
      <c r="AB1461" s="1">
        <v>60083</v>
      </c>
      <c r="AD1461" s="1" t="s">
        <v>7524</v>
      </c>
      <c r="AE1461" s="1" t="s">
        <v>14364</v>
      </c>
      <c r="AF1461" s="1">
        <v>2005</v>
      </c>
      <c r="AG1461" s="1" t="s">
        <v>204</v>
      </c>
      <c r="AH1461" s="1" t="s">
        <v>4388</v>
      </c>
      <c r="AI1461" s="1" t="s">
        <v>509</v>
      </c>
      <c r="AJ1461" s="1" t="s">
        <v>7526</v>
      </c>
      <c r="AK1461" s="1" t="s">
        <v>7680</v>
      </c>
      <c r="AL1461" s="1">
        <v>5</v>
      </c>
      <c r="AM1461" s="1">
        <v>2</v>
      </c>
      <c r="AN1461" s="1">
        <v>2</v>
      </c>
      <c r="AO1461" s="1">
        <v>0</v>
      </c>
      <c r="AP1461" s="1" t="s">
        <v>209</v>
      </c>
      <c r="AR1461" s="1" t="s">
        <v>210</v>
      </c>
      <c r="AS1461" s="1" t="s">
        <v>204</v>
      </c>
      <c r="AT1461" s="1" t="s">
        <v>375</v>
      </c>
      <c r="AU1461" s="1">
        <v>2</v>
      </c>
      <c r="AV1461" s="1">
        <v>4</v>
      </c>
      <c r="AW1461" s="1" t="s">
        <v>204</v>
      </c>
      <c r="AX1461" s="1" t="s">
        <v>14365</v>
      </c>
      <c r="AZ1461" s="1">
        <v>3666</v>
      </c>
      <c r="BA1461" s="1">
        <v>2013</v>
      </c>
      <c r="BB1461" s="1" t="s">
        <v>599</v>
      </c>
      <c r="BE1461" s="1">
        <v>1332</v>
      </c>
      <c r="BF1461" s="1">
        <v>1</v>
      </c>
      <c r="BG1461" s="1">
        <v>0</v>
      </c>
      <c r="BL1461" s="1">
        <v>235</v>
      </c>
      <c r="BM1461" s="1" t="s">
        <v>204</v>
      </c>
      <c r="BN1461" s="1" t="s">
        <v>213</v>
      </c>
      <c r="BO1461" s="1">
        <v>999</v>
      </c>
      <c r="BP1461" s="1" t="s">
        <v>204</v>
      </c>
      <c r="BR1461" s="1" t="str">
        <f>"03252050290000"</f>
        <v>03252050290000</v>
      </c>
      <c r="BT1461" s="1" t="s">
        <v>14366</v>
      </c>
      <c r="BU1461" s="1" t="s">
        <v>7528</v>
      </c>
      <c r="BV1461" s="1" t="s">
        <v>7529</v>
      </c>
      <c r="BW1461" s="1" t="s">
        <v>7530</v>
      </c>
      <c r="BX1461" s="1">
        <v>3</v>
      </c>
      <c r="BY1461" s="1">
        <v>3</v>
      </c>
      <c r="BZ1461" s="1">
        <v>126</v>
      </c>
      <c r="CB1461" s="1" t="str">
        <f t="shared" ref="CB1461:CC1461" si="1114">""</f>
        <v/>
      </c>
      <c r="CC1461" s="1" t="str">
        <f t="shared" si="1114"/>
        <v/>
      </c>
      <c r="CG1461" s="1" t="s">
        <v>1200</v>
      </c>
      <c r="CH1461" s="1" t="s">
        <v>219</v>
      </c>
      <c r="CI1461" s="1" t="s">
        <v>220</v>
      </c>
      <c r="CJ1461" s="1" t="s">
        <v>343</v>
      </c>
      <c r="CK1461" s="1" t="s">
        <v>228</v>
      </c>
      <c r="CL1461" s="1" t="s">
        <v>219</v>
      </c>
      <c r="CM1461" s="1" t="s">
        <v>220</v>
      </c>
      <c r="CN1461" s="1" t="s">
        <v>343</v>
      </c>
      <c r="CO1461" s="1" t="s">
        <v>409</v>
      </c>
      <c r="CP1461" s="1" t="s">
        <v>219</v>
      </c>
      <c r="CQ1461" s="1" t="s">
        <v>220</v>
      </c>
      <c r="CR1461" s="1" t="s">
        <v>343</v>
      </c>
      <c r="CS1461" s="1" t="s">
        <v>1046</v>
      </c>
      <c r="CT1461" s="1" t="s">
        <v>219</v>
      </c>
      <c r="CU1461" s="1" t="s">
        <v>220</v>
      </c>
      <c r="CV1461" s="1" t="s">
        <v>343</v>
      </c>
      <c r="CX1461" s="1" t="s">
        <v>224</v>
      </c>
      <c r="DB1461" s="1" t="s">
        <v>224</v>
      </c>
      <c r="DE1461" s="1" t="s">
        <v>465</v>
      </c>
      <c r="DF1461" s="1" t="s">
        <v>219</v>
      </c>
      <c r="DG1461" s="1" t="s">
        <v>226</v>
      </c>
      <c r="DH1461" s="1" t="s">
        <v>210</v>
      </c>
      <c r="DJ1461" s="1" t="s">
        <v>224</v>
      </c>
      <c r="DM1461" s="1" t="s">
        <v>709</v>
      </c>
      <c r="DR1461" s="1" t="s">
        <v>412</v>
      </c>
      <c r="DS1461" s="1" t="s">
        <v>219</v>
      </c>
      <c r="DT1461" s="1" t="s">
        <v>226</v>
      </c>
      <c r="DU1461" s="1" t="s">
        <v>210</v>
      </c>
      <c r="DW1461" s="1" t="s">
        <v>230</v>
      </c>
      <c r="EA1461" s="1" t="s">
        <v>230</v>
      </c>
      <c r="EE1461" s="1" t="s">
        <v>230</v>
      </c>
      <c r="EI1461" s="1" t="s">
        <v>230</v>
      </c>
      <c r="EL1461" s="1" t="s">
        <v>491</v>
      </c>
      <c r="EM1461" s="1" t="s">
        <v>319</v>
      </c>
      <c r="EN1461" s="1" t="s">
        <v>282</v>
      </c>
      <c r="EO1461" s="1" t="s">
        <v>1020</v>
      </c>
      <c r="EP1461" s="1" t="s">
        <v>14367</v>
      </c>
      <c r="EQ1461" s="1" t="s">
        <v>236</v>
      </c>
      <c r="ER1461" s="1" t="s">
        <v>383</v>
      </c>
      <c r="ES1461" s="1" t="s">
        <v>608</v>
      </c>
      <c r="ET1461" s="1" t="s">
        <v>866</v>
      </c>
      <c r="EU1461" s="1" t="s">
        <v>5043</v>
      </c>
      <c r="EV1461" s="1" t="s">
        <v>240</v>
      </c>
      <c r="EW1461" s="1" t="s">
        <v>9701</v>
      </c>
      <c r="EY1461" s="1" t="s">
        <v>242</v>
      </c>
      <c r="EZ1461" s="1" t="s">
        <v>709</v>
      </c>
      <c r="FA1461" s="1" t="s">
        <v>714</v>
      </c>
      <c r="FB1461" s="1" t="s">
        <v>244</v>
      </c>
      <c r="FD1461" s="1" t="s">
        <v>246</v>
      </c>
      <c r="FE1461" s="1" t="s">
        <v>472</v>
      </c>
      <c r="FF1461" s="1" t="s">
        <v>248</v>
      </c>
      <c r="FH1461" s="1" t="s">
        <v>825</v>
      </c>
      <c r="FI1461" s="1" t="s">
        <v>473</v>
      </c>
      <c r="FJ1461" s="1" t="s">
        <v>197</v>
      </c>
      <c r="FK1461" s="1" t="s">
        <v>1136</v>
      </c>
      <c r="FL1461" s="1" t="s">
        <v>358</v>
      </c>
      <c r="FM1461" s="1" t="s">
        <v>252</v>
      </c>
      <c r="FN1461" s="1" t="s">
        <v>213</v>
      </c>
      <c r="FO1461" s="1" t="s">
        <v>213</v>
      </c>
      <c r="FQ1461" s="1" t="s">
        <v>793</v>
      </c>
      <c r="FR1461" s="1" t="s">
        <v>210</v>
      </c>
      <c r="FS1461" s="1" t="s">
        <v>14368</v>
      </c>
      <c r="FT1461" s="1" t="s">
        <v>255</v>
      </c>
      <c r="FU1461" s="1" t="s">
        <v>204</v>
      </c>
      <c r="FW1461" s="1" t="s">
        <v>585</v>
      </c>
      <c r="FX1461" s="1">
        <v>2050</v>
      </c>
      <c r="FY1461" s="1" t="s">
        <v>4207</v>
      </c>
      <c r="FZ1461" s="1" t="s">
        <v>14369</v>
      </c>
      <c r="GA1461" s="1">
        <v>18182</v>
      </c>
      <c r="GB1461" s="1" t="s">
        <v>14370</v>
      </c>
      <c r="GD1461" s="1" t="s">
        <v>14371</v>
      </c>
      <c r="GE1461" s="1" t="s">
        <v>623</v>
      </c>
      <c r="GH1461" s="1" t="s">
        <v>589</v>
      </c>
      <c r="GI1461" s="1" t="s">
        <v>213</v>
      </c>
      <c r="GJ1461" s="1" t="s">
        <v>260</v>
      </c>
      <c r="GK1461" s="1" t="s">
        <v>210</v>
      </c>
      <c r="GL1461" s="2">
        <v>42138</v>
      </c>
    </row>
    <row r="1462" spans="1:195">
      <c r="A1462" s="1">
        <v>76700</v>
      </c>
      <c r="B1462" s="1" t="s">
        <v>195</v>
      </c>
      <c r="C1462" s="1" t="str">
        <f>"08873470"</f>
        <v>08873470</v>
      </c>
      <c r="D1462" s="1" t="s">
        <v>196</v>
      </c>
      <c r="F1462" s="1" t="str">
        <f>"107"</f>
        <v>107</v>
      </c>
      <c r="G1462" s="2">
        <v>42090</v>
      </c>
      <c r="H1462" s="1">
        <v>77700</v>
      </c>
      <c r="I1462" s="1">
        <v>77700</v>
      </c>
      <c r="J1462" s="1">
        <v>76700</v>
      </c>
      <c r="K1462" s="2">
        <v>42089</v>
      </c>
      <c r="L1462" s="1">
        <v>20</v>
      </c>
      <c r="M1462" s="2">
        <v>42108</v>
      </c>
      <c r="N1462" s="1">
        <v>20</v>
      </c>
      <c r="O1462" s="2">
        <v>42108</v>
      </c>
      <c r="P1462" s="1">
        <v>22891</v>
      </c>
      <c r="Q1462" s="1" t="s">
        <v>302</v>
      </c>
      <c r="R1462" s="2">
        <v>42128</v>
      </c>
      <c r="S1462" s="1">
        <v>214260</v>
      </c>
      <c r="U1462" s="1">
        <v>36</v>
      </c>
      <c r="V1462" s="1" t="s">
        <v>14372</v>
      </c>
      <c r="W1462" s="1" t="s">
        <v>449</v>
      </c>
      <c r="X1462" s="1" t="s">
        <v>527</v>
      </c>
      <c r="Y1462" s="1">
        <v>4</v>
      </c>
      <c r="Z1462" s="1" t="s">
        <v>249</v>
      </c>
      <c r="AA1462" s="1" t="s">
        <v>1211</v>
      </c>
      <c r="AB1462" s="1">
        <v>60107</v>
      </c>
      <c r="AE1462" s="1" t="s">
        <v>14373</v>
      </c>
      <c r="AF1462" s="1">
        <v>1995</v>
      </c>
      <c r="AG1462" s="1" t="s">
        <v>204</v>
      </c>
      <c r="AH1462" s="1" t="s">
        <v>1214</v>
      </c>
      <c r="AI1462" s="1" t="s">
        <v>310</v>
      </c>
      <c r="AJ1462" s="1" t="s">
        <v>374</v>
      </c>
      <c r="AL1462" s="1">
        <v>4</v>
      </c>
      <c r="AM1462" s="1">
        <v>2</v>
      </c>
      <c r="AN1462" s="1">
        <v>1</v>
      </c>
      <c r="AO1462" s="1">
        <v>0</v>
      </c>
      <c r="AP1462" s="1" t="s">
        <v>209</v>
      </c>
      <c r="AR1462" s="1" t="s">
        <v>210</v>
      </c>
      <c r="AS1462" s="1" t="s">
        <v>204</v>
      </c>
      <c r="AT1462" s="1" t="s">
        <v>211</v>
      </c>
      <c r="AU1462" s="1">
        <v>1</v>
      </c>
      <c r="AW1462" s="1" t="s">
        <v>204</v>
      </c>
      <c r="AX1462" s="1" t="s">
        <v>212</v>
      </c>
      <c r="AZ1462" s="1">
        <v>1537.24</v>
      </c>
      <c r="BA1462" s="1">
        <v>2013</v>
      </c>
      <c r="BE1462" s="1">
        <v>1032</v>
      </c>
      <c r="BF1462" s="1">
        <v>1</v>
      </c>
      <c r="BG1462" s="1">
        <v>0</v>
      </c>
      <c r="BL1462" s="1">
        <v>227</v>
      </c>
      <c r="BM1462" s="1" t="s">
        <v>413</v>
      </c>
      <c r="BN1462" s="1" t="s">
        <v>213</v>
      </c>
      <c r="BP1462" s="1" t="s">
        <v>204</v>
      </c>
      <c r="BR1462" s="1" t="str">
        <f>"06144280151048"</f>
        <v>06144280151048</v>
      </c>
      <c r="BT1462" s="1" t="s">
        <v>14374</v>
      </c>
      <c r="BX1462" s="1">
        <v>46</v>
      </c>
      <c r="BY1462" s="1">
        <v>46</v>
      </c>
      <c r="BZ1462" s="1">
        <v>46</v>
      </c>
      <c r="CB1462" s="1" t="str">
        <f t="shared" ref="CB1462:CC1462" si="1115">""</f>
        <v/>
      </c>
      <c r="CC1462" s="1" t="str">
        <f t="shared" si="1115"/>
        <v/>
      </c>
      <c r="CG1462" s="1" t="s">
        <v>757</v>
      </c>
      <c r="CH1462" s="1" t="s">
        <v>219</v>
      </c>
      <c r="CK1462" s="1" t="s">
        <v>228</v>
      </c>
      <c r="CL1462" s="1" t="s">
        <v>219</v>
      </c>
      <c r="CP1462" s="1" t="s">
        <v>224</v>
      </c>
      <c r="CS1462" s="1" t="s">
        <v>1297</v>
      </c>
      <c r="CT1462" s="1" t="s">
        <v>219</v>
      </c>
      <c r="CX1462" s="1" t="s">
        <v>224</v>
      </c>
      <c r="DB1462" s="1" t="s">
        <v>224</v>
      </c>
      <c r="DE1462" s="1" t="s">
        <v>1402</v>
      </c>
      <c r="DF1462" s="1" t="s">
        <v>219</v>
      </c>
      <c r="DJ1462" s="1" t="s">
        <v>224</v>
      </c>
      <c r="DS1462" s="1" t="s">
        <v>230</v>
      </c>
      <c r="DW1462" s="1" t="s">
        <v>230</v>
      </c>
      <c r="EA1462" s="1" t="s">
        <v>230</v>
      </c>
      <c r="EE1462" s="1" t="s">
        <v>230</v>
      </c>
      <c r="EI1462" s="1" t="s">
        <v>230</v>
      </c>
      <c r="EL1462" s="1" t="s">
        <v>670</v>
      </c>
      <c r="EM1462" s="1" t="s">
        <v>319</v>
      </c>
      <c r="EN1462" s="1" t="s">
        <v>282</v>
      </c>
      <c r="EO1462" s="1" t="s">
        <v>234</v>
      </c>
      <c r="ER1462" s="1" t="s">
        <v>210</v>
      </c>
      <c r="EW1462" s="1" t="s">
        <v>347</v>
      </c>
      <c r="EZ1462" s="1" t="s">
        <v>287</v>
      </c>
      <c r="FD1462" s="1" t="s">
        <v>3287</v>
      </c>
      <c r="FE1462" s="1" t="s">
        <v>355</v>
      </c>
      <c r="FF1462" s="1" t="s">
        <v>248</v>
      </c>
      <c r="FH1462" s="1" t="s">
        <v>442</v>
      </c>
      <c r="FL1462" s="1" t="s">
        <v>358</v>
      </c>
      <c r="FM1462" s="1" t="s">
        <v>252</v>
      </c>
      <c r="FN1462" s="1" t="s">
        <v>213</v>
      </c>
      <c r="FO1462" s="1" t="s">
        <v>213</v>
      </c>
      <c r="FQ1462" s="1" t="s">
        <v>689</v>
      </c>
      <c r="FR1462" s="1" t="s">
        <v>210</v>
      </c>
      <c r="FS1462" s="1" t="s">
        <v>13017</v>
      </c>
      <c r="FT1462" s="1" t="s">
        <v>1828</v>
      </c>
      <c r="FU1462" s="1" t="s">
        <v>204</v>
      </c>
      <c r="FW1462" s="1" t="s">
        <v>1097</v>
      </c>
      <c r="FX1462" s="1">
        <v>8094</v>
      </c>
      <c r="FY1462" s="1" t="s">
        <v>1829</v>
      </c>
      <c r="FZ1462" s="1" t="s">
        <v>1830</v>
      </c>
      <c r="GA1462" s="1">
        <v>28736</v>
      </c>
      <c r="GB1462" s="1" t="s">
        <v>1831</v>
      </c>
      <c r="GE1462" s="1" t="s">
        <v>210</v>
      </c>
      <c r="GI1462" s="1" t="s">
        <v>204</v>
      </c>
      <c r="GJ1462" s="1" t="s">
        <v>260</v>
      </c>
      <c r="GK1462" s="1" t="s">
        <v>210</v>
      </c>
      <c r="GL1462" s="2">
        <v>42128</v>
      </c>
      <c r="GM1462" s="1" t="s">
        <v>13018</v>
      </c>
    </row>
    <row r="1463" spans="1:195">
      <c r="A1463" s="1">
        <v>139000</v>
      </c>
      <c r="B1463" s="1" t="s">
        <v>195</v>
      </c>
      <c r="C1463" s="1" t="str">
        <f>"08873290"</f>
        <v>08873290</v>
      </c>
      <c r="D1463" s="1" t="s">
        <v>196</v>
      </c>
      <c r="F1463" s="1" t="str">
        <f>"46"</f>
        <v>46</v>
      </c>
      <c r="G1463" s="2">
        <v>42089</v>
      </c>
      <c r="H1463" s="1">
        <v>139900</v>
      </c>
      <c r="I1463" s="1">
        <v>139900</v>
      </c>
      <c r="J1463" s="1">
        <v>139000</v>
      </c>
      <c r="K1463" s="2">
        <v>42089</v>
      </c>
      <c r="L1463" s="1">
        <v>4</v>
      </c>
      <c r="M1463" s="2">
        <v>42092</v>
      </c>
      <c r="N1463" s="1">
        <v>4</v>
      </c>
      <c r="O1463" s="2">
        <v>42092</v>
      </c>
      <c r="P1463" s="1">
        <v>22993</v>
      </c>
      <c r="Q1463" s="1" t="s">
        <v>197</v>
      </c>
      <c r="R1463" s="2">
        <v>42146</v>
      </c>
      <c r="S1463" s="1">
        <v>230024</v>
      </c>
      <c r="U1463" s="1">
        <v>1208</v>
      </c>
      <c r="V1463" s="1" t="s">
        <v>5399</v>
      </c>
      <c r="W1463" s="1" t="s">
        <v>304</v>
      </c>
      <c r="Y1463" s="1">
        <v>4</v>
      </c>
      <c r="Z1463" s="1" t="s">
        <v>200</v>
      </c>
      <c r="AA1463" s="1" t="s">
        <v>6887</v>
      </c>
      <c r="AB1463" s="1">
        <v>60046</v>
      </c>
      <c r="AD1463" s="1" t="s">
        <v>14375</v>
      </c>
      <c r="AE1463" s="1" t="s">
        <v>14376</v>
      </c>
      <c r="AF1463" s="1">
        <v>1999</v>
      </c>
      <c r="AG1463" s="1" t="s">
        <v>204</v>
      </c>
      <c r="AH1463" s="1" t="s">
        <v>1437</v>
      </c>
      <c r="AI1463" s="1" t="s">
        <v>509</v>
      </c>
      <c r="AJ1463" s="1" t="s">
        <v>1437</v>
      </c>
      <c r="AL1463" s="1">
        <v>5</v>
      </c>
      <c r="AM1463" s="1">
        <v>2</v>
      </c>
      <c r="AN1463" s="1">
        <v>2</v>
      </c>
      <c r="AO1463" s="1">
        <v>1</v>
      </c>
      <c r="AP1463" s="1" t="s">
        <v>209</v>
      </c>
      <c r="AQ1463" s="1">
        <v>1</v>
      </c>
      <c r="AR1463" s="1" t="s">
        <v>210</v>
      </c>
      <c r="AS1463" s="1" t="s">
        <v>204</v>
      </c>
      <c r="AT1463" s="1" t="s">
        <v>211</v>
      </c>
      <c r="AU1463" s="1">
        <v>2</v>
      </c>
      <c r="AW1463" s="1" t="s">
        <v>204</v>
      </c>
      <c r="AX1463" s="1" t="s">
        <v>212</v>
      </c>
      <c r="AZ1463" s="1">
        <v>3708</v>
      </c>
      <c r="BA1463" s="1">
        <v>2013</v>
      </c>
      <c r="BE1463" s="1">
        <v>1638</v>
      </c>
      <c r="BF1463" s="1">
        <v>1</v>
      </c>
      <c r="BG1463" s="1">
        <v>0</v>
      </c>
      <c r="BL1463" s="1">
        <v>171</v>
      </c>
      <c r="BM1463" s="1" t="s">
        <v>204</v>
      </c>
      <c r="BN1463" s="1" t="s">
        <v>213</v>
      </c>
      <c r="BO1463" s="1">
        <v>0</v>
      </c>
      <c r="BP1463" s="1" t="s">
        <v>204</v>
      </c>
      <c r="BR1463" s="1" t="str">
        <f>"02282010690000"</f>
        <v>02282010690000</v>
      </c>
      <c r="BT1463" s="1" t="s">
        <v>14377</v>
      </c>
      <c r="BU1463" s="1" t="s">
        <v>1486</v>
      </c>
      <c r="BV1463" s="1" t="s">
        <v>6892</v>
      </c>
      <c r="BW1463" s="1" t="s">
        <v>6893</v>
      </c>
      <c r="BX1463" s="1">
        <v>34</v>
      </c>
      <c r="BY1463" s="1">
        <v>34</v>
      </c>
      <c r="BZ1463" s="1">
        <v>117</v>
      </c>
      <c r="CB1463" s="1" t="str">
        <f t="shared" ref="CB1463:CC1463" si="1116">""</f>
        <v/>
      </c>
      <c r="CC1463" s="1" t="str">
        <f t="shared" si="1116"/>
        <v/>
      </c>
      <c r="CG1463" s="1" t="s">
        <v>648</v>
      </c>
      <c r="CH1463" s="1" t="s">
        <v>219</v>
      </c>
      <c r="CI1463" s="1" t="s">
        <v>438</v>
      </c>
      <c r="CK1463" s="1" t="s">
        <v>228</v>
      </c>
      <c r="CL1463" s="1" t="s">
        <v>277</v>
      </c>
      <c r="CM1463" s="1" t="s">
        <v>220</v>
      </c>
      <c r="CP1463" s="1" t="s">
        <v>224</v>
      </c>
      <c r="CS1463" s="1" t="s">
        <v>461</v>
      </c>
      <c r="CT1463" s="1" t="s">
        <v>277</v>
      </c>
      <c r="CU1463" s="1" t="s">
        <v>220</v>
      </c>
      <c r="CX1463" s="1" t="s">
        <v>224</v>
      </c>
      <c r="DB1463" s="1" t="s">
        <v>224</v>
      </c>
      <c r="DE1463" s="1" t="s">
        <v>379</v>
      </c>
      <c r="DF1463" s="1" t="s">
        <v>219</v>
      </c>
      <c r="DG1463" s="1" t="s">
        <v>438</v>
      </c>
      <c r="DJ1463" s="1" t="s">
        <v>224</v>
      </c>
      <c r="DM1463" s="1" t="s">
        <v>464</v>
      </c>
      <c r="DR1463" s="1" t="s">
        <v>378</v>
      </c>
      <c r="DS1463" s="1" t="s">
        <v>277</v>
      </c>
      <c r="DT1463" s="1" t="s">
        <v>220</v>
      </c>
      <c r="DW1463" s="1" t="s">
        <v>230</v>
      </c>
      <c r="EA1463" s="1" t="s">
        <v>230</v>
      </c>
      <c r="EE1463" s="1" t="s">
        <v>230</v>
      </c>
      <c r="EI1463" s="1" t="s">
        <v>230</v>
      </c>
      <c r="EL1463" s="1" t="s">
        <v>670</v>
      </c>
      <c r="EM1463" s="1" t="s">
        <v>319</v>
      </c>
      <c r="EN1463" s="1" t="s">
        <v>282</v>
      </c>
      <c r="EO1463" s="1" t="s">
        <v>234</v>
      </c>
      <c r="EQ1463" s="1" t="s">
        <v>236</v>
      </c>
      <c r="ER1463" s="1" t="s">
        <v>383</v>
      </c>
      <c r="ES1463" s="1" t="s">
        <v>322</v>
      </c>
      <c r="EW1463" s="1" t="s">
        <v>887</v>
      </c>
      <c r="EZ1463" s="1" t="s">
        <v>464</v>
      </c>
      <c r="FA1463" s="1" t="s">
        <v>14378</v>
      </c>
      <c r="FD1463" s="1" t="s">
        <v>246</v>
      </c>
      <c r="FE1463" s="1" t="s">
        <v>472</v>
      </c>
      <c r="FF1463" s="1" t="s">
        <v>248</v>
      </c>
      <c r="FG1463" s="1" t="s">
        <v>912</v>
      </c>
      <c r="FH1463" s="1" t="s">
        <v>550</v>
      </c>
      <c r="FI1463" s="1" t="s">
        <v>357</v>
      </c>
      <c r="FL1463" s="1" t="s">
        <v>358</v>
      </c>
      <c r="FM1463" s="1" t="s">
        <v>252</v>
      </c>
      <c r="FN1463" s="1" t="s">
        <v>213</v>
      </c>
      <c r="FO1463" s="1" t="s">
        <v>213</v>
      </c>
      <c r="FQ1463" s="1" t="s">
        <v>615</v>
      </c>
      <c r="FR1463" s="1" t="s">
        <v>210</v>
      </c>
      <c r="FS1463" s="1" t="s">
        <v>636</v>
      </c>
      <c r="FT1463" s="1" t="s">
        <v>1408</v>
      </c>
      <c r="FU1463" s="1" t="s">
        <v>204</v>
      </c>
      <c r="FW1463" s="1" t="s">
        <v>618</v>
      </c>
      <c r="FX1463" s="1">
        <v>2643</v>
      </c>
      <c r="FY1463" s="1" t="s">
        <v>619</v>
      </c>
      <c r="FZ1463" s="1" t="s">
        <v>14379</v>
      </c>
      <c r="GA1463" s="1">
        <v>20245</v>
      </c>
      <c r="GB1463" s="1" t="s">
        <v>14380</v>
      </c>
      <c r="GC1463" s="1">
        <v>12662</v>
      </c>
      <c r="GD1463" s="1" t="s">
        <v>14381</v>
      </c>
      <c r="GE1463" s="1" t="s">
        <v>210</v>
      </c>
      <c r="GI1463" s="1" t="s">
        <v>213</v>
      </c>
      <c r="GJ1463" s="1" t="s">
        <v>260</v>
      </c>
      <c r="GK1463" s="1" t="s">
        <v>210</v>
      </c>
      <c r="GL1463" s="2">
        <v>42148</v>
      </c>
      <c r="GM1463" s="1" t="s">
        <v>14382</v>
      </c>
    </row>
    <row r="1464" spans="1:195">
      <c r="A1464" s="1">
        <v>149000</v>
      </c>
      <c r="B1464" s="1" t="s">
        <v>195</v>
      </c>
      <c r="C1464" s="1" t="str">
        <f>"08868266"</f>
        <v>08868266</v>
      </c>
      <c r="D1464" s="1" t="s">
        <v>196</v>
      </c>
      <c r="F1464" s="1" t="str">
        <f>"507"</f>
        <v>507</v>
      </c>
      <c r="G1464" s="2">
        <v>42084</v>
      </c>
      <c r="H1464" s="1">
        <v>149000</v>
      </c>
      <c r="I1464" s="1">
        <v>149900</v>
      </c>
      <c r="J1464" s="1">
        <v>149000</v>
      </c>
      <c r="K1464" s="2">
        <v>42083</v>
      </c>
      <c r="L1464" s="1">
        <v>4</v>
      </c>
      <c r="M1464" s="2">
        <v>42086</v>
      </c>
      <c r="N1464" s="1">
        <v>4</v>
      </c>
      <c r="O1464" s="2">
        <v>42086</v>
      </c>
      <c r="P1464" s="1">
        <v>20001</v>
      </c>
      <c r="Q1464" s="1" t="s">
        <v>197</v>
      </c>
      <c r="R1464" s="2">
        <v>42129</v>
      </c>
      <c r="S1464" s="1">
        <v>217053</v>
      </c>
      <c r="U1464" s="1">
        <v>2268</v>
      </c>
      <c r="V1464" s="1" t="s">
        <v>14383</v>
      </c>
      <c r="W1464" s="1" t="s">
        <v>264</v>
      </c>
      <c r="X1464" s="1">
        <v>2268</v>
      </c>
      <c r="Y1464" s="1">
        <v>4</v>
      </c>
      <c r="Z1464" s="1" t="s">
        <v>249</v>
      </c>
      <c r="AA1464" s="1" t="s">
        <v>1123</v>
      </c>
      <c r="AB1464" s="1">
        <v>60503</v>
      </c>
      <c r="AD1464" s="1" t="s">
        <v>14384</v>
      </c>
      <c r="AE1464" s="1" t="s">
        <v>14385</v>
      </c>
      <c r="AF1464" s="1">
        <v>2000</v>
      </c>
      <c r="AG1464" s="1" t="s">
        <v>204</v>
      </c>
      <c r="AH1464" s="1" t="s">
        <v>1126</v>
      </c>
      <c r="AI1464" s="1" t="s">
        <v>1800</v>
      </c>
      <c r="AJ1464" s="1" t="s">
        <v>1801</v>
      </c>
      <c r="AK1464" s="1" t="s">
        <v>3642</v>
      </c>
      <c r="AL1464" s="1">
        <v>7</v>
      </c>
      <c r="AM1464" s="1">
        <v>2</v>
      </c>
      <c r="AN1464" s="1">
        <v>2</v>
      </c>
      <c r="AO1464" s="1">
        <v>0</v>
      </c>
      <c r="AP1464" s="1" t="s">
        <v>209</v>
      </c>
      <c r="AQ1464" s="1">
        <v>1</v>
      </c>
      <c r="AR1464" s="1" t="s">
        <v>1483</v>
      </c>
      <c r="AS1464" s="1" t="s">
        <v>213</v>
      </c>
      <c r="AT1464" s="1" t="s">
        <v>211</v>
      </c>
      <c r="AU1464" s="1">
        <v>2</v>
      </c>
      <c r="AW1464" s="1" t="s">
        <v>204</v>
      </c>
      <c r="AX1464" s="1" t="s">
        <v>212</v>
      </c>
      <c r="AZ1464" s="3">
        <v>3701</v>
      </c>
      <c r="BA1464" s="1">
        <v>2013</v>
      </c>
      <c r="BB1464" s="1" t="s">
        <v>405</v>
      </c>
      <c r="BE1464" s="1">
        <v>1835</v>
      </c>
      <c r="BF1464" s="1">
        <v>1</v>
      </c>
      <c r="BG1464" s="1">
        <v>0</v>
      </c>
      <c r="BL1464" s="1">
        <v>218</v>
      </c>
      <c r="BM1464" s="1" t="s">
        <v>213</v>
      </c>
      <c r="BN1464" s="1" t="s">
        <v>213</v>
      </c>
      <c r="BO1464" s="1" t="s">
        <v>5814</v>
      </c>
      <c r="BP1464" s="1" t="s">
        <v>204</v>
      </c>
      <c r="BR1464" s="1" t="str">
        <f>"01063020241005"</f>
        <v>01063020241005</v>
      </c>
      <c r="BT1464" s="1" t="s">
        <v>14386</v>
      </c>
      <c r="BU1464" s="1" t="s">
        <v>1400</v>
      </c>
      <c r="BV1464" s="1" t="s">
        <v>7954</v>
      </c>
      <c r="BW1464" s="1" t="s">
        <v>1401</v>
      </c>
      <c r="BX1464" s="1">
        <v>308</v>
      </c>
      <c r="BY1464" s="1">
        <v>308</v>
      </c>
      <c r="BZ1464" s="1">
        <v>308</v>
      </c>
      <c r="CB1464" s="1" t="str">
        <f t="shared" ref="CB1464:CC1464" si="1117">""</f>
        <v/>
      </c>
      <c r="CC1464" s="1" t="str">
        <f t="shared" si="1117"/>
        <v/>
      </c>
      <c r="CG1464" s="1" t="s">
        <v>437</v>
      </c>
      <c r="CH1464" s="1" t="s">
        <v>219</v>
      </c>
      <c r="CI1464" s="1" t="s">
        <v>220</v>
      </c>
      <c r="CJ1464" s="1" t="s">
        <v>343</v>
      </c>
      <c r="CK1464" s="1" t="s">
        <v>278</v>
      </c>
      <c r="CL1464" s="1" t="s">
        <v>219</v>
      </c>
      <c r="CM1464" s="1" t="s">
        <v>220</v>
      </c>
      <c r="CN1464" s="1" t="s">
        <v>343</v>
      </c>
      <c r="CO1464" s="1" t="s">
        <v>379</v>
      </c>
      <c r="CP1464" s="1" t="s">
        <v>219</v>
      </c>
      <c r="CQ1464" s="1" t="s">
        <v>220</v>
      </c>
      <c r="CR1464" s="1" t="s">
        <v>343</v>
      </c>
      <c r="CS1464" s="1" t="s">
        <v>465</v>
      </c>
      <c r="CT1464" s="1" t="s">
        <v>219</v>
      </c>
      <c r="CU1464" s="1" t="s">
        <v>220</v>
      </c>
      <c r="CV1464" s="1" t="s">
        <v>343</v>
      </c>
      <c r="CX1464" s="1" t="s">
        <v>224</v>
      </c>
      <c r="DB1464" s="1" t="s">
        <v>224</v>
      </c>
      <c r="DE1464" s="1" t="s">
        <v>1297</v>
      </c>
      <c r="DF1464" s="1" t="s">
        <v>219</v>
      </c>
      <c r="DG1464" s="1" t="s">
        <v>342</v>
      </c>
      <c r="DI1464" s="1" t="s">
        <v>14387</v>
      </c>
      <c r="DJ1464" s="1" t="s">
        <v>822</v>
      </c>
      <c r="DK1464" s="1" t="s">
        <v>220</v>
      </c>
      <c r="DL1464" s="1" t="s">
        <v>343</v>
      </c>
      <c r="DM1464" s="1" t="s">
        <v>464</v>
      </c>
      <c r="DR1464" s="1" t="s">
        <v>837</v>
      </c>
      <c r="DS1464" s="1" t="s">
        <v>219</v>
      </c>
      <c r="DT1464" s="1" t="s">
        <v>220</v>
      </c>
      <c r="DU1464" s="1" t="s">
        <v>343</v>
      </c>
      <c r="DW1464" s="1" t="s">
        <v>230</v>
      </c>
      <c r="EA1464" s="1" t="s">
        <v>230</v>
      </c>
      <c r="EE1464" s="1" t="s">
        <v>230</v>
      </c>
      <c r="EI1464" s="1" t="s">
        <v>230</v>
      </c>
      <c r="EL1464" s="1" t="s">
        <v>466</v>
      </c>
      <c r="EM1464" s="1" t="s">
        <v>319</v>
      </c>
      <c r="EN1464" s="1" t="s">
        <v>282</v>
      </c>
      <c r="EO1464" s="1" t="s">
        <v>234</v>
      </c>
      <c r="EP1464" s="1" t="s">
        <v>650</v>
      </c>
      <c r="EQ1464" s="1" t="s">
        <v>236</v>
      </c>
      <c r="ER1464" s="1" t="s">
        <v>544</v>
      </c>
      <c r="ES1464" s="1" t="s">
        <v>954</v>
      </c>
      <c r="EU1464" s="1" t="s">
        <v>239</v>
      </c>
      <c r="EV1464" s="1" t="s">
        <v>324</v>
      </c>
      <c r="EW1464" s="1" t="s">
        <v>937</v>
      </c>
      <c r="EY1464" s="1" t="s">
        <v>242</v>
      </c>
      <c r="EZ1464" s="1" t="s">
        <v>464</v>
      </c>
      <c r="FA1464" s="1" t="s">
        <v>938</v>
      </c>
      <c r="FB1464" s="1" t="s">
        <v>289</v>
      </c>
      <c r="FC1464" s="1" t="s">
        <v>633</v>
      </c>
      <c r="FD1464" s="1" t="s">
        <v>495</v>
      </c>
      <c r="FE1464" s="1" t="s">
        <v>472</v>
      </c>
      <c r="FF1464" s="1" t="s">
        <v>248</v>
      </c>
      <c r="FG1464" s="1" t="s">
        <v>912</v>
      </c>
      <c r="FH1464" s="1" t="s">
        <v>249</v>
      </c>
      <c r="FI1464" s="1" t="s">
        <v>473</v>
      </c>
      <c r="FL1464" s="1" t="s">
        <v>358</v>
      </c>
      <c r="FM1464" s="1" t="s">
        <v>252</v>
      </c>
      <c r="FN1464" s="1" t="s">
        <v>213</v>
      </c>
      <c r="FO1464" s="1" t="s">
        <v>204</v>
      </c>
      <c r="FQ1464" s="1" t="s">
        <v>12603</v>
      </c>
      <c r="FR1464" s="1" t="s">
        <v>210</v>
      </c>
      <c r="FS1464" s="1" t="s">
        <v>4325</v>
      </c>
      <c r="FT1464" s="1" t="s">
        <v>295</v>
      </c>
      <c r="FU1464" s="1" t="s">
        <v>204</v>
      </c>
      <c r="FW1464" s="1" t="s">
        <v>1806</v>
      </c>
      <c r="FX1464" s="1">
        <v>21324</v>
      </c>
      <c r="FY1464" s="1" t="s">
        <v>2395</v>
      </c>
      <c r="FZ1464" s="1" t="s">
        <v>14388</v>
      </c>
      <c r="GA1464" s="1">
        <v>242745</v>
      </c>
      <c r="GE1464" s="1" t="s">
        <v>480</v>
      </c>
      <c r="GI1464" s="1" t="s">
        <v>213</v>
      </c>
      <c r="GJ1464" s="1" t="s">
        <v>260</v>
      </c>
      <c r="GK1464" s="1" t="s">
        <v>210</v>
      </c>
      <c r="GL1464" s="2">
        <v>42130</v>
      </c>
    </row>
    <row r="1465" spans="1:195">
      <c r="A1465" s="1">
        <v>141500</v>
      </c>
      <c r="B1465" s="1" t="s">
        <v>195</v>
      </c>
      <c r="C1465" s="1" t="str">
        <f>"08867004"</f>
        <v>08867004</v>
      </c>
      <c r="D1465" s="1" t="s">
        <v>196</v>
      </c>
      <c r="F1465" s="1" t="str">
        <f>"190"</f>
        <v>190</v>
      </c>
      <c r="G1465" s="2">
        <v>42083</v>
      </c>
      <c r="H1465" s="1">
        <v>155000</v>
      </c>
      <c r="I1465" s="1">
        <v>155000</v>
      </c>
      <c r="J1465" s="1">
        <v>141500</v>
      </c>
      <c r="K1465" s="2">
        <v>42080</v>
      </c>
      <c r="L1465" s="1">
        <v>26</v>
      </c>
      <c r="M1465" s="2">
        <v>42105</v>
      </c>
      <c r="N1465" s="1">
        <v>26</v>
      </c>
      <c r="O1465" s="2">
        <v>42105</v>
      </c>
      <c r="P1465" s="1">
        <v>25083</v>
      </c>
      <c r="Q1465" s="1" t="s">
        <v>197</v>
      </c>
      <c r="R1465" s="2">
        <v>42146</v>
      </c>
      <c r="S1465" s="1">
        <v>250887</v>
      </c>
      <c r="U1465" s="1" t="s">
        <v>14389</v>
      </c>
      <c r="V1465" s="1" t="s">
        <v>2731</v>
      </c>
      <c r="W1465" s="1" t="s">
        <v>504</v>
      </c>
      <c r="X1465" s="1">
        <v>103</v>
      </c>
      <c r="Y1465" s="1">
        <v>4</v>
      </c>
      <c r="Z1465" s="1" t="s">
        <v>370</v>
      </c>
      <c r="AA1465" s="1" t="s">
        <v>1915</v>
      </c>
      <c r="AB1465" s="1">
        <v>60190</v>
      </c>
      <c r="AD1465" s="1" t="s">
        <v>14390</v>
      </c>
      <c r="AE1465" s="1" t="s">
        <v>14391</v>
      </c>
      <c r="AF1465" s="1">
        <v>1986</v>
      </c>
      <c r="AG1465" s="1" t="s">
        <v>204</v>
      </c>
      <c r="AH1465" s="1" t="s">
        <v>987</v>
      </c>
      <c r="AI1465" s="1" t="s">
        <v>206</v>
      </c>
      <c r="AJ1465" s="1" t="s">
        <v>987</v>
      </c>
      <c r="AK1465" s="1" t="s">
        <v>2247</v>
      </c>
      <c r="AL1465" s="1">
        <v>5</v>
      </c>
      <c r="AM1465" s="1">
        <v>2</v>
      </c>
      <c r="AN1465" s="1">
        <v>1</v>
      </c>
      <c r="AO1465" s="1">
        <v>1</v>
      </c>
      <c r="AP1465" s="1" t="s">
        <v>210</v>
      </c>
      <c r="AQ1465" s="1">
        <v>1</v>
      </c>
      <c r="AR1465" s="1" t="s">
        <v>210</v>
      </c>
      <c r="AS1465" s="1" t="s">
        <v>204</v>
      </c>
      <c r="AT1465" s="1" t="s">
        <v>211</v>
      </c>
      <c r="AU1465" s="1">
        <v>1</v>
      </c>
      <c r="AW1465" s="1" t="s">
        <v>213</v>
      </c>
      <c r="AX1465" s="1">
        <v>2658</v>
      </c>
      <c r="AZ1465" s="1">
        <v>4304</v>
      </c>
      <c r="BA1465" s="1">
        <v>2013</v>
      </c>
      <c r="BB1465" s="1" t="s">
        <v>405</v>
      </c>
      <c r="BE1465" s="1">
        <v>1343</v>
      </c>
      <c r="BF1465" s="1">
        <v>1</v>
      </c>
      <c r="BG1465" s="1">
        <v>0</v>
      </c>
      <c r="BJ1465" s="1">
        <v>100</v>
      </c>
      <c r="BL1465" s="1">
        <v>194</v>
      </c>
      <c r="BM1465" s="1" t="s">
        <v>204</v>
      </c>
      <c r="BN1465" s="1" t="s">
        <v>213</v>
      </c>
      <c r="BO1465" s="1">
        <v>999</v>
      </c>
      <c r="BP1465" s="1" t="s">
        <v>204</v>
      </c>
      <c r="BR1465" s="1" t="str">
        <f>"0412104011"</f>
        <v>0412104011</v>
      </c>
      <c r="BT1465" s="1" t="s">
        <v>14392</v>
      </c>
      <c r="BX1465" s="1">
        <v>33</v>
      </c>
      <c r="BY1465" s="1">
        <v>33</v>
      </c>
      <c r="BZ1465" s="1">
        <v>94</v>
      </c>
      <c r="CB1465" s="1" t="str">
        <f t="shared" ref="CB1465:CC1465" si="1118">""</f>
        <v/>
      </c>
      <c r="CC1465" s="1" t="str">
        <f t="shared" si="1118"/>
        <v/>
      </c>
      <c r="CG1465" s="1" t="s">
        <v>315</v>
      </c>
      <c r="CH1465" s="1" t="s">
        <v>219</v>
      </c>
      <c r="CI1465" s="1" t="s">
        <v>220</v>
      </c>
      <c r="CJ1465" s="1" t="s">
        <v>252</v>
      </c>
      <c r="CK1465" s="1" t="s">
        <v>1004</v>
      </c>
      <c r="CL1465" s="1" t="s">
        <v>277</v>
      </c>
      <c r="CM1465" s="1" t="s">
        <v>220</v>
      </c>
      <c r="CN1465" s="1" t="s">
        <v>252</v>
      </c>
      <c r="CP1465" s="1" t="s">
        <v>224</v>
      </c>
      <c r="CS1465" s="1" t="s">
        <v>317</v>
      </c>
      <c r="CT1465" s="1" t="s">
        <v>277</v>
      </c>
      <c r="CU1465" s="1" t="s">
        <v>220</v>
      </c>
      <c r="CV1465" s="1" t="s">
        <v>252</v>
      </c>
      <c r="CX1465" s="1" t="s">
        <v>224</v>
      </c>
      <c r="DB1465" s="1" t="s">
        <v>224</v>
      </c>
      <c r="DE1465" s="1" t="s">
        <v>1612</v>
      </c>
      <c r="DF1465" s="1" t="s">
        <v>219</v>
      </c>
      <c r="DG1465" s="1" t="s">
        <v>342</v>
      </c>
      <c r="DH1465" s="1" t="s">
        <v>252</v>
      </c>
      <c r="DI1465" s="1" t="s">
        <v>461</v>
      </c>
      <c r="DJ1465" s="1" t="s">
        <v>219</v>
      </c>
      <c r="DK1465" s="1" t="s">
        <v>220</v>
      </c>
      <c r="DL1465" s="1" t="s">
        <v>343</v>
      </c>
      <c r="DS1465" s="1" t="s">
        <v>230</v>
      </c>
      <c r="DW1465" s="1" t="s">
        <v>230</v>
      </c>
      <c r="EA1465" s="1" t="s">
        <v>230</v>
      </c>
      <c r="EE1465" s="1" t="s">
        <v>230</v>
      </c>
      <c r="EI1465" s="1" t="s">
        <v>230</v>
      </c>
      <c r="EL1465" s="1" t="s">
        <v>542</v>
      </c>
      <c r="EM1465" s="1" t="s">
        <v>232</v>
      </c>
      <c r="EN1465" s="1" t="s">
        <v>282</v>
      </c>
      <c r="EO1465" s="1" t="s">
        <v>234</v>
      </c>
      <c r="EP1465" s="1" t="s">
        <v>283</v>
      </c>
      <c r="EQ1465" s="1" t="s">
        <v>236</v>
      </c>
      <c r="ER1465" s="1" t="s">
        <v>210</v>
      </c>
      <c r="ES1465" s="1" t="s">
        <v>1160</v>
      </c>
      <c r="EU1465" s="1" t="s">
        <v>239</v>
      </c>
      <c r="EW1465" s="1" t="s">
        <v>353</v>
      </c>
      <c r="EZ1465" s="1" t="s">
        <v>287</v>
      </c>
      <c r="FA1465" s="1" t="s">
        <v>714</v>
      </c>
      <c r="FB1465" s="1" t="s">
        <v>289</v>
      </c>
      <c r="FD1465" s="1" t="s">
        <v>246</v>
      </c>
      <c r="FE1465" s="1" t="s">
        <v>247</v>
      </c>
      <c r="FF1465" s="1" t="s">
        <v>248</v>
      </c>
      <c r="FG1465" s="1" t="s">
        <v>2406</v>
      </c>
      <c r="FH1465" s="1" t="s">
        <v>550</v>
      </c>
      <c r="FI1465" s="1" t="s">
        <v>473</v>
      </c>
      <c r="FL1465" s="1" t="s">
        <v>358</v>
      </c>
      <c r="FM1465" s="1" t="s">
        <v>252</v>
      </c>
      <c r="FN1465" s="1" t="s">
        <v>213</v>
      </c>
      <c r="FO1465" s="1" t="s">
        <v>213</v>
      </c>
      <c r="FQ1465" s="1" t="s">
        <v>1441</v>
      </c>
      <c r="FR1465" s="1" t="s">
        <v>652</v>
      </c>
      <c r="FS1465" s="1" t="s">
        <v>14393</v>
      </c>
      <c r="FT1465" s="1" t="s">
        <v>362</v>
      </c>
      <c r="FU1465" s="1" t="s">
        <v>204</v>
      </c>
      <c r="FW1465" s="1" t="s">
        <v>256</v>
      </c>
      <c r="FX1465" s="1">
        <v>25163</v>
      </c>
      <c r="FY1465" s="1" t="s">
        <v>257</v>
      </c>
      <c r="FZ1465" s="1" t="s">
        <v>14394</v>
      </c>
      <c r="GA1465" s="1">
        <v>211516</v>
      </c>
      <c r="GB1465" s="1" t="s">
        <v>14395</v>
      </c>
      <c r="GD1465" s="1" t="s">
        <v>14396</v>
      </c>
      <c r="GE1465" s="1" t="s">
        <v>5228</v>
      </c>
      <c r="GI1465" s="1" t="s">
        <v>213</v>
      </c>
      <c r="GJ1465" s="1" t="s">
        <v>260</v>
      </c>
      <c r="GK1465" s="1" t="s">
        <v>210</v>
      </c>
      <c r="GL1465" s="2">
        <v>42149</v>
      </c>
      <c r="GM1465" s="1" t="s">
        <v>14397</v>
      </c>
    </row>
    <row r="1466" spans="1:195">
      <c r="A1466" s="1">
        <v>156500</v>
      </c>
      <c r="B1466" s="1" t="s">
        <v>195</v>
      </c>
      <c r="C1466" s="1" t="str">
        <f>"08868177"</f>
        <v>08868177</v>
      </c>
      <c r="D1466" s="1" t="s">
        <v>196</v>
      </c>
      <c r="F1466" s="1" t="str">
        <f>"107"</f>
        <v>107</v>
      </c>
      <c r="G1466" s="2">
        <v>42084</v>
      </c>
      <c r="H1466" s="1">
        <v>149900</v>
      </c>
      <c r="I1466" s="1">
        <v>149900</v>
      </c>
      <c r="J1466" s="1">
        <v>156500</v>
      </c>
      <c r="K1466" s="2">
        <v>42084</v>
      </c>
      <c r="L1466" s="1">
        <v>5</v>
      </c>
      <c r="M1466" s="2">
        <v>42088</v>
      </c>
      <c r="N1466" s="1">
        <v>5</v>
      </c>
      <c r="O1466" s="2">
        <v>42088</v>
      </c>
      <c r="P1466" s="1">
        <v>24002</v>
      </c>
      <c r="Q1466" s="1" t="s">
        <v>197</v>
      </c>
      <c r="R1466" s="2">
        <v>42122</v>
      </c>
      <c r="S1466" s="1">
        <v>212209</v>
      </c>
      <c r="U1466" s="1">
        <v>50</v>
      </c>
      <c r="V1466" s="1" t="s">
        <v>1210</v>
      </c>
      <c r="W1466" s="1" t="s">
        <v>425</v>
      </c>
      <c r="Y1466" s="1">
        <v>4</v>
      </c>
      <c r="Z1466" s="1" t="s">
        <v>249</v>
      </c>
      <c r="AA1466" s="1" t="s">
        <v>1211</v>
      </c>
      <c r="AB1466" s="1">
        <v>60107</v>
      </c>
      <c r="AD1466" s="1" t="s">
        <v>1212</v>
      </c>
      <c r="AE1466" s="1" t="s">
        <v>14398</v>
      </c>
      <c r="AF1466" s="1">
        <v>1995</v>
      </c>
      <c r="AG1466" s="1" t="s">
        <v>204</v>
      </c>
      <c r="AH1466" s="1" t="s">
        <v>1214</v>
      </c>
      <c r="AI1466" s="1" t="s">
        <v>310</v>
      </c>
      <c r="AJ1466" s="1" t="s">
        <v>374</v>
      </c>
      <c r="AK1466" s="1" t="s">
        <v>10145</v>
      </c>
      <c r="AL1466" s="1">
        <v>6</v>
      </c>
      <c r="AM1466" s="1">
        <v>2</v>
      </c>
      <c r="AN1466" s="1">
        <v>1</v>
      </c>
      <c r="AO1466" s="1">
        <v>1</v>
      </c>
      <c r="AP1466" s="1" t="s">
        <v>210</v>
      </c>
      <c r="AR1466" s="1" t="s">
        <v>210</v>
      </c>
      <c r="AT1466" s="1" t="s">
        <v>211</v>
      </c>
      <c r="AU1466" s="1">
        <v>2</v>
      </c>
      <c r="AW1466" s="1" t="s">
        <v>204</v>
      </c>
      <c r="AX1466" s="1" t="s">
        <v>212</v>
      </c>
      <c r="AZ1466" s="1">
        <v>4189</v>
      </c>
      <c r="BA1466" s="1">
        <v>2013</v>
      </c>
      <c r="BB1466" s="1" t="s">
        <v>405</v>
      </c>
      <c r="BE1466" s="1">
        <v>1406</v>
      </c>
      <c r="BF1466" s="1">
        <v>1</v>
      </c>
      <c r="BG1466" s="1">
        <v>0</v>
      </c>
      <c r="BL1466" s="1">
        <v>180</v>
      </c>
      <c r="BM1466" s="1" t="s">
        <v>204</v>
      </c>
      <c r="BN1466" s="1" t="s">
        <v>213</v>
      </c>
      <c r="BO1466" s="1" t="s">
        <v>3215</v>
      </c>
      <c r="BP1466" s="1" t="s">
        <v>204</v>
      </c>
      <c r="BR1466" s="1" t="str">
        <f>"06261130180000"</f>
        <v>06261130180000</v>
      </c>
      <c r="BT1466" s="1" t="s">
        <v>14399</v>
      </c>
      <c r="BX1466" s="1">
        <v>46</v>
      </c>
      <c r="BY1466" s="1">
        <v>46</v>
      </c>
      <c r="BZ1466" s="1">
        <v>46</v>
      </c>
      <c r="CB1466" s="1" t="str">
        <f t="shared" ref="CB1466:CC1466" si="1119">""</f>
        <v/>
      </c>
      <c r="CC1466" s="1" t="str">
        <f t="shared" si="1119"/>
        <v/>
      </c>
      <c r="CG1466" s="1" t="s">
        <v>861</v>
      </c>
      <c r="CH1466" s="1" t="s">
        <v>219</v>
      </c>
      <c r="CI1466" s="1" t="s">
        <v>220</v>
      </c>
      <c r="CJ1466" s="1" t="s">
        <v>252</v>
      </c>
      <c r="CK1466" s="1" t="s">
        <v>228</v>
      </c>
      <c r="CL1466" s="1" t="s">
        <v>277</v>
      </c>
      <c r="CM1466" s="1" t="s">
        <v>220</v>
      </c>
      <c r="CN1466" s="1" t="s">
        <v>252</v>
      </c>
      <c r="CO1466" s="1" t="s">
        <v>379</v>
      </c>
      <c r="CP1466" s="1" t="s">
        <v>219</v>
      </c>
      <c r="CQ1466" s="1" t="s">
        <v>220</v>
      </c>
      <c r="CR1466" s="1" t="s">
        <v>252</v>
      </c>
      <c r="CS1466" s="1" t="s">
        <v>378</v>
      </c>
      <c r="CT1466" s="1" t="s">
        <v>277</v>
      </c>
      <c r="CU1466" s="1" t="s">
        <v>220</v>
      </c>
      <c r="CV1466" s="1" t="s">
        <v>343</v>
      </c>
      <c r="CX1466" s="1" t="s">
        <v>224</v>
      </c>
      <c r="DB1466" s="1" t="s">
        <v>224</v>
      </c>
      <c r="DE1466" s="1" t="s">
        <v>281</v>
      </c>
      <c r="DF1466" s="1" t="s">
        <v>219</v>
      </c>
      <c r="DG1466" s="1" t="s">
        <v>226</v>
      </c>
      <c r="DH1466" s="1" t="s">
        <v>210</v>
      </c>
      <c r="DJ1466" s="1" t="s">
        <v>224</v>
      </c>
      <c r="DM1466" s="1" t="s">
        <v>411</v>
      </c>
      <c r="DR1466" s="1" t="s">
        <v>6174</v>
      </c>
      <c r="DS1466" s="1" t="s">
        <v>277</v>
      </c>
      <c r="DT1466" s="1" t="s">
        <v>342</v>
      </c>
      <c r="DU1466" s="1" t="s">
        <v>210</v>
      </c>
      <c r="DW1466" s="1" t="s">
        <v>230</v>
      </c>
      <c r="EA1466" s="1" t="s">
        <v>230</v>
      </c>
      <c r="EE1466" s="1" t="s">
        <v>230</v>
      </c>
      <c r="EI1466" s="1" t="s">
        <v>230</v>
      </c>
      <c r="EL1466" s="1" t="s">
        <v>670</v>
      </c>
      <c r="EM1466" s="1" t="s">
        <v>319</v>
      </c>
      <c r="EN1466" s="1" t="s">
        <v>282</v>
      </c>
      <c r="EO1466" s="1" t="s">
        <v>234</v>
      </c>
      <c r="EQ1466" s="1" t="s">
        <v>236</v>
      </c>
      <c r="ER1466" s="1" t="s">
        <v>383</v>
      </c>
      <c r="ES1466" s="1" t="s">
        <v>608</v>
      </c>
      <c r="ET1466" s="1" t="s">
        <v>842</v>
      </c>
      <c r="EU1466" s="1" t="s">
        <v>631</v>
      </c>
      <c r="EV1466" s="1" t="s">
        <v>352</v>
      </c>
      <c r="EW1466" s="1" t="s">
        <v>887</v>
      </c>
      <c r="EY1466" s="1" t="s">
        <v>242</v>
      </c>
      <c r="EZ1466" s="1" t="s">
        <v>411</v>
      </c>
      <c r="FA1466" s="1" t="s">
        <v>1072</v>
      </c>
      <c r="FD1466" s="1" t="s">
        <v>246</v>
      </c>
      <c r="FE1466" s="1" t="s">
        <v>765</v>
      </c>
      <c r="FF1466" s="1" t="s">
        <v>248</v>
      </c>
      <c r="FH1466" s="1" t="s">
        <v>550</v>
      </c>
      <c r="FI1466" s="1" t="s">
        <v>473</v>
      </c>
      <c r="FL1466" s="1" t="s">
        <v>358</v>
      </c>
      <c r="FM1466" s="1" t="s">
        <v>252</v>
      </c>
      <c r="FN1466" s="1" t="s">
        <v>213</v>
      </c>
      <c r="FO1466" s="1" t="s">
        <v>213</v>
      </c>
      <c r="FQ1466" s="1" t="s">
        <v>359</v>
      </c>
      <c r="FR1466" s="1" t="s">
        <v>210</v>
      </c>
      <c r="FS1466" s="1" t="s">
        <v>14400</v>
      </c>
      <c r="FT1466" s="1" t="s">
        <v>675</v>
      </c>
      <c r="FU1466" s="1" t="s">
        <v>204</v>
      </c>
      <c r="FW1466" s="1" t="s">
        <v>1637</v>
      </c>
      <c r="FX1466" s="1">
        <v>8059</v>
      </c>
      <c r="FY1466" s="1" t="s">
        <v>2034</v>
      </c>
      <c r="FZ1466" s="1" t="s">
        <v>14401</v>
      </c>
      <c r="GA1466" s="1">
        <v>256681</v>
      </c>
      <c r="GB1466" s="1" t="s">
        <v>14402</v>
      </c>
      <c r="GE1466" s="1" t="s">
        <v>480</v>
      </c>
      <c r="GI1466" s="1" t="s">
        <v>213</v>
      </c>
      <c r="GJ1466" s="1" t="s">
        <v>260</v>
      </c>
      <c r="GK1466" s="1" t="s">
        <v>210</v>
      </c>
      <c r="GL1466" s="2">
        <v>42122</v>
      </c>
      <c r="GM1466" s="1" t="s">
        <v>14403</v>
      </c>
    </row>
    <row r="1467" spans="1:195">
      <c r="A1467" s="1">
        <v>172000</v>
      </c>
      <c r="B1467" s="1" t="s">
        <v>195</v>
      </c>
      <c r="C1467" s="1" t="str">
        <f>"08870334"</f>
        <v>08870334</v>
      </c>
      <c r="D1467" s="1" t="s">
        <v>196</v>
      </c>
      <c r="F1467" s="1" t="str">
        <f>"104"</f>
        <v>104</v>
      </c>
      <c r="G1467" s="2">
        <v>42087</v>
      </c>
      <c r="H1467" s="1">
        <v>173900</v>
      </c>
      <c r="I1467" s="1">
        <v>173900</v>
      </c>
      <c r="J1467" s="1">
        <v>172000</v>
      </c>
      <c r="K1467" s="2">
        <v>42087</v>
      </c>
      <c r="L1467" s="1">
        <v>8</v>
      </c>
      <c r="M1467" s="2">
        <v>42094</v>
      </c>
      <c r="N1467" s="1">
        <v>8</v>
      </c>
      <c r="O1467" s="2">
        <v>42094</v>
      </c>
      <c r="P1467" s="1">
        <v>23591</v>
      </c>
      <c r="Q1467" s="1" t="s">
        <v>423</v>
      </c>
      <c r="R1467" s="2">
        <v>42146</v>
      </c>
      <c r="S1467" s="1">
        <v>237642</v>
      </c>
      <c r="U1467" s="1">
        <v>413</v>
      </c>
      <c r="V1467" s="1" t="s">
        <v>14404</v>
      </c>
      <c r="W1467" s="1" t="s">
        <v>449</v>
      </c>
      <c r="X1467" s="1">
        <v>4</v>
      </c>
      <c r="Y1467" s="1">
        <v>4</v>
      </c>
      <c r="Z1467" s="1" t="s">
        <v>249</v>
      </c>
      <c r="AA1467" s="1" t="s">
        <v>371</v>
      </c>
      <c r="AB1467" s="1">
        <v>60103</v>
      </c>
      <c r="AD1467" s="1" t="s">
        <v>4115</v>
      </c>
      <c r="AE1467" s="1" t="s">
        <v>14405</v>
      </c>
      <c r="AF1467" s="1">
        <v>1993</v>
      </c>
      <c r="AG1467" s="1" t="s">
        <v>204</v>
      </c>
      <c r="AH1467" s="1" t="s">
        <v>373</v>
      </c>
      <c r="AI1467" s="1" t="s">
        <v>206</v>
      </c>
      <c r="AJ1467" s="1" t="s">
        <v>2654</v>
      </c>
      <c r="AL1467" s="1">
        <v>6</v>
      </c>
      <c r="AM1467" s="1">
        <v>2</v>
      </c>
      <c r="AN1467" s="1">
        <v>2</v>
      </c>
      <c r="AO1467" s="1">
        <v>0</v>
      </c>
      <c r="AP1467" s="1" t="s">
        <v>209</v>
      </c>
      <c r="AQ1467" s="1">
        <v>1</v>
      </c>
      <c r="AR1467" s="1" t="s">
        <v>210</v>
      </c>
      <c r="AS1467" s="1" t="s">
        <v>204</v>
      </c>
      <c r="AT1467" s="1" t="s">
        <v>211</v>
      </c>
      <c r="AU1467" s="1">
        <v>2</v>
      </c>
      <c r="AW1467" s="1" t="s">
        <v>204</v>
      </c>
      <c r="AX1467" s="1" t="s">
        <v>1528</v>
      </c>
      <c r="AZ1467" s="1">
        <v>3289</v>
      </c>
      <c r="BA1467" s="1">
        <v>2013</v>
      </c>
      <c r="BB1467" s="1" t="s">
        <v>3996</v>
      </c>
      <c r="BE1467" s="1">
        <v>1202</v>
      </c>
      <c r="BF1467" s="1">
        <v>1</v>
      </c>
      <c r="BG1467" s="1">
        <v>0</v>
      </c>
      <c r="BL1467" s="1">
        <v>209</v>
      </c>
      <c r="BM1467" s="1" t="s">
        <v>204</v>
      </c>
      <c r="BN1467" s="1" t="s">
        <v>213</v>
      </c>
      <c r="BO1467" s="1">
        <v>999</v>
      </c>
      <c r="BP1467" s="1" t="s">
        <v>204</v>
      </c>
      <c r="BR1467" s="1" t="str">
        <f>"0114430199"</f>
        <v>0114430199</v>
      </c>
      <c r="BT1467" s="1" t="s">
        <v>14406</v>
      </c>
      <c r="BU1467" s="1" t="s">
        <v>14407</v>
      </c>
      <c r="BV1467" s="1" t="s">
        <v>4120</v>
      </c>
      <c r="BW1467" s="1" t="s">
        <v>4121</v>
      </c>
      <c r="BX1467" s="1">
        <v>46</v>
      </c>
      <c r="BY1467" s="1">
        <v>46</v>
      </c>
      <c r="BZ1467" s="1">
        <v>46</v>
      </c>
      <c r="CB1467" s="1" t="str">
        <f t="shared" ref="CB1467:CC1467" si="1120">""</f>
        <v/>
      </c>
      <c r="CC1467" s="1" t="str">
        <f t="shared" si="1120"/>
        <v/>
      </c>
      <c r="CG1467" s="1" t="s">
        <v>729</v>
      </c>
      <c r="CH1467" s="1" t="s">
        <v>219</v>
      </c>
      <c r="CI1467" s="1" t="s">
        <v>220</v>
      </c>
      <c r="CJ1467" s="1" t="s">
        <v>252</v>
      </c>
      <c r="CK1467" s="1" t="s">
        <v>757</v>
      </c>
      <c r="CL1467" s="1" t="s">
        <v>219</v>
      </c>
      <c r="CM1467" s="1" t="s">
        <v>220</v>
      </c>
      <c r="CN1467" s="1" t="s">
        <v>252</v>
      </c>
      <c r="CO1467" s="1" t="s">
        <v>1297</v>
      </c>
      <c r="CP1467" s="1" t="s">
        <v>219</v>
      </c>
      <c r="CQ1467" s="1" t="s">
        <v>220</v>
      </c>
      <c r="CR1467" s="1" t="s">
        <v>252</v>
      </c>
      <c r="CS1467" s="1" t="s">
        <v>318</v>
      </c>
      <c r="CT1467" s="1" t="s">
        <v>219</v>
      </c>
      <c r="CU1467" s="1" t="s">
        <v>220</v>
      </c>
      <c r="CV1467" s="1" t="s">
        <v>252</v>
      </c>
      <c r="CX1467" s="1" t="s">
        <v>224</v>
      </c>
      <c r="DB1467" s="1" t="s">
        <v>224</v>
      </c>
      <c r="DE1467" s="1" t="s">
        <v>2138</v>
      </c>
      <c r="DF1467" s="1" t="s">
        <v>219</v>
      </c>
      <c r="DG1467" s="1" t="s">
        <v>342</v>
      </c>
      <c r="DH1467" s="1" t="s">
        <v>210</v>
      </c>
      <c r="DJ1467" s="1" t="s">
        <v>224</v>
      </c>
      <c r="DM1467" s="1" t="s">
        <v>381</v>
      </c>
      <c r="DR1467" s="1" t="s">
        <v>1571</v>
      </c>
      <c r="DS1467" s="1" t="s">
        <v>219</v>
      </c>
      <c r="DT1467" s="1" t="s">
        <v>342</v>
      </c>
      <c r="DU1467" s="1" t="s">
        <v>252</v>
      </c>
      <c r="DW1467" s="1" t="s">
        <v>230</v>
      </c>
      <c r="EA1467" s="1" t="s">
        <v>230</v>
      </c>
      <c r="EE1467" s="1" t="s">
        <v>230</v>
      </c>
      <c r="EI1467" s="1" t="s">
        <v>230</v>
      </c>
      <c r="EL1467" s="1" t="s">
        <v>382</v>
      </c>
      <c r="EM1467" s="1" t="s">
        <v>232</v>
      </c>
      <c r="EN1467" s="1" t="s">
        <v>282</v>
      </c>
      <c r="EO1467" s="1" t="s">
        <v>234</v>
      </c>
      <c r="EQ1467" s="1" t="s">
        <v>1439</v>
      </c>
      <c r="ER1467" s="1" t="s">
        <v>210</v>
      </c>
      <c r="ES1467" s="1" t="s">
        <v>322</v>
      </c>
      <c r="ET1467" s="1" t="s">
        <v>842</v>
      </c>
      <c r="EU1467" s="1" t="s">
        <v>239</v>
      </c>
      <c r="EW1467" s="1" t="s">
        <v>353</v>
      </c>
      <c r="EZ1467" s="1" t="s">
        <v>381</v>
      </c>
      <c r="FB1467" s="1" t="s">
        <v>289</v>
      </c>
      <c r="FD1467" s="1" t="s">
        <v>246</v>
      </c>
      <c r="FE1467" s="1" t="s">
        <v>472</v>
      </c>
      <c r="FF1467" s="1" t="s">
        <v>248</v>
      </c>
      <c r="FG1467" s="1" t="s">
        <v>2406</v>
      </c>
      <c r="FH1467" s="1" t="s">
        <v>249</v>
      </c>
      <c r="FI1467" s="1" t="s">
        <v>473</v>
      </c>
      <c r="FL1467" s="1" t="s">
        <v>358</v>
      </c>
      <c r="FM1467" s="1" t="s">
        <v>252</v>
      </c>
      <c r="FN1467" s="1" t="s">
        <v>213</v>
      </c>
      <c r="FO1467" s="1" t="s">
        <v>204</v>
      </c>
      <c r="FQ1467" s="1" t="s">
        <v>14408</v>
      </c>
      <c r="FR1467" s="1" t="s">
        <v>210</v>
      </c>
      <c r="FS1467" s="1" t="s">
        <v>14409</v>
      </c>
      <c r="FT1467" s="1" t="s">
        <v>295</v>
      </c>
      <c r="FU1467" s="1" t="s">
        <v>204</v>
      </c>
      <c r="FW1467" s="1" t="s">
        <v>1637</v>
      </c>
      <c r="FX1467" s="1">
        <v>8055</v>
      </c>
      <c r="FY1467" s="1" t="s">
        <v>1728</v>
      </c>
      <c r="FZ1467" s="1" t="s">
        <v>14410</v>
      </c>
      <c r="GA1467" s="1">
        <v>922695</v>
      </c>
      <c r="GB1467" s="1" t="s">
        <v>14411</v>
      </c>
      <c r="GD1467" s="1" t="s">
        <v>14412</v>
      </c>
      <c r="GE1467" s="1" t="s">
        <v>210</v>
      </c>
      <c r="GI1467" s="1" t="s">
        <v>213</v>
      </c>
      <c r="GJ1467" s="1" t="s">
        <v>260</v>
      </c>
      <c r="GK1467" s="1" t="s">
        <v>210</v>
      </c>
      <c r="GL1467" s="2">
        <v>42150</v>
      </c>
      <c r="GM1467" s="1" t="s">
        <v>14413</v>
      </c>
    </row>
    <row r="1468" spans="1:195">
      <c r="A1468" s="1">
        <v>120000</v>
      </c>
      <c r="B1468" s="1" t="s">
        <v>195</v>
      </c>
      <c r="C1468" s="1" t="str">
        <f>"08874397"</f>
        <v>08874397</v>
      </c>
      <c r="D1468" s="1" t="s">
        <v>196</v>
      </c>
      <c r="F1468" s="1" t="str">
        <f>"60"</f>
        <v>60</v>
      </c>
      <c r="G1468" s="2">
        <v>42090</v>
      </c>
      <c r="H1468" s="1">
        <v>120000</v>
      </c>
      <c r="I1468" s="1">
        <v>120000</v>
      </c>
      <c r="J1468" s="1">
        <v>120000</v>
      </c>
      <c r="K1468" s="2">
        <v>42090</v>
      </c>
      <c r="L1468" s="1">
        <v>3</v>
      </c>
      <c r="M1468" s="2">
        <v>42092</v>
      </c>
      <c r="N1468" s="1">
        <v>3</v>
      </c>
      <c r="O1468" s="2">
        <v>42092</v>
      </c>
      <c r="P1468" s="1">
        <v>8002</v>
      </c>
      <c r="Q1468" s="1" t="s">
        <v>197</v>
      </c>
      <c r="R1468" s="2">
        <v>42117</v>
      </c>
      <c r="S1468" s="1">
        <v>88224</v>
      </c>
      <c r="U1468" s="1">
        <v>1165</v>
      </c>
      <c r="V1468" s="1" t="s">
        <v>8281</v>
      </c>
      <c r="W1468" s="1" t="s">
        <v>264</v>
      </c>
      <c r="X1468" s="1">
        <v>4</v>
      </c>
      <c r="Y1468" s="1">
        <v>8</v>
      </c>
      <c r="Z1468" s="1" t="s">
        <v>200</v>
      </c>
      <c r="AA1468" s="1" t="s">
        <v>1689</v>
      </c>
      <c r="AB1468" s="1">
        <v>60060</v>
      </c>
      <c r="AE1468" s="1" t="s">
        <v>14414</v>
      </c>
      <c r="AF1468" s="1">
        <v>1995</v>
      </c>
      <c r="AG1468" s="1" t="s">
        <v>204</v>
      </c>
      <c r="AH1468" s="1" t="s">
        <v>1692</v>
      </c>
      <c r="AI1468" s="1" t="s">
        <v>509</v>
      </c>
      <c r="AJ1468" s="1" t="s">
        <v>510</v>
      </c>
      <c r="AL1468" s="1">
        <v>6</v>
      </c>
      <c r="AM1468" s="1">
        <v>2</v>
      </c>
      <c r="AN1468" s="1">
        <v>2</v>
      </c>
      <c r="AO1468" s="1">
        <v>0</v>
      </c>
      <c r="AP1468" s="1" t="s">
        <v>209</v>
      </c>
      <c r="AR1468" s="1" t="s">
        <v>210</v>
      </c>
      <c r="AS1468" s="1" t="s">
        <v>204</v>
      </c>
      <c r="AT1468" s="1" t="s">
        <v>211</v>
      </c>
      <c r="AU1468" s="1">
        <v>1</v>
      </c>
      <c r="AW1468" s="1" t="s">
        <v>204</v>
      </c>
      <c r="AX1468" s="1" t="s">
        <v>1265</v>
      </c>
      <c r="AZ1468" s="1">
        <v>4399.2299999999996</v>
      </c>
      <c r="BA1468" s="1">
        <v>2013</v>
      </c>
      <c r="BE1468" s="1">
        <v>1050</v>
      </c>
      <c r="BF1468" s="1">
        <v>2</v>
      </c>
      <c r="BG1468" s="1">
        <v>30</v>
      </c>
      <c r="BL1468" s="1">
        <v>182</v>
      </c>
      <c r="BM1468" s="1" t="s">
        <v>204</v>
      </c>
      <c r="BN1468" s="1" t="s">
        <v>213</v>
      </c>
      <c r="BO1468" s="1">
        <v>50</v>
      </c>
      <c r="BP1468" s="1" t="s">
        <v>204</v>
      </c>
      <c r="BR1468" s="1" t="str">
        <f>"15051031260000"</f>
        <v>15051031260000</v>
      </c>
      <c r="BT1468" s="1" t="s">
        <v>14415</v>
      </c>
      <c r="BU1468" s="1" t="s">
        <v>512</v>
      </c>
      <c r="BV1468" s="1" t="s">
        <v>513</v>
      </c>
      <c r="BW1468" s="1" t="s">
        <v>5840</v>
      </c>
      <c r="BX1468" s="1">
        <v>73</v>
      </c>
      <c r="BY1468" s="1">
        <v>73</v>
      </c>
      <c r="BZ1468" s="1">
        <v>120</v>
      </c>
      <c r="CB1468" s="1" t="str">
        <f t="shared" ref="CB1468:CC1468" si="1121">""</f>
        <v/>
      </c>
      <c r="CC1468" s="1" t="str">
        <f t="shared" si="1121"/>
        <v/>
      </c>
      <c r="CG1468" s="1" t="s">
        <v>2992</v>
      </c>
      <c r="CH1468" s="1" t="s">
        <v>277</v>
      </c>
      <c r="CI1468" s="1" t="s">
        <v>220</v>
      </c>
      <c r="CJ1468" s="1" t="s">
        <v>343</v>
      </c>
      <c r="CK1468" s="1" t="s">
        <v>539</v>
      </c>
      <c r="CL1468" s="1" t="s">
        <v>277</v>
      </c>
      <c r="CM1468" s="1" t="s">
        <v>220</v>
      </c>
      <c r="CN1468" s="1" t="s">
        <v>343</v>
      </c>
      <c r="CO1468" s="1" t="s">
        <v>629</v>
      </c>
      <c r="CP1468" s="1" t="s">
        <v>277</v>
      </c>
      <c r="CQ1468" s="1" t="s">
        <v>220</v>
      </c>
      <c r="CS1468" s="1" t="s">
        <v>318</v>
      </c>
      <c r="CT1468" s="1" t="s">
        <v>277</v>
      </c>
      <c r="CU1468" s="1" t="s">
        <v>220</v>
      </c>
      <c r="CV1468" s="1" t="s">
        <v>343</v>
      </c>
      <c r="CX1468" s="1" t="s">
        <v>224</v>
      </c>
      <c r="DB1468" s="1" t="s">
        <v>224</v>
      </c>
      <c r="DE1468" s="1" t="s">
        <v>1470</v>
      </c>
      <c r="DF1468" s="1" t="s">
        <v>277</v>
      </c>
      <c r="DG1468" s="1" t="s">
        <v>226</v>
      </c>
      <c r="DJ1468" s="1" t="s">
        <v>224</v>
      </c>
      <c r="DM1468" s="1" t="s">
        <v>709</v>
      </c>
      <c r="DN1468" s="1" t="s">
        <v>381</v>
      </c>
      <c r="DR1468" s="1" t="s">
        <v>12566</v>
      </c>
      <c r="DS1468" s="1" t="s">
        <v>219</v>
      </c>
      <c r="DT1468" s="1" t="s">
        <v>226</v>
      </c>
      <c r="DV1468" s="1" t="s">
        <v>1855</v>
      </c>
      <c r="DW1468" s="1" t="s">
        <v>277</v>
      </c>
      <c r="DX1468" s="1" t="s">
        <v>226</v>
      </c>
      <c r="EA1468" s="1" t="s">
        <v>230</v>
      </c>
      <c r="EE1468" s="1" t="s">
        <v>230</v>
      </c>
      <c r="EI1468" s="1" t="s">
        <v>230</v>
      </c>
      <c r="EL1468" s="1" t="s">
        <v>670</v>
      </c>
      <c r="EM1468" s="1" t="s">
        <v>232</v>
      </c>
      <c r="EN1468" s="1" t="s">
        <v>282</v>
      </c>
      <c r="EO1468" s="1" t="s">
        <v>234</v>
      </c>
      <c r="EP1468" s="1" t="s">
        <v>210</v>
      </c>
      <c r="EQ1468" s="1" t="s">
        <v>1094</v>
      </c>
      <c r="ER1468" s="1" t="s">
        <v>210</v>
      </c>
      <c r="ES1468" s="1" t="s">
        <v>322</v>
      </c>
      <c r="EV1468" s="1" t="s">
        <v>240</v>
      </c>
      <c r="EW1468" s="1" t="s">
        <v>887</v>
      </c>
      <c r="EZ1468" s="1" t="s">
        <v>8019</v>
      </c>
      <c r="FA1468" s="1" t="s">
        <v>5402</v>
      </c>
      <c r="FB1468" s="1" t="s">
        <v>289</v>
      </c>
      <c r="FC1468" s="1" t="s">
        <v>1386</v>
      </c>
      <c r="FD1468" s="1" t="s">
        <v>246</v>
      </c>
      <c r="FE1468" s="1" t="s">
        <v>472</v>
      </c>
      <c r="FF1468" s="1" t="s">
        <v>248</v>
      </c>
      <c r="FH1468" s="1" t="s">
        <v>347</v>
      </c>
      <c r="FI1468" s="1" t="s">
        <v>473</v>
      </c>
      <c r="FL1468" s="1" t="s">
        <v>358</v>
      </c>
      <c r="FM1468" s="1" t="s">
        <v>252</v>
      </c>
      <c r="FN1468" s="1" t="s">
        <v>213</v>
      </c>
      <c r="FO1468" s="1" t="s">
        <v>213</v>
      </c>
      <c r="FQ1468" s="1" t="s">
        <v>14416</v>
      </c>
      <c r="FR1468" s="1" t="s">
        <v>210</v>
      </c>
      <c r="FS1468" s="1" t="s">
        <v>14417</v>
      </c>
      <c r="FT1468" s="1" t="s">
        <v>14418</v>
      </c>
      <c r="FU1468" s="1" t="s">
        <v>204</v>
      </c>
      <c r="FW1468" s="1" t="s">
        <v>3132</v>
      </c>
      <c r="FX1468" s="1">
        <v>6267</v>
      </c>
      <c r="FY1468" s="1" t="s">
        <v>3133</v>
      </c>
      <c r="FZ1468" s="1" t="s">
        <v>14419</v>
      </c>
      <c r="GA1468" s="1">
        <v>34999</v>
      </c>
      <c r="GB1468" s="1" t="s">
        <v>14420</v>
      </c>
      <c r="GC1468" s="1">
        <v>37135</v>
      </c>
      <c r="GD1468" s="1" t="s">
        <v>14421</v>
      </c>
      <c r="GE1468" s="1" t="s">
        <v>480</v>
      </c>
      <c r="GI1468" s="1" t="s">
        <v>213</v>
      </c>
      <c r="GJ1468" s="1" t="s">
        <v>260</v>
      </c>
      <c r="GK1468" s="1" t="s">
        <v>210</v>
      </c>
      <c r="GL1468" s="2">
        <v>42118</v>
      </c>
      <c r="GM1468" s="1" t="s">
        <v>14422</v>
      </c>
    </row>
    <row r="1469" spans="1:195">
      <c r="A1469" s="1">
        <v>95000</v>
      </c>
      <c r="B1469" s="1" t="s">
        <v>195</v>
      </c>
      <c r="C1469" s="1" t="str">
        <f>"08871084"</f>
        <v>08871084</v>
      </c>
      <c r="D1469" s="1" t="s">
        <v>196</v>
      </c>
      <c r="F1469" s="1" t="str">
        <f>"107"</f>
        <v>107</v>
      </c>
      <c r="G1469" s="2">
        <v>42087</v>
      </c>
      <c r="H1469" s="1">
        <v>104900</v>
      </c>
      <c r="I1469" s="1">
        <v>99900</v>
      </c>
      <c r="J1469" s="1">
        <v>95000</v>
      </c>
      <c r="K1469" s="2">
        <v>42086</v>
      </c>
      <c r="L1469" s="1">
        <v>25</v>
      </c>
      <c r="M1469" s="2">
        <v>42110</v>
      </c>
      <c r="N1469" s="1">
        <v>25</v>
      </c>
      <c r="O1469" s="2">
        <v>42110</v>
      </c>
      <c r="P1469" s="1">
        <v>8965</v>
      </c>
      <c r="Q1469" s="1" t="s">
        <v>302</v>
      </c>
      <c r="R1469" s="2">
        <v>42131</v>
      </c>
      <c r="S1469" s="1">
        <v>82045</v>
      </c>
      <c r="U1469" s="1">
        <v>1723</v>
      </c>
      <c r="V1469" s="1" t="s">
        <v>6958</v>
      </c>
      <c r="W1469" s="1" t="s">
        <v>425</v>
      </c>
      <c r="Y1469" s="1">
        <v>4</v>
      </c>
      <c r="Z1469" s="1" t="s">
        <v>370</v>
      </c>
      <c r="AA1469" s="1" t="s">
        <v>1211</v>
      </c>
      <c r="AB1469" s="1">
        <v>60107</v>
      </c>
      <c r="AD1469" s="1" t="s">
        <v>6959</v>
      </c>
      <c r="AE1469" s="1" t="s">
        <v>14423</v>
      </c>
      <c r="AF1469" s="1">
        <v>1973</v>
      </c>
      <c r="AG1469" s="1" t="s">
        <v>213</v>
      </c>
      <c r="AH1469" s="1" t="s">
        <v>1214</v>
      </c>
      <c r="AI1469" s="1" t="s">
        <v>310</v>
      </c>
      <c r="AJ1469" s="1" t="s">
        <v>374</v>
      </c>
      <c r="AL1469" s="1">
        <v>4</v>
      </c>
      <c r="AM1469" s="1">
        <v>2</v>
      </c>
      <c r="AN1469" s="1">
        <v>1</v>
      </c>
      <c r="AO1469" s="1">
        <v>1</v>
      </c>
      <c r="AP1469" s="1" t="s">
        <v>210</v>
      </c>
      <c r="AR1469" s="1" t="s">
        <v>210</v>
      </c>
      <c r="AS1469" s="1" t="s">
        <v>204</v>
      </c>
      <c r="AT1469" s="1" t="s">
        <v>271</v>
      </c>
      <c r="AV1469" s="1">
        <v>1</v>
      </c>
      <c r="AW1469" s="1" t="s">
        <v>204</v>
      </c>
      <c r="AX1469" s="1" t="s">
        <v>212</v>
      </c>
      <c r="AZ1469" s="1">
        <v>3100</v>
      </c>
      <c r="BA1469" s="1">
        <v>2013</v>
      </c>
      <c r="BB1469" s="1" t="s">
        <v>210</v>
      </c>
      <c r="BE1469" s="1">
        <v>900</v>
      </c>
      <c r="BF1469" s="1">
        <v>1</v>
      </c>
      <c r="BG1469" s="1">
        <v>0</v>
      </c>
      <c r="BL1469" s="1">
        <v>185</v>
      </c>
      <c r="BM1469" s="1" t="s">
        <v>204</v>
      </c>
      <c r="BN1469" s="1" t="s">
        <v>213</v>
      </c>
      <c r="BO1469" s="1">
        <v>0</v>
      </c>
      <c r="BP1469" s="1" t="s">
        <v>204</v>
      </c>
      <c r="BR1469" s="1" t="str">
        <f>"06253160760000"</f>
        <v>06253160760000</v>
      </c>
      <c r="BT1469" s="1" t="s">
        <v>14424</v>
      </c>
      <c r="BU1469" s="1" t="s">
        <v>6962</v>
      </c>
      <c r="BV1469" s="1" t="s">
        <v>3623</v>
      </c>
      <c r="BW1469" s="1" t="s">
        <v>1217</v>
      </c>
      <c r="BX1469" s="1">
        <v>46</v>
      </c>
      <c r="BY1469" s="1">
        <v>46</v>
      </c>
      <c r="BZ1469" s="1">
        <v>46</v>
      </c>
      <c r="CB1469" s="1" t="str">
        <f>"9"</f>
        <v>9</v>
      </c>
      <c r="CC1469" s="1" t="str">
        <f>"0"</f>
        <v>0</v>
      </c>
      <c r="CD1469" s="1">
        <v>27</v>
      </c>
      <c r="CE1469" s="1">
        <v>0</v>
      </c>
      <c r="CG1469" s="1" t="s">
        <v>278</v>
      </c>
      <c r="CH1469" s="1" t="s">
        <v>219</v>
      </c>
      <c r="CI1469" s="1" t="s">
        <v>229</v>
      </c>
      <c r="CK1469" s="1" t="s">
        <v>539</v>
      </c>
      <c r="CL1469" s="1" t="s">
        <v>277</v>
      </c>
      <c r="CM1469" s="1" t="s">
        <v>220</v>
      </c>
      <c r="CP1469" s="1" t="s">
        <v>224</v>
      </c>
      <c r="CS1469" s="1" t="s">
        <v>409</v>
      </c>
      <c r="CT1469" s="1" t="s">
        <v>277</v>
      </c>
      <c r="CU1469" s="1" t="s">
        <v>220</v>
      </c>
      <c r="CX1469" s="1" t="s">
        <v>224</v>
      </c>
      <c r="DB1469" s="1" t="s">
        <v>224</v>
      </c>
      <c r="DE1469" s="1" t="s">
        <v>223</v>
      </c>
      <c r="DF1469" s="1" t="s">
        <v>219</v>
      </c>
      <c r="DG1469" s="1" t="s">
        <v>226</v>
      </c>
      <c r="DJ1469" s="1" t="s">
        <v>224</v>
      </c>
      <c r="DS1469" s="1" t="s">
        <v>230</v>
      </c>
      <c r="DW1469" s="1" t="s">
        <v>230</v>
      </c>
      <c r="EA1469" s="1" t="s">
        <v>230</v>
      </c>
      <c r="EE1469" s="1" t="s">
        <v>230</v>
      </c>
      <c r="EI1469" s="1" t="s">
        <v>230</v>
      </c>
      <c r="EL1469" s="1" t="s">
        <v>605</v>
      </c>
      <c r="EM1469" s="1" t="s">
        <v>232</v>
      </c>
      <c r="EN1469" s="1" t="s">
        <v>210</v>
      </c>
      <c r="EO1469" s="1" t="s">
        <v>234</v>
      </c>
      <c r="ER1469" s="1" t="s">
        <v>210</v>
      </c>
      <c r="EW1469" s="1" t="s">
        <v>1471</v>
      </c>
      <c r="EZ1469" s="1" t="s">
        <v>287</v>
      </c>
      <c r="FB1469" s="1" t="s">
        <v>289</v>
      </c>
      <c r="FD1469" s="1" t="s">
        <v>246</v>
      </c>
      <c r="FE1469" s="1" t="s">
        <v>975</v>
      </c>
      <c r="FF1469" s="1" t="s">
        <v>248</v>
      </c>
      <c r="FH1469" s="1" t="s">
        <v>550</v>
      </c>
      <c r="FJ1469" s="1" t="s">
        <v>1251</v>
      </c>
      <c r="FL1469" s="1" t="s">
        <v>358</v>
      </c>
      <c r="FM1469" s="1" t="s">
        <v>252</v>
      </c>
      <c r="FN1469" s="1" t="s">
        <v>213</v>
      </c>
      <c r="FO1469" s="1" t="s">
        <v>213</v>
      </c>
      <c r="FQ1469" s="1" t="s">
        <v>849</v>
      </c>
      <c r="FR1469" s="1" t="s">
        <v>210</v>
      </c>
      <c r="FS1469" s="1" t="s">
        <v>14425</v>
      </c>
      <c r="FT1469" s="1" t="s">
        <v>295</v>
      </c>
      <c r="FU1469" s="1" t="s">
        <v>213</v>
      </c>
      <c r="FW1469" s="1" t="s">
        <v>8484</v>
      </c>
      <c r="FX1469" s="1">
        <v>8965</v>
      </c>
      <c r="FY1469" s="1" t="s">
        <v>8485</v>
      </c>
      <c r="FZ1469" s="1" t="s">
        <v>14426</v>
      </c>
      <c r="GA1469" s="1">
        <v>923040</v>
      </c>
      <c r="GD1469" s="1" t="s">
        <v>14427</v>
      </c>
      <c r="GE1469" s="1" t="s">
        <v>210</v>
      </c>
      <c r="GI1469" s="1" t="s">
        <v>213</v>
      </c>
      <c r="GJ1469" s="1" t="s">
        <v>260</v>
      </c>
      <c r="GK1469" s="1" t="s">
        <v>261</v>
      </c>
      <c r="GL1469" s="2">
        <v>42132</v>
      </c>
    </row>
    <row r="1470" spans="1:195">
      <c r="A1470" s="1">
        <v>101500</v>
      </c>
      <c r="B1470" s="1" t="s">
        <v>195</v>
      </c>
      <c r="C1470" s="1" t="str">
        <f>"08885616"</f>
        <v>08885616</v>
      </c>
      <c r="D1470" s="1" t="s">
        <v>196</v>
      </c>
      <c r="F1470" s="1" t="str">
        <f>"555"</f>
        <v>555</v>
      </c>
      <c r="G1470" s="2">
        <v>42103</v>
      </c>
      <c r="H1470" s="1">
        <v>89900</v>
      </c>
      <c r="I1470" s="1">
        <v>89900</v>
      </c>
      <c r="J1470" s="1">
        <v>101500</v>
      </c>
      <c r="K1470" s="2">
        <v>42101</v>
      </c>
      <c r="L1470" s="1">
        <v>12</v>
      </c>
      <c r="M1470" s="2">
        <v>42112</v>
      </c>
      <c r="N1470" s="1">
        <v>12</v>
      </c>
      <c r="O1470" s="2">
        <v>42112</v>
      </c>
      <c r="P1470" s="1">
        <v>23156</v>
      </c>
      <c r="Q1470" s="1" t="s">
        <v>302</v>
      </c>
      <c r="R1470" s="2">
        <v>42132</v>
      </c>
      <c r="S1470" s="1">
        <v>240994</v>
      </c>
      <c r="U1470" s="1" t="s">
        <v>14428</v>
      </c>
      <c r="V1470" s="1" t="s">
        <v>14429</v>
      </c>
      <c r="W1470" s="1" t="s">
        <v>264</v>
      </c>
      <c r="Y1470" s="1">
        <v>7</v>
      </c>
      <c r="Z1470" s="1" t="s">
        <v>370</v>
      </c>
      <c r="AA1470" s="1" t="s">
        <v>984</v>
      </c>
      <c r="AB1470" s="1">
        <v>60555</v>
      </c>
      <c r="AE1470" s="1" t="s">
        <v>14430</v>
      </c>
      <c r="AF1470" s="1">
        <v>1974</v>
      </c>
      <c r="AG1470" s="1" t="s">
        <v>213</v>
      </c>
      <c r="AH1470" s="1" t="s">
        <v>882</v>
      </c>
      <c r="AI1470" s="1" t="s">
        <v>206</v>
      </c>
      <c r="AJ1470" s="1" t="s">
        <v>987</v>
      </c>
      <c r="AL1470" s="1">
        <v>6</v>
      </c>
      <c r="AM1470" s="1">
        <v>2</v>
      </c>
      <c r="AN1470" s="1">
        <v>1</v>
      </c>
      <c r="AO1470" s="1">
        <v>1</v>
      </c>
      <c r="AP1470" s="1" t="s">
        <v>667</v>
      </c>
      <c r="AR1470" s="1" t="s">
        <v>10454</v>
      </c>
      <c r="AS1470" s="1" t="s">
        <v>213</v>
      </c>
      <c r="AT1470" s="1" t="s">
        <v>211</v>
      </c>
      <c r="AU1470" s="1">
        <v>2</v>
      </c>
      <c r="AW1470" s="1" t="s">
        <v>204</v>
      </c>
      <c r="AX1470" s="1" t="s">
        <v>212</v>
      </c>
      <c r="AZ1470" s="1">
        <v>2646</v>
      </c>
      <c r="BA1470" s="1">
        <v>2013</v>
      </c>
      <c r="BB1470" s="1" t="s">
        <v>405</v>
      </c>
      <c r="BE1470" s="1">
        <v>1292</v>
      </c>
      <c r="BF1470" s="1">
        <v>1</v>
      </c>
      <c r="BG1470" s="1">
        <v>0</v>
      </c>
      <c r="BL1470" s="1">
        <v>283</v>
      </c>
      <c r="BM1470" s="1" t="s">
        <v>204</v>
      </c>
      <c r="BN1470" s="1" t="s">
        <v>213</v>
      </c>
      <c r="BO1470" s="1">
        <v>999</v>
      </c>
      <c r="BP1470" s="1" t="s">
        <v>204</v>
      </c>
      <c r="BR1470" s="1" t="str">
        <f>"0434213021"</f>
        <v>0434213021</v>
      </c>
      <c r="BT1470" s="1" t="s">
        <v>14431</v>
      </c>
      <c r="BU1470" s="1" t="s">
        <v>3228</v>
      </c>
      <c r="BV1470" s="1" t="s">
        <v>990</v>
      </c>
      <c r="BW1470" s="1" t="s">
        <v>971</v>
      </c>
      <c r="BX1470" s="1">
        <v>200</v>
      </c>
      <c r="BY1470" s="1">
        <v>200</v>
      </c>
      <c r="BZ1470" s="1">
        <v>200</v>
      </c>
      <c r="CB1470" s="1" t="str">
        <f t="shared" ref="CB1470:CC1470" si="1122">""</f>
        <v/>
      </c>
      <c r="CC1470" s="1" t="str">
        <f t="shared" si="1122"/>
        <v/>
      </c>
      <c r="CG1470" s="1" t="s">
        <v>835</v>
      </c>
      <c r="CH1470" s="1" t="s">
        <v>219</v>
      </c>
      <c r="CI1470" s="1" t="s">
        <v>438</v>
      </c>
      <c r="CJ1470" s="1" t="s">
        <v>343</v>
      </c>
      <c r="CK1470" s="1" t="s">
        <v>6085</v>
      </c>
      <c r="CL1470" s="1" t="s">
        <v>219</v>
      </c>
      <c r="CM1470" s="1" t="s">
        <v>438</v>
      </c>
      <c r="CO1470" s="1" t="s">
        <v>409</v>
      </c>
      <c r="CP1470" s="1" t="s">
        <v>219</v>
      </c>
      <c r="CQ1470" s="1" t="s">
        <v>438</v>
      </c>
      <c r="CR1470" s="1" t="s">
        <v>343</v>
      </c>
      <c r="CS1470" s="1" t="s">
        <v>2138</v>
      </c>
      <c r="CT1470" s="1" t="s">
        <v>4450</v>
      </c>
      <c r="CU1470" s="1" t="s">
        <v>342</v>
      </c>
      <c r="CX1470" s="1" t="s">
        <v>224</v>
      </c>
      <c r="DB1470" s="1" t="s">
        <v>224</v>
      </c>
      <c r="DE1470" s="1" t="s">
        <v>379</v>
      </c>
      <c r="DF1470" s="1" t="s">
        <v>219</v>
      </c>
      <c r="DG1470" s="1" t="s">
        <v>342</v>
      </c>
      <c r="DH1470" s="1" t="s">
        <v>210</v>
      </c>
      <c r="DI1470" s="1" t="s">
        <v>12246</v>
      </c>
      <c r="DJ1470" s="1" t="s">
        <v>4450</v>
      </c>
      <c r="DK1470" s="1" t="s">
        <v>342</v>
      </c>
      <c r="DL1470" s="1" t="s">
        <v>343</v>
      </c>
      <c r="DS1470" s="1" t="s">
        <v>230</v>
      </c>
      <c r="DW1470" s="1" t="s">
        <v>230</v>
      </c>
      <c r="EA1470" s="1" t="s">
        <v>230</v>
      </c>
      <c r="EE1470" s="1" t="s">
        <v>230</v>
      </c>
      <c r="EI1470" s="1" t="s">
        <v>230</v>
      </c>
      <c r="EL1470" s="1" t="s">
        <v>605</v>
      </c>
      <c r="EM1470" s="1" t="s">
        <v>319</v>
      </c>
      <c r="EN1470" s="1" t="s">
        <v>282</v>
      </c>
      <c r="EO1470" s="1" t="s">
        <v>234</v>
      </c>
      <c r="ER1470" s="1" t="s">
        <v>544</v>
      </c>
      <c r="EU1470" s="1" t="s">
        <v>7046</v>
      </c>
      <c r="EV1470" s="1" t="s">
        <v>324</v>
      </c>
      <c r="EW1470" s="1" t="s">
        <v>1372</v>
      </c>
      <c r="EZ1470" s="1" t="s">
        <v>287</v>
      </c>
      <c r="FD1470" s="1" t="s">
        <v>246</v>
      </c>
      <c r="FE1470" s="1" t="s">
        <v>386</v>
      </c>
      <c r="FF1470" s="1" t="s">
        <v>248</v>
      </c>
      <c r="FH1470" s="1" t="s">
        <v>550</v>
      </c>
      <c r="FL1470" s="1" t="s">
        <v>358</v>
      </c>
      <c r="FM1470" s="1" t="s">
        <v>252</v>
      </c>
      <c r="FN1470" s="1" t="s">
        <v>213</v>
      </c>
      <c r="FO1470" s="1" t="s">
        <v>213</v>
      </c>
      <c r="FQ1470" s="1" t="s">
        <v>2004</v>
      </c>
      <c r="FR1470" s="1" t="s">
        <v>210</v>
      </c>
      <c r="FS1470" s="1" t="s">
        <v>3605</v>
      </c>
      <c r="FT1470" s="1" t="s">
        <v>14432</v>
      </c>
      <c r="FU1470" s="1" t="s">
        <v>204</v>
      </c>
      <c r="FW1470" s="1" t="s">
        <v>2179</v>
      </c>
      <c r="FX1470" s="1">
        <v>22039</v>
      </c>
      <c r="FY1470" s="1" t="s">
        <v>2180</v>
      </c>
      <c r="FZ1470" s="1" t="s">
        <v>14433</v>
      </c>
      <c r="GA1470" s="1">
        <v>240348</v>
      </c>
      <c r="GB1470" s="1" t="s">
        <v>14434</v>
      </c>
      <c r="GC1470" s="1">
        <v>216850</v>
      </c>
      <c r="GE1470" s="1" t="s">
        <v>480</v>
      </c>
      <c r="GI1470" s="1" t="s">
        <v>213</v>
      </c>
      <c r="GJ1470" s="1" t="s">
        <v>260</v>
      </c>
      <c r="GK1470" s="1" t="s">
        <v>261</v>
      </c>
      <c r="GL1470" s="2">
        <v>42135</v>
      </c>
      <c r="GM1470" s="1" t="s">
        <v>14435</v>
      </c>
    </row>
    <row r="1471" spans="1:195">
      <c r="A1471" s="1">
        <v>240000</v>
      </c>
      <c r="B1471" s="1" t="s">
        <v>195</v>
      </c>
      <c r="C1471" s="1" t="str">
        <f>"08873476"</f>
        <v>08873476</v>
      </c>
      <c r="D1471" s="1" t="s">
        <v>196</v>
      </c>
      <c r="F1471" s="1" t="str">
        <f>"540"</f>
        <v>540</v>
      </c>
      <c r="G1471" s="2">
        <v>42090</v>
      </c>
      <c r="H1471" s="1">
        <v>254900</v>
      </c>
      <c r="I1471" s="1">
        <v>254900</v>
      </c>
      <c r="J1471" s="1">
        <v>240000</v>
      </c>
      <c r="K1471" s="2">
        <v>42090</v>
      </c>
      <c r="L1471" s="1">
        <v>4</v>
      </c>
      <c r="M1471" s="2">
        <v>42093</v>
      </c>
      <c r="N1471" s="1">
        <v>4</v>
      </c>
      <c r="O1471" s="2">
        <v>42093</v>
      </c>
      <c r="P1471" s="1">
        <v>22097</v>
      </c>
      <c r="Q1471" s="1" t="s">
        <v>302</v>
      </c>
      <c r="R1471" s="2">
        <v>42111</v>
      </c>
      <c r="S1471" s="1">
        <v>223564</v>
      </c>
      <c r="U1471" s="1">
        <v>1303</v>
      </c>
      <c r="V1471" s="1" t="s">
        <v>14436</v>
      </c>
      <c r="W1471" s="1" t="s">
        <v>264</v>
      </c>
      <c r="X1471" s="1">
        <v>1303</v>
      </c>
      <c r="Y1471" s="1">
        <v>4</v>
      </c>
      <c r="Z1471" s="1" t="s">
        <v>370</v>
      </c>
      <c r="AA1471" s="1" t="s">
        <v>921</v>
      </c>
      <c r="AB1471" s="1">
        <v>60563</v>
      </c>
      <c r="AD1471" s="1" t="s">
        <v>14437</v>
      </c>
      <c r="AE1471" s="1" t="s">
        <v>14438</v>
      </c>
      <c r="AF1471" s="1">
        <v>1991</v>
      </c>
      <c r="AG1471" s="1" t="s">
        <v>204</v>
      </c>
      <c r="AH1471" s="1" t="s">
        <v>924</v>
      </c>
      <c r="AI1471" s="1" t="s">
        <v>206</v>
      </c>
      <c r="AJ1471" s="1" t="s">
        <v>925</v>
      </c>
      <c r="AL1471" s="1">
        <v>8</v>
      </c>
      <c r="AM1471" s="1">
        <v>2</v>
      </c>
      <c r="AN1471" s="1">
        <v>2</v>
      </c>
      <c r="AO1471" s="1">
        <v>1</v>
      </c>
      <c r="AP1471" s="1" t="s">
        <v>209</v>
      </c>
      <c r="AQ1471" s="1">
        <v>1</v>
      </c>
      <c r="AR1471" s="1" t="s">
        <v>209</v>
      </c>
      <c r="AS1471" s="1" t="s">
        <v>204</v>
      </c>
      <c r="AT1471" s="1" t="s">
        <v>211</v>
      </c>
      <c r="AU1471" s="1">
        <v>1</v>
      </c>
      <c r="AW1471" s="1" t="s">
        <v>204</v>
      </c>
      <c r="AX1471" s="1" t="s">
        <v>14439</v>
      </c>
      <c r="AZ1471" s="1">
        <v>4689.79</v>
      </c>
      <c r="BA1471" s="1">
        <v>2013</v>
      </c>
      <c r="BB1471" s="1" t="s">
        <v>405</v>
      </c>
      <c r="BE1471" s="1">
        <v>1708</v>
      </c>
      <c r="BF1471" s="1">
        <v>1</v>
      </c>
      <c r="BG1471" s="1">
        <v>0</v>
      </c>
      <c r="BL1471" s="1">
        <v>200</v>
      </c>
      <c r="BM1471" s="1" t="s">
        <v>204</v>
      </c>
      <c r="BN1471" s="1" t="s">
        <v>213</v>
      </c>
      <c r="BO1471" s="1">
        <v>999</v>
      </c>
      <c r="BP1471" s="1" t="s">
        <v>204</v>
      </c>
      <c r="BR1471" s="1" t="str">
        <f>"0808300030"</f>
        <v>0808300030</v>
      </c>
      <c r="BT1471" s="1" t="s">
        <v>14440</v>
      </c>
      <c r="BU1471" s="1" t="s">
        <v>14441</v>
      </c>
      <c r="BV1471" s="1" t="s">
        <v>2824</v>
      </c>
      <c r="BW1471" s="1" t="s">
        <v>2825</v>
      </c>
      <c r="BX1471" s="1">
        <v>203</v>
      </c>
      <c r="BY1471" s="1">
        <v>203</v>
      </c>
      <c r="BZ1471" s="1">
        <v>203</v>
      </c>
      <c r="CB1471" s="1" t="str">
        <f t="shared" ref="CB1471:CC1471" si="1123">""</f>
        <v/>
      </c>
      <c r="CC1471" s="1" t="str">
        <f t="shared" si="1123"/>
        <v/>
      </c>
      <c r="CG1471" s="1" t="s">
        <v>9134</v>
      </c>
      <c r="CH1471" s="1" t="s">
        <v>219</v>
      </c>
      <c r="CI1471" s="1" t="s">
        <v>220</v>
      </c>
      <c r="CJ1471" s="1" t="s">
        <v>343</v>
      </c>
      <c r="CK1471" s="1" t="s">
        <v>885</v>
      </c>
      <c r="CL1471" s="1" t="s">
        <v>277</v>
      </c>
      <c r="CM1471" s="1" t="s">
        <v>220</v>
      </c>
      <c r="CN1471" s="1" t="s">
        <v>343</v>
      </c>
      <c r="CP1471" s="1" t="s">
        <v>224</v>
      </c>
      <c r="CS1471" s="1" t="s">
        <v>461</v>
      </c>
      <c r="CT1471" s="1" t="s">
        <v>277</v>
      </c>
      <c r="CU1471" s="1" t="s">
        <v>220</v>
      </c>
      <c r="CV1471" s="1" t="s">
        <v>343</v>
      </c>
      <c r="CW1471" s="1" t="s">
        <v>378</v>
      </c>
      <c r="CX1471" s="1" t="s">
        <v>43</v>
      </c>
      <c r="CY1471" s="1" t="s">
        <v>220</v>
      </c>
      <c r="CZ1471" s="1" t="s">
        <v>210</v>
      </c>
      <c r="DB1471" s="1" t="s">
        <v>224</v>
      </c>
      <c r="DE1471" s="1" t="s">
        <v>223</v>
      </c>
      <c r="DF1471" s="1" t="s">
        <v>219</v>
      </c>
      <c r="DG1471" s="1" t="s">
        <v>438</v>
      </c>
      <c r="DH1471" s="1" t="s">
        <v>343</v>
      </c>
      <c r="DJ1471" s="1" t="s">
        <v>224</v>
      </c>
      <c r="DM1471" s="1" t="s">
        <v>934</v>
      </c>
      <c r="DN1471" s="1" t="s">
        <v>381</v>
      </c>
      <c r="DO1471" s="1" t="s">
        <v>709</v>
      </c>
      <c r="DP1471" s="1" t="s">
        <v>12913</v>
      </c>
      <c r="DR1471" s="1" t="s">
        <v>3057</v>
      </c>
      <c r="DS1471" s="1" t="s">
        <v>43</v>
      </c>
      <c r="DT1471" s="1" t="s">
        <v>220</v>
      </c>
      <c r="DU1471" s="1" t="s">
        <v>210</v>
      </c>
      <c r="DV1471" s="1" t="s">
        <v>223</v>
      </c>
      <c r="DW1471" s="1" t="s">
        <v>219</v>
      </c>
      <c r="DX1471" s="1" t="s">
        <v>438</v>
      </c>
      <c r="DY1471" s="1" t="s">
        <v>343</v>
      </c>
      <c r="DZ1471" s="1" t="s">
        <v>2547</v>
      </c>
      <c r="EA1471" s="1" t="s">
        <v>219</v>
      </c>
      <c r="EB1471" s="1" t="s">
        <v>226</v>
      </c>
      <c r="EC1471" s="1" t="s">
        <v>210</v>
      </c>
      <c r="ED1471" s="1" t="s">
        <v>4891</v>
      </c>
      <c r="EE1471" s="1" t="s">
        <v>43</v>
      </c>
      <c r="EF1471" s="1" t="s">
        <v>347</v>
      </c>
      <c r="EG1471" s="1" t="s">
        <v>210</v>
      </c>
      <c r="EI1471" s="1" t="s">
        <v>230</v>
      </c>
      <c r="EL1471" s="1" t="s">
        <v>382</v>
      </c>
      <c r="EM1471" s="1" t="s">
        <v>232</v>
      </c>
      <c r="EN1471" s="1" t="s">
        <v>282</v>
      </c>
      <c r="EO1471" s="1" t="s">
        <v>840</v>
      </c>
      <c r="EP1471" s="1" t="s">
        <v>650</v>
      </c>
      <c r="EQ1471" s="1" t="s">
        <v>2188</v>
      </c>
      <c r="ER1471" s="1" t="s">
        <v>544</v>
      </c>
      <c r="ES1471" s="1" t="s">
        <v>3932</v>
      </c>
      <c r="ET1471" s="1" t="s">
        <v>1201</v>
      </c>
      <c r="EV1471" s="1" t="s">
        <v>240</v>
      </c>
      <c r="EW1471" s="1" t="s">
        <v>5251</v>
      </c>
      <c r="EY1471" s="1" t="s">
        <v>242</v>
      </c>
      <c r="EZ1471" s="1" t="s">
        <v>14442</v>
      </c>
      <c r="FA1471" s="1" t="s">
        <v>14443</v>
      </c>
      <c r="FB1471" s="1" t="s">
        <v>2888</v>
      </c>
      <c r="FD1471" s="1" t="s">
        <v>246</v>
      </c>
      <c r="FE1471" s="1" t="s">
        <v>549</v>
      </c>
      <c r="FF1471" s="1" t="s">
        <v>248</v>
      </c>
      <c r="FG1471" s="1" t="s">
        <v>912</v>
      </c>
      <c r="FH1471" s="1" t="s">
        <v>550</v>
      </c>
      <c r="FI1471" s="1" t="s">
        <v>473</v>
      </c>
      <c r="FL1471" s="1" t="s">
        <v>358</v>
      </c>
      <c r="FM1471" s="1" t="s">
        <v>252</v>
      </c>
      <c r="FN1471" s="1" t="s">
        <v>213</v>
      </c>
      <c r="FO1471" s="1" t="s">
        <v>213</v>
      </c>
      <c r="FQ1471" s="1" t="s">
        <v>3616</v>
      </c>
      <c r="FR1471" s="1" t="s">
        <v>210</v>
      </c>
      <c r="FS1471" s="1" t="s">
        <v>14444</v>
      </c>
      <c r="FT1471" s="1" t="s">
        <v>14445</v>
      </c>
      <c r="FU1471" s="1" t="s">
        <v>204</v>
      </c>
      <c r="FW1471" s="1" t="s">
        <v>1898</v>
      </c>
      <c r="FX1471" s="1">
        <v>23030</v>
      </c>
      <c r="FY1471" s="1" t="s">
        <v>1899</v>
      </c>
      <c r="FZ1471" s="1" t="s">
        <v>14446</v>
      </c>
      <c r="GA1471" s="1">
        <v>232406</v>
      </c>
      <c r="GB1471" s="1" t="s">
        <v>14447</v>
      </c>
      <c r="GD1471" s="1" t="s">
        <v>14448</v>
      </c>
      <c r="GE1471" s="1" t="s">
        <v>480</v>
      </c>
      <c r="GI1471" s="1" t="s">
        <v>213</v>
      </c>
      <c r="GJ1471" s="1" t="s">
        <v>260</v>
      </c>
      <c r="GK1471" s="1" t="s">
        <v>261</v>
      </c>
      <c r="GL1471" s="2">
        <v>42112</v>
      </c>
      <c r="GM1471" s="1" t="s">
        <v>14449</v>
      </c>
    </row>
    <row r="1472" spans="1:195">
      <c r="A1472" s="1">
        <v>177900</v>
      </c>
      <c r="B1472" s="1" t="s">
        <v>195</v>
      </c>
      <c r="C1472" s="1" t="str">
        <f>"08875000"</f>
        <v>08875000</v>
      </c>
      <c r="D1472" s="1" t="s">
        <v>196</v>
      </c>
      <c r="F1472" s="1" t="str">
        <f>"188"</f>
        <v>188</v>
      </c>
      <c r="G1472" s="2">
        <v>42092</v>
      </c>
      <c r="H1472" s="1">
        <v>179900</v>
      </c>
      <c r="I1472" s="1">
        <v>179900</v>
      </c>
      <c r="J1472" s="1">
        <v>177900</v>
      </c>
      <c r="K1472" s="2">
        <v>42091</v>
      </c>
      <c r="L1472" s="1">
        <v>9</v>
      </c>
      <c r="M1472" s="2">
        <v>42099</v>
      </c>
      <c r="N1472" s="1">
        <v>9</v>
      </c>
      <c r="O1472" s="2">
        <v>42099</v>
      </c>
      <c r="P1472" s="1">
        <v>25266</v>
      </c>
      <c r="Q1472" s="1" t="s">
        <v>197</v>
      </c>
      <c r="R1472" s="2">
        <v>42143</v>
      </c>
      <c r="S1472" s="1">
        <v>253443</v>
      </c>
      <c r="U1472" s="1">
        <v>855</v>
      </c>
      <c r="V1472" s="1" t="s">
        <v>14450</v>
      </c>
      <c r="W1472" s="1" t="s">
        <v>304</v>
      </c>
      <c r="Y1472" s="1">
        <v>4</v>
      </c>
      <c r="Z1472" s="1" t="s">
        <v>249</v>
      </c>
      <c r="AA1472" s="1" t="s">
        <v>1084</v>
      </c>
      <c r="AB1472" s="1">
        <v>60188</v>
      </c>
      <c r="AE1472" s="1" t="s">
        <v>14451</v>
      </c>
      <c r="AF1472" s="1">
        <v>1996</v>
      </c>
      <c r="AG1472" s="1" t="s">
        <v>204</v>
      </c>
      <c r="AH1472" s="1" t="s">
        <v>1087</v>
      </c>
      <c r="AI1472" s="1" t="s">
        <v>206</v>
      </c>
      <c r="AJ1472" s="1" t="s">
        <v>207</v>
      </c>
      <c r="AL1472" s="1">
        <v>5</v>
      </c>
      <c r="AM1472" s="1">
        <v>2</v>
      </c>
      <c r="AN1472" s="1">
        <v>2</v>
      </c>
      <c r="AO1472" s="1">
        <v>1</v>
      </c>
      <c r="AP1472" s="1" t="s">
        <v>209</v>
      </c>
      <c r="AR1472" s="1" t="s">
        <v>210</v>
      </c>
      <c r="AT1472" s="1" t="s">
        <v>211</v>
      </c>
      <c r="AU1472" s="1">
        <v>1</v>
      </c>
      <c r="AW1472" s="1" t="s">
        <v>204</v>
      </c>
      <c r="AX1472" s="1" t="s">
        <v>212</v>
      </c>
      <c r="AZ1472" s="1">
        <v>3966</v>
      </c>
      <c r="BA1472" s="1">
        <v>2013</v>
      </c>
      <c r="BE1472" s="1">
        <v>1471</v>
      </c>
      <c r="BF1472" s="1">
        <v>1</v>
      </c>
      <c r="BG1472" s="1">
        <v>0</v>
      </c>
      <c r="BL1472" s="1">
        <v>139</v>
      </c>
      <c r="BM1472" s="1" t="s">
        <v>204</v>
      </c>
      <c r="BN1472" s="1" t="s">
        <v>213</v>
      </c>
      <c r="BO1472" s="1">
        <v>999</v>
      </c>
      <c r="BP1472" s="1" t="s">
        <v>204</v>
      </c>
      <c r="BR1472" s="1" t="str">
        <f>"0503110265"</f>
        <v>0503110265</v>
      </c>
      <c r="BT1472" s="1" t="s">
        <v>14452</v>
      </c>
      <c r="BX1472" s="1">
        <v>200</v>
      </c>
      <c r="BY1472" s="1">
        <v>200</v>
      </c>
      <c r="BZ1472" s="1">
        <v>200</v>
      </c>
      <c r="CB1472" s="1" t="str">
        <f t="shared" ref="CB1472:CC1472" si="1124">""</f>
        <v/>
      </c>
      <c r="CC1472" s="1" t="str">
        <f t="shared" si="1124"/>
        <v/>
      </c>
      <c r="CG1472" s="1" t="s">
        <v>707</v>
      </c>
      <c r="CH1472" s="1" t="s">
        <v>219</v>
      </c>
      <c r="CK1472" s="1" t="s">
        <v>344</v>
      </c>
      <c r="CL1472" s="1" t="s">
        <v>277</v>
      </c>
      <c r="CO1472" s="1" t="s">
        <v>629</v>
      </c>
      <c r="CP1472" s="1" t="s">
        <v>219</v>
      </c>
      <c r="CS1472" s="1" t="s">
        <v>539</v>
      </c>
      <c r="CT1472" s="1" t="s">
        <v>277</v>
      </c>
      <c r="CX1472" s="1" t="s">
        <v>224</v>
      </c>
      <c r="DB1472" s="1" t="s">
        <v>224</v>
      </c>
      <c r="DE1472" s="1" t="s">
        <v>465</v>
      </c>
      <c r="DF1472" s="1" t="s">
        <v>219</v>
      </c>
      <c r="DJ1472" s="1" t="s">
        <v>224</v>
      </c>
      <c r="DM1472" s="1" t="s">
        <v>1770</v>
      </c>
      <c r="DR1472" s="1" t="s">
        <v>14453</v>
      </c>
      <c r="DS1472" s="1" t="s">
        <v>277</v>
      </c>
      <c r="DW1472" s="1" t="s">
        <v>230</v>
      </c>
      <c r="EA1472" s="1" t="s">
        <v>230</v>
      </c>
      <c r="EE1472" s="1" t="s">
        <v>230</v>
      </c>
      <c r="EI1472" s="1" t="s">
        <v>230</v>
      </c>
      <c r="EL1472" s="1" t="s">
        <v>670</v>
      </c>
      <c r="EM1472" s="1" t="s">
        <v>232</v>
      </c>
      <c r="EN1472" s="1" t="s">
        <v>282</v>
      </c>
      <c r="EO1472" s="1" t="s">
        <v>234</v>
      </c>
      <c r="ER1472" s="1" t="s">
        <v>210</v>
      </c>
      <c r="EW1472" s="1" t="s">
        <v>353</v>
      </c>
      <c r="EZ1472" s="1" t="s">
        <v>1770</v>
      </c>
      <c r="FD1472" s="1" t="s">
        <v>246</v>
      </c>
      <c r="FE1472" s="1" t="s">
        <v>1220</v>
      </c>
      <c r="FF1472" s="1" t="s">
        <v>248</v>
      </c>
      <c r="FH1472" s="1" t="s">
        <v>550</v>
      </c>
      <c r="FL1472" s="1" t="s">
        <v>358</v>
      </c>
      <c r="FM1472" s="1" t="s">
        <v>252</v>
      </c>
      <c r="FN1472" s="1" t="s">
        <v>213</v>
      </c>
      <c r="FO1472" s="1" t="s">
        <v>213</v>
      </c>
      <c r="FQ1472" s="1" t="s">
        <v>9647</v>
      </c>
      <c r="FR1472" s="1" t="s">
        <v>210</v>
      </c>
      <c r="FS1472" s="1" t="s">
        <v>14454</v>
      </c>
      <c r="FT1472" s="1" t="s">
        <v>362</v>
      </c>
      <c r="FU1472" s="1" t="s">
        <v>204</v>
      </c>
      <c r="FW1472" s="1" t="s">
        <v>9649</v>
      </c>
      <c r="FX1472" s="1">
        <v>22300</v>
      </c>
      <c r="FY1472" s="1" t="s">
        <v>9650</v>
      </c>
      <c r="FZ1472" s="1" t="s">
        <v>9651</v>
      </c>
      <c r="GA1472" s="1">
        <v>221067</v>
      </c>
      <c r="GB1472" s="1" t="s">
        <v>9652</v>
      </c>
      <c r="GE1472" s="1" t="s">
        <v>210</v>
      </c>
      <c r="GI1472" s="1" t="s">
        <v>213</v>
      </c>
      <c r="GJ1472" s="1" t="s">
        <v>260</v>
      </c>
      <c r="GK1472" s="1" t="s">
        <v>210</v>
      </c>
      <c r="GL1472" s="2">
        <v>42143</v>
      </c>
    </row>
    <row r="1473" spans="1:195">
      <c r="A1473" s="1">
        <v>97000</v>
      </c>
      <c r="B1473" s="1" t="s">
        <v>195</v>
      </c>
      <c r="C1473" s="1" t="str">
        <f>"08872859"</f>
        <v>08872859</v>
      </c>
      <c r="D1473" s="1" t="s">
        <v>196</v>
      </c>
      <c r="F1473" s="1" t="str">
        <f>"19"</f>
        <v>19</v>
      </c>
      <c r="G1473" s="2">
        <v>42089</v>
      </c>
      <c r="H1473" s="1">
        <v>99750</v>
      </c>
      <c r="I1473" s="1">
        <v>99750</v>
      </c>
      <c r="J1473" s="1">
        <v>97000</v>
      </c>
      <c r="K1473" s="2">
        <v>42088</v>
      </c>
      <c r="L1473" s="1">
        <v>10</v>
      </c>
      <c r="M1473" s="2">
        <v>42097</v>
      </c>
      <c r="N1473" s="1">
        <v>10</v>
      </c>
      <c r="O1473" s="2">
        <v>42097</v>
      </c>
      <c r="P1473" s="1">
        <v>85758</v>
      </c>
      <c r="Q1473" s="1" t="s">
        <v>302</v>
      </c>
      <c r="R1473" s="2">
        <v>42124</v>
      </c>
      <c r="S1473" s="1">
        <v>180683</v>
      </c>
      <c r="T1473" s="1">
        <v>500</v>
      </c>
      <c r="U1473" s="1">
        <v>1401</v>
      </c>
      <c r="V1473" s="1" t="s">
        <v>8323</v>
      </c>
      <c r="W1473" s="1" t="s">
        <v>264</v>
      </c>
      <c r="X1473" s="1">
        <v>1401</v>
      </c>
      <c r="Y1473" s="1">
        <v>5</v>
      </c>
      <c r="Z1473" s="1" t="s">
        <v>200</v>
      </c>
      <c r="AA1473" s="1" t="s">
        <v>1013</v>
      </c>
      <c r="AB1473" s="1">
        <v>60020</v>
      </c>
      <c r="AE1473" s="1" t="s">
        <v>14455</v>
      </c>
      <c r="AF1473" s="1">
        <v>2006</v>
      </c>
      <c r="AG1473" s="1" t="s">
        <v>204</v>
      </c>
      <c r="AH1473" s="1" t="s">
        <v>1015</v>
      </c>
      <c r="AI1473" s="1" t="s">
        <v>509</v>
      </c>
      <c r="AJ1473" s="1" t="s">
        <v>1016</v>
      </c>
      <c r="AL1473" s="1">
        <v>5</v>
      </c>
      <c r="AM1473" s="1">
        <v>2</v>
      </c>
      <c r="AN1473" s="1">
        <v>2</v>
      </c>
      <c r="AO1473" s="1">
        <v>0</v>
      </c>
      <c r="AP1473" s="1" t="s">
        <v>209</v>
      </c>
      <c r="AR1473" s="1" t="s">
        <v>210</v>
      </c>
      <c r="AT1473" s="1" t="s">
        <v>211</v>
      </c>
      <c r="AU1473" s="1">
        <v>2</v>
      </c>
      <c r="AW1473" s="1" t="s">
        <v>204</v>
      </c>
      <c r="AX1473" s="1" t="s">
        <v>212</v>
      </c>
      <c r="AZ1473" s="1">
        <v>5742</v>
      </c>
      <c r="BA1473" s="1">
        <v>2013</v>
      </c>
      <c r="BE1473" s="1">
        <v>0</v>
      </c>
      <c r="BF1473" s="1">
        <v>2</v>
      </c>
      <c r="BG1473" s="1">
        <v>30</v>
      </c>
      <c r="BL1473" s="1">
        <v>181</v>
      </c>
      <c r="BM1473" s="1" t="s">
        <v>204</v>
      </c>
      <c r="BN1473" s="1" t="s">
        <v>213</v>
      </c>
      <c r="BO1473" s="1">
        <v>35</v>
      </c>
      <c r="BP1473" s="1" t="s">
        <v>204</v>
      </c>
      <c r="BR1473" s="1" t="str">
        <f>"05274050570000"</f>
        <v>05274050570000</v>
      </c>
      <c r="BT1473" s="1" t="s">
        <v>14456</v>
      </c>
      <c r="BX1473" s="1">
        <v>38</v>
      </c>
      <c r="BY1473" s="1">
        <v>38</v>
      </c>
      <c r="BZ1473" s="1">
        <v>124</v>
      </c>
      <c r="CB1473" s="1" t="str">
        <f t="shared" ref="CB1473:CC1473" si="1125">""</f>
        <v/>
      </c>
      <c r="CC1473" s="1" t="str">
        <f t="shared" si="1125"/>
        <v/>
      </c>
      <c r="CG1473" s="1" t="s">
        <v>1045</v>
      </c>
      <c r="CH1473" s="1" t="s">
        <v>277</v>
      </c>
      <c r="CK1473" s="1" t="s">
        <v>1200</v>
      </c>
      <c r="CL1473" s="1" t="s">
        <v>277</v>
      </c>
      <c r="CO1473" s="1" t="s">
        <v>1297</v>
      </c>
      <c r="CP1473" s="1" t="s">
        <v>277</v>
      </c>
      <c r="CS1473" s="1" t="s">
        <v>932</v>
      </c>
      <c r="CT1473" s="1" t="s">
        <v>219</v>
      </c>
      <c r="CX1473" s="1" t="s">
        <v>224</v>
      </c>
      <c r="DB1473" s="1" t="s">
        <v>224</v>
      </c>
      <c r="DE1473" s="1" t="s">
        <v>602</v>
      </c>
      <c r="DF1473" s="1" t="s">
        <v>277</v>
      </c>
      <c r="DJ1473" s="1" t="s">
        <v>224</v>
      </c>
      <c r="DS1473" s="1" t="s">
        <v>230</v>
      </c>
      <c r="DW1473" s="1" t="s">
        <v>230</v>
      </c>
      <c r="EA1473" s="1" t="s">
        <v>230</v>
      </c>
      <c r="EE1473" s="1" t="s">
        <v>230</v>
      </c>
      <c r="EI1473" s="1" t="s">
        <v>230</v>
      </c>
      <c r="EL1473" s="1" t="s">
        <v>491</v>
      </c>
      <c r="EM1473" s="1" t="s">
        <v>319</v>
      </c>
      <c r="EN1473" s="1" t="s">
        <v>210</v>
      </c>
      <c r="EO1473" s="1" t="s">
        <v>234</v>
      </c>
      <c r="ER1473" s="1" t="s">
        <v>210</v>
      </c>
      <c r="EW1473" s="1" t="s">
        <v>14457</v>
      </c>
      <c r="EZ1473" s="1" t="s">
        <v>287</v>
      </c>
      <c r="FD1473" s="1" t="s">
        <v>246</v>
      </c>
      <c r="FE1473" s="1" t="s">
        <v>1031</v>
      </c>
      <c r="FF1473" s="1" t="s">
        <v>248</v>
      </c>
      <c r="FH1473" s="1" t="s">
        <v>249</v>
      </c>
      <c r="FL1473" s="1" t="s">
        <v>358</v>
      </c>
      <c r="FM1473" s="1" t="s">
        <v>252</v>
      </c>
      <c r="FN1473" s="1" t="s">
        <v>213</v>
      </c>
      <c r="FO1473" s="1" t="s">
        <v>204</v>
      </c>
      <c r="FQ1473" s="1" t="s">
        <v>689</v>
      </c>
      <c r="FR1473" s="1" t="s">
        <v>210</v>
      </c>
      <c r="FS1473" s="1" t="s">
        <v>14458</v>
      </c>
      <c r="FT1473" s="1" t="s">
        <v>362</v>
      </c>
      <c r="FU1473" s="1" t="s">
        <v>204</v>
      </c>
      <c r="FW1473" s="1" t="s">
        <v>14459</v>
      </c>
      <c r="FX1473" s="1">
        <v>10687</v>
      </c>
      <c r="FY1473" s="1" t="s">
        <v>693</v>
      </c>
      <c r="FZ1473" s="1" t="s">
        <v>14460</v>
      </c>
      <c r="GA1473" s="1">
        <v>133158</v>
      </c>
      <c r="GE1473" s="1" t="s">
        <v>210</v>
      </c>
      <c r="GI1473" s="1" t="s">
        <v>213</v>
      </c>
      <c r="GJ1473" s="1" t="s">
        <v>260</v>
      </c>
      <c r="GK1473" s="1" t="s">
        <v>210</v>
      </c>
      <c r="GL1473" s="2">
        <v>42124</v>
      </c>
      <c r="GM1473" s="1" t="s">
        <v>695</v>
      </c>
    </row>
    <row r="1474" spans="1:195">
      <c r="A1474" s="1">
        <v>84500</v>
      </c>
      <c r="B1474" s="1" t="s">
        <v>195</v>
      </c>
      <c r="C1474" s="1" t="str">
        <f>"08871919"</f>
        <v>08871919</v>
      </c>
      <c r="D1474" s="1" t="s">
        <v>196</v>
      </c>
      <c r="F1474" s="1" t="str">
        <f>"104"</f>
        <v>104</v>
      </c>
      <c r="G1474" s="2">
        <v>42088</v>
      </c>
      <c r="H1474" s="1">
        <v>84900</v>
      </c>
      <c r="I1474" s="1">
        <v>84900</v>
      </c>
      <c r="J1474" s="1">
        <v>84500</v>
      </c>
      <c r="K1474" s="2">
        <v>42088</v>
      </c>
      <c r="L1474" s="1">
        <v>22</v>
      </c>
      <c r="M1474" s="2">
        <v>42109</v>
      </c>
      <c r="N1474" s="1">
        <v>22</v>
      </c>
      <c r="O1474" s="2">
        <v>42109</v>
      </c>
      <c r="P1474" s="1">
        <v>8094</v>
      </c>
      <c r="Q1474" s="1" t="s">
        <v>302</v>
      </c>
      <c r="R1474" s="2">
        <v>42132</v>
      </c>
      <c r="S1474" s="1">
        <v>89874</v>
      </c>
      <c r="U1474" s="1">
        <v>745</v>
      </c>
      <c r="V1474" s="1" t="s">
        <v>14461</v>
      </c>
      <c r="W1474" s="1" t="s">
        <v>304</v>
      </c>
      <c r="X1474" s="1" t="s">
        <v>11060</v>
      </c>
      <c r="Y1474" s="1">
        <v>4</v>
      </c>
      <c r="Z1474" s="1" t="s">
        <v>249</v>
      </c>
      <c r="AA1474" s="1" t="s">
        <v>371</v>
      </c>
      <c r="AB1474" s="1">
        <v>60103</v>
      </c>
      <c r="AE1474" s="1" t="s">
        <v>14462</v>
      </c>
      <c r="AF1474" s="1">
        <v>1987</v>
      </c>
      <c r="AG1474" s="1" t="s">
        <v>204</v>
      </c>
      <c r="AH1474" s="1" t="s">
        <v>373</v>
      </c>
      <c r="AI1474" s="1" t="s">
        <v>310</v>
      </c>
      <c r="AJ1474" s="1" t="s">
        <v>374</v>
      </c>
      <c r="AL1474" s="1">
        <v>5</v>
      </c>
      <c r="AM1474" s="1">
        <v>2</v>
      </c>
      <c r="AN1474" s="1">
        <v>1</v>
      </c>
      <c r="AO1474" s="1">
        <v>0</v>
      </c>
      <c r="AP1474" s="1" t="s">
        <v>210</v>
      </c>
      <c r="AQ1474" s="1">
        <v>1</v>
      </c>
      <c r="AR1474" s="1" t="s">
        <v>210</v>
      </c>
      <c r="AS1474" s="1" t="s">
        <v>204</v>
      </c>
      <c r="AT1474" s="1" t="s">
        <v>211</v>
      </c>
      <c r="AU1474" s="1">
        <v>1</v>
      </c>
      <c r="AW1474" s="1" t="s">
        <v>204</v>
      </c>
      <c r="AX1474" s="1" t="s">
        <v>212</v>
      </c>
      <c r="AZ1474" s="1">
        <v>1833.47</v>
      </c>
      <c r="BA1474" s="1">
        <v>2013</v>
      </c>
      <c r="BB1474" s="1" t="s">
        <v>210</v>
      </c>
      <c r="BE1474" s="1">
        <v>900</v>
      </c>
      <c r="BF1474" s="1">
        <v>2</v>
      </c>
      <c r="BG1474" s="1">
        <v>0</v>
      </c>
      <c r="BL1474" s="1">
        <v>211</v>
      </c>
      <c r="BM1474" s="1" t="s">
        <v>413</v>
      </c>
      <c r="BN1474" s="1" t="s">
        <v>213</v>
      </c>
      <c r="BO1474" s="1">
        <v>0</v>
      </c>
      <c r="BP1474" s="1" t="s">
        <v>204</v>
      </c>
      <c r="BR1474" s="1" t="str">
        <f>"06354001171179"</f>
        <v>06354001171179</v>
      </c>
      <c r="BT1474" s="1" t="s">
        <v>14463</v>
      </c>
      <c r="BX1474" s="1">
        <v>46</v>
      </c>
      <c r="BY1474" s="1">
        <v>46</v>
      </c>
      <c r="BZ1474" s="1">
        <v>46</v>
      </c>
      <c r="CB1474" s="1" t="str">
        <f t="shared" ref="CB1474:CC1474" si="1126">""</f>
        <v/>
      </c>
      <c r="CC1474" s="1" t="str">
        <f t="shared" si="1126"/>
        <v/>
      </c>
      <c r="CG1474" s="1" t="s">
        <v>564</v>
      </c>
      <c r="CH1474" s="1" t="s">
        <v>219</v>
      </c>
      <c r="CK1474" s="1" t="s">
        <v>1358</v>
      </c>
      <c r="CL1474" s="1" t="s">
        <v>219</v>
      </c>
      <c r="CO1474" s="1" t="s">
        <v>516</v>
      </c>
      <c r="CP1474" s="1" t="s">
        <v>219</v>
      </c>
      <c r="CS1474" s="1" t="s">
        <v>409</v>
      </c>
      <c r="CT1474" s="1" t="s">
        <v>219</v>
      </c>
      <c r="CX1474" s="1" t="s">
        <v>224</v>
      </c>
      <c r="DB1474" s="1" t="s">
        <v>224</v>
      </c>
      <c r="DE1474" s="1" t="s">
        <v>785</v>
      </c>
      <c r="DF1474" s="1" t="s">
        <v>219</v>
      </c>
      <c r="DJ1474" s="1" t="s">
        <v>224</v>
      </c>
      <c r="DS1474" s="1" t="s">
        <v>230</v>
      </c>
      <c r="DW1474" s="1" t="s">
        <v>230</v>
      </c>
      <c r="EA1474" s="1" t="s">
        <v>230</v>
      </c>
      <c r="EE1474" s="1" t="s">
        <v>230</v>
      </c>
      <c r="EI1474" s="1" t="s">
        <v>230</v>
      </c>
      <c r="EL1474" s="1" t="s">
        <v>542</v>
      </c>
      <c r="EM1474" s="1" t="s">
        <v>319</v>
      </c>
      <c r="EN1474" s="1" t="s">
        <v>282</v>
      </c>
      <c r="EO1474" s="1" t="s">
        <v>234</v>
      </c>
      <c r="ER1474" s="1" t="s">
        <v>210</v>
      </c>
      <c r="EU1474" s="1" t="s">
        <v>239</v>
      </c>
      <c r="EW1474" s="1" t="s">
        <v>14464</v>
      </c>
      <c r="EZ1474" s="1" t="s">
        <v>287</v>
      </c>
      <c r="FB1474" s="1" t="s">
        <v>289</v>
      </c>
      <c r="FD1474" s="1" t="s">
        <v>246</v>
      </c>
      <c r="FE1474" s="1" t="s">
        <v>472</v>
      </c>
      <c r="FF1474" s="1" t="s">
        <v>248</v>
      </c>
      <c r="FH1474" s="1" t="s">
        <v>249</v>
      </c>
      <c r="FI1474" s="1" t="s">
        <v>2827</v>
      </c>
      <c r="FJ1474" s="1" t="s">
        <v>1472</v>
      </c>
      <c r="FL1474" s="1" t="s">
        <v>358</v>
      </c>
      <c r="FM1474" s="1" t="s">
        <v>252</v>
      </c>
      <c r="FN1474" s="1" t="s">
        <v>213</v>
      </c>
      <c r="FO1474" s="1" t="s">
        <v>213</v>
      </c>
      <c r="FQ1474" s="1" t="s">
        <v>673</v>
      </c>
      <c r="FR1474" s="1" t="s">
        <v>210</v>
      </c>
      <c r="FS1474" s="1" t="s">
        <v>14465</v>
      </c>
      <c r="FT1474" s="1" t="s">
        <v>14466</v>
      </c>
      <c r="FU1474" s="1" t="s">
        <v>213</v>
      </c>
      <c r="FW1474" s="1" t="s">
        <v>3428</v>
      </c>
      <c r="FX1474" s="1">
        <v>14750</v>
      </c>
      <c r="FY1474" s="1" t="s">
        <v>3429</v>
      </c>
      <c r="FZ1474" s="1" t="s">
        <v>3430</v>
      </c>
      <c r="GA1474" s="1">
        <v>122383</v>
      </c>
      <c r="GC1474" s="1">
        <v>181645</v>
      </c>
      <c r="GE1474" s="1" t="s">
        <v>210</v>
      </c>
      <c r="GI1474" s="1" t="s">
        <v>213</v>
      </c>
      <c r="GJ1474" s="1" t="s">
        <v>260</v>
      </c>
      <c r="GK1474" s="1" t="s">
        <v>210</v>
      </c>
      <c r="GL1474" s="2">
        <v>42132</v>
      </c>
      <c r="GM1474" s="1" t="s">
        <v>14467</v>
      </c>
    </row>
    <row r="1475" spans="1:195">
      <c r="A1475" s="1">
        <v>77000</v>
      </c>
      <c r="B1475" s="1" t="s">
        <v>195</v>
      </c>
      <c r="C1475" s="1" t="str">
        <f>"08872947"</f>
        <v>08872947</v>
      </c>
      <c r="D1475" s="1" t="s">
        <v>196</v>
      </c>
      <c r="F1475" s="1" t="str">
        <f>"8038"</f>
        <v>8038</v>
      </c>
      <c r="G1475" s="2">
        <v>42089</v>
      </c>
      <c r="H1475" s="1">
        <v>79000</v>
      </c>
      <c r="I1475" s="1">
        <v>79000</v>
      </c>
      <c r="J1475" s="1">
        <v>77000</v>
      </c>
      <c r="K1475" s="2">
        <v>42089</v>
      </c>
      <c r="L1475" s="1">
        <v>8</v>
      </c>
      <c r="M1475" s="2">
        <v>42096</v>
      </c>
      <c r="N1475" s="1">
        <v>8</v>
      </c>
      <c r="O1475" s="2">
        <v>42096</v>
      </c>
      <c r="P1475" s="1">
        <v>1995</v>
      </c>
      <c r="Q1475" s="1" t="s">
        <v>302</v>
      </c>
      <c r="R1475" s="2">
        <v>42139</v>
      </c>
      <c r="S1475" s="1">
        <v>922796</v>
      </c>
      <c r="U1475" s="1">
        <v>5016</v>
      </c>
      <c r="V1475" s="1" t="s">
        <v>13740</v>
      </c>
      <c r="W1475" s="1" t="s">
        <v>264</v>
      </c>
      <c r="X1475" s="1" t="s">
        <v>726</v>
      </c>
      <c r="Y1475" s="1">
        <v>14</v>
      </c>
      <c r="Z1475" s="1" t="s">
        <v>249</v>
      </c>
      <c r="AA1475" s="1" t="s">
        <v>400</v>
      </c>
      <c r="AB1475" s="1">
        <v>60615</v>
      </c>
      <c r="AE1475" s="1" t="s">
        <v>14468</v>
      </c>
      <c r="AF1475" s="1">
        <v>1901</v>
      </c>
      <c r="AG1475" s="1" t="s">
        <v>213</v>
      </c>
      <c r="AH1475" s="1" t="s">
        <v>403</v>
      </c>
      <c r="AI1475" s="1" t="s">
        <v>310</v>
      </c>
      <c r="AJ1475" s="1" t="s">
        <v>562</v>
      </c>
      <c r="AL1475" s="1">
        <v>4</v>
      </c>
      <c r="AM1475" s="1">
        <v>2</v>
      </c>
      <c r="AN1475" s="1">
        <v>2</v>
      </c>
      <c r="AO1475" s="1">
        <v>0</v>
      </c>
      <c r="AP1475" s="1" t="s">
        <v>210</v>
      </c>
      <c r="AQ1475" s="1">
        <v>1</v>
      </c>
      <c r="AR1475" s="1" t="s">
        <v>210</v>
      </c>
      <c r="AT1475" s="1" t="s">
        <v>271</v>
      </c>
      <c r="AV1475" s="1">
        <v>1</v>
      </c>
      <c r="AW1475" s="1" t="s">
        <v>204</v>
      </c>
      <c r="AX1475" s="1" t="s">
        <v>212</v>
      </c>
      <c r="AZ1475" s="1">
        <v>3029</v>
      </c>
      <c r="BA1475" s="1">
        <v>2013</v>
      </c>
      <c r="BB1475" s="1" t="s">
        <v>210</v>
      </c>
      <c r="BE1475" s="1">
        <v>1100</v>
      </c>
      <c r="BF1475" s="1">
        <v>2</v>
      </c>
      <c r="BG1475" s="1">
        <v>0</v>
      </c>
      <c r="BL1475" s="1">
        <v>250</v>
      </c>
      <c r="BM1475" s="1" t="s">
        <v>204</v>
      </c>
      <c r="BN1475" s="1" t="s">
        <v>213</v>
      </c>
      <c r="BO1475" s="1">
        <v>50</v>
      </c>
      <c r="BP1475" s="1" t="s">
        <v>204</v>
      </c>
      <c r="BR1475" s="1" t="str">
        <f>"20101230291005"</f>
        <v>20101230291005</v>
      </c>
      <c r="BT1475" s="1" t="s">
        <v>14469</v>
      </c>
      <c r="BX1475" s="1">
        <v>299</v>
      </c>
      <c r="BY1475" s="1">
        <v>299</v>
      </c>
      <c r="BZ1475" s="1">
        <v>299</v>
      </c>
      <c r="CB1475" s="1" t="str">
        <f>"0"</f>
        <v>0</v>
      </c>
      <c r="CC1475" s="1" t="str">
        <f>"350"</f>
        <v>350</v>
      </c>
      <c r="CD1475" s="1">
        <v>0</v>
      </c>
      <c r="CE1475" s="1">
        <v>5016</v>
      </c>
      <c r="CG1475" s="1" t="s">
        <v>1533</v>
      </c>
      <c r="CH1475" s="1" t="s">
        <v>219</v>
      </c>
      <c r="CK1475" s="1" t="s">
        <v>1403</v>
      </c>
      <c r="CL1475" s="1" t="s">
        <v>219</v>
      </c>
      <c r="CM1475" s="1" t="s">
        <v>438</v>
      </c>
      <c r="CN1475" s="1" t="s">
        <v>343</v>
      </c>
      <c r="CP1475" s="1" t="s">
        <v>224</v>
      </c>
      <c r="CS1475" s="1" t="s">
        <v>346</v>
      </c>
      <c r="CT1475" s="1" t="s">
        <v>219</v>
      </c>
      <c r="CU1475" s="1" t="s">
        <v>438</v>
      </c>
      <c r="CV1475" s="1" t="s">
        <v>343</v>
      </c>
      <c r="CX1475" s="1" t="s">
        <v>224</v>
      </c>
      <c r="DB1475" s="1" t="s">
        <v>224</v>
      </c>
      <c r="DE1475" s="1" t="s">
        <v>757</v>
      </c>
      <c r="DF1475" s="1" t="s">
        <v>219</v>
      </c>
      <c r="DG1475" s="1" t="s">
        <v>438</v>
      </c>
      <c r="DH1475" s="1" t="s">
        <v>343</v>
      </c>
      <c r="DJ1475" s="1" t="s">
        <v>224</v>
      </c>
      <c r="DS1475" s="1" t="s">
        <v>230</v>
      </c>
      <c r="DW1475" s="1" t="s">
        <v>230</v>
      </c>
      <c r="EA1475" s="1" t="s">
        <v>230</v>
      </c>
      <c r="EE1475" s="1" t="s">
        <v>230</v>
      </c>
      <c r="EI1475" s="1" t="s">
        <v>230</v>
      </c>
      <c r="EL1475" s="1" t="s">
        <v>787</v>
      </c>
      <c r="EM1475" s="1" t="s">
        <v>232</v>
      </c>
      <c r="EN1475" s="1" t="s">
        <v>210</v>
      </c>
      <c r="EO1475" s="1" t="s">
        <v>234</v>
      </c>
      <c r="EQ1475" s="1" t="s">
        <v>14470</v>
      </c>
      <c r="ER1475" s="1" t="s">
        <v>210</v>
      </c>
      <c r="ES1475" s="1" t="s">
        <v>493</v>
      </c>
      <c r="EU1475" s="1" t="s">
        <v>546</v>
      </c>
      <c r="EV1475" s="1" t="s">
        <v>240</v>
      </c>
      <c r="EW1475" s="1" t="s">
        <v>9179</v>
      </c>
      <c r="EZ1475" s="1" t="s">
        <v>287</v>
      </c>
      <c r="FC1475" s="1" t="s">
        <v>735</v>
      </c>
      <c r="FD1475" s="1" t="s">
        <v>246</v>
      </c>
      <c r="FE1475" s="1" t="s">
        <v>3205</v>
      </c>
      <c r="FF1475" s="1" t="s">
        <v>248</v>
      </c>
      <c r="FH1475" s="1" t="s">
        <v>249</v>
      </c>
      <c r="FJ1475" s="1" t="s">
        <v>197</v>
      </c>
      <c r="FK1475" s="1" t="s">
        <v>2827</v>
      </c>
      <c r="FL1475" s="1" t="s">
        <v>358</v>
      </c>
      <c r="FM1475" s="1" t="s">
        <v>252</v>
      </c>
      <c r="FN1475" s="1" t="s">
        <v>213</v>
      </c>
      <c r="FO1475" s="1" t="s">
        <v>213</v>
      </c>
      <c r="FQ1475" s="1" t="s">
        <v>1896</v>
      </c>
      <c r="FR1475" s="1" t="s">
        <v>210</v>
      </c>
      <c r="FS1475" s="1" t="s">
        <v>443</v>
      </c>
      <c r="FT1475" s="1" t="s">
        <v>2589</v>
      </c>
      <c r="FU1475" s="1" t="s">
        <v>204</v>
      </c>
      <c r="FW1475" s="1" t="s">
        <v>6513</v>
      </c>
      <c r="FX1475" s="1">
        <v>61026</v>
      </c>
      <c r="FY1475" s="1" t="s">
        <v>6514</v>
      </c>
      <c r="FZ1475" s="1" t="s">
        <v>14471</v>
      </c>
      <c r="GA1475" s="1">
        <v>501114</v>
      </c>
      <c r="GB1475" s="1" t="s">
        <v>6514</v>
      </c>
      <c r="GE1475" s="1" t="s">
        <v>210</v>
      </c>
      <c r="GH1475" s="1" t="s">
        <v>421</v>
      </c>
      <c r="GI1475" s="1" t="s">
        <v>213</v>
      </c>
      <c r="GJ1475" s="1" t="s">
        <v>260</v>
      </c>
      <c r="GK1475" s="1" t="s">
        <v>210</v>
      </c>
      <c r="GL1475" s="2">
        <v>42146</v>
      </c>
    </row>
    <row r="1476" spans="1:195">
      <c r="A1476" s="1">
        <v>79000</v>
      </c>
      <c r="B1476" s="1" t="s">
        <v>195</v>
      </c>
      <c r="C1476" s="1" t="str">
        <f>"08876137"</f>
        <v>08876137</v>
      </c>
      <c r="D1476" s="1" t="s">
        <v>196</v>
      </c>
      <c r="F1476" s="1" t="str">
        <f>"2"</f>
        <v>2</v>
      </c>
      <c r="G1476" s="2">
        <v>42093</v>
      </c>
      <c r="H1476" s="1">
        <v>90000</v>
      </c>
      <c r="I1476" s="1">
        <v>84900</v>
      </c>
      <c r="J1476" s="1">
        <v>79000</v>
      </c>
      <c r="K1476" s="2">
        <v>42093</v>
      </c>
      <c r="L1476" s="1">
        <v>44</v>
      </c>
      <c r="M1476" s="2">
        <v>42136</v>
      </c>
      <c r="N1476" s="1">
        <v>44</v>
      </c>
      <c r="O1476" s="2">
        <v>42136</v>
      </c>
      <c r="P1476" s="1">
        <v>2415</v>
      </c>
      <c r="Q1476" s="1" t="s">
        <v>302</v>
      </c>
      <c r="R1476" s="2">
        <v>42150</v>
      </c>
      <c r="S1476" s="1">
        <v>238920</v>
      </c>
      <c r="U1476" s="1">
        <v>360</v>
      </c>
      <c r="V1476" s="1" t="s">
        <v>6831</v>
      </c>
      <c r="W1476" s="1" t="s">
        <v>526</v>
      </c>
      <c r="Y1476" s="1">
        <v>2</v>
      </c>
      <c r="Z1476" s="1" t="s">
        <v>200</v>
      </c>
      <c r="AA1476" s="1" t="s">
        <v>5713</v>
      </c>
      <c r="AB1476" s="1">
        <v>60002</v>
      </c>
      <c r="AE1476" s="1" t="s">
        <v>14472</v>
      </c>
      <c r="AF1476" s="1">
        <v>1992</v>
      </c>
      <c r="AG1476" s="1" t="s">
        <v>204</v>
      </c>
      <c r="AH1476" s="1" t="s">
        <v>596</v>
      </c>
      <c r="AI1476" s="1" t="s">
        <v>509</v>
      </c>
      <c r="AJ1476" s="1" t="s">
        <v>596</v>
      </c>
      <c r="AL1476" s="1">
        <v>4</v>
      </c>
      <c r="AM1476" s="1">
        <v>2</v>
      </c>
      <c r="AN1476" s="1">
        <v>2</v>
      </c>
      <c r="AO1476" s="1">
        <v>1</v>
      </c>
      <c r="AP1476" s="1" t="s">
        <v>209</v>
      </c>
      <c r="AQ1476" s="1">
        <v>1</v>
      </c>
      <c r="AR1476" s="1" t="s">
        <v>209</v>
      </c>
      <c r="AS1476" s="1" t="s">
        <v>213</v>
      </c>
      <c r="AT1476" s="1" t="s">
        <v>211</v>
      </c>
      <c r="AU1476" s="1">
        <v>2</v>
      </c>
      <c r="AW1476" s="1" t="s">
        <v>204</v>
      </c>
      <c r="AX1476" s="1" t="s">
        <v>14473</v>
      </c>
      <c r="AZ1476" s="1">
        <v>4825.75</v>
      </c>
      <c r="BA1476" s="1">
        <v>2013</v>
      </c>
      <c r="BE1476" s="1">
        <v>1540</v>
      </c>
      <c r="BF1476" s="1">
        <v>1</v>
      </c>
      <c r="BG1476" s="1">
        <v>1</v>
      </c>
      <c r="BL1476" s="1">
        <v>0</v>
      </c>
      <c r="BM1476" s="1" t="s">
        <v>204</v>
      </c>
      <c r="BN1476" s="1" t="s">
        <v>213</v>
      </c>
      <c r="BO1476" s="1" t="s">
        <v>6360</v>
      </c>
      <c r="BP1476" s="1" t="s">
        <v>204</v>
      </c>
      <c r="BR1476" s="1" t="str">
        <f>"02053060150000"</f>
        <v>02053060150000</v>
      </c>
      <c r="BT1476" s="1" t="s">
        <v>14474</v>
      </c>
      <c r="BX1476" s="1">
        <v>34</v>
      </c>
      <c r="BY1476" s="1">
        <v>34</v>
      </c>
      <c r="BZ1476" s="1">
        <v>117</v>
      </c>
      <c r="CB1476" s="1" t="str">
        <f t="shared" ref="CB1476:CC1476" si="1127">""</f>
        <v/>
      </c>
      <c r="CC1476" s="1" t="str">
        <f t="shared" si="1127"/>
        <v/>
      </c>
      <c r="CG1476" s="1" t="s">
        <v>4062</v>
      </c>
      <c r="CH1476" s="1" t="s">
        <v>219</v>
      </c>
      <c r="CI1476" s="1" t="s">
        <v>220</v>
      </c>
      <c r="CK1476" s="1" t="s">
        <v>228</v>
      </c>
      <c r="CL1476" s="1" t="s">
        <v>277</v>
      </c>
      <c r="CM1476" s="1" t="s">
        <v>220</v>
      </c>
      <c r="CP1476" s="1" t="s">
        <v>224</v>
      </c>
      <c r="CS1476" s="1" t="s">
        <v>315</v>
      </c>
      <c r="CT1476" s="1" t="s">
        <v>277</v>
      </c>
      <c r="CU1476" s="1" t="s">
        <v>220</v>
      </c>
      <c r="CX1476" s="1" t="s">
        <v>224</v>
      </c>
      <c r="DB1476" s="1" t="s">
        <v>224</v>
      </c>
      <c r="DE1476" s="1" t="s">
        <v>379</v>
      </c>
      <c r="DF1476" s="1" t="s">
        <v>219</v>
      </c>
      <c r="DG1476" s="1" t="s">
        <v>226</v>
      </c>
      <c r="DJ1476" s="1" t="s">
        <v>224</v>
      </c>
      <c r="DS1476" s="1" t="s">
        <v>230</v>
      </c>
      <c r="DW1476" s="1" t="s">
        <v>230</v>
      </c>
      <c r="EA1476" s="1" t="s">
        <v>230</v>
      </c>
      <c r="EE1476" s="1" t="s">
        <v>230</v>
      </c>
      <c r="EI1476" s="1" t="s">
        <v>230</v>
      </c>
      <c r="EL1476" s="1" t="s">
        <v>382</v>
      </c>
      <c r="EM1476" s="1" t="s">
        <v>319</v>
      </c>
      <c r="EN1476" s="1" t="s">
        <v>282</v>
      </c>
      <c r="EO1476" s="1" t="s">
        <v>234</v>
      </c>
      <c r="EQ1476" s="1" t="s">
        <v>1094</v>
      </c>
      <c r="ER1476" s="1" t="s">
        <v>1249</v>
      </c>
      <c r="EW1476" s="1" t="s">
        <v>210</v>
      </c>
      <c r="EZ1476" s="1" t="s">
        <v>287</v>
      </c>
      <c r="FD1476" s="1" t="s">
        <v>246</v>
      </c>
      <c r="FE1476" s="1" t="s">
        <v>472</v>
      </c>
      <c r="FF1476" s="1" t="s">
        <v>248</v>
      </c>
      <c r="FH1476" s="1" t="s">
        <v>442</v>
      </c>
      <c r="FJ1476" s="1" t="s">
        <v>2046</v>
      </c>
      <c r="FL1476" s="1" t="s">
        <v>358</v>
      </c>
      <c r="FM1476" s="1" t="s">
        <v>252</v>
      </c>
      <c r="FN1476" s="1" t="s">
        <v>213</v>
      </c>
      <c r="FO1476" s="1" t="s">
        <v>213</v>
      </c>
      <c r="FQ1476" s="1" t="s">
        <v>14475</v>
      </c>
      <c r="FR1476" s="1" t="s">
        <v>210</v>
      </c>
      <c r="FS1476" s="1" t="s">
        <v>14476</v>
      </c>
      <c r="FT1476" s="1" t="s">
        <v>520</v>
      </c>
      <c r="FU1476" s="1" t="s">
        <v>204</v>
      </c>
      <c r="FW1476" s="1" t="s">
        <v>618</v>
      </c>
      <c r="FX1476" s="1">
        <v>2643</v>
      </c>
      <c r="FY1476" s="1" t="s">
        <v>619</v>
      </c>
      <c r="FZ1476" s="1" t="s">
        <v>14477</v>
      </c>
      <c r="GA1476" s="1">
        <v>16357</v>
      </c>
      <c r="GB1476" s="1" t="s">
        <v>14478</v>
      </c>
      <c r="GE1476" s="1" t="s">
        <v>210</v>
      </c>
      <c r="GI1476" s="1" t="s">
        <v>213</v>
      </c>
      <c r="GJ1476" s="1" t="s">
        <v>260</v>
      </c>
      <c r="GK1476" s="1" t="s">
        <v>210</v>
      </c>
      <c r="GL1476" s="2">
        <v>42150</v>
      </c>
      <c r="GM1476" s="1" t="s">
        <v>14479</v>
      </c>
    </row>
    <row r="1477" spans="1:195">
      <c r="A1477" s="1">
        <v>94500</v>
      </c>
      <c r="B1477" s="1" t="s">
        <v>195</v>
      </c>
      <c r="C1477" s="1" t="str">
        <f>"08875136"</f>
        <v>08875136</v>
      </c>
      <c r="D1477" s="1" t="s">
        <v>196</v>
      </c>
      <c r="F1477" s="1" t="str">
        <f>"61"</f>
        <v>61</v>
      </c>
      <c r="G1477" s="2">
        <v>42092</v>
      </c>
      <c r="H1477" s="1">
        <v>99500</v>
      </c>
      <c r="I1477" s="1">
        <v>99500</v>
      </c>
      <c r="J1477" s="1">
        <v>94500</v>
      </c>
      <c r="K1477" s="2">
        <v>42092</v>
      </c>
      <c r="L1477" s="1">
        <v>9</v>
      </c>
      <c r="M1477" s="2">
        <v>42100</v>
      </c>
      <c r="N1477" s="1">
        <v>9</v>
      </c>
      <c r="O1477" s="2">
        <v>42100</v>
      </c>
      <c r="P1477" s="1">
        <v>8098</v>
      </c>
      <c r="Q1477" s="1" t="s">
        <v>302</v>
      </c>
      <c r="R1477" s="2">
        <v>42118</v>
      </c>
      <c r="S1477" s="1">
        <v>84598</v>
      </c>
      <c r="U1477" s="1">
        <v>1006</v>
      </c>
      <c r="V1477" s="1" t="s">
        <v>14480</v>
      </c>
      <c r="W1477" s="1" t="s">
        <v>504</v>
      </c>
      <c r="X1477" s="1">
        <v>9</v>
      </c>
      <c r="Y1477" s="1">
        <v>12</v>
      </c>
      <c r="Z1477" s="1" t="s">
        <v>370</v>
      </c>
      <c r="AA1477" s="1" t="s">
        <v>505</v>
      </c>
      <c r="AB1477" s="1">
        <v>60061</v>
      </c>
      <c r="AE1477" s="1" t="s">
        <v>14481</v>
      </c>
      <c r="AF1477" s="1">
        <v>1979</v>
      </c>
      <c r="AG1477" s="1" t="s">
        <v>204</v>
      </c>
      <c r="AH1477" s="1" t="s">
        <v>508</v>
      </c>
      <c r="AI1477" s="1" t="s">
        <v>509</v>
      </c>
      <c r="AJ1477" s="1" t="s">
        <v>1693</v>
      </c>
      <c r="AL1477" s="1">
        <v>5</v>
      </c>
      <c r="AM1477" s="1">
        <v>2</v>
      </c>
      <c r="AN1477" s="1">
        <v>1</v>
      </c>
      <c r="AO1477" s="1">
        <v>1</v>
      </c>
      <c r="AP1477" s="1" t="s">
        <v>210</v>
      </c>
      <c r="AR1477" s="1" t="s">
        <v>210</v>
      </c>
      <c r="AS1477" s="1" t="s">
        <v>204</v>
      </c>
      <c r="AT1477" s="1" t="s">
        <v>271</v>
      </c>
      <c r="AV1477" s="1">
        <v>0</v>
      </c>
      <c r="AW1477" s="1" t="s">
        <v>204</v>
      </c>
      <c r="AX1477" s="1" t="s">
        <v>212</v>
      </c>
      <c r="AZ1477" s="1">
        <v>1741.66</v>
      </c>
      <c r="BA1477" s="1">
        <v>2013</v>
      </c>
      <c r="BE1477" s="1">
        <v>948</v>
      </c>
      <c r="BF1477" s="1">
        <v>3</v>
      </c>
      <c r="BG1477" s="1">
        <v>0</v>
      </c>
      <c r="BL1477" s="1">
        <v>270</v>
      </c>
      <c r="BM1477" s="1" t="s">
        <v>413</v>
      </c>
      <c r="BN1477" s="1" t="s">
        <v>213</v>
      </c>
      <c r="BO1477" s="1">
        <v>0</v>
      </c>
      <c r="BP1477" s="1" t="s">
        <v>204</v>
      </c>
      <c r="BR1477" s="1" t="str">
        <f>"11324092150000"</f>
        <v>11324092150000</v>
      </c>
      <c r="BT1477" s="1" t="s">
        <v>14482</v>
      </c>
      <c r="BW1477" s="1" t="s">
        <v>514</v>
      </c>
      <c r="BX1477" s="1">
        <v>73</v>
      </c>
      <c r="BY1477" s="1">
        <v>73</v>
      </c>
      <c r="BZ1477" s="1">
        <v>128</v>
      </c>
      <c r="CB1477" s="1" t="str">
        <f t="shared" ref="CB1477:CC1477" si="1128">""</f>
        <v/>
      </c>
      <c r="CC1477" s="1" t="str">
        <f t="shared" si="1128"/>
        <v/>
      </c>
      <c r="CG1477" s="1" t="s">
        <v>1615</v>
      </c>
      <c r="CH1477" s="1" t="s">
        <v>219</v>
      </c>
      <c r="CI1477" s="1" t="s">
        <v>220</v>
      </c>
      <c r="CJ1477" s="1" t="s">
        <v>343</v>
      </c>
      <c r="CK1477" s="1" t="s">
        <v>344</v>
      </c>
      <c r="CL1477" s="1" t="s">
        <v>219</v>
      </c>
      <c r="CM1477" s="1" t="s">
        <v>220</v>
      </c>
      <c r="CN1477" s="1" t="s">
        <v>343</v>
      </c>
      <c r="CO1477" s="1" t="s">
        <v>629</v>
      </c>
      <c r="CP1477" s="1" t="s">
        <v>219</v>
      </c>
      <c r="CQ1477" s="1" t="s">
        <v>220</v>
      </c>
      <c r="CR1477" s="1" t="s">
        <v>343</v>
      </c>
      <c r="CS1477" s="1" t="s">
        <v>837</v>
      </c>
      <c r="CT1477" s="1" t="s">
        <v>219</v>
      </c>
      <c r="CU1477" s="1" t="s">
        <v>220</v>
      </c>
      <c r="CV1477" s="1" t="s">
        <v>343</v>
      </c>
      <c r="CX1477" s="1" t="s">
        <v>224</v>
      </c>
      <c r="DB1477" s="1" t="s">
        <v>224</v>
      </c>
      <c r="DE1477" s="1" t="s">
        <v>346</v>
      </c>
      <c r="DF1477" s="1" t="s">
        <v>219</v>
      </c>
      <c r="DG1477" s="1" t="s">
        <v>342</v>
      </c>
      <c r="DJ1477" s="1" t="s">
        <v>224</v>
      </c>
      <c r="DS1477" s="1" t="s">
        <v>230</v>
      </c>
      <c r="DW1477" s="1" t="s">
        <v>230</v>
      </c>
      <c r="EA1477" s="1" t="s">
        <v>230</v>
      </c>
      <c r="EE1477" s="1" t="s">
        <v>230</v>
      </c>
      <c r="EI1477" s="1" t="s">
        <v>230</v>
      </c>
      <c r="EL1477" s="1" t="s">
        <v>231</v>
      </c>
      <c r="EM1477" s="1" t="s">
        <v>319</v>
      </c>
      <c r="EN1477" s="1" t="s">
        <v>1158</v>
      </c>
      <c r="EO1477" s="1" t="s">
        <v>234</v>
      </c>
      <c r="EP1477" s="1" t="s">
        <v>14483</v>
      </c>
      <c r="EQ1477" s="1" t="s">
        <v>14484</v>
      </c>
      <c r="ER1477" s="1" t="s">
        <v>210</v>
      </c>
      <c r="EV1477" s="1" t="s">
        <v>240</v>
      </c>
      <c r="EW1477" s="1" t="s">
        <v>8090</v>
      </c>
      <c r="EZ1477" s="1" t="s">
        <v>287</v>
      </c>
      <c r="FD1477" s="1" t="s">
        <v>246</v>
      </c>
      <c r="FE1477" s="1" t="s">
        <v>247</v>
      </c>
      <c r="FF1477" s="1" t="s">
        <v>248</v>
      </c>
      <c r="FH1477" s="1" t="s">
        <v>249</v>
      </c>
      <c r="FK1477" s="1" t="s">
        <v>6240</v>
      </c>
      <c r="FL1477" s="1" t="s">
        <v>414</v>
      </c>
      <c r="FM1477" s="1" t="s">
        <v>252</v>
      </c>
      <c r="FN1477" s="1" t="s">
        <v>213</v>
      </c>
      <c r="FO1477" s="1" t="s">
        <v>213</v>
      </c>
      <c r="FQ1477" s="1" t="s">
        <v>14485</v>
      </c>
      <c r="FR1477" s="1" t="s">
        <v>210</v>
      </c>
      <c r="FS1477" s="1" t="s">
        <v>14486</v>
      </c>
      <c r="FT1477" s="1" t="s">
        <v>295</v>
      </c>
      <c r="FU1477" s="1" t="s">
        <v>204</v>
      </c>
      <c r="FW1477" s="1" t="s">
        <v>1077</v>
      </c>
      <c r="FX1477" s="1">
        <v>2752</v>
      </c>
      <c r="FY1477" s="1" t="s">
        <v>1078</v>
      </c>
      <c r="FZ1477" s="1" t="s">
        <v>14487</v>
      </c>
      <c r="GA1477" s="1">
        <v>20825</v>
      </c>
      <c r="GB1477" s="1" t="s">
        <v>1078</v>
      </c>
      <c r="GD1477" s="1" t="s">
        <v>14488</v>
      </c>
      <c r="GE1477" s="1" t="s">
        <v>210</v>
      </c>
      <c r="GI1477" s="1" t="s">
        <v>213</v>
      </c>
      <c r="GJ1477" s="1" t="s">
        <v>260</v>
      </c>
      <c r="GK1477" s="1" t="s">
        <v>210</v>
      </c>
      <c r="GL1477" s="2">
        <v>42121</v>
      </c>
    </row>
    <row r="1478" spans="1:195">
      <c r="A1478" s="1">
        <v>177500</v>
      </c>
      <c r="B1478" s="1" t="s">
        <v>195</v>
      </c>
      <c r="C1478" s="1" t="str">
        <f>"08877668"</f>
        <v>08877668</v>
      </c>
      <c r="D1478" s="1" t="s">
        <v>196</v>
      </c>
      <c r="F1478" s="1" t="str">
        <f>"126"</f>
        <v>126</v>
      </c>
      <c r="G1478" s="2">
        <v>42095</v>
      </c>
      <c r="H1478" s="1">
        <v>179900</v>
      </c>
      <c r="I1478" s="1">
        <v>179900</v>
      </c>
      <c r="J1478" s="1">
        <v>177500</v>
      </c>
      <c r="K1478" s="2">
        <v>42094</v>
      </c>
      <c r="L1478" s="1">
        <v>3</v>
      </c>
      <c r="M1478" s="2">
        <v>42096</v>
      </c>
      <c r="N1478" s="1">
        <v>3</v>
      </c>
      <c r="O1478" s="2">
        <v>42096</v>
      </c>
      <c r="P1478" s="1">
        <v>24330</v>
      </c>
      <c r="Q1478" s="1" t="s">
        <v>197</v>
      </c>
      <c r="R1478" s="2">
        <v>42142</v>
      </c>
      <c r="S1478" s="1">
        <v>230544</v>
      </c>
      <c r="U1478" s="1">
        <v>2</v>
      </c>
      <c r="V1478" s="1" t="s">
        <v>3317</v>
      </c>
      <c r="W1478" s="1" t="s">
        <v>3006</v>
      </c>
      <c r="X1478" s="1">
        <v>201</v>
      </c>
      <c r="Y1478" s="1">
        <v>60</v>
      </c>
      <c r="Z1478" s="1" t="s">
        <v>249</v>
      </c>
      <c r="AA1478" s="1" t="s">
        <v>3169</v>
      </c>
      <c r="AB1478" s="1">
        <v>60126</v>
      </c>
      <c r="AE1478" s="1" t="s">
        <v>14489</v>
      </c>
      <c r="AF1478" s="1">
        <v>1975</v>
      </c>
      <c r="AG1478" s="1" t="s">
        <v>213</v>
      </c>
      <c r="AH1478" s="1" t="s">
        <v>3172</v>
      </c>
      <c r="AI1478" s="1" t="s">
        <v>206</v>
      </c>
      <c r="AJ1478" s="1" t="s">
        <v>1608</v>
      </c>
      <c r="AL1478" s="1">
        <v>5</v>
      </c>
      <c r="AM1478" s="1">
        <v>2</v>
      </c>
      <c r="AN1478" s="1">
        <v>2</v>
      </c>
      <c r="AO1478" s="1">
        <v>0</v>
      </c>
      <c r="AP1478" s="1" t="s">
        <v>209</v>
      </c>
      <c r="AR1478" s="1" t="s">
        <v>210</v>
      </c>
      <c r="AS1478" s="1" t="s">
        <v>204</v>
      </c>
      <c r="AT1478" s="1" t="s">
        <v>211</v>
      </c>
      <c r="AU1478" s="1">
        <v>1</v>
      </c>
      <c r="AW1478" s="1" t="s">
        <v>204</v>
      </c>
      <c r="AX1478" s="1">
        <v>0</v>
      </c>
      <c r="AZ1478" s="1">
        <v>1833</v>
      </c>
      <c r="BA1478" s="1">
        <v>2013</v>
      </c>
      <c r="BE1478" s="1">
        <v>1568</v>
      </c>
      <c r="BF1478" s="1">
        <v>2</v>
      </c>
      <c r="BG1478" s="1">
        <v>30</v>
      </c>
      <c r="BL1478" s="1">
        <v>448</v>
      </c>
      <c r="BM1478" s="1" t="s">
        <v>413</v>
      </c>
      <c r="BN1478" s="1" t="s">
        <v>213</v>
      </c>
      <c r="BO1478" s="1">
        <v>20</v>
      </c>
      <c r="BP1478" s="1" t="s">
        <v>204</v>
      </c>
      <c r="BR1478" s="1" t="str">
        <f>"0614414011"</f>
        <v>0614414011</v>
      </c>
      <c r="BT1478" s="1" t="s">
        <v>14490</v>
      </c>
      <c r="BU1478" s="1" t="s">
        <v>3822</v>
      </c>
      <c r="BV1478" s="1" t="s">
        <v>3315</v>
      </c>
      <c r="BW1478" s="1" t="s">
        <v>2201</v>
      </c>
      <c r="BX1478" s="1">
        <v>48</v>
      </c>
      <c r="BY1478" s="1">
        <v>48</v>
      </c>
      <c r="BZ1478" s="1">
        <v>88</v>
      </c>
      <c r="CB1478" s="1" t="str">
        <f t="shared" ref="CB1478:CC1478" si="1129">""</f>
        <v/>
      </c>
      <c r="CC1478" s="1" t="str">
        <f t="shared" si="1129"/>
        <v/>
      </c>
      <c r="CD1478" s="1">
        <v>16</v>
      </c>
      <c r="CG1478" s="1" t="s">
        <v>8527</v>
      </c>
      <c r="CH1478" s="1" t="s">
        <v>219</v>
      </c>
      <c r="CI1478" s="1" t="s">
        <v>220</v>
      </c>
      <c r="CJ1478" s="1" t="s">
        <v>252</v>
      </c>
      <c r="CK1478" s="1" t="s">
        <v>581</v>
      </c>
      <c r="CL1478" s="1" t="s">
        <v>219</v>
      </c>
      <c r="CM1478" s="1" t="s">
        <v>220</v>
      </c>
      <c r="CN1478" s="1" t="s">
        <v>252</v>
      </c>
      <c r="CO1478" s="1" t="s">
        <v>972</v>
      </c>
      <c r="CP1478" s="1" t="s">
        <v>219</v>
      </c>
      <c r="CQ1478" s="1" t="s">
        <v>220</v>
      </c>
      <c r="CR1478" s="1" t="s">
        <v>252</v>
      </c>
      <c r="CS1478" s="1" t="s">
        <v>1046</v>
      </c>
      <c r="CT1478" s="1" t="s">
        <v>219</v>
      </c>
      <c r="CU1478" s="1" t="s">
        <v>220</v>
      </c>
      <c r="CV1478" s="1" t="s">
        <v>252</v>
      </c>
      <c r="CX1478" s="1" t="s">
        <v>224</v>
      </c>
      <c r="DB1478" s="1" t="s">
        <v>224</v>
      </c>
      <c r="DE1478" s="1" t="s">
        <v>540</v>
      </c>
      <c r="DF1478" s="1" t="s">
        <v>219</v>
      </c>
      <c r="DG1478" s="1" t="s">
        <v>347</v>
      </c>
      <c r="DH1478" s="1" t="s">
        <v>252</v>
      </c>
      <c r="DJ1478" s="1" t="s">
        <v>224</v>
      </c>
      <c r="DM1478" s="1" t="s">
        <v>838</v>
      </c>
      <c r="DR1478" s="1" t="s">
        <v>14491</v>
      </c>
      <c r="DS1478" s="1" t="s">
        <v>219</v>
      </c>
      <c r="DT1478" s="1" t="s">
        <v>347</v>
      </c>
      <c r="DU1478" s="1" t="s">
        <v>210</v>
      </c>
      <c r="DW1478" s="1" t="s">
        <v>230</v>
      </c>
      <c r="EA1478" s="1" t="s">
        <v>230</v>
      </c>
      <c r="EE1478" s="1" t="s">
        <v>230</v>
      </c>
      <c r="EI1478" s="1" t="s">
        <v>230</v>
      </c>
      <c r="EL1478" s="1" t="s">
        <v>231</v>
      </c>
      <c r="EM1478" s="1" t="s">
        <v>232</v>
      </c>
      <c r="EN1478" s="1" t="s">
        <v>282</v>
      </c>
      <c r="EO1478" s="1" t="s">
        <v>347</v>
      </c>
      <c r="EP1478" s="1" t="s">
        <v>14492</v>
      </c>
      <c r="ER1478" s="1" t="s">
        <v>210</v>
      </c>
      <c r="EV1478" s="1" t="s">
        <v>324</v>
      </c>
      <c r="EW1478" s="1" t="s">
        <v>2947</v>
      </c>
      <c r="EZ1478" s="1" t="s">
        <v>838</v>
      </c>
      <c r="FD1478" s="1" t="s">
        <v>246</v>
      </c>
      <c r="FE1478" s="1" t="s">
        <v>247</v>
      </c>
      <c r="FF1478" s="1" t="s">
        <v>248</v>
      </c>
      <c r="FH1478" s="1" t="s">
        <v>249</v>
      </c>
      <c r="FI1478" s="1" t="s">
        <v>848</v>
      </c>
      <c r="FL1478" s="1" t="s">
        <v>358</v>
      </c>
      <c r="FM1478" s="1" t="s">
        <v>252</v>
      </c>
      <c r="FN1478" s="1" t="s">
        <v>213</v>
      </c>
      <c r="FO1478" s="1" t="s">
        <v>213</v>
      </c>
      <c r="FQ1478" s="1" t="s">
        <v>793</v>
      </c>
      <c r="FR1478" s="1" t="s">
        <v>210</v>
      </c>
      <c r="FS1478" s="1" t="s">
        <v>14493</v>
      </c>
      <c r="FT1478" s="1" t="s">
        <v>295</v>
      </c>
      <c r="FU1478" s="1" t="s">
        <v>204</v>
      </c>
      <c r="FW1478" s="1" t="s">
        <v>915</v>
      </c>
      <c r="FX1478" s="1">
        <v>24042</v>
      </c>
      <c r="FY1478" s="1" t="s">
        <v>8521</v>
      </c>
      <c r="FZ1478" s="1" t="s">
        <v>14494</v>
      </c>
      <c r="GA1478" s="1">
        <v>219753</v>
      </c>
      <c r="GB1478" s="1" t="s">
        <v>14495</v>
      </c>
      <c r="GE1478" s="1" t="s">
        <v>1120</v>
      </c>
      <c r="GH1478" s="1" t="s">
        <v>421</v>
      </c>
      <c r="GI1478" s="1" t="s">
        <v>213</v>
      </c>
      <c r="GJ1478" s="1" t="s">
        <v>260</v>
      </c>
      <c r="GK1478" s="1" t="s">
        <v>210</v>
      </c>
      <c r="GL1478" s="2">
        <v>42144</v>
      </c>
      <c r="GM1478" s="1" t="s">
        <v>14496</v>
      </c>
    </row>
    <row r="1479" spans="1:195">
      <c r="A1479" s="1">
        <v>187000</v>
      </c>
      <c r="B1479" s="1" t="s">
        <v>195</v>
      </c>
      <c r="C1479" s="1" t="str">
        <f>"08880521"</f>
        <v>08880521</v>
      </c>
      <c r="D1479" s="1" t="s">
        <v>196</v>
      </c>
      <c r="F1479" s="1" t="str">
        <f>"174"</f>
        <v>174</v>
      </c>
      <c r="G1479" s="2">
        <v>42097</v>
      </c>
      <c r="H1479" s="1">
        <v>198000</v>
      </c>
      <c r="I1479" s="1">
        <v>198000</v>
      </c>
      <c r="J1479" s="1">
        <v>187000</v>
      </c>
      <c r="K1479" s="2">
        <v>42097</v>
      </c>
      <c r="L1479" s="1">
        <v>4</v>
      </c>
      <c r="M1479" s="2">
        <v>42100</v>
      </c>
      <c r="N1479" s="1">
        <v>4</v>
      </c>
      <c r="O1479" s="2">
        <v>42100</v>
      </c>
      <c r="P1479" s="1">
        <v>25266</v>
      </c>
      <c r="Q1479" s="1" t="s">
        <v>302</v>
      </c>
      <c r="R1479" s="2">
        <v>42110</v>
      </c>
      <c r="S1479" s="1">
        <v>259155</v>
      </c>
      <c r="U1479" s="1">
        <v>309</v>
      </c>
      <c r="V1479" s="1" t="s">
        <v>14497</v>
      </c>
      <c r="W1479" s="1" t="s">
        <v>1056</v>
      </c>
      <c r="Y1479" s="1">
        <v>4</v>
      </c>
      <c r="Z1479" s="1" t="s">
        <v>370</v>
      </c>
      <c r="AA1479" s="1" t="s">
        <v>879</v>
      </c>
      <c r="AB1479" s="1">
        <v>60175</v>
      </c>
      <c r="AD1479" s="1" t="s">
        <v>14498</v>
      </c>
      <c r="AE1479" s="1" t="s">
        <v>14499</v>
      </c>
      <c r="AF1479" s="1">
        <v>2000</v>
      </c>
      <c r="AG1479" s="1" t="s">
        <v>204</v>
      </c>
      <c r="AH1479" s="1" t="s">
        <v>883</v>
      </c>
      <c r="AI1479" s="1" t="s">
        <v>665</v>
      </c>
      <c r="AJ1479" s="1" t="s">
        <v>883</v>
      </c>
      <c r="AK1479" s="1" t="s">
        <v>14500</v>
      </c>
      <c r="AL1479" s="1">
        <v>7</v>
      </c>
      <c r="AM1479" s="1">
        <v>2</v>
      </c>
      <c r="AN1479" s="1">
        <v>2</v>
      </c>
      <c r="AO1479" s="1">
        <v>1</v>
      </c>
      <c r="AP1479" s="1" t="s">
        <v>209</v>
      </c>
      <c r="AQ1479" s="1">
        <v>1</v>
      </c>
      <c r="AR1479" s="1" t="s">
        <v>2275</v>
      </c>
      <c r="AS1479" s="1" t="s">
        <v>204</v>
      </c>
      <c r="AT1479" s="1" t="s">
        <v>211</v>
      </c>
      <c r="AU1479" s="1">
        <v>2</v>
      </c>
      <c r="AW1479" s="1" t="s">
        <v>204</v>
      </c>
      <c r="AX1479" s="1" t="s">
        <v>212</v>
      </c>
      <c r="AZ1479" s="1">
        <v>5549.92</v>
      </c>
      <c r="BA1479" s="1">
        <v>2013</v>
      </c>
      <c r="BB1479" s="1" t="s">
        <v>210</v>
      </c>
      <c r="BE1479" s="1">
        <v>1868</v>
      </c>
      <c r="BF1479" s="1">
        <v>1</v>
      </c>
      <c r="BG1479" s="1">
        <v>0</v>
      </c>
      <c r="BL1479" s="1">
        <v>196</v>
      </c>
      <c r="BM1479" s="1" t="s">
        <v>204</v>
      </c>
      <c r="BN1479" s="1" t="s">
        <v>213</v>
      </c>
      <c r="BO1479" s="1">
        <v>999</v>
      </c>
      <c r="BP1479" s="1" t="s">
        <v>204</v>
      </c>
      <c r="BR1479" s="1" t="str">
        <f>"0932126025"</f>
        <v>0932126025</v>
      </c>
      <c r="BT1479" s="1" t="s">
        <v>14501</v>
      </c>
      <c r="BX1479" s="1">
        <v>303</v>
      </c>
      <c r="BY1479" s="1">
        <v>303</v>
      </c>
      <c r="BZ1479" s="1">
        <v>303</v>
      </c>
      <c r="CB1479" s="1" t="str">
        <f>"2"</f>
        <v>2</v>
      </c>
      <c r="CC1479" s="1" t="str">
        <f>"0"</f>
        <v>0</v>
      </c>
      <c r="CD1479" s="1">
        <v>37</v>
      </c>
      <c r="CE1479" s="1">
        <v>0</v>
      </c>
      <c r="CG1479" s="1" t="s">
        <v>669</v>
      </c>
      <c r="CH1479" s="1" t="s">
        <v>219</v>
      </c>
      <c r="CI1479" s="1" t="s">
        <v>438</v>
      </c>
      <c r="CJ1479" s="1" t="s">
        <v>343</v>
      </c>
      <c r="CK1479" s="1" t="s">
        <v>669</v>
      </c>
      <c r="CL1479" s="1" t="s">
        <v>277</v>
      </c>
      <c r="CM1479" s="1" t="s">
        <v>220</v>
      </c>
      <c r="CN1479" s="1" t="s">
        <v>343</v>
      </c>
      <c r="CO1479" s="1" t="s">
        <v>318</v>
      </c>
      <c r="CP1479" s="1" t="s">
        <v>219</v>
      </c>
      <c r="CQ1479" s="1" t="s">
        <v>438</v>
      </c>
      <c r="CR1479" s="1" t="s">
        <v>210</v>
      </c>
      <c r="CS1479" s="1" t="s">
        <v>602</v>
      </c>
      <c r="CT1479" s="1" t="s">
        <v>277</v>
      </c>
      <c r="CU1479" s="1" t="s">
        <v>220</v>
      </c>
      <c r="CV1479" s="1" t="s">
        <v>343</v>
      </c>
      <c r="CX1479" s="1" t="s">
        <v>224</v>
      </c>
      <c r="DB1479" s="1" t="s">
        <v>224</v>
      </c>
      <c r="DE1479" s="1" t="s">
        <v>1358</v>
      </c>
      <c r="DF1479" s="1" t="s">
        <v>219</v>
      </c>
      <c r="DG1479" s="1" t="s">
        <v>438</v>
      </c>
      <c r="DH1479" s="1" t="s">
        <v>343</v>
      </c>
      <c r="DI1479" s="1" t="s">
        <v>669</v>
      </c>
      <c r="DJ1479" s="1" t="s">
        <v>219</v>
      </c>
      <c r="DK1479" s="1" t="s">
        <v>220</v>
      </c>
      <c r="DL1479" s="1" t="s">
        <v>343</v>
      </c>
      <c r="DM1479" s="1" t="s">
        <v>464</v>
      </c>
      <c r="DR1479" s="1" t="s">
        <v>346</v>
      </c>
      <c r="DS1479" s="1" t="s">
        <v>277</v>
      </c>
      <c r="DT1479" s="1" t="s">
        <v>220</v>
      </c>
      <c r="DU1479" s="1" t="s">
        <v>210</v>
      </c>
      <c r="DW1479" s="1" t="s">
        <v>230</v>
      </c>
      <c r="EA1479" s="1" t="s">
        <v>230</v>
      </c>
      <c r="EE1479" s="1" t="s">
        <v>230</v>
      </c>
      <c r="EI1479" s="1" t="s">
        <v>230</v>
      </c>
      <c r="EL1479" s="1" t="s">
        <v>466</v>
      </c>
      <c r="EM1479" s="1" t="s">
        <v>319</v>
      </c>
      <c r="EN1479" s="1" t="s">
        <v>282</v>
      </c>
      <c r="EO1479" s="1" t="s">
        <v>234</v>
      </c>
      <c r="EQ1479" s="1" t="s">
        <v>1094</v>
      </c>
      <c r="ER1479" s="1" t="s">
        <v>789</v>
      </c>
      <c r="ES1479" s="1" t="s">
        <v>1868</v>
      </c>
      <c r="EU1479" s="1" t="s">
        <v>712</v>
      </c>
      <c r="EV1479" s="1" t="s">
        <v>324</v>
      </c>
      <c r="EW1479" s="1" t="s">
        <v>353</v>
      </c>
      <c r="EY1479" s="1" t="s">
        <v>242</v>
      </c>
      <c r="EZ1479" s="1" t="s">
        <v>464</v>
      </c>
      <c r="FA1479" s="1" t="s">
        <v>14502</v>
      </c>
      <c r="FB1479" s="1" t="s">
        <v>289</v>
      </c>
      <c r="FD1479" s="1" t="s">
        <v>246</v>
      </c>
      <c r="FE1479" s="1" t="s">
        <v>472</v>
      </c>
      <c r="FF1479" s="1" t="s">
        <v>248</v>
      </c>
      <c r="FG1479" s="1" t="s">
        <v>871</v>
      </c>
      <c r="FH1479" s="1" t="s">
        <v>550</v>
      </c>
      <c r="FI1479" s="1" t="s">
        <v>357</v>
      </c>
      <c r="FL1479" s="1" t="s">
        <v>358</v>
      </c>
      <c r="FM1479" s="1" t="s">
        <v>252</v>
      </c>
      <c r="FN1479" s="1" t="s">
        <v>213</v>
      </c>
      <c r="FO1479" s="1" t="s">
        <v>213</v>
      </c>
      <c r="FQ1479" s="1" t="s">
        <v>14503</v>
      </c>
      <c r="FR1479" s="1" t="s">
        <v>210</v>
      </c>
      <c r="FS1479" s="1" t="s">
        <v>14504</v>
      </c>
      <c r="FT1479" s="1" t="s">
        <v>362</v>
      </c>
      <c r="FU1479" s="1" t="s">
        <v>204</v>
      </c>
      <c r="FW1479" s="1" t="s">
        <v>4666</v>
      </c>
      <c r="FX1479" s="1">
        <v>25494</v>
      </c>
      <c r="FY1479" s="1" t="s">
        <v>4667</v>
      </c>
      <c r="FZ1479" s="1" t="s">
        <v>14505</v>
      </c>
      <c r="GA1479" s="1">
        <v>241784</v>
      </c>
      <c r="GB1479" s="1" t="s">
        <v>14506</v>
      </c>
      <c r="GE1479" s="1" t="s">
        <v>210</v>
      </c>
      <c r="GI1479" s="1" t="s">
        <v>204</v>
      </c>
      <c r="GJ1479" s="1" t="s">
        <v>300</v>
      </c>
      <c r="GK1479" s="1" t="s">
        <v>210</v>
      </c>
      <c r="GL1479" s="2">
        <v>42116</v>
      </c>
      <c r="GM1479" s="1" t="s">
        <v>14507</v>
      </c>
    </row>
    <row r="1480" spans="1:195">
      <c r="A1480" s="1">
        <v>250000</v>
      </c>
      <c r="B1480" s="1" t="s">
        <v>195</v>
      </c>
      <c r="C1480" s="1" t="str">
        <f>"08872241"</f>
        <v>08872241</v>
      </c>
      <c r="D1480" s="1" t="s">
        <v>196</v>
      </c>
      <c r="F1480" s="1" t="str">
        <f>"101"</f>
        <v>101</v>
      </c>
      <c r="G1480" s="2">
        <v>42089</v>
      </c>
      <c r="H1480" s="1">
        <v>259850</v>
      </c>
      <c r="I1480" s="1">
        <v>259850</v>
      </c>
      <c r="J1480" s="1">
        <v>250000</v>
      </c>
      <c r="K1480" s="2">
        <v>42089</v>
      </c>
      <c r="L1480" s="1">
        <v>6</v>
      </c>
      <c r="M1480" s="2">
        <v>42094</v>
      </c>
      <c r="N1480" s="1">
        <v>6</v>
      </c>
      <c r="O1480" s="2">
        <v>42094</v>
      </c>
      <c r="P1480" s="1">
        <v>1109</v>
      </c>
      <c r="Q1480" s="1" t="s">
        <v>197</v>
      </c>
      <c r="R1480" s="2">
        <v>42139</v>
      </c>
      <c r="S1480" s="1">
        <v>923543</v>
      </c>
      <c r="U1480" s="1">
        <v>1054</v>
      </c>
      <c r="V1480" s="1" t="s">
        <v>14508</v>
      </c>
      <c r="W1480" s="1" t="s">
        <v>504</v>
      </c>
      <c r="Y1480" s="1">
        <v>1</v>
      </c>
      <c r="Z1480" s="1" t="s">
        <v>200</v>
      </c>
      <c r="AA1480" s="1" t="s">
        <v>2631</v>
      </c>
      <c r="AB1480" s="1">
        <v>60101</v>
      </c>
      <c r="AD1480" s="1" t="s">
        <v>14509</v>
      </c>
      <c r="AE1480" s="1" t="s">
        <v>14510</v>
      </c>
      <c r="AF1480" s="1">
        <v>1988</v>
      </c>
      <c r="AG1480" s="1" t="s">
        <v>204</v>
      </c>
      <c r="AH1480" s="1" t="s">
        <v>1233</v>
      </c>
      <c r="AI1480" s="1" t="s">
        <v>206</v>
      </c>
      <c r="AJ1480" s="1" t="s">
        <v>1233</v>
      </c>
      <c r="AL1480" s="1">
        <v>7</v>
      </c>
      <c r="AM1480" s="1">
        <v>2</v>
      </c>
      <c r="AN1480" s="1">
        <v>2</v>
      </c>
      <c r="AO1480" s="1">
        <v>1</v>
      </c>
      <c r="AP1480" s="1" t="s">
        <v>209</v>
      </c>
      <c r="AQ1480" s="1">
        <v>1</v>
      </c>
      <c r="AR1480" s="1" t="s">
        <v>209</v>
      </c>
      <c r="AS1480" s="1" t="s">
        <v>204</v>
      </c>
      <c r="AT1480" s="1" t="s">
        <v>211</v>
      </c>
      <c r="AU1480" s="1">
        <v>2</v>
      </c>
      <c r="AW1480" s="1" t="s">
        <v>204</v>
      </c>
      <c r="AX1480" s="1" t="s">
        <v>14511</v>
      </c>
      <c r="AZ1480" s="1">
        <v>4651</v>
      </c>
      <c r="BA1480" s="1">
        <v>2013</v>
      </c>
      <c r="BB1480" s="1" t="s">
        <v>599</v>
      </c>
      <c r="BE1480" s="1">
        <v>1820</v>
      </c>
      <c r="BF1480" s="1">
        <v>1</v>
      </c>
      <c r="BG1480" s="1">
        <v>30</v>
      </c>
      <c r="BL1480" s="1">
        <v>120</v>
      </c>
      <c r="BM1480" s="1" t="s">
        <v>204</v>
      </c>
      <c r="BN1480" s="1" t="s">
        <v>213</v>
      </c>
      <c r="BO1480" s="1" t="s">
        <v>14512</v>
      </c>
      <c r="BP1480" s="1" t="s">
        <v>204</v>
      </c>
      <c r="BR1480" s="1" t="str">
        <f>"0320120011"</f>
        <v>0320120011</v>
      </c>
      <c r="BT1480" s="1" t="s">
        <v>14513</v>
      </c>
      <c r="BV1480" s="1" t="s">
        <v>2720</v>
      </c>
      <c r="BW1480" s="1" t="s">
        <v>2721</v>
      </c>
      <c r="BX1480" s="1">
        <v>4</v>
      </c>
      <c r="BY1480" s="1">
        <v>4</v>
      </c>
      <c r="BZ1480" s="1">
        <v>88</v>
      </c>
      <c r="CB1480" s="1" t="str">
        <f t="shared" ref="CB1480:CC1480" si="1130">""</f>
        <v/>
      </c>
      <c r="CC1480" s="1" t="str">
        <f t="shared" si="1130"/>
        <v/>
      </c>
      <c r="CG1480" s="1" t="s">
        <v>1045</v>
      </c>
      <c r="CH1480" s="1" t="s">
        <v>219</v>
      </c>
      <c r="CI1480" s="1" t="s">
        <v>229</v>
      </c>
      <c r="CJ1480" s="1" t="s">
        <v>210</v>
      </c>
      <c r="CK1480" s="1" t="s">
        <v>885</v>
      </c>
      <c r="CL1480" s="1" t="s">
        <v>277</v>
      </c>
      <c r="CM1480" s="1" t="s">
        <v>220</v>
      </c>
      <c r="CN1480" s="1" t="s">
        <v>210</v>
      </c>
      <c r="CO1480" s="1" t="s">
        <v>317</v>
      </c>
      <c r="CP1480" s="1" t="s">
        <v>219</v>
      </c>
      <c r="CQ1480" s="1" t="s">
        <v>229</v>
      </c>
      <c r="CR1480" s="1" t="s">
        <v>210</v>
      </c>
      <c r="CS1480" s="1" t="s">
        <v>437</v>
      </c>
      <c r="CT1480" s="1" t="s">
        <v>277</v>
      </c>
      <c r="CU1480" s="1" t="s">
        <v>220</v>
      </c>
      <c r="CV1480" s="1" t="s">
        <v>210</v>
      </c>
      <c r="CX1480" s="1" t="s">
        <v>224</v>
      </c>
      <c r="DB1480" s="1" t="s">
        <v>224</v>
      </c>
      <c r="DE1480" s="1" t="s">
        <v>278</v>
      </c>
      <c r="DF1480" s="1" t="s">
        <v>219</v>
      </c>
      <c r="DG1480" s="1" t="s">
        <v>229</v>
      </c>
      <c r="DH1480" s="1" t="s">
        <v>210</v>
      </c>
      <c r="DJ1480" s="1" t="s">
        <v>224</v>
      </c>
      <c r="DM1480" s="1" t="s">
        <v>934</v>
      </c>
      <c r="DN1480" s="1" t="s">
        <v>709</v>
      </c>
      <c r="DO1480" s="1" t="s">
        <v>464</v>
      </c>
      <c r="DR1480" s="1" t="s">
        <v>314</v>
      </c>
      <c r="DS1480" s="1" t="s">
        <v>43</v>
      </c>
      <c r="DT1480" s="1" t="s">
        <v>220</v>
      </c>
      <c r="DU1480" s="1" t="s">
        <v>210</v>
      </c>
      <c r="DV1480" s="1" t="s">
        <v>785</v>
      </c>
      <c r="DW1480" s="1" t="s">
        <v>219</v>
      </c>
      <c r="DX1480" s="1" t="s">
        <v>229</v>
      </c>
      <c r="DY1480" s="1" t="s">
        <v>210</v>
      </c>
      <c r="DZ1480" s="1" t="s">
        <v>2138</v>
      </c>
      <c r="EA1480" s="1" t="s">
        <v>277</v>
      </c>
      <c r="EB1480" s="1" t="s">
        <v>220</v>
      </c>
      <c r="EC1480" s="1" t="s">
        <v>210</v>
      </c>
      <c r="EE1480" s="1" t="s">
        <v>230</v>
      </c>
      <c r="EI1480" s="1" t="s">
        <v>230</v>
      </c>
      <c r="EL1480" s="1" t="s">
        <v>542</v>
      </c>
      <c r="EM1480" s="1" t="s">
        <v>730</v>
      </c>
      <c r="EN1480" s="1" t="s">
        <v>282</v>
      </c>
      <c r="EO1480" s="1" t="s">
        <v>234</v>
      </c>
      <c r="EP1480" s="1" t="s">
        <v>4830</v>
      </c>
      <c r="EQ1480" s="1" t="s">
        <v>2188</v>
      </c>
      <c r="ER1480" s="1" t="s">
        <v>544</v>
      </c>
      <c r="ES1480" s="1" t="s">
        <v>493</v>
      </c>
      <c r="EU1480" s="1" t="s">
        <v>712</v>
      </c>
      <c r="EV1480" s="1" t="s">
        <v>324</v>
      </c>
      <c r="EW1480" s="1" t="s">
        <v>867</v>
      </c>
      <c r="EY1480" s="1" t="s">
        <v>790</v>
      </c>
      <c r="EZ1480" s="1" t="s">
        <v>14514</v>
      </c>
      <c r="FA1480" s="1" t="s">
        <v>14515</v>
      </c>
      <c r="FB1480" s="1" t="s">
        <v>289</v>
      </c>
      <c r="FD1480" s="1" t="s">
        <v>246</v>
      </c>
      <c r="FE1480" s="1" t="s">
        <v>975</v>
      </c>
      <c r="FF1480" s="1" t="s">
        <v>248</v>
      </c>
      <c r="FG1480" s="1" t="s">
        <v>2406</v>
      </c>
      <c r="FH1480" s="1" t="s">
        <v>550</v>
      </c>
      <c r="FI1480" s="1" t="s">
        <v>473</v>
      </c>
      <c r="FL1480" s="1" t="s">
        <v>414</v>
      </c>
      <c r="FM1480" s="1" t="s">
        <v>252</v>
      </c>
      <c r="FN1480" s="1" t="s">
        <v>213</v>
      </c>
      <c r="FO1480" s="1" t="s">
        <v>204</v>
      </c>
      <c r="FQ1480" s="1" t="s">
        <v>293</v>
      </c>
      <c r="FR1480" s="1" t="s">
        <v>210</v>
      </c>
      <c r="FS1480" s="1" t="s">
        <v>14516</v>
      </c>
      <c r="FT1480" s="1" t="s">
        <v>1182</v>
      </c>
      <c r="FU1480" s="1" t="s">
        <v>213</v>
      </c>
      <c r="FW1480" s="1" t="s">
        <v>12140</v>
      </c>
      <c r="FX1480" s="1">
        <v>18805</v>
      </c>
      <c r="FY1480" s="1" t="s">
        <v>12141</v>
      </c>
      <c r="FZ1480" s="1" t="s">
        <v>12142</v>
      </c>
      <c r="GA1480" s="1">
        <v>170907</v>
      </c>
      <c r="GB1480" s="1" t="s">
        <v>12143</v>
      </c>
      <c r="GC1480" s="1">
        <v>40076</v>
      </c>
      <c r="GD1480" s="1" t="s">
        <v>12144</v>
      </c>
      <c r="GE1480" s="1" t="s">
        <v>480</v>
      </c>
      <c r="GH1480" s="1" t="s">
        <v>230</v>
      </c>
      <c r="GI1480" s="1" t="s">
        <v>213</v>
      </c>
      <c r="GJ1480" s="1" t="s">
        <v>260</v>
      </c>
      <c r="GK1480" s="1" t="s">
        <v>210</v>
      </c>
      <c r="GL1480" s="2">
        <v>42142</v>
      </c>
      <c r="GM1480" s="1" t="s">
        <v>14517</v>
      </c>
    </row>
    <row r="1481" spans="1:195">
      <c r="A1481" s="1">
        <v>160000</v>
      </c>
      <c r="B1481" s="1" t="s">
        <v>195</v>
      </c>
      <c r="C1481" s="1" t="str">
        <f>"08869911"</f>
        <v>08869911</v>
      </c>
      <c r="D1481" s="1" t="s">
        <v>196</v>
      </c>
      <c r="F1481" s="1" t="str">
        <f>"555"</f>
        <v>555</v>
      </c>
      <c r="G1481" s="2">
        <v>42086</v>
      </c>
      <c r="H1481" s="1">
        <v>168000</v>
      </c>
      <c r="I1481" s="1">
        <v>168000</v>
      </c>
      <c r="J1481" s="1">
        <v>160000</v>
      </c>
      <c r="K1481" s="2">
        <v>42086</v>
      </c>
      <c r="L1481" s="1">
        <v>26</v>
      </c>
      <c r="M1481" s="2">
        <v>42111</v>
      </c>
      <c r="N1481" s="1">
        <v>26</v>
      </c>
      <c r="O1481" s="2">
        <v>42111</v>
      </c>
      <c r="P1481" s="1">
        <v>25163</v>
      </c>
      <c r="Q1481" s="1" t="s">
        <v>197</v>
      </c>
      <c r="R1481" s="2">
        <v>42139</v>
      </c>
      <c r="S1481" s="1">
        <v>254153</v>
      </c>
      <c r="U1481" s="1" t="s">
        <v>14518</v>
      </c>
      <c r="V1481" s="1" t="s">
        <v>2051</v>
      </c>
      <c r="W1481" s="1" t="s">
        <v>504</v>
      </c>
      <c r="Y1481" s="1">
        <v>4</v>
      </c>
      <c r="Z1481" s="1" t="s">
        <v>370</v>
      </c>
      <c r="AA1481" s="1" t="s">
        <v>984</v>
      </c>
      <c r="AB1481" s="1">
        <v>60555</v>
      </c>
      <c r="AD1481" s="1" t="s">
        <v>14519</v>
      </c>
      <c r="AE1481" s="1" t="s">
        <v>14520</v>
      </c>
      <c r="AF1481" s="1">
        <v>1988</v>
      </c>
      <c r="AG1481" s="1" t="s">
        <v>204</v>
      </c>
      <c r="AH1481" s="1" t="s">
        <v>986</v>
      </c>
      <c r="AI1481" s="1" t="s">
        <v>206</v>
      </c>
      <c r="AJ1481" s="1" t="s">
        <v>987</v>
      </c>
      <c r="AL1481" s="1">
        <v>6</v>
      </c>
      <c r="AM1481" s="1">
        <v>2</v>
      </c>
      <c r="AN1481" s="1">
        <v>1</v>
      </c>
      <c r="AO1481" s="1">
        <v>1</v>
      </c>
      <c r="AP1481" s="1" t="s">
        <v>667</v>
      </c>
      <c r="AQ1481" s="1">
        <v>2</v>
      </c>
      <c r="AR1481" s="1" t="s">
        <v>210</v>
      </c>
      <c r="AS1481" s="1" t="s">
        <v>204</v>
      </c>
      <c r="AT1481" s="1" t="s">
        <v>211</v>
      </c>
      <c r="AU1481" s="1">
        <v>2</v>
      </c>
      <c r="AW1481" s="1" t="s">
        <v>204</v>
      </c>
      <c r="AX1481" s="1" t="s">
        <v>212</v>
      </c>
      <c r="AZ1481" s="1">
        <v>2632</v>
      </c>
      <c r="BA1481" s="1">
        <v>2013</v>
      </c>
      <c r="BB1481" s="1" t="s">
        <v>599</v>
      </c>
      <c r="BE1481" s="1">
        <v>1403</v>
      </c>
      <c r="BF1481" s="1">
        <v>1</v>
      </c>
      <c r="BG1481" s="1">
        <v>0</v>
      </c>
      <c r="BL1481" s="1">
        <v>188</v>
      </c>
      <c r="BM1481" s="1" t="s">
        <v>204</v>
      </c>
      <c r="BN1481" s="1" t="s">
        <v>213</v>
      </c>
      <c r="BO1481" s="1">
        <v>50</v>
      </c>
      <c r="BP1481" s="1" t="s">
        <v>204</v>
      </c>
      <c r="BR1481" s="1" t="str">
        <f>"0434221034"</f>
        <v>0434221034</v>
      </c>
      <c r="BT1481" s="1" t="s">
        <v>14521</v>
      </c>
      <c r="BU1481" s="1" t="s">
        <v>989</v>
      </c>
      <c r="BV1481" s="1" t="s">
        <v>990</v>
      </c>
      <c r="BW1481" s="1" t="s">
        <v>971</v>
      </c>
      <c r="BX1481" s="1">
        <v>200</v>
      </c>
      <c r="BY1481" s="1">
        <v>200</v>
      </c>
      <c r="BZ1481" s="1">
        <v>200</v>
      </c>
      <c r="CB1481" s="1" t="str">
        <f t="shared" ref="CB1481:CC1481" si="1131">""</f>
        <v/>
      </c>
      <c r="CC1481" s="1" t="str">
        <f t="shared" si="1131"/>
        <v/>
      </c>
      <c r="CD1481" s="1">
        <v>29</v>
      </c>
      <c r="CE1481" s="1">
        <v>2</v>
      </c>
      <c r="CG1481" s="1" t="s">
        <v>648</v>
      </c>
      <c r="CH1481" s="1" t="s">
        <v>219</v>
      </c>
      <c r="CI1481" s="1" t="s">
        <v>438</v>
      </c>
      <c r="CJ1481" s="1" t="s">
        <v>343</v>
      </c>
      <c r="CK1481" s="1" t="s">
        <v>278</v>
      </c>
      <c r="CL1481" s="1" t="s">
        <v>277</v>
      </c>
      <c r="CM1481" s="1" t="s">
        <v>220</v>
      </c>
      <c r="CN1481" s="1" t="s">
        <v>343</v>
      </c>
      <c r="CO1481" s="1" t="s">
        <v>346</v>
      </c>
      <c r="CP1481" s="1" t="s">
        <v>219</v>
      </c>
      <c r="CQ1481" s="1" t="s">
        <v>226</v>
      </c>
      <c r="CR1481" s="1" t="s">
        <v>343</v>
      </c>
      <c r="CS1481" s="1" t="s">
        <v>1297</v>
      </c>
      <c r="CT1481" s="1" t="s">
        <v>277</v>
      </c>
      <c r="CU1481" s="1" t="s">
        <v>220</v>
      </c>
      <c r="CV1481" s="1" t="s">
        <v>343</v>
      </c>
      <c r="CX1481" s="1" t="s">
        <v>224</v>
      </c>
      <c r="DB1481" s="1" t="s">
        <v>224</v>
      </c>
      <c r="DE1481" s="1" t="s">
        <v>1046</v>
      </c>
      <c r="DF1481" s="1" t="s">
        <v>219</v>
      </c>
      <c r="DG1481" s="1" t="s">
        <v>226</v>
      </c>
      <c r="DJ1481" s="1" t="s">
        <v>224</v>
      </c>
      <c r="DM1481" s="1" t="s">
        <v>709</v>
      </c>
      <c r="DN1481" s="1" t="s">
        <v>464</v>
      </c>
      <c r="DR1481" s="1" t="s">
        <v>710</v>
      </c>
      <c r="DS1481" s="1" t="s">
        <v>219</v>
      </c>
      <c r="DT1481" s="1" t="s">
        <v>226</v>
      </c>
      <c r="DV1481" s="1" t="s">
        <v>317</v>
      </c>
      <c r="DW1481" s="1" t="s">
        <v>277</v>
      </c>
      <c r="DX1481" s="1" t="s">
        <v>220</v>
      </c>
      <c r="EA1481" s="1" t="s">
        <v>230</v>
      </c>
      <c r="EE1481" s="1" t="s">
        <v>230</v>
      </c>
      <c r="EI1481" s="1" t="s">
        <v>230</v>
      </c>
      <c r="EL1481" s="1" t="s">
        <v>542</v>
      </c>
      <c r="EM1481" s="1" t="s">
        <v>319</v>
      </c>
      <c r="EN1481" s="1" t="s">
        <v>282</v>
      </c>
      <c r="EO1481" s="1" t="s">
        <v>234</v>
      </c>
      <c r="EP1481" s="1" t="s">
        <v>1268</v>
      </c>
      <c r="EQ1481" s="1" t="s">
        <v>492</v>
      </c>
      <c r="ER1481" s="1" t="s">
        <v>210</v>
      </c>
      <c r="ES1481" s="1" t="s">
        <v>322</v>
      </c>
      <c r="EV1481" s="1" t="s">
        <v>324</v>
      </c>
      <c r="EW1481" s="1" t="s">
        <v>353</v>
      </c>
      <c r="EY1481" s="1" t="s">
        <v>242</v>
      </c>
      <c r="EZ1481" s="1" t="s">
        <v>2549</v>
      </c>
      <c r="FB1481" s="1" t="s">
        <v>289</v>
      </c>
      <c r="FC1481" s="1" t="s">
        <v>326</v>
      </c>
      <c r="FD1481" s="1" t="s">
        <v>246</v>
      </c>
      <c r="FE1481" s="1" t="s">
        <v>355</v>
      </c>
      <c r="FF1481" s="1" t="s">
        <v>248</v>
      </c>
      <c r="FG1481" s="1" t="s">
        <v>14522</v>
      </c>
      <c r="FH1481" s="1" t="s">
        <v>442</v>
      </c>
      <c r="FI1481" s="1" t="s">
        <v>357</v>
      </c>
      <c r="FJ1481" s="1" t="s">
        <v>518</v>
      </c>
      <c r="FL1481" s="1" t="s">
        <v>358</v>
      </c>
      <c r="FM1481" s="1" t="s">
        <v>252</v>
      </c>
      <c r="FN1481" s="1" t="s">
        <v>213</v>
      </c>
      <c r="FO1481" s="1" t="s">
        <v>213</v>
      </c>
      <c r="FQ1481" s="1" t="s">
        <v>3616</v>
      </c>
      <c r="FR1481" s="1" t="s">
        <v>652</v>
      </c>
      <c r="FS1481" s="1" t="s">
        <v>14523</v>
      </c>
      <c r="FT1481" s="1" t="s">
        <v>295</v>
      </c>
      <c r="FU1481" s="1" t="s">
        <v>204</v>
      </c>
      <c r="FW1481" s="1" t="s">
        <v>1898</v>
      </c>
      <c r="FX1481" s="1">
        <v>23030</v>
      </c>
      <c r="FY1481" s="1" t="s">
        <v>1899</v>
      </c>
      <c r="FZ1481" s="1" t="s">
        <v>5429</v>
      </c>
      <c r="GA1481" s="1">
        <v>245396</v>
      </c>
      <c r="GB1481" s="1" t="s">
        <v>5430</v>
      </c>
      <c r="GE1481" s="1" t="s">
        <v>480</v>
      </c>
      <c r="GI1481" s="1" t="s">
        <v>213</v>
      </c>
      <c r="GJ1481" s="1" t="s">
        <v>260</v>
      </c>
      <c r="GK1481" s="1" t="s">
        <v>210</v>
      </c>
      <c r="GL1481" s="2">
        <v>42142</v>
      </c>
      <c r="GM1481" s="1" t="s">
        <v>14524</v>
      </c>
    </row>
    <row r="1482" spans="1:195">
      <c r="A1482" s="1">
        <v>108000</v>
      </c>
      <c r="B1482" s="1" t="s">
        <v>195</v>
      </c>
      <c r="C1482" s="1" t="str">
        <f>"08870030"</f>
        <v>08870030</v>
      </c>
      <c r="D1482" s="1" t="s">
        <v>196</v>
      </c>
      <c r="F1482" s="1" t="str">
        <f>"172"</f>
        <v>172</v>
      </c>
      <c r="G1482" s="2">
        <v>42086</v>
      </c>
      <c r="H1482" s="1">
        <v>109900</v>
      </c>
      <c r="I1482" s="1">
        <v>109900</v>
      </c>
      <c r="J1482" s="1">
        <v>108000</v>
      </c>
      <c r="K1482" s="2">
        <v>42086</v>
      </c>
      <c r="L1482" s="1">
        <v>6</v>
      </c>
      <c r="M1482" s="2">
        <v>42091</v>
      </c>
      <c r="N1482" s="1">
        <v>6</v>
      </c>
      <c r="O1482" s="2">
        <v>42091</v>
      </c>
      <c r="P1482" s="1">
        <v>24475</v>
      </c>
      <c r="Q1482" s="1" t="s">
        <v>197</v>
      </c>
      <c r="R1482" s="2">
        <v>42125</v>
      </c>
      <c r="S1482" s="1">
        <v>244478</v>
      </c>
      <c r="T1482" s="1">
        <v>3000</v>
      </c>
      <c r="U1482" s="1">
        <v>1118</v>
      </c>
      <c r="V1482" s="1" t="s">
        <v>263</v>
      </c>
      <c r="W1482" s="1" t="s">
        <v>264</v>
      </c>
      <c r="X1482" s="1" t="s">
        <v>6507</v>
      </c>
      <c r="Y1482" s="1">
        <v>8</v>
      </c>
      <c r="Z1482" s="1" t="s">
        <v>249</v>
      </c>
      <c r="AA1482" s="1" t="s">
        <v>266</v>
      </c>
      <c r="AB1482" s="1">
        <v>60172</v>
      </c>
      <c r="AD1482" s="1" t="s">
        <v>267</v>
      </c>
      <c r="AE1482" s="1" t="s">
        <v>14525</v>
      </c>
      <c r="AF1482" s="1">
        <v>1982</v>
      </c>
      <c r="AG1482" s="1" t="s">
        <v>204</v>
      </c>
      <c r="AH1482" s="1" t="s">
        <v>3952</v>
      </c>
      <c r="AI1482" s="1" t="s">
        <v>206</v>
      </c>
      <c r="AJ1482" s="1" t="s">
        <v>269</v>
      </c>
      <c r="AK1482" s="1" t="s">
        <v>14526</v>
      </c>
      <c r="AL1482" s="1">
        <v>4</v>
      </c>
      <c r="AM1482" s="1">
        <v>2</v>
      </c>
      <c r="AN1482" s="1">
        <v>2</v>
      </c>
      <c r="AO1482" s="1">
        <v>0</v>
      </c>
      <c r="AP1482" s="1" t="s">
        <v>209</v>
      </c>
      <c r="AQ1482" s="1">
        <v>0</v>
      </c>
      <c r="AR1482" s="1" t="s">
        <v>210</v>
      </c>
      <c r="AS1482" s="1" t="s">
        <v>204</v>
      </c>
      <c r="AT1482" s="1" t="s">
        <v>271</v>
      </c>
      <c r="AV1482" s="1">
        <v>2</v>
      </c>
      <c r="AW1482" s="1" t="s">
        <v>204</v>
      </c>
      <c r="AX1482" s="1" t="s">
        <v>212</v>
      </c>
      <c r="AZ1482" s="1">
        <v>1647</v>
      </c>
      <c r="BA1482" s="1">
        <v>2013</v>
      </c>
      <c r="BE1482" s="1">
        <v>0</v>
      </c>
      <c r="BF1482" s="1">
        <v>1</v>
      </c>
      <c r="BG1482" s="1">
        <v>1</v>
      </c>
      <c r="BL1482" s="1">
        <v>218</v>
      </c>
      <c r="BM1482" s="1" t="s">
        <v>204</v>
      </c>
      <c r="BN1482" s="1" t="s">
        <v>213</v>
      </c>
      <c r="BO1482" s="1" t="s">
        <v>3215</v>
      </c>
      <c r="BP1482" s="1" t="s">
        <v>204</v>
      </c>
      <c r="BR1482" s="1" t="str">
        <f>"0209306074"</f>
        <v>0209306074</v>
      </c>
      <c r="BT1482" s="1" t="s">
        <v>14527</v>
      </c>
      <c r="BU1482" s="1" t="s">
        <v>273</v>
      </c>
      <c r="BV1482" s="1" t="s">
        <v>274</v>
      </c>
      <c r="BW1482" s="1" t="s">
        <v>275</v>
      </c>
      <c r="BX1482" s="1">
        <v>20</v>
      </c>
      <c r="BY1482" s="1">
        <v>20</v>
      </c>
      <c r="BZ1482" s="1">
        <v>108</v>
      </c>
      <c r="CB1482" s="1" t="str">
        <f>"6"</f>
        <v>6</v>
      </c>
      <c r="CC1482" s="1" t="str">
        <f>""</f>
        <v/>
      </c>
      <c r="CD1482" s="1">
        <v>24</v>
      </c>
      <c r="CG1482" s="1" t="s">
        <v>4082</v>
      </c>
      <c r="CH1482" s="1" t="s">
        <v>219</v>
      </c>
      <c r="CI1482" s="1" t="s">
        <v>438</v>
      </c>
      <c r="CJ1482" s="1" t="s">
        <v>252</v>
      </c>
      <c r="CK1482" s="1" t="s">
        <v>344</v>
      </c>
      <c r="CL1482" s="1" t="s">
        <v>219</v>
      </c>
      <c r="CM1482" s="1" t="s">
        <v>438</v>
      </c>
      <c r="CN1482" s="1" t="s">
        <v>252</v>
      </c>
      <c r="CP1482" s="1" t="s">
        <v>224</v>
      </c>
      <c r="CS1482" s="1" t="s">
        <v>437</v>
      </c>
      <c r="CT1482" s="1" t="s">
        <v>219</v>
      </c>
      <c r="CU1482" s="1" t="s">
        <v>438</v>
      </c>
      <c r="CV1482" s="1" t="s">
        <v>252</v>
      </c>
      <c r="CX1482" s="1" t="s">
        <v>224</v>
      </c>
      <c r="DB1482" s="1" t="s">
        <v>224</v>
      </c>
      <c r="DE1482" s="1" t="s">
        <v>2547</v>
      </c>
      <c r="DF1482" s="1" t="s">
        <v>219</v>
      </c>
      <c r="DG1482" s="1" t="s">
        <v>226</v>
      </c>
      <c r="DH1482" s="1" t="s">
        <v>252</v>
      </c>
      <c r="DJ1482" s="1" t="s">
        <v>224</v>
      </c>
      <c r="DS1482" s="1" t="s">
        <v>230</v>
      </c>
      <c r="DW1482" s="1" t="s">
        <v>230</v>
      </c>
      <c r="EA1482" s="1" t="s">
        <v>230</v>
      </c>
      <c r="EE1482" s="1" t="s">
        <v>230</v>
      </c>
      <c r="EI1482" s="1" t="s">
        <v>230</v>
      </c>
      <c r="EL1482" s="1" t="s">
        <v>231</v>
      </c>
      <c r="EM1482" s="1" t="s">
        <v>232</v>
      </c>
      <c r="EN1482" s="1" t="s">
        <v>282</v>
      </c>
      <c r="EO1482" s="1" t="s">
        <v>234</v>
      </c>
      <c r="EQ1482" s="1" t="s">
        <v>468</v>
      </c>
      <c r="ER1482" s="1" t="s">
        <v>210</v>
      </c>
      <c r="ES1482" s="1" t="s">
        <v>493</v>
      </c>
      <c r="EU1482" s="1" t="s">
        <v>1314</v>
      </c>
      <c r="EV1482" s="1" t="s">
        <v>240</v>
      </c>
      <c r="EW1482" s="1" t="s">
        <v>14528</v>
      </c>
      <c r="EZ1482" s="1" t="s">
        <v>287</v>
      </c>
      <c r="FB1482" s="1" t="s">
        <v>289</v>
      </c>
      <c r="FD1482" s="1" t="s">
        <v>246</v>
      </c>
      <c r="FE1482" s="1" t="s">
        <v>247</v>
      </c>
      <c r="FF1482" s="1" t="s">
        <v>3574</v>
      </c>
      <c r="FH1482" s="1" t="s">
        <v>249</v>
      </c>
      <c r="FK1482" s="1" t="s">
        <v>291</v>
      </c>
      <c r="FL1482" s="1" t="s">
        <v>292</v>
      </c>
      <c r="FM1482" s="1" t="s">
        <v>252</v>
      </c>
      <c r="FN1482" s="1" t="s">
        <v>213</v>
      </c>
      <c r="FO1482" s="1" t="s">
        <v>213</v>
      </c>
      <c r="FQ1482" s="1" t="s">
        <v>793</v>
      </c>
      <c r="FR1482" s="1" t="s">
        <v>652</v>
      </c>
      <c r="FS1482" s="1" t="s">
        <v>14529</v>
      </c>
      <c r="FT1482" s="1" t="s">
        <v>14530</v>
      </c>
      <c r="FU1482" s="1" t="s">
        <v>204</v>
      </c>
      <c r="FV1482" s="1" t="s">
        <v>14531</v>
      </c>
      <c r="FW1482" s="1" t="s">
        <v>3231</v>
      </c>
      <c r="FX1482" s="1">
        <v>24451</v>
      </c>
      <c r="FY1482" s="1" t="s">
        <v>3232</v>
      </c>
      <c r="FZ1482" s="1" t="s">
        <v>10643</v>
      </c>
      <c r="GA1482" s="1">
        <v>256870</v>
      </c>
      <c r="GB1482" s="1" t="s">
        <v>3232</v>
      </c>
      <c r="GD1482" s="1" t="s">
        <v>11705</v>
      </c>
      <c r="GE1482" s="1" t="s">
        <v>210</v>
      </c>
      <c r="GI1482" s="1" t="s">
        <v>204</v>
      </c>
      <c r="GJ1482" s="1" t="s">
        <v>300</v>
      </c>
      <c r="GK1482" s="1" t="s">
        <v>210</v>
      </c>
      <c r="GL1482" s="2">
        <v>42125</v>
      </c>
      <c r="GM1482" s="1" t="s">
        <v>14532</v>
      </c>
    </row>
    <row r="1483" spans="1:195">
      <c r="A1483" s="1">
        <v>105000</v>
      </c>
      <c r="B1483" s="1" t="s">
        <v>195</v>
      </c>
      <c r="C1483" s="1" t="str">
        <f>"08872294"</f>
        <v>08872294</v>
      </c>
      <c r="D1483" s="1" t="s">
        <v>196</v>
      </c>
      <c r="F1483" s="1" t="str">
        <f>"148"</f>
        <v>148</v>
      </c>
      <c r="G1483" s="2">
        <v>42089</v>
      </c>
      <c r="H1483" s="1">
        <v>109900</v>
      </c>
      <c r="I1483" s="1">
        <v>109900</v>
      </c>
      <c r="J1483" s="1">
        <v>105000</v>
      </c>
      <c r="K1483" s="2">
        <v>42089</v>
      </c>
      <c r="L1483" s="1">
        <v>4</v>
      </c>
      <c r="M1483" s="2">
        <v>42092</v>
      </c>
      <c r="N1483" s="1">
        <v>4</v>
      </c>
      <c r="O1483" s="2">
        <v>42092</v>
      </c>
      <c r="P1483" s="1">
        <v>72501</v>
      </c>
      <c r="Q1483" s="1" t="s">
        <v>423</v>
      </c>
      <c r="R1483" s="2">
        <v>42125</v>
      </c>
      <c r="S1483" s="1">
        <v>705272</v>
      </c>
      <c r="U1483" s="1">
        <v>2335</v>
      </c>
      <c r="V1483" s="1" t="s">
        <v>4253</v>
      </c>
      <c r="W1483" s="1" t="s">
        <v>725</v>
      </c>
      <c r="X1483" s="1" t="s">
        <v>2010</v>
      </c>
      <c r="Y1483" s="1">
        <v>6</v>
      </c>
      <c r="Z1483" s="1" t="s">
        <v>249</v>
      </c>
      <c r="AA1483" s="1" t="s">
        <v>1927</v>
      </c>
      <c r="AB1483" s="1">
        <v>60148</v>
      </c>
      <c r="AD1483" s="1" t="s">
        <v>5704</v>
      </c>
      <c r="AE1483" s="1" t="s">
        <v>14533</v>
      </c>
      <c r="AF1483" s="1">
        <v>1980</v>
      </c>
      <c r="AG1483" s="1" t="s">
        <v>204</v>
      </c>
      <c r="AH1483" s="1" t="s">
        <v>1930</v>
      </c>
      <c r="AI1483" s="1" t="s">
        <v>206</v>
      </c>
      <c r="AJ1483" s="1" t="s">
        <v>1608</v>
      </c>
      <c r="AL1483" s="1">
        <v>5</v>
      </c>
      <c r="AM1483" s="1">
        <v>2</v>
      </c>
      <c r="AN1483" s="1">
        <v>1</v>
      </c>
      <c r="AO1483" s="1">
        <v>1</v>
      </c>
      <c r="AP1483" s="1" t="s">
        <v>209</v>
      </c>
      <c r="AR1483" s="1" t="s">
        <v>210</v>
      </c>
      <c r="AS1483" s="1" t="s">
        <v>204</v>
      </c>
      <c r="AT1483" s="1" t="s">
        <v>271</v>
      </c>
      <c r="AV1483" s="1">
        <v>1</v>
      </c>
      <c r="AW1483" s="1" t="s">
        <v>213</v>
      </c>
      <c r="AX1483" s="1" t="s">
        <v>212</v>
      </c>
      <c r="AZ1483" s="1">
        <v>2426</v>
      </c>
      <c r="BA1483" s="1">
        <v>2013</v>
      </c>
      <c r="BB1483" s="1" t="s">
        <v>405</v>
      </c>
      <c r="BE1483" s="1">
        <v>982</v>
      </c>
      <c r="BF1483" s="1">
        <v>1</v>
      </c>
      <c r="BG1483" s="1">
        <v>0</v>
      </c>
      <c r="BL1483" s="1">
        <v>323</v>
      </c>
      <c r="BM1483" s="1" t="s">
        <v>413</v>
      </c>
      <c r="BN1483" s="1" t="s">
        <v>213</v>
      </c>
      <c r="BO1483" s="1" t="s">
        <v>9245</v>
      </c>
      <c r="BP1483" s="1" t="s">
        <v>204</v>
      </c>
      <c r="BR1483" s="1" t="str">
        <f>"0629106055"</f>
        <v>0629106055</v>
      </c>
      <c r="BT1483" s="1" t="s">
        <v>14534</v>
      </c>
      <c r="BU1483" s="1" t="s">
        <v>12987</v>
      </c>
      <c r="BV1483" s="1" t="s">
        <v>1934</v>
      </c>
      <c r="BW1483" s="1" t="s">
        <v>1935</v>
      </c>
      <c r="BX1483" s="1">
        <v>44</v>
      </c>
      <c r="BY1483" s="1">
        <v>44</v>
      </c>
      <c r="BZ1483" s="1">
        <v>87</v>
      </c>
      <c r="CB1483" s="1" t="str">
        <f t="shared" ref="CB1483:CC1483" si="1132">"0"</f>
        <v>0</v>
      </c>
      <c r="CC1483" s="1" t="str">
        <f t="shared" si="1132"/>
        <v>0</v>
      </c>
      <c r="CD1483" s="1">
        <v>20</v>
      </c>
      <c r="CE1483" s="1">
        <v>2</v>
      </c>
      <c r="CG1483" s="1" t="s">
        <v>1267</v>
      </c>
      <c r="CH1483" s="1" t="s">
        <v>219</v>
      </c>
      <c r="CI1483" s="1" t="s">
        <v>220</v>
      </c>
      <c r="CJ1483" s="1" t="s">
        <v>252</v>
      </c>
      <c r="CK1483" s="1" t="s">
        <v>539</v>
      </c>
      <c r="CL1483" s="1" t="s">
        <v>219</v>
      </c>
      <c r="CM1483" s="1" t="s">
        <v>220</v>
      </c>
      <c r="CN1483" s="1" t="s">
        <v>252</v>
      </c>
      <c r="CO1483" s="1" t="s">
        <v>348</v>
      </c>
      <c r="CP1483" s="1" t="s">
        <v>219</v>
      </c>
      <c r="CQ1483" s="1" t="s">
        <v>229</v>
      </c>
      <c r="CR1483" s="1" t="s">
        <v>252</v>
      </c>
      <c r="CS1483" s="1" t="s">
        <v>1046</v>
      </c>
      <c r="CT1483" s="1" t="s">
        <v>219</v>
      </c>
      <c r="CU1483" s="1" t="s">
        <v>220</v>
      </c>
      <c r="CV1483" s="1" t="s">
        <v>252</v>
      </c>
      <c r="CX1483" s="1" t="s">
        <v>224</v>
      </c>
      <c r="DB1483" s="1" t="s">
        <v>224</v>
      </c>
      <c r="DE1483" s="1" t="s">
        <v>630</v>
      </c>
      <c r="DF1483" s="1" t="s">
        <v>219</v>
      </c>
      <c r="DG1483" s="1" t="s">
        <v>229</v>
      </c>
      <c r="DH1483" s="1" t="s">
        <v>210</v>
      </c>
      <c r="DJ1483" s="1" t="s">
        <v>224</v>
      </c>
      <c r="DS1483" s="1" t="s">
        <v>230</v>
      </c>
      <c r="DW1483" s="1" t="s">
        <v>230</v>
      </c>
      <c r="EA1483" s="1" t="s">
        <v>230</v>
      </c>
      <c r="EE1483" s="1" t="s">
        <v>230</v>
      </c>
      <c r="EI1483" s="1" t="s">
        <v>230</v>
      </c>
      <c r="EL1483" s="1" t="s">
        <v>231</v>
      </c>
      <c r="EM1483" s="1" t="s">
        <v>232</v>
      </c>
      <c r="EN1483" s="1" t="s">
        <v>282</v>
      </c>
      <c r="EO1483" s="1" t="s">
        <v>234</v>
      </c>
      <c r="EQ1483" s="1" t="s">
        <v>492</v>
      </c>
      <c r="ER1483" s="1" t="s">
        <v>210</v>
      </c>
      <c r="ES1483" s="1" t="s">
        <v>5707</v>
      </c>
      <c r="EU1483" s="1" t="s">
        <v>239</v>
      </c>
      <c r="EV1483" s="1" t="s">
        <v>352</v>
      </c>
      <c r="EW1483" s="1" t="s">
        <v>286</v>
      </c>
      <c r="EZ1483" s="1" t="s">
        <v>287</v>
      </c>
      <c r="FA1483" s="1" t="s">
        <v>471</v>
      </c>
      <c r="FB1483" s="1" t="s">
        <v>1505</v>
      </c>
      <c r="FD1483" s="1" t="s">
        <v>4003</v>
      </c>
      <c r="FE1483" s="1" t="s">
        <v>247</v>
      </c>
      <c r="FF1483" s="1" t="s">
        <v>248</v>
      </c>
      <c r="FH1483" s="1" t="s">
        <v>249</v>
      </c>
      <c r="FJ1483" s="1" t="s">
        <v>1251</v>
      </c>
      <c r="FK1483" s="1" t="s">
        <v>389</v>
      </c>
      <c r="FL1483" s="1" t="s">
        <v>358</v>
      </c>
      <c r="FM1483" s="1" t="s">
        <v>252</v>
      </c>
      <c r="FN1483" s="1" t="s">
        <v>213</v>
      </c>
      <c r="FO1483" s="1" t="s">
        <v>213</v>
      </c>
      <c r="FQ1483" s="1" t="s">
        <v>849</v>
      </c>
      <c r="FR1483" s="1" t="s">
        <v>652</v>
      </c>
      <c r="FS1483" s="1" t="s">
        <v>2753</v>
      </c>
      <c r="FT1483" s="1" t="s">
        <v>255</v>
      </c>
      <c r="FU1483" s="1" t="s">
        <v>204</v>
      </c>
      <c r="FW1483" s="1" t="s">
        <v>2235</v>
      </c>
      <c r="FX1483" s="1">
        <v>24321</v>
      </c>
      <c r="FY1483" s="1" t="s">
        <v>2236</v>
      </c>
      <c r="FZ1483" s="1" t="s">
        <v>2237</v>
      </c>
      <c r="GA1483" s="1">
        <v>241778</v>
      </c>
      <c r="GB1483" s="1" t="s">
        <v>2238</v>
      </c>
      <c r="GD1483" s="1" t="s">
        <v>2239</v>
      </c>
      <c r="GE1483" s="1" t="s">
        <v>210</v>
      </c>
      <c r="GH1483" s="1" t="s">
        <v>421</v>
      </c>
      <c r="GI1483" s="1" t="s">
        <v>213</v>
      </c>
      <c r="GJ1483" s="1" t="s">
        <v>260</v>
      </c>
      <c r="GK1483" s="1" t="s">
        <v>210</v>
      </c>
      <c r="GL1483" s="2">
        <v>42125</v>
      </c>
      <c r="GM1483" s="1" t="s">
        <v>14535</v>
      </c>
    </row>
    <row r="1484" spans="1:195">
      <c r="A1484" s="1">
        <v>52500</v>
      </c>
      <c r="B1484" s="1" t="s">
        <v>195</v>
      </c>
      <c r="C1484" s="1" t="str">
        <f>"08871041"</f>
        <v>08871041</v>
      </c>
      <c r="D1484" s="1" t="s">
        <v>196</v>
      </c>
      <c r="F1484" s="1" t="str">
        <f>"543"</f>
        <v>543</v>
      </c>
      <c r="G1484" s="2">
        <v>42087</v>
      </c>
      <c r="H1484" s="1">
        <v>59900</v>
      </c>
      <c r="I1484" s="1">
        <v>54900</v>
      </c>
      <c r="J1484" s="1">
        <v>52500</v>
      </c>
      <c r="K1484" s="2">
        <v>42087</v>
      </c>
      <c r="L1484" s="1">
        <v>25</v>
      </c>
      <c r="M1484" s="2">
        <v>42111</v>
      </c>
      <c r="N1484" s="1">
        <v>25</v>
      </c>
      <c r="O1484" s="2">
        <v>42111</v>
      </c>
      <c r="P1484" s="1">
        <v>31580</v>
      </c>
      <c r="Q1484" s="1" t="s">
        <v>302</v>
      </c>
      <c r="R1484" s="2">
        <v>42129</v>
      </c>
      <c r="S1484" s="1">
        <v>315831</v>
      </c>
      <c r="U1484" s="1">
        <v>2200</v>
      </c>
      <c r="V1484" s="1" t="s">
        <v>14536</v>
      </c>
      <c r="W1484" s="1" t="s">
        <v>1056</v>
      </c>
      <c r="X1484" s="1">
        <v>207</v>
      </c>
      <c r="Y1484" s="1">
        <v>16</v>
      </c>
      <c r="Z1484" s="1" t="s">
        <v>249</v>
      </c>
      <c r="AA1484" s="1" t="s">
        <v>2639</v>
      </c>
      <c r="AB1484" s="1">
        <v>60543</v>
      </c>
      <c r="AE1484" s="1" t="s">
        <v>14537</v>
      </c>
      <c r="AF1484" s="1">
        <v>1975</v>
      </c>
      <c r="AG1484" s="1" t="s">
        <v>213</v>
      </c>
      <c r="AH1484" s="1" t="s">
        <v>882</v>
      </c>
      <c r="AI1484" s="1" t="s">
        <v>453</v>
      </c>
      <c r="AJ1484" s="1" t="s">
        <v>1397</v>
      </c>
      <c r="AL1484" s="1">
        <v>5</v>
      </c>
      <c r="AM1484" s="1">
        <v>2</v>
      </c>
      <c r="AN1484" s="1">
        <v>1</v>
      </c>
      <c r="AO1484" s="1">
        <v>0</v>
      </c>
      <c r="AP1484" s="1" t="s">
        <v>210</v>
      </c>
      <c r="AR1484" s="1" t="s">
        <v>210</v>
      </c>
      <c r="AS1484" s="1" t="s">
        <v>204</v>
      </c>
      <c r="AT1484" s="1" t="s">
        <v>271</v>
      </c>
      <c r="AV1484" s="1">
        <v>2</v>
      </c>
      <c r="AW1484" s="1" t="s">
        <v>204</v>
      </c>
      <c r="AX1484" s="1" t="s">
        <v>212</v>
      </c>
      <c r="AZ1484" s="1">
        <v>678.82</v>
      </c>
      <c r="BA1484" s="1">
        <v>2013</v>
      </c>
      <c r="BB1484" s="1" t="s">
        <v>405</v>
      </c>
      <c r="BE1484" s="1">
        <v>675</v>
      </c>
      <c r="BF1484" s="1">
        <v>2</v>
      </c>
      <c r="BG1484" s="1">
        <v>30</v>
      </c>
      <c r="BL1484" s="1">
        <v>350</v>
      </c>
      <c r="BM1484" s="1" t="s">
        <v>204</v>
      </c>
      <c r="BN1484" s="1" t="s">
        <v>213</v>
      </c>
      <c r="BO1484" s="1" t="s">
        <v>432</v>
      </c>
      <c r="BP1484" s="1" t="s">
        <v>204</v>
      </c>
      <c r="BR1484" s="1" t="str">
        <f>"0308301030"</f>
        <v>0308301030</v>
      </c>
      <c r="BT1484" s="1" t="s">
        <v>14538</v>
      </c>
      <c r="BX1484" s="1">
        <v>308</v>
      </c>
      <c r="BY1484" s="1">
        <v>308</v>
      </c>
      <c r="BZ1484" s="1">
        <v>308</v>
      </c>
      <c r="CB1484" s="1" t="str">
        <f t="shared" ref="CB1484:CC1484" si="1133">""</f>
        <v/>
      </c>
      <c r="CC1484" s="1" t="str">
        <f t="shared" si="1133"/>
        <v/>
      </c>
      <c r="CG1484" s="1" t="s">
        <v>581</v>
      </c>
      <c r="CH1484" s="1" t="s">
        <v>277</v>
      </c>
      <c r="CI1484" s="1" t="s">
        <v>220</v>
      </c>
      <c r="CK1484" s="1" t="s">
        <v>461</v>
      </c>
      <c r="CL1484" s="1" t="s">
        <v>277</v>
      </c>
      <c r="CM1484" s="1" t="s">
        <v>220</v>
      </c>
      <c r="CO1484" s="1" t="s">
        <v>2277</v>
      </c>
      <c r="CP1484" s="1" t="s">
        <v>277</v>
      </c>
      <c r="CQ1484" s="1" t="s">
        <v>342</v>
      </c>
      <c r="CS1484" s="1" t="s">
        <v>1046</v>
      </c>
      <c r="CT1484" s="1" t="s">
        <v>277</v>
      </c>
      <c r="CU1484" s="1" t="s">
        <v>220</v>
      </c>
      <c r="CX1484" s="1" t="s">
        <v>224</v>
      </c>
      <c r="DB1484" s="1" t="s">
        <v>224</v>
      </c>
      <c r="DE1484" s="1" t="s">
        <v>2841</v>
      </c>
      <c r="DF1484" s="1" t="s">
        <v>277</v>
      </c>
      <c r="DG1484" s="1" t="s">
        <v>342</v>
      </c>
      <c r="DJ1484" s="1" t="s">
        <v>224</v>
      </c>
      <c r="DS1484" s="1" t="s">
        <v>230</v>
      </c>
      <c r="DW1484" s="1" t="s">
        <v>230</v>
      </c>
      <c r="EA1484" s="1" t="s">
        <v>230</v>
      </c>
      <c r="EE1484" s="1" t="s">
        <v>230</v>
      </c>
      <c r="EI1484" s="1" t="s">
        <v>230</v>
      </c>
      <c r="EL1484" s="1" t="s">
        <v>231</v>
      </c>
      <c r="EM1484" s="1" t="s">
        <v>319</v>
      </c>
      <c r="EN1484" s="1" t="s">
        <v>1158</v>
      </c>
      <c r="EO1484" s="1" t="s">
        <v>234</v>
      </c>
      <c r="ER1484" s="1" t="s">
        <v>210</v>
      </c>
      <c r="EW1484" s="1" t="s">
        <v>14539</v>
      </c>
      <c r="EY1484" s="1" t="s">
        <v>242</v>
      </c>
      <c r="EZ1484" s="1" t="s">
        <v>287</v>
      </c>
      <c r="FD1484" s="1" t="s">
        <v>246</v>
      </c>
      <c r="FE1484" s="1" t="s">
        <v>5388</v>
      </c>
      <c r="FF1484" s="1" t="s">
        <v>248</v>
      </c>
      <c r="FH1484" s="1" t="s">
        <v>249</v>
      </c>
      <c r="FJ1484" s="1" t="s">
        <v>518</v>
      </c>
      <c r="FK1484" s="1" t="s">
        <v>891</v>
      </c>
      <c r="FL1484" s="1" t="s">
        <v>328</v>
      </c>
      <c r="FM1484" s="1" t="s">
        <v>252</v>
      </c>
      <c r="FN1484" s="1" t="s">
        <v>213</v>
      </c>
      <c r="FO1484" s="1" t="s">
        <v>213</v>
      </c>
      <c r="FQ1484" s="1" t="s">
        <v>3415</v>
      </c>
      <c r="FR1484" s="1" t="s">
        <v>210</v>
      </c>
      <c r="FS1484" s="1" t="s">
        <v>14540</v>
      </c>
      <c r="FT1484" s="1" t="s">
        <v>675</v>
      </c>
      <c r="FU1484" s="1" t="s">
        <v>213</v>
      </c>
      <c r="FW1484" s="1" t="s">
        <v>14541</v>
      </c>
      <c r="FX1484" s="1">
        <v>31360</v>
      </c>
      <c r="FY1484" s="1" t="s">
        <v>14542</v>
      </c>
      <c r="FZ1484" s="1" t="s">
        <v>14543</v>
      </c>
      <c r="GA1484" s="1">
        <v>313796</v>
      </c>
      <c r="GC1484" s="1">
        <v>313607</v>
      </c>
      <c r="GE1484" s="1" t="s">
        <v>480</v>
      </c>
      <c r="GI1484" s="1" t="s">
        <v>213</v>
      </c>
      <c r="GJ1484" s="1" t="s">
        <v>260</v>
      </c>
      <c r="GK1484" s="1" t="s">
        <v>210</v>
      </c>
      <c r="GL1484" s="2">
        <v>42131</v>
      </c>
      <c r="GM1484" s="1" t="s">
        <v>14544</v>
      </c>
    </row>
    <row r="1485" spans="1:195">
      <c r="A1485" s="1">
        <v>79000</v>
      </c>
      <c r="B1485" s="1" t="s">
        <v>195</v>
      </c>
      <c r="C1485" s="1" t="str">
        <f>"08870870"</f>
        <v>08870870</v>
      </c>
      <c r="D1485" s="1" t="s">
        <v>196</v>
      </c>
      <c r="F1485" s="1" t="str">
        <f>"174"</f>
        <v>174</v>
      </c>
      <c r="G1485" s="2">
        <v>42087</v>
      </c>
      <c r="H1485" s="1">
        <v>82900</v>
      </c>
      <c r="I1485" s="1">
        <v>82900</v>
      </c>
      <c r="J1485" s="1">
        <v>79000</v>
      </c>
      <c r="K1485" s="2">
        <v>42087</v>
      </c>
      <c r="L1485" s="1">
        <v>16</v>
      </c>
      <c r="M1485" s="2">
        <v>42102</v>
      </c>
      <c r="N1485" s="1">
        <v>16</v>
      </c>
      <c r="O1485" s="2">
        <v>42102</v>
      </c>
      <c r="P1485" s="1">
        <v>93190</v>
      </c>
      <c r="Q1485" s="1" t="s">
        <v>197</v>
      </c>
      <c r="R1485" s="2">
        <v>42146</v>
      </c>
      <c r="S1485" s="1">
        <v>932063</v>
      </c>
      <c r="U1485" s="1">
        <v>1509</v>
      </c>
      <c r="V1485" s="1" t="s">
        <v>4222</v>
      </c>
      <c r="W1485" s="1" t="s">
        <v>725</v>
      </c>
      <c r="X1485" s="1" t="s">
        <v>1000</v>
      </c>
      <c r="Y1485" s="1">
        <v>4</v>
      </c>
      <c r="Z1485" s="1" t="s">
        <v>200</v>
      </c>
      <c r="AA1485" s="1" t="s">
        <v>879</v>
      </c>
      <c r="AB1485" s="1">
        <v>60174</v>
      </c>
      <c r="AE1485" s="1" t="s">
        <v>14545</v>
      </c>
      <c r="AF1485" s="1">
        <v>1992</v>
      </c>
      <c r="AG1485" s="1" t="s">
        <v>204</v>
      </c>
      <c r="AH1485" s="1" t="s">
        <v>883</v>
      </c>
      <c r="AI1485" s="1" t="s">
        <v>665</v>
      </c>
      <c r="AJ1485" s="1" t="s">
        <v>883</v>
      </c>
      <c r="AL1485" s="1">
        <v>4</v>
      </c>
      <c r="AM1485" s="1">
        <v>2</v>
      </c>
      <c r="AN1485" s="1">
        <v>1</v>
      </c>
      <c r="AO1485" s="1">
        <v>1</v>
      </c>
      <c r="AP1485" s="1" t="s">
        <v>210</v>
      </c>
      <c r="AR1485" s="1" t="s">
        <v>209</v>
      </c>
      <c r="AS1485" s="1" t="s">
        <v>204</v>
      </c>
      <c r="AT1485" s="1" t="s">
        <v>271</v>
      </c>
      <c r="AV1485" s="1">
        <v>1</v>
      </c>
      <c r="AW1485" s="1" t="s">
        <v>204</v>
      </c>
      <c r="AX1485" s="1" t="s">
        <v>212</v>
      </c>
      <c r="AZ1485" s="1">
        <v>3538.96</v>
      </c>
      <c r="BA1485" s="1">
        <v>2013</v>
      </c>
      <c r="BE1485" s="1">
        <v>1380</v>
      </c>
      <c r="BF1485" s="1">
        <v>1</v>
      </c>
      <c r="BG1485" s="1">
        <v>0</v>
      </c>
      <c r="BL1485" s="1">
        <v>75</v>
      </c>
      <c r="BM1485" s="1" t="s">
        <v>413</v>
      </c>
      <c r="BN1485" s="1" t="s">
        <v>213</v>
      </c>
      <c r="BO1485" s="1">
        <v>999</v>
      </c>
      <c r="BP1485" s="1" t="s">
        <v>204</v>
      </c>
      <c r="BR1485" s="1" t="str">
        <f>"0933129038"</f>
        <v>0933129038</v>
      </c>
      <c r="BT1485" s="1" t="s">
        <v>14546</v>
      </c>
      <c r="BX1485" s="1">
        <v>303</v>
      </c>
      <c r="BY1485" s="1">
        <v>303</v>
      </c>
      <c r="BZ1485" s="1">
        <v>303</v>
      </c>
      <c r="CB1485" s="1" t="str">
        <f t="shared" ref="CB1485:CC1485" si="1134">""</f>
        <v/>
      </c>
      <c r="CC1485" s="1" t="str">
        <f t="shared" si="1134"/>
        <v/>
      </c>
      <c r="CG1485" s="1" t="s">
        <v>1267</v>
      </c>
      <c r="CH1485" s="1" t="s">
        <v>219</v>
      </c>
      <c r="CK1485" s="1" t="s">
        <v>1045</v>
      </c>
      <c r="CL1485" s="1" t="s">
        <v>277</v>
      </c>
      <c r="CP1485" s="1" t="s">
        <v>224</v>
      </c>
      <c r="CS1485" s="1" t="s">
        <v>315</v>
      </c>
      <c r="CT1485" s="1" t="s">
        <v>277</v>
      </c>
      <c r="CX1485" s="1" t="s">
        <v>224</v>
      </c>
      <c r="DB1485" s="1" t="s">
        <v>224</v>
      </c>
      <c r="DE1485" s="1" t="s">
        <v>951</v>
      </c>
      <c r="DF1485" s="1" t="s">
        <v>219</v>
      </c>
      <c r="DJ1485" s="1" t="s">
        <v>224</v>
      </c>
      <c r="DS1485" s="1" t="s">
        <v>230</v>
      </c>
      <c r="DW1485" s="1" t="s">
        <v>230</v>
      </c>
      <c r="EA1485" s="1" t="s">
        <v>230</v>
      </c>
      <c r="EE1485" s="1" t="s">
        <v>230</v>
      </c>
      <c r="EI1485" s="1" t="s">
        <v>230</v>
      </c>
      <c r="EL1485" s="1" t="s">
        <v>382</v>
      </c>
      <c r="EM1485" s="1" t="s">
        <v>319</v>
      </c>
      <c r="EN1485" s="1" t="s">
        <v>282</v>
      </c>
      <c r="EO1485" s="1" t="s">
        <v>234</v>
      </c>
      <c r="EQ1485" s="1" t="s">
        <v>321</v>
      </c>
      <c r="ER1485" s="1" t="s">
        <v>351</v>
      </c>
      <c r="EW1485" s="1" t="s">
        <v>14547</v>
      </c>
      <c r="EZ1485" s="1" t="s">
        <v>287</v>
      </c>
      <c r="FB1485" s="1" t="s">
        <v>734</v>
      </c>
      <c r="FD1485" s="1" t="s">
        <v>736</v>
      </c>
      <c r="FE1485" s="1" t="s">
        <v>247</v>
      </c>
      <c r="FF1485" s="1" t="s">
        <v>248</v>
      </c>
      <c r="FH1485" s="1" t="s">
        <v>249</v>
      </c>
      <c r="FL1485" s="1" t="s">
        <v>414</v>
      </c>
      <c r="FM1485" s="1" t="s">
        <v>252</v>
      </c>
      <c r="FN1485" s="1" t="s">
        <v>213</v>
      </c>
      <c r="FO1485" s="1" t="s">
        <v>213</v>
      </c>
      <c r="FQ1485" s="1" t="s">
        <v>582</v>
      </c>
      <c r="FR1485" s="1" t="s">
        <v>210</v>
      </c>
      <c r="FS1485" s="1" t="s">
        <v>7087</v>
      </c>
      <c r="FT1485" s="1" t="s">
        <v>1828</v>
      </c>
      <c r="FU1485" s="1" t="s">
        <v>204</v>
      </c>
      <c r="FV1485" s="1" t="s">
        <v>2419</v>
      </c>
      <c r="FW1485" s="1" t="s">
        <v>2420</v>
      </c>
      <c r="FX1485" s="1">
        <v>41</v>
      </c>
      <c r="FY1485" s="1" t="s">
        <v>2421</v>
      </c>
      <c r="FZ1485" s="1" t="s">
        <v>2422</v>
      </c>
      <c r="GA1485" s="1">
        <v>8483</v>
      </c>
      <c r="GB1485" s="1" t="s">
        <v>2423</v>
      </c>
      <c r="GD1485" s="1" t="s">
        <v>14548</v>
      </c>
      <c r="GE1485" s="1" t="s">
        <v>210</v>
      </c>
      <c r="GI1485" s="1" t="s">
        <v>213</v>
      </c>
      <c r="GJ1485" s="1" t="s">
        <v>260</v>
      </c>
      <c r="GK1485" s="1" t="s">
        <v>210</v>
      </c>
      <c r="GL1485" s="2">
        <v>42146</v>
      </c>
      <c r="GM1485" s="1" t="s">
        <v>14549</v>
      </c>
    </row>
    <row r="1486" spans="1:195">
      <c r="A1486" s="1">
        <v>354000</v>
      </c>
      <c r="B1486" s="1" t="s">
        <v>195</v>
      </c>
      <c r="C1486" s="1" t="str">
        <f>"08875541"</f>
        <v>08875541</v>
      </c>
      <c r="D1486" s="1" t="s">
        <v>196</v>
      </c>
      <c r="F1486" s="1" t="str">
        <f>"515"</f>
        <v>515</v>
      </c>
      <c r="G1486" s="2">
        <v>42093</v>
      </c>
      <c r="H1486" s="1">
        <v>359900</v>
      </c>
      <c r="I1486" s="1">
        <v>359900</v>
      </c>
      <c r="J1486" s="1">
        <v>354000</v>
      </c>
      <c r="K1486" s="2">
        <v>42092</v>
      </c>
      <c r="L1486" s="1">
        <v>17</v>
      </c>
      <c r="M1486" s="2">
        <v>42108</v>
      </c>
      <c r="N1486" s="1">
        <v>17</v>
      </c>
      <c r="O1486" s="2">
        <v>42108</v>
      </c>
      <c r="P1486" s="1">
        <v>22039</v>
      </c>
      <c r="Q1486" s="1" t="s">
        <v>302</v>
      </c>
      <c r="R1486" s="2">
        <v>42146</v>
      </c>
      <c r="S1486" s="1">
        <v>253521</v>
      </c>
      <c r="U1486" s="1">
        <v>1035</v>
      </c>
      <c r="V1486" s="1" t="s">
        <v>14550</v>
      </c>
      <c r="W1486" s="1" t="s">
        <v>264</v>
      </c>
      <c r="Y1486" s="1">
        <v>4</v>
      </c>
      <c r="Z1486" s="1" t="s">
        <v>249</v>
      </c>
      <c r="AA1486" s="1" t="s">
        <v>1294</v>
      </c>
      <c r="AB1486" s="1">
        <v>60515</v>
      </c>
      <c r="AD1486" s="1" t="s">
        <v>9481</v>
      </c>
      <c r="AE1486" s="1" t="s">
        <v>14551</v>
      </c>
      <c r="AF1486" s="1">
        <v>1987</v>
      </c>
      <c r="AG1486" s="1" t="s">
        <v>204</v>
      </c>
      <c r="AH1486" s="1" t="s">
        <v>903</v>
      </c>
      <c r="AI1486" s="1" t="s">
        <v>206</v>
      </c>
      <c r="AJ1486" s="1" t="s">
        <v>1608</v>
      </c>
      <c r="AL1486" s="1">
        <v>8</v>
      </c>
      <c r="AM1486" s="1">
        <v>2</v>
      </c>
      <c r="AN1486" s="1">
        <v>2</v>
      </c>
      <c r="AO1486" s="1">
        <v>0</v>
      </c>
      <c r="AP1486" s="1" t="s">
        <v>209</v>
      </c>
      <c r="AQ1486" s="1">
        <v>1</v>
      </c>
      <c r="AR1486" s="1" t="s">
        <v>210</v>
      </c>
      <c r="AS1486" s="1" t="s">
        <v>204</v>
      </c>
      <c r="AT1486" s="1" t="s">
        <v>211</v>
      </c>
      <c r="AU1486" s="1">
        <v>2</v>
      </c>
      <c r="AW1486" s="1" t="s">
        <v>213</v>
      </c>
      <c r="AX1486" s="1" t="s">
        <v>212</v>
      </c>
      <c r="AZ1486" s="1">
        <v>5581</v>
      </c>
      <c r="BA1486" s="1">
        <v>2013</v>
      </c>
      <c r="BB1486" s="1" t="s">
        <v>599</v>
      </c>
      <c r="BE1486" s="1">
        <v>2535</v>
      </c>
      <c r="BF1486" s="1">
        <v>2</v>
      </c>
      <c r="BG1486" s="1">
        <v>0</v>
      </c>
      <c r="BJ1486" s="1">
        <v>100</v>
      </c>
      <c r="BL1486" s="1">
        <v>422</v>
      </c>
      <c r="BM1486" s="1" t="s">
        <v>204</v>
      </c>
      <c r="BN1486" s="1" t="s">
        <v>213</v>
      </c>
      <c r="BP1486" s="1" t="s">
        <v>204</v>
      </c>
      <c r="BR1486" s="1" t="str">
        <f>"0632110115"</f>
        <v>0632110115</v>
      </c>
      <c r="BT1486" s="1" t="s">
        <v>14552</v>
      </c>
      <c r="BU1486" s="1" t="s">
        <v>9484</v>
      </c>
      <c r="BV1486" s="1" t="s">
        <v>2761</v>
      </c>
      <c r="BW1486" s="1" t="s">
        <v>2762</v>
      </c>
      <c r="BX1486" s="1">
        <v>58</v>
      </c>
      <c r="BY1486" s="1">
        <v>58</v>
      </c>
      <c r="BZ1486" s="1">
        <v>99</v>
      </c>
      <c r="CB1486" s="1" t="str">
        <f t="shared" ref="CB1486:CC1486" si="1135">""</f>
        <v/>
      </c>
      <c r="CC1486" s="1" t="str">
        <f t="shared" si="1135"/>
        <v/>
      </c>
      <c r="CG1486" s="1" t="s">
        <v>931</v>
      </c>
      <c r="CH1486" s="1" t="s">
        <v>277</v>
      </c>
      <c r="CI1486" s="1" t="s">
        <v>220</v>
      </c>
      <c r="CK1486" s="1" t="s">
        <v>885</v>
      </c>
      <c r="CL1486" s="1" t="s">
        <v>277</v>
      </c>
      <c r="CM1486" s="1" t="s">
        <v>220</v>
      </c>
      <c r="CO1486" s="1" t="s">
        <v>218</v>
      </c>
      <c r="CP1486" s="1" t="s">
        <v>277</v>
      </c>
      <c r="CQ1486" s="1" t="s">
        <v>220</v>
      </c>
      <c r="CS1486" s="1" t="s">
        <v>539</v>
      </c>
      <c r="CT1486" s="1" t="s">
        <v>277</v>
      </c>
      <c r="CU1486" s="1" t="s">
        <v>220</v>
      </c>
      <c r="CX1486" s="1" t="s">
        <v>224</v>
      </c>
      <c r="DB1486" s="1" t="s">
        <v>224</v>
      </c>
      <c r="DE1486" s="1" t="s">
        <v>786</v>
      </c>
      <c r="DF1486" s="1" t="s">
        <v>277</v>
      </c>
      <c r="DG1486" s="1" t="s">
        <v>347</v>
      </c>
      <c r="DJ1486" s="1" t="s">
        <v>224</v>
      </c>
      <c r="DM1486" s="1" t="s">
        <v>381</v>
      </c>
      <c r="DN1486" s="1" t="s">
        <v>13023</v>
      </c>
      <c r="DO1486" s="1" t="s">
        <v>464</v>
      </c>
      <c r="DP1486" s="1" t="s">
        <v>709</v>
      </c>
      <c r="DR1486" s="1" t="s">
        <v>278</v>
      </c>
      <c r="DS1486" s="1" t="s">
        <v>277</v>
      </c>
      <c r="DT1486" s="1" t="s">
        <v>347</v>
      </c>
      <c r="DV1486" s="1" t="s">
        <v>539</v>
      </c>
      <c r="DW1486" s="1" t="s">
        <v>277</v>
      </c>
      <c r="DX1486" s="1" t="s">
        <v>220</v>
      </c>
      <c r="DZ1486" s="1" t="s">
        <v>4322</v>
      </c>
      <c r="EA1486" s="1" t="s">
        <v>784</v>
      </c>
      <c r="EB1486" s="1" t="s">
        <v>220</v>
      </c>
      <c r="ED1486" s="1" t="s">
        <v>951</v>
      </c>
      <c r="EE1486" s="1" t="s">
        <v>277</v>
      </c>
      <c r="EF1486" s="1" t="s">
        <v>347</v>
      </c>
      <c r="EI1486" s="1" t="s">
        <v>230</v>
      </c>
      <c r="EL1486" s="1" t="s">
        <v>542</v>
      </c>
      <c r="EM1486" s="1" t="s">
        <v>730</v>
      </c>
      <c r="EN1486" s="1" t="s">
        <v>282</v>
      </c>
      <c r="EO1486" s="1" t="s">
        <v>234</v>
      </c>
      <c r="EQ1486" s="1" t="s">
        <v>14553</v>
      </c>
      <c r="ER1486" s="1" t="s">
        <v>210</v>
      </c>
      <c r="ES1486" s="1" t="s">
        <v>322</v>
      </c>
      <c r="ET1486" s="1" t="s">
        <v>1201</v>
      </c>
      <c r="EV1486" s="1" t="s">
        <v>352</v>
      </c>
      <c r="EW1486" s="1" t="s">
        <v>9621</v>
      </c>
      <c r="EZ1486" s="1" t="s">
        <v>14554</v>
      </c>
      <c r="FC1486" s="1" t="s">
        <v>326</v>
      </c>
      <c r="FD1486" s="1" t="s">
        <v>3287</v>
      </c>
      <c r="FE1486" s="1" t="s">
        <v>549</v>
      </c>
      <c r="FF1486" s="1" t="s">
        <v>248</v>
      </c>
      <c r="FG1486" s="1" t="s">
        <v>2540</v>
      </c>
      <c r="FH1486" s="1" t="s">
        <v>550</v>
      </c>
      <c r="FL1486" s="1" t="s">
        <v>358</v>
      </c>
      <c r="FM1486" s="1" t="s">
        <v>252</v>
      </c>
      <c r="FN1486" s="1" t="s">
        <v>213</v>
      </c>
      <c r="FO1486" s="1" t="s">
        <v>213</v>
      </c>
      <c r="FQ1486" s="1" t="s">
        <v>1758</v>
      </c>
      <c r="FR1486" s="1" t="s">
        <v>210</v>
      </c>
      <c r="FS1486" s="1" t="s">
        <v>1709</v>
      </c>
      <c r="FT1486" s="1" t="s">
        <v>295</v>
      </c>
      <c r="FU1486" s="1" t="s">
        <v>204</v>
      </c>
      <c r="FW1486" s="1" t="s">
        <v>1961</v>
      </c>
      <c r="FX1486" s="1">
        <v>20150</v>
      </c>
      <c r="FY1486" s="1" t="s">
        <v>1962</v>
      </c>
      <c r="FZ1486" s="1" t="s">
        <v>7017</v>
      </c>
      <c r="GA1486" s="1">
        <v>213695</v>
      </c>
      <c r="GB1486" s="1" t="s">
        <v>7018</v>
      </c>
      <c r="GE1486" s="1" t="s">
        <v>210</v>
      </c>
      <c r="GI1486" s="1" t="s">
        <v>213</v>
      </c>
      <c r="GJ1486" s="1" t="s">
        <v>260</v>
      </c>
      <c r="GK1486" s="1" t="s">
        <v>261</v>
      </c>
      <c r="GL1486" s="2">
        <v>42146</v>
      </c>
      <c r="GM1486" s="1" t="s">
        <v>14555</v>
      </c>
    </row>
    <row r="1487" spans="1:195">
      <c r="A1487" s="1">
        <v>154500</v>
      </c>
      <c r="B1487" s="1" t="s">
        <v>195</v>
      </c>
      <c r="C1487" s="1" t="str">
        <f>"08881774"</f>
        <v>08881774</v>
      </c>
      <c r="D1487" s="1" t="s">
        <v>196</v>
      </c>
      <c r="F1487" s="1" t="str">
        <f>"532"</f>
        <v>532</v>
      </c>
      <c r="G1487" s="2">
        <v>42100</v>
      </c>
      <c r="H1487" s="1">
        <v>160000</v>
      </c>
      <c r="I1487" s="1">
        <v>160000</v>
      </c>
      <c r="J1487" s="1">
        <v>154500</v>
      </c>
      <c r="K1487" s="2">
        <v>42100</v>
      </c>
      <c r="L1487" s="1">
        <v>83</v>
      </c>
      <c r="M1487" s="2">
        <v>42115</v>
      </c>
      <c r="N1487" s="1">
        <v>16</v>
      </c>
      <c r="O1487" s="2">
        <v>42115</v>
      </c>
      <c r="P1487" s="1">
        <v>23265</v>
      </c>
      <c r="Q1487" s="1" t="s">
        <v>423</v>
      </c>
      <c r="R1487" s="2">
        <v>42146</v>
      </c>
      <c r="S1487" s="1">
        <v>220990</v>
      </c>
      <c r="U1487" s="1">
        <v>2724</v>
      </c>
      <c r="V1487" s="1" t="s">
        <v>14556</v>
      </c>
      <c r="W1487" s="1" t="s">
        <v>264</v>
      </c>
      <c r="X1487" s="1" t="s">
        <v>1000</v>
      </c>
      <c r="Y1487" s="1">
        <v>4</v>
      </c>
      <c r="Z1487" s="1" t="s">
        <v>249</v>
      </c>
      <c r="AA1487" s="1" t="s">
        <v>1566</v>
      </c>
      <c r="AB1487" s="1">
        <v>60532</v>
      </c>
      <c r="AD1487" s="1" t="s">
        <v>4933</v>
      </c>
      <c r="AE1487" s="1" t="s">
        <v>14557</v>
      </c>
      <c r="AF1487" s="1">
        <v>1981</v>
      </c>
      <c r="AG1487" s="1" t="s">
        <v>204</v>
      </c>
      <c r="AH1487" s="1" t="s">
        <v>925</v>
      </c>
      <c r="AI1487" s="1" t="s">
        <v>206</v>
      </c>
      <c r="AJ1487" s="1" t="s">
        <v>925</v>
      </c>
      <c r="AL1487" s="1">
        <v>5</v>
      </c>
      <c r="AM1487" s="1">
        <v>2</v>
      </c>
      <c r="AN1487" s="1">
        <v>1</v>
      </c>
      <c r="AO1487" s="1">
        <v>1</v>
      </c>
      <c r="AP1487" s="1" t="s">
        <v>209</v>
      </c>
      <c r="AQ1487" s="1">
        <v>0</v>
      </c>
      <c r="AR1487" s="1" t="s">
        <v>209</v>
      </c>
      <c r="AS1487" s="1" t="s">
        <v>204</v>
      </c>
      <c r="AT1487" s="1" t="s">
        <v>211</v>
      </c>
      <c r="AU1487" s="1">
        <v>1</v>
      </c>
      <c r="AW1487" s="1" t="s">
        <v>204</v>
      </c>
      <c r="AX1487" s="1" t="s">
        <v>212</v>
      </c>
      <c r="AZ1487" s="1">
        <v>4412</v>
      </c>
      <c r="BA1487" s="1">
        <v>2013</v>
      </c>
      <c r="BB1487" s="1" t="s">
        <v>405</v>
      </c>
      <c r="BE1487" s="1">
        <v>1092</v>
      </c>
      <c r="BF1487" s="1">
        <v>1</v>
      </c>
      <c r="BG1487" s="1">
        <v>30</v>
      </c>
      <c r="BL1487" s="1">
        <v>257</v>
      </c>
      <c r="BM1487" s="1" t="s">
        <v>204</v>
      </c>
      <c r="BN1487" s="1" t="s">
        <v>213</v>
      </c>
      <c r="BO1487" s="1" t="s">
        <v>3215</v>
      </c>
      <c r="BP1487" s="1" t="s">
        <v>204</v>
      </c>
      <c r="BR1487" s="1" t="str">
        <f>"0816311011"</f>
        <v>0816311011</v>
      </c>
      <c r="BT1487" s="1" t="s">
        <v>14558</v>
      </c>
      <c r="BU1487" s="1" t="s">
        <v>4936</v>
      </c>
      <c r="BV1487" s="1" t="s">
        <v>4937</v>
      </c>
      <c r="BW1487" s="1" t="s">
        <v>2825</v>
      </c>
      <c r="BX1487" s="1">
        <v>203</v>
      </c>
      <c r="BY1487" s="1">
        <v>203</v>
      </c>
      <c r="BZ1487" s="1">
        <v>203</v>
      </c>
      <c r="CB1487" s="1" t="str">
        <f t="shared" ref="CB1487:CC1487" si="1136">""</f>
        <v/>
      </c>
      <c r="CC1487" s="1" t="str">
        <f t="shared" si="1136"/>
        <v/>
      </c>
      <c r="CG1487" s="1" t="s">
        <v>581</v>
      </c>
      <c r="CH1487" s="1" t="s">
        <v>219</v>
      </c>
      <c r="CI1487" s="1" t="s">
        <v>438</v>
      </c>
      <c r="CK1487" s="1" t="s">
        <v>972</v>
      </c>
      <c r="CL1487" s="1" t="s">
        <v>277</v>
      </c>
      <c r="CM1487" s="1" t="s">
        <v>220</v>
      </c>
      <c r="CN1487" s="1" t="s">
        <v>343</v>
      </c>
      <c r="CP1487" s="1" t="s">
        <v>224</v>
      </c>
      <c r="CS1487" s="1" t="s">
        <v>1854</v>
      </c>
      <c r="CT1487" s="1" t="s">
        <v>277</v>
      </c>
      <c r="CU1487" s="1" t="s">
        <v>220</v>
      </c>
      <c r="CV1487" s="1" t="s">
        <v>343</v>
      </c>
      <c r="CX1487" s="1" t="s">
        <v>224</v>
      </c>
      <c r="DB1487" s="1" t="s">
        <v>224</v>
      </c>
      <c r="DE1487" s="1" t="s">
        <v>14559</v>
      </c>
      <c r="DF1487" s="1" t="s">
        <v>219</v>
      </c>
      <c r="DG1487" s="1" t="s">
        <v>438</v>
      </c>
      <c r="DJ1487" s="1" t="s">
        <v>224</v>
      </c>
      <c r="DM1487" s="1" t="s">
        <v>934</v>
      </c>
      <c r="DR1487" s="1" t="s">
        <v>4571</v>
      </c>
      <c r="DS1487" s="1" t="s">
        <v>43</v>
      </c>
      <c r="DT1487" s="1" t="s">
        <v>229</v>
      </c>
      <c r="DU1487" s="1" t="s">
        <v>343</v>
      </c>
      <c r="DW1487" s="1" t="s">
        <v>230</v>
      </c>
      <c r="EA1487" s="1" t="s">
        <v>230</v>
      </c>
      <c r="EE1487" s="1" t="s">
        <v>230</v>
      </c>
      <c r="EI1487" s="1" t="s">
        <v>230</v>
      </c>
      <c r="EL1487" s="1" t="s">
        <v>231</v>
      </c>
      <c r="EM1487" s="1" t="s">
        <v>232</v>
      </c>
      <c r="EN1487" s="1" t="s">
        <v>282</v>
      </c>
      <c r="EO1487" s="1" t="s">
        <v>234</v>
      </c>
      <c r="EP1487" s="1" t="s">
        <v>4938</v>
      </c>
      <c r="EQ1487" s="1" t="s">
        <v>2188</v>
      </c>
      <c r="ER1487" s="1" t="s">
        <v>544</v>
      </c>
      <c r="ES1487" s="1" t="s">
        <v>322</v>
      </c>
      <c r="EW1487" s="1" t="s">
        <v>3113</v>
      </c>
      <c r="EZ1487" s="1" t="s">
        <v>934</v>
      </c>
      <c r="FA1487" s="1" t="s">
        <v>5059</v>
      </c>
      <c r="FD1487" s="1" t="s">
        <v>246</v>
      </c>
      <c r="FE1487" s="1" t="s">
        <v>247</v>
      </c>
      <c r="FF1487" s="1" t="s">
        <v>248</v>
      </c>
      <c r="FH1487" s="1" t="s">
        <v>550</v>
      </c>
      <c r="FJ1487" s="1" t="s">
        <v>1251</v>
      </c>
      <c r="FL1487" s="1" t="s">
        <v>358</v>
      </c>
      <c r="FM1487" s="1" t="s">
        <v>252</v>
      </c>
      <c r="FN1487" s="1" t="s">
        <v>213</v>
      </c>
      <c r="FO1487" s="1" t="s">
        <v>213</v>
      </c>
      <c r="FQ1487" s="1" t="s">
        <v>793</v>
      </c>
      <c r="FR1487" s="1" t="s">
        <v>210</v>
      </c>
      <c r="FS1487" s="1" t="s">
        <v>14560</v>
      </c>
      <c r="FT1487" s="1" t="s">
        <v>295</v>
      </c>
      <c r="FU1487" s="1" t="s">
        <v>204</v>
      </c>
      <c r="FW1487" s="1" t="s">
        <v>915</v>
      </c>
      <c r="FX1487" s="1">
        <v>23076</v>
      </c>
      <c r="FY1487" s="1" t="s">
        <v>1909</v>
      </c>
      <c r="FZ1487" s="1" t="s">
        <v>12014</v>
      </c>
      <c r="GA1487" s="1">
        <v>217893</v>
      </c>
      <c r="GB1487" s="1" t="s">
        <v>12015</v>
      </c>
      <c r="GD1487" s="1" t="s">
        <v>12016</v>
      </c>
      <c r="GE1487" s="1" t="s">
        <v>1145</v>
      </c>
      <c r="GI1487" s="1" t="s">
        <v>213</v>
      </c>
      <c r="GJ1487" s="1" t="s">
        <v>260</v>
      </c>
      <c r="GK1487" s="1" t="s">
        <v>210</v>
      </c>
      <c r="GL1487" s="2">
        <v>42146</v>
      </c>
    </row>
    <row r="1488" spans="1:195">
      <c r="A1488" s="1">
        <v>125000</v>
      </c>
      <c r="B1488" s="1" t="s">
        <v>195</v>
      </c>
      <c r="C1488" s="1" t="str">
        <f>"08880078"</f>
        <v>08880078</v>
      </c>
      <c r="D1488" s="1" t="s">
        <v>196</v>
      </c>
      <c r="F1488" s="1" t="str">
        <f>"107"</f>
        <v>107</v>
      </c>
      <c r="G1488" s="2">
        <v>42097</v>
      </c>
      <c r="H1488" s="1">
        <v>126500</v>
      </c>
      <c r="I1488" s="1">
        <v>126500</v>
      </c>
      <c r="J1488" s="1">
        <v>125000</v>
      </c>
      <c r="K1488" s="2">
        <v>42096</v>
      </c>
      <c r="L1488" s="1">
        <v>267</v>
      </c>
      <c r="M1488" s="2">
        <v>42109</v>
      </c>
      <c r="N1488" s="1">
        <v>14</v>
      </c>
      <c r="O1488" s="2">
        <v>42109</v>
      </c>
      <c r="P1488" s="1">
        <v>8079</v>
      </c>
      <c r="Q1488" s="1" t="s">
        <v>197</v>
      </c>
      <c r="R1488" s="2">
        <v>42146</v>
      </c>
      <c r="S1488" s="1">
        <v>81101</v>
      </c>
      <c r="U1488" s="1">
        <v>222</v>
      </c>
      <c r="V1488" s="1" t="s">
        <v>9273</v>
      </c>
      <c r="W1488" s="1" t="s">
        <v>504</v>
      </c>
      <c r="Y1488" s="1">
        <v>4</v>
      </c>
      <c r="Z1488" s="1" t="s">
        <v>249</v>
      </c>
      <c r="AA1488" s="1" t="s">
        <v>1211</v>
      </c>
      <c r="AB1488" s="1">
        <v>60107</v>
      </c>
      <c r="AD1488" s="1" t="s">
        <v>5137</v>
      </c>
      <c r="AE1488" s="1" t="s">
        <v>14561</v>
      </c>
      <c r="AF1488" s="1">
        <v>1990</v>
      </c>
      <c r="AG1488" s="1" t="s">
        <v>204</v>
      </c>
      <c r="AH1488" s="1" t="s">
        <v>1214</v>
      </c>
      <c r="AI1488" s="1" t="s">
        <v>310</v>
      </c>
      <c r="AJ1488" s="1" t="s">
        <v>374</v>
      </c>
      <c r="AL1488" s="1">
        <v>5</v>
      </c>
      <c r="AM1488" s="1">
        <v>2</v>
      </c>
      <c r="AN1488" s="1">
        <v>1</v>
      </c>
      <c r="AO1488" s="1">
        <v>1</v>
      </c>
      <c r="AP1488" s="1" t="s">
        <v>209</v>
      </c>
      <c r="AR1488" s="1" t="s">
        <v>210</v>
      </c>
      <c r="AS1488" s="1" t="s">
        <v>204</v>
      </c>
      <c r="AT1488" s="1" t="s">
        <v>211</v>
      </c>
      <c r="AU1488" s="1">
        <v>1</v>
      </c>
      <c r="AW1488" s="1" t="s">
        <v>204</v>
      </c>
      <c r="AX1488" s="1" t="s">
        <v>1813</v>
      </c>
      <c r="AZ1488" s="1">
        <v>2228</v>
      </c>
      <c r="BA1488" s="1">
        <v>2013</v>
      </c>
      <c r="BB1488" s="1" t="s">
        <v>405</v>
      </c>
      <c r="BE1488" s="1">
        <v>0</v>
      </c>
      <c r="BF1488" s="1">
        <v>1</v>
      </c>
      <c r="BG1488" s="1">
        <v>0</v>
      </c>
      <c r="BL1488" s="1">
        <v>215</v>
      </c>
      <c r="BM1488" s="1" t="s">
        <v>204</v>
      </c>
      <c r="BN1488" s="1" t="s">
        <v>213</v>
      </c>
      <c r="BO1488" s="1">
        <v>20</v>
      </c>
      <c r="BP1488" s="1" t="s">
        <v>204</v>
      </c>
      <c r="BR1488" s="1" t="str">
        <f>"06243120360000"</f>
        <v>06243120360000</v>
      </c>
      <c r="BT1488" s="1" t="s">
        <v>14562</v>
      </c>
      <c r="BU1488" s="1" t="s">
        <v>10704</v>
      </c>
      <c r="BV1488" s="1" t="s">
        <v>3557</v>
      </c>
      <c r="BW1488" s="1" t="s">
        <v>1217</v>
      </c>
      <c r="BX1488" s="1">
        <v>46</v>
      </c>
      <c r="BY1488" s="1">
        <v>46</v>
      </c>
      <c r="BZ1488" s="1">
        <v>46</v>
      </c>
      <c r="CB1488" s="1" t="str">
        <f>"10"</f>
        <v>10</v>
      </c>
      <c r="CC1488" s="1" t="str">
        <f>"0"</f>
        <v>0</v>
      </c>
      <c r="CD1488" s="1">
        <v>27</v>
      </c>
      <c r="CE1488" s="1">
        <v>0</v>
      </c>
      <c r="CG1488" s="1" t="s">
        <v>538</v>
      </c>
      <c r="CH1488" s="1" t="s">
        <v>219</v>
      </c>
      <c r="CI1488" s="1" t="s">
        <v>229</v>
      </c>
      <c r="CK1488" s="1" t="s">
        <v>315</v>
      </c>
      <c r="CL1488" s="1" t="s">
        <v>277</v>
      </c>
      <c r="CM1488" s="1" t="s">
        <v>220</v>
      </c>
      <c r="CO1488" s="1" t="s">
        <v>516</v>
      </c>
      <c r="CP1488" s="1" t="s">
        <v>219</v>
      </c>
      <c r="CQ1488" s="1" t="s">
        <v>229</v>
      </c>
      <c r="CS1488" s="1" t="s">
        <v>1358</v>
      </c>
      <c r="CT1488" s="1" t="s">
        <v>277</v>
      </c>
      <c r="CU1488" s="1" t="s">
        <v>220</v>
      </c>
      <c r="CX1488" s="1" t="s">
        <v>224</v>
      </c>
      <c r="DB1488" s="1" t="s">
        <v>224</v>
      </c>
      <c r="DE1488" s="1" t="s">
        <v>316</v>
      </c>
      <c r="DF1488" s="1" t="s">
        <v>219</v>
      </c>
      <c r="DG1488" s="1" t="s">
        <v>229</v>
      </c>
      <c r="DJ1488" s="1" t="s">
        <v>224</v>
      </c>
      <c r="DS1488" s="1" t="s">
        <v>230</v>
      </c>
      <c r="DW1488" s="1" t="s">
        <v>230</v>
      </c>
      <c r="EA1488" s="1" t="s">
        <v>230</v>
      </c>
      <c r="EE1488" s="1" t="s">
        <v>230</v>
      </c>
      <c r="EI1488" s="1" t="s">
        <v>230</v>
      </c>
      <c r="EL1488" s="1" t="s">
        <v>382</v>
      </c>
      <c r="EM1488" s="1" t="s">
        <v>319</v>
      </c>
      <c r="EN1488" s="1" t="s">
        <v>282</v>
      </c>
      <c r="EO1488" s="1" t="s">
        <v>234</v>
      </c>
      <c r="EP1488" s="1" t="s">
        <v>467</v>
      </c>
      <c r="EQ1488" s="1" t="s">
        <v>492</v>
      </c>
      <c r="ER1488" s="1" t="s">
        <v>383</v>
      </c>
      <c r="ES1488" s="1" t="s">
        <v>1552</v>
      </c>
      <c r="EU1488" s="1" t="s">
        <v>239</v>
      </c>
      <c r="EV1488" s="1" t="s">
        <v>240</v>
      </c>
      <c r="EW1488" s="1" t="s">
        <v>14563</v>
      </c>
      <c r="EZ1488" s="1" t="s">
        <v>287</v>
      </c>
      <c r="FB1488" s="1" t="s">
        <v>289</v>
      </c>
      <c r="FD1488" s="1" t="s">
        <v>246</v>
      </c>
      <c r="FE1488" s="1" t="s">
        <v>355</v>
      </c>
      <c r="FF1488" s="1" t="s">
        <v>248</v>
      </c>
      <c r="FH1488" s="1" t="s">
        <v>550</v>
      </c>
      <c r="FI1488" s="1" t="s">
        <v>473</v>
      </c>
      <c r="FL1488" s="1" t="s">
        <v>358</v>
      </c>
      <c r="FM1488" s="1" t="s">
        <v>252</v>
      </c>
      <c r="FN1488" s="1" t="s">
        <v>213</v>
      </c>
      <c r="FO1488" s="1" t="s">
        <v>213</v>
      </c>
      <c r="FQ1488" s="1" t="s">
        <v>14564</v>
      </c>
      <c r="FR1488" s="1" t="s">
        <v>210</v>
      </c>
      <c r="FS1488" s="1" t="s">
        <v>14565</v>
      </c>
      <c r="FT1488" s="1" t="s">
        <v>295</v>
      </c>
      <c r="FU1488" s="1" t="s">
        <v>204</v>
      </c>
      <c r="FW1488" s="1" t="s">
        <v>1637</v>
      </c>
      <c r="FX1488" s="1">
        <v>8059</v>
      </c>
      <c r="FY1488" s="1" t="s">
        <v>2034</v>
      </c>
      <c r="FZ1488" s="1" t="s">
        <v>14566</v>
      </c>
      <c r="GA1488" s="1">
        <v>87845</v>
      </c>
      <c r="GB1488" s="1" t="s">
        <v>14567</v>
      </c>
      <c r="GE1488" s="1" t="s">
        <v>210</v>
      </c>
      <c r="GI1488" s="1" t="s">
        <v>213</v>
      </c>
      <c r="GJ1488" s="1" t="s">
        <v>260</v>
      </c>
      <c r="GK1488" s="1" t="s">
        <v>210</v>
      </c>
      <c r="GL1488" s="2">
        <v>42146</v>
      </c>
      <c r="GM1488" s="1" t="s">
        <v>14568</v>
      </c>
    </row>
    <row r="1489" spans="1:195">
      <c r="A1489" s="1">
        <v>193700</v>
      </c>
      <c r="B1489" s="1" t="s">
        <v>195</v>
      </c>
      <c r="C1489" s="1" t="str">
        <f>"08884306"</f>
        <v>08884306</v>
      </c>
      <c r="D1489" s="1" t="s">
        <v>196</v>
      </c>
      <c r="F1489" s="1" t="str">
        <f>"514"</f>
        <v>514</v>
      </c>
      <c r="G1489" s="2">
        <v>42102</v>
      </c>
      <c r="H1489" s="1">
        <v>199900</v>
      </c>
      <c r="I1489" s="1">
        <v>199900</v>
      </c>
      <c r="J1489" s="1">
        <v>193700</v>
      </c>
      <c r="K1489" s="2">
        <v>42102</v>
      </c>
      <c r="L1489" s="1">
        <v>2</v>
      </c>
      <c r="M1489" s="2">
        <v>42103</v>
      </c>
      <c r="N1489" s="1">
        <v>2</v>
      </c>
      <c r="O1489" s="2">
        <v>42103</v>
      </c>
      <c r="P1489" s="1">
        <v>22097</v>
      </c>
      <c r="Q1489" s="1" t="s">
        <v>302</v>
      </c>
      <c r="R1489" s="2">
        <v>42125</v>
      </c>
      <c r="S1489" s="1">
        <v>223564</v>
      </c>
      <c r="U1489" s="1">
        <v>326</v>
      </c>
      <c r="V1489" s="1" t="s">
        <v>2690</v>
      </c>
      <c r="W1489" s="1" t="s">
        <v>425</v>
      </c>
      <c r="X1489" s="1">
        <v>35</v>
      </c>
      <c r="Y1489" s="1">
        <v>32</v>
      </c>
      <c r="Z1489" s="1" t="s">
        <v>249</v>
      </c>
      <c r="AA1489" s="1" t="s">
        <v>2691</v>
      </c>
      <c r="AB1489" s="1">
        <v>60514</v>
      </c>
      <c r="AE1489" s="1" t="s">
        <v>14569</v>
      </c>
      <c r="AF1489" s="1">
        <v>1987</v>
      </c>
      <c r="AG1489" s="1" t="s">
        <v>204</v>
      </c>
      <c r="AH1489" s="1" t="s">
        <v>903</v>
      </c>
      <c r="AI1489" s="1" t="s">
        <v>206</v>
      </c>
      <c r="AJ1489" s="1" t="s">
        <v>903</v>
      </c>
      <c r="AL1489" s="1">
        <v>6</v>
      </c>
      <c r="AM1489" s="1">
        <v>2</v>
      </c>
      <c r="AN1489" s="1">
        <v>2</v>
      </c>
      <c r="AO1489" s="1">
        <v>0</v>
      </c>
      <c r="AP1489" s="1" t="s">
        <v>209</v>
      </c>
      <c r="AR1489" s="1" t="s">
        <v>210</v>
      </c>
      <c r="AS1489" s="1" t="s">
        <v>204</v>
      </c>
      <c r="AT1489" s="1" t="s">
        <v>211</v>
      </c>
      <c r="AU1489" s="1">
        <v>2</v>
      </c>
      <c r="AW1489" s="1" t="s">
        <v>204</v>
      </c>
      <c r="AX1489" s="1" t="s">
        <v>212</v>
      </c>
      <c r="AZ1489" s="1">
        <v>2369</v>
      </c>
      <c r="BA1489" s="1">
        <v>2013</v>
      </c>
      <c r="BB1489" s="1" t="s">
        <v>599</v>
      </c>
      <c r="BE1489" s="1">
        <v>1355</v>
      </c>
      <c r="BF1489" s="1">
        <v>3</v>
      </c>
      <c r="BG1489" s="1">
        <v>0</v>
      </c>
      <c r="BL1489" s="1">
        <v>246</v>
      </c>
      <c r="BM1489" s="1" t="s">
        <v>204</v>
      </c>
      <c r="BN1489" s="1" t="s">
        <v>204</v>
      </c>
      <c r="BP1489" s="1" t="s">
        <v>204</v>
      </c>
      <c r="BR1489" s="1" t="str">
        <f>"0910413061"</f>
        <v>0910413061</v>
      </c>
      <c r="BT1489" s="1" t="s">
        <v>14570</v>
      </c>
      <c r="BU1489" s="1" t="s">
        <v>2696</v>
      </c>
      <c r="BV1489" s="1" t="s">
        <v>2697</v>
      </c>
      <c r="BW1489" s="1" t="s">
        <v>1546</v>
      </c>
      <c r="BX1489" s="1">
        <v>181</v>
      </c>
      <c r="BY1489" s="1">
        <v>181</v>
      </c>
      <c r="BZ1489" s="1">
        <v>86</v>
      </c>
      <c r="CB1489" s="1" t="str">
        <f t="shared" ref="CB1489:CC1489" si="1137">""</f>
        <v/>
      </c>
      <c r="CC1489" s="1" t="str">
        <f t="shared" si="1137"/>
        <v/>
      </c>
      <c r="CG1489" s="1" t="s">
        <v>14571</v>
      </c>
      <c r="CH1489" s="1" t="s">
        <v>219</v>
      </c>
      <c r="CI1489" s="1" t="s">
        <v>220</v>
      </c>
      <c r="CK1489" s="1" t="s">
        <v>280</v>
      </c>
      <c r="CL1489" s="1" t="s">
        <v>219</v>
      </c>
      <c r="CM1489" s="1" t="s">
        <v>220</v>
      </c>
      <c r="CO1489" s="1" t="s">
        <v>629</v>
      </c>
      <c r="CP1489" s="1" t="s">
        <v>219</v>
      </c>
      <c r="CQ1489" s="1" t="s">
        <v>220</v>
      </c>
      <c r="CS1489" s="1" t="s">
        <v>1046</v>
      </c>
      <c r="CT1489" s="1" t="s">
        <v>219</v>
      </c>
      <c r="CU1489" s="1" t="s">
        <v>220</v>
      </c>
      <c r="CX1489" s="1" t="s">
        <v>224</v>
      </c>
      <c r="DB1489" s="1" t="s">
        <v>224</v>
      </c>
      <c r="DE1489" s="1" t="s">
        <v>2982</v>
      </c>
      <c r="DF1489" s="1" t="s">
        <v>219</v>
      </c>
      <c r="DG1489" s="1" t="s">
        <v>229</v>
      </c>
      <c r="DJ1489" s="1" t="s">
        <v>224</v>
      </c>
      <c r="DM1489" s="1" t="s">
        <v>1548</v>
      </c>
      <c r="DN1489" s="1" t="s">
        <v>709</v>
      </c>
      <c r="DR1489" s="1" t="s">
        <v>4999</v>
      </c>
      <c r="DS1489" s="1" t="s">
        <v>219</v>
      </c>
      <c r="DT1489" s="1" t="s">
        <v>229</v>
      </c>
      <c r="DV1489" s="1" t="s">
        <v>410</v>
      </c>
      <c r="DW1489" s="1" t="s">
        <v>219</v>
      </c>
      <c r="DX1489" s="1" t="s">
        <v>229</v>
      </c>
      <c r="EA1489" s="1" t="s">
        <v>230</v>
      </c>
      <c r="EE1489" s="1" t="s">
        <v>230</v>
      </c>
      <c r="EI1489" s="1" t="s">
        <v>230</v>
      </c>
      <c r="EL1489" s="1" t="s">
        <v>542</v>
      </c>
      <c r="EM1489" s="1" t="s">
        <v>232</v>
      </c>
      <c r="EN1489" s="1" t="s">
        <v>282</v>
      </c>
      <c r="EO1489" s="1" t="s">
        <v>234</v>
      </c>
      <c r="ER1489" s="1" t="s">
        <v>210</v>
      </c>
      <c r="EW1489" s="1" t="s">
        <v>887</v>
      </c>
      <c r="EZ1489" s="1" t="s">
        <v>10789</v>
      </c>
      <c r="FD1489" s="1" t="s">
        <v>1112</v>
      </c>
      <c r="FE1489" s="1" t="s">
        <v>247</v>
      </c>
      <c r="FF1489" s="1" t="s">
        <v>248</v>
      </c>
      <c r="FH1489" s="1" t="s">
        <v>5778</v>
      </c>
      <c r="FL1489" s="1" t="s">
        <v>292</v>
      </c>
      <c r="FM1489" s="1" t="s">
        <v>252</v>
      </c>
      <c r="FN1489" s="1" t="s">
        <v>213</v>
      </c>
      <c r="FO1489" s="1" t="s">
        <v>213</v>
      </c>
      <c r="FQ1489" s="1" t="s">
        <v>569</v>
      </c>
      <c r="FR1489" s="1" t="s">
        <v>210</v>
      </c>
      <c r="FS1489" s="1" t="s">
        <v>14572</v>
      </c>
      <c r="FT1489" s="1" t="s">
        <v>295</v>
      </c>
      <c r="FU1489" s="1" t="s">
        <v>204</v>
      </c>
      <c r="FW1489" s="1" t="s">
        <v>1559</v>
      </c>
      <c r="FX1489" s="1">
        <v>24587</v>
      </c>
      <c r="FY1489" s="1" t="s">
        <v>6179</v>
      </c>
      <c r="FZ1489" s="1" t="s">
        <v>14573</v>
      </c>
      <c r="GA1489" s="1">
        <v>239357</v>
      </c>
      <c r="GB1489" s="1" t="s">
        <v>14574</v>
      </c>
      <c r="GC1489" s="1">
        <v>243043</v>
      </c>
      <c r="GE1489" s="1" t="s">
        <v>1333</v>
      </c>
      <c r="GI1489" s="1" t="s">
        <v>213</v>
      </c>
      <c r="GJ1489" s="1" t="s">
        <v>260</v>
      </c>
      <c r="GK1489" s="1" t="s">
        <v>210</v>
      </c>
      <c r="GL1489" s="2">
        <v>42125</v>
      </c>
      <c r="GM1489" s="1" t="s">
        <v>14575</v>
      </c>
    </row>
    <row r="1490" spans="1:195">
      <c r="A1490" s="1">
        <v>91500</v>
      </c>
      <c r="B1490" s="1" t="s">
        <v>195</v>
      </c>
      <c r="C1490" s="1" t="str">
        <f>"08878732"</f>
        <v>08878732</v>
      </c>
      <c r="D1490" s="1" t="s">
        <v>196</v>
      </c>
      <c r="F1490" s="1" t="str">
        <f>"540"</f>
        <v>540</v>
      </c>
      <c r="G1490" s="2">
        <v>42096</v>
      </c>
      <c r="H1490" s="1">
        <v>93000</v>
      </c>
      <c r="I1490" s="1">
        <v>93000</v>
      </c>
      <c r="J1490" s="1">
        <v>91500</v>
      </c>
      <c r="K1490" s="2">
        <v>42096</v>
      </c>
      <c r="L1490" s="1">
        <v>75</v>
      </c>
      <c r="M1490" s="2">
        <v>42102</v>
      </c>
      <c r="N1490" s="1">
        <v>7</v>
      </c>
      <c r="O1490" s="2">
        <v>42102</v>
      </c>
      <c r="P1490" s="1">
        <v>23030</v>
      </c>
      <c r="Q1490" s="1" t="s">
        <v>302</v>
      </c>
      <c r="R1490" s="2">
        <v>42130</v>
      </c>
      <c r="S1490" s="1">
        <v>230633</v>
      </c>
      <c r="U1490" s="1">
        <v>1056</v>
      </c>
      <c r="V1490" s="1" t="s">
        <v>4657</v>
      </c>
      <c r="W1490" s="1" t="s">
        <v>725</v>
      </c>
      <c r="X1490" s="1">
        <v>310</v>
      </c>
      <c r="Y1490" s="1">
        <v>35</v>
      </c>
      <c r="Z1490" s="1" t="s">
        <v>249</v>
      </c>
      <c r="AA1490" s="1" t="s">
        <v>921</v>
      </c>
      <c r="AB1490" s="1">
        <v>60563</v>
      </c>
      <c r="AD1490" s="1" t="s">
        <v>9285</v>
      </c>
      <c r="AE1490" s="1" t="s">
        <v>14576</v>
      </c>
      <c r="AF1490" s="1">
        <v>1980</v>
      </c>
      <c r="AG1490" s="1" t="s">
        <v>204</v>
      </c>
      <c r="AH1490" s="1" t="s">
        <v>924</v>
      </c>
      <c r="AI1490" s="1" t="s">
        <v>206</v>
      </c>
      <c r="AJ1490" s="1" t="s">
        <v>924</v>
      </c>
      <c r="AL1490" s="1">
        <v>5</v>
      </c>
      <c r="AM1490" s="1">
        <v>2</v>
      </c>
      <c r="AN1490" s="1">
        <v>1</v>
      </c>
      <c r="AO1490" s="1">
        <v>1</v>
      </c>
      <c r="AP1490" s="1" t="s">
        <v>1234</v>
      </c>
      <c r="AQ1490" s="1">
        <v>0</v>
      </c>
      <c r="AR1490" s="1" t="s">
        <v>210</v>
      </c>
      <c r="AS1490" s="1" t="s">
        <v>204</v>
      </c>
      <c r="AT1490" s="1" t="s">
        <v>271</v>
      </c>
      <c r="AV1490" s="1">
        <v>2</v>
      </c>
      <c r="AW1490" s="1" t="s">
        <v>204</v>
      </c>
      <c r="AX1490" s="1" t="s">
        <v>212</v>
      </c>
      <c r="AZ1490" s="1">
        <v>2181.92</v>
      </c>
      <c r="BA1490" s="1">
        <v>2013</v>
      </c>
      <c r="BB1490" s="1" t="s">
        <v>405</v>
      </c>
      <c r="BE1490" s="1">
        <v>1080</v>
      </c>
      <c r="BF1490" s="1">
        <v>3</v>
      </c>
      <c r="BG1490" s="1">
        <v>0</v>
      </c>
      <c r="BL1490" s="1">
        <v>336</v>
      </c>
      <c r="BM1490" s="1" t="s">
        <v>204</v>
      </c>
      <c r="BN1490" s="1" t="s">
        <v>213</v>
      </c>
      <c r="BO1490" s="1">
        <v>20</v>
      </c>
      <c r="BP1490" s="1" t="s">
        <v>204</v>
      </c>
      <c r="BR1490" s="1" t="str">
        <f>"0712426276"</f>
        <v>0712426276</v>
      </c>
      <c r="BT1490" s="1" t="s">
        <v>14577</v>
      </c>
      <c r="BU1490" s="1" t="s">
        <v>2823</v>
      </c>
      <c r="BV1490" s="1" t="s">
        <v>2824</v>
      </c>
      <c r="BW1490" s="1" t="s">
        <v>2825</v>
      </c>
      <c r="BX1490" s="1">
        <v>203</v>
      </c>
      <c r="BY1490" s="1">
        <v>203</v>
      </c>
      <c r="BZ1490" s="1">
        <v>203</v>
      </c>
      <c r="CB1490" s="1" t="str">
        <f t="shared" ref="CB1490:CC1490" si="1138">"0"</f>
        <v>0</v>
      </c>
      <c r="CC1490" s="1" t="str">
        <f t="shared" si="1138"/>
        <v>0</v>
      </c>
      <c r="CD1490" s="1">
        <v>27</v>
      </c>
      <c r="CE1490" s="1">
        <v>6</v>
      </c>
      <c r="CG1490" s="1" t="s">
        <v>2042</v>
      </c>
      <c r="CH1490" s="1" t="s">
        <v>784</v>
      </c>
      <c r="CK1490" s="1" t="s">
        <v>344</v>
      </c>
      <c r="CL1490" s="1" t="s">
        <v>784</v>
      </c>
      <c r="CO1490" s="1" t="s">
        <v>348</v>
      </c>
      <c r="CP1490" s="1" t="s">
        <v>784</v>
      </c>
      <c r="CS1490" s="1" t="s">
        <v>1297</v>
      </c>
      <c r="CT1490" s="1" t="s">
        <v>784</v>
      </c>
      <c r="CX1490" s="1" t="s">
        <v>224</v>
      </c>
      <c r="DB1490" s="1" t="s">
        <v>224</v>
      </c>
      <c r="DE1490" s="1" t="s">
        <v>316</v>
      </c>
      <c r="DF1490" s="1" t="s">
        <v>784</v>
      </c>
      <c r="DJ1490" s="1" t="s">
        <v>224</v>
      </c>
      <c r="DS1490" s="1" t="s">
        <v>230</v>
      </c>
      <c r="DW1490" s="1" t="s">
        <v>230</v>
      </c>
      <c r="EA1490" s="1" t="s">
        <v>230</v>
      </c>
      <c r="EE1490" s="1" t="s">
        <v>230</v>
      </c>
      <c r="EI1490" s="1" t="s">
        <v>230</v>
      </c>
      <c r="EL1490" s="1" t="s">
        <v>231</v>
      </c>
      <c r="EM1490" s="1" t="s">
        <v>232</v>
      </c>
      <c r="EN1490" s="1" t="s">
        <v>731</v>
      </c>
      <c r="EO1490" s="1" t="s">
        <v>234</v>
      </c>
      <c r="EP1490" s="1" t="s">
        <v>4661</v>
      </c>
      <c r="ER1490" s="1" t="s">
        <v>210</v>
      </c>
      <c r="EU1490" s="1" t="s">
        <v>239</v>
      </c>
      <c r="EV1490" s="1" t="s">
        <v>240</v>
      </c>
      <c r="EW1490" s="1" t="s">
        <v>4662</v>
      </c>
      <c r="EZ1490" s="1" t="s">
        <v>287</v>
      </c>
      <c r="FB1490" s="1" t="s">
        <v>1755</v>
      </c>
      <c r="FD1490" s="1" t="s">
        <v>290</v>
      </c>
      <c r="FE1490" s="1" t="s">
        <v>247</v>
      </c>
      <c r="FF1490" s="1" t="s">
        <v>248</v>
      </c>
      <c r="FH1490" s="1" t="s">
        <v>249</v>
      </c>
      <c r="FL1490" s="1" t="s">
        <v>2233</v>
      </c>
      <c r="FM1490" s="1" t="s">
        <v>252</v>
      </c>
      <c r="FN1490" s="1" t="s">
        <v>213</v>
      </c>
      <c r="FO1490" s="1" t="s">
        <v>213</v>
      </c>
      <c r="FQ1490" s="1" t="s">
        <v>3415</v>
      </c>
      <c r="FR1490" s="1" t="s">
        <v>210</v>
      </c>
      <c r="FS1490" s="1" t="s">
        <v>14578</v>
      </c>
      <c r="FT1490" s="1" t="s">
        <v>295</v>
      </c>
      <c r="FU1490" s="1" t="s">
        <v>213</v>
      </c>
      <c r="FW1490" s="1" t="s">
        <v>4666</v>
      </c>
      <c r="FX1490" s="1">
        <v>26148</v>
      </c>
      <c r="FY1490" s="1" t="s">
        <v>6594</v>
      </c>
      <c r="FZ1490" s="1" t="s">
        <v>4668</v>
      </c>
      <c r="GA1490" s="1">
        <v>242554</v>
      </c>
      <c r="GE1490" s="1" t="s">
        <v>210</v>
      </c>
      <c r="GH1490" s="1" t="s">
        <v>230</v>
      </c>
      <c r="GI1490" s="1" t="s">
        <v>213</v>
      </c>
      <c r="GJ1490" s="1" t="s">
        <v>260</v>
      </c>
      <c r="GK1490" s="1" t="s">
        <v>210</v>
      </c>
      <c r="GL1490" s="2">
        <v>42131</v>
      </c>
    </row>
    <row r="1491" spans="1:195">
      <c r="A1491" s="1">
        <v>118900</v>
      </c>
      <c r="B1491" s="1" t="s">
        <v>195</v>
      </c>
      <c r="C1491" s="1" t="str">
        <f>"08882837"</f>
        <v>08882837</v>
      </c>
      <c r="D1491" s="1" t="s">
        <v>196</v>
      </c>
      <c r="F1491" s="1" t="str">
        <f>"507"</f>
        <v>507</v>
      </c>
      <c r="G1491" s="2">
        <v>42100</v>
      </c>
      <c r="H1491" s="1">
        <v>118900</v>
      </c>
      <c r="I1491" s="1">
        <v>118900</v>
      </c>
      <c r="J1491" s="1">
        <v>118900</v>
      </c>
      <c r="K1491" s="2">
        <v>42100</v>
      </c>
      <c r="L1491" s="1">
        <v>3</v>
      </c>
      <c r="M1491" s="2">
        <v>42102</v>
      </c>
      <c r="N1491" s="1">
        <v>3</v>
      </c>
      <c r="O1491" s="2">
        <v>42102</v>
      </c>
      <c r="P1491" s="1">
        <v>22737</v>
      </c>
      <c r="Q1491" s="1" t="s">
        <v>423</v>
      </c>
      <c r="R1491" s="2">
        <v>42138</v>
      </c>
      <c r="S1491" s="1">
        <v>257004</v>
      </c>
      <c r="U1491" s="1">
        <v>2905</v>
      </c>
      <c r="V1491" s="1" t="s">
        <v>6849</v>
      </c>
      <c r="W1491" s="1" t="s">
        <v>504</v>
      </c>
      <c r="Y1491" s="1">
        <v>4</v>
      </c>
      <c r="Z1491" s="1" t="s">
        <v>370</v>
      </c>
      <c r="AA1491" s="1" t="s">
        <v>1123</v>
      </c>
      <c r="AB1491" s="1">
        <v>60504</v>
      </c>
      <c r="AD1491" s="1" t="s">
        <v>9418</v>
      </c>
      <c r="AE1491" s="1" t="s">
        <v>14579</v>
      </c>
      <c r="AF1491" s="1">
        <v>1995</v>
      </c>
      <c r="AG1491" s="1" t="s">
        <v>204</v>
      </c>
      <c r="AH1491" s="1" t="s">
        <v>1126</v>
      </c>
      <c r="AI1491" s="1" t="s">
        <v>206</v>
      </c>
      <c r="AJ1491" s="1" t="s">
        <v>924</v>
      </c>
      <c r="AL1491" s="1">
        <v>7</v>
      </c>
      <c r="AM1491" s="1">
        <v>2</v>
      </c>
      <c r="AN1491" s="1">
        <v>1</v>
      </c>
      <c r="AO1491" s="1">
        <v>1</v>
      </c>
      <c r="AP1491" s="1" t="s">
        <v>667</v>
      </c>
      <c r="AR1491" s="1" t="s">
        <v>2165</v>
      </c>
      <c r="AS1491" s="1" t="s">
        <v>204</v>
      </c>
      <c r="AT1491" s="1" t="s">
        <v>211</v>
      </c>
      <c r="AU1491" s="1">
        <v>2</v>
      </c>
      <c r="AW1491" s="1" t="s">
        <v>204</v>
      </c>
      <c r="AX1491" s="1" t="s">
        <v>212</v>
      </c>
      <c r="AZ1491" s="1">
        <v>2693.64</v>
      </c>
      <c r="BA1491" s="1">
        <v>2013</v>
      </c>
      <c r="BB1491" s="1" t="s">
        <v>405</v>
      </c>
      <c r="BE1491" s="1">
        <v>1436</v>
      </c>
      <c r="BF1491" s="1">
        <v>1</v>
      </c>
      <c r="BG1491" s="1">
        <v>0</v>
      </c>
      <c r="BL1491" s="1">
        <v>235</v>
      </c>
      <c r="BM1491" s="1" t="s">
        <v>204</v>
      </c>
      <c r="BN1491" s="1" t="s">
        <v>213</v>
      </c>
      <c r="BO1491" s="1">
        <v>999</v>
      </c>
      <c r="BP1491" s="1" t="s">
        <v>204</v>
      </c>
      <c r="BR1491" s="1" t="str">
        <f>"0729329003"</f>
        <v>0729329003</v>
      </c>
      <c r="BT1491" s="1" t="s">
        <v>14580</v>
      </c>
      <c r="BU1491" s="1" t="s">
        <v>1647</v>
      </c>
      <c r="BV1491" s="1" t="s">
        <v>1130</v>
      </c>
      <c r="BW1491" s="1" t="s">
        <v>1312</v>
      </c>
      <c r="BX1491" s="1">
        <v>204</v>
      </c>
      <c r="BY1491" s="1">
        <v>204</v>
      </c>
      <c r="BZ1491" s="1">
        <v>204</v>
      </c>
      <c r="CB1491" s="1" t="str">
        <f t="shared" ref="CB1491:CC1491" si="1139">""</f>
        <v/>
      </c>
      <c r="CC1491" s="1" t="str">
        <f t="shared" si="1139"/>
        <v/>
      </c>
      <c r="CG1491" s="1" t="s">
        <v>931</v>
      </c>
      <c r="CH1491" s="1" t="s">
        <v>277</v>
      </c>
      <c r="CI1491" s="1" t="s">
        <v>229</v>
      </c>
      <c r="CK1491" s="1" t="s">
        <v>437</v>
      </c>
      <c r="CL1491" s="1" t="s">
        <v>784</v>
      </c>
      <c r="CM1491" s="1" t="s">
        <v>220</v>
      </c>
      <c r="CN1491" s="1" t="s">
        <v>343</v>
      </c>
      <c r="CO1491" s="1" t="s">
        <v>629</v>
      </c>
      <c r="CP1491" s="1" t="s">
        <v>277</v>
      </c>
      <c r="CQ1491" s="1" t="s">
        <v>229</v>
      </c>
      <c r="CS1491" s="1" t="s">
        <v>346</v>
      </c>
      <c r="CT1491" s="1" t="s">
        <v>784</v>
      </c>
      <c r="CU1491" s="1" t="s">
        <v>220</v>
      </c>
      <c r="CV1491" s="1" t="s">
        <v>343</v>
      </c>
      <c r="CX1491" s="1" t="s">
        <v>224</v>
      </c>
      <c r="DB1491" s="1" t="s">
        <v>224</v>
      </c>
      <c r="DE1491" s="1" t="s">
        <v>315</v>
      </c>
      <c r="DF1491" s="1" t="s">
        <v>277</v>
      </c>
      <c r="DG1491" s="1" t="s">
        <v>226</v>
      </c>
      <c r="DH1491" s="1" t="s">
        <v>343</v>
      </c>
      <c r="DI1491" s="1" t="s">
        <v>318</v>
      </c>
      <c r="DJ1491" s="1" t="s">
        <v>822</v>
      </c>
      <c r="DK1491" s="1" t="s">
        <v>229</v>
      </c>
      <c r="DL1491" s="1" t="s">
        <v>343</v>
      </c>
      <c r="DM1491" s="1" t="s">
        <v>464</v>
      </c>
      <c r="DR1491" s="1" t="s">
        <v>821</v>
      </c>
      <c r="DS1491" s="1" t="s">
        <v>784</v>
      </c>
      <c r="DT1491" s="1" t="s">
        <v>229</v>
      </c>
      <c r="DU1491" s="1" t="s">
        <v>343</v>
      </c>
      <c r="DW1491" s="1" t="s">
        <v>230</v>
      </c>
      <c r="EA1491" s="1" t="s">
        <v>230</v>
      </c>
      <c r="EE1491" s="1" t="s">
        <v>230</v>
      </c>
      <c r="EI1491" s="1" t="s">
        <v>230</v>
      </c>
      <c r="EL1491" s="1" t="s">
        <v>670</v>
      </c>
      <c r="EM1491" s="1" t="s">
        <v>319</v>
      </c>
      <c r="EN1491" s="1" t="s">
        <v>282</v>
      </c>
      <c r="EO1491" s="1" t="s">
        <v>840</v>
      </c>
      <c r="EP1491" s="1" t="s">
        <v>650</v>
      </c>
      <c r="EQ1491" s="1" t="s">
        <v>236</v>
      </c>
      <c r="ER1491" s="1" t="s">
        <v>544</v>
      </c>
      <c r="ES1491" s="1" t="s">
        <v>1868</v>
      </c>
      <c r="EV1491" s="1" t="s">
        <v>240</v>
      </c>
      <c r="EW1491" s="1" t="s">
        <v>867</v>
      </c>
      <c r="EZ1491" s="1" t="s">
        <v>464</v>
      </c>
      <c r="FA1491" s="1" t="s">
        <v>1072</v>
      </c>
      <c r="FD1491" s="1" t="s">
        <v>246</v>
      </c>
      <c r="FE1491" s="1" t="s">
        <v>472</v>
      </c>
      <c r="FF1491" s="1" t="s">
        <v>248</v>
      </c>
      <c r="FH1491" s="1" t="s">
        <v>1428</v>
      </c>
      <c r="FI1491" s="1" t="s">
        <v>473</v>
      </c>
      <c r="FL1491" s="1" t="s">
        <v>358</v>
      </c>
      <c r="FM1491" s="1" t="s">
        <v>252</v>
      </c>
      <c r="FN1491" s="1" t="s">
        <v>213</v>
      </c>
      <c r="FO1491" s="1" t="s">
        <v>213</v>
      </c>
      <c r="FQ1491" s="1" t="s">
        <v>9535</v>
      </c>
      <c r="FR1491" s="1" t="s">
        <v>210</v>
      </c>
      <c r="FS1491" s="1" t="s">
        <v>2608</v>
      </c>
      <c r="FT1491" s="1" t="s">
        <v>362</v>
      </c>
      <c r="FU1491" s="1" t="s">
        <v>204</v>
      </c>
      <c r="FW1491" s="1" t="s">
        <v>14581</v>
      </c>
      <c r="FX1491" s="1">
        <v>25947</v>
      </c>
      <c r="FY1491" s="1" t="s">
        <v>14582</v>
      </c>
      <c r="FZ1491" s="1" t="s">
        <v>14583</v>
      </c>
      <c r="GA1491" s="1">
        <v>241036</v>
      </c>
      <c r="GB1491" s="1" t="s">
        <v>14582</v>
      </c>
      <c r="GE1491" s="1" t="s">
        <v>210</v>
      </c>
      <c r="GI1491" s="1" t="s">
        <v>213</v>
      </c>
      <c r="GJ1491" s="1" t="s">
        <v>260</v>
      </c>
      <c r="GK1491" s="1" t="s">
        <v>210</v>
      </c>
      <c r="GL1491" s="2">
        <v>42139</v>
      </c>
      <c r="GM1491" s="1" t="s">
        <v>14584</v>
      </c>
    </row>
    <row r="1492" spans="1:195">
      <c r="A1492" s="1">
        <v>190000</v>
      </c>
      <c r="B1492" s="1" t="s">
        <v>195</v>
      </c>
      <c r="C1492" s="1" t="str">
        <f>"08883007"</f>
        <v>08883007</v>
      </c>
      <c r="D1492" s="1" t="s">
        <v>196</v>
      </c>
      <c r="F1492" s="1" t="str">
        <f>"172"</f>
        <v>172</v>
      </c>
      <c r="G1492" s="2">
        <v>42101</v>
      </c>
      <c r="H1492" s="1">
        <v>209900</v>
      </c>
      <c r="I1492" s="1">
        <v>209900</v>
      </c>
      <c r="J1492" s="1">
        <v>190000</v>
      </c>
      <c r="K1492" s="2">
        <v>42101</v>
      </c>
      <c r="L1492" s="1">
        <v>15</v>
      </c>
      <c r="M1492" s="2">
        <v>42115</v>
      </c>
      <c r="N1492" s="1">
        <v>15</v>
      </c>
      <c r="O1492" s="2">
        <v>42115</v>
      </c>
      <c r="P1492" s="1">
        <v>25266</v>
      </c>
      <c r="Q1492" s="1" t="s">
        <v>197</v>
      </c>
      <c r="R1492" s="2">
        <v>42135</v>
      </c>
      <c r="S1492" s="1">
        <v>253443</v>
      </c>
      <c r="U1492" s="1">
        <v>225</v>
      </c>
      <c r="V1492" s="1" t="s">
        <v>4253</v>
      </c>
      <c r="W1492" s="1" t="s">
        <v>725</v>
      </c>
      <c r="X1492" s="1">
        <v>310</v>
      </c>
      <c r="Y1492" s="1">
        <v>62</v>
      </c>
      <c r="Z1492" s="1" t="s">
        <v>249</v>
      </c>
      <c r="AA1492" s="1" t="s">
        <v>266</v>
      </c>
      <c r="AB1492" s="1">
        <v>60172</v>
      </c>
      <c r="AE1492" s="1" t="s">
        <v>14585</v>
      </c>
      <c r="AF1492" s="1">
        <v>2007</v>
      </c>
      <c r="AG1492" s="1" t="s">
        <v>204</v>
      </c>
      <c r="AH1492" s="1" t="s">
        <v>3952</v>
      </c>
      <c r="AI1492" s="1" t="s">
        <v>206</v>
      </c>
      <c r="AJ1492" s="1" t="s">
        <v>269</v>
      </c>
      <c r="AL1492" s="1">
        <v>4</v>
      </c>
      <c r="AM1492" s="1">
        <v>2</v>
      </c>
      <c r="AN1492" s="1">
        <v>2</v>
      </c>
      <c r="AO1492" s="1">
        <v>0</v>
      </c>
      <c r="AP1492" s="1" t="s">
        <v>209</v>
      </c>
      <c r="AR1492" s="1" t="s">
        <v>210</v>
      </c>
      <c r="AS1492" s="1" t="s">
        <v>204</v>
      </c>
      <c r="AT1492" s="1" t="s">
        <v>375</v>
      </c>
      <c r="AU1492" s="1">
        <v>1</v>
      </c>
      <c r="AV1492" s="1">
        <v>1</v>
      </c>
      <c r="AW1492" s="1" t="s">
        <v>204</v>
      </c>
      <c r="AX1492" s="1" t="s">
        <v>212</v>
      </c>
      <c r="AZ1492" s="1">
        <v>3036</v>
      </c>
      <c r="BA1492" s="1">
        <v>2013</v>
      </c>
      <c r="BB1492" s="1" t="s">
        <v>405</v>
      </c>
      <c r="BE1492" s="1">
        <v>1243</v>
      </c>
      <c r="BF1492" s="1">
        <v>3</v>
      </c>
      <c r="BG1492" s="1">
        <v>0</v>
      </c>
      <c r="BL1492" s="1">
        <v>228</v>
      </c>
      <c r="BM1492" s="1" t="s">
        <v>204</v>
      </c>
      <c r="BN1492" s="1" t="s">
        <v>213</v>
      </c>
      <c r="BO1492" s="1">
        <v>60</v>
      </c>
      <c r="BP1492" s="1" t="s">
        <v>204</v>
      </c>
      <c r="BR1492" s="1" t="str">
        <f>"0203428038"</f>
        <v>0203428038</v>
      </c>
      <c r="BT1492" s="1" t="s">
        <v>14586</v>
      </c>
      <c r="BU1492" s="1" t="s">
        <v>9447</v>
      </c>
      <c r="BV1492" s="1" t="s">
        <v>9448</v>
      </c>
      <c r="BW1492" s="1" t="s">
        <v>275</v>
      </c>
      <c r="BX1492" s="1">
        <v>12</v>
      </c>
      <c r="BY1492" s="1">
        <v>12</v>
      </c>
      <c r="BZ1492" s="1">
        <v>108</v>
      </c>
      <c r="CB1492" s="1" t="str">
        <f t="shared" ref="CB1492:CC1492" si="1140">""</f>
        <v/>
      </c>
      <c r="CC1492" s="1" t="str">
        <f t="shared" si="1140"/>
        <v/>
      </c>
      <c r="CG1492" s="1" t="s">
        <v>1936</v>
      </c>
      <c r="CH1492" s="1" t="s">
        <v>219</v>
      </c>
      <c r="CI1492" s="1" t="s">
        <v>229</v>
      </c>
      <c r="CJ1492" s="1" t="s">
        <v>343</v>
      </c>
      <c r="CK1492" s="1" t="s">
        <v>315</v>
      </c>
      <c r="CL1492" s="1" t="s">
        <v>219</v>
      </c>
      <c r="CM1492" s="1" t="s">
        <v>229</v>
      </c>
      <c r="CN1492" s="1" t="s">
        <v>343</v>
      </c>
      <c r="CP1492" s="1" t="s">
        <v>224</v>
      </c>
      <c r="CS1492" s="1" t="s">
        <v>378</v>
      </c>
      <c r="CT1492" s="1" t="s">
        <v>219</v>
      </c>
      <c r="CU1492" s="1" t="s">
        <v>229</v>
      </c>
      <c r="CV1492" s="1" t="s">
        <v>343</v>
      </c>
      <c r="CX1492" s="1" t="s">
        <v>224</v>
      </c>
      <c r="DB1492" s="1" t="s">
        <v>224</v>
      </c>
      <c r="DE1492" s="1" t="s">
        <v>379</v>
      </c>
      <c r="DF1492" s="1" t="s">
        <v>219</v>
      </c>
      <c r="DG1492" s="1" t="s">
        <v>229</v>
      </c>
      <c r="DH1492" s="1" t="s">
        <v>210</v>
      </c>
      <c r="DJ1492" s="1" t="s">
        <v>224</v>
      </c>
      <c r="DS1492" s="1" t="s">
        <v>230</v>
      </c>
      <c r="DW1492" s="1" t="s">
        <v>230</v>
      </c>
      <c r="EA1492" s="1" t="s">
        <v>230</v>
      </c>
      <c r="EE1492" s="1" t="s">
        <v>230</v>
      </c>
      <c r="EI1492" s="1" t="s">
        <v>230</v>
      </c>
      <c r="EL1492" s="1" t="s">
        <v>491</v>
      </c>
      <c r="EM1492" s="1" t="s">
        <v>232</v>
      </c>
      <c r="EN1492" s="1" t="s">
        <v>282</v>
      </c>
      <c r="EO1492" s="1" t="s">
        <v>234</v>
      </c>
      <c r="EQ1492" s="1" t="s">
        <v>2188</v>
      </c>
      <c r="ER1492" s="1" t="s">
        <v>210</v>
      </c>
      <c r="ES1492" s="1" t="s">
        <v>493</v>
      </c>
      <c r="EW1492" s="1" t="s">
        <v>2765</v>
      </c>
      <c r="EZ1492" s="1" t="s">
        <v>287</v>
      </c>
      <c r="FA1492" s="1" t="s">
        <v>1072</v>
      </c>
      <c r="FD1492" s="1" t="s">
        <v>246</v>
      </c>
      <c r="FE1492" s="1" t="s">
        <v>247</v>
      </c>
      <c r="FF1492" s="1" t="s">
        <v>248</v>
      </c>
      <c r="FH1492" s="1" t="s">
        <v>249</v>
      </c>
      <c r="FJ1492" s="1" t="s">
        <v>1472</v>
      </c>
      <c r="FL1492" s="1" t="s">
        <v>358</v>
      </c>
      <c r="FM1492" s="1" t="s">
        <v>252</v>
      </c>
      <c r="FN1492" s="1" t="s">
        <v>213</v>
      </c>
      <c r="FO1492" s="1" t="s">
        <v>213</v>
      </c>
      <c r="FQ1492" s="1" t="s">
        <v>359</v>
      </c>
      <c r="FR1492" s="1" t="s">
        <v>210</v>
      </c>
      <c r="FS1492" s="1" t="s">
        <v>14587</v>
      </c>
      <c r="FT1492" s="1" t="s">
        <v>362</v>
      </c>
      <c r="FU1492" s="1" t="s">
        <v>204</v>
      </c>
      <c r="FW1492" s="1" t="s">
        <v>585</v>
      </c>
      <c r="FX1492" s="1">
        <v>8012</v>
      </c>
      <c r="FY1492" s="1" t="s">
        <v>7225</v>
      </c>
      <c r="FZ1492" s="1" t="s">
        <v>14588</v>
      </c>
      <c r="GA1492" s="1">
        <v>81371</v>
      </c>
      <c r="GB1492" s="1" t="s">
        <v>7225</v>
      </c>
      <c r="GE1492" s="1" t="s">
        <v>210</v>
      </c>
      <c r="GI1492" s="1" t="s">
        <v>213</v>
      </c>
      <c r="GJ1492" s="1" t="s">
        <v>260</v>
      </c>
      <c r="GK1492" s="1" t="s">
        <v>210</v>
      </c>
      <c r="GL1492" s="2">
        <v>42135</v>
      </c>
      <c r="GM1492" s="1" t="s">
        <v>14589</v>
      </c>
    </row>
    <row r="1493" spans="1:195">
      <c r="A1493" s="1">
        <v>185000</v>
      </c>
      <c r="B1493" s="1" t="s">
        <v>195</v>
      </c>
      <c r="C1493" s="1" t="str">
        <f>"08873511"</f>
        <v>08873511</v>
      </c>
      <c r="D1493" s="1" t="s">
        <v>196</v>
      </c>
      <c r="F1493" s="1" t="str">
        <f>"61"</f>
        <v>61</v>
      </c>
      <c r="G1493" s="2">
        <v>42090</v>
      </c>
      <c r="H1493" s="1">
        <v>194900</v>
      </c>
      <c r="I1493" s="1">
        <v>194900</v>
      </c>
      <c r="J1493" s="1">
        <v>185000</v>
      </c>
      <c r="K1493" s="2">
        <v>42090</v>
      </c>
      <c r="L1493" s="1">
        <v>11</v>
      </c>
      <c r="M1493" s="2">
        <v>42100</v>
      </c>
      <c r="N1493" s="1">
        <v>11</v>
      </c>
      <c r="O1493" s="2">
        <v>42100</v>
      </c>
      <c r="P1493" s="1">
        <v>18499</v>
      </c>
      <c r="Q1493" s="1" t="s">
        <v>197</v>
      </c>
      <c r="R1493" s="2">
        <v>42145</v>
      </c>
      <c r="S1493" s="1">
        <v>867844</v>
      </c>
      <c r="U1493" s="1">
        <v>622</v>
      </c>
      <c r="V1493" s="1" t="s">
        <v>4342</v>
      </c>
      <c r="W1493" s="1" t="s">
        <v>449</v>
      </c>
      <c r="Y1493" s="1">
        <v>4</v>
      </c>
      <c r="Z1493" s="1" t="s">
        <v>249</v>
      </c>
      <c r="AA1493" s="1" t="s">
        <v>505</v>
      </c>
      <c r="AB1493" s="1">
        <v>60061</v>
      </c>
      <c r="AD1493" s="1" t="s">
        <v>5040</v>
      </c>
      <c r="AE1493" s="1" t="s">
        <v>14590</v>
      </c>
      <c r="AF1493" s="1">
        <v>1992</v>
      </c>
      <c r="AG1493" s="1" t="s">
        <v>204</v>
      </c>
      <c r="AH1493" s="1" t="s">
        <v>508</v>
      </c>
      <c r="AI1493" s="1" t="s">
        <v>509</v>
      </c>
      <c r="AJ1493" s="1" t="s">
        <v>510</v>
      </c>
      <c r="AK1493" s="1" t="s">
        <v>11142</v>
      </c>
      <c r="AL1493" s="1">
        <v>6</v>
      </c>
      <c r="AM1493" s="1">
        <v>2</v>
      </c>
      <c r="AN1493" s="1">
        <v>2</v>
      </c>
      <c r="AO1493" s="1">
        <v>0</v>
      </c>
      <c r="AP1493" s="1" t="s">
        <v>209</v>
      </c>
      <c r="AQ1493" s="1">
        <v>1</v>
      </c>
      <c r="AR1493" s="1" t="s">
        <v>210</v>
      </c>
      <c r="AS1493" s="1" t="s">
        <v>204</v>
      </c>
      <c r="AT1493" s="1" t="s">
        <v>211</v>
      </c>
      <c r="AU1493" s="1">
        <v>2</v>
      </c>
      <c r="AW1493" s="1" t="s">
        <v>204</v>
      </c>
      <c r="AX1493" s="1" t="s">
        <v>1265</v>
      </c>
      <c r="AZ1493" s="1">
        <v>6183.63</v>
      </c>
      <c r="BA1493" s="1">
        <v>2013</v>
      </c>
      <c r="BE1493" s="1">
        <v>1603</v>
      </c>
      <c r="BF1493" s="1">
        <v>2</v>
      </c>
      <c r="BG1493" s="1">
        <v>0</v>
      </c>
      <c r="BL1493" s="1">
        <v>383</v>
      </c>
      <c r="BM1493" s="1" t="s">
        <v>204</v>
      </c>
      <c r="BN1493" s="1" t="s">
        <v>213</v>
      </c>
      <c r="BO1493" s="1">
        <v>30</v>
      </c>
      <c r="BP1493" s="1" t="s">
        <v>204</v>
      </c>
      <c r="BR1493" s="1" t="str">
        <f>"15062050420000"</f>
        <v>15062050420000</v>
      </c>
      <c r="BT1493" s="1" t="s">
        <v>14591</v>
      </c>
      <c r="BW1493" s="1" t="s">
        <v>1532</v>
      </c>
      <c r="BX1493" s="1">
        <v>76</v>
      </c>
      <c r="BY1493" s="1">
        <v>76</v>
      </c>
      <c r="BZ1493" s="1">
        <v>125</v>
      </c>
      <c r="CB1493" s="1" t="str">
        <f>"25"</f>
        <v>25</v>
      </c>
      <c r="CC1493" s="1" t="str">
        <f>""</f>
        <v/>
      </c>
      <c r="CE1493" s="1">
        <v>18</v>
      </c>
      <c r="CG1493" s="1" t="s">
        <v>1155</v>
      </c>
      <c r="CH1493" s="1" t="s">
        <v>219</v>
      </c>
      <c r="CI1493" s="1" t="s">
        <v>220</v>
      </c>
      <c r="CK1493" s="1" t="s">
        <v>315</v>
      </c>
      <c r="CL1493" s="1" t="s">
        <v>219</v>
      </c>
      <c r="CM1493" s="1" t="s">
        <v>220</v>
      </c>
      <c r="CO1493" s="1" t="s">
        <v>318</v>
      </c>
      <c r="CP1493" s="1" t="s">
        <v>219</v>
      </c>
      <c r="CQ1493" s="1" t="s">
        <v>220</v>
      </c>
      <c r="CS1493" s="1" t="s">
        <v>346</v>
      </c>
      <c r="CT1493" s="1" t="s">
        <v>219</v>
      </c>
      <c r="CU1493" s="1" t="s">
        <v>220</v>
      </c>
      <c r="CX1493" s="1" t="s">
        <v>224</v>
      </c>
      <c r="DB1493" s="1" t="s">
        <v>224</v>
      </c>
      <c r="DE1493" s="1" t="s">
        <v>1178</v>
      </c>
      <c r="DF1493" s="1" t="s">
        <v>219</v>
      </c>
      <c r="DG1493" s="1" t="s">
        <v>342</v>
      </c>
      <c r="DI1493" s="1" t="s">
        <v>757</v>
      </c>
      <c r="DJ1493" s="1" t="s">
        <v>219</v>
      </c>
      <c r="DK1493" s="1" t="s">
        <v>342</v>
      </c>
      <c r="DM1493" s="1" t="s">
        <v>838</v>
      </c>
      <c r="DR1493" s="1" t="s">
        <v>7812</v>
      </c>
      <c r="DS1493" s="1" t="s">
        <v>219</v>
      </c>
      <c r="DT1493" s="1" t="s">
        <v>347</v>
      </c>
      <c r="DW1493" s="1" t="s">
        <v>230</v>
      </c>
      <c r="EA1493" s="1" t="s">
        <v>230</v>
      </c>
      <c r="EE1493" s="1" t="s">
        <v>230</v>
      </c>
      <c r="EI1493" s="1" t="s">
        <v>230</v>
      </c>
      <c r="EL1493" s="1" t="s">
        <v>382</v>
      </c>
      <c r="EM1493" s="1" t="s">
        <v>232</v>
      </c>
      <c r="EN1493" s="1" t="s">
        <v>282</v>
      </c>
      <c r="EO1493" s="1" t="s">
        <v>234</v>
      </c>
      <c r="EQ1493" s="1" t="s">
        <v>1094</v>
      </c>
      <c r="ER1493" s="1" t="s">
        <v>210</v>
      </c>
      <c r="ES1493" s="1" t="s">
        <v>824</v>
      </c>
      <c r="ET1493" s="1" t="s">
        <v>238</v>
      </c>
      <c r="EV1493" s="1" t="s">
        <v>240</v>
      </c>
      <c r="EW1493" s="1" t="s">
        <v>937</v>
      </c>
      <c r="EZ1493" s="1" t="s">
        <v>838</v>
      </c>
      <c r="FD1493" s="1" t="s">
        <v>246</v>
      </c>
      <c r="FE1493" s="1" t="s">
        <v>355</v>
      </c>
      <c r="FF1493" s="1" t="s">
        <v>248</v>
      </c>
      <c r="FG1493" s="1" t="s">
        <v>1682</v>
      </c>
      <c r="FH1493" s="1" t="s">
        <v>825</v>
      </c>
      <c r="FI1493" s="1" t="s">
        <v>473</v>
      </c>
      <c r="FL1493" s="1" t="s">
        <v>358</v>
      </c>
      <c r="FM1493" s="1" t="s">
        <v>252</v>
      </c>
      <c r="FN1493" s="1" t="s">
        <v>213</v>
      </c>
      <c r="FO1493" s="1" t="s">
        <v>213</v>
      </c>
      <c r="FQ1493" s="1" t="s">
        <v>253</v>
      </c>
      <c r="FR1493" s="1" t="s">
        <v>210</v>
      </c>
      <c r="FS1493" s="1" t="s">
        <v>14592</v>
      </c>
      <c r="FT1493" s="1" t="s">
        <v>362</v>
      </c>
      <c r="FU1493" s="1" t="s">
        <v>204</v>
      </c>
      <c r="FW1493" s="1" t="s">
        <v>1637</v>
      </c>
      <c r="FX1493" s="1">
        <v>2626</v>
      </c>
      <c r="FY1493" s="1" t="s">
        <v>1638</v>
      </c>
      <c r="FZ1493" s="1" t="s">
        <v>14593</v>
      </c>
      <c r="GA1493" s="1">
        <v>16373</v>
      </c>
      <c r="GB1493" s="1" t="s">
        <v>14594</v>
      </c>
      <c r="GD1493" s="1" t="s">
        <v>14595</v>
      </c>
      <c r="GE1493" s="1" t="s">
        <v>210</v>
      </c>
      <c r="GI1493" s="1" t="s">
        <v>213</v>
      </c>
      <c r="GJ1493" s="1" t="s">
        <v>260</v>
      </c>
      <c r="GK1493" s="1" t="s">
        <v>210</v>
      </c>
      <c r="GL1493" s="2">
        <v>42150</v>
      </c>
    </row>
    <row r="1494" spans="1:195">
      <c r="A1494" s="1">
        <v>27500</v>
      </c>
      <c r="B1494" s="1" t="s">
        <v>195</v>
      </c>
      <c r="C1494" s="1" t="str">
        <f>"08876475"</f>
        <v>08876475</v>
      </c>
      <c r="D1494" s="1" t="s">
        <v>196</v>
      </c>
      <c r="F1494" s="1" t="str">
        <f>"8048"</f>
        <v>8048</v>
      </c>
      <c r="G1494" s="2">
        <v>42094</v>
      </c>
      <c r="H1494" s="1">
        <v>30000</v>
      </c>
      <c r="I1494" s="1">
        <v>30000</v>
      </c>
      <c r="J1494" s="1">
        <v>27500</v>
      </c>
      <c r="K1494" s="2">
        <v>42094</v>
      </c>
      <c r="L1494" s="1">
        <v>15</v>
      </c>
      <c r="M1494" s="2">
        <v>42108</v>
      </c>
      <c r="N1494" s="1">
        <v>15</v>
      </c>
      <c r="O1494" s="2">
        <v>42108</v>
      </c>
      <c r="P1494" s="1">
        <v>12519</v>
      </c>
      <c r="Q1494" s="1" t="s">
        <v>302</v>
      </c>
      <c r="R1494" s="2">
        <v>42144</v>
      </c>
      <c r="S1494" s="1">
        <v>118337</v>
      </c>
      <c r="U1494" s="1">
        <v>2049</v>
      </c>
      <c r="V1494" s="1" t="s">
        <v>14596</v>
      </c>
      <c r="W1494" s="1" t="s">
        <v>725</v>
      </c>
      <c r="Y1494" s="1">
        <v>1</v>
      </c>
      <c r="Z1494" s="1" t="s">
        <v>200</v>
      </c>
      <c r="AA1494" s="1" t="s">
        <v>400</v>
      </c>
      <c r="AB1494" s="1">
        <v>60617</v>
      </c>
      <c r="AE1494" s="1" t="s">
        <v>14597</v>
      </c>
      <c r="AF1494" s="1">
        <v>1942</v>
      </c>
      <c r="AG1494" s="1" t="s">
        <v>213</v>
      </c>
      <c r="AH1494" s="1" t="s">
        <v>403</v>
      </c>
      <c r="AI1494" s="1" t="s">
        <v>310</v>
      </c>
      <c r="AJ1494" s="1" t="s">
        <v>562</v>
      </c>
      <c r="AL1494" s="1">
        <v>5</v>
      </c>
      <c r="AM1494" s="1">
        <v>2</v>
      </c>
      <c r="AN1494" s="1">
        <v>1</v>
      </c>
      <c r="AO1494" s="1">
        <v>0</v>
      </c>
      <c r="AP1494" s="1" t="s">
        <v>210</v>
      </c>
      <c r="AR1494" s="1" t="s">
        <v>209</v>
      </c>
      <c r="AS1494" s="1" t="s">
        <v>204</v>
      </c>
      <c r="AT1494" s="1" t="s">
        <v>210</v>
      </c>
      <c r="AW1494" s="1" t="s">
        <v>204</v>
      </c>
      <c r="AX1494" s="1" t="s">
        <v>14598</v>
      </c>
      <c r="AZ1494" s="5">
        <v>1061.9000000000001</v>
      </c>
      <c r="BA1494" s="1">
        <v>2014</v>
      </c>
      <c r="BE1494" s="1">
        <v>936</v>
      </c>
      <c r="BF1494" s="1">
        <v>1</v>
      </c>
      <c r="BG1494" s="1">
        <v>0</v>
      </c>
      <c r="BL1494" s="1">
        <v>0</v>
      </c>
      <c r="BM1494" s="1" t="s">
        <v>204</v>
      </c>
      <c r="BN1494" s="1" t="s">
        <v>213</v>
      </c>
      <c r="BO1494" s="1">
        <v>0</v>
      </c>
      <c r="BP1494" s="1" t="s">
        <v>204</v>
      </c>
      <c r="BR1494" s="1" t="str">
        <f>"25014180720000"</f>
        <v>25014180720000</v>
      </c>
      <c r="BT1494" s="1" t="s">
        <v>14599</v>
      </c>
      <c r="BX1494" s="1">
        <v>299</v>
      </c>
      <c r="BY1494" s="1">
        <v>299</v>
      </c>
      <c r="BZ1494" s="1">
        <v>299</v>
      </c>
      <c r="CB1494" s="1" t="str">
        <f>"0"</f>
        <v>0</v>
      </c>
      <c r="CC1494" s="1" t="str">
        <f>"2049"</f>
        <v>2049</v>
      </c>
      <c r="CD1494" s="1">
        <v>0</v>
      </c>
      <c r="CE1494" s="1">
        <v>9300</v>
      </c>
      <c r="CG1494" s="1" t="s">
        <v>281</v>
      </c>
      <c r="CH1494" s="1" t="s">
        <v>219</v>
      </c>
      <c r="CK1494" s="1" t="s">
        <v>379</v>
      </c>
      <c r="CL1494" s="1" t="s">
        <v>277</v>
      </c>
      <c r="CM1494" s="1" t="s">
        <v>438</v>
      </c>
      <c r="CN1494" s="1" t="s">
        <v>210</v>
      </c>
      <c r="CO1494" s="1" t="s">
        <v>516</v>
      </c>
      <c r="CP1494" s="1" t="s">
        <v>219</v>
      </c>
      <c r="CS1494" s="1" t="s">
        <v>409</v>
      </c>
      <c r="CT1494" s="1" t="s">
        <v>277</v>
      </c>
      <c r="CU1494" s="1" t="s">
        <v>438</v>
      </c>
      <c r="CV1494" s="1" t="s">
        <v>210</v>
      </c>
      <c r="CX1494" s="1" t="s">
        <v>224</v>
      </c>
      <c r="DB1494" s="1" t="s">
        <v>224</v>
      </c>
      <c r="DE1494" s="1" t="s">
        <v>951</v>
      </c>
      <c r="DF1494" s="1" t="s">
        <v>219</v>
      </c>
      <c r="DJ1494" s="1" t="s">
        <v>224</v>
      </c>
      <c r="DS1494" s="1" t="s">
        <v>230</v>
      </c>
      <c r="DW1494" s="1" t="s">
        <v>230</v>
      </c>
      <c r="EA1494" s="1" t="s">
        <v>230</v>
      </c>
      <c r="EE1494" s="1" t="s">
        <v>230</v>
      </c>
      <c r="EI1494" s="1" t="s">
        <v>230</v>
      </c>
      <c r="EL1494" s="1" t="s">
        <v>440</v>
      </c>
      <c r="EM1494" s="1" t="s">
        <v>232</v>
      </c>
      <c r="EN1494" s="1" t="s">
        <v>210</v>
      </c>
      <c r="EO1494" s="1" t="s">
        <v>234</v>
      </c>
      <c r="ER1494" s="1" t="s">
        <v>1249</v>
      </c>
      <c r="EW1494" s="1" t="s">
        <v>210</v>
      </c>
      <c r="EZ1494" s="1" t="s">
        <v>287</v>
      </c>
      <c r="FD1494" s="1" t="s">
        <v>246</v>
      </c>
      <c r="FE1494" s="1" t="s">
        <v>247</v>
      </c>
      <c r="FF1494" s="1" t="s">
        <v>248</v>
      </c>
      <c r="FH1494" s="1" t="s">
        <v>550</v>
      </c>
      <c r="FJ1494" s="1" t="s">
        <v>2046</v>
      </c>
      <c r="FL1494" s="1" t="s">
        <v>358</v>
      </c>
      <c r="FM1494" s="1" t="s">
        <v>252</v>
      </c>
      <c r="FN1494" s="1" t="s">
        <v>213</v>
      </c>
      <c r="FO1494" s="1" t="s">
        <v>213</v>
      </c>
      <c r="FQ1494" s="1" t="s">
        <v>5363</v>
      </c>
      <c r="FR1494" s="1" t="s">
        <v>210</v>
      </c>
      <c r="FS1494" s="1" t="s">
        <v>5364</v>
      </c>
      <c r="FT1494" s="1" t="s">
        <v>9971</v>
      </c>
      <c r="FU1494" s="1" t="s">
        <v>204</v>
      </c>
      <c r="FW1494" s="1" t="s">
        <v>5366</v>
      </c>
      <c r="FX1494" s="1">
        <v>12519</v>
      </c>
      <c r="FY1494" s="1" t="s">
        <v>5367</v>
      </c>
      <c r="FZ1494" s="1" t="s">
        <v>11662</v>
      </c>
      <c r="GA1494" s="1">
        <v>118337</v>
      </c>
      <c r="GC1494" s="1">
        <v>118439</v>
      </c>
      <c r="GE1494" s="1" t="s">
        <v>210</v>
      </c>
      <c r="GH1494" s="1" t="s">
        <v>800</v>
      </c>
      <c r="GI1494" s="1" t="s">
        <v>213</v>
      </c>
      <c r="GJ1494" s="1" t="s">
        <v>260</v>
      </c>
      <c r="GK1494" s="1" t="s">
        <v>210</v>
      </c>
      <c r="GL1494" s="2">
        <v>42145</v>
      </c>
      <c r="GM1494" s="1" t="s">
        <v>14600</v>
      </c>
    </row>
    <row r="1495" spans="1:195">
      <c r="A1495" s="1">
        <v>41000</v>
      </c>
      <c r="B1495" s="1" t="s">
        <v>195</v>
      </c>
      <c r="C1495" s="1" t="str">
        <f>"08877802"</f>
        <v>08877802</v>
      </c>
      <c r="D1495" s="1" t="s">
        <v>196</v>
      </c>
      <c r="F1495" s="1" t="str">
        <f>"139"</f>
        <v>139</v>
      </c>
      <c r="G1495" s="2">
        <v>42095</v>
      </c>
      <c r="H1495" s="1">
        <v>49000</v>
      </c>
      <c r="I1495" s="1">
        <v>49000</v>
      </c>
      <c r="J1495" s="1">
        <v>41000</v>
      </c>
      <c r="K1495" s="2">
        <v>42095</v>
      </c>
      <c r="L1495" s="1">
        <v>1</v>
      </c>
      <c r="M1495" s="2">
        <v>42095</v>
      </c>
      <c r="N1495" s="1">
        <v>1</v>
      </c>
      <c r="O1495" s="2">
        <v>42095</v>
      </c>
      <c r="P1495" s="1">
        <v>25088</v>
      </c>
      <c r="Q1495" s="1" t="s">
        <v>302</v>
      </c>
      <c r="R1495" s="2">
        <v>42117</v>
      </c>
      <c r="S1495" s="1">
        <v>256862</v>
      </c>
      <c r="U1495" s="1">
        <v>485</v>
      </c>
      <c r="V1495" s="1" t="s">
        <v>14601</v>
      </c>
      <c r="W1495" s="1" t="s">
        <v>425</v>
      </c>
      <c r="X1495" s="1" t="s">
        <v>527</v>
      </c>
      <c r="Y1495" s="1">
        <v>4</v>
      </c>
      <c r="Z1495" s="1" t="s">
        <v>370</v>
      </c>
      <c r="AA1495" s="1" t="s">
        <v>1732</v>
      </c>
      <c r="AB1495" s="1">
        <v>60139</v>
      </c>
      <c r="AD1495" s="1" t="s">
        <v>8563</v>
      </c>
      <c r="AE1495" s="1" t="s">
        <v>14602</v>
      </c>
      <c r="AF1495" s="1">
        <v>1973</v>
      </c>
      <c r="AG1495" s="1" t="s">
        <v>213</v>
      </c>
      <c r="AH1495" s="1" t="s">
        <v>1735</v>
      </c>
      <c r="AI1495" s="1" t="s">
        <v>206</v>
      </c>
      <c r="AJ1495" s="1" t="s">
        <v>269</v>
      </c>
      <c r="AK1495" s="1" t="s">
        <v>527</v>
      </c>
      <c r="AL1495" s="1">
        <v>5</v>
      </c>
      <c r="AM1495" s="1">
        <v>2</v>
      </c>
      <c r="AN1495" s="1">
        <v>1</v>
      </c>
      <c r="AO1495" s="1">
        <v>0</v>
      </c>
      <c r="AP1495" s="1" t="s">
        <v>210</v>
      </c>
      <c r="AR1495" s="1" t="s">
        <v>210</v>
      </c>
      <c r="AS1495" s="1" t="s">
        <v>204</v>
      </c>
      <c r="AT1495" s="1" t="s">
        <v>211</v>
      </c>
      <c r="AU1495" s="1">
        <v>1</v>
      </c>
      <c r="AW1495" s="1" t="s">
        <v>204</v>
      </c>
      <c r="AX1495" s="1" t="s">
        <v>212</v>
      </c>
      <c r="AZ1495" s="1">
        <v>2500</v>
      </c>
      <c r="BA1495" s="1">
        <v>2013</v>
      </c>
      <c r="BB1495" s="1" t="s">
        <v>405</v>
      </c>
      <c r="BE1495" s="1">
        <v>795</v>
      </c>
      <c r="BF1495" s="1">
        <v>1</v>
      </c>
      <c r="BG1495" s="1">
        <v>0</v>
      </c>
      <c r="BL1495" s="1">
        <v>220</v>
      </c>
      <c r="BM1495" s="1" t="s">
        <v>413</v>
      </c>
      <c r="BN1495" s="1" t="s">
        <v>213</v>
      </c>
      <c r="BO1495" s="1">
        <v>0</v>
      </c>
      <c r="BP1495" s="1" t="s">
        <v>204</v>
      </c>
      <c r="BR1495" s="1" t="str">
        <f>"0235315008"</f>
        <v>0235315008</v>
      </c>
      <c r="BT1495" s="1" t="s">
        <v>14603</v>
      </c>
      <c r="BX1495" s="1">
        <v>15</v>
      </c>
      <c r="BY1495" s="1">
        <v>15</v>
      </c>
      <c r="BZ1495" s="1">
        <v>87</v>
      </c>
      <c r="CB1495" s="1" t="str">
        <f t="shared" ref="CB1495:CC1495" si="1141">""</f>
        <v/>
      </c>
      <c r="CC1495" s="1" t="str">
        <f t="shared" si="1141"/>
        <v/>
      </c>
      <c r="CG1495" s="1" t="s">
        <v>437</v>
      </c>
      <c r="CH1495" s="1" t="s">
        <v>219</v>
      </c>
      <c r="CI1495" s="1" t="s">
        <v>220</v>
      </c>
      <c r="CJ1495" s="1" t="s">
        <v>210</v>
      </c>
      <c r="CK1495" s="1" t="s">
        <v>437</v>
      </c>
      <c r="CL1495" s="1" t="s">
        <v>219</v>
      </c>
      <c r="CM1495" s="1" t="s">
        <v>220</v>
      </c>
      <c r="CN1495" s="1" t="s">
        <v>210</v>
      </c>
      <c r="CO1495" s="1" t="s">
        <v>2231</v>
      </c>
      <c r="CP1495" s="1" t="s">
        <v>219</v>
      </c>
      <c r="CQ1495" s="1" t="s">
        <v>220</v>
      </c>
      <c r="CR1495" s="1" t="s">
        <v>210</v>
      </c>
      <c r="CS1495" s="1" t="s">
        <v>379</v>
      </c>
      <c r="CT1495" s="1" t="s">
        <v>219</v>
      </c>
      <c r="CU1495" s="1" t="s">
        <v>220</v>
      </c>
      <c r="CV1495" s="1" t="s">
        <v>210</v>
      </c>
      <c r="CX1495" s="1" t="s">
        <v>224</v>
      </c>
      <c r="DB1495" s="1" t="s">
        <v>224</v>
      </c>
      <c r="DE1495" s="1" t="s">
        <v>5519</v>
      </c>
      <c r="DF1495" s="1" t="s">
        <v>219</v>
      </c>
      <c r="DG1495" s="1" t="s">
        <v>342</v>
      </c>
      <c r="DH1495" s="1" t="s">
        <v>210</v>
      </c>
      <c r="DJ1495" s="1" t="s">
        <v>224</v>
      </c>
      <c r="DS1495" s="1" t="s">
        <v>230</v>
      </c>
      <c r="DW1495" s="1" t="s">
        <v>230</v>
      </c>
      <c r="EA1495" s="1" t="s">
        <v>230</v>
      </c>
      <c r="EE1495" s="1" t="s">
        <v>230</v>
      </c>
      <c r="EI1495" s="1" t="s">
        <v>230</v>
      </c>
      <c r="EL1495" s="1" t="s">
        <v>605</v>
      </c>
      <c r="EM1495" s="1" t="s">
        <v>232</v>
      </c>
      <c r="EN1495" s="1" t="s">
        <v>210</v>
      </c>
      <c r="EO1495" s="1" t="s">
        <v>234</v>
      </c>
      <c r="EQ1495" s="1" t="s">
        <v>468</v>
      </c>
      <c r="ER1495" s="1" t="s">
        <v>210</v>
      </c>
      <c r="ES1495" s="1" t="s">
        <v>545</v>
      </c>
      <c r="EV1495" s="1" t="s">
        <v>240</v>
      </c>
      <c r="EW1495" s="1" t="s">
        <v>887</v>
      </c>
      <c r="EZ1495" s="1" t="s">
        <v>287</v>
      </c>
      <c r="FB1495" s="1" t="s">
        <v>289</v>
      </c>
      <c r="FD1495" s="1" t="s">
        <v>290</v>
      </c>
      <c r="FE1495" s="1" t="s">
        <v>472</v>
      </c>
      <c r="FF1495" s="1" t="s">
        <v>248</v>
      </c>
      <c r="FH1495" s="1" t="s">
        <v>6378</v>
      </c>
      <c r="FI1495" s="1" t="s">
        <v>2827</v>
      </c>
      <c r="FJ1495" s="1" t="s">
        <v>1472</v>
      </c>
      <c r="FL1495" s="1" t="s">
        <v>358</v>
      </c>
      <c r="FM1495" s="1" t="s">
        <v>252</v>
      </c>
      <c r="FN1495" s="1" t="s">
        <v>213</v>
      </c>
      <c r="FO1495" s="1" t="s">
        <v>213</v>
      </c>
      <c r="FQ1495" s="1" t="s">
        <v>2700</v>
      </c>
      <c r="FR1495" s="1" t="s">
        <v>210</v>
      </c>
      <c r="FS1495" s="1" t="s">
        <v>3061</v>
      </c>
      <c r="FT1495" s="1" t="s">
        <v>295</v>
      </c>
      <c r="FU1495" s="1" t="s">
        <v>204</v>
      </c>
      <c r="FW1495" s="1" t="s">
        <v>915</v>
      </c>
      <c r="FX1495" s="1">
        <v>25088</v>
      </c>
      <c r="FY1495" s="1" t="s">
        <v>1761</v>
      </c>
      <c r="FZ1495" s="1" t="s">
        <v>13455</v>
      </c>
      <c r="GA1495" s="1">
        <v>256862</v>
      </c>
      <c r="GB1495" s="1" t="s">
        <v>13456</v>
      </c>
      <c r="GE1495" s="1" t="s">
        <v>210</v>
      </c>
      <c r="GI1495" s="1" t="s">
        <v>213</v>
      </c>
      <c r="GJ1495" s="1" t="s">
        <v>260</v>
      </c>
      <c r="GK1495" s="1" t="s">
        <v>210</v>
      </c>
      <c r="GL1495" s="2">
        <v>42117</v>
      </c>
      <c r="GM1495" s="1" t="s">
        <v>14604</v>
      </c>
    </row>
    <row r="1496" spans="1:195">
      <c r="A1496" s="1">
        <v>146000</v>
      </c>
      <c r="B1496" s="1" t="s">
        <v>195</v>
      </c>
      <c r="C1496" s="1" t="str">
        <f>"08900867"</f>
        <v>08900867</v>
      </c>
      <c r="D1496" s="1" t="s">
        <v>196</v>
      </c>
      <c r="F1496" s="1" t="str">
        <f>"540"</f>
        <v>540</v>
      </c>
      <c r="G1496" s="2">
        <v>42118</v>
      </c>
      <c r="H1496" s="1">
        <v>152500</v>
      </c>
      <c r="I1496" s="1">
        <v>152500</v>
      </c>
      <c r="J1496" s="1">
        <v>146000</v>
      </c>
      <c r="K1496" s="2">
        <v>42118</v>
      </c>
      <c r="L1496" s="1">
        <v>3</v>
      </c>
      <c r="M1496" s="2">
        <v>42120</v>
      </c>
      <c r="N1496" s="1">
        <v>3</v>
      </c>
      <c r="O1496" s="2">
        <v>42120</v>
      </c>
      <c r="P1496" s="1">
        <v>23099</v>
      </c>
      <c r="Q1496" s="1" t="s">
        <v>302</v>
      </c>
      <c r="R1496" s="2">
        <v>42138</v>
      </c>
      <c r="S1496" s="1">
        <v>236355</v>
      </c>
      <c r="U1496" s="1">
        <v>1820</v>
      </c>
      <c r="V1496" s="1" t="s">
        <v>14605</v>
      </c>
      <c r="W1496" s="1" t="s">
        <v>264</v>
      </c>
      <c r="X1496" s="1">
        <v>1820</v>
      </c>
      <c r="Y1496" s="1">
        <v>4</v>
      </c>
      <c r="Z1496" s="1" t="s">
        <v>370</v>
      </c>
      <c r="AA1496" s="1" t="s">
        <v>921</v>
      </c>
      <c r="AB1496" s="1">
        <v>60565</v>
      </c>
      <c r="AC1496" s="1">
        <v>1782</v>
      </c>
      <c r="AD1496" s="1" t="s">
        <v>14606</v>
      </c>
      <c r="AE1496" s="1" t="s">
        <v>14607</v>
      </c>
      <c r="AF1496" s="1">
        <v>1985</v>
      </c>
      <c r="AG1496" s="1" t="s">
        <v>204</v>
      </c>
      <c r="AH1496" s="1" t="s">
        <v>925</v>
      </c>
      <c r="AI1496" s="1" t="s">
        <v>206</v>
      </c>
      <c r="AJ1496" s="1" t="s">
        <v>925</v>
      </c>
      <c r="AK1496" s="1" t="s">
        <v>1088</v>
      </c>
      <c r="AL1496" s="1">
        <v>5</v>
      </c>
      <c r="AM1496" s="1">
        <v>2</v>
      </c>
      <c r="AN1496" s="1">
        <v>1</v>
      </c>
      <c r="AO1496" s="1">
        <v>0</v>
      </c>
      <c r="AP1496" s="1" t="s">
        <v>210</v>
      </c>
      <c r="AQ1496" s="1">
        <v>0</v>
      </c>
      <c r="AR1496" s="1" t="s">
        <v>210</v>
      </c>
      <c r="AS1496" s="1" t="s">
        <v>204</v>
      </c>
      <c r="AT1496" s="1" t="s">
        <v>211</v>
      </c>
      <c r="AU1496" s="1">
        <v>1</v>
      </c>
      <c r="AW1496" s="1" t="s">
        <v>204</v>
      </c>
      <c r="AX1496" s="1" t="s">
        <v>14608</v>
      </c>
      <c r="AZ1496" s="1">
        <v>3108</v>
      </c>
      <c r="BA1496" s="1">
        <v>2013</v>
      </c>
      <c r="BB1496" s="1" t="s">
        <v>405</v>
      </c>
      <c r="BE1496" s="1">
        <v>1009</v>
      </c>
      <c r="BF1496" s="1">
        <v>1</v>
      </c>
      <c r="BG1496" s="1">
        <v>0</v>
      </c>
      <c r="BJ1496" s="1">
        <v>100</v>
      </c>
      <c r="BK1496" s="1">
        <v>0</v>
      </c>
      <c r="BL1496" s="1">
        <v>115</v>
      </c>
      <c r="BM1496" s="1" t="s">
        <v>413</v>
      </c>
      <c r="BN1496" s="1" t="s">
        <v>213</v>
      </c>
      <c r="BO1496" s="1">
        <v>999</v>
      </c>
      <c r="BP1496" s="1" t="s">
        <v>204</v>
      </c>
      <c r="BR1496" s="1" t="str">
        <f>"0828410022"</f>
        <v>0828410022</v>
      </c>
      <c r="BT1496" s="1" t="s">
        <v>14609</v>
      </c>
      <c r="BU1496" s="1" t="s">
        <v>14610</v>
      </c>
      <c r="BV1496" s="1" t="s">
        <v>4937</v>
      </c>
      <c r="BW1496" s="1" t="s">
        <v>930</v>
      </c>
      <c r="BX1496" s="1">
        <v>203</v>
      </c>
      <c r="BY1496" s="1">
        <v>203</v>
      </c>
      <c r="BZ1496" s="1">
        <v>203</v>
      </c>
      <c r="CB1496" s="1" t="str">
        <f t="shared" ref="CB1496:CC1496" si="1142">""</f>
        <v/>
      </c>
      <c r="CC1496" s="1" t="str">
        <f t="shared" si="1142"/>
        <v/>
      </c>
      <c r="CG1496" s="1" t="s">
        <v>10816</v>
      </c>
      <c r="CH1496" s="1" t="s">
        <v>219</v>
      </c>
      <c r="CI1496" s="1" t="s">
        <v>220</v>
      </c>
      <c r="CJ1496" s="1" t="s">
        <v>252</v>
      </c>
      <c r="CK1496" s="1" t="s">
        <v>490</v>
      </c>
      <c r="CL1496" s="1" t="s">
        <v>219</v>
      </c>
      <c r="CM1496" s="1" t="s">
        <v>220</v>
      </c>
      <c r="CN1496" s="1" t="s">
        <v>252</v>
      </c>
      <c r="CO1496" s="1" t="s">
        <v>1107</v>
      </c>
      <c r="CP1496" s="1" t="s">
        <v>219</v>
      </c>
      <c r="CQ1496" s="1" t="s">
        <v>220</v>
      </c>
      <c r="CR1496" s="1" t="s">
        <v>252</v>
      </c>
      <c r="CS1496" s="1" t="s">
        <v>318</v>
      </c>
      <c r="CT1496" s="1" t="s">
        <v>219</v>
      </c>
      <c r="CU1496" s="1" t="s">
        <v>220</v>
      </c>
      <c r="CV1496" s="1" t="s">
        <v>252</v>
      </c>
      <c r="CX1496" s="1" t="s">
        <v>224</v>
      </c>
      <c r="DB1496" s="1" t="s">
        <v>224</v>
      </c>
      <c r="DE1496" s="1" t="s">
        <v>4999</v>
      </c>
      <c r="DF1496" s="1" t="s">
        <v>219</v>
      </c>
      <c r="DG1496" s="1" t="s">
        <v>226</v>
      </c>
      <c r="DH1496" s="1" t="s">
        <v>210</v>
      </c>
      <c r="DJ1496" s="1" t="s">
        <v>224</v>
      </c>
      <c r="DS1496" s="1" t="s">
        <v>230</v>
      </c>
      <c r="DW1496" s="1" t="s">
        <v>230</v>
      </c>
      <c r="EA1496" s="1" t="s">
        <v>230</v>
      </c>
      <c r="EE1496" s="1" t="s">
        <v>230</v>
      </c>
      <c r="EI1496" s="1" t="s">
        <v>230</v>
      </c>
      <c r="EL1496" s="1" t="s">
        <v>542</v>
      </c>
      <c r="EM1496" s="1" t="s">
        <v>232</v>
      </c>
      <c r="EN1496" s="1" t="s">
        <v>282</v>
      </c>
      <c r="EO1496" s="1" t="s">
        <v>840</v>
      </c>
      <c r="EP1496" s="1" t="s">
        <v>650</v>
      </c>
      <c r="EQ1496" s="1" t="s">
        <v>236</v>
      </c>
      <c r="ER1496" s="1" t="s">
        <v>210</v>
      </c>
      <c r="ES1496" s="1" t="s">
        <v>3285</v>
      </c>
      <c r="EU1496" s="1" t="s">
        <v>610</v>
      </c>
      <c r="EV1496" s="1" t="s">
        <v>240</v>
      </c>
      <c r="EW1496" s="1" t="s">
        <v>353</v>
      </c>
      <c r="EY1496" s="1" t="s">
        <v>242</v>
      </c>
      <c r="EZ1496" s="1" t="s">
        <v>287</v>
      </c>
      <c r="FA1496" s="1" t="s">
        <v>471</v>
      </c>
      <c r="FB1496" s="1" t="s">
        <v>734</v>
      </c>
      <c r="FC1496" s="1" t="s">
        <v>1362</v>
      </c>
      <c r="FD1496" s="1" t="s">
        <v>246</v>
      </c>
      <c r="FE1496" s="1" t="s">
        <v>6121</v>
      </c>
      <c r="FF1496" s="1" t="s">
        <v>248</v>
      </c>
      <c r="FH1496" s="1" t="s">
        <v>6378</v>
      </c>
      <c r="FJ1496" s="1" t="s">
        <v>197</v>
      </c>
      <c r="FL1496" s="1" t="s">
        <v>358</v>
      </c>
      <c r="FM1496" s="1" t="s">
        <v>252</v>
      </c>
      <c r="FN1496" s="1" t="s">
        <v>213</v>
      </c>
      <c r="FO1496" s="1" t="s">
        <v>213</v>
      </c>
      <c r="FQ1496" s="1" t="s">
        <v>10987</v>
      </c>
      <c r="FR1496" s="1" t="s">
        <v>210</v>
      </c>
      <c r="FS1496" s="1" t="s">
        <v>14611</v>
      </c>
      <c r="FT1496" s="1" t="s">
        <v>1182</v>
      </c>
      <c r="FU1496" s="1" t="s">
        <v>204</v>
      </c>
      <c r="FW1496" s="1" t="s">
        <v>14612</v>
      </c>
      <c r="FX1496" s="1">
        <v>23306</v>
      </c>
      <c r="FY1496" s="1" t="s">
        <v>14613</v>
      </c>
      <c r="FZ1496" s="1" t="s">
        <v>14614</v>
      </c>
      <c r="GA1496" s="1">
        <v>234182</v>
      </c>
      <c r="GB1496" s="1" t="s">
        <v>14613</v>
      </c>
      <c r="GE1496" s="1" t="s">
        <v>1764</v>
      </c>
      <c r="GI1496" s="1" t="s">
        <v>204</v>
      </c>
      <c r="GJ1496" s="1" t="s">
        <v>260</v>
      </c>
      <c r="GK1496" s="1" t="s">
        <v>210</v>
      </c>
      <c r="GL1496" s="2">
        <v>42138</v>
      </c>
      <c r="GM1496" s="1" t="s">
        <v>14615</v>
      </c>
    </row>
    <row r="1497" spans="1:195">
      <c r="A1497" s="1">
        <v>139500</v>
      </c>
      <c r="B1497" s="1" t="s">
        <v>195</v>
      </c>
      <c r="C1497" s="1" t="str">
        <f>"08877621"</f>
        <v>08877621</v>
      </c>
      <c r="D1497" s="1" t="s">
        <v>196</v>
      </c>
      <c r="F1497" s="1" t="str">
        <f>"186"</f>
        <v>186</v>
      </c>
      <c r="G1497" s="2">
        <v>42095</v>
      </c>
      <c r="H1497" s="1">
        <v>139900</v>
      </c>
      <c r="I1497" s="1">
        <v>139900</v>
      </c>
      <c r="J1497" s="1">
        <v>139500</v>
      </c>
      <c r="K1497" s="2">
        <v>42095</v>
      </c>
      <c r="L1497" s="1">
        <v>4</v>
      </c>
      <c r="M1497" s="2">
        <v>42098</v>
      </c>
      <c r="N1497" s="1">
        <v>4</v>
      </c>
      <c r="O1497" s="2">
        <v>42098</v>
      </c>
      <c r="P1497" s="1">
        <v>13691</v>
      </c>
      <c r="Q1497" s="1" t="s">
        <v>197</v>
      </c>
      <c r="R1497" s="2">
        <v>42139</v>
      </c>
      <c r="S1497" s="1">
        <v>840757</v>
      </c>
      <c r="U1497" s="1" t="s">
        <v>2193</v>
      </c>
      <c r="V1497" s="1" t="s">
        <v>2194</v>
      </c>
      <c r="W1497" s="1" t="s">
        <v>504</v>
      </c>
      <c r="Y1497" s="1">
        <v>8</v>
      </c>
      <c r="Z1497" s="1" t="s">
        <v>370</v>
      </c>
      <c r="AA1497" s="1" t="s">
        <v>2099</v>
      </c>
      <c r="AB1497" s="1">
        <v>60181</v>
      </c>
      <c r="AC1497" s="1">
        <v>3713</v>
      </c>
      <c r="AD1497" s="1" t="s">
        <v>2195</v>
      </c>
      <c r="AE1497" s="1" t="s">
        <v>2196</v>
      </c>
      <c r="AF1497" s="1">
        <v>1969</v>
      </c>
      <c r="AG1497" s="1" t="s">
        <v>213</v>
      </c>
      <c r="AH1497" s="1" t="s">
        <v>882</v>
      </c>
      <c r="AI1497" s="1" t="s">
        <v>206</v>
      </c>
      <c r="AJ1497" s="1" t="s">
        <v>1608</v>
      </c>
      <c r="AK1497" s="1" t="s">
        <v>1088</v>
      </c>
      <c r="AL1497" s="1">
        <v>5</v>
      </c>
      <c r="AM1497" s="1">
        <v>2</v>
      </c>
      <c r="AN1497" s="1">
        <v>2</v>
      </c>
      <c r="AO1497" s="1">
        <v>0</v>
      </c>
      <c r="AP1497" s="1" t="s">
        <v>667</v>
      </c>
      <c r="AQ1497" s="1">
        <v>0</v>
      </c>
      <c r="AR1497" s="1" t="s">
        <v>209</v>
      </c>
      <c r="AS1497" s="1" t="s">
        <v>213</v>
      </c>
      <c r="AT1497" s="1" t="s">
        <v>271</v>
      </c>
      <c r="AV1497" s="1">
        <v>1</v>
      </c>
      <c r="AW1497" s="1" t="s">
        <v>204</v>
      </c>
      <c r="AX1497" s="1" t="s">
        <v>2197</v>
      </c>
      <c r="AZ1497" s="1">
        <v>638.28</v>
      </c>
      <c r="BA1497" s="1">
        <v>2013</v>
      </c>
      <c r="BB1497" s="1" t="s">
        <v>599</v>
      </c>
      <c r="BE1497" s="1">
        <v>816</v>
      </c>
      <c r="BF1497" s="1">
        <v>1</v>
      </c>
      <c r="BG1497" s="1">
        <v>0</v>
      </c>
      <c r="BL1497" s="1">
        <v>194</v>
      </c>
      <c r="BM1497" s="1" t="s">
        <v>204</v>
      </c>
      <c r="BN1497" s="1" t="s">
        <v>213</v>
      </c>
      <c r="BO1497" s="1">
        <v>999</v>
      </c>
      <c r="BP1497" s="1" t="s">
        <v>204</v>
      </c>
      <c r="BR1497" s="1" t="str">
        <f>"0622101082"</f>
        <v>0622101082</v>
      </c>
      <c r="BT1497" s="1" t="s">
        <v>14616</v>
      </c>
      <c r="BU1497" s="1" t="s">
        <v>2199</v>
      </c>
      <c r="BV1497" s="1" t="s">
        <v>2200</v>
      </c>
      <c r="BW1497" s="1" t="s">
        <v>2201</v>
      </c>
      <c r="BX1497" s="1">
        <v>45</v>
      </c>
      <c r="BY1497" s="1">
        <v>45</v>
      </c>
      <c r="BZ1497" s="1">
        <v>88</v>
      </c>
      <c r="CA1497" s="1">
        <v>502</v>
      </c>
      <c r="CB1497" s="1" t="str">
        <f t="shared" ref="CB1497:CC1497" si="1143">"0"</f>
        <v>0</v>
      </c>
      <c r="CC1497" s="1" t="str">
        <f t="shared" si="1143"/>
        <v>0</v>
      </c>
      <c r="CD1497" s="1">
        <v>18</v>
      </c>
      <c r="CE1497" s="1">
        <v>0</v>
      </c>
      <c r="CF1497" s="1" t="s">
        <v>2202</v>
      </c>
      <c r="CG1497" s="1" t="s">
        <v>1045</v>
      </c>
      <c r="CH1497" s="1" t="s">
        <v>219</v>
      </c>
      <c r="CI1497" s="1" t="s">
        <v>438</v>
      </c>
      <c r="CJ1497" s="1" t="s">
        <v>210</v>
      </c>
      <c r="CK1497" s="1" t="s">
        <v>2138</v>
      </c>
      <c r="CL1497" s="1" t="s">
        <v>219</v>
      </c>
      <c r="CM1497" s="1" t="s">
        <v>438</v>
      </c>
      <c r="CN1497" s="1" t="s">
        <v>210</v>
      </c>
      <c r="CP1497" s="1" t="s">
        <v>224</v>
      </c>
      <c r="CS1497" s="1" t="s">
        <v>346</v>
      </c>
      <c r="CT1497" s="1" t="s">
        <v>219</v>
      </c>
      <c r="CU1497" s="1" t="s">
        <v>438</v>
      </c>
      <c r="CV1497" s="1" t="s">
        <v>210</v>
      </c>
      <c r="CX1497" s="1" t="s">
        <v>224</v>
      </c>
      <c r="DB1497" s="1" t="s">
        <v>224</v>
      </c>
      <c r="DE1497" s="1" t="s">
        <v>2203</v>
      </c>
      <c r="DF1497" s="1" t="s">
        <v>219</v>
      </c>
      <c r="DG1497" s="1" t="s">
        <v>438</v>
      </c>
      <c r="DH1497" s="1" t="s">
        <v>210</v>
      </c>
      <c r="DJ1497" s="1" t="s">
        <v>224</v>
      </c>
      <c r="DM1497" s="1" t="s">
        <v>934</v>
      </c>
      <c r="DR1497" s="1" t="s">
        <v>14617</v>
      </c>
      <c r="DS1497" s="1" t="s">
        <v>43</v>
      </c>
      <c r="DT1497" s="1" t="s">
        <v>220</v>
      </c>
      <c r="DU1497" s="1" t="s">
        <v>210</v>
      </c>
      <c r="DW1497" s="1" t="s">
        <v>230</v>
      </c>
      <c r="EA1497" s="1" t="s">
        <v>230</v>
      </c>
      <c r="EE1497" s="1" t="s">
        <v>230</v>
      </c>
      <c r="EI1497" s="1" t="s">
        <v>230</v>
      </c>
      <c r="EL1497" s="1" t="s">
        <v>605</v>
      </c>
      <c r="EM1497" s="1" t="s">
        <v>319</v>
      </c>
      <c r="EN1497" s="1" t="s">
        <v>282</v>
      </c>
      <c r="EO1497" s="1" t="s">
        <v>234</v>
      </c>
      <c r="EP1497" s="1" t="s">
        <v>2204</v>
      </c>
      <c r="EQ1497" s="1" t="s">
        <v>2188</v>
      </c>
      <c r="ER1497" s="1" t="s">
        <v>544</v>
      </c>
      <c r="ES1497" s="1" t="s">
        <v>1160</v>
      </c>
      <c r="ET1497" s="1" t="s">
        <v>2404</v>
      </c>
      <c r="EU1497" s="1" t="s">
        <v>239</v>
      </c>
      <c r="EW1497" s="1" t="s">
        <v>2205</v>
      </c>
      <c r="EY1497" s="1" t="s">
        <v>242</v>
      </c>
      <c r="EZ1497" s="1" t="s">
        <v>934</v>
      </c>
      <c r="FA1497" s="1" t="s">
        <v>6548</v>
      </c>
      <c r="FB1497" s="1" t="s">
        <v>244</v>
      </c>
      <c r="FC1497" s="1" t="s">
        <v>633</v>
      </c>
      <c r="FD1497" s="1" t="s">
        <v>246</v>
      </c>
      <c r="FE1497" s="1" t="s">
        <v>2016</v>
      </c>
      <c r="FF1497" s="1" t="s">
        <v>248</v>
      </c>
      <c r="FH1497" s="1" t="s">
        <v>825</v>
      </c>
      <c r="FJ1497" s="1" t="s">
        <v>518</v>
      </c>
      <c r="FK1497" s="1" t="s">
        <v>1825</v>
      </c>
      <c r="FL1497" s="1" t="s">
        <v>292</v>
      </c>
      <c r="FM1497" s="1" t="s">
        <v>252</v>
      </c>
      <c r="FN1497" s="1" t="s">
        <v>213</v>
      </c>
      <c r="FO1497" s="1" t="s">
        <v>213</v>
      </c>
      <c r="FQ1497" s="1" t="s">
        <v>793</v>
      </c>
      <c r="FR1497" s="1" t="s">
        <v>210</v>
      </c>
      <c r="FS1497" s="1" t="s">
        <v>2206</v>
      </c>
      <c r="FT1497" s="1" t="s">
        <v>14618</v>
      </c>
      <c r="FU1497" s="1" t="s">
        <v>204</v>
      </c>
      <c r="FW1497" s="1" t="s">
        <v>915</v>
      </c>
      <c r="FX1497" s="1">
        <v>24071</v>
      </c>
      <c r="FY1497" s="1" t="s">
        <v>2208</v>
      </c>
      <c r="FZ1497" s="1" t="s">
        <v>2209</v>
      </c>
      <c r="GA1497" s="1">
        <v>215695</v>
      </c>
      <c r="GB1497" s="1" t="s">
        <v>2210</v>
      </c>
      <c r="GE1497" s="1" t="s">
        <v>210</v>
      </c>
      <c r="GI1497" s="1" t="s">
        <v>213</v>
      </c>
      <c r="GJ1497" s="1" t="s">
        <v>260</v>
      </c>
      <c r="GK1497" s="1" t="s">
        <v>210</v>
      </c>
      <c r="GL1497" s="2">
        <v>42139</v>
      </c>
    </row>
    <row r="1498" spans="1:195">
      <c r="A1498" s="1">
        <v>169000</v>
      </c>
      <c r="B1498" s="1" t="s">
        <v>195</v>
      </c>
      <c r="C1498" s="1" t="str">
        <f>"08885495"</f>
        <v>08885495</v>
      </c>
      <c r="D1498" s="1" t="s">
        <v>196</v>
      </c>
      <c r="F1498" s="1" t="str">
        <f>"540"</f>
        <v>540</v>
      </c>
      <c r="G1498" s="2">
        <v>42103</v>
      </c>
      <c r="H1498" s="1">
        <v>150000</v>
      </c>
      <c r="I1498" s="1">
        <v>150000</v>
      </c>
      <c r="J1498" s="1">
        <v>169000</v>
      </c>
      <c r="K1498" s="2">
        <v>42103</v>
      </c>
      <c r="L1498" s="1">
        <v>3</v>
      </c>
      <c r="M1498" s="2">
        <v>42105</v>
      </c>
      <c r="N1498" s="1">
        <v>3</v>
      </c>
      <c r="O1498" s="2">
        <v>42105</v>
      </c>
      <c r="P1498" s="1">
        <v>21823</v>
      </c>
      <c r="Q1498" s="1" t="s">
        <v>197</v>
      </c>
      <c r="R1498" s="2">
        <v>42137</v>
      </c>
      <c r="S1498" s="1">
        <v>211761</v>
      </c>
      <c r="U1498" s="1">
        <v>1830</v>
      </c>
      <c r="V1498" s="1" t="s">
        <v>14619</v>
      </c>
      <c r="W1498" s="1" t="s">
        <v>1056</v>
      </c>
      <c r="Y1498" s="1">
        <v>2</v>
      </c>
      <c r="Z1498" s="1" t="s">
        <v>200</v>
      </c>
      <c r="AA1498" s="1" t="s">
        <v>921</v>
      </c>
      <c r="AB1498" s="1">
        <v>60565</v>
      </c>
      <c r="AC1498" s="1">
        <v>1784</v>
      </c>
      <c r="AE1498" s="1" t="s">
        <v>14620</v>
      </c>
      <c r="AF1498" s="1">
        <v>1985</v>
      </c>
      <c r="AG1498" s="1" t="s">
        <v>204</v>
      </c>
      <c r="AH1498" s="1" t="s">
        <v>924</v>
      </c>
      <c r="AI1498" s="1" t="s">
        <v>206</v>
      </c>
      <c r="AJ1498" s="1" t="s">
        <v>925</v>
      </c>
      <c r="AK1498" s="1" t="s">
        <v>1088</v>
      </c>
      <c r="AL1498" s="1">
        <v>5</v>
      </c>
      <c r="AM1498" s="1">
        <v>2</v>
      </c>
      <c r="AN1498" s="1">
        <v>2</v>
      </c>
      <c r="AO1498" s="1">
        <v>0</v>
      </c>
      <c r="AP1498" s="1" t="s">
        <v>209</v>
      </c>
      <c r="AR1498" s="1" t="s">
        <v>210</v>
      </c>
      <c r="AS1498" s="1" t="s">
        <v>204</v>
      </c>
      <c r="AT1498" s="1" t="s">
        <v>211</v>
      </c>
      <c r="AU1498" s="1">
        <v>2</v>
      </c>
      <c r="AW1498" s="1" t="s">
        <v>204</v>
      </c>
      <c r="AX1498" s="1" t="s">
        <v>14621</v>
      </c>
      <c r="AZ1498" s="1">
        <v>3371</v>
      </c>
      <c r="BA1498" s="1">
        <v>2013</v>
      </c>
      <c r="BB1498" s="1" t="s">
        <v>599</v>
      </c>
      <c r="BE1498" s="1">
        <v>1193</v>
      </c>
      <c r="BF1498" s="1">
        <v>1</v>
      </c>
      <c r="BG1498" s="1">
        <v>0</v>
      </c>
      <c r="BL1498" s="1">
        <v>0</v>
      </c>
      <c r="BM1498" s="1" t="s">
        <v>204</v>
      </c>
      <c r="BN1498" s="1" t="s">
        <v>213</v>
      </c>
      <c r="BO1498" s="1">
        <v>0</v>
      </c>
      <c r="BP1498" s="1" t="s">
        <v>204</v>
      </c>
      <c r="BR1498" s="1" t="str">
        <f>"0828411037"</f>
        <v>0828411037</v>
      </c>
      <c r="BT1498" s="1" t="s">
        <v>14622</v>
      </c>
      <c r="BU1498" s="1" t="s">
        <v>14610</v>
      </c>
      <c r="BV1498" s="1" t="s">
        <v>4937</v>
      </c>
      <c r="BW1498" s="1" t="s">
        <v>930</v>
      </c>
      <c r="BX1498" s="1">
        <v>203</v>
      </c>
      <c r="BY1498" s="1">
        <v>203</v>
      </c>
      <c r="BZ1498" s="1">
        <v>203</v>
      </c>
      <c r="CB1498" s="1" t="str">
        <f t="shared" ref="CB1498:CC1498" si="1144">""</f>
        <v/>
      </c>
      <c r="CC1498" s="1" t="str">
        <f t="shared" si="1144"/>
        <v/>
      </c>
      <c r="CG1498" s="1" t="s">
        <v>228</v>
      </c>
      <c r="CH1498" s="1" t="s">
        <v>219</v>
      </c>
      <c r="CI1498" s="1" t="s">
        <v>220</v>
      </c>
      <c r="CJ1498" s="1" t="s">
        <v>343</v>
      </c>
      <c r="CK1498" s="1" t="s">
        <v>344</v>
      </c>
      <c r="CL1498" s="1" t="s">
        <v>219</v>
      </c>
      <c r="CM1498" s="1" t="s">
        <v>220</v>
      </c>
      <c r="CN1498" s="1" t="s">
        <v>343</v>
      </c>
      <c r="CO1498" s="1" t="s">
        <v>1046</v>
      </c>
      <c r="CP1498" s="1" t="s">
        <v>219</v>
      </c>
      <c r="CQ1498" s="1" t="s">
        <v>220</v>
      </c>
      <c r="CS1498" s="1" t="s">
        <v>344</v>
      </c>
      <c r="CT1498" s="1" t="s">
        <v>219</v>
      </c>
      <c r="CX1498" s="1" t="s">
        <v>224</v>
      </c>
      <c r="DB1498" s="1" t="s">
        <v>224</v>
      </c>
      <c r="DE1498" s="1" t="s">
        <v>1454</v>
      </c>
      <c r="DF1498" s="1" t="s">
        <v>219</v>
      </c>
      <c r="DG1498" s="1" t="s">
        <v>342</v>
      </c>
      <c r="DH1498" s="1" t="s">
        <v>343</v>
      </c>
      <c r="DJ1498" s="1" t="s">
        <v>224</v>
      </c>
      <c r="DS1498" s="1" t="s">
        <v>230</v>
      </c>
      <c r="DW1498" s="1" t="s">
        <v>230</v>
      </c>
      <c r="EA1498" s="1" t="s">
        <v>230</v>
      </c>
      <c r="EE1498" s="1" t="s">
        <v>230</v>
      </c>
      <c r="EI1498" s="1" t="s">
        <v>230</v>
      </c>
      <c r="EL1498" s="1" t="s">
        <v>542</v>
      </c>
      <c r="EM1498" s="1" t="s">
        <v>232</v>
      </c>
      <c r="EN1498" s="1" t="s">
        <v>282</v>
      </c>
      <c r="EO1498" s="1" t="s">
        <v>234</v>
      </c>
      <c r="EP1498" s="1" t="s">
        <v>210</v>
      </c>
      <c r="EQ1498" s="1" t="s">
        <v>1094</v>
      </c>
      <c r="ER1498" s="1" t="s">
        <v>210</v>
      </c>
      <c r="ES1498" s="1" t="s">
        <v>824</v>
      </c>
      <c r="EW1498" s="1" t="s">
        <v>210</v>
      </c>
      <c r="EY1498" s="1" t="s">
        <v>242</v>
      </c>
      <c r="EZ1498" s="1" t="s">
        <v>287</v>
      </c>
      <c r="FA1498" s="1" t="s">
        <v>1427</v>
      </c>
      <c r="FD1498" s="1" t="s">
        <v>246</v>
      </c>
      <c r="FE1498" s="1" t="s">
        <v>472</v>
      </c>
      <c r="FF1498" s="1" t="s">
        <v>387</v>
      </c>
      <c r="FH1498" s="1" t="s">
        <v>442</v>
      </c>
      <c r="FI1498" s="1" t="s">
        <v>473</v>
      </c>
      <c r="FJ1498" s="1" t="s">
        <v>518</v>
      </c>
      <c r="FL1498" s="1" t="s">
        <v>414</v>
      </c>
      <c r="FM1498" s="1" t="s">
        <v>252</v>
      </c>
      <c r="FN1498" s="1" t="s">
        <v>213</v>
      </c>
      <c r="FO1498" s="1" t="s">
        <v>213</v>
      </c>
      <c r="FQ1498" s="1" t="s">
        <v>3616</v>
      </c>
      <c r="FR1498" s="1" t="s">
        <v>210</v>
      </c>
      <c r="FS1498" s="1" t="s">
        <v>14623</v>
      </c>
      <c r="FT1498" s="1" t="s">
        <v>295</v>
      </c>
      <c r="FU1498" s="1" t="s">
        <v>204</v>
      </c>
      <c r="FW1498" s="1" t="s">
        <v>3116</v>
      </c>
      <c r="FX1498" s="1">
        <v>21823</v>
      </c>
      <c r="FY1498" s="1" t="s">
        <v>3117</v>
      </c>
      <c r="FZ1498" s="1" t="s">
        <v>12534</v>
      </c>
      <c r="GA1498" s="1">
        <v>224834</v>
      </c>
      <c r="GB1498" s="1" t="s">
        <v>12535</v>
      </c>
      <c r="GD1498" s="1" t="s">
        <v>12536</v>
      </c>
      <c r="GE1498" s="1" t="s">
        <v>480</v>
      </c>
      <c r="GI1498" s="1" t="s">
        <v>213</v>
      </c>
      <c r="GJ1498" s="1" t="s">
        <v>260</v>
      </c>
      <c r="GK1498" s="1" t="s">
        <v>210</v>
      </c>
      <c r="GL1498" s="2">
        <v>42137</v>
      </c>
      <c r="GM1498" s="1" t="s">
        <v>14624</v>
      </c>
    </row>
    <row r="1499" spans="1:195">
      <c r="A1499" s="1">
        <v>140000</v>
      </c>
      <c r="B1499" s="1" t="s">
        <v>195</v>
      </c>
      <c r="C1499" s="1" t="str">
        <f>"08883845"</f>
        <v>08883845</v>
      </c>
      <c r="D1499" s="1" t="s">
        <v>196</v>
      </c>
      <c r="F1499" s="1" t="str">
        <f>"560"</f>
        <v>560</v>
      </c>
      <c r="G1499" s="2">
        <v>42101</v>
      </c>
      <c r="H1499" s="1">
        <v>144500</v>
      </c>
      <c r="I1499" s="1">
        <v>144500</v>
      </c>
      <c r="J1499" s="1">
        <v>140000</v>
      </c>
      <c r="K1499" s="2">
        <v>42101</v>
      </c>
      <c r="L1499" s="1">
        <v>2</v>
      </c>
      <c r="M1499" s="2">
        <v>42102</v>
      </c>
      <c r="N1499" s="1">
        <v>2</v>
      </c>
      <c r="O1499" s="2">
        <v>42102</v>
      </c>
      <c r="P1499" s="1">
        <v>24215</v>
      </c>
      <c r="Q1499" s="1" t="s">
        <v>302</v>
      </c>
      <c r="R1499" s="2">
        <v>42143</v>
      </c>
      <c r="S1499" s="1">
        <v>233378</v>
      </c>
      <c r="U1499" s="1">
        <v>404</v>
      </c>
      <c r="V1499" s="1" t="s">
        <v>9089</v>
      </c>
      <c r="W1499" s="1" t="s">
        <v>725</v>
      </c>
      <c r="X1499" s="1" t="s">
        <v>527</v>
      </c>
      <c r="Y1499" s="1">
        <v>2</v>
      </c>
      <c r="Z1499" s="1" t="s">
        <v>200</v>
      </c>
      <c r="AA1499" s="1" t="s">
        <v>484</v>
      </c>
      <c r="AB1499" s="1">
        <v>60560</v>
      </c>
      <c r="AD1499" s="1" t="s">
        <v>14625</v>
      </c>
      <c r="AE1499" s="1" t="s">
        <v>14626</v>
      </c>
      <c r="AF1499" s="1">
        <v>1993</v>
      </c>
      <c r="AG1499" s="1" t="s">
        <v>204</v>
      </c>
      <c r="AH1499" s="1" t="s">
        <v>487</v>
      </c>
      <c r="AI1499" s="1" t="s">
        <v>453</v>
      </c>
      <c r="AJ1499" s="1" t="s">
        <v>454</v>
      </c>
      <c r="AL1499" s="1">
        <v>4</v>
      </c>
      <c r="AM1499" s="1">
        <v>2</v>
      </c>
      <c r="AN1499" s="1">
        <v>2</v>
      </c>
      <c r="AO1499" s="1">
        <v>0</v>
      </c>
      <c r="AP1499" s="1" t="s">
        <v>209</v>
      </c>
      <c r="AQ1499" s="1">
        <v>1</v>
      </c>
      <c r="AR1499" s="1" t="s">
        <v>209</v>
      </c>
      <c r="AS1499" s="1" t="s">
        <v>213</v>
      </c>
      <c r="AT1499" s="1" t="s">
        <v>211</v>
      </c>
      <c r="AU1499" s="1">
        <v>1</v>
      </c>
      <c r="AW1499" s="1" t="s">
        <v>204</v>
      </c>
      <c r="AX1499" s="1" t="s">
        <v>14627</v>
      </c>
      <c r="AZ1499" s="1">
        <v>3188.26</v>
      </c>
      <c r="BA1499" s="1">
        <v>2014</v>
      </c>
      <c r="BB1499" s="1" t="s">
        <v>599</v>
      </c>
      <c r="BE1499" s="1">
        <v>1293</v>
      </c>
      <c r="BF1499" s="1">
        <v>1</v>
      </c>
      <c r="BG1499" s="1">
        <v>0</v>
      </c>
      <c r="BL1499" s="1">
        <v>0</v>
      </c>
      <c r="BM1499" s="1" t="s">
        <v>204</v>
      </c>
      <c r="BN1499" s="1" t="s">
        <v>213</v>
      </c>
      <c r="BO1499" s="1">
        <v>999</v>
      </c>
      <c r="BP1499" s="1" t="s">
        <v>204</v>
      </c>
      <c r="BR1499" s="1" t="str">
        <f>"0228383030"</f>
        <v>0228383030</v>
      </c>
      <c r="BT1499" s="1" t="s">
        <v>14628</v>
      </c>
      <c r="BX1499" s="1">
        <v>115</v>
      </c>
      <c r="BY1499" s="1">
        <v>115</v>
      </c>
      <c r="BZ1499" s="1">
        <v>115</v>
      </c>
      <c r="CB1499" s="1" t="str">
        <f t="shared" ref="CB1499:CC1499" si="1145">""</f>
        <v/>
      </c>
      <c r="CC1499" s="1" t="str">
        <f t="shared" si="1145"/>
        <v/>
      </c>
      <c r="CG1499" s="1" t="s">
        <v>1155</v>
      </c>
      <c r="CH1499" s="1" t="s">
        <v>219</v>
      </c>
      <c r="CI1499" s="1" t="s">
        <v>229</v>
      </c>
      <c r="CJ1499" s="1" t="s">
        <v>252</v>
      </c>
      <c r="CK1499" s="1" t="s">
        <v>602</v>
      </c>
      <c r="CL1499" s="1" t="s">
        <v>219</v>
      </c>
      <c r="CM1499" s="1" t="s">
        <v>220</v>
      </c>
      <c r="CN1499" s="1" t="s">
        <v>252</v>
      </c>
      <c r="CP1499" s="1" t="s">
        <v>224</v>
      </c>
      <c r="CS1499" s="1" t="s">
        <v>346</v>
      </c>
      <c r="CT1499" s="1" t="s">
        <v>219</v>
      </c>
      <c r="CU1499" s="1" t="s">
        <v>220</v>
      </c>
      <c r="CV1499" s="1" t="s">
        <v>252</v>
      </c>
      <c r="CX1499" s="1" t="s">
        <v>224</v>
      </c>
      <c r="DB1499" s="1" t="s">
        <v>224</v>
      </c>
      <c r="DE1499" s="1" t="s">
        <v>1995</v>
      </c>
      <c r="DF1499" s="1" t="s">
        <v>219</v>
      </c>
      <c r="DG1499" s="1" t="s">
        <v>342</v>
      </c>
      <c r="DH1499" s="1" t="s">
        <v>252</v>
      </c>
      <c r="DJ1499" s="1" t="s">
        <v>224</v>
      </c>
      <c r="DS1499" s="1" t="s">
        <v>230</v>
      </c>
      <c r="DW1499" s="1" t="s">
        <v>230</v>
      </c>
      <c r="EA1499" s="1" t="s">
        <v>230</v>
      </c>
      <c r="EE1499" s="1" t="s">
        <v>230</v>
      </c>
      <c r="EI1499" s="1" t="s">
        <v>230</v>
      </c>
      <c r="EL1499" s="1" t="s">
        <v>382</v>
      </c>
      <c r="EM1499" s="1" t="s">
        <v>319</v>
      </c>
      <c r="EN1499" s="1" t="s">
        <v>282</v>
      </c>
      <c r="EO1499" s="1" t="s">
        <v>234</v>
      </c>
      <c r="EQ1499" s="1" t="s">
        <v>492</v>
      </c>
      <c r="ER1499" s="1" t="s">
        <v>1249</v>
      </c>
      <c r="ES1499" s="1" t="s">
        <v>322</v>
      </c>
      <c r="EU1499" s="1" t="s">
        <v>546</v>
      </c>
      <c r="EV1499" s="1" t="s">
        <v>324</v>
      </c>
      <c r="EW1499" s="1" t="s">
        <v>210</v>
      </c>
      <c r="EY1499" s="1" t="s">
        <v>242</v>
      </c>
      <c r="EZ1499" s="1" t="s">
        <v>287</v>
      </c>
      <c r="FD1499" s="1" t="s">
        <v>246</v>
      </c>
      <c r="FE1499" s="1" t="s">
        <v>975</v>
      </c>
      <c r="FF1499" s="1" t="s">
        <v>387</v>
      </c>
      <c r="FG1499" s="1" t="s">
        <v>292</v>
      </c>
      <c r="FH1499" s="1" t="s">
        <v>442</v>
      </c>
      <c r="FI1499" s="1" t="s">
        <v>473</v>
      </c>
      <c r="FJ1499" s="1" t="s">
        <v>518</v>
      </c>
      <c r="FL1499" s="1" t="s">
        <v>358</v>
      </c>
      <c r="FM1499" s="1" t="s">
        <v>252</v>
      </c>
      <c r="FN1499" s="1" t="s">
        <v>213</v>
      </c>
      <c r="FO1499" s="1" t="s">
        <v>213</v>
      </c>
      <c r="FQ1499" s="1" t="s">
        <v>2091</v>
      </c>
      <c r="FR1499" s="1" t="s">
        <v>210</v>
      </c>
      <c r="FS1499" s="1" t="s">
        <v>3605</v>
      </c>
      <c r="FT1499" s="1" t="s">
        <v>295</v>
      </c>
      <c r="FU1499" s="1" t="s">
        <v>204</v>
      </c>
      <c r="FW1499" s="1" t="s">
        <v>813</v>
      </c>
      <c r="FX1499" s="1">
        <v>22588</v>
      </c>
      <c r="FY1499" s="1" t="s">
        <v>2685</v>
      </c>
      <c r="FZ1499" s="1" t="s">
        <v>14629</v>
      </c>
      <c r="GA1499" s="1">
        <v>222996</v>
      </c>
      <c r="GB1499" s="1" t="s">
        <v>14630</v>
      </c>
      <c r="GC1499" s="1">
        <v>222986</v>
      </c>
      <c r="GD1499" s="1" t="s">
        <v>14631</v>
      </c>
      <c r="GE1499" s="1" t="s">
        <v>210</v>
      </c>
      <c r="GI1499" s="1" t="s">
        <v>213</v>
      </c>
      <c r="GJ1499" s="1" t="s">
        <v>260</v>
      </c>
      <c r="GK1499" s="1" t="s">
        <v>210</v>
      </c>
      <c r="GL1499" s="2">
        <v>42143</v>
      </c>
    </row>
    <row r="1500" spans="1:195">
      <c r="A1500" s="1">
        <v>172900</v>
      </c>
      <c r="B1500" s="1" t="s">
        <v>195</v>
      </c>
      <c r="C1500" s="1" t="str">
        <f>"08885502"</f>
        <v>08885502</v>
      </c>
      <c r="D1500" s="1" t="s">
        <v>196</v>
      </c>
      <c r="F1500" s="1" t="str">
        <f>"104"</f>
        <v>104</v>
      </c>
      <c r="G1500" s="2">
        <v>42103</v>
      </c>
      <c r="H1500" s="1">
        <v>172900</v>
      </c>
      <c r="I1500" s="1">
        <v>172900</v>
      </c>
      <c r="J1500" s="1">
        <v>172900</v>
      </c>
      <c r="K1500" s="2">
        <v>42103</v>
      </c>
      <c r="L1500" s="1">
        <v>5</v>
      </c>
      <c r="M1500" s="2">
        <v>42107</v>
      </c>
      <c r="N1500" s="1">
        <v>5</v>
      </c>
      <c r="O1500" s="2">
        <v>42107</v>
      </c>
      <c r="P1500" s="1">
        <v>23163</v>
      </c>
      <c r="Q1500" s="1" t="s">
        <v>197</v>
      </c>
      <c r="R1500" s="2">
        <v>42130</v>
      </c>
      <c r="S1500" s="1">
        <v>215425</v>
      </c>
      <c r="U1500" s="1">
        <v>1620</v>
      </c>
      <c r="V1500" s="1" t="s">
        <v>14632</v>
      </c>
      <c r="W1500" s="1" t="s">
        <v>449</v>
      </c>
      <c r="X1500" s="1">
        <v>1</v>
      </c>
      <c r="Y1500" s="1">
        <v>4</v>
      </c>
      <c r="Z1500" s="1" t="s">
        <v>249</v>
      </c>
      <c r="AA1500" s="1" t="s">
        <v>371</v>
      </c>
      <c r="AB1500" s="1">
        <v>60103</v>
      </c>
      <c r="AC1500" s="1">
        <v>8981</v>
      </c>
      <c r="AD1500" s="1" t="s">
        <v>4977</v>
      </c>
      <c r="AE1500" s="1" t="s">
        <v>14633</v>
      </c>
      <c r="AF1500" s="1">
        <v>1994</v>
      </c>
      <c r="AG1500" s="1" t="s">
        <v>204</v>
      </c>
      <c r="AH1500" s="1" t="s">
        <v>373</v>
      </c>
      <c r="AI1500" s="1" t="s">
        <v>206</v>
      </c>
      <c r="AJ1500" s="1" t="s">
        <v>2654</v>
      </c>
      <c r="AL1500" s="1">
        <v>6</v>
      </c>
      <c r="AM1500" s="1">
        <v>2</v>
      </c>
      <c r="AN1500" s="1">
        <v>2</v>
      </c>
      <c r="AO1500" s="1">
        <v>0</v>
      </c>
      <c r="AP1500" s="1" t="s">
        <v>209</v>
      </c>
      <c r="AQ1500" s="1">
        <v>1</v>
      </c>
      <c r="AR1500" s="1" t="s">
        <v>210</v>
      </c>
      <c r="AT1500" s="1" t="s">
        <v>211</v>
      </c>
      <c r="AU1500" s="1">
        <v>2</v>
      </c>
      <c r="AW1500" s="1" t="s">
        <v>204</v>
      </c>
      <c r="AX1500" s="1" t="s">
        <v>212</v>
      </c>
      <c r="AZ1500" s="1">
        <v>5004</v>
      </c>
      <c r="BA1500" s="1">
        <v>2013</v>
      </c>
      <c r="BB1500" s="1" t="s">
        <v>405</v>
      </c>
      <c r="BE1500" s="1">
        <v>1418</v>
      </c>
      <c r="BF1500" s="1">
        <v>1</v>
      </c>
      <c r="BG1500" s="1">
        <v>0</v>
      </c>
      <c r="BL1500" s="1">
        <v>230</v>
      </c>
      <c r="BM1500" s="1" t="s">
        <v>413</v>
      </c>
      <c r="BN1500" s="1" t="s">
        <v>213</v>
      </c>
      <c r="BO1500" s="1">
        <v>999</v>
      </c>
      <c r="BP1500" s="1" t="s">
        <v>204</v>
      </c>
      <c r="BR1500" s="1" t="str">
        <f>"0113126033"</f>
        <v>0113126033</v>
      </c>
      <c r="BT1500" s="1" t="s">
        <v>14634</v>
      </c>
      <c r="BU1500" s="1" t="s">
        <v>4119</v>
      </c>
      <c r="BV1500" s="1" t="s">
        <v>4120</v>
      </c>
      <c r="BW1500" s="1" t="s">
        <v>4121</v>
      </c>
      <c r="BX1500" s="1">
        <v>46</v>
      </c>
      <c r="BY1500" s="1">
        <v>46</v>
      </c>
      <c r="BZ1500" s="1">
        <v>46</v>
      </c>
      <c r="CB1500" s="1" t="str">
        <f>"5"</f>
        <v>5</v>
      </c>
      <c r="CC1500" s="1" t="str">
        <f t="shared" ref="CC1500:CC1501" si="1146">"0"</f>
        <v>0</v>
      </c>
      <c r="CD1500" s="1">
        <v>28</v>
      </c>
      <c r="CE1500" s="1">
        <v>0</v>
      </c>
      <c r="CG1500" s="1" t="s">
        <v>669</v>
      </c>
      <c r="CH1500" s="1" t="s">
        <v>219</v>
      </c>
      <c r="CI1500" s="1" t="s">
        <v>220</v>
      </c>
      <c r="CK1500" s="1" t="s">
        <v>344</v>
      </c>
      <c r="CL1500" s="1" t="s">
        <v>219</v>
      </c>
      <c r="CM1500" s="1" t="s">
        <v>220</v>
      </c>
      <c r="CO1500" s="1" t="s">
        <v>278</v>
      </c>
      <c r="CP1500" s="1" t="s">
        <v>219</v>
      </c>
      <c r="CQ1500" s="1" t="s">
        <v>220</v>
      </c>
      <c r="CS1500" s="1" t="s">
        <v>318</v>
      </c>
      <c r="CT1500" s="1" t="s">
        <v>219</v>
      </c>
      <c r="CU1500" s="1" t="s">
        <v>220</v>
      </c>
      <c r="CX1500" s="1" t="s">
        <v>224</v>
      </c>
      <c r="DB1500" s="1" t="s">
        <v>224</v>
      </c>
      <c r="DE1500" s="1" t="s">
        <v>539</v>
      </c>
      <c r="DF1500" s="1" t="s">
        <v>219</v>
      </c>
      <c r="DG1500" s="1" t="s">
        <v>229</v>
      </c>
      <c r="DJ1500" s="1" t="s">
        <v>224</v>
      </c>
      <c r="DM1500" s="1" t="s">
        <v>1005</v>
      </c>
      <c r="DR1500" s="1" t="s">
        <v>281</v>
      </c>
      <c r="DS1500" s="1" t="s">
        <v>219</v>
      </c>
      <c r="DT1500" s="1" t="s">
        <v>220</v>
      </c>
      <c r="DW1500" s="1" t="s">
        <v>230</v>
      </c>
      <c r="EA1500" s="1" t="s">
        <v>230</v>
      </c>
      <c r="EE1500" s="1" t="s">
        <v>230</v>
      </c>
      <c r="EI1500" s="1" t="s">
        <v>230</v>
      </c>
      <c r="EL1500" s="1" t="s">
        <v>382</v>
      </c>
      <c r="EM1500" s="1" t="s">
        <v>319</v>
      </c>
      <c r="EN1500" s="1" t="s">
        <v>282</v>
      </c>
      <c r="EO1500" s="1" t="s">
        <v>840</v>
      </c>
      <c r="EQ1500" s="1" t="s">
        <v>14635</v>
      </c>
      <c r="ER1500" s="1" t="s">
        <v>383</v>
      </c>
      <c r="ES1500" s="1" t="s">
        <v>322</v>
      </c>
      <c r="EU1500" s="1" t="s">
        <v>239</v>
      </c>
      <c r="EV1500" s="1" t="s">
        <v>240</v>
      </c>
      <c r="EW1500" s="1" t="s">
        <v>887</v>
      </c>
      <c r="EY1500" s="1" t="s">
        <v>242</v>
      </c>
      <c r="EZ1500" s="1" t="s">
        <v>1005</v>
      </c>
      <c r="FA1500" s="1" t="s">
        <v>471</v>
      </c>
      <c r="FD1500" s="1" t="s">
        <v>246</v>
      </c>
      <c r="FE1500" s="1" t="s">
        <v>386</v>
      </c>
      <c r="FF1500" s="1" t="s">
        <v>248</v>
      </c>
      <c r="FH1500" s="1" t="s">
        <v>2221</v>
      </c>
      <c r="FI1500" s="1" t="s">
        <v>473</v>
      </c>
      <c r="FL1500" s="1" t="s">
        <v>358</v>
      </c>
      <c r="FM1500" s="1" t="s">
        <v>252</v>
      </c>
      <c r="FN1500" s="1" t="s">
        <v>213</v>
      </c>
      <c r="FO1500" s="1" t="s">
        <v>213</v>
      </c>
      <c r="FQ1500" s="1" t="s">
        <v>329</v>
      </c>
      <c r="FR1500" s="1" t="s">
        <v>210</v>
      </c>
      <c r="FS1500" s="1" t="s">
        <v>14636</v>
      </c>
      <c r="FT1500" s="1" t="s">
        <v>1182</v>
      </c>
      <c r="FU1500" s="1" t="s">
        <v>204</v>
      </c>
      <c r="FW1500" s="1" t="s">
        <v>1475</v>
      </c>
      <c r="FX1500" s="1">
        <v>23265</v>
      </c>
      <c r="FY1500" s="1" t="s">
        <v>1476</v>
      </c>
      <c r="FZ1500" s="1" t="s">
        <v>14637</v>
      </c>
      <c r="GA1500" s="1">
        <v>221395</v>
      </c>
      <c r="GB1500" s="1" t="s">
        <v>14638</v>
      </c>
      <c r="GE1500" s="1" t="s">
        <v>210</v>
      </c>
      <c r="GI1500" s="1" t="s">
        <v>213</v>
      </c>
      <c r="GJ1500" s="1" t="s">
        <v>260</v>
      </c>
      <c r="GK1500" s="1" t="s">
        <v>261</v>
      </c>
      <c r="GL1500" s="2">
        <v>42130</v>
      </c>
      <c r="GM1500" s="1" t="s">
        <v>14639</v>
      </c>
    </row>
    <row r="1501" spans="1:195">
      <c r="A1501" s="1">
        <v>105000</v>
      </c>
      <c r="B1501" s="1" t="s">
        <v>195</v>
      </c>
      <c r="C1501" s="1" t="str">
        <f>"08894667"</f>
        <v>08894667</v>
      </c>
      <c r="D1501" s="1" t="s">
        <v>196</v>
      </c>
      <c r="F1501" s="1" t="str">
        <f>"2"</f>
        <v>2</v>
      </c>
      <c r="G1501" s="2">
        <v>42111</v>
      </c>
      <c r="H1501" s="1">
        <v>108000</v>
      </c>
      <c r="I1501" s="1">
        <v>108000</v>
      </c>
      <c r="J1501" s="1">
        <v>105000</v>
      </c>
      <c r="K1501" s="2">
        <v>42111</v>
      </c>
      <c r="L1501" s="1">
        <v>8</v>
      </c>
      <c r="M1501" s="2">
        <v>42118</v>
      </c>
      <c r="N1501" s="1">
        <v>8</v>
      </c>
      <c r="O1501" s="2">
        <v>42118</v>
      </c>
      <c r="P1501" s="1">
        <v>2050</v>
      </c>
      <c r="Q1501" s="1" t="s">
        <v>197</v>
      </c>
      <c r="R1501" s="2">
        <v>42145</v>
      </c>
      <c r="S1501" s="1">
        <v>18756</v>
      </c>
      <c r="U1501" s="1">
        <v>469</v>
      </c>
      <c r="V1501" s="1" t="s">
        <v>6831</v>
      </c>
      <c r="W1501" s="1" t="s">
        <v>526</v>
      </c>
      <c r="Y1501" s="1">
        <v>1</v>
      </c>
      <c r="Z1501" s="1" t="s">
        <v>200</v>
      </c>
      <c r="AA1501" s="1" t="s">
        <v>5713</v>
      </c>
      <c r="AB1501" s="1">
        <v>60002</v>
      </c>
      <c r="AD1501" s="1" t="s">
        <v>14640</v>
      </c>
      <c r="AE1501" s="1" t="s">
        <v>14641</v>
      </c>
      <c r="AF1501" s="1">
        <v>1992</v>
      </c>
      <c r="AG1501" s="1" t="s">
        <v>204</v>
      </c>
      <c r="AH1501" s="1" t="s">
        <v>596</v>
      </c>
      <c r="AI1501" s="1" t="s">
        <v>509</v>
      </c>
      <c r="AJ1501" s="1" t="s">
        <v>596</v>
      </c>
      <c r="AL1501" s="1">
        <v>5</v>
      </c>
      <c r="AM1501" s="1">
        <v>2</v>
      </c>
      <c r="AN1501" s="1">
        <v>2</v>
      </c>
      <c r="AO1501" s="1">
        <v>0</v>
      </c>
      <c r="AP1501" s="1" t="s">
        <v>210</v>
      </c>
      <c r="AQ1501" s="1">
        <v>1</v>
      </c>
      <c r="AR1501" s="1" t="s">
        <v>209</v>
      </c>
      <c r="AS1501" s="1" t="s">
        <v>204</v>
      </c>
      <c r="AT1501" s="1" t="s">
        <v>211</v>
      </c>
      <c r="AU1501" s="1">
        <v>1</v>
      </c>
      <c r="AW1501" s="1" t="s">
        <v>204</v>
      </c>
      <c r="AX1501" s="1" t="s">
        <v>14642</v>
      </c>
      <c r="AZ1501" s="1">
        <v>3790</v>
      </c>
      <c r="BA1501" s="1">
        <v>2013</v>
      </c>
      <c r="BE1501" s="1">
        <v>1148</v>
      </c>
      <c r="BF1501" s="1">
        <v>1</v>
      </c>
      <c r="BG1501" s="1">
        <v>0</v>
      </c>
      <c r="BL1501" s="1">
        <v>0</v>
      </c>
      <c r="BM1501" s="1" t="s">
        <v>204</v>
      </c>
      <c r="BN1501" s="1" t="s">
        <v>213</v>
      </c>
      <c r="BO1501" s="1" t="s">
        <v>432</v>
      </c>
      <c r="BP1501" s="1" t="s">
        <v>204</v>
      </c>
      <c r="BR1501" s="1" t="str">
        <f>"02053080570000"</f>
        <v>02053080570000</v>
      </c>
      <c r="BT1501" s="1" t="s">
        <v>14643</v>
      </c>
      <c r="BW1501" s="1" t="s">
        <v>13118</v>
      </c>
      <c r="BX1501" s="1">
        <v>34</v>
      </c>
      <c r="BY1501" s="1">
        <v>34</v>
      </c>
      <c r="BZ1501" s="1">
        <v>117</v>
      </c>
      <c r="CB1501" s="1" t="str">
        <f>"43"</f>
        <v>43</v>
      </c>
      <c r="CC1501" s="1" t="str">
        <f t="shared" si="1146"/>
        <v>0</v>
      </c>
      <c r="CD1501" s="1">
        <v>22</v>
      </c>
      <c r="CE1501" s="1">
        <v>0</v>
      </c>
      <c r="CG1501" s="1" t="s">
        <v>1178</v>
      </c>
      <c r="CH1501" s="1" t="s">
        <v>219</v>
      </c>
      <c r="CI1501" s="1" t="s">
        <v>220</v>
      </c>
      <c r="CK1501" s="1" t="s">
        <v>378</v>
      </c>
      <c r="CL1501" s="1" t="s">
        <v>277</v>
      </c>
      <c r="CM1501" s="1" t="s">
        <v>220</v>
      </c>
      <c r="CO1501" s="1" t="s">
        <v>316</v>
      </c>
      <c r="CP1501" s="1" t="s">
        <v>219</v>
      </c>
      <c r="CQ1501" s="1" t="s">
        <v>220</v>
      </c>
      <c r="CS1501" s="1" t="s">
        <v>378</v>
      </c>
      <c r="CT1501" s="1" t="s">
        <v>277</v>
      </c>
      <c r="CU1501" s="1" t="s">
        <v>220</v>
      </c>
      <c r="CX1501" s="1" t="s">
        <v>224</v>
      </c>
      <c r="DB1501" s="1" t="s">
        <v>224</v>
      </c>
      <c r="DE1501" s="1" t="s">
        <v>1133</v>
      </c>
      <c r="DF1501" s="1" t="s">
        <v>219</v>
      </c>
      <c r="DG1501" s="1" t="s">
        <v>226</v>
      </c>
      <c r="DJ1501" s="1" t="s">
        <v>224</v>
      </c>
      <c r="DS1501" s="1" t="s">
        <v>230</v>
      </c>
      <c r="DW1501" s="1" t="s">
        <v>230</v>
      </c>
      <c r="EA1501" s="1" t="s">
        <v>230</v>
      </c>
      <c r="EE1501" s="1" t="s">
        <v>230</v>
      </c>
      <c r="EI1501" s="1" t="s">
        <v>230</v>
      </c>
      <c r="EL1501" s="1" t="s">
        <v>382</v>
      </c>
      <c r="EM1501" s="1" t="s">
        <v>319</v>
      </c>
      <c r="EN1501" s="1" t="s">
        <v>282</v>
      </c>
      <c r="EO1501" s="1" t="s">
        <v>234</v>
      </c>
      <c r="EP1501" s="1" t="s">
        <v>936</v>
      </c>
      <c r="EQ1501" s="1" t="s">
        <v>468</v>
      </c>
      <c r="ER1501" s="1" t="s">
        <v>1249</v>
      </c>
      <c r="ES1501" s="1" t="s">
        <v>493</v>
      </c>
      <c r="EU1501" s="1" t="s">
        <v>14644</v>
      </c>
      <c r="EV1501" s="1" t="s">
        <v>240</v>
      </c>
      <c r="EW1501" s="1" t="s">
        <v>210</v>
      </c>
      <c r="EZ1501" s="1" t="s">
        <v>287</v>
      </c>
      <c r="FD1501" s="1" t="s">
        <v>246</v>
      </c>
      <c r="FE1501" s="1" t="s">
        <v>496</v>
      </c>
      <c r="FF1501" s="1" t="s">
        <v>248</v>
      </c>
      <c r="FH1501" s="1" t="s">
        <v>442</v>
      </c>
      <c r="FJ1501" s="1" t="s">
        <v>518</v>
      </c>
      <c r="FL1501" s="1" t="s">
        <v>358</v>
      </c>
      <c r="FM1501" s="1" t="s">
        <v>252</v>
      </c>
      <c r="FN1501" s="1" t="s">
        <v>213</v>
      </c>
      <c r="FO1501" s="1" t="s">
        <v>213</v>
      </c>
      <c r="FQ1501" s="1" t="s">
        <v>1032</v>
      </c>
      <c r="FR1501" s="1" t="s">
        <v>210</v>
      </c>
      <c r="FS1501" s="1" t="s">
        <v>14645</v>
      </c>
      <c r="FT1501" s="1" t="s">
        <v>295</v>
      </c>
      <c r="FU1501" s="1" t="s">
        <v>204</v>
      </c>
      <c r="FW1501" s="1" t="s">
        <v>14646</v>
      </c>
      <c r="FX1501" s="1">
        <v>1402</v>
      </c>
      <c r="FY1501" s="1" t="s">
        <v>14647</v>
      </c>
      <c r="FZ1501" s="1" t="s">
        <v>14648</v>
      </c>
      <c r="GA1501" s="1">
        <v>29491</v>
      </c>
      <c r="GB1501" s="1" t="s">
        <v>14649</v>
      </c>
      <c r="GE1501" s="1" t="s">
        <v>210</v>
      </c>
      <c r="GI1501" s="1" t="s">
        <v>213</v>
      </c>
      <c r="GJ1501" s="1" t="s">
        <v>260</v>
      </c>
      <c r="GK1501" s="1" t="s">
        <v>210</v>
      </c>
      <c r="GL1501" s="2">
        <v>42146</v>
      </c>
    </row>
    <row r="1502" spans="1:195">
      <c r="A1502" s="1">
        <v>80000</v>
      </c>
      <c r="B1502" s="1" t="s">
        <v>195</v>
      </c>
      <c r="C1502" s="1" t="str">
        <f>"08880873"</f>
        <v>08880873</v>
      </c>
      <c r="D1502" s="1" t="s">
        <v>196</v>
      </c>
      <c r="F1502" s="1" t="str">
        <f>"545"</f>
        <v>545</v>
      </c>
      <c r="G1502" s="2">
        <v>42098</v>
      </c>
      <c r="H1502" s="1">
        <v>82000</v>
      </c>
      <c r="I1502" s="1">
        <v>82000</v>
      </c>
      <c r="J1502" s="1">
        <v>80000</v>
      </c>
      <c r="K1502" s="2">
        <v>42097</v>
      </c>
      <c r="L1502" s="1">
        <v>15</v>
      </c>
      <c r="M1502" s="2">
        <v>42111</v>
      </c>
      <c r="N1502" s="1">
        <v>15</v>
      </c>
      <c r="O1502" s="2">
        <v>42111</v>
      </c>
      <c r="P1502" s="1">
        <v>22737</v>
      </c>
      <c r="Q1502" s="1" t="s">
        <v>302</v>
      </c>
      <c r="R1502" s="2">
        <v>42125</v>
      </c>
      <c r="S1502" s="1">
        <v>257004</v>
      </c>
      <c r="U1502" s="1">
        <v>3041</v>
      </c>
      <c r="V1502" s="1" t="s">
        <v>14650</v>
      </c>
      <c r="W1502" s="1" t="s">
        <v>725</v>
      </c>
      <c r="Y1502" s="1">
        <v>2</v>
      </c>
      <c r="Z1502" s="1" t="s">
        <v>370</v>
      </c>
      <c r="AA1502" s="1" t="s">
        <v>1335</v>
      </c>
      <c r="AB1502" s="1">
        <v>60545</v>
      </c>
      <c r="AD1502" s="1" t="s">
        <v>1336</v>
      </c>
      <c r="AE1502" s="1" t="s">
        <v>14651</v>
      </c>
      <c r="AF1502" s="1">
        <v>2006</v>
      </c>
      <c r="AG1502" s="1" t="s">
        <v>204</v>
      </c>
      <c r="AH1502" s="1" t="s">
        <v>1338</v>
      </c>
      <c r="AI1502" s="1" t="s">
        <v>453</v>
      </c>
      <c r="AJ1502" s="1" t="s">
        <v>1339</v>
      </c>
      <c r="AK1502" s="1" t="s">
        <v>2571</v>
      </c>
      <c r="AL1502" s="1">
        <v>5</v>
      </c>
      <c r="AM1502" s="1">
        <v>2</v>
      </c>
      <c r="AN1502" s="1">
        <v>1</v>
      </c>
      <c r="AO1502" s="1">
        <v>1</v>
      </c>
      <c r="AP1502" s="1" t="s">
        <v>667</v>
      </c>
      <c r="AR1502" s="1" t="s">
        <v>210</v>
      </c>
      <c r="AS1502" s="1" t="s">
        <v>204</v>
      </c>
      <c r="AT1502" s="1" t="s">
        <v>211</v>
      </c>
      <c r="AU1502" s="1">
        <v>1</v>
      </c>
      <c r="AW1502" s="1" t="s">
        <v>204</v>
      </c>
      <c r="AX1502" s="1" t="s">
        <v>14652</v>
      </c>
      <c r="AZ1502" s="1">
        <v>3207</v>
      </c>
      <c r="BA1502" s="1">
        <v>2013</v>
      </c>
      <c r="BE1502" s="1">
        <v>894</v>
      </c>
      <c r="BF1502" s="1">
        <v>1</v>
      </c>
      <c r="BG1502" s="1">
        <v>0</v>
      </c>
      <c r="BL1502" s="1">
        <v>35</v>
      </c>
      <c r="BM1502" s="1" t="s">
        <v>204</v>
      </c>
      <c r="BN1502" s="1" t="s">
        <v>213</v>
      </c>
      <c r="BO1502" s="1">
        <v>999</v>
      </c>
      <c r="BP1502" s="1" t="s">
        <v>204</v>
      </c>
      <c r="BR1502" s="1" t="str">
        <f>"0123290012"</f>
        <v>0123290012</v>
      </c>
      <c r="BT1502" s="1" t="s">
        <v>14653</v>
      </c>
      <c r="BX1502" s="1">
        <v>88</v>
      </c>
      <c r="BY1502" s="1">
        <v>88</v>
      </c>
      <c r="BZ1502" s="1">
        <v>88</v>
      </c>
      <c r="CB1502" s="1" t="str">
        <f t="shared" ref="CB1502:CC1502" si="1147">"0"</f>
        <v>0</v>
      </c>
      <c r="CC1502" s="1" t="str">
        <f t="shared" si="1147"/>
        <v>0</v>
      </c>
      <c r="CD1502" s="1">
        <v>47</v>
      </c>
      <c r="CE1502" s="1">
        <v>13</v>
      </c>
      <c r="CG1502" s="1" t="s">
        <v>465</v>
      </c>
      <c r="CH1502" s="1" t="s">
        <v>219</v>
      </c>
      <c r="CI1502" s="1" t="s">
        <v>229</v>
      </c>
      <c r="CK1502" s="1" t="s">
        <v>932</v>
      </c>
      <c r="CL1502" s="1" t="s">
        <v>219</v>
      </c>
      <c r="CM1502" s="1" t="s">
        <v>220</v>
      </c>
      <c r="CO1502" s="1" t="s">
        <v>316</v>
      </c>
      <c r="CP1502" s="1" t="s">
        <v>219</v>
      </c>
      <c r="CQ1502" s="1" t="s">
        <v>229</v>
      </c>
      <c r="CS1502" s="1" t="s">
        <v>1297</v>
      </c>
      <c r="CT1502" s="1" t="s">
        <v>219</v>
      </c>
      <c r="CU1502" s="1" t="s">
        <v>229</v>
      </c>
      <c r="CX1502" s="1" t="s">
        <v>224</v>
      </c>
      <c r="DB1502" s="1" t="s">
        <v>224</v>
      </c>
      <c r="DE1502" s="1" t="s">
        <v>318</v>
      </c>
      <c r="DF1502" s="1" t="s">
        <v>219</v>
      </c>
      <c r="DG1502" s="1" t="s">
        <v>229</v>
      </c>
      <c r="DJ1502" s="1" t="s">
        <v>224</v>
      </c>
      <c r="DS1502" s="1" t="s">
        <v>230</v>
      </c>
      <c r="DW1502" s="1" t="s">
        <v>230</v>
      </c>
      <c r="EA1502" s="1" t="s">
        <v>230</v>
      </c>
      <c r="EE1502" s="1" t="s">
        <v>230</v>
      </c>
      <c r="EI1502" s="1" t="s">
        <v>230</v>
      </c>
      <c r="EL1502" s="1" t="s">
        <v>491</v>
      </c>
      <c r="EM1502" s="1" t="s">
        <v>319</v>
      </c>
      <c r="EN1502" s="1" t="s">
        <v>282</v>
      </c>
      <c r="EO1502" s="1" t="s">
        <v>234</v>
      </c>
      <c r="EP1502" s="1" t="s">
        <v>8505</v>
      </c>
      <c r="ER1502" s="1" t="s">
        <v>383</v>
      </c>
      <c r="EU1502" s="1" t="s">
        <v>8596</v>
      </c>
      <c r="EV1502" s="1" t="s">
        <v>240</v>
      </c>
      <c r="EW1502" s="1" t="s">
        <v>1662</v>
      </c>
      <c r="EY1502" s="1" t="s">
        <v>242</v>
      </c>
      <c r="EZ1502" s="1" t="s">
        <v>287</v>
      </c>
      <c r="FD1502" s="1" t="s">
        <v>246</v>
      </c>
      <c r="FE1502" s="1" t="s">
        <v>472</v>
      </c>
      <c r="FF1502" s="1" t="s">
        <v>248</v>
      </c>
      <c r="FH1502" s="1" t="s">
        <v>442</v>
      </c>
      <c r="FJ1502" s="1" t="s">
        <v>518</v>
      </c>
      <c r="FL1502" s="1" t="s">
        <v>358</v>
      </c>
      <c r="FM1502" s="1" t="s">
        <v>252</v>
      </c>
      <c r="FN1502" s="1" t="s">
        <v>213</v>
      </c>
      <c r="FO1502" s="1" t="s">
        <v>213</v>
      </c>
      <c r="FQ1502" s="1" t="s">
        <v>689</v>
      </c>
      <c r="FR1502" s="1" t="s">
        <v>210</v>
      </c>
      <c r="FS1502" s="1" t="s">
        <v>14654</v>
      </c>
      <c r="FT1502" s="1" t="s">
        <v>584</v>
      </c>
      <c r="FU1502" s="1" t="s">
        <v>204</v>
      </c>
      <c r="FW1502" s="1" t="s">
        <v>813</v>
      </c>
      <c r="FX1502" s="1">
        <v>22588</v>
      </c>
      <c r="FY1502" s="1" t="s">
        <v>2685</v>
      </c>
      <c r="FZ1502" s="1" t="s">
        <v>6282</v>
      </c>
      <c r="GA1502" s="1">
        <v>222152</v>
      </c>
      <c r="GB1502" s="1" t="s">
        <v>6283</v>
      </c>
      <c r="GC1502" s="1">
        <v>226878</v>
      </c>
      <c r="GD1502" s="1" t="s">
        <v>6284</v>
      </c>
      <c r="GE1502" s="1" t="s">
        <v>210</v>
      </c>
      <c r="GI1502" s="1" t="s">
        <v>213</v>
      </c>
      <c r="GJ1502" s="1" t="s">
        <v>260</v>
      </c>
      <c r="GK1502" s="1" t="s">
        <v>210</v>
      </c>
      <c r="GL1502" s="2">
        <v>42128</v>
      </c>
      <c r="GM1502" s="1" t="s">
        <v>14655</v>
      </c>
    </row>
    <row r="1503" spans="1:195">
      <c r="A1503" s="1">
        <v>126000</v>
      </c>
      <c r="B1503" s="1" t="s">
        <v>195</v>
      </c>
      <c r="C1503" s="1" t="str">
        <f>"08884270"</f>
        <v>08884270</v>
      </c>
      <c r="D1503" s="1" t="s">
        <v>196</v>
      </c>
      <c r="F1503" s="1" t="str">
        <f>"137"</f>
        <v>137</v>
      </c>
      <c r="G1503" s="2">
        <v>42102</v>
      </c>
      <c r="H1503" s="1">
        <v>128900</v>
      </c>
      <c r="I1503" s="1">
        <v>128900</v>
      </c>
      <c r="J1503" s="1">
        <v>126000</v>
      </c>
      <c r="K1503" s="2">
        <v>42102</v>
      </c>
      <c r="L1503" s="1">
        <v>6</v>
      </c>
      <c r="M1503" s="2">
        <v>42107</v>
      </c>
      <c r="N1503" s="1">
        <v>6</v>
      </c>
      <c r="O1503" s="2">
        <v>42107</v>
      </c>
      <c r="P1503" s="1">
        <v>22005</v>
      </c>
      <c r="Q1503" s="1" t="s">
        <v>302</v>
      </c>
      <c r="R1503" s="2">
        <v>42123</v>
      </c>
      <c r="S1503" s="1">
        <v>216117</v>
      </c>
      <c r="U1503" s="1">
        <v>429</v>
      </c>
      <c r="V1503" s="1" t="s">
        <v>2413</v>
      </c>
      <c r="W1503" s="1" t="s">
        <v>449</v>
      </c>
      <c r="X1503" s="1">
        <v>4</v>
      </c>
      <c r="Y1503" s="1">
        <v>4</v>
      </c>
      <c r="Z1503" s="1" t="s">
        <v>249</v>
      </c>
      <c r="AA1503" s="1" t="s">
        <v>201</v>
      </c>
      <c r="AB1503" s="1">
        <v>60137</v>
      </c>
      <c r="AD1503" s="1" t="s">
        <v>9221</v>
      </c>
      <c r="AE1503" s="1" t="s">
        <v>14656</v>
      </c>
      <c r="AF1503" s="1">
        <v>1984</v>
      </c>
      <c r="AG1503" s="1" t="s">
        <v>204</v>
      </c>
      <c r="AH1503" s="1" t="s">
        <v>205</v>
      </c>
      <c r="AI1503" s="1" t="s">
        <v>206</v>
      </c>
      <c r="AJ1503" s="1" t="s">
        <v>207</v>
      </c>
      <c r="AL1503" s="1">
        <v>4</v>
      </c>
      <c r="AM1503" s="1">
        <v>2</v>
      </c>
      <c r="AN1503" s="1">
        <v>1</v>
      </c>
      <c r="AO1503" s="1">
        <v>0</v>
      </c>
      <c r="AP1503" s="1" t="s">
        <v>667</v>
      </c>
      <c r="AR1503" s="1" t="s">
        <v>210</v>
      </c>
      <c r="AS1503" s="1" t="s">
        <v>204</v>
      </c>
      <c r="AT1503" s="1" t="s">
        <v>211</v>
      </c>
      <c r="AU1503" s="1">
        <v>1</v>
      </c>
      <c r="AW1503" s="1" t="s">
        <v>204</v>
      </c>
      <c r="AX1503" s="1" t="s">
        <v>212</v>
      </c>
      <c r="AZ1503" s="1">
        <v>3232</v>
      </c>
      <c r="BA1503" s="1">
        <v>2013</v>
      </c>
      <c r="BB1503" s="1" t="s">
        <v>405</v>
      </c>
      <c r="BE1503" s="1">
        <v>958</v>
      </c>
      <c r="BF1503" s="1">
        <v>2</v>
      </c>
      <c r="BG1503" s="1">
        <v>0</v>
      </c>
      <c r="BL1503" s="1">
        <v>220</v>
      </c>
      <c r="BM1503" s="1" t="s">
        <v>204</v>
      </c>
      <c r="BN1503" s="1" t="s">
        <v>213</v>
      </c>
      <c r="BO1503" s="1">
        <v>999</v>
      </c>
      <c r="BP1503" s="1" t="s">
        <v>204</v>
      </c>
      <c r="BR1503" s="1" t="str">
        <f>"0522422200"</f>
        <v>0522422200</v>
      </c>
      <c r="BT1503" s="1" t="s">
        <v>14657</v>
      </c>
      <c r="BU1503" s="1" t="s">
        <v>7734</v>
      </c>
      <c r="BV1503" s="1" t="s">
        <v>216</v>
      </c>
      <c r="BW1503" s="1" t="s">
        <v>217</v>
      </c>
      <c r="BX1503" s="1">
        <v>89</v>
      </c>
      <c r="BY1503" s="1">
        <v>89</v>
      </c>
      <c r="BZ1503" s="1">
        <v>87</v>
      </c>
      <c r="CB1503" s="1" t="str">
        <f t="shared" ref="CB1503:CC1503" si="1148">""</f>
        <v/>
      </c>
      <c r="CC1503" s="1" t="str">
        <f t="shared" si="1148"/>
        <v/>
      </c>
      <c r="CG1503" s="1" t="s">
        <v>10786</v>
      </c>
      <c r="CH1503" s="1" t="s">
        <v>277</v>
      </c>
      <c r="CI1503" s="1" t="s">
        <v>229</v>
      </c>
      <c r="CJ1503" s="1" t="s">
        <v>343</v>
      </c>
      <c r="CK1503" s="1" t="s">
        <v>539</v>
      </c>
      <c r="CL1503" s="1" t="s">
        <v>277</v>
      </c>
      <c r="CM1503" s="1" t="s">
        <v>229</v>
      </c>
      <c r="CN1503" s="1" t="s">
        <v>343</v>
      </c>
      <c r="CP1503" s="1" t="s">
        <v>224</v>
      </c>
      <c r="CS1503" s="1" t="s">
        <v>318</v>
      </c>
      <c r="CT1503" s="1" t="s">
        <v>277</v>
      </c>
      <c r="CU1503" s="1" t="s">
        <v>229</v>
      </c>
      <c r="CV1503" s="1" t="s">
        <v>463</v>
      </c>
      <c r="CX1503" s="1" t="s">
        <v>224</v>
      </c>
      <c r="DB1503" s="1" t="s">
        <v>224</v>
      </c>
      <c r="DE1503" s="1" t="s">
        <v>380</v>
      </c>
      <c r="DF1503" s="1" t="s">
        <v>277</v>
      </c>
      <c r="DG1503" s="1" t="s">
        <v>229</v>
      </c>
      <c r="DJ1503" s="1" t="s">
        <v>224</v>
      </c>
      <c r="DS1503" s="1" t="s">
        <v>230</v>
      </c>
      <c r="DW1503" s="1" t="s">
        <v>230</v>
      </c>
      <c r="EA1503" s="1" t="s">
        <v>230</v>
      </c>
      <c r="EE1503" s="1" t="s">
        <v>230</v>
      </c>
      <c r="EI1503" s="1" t="s">
        <v>230</v>
      </c>
      <c r="EL1503" s="1" t="s">
        <v>231</v>
      </c>
      <c r="EM1503" s="1" t="s">
        <v>232</v>
      </c>
      <c r="EN1503" s="1" t="s">
        <v>282</v>
      </c>
      <c r="EO1503" s="1" t="s">
        <v>234</v>
      </c>
      <c r="EP1503" s="1" t="s">
        <v>650</v>
      </c>
      <c r="EQ1503" s="1" t="s">
        <v>236</v>
      </c>
      <c r="ER1503" s="1" t="s">
        <v>210</v>
      </c>
      <c r="ES1503" s="1" t="s">
        <v>1552</v>
      </c>
      <c r="EU1503" s="1" t="s">
        <v>610</v>
      </c>
      <c r="EV1503" s="1" t="s">
        <v>240</v>
      </c>
      <c r="EW1503" s="1" t="s">
        <v>937</v>
      </c>
      <c r="EY1503" s="1" t="s">
        <v>242</v>
      </c>
      <c r="EZ1503" s="1" t="s">
        <v>287</v>
      </c>
      <c r="FB1503" s="1" t="s">
        <v>289</v>
      </c>
      <c r="FD1503" s="1" t="s">
        <v>246</v>
      </c>
      <c r="FE1503" s="1" t="s">
        <v>651</v>
      </c>
      <c r="FF1503" s="1" t="s">
        <v>248</v>
      </c>
      <c r="FH1503" s="1" t="s">
        <v>249</v>
      </c>
      <c r="FI1503" s="1" t="s">
        <v>473</v>
      </c>
      <c r="FL1503" s="1" t="s">
        <v>358</v>
      </c>
      <c r="FM1503" s="1" t="s">
        <v>252</v>
      </c>
      <c r="FN1503" s="1" t="s">
        <v>213</v>
      </c>
      <c r="FO1503" s="1" t="s">
        <v>213</v>
      </c>
      <c r="FQ1503" s="1" t="s">
        <v>569</v>
      </c>
      <c r="FR1503" s="1" t="s">
        <v>210</v>
      </c>
      <c r="FS1503" s="1" t="s">
        <v>12849</v>
      </c>
      <c r="FT1503" s="1" t="s">
        <v>691</v>
      </c>
      <c r="FU1503" s="1" t="s">
        <v>204</v>
      </c>
      <c r="FW1503" s="1" t="s">
        <v>1559</v>
      </c>
      <c r="FX1503" s="1">
        <v>25083</v>
      </c>
      <c r="FY1503" s="1" t="s">
        <v>4110</v>
      </c>
      <c r="FZ1503" s="1" t="s">
        <v>12850</v>
      </c>
      <c r="GA1503" s="1">
        <v>257048</v>
      </c>
      <c r="GB1503" s="1" t="s">
        <v>12851</v>
      </c>
      <c r="GE1503" s="1" t="s">
        <v>1764</v>
      </c>
      <c r="GI1503" s="1" t="s">
        <v>213</v>
      </c>
      <c r="GJ1503" s="1" t="s">
        <v>260</v>
      </c>
      <c r="GK1503" s="1" t="s">
        <v>210</v>
      </c>
      <c r="GL1503" s="2">
        <v>42124</v>
      </c>
      <c r="GM1503" s="1" t="s">
        <v>14658</v>
      </c>
    </row>
    <row r="1504" spans="1:195">
      <c r="A1504" s="1">
        <v>18100</v>
      </c>
      <c r="B1504" s="1" t="s">
        <v>195</v>
      </c>
      <c r="C1504" s="1" t="str">
        <f>"08877827"</f>
        <v>08877827</v>
      </c>
      <c r="D1504" s="1" t="s">
        <v>196</v>
      </c>
      <c r="F1504" s="1" t="str">
        <f>"8043"</f>
        <v>8043</v>
      </c>
      <c r="G1504" s="2">
        <v>42095</v>
      </c>
      <c r="H1504" s="1">
        <v>17500</v>
      </c>
      <c r="I1504" s="1">
        <v>17500</v>
      </c>
      <c r="J1504" s="1">
        <v>18100</v>
      </c>
      <c r="K1504" s="2">
        <v>42095</v>
      </c>
      <c r="L1504" s="1">
        <v>11</v>
      </c>
      <c r="M1504" s="2">
        <v>42105</v>
      </c>
      <c r="N1504" s="1">
        <v>11</v>
      </c>
      <c r="O1504" s="2">
        <v>42105</v>
      </c>
      <c r="P1504" s="1" t="s">
        <v>1039</v>
      </c>
      <c r="Q1504" s="1" t="s">
        <v>302</v>
      </c>
      <c r="R1504" s="2">
        <v>42145</v>
      </c>
      <c r="S1504" s="1">
        <v>99999</v>
      </c>
      <c r="U1504" s="1">
        <v>7722</v>
      </c>
      <c r="V1504" s="1" t="s">
        <v>8176</v>
      </c>
      <c r="W1504" s="1" t="s">
        <v>425</v>
      </c>
      <c r="X1504" s="1" t="s">
        <v>726</v>
      </c>
      <c r="Y1504" s="1">
        <v>6</v>
      </c>
      <c r="Z1504" s="1" t="s">
        <v>249</v>
      </c>
      <c r="AA1504" s="1" t="s">
        <v>400</v>
      </c>
      <c r="AB1504" s="1">
        <v>60649</v>
      </c>
      <c r="AE1504" s="1" t="s">
        <v>14659</v>
      </c>
      <c r="AF1504" s="1">
        <v>1927</v>
      </c>
      <c r="AG1504" s="1" t="s">
        <v>213</v>
      </c>
      <c r="AH1504" s="1" t="s">
        <v>403</v>
      </c>
      <c r="AI1504" s="1" t="s">
        <v>310</v>
      </c>
      <c r="AJ1504" s="1" t="s">
        <v>562</v>
      </c>
      <c r="AL1504" s="1">
        <v>4</v>
      </c>
      <c r="AM1504" s="1">
        <v>2</v>
      </c>
      <c r="AN1504" s="1">
        <v>1</v>
      </c>
      <c r="AO1504" s="1">
        <v>0</v>
      </c>
      <c r="AP1504" s="1" t="s">
        <v>210</v>
      </c>
      <c r="AR1504" s="1" t="s">
        <v>210</v>
      </c>
      <c r="AS1504" s="1" t="s">
        <v>204</v>
      </c>
      <c r="AT1504" s="1" t="s">
        <v>210</v>
      </c>
      <c r="AW1504" s="1" t="s">
        <v>204</v>
      </c>
      <c r="AX1504" s="1" t="s">
        <v>212</v>
      </c>
      <c r="AZ1504" s="1">
        <v>1267</v>
      </c>
      <c r="BA1504" s="1">
        <v>2013</v>
      </c>
      <c r="BE1504" s="1">
        <v>745</v>
      </c>
      <c r="BF1504" s="1">
        <v>2</v>
      </c>
      <c r="BG1504" s="1">
        <v>0</v>
      </c>
      <c r="BL1504" s="1">
        <v>153</v>
      </c>
      <c r="BM1504" s="1" t="s">
        <v>413</v>
      </c>
      <c r="BN1504" s="1" t="s">
        <v>213</v>
      </c>
      <c r="BO1504" s="1">
        <v>0</v>
      </c>
      <c r="BP1504" s="1" t="s">
        <v>204</v>
      </c>
      <c r="BR1504" s="1" t="str">
        <f>"20253160471008"</f>
        <v>20253160471008</v>
      </c>
      <c r="BT1504" s="1" t="s">
        <v>14660</v>
      </c>
      <c r="BX1504" s="1">
        <v>299</v>
      </c>
      <c r="BY1504" s="1">
        <v>299</v>
      </c>
      <c r="BZ1504" s="1">
        <v>299</v>
      </c>
      <c r="CA1504" s="1">
        <v>299</v>
      </c>
      <c r="CB1504" s="1" t="str">
        <f>"0"</f>
        <v>0</v>
      </c>
      <c r="CC1504" s="1" t="str">
        <f>"1600"</f>
        <v>1600</v>
      </c>
      <c r="CD1504" s="1">
        <v>0</v>
      </c>
      <c r="CE1504" s="1">
        <v>7722</v>
      </c>
      <c r="CG1504" s="1" t="s">
        <v>3900</v>
      </c>
      <c r="CH1504" s="1" t="s">
        <v>219</v>
      </c>
      <c r="CI1504" s="1" t="s">
        <v>438</v>
      </c>
      <c r="CK1504" s="1" t="s">
        <v>378</v>
      </c>
      <c r="CL1504" s="1" t="s">
        <v>219</v>
      </c>
      <c r="CM1504" s="1" t="s">
        <v>220</v>
      </c>
      <c r="CP1504" s="1" t="s">
        <v>224</v>
      </c>
      <c r="CS1504" s="1" t="s">
        <v>1046</v>
      </c>
      <c r="CT1504" s="1" t="s">
        <v>219</v>
      </c>
      <c r="CU1504" s="1" t="s">
        <v>220</v>
      </c>
      <c r="CX1504" s="1" t="s">
        <v>224</v>
      </c>
      <c r="DB1504" s="1" t="s">
        <v>224</v>
      </c>
      <c r="DE1504" s="1" t="s">
        <v>630</v>
      </c>
      <c r="DF1504" s="1" t="s">
        <v>219</v>
      </c>
      <c r="DG1504" s="1" t="s">
        <v>226</v>
      </c>
      <c r="DJ1504" s="1" t="s">
        <v>224</v>
      </c>
      <c r="DS1504" s="1" t="s">
        <v>230</v>
      </c>
      <c r="DW1504" s="1" t="s">
        <v>230</v>
      </c>
      <c r="EA1504" s="1" t="s">
        <v>230</v>
      </c>
      <c r="EE1504" s="1" t="s">
        <v>230</v>
      </c>
      <c r="EI1504" s="1" t="s">
        <v>230</v>
      </c>
      <c r="EL1504" s="1" t="s">
        <v>2154</v>
      </c>
      <c r="EM1504" s="1" t="s">
        <v>232</v>
      </c>
      <c r="EN1504" s="1" t="s">
        <v>282</v>
      </c>
      <c r="EO1504" s="1" t="s">
        <v>234</v>
      </c>
      <c r="EP1504" s="1" t="s">
        <v>14661</v>
      </c>
      <c r="ER1504" s="1" t="s">
        <v>210</v>
      </c>
      <c r="EV1504" s="1" t="s">
        <v>240</v>
      </c>
      <c r="EW1504" s="1" t="s">
        <v>7034</v>
      </c>
      <c r="EZ1504" s="1" t="s">
        <v>287</v>
      </c>
      <c r="FD1504" s="1" t="s">
        <v>246</v>
      </c>
      <c r="FE1504" s="1" t="s">
        <v>247</v>
      </c>
      <c r="FF1504" s="1" t="s">
        <v>248</v>
      </c>
      <c r="FH1504" s="1" t="s">
        <v>249</v>
      </c>
      <c r="FL1504" s="1" t="s">
        <v>358</v>
      </c>
      <c r="FM1504" s="1" t="s">
        <v>252</v>
      </c>
      <c r="FN1504" s="1" t="s">
        <v>213</v>
      </c>
      <c r="FO1504" s="1" t="s">
        <v>213</v>
      </c>
      <c r="FQ1504" s="1" t="s">
        <v>12064</v>
      </c>
      <c r="FR1504" s="1" t="s">
        <v>652</v>
      </c>
      <c r="FS1504" s="1" t="s">
        <v>653</v>
      </c>
      <c r="FT1504" s="1" t="s">
        <v>654</v>
      </c>
      <c r="FU1504" s="1" t="s">
        <v>204</v>
      </c>
      <c r="FW1504" s="1" t="s">
        <v>655</v>
      </c>
      <c r="FX1504" s="1">
        <v>10841</v>
      </c>
      <c r="FY1504" s="1" t="s">
        <v>656</v>
      </c>
      <c r="FZ1504" s="1" t="s">
        <v>657</v>
      </c>
      <c r="GA1504" s="1">
        <v>109860</v>
      </c>
      <c r="GB1504" s="1" t="s">
        <v>656</v>
      </c>
      <c r="GE1504" s="1" t="s">
        <v>2504</v>
      </c>
      <c r="GH1504" s="1" t="s">
        <v>421</v>
      </c>
      <c r="GI1504" s="1" t="s">
        <v>213</v>
      </c>
      <c r="GJ1504" s="1" t="s">
        <v>260</v>
      </c>
      <c r="GK1504" s="1" t="s">
        <v>210</v>
      </c>
      <c r="GL1504" s="2">
        <v>42146</v>
      </c>
      <c r="GM1504" s="1" t="s">
        <v>14662</v>
      </c>
    </row>
    <row r="1505" spans="1:195">
      <c r="A1505" s="1">
        <v>140000</v>
      </c>
      <c r="B1505" s="1" t="s">
        <v>195</v>
      </c>
      <c r="C1505" s="1" t="str">
        <f>"08877533"</f>
        <v>08877533</v>
      </c>
      <c r="D1505" s="1" t="s">
        <v>196</v>
      </c>
      <c r="F1505" s="1" t="str">
        <f>"516"</f>
        <v>516</v>
      </c>
      <c r="G1505" s="2">
        <v>42095</v>
      </c>
      <c r="H1505" s="1">
        <v>149700</v>
      </c>
      <c r="I1505" s="1">
        <v>149700</v>
      </c>
      <c r="J1505" s="1">
        <v>140000</v>
      </c>
      <c r="K1505" s="2">
        <v>42095</v>
      </c>
      <c r="L1505" s="1">
        <v>8</v>
      </c>
      <c r="M1505" s="2">
        <v>42102</v>
      </c>
      <c r="N1505" s="1">
        <v>8</v>
      </c>
      <c r="O1505" s="2">
        <v>42102</v>
      </c>
      <c r="P1505" s="1">
        <v>79988</v>
      </c>
      <c r="Q1505" s="1" t="s">
        <v>302</v>
      </c>
      <c r="R1505" s="2">
        <v>42128</v>
      </c>
      <c r="S1505" s="1">
        <v>705771</v>
      </c>
      <c r="U1505" s="1">
        <v>332</v>
      </c>
      <c r="V1505" s="1" t="s">
        <v>14663</v>
      </c>
      <c r="W1505" s="1" t="s">
        <v>1056</v>
      </c>
      <c r="X1505" s="1" t="s">
        <v>2010</v>
      </c>
      <c r="Y1505" s="1">
        <v>4</v>
      </c>
      <c r="Z1505" s="1" t="s">
        <v>249</v>
      </c>
      <c r="AA1505" s="1" t="s">
        <v>1417</v>
      </c>
      <c r="AB1505" s="1">
        <v>60527</v>
      </c>
      <c r="AD1505" s="1" t="s">
        <v>14664</v>
      </c>
      <c r="AE1505" s="1" t="s">
        <v>14665</v>
      </c>
      <c r="AF1505" s="1">
        <v>1990</v>
      </c>
      <c r="AG1505" s="1" t="s">
        <v>204</v>
      </c>
      <c r="AH1505" s="1" t="s">
        <v>882</v>
      </c>
      <c r="AI1505" s="1" t="s">
        <v>206</v>
      </c>
      <c r="AJ1505" s="1" t="s">
        <v>903</v>
      </c>
      <c r="AK1505" s="1" t="s">
        <v>1151</v>
      </c>
      <c r="AL1505" s="1">
        <v>5</v>
      </c>
      <c r="AM1505" s="1">
        <v>2</v>
      </c>
      <c r="AN1505" s="1">
        <v>2</v>
      </c>
      <c r="AO1505" s="1">
        <v>0</v>
      </c>
      <c r="AP1505" s="1" t="s">
        <v>209</v>
      </c>
      <c r="AR1505" s="1" t="s">
        <v>210</v>
      </c>
      <c r="AS1505" s="1" t="s">
        <v>204</v>
      </c>
      <c r="AT1505" s="1" t="s">
        <v>211</v>
      </c>
      <c r="AU1505" s="1">
        <v>1</v>
      </c>
      <c r="AW1505" s="1" t="s">
        <v>204</v>
      </c>
      <c r="AX1505" s="1" t="s">
        <v>212</v>
      </c>
      <c r="AZ1505" s="1">
        <v>2619</v>
      </c>
      <c r="BA1505" s="1">
        <v>2013</v>
      </c>
      <c r="BE1505" s="1">
        <v>1100</v>
      </c>
      <c r="BF1505" s="1">
        <v>1</v>
      </c>
      <c r="BG1505" s="1">
        <v>0</v>
      </c>
      <c r="BL1505" s="1">
        <v>229</v>
      </c>
      <c r="BM1505" s="1" t="s">
        <v>213</v>
      </c>
      <c r="BN1505" s="1" t="s">
        <v>213</v>
      </c>
      <c r="BO1505" s="1">
        <v>0</v>
      </c>
      <c r="BP1505" s="1" t="s">
        <v>204</v>
      </c>
      <c r="BR1505" s="1" t="str">
        <f>"0934214016"</f>
        <v>0934214016</v>
      </c>
      <c r="BT1505" s="1" t="s">
        <v>14666</v>
      </c>
      <c r="BU1505" s="1" t="s">
        <v>2882</v>
      </c>
      <c r="BV1505" s="1" t="s">
        <v>2883</v>
      </c>
      <c r="BW1505" s="1" t="s">
        <v>907</v>
      </c>
      <c r="BX1505" s="1">
        <v>63</v>
      </c>
      <c r="BY1505" s="1">
        <v>63</v>
      </c>
      <c r="BZ1505" s="1">
        <v>86</v>
      </c>
      <c r="CB1505" s="1" t="str">
        <f t="shared" ref="CB1505:CC1505" si="1149">""</f>
        <v/>
      </c>
      <c r="CC1505" s="1" t="str">
        <f t="shared" si="1149"/>
        <v/>
      </c>
      <c r="CD1505" s="1">
        <v>17</v>
      </c>
      <c r="CE1505" s="1">
        <v>9</v>
      </c>
      <c r="CG1505" s="1" t="s">
        <v>862</v>
      </c>
      <c r="CH1505" s="1" t="s">
        <v>219</v>
      </c>
      <c r="CI1505" s="1" t="s">
        <v>438</v>
      </c>
      <c r="CJ1505" s="1" t="s">
        <v>463</v>
      </c>
      <c r="CK1505" s="1" t="s">
        <v>1045</v>
      </c>
      <c r="CL1505" s="1" t="s">
        <v>219</v>
      </c>
      <c r="CM1505" s="1" t="s">
        <v>438</v>
      </c>
      <c r="CN1505" s="1" t="s">
        <v>343</v>
      </c>
      <c r="CO1505" s="1" t="s">
        <v>1297</v>
      </c>
      <c r="CP1505" s="1" t="s">
        <v>219</v>
      </c>
      <c r="CQ1505" s="1" t="s">
        <v>438</v>
      </c>
      <c r="CR1505" s="1" t="s">
        <v>343</v>
      </c>
      <c r="CS1505" s="1" t="s">
        <v>1046</v>
      </c>
      <c r="CT1505" s="1" t="s">
        <v>219</v>
      </c>
      <c r="CU1505" s="1" t="s">
        <v>438</v>
      </c>
      <c r="CV1505" s="1" t="s">
        <v>343</v>
      </c>
      <c r="CX1505" s="1" t="s">
        <v>224</v>
      </c>
      <c r="DB1505" s="1" t="s">
        <v>224</v>
      </c>
      <c r="DE1505" s="1" t="s">
        <v>821</v>
      </c>
      <c r="DF1505" s="1" t="s">
        <v>219</v>
      </c>
      <c r="DG1505" s="1" t="s">
        <v>438</v>
      </c>
      <c r="DJ1505" s="1" t="s">
        <v>224</v>
      </c>
      <c r="DS1505" s="1" t="s">
        <v>230</v>
      </c>
      <c r="DW1505" s="1" t="s">
        <v>230</v>
      </c>
      <c r="EA1505" s="1" t="s">
        <v>230</v>
      </c>
      <c r="EE1505" s="1" t="s">
        <v>230</v>
      </c>
      <c r="EI1505" s="1" t="s">
        <v>230</v>
      </c>
      <c r="EL1505" s="1" t="s">
        <v>382</v>
      </c>
      <c r="EM1505" s="1" t="s">
        <v>730</v>
      </c>
      <c r="EN1505" s="1" t="s">
        <v>282</v>
      </c>
      <c r="EO1505" s="1" t="s">
        <v>234</v>
      </c>
      <c r="EP1505" s="1" t="s">
        <v>14667</v>
      </c>
      <c r="EQ1505" s="1" t="s">
        <v>1551</v>
      </c>
      <c r="ER1505" s="1" t="s">
        <v>210</v>
      </c>
      <c r="ES1505" s="1" t="s">
        <v>545</v>
      </c>
      <c r="EU1505" s="1" t="s">
        <v>14668</v>
      </c>
      <c r="EV1505" s="1" t="s">
        <v>352</v>
      </c>
      <c r="EW1505" s="1" t="s">
        <v>353</v>
      </c>
      <c r="EY1505" s="1" t="s">
        <v>242</v>
      </c>
      <c r="EZ1505" s="1" t="s">
        <v>287</v>
      </c>
      <c r="FA1505" s="1" t="s">
        <v>1048</v>
      </c>
      <c r="FB1505" s="1" t="s">
        <v>1505</v>
      </c>
      <c r="FD1505" s="1" t="s">
        <v>495</v>
      </c>
      <c r="FE1505" s="1" t="s">
        <v>1006</v>
      </c>
      <c r="FF1505" s="1" t="s">
        <v>248</v>
      </c>
      <c r="FH1505" s="1" t="s">
        <v>249</v>
      </c>
      <c r="FI1505" s="1" t="s">
        <v>357</v>
      </c>
      <c r="FJ1505" s="1" t="s">
        <v>197</v>
      </c>
      <c r="FL1505" s="1" t="s">
        <v>358</v>
      </c>
      <c r="FM1505" s="1" t="s">
        <v>252</v>
      </c>
      <c r="FN1505" s="1" t="s">
        <v>213</v>
      </c>
      <c r="FO1505" s="1" t="s">
        <v>213</v>
      </c>
      <c r="FQ1505" s="1" t="s">
        <v>14669</v>
      </c>
      <c r="FR1505" s="1" t="s">
        <v>210</v>
      </c>
      <c r="FS1505" s="1" t="s">
        <v>14670</v>
      </c>
      <c r="FT1505" s="1" t="s">
        <v>362</v>
      </c>
      <c r="FU1505" s="1" t="s">
        <v>204</v>
      </c>
      <c r="FW1505" s="1" t="s">
        <v>14671</v>
      </c>
      <c r="FX1505" s="1">
        <v>85773</v>
      </c>
      <c r="FY1505" s="1" t="s">
        <v>14672</v>
      </c>
      <c r="FZ1505" s="1" t="s">
        <v>14673</v>
      </c>
      <c r="GA1505" s="1">
        <v>879105</v>
      </c>
      <c r="GB1505" s="1" t="s">
        <v>14674</v>
      </c>
      <c r="GD1505" s="1" t="s">
        <v>14675</v>
      </c>
      <c r="GE1505" s="1" t="s">
        <v>480</v>
      </c>
      <c r="GI1505" s="1" t="s">
        <v>213</v>
      </c>
      <c r="GJ1505" s="1" t="s">
        <v>260</v>
      </c>
      <c r="GK1505" s="1" t="s">
        <v>261</v>
      </c>
      <c r="GL1505" s="2">
        <v>42129</v>
      </c>
    </row>
    <row r="1506" spans="1:195">
      <c r="A1506" s="1">
        <v>195000</v>
      </c>
      <c r="B1506" s="1" t="s">
        <v>195</v>
      </c>
      <c r="C1506" s="1" t="str">
        <f>"08877018"</f>
        <v>08877018</v>
      </c>
      <c r="D1506" s="1" t="s">
        <v>196</v>
      </c>
      <c r="F1506" s="1" t="str">
        <f>"143"</f>
        <v>143</v>
      </c>
      <c r="G1506" s="2">
        <v>42094</v>
      </c>
      <c r="H1506" s="1">
        <v>200000</v>
      </c>
      <c r="I1506" s="1">
        <v>200000</v>
      </c>
      <c r="J1506" s="1">
        <v>195000</v>
      </c>
      <c r="K1506" s="2">
        <v>42094</v>
      </c>
      <c r="L1506" s="1">
        <v>18</v>
      </c>
      <c r="M1506" s="2">
        <v>42111</v>
      </c>
      <c r="N1506" s="1">
        <v>18</v>
      </c>
      <c r="O1506" s="2">
        <v>42111</v>
      </c>
      <c r="P1506" s="1">
        <v>25046</v>
      </c>
      <c r="Q1506" s="1" t="s">
        <v>302</v>
      </c>
      <c r="R1506" s="2">
        <v>42146</v>
      </c>
      <c r="S1506" s="1">
        <v>83571</v>
      </c>
      <c r="U1506" s="1">
        <v>287</v>
      </c>
      <c r="V1506" s="1" t="s">
        <v>11127</v>
      </c>
      <c r="W1506" s="1" t="s">
        <v>304</v>
      </c>
      <c r="Y1506" s="1">
        <v>8</v>
      </c>
      <c r="Z1506" s="1" t="s">
        <v>370</v>
      </c>
      <c r="AA1506" s="1" t="s">
        <v>7871</v>
      </c>
      <c r="AB1506" s="1">
        <v>60143</v>
      </c>
      <c r="AD1506" s="1" t="s">
        <v>11127</v>
      </c>
      <c r="AE1506" s="1" t="s">
        <v>14676</v>
      </c>
      <c r="AF1506" s="1">
        <v>1995</v>
      </c>
      <c r="AG1506" s="1" t="s">
        <v>204</v>
      </c>
      <c r="AH1506" s="1" t="s">
        <v>7873</v>
      </c>
      <c r="AI1506" s="1" t="s">
        <v>206</v>
      </c>
      <c r="AJ1506" s="1" t="s">
        <v>1233</v>
      </c>
      <c r="AK1506" s="1" t="s">
        <v>14677</v>
      </c>
      <c r="AL1506" s="1">
        <v>5</v>
      </c>
      <c r="AM1506" s="1">
        <v>2</v>
      </c>
      <c r="AN1506" s="1">
        <v>1</v>
      </c>
      <c r="AO1506" s="1">
        <v>0</v>
      </c>
      <c r="AP1506" s="1" t="s">
        <v>210</v>
      </c>
      <c r="AR1506" s="1" t="s">
        <v>210</v>
      </c>
      <c r="AS1506" s="1" t="s">
        <v>204</v>
      </c>
      <c r="AT1506" s="1" t="s">
        <v>211</v>
      </c>
      <c r="AU1506" s="1">
        <v>2</v>
      </c>
      <c r="AW1506" s="1" t="s">
        <v>213</v>
      </c>
      <c r="AX1506" s="1" t="s">
        <v>212</v>
      </c>
      <c r="AZ1506" s="1">
        <v>3764</v>
      </c>
      <c r="BA1506" s="1">
        <v>2013</v>
      </c>
      <c r="BB1506" s="1" t="s">
        <v>405</v>
      </c>
      <c r="BE1506" s="1">
        <v>1000</v>
      </c>
      <c r="BF1506" s="1">
        <v>1</v>
      </c>
      <c r="BG1506" s="1">
        <v>10</v>
      </c>
      <c r="BL1506" s="1">
        <v>187</v>
      </c>
      <c r="BM1506" s="1" t="s">
        <v>204</v>
      </c>
      <c r="BN1506" s="1" t="s">
        <v>213</v>
      </c>
      <c r="BO1506" s="1">
        <v>50</v>
      </c>
      <c r="BP1506" s="1" t="s">
        <v>204</v>
      </c>
      <c r="BR1506" s="1" t="str">
        <f>"0305313090"</f>
        <v>0305313090</v>
      </c>
      <c r="BT1506" s="1" t="s">
        <v>14678</v>
      </c>
      <c r="BU1506" s="1" t="s">
        <v>11130</v>
      </c>
      <c r="BV1506" s="1" t="s">
        <v>7877</v>
      </c>
      <c r="BW1506" s="1" t="s">
        <v>275</v>
      </c>
      <c r="BX1506" s="1">
        <v>10</v>
      </c>
      <c r="BY1506" s="1">
        <v>10</v>
      </c>
      <c r="BZ1506" s="1">
        <v>108</v>
      </c>
      <c r="CB1506" s="1" t="str">
        <f>"7"</f>
        <v>7</v>
      </c>
      <c r="CC1506" s="1" t="str">
        <f>"0"</f>
        <v>0</v>
      </c>
      <c r="CD1506" s="1">
        <v>19</v>
      </c>
      <c r="CE1506" s="1">
        <v>0</v>
      </c>
      <c r="CG1506" s="1" t="s">
        <v>885</v>
      </c>
      <c r="CH1506" s="1" t="s">
        <v>219</v>
      </c>
      <c r="CI1506" s="1" t="s">
        <v>438</v>
      </c>
      <c r="CJ1506" s="1" t="s">
        <v>252</v>
      </c>
      <c r="CK1506" s="1" t="s">
        <v>278</v>
      </c>
      <c r="CL1506" s="1" t="s">
        <v>219</v>
      </c>
      <c r="CM1506" s="1" t="s">
        <v>438</v>
      </c>
      <c r="CN1506" s="1" t="s">
        <v>252</v>
      </c>
      <c r="CO1506" s="1" t="s">
        <v>346</v>
      </c>
      <c r="CP1506" s="1" t="s">
        <v>219</v>
      </c>
      <c r="CQ1506" s="1" t="s">
        <v>438</v>
      </c>
      <c r="CR1506" s="1" t="s">
        <v>252</v>
      </c>
      <c r="CS1506" s="1" t="s">
        <v>318</v>
      </c>
      <c r="CT1506" s="1" t="s">
        <v>219</v>
      </c>
      <c r="CU1506" s="1" t="s">
        <v>438</v>
      </c>
      <c r="CV1506" s="1" t="s">
        <v>252</v>
      </c>
      <c r="CX1506" s="1" t="s">
        <v>224</v>
      </c>
      <c r="DB1506" s="1" t="s">
        <v>224</v>
      </c>
      <c r="DE1506" s="1" t="s">
        <v>539</v>
      </c>
      <c r="DF1506" s="1" t="s">
        <v>219</v>
      </c>
      <c r="DG1506" s="1" t="s">
        <v>347</v>
      </c>
      <c r="DH1506" s="1" t="s">
        <v>210</v>
      </c>
      <c r="DJ1506" s="1" t="s">
        <v>224</v>
      </c>
      <c r="DM1506" s="1" t="s">
        <v>709</v>
      </c>
      <c r="DR1506" s="1" t="s">
        <v>3126</v>
      </c>
      <c r="DS1506" s="1" t="s">
        <v>219</v>
      </c>
      <c r="DT1506" s="1" t="s">
        <v>347</v>
      </c>
      <c r="DU1506" s="1" t="s">
        <v>210</v>
      </c>
      <c r="DW1506" s="1" t="s">
        <v>230</v>
      </c>
      <c r="EA1506" s="1" t="s">
        <v>230</v>
      </c>
      <c r="EE1506" s="1" t="s">
        <v>230</v>
      </c>
      <c r="EI1506" s="1" t="s">
        <v>230</v>
      </c>
      <c r="EL1506" s="1" t="s">
        <v>670</v>
      </c>
      <c r="EM1506" s="1" t="s">
        <v>232</v>
      </c>
      <c r="EN1506" s="1" t="s">
        <v>282</v>
      </c>
      <c r="EO1506" s="1" t="s">
        <v>840</v>
      </c>
      <c r="EP1506" s="1" t="s">
        <v>650</v>
      </c>
      <c r="EQ1506" s="1" t="s">
        <v>236</v>
      </c>
      <c r="ER1506" s="1" t="s">
        <v>210</v>
      </c>
      <c r="ES1506" s="1" t="s">
        <v>322</v>
      </c>
      <c r="ET1506" s="1" t="s">
        <v>238</v>
      </c>
      <c r="EU1506" s="1" t="s">
        <v>285</v>
      </c>
      <c r="EV1506" s="1" t="s">
        <v>324</v>
      </c>
      <c r="EW1506" s="1" t="s">
        <v>353</v>
      </c>
      <c r="EY1506" s="1" t="s">
        <v>441</v>
      </c>
      <c r="EZ1506" s="1" t="s">
        <v>709</v>
      </c>
      <c r="FA1506" s="1" t="s">
        <v>2358</v>
      </c>
      <c r="FB1506" s="1" t="s">
        <v>289</v>
      </c>
      <c r="FD1506" s="1" t="s">
        <v>246</v>
      </c>
      <c r="FE1506" s="1" t="s">
        <v>975</v>
      </c>
      <c r="FF1506" s="1" t="s">
        <v>248</v>
      </c>
      <c r="FH1506" s="1" t="s">
        <v>825</v>
      </c>
      <c r="FI1506" s="1" t="s">
        <v>1114</v>
      </c>
      <c r="FJ1506" s="1" t="s">
        <v>197</v>
      </c>
      <c r="FL1506" s="1" t="s">
        <v>414</v>
      </c>
      <c r="FM1506" s="1" t="s">
        <v>252</v>
      </c>
      <c r="FN1506" s="1" t="s">
        <v>213</v>
      </c>
      <c r="FO1506" s="1" t="s">
        <v>213</v>
      </c>
      <c r="FQ1506" s="1" t="s">
        <v>3616</v>
      </c>
      <c r="FR1506" s="1" t="s">
        <v>210</v>
      </c>
      <c r="FS1506" s="1" t="s">
        <v>14679</v>
      </c>
      <c r="FT1506" s="1" t="s">
        <v>1139</v>
      </c>
      <c r="FU1506" s="1" t="s">
        <v>204</v>
      </c>
      <c r="FW1506" s="1" t="s">
        <v>1443</v>
      </c>
      <c r="FX1506" s="1">
        <v>25046</v>
      </c>
      <c r="FY1506" s="1" t="s">
        <v>1444</v>
      </c>
      <c r="FZ1506" s="1" t="s">
        <v>14680</v>
      </c>
      <c r="GA1506" s="1">
        <v>83571</v>
      </c>
      <c r="GB1506" s="1" t="s">
        <v>14681</v>
      </c>
      <c r="GD1506" s="1" t="s">
        <v>14682</v>
      </c>
      <c r="GE1506" s="1" t="s">
        <v>480</v>
      </c>
      <c r="GI1506" s="1" t="s">
        <v>213</v>
      </c>
      <c r="GJ1506" s="1" t="s">
        <v>260</v>
      </c>
      <c r="GK1506" s="1" t="s">
        <v>210</v>
      </c>
      <c r="GL1506" s="2">
        <v>42146</v>
      </c>
      <c r="GM1506" s="1" t="s">
        <v>14683</v>
      </c>
    </row>
    <row r="1507" spans="1:195">
      <c r="A1507" s="1">
        <v>119000</v>
      </c>
      <c r="B1507" s="1" t="s">
        <v>195</v>
      </c>
      <c r="C1507" s="1" t="str">
        <f>"08883499"</f>
        <v>08883499</v>
      </c>
      <c r="D1507" s="1" t="s">
        <v>196</v>
      </c>
      <c r="F1507" s="1" t="str">
        <f>"515"</f>
        <v>515</v>
      </c>
      <c r="G1507" s="2">
        <v>42101</v>
      </c>
      <c r="H1507" s="1">
        <v>119800</v>
      </c>
      <c r="I1507" s="1">
        <v>119800</v>
      </c>
      <c r="J1507" s="1">
        <v>119000</v>
      </c>
      <c r="K1507" s="2">
        <v>42101</v>
      </c>
      <c r="L1507" s="1">
        <v>6</v>
      </c>
      <c r="M1507" s="2">
        <v>42106</v>
      </c>
      <c r="N1507" s="1">
        <v>6</v>
      </c>
      <c r="O1507" s="2">
        <v>42106</v>
      </c>
      <c r="P1507" s="1">
        <v>20001</v>
      </c>
      <c r="Q1507" s="1" t="s">
        <v>302</v>
      </c>
      <c r="R1507" s="2">
        <v>42132</v>
      </c>
      <c r="S1507" s="1">
        <v>224841</v>
      </c>
      <c r="U1507" s="1">
        <v>4250</v>
      </c>
      <c r="V1507" s="1" t="s">
        <v>5751</v>
      </c>
      <c r="W1507" s="1" t="s">
        <v>425</v>
      </c>
      <c r="X1507" s="1" t="s">
        <v>14684</v>
      </c>
      <c r="Y1507" s="1">
        <v>90</v>
      </c>
      <c r="Z1507" s="1" t="s">
        <v>249</v>
      </c>
      <c r="AA1507" s="1" t="s">
        <v>1294</v>
      </c>
      <c r="AB1507" s="1">
        <v>60515</v>
      </c>
      <c r="AD1507" s="1" t="s">
        <v>14685</v>
      </c>
      <c r="AE1507" s="1" t="s">
        <v>14686</v>
      </c>
      <c r="AF1507" s="1">
        <v>1968</v>
      </c>
      <c r="AG1507" s="1" t="s">
        <v>213</v>
      </c>
      <c r="AH1507" s="1" t="s">
        <v>903</v>
      </c>
      <c r="AI1507" s="1" t="s">
        <v>206</v>
      </c>
      <c r="AJ1507" s="1" t="s">
        <v>903</v>
      </c>
      <c r="AL1507" s="1">
        <v>5</v>
      </c>
      <c r="AM1507" s="1">
        <v>2</v>
      </c>
      <c r="AN1507" s="1">
        <v>1</v>
      </c>
      <c r="AO1507" s="1">
        <v>1</v>
      </c>
      <c r="AP1507" s="1" t="s">
        <v>1234</v>
      </c>
      <c r="AR1507" s="1" t="s">
        <v>210</v>
      </c>
      <c r="AS1507" s="1" t="s">
        <v>204</v>
      </c>
      <c r="AT1507" s="1" t="s">
        <v>211</v>
      </c>
      <c r="AU1507" s="1">
        <v>1</v>
      </c>
      <c r="AW1507" s="1" t="s">
        <v>204</v>
      </c>
      <c r="AX1507" s="1" t="s">
        <v>212</v>
      </c>
      <c r="AZ1507" s="1">
        <v>701</v>
      </c>
      <c r="BA1507" s="1">
        <v>2013</v>
      </c>
      <c r="BB1507" s="1" t="s">
        <v>599</v>
      </c>
      <c r="BE1507" s="1">
        <v>1150</v>
      </c>
      <c r="BF1507" s="1">
        <v>2</v>
      </c>
      <c r="BG1507" s="1">
        <v>30</v>
      </c>
      <c r="BJ1507" s="1">
        <v>100</v>
      </c>
      <c r="BL1507" s="1">
        <v>370</v>
      </c>
      <c r="BM1507" s="1" t="s">
        <v>204</v>
      </c>
      <c r="BN1507" s="1" t="s">
        <v>213</v>
      </c>
      <c r="BO1507" s="1">
        <v>30</v>
      </c>
      <c r="BP1507" s="1" t="s">
        <v>204</v>
      </c>
      <c r="BR1507" s="1" t="str">
        <f>"0905123390"</f>
        <v>0905123390</v>
      </c>
      <c r="BT1507" s="1" t="s">
        <v>14687</v>
      </c>
      <c r="BU1507" s="1" t="s">
        <v>5757</v>
      </c>
      <c r="BV1507" s="1" t="s">
        <v>2761</v>
      </c>
      <c r="BW1507" s="1" t="s">
        <v>2762</v>
      </c>
      <c r="BX1507" s="1">
        <v>58</v>
      </c>
      <c r="BY1507" s="1">
        <v>58</v>
      </c>
      <c r="BZ1507" s="1">
        <v>99</v>
      </c>
      <c r="CB1507" s="1" t="str">
        <f t="shared" ref="CB1507:CC1507" si="1150">"0"</f>
        <v>0</v>
      </c>
      <c r="CC1507" s="1" t="str">
        <f t="shared" si="1150"/>
        <v>0</v>
      </c>
      <c r="CD1507" s="1">
        <v>19</v>
      </c>
      <c r="CE1507" s="1">
        <v>4</v>
      </c>
      <c r="CG1507" s="1" t="s">
        <v>1723</v>
      </c>
      <c r="CH1507" s="1" t="s">
        <v>219</v>
      </c>
      <c r="CI1507" s="1" t="s">
        <v>220</v>
      </c>
      <c r="CJ1507" s="1" t="s">
        <v>463</v>
      </c>
      <c r="CK1507" s="1" t="s">
        <v>885</v>
      </c>
      <c r="CL1507" s="1" t="s">
        <v>219</v>
      </c>
      <c r="CM1507" s="1" t="s">
        <v>220</v>
      </c>
      <c r="CN1507" s="1" t="s">
        <v>463</v>
      </c>
      <c r="CO1507" s="1" t="s">
        <v>629</v>
      </c>
      <c r="CP1507" s="1" t="s">
        <v>219</v>
      </c>
      <c r="CQ1507" s="1" t="s">
        <v>220</v>
      </c>
      <c r="CR1507" s="1" t="s">
        <v>463</v>
      </c>
      <c r="CS1507" s="1" t="s">
        <v>317</v>
      </c>
      <c r="CT1507" s="1" t="s">
        <v>219</v>
      </c>
      <c r="CU1507" s="1" t="s">
        <v>220</v>
      </c>
      <c r="CV1507" s="1" t="s">
        <v>463</v>
      </c>
      <c r="CX1507" s="1" t="s">
        <v>224</v>
      </c>
      <c r="DB1507" s="1" t="s">
        <v>224</v>
      </c>
      <c r="DE1507" s="1" t="s">
        <v>972</v>
      </c>
      <c r="DF1507" s="1" t="s">
        <v>219</v>
      </c>
      <c r="DG1507" s="1" t="s">
        <v>342</v>
      </c>
      <c r="DH1507" s="1" t="s">
        <v>210</v>
      </c>
      <c r="DJ1507" s="1" t="s">
        <v>224</v>
      </c>
      <c r="DM1507" s="1" t="s">
        <v>838</v>
      </c>
      <c r="DR1507" s="1" t="s">
        <v>11368</v>
      </c>
      <c r="DS1507" s="1" t="s">
        <v>219</v>
      </c>
      <c r="DT1507" s="1" t="s">
        <v>347</v>
      </c>
      <c r="DU1507" s="1" t="s">
        <v>210</v>
      </c>
      <c r="DW1507" s="1" t="s">
        <v>230</v>
      </c>
      <c r="EA1507" s="1" t="s">
        <v>230</v>
      </c>
      <c r="EE1507" s="1" t="s">
        <v>230</v>
      </c>
      <c r="EI1507" s="1" t="s">
        <v>230</v>
      </c>
      <c r="EL1507" s="1" t="s">
        <v>605</v>
      </c>
      <c r="EM1507" s="1" t="s">
        <v>232</v>
      </c>
      <c r="EN1507" s="1" t="s">
        <v>731</v>
      </c>
      <c r="EO1507" s="1" t="s">
        <v>1020</v>
      </c>
      <c r="EP1507" s="1" t="s">
        <v>12988</v>
      </c>
      <c r="EQ1507" s="1" t="s">
        <v>350</v>
      </c>
      <c r="ER1507" s="1" t="s">
        <v>210</v>
      </c>
      <c r="ES1507" s="1" t="s">
        <v>824</v>
      </c>
      <c r="EU1507" s="1" t="s">
        <v>239</v>
      </c>
      <c r="EV1507" s="1" t="s">
        <v>240</v>
      </c>
      <c r="EW1507" s="1" t="s">
        <v>4301</v>
      </c>
      <c r="EY1507" s="1" t="s">
        <v>242</v>
      </c>
      <c r="EZ1507" s="1" t="s">
        <v>838</v>
      </c>
      <c r="FB1507" s="1" t="s">
        <v>289</v>
      </c>
      <c r="FC1507" s="1" t="s">
        <v>1386</v>
      </c>
      <c r="FD1507" s="1" t="s">
        <v>736</v>
      </c>
      <c r="FE1507" s="1" t="s">
        <v>247</v>
      </c>
      <c r="FF1507" s="1" t="s">
        <v>248</v>
      </c>
      <c r="FH1507" s="1" t="s">
        <v>249</v>
      </c>
      <c r="FI1507" s="1" t="s">
        <v>473</v>
      </c>
      <c r="FJ1507" s="1" t="s">
        <v>1472</v>
      </c>
      <c r="FL1507" s="1" t="s">
        <v>14688</v>
      </c>
      <c r="FM1507" s="1" t="s">
        <v>252</v>
      </c>
      <c r="FN1507" s="1" t="s">
        <v>213</v>
      </c>
      <c r="FO1507" s="1" t="s">
        <v>213</v>
      </c>
      <c r="FQ1507" s="1" t="s">
        <v>2700</v>
      </c>
      <c r="FR1507" s="1" t="s">
        <v>210</v>
      </c>
      <c r="FS1507" s="1" t="s">
        <v>14689</v>
      </c>
      <c r="FT1507" s="1" t="s">
        <v>362</v>
      </c>
      <c r="FU1507" s="1" t="s">
        <v>204</v>
      </c>
      <c r="FV1507" s="1" t="s">
        <v>14690</v>
      </c>
      <c r="FW1507" s="1" t="s">
        <v>2702</v>
      </c>
      <c r="FX1507" s="1">
        <v>22025</v>
      </c>
      <c r="FY1507" s="1" t="s">
        <v>2703</v>
      </c>
      <c r="FZ1507" s="1" t="s">
        <v>14691</v>
      </c>
      <c r="GA1507" s="1">
        <v>224850</v>
      </c>
      <c r="GB1507" s="1" t="s">
        <v>14692</v>
      </c>
      <c r="GE1507" s="1" t="s">
        <v>1764</v>
      </c>
      <c r="GI1507" s="1" t="s">
        <v>213</v>
      </c>
      <c r="GJ1507" s="1" t="s">
        <v>260</v>
      </c>
      <c r="GK1507" s="1" t="s">
        <v>210</v>
      </c>
      <c r="GL1507" s="2">
        <v>42144</v>
      </c>
    </row>
    <row r="1508" spans="1:195">
      <c r="A1508" s="1">
        <v>52000</v>
      </c>
      <c r="B1508" s="1" t="s">
        <v>195</v>
      </c>
      <c r="C1508" s="1" t="str">
        <f>"08883147"</f>
        <v>08883147</v>
      </c>
      <c r="D1508" s="1" t="s">
        <v>196</v>
      </c>
      <c r="F1508" s="1" t="str">
        <f>"2104"</f>
        <v>2104</v>
      </c>
      <c r="G1508" s="2">
        <v>42101</v>
      </c>
      <c r="H1508" s="1">
        <v>59900</v>
      </c>
      <c r="I1508" s="1">
        <v>57900</v>
      </c>
      <c r="J1508" s="1">
        <v>52000</v>
      </c>
      <c r="K1508" s="2">
        <v>42101</v>
      </c>
      <c r="L1508" s="1">
        <v>18</v>
      </c>
      <c r="M1508" s="2">
        <v>42118</v>
      </c>
      <c r="N1508" s="1">
        <v>18</v>
      </c>
      <c r="O1508" s="2">
        <v>42118</v>
      </c>
      <c r="P1508" s="1">
        <v>90140</v>
      </c>
      <c r="Q1508" s="1" t="s">
        <v>302</v>
      </c>
      <c r="R1508" s="2">
        <v>42142</v>
      </c>
      <c r="S1508" s="1">
        <v>901415</v>
      </c>
      <c r="U1508" s="1">
        <v>3615</v>
      </c>
      <c r="V1508" s="1" t="s">
        <v>9089</v>
      </c>
      <c r="W1508" s="1" t="s">
        <v>725</v>
      </c>
      <c r="X1508" s="1" t="s">
        <v>483</v>
      </c>
      <c r="Y1508" s="1">
        <v>4</v>
      </c>
      <c r="Z1508" s="1" t="s">
        <v>200</v>
      </c>
      <c r="AA1508" s="1" t="s">
        <v>3029</v>
      </c>
      <c r="AB1508" s="1">
        <v>60104</v>
      </c>
      <c r="AE1508" s="1" t="s">
        <v>9090</v>
      </c>
      <c r="AF1508" s="1">
        <v>1951</v>
      </c>
      <c r="AG1508" s="1" t="s">
        <v>213</v>
      </c>
      <c r="AH1508" s="1" t="s">
        <v>3031</v>
      </c>
      <c r="AI1508" s="1" t="s">
        <v>310</v>
      </c>
      <c r="AJ1508" s="1" t="s">
        <v>429</v>
      </c>
      <c r="AL1508" s="1">
        <v>5</v>
      </c>
      <c r="AM1508" s="1">
        <v>2</v>
      </c>
      <c r="AN1508" s="1">
        <v>1</v>
      </c>
      <c r="AO1508" s="1">
        <v>0</v>
      </c>
      <c r="AP1508" s="1" t="s">
        <v>210</v>
      </c>
      <c r="AR1508" s="1" t="s">
        <v>209</v>
      </c>
      <c r="AS1508" s="1" t="s">
        <v>204</v>
      </c>
      <c r="AT1508" s="1" t="s">
        <v>210</v>
      </c>
      <c r="AW1508" s="1" t="s">
        <v>204</v>
      </c>
      <c r="AX1508" s="1" t="s">
        <v>212</v>
      </c>
      <c r="AZ1508" s="1">
        <v>2776</v>
      </c>
      <c r="BA1508" s="1">
        <v>2013</v>
      </c>
      <c r="BE1508" s="1">
        <v>912</v>
      </c>
      <c r="BF1508" s="1">
        <v>1</v>
      </c>
      <c r="BG1508" s="1">
        <v>0</v>
      </c>
      <c r="BL1508" s="1">
        <v>0</v>
      </c>
      <c r="BM1508" s="1" t="s">
        <v>413</v>
      </c>
      <c r="BN1508" s="1" t="s">
        <v>213</v>
      </c>
      <c r="BO1508" s="1">
        <v>0</v>
      </c>
      <c r="BP1508" s="1" t="s">
        <v>204</v>
      </c>
      <c r="BR1508" s="1" t="str">
        <f>"15161120530000"</f>
        <v>15161120530000</v>
      </c>
      <c r="BT1508" s="1" t="s">
        <v>14693</v>
      </c>
      <c r="BX1508" s="1">
        <v>88</v>
      </c>
      <c r="BY1508" s="1">
        <v>88</v>
      </c>
      <c r="BZ1508" s="1">
        <v>88</v>
      </c>
      <c r="CB1508" s="1" t="str">
        <f t="shared" ref="CB1508:CC1508" si="1151">""</f>
        <v/>
      </c>
      <c r="CC1508" s="1" t="str">
        <f t="shared" si="1151"/>
        <v/>
      </c>
      <c r="CG1508" s="1" t="s">
        <v>437</v>
      </c>
      <c r="CH1508" s="1" t="s">
        <v>219</v>
      </c>
      <c r="CI1508" s="1" t="s">
        <v>438</v>
      </c>
      <c r="CK1508" s="1" t="s">
        <v>437</v>
      </c>
      <c r="CL1508" s="1" t="s">
        <v>277</v>
      </c>
      <c r="CM1508" s="1" t="s">
        <v>438</v>
      </c>
      <c r="CO1508" s="1" t="s">
        <v>630</v>
      </c>
      <c r="CP1508" s="1" t="s">
        <v>219</v>
      </c>
      <c r="CQ1508" s="1" t="s">
        <v>438</v>
      </c>
      <c r="CS1508" s="1" t="s">
        <v>1854</v>
      </c>
      <c r="CT1508" s="1" t="s">
        <v>277</v>
      </c>
      <c r="CU1508" s="1" t="s">
        <v>438</v>
      </c>
      <c r="CX1508" s="1" t="s">
        <v>224</v>
      </c>
      <c r="DB1508" s="1" t="s">
        <v>224</v>
      </c>
      <c r="DE1508" s="1" t="s">
        <v>630</v>
      </c>
      <c r="DF1508" s="1" t="s">
        <v>219</v>
      </c>
      <c r="DJ1508" s="1" t="s">
        <v>224</v>
      </c>
      <c r="DS1508" s="1" t="s">
        <v>230</v>
      </c>
      <c r="DW1508" s="1" t="s">
        <v>230</v>
      </c>
      <c r="EA1508" s="1" t="s">
        <v>230</v>
      </c>
      <c r="EE1508" s="1" t="s">
        <v>230</v>
      </c>
      <c r="EI1508" s="1" t="s">
        <v>230</v>
      </c>
      <c r="EL1508" s="1" t="s">
        <v>3717</v>
      </c>
      <c r="EM1508" s="1" t="s">
        <v>319</v>
      </c>
      <c r="EN1508" s="1" t="s">
        <v>282</v>
      </c>
      <c r="EO1508" s="1" t="s">
        <v>234</v>
      </c>
      <c r="ER1508" s="1" t="s">
        <v>351</v>
      </c>
      <c r="EU1508" s="1" t="s">
        <v>1820</v>
      </c>
      <c r="EV1508" s="1" t="s">
        <v>240</v>
      </c>
      <c r="EW1508" s="1" t="s">
        <v>210</v>
      </c>
      <c r="EZ1508" s="1" t="s">
        <v>287</v>
      </c>
      <c r="FB1508" s="1" t="s">
        <v>734</v>
      </c>
      <c r="FC1508" s="1" t="s">
        <v>1405</v>
      </c>
      <c r="FD1508" s="1" t="s">
        <v>1649</v>
      </c>
      <c r="FE1508" s="1" t="s">
        <v>496</v>
      </c>
      <c r="FF1508" s="1" t="s">
        <v>2998</v>
      </c>
      <c r="FH1508" s="1" t="s">
        <v>550</v>
      </c>
      <c r="FJ1508" s="1" t="s">
        <v>518</v>
      </c>
      <c r="FL1508" s="1" t="s">
        <v>358</v>
      </c>
      <c r="FM1508" s="1" t="s">
        <v>252</v>
      </c>
      <c r="FN1508" s="1" t="s">
        <v>213</v>
      </c>
      <c r="FO1508" s="1" t="s">
        <v>213</v>
      </c>
      <c r="FQ1508" s="1" t="s">
        <v>3415</v>
      </c>
      <c r="FR1508" s="1" t="s">
        <v>13319</v>
      </c>
      <c r="FS1508" s="1" t="s">
        <v>14694</v>
      </c>
      <c r="FT1508" s="1" t="s">
        <v>675</v>
      </c>
      <c r="FU1508" s="1" t="s">
        <v>204</v>
      </c>
      <c r="FV1508" s="1" t="s">
        <v>14695</v>
      </c>
      <c r="FW1508" s="1" t="s">
        <v>3578</v>
      </c>
      <c r="FX1508" s="1">
        <v>1118</v>
      </c>
      <c r="FY1508" s="1" t="s">
        <v>3579</v>
      </c>
      <c r="FZ1508" s="1" t="s">
        <v>3580</v>
      </c>
      <c r="GA1508" s="1">
        <v>88102</v>
      </c>
      <c r="GB1508" s="1" t="s">
        <v>3581</v>
      </c>
      <c r="GC1508" s="1">
        <v>80385</v>
      </c>
      <c r="GD1508" s="1" t="s">
        <v>14695</v>
      </c>
      <c r="GE1508" s="1" t="s">
        <v>210</v>
      </c>
      <c r="GI1508" s="1" t="s">
        <v>213</v>
      </c>
      <c r="GJ1508" s="1" t="s">
        <v>260</v>
      </c>
      <c r="GK1508" s="1" t="s">
        <v>210</v>
      </c>
      <c r="GL1508" s="2">
        <v>42142</v>
      </c>
      <c r="GM1508" s="1" t="s">
        <v>14696</v>
      </c>
    </row>
    <row r="1509" spans="1:195">
      <c r="A1509" s="1">
        <v>235000</v>
      </c>
      <c r="B1509" s="1" t="s">
        <v>195</v>
      </c>
      <c r="C1509" s="1" t="str">
        <f>"08882399"</f>
        <v>08882399</v>
      </c>
      <c r="D1509" s="1" t="s">
        <v>196</v>
      </c>
      <c r="F1509" s="1" t="str">
        <f>"540"</f>
        <v>540</v>
      </c>
      <c r="G1509" s="2">
        <v>42100</v>
      </c>
      <c r="H1509" s="1">
        <v>239000</v>
      </c>
      <c r="I1509" s="1">
        <v>239000</v>
      </c>
      <c r="J1509" s="1">
        <v>235000</v>
      </c>
      <c r="K1509" s="2">
        <v>42100</v>
      </c>
      <c r="L1509" s="1">
        <v>1</v>
      </c>
      <c r="M1509" s="2">
        <v>42100</v>
      </c>
      <c r="N1509" s="1">
        <v>1</v>
      </c>
      <c r="O1509" s="2">
        <v>42100</v>
      </c>
      <c r="P1509" s="1">
        <v>23156</v>
      </c>
      <c r="Q1509" s="1" t="s">
        <v>197</v>
      </c>
      <c r="R1509" s="2">
        <v>42144</v>
      </c>
      <c r="S1509" s="1">
        <v>239155</v>
      </c>
      <c r="U1509" s="1">
        <v>3026</v>
      </c>
      <c r="V1509" s="1" t="s">
        <v>14697</v>
      </c>
      <c r="W1509" s="1" t="s">
        <v>504</v>
      </c>
      <c r="X1509" s="1">
        <v>3026</v>
      </c>
      <c r="Y1509" s="1">
        <v>6</v>
      </c>
      <c r="Z1509" s="1" t="s">
        <v>370</v>
      </c>
      <c r="AA1509" s="1" t="s">
        <v>921</v>
      </c>
      <c r="AB1509" s="1">
        <v>60564</v>
      </c>
      <c r="AD1509" s="1" t="s">
        <v>11000</v>
      </c>
      <c r="AE1509" s="1" t="s">
        <v>14698</v>
      </c>
      <c r="AF1509" s="1">
        <v>1997</v>
      </c>
      <c r="AG1509" s="1" t="s">
        <v>204</v>
      </c>
      <c r="AH1509" s="1" t="s">
        <v>924</v>
      </c>
      <c r="AI1509" s="1" t="s">
        <v>1800</v>
      </c>
      <c r="AJ1509" s="1" t="s">
        <v>1801</v>
      </c>
      <c r="AK1509" s="1" t="s">
        <v>11002</v>
      </c>
      <c r="AL1509" s="1">
        <v>7</v>
      </c>
      <c r="AM1509" s="1">
        <v>2</v>
      </c>
      <c r="AN1509" s="1">
        <v>2</v>
      </c>
      <c r="AO1509" s="1">
        <v>1</v>
      </c>
      <c r="AP1509" s="1" t="s">
        <v>209</v>
      </c>
      <c r="AQ1509" s="1">
        <v>1</v>
      </c>
      <c r="AR1509" s="1" t="s">
        <v>209</v>
      </c>
      <c r="AS1509" s="1" t="s">
        <v>204</v>
      </c>
      <c r="AT1509" s="1" t="s">
        <v>211</v>
      </c>
      <c r="AU1509" s="1">
        <v>2</v>
      </c>
      <c r="AW1509" s="1" t="s">
        <v>204</v>
      </c>
      <c r="AX1509" s="1" t="s">
        <v>212</v>
      </c>
      <c r="AZ1509" s="1">
        <v>4988</v>
      </c>
      <c r="BA1509" s="1">
        <v>2013</v>
      </c>
      <c r="BB1509" s="1" t="s">
        <v>405</v>
      </c>
      <c r="BE1509" s="1">
        <v>1492</v>
      </c>
      <c r="BF1509" s="1">
        <v>1</v>
      </c>
      <c r="BG1509" s="1">
        <v>30</v>
      </c>
      <c r="BL1509" s="1">
        <v>195</v>
      </c>
      <c r="BM1509" s="1" t="s">
        <v>204</v>
      </c>
      <c r="BN1509" s="1" t="s">
        <v>213</v>
      </c>
      <c r="BO1509" s="1">
        <v>0</v>
      </c>
      <c r="BP1509" s="1" t="s">
        <v>204</v>
      </c>
      <c r="BR1509" s="1" t="str">
        <f>"01092020010000"</f>
        <v>01092020010000</v>
      </c>
      <c r="BT1509" s="1" t="s">
        <v>14699</v>
      </c>
      <c r="BU1509" s="1" t="s">
        <v>7599</v>
      </c>
      <c r="BV1509" s="1" t="s">
        <v>2217</v>
      </c>
      <c r="BW1509" s="1" t="s">
        <v>1312</v>
      </c>
      <c r="BX1509" s="1">
        <v>204</v>
      </c>
      <c r="BY1509" s="1">
        <v>204</v>
      </c>
      <c r="BZ1509" s="1">
        <v>204</v>
      </c>
      <c r="CB1509" s="1" t="str">
        <f t="shared" ref="CB1509:CC1509" si="1152">"0"</f>
        <v>0</v>
      </c>
      <c r="CC1509" s="1" t="str">
        <f t="shared" si="1152"/>
        <v>0</v>
      </c>
      <c r="CD1509" s="1">
        <v>30</v>
      </c>
      <c r="CE1509" s="1">
        <v>11</v>
      </c>
      <c r="CG1509" s="1" t="s">
        <v>221</v>
      </c>
      <c r="CH1509" s="1" t="s">
        <v>219</v>
      </c>
      <c r="CI1509" s="1" t="s">
        <v>438</v>
      </c>
      <c r="CJ1509" s="1" t="s">
        <v>463</v>
      </c>
      <c r="CK1509" s="1" t="s">
        <v>221</v>
      </c>
      <c r="CL1509" s="1" t="s">
        <v>277</v>
      </c>
      <c r="CM1509" s="1" t="s">
        <v>220</v>
      </c>
      <c r="CN1509" s="1" t="s">
        <v>909</v>
      </c>
      <c r="CO1509" s="1" t="s">
        <v>379</v>
      </c>
      <c r="CP1509" s="1" t="s">
        <v>219</v>
      </c>
      <c r="CQ1509" s="1" t="s">
        <v>438</v>
      </c>
      <c r="CR1509" s="1" t="s">
        <v>210</v>
      </c>
      <c r="CS1509" s="1" t="s">
        <v>346</v>
      </c>
      <c r="CT1509" s="1" t="s">
        <v>277</v>
      </c>
      <c r="CU1509" s="1" t="s">
        <v>220</v>
      </c>
      <c r="CV1509" s="1" t="s">
        <v>909</v>
      </c>
      <c r="CX1509" s="1" t="s">
        <v>224</v>
      </c>
      <c r="DB1509" s="1" t="s">
        <v>224</v>
      </c>
      <c r="DE1509" s="1" t="s">
        <v>564</v>
      </c>
      <c r="DF1509" s="1" t="s">
        <v>219</v>
      </c>
      <c r="DG1509" s="1" t="s">
        <v>438</v>
      </c>
      <c r="DH1509" s="1" t="s">
        <v>343</v>
      </c>
      <c r="DJ1509" s="1" t="s">
        <v>224</v>
      </c>
      <c r="DM1509" s="1" t="s">
        <v>464</v>
      </c>
      <c r="DN1509" s="1" t="s">
        <v>1676</v>
      </c>
      <c r="DR1509" s="1" t="s">
        <v>932</v>
      </c>
      <c r="DS1509" s="1" t="s">
        <v>277</v>
      </c>
      <c r="DT1509" s="1" t="s">
        <v>220</v>
      </c>
      <c r="DU1509" s="1" t="s">
        <v>909</v>
      </c>
      <c r="DV1509" s="1" t="s">
        <v>5570</v>
      </c>
      <c r="DW1509" s="1" t="s">
        <v>43</v>
      </c>
      <c r="DX1509" s="1" t="s">
        <v>220</v>
      </c>
      <c r="DY1509" s="1" t="s">
        <v>343</v>
      </c>
      <c r="EA1509" s="1" t="s">
        <v>230</v>
      </c>
      <c r="EE1509" s="1" t="s">
        <v>230</v>
      </c>
      <c r="EI1509" s="1" t="s">
        <v>230</v>
      </c>
      <c r="EL1509" s="1" t="s">
        <v>670</v>
      </c>
      <c r="EM1509" s="1" t="s">
        <v>232</v>
      </c>
      <c r="EN1509" s="1" t="s">
        <v>282</v>
      </c>
      <c r="EO1509" s="1" t="s">
        <v>234</v>
      </c>
      <c r="EP1509" s="1" t="s">
        <v>650</v>
      </c>
      <c r="EQ1509" s="1" t="s">
        <v>14700</v>
      </c>
      <c r="ER1509" s="1" t="s">
        <v>544</v>
      </c>
      <c r="ES1509" s="1" t="s">
        <v>608</v>
      </c>
      <c r="ET1509" s="1" t="s">
        <v>842</v>
      </c>
      <c r="EU1509" s="1" t="s">
        <v>239</v>
      </c>
      <c r="EV1509" s="1" t="s">
        <v>324</v>
      </c>
      <c r="EW1509" s="1" t="s">
        <v>887</v>
      </c>
      <c r="EY1509" s="1" t="s">
        <v>242</v>
      </c>
      <c r="EZ1509" s="1" t="s">
        <v>1680</v>
      </c>
      <c r="FA1509" s="1" t="s">
        <v>14701</v>
      </c>
      <c r="FC1509" s="1" t="s">
        <v>326</v>
      </c>
      <c r="FD1509" s="1" t="s">
        <v>246</v>
      </c>
      <c r="FE1509" s="1" t="s">
        <v>247</v>
      </c>
      <c r="FF1509" s="1" t="s">
        <v>248</v>
      </c>
      <c r="FG1509" s="1" t="s">
        <v>871</v>
      </c>
      <c r="FH1509" s="1" t="s">
        <v>550</v>
      </c>
      <c r="FI1509" s="1" t="s">
        <v>473</v>
      </c>
      <c r="FL1509" s="1" t="s">
        <v>358</v>
      </c>
      <c r="FM1509" s="1" t="s">
        <v>252</v>
      </c>
      <c r="FN1509" s="1" t="s">
        <v>213</v>
      </c>
      <c r="FO1509" s="1" t="s">
        <v>213</v>
      </c>
      <c r="FQ1509" s="1" t="s">
        <v>1032</v>
      </c>
      <c r="FR1509" s="1" t="s">
        <v>210</v>
      </c>
      <c r="FS1509" s="1" t="s">
        <v>14702</v>
      </c>
      <c r="FT1509" s="1" t="s">
        <v>295</v>
      </c>
      <c r="FU1509" s="1" t="s">
        <v>204</v>
      </c>
      <c r="FW1509" s="1" t="s">
        <v>585</v>
      </c>
      <c r="FX1509" s="1">
        <v>23156</v>
      </c>
      <c r="FY1509" s="1" t="s">
        <v>1253</v>
      </c>
      <c r="FZ1509" s="1" t="s">
        <v>14703</v>
      </c>
      <c r="GA1509" s="1">
        <v>232863</v>
      </c>
      <c r="GB1509" s="1" t="s">
        <v>14704</v>
      </c>
      <c r="GC1509" s="1">
        <v>232869</v>
      </c>
      <c r="GE1509" s="1" t="s">
        <v>210</v>
      </c>
      <c r="GI1509" s="1" t="s">
        <v>213</v>
      </c>
      <c r="GJ1509" s="1" t="s">
        <v>260</v>
      </c>
      <c r="GK1509" s="1" t="s">
        <v>210</v>
      </c>
      <c r="GL1509" s="2">
        <v>42144</v>
      </c>
      <c r="GM1509" s="1" t="s">
        <v>14705</v>
      </c>
    </row>
    <row r="1510" spans="1:195">
      <c r="A1510" s="1">
        <v>179900</v>
      </c>
      <c r="B1510" s="1" t="s">
        <v>195</v>
      </c>
      <c r="C1510" s="1" t="str">
        <f>"08882180"</f>
        <v>08882180</v>
      </c>
      <c r="D1510" s="1" t="s">
        <v>196</v>
      </c>
      <c r="F1510" s="1" t="str">
        <f>"148"</f>
        <v>148</v>
      </c>
      <c r="G1510" s="2">
        <v>42100</v>
      </c>
      <c r="H1510" s="1">
        <v>182900</v>
      </c>
      <c r="I1510" s="1">
        <v>182900</v>
      </c>
      <c r="J1510" s="1">
        <v>179900</v>
      </c>
      <c r="K1510" s="2">
        <v>42100</v>
      </c>
      <c r="L1510" s="1">
        <v>68</v>
      </c>
      <c r="M1510" s="2">
        <v>42106</v>
      </c>
      <c r="N1510" s="1">
        <v>7</v>
      </c>
      <c r="O1510" s="2">
        <v>42106</v>
      </c>
      <c r="P1510" s="1">
        <v>21682</v>
      </c>
      <c r="Q1510" s="1" t="s">
        <v>197</v>
      </c>
      <c r="R1510" s="2">
        <v>42137</v>
      </c>
      <c r="S1510" s="1">
        <v>238350</v>
      </c>
      <c r="U1510" s="1">
        <v>1064</v>
      </c>
      <c r="V1510" s="1" t="s">
        <v>14706</v>
      </c>
      <c r="W1510" s="1" t="s">
        <v>425</v>
      </c>
      <c r="X1510" s="1">
        <v>1064</v>
      </c>
      <c r="Y1510" s="1">
        <v>6</v>
      </c>
      <c r="Z1510" s="1" t="s">
        <v>249</v>
      </c>
      <c r="AA1510" s="1" t="s">
        <v>1927</v>
      </c>
      <c r="AB1510" s="1">
        <v>60148</v>
      </c>
      <c r="AD1510" s="1" t="s">
        <v>14125</v>
      </c>
      <c r="AE1510" s="1" t="s">
        <v>14707</v>
      </c>
      <c r="AF1510" s="1">
        <v>1993</v>
      </c>
      <c r="AG1510" s="1" t="s">
        <v>204</v>
      </c>
      <c r="AH1510" s="1" t="s">
        <v>1930</v>
      </c>
      <c r="AI1510" s="1" t="s">
        <v>206</v>
      </c>
      <c r="AJ1510" s="1" t="s">
        <v>1608</v>
      </c>
      <c r="AK1510" s="1" t="s">
        <v>8565</v>
      </c>
      <c r="AL1510" s="1">
        <v>5</v>
      </c>
      <c r="AM1510" s="1">
        <v>2</v>
      </c>
      <c r="AN1510" s="1">
        <v>2</v>
      </c>
      <c r="AO1510" s="1">
        <v>1</v>
      </c>
      <c r="AP1510" s="1" t="s">
        <v>209</v>
      </c>
      <c r="AR1510" s="1" t="s">
        <v>210</v>
      </c>
      <c r="AT1510" s="1" t="s">
        <v>211</v>
      </c>
      <c r="AU1510" s="1">
        <v>1</v>
      </c>
      <c r="AW1510" s="1" t="s">
        <v>204</v>
      </c>
      <c r="AX1510" s="1" t="s">
        <v>212</v>
      </c>
      <c r="AZ1510" s="1">
        <v>3815</v>
      </c>
      <c r="BA1510" s="1">
        <v>2013</v>
      </c>
      <c r="BB1510" s="1" t="s">
        <v>210</v>
      </c>
      <c r="BE1510" s="1">
        <v>1079</v>
      </c>
      <c r="BF1510" s="1">
        <v>1</v>
      </c>
      <c r="BG1510" s="1">
        <v>0</v>
      </c>
      <c r="BL1510" s="1">
        <v>172</v>
      </c>
      <c r="BM1510" s="1" t="s">
        <v>204</v>
      </c>
      <c r="BN1510" s="1" t="s">
        <v>213</v>
      </c>
      <c r="BO1510" s="1">
        <v>999</v>
      </c>
      <c r="BP1510" s="1" t="s">
        <v>204</v>
      </c>
      <c r="BR1510" s="1" t="str">
        <f>"0616119188"</f>
        <v>0616119188</v>
      </c>
      <c r="BT1510" s="1" t="s">
        <v>14708</v>
      </c>
      <c r="BU1510" s="1" t="s">
        <v>8567</v>
      </c>
      <c r="BV1510" s="1" t="s">
        <v>2200</v>
      </c>
      <c r="BW1510" s="1" t="s">
        <v>2201</v>
      </c>
      <c r="BX1510" s="1">
        <v>45</v>
      </c>
      <c r="BY1510" s="1">
        <v>45</v>
      </c>
      <c r="BZ1510" s="1">
        <v>88</v>
      </c>
      <c r="CB1510" s="1" t="str">
        <f t="shared" ref="CB1510:CC1510" si="1153">""</f>
        <v/>
      </c>
      <c r="CC1510" s="1" t="str">
        <f t="shared" si="1153"/>
        <v/>
      </c>
      <c r="CG1510" s="1" t="s">
        <v>1803</v>
      </c>
      <c r="CH1510" s="1" t="s">
        <v>219</v>
      </c>
      <c r="CI1510" s="1" t="s">
        <v>220</v>
      </c>
      <c r="CK1510" s="1" t="s">
        <v>1155</v>
      </c>
      <c r="CL1510" s="1" t="s">
        <v>277</v>
      </c>
      <c r="CM1510" s="1" t="s">
        <v>220</v>
      </c>
      <c r="CO1510" s="1" t="s">
        <v>629</v>
      </c>
      <c r="CP1510" s="1" t="s">
        <v>219</v>
      </c>
      <c r="CQ1510" s="1" t="s">
        <v>220</v>
      </c>
      <c r="CS1510" s="1" t="s">
        <v>346</v>
      </c>
      <c r="CT1510" s="1" t="s">
        <v>277</v>
      </c>
      <c r="CU1510" s="1" t="s">
        <v>220</v>
      </c>
      <c r="CX1510" s="1" t="s">
        <v>224</v>
      </c>
      <c r="DB1510" s="1" t="s">
        <v>224</v>
      </c>
      <c r="DE1510" s="1" t="s">
        <v>2203</v>
      </c>
      <c r="DF1510" s="1" t="s">
        <v>219</v>
      </c>
      <c r="DG1510" s="1" t="s">
        <v>342</v>
      </c>
      <c r="DJ1510" s="1" t="s">
        <v>224</v>
      </c>
      <c r="DS1510" s="1" t="s">
        <v>230</v>
      </c>
      <c r="DW1510" s="1" t="s">
        <v>230</v>
      </c>
      <c r="EA1510" s="1" t="s">
        <v>230</v>
      </c>
      <c r="EE1510" s="1" t="s">
        <v>230</v>
      </c>
      <c r="EI1510" s="1" t="s">
        <v>230</v>
      </c>
      <c r="EL1510" s="1" t="s">
        <v>382</v>
      </c>
      <c r="EM1510" s="1" t="s">
        <v>232</v>
      </c>
      <c r="EN1510" s="1" t="s">
        <v>282</v>
      </c>
      <c r="EO1510" s="1" t="s">
        <v>234</v>
      </c>
      <c r="EP1510" s="1" t="s">
        <v>650</v>
      </c>
      <c r="EQ1510" s="1" t="s">
        <v>1094</v>
      </c>
      <c r="ER1510" s="1" t="s">
        <v>210</v>
      </c>
      <c r="EW1510" s="1" t="s">
        <v>887</v>
      </c>
      <c r="EY1510" s="1" t="s">
        <v>242</v>
      </c>
      <c r="EZ1510" s="1" t="s">
        <v>287</v>
      </c>
      <c r="FD1510" s="1" t="s">
        <v>246</v>
      </c>
      <c r="FE1510" s="1" t="s">
        <v>975</v>
      </c>
      <c r="FF1510" s="1" t="s">
        <v>248</v>
      </c>
      <c r="FH1510" s="1" t="s">
        <v>249</v>
      </c>
      <c r="FI1510" s="1" t="s">
        <v>473</v>
      </c>
      <c r="FL1510" s="1" t="s">
        <v>358</v>
      </c>
      <c r="FM1510" s="1" t="s">
        <v>252</v>
      </c>
      <c r="FN1510" s="1" t="s">
        <v>213</v>
      </c>
      <c r="FO1510" s="1" t="s">
        <v>213</v>
      </c>
      <c r="FQ1510" s="1" t="s">
        <v>3342</v>
      </c>
      <c r="FR1510" s="1" t="s">
        <v>210</v>
      </c>
      <c r="FS1510" s="1" t="s">
        <v>8897</v>
      </c>
      <c r="FT1510" s="1" t="s">
        <v>14709</v>
      </c>
      <c r="FU1510" s="1" t="s">
        <v>204</v>
      </c>
      <c r="FW1510" s="1" t="s">
        <v>8712</v>
      </c>
      <c r="FX1510" s="1">
        <v>24213</v>
      </c>
      <c r="FY1510" s="1" t="s">
        <v>8713</v>
      </c>
      <c r="FZ1510" s="1" t="s">
        <v>14710</v>
      </c>
      <c r="GA1510" s="1">
        <v>222506</v>
      </c>
      <c r="GB1510" s="1" t="s">
        <v>14711</v>
      </c>
      <c r="GE1510" s="1" t="s">
        <v>480</v>
      </c>
      <c r="GH1510" s="1" t="s">
        <v>800</v>
      </c>
      <c r="GI1510" s="1" t="s">
        <v>213</v>
      </c>
      <c r="GJ1510" s="1" t="s">
        <v>260</v>
      </c>
      <c r="GK1510" s="1" t="s">
        <v>210</v>
      </c>
      <c r="GL1510" s="2">
        <v>42137</v>
      </c>
      <c r="GM1510" s="1" t="s">
        <v>14712</v>
      </c>
    </row>
    <row r="1511" spans="1:195">
      <c r="A1511" s="1">
        <v>115000</v>
      </c>
      <c r="B1511" s="1" t="s">
        <v>195</v>
      </c>
      <c r="C1511" s="1" t="str">
        <f>"08883763"</f>
        <v>08883763</v>
      </c>
      <c r="D1511" s="1" t="s">
        <v>196</v>
      </c>
      <c r="F1511" s="1" t="str">
        <f t="shared" ref="F1511:F1512" si="1154">"515"</f>
        <v>515</v>
      </c>
      <c r="G1511" s="2">
        <v>42101</v>
      </c>
      <c r="H1511" s="1">
        <v>115000</v>
      </c>
      <c r="I1511" s="1">
        <v>115000</v>
      </c>
      <c r="J1511" s="1">
        <v>115000</v>
      </c>
      <c r="K1511" s="2">
        <v>42101</v>
      </c>
      <c r="L1511" s="1">
        <v>1</v>
      </c>
      <c r="M1511" s="2">
        <v>42101</v>
      </c>
      <c r="N1511" s="1">
        <v>1</v>
      </c>
      <c r="O1511" s="2">
        <v>42101</v>
      </c>
      <c r="P1511" s="1">
        <v>24832</v>
      </c>
      <c r="Q1511" s="1" t="s">
        <v>302</v>
      </c>
      <c r="R1511" s="2">
        <v>42114</v>
      </c>
      <c r="S1511" s="1">
        <v>89059</v>
      </c>
      <c r="U1511" s="1">
        <v>431</v>
      </c>
      <c r="V1511" s="1" t="s">
        <v>14713</v>
      </c>
      <c r="W1511" s="1" t="s">
        <v>725</v>
      </c>
      <c r="X1511" s="1">
        <v>103</v>
      </c>
      <c r="Y1511" s="1">
        <v>12</v>
      </c>
      <c r="Z1511" s="1" t="s">
        <v>249</v>
      </c>
      <c r="AA1511" s="1" t="s">
        <v>1294</v>
      </c>
      <c r="AB1511" s="1">
        <v>60516</v>
      </c>
      <c r="AD1511" s="1" t="s">
        <v>6872</v>
      </c>
      <c r="AE1511" s="1" t="s">
        <v>14714</v>
      </c>
      <c r="AF1511" s="1">
        <v>1973</v>
      </c>
      <c r="AG1511" s="1" t="s">
        <v>213</v>
      </c>
      <c r="AH1511" s="1" t="s">
        <v>903</v>
      </c>
      <c r="AI1511" s="1" t="s">
        <v>206</v>
      </c>
      <c r="AJ1511" s="1" t="s">
        <v>903</v>
      </c>
      <c r="AL1511" s="1">
        <v>5</v>
      </c>
      <c r="AM1511" s="1">
        <v>2</v>
      </c>
      <c r="AN1511" s="1">
        <v>2</v>
      </c>
      <c r="AO1511" s="1">
        <v>0</v>
      </c>
      <c r="AP1511" s="1" t="s">
        <v>209</v>
      </c>
      <c r="AR1511" s="1" t="s">
        <v>210</v>
      </c>
      <c r="AS1511" s="1" t="s">
        <v>204</v>
      </c>
      <c r="AT1511" s="1" t="s">
        <v>271</v>
      </c>
      <c r="AV1511" s="1">
        <v>1</v>
      </c>
      <c r="AW1511" s="1" t="s">
        <v>213</v>
      </c>
      <c r="AX1511" s="1" t="s">
        <v>212</v>
      </c>
      <c r="AZ1511" s="1">
        <v>1514.88</v>
      </c>
      <c r="BA1511" s="1">
        <v>2013</v>
      </c>
      <c r="BB1511" s="1" t="s">
        <v>210</v>
      </c>
      <c r="BE1511" s="1">
        <v>0</v>
      </c>
      <c r="BF1511" s="1">
        <v>1</v>
      </c>
      <c r="BG1511" s="1">
        <v>30</v>
      </c>
      <c r="BL1511" s="1">
        <v>356</v>
      </c>
      <c r="BM1511" s="1" t="s">
        <v>204</v>
      </c>
      <c r="BN1511" s="1" t="s">
        <v>213</v>
      </c>
      <c r="BO1511" s="1">
        <v>25</v>
      </c>
      <c r="BP1511" s="1" t="s">
        <v>204</v>
      </c>
      <c r="BR1511" s="1" t="str">
        <f>"0929220075"</f>
        <v>0929220075</v>
      </c>
      <c r="BT1511" s="1" t="s">
        <v>14715</v>
      </c>
      <c r="BX1511" s="1">
        <v>61</v>
      </c>
      <c r="BY1511" s="1">
        <v>61</v>
      </c>
      <c r="BZ1511" s="1">
        <v>99</v>
      </c>
      <c r="CB1511" s="1" t="str">
        <f t="shared" ref="CB1511:CC1511" si="1155">"0"</f>
        <v>0</v>
      </c>
      <c r="CC1511" s="1" t="str">
        <f t="shared" si="1155"/>
        <v>0</v>
      </c>
      <c r="CD1511" s="1">
        <v>19</v>
      </c>
      <c r="CE1511" s="1">
        <v>8</v>
      </c>
      <c r="CG1511" s="1" t="s">
        <v>1267</v>
      </c>
      <c r="CH1511" s="1" t="s">
        <v>219</v>
      </c>
      <c r="CI1511" s="1" t="s">
        <v>220</v>
      </c>
      <c r="CK1511" s="1" t="s">
        <v>539</v>
      </c>
      <c r="CL1511" s="1" t="s">
        <v>219</v>
      </c>
      <c r="CM1511" s="1" t="s">
        <v>220</v>
      </c>
      <c r="CO1511" s="1" t="s">
        <v>348</v>
      </c>
      <c r="CP1511" s="1" t="s">
        <v>219</v>
      </c>
      <c r="CQ1511" s="1" t="s">
        <v>226</v>
      </c>
      <c r="CS1511" s="1" t="s">
        <v>346</v>
      </c>
      <c r="CT1511" s="1" t="s">
        <v>219</v>
      </c>
      <c r="CU1511" s="1" t="s">
        <v>229</v>
      </c>
      <c r="CX1511" s="1" t="s">
        <v>224</v>
      </c>
      <c r="DB1511" s="1" t="s">
        <v>224</v>
      </c>
      <c r="DE1511" s="1" t="s">
        <v>951</v>
      </c>
      <c r="DF1511" s="1" t="s">
        <v>219</v>
      </c>
      <c r="DG1511" s="1" t="s">
        <v>226</v>
      </c>
      <c r="DJ1511" s="1" t="s">
        <v>224</v>
      </c>
      <c r="DS1511" s="1" t="s">
        <v>230</v>
      </c>
      <c r="DW1511" s="1" t="s">
        <v>230</v>
      </c>
      <c r="EA1511" s="1" t="s">
        <v>230</v>
      </c>
      <c r="EE1511" s="1" t="s">
        <v>230</v>
      </c>
      <c r="EI1511" s="1" t="s">
        <v>230</v>
      </c>
      <c r="EL1511" s="1" t="s">
        <v>605</v>
      </c>
      <c r="EM1511" s="1" t="s">
        <v>232</v>
      </c>
      <c r="EN1511" s="1" t="s">
        <v>282</v>
      </c>
      <c r="EO1511" s="1" t="s">
        <v>234</v>
      </c>
      <c r="EP1511" s="1" t="s">
        <v>14716</v>
      </c>
      <c r="ER1511" s="1" t="s">
        <v>210</v>
      </c>
      <c r="EW1511" s="1" t="s">
        <v>844</v>
      </c>
      <c r="EZ1511" s="1" t="s">
        <v>287</v>
      </c>
      <c r="FA1511" s="1" t="s">
        <v>243</v>
      </c>
      <c r="FB1511" s="1" t="s">
        <v>244</v>
      </c>
      <c r="FD1511" s="1" t="s">
        <v>888</v>
      </c>
      <c r="FE1511" s="1" t="s">
        <v>247</v>
      </c>
      <c r="FF1511" s="1" t="s">
        <v>248</v>
      </c>
      <c r="FH1511" s="1" t="s">
        <v>249</v>
      </c>
      <c r="FK1511" s="1" t="s">
        <v>389</v>
      </c>
      <c r="FL1511" s="1" t="s">
        <v>358</v>
      </c>
      <c r="FM1511" s="1" t="s">
        <v>252</v>
      </c>
      <c r="FN1511" s="1" t="s">
        <v>213</v>
      </c>
      <c r="FO1511" s="1" t="s">
        <v>213</v>
      </c>
      <c r="FQ1511" s="1" t="s">
        <v>293</v>
      </c>
      <c r="FR1511" s="1" t="s">
        <v>210</v>
      </c>
      <c r="FS1511" s="1" t="s">
        <v>14717</v>
      </c>
      <c r="FT1511" s="1" t="s">
        <v>1182</v>
      </c>
      <c r="FU1511" s="1" t="s">
        <v>204</v>
      </c>
      <c r="FW1511" s="1" t="s">
        <v>12021</v>
      </c>
      <c r="FX1511" s="1">
        <v>16548</v>
      </c>
      <c r="FY1511" s="1" t="s">
        <v>12022</v>
      </c>
      <c r="FZ1511" s="1" t="s">
        <v>14718</v>
      </c>
      <c r="GA1511" s="1">
        <v>151442</v>
      </c>
      <c r="GB1511" s="1" t="s">
        <v>14719</v>
      </c>
      <c r="GE1511" s="1" t="s">
        <v>210</v>
      </c>
      <c r="GI1511" s="1" t="s">
        <v>204</v>
      </c>
      <c r="GJ1511" s="1" t="s">
        <v>260</v>
      </c>
      <c r="GK1511" s="1" t="s">
        <v>210</v>
      </c>
      <c r="GL1511" s="2">
        <v>42122</v>
      </c>
      <c r="GM1511" s="1" t="s">
        <v>14720</v>
      </c>
    </row>
    <row r="1512" spans="1:195">
      <c r="A1512" s="1">
        <v>270000</v>
      </c>
      <c r="B1512" s="1" t="s">
        <v>195</v>
      </c>
      <c r="C1512" s="1" t="str">
        <f>"08890025"</f>
        <v>08890025</v>
      </c>
      <c r="D1512" s="1" t="s">
        <v>196</v>
      </c>
      <c r="F1512" s="1" t="str">
        <f t="shared" si="1154"/>
        <v>515</v>
      </c>
      <c r="G1512" s="2">
        <v>42107</v>
      </c>
      <c r="H1512" s="1">
        <v>289900</v>
      </c>
      <c r="I1512" s="1">
        <v>289900</v>
      </c>
      <c r="J1512" s="1">
        <v>270000</v>
      </c>
      <c r="K1512" s="2">
        <v>42107</v>
      </c>
      <c r="L1512" s="1">
        <v>5</v>
      </c>
      <c r="M1512" s="2">
        <v>42111</v>
      </c>
      <c r="N1512" s="1">
        <v>5</v>
      </c>
      <c r="O1512" s="2">
        <v>42111</v>
      </c>
      <c r="P1512" s="1">
        <v>20132</v>
      </c>
      <c r="Q1512" s="1" t="s">
        <v>197</v>
      </c>
      <c r="R1512" s="2">
        <v>42146</v>
      </c>
      <c r="S1512" s="1">
        <v>211069</v>
      </c>
      <c r="U1512" s="1">
        <v>2135</v>
      </c>
      <c r="V1512" s="1" t="s">
        <v>9501</v>
      </c>
      <c r="W1512" s="1" t="s">
        <v>304</v>
      </c>
      <c r="Y1512" s="1">
        <v>5</v>
      </c>
      <c r="Z1512" s="1" t="s">
        <v>370</v>
      </c>
      <c r="AA1512" s="1" t="s">
        <v>1294</v>
      </c>
      <c r="AB1512" s="1">
        <v>60515</v>
      </c>
      <c r="AD1512" s="1" t="s">
        <v>14721</v>
      </c>
      <c r="AE1512" s="1" t="s">
        <v>14722</v>
      </c>
      <c r="AF1512" s="1">
        <v>2000</v>
      </c>
      <c r="AG1512" s="1" t="s">
        <v>204</v>
      </c>
      <c r="AH1512" s="1" t="s">
        <v>903</v>
      </c>
      <c r="AI1512" s="1" t="s">
        <v>206</v>
      </c>
      <c r="AJ1512" s="1" t="s">
        <v>903</v>
      </c>
      <c r="AL1512" s="1">
        <v>6</v>
      </c>
      <c r="AM1512" s="1">
        <v>2</v>
      </c>
      <c r="AN1512" s="1">
        <v>2</v>
      </c>
      <c r="AO1512" s="1">
        <v>1</v>
      </c>
      <c r="AP1512" s="1" t="s">
        <v>209</v>
      </c>
      <c r="AR1512" s="1" t="s">
        <v>209</v>
      </c>
      <c r="AS1512" s="1" t="s">
        <v>204</v>
      </c>
      <c r="AT1512" s="1" t="s">
        <v>211</v>
      </c>
      <c r="AU1512" s="1">
        <v>2</v>
      </c>
      <c r="AW1512" s="1" t="s">
        <v>204</v>
      </c>
      <c r="AX1512" s="1" t="s">
        <v>14723</v>
      </c>
      <c r="AZ1512" s="1">
        <v>5292</v>
      </c>
      <c r="BA1512" s="1">
        <v>2013</v>
      </c>
      <c r="BB1512" s="1" t="s">
        <v>405</v>
      </c>
      <c r="BE1512" s="1">
        <v>1620</v>
      </c>
      <c r="BF1512" s="1">
        <v>1</v>
      </c>
      <c r="BG1512" s="1">
        <v>21</v>
      </c>
      <c r="BL1512" s="1">
        <v>240</v>
      </c>
      <c r="BM1512" s="1" t="s">
        <v>413</v>
      </c>
      <c r="BN1512" s="1" t="s">
        <v>213</v>
      </c>
      <c r="BP1512" s="1" t="s">
        <v>204</v>
      </c>
      <c r="BR1512" s="1" t="str">
        <f>"0812412049"</f>
        <v>0812412049</v>
      </c>
      <c r="BT1512" s="1" t="s">
        <v>14724</v>
      </c>
      <c r="BU1512" s="1" t="s">
        <v>14725</v>
      </c>
      <c r="BV1512" s="1" t="s">
        <v>14725</v>
      </c>
      <c r="BW1512" s="1" t="s">
        <v>2762</v>
      </c>
      <c r="BX1512" s="1">
        <v>69</v>
      </c>
      <c r="BY1512" s="1">
        <v>69</v>
      </c>
      <c r="BZ1512" s="1">
        <v>99</v>
      </c>
      <c r="CB1512" s="1" t="str">
        <f t="shared" ref="CB1512:CC1512" si="1156">""</f>
        <v/>
      </c>
      <c r="CC1512" s="1" t="str">
        <f t="shared" si="1156"/>
        <v/>
      </c>
      <c r="CG1512" s="1" t="s">
        <v>1533</v>
      </c>
      <c r="CH1512" s="1" t="s">
        <v>219</v>
      </c>
      <c r="CI1512" s="1" t="s">
        <v>438</v>
      </c>
      <c r="CK1512" s="1" t="s">
        <v>1045</v>
      </c>
      <c r="CL1512" s="1" t="s">
        <v>277</v>
      </c>
      <c r="CM1512" s="1" t="s">
        <v>220</v>
      </c>
      <c r="CO1512" s="1" t="s">
        <v>346</v>
      </c>
      <c r="CP1512" s="1" t="s">
        <v>219</v>
      </c>
      <c r="CQ1512" s="1" t="s">
        <v>438</v>
      </c>
      <c r="CS1512" s="1" t="s">
        <v>379</v>
      </c>
      <c r="CT1512" s="1" t="s">
        <v>277</v>
      </c>
      <c r="CU1512" s="1" t="s">
        <v>220</v>
      </c>
      <c r="CX1512" s="1" t="s">
        <v>224</v>
      </c>
      <c r="DB1512" s="1" t="s">
        <v>224</v>
      </c>
      <c r="DE1512" s="1" t="s">
        <v>461</v>
      </c>
      <c r="DF1512" s="1" t="s">
        <v>219</v>
      </c>
      <c r="DG1512" s="1" t="s">
        <v>438</v>
      </c>
      <c r="DJ1512" s="1" t="s">
        <v>224</v>
      </c>
      <c r="DM1512" s="1" t="s">
        <v>464</v>
      </c>
      <c r="DR1512" s="1" t="s">
        <v>317</v>
      </c>
      <c r="DS1512" s="1" t="s">
        <v>277</v>
      </c>
      <c r="DT1512" s="1" t="s">
        <v>220</v>
      </c>
      <c r="DW1512" s="1" t="s">
        <v>230</v>
      </c>
      <c r="EA1512" s="1" t="s">
        <v>230</v>
      </c>
      <c r="EE1512" s="1" t="s">
        <v>230</v>
      </c>
      <c r="EI1512" s="1" t="s">
        <v>230</v>
      </c>
      <c r="EL1512" s="1" t="s">
        <v>466</v>
      </c>
      <c r="EM1512" s="1" t="s">
        <v>232</v>
      </c>
      <c r="EN1512" s="1" t="s">
        <v>282</v>
      </c>
      <c r="EO1512" s="1" t="s">
        <v>234</v>
      </c>
      <c r="EP1512" s="1" t="s">
        <v>650</v>
      </c>
      <c r="EQ1512" s="1" t="s">
        <v>468</v>
      </c>
      <c r="ER1512" s="1" t="s">
        <v>1249</v>
      </c>
      <c r="ES1512" s="1" t="s">
        <v>493</v>
      </c>
      <c r="ET1512" s="1" t="s">
        <v>842</v>
      </c>
      <c r="EV1512" s="1" t="s">
        <v>324</v>
      </c>
      <c r="EW1512" s="1" t="s">
        <v>353</v>
      </c>
      <c r="EY1512" s="1" t="s">
        <v>242</v>
      </c>
      <c r="EZ1512" s="1" t="s">
        <v>464</v>
      </c>
      <c r="FA1512" s="1" t="s">
        <v>354</v>
      </c>
      <c r="FC1512" s="1" t="s">
        <v>1362</v>
      </c>
      <c r="FD1512" s="1" t="s">
        <v>3287</v>
      </c>
      <c r="FE1512" s="1" t="s">
        <v>2858</v>
      </c>
      <c r="FF1512" s="1" t="s">
        <v>248</v>
      </c>
      <c r="FH1512" s="1" t="s">
        <v>550</v>
      </c>
      <c r="FI1512" s="1" t="s">
        <v>473</v>
      </c>
      <c r="FL1512" s="1" t="s">
        <v>358</v>
      </c>
      <c r="FM1512" s="1" t="s">
        <v>252</v>
      </c>
      <c r="FN1512" s="1" t="s">
        <v>213</v>
      </c>
      <c r="FO1512" s="1" t="s">
        <v>213</v>
      </c>
      <c r="FQ1512" s="1" t="s">
        <v>329</v>
      </c>
      <c r="FR1512" s="1" t="s">
        <v>210</v>
      </c>
      <c r="FS1512" s="1" t="s">
        <v>7590</v>
      </c>
      <c r="FT1512" s="1" t="s">
        <v>1182</v>
      </c>
      <c r="FU1512" s="1" t="s">
        <v>204</v>
      </c>
      <c r="FW1512" s="1" t="s">
        <v>3116</v>
      </c>
      <c r="FX1512" s="1">
        <v>21823</v>
      </c>
      <c r="FY1512" s="1" t="s">
        <v>3117</v>
      </c>
      <c r="FZ1512" s="1" t="s">
        <v>14726</v>
      </c>
      <c r="GA1512" s="1">
        <v>221356</v>
      </c>
      <c r="GB1512" s="1" t="s">
        <v>14727</v>
      </c>
      <c r="GD1512" s="1" t="s">
        <v>14728</v>
      </c>
      <c r="GE1512" s="1" t="s">
        <v>210</v>
      </c>
      <c r="GI1512" s="1" t="s">
        <v>213</v>
      </c>
      <c r="GJ1512" s="1" t="s">
        <v>260</v>
      </c>
      <c r="GK1512" s="1" t="s">
        <v>210</v>
      </c>
      <c r="GL1512" s="2">
        <v>42147</v>
      </c>
      <c r="GM1512" s="1" t="s">
        <v>14729</v>
      </c>
    </row>
    <row r="1513" spans="1:195">
      <c r="A1513" s="1">
        <v>98000</v>
      </c>
      <c r="B1513" s="1" t="s">
        <v>195</v>
      </c>
      <c r="C1513" s="1" t="str">
        <f>"08888535"</f>
        <v>08888535</v>
      </c>
      <c r="D1513" s="1" t="s">
        <v>196</v>
      </c>
      <c r="F1513" s="1" t="str">
        <f>"2"</f>
        <v>2</v>
      </c>
      <c r="G1513" s="2">
        <v>42106</v>
      </c>
      <c r="H1513" s="1">
        <v>104900</v>
      </c>
      <c r="I1513" s="1">
        <v>104900</v>
      </c>
      <c r="J1513" s="1">
        <v>98000</v>
      </c>
      <c r="K1513" s="2">
        <v>42106</v>
      </c>
      <c r="L1513" s="1">
        <v>3</v>
      </c>
      <c r="M1513" s="2">
        <v>42108</v>
      </c>
      <c r="N1513" s="1">
        <v>3</v>
      </c>
      <c r="O1513" s="2">
        <v>42108</v>
      </c>
      <c r="P1513" s="1">
        <v>1886</v>
      </c>
      <c r="Q1513" s="1" t="s">
        <v>197</v>
      </c>
      <c r="R1513" s="2">
        <v>42150</v>
      </c>
      <c r="S1513" s="1">
        <v>19271</v>
      </c>
      <c r="U1513" s="1">
        <v>724</v>
      </c>
      <c r="V1513" s="1" t="s">
        <v>13113</v>
      </c>
      <c r="W1513" s="1" t="s">
        <v>304</v>
      </c>
      <c r="X1513" s="1">
        <v>724</v>
      </c>
      <c r="Y1513" s="1">
        <v>4</v>
      </c>
      <c r="Z1513" s="1" t="s">
        <v>370</v>
      </c>
      <c r="AA1513" s="1" t="s">
        <v>5713</v>
      </c>
      <c r="AB1513" s="1">
        <v>60002</v>
      </c>
      <c r="AD1513" s="1" t="s">
        <v>13114</v>
      </c>
      <c r="AE1513" s="1" t="s">
        <v>14730</v>
      </c>
      <c r="AF1513" s="1">
        <v>1993</v>
      </c>
      <c r="AG1513" s="1" t="s">
        <v>204</v>
      </c>
      <c r="AH1513" s="1" t="s">
        <v>596</v>
      </c>
      <c r="AI1513" s="1" t="s">
        <v>509</v>
      </c>
      <c r="AJ1513" s="1" t="s">
        <v>596</v>
      </c>
      <c r="AL1513" s="1">
        <v>7</v>
      </c>
      <c r="AM1513" s="1">
        <v>2</v>
      </c>
      <c r="AN1513" s="1">
        <v>1</v>
      </c>
      <c r="AO1513" s="1">
        <v>1</v>
      </c>
      <c r="AP1513" s="1" t="s">
        <v>210</v>
      </c>
      <c r="AR1513" s="1" t="s">
        <v>209</v>
      </c>
      <c r="AS1513" s="1" t="s">
        <v>204</v>
      </c>
      <c r="AT1513" s="1" t="s">
        <v>211</v>
      </c>
      <c r="AU1513" s="1">
        <v>2</v>
      </c>
      <c r="AW1513" s="1" t="s">
        <v>204</v>
      </c>
      <c r="AX1513" s="1" t="s">
        <v>212</v>
      </c>
      <c r="AZ1513" s="1">
        <v>3378</v>
      </c>
      <c r="BA1513" s="1">
        <v>2014</v>
      </c>
      <c r="BB1513" s="1" t="s">
        <v>599</v>
      </c>
      <c r="BE1513" s="1">
        <v>1538</v>
      </c>
      <c r="BF1513" s="1">
        <v>1</v>
      </c>
      <c r="BG1513" s="1">
        <v>0</v>
      </c>
      <c r="BL1513" s="1">
        <v>50</v>
      </c>
      <c r="BM1513" s="1" t="s">
        <v>204</v>
      </c>
      <c r="BN1513" s="1" t="s">
        <v>213</v>
      </c>
      <c r="BO1513" s="1">
        <v>125</v>
      </c>
      <c r="BP1513" s="1" t="s">
        <v>204</v>
      </c>
      <c r="BR1513" s="1" t="str">
        <f>"02074020770000"</f>
        <v>02074020770000</v>
      </c>
      <c r="BT1513" s="1" t="s">
        <v>14731</v>
      </c>
      <c r="BU1513" s="1" t="s">
        <v>13117</v>
      </c>
      <c r="BV1513" s="1" t="s">
        <v>6892</v>
      </c>
      <c r="BW1513" s="1" t="s">
        <v>13118</v>
      </c>
      <c r="BX1513" s="1">
        <v>34</v>
      </c>
      <c r="BY1513" s="1">
        <v>34</v>
      </c>
      <c r="BZ1513" s="1">
        <v>117</v>
      </c>
      <c r="CB1513" s="1" t="str">
        <f>"42"</f>
        <v>42</v>
      </c>
      <c r="CC1513" s="1" t="str">
        <f>"0"</f>
        <v>0</v>
      </c>
      <c r="CD1513" s="1">
        <v>23</v>
      </c>
      <c r="CE1513" s="1">
        <v>0</v>
      </c>
      <c r="CG1513" s="1" t="s">
        <v>378</v>
      </c>
      <c r="CH1513" s="1" t="s">
        <v>219</v>
      </c>
      <c r="CI1513" s="1" t="s">
        <v>220</v>
      </c>
      <c r="CJ1513" s="1" t="s">
        <v>210</v>
      </c>
      <c r="CK1513" s="1" t="s">
        <v>465</v>
      </c>
      <c r="CL1513" s="1" t="s">
        <v>277</v>
      </c>
      <c r="CM1513" s="1" t="s">
        <v>220</v>
      </c>
      <c r="CN1513" s="1" t="s">
        <v>210</v>
      </c>
      <c r="CO1513" s="1" t="s">
        <v>757</v>
      </c>
      <c r="CP1513" s="1" t="s">
        <v>219</v>
      </c>
      <c r="CQ1513" s="1" t="s">
        <v>220</v>
      </c>
      <c r="CR1513" s="1" t="s">
        <v>210</v>
      </c>
      <c r="CS1513" s="1" t="s">
        <v>346</v>
      </c>
      <c r="CT1513" s="1" t="s">
        <v>277</v>
      </c>
      <c r="CU1513" s="1" t="s">
        <v>220</v>
      </c>
      <c r="CX1513" s="1" t="s">
        <v>224</v>
      </c>
      <c r="DB1513" s="1" t="s">
        <v>224</v>
      </c>
      <c r="DE1513" s="1" t="s">
        <v>836</v>
      </c>
      <c r="DF1513" s="1" t="s">
        <v>219</v>
      </c>
      <c r="DG1513" s="1" t="s">
        <v>342</v>
      </c>
      <c r="DH1513" s="1" t="s">
        <v>210</v>
      </c>
      <c r="DI1513" s="1" t="s">
        <v>278</v>
      </c>
      <c r="DJ1513" s="1" t="s">
        <v>822</v>
      </c>
      <c r="DL1513" s="1" t="s">
        <v>210</v>
      </c>
      <c r="DM1513" s="1" t="s">
        <v>464</v>
      </c>
      <c r="DR1513" s="1" t="s">
        <v>318</v>
      </c>
      <c r="DS1513" s="1" t="s">
        <v>277</v>
      </c>
      <c r="DT1513" s="1" t="s">
        <v>220</v>
      </c>
      <c r="DU1513" s="1" t="s">
        <v>210</v>
      </c>
      <c r="DW1513" s="1" t="s">
        <v>230</v>
      </c>
      <c r="EA1513" s="1" t="s">
        <v>230</v>
      </c>
      <c r="EE1513" s="1" t="s">
        <v>230</v>
      </c>
      <c r="EI1513" s="1" t="s">
        <v>230</v>
      </c>
      <c r="EL1513" s="1" t="s">
        <v>382</v>
      </c>
      <c r="EM1513" s="1" t="s">
        <v>319</v>
      </c>
      <c r="EN1513" s="1" t="s">
        <v>282</v>
      </c>
      <c r="EO1513" s="1" t="s">
        <v>234</v>
      </c>
      <c r="EP1513" s="1" t="s">
        <v>4830</v>
      </c>
      <c r="EQ1513" s="1" t="s">
        <v>1094</v>
      </c>
      <c r="ER1513" s="1" t="s">
        <v>544</v>
      </c>
      <c r="ES1513" s="1" t="s">
        <v>322</v>
      </c>
      <c r="EV1513" s="1" t="s">
        <v>240</v>
      </c>
      <c r="EW1513" s="1" t="s">
        <v>1250</v>
      </c>
      <c r="EY1513" s="1" t="s">
        <v>242</v>
      </c>
      <c r="EZ1513" s="1" t="s">
        <v>464</v>
      </c>
      <c r="FA1513" s="1" t="s">
        <v>1072</v>
      </c>
      <c r="FD1513" s="1" t="s">
        <v>246</v>
      </c>
      <c r="FE1513" s="1" t="s">
        <v>247</v>
      </c>
      <c r="FF1513" s="1" t="s">
        <v>248</v>
      </c>
      <c r="FH1513" s="1" t="s">
        <v>550</v>
      </c>
      <c r="FI1513" s="1" t="s">
        <v>473</v>
      </c>
      <c r="FJ1513" s="1" t="s">
        <v>518</v>
      </c>
      <c r="FL1513" s="1" t="s">
        <v>358</v>
      </c>
      <c r="FM1513" s="1" t="s">
        <v>252</v>
      </c>
      <c r="FN1513" s="1" t="s">
        <v>213</v>
      </c>
      <c r="FO1513" s="1" t="s">
        <v>213</v>
      </c>
      <c r="FQ1513" s="1" t="s">
        <v>7566</v>
      </c>
      <c r="FR1513" s="1" t="s">
        <v>210</v>
      </c>
      <c r="FS1513" s="1" t="s">
        <v>14732</v>
      </c>
      <c r="FT1513" s="1" t="s">
        <v>520</v>
      </c>
      <c r="FU1513" s="1" t="s">
        <v>204</v>
      </c>
      <c r="FW1513" s="1" t="s">
        <v>14733</v>
      </c>
      <c r="FX1513" s="1">
        <v>26112</v>
      </c>
      <c r="FY1513" s="1" t="s">
        <v>14734</v>
      </c>
      <c r="FZ1513" s="1" t="s">
        <v>14735</v>
      </c>
      <c r="GA1513" s="1">
        <v>923462</v>
      </c>
      <c r="GB1513" s="1" t="s">
        <v>14736</v>
      </c>
      <c r="GC1513" s="1">
        <v>21094</v>
      </c>
      <c r="GE1513" s="1" t="s">
        <v>480</v>
      </c>
      <c r="GI1513" s="1" t="s">
        <v>204</v>
      </c>
      <c r="GJ1513" s="1" t="s">
        <v>260</v>
      </c>
      <c r="GK1513" s="1" t="s">
        <v>210</v>
      </c>
      <c r="GL1513" s="2">
        <v>42150</v>
      </c>
      <c r="GM1513" s="1" t="s">
        <v>14737</v>
      </c>
    </row>
    <row r="1514" spans="1:195">
      <c r="A1514" s="1">
        <v>150000</v>
      </c>
      <c r="B1514" s="1" t="s">
        <v>195</v>
      </c>
      <c r="C1514" s="1" t="str">
        <f>"08880564"</f>
        <v>08880564</v>
      </c>
      <c r="D1514" s="1" t="s">
        <v>196</v>
      </c>
      <c r="F1514" s="1" t="str">
        <f>"148"</f>
        <v>148</v>
      </c>
      <c r="G1514" s="2">
        <v>42097</v>
      </c>
      <c r="H1514" s="1">
        <v>157900</v>
      </c>
      <c r="I1514" s="1">
        <v>157900</v>
      </c>
      <c r="J1514" s="1">
        <v>150000</v>
      </c>
      <c r="K1514" s="2">
        <v>42097</v>
      </c>
      <c r="L1514" s="1">
        <v>13</v>
      </c>
      <c r="M1514" s="2">
        <v>42109</v>
      </c>
      <c r="N1514" s="1">
        <v>13</v>
      </c>
      <c r="O1514" s="2">
        <v>42109</v>
      </c>
      <c r="P1514" s="1">
        <v>24213</v>
      </c>
      <c r="Q1514" s="1" t="s">
        <v>302</v>
      </c>
      <c r="R1514" s="2">
        <v>42125</v>
      </c>
      <c r="S1514" s="1">
        <v>245381</v>
      </c>
      <c r="U1514" s="1">
        <v>357</v>
      </c>
      <c r="V1514" s="1" t="s">
        <v>4542</v>
      </c>
      <c r="W1514" s="1" t="s">
        <v>504</v>
      </c>
      <c r="Y1514" s="1">
        <v>8</v>
      </c>
      <c r="Z1514" s="1" t="s">
        <v>249</v>
      </c>
      <c r="AA1514" s="1" t="s">
        <v>1927</v>
      </c>
      <c r="AB1514" s="1">
        <v>60148</v>
      </c>
      <c r="AD1514" s="1" t="s">
        <v>14738</v>
      </c>
      <c r="AE1514" s="1" t="s">
        <v>14739</v>
      </c>
      <c r="AF1514" s="1">
        <v>1995</v>
      </c>
      <c r="AG1514" s="1" t="s">
        <v>204</v>
      </c>
      <c r="AH1514" s="1" t="s">
        <v>1930</v>
      </c>
      <c r="AI1514" s="1" t="s">
        <v>206</v>
      </c>
      <c r="AJ1514" s="1" t="s">
        <v>1608</v>
      </c>
      <c r="AK1514" s="1" t="s">
        <v>1088</v>
      </c>
      <c r="AL1514" s="1">
        <v>5</v>
      </c>
      <c r="AM1514" s="1">
        <v>2</v>
      </c>
      <c r="AN1514" s="1">
        <v>1</v>
      </c>
      <c r="AO1514" s="1">
        <v>1</v>
      </c>
      <c r="AP1514" s="1" t="s">
        <v>667</v>
      </c>
      <c r="AQ1514" s="1">
        <v>0</v>
      </c>
      <c r="AR1514" s="1" t="s">
        <v>210</v>
      </c>
      <c r="AS1514" s="1" t="s">
        <v>204</v>
      </c>
      <c r="AT1514" s="1" t="s">
        <v>211</v>
      </c>
      <c r="AU1514" s="1">
        <v>1</v>
      </c>
      <c r="AW1514" s="1" t="s">
        <v>204</v>
      </c>
      <c r="AX1514" s="1" t="s">
        <v>212</v>
      </c>
      <c r="AZ1514" s="1">
        <v>3099</v>
      </c>
      <c r="BA1514" s="1">
        <v>2013</v>
      </c>
      <c r="BB1514" s="1" t="s">
        <v>599</v>
      </c>
      <c r="BE1514" s="1">
        <v>914</v>
      </c>
      <c r="BF1514" s="1">
        <v>1</v>
      </c>
      <c r="BG1514" s="1">
        <v>0</v>
      </c>
      <c r="BL1514" s="1">
        <v>224</v>
      </c>
      <c r="BM1514" s="1" t="s">
        <v>204</v>
      </c>
      <c r="BN1514" s="1" t="s">
        <v>213</v>
      </c>
      <c r="BO1514" s="1">
        <v>0</v>
      </c>
      <c r="BP1514" s="1" t="s">
        <v>204</v>
      </c>
      <c r="BR1514" s="1" t="str">
        <f>"0630207051"</f>
        <v>0630207051</v>
      </c>
      <c r="BT1514" s="1" t="s">
        <v>14740</v>
      </c>
      <c r="BV1514" s="1" t="s">
        <v>1934</v>
      </c>
      <c r="BW1514" s="1" t="s">
        <v>1935</v>
      </c>
      <c r="BX1514" s="1">
        <v>44</v>
      </c>
      <c r="BY1514" s="1">
        <v>44</v>
      </c>
      <c r="BZ1514" s="1">
        <v>87</v>
      </c>
      <c r="CB1514" s="1" t="str">
        <f t="shared" ref="CB1514:CC1514" si="1157">""</f>
        <v/>
      </c>
      <c r="CC1514" s="1" t="str">
        <f t="shared" si="1157"/>
        <v/>
      </c>
      <c r="CG1514" s="1" t="s">
        <v>648</v>
      </c>
      <c r="CH1514" s="1" t="s">
        <v>219</v>
      </c>
      <c r="CI1514" s="1" t="s">
        <v>220</v>
      </c>
      <c r="CJ1514" s="1" t="s">
        <v>343</v>
      </c>
      <c r="CK1514" s="1" t="s">
        <v>729</v>
      </c>
      <c r="CL1514" s="1" t="s">
        <v>219</v>
      </c>
      <c r="CM1514" s="1" t="s">
        <v>220</v>
      </c>
      <c r="CN1514" s="1" t="s">
        <v>343</v>
      </c>
      <c r="CP1514" s="1" t="s">
        <v>224</v>
      </c>
      <c r="CS1514" s="1" t="s">
        <v>281</v>
      </c>
      <c r="CT1514" s="1" t="s">
        <v>219</v>
      </c>
      <c r="CU1514" s="1" t="s">
        <v>220</v>
      </c>
      <c r="CV1514" s="1" t="s">
        <v>343</v>
      </c>
      <c r="CX1514" s="1" t="s">
        <v>224</v>
      </c>
      <c r="DB1514" s="1" t="s">
        <v>224</v>
      </c>
      <c r="DE1514" s="1" t="s">
        <v>837</v>
      </c>
      <c r="DF1514" s="1" t="s">
        <v>219</v>
      </c>
      <c r="DG1514" s="1" t="s">
        <v>342</v>
      </c>
      <c r="DJ1514" s="1" t="s">
        <v>224</v>
      </c>
      <c r="DM1514" s="1" t="s">
        <v>381</v>
      </c>
      <c r="DR1514" s="1" t="s">
        <v>6226</v>
      </c>
      <c r="DS1514" s="1" t="s">
        <v>219</v>
      </c>
      <c r="DT1514" s="1" t="s">
        <v>342</v>
      </c>
      <c r="DW1514" s="1" t="s">
        <v>230</v>
      </c>
      <c r="EA1514" s="1" t="s">
        <v>230</v>
      </c>
      <c r="EE1514" s="1" t="s">
        <v>230</v>
      </c>
      <c r="EI1514" s="1" t="s">
        <v>230</v>
      </c>
      <c r="EL1514" s="1" t="s">
        <v>670</v>
      </c>
      <c r="EM1514" s="1" t="s">
        <v>232</v>
      </c>
      <c r="EN1514" s="1" t="s">
        <v>282</v>
      </c>
      <c r="EO1514" s="1" t="s">
        <v>1020</v>
      </c>
      <c r="EQ1514" s="1" t="s">
        <v>236</v>
      </c>
      <c r="ER1514" s="1" t="s">
        <v>210</v>
      </c>
      <c r="ES1514" s="1" t="s">
        <v>322</v>
      </c>
      <c r="EU1514" s="1" t="s">
        <v>239</v>
      </c>
      <c r="EW1514" s="1" t="s">
        <v>1219</v>
      </c>
      <c r="EY1514" s="1" t="s">
        <v>242</v>
      </c>
      <c r="EZ1514" s="1" t="s">
        <v>381</v>
      </c>
      <c r="FA1514" s="1" t="s">
        <v>1270</v>
      </c>
      <c r="FB1514" s="1" t="s">
        <v>289</v>
      </c>
      <c r="FD1514" s="1" t="s">
        <v>246</v>
      </c>
      <c r="FE1514" s="1" t="s">
        <v>975</v>
      </c>
      <c r="FF1514" s="1" t="s">
        <v>248</v>
      </c>
      <c r="FH1514" s="1" t="s">
        <v>2221</v>
      </c>
      <c r="FI1514" s="1" t="s">
        <v>473</v>
      </c>
      <c r="FJ1514" s="1" t="s">
        <v>1251</v>
      </c>
      <c r="FL1514" s="1" t="s">
        <v>358</v>
      </c>
      <c r="FM1514" s="1" t="s">
        <v>252</v>
      </c>
      <c r="FN1514" s="1" t="s">
        <v>213</v>
      </c>
      <c r="FO1514" s="1" t="s">
        <v>213</v>
      </c>
      <c r="FQ1514" s="1" t="s">
        <v>956</v>
      </c>
      <c r="FR1514" s="1" t="s">
        <v>210</v>
      </c>
      <c r="FS1514" s="1" t="s">
        <v>7022</v>
      </c>
      <c r="FT1514" s="1" t="s">
        <v>14741</v>
      </c>
      <c r="FU1514" s="1" t="s">
        <v>204</v>
      </c>
      <c r="FV1514" s="1" t="s">
        <v>14742</v>
      </c>
      <c r="FW1514" s="1" t="s">
        <v>2726</v>
      </c>
      <c r="FX1514" s="1">
        <v>1109</v>
      </c>
      <c r="FY1514" s="1" t="s">
        <v>2727</v>
      </c>
      <c r="FZ1514" s="1" t="s">
        <v>14743</v>
      </c>
      <c r="GA1514" s="1">
        <v>81441</v>
      </c>
      <c r="GB1514" s="1" t="s">
        <v>14744</v>
      </c>
      <c r="GE1514" s="1" t="s">
        <v>4021</v>
      </c>
      <c r="GI1514" s="1" t="s">
        <v>213</v>
      </c>
      <c r="GJ1514" s="1" t="s">
        <v>260</v>
      </c>
      <c r="GK1514" s="1" t="s">
        <v>261</v>
      </c>
      <c r="GL1514" s="2">
        <v>42125</v>
      </c>
    </row>
    <row r="1515" spans="1:195">
      <c r="A1515" s="1">
        <v>91500</v>
      </c>
      <c r="B1515" s="1" t="s">
        <v>195</v>
      </c>
      <c r="C1515" s="1" t="str">
        <f>"08880247"</f>
        <v>08880247</v>
      </c>
      <c r="D1515" s="1" t="s">
        <v>196</v>
      </c>
      <c r="F1515" s="1" t="str">
        <f>"126"</f>
        <v>126</v>
      </c>
      <c r="G1515" s="2">
        <v>42097</v>
      </c>
      <c r="H1515" s="1">
        <v>93900</v>
      </c>
      <c r="I1515" s="1">
        <v>93900</v>
      </c>
      <c r="J1515" s="1">
        <v>91500</v>
      </c>
      <c r="K1515" s="2">
        <v>42097</v>
      </c>
      <c r="L1515" s="1">
        <v>233</v>
      </c>
      <c r="M1515" s="2">
        <v>42102</v>
      </c>
      <c r="N1515" s="1">
        <v>6</v>
      </c>
      <c r="O1515" s="2">
        <v>42102</v>
      </c>
      <c r="P1515" s="1">
        <v>21823</v>
      </c>
      <c r="Q1515" s="1" t="s">
        <v>302</v>
      </c>
      <c r="R1515" s="2">
        <v>42124</v>
      </c>
      <c r="S1515" s="1">
        <v>213449</v>
      </c>
      <c r="U1515" s="1">
        <v>100</v>
      </c>
      <c r="V1515" s="1" t="s">
        <v>8680</v>
      </c>
      <c r="W1515" s="1" t="s">
        <v>1056</v>
      </c>
      <c r="X1515" s="1" t="s">
        <v>14745</v>
      </c>
      <c r="Y1515" s="1">
        <v>128</v>
      </c>
      <c r="Z1515" s="1" t="s">
        <v>249</v>
      </c>
      <c r="AA1515" s="1" t="s">
        <v>3169</v>
      </c>
      <c r="AB1515" s="1">
        <v>60126</v>
      </c>
      <c r="AE1515" s="1" t="s">
        <v>14746</v>
      </c>
      <c r="AF1515" s="1">
        <v>1970</v>
      </c>
      <c r="AG1515" s="1" t="s">
        <v>213</v>
      </c>
      <c r="AH1515" s="1" t="s">
        <v>3172</v>
      </c>
      <c r="AI1515" s="1" t="s">
        <v>206</v>
      </c>
      <c r="AJ1515" s="1" t="s">
        <v>1608</v>
      </c>
      <c r="AL1515" s="1">
        <v>5</v>
      </c>
      <c r="AM1515" s="1">
        <v>2</v>
      </c>
      <c r="AN1515" s="1">
        <v>2</v>
      </c>
      <c r="AO1515" s="1">
        <v>0</v>
      </c>
      <c r="AP1515" s="1" t="s">
        <v>209</v>
      </c>
      <c r="AR1515" s="1" t="s">
        <v>210</v>
      </c>
      <c r="AS1515" s="1" t="s">
        <v>204</v>
      </c>
      <c r="AT1515" s="1" t="s">
        <v>271</v>
      </c>
      <c r="AV1515" s="1">
        <v>1</v>
      </c>
      <c r="AW1515" s="1" t="s">
        <v>204</v>
      </c>
      <c r="AX1515" s="1" t="s">
        <v>212</v>
      </c>
      <c r="AZ1515" s="1">
        <v>1612</v>
      </c>
      <c r="BA1515" s="1">
        <v>2013</v>
      </c>
      <c r="BE1515" s="1">
        <v>1007</v>
      </c>
      <c r="BF1515" s="1">
        <v>1</v>
      </c>
      <c r="BG1515" s="1">
        <v>10</v>
      </c>
      <c r="BL1515" s="1">
        <v>308</v>
      </c>
      <c r="BM1515" s="1" t="s">
        <v>204</v>
      </c>
      <c r="BN1515" s="1" t="s">
        <v>204</v>
      </c>
      <c r="BP1515" s="1" t="s">
        <v>204</v>
      </c>
      <c r="BR1515" s="1" t="str">
        <f>"0614415012"</f>
        <v>0614415012</v>
      </c>
      <c r="BT1515" s="1" t="s">
        <v>14747</v>
      </c>
      <c r="BX1515" s="1">
        <v>48</v>
      </c>
      <c r="BY1515" s="1">
        <v>48</v>
      </c>
      <c r="BZ1515" s="1">
        <v>88</v>
      </c>
      <c r="CB1515" s="1" t="str">
        <f t="shared" ref="CB1515:CC1515" si="1158">""</f>
        <v/>
      </c>
      <c r="CC1515" s="1" t="str">
        <f t="shared" si="1158"/>
        <v/>
      </c>
      <c r="CG1515" s="1" t="s">
        <v>885</v>
      </c>
      <c r="CH1515" s="1" t="s">
        <v>219</v>
      </c>
      <c r="CK1515" s="1" t="s">
        <v>539</v>
      </c>
      <c r="CL1515" s="1" t="s">
        <v>219</v>
      </c>
      <c r="CO1515" s="1" t="s">
        <v>348</v>
      </c>
      <c r="CP1515" s="1" t="s">
        <v>219</v>
      </c>
      <c r="CS1515" s="1" t="s">
        <v>1297</v>
      </c>
      <c r="CT1515" s="1" t="s">
        <v>219</v>
      </c>
      <c r="CX1515" s="1" t="s">
        <v>224</v>
      </c>
      <c r="DB1515" s="1" t="s">
        <v>224</v>
      </c>
      <c r="DE1515" s="1" t="s">
        <v>951</v>
      </c>
      <c r="DF1515" s="1" t="s">
        <v>219</v>
      </c>
      <c r="DJ1515" s="1" t="s">
        <v>224</v>
      </c>
      <c r="DS1515" s="1" t="s">
        <v>230</v>
      </c>
      <c r="DW1515" s="1" t="s">
        <v>230</v>
      </c>
      <c r="EA1515" s="1" t="s">
        <v>230</v>
      </c>
      <c r="EE1515" s="1" t="s">
        <v>230</v>
      </c>
      <c r="EI1515" s="1" t="s">
        <v>230</v>
      </c>
      <c r="EL1515" s="1" t="s">
        <v>605</v>
      </c>
      <c r="EM1515" s="1" t="s">
        <v>232</v>
      </c>
      <c r="EN1515" s="1" t="s">
        <v>282</v>
      </c>
      <c r="EO1515" s="1" t="s">
        <v>234</v>
      </c>
      <c r="ER1515" s="1" t="s">
        <v>210</v>
      </c>
      <c r="EW1515" s="1" t="s">
        <v>1920</v>
      </c>
      <c r="EZ1515" s="1" t="s">
        <v>287</v>
      </c>
      <c r="FD1515" s="1" t="s">
        <v>1112</v>
      </c>
      <c r="FE1515" s="1" t="s">
        <v>247</v>
      </c>
      <c r="FF1515" s="1" t="s">
        <v>248</v>
      </c>
      <c r="FH1515" s="1" t="s">
        <v>249</v>
      </c>
      <c r="FL1515" s="1" t="s">
        <v>358</v>
      </c>
      <c r="FM1515" s="1" t="s">
        <v>252</v>
      </c>
      <c r="FN1515" s="1" t="s">
        <v>213</v>
      </c>
      <c r="FO1515" s="1" t="s">
        <v>213</v>
      </c>
      <c r="FQ1515" s="1" t="s">
        <v>1300</v>
      </c>
      <c r="FR1515" s="1" t="s">
        <v>210</v>
      </c>
      <c r="FS1515" s="1" t="s">
        <v>14748</v>
      </c>
      <c r="FT1515" s="1" t="s">
        <v>584</v>
      </c>
      <c r="FU1515" s="1" t="s">
        <v>204</v>
      </c>
      <c r="FW1515" s="1" t="s">
        <v>9659</v>
      </c>
      <c r="FX1515" s="1">
        <v>22320</v>
      </c>
      <c r="FY1515" s="1" t="s">
        <v>9660</v>
      </c>
      <c r="FZ1515" s="1" t="s">
        <v>14749</v>
      </c>
      <c r="GA1515" s="1">
        <v>223915</v>
      </c>
      <c r="GB1515" s="1" t="s">
        <v>9660</v>
      </c>
      <c r="GE1515" s="1" t="s">
        <v>210</v>
      </c>
      <c r="GH1515" s="1" t="s">
        <v>589</v>
      </c>
      <c r="GI1515" s="1" t="s">
        <v>213</v>
      </c>
      <c r="GJ1515" s="1" t="s">
        <v>260</v>
      </c>
      <c r="GK1515" s="1" t="s">
        <v>210</v>
      </c>
      <c r="GL1515" s="2">
        <v>42128</v>
      </c>
      <c r="GM1515" s="1" t="s">
        <v>14750</v>
      </c>
    </row>
    <row r="1516" spans="1:195">
      <c r="A1516" s="1">
        <v>139000</v>
      </c>
      <c r="B1516" s="1" t="s">
        <v>195</v>
      </c>
      <c r="C1516" s="1" t="str">
        <f>"08880646"</f>
        <v>08880646</v>
      </c>
      <c r="D1516" s="1" t="s">
        <v>196</v>
      </c>
      <c r="F1516" s="1" t="str">
        <f>"73"</f>
        <v>73</v>
      </c>
      <c r="G1516" s="2">
        <v>42097</v>
      </c>
      <c r="H1516" s="1">
        <v>149900</v>
      </c>
      <c r="I1516" s="1">
        <v>149900</v>
      </c>
      <c r="J1516" s="1">
        <v>139000</v>
      </c>
      <c r="K1516" s="2">
        <v>42097</v>
      </c>
      <c r="L1516" s="1">
        <v>8</v>
      </c>
      <c r="M1516" s="2">
        <v>42104</v>
      </c>
      <c r="N1516" s="1">
        <v>8</v>
      </c>
      <c r="O1516" s="2">
        <v>42104</v>
      </c>
      <c r="P1516" s="1">
        <v>1886</v>
      </c>
      <c r="Q1516" s="1" t="s">
        <v>302</v>
      </c>
      <c r="R1516" s="2">
        <v>42130</v>
      </c>
      <c r="S1516" s="1">
        <v>240702</v>
      </c>
      <c r="U1516" s="1">
        <v>1486</v>
      </c>
      <c r="V1516" s="1" t="s">
        <v>8323</v>
      </c>
      <c r="W1516" s="1" t="s">
        <v>504</v>
      </c>
      <c r="Y1516" s="1">
        <v>4</v>
      </c>
      <c r="Z1516" s="1" t="s">
        <v>370</v>
      </c>
      <c r="AA1516" s="1" t="s">
        <v>1259</v>
      </c>
      <c r="AB1516" s="1">
        <v>60073</v>
      </c>
      <c r="AD1516" s="1" t="s">
        <v>8379</v>
      </c>
      <c r="AE1516" s="1" t="s">
        <v>14751</v>
      </c>
      <c r="AF1516" s="1">
        <v>2004</v>
      </c>
      <c r="AG1516" s="1" t="s">
        <v>204</v>
      </c>
      <c r="AH1516" s="1" t="s">
        <v>1262</v>
      </c>
      <c r="AI1516" s="1" t="s">
        <v>509</v>
      </c>
      <c r="AJ1516" s="1" t="s">
        <v>1263</v>
      </c>
      <c r="AK1516" s="1" t="s">
        <v>14752</v>
      </c>
      <c r="AL1516" s="1">
        <v>6</v>
      </c>
      <c r="AM1516" s="1">
        <v>2</v>
      </c>
      <c r="AN1516" s="1">
        <v>2</v>
      </c>
      <c r="AO1516" s="1">
        <v>2</v>
      </c>
      <c r="AP1516" s="1" t="s">
        <v>209</v>
      </c>
      <c r="AQ1516" s="1">
        <v>1</v>
      </c>
      <c r="AR1516" s="1" t="s">
        <v>2275</v>
      </c>
      <c r="AS1516" s="1" t="s">
        <v>213</v>
      </c>
      <c r="AT1516" s="1" t="s">
        <v>211</v>
      </c>
      <c r="AU1516" s="1">
        <v>2</v>
      </c>
      <c r="AW1516" s="1" t="s">
        <v>204</v>
      </c>
      <c r="AX1516" s="1" t="s">
        <v>212</v>
      </c>
      <c r="AZ1516" s="1">
        <v>3492.25</v>
      </c>
      <c r="BA1516" s="1">
        <v>2013</v>
      </c>
      <c r="BB1516" s="1" t="s">
        <v>210</v>
      </c>
      <c r="BC1516" s="1">
        <v>0</v>
      </c>
      <c r="BE1516" s="1">
        <v>2280</v>
      </c>
      <c r="BF1516" s="1">
        <v>1</v>
      </c>
      <c r="BG1516" s="1">
        <v>0</v>
      </c>
      <c r="BL1516" s="1">
        <v>195</v>
      </c>
      <c r="BM1516" s="1" t="s">
        <v>204</v>
      </c>
      <c r="BN1516" s="1" t="s">
        <v>213</v>
      </c>
      <c r="BO1516" s="1">
        <v>0</v>
      </c>
      <c r="BP1516" s="1" t="s">
        <v>204</v>
      </c>
      <c r="BR1516" s="1" t="str">
        <f>"05244050050000"</f>
        <v>05244050050000</v>
      </c>
      <c r="BT1516" s="1" t="s">
        <v>14753</v>
      </c>
      <c r="BU1516" s="1" t="s">
        <v>14754</v>
      </c>
      <c r="BV1516" s="1" t="s">
        <v>7673</v>
      </c>
      <c r="BW1516" s="1" t="s">
        <v>4026</v>
      </c>
      <c r="BX1516" s="1">
        <v>116</v>
      </c>
      <c r="BY1516" s="1">
        <v>116</v>
      </c>
      <c r="BZ1516" s="1">
        <v>116</v>
      </c>
      <c r="CA1516" s="1" t="s">
        <v>11331</v>
      </c>
      <c r="CB1516" s="1" t="str">
        <f>"34"</f>
        <v>34</v>
      </c>
      <c r="CC1516" s="1" t="str">
        <f>"0"</f>
        <v>0</v>
      </c>
      <c r="CD1516" s="1">
        <v>24</v>
      </c>
      <c r="CE1516" s="1">
        <v>0</v>
      </c>
      <c r="CF1516" s="1" t="s">
        <v>4203</v>
      </c>
      <c r="CH1516" s="1" t="s">
        <v>224</v>
      </c>
      <c r="CK1516" s="1" t="s">
        <v>862</v>
      </c>
      <c r="CL1516" s="1" t="s">
        <v>277</v>
      </c>
      <c r="CM1516" s="1" t="s">
        <v>220</v>
      </c>
      <c r="CN1516" s="1" t="s">
        <v>343</v>
      </c>
      <c r="CO1516" s="1" t="s">
        <v>3034</v>
      </c>
      <c r="CP1516" s="1" t="s">
        <v>219</v>
      </c>
      <c r="CQ1516" s="1" t="s">
        <v>226</v>
      </c>
      <c r="CR1516" s="1" t="s">
        <v>343</v>
      </c>
      <c r="CS1516" s="1" t="s">
        <v>437</v>
      </c>
      <c r="CT1516" s="1" t="s">
        <v>277</v>
      </c>
      <c r="CU1516" s="1" t="s">
        <v>220</v>
      </c>
      <c r="CV1516" s="1" t="s">
        <v>343</v>
      </c>
      <c r="CX1516" s="1" t="s">
        <v>224</v>
      </c>
      <c r="DB1516" s="1" t="s">
        <v>224</v>
      </c>
      <c r="DE1516" s="1" t="s">
        <v>1046</v>
      </c>
      <c r="DF1516" s="1" t="s">
        <v>219</v>
      </c>
      <c r="DG1516" s="1" t="s">
        <v>226</v>
      </c>
      <c r="DH1516" s="1" t="s">
        <v>343</v>
      </c>
      <c r="DI1516" s="1" t="s">
        <v>601</v>
      </c>
      <c r="DJ1516" s="1" t="s">
        <v>219</v>
      </c>
      <c r="DK1516" s="1" t="s">
        <v>220</v>
      </c>
      <c r="DL1516" s="1" t="s">
        <v>343</v>
      </c>
      <c r="DM1516" s="1" t="s">
        <v>709</v>
      </c>
      <c r="DN1516" s="1" t="s">
        <v>934</v>
      </c>
      <c r="DO1516" s="1" t="s">
        <v>1771</v>
      </c>
      <c r="DP1516" s="1" t="s">
        <v>1614</v>
      </c>
      <c r="DR1516" s="1" t="s">
        <v>4213</v>
      </c>
      <c r="DS1516" s="1" t="s">
        <v>219</v>
      </c>
      <c r="DT1516" s="1" t="s">
        <v>226</v>
      </c>
      <c r="DU1516" s="1" t="s">
        <v>343</v>
      </c>
      <c r="DV1516" s="1" t="s">
        <v>14755</v>
      </c>
      <c r="DW1516" s="1" t="s">
        <v>822</v>
      </c>
      <c r="DX1516" s="1" t="s">
        <v>220</v>
      </c>
      <c r="DY1516" s="1" t="s">
        <v>343</v>
      </c>
      <c r="DZ1516" s="1" t="s">
        <v>5954</v>
      </c>
      <c r="EA1516" s="1" t="s">
        <v>277</v>
      </c>
      <c r="EB1516" s="1" t="s">
        <v>220</v>
      </c>
      <c r="ED1516" s="1" t="s">
        <v>6226</v>
      </c>
      <c r="EE1516" s="1" t="s">
        <v>4450</v>
      </c>
      <c r="EF1516" s="1" t="s">
        <v>347</v>
      </c>
      <c r="EI1516" s="1" t="s">
        <v>230</v>
      </c>
      <c r="EL1516" s="1" t="s">
        <v>466</v>
      </c>
      <c r="EM1516" s="1" t="s">
        <v>319</v>
      </c>
      <c r="EN1516" s="1" t="s">
        <v>282</v>
      </c>
      <c r="EO1516" s="1" t="s">
        <v>234</v>
      </c>
      <c r="EP1516" s="1" t="s">
        <v>2643</v>
      </c>
      <c r="EQ1516" s="1" t="s">
        <v>671</v>
      </c>
      <c r="ER1516" s="1" t="s">
        <v>823</v>
      </c>
      <c r="ES1516" s="1" t="s">
        <v>469</v>
      </c>
      <c r="ET1516" s="1" t="s">
        <v>866</v>
      </c>
      <c r="EU1516" s="1" t="s">
        <v>239</v>
      </c>
      <c r="EV1516" s="1" t="s">
        <v>324</v>
      </c>
      <c r="EW1516" s="1" t="s">
        <v>353</v>
      </c>
      <c r="EY1516" s="1" t="s">
        <v>790</v>
      </c>
      <c r="EZ1516" s="1" t="s">
        <v>14756</v>
      </c>
      <c r="FA1516" s="1" t="s">
        <v>6548</v>
      </c>
      <c r="FB1516" s="1" t="s">
        <v>289</v>
      </c>
      <c r="FD1516" s="1" t="s">
        <v>246</v>
      </c>
      <c r="FE1516" s="1" t="s">
        <v>472</v>
      </c>
      <c r="FF1516" s="1" t="s">
        <v>248</v>
      </c>
      <c r="FG1516" s="1" t="s">
        <v>2406</v>
      </c>
      <c r="FH1516" s="1" t="s">
        <v>550</v>
      </c>
      <c r="FI1516" s="1" t="s">
        <v>357</v>
      </c>
      <c r="FJ1516" s="1" t="s">
        <v>518</v>
      </c>
      <c r="FL1516" s="1" t="s">
        <v>358</v>
      </c>
      <c r="FM1516" s="1" t="s">
        <v>252</v>
      </c>
      <c r="FN1516" s="1" t="s">
        <v>213</v>
      </c>
      <c r="FO1516" s="1" t="s">
        <v>213</v>
      </c>
      <c r="FQ1516" s="1" t="s">
        <v>4853</v>
      </c>
      <c r="FR1516" s="1" t="s">
        <v>210</v>
      </c>
      <c r="FS1516" s="1" t="s">
        <v>14757</v>
      </c>
      <c r="FT1516" s="1" t="s">
        <v>520</v>
      </c>
      <c r="FU1516" s="1" t="s">
        <v>204</v>
      </c>
      <c r="FW1516" s="1" t="s">
        <v>14758</v>
      </c>
      <c r="FX1516" s="1">
        <v>2160</v>
      </c>
      <c r="FY1516" s="1" t="s">
        <v>14759</v>
      </c>
      <c r="FZ1516" s="1" t="s">
        <v>14760</v>
      </c>
      <c r="GA1516" s="1">
        <v>18119</v>
      </c>
      <c r="GE1516" s="1" t="s">
        <v>1256</v>
      </c>
      <c r="GI1516" s="1" t="s">
        <v>204</v>
      </c>
      <c r="GJ1516" s="1" t="s">
        <v>260</v>
      </c>
      <c r="GK1516" s="1" t="s">
        <v>210</v>
      </c>
      <c r="GL1516" s="2">
        <v>42131</v>
      </c>
    </row>
    <row r="1517" spans="1:195">
      <c r="A1517" s="1">
        <v>121900</v>
      </c>
      <c r="B1517" s="1" t="s">
        <v>195</v>
      </c>
      <c r="C1517" s="1" t="str">
        <f>"08883025"</f>
        <v>08883025</v>
      </c>
      <c r="D1517" s="1" t="s">
        <v>196</v>
      </c>
      <c r="F1517" s="1" t="str">
        <f>"123"</f>
        <v>123</v>
      </c>
      <c r="G1517" s="2">
        <v>42101</v>
      </c>
      <c r="H1517" s="1">
        <v>123900</v>
      </c>
      <c r="I1517" s="1">
        <v>123900</v>
      </c>
      <c r="J1517" s="1">
        <v>121900</v>
      </c>
      <c r="K1517" s="2">
        <v>42101</v>
      </c>
      <c r="L1517" s="1">
        <v>1</v>
      </c>
      <c r="M1517" s="2">
        <v>42101</v>
      </c>
      <c r="N1517" s="1">
        <v>1</v>
      </c>
      <c r="O1517" s="2">
        <v>42101</v>
      </c>
      <c r="P1517" s="1">
        <v>7450</v>
      </c>
      <c r="Q1517" s="1" t="s">
        <v>302</v>
      </c>
      <c r="R1517" s="2">
        <v>42125</v>
      </c>
      <c r="S1517" s="1">
        <v>1256</v>
      </c>
      <c r="U1517" s="1">
        <v>832</v>
      </c>
      <c r="V1517" s="1" t="s">
        <v>14761</v>
      </c>
      <c r="W1517" s="1" t="s">
        <v>304</v>
      </c>
      <c r="X1517" s="1">
        <v>832</v>
      </c>
      <c r="Y1517" s="1">
        <v>4</v>
      </c>
      <c r="Z1517" s="1" t="s">
        <v>249</v>
      </c>
      <c r="AA1517" s="1" t="s">
        <v>1173</v>
      </c>
      <c r="AB1517" s="1">
        <v>60123</v>
      </c>
      <c r="AD1517" s="1" t="s">
        <v>14762</v>
      </c>
      <c r="AE1517" s="1" t="s">
        <v>14763</v>
      </c>
      <c r="AF1517" s="1">
        <v>1997</v>
      </c>
      <c r="AG1517" s="1" t="s">
        <v>204</v>
      </c>
      <c r="AH1517" s="1" t="s">
        <v>1175</v>
      </c>
      <c r="AI1517" s="1" t="s">
        <v>665</v>
      </c>
      <c r="AJ1517" s="1" t="s">
        <v>1175</v>
      </c>
      <c r="AK1517" s="1" t="s">
        <v>14764</v>
      </c>
      <c r="AL1517" s="1">
        <v>5</v>
      </c>
      <c r="AM1517" s="1">
        <v>2</v>
      </c>
      <c r="AN1517" s="1">
        <v>1</v>
      </c>
      <c r="AO1517" s="1">
        <v>1</v>
      </c>
      <c r="AP1517" s="1" t="s">
        <v>209</v>
      </c>
      <c r="AR1517" s="1" t="s">
        <v>210</v>
      </c>
      <c r="AS1517" s="1" t="s">
        <v>204</v>
      </c>
      <c r="AT1517" s="1" t="s">
        <v>211</v>
      </c>
      <c r="AU1517" s="1">
        <v>2</v>
      </c>
      <c r="AW1517" s="1" t="s">
        <v>204</v>
      </c>
      <c r="AX1517" s="1" t="s">
        <v>212</v>
      </c>
      <c r="AZ1517" s="1">
        <v>2167.48</v>
      </c>
      <c r="BA1517" s="1">
        <v>2013</v>
      </c>
      <c r="BB1517" s="1" t="s">
        <v>599</v>
      </c>
      <c r="BE1517" s="1">
        <v>1170</v>
      </c>
      <c r="BF1517" s="1">
        <v>1</v>
      </c>
      <c r="BG1517" s="1">
        <v>0</v>
      </c>
      <c r="BJ1517" s="1">
        <v>100</v>
      </c>
      <c r="BL1517" s="1">
        <v>149</v>
      </c>
      <c r="BM1517" s="1" t="s">
        <v>204</v>
      </c>
      <c r="BN1517" s="1" t="s">
        <v>213</v>
      </c>
      <c r="BO1517" s="1">
        <v>999</v>
      </c>
      <c r="BP1517" s="1" t="s">
        <v>204</v>
      </c>
      <c r="BR1517" s="1" t="str">
        <f>"0628127017"</f>
        <v>0628127017</v>
      </c>
      <c r="BT1517" s="1" t="s">
        <v>14765</v>
      </c>
      <c r="BX1517" s="1">
        <v>46</v>
      </c>
      <c r="BY1517" s="1">
        <v>46</v>
      </c>
      <c r="BZ1517" s="1">
        <v>46</v>
      </c>
      <c r="CB1517" s="1" t="str">
        <f t="shared" ref="CB1517:CC1517" si="1159">""</f>
        <v/>
      </c>
      <c r="CC1517" s="1" t="str">
        <f t="shared" si="1159"/>
        <v/>
      </c>
      <c r="CG1517" s="1" t="s">
        <v>3316</v>
      </c>
      <c r="CH1517" s="1" t="s">
        <v>219</v>
      </c>
      <c r="CI1517" s="1" t="s">
        <v>220</v>
      </c>
      <c r="CJ1517" s="1" t="s">
        <v>909</v>
      </c>
      <c r="CK1517" s="1" t="s">
        <v>3083</v>
      </c>
      <c r="CL1517" s="1" t="s">
        <v>219</v>
      </c>
      <c r="CM1517" s="1" t="s">
        <v>220</v>
      </c>
      <c r="CN1517" s="1" t="s">
        <v>909</v>
      </c>
      <c r="CO1517" s="1" t="s">
        <v>318</v>
      </c>
      <c r="CP1517" s="1" t="s">
        <v>219</v>
      </c>
      <c r="CQ1517" s="1" t="s">
        <v>342</v>
      </c>
      <c r="CR1517" s="1" t="s">
        <v>343</v>
      </c>
      <c r="CS1517" s="1" t="s">
        <v>408</v>
      </c>
      <c r="CT1517" s="1" t="s">
        <v>219</v>
      </c>
      <c r="CU1517" s="1" t="s">
        <v>220</v>
      </c>
      <c r="CV1517" s="1" t="s">
        <v>909</v>
      </c>
      <c r="CX1517" s="1" t="s">
        <v>224</v>
      </c>
      <c r="DB1517" s="1" t="s">
        <v>224</v>
      </c>
      <c r="DE1517" s="1" t="s">
        <v>318</v>
      </c>
      <c r="DF1517" s="1" t="s">
        <v>219</v>
      </c>
      <c r="DG1517" s="1" t="s">
        <v>342</v>
      </c>
      <c r="DJ1517" s="1" t="s">
        <v>224</v>
      </c>
      <c r="DS1517" s="1" t="s">
        <v>230</v>
      </c>
      <c r="DW1517" s="1" t="s">
        <v>230</v>
      </c>
      <c r="EA1517" s="1" t="s">
        <v>230</v>
      </c>
      <c r="EE1517" s="1" t="s">
        <v>230</v>
      </c>
      <c r="EI1517" s="1" t="s">
        <v>230</v>
      </c>
      <c r="EL1517" s="1" t="s">
        <v>670</v>
      </c>
      <c r="EM1517" s="1" t="s">
        <v>319</v>
      </c>
      <c r="EN1517" s="1" t="s">
        <v>282</v>
      </c>
      <c r="EO1517" s="1" t="s">
        <v>234</v>
      </c>
      <c r="EQ1517" s="1" t="s">
        <v>492</v>
      </c>
      <c r="ER1517" s="1" t="s">
        <v>383</v>
      </c>
      <c r="ES1517" s="1" t="s">
        <v>545</v>
      </c>
      <c r="EU1517" s="1" t="s">
        <v>1110</v>
      </c>
      <c r="EV1517" s="1" t="s">
        <v>324</v>
      </c>
      <c r="EW1517" s="1" t="s">
        <v>353</v>
      </c>
      <c r="EY1517" s="1" t="s">
        <v>2455</v>
      </c>
      <c r="EZ1517" s="1" t="s">
        <v>287</v>
      </c>
      <c r="FA1517" s="1" t="s">
        <v>1427</v>
      </c>
      <c r="FB1517" s="1" t="s">
        <v>244</v>
      </c>
      <c r="FD1517" s="1" t="s">
        <v>495</v>
      </c>
      <c r="FE1517" s="1" t="s">
        <v>1006</v>
      </c>
      <c r="FF1517" s="1" t="s">
        <v>387</v>
      </c>
      <c r="FH1517" s="1" t="s">
        <v>249</v>
      </c>
      <c r="FI1517" s="1" t="s">
        <v>357</v>
      </c>
      <c r="FJ1517" s="1" t="s">
        <v>518</v>
      </c>
      <c r="FL1517" s="1" t="s">
        <v>414</v>
      </c>
      <c r="FM1517" s="1" t="s">
        <v>252</v>
      </c>
      <c r="FN1517" s="1" t="s">
        <v>213</v>
      </c>
      <c r="FO1517" s="1" t="s">
        <v>213</v>
      </c>
      <c r="FQ1517" s="1" t="s">
        <v>14766</v>
      </c>
      <c r="FR1517" s="1" t="s">
        <v>210</v>
      </c>
      <c r="FS1517" s="1" t="s">
        <v>14767</v>
      </c>
      <c r="FT1517" s="1" t="s">
        <v>295</v>
      </c>
      <c r="FU1517" s="1" t="s">
        <v>204</v>
      </c>
      <c r="FW1517" s="1" t="s">
        <v>14768</v>
      </c>
      <c r="FX1517" s="1">
        <v>5486</v>
      </c>
      <c r="FY1517" s="1" t="s">
        <v>14769</v>
      </c>
      <c r="FZ1517" s="1" t="s">
        <v>14770</v>
      </c>
      <c r="GA1517" s="1">
        <v>54594</v>
      </c>
      <c r="GB1517" s="1" t="s">
        <v>14771</v>
      </c>
      <c r="GE1517" s="1" t="s">
        <v>658</v>
      </c>
      <c r="GI1517" s="1" t="s">
        <v>213</v>
      </c>
      <c r="GJ1517" s="1" t="s">
        <v>260</v>
      </c>
      <c r="GK1517" s="1" t="s">
        <v>210</v>
      </c>
      <c r="GL1517" s="2">
        <v>42125</v>
      </c>
      <c r="GM1517" s="1" t="s">
        <v>14772</v>
      </c>
    </row>
    <row r="1518" spans="1:195">
      <c r="A1518" s="1">
        <v>120000</v>
      </c>
      <c r="B1518" s="1" t="s">
        <v>195</v>
      </c>
      <c r="C1518" s="1" t="str">
        <f>"08885074"</f>
        <v>08885074</v>
      </c>
      <c r="D1518" s="1" t="s">
        <v>196</v>
      </c>
      <c r="F1518" s="1" t="str">
        <f>"31"</f>
        <v>31</v>
      </c>
      <c r="G1518" s="2">
        <v>42102</v>
      </c>
      <c r="H1518" s="1">
        <v>138000</v>
      </c>
      <c r="I1518" s="1">
        <v>138000</v>
      </c>
      <c r="J1518" s="1">
        <v>120000</v>
      </c>
      <c r="K1518" s="2">
        <v>42102</v>
      </c>
      <c r="L1518" s="1">
        <v>104</v>
      </c>
      <c r="M1518" s="2">
        <v>42115</v>
      </c>
      <c r="N1518" s="1">
        <v>14</v>
      </c>
      <c r="O1518" s="2">
        <v>42115</v>
      </c>
      <c r="P1518" s="1">
        <v>8340</v>
      </c>
      <c r="Q1518" s="1" t="s">
        <v>423</v>
      </c>
      <c r="R1518" s="2">
        <v>42146</v>
      </c>
      <c r="S1518" s="1">
        <v>82381</v>
      </c>
      <c r="U1518" s="1">
        <v>1910</v>
      </c>
      <c r="V1518" s="1" t="s">
        <v>14773</v>
      </c>
      <c r="W1518" s="1" t="s">
        <v>304</v>
      </c>
      <c r="Y1518" s="1">
        <v>6</v>
      </c>
      <c r="Z1518" s="1" t="s">
        <v>370</v>
      </c>
      <c r="AA1518" s="1" t="s">
        <v>1057</v>
      </c>
      <c r="AB1518" s="1">
        <v>60031</v>
      </c>
      <c r="AD1518" s="1" t="s">
        <v>11465</v>
      </c>
      <c r="AE1518" s="1" t="s">
        <v>14774</v>
      </c>
      <c r="AF1518" s="1">
        <v>1989</v>
      </c>
      <c r="AG1518" s="1" t="s">
        <v>204</v>
      </c>
      <c r="AH1518" s="1" t="s">
        <v>1060</v>
      </c>
      <c r="AI1518" s="1" t="s">
        <v>509</v>
      </c>
      <c r="AJ1518" s="1" t="s">
        <v>1061</v>
      </c>
      <c r="AL1518" s="1">
        <v>6</v>
      </c>
      <c r="AM1518" s="1">
        <v>2</v>
      </c>
      <c r="AN1518" s="1">
        <v>2</v>
      </c>
      <c r="AO1518" s="1">
        <v>1</v>
      </c>
      <c r="AP1518" s="1" t="s">
        <v>209</v>
      </c>
      <c r="AQ1518" s="1">
        <v>1</v>
      </c>
      <c r="AR1518" s="1" t="s">
        <v>210</v>
      </c>
      <c r="AS1518" s="1" t="s">
        <v>204</v>
      </c>
      <c r="AT1518" s="1" t="s">
        <v>211</v>
      </c>
      <c r="AU1518" s="1">
        <v>1</v>
      </c>
      <c r="AW1518" s="1" t="s">
        <v>204</v>
      </c>
      <c r="AX1518" s="1" t="s">
        <v>14775</v>
      </c>
      <c r="AZ1518" s="1">
        <v>4150.92</v>
      </c>
      <c r="BA1518" s="1">
        <v>2013</v>
      </c>
      <c r="BB1518" s="1" t="s">
        <v>210</v>
      </c>
      <c r="BE1518" s="1">
        <v>1556</v>
      </c>
      <c r="BF1518" s="1">
        <v>1</v>
      </c>
      <c r="BG1518" s="1">
        <v>0</v>
      </c>
      <c r="BL1518" s="1">
        <v>195</v>
      </c>
      <c r="BM1518" s="1" t="s">
        <v>204</v>
      </c>
      <c r="BN1518" s="1" t="s">
        <v>213</v>
      </c>
      <c r="BO1518" s="1">
        <v>0</v>
      </c>
      <c r="BP1518" s="1" t="s">
        <v>204</v>
      </c>
      <c r="BR1518" s="1" t="str">
        <f>"07094050840000"</f>
        <v>07094050840000</v>
      </c>
      <c r="BT1518" s="1" t="s">
        <v>14776</v>
      </c>
      <c r="BU1518" s="1" t="s">
        <v>1064</v>
      </c>
      <c r="BV1518" s="1" t="s">
        <v>1064</v>
      </c>
      <c r="BW1518" s="1" t="s">
        <v>1066</v>
      </c>
      <c r="BX1518" s="1">
        <v>50</v>
      </c>
      <c r="BY1518" s="1">
        <v>50</v>
      </c>
      <c r="BZ1518" s="1">
        <v>121</v>
      </c>
      <c r="CB1518" s="1" t="str">
        <f>"35"</f>
        <v>35</v>
      </c>
      <c r="CC1518" s="1" t="str">
        <f>""</f>
        <v/>
      </c>
      <c r="CD1518" s="1">
        <v>15</v>
      </c>
      <c r="CG1518" s="1" t="s">
        <v>581</v>
      </c>
      <c r="CH1518" s="1" t="s">
        <v>219</v>
      </c>
      <c r="CI1518" s="1" t="s">
        <v>220</v>
      </c>
      <c r="CJ1518" s="1" t="s">
        <v>210</v>
      </c>
      <c r="CK1518" s="1" t="s">
        <v>314</v>
      </c>
      <c r="CL1518" s="1" t="s">
        <v>277</v>
      </c>
      <c r="CM1518" s="1" t="s">
        <v>220</v>
      </c>
      <c r="CN1518" s="1" t="s">
        <v>210</v>
      </c>
      <c r="CO1518" s="1" t="s">
        <v>318</v>
      </c>
      <c r="CP1518" s="1" t="s">
        <v>219</v>
      </c>
      <c r="CQ1518" s="1" t="s">
        <v>220</v>
      </c>
      <c r="CR1518" s="1" t="s">
        <v>210</v>
      </c>
      <c r="CS1518" s="1" t="s">
        <v>539</v>
      </c>
      <c r="CT1518" s="1" t="s">
        <v>277</v>
      </c>
      <c r="CU1518" s="1" t="s">
        <v>220</v>
      </c>
      <c r="CV1518" s="1" t="s">
        <v>210</v>
      </c>
      <c r="CX1518" s="1" t="s">
        <v>224</v>
      </c>
      <c r="DB1518" s="1" t="s">
        <v>224</v>
      </c>
      <c r="DE1518" s="1" t="s">
        <v>2231</v>
      </c>
      <c r="DF1518" s="1" t="s">
        <v>219</v>
      </c>
      <c r="DG1518" s="1" t="s">
        <v>226</v>
      </c>
      <c r="DH1518" s="1" t="s">
        <v>210</v>
      </c>
      <c r="DJ1518" s="1" t="s">
        <v>224</v>
      </c>
      <c r="DM1518" s="1" t="s">
        <v>464</v>
      </c>
      <c r="DR1518" s="1" t="s">
        <v>1534</v>
      </c>
      <c r="DS1518" s="1" t="s">
        <v>277</v>
      </c>
      <c r="DT1518" s="1" t="s">
        <v>220</v>
      </c>
      <c r="DU1518" s="1" t="s">
        <v>210</v>
      </c>
      <c r="DW1518" s="1" t="s">
        <v>230</v>
      </c>
      <c r="EA1518" s="1" t="s">
        <v>230</v>
      </c>
      <c r="EE1518" s="1" t="s">
        <v>230</v>
      </c>
      <c r="EI1518" s="1" t="s">
        <v>230</v>
      </c>
      <c r="EL1518" s="1" t="s">
        <v>542</v>
      </c>
      <c r="EM1518" s="1" t="s">
        <v>319</v>
      </c>
      <c r="EN1518" s="1" t="s">
        <v>282</v>
      </c>
      <c r="EO1518" s="1" t="s">
        <v>234</v>
      </c>
      <c r="EP1518" s="1" t="s">
        <v>8987</v>
      </c>
      <c r="EQ1518" s="1" t="s">
        <v>492</v>
      </c>
      <c r="ER1518" s="1" t="s">
        <v>210</v>
      </c>
      <c r="ES1518" s="1" t="s">
        <v>824</v>
      </c>
      <c r="EU1518" s="1" t="s">
        <v>14777</v>
      </c>
      <c r="EV1518" s="1" t="s">
        <v>240</v>
      </c>
      <c r="EW1518" s="1" t="s">
        <v>1219</v>
      </c>
      <c r="EZ1518" s="1" t="s">
        <v>464</v>
      </c>
      <c r="FD1518" s="1" t="s">
        <v>246</v>
      </c>
      <c r="FE1518" s="1" t="s">
        <v>386</v>
      </c>
      <c r="FF1518" s="1" t="s">
        <v>248</v>
      </c>
      <c r="FG1518" s="1" t="s">
        <v>5121</v>
      </c>
      <c r="FH1518" s="1" t="s">
        <v>550</v>
      </c>
      <c r="FL1518" s="1" t="s">
        <v>358</v>
      </c>
      <c r="FM1518" s="1" t="s">
        <v>252</v>
      </c>
      <c r="FN1518" s="1" t="s">
        <v>213</v>
      </c>
      <c r="FO1518" s="1" t="s">
        <v>213</v>
      </c>
      <c r="FQ1518" s="1" t="s">
        <v>329</v>
      </c>
      <c r="FR1518" s="1" t="s">
        <v>652</v>
      </c>
      <c r="FS1518" s="1" t="s">
        <v>5334</v>
      </c>
      <c r="FT1518" s="1" t="s">
        <v>520</v>
      </c>
      <c r="FU1518" s="1" t="s">
        <v>204</v>
      </c>
      <c r="FW1518" s="1" t="s">
        <v>5046</v>
      </c>
      <c r="FX1518" s="1">
        <v>2280</v>
      </c>
      <c r="FY1518" s="1" t="s">
        <v>5047</v>
      </c>
      <c r="FZ1518" s="1" t="s">
        <v>5048</v>
      </c>
      <c r="GA1518" s="1">
        <v>85534</v>
      </c>
      <c r="GB1518" s="1" t="s">
        <v>5049</v>
      </c>
      <c r="GD1518" s="1" t="s">
        <v>5050</v>
      </c>
      <c r="GE1518" s="1" t="s">
        <v>480</v>
      </c>
      <c r="GI1518" s="1" t="s">
        <v>213</v>
      </c>
      <c r="GJ1518" s="1" t="s">
        <v>260</v>
      </c>
      <c r="GK1518" s="1" t="s">
        <v>210</v>
      </c>
      <c r="GL1518" s="2">
        <v>42146</v>
      </c>
      <c r="GM1518" s="1" t="s">
        <v>14778</v>
      </c>
    </row>
    <row r="1519" spans="1:195">
      <c r="A1519" s="1">
        <v>146000</v>
      </c>
      <c r="B1519" s="1" t="s">
        <v>195</v>
      </c>
      <c r="C1519" s="1" t="str">
        <f>"08882520"</f>
        <v>08882520</v>
      </c>
      <c r="D1519" s="1" t="s">
        <v>196</v>
      </c>
      <c r="F1519" s="1" t="str">
        <f>"191"</f>
        <v>191</v>
      </c>
      <c r="G1519" s="2">
        <v>42100</v>
      </c>
      <c r="H1519" s="1">
        <v>149900</v>
      </c>
      <c r="I1519" s="1">
        <v>149900</v>
      </c>
      <c r="J1519" s="1">
        <v>146000</v>
      </c>
      <c r="K1519" s="2">
        <v>42100</v>
      </c>
      <c r="L1519" s="1">
        <v>11</v>
      </c>
      <c r="M1519" s="2">
        <v>42110</v>
      </c>
      <c r="N1519" s="1">
        <v>11</v>
      </c>
      <c r="O1519" s="2">
        <v>42110</v>
      </c>
      <c r="P1519" s="1" t="s">
        <v>1039</v>
      </c>
      <c r="Q1519" s="1" t="s">
        <v>197</v>
      </c>
      <c r="R1519" s="2">
        <v>42144</v>
      </c>
      <c r="S1519" s="1">
        <v>99999</v>
      </c>
      <c r="U1519" s="1">
        <v>480</v>
      </c>
      <c r="V1519" s="1" t="s">
        <v>14779</v>
      </c>
      <c r="W1519" s="1" t="s">
        <v>425</v>
      </c>
      <c r="X1519" s="1">
        <v>312</v>
      </c>
      <c r="Y1519" s="1">
        <v>48</v>
      </c>
      <c r="Z1519" s="1" t="s">
        <v>249</v>
      </c>
      <c r="AA1519" s="1" t="s">
        <v>1966</v>
      </c>
      <c r="AB1519" s="1">
        <v>60191</v>
      </c>
      <c r="AD1519" s="1" t="s">
        <v>14780</v>
      </c>
      <c r="AE1519" s="1" t="s">
        <v>14781</v>
      </c>
      <c r="AF1519" s="1">
        <v>1995</v>
      </c>
      <c r="AG1519" s="1" t="s">
        <v>204</v>
      </c>
      <c r="AH1519" s="1" t="s">
        <v>1969</v>
      </c>
      <c r="AI1519" s="1" t="s">
        <v>206</v>
      </c>
      <c r="AJ1519" s="1" t="s">
        <v>1233</v>
      </c>
      <c r="AL1519" s="1">
        <v>4</v>
      </c>
      <c r="AM1519" s="1">
        <v>2</v>
      </c>
      <c r="AN1519" s="1">
        <v>2</v>
      </c>
      <c r="AO1519" s="1">
        <v>0</v>
      </c>
      <c r="AP1519" s="1" t="s">
        <v>209</v>
      </c>
      <c r="AR1519" s="1" t="s">
        <v>210</v>
      </c>
      <c r="AS1519" s="1" t="s">
        <v>204</v>
      </c>
      <c r="AT1519" s="1" t="s">
        <v>211</v>
      </c>
      <c r="AU1519" s="1">
        <v>1</v>
      </c>
      <c r="AW1519" s="1" t="s">
        <v>204</v>
      </c>
      <c r="AX1519" s="1" t="s">
        <v>212</v>
      </c>
      <c r="AZ1519" s="6">
        <v>3126</v>
      </c>
      <c r="BA1519" s="1">
        <v>2013</v>
      </c>
      <c r="BB1519" s="1" t="s">
        <v>405</v>
      </c>
      <c r="BE1519" s="1">
        <v>1439</v>
      </c>
      <c r="BF1519" s="1">
        <v>3</v>
      </c>
      <c r="BG1519" s="1">
        <v>30</v>
      </c>
      <c r="BJ1519" s="1">
        <v>100</v>
      </c>
      <c r="BL1519" s="1">
        <v>244</v>
      </c>
      <c r="BM1519" s="1" t="s">
        <v>204</v>
      </c>
      <c r="BN1519" s="1" t="s">
        <v>213</v>
      </c>
      <c r="BP1519" s="1" t="s">
        <v>204</v>
      </c>
      <c r="BR1519" s="1" t="str">
        <f>"3154120320"</f>
        <v>3154120320</v>
      </c>
      <c r="BT1519" s="1" t="s">
        <v>14782</v>
      </c>
      <c r="BU1519" s="1" t="s">
        <v>8666</v>
      </c>
      <c r="BV1519" s="1" t="s">
        <v>6840</v>
      </c>
      <c r="BW1519" s="1" t="s">
        <v>1973</v>
      </c>
      <c r="BX1519" s="1">
        <v>2</v>
      </c>
      <c r="BY1519" s="1">
        <v>2</v>
      </c>
      <c r="BZ1519" s="1">
        <v>100</v>
      </c>
      <c r="CB1519" s="1" t="str">
        <f t="shared" ref="CB1519:CC1519" si="1160">""</f>
        <v/>
      </c>
      <c r="CC1519" s="1" t="str">
        <f t="shared" si="1160"/>
        <v/>
      </c>
      <c r="CH1519" s="1" t="s">
        <v>224</v>
      </c>
      <c r="CK1519" s="1" t="s">
        <v>437</v>
      </c>
      <c r="CL1519" s="1" t="s">
        <v>219</v>
      </c>
      <c r="CO1519" s="1" t="s">
        <v>908</v>
      </c>
      <c r="CP1519" s="1" t="s">
        <v>219</v>
      </c>
      <c r="CQ1519" s="1" t="s">
        <v>347</v>
      </c>
      <c r="CR1519" s="1" t="s">
        <v>210</v>
      </c>
      <c r="CS1519" s="1" t="s">
        <v>539</v>
      </c>
      <c r="CT1519" s="1" t="s">
        <v>219</v>
      </c>
      <c r="CX1519" s="1" t="s">
        <v>224</v>
      </c>
      <c r="DB1519" s="1" t="s">
        <v>224</v>
      </c>
      <c r="DE1519" s="1" t="s">
        <v>951</v>
      </c>
      <c r="DF1519" s="1" t="s">
        <v>219</v>
      </c>
      <c r="DG1519" s="1" t="s">
        <v>226</v>
      </c>
      <c r="DH1519" s="1" t="s">
        <v>210</v>
      </c>
      <c r="DJ1519" s="1" t="s">
        <v>224</v>
      </c>
      <c r="DS1519" s="1" t="s">
        <v>230</v>
      </c>
      <c r="DW1519" s="1" t="s">
        <v>230</v>
      </c>
      <c r="EA1519" s="1" t="s">
        <v>230</v>
      </c>
      <c r="EE1519" s="1" t="s">
        <v>230</v>
      </c>
      <c r="EI1519" s="1" t="s">
        <v>230</v>
      </c>
      <c r="EL1519" s="1" t="s">
        <v>670</v>
      </c>
      <c r="EM1519" s="1" t="s">
        <v>232</v>
      </c>
      <c r="EN1519" s="1" t="s">
        <v>282</v>
      </c>
      <c r="EO1519" s="1" t="s">
        <v>234</v>
      </c>
      <c r="EQ1519" s="1" t="s">
        <v>1094</v>
      </c>
      <c r="ER1519" s="1" t="s">
        <v>210</v>
      </c>
      <c r="ES1519" s="1" t="s">
        <v>322</v>
      </c>
      <c r="EW1519" s="1" t="s">
        <v>2699</v>
      </c>
      <c r="EZ1519" s="1" t="s">
        <v>287</v>
      </c>
      <c r="FC1519" s="1" t="s">
        <v>1386</v>
      </c>
      <c r="FD1519" s="1" t="s">
        <v>736</v>
      </c>
      <c r="FE1519" s="1" t="s">
        <v>247</v>
      </c>
      <c r="FF1519" s="1" t="s">
        <v>248</v>
      </c>
      <c r="FH1519" s="1" t="s">
        <v>249</v>
      </c>
      <c r="FI1519" s="1" t="s">
        <v>848</v>
      </c>
      <c r="FJ1519" s="1" t="s">
        <v>197</v>
      </c>
      <c r="FL1519" s="1" t="s">
        <v>358</v>
      </c>
      <c r="FM1519" s="1" t="s">
        <v>252</v>
      </c>
      <c r="FN1519" s="1" t="s">
        <v>213</v>
      </c>
      <c r="FO1519" s="1" t="s">
        <v>213</v>
      </c>
      <c r="FQ1519" s="1" t="s">
        <v>793</v>
      </c>
      <c r="FR1519" s="1" t="s">
        <v>210</v>
      </c>
      <c r="FS1519" s="1" t="s">
        <v>14783</v>
      </c>
      <c r="FT1519" s="1" t="s">
        <v>362</v>
      </c>
      <c r="FU1519" s="1" t="s">
        <v>204</v>
      </c>
      <c r="FW1519" s="1" t="s">
        <v>915</v>
      </c>
      <c r="FX1519" s="1">
        <v>24042</v>
      </c>
      <c r="FY1519" s="1" t="s">
        <v>8521</v>
      </c>
      <c r="FZ1519" s="1" t="s">
        <v>14784</v>
      </c>
      <c r="GA1519" s="1">
        <v>245571</v>
      </c>
      <c r="GB1519" s="1" t="s">
        <v>14785</v>
      </c>
      <c r="GE1519" s="1" t="s">
        <v>210</v>
      </c>
      <c r="GH1519" s="1" t="s">
        <v>800</v>
      </c>
      <c r="GI1519" s="1" t="s">
        <v>213</v>
      </c>
      <c r="GJ1519" s="1" t="s">
        <v>260</v>
      </c>
      <c r="GK1519" s="1" t="s">
        <v>210</v>
      </c>
      <c r="GL1519" s="2">
        <v>42144</v>
      </c>
      <c r="GM1519" s="1" t="s">
        <v>14786</v>
      </c>
    </row>
    <row r="1520" spans="1:195">
      <c r="A1520" s="1">
        <v>122000</v>
      </c>
      <c r="B1520" s="1" t="s">
        <v>195</v>
      </c>
      <c r="C1520" s="1" t="str">
        <f>"08888267"</f>
        <v>08888267</v>
      </c>
      <c r="D1520" s="1" t="s">
        <v>196</v>
      </c>
      <c r="F1520" s="1" t="str">
        <f>"172"</f>
        <v>172</v>
      </c>
      <c r="G1520" s="2">
        <v>42105</v>
      </c>
      <c r="H1520" s="1">
        <v>129900</v>
      </c>
      <c r="I1520" s="1">
        <v>129900</v>
      </c>
      <c r="J1520" s="1">
        <v>122000</v>
      </c>
      <c r="K1520" s="2">
        <v>42105</v>
      </c>
      <c r="L1520" s="1">
        <v>10</v>
      </c>
      <c r="M1520" s="2">
        <v>42114</v>
      </c>
      <c r="N1520" s="1">
        <v>10</v>
      </c>
      <c r="O1520" s="2">
        <v>42114</v>
      </c>
      <c r="P1520" s="1">
        <v>25695</v>
      </c>
      <c r="Q1520" s="1" t="s">
        <v>302</v>
      </c>
      <c r="R1520" s="2">
        <v>42131</v>
      </c>
      <c r="S1520" s="1">
        <v>240478</v>
      </c>
      <c r="T1520" s="1">
        <v>500</v>
      </c>
      <c r="U1520" s="1">
        <v>940</v>
      </c>
      <c r="V1520" s="1" t="s">
        <v>3948</v>
      </c>
      <c r="W1520" s="1" t="s">
        <v>526</v>
      </c>
      <c r="X1520" s="1" t="s">
        <v>14787</v>
      </c>
      <c r="Y1520" s="1">
        <v>4</v>
      </c>
      <c r="Z1520" s="1" t="s">
        <v>249</v>
      </c>
      <c r="AA1520" s="1" t="s">
        <v>266</v>
      </c>
      <c r="AB1520" s="1">
        <v>60172</v>
      </c>
      <c r="AD1520" s="1" t="s">
        <v>3950</v>
      </c>
      <c r="AE1520" s="1" t="s">
        <v>14788</v>
      </c>
      <c r="AF1520" s="1" t="s">
        <v>402</v>
      </c>
      <c r="AG1520" s="1" t="s">
        <v>204</v>
      </c>
      <c r="AH1520" s="1" t="s">
        <v>3952</v>
      </c>
      <c r="AI1520" s="1" t="s">
        <v>310</v>
      </c>
      <c r="AJ1520" s="1" t="s">
        <v>1717</v>
      </c>
      <c r="AK1520" s="1" t="s">
        <v>14789</v>
      </c>
      <c r="AL1520" s="1">
        <v>5</v>
      </c>
      <c r="AM1520" s="1">
        <v>2</v>
      </c>
      <c r="AN1520" s="1">
        <v>2</v>
      </c>
      <c r="AO1520" s="1">
        <v>0</v>
      </c>
      <c r="AP1520" s="1" t="s">
        <v>209</v>
      </c>
      <c r="AR1520" s="1" t="s">
        <v>210</v>
      </c>
      <c r="AS1520" s="1" t="s">
        <v>204</v>
      </c>
      <c r="AT1520" s="1" t="s">
        <v>375</v>
      </c>
      <c r="AU1520" s="1">
        <v>1</v>
      </c>
      <c r="AV1520" s="1">
        <v>1</v>
      </c>
      <c r="AW1520" s="1" t="s">
        <v>204</v>
      </c>
      <c r="AX1520" s="1" t="s">
        <v>212</v>
      </c>
      <c r="AZ1520" s="1">
        <v>3007.83</v>
      </c>
      <c r="BA1520" s="1">
        <v>2013</v>
      </c>
      <c r="BE1520" s="1">
        <v>0</v>
      </c>
      <c r="BF1520" s="1">
        <v>2</v>
      </c>
      <c r="BG1520" s="1">
        <v>0</v>
      </c>
      <c r="BL1520" s="1">
        <v>206</v>
      </c>
      <c r="BM1520" s="1" t="s">
        <v>204</v>
      </c>
      <c r="BN1520" s="1" t="s">
        <v>213</v>
      </c>
      <c r="BO1520" s="1">
        <v>0</v>
      </c>
      <c r="BP1520" s="1" t="s">
        <v>204</v>
      </c>
      <c r="BR1520" s="1" t="str">
        <f>"07354020091032"</f>
        <v>07354020091032</v>
      </c>
      <c r="BT1520" s="1" t="s">
        <v>14790</v>
      </c>
      <c r="BW1520" s="1" t="s">
        <v>3956</v>
      </c>
      <c r="BX1520" s="1">
        <v>54</v>
      </c>
      <c r="BY1520" s="1">
        <v>54</v>
      </c>
      <c r="BZ1520" s="1">
        <v>211</v>
      </c>
      <c r="CB1520" s="1" t="str">
        <f t="shared" ref="CB1520:CC1520" si="1161">""</f>
        <v/>
      </c>
      <c r="CC1520" s="1" t="str">
        <f t="shared" si="1161"/>
        <v/>
      </c>
      <c r="CG1520" s="1" t="s">
        <v>538</v>
      </c>
      <c r="CH1520" s="1" t="s">
        <v>277</v>
      </c>
      <c r="CI1520" s="1" t="s">
        <v>220</v>
      </c>
      <c r="CJ1520" s="1" t="s">
        <v>252</v>
      </c>
      <c r="CK1520" s="1" t="s">
        <v>885</v>
      </c>
      <c r="CL1520" s="1" t="s">
        <v>277</v>
      </c>
      <c r="CM1520" s="1" t="s">
        <v>220</v>
      </c>
      <c r="CN1520" s="1" t="s">
        <v>252</v>
      </c>
      <c r="CO1520" s="1" t="s">
        <v>346</v>
      </c>
      <c r="CP1520" s="1" t="s">
        <v>277</v>
      </c>
      <c r="CQ1520" s="1" t="s">
        <v>220</v>
      </c>
      <c r="CR1520" s="1" t="s">
        <v>252</v>
      </c>
      <c r="CS1520" s="1" t="s">
        <v>379</v>
      </c>
      <c r="CT1520" s="1" t="s">
        <v>277</v>
      </c>
      <c r="CU1520" s="1" t="s">
        <v>220</v>
      </c>
      <c r="CV1520" s="1" t="s">
        <v>252</v>
      </c>
      <c r="CX1520" s="1" t="s">
        <v>224</v>
      </c>
      <c r="DB1520" s="1" t="s">
        <v>224</v>
      </c>
      <c r="DE1520" s="1" t="s">
        <v>318</v>
      </c>
      <c r="DF1520" s="1" t="s">
        <v>277</v>
      </c>
      <c r="DG1520" s="1" t="s">
        <v>226</v>
      </c>
      <c r="DJ1520" s="1" t="s">
        <v>224</v>
      </c>
      <c r="DM1520" s="1" t="s">
        <v>838</v>
      </c>
      <c r="DR1520" s="1" t="s">
        <v>2670</v>
      </c>
      <c r="DS1520" s="1" t="s">
        <v>277</v>
      </c>
      <c r="DT1520" s="1" t="s">
        <v>347</v>
      </c>
      <c r="DW1520" s="1" t="s">
        <v>230</v>
      </c>
      <c r="EA1520" s="1" t="s">
        <v>230</v>
      </c>
      <c r="EE1520" s="1" t="s">
        <v>230</v>
      </c>
      <c r="EI1520" s="1" t="s">
        <v>230</v>
      </c>
      <c r="EL1520" s="1" t="s">
        <v>231</v>
      </c>
      <c r="EM1520" s="1" t="s">
        <v>232</v>
      </c>
      <c r="EN1520" s="1" t="s">
        <v>282</v>
      </c>
      <c r="EO1520" s="1" t="s">
        <v>234</v>
      </c>
      <c r="EP1520" s="1" t="s">
        <v>3012</v>
      </c>
      <c r="EQ1520" s="1" t="s">
        <v>1094</v>
      </c>
      <c r="ER1520" s="1" t="s">
        <v>210</v>
      </c>
      <c r="ES1520" s="1" t="s">
        <v>3218</v>
      </c>
      <c r="EU1520" s="1" t="s">
        <v>4906</v>
      </c>
      <c r="EV1520" s="1" t="s">
        <v>352</v>
      </c>
      <c r="EW1520" s="1" t="s">
        <v>384</v>
      </c>
      <c r="EY1520" s="1" t="s">
        <v>790</v>
      </c>
      <c r="EZ1520" s="1" t="s">
        <v>838</v>
      </c>
      <c r="FB1520" s="1" t="s">
        <v>289</v>
      </c>
      <c r="FC1520" s="1" t="s">
        <v>1405</v>
      </c>
      <c r="FD1520" s="1" t="s">
        <v>246</v>
      </c>
      <c r="FE1520" s="1" t="s">
        <v>975</v>
      </c>
      <c r="FF1520" s="1" t="s">
        <v>248</v>
      </c>
      <c r="FH1520" s="1" t="s">
        <v>249</v>
      </c>
      <c r="FI1520" s="1" t="s">
        <v>473</v>
      </c>
      <c r="FK1520" s="1" t="s">
        <v>4178</v>
      </c>
      <c r="FL1520" s="1" t="s">
        <v>358</v>
      </c>
      <c r="FM1520" s="1" t="s">
        <v>252</v>
      </c>
      <c r="FN1520" s="1" t="s">
        <v>213</v>
      </c>
      <c r="FO1520" s="1" t="s">
        <v>213</v>
      </c>
      <c r="FQ1520" s="1" t="s">
        <v>9805</v>
      </c>
      <c r="FR1520" s="1" t="s">
        <v>210</v>
      </c>
      <c r="FS1520" s="1" t="s">
        <v>14791</v>
      </c>
      <c r="FT1520" s="1" t="s">
        <v>1408</v>
      </c>
      <c r="FU1520" s="1" t="s">
        <v>204</v>
      </c>
      <c r="FW1520" s="1" t="s">
        <v>10180</v>
      </c>
      <c r="FX1520" s="1">
        <v>24185</v>
      </c>
      <c r="FY1520" s="1" t="s">
        <v>10181</v>
      </c>
      <c r="FZ1520" s="1" t="s">
        <v>14792</v>
      </c>
      <c r="GA1520" s="1">
        <v>214675</v>
      </c>
      <c r="GB1520" s="1" t="s">
        <v>14793</v>
      </c>
      <c r="GE1520" s="1" t="s">
        <v>480</v>
      </c>
      <c r="GI1520" s="1" t="s">
        <v>213</v>
      </c>
      <c r="GJ1520" s="1" t="s">
        <v>260</v>
      </c>
      <c r="GK1520" s="1" t="s">
        <v>210</v>
      </c>
      <c r="GL1520" s="2">
        <v>42131</v>
      </c>
    </row>
    <row r="1521" spans="1:195">
      <c r="A1521" s="1">
        <v>125000</v>
      </c>
      <c r="B1521" s="1" t="s">
        <v>195</v>
      </c>
      <c r="C1521" s="1" t="str">
        <f>"08893492"</f>
        <v>08893492</v>
      </c>
      <c r="D1521" s="1" t="s">
        <v>196</v>
      </c>
      <c r="F1521" s="1" t="str">
        <f t="shared" ref="F1521:F1523" si="1162">"107"</f>
        <v>107</v>
      </c>
      <c r="G1521" s="2">
        <v>42110</v>
      </c>
      <c r="H1521" s="1">
        <v>129900</v>
      </c>
      <c r="I1521" s="1">
        <v>129900</v>
      </c>
      <c r="J1521" s="1">
        <v>125000</v>
      </c>
      <c r="K1521" s="2">
        <v>42110</v>
      </c>
      <c r="L1521" s="1">
        <v>8</v>
      </c>
      <c r="M1521" s="2">
        <v>42117</v>
      </c>
      <c r="N1521" s="1">
        <v>8</v>
      </c>
      <c r="O1521" s="2">
        <v>42117</v>
      </c>
      <c r="P1521" s="1">
        <v>8666</v>
      </c>
      <c r="Q1521" s="1" t="s">
        <v>302</v>
      </c>
      <c r="R1521" s="2">
        <v>42136</v>
      </c>
      <c r="S1521" s="1">
        <v>88401</v>
      </c>
      <c r="T1521" s="1">
        <v>250</v>
      </c>
      <c r="U1521" s="1">
        <v>20</v>
      </c>
      <c r="V1521" s="1" t="s">
        <v>14794</v>
      </c>
      <c r="W1521" s="1" t="s">
        <v>304</v>
      </c>
      <c r="X1521" s="1" t="s">
        <v>527</v>
      </c>
      <c r="Y1521" s="1">
        <v>6</v>
      </c>
      <c r="Z1521" s="1" t="s">
        <v>249</v>
      </c>
      <c r="AA1521" s="1" t="s">
        <v>1211</v>
      </c>
      <c r="AB1521" s="1">
        <v>60107</v>
      </c>
      <c r="AD1521" s="1" t="s">
        <v>3552</v>
      </c>
      <c r="AE1521" s="1" t="s">
        <v>14795</v>
      </c>
      <c r="AF1521" s="1">
        <v>1990</v>
      </c>
      <c r="AG1521" s="1" t="s">
        <v>204</v>
      </c>
      <c r="AH1521" s="1" t="s">
        <v>1214</v>
      </c>
      <c r="AI1521" s="1" t="s">
        <v>310</v>
      </c>
      <c r="AJ1521" s="1" t="s">
        <v>374</v>
      </c>
      <c r="AK1521" s="1" t="s">
        <v>14796</v>
      </c>
      <c r="AL1521" s="1">
        <v>5</v>
      </c>
      <c r="AM1521" s="1">
        <v>2</v>
      </c>
      <c r="AN1521" s="1">
        <v>1</v>
      </c>
      <c r="AO1521" s="1">
        <v>0</v>
      </c>
      <c r="AP1521" s="1" t="s">
        <v>667</v>
      </c>
      <c r="AR1521" s="1" t="s">
        <v>210</v>
      </c>
      <c r="AT1521" s="1" t="s">
        <v>211</v>
      </c>
      <c r="AU1521" s="1">
        <v>1</v>
      </c>
      <c r="AW1521" s="1" t="s">
        <v>204</v>
      </c>
      <c r="AX1521" s="1" t="s">
        <v>212</v>
      </c>
      <c r="AZ1521" s="1">
        <v>1734</v>
      </c>
      <c r="BA1521" s="1">
        <v>2013</v>
      </c>
      <c r="BB1521" s="1" t="s">
        <v>405</v>
      </c>
      <c r="BE1521" s="1">
        <v>1200</v>
      </c>
      <c r="BF1521" s="1">
        <v>1</v>
      </c>
      <c r="BG1521" s="1">
        <v>1</v>
      </c>
      <c r="BL1521" s="1">
        <v>214</v>
      </c>
      <c r="BM1521" s="1" t="s">
        <v>204</v>
      </c>
      <c r="BN1521" s="1" t="s">
        <v>213</v>
      </c>
      <c r="BO1521" s="1">
        <v>80</v>
      </c>
      <c r="BP1521" s="1" t="s">
        <v>204</v>
      </c>
      <c r="BR1521" s="1" t="str">
        <f>"06223030361095"</f>
        <v>06223030361095</v>
      </c>
      <c r="BT1521" s="1" t="s">
        <v>14797</v>
      </c>
      <c r="BW1521" s="1" t="s">
        <v>1217</v>
      </c>
      <c r="BX1521" s="1">
        <v>46</v>
      </c>
      <c r="BY1521" s="1">
        <v>46</v>
      </c>
      <c r="BZ1521" s="1">
        <v>46</v>
      </c>
      <c r="CB1521" s="1" t="str">
        <f t="shared" ref="CB1521:CB1522" si="1163">"10"</f>
        <v>10</v>
      </c>
      <c r="CC1521" s="1" t="str">
        <f>""</f>
        <v/>
      </c>
      <c r="CD1521" s="1">
        <v>29</v>
      </c>
      <c r="CG1521" s="1" t="s">
        <v>461</v>
      </c>
      <c r="CH1521" s="1" t="s">
        <v>219</v>
      </c>
      <c r="CI1521" s="1" t="s">
        <v>220</v>
      </c>
      <c r="CJ1521" s="1" t="s">
        <v>210</v>
      </c>
      <c r="CK1521" s="1" t="s">
        <v>932</v>
      </c>
      <c r="CL1521" s="1" t="s">
        <v>219</v>
      </c>
      <c r="CM1521" s="1" t="s">
        <v>220</v>
      </c>
      <c r="CN1521" s="1" t="s">
        <v>210</v>
      </c>
      <c r="CO1521" s="1" t="s">
        <v>2231</v>
      </c>
      <c r="CP1521" s="1" t="s">
        <v>219</v>
      </c>
      <c r="CQ1521" s="1" t="s">
        <v>220</v>
      </c>
      <c r="CR1521" s="1" t="s">
        <v>210</v>
      </c>
      <c r="CS1521" s="1" t="s">
        <v>378</v>
      </c>
      <c r="CT1521" s="1" t="s">
        <v>219</v>
      </c>
      <c r="CU1521" s="1" t="s">
        <v>220</v>
      </c>
      <c r="CV1521" s="1" t="s">
        <v>210</v>
      </c>
      <c r="CX1521" s="1" t="s">
        <v>224</v>
      </c>
      <c r="DB1521" s="1" t="s">
        <v>224</v>
      </c>
      <c r="DE1521" s="1" t="s">
        <v>669</v>
      </c>
      <c r="DF1521" s="1" t="s">
        <v>219</v>
      </c>
      <c r="DG1521" s="1" t="s">
        <v>229</v>
      </c>
      <c r="DH1521" s="1" t="s">
        <v>210</v>
      </c>
      <c r="DJ1521" s="1" t="s">
        <v>224</v>
      </c>
      <c r="DS1521" s="1" t="s">
        <v>230</v>
      </c>
      <c r="DW1521" s="1" t="s">
        <v>230</v>
      </c>
      <c r="EA1521" s="1" t="s">
        <v>230</v>
      </c>
      <c r="EE1521" s="1" t="s">
        <v>230</v>
      </c>
      <c r="EI1521" s="1" t="s">
        <v>230</v>
      </c>
      <c r="EL1521" s="1" t="s">
        <v>382</v>
      </c>
      <c r="EM1521" s="1" t="s">
        <v>232</v>
      </c>
      <c r="EN1521" s="1" t="s">
        <v>282</v>
      </c>
      <c r="EO1521" s="1" t="s">
        <v>840</v>
      </c>
      <c r="EP1521" s="1" t="s">
        <v>650</v>
      </c>
      <c r="EQ1521" s="1" t="s">
        <v>4462</v>
      </c>
      <c r="ER1521" s="1" t="s">
        <v>383</v>
      </c>
      <c r="ES1521" s="1" t="s">
        <v>824</v>
      </c>
      <c r="EU1521" s="1" t="s">
        <v>14798</v>
      </c>
      <c r="EV1521" s="1" t="s">
        <v>324</v>
      </c>
      <c r="EW1521" s="1" t="s">
        <v>384</v>
      </c>
      <c r="EY1521" s="1" t="s">
        <v>242</v>
      </c>
      <c r="EZ1521" s="1" t="s">
        <v>287</v>
      </c>
      <c r="FB1521" s="1" t="s">
        <v>289</v>
      </c>
      <c r="FC1521" s="1" t="s">
        <v>326</v>
      </c>
      <c r="FD1521" s="1" t="s">
        <v>246</v>
      </c>
      <c r="FE1521" s="1" t="s">
        <v>355</v>
      </c>
      <c r="FF1521" s="1" t="s">
        <v>248</v>
      </c>
      <c r="FH1521" s="1" t="s">
        <v>6378</v>
      </c>
      <c r="FI1521" s="1" t="s">
        <v>473</v>
      </c>
      <c r="FL1521" s="1" t="s">
        <v>358</v>
      </c>
      <c r="FM1521" s="1" t="s">
        <v>252</v>
      </c>
      <c r="FN1521" s="1" t="s">
        <v>213</v>
      </c>
      <c r="FO1521" s="1" t="s">
        <v>213</v>
      </c>
      <c r="FQ1521" s="1" t="s">
        <v>3545</v>
      </c>
      <c r="FR1521" s="1" t="s">
        <v>210</v>
      </c>
      <c r="FS1521" s="1" t="s">
        <v>14799</v>
      </c>
      <c r="FT1521" s="1" t="s">
        <v>295</v>
      </c>
      <c r="FU1521" s="1" t="s">
        <v>213</v>
      </c>
      <c r="FW1521" s="1" t="s">
        <v>14800</v>
      </c>
      <c r="FX1521" s="1">
        <v>1714</v>
      </c>
      <c r="FY1521" s="1" t="s">
        <v>14801</v>
      </c>
      <c r="FZ1521" s="1" t="s">
        <v>14802</v>
      </c>
      <c r="GA1521" s="1">
        <v>85427</v>
      </c>
      <c r="GB1521" s="1" t="s">
        <v>14803</v>
      </c>
      <c r="GE1521" s="1" t="s">
        <v>1256</v>
      </c>
      <c r="GI1521" s="1" t="s">
        <v>213</v>
      </c>
      <c r="GJ1521" s="1" t="s">
        <v>260</v>
      </c>
      <c r="GK1521" s="1" t="s">
        <v>210</v>
      </c>
      <c r="GL1521" s="2">
        <v>42137</v>
      </c>
      <c r="GM1521" s="1" t="s">
        <v>14804</v>
      </c>
    </row>
    <row r="1522" spans="1:195">
      <c r="A1522" s="1">
        <v>123500</v>
      </c>
      <c r="B1522" s="1" t="s">
        <v>195</v>
      </c>
      <c r="C1522" s="1" t="str">
        <f>"08891275"</f>
        <v>08891275</v>
      </c>
      <c r="D1522" s="1" t="s">
        <v>196</v>
      </c>
      <c r="F1522" s="1" t="str">
        <f t="shared" si="1162"/>
        <v>107</v>
      </c>
      <c r="G1522" s="2">
        <v>42108</v>
      </c>
      <c r="H1522" s="1">
        <v>129900</v>
      </c>
      <c r="I1522" s="1">
        <v>129900</v>
      </c>
      <c r="J1522" s="1">
        <v>123500</v>
      </c>
      <c r="K1522" s="2">
        <v>42108</v>
      </c>
      <c r="L1522" s="1">
        <v>9</v>
      </c>
      <c r="M1522" s="2">
        <v>42116</v>
      </c>
      <c r="N1522" s="1">
        <v>9</v>
      </c>
      <c r="O1522" s="2">
        <v>42116</v>
      </c>
      <c r="P1522" s="1">
        <v>1109</v>
      </c>
      <c r="Q1522" s="1" t="s">
        <v>197</v>
      </c>
      <c r="R1522" s="2">
        <v>42145</v>
      </c>
      <c r="S1522" s="1">
        <v>81441</v>
      </c>
      <c r="U1522" s="1">
        <v>69</v>
      </c>
      <c r="V1522" s="1" t="s">
        <v>14794</v>
      </c>
      <c r="W1522" s="1" t="s">
        <v>304</v>
      </c>
      <c r="X1522" s="1" t="s">
        <v>1688</v>
      </c>
      <c r="Y1522" s="1">
        <v>8</v>
      </c>
      <c r="Z1522" s="1" t="s">
        <v>249</v>
      </c>
      <c r="AA1522" s="1" t="s">
        <v>1211</v>
      </c>
      <c r="AB1522" s="1">
        <v>60107</v>
      </c>
      <c r="AD1522" s="1" t="s">
        <v>3552</v>
      </c>
      <c r="AE1522" s="1" t="s">
        <v>14805</v>
      </c>
      <c r="AF1522" s="1">
        <v>1990</v>
      </c>
      <c r="AG1522" s="1" t="s">
        <v>204</v>
      </c>
      <c r="AH1522" s="1" t="s">
        <v>1214</v>
      </c>
      <c r="AI1522" s="1" t="s">
        <v>310</v>
      </c>
      <c r="AJ1522" s="1" t="s">
        <v>374</v>
      </c>
      <c r="AL1522" s="1">
        <v>5</v>
      </c>
      <c r="AM1522" s="1">
        <v>2</v>
      </c>
      <c r="AN1522" s="1">
        <v>2</v>
      </c>
      <c r="AO1522" s="1">
        <v>0</v>
      </c>
      <c r="AP1522" s="1" t="s">
        <v>209</v>
      </c>
      <c r="AR1522" s="1" t="s">
        <v>210</v>
      </c>
      <c r="AS1522" s="1" t="s">
        <v>204</v>
      </c>
      <c r="AT1522" s="1" t="s">
        <v>211</v>
      </c>
      <c r="AU1522" s="1">
        <v>1</v>
      </c>
      <c r="AW1522" s="1" t="s">
        <v>213</v>
      </c>
      <c r="AX1522" s="1" t="s">
        <v>579</v>
      </c>
      <c r="AZ1522" s="1">
        <v>2853</v>
      </c>
      <c r="BA1522" s="1">
        <v>2013</v>
      </c>
      <c r="BB1522" s="1" t="s">
        <v>210</v>
      </c>
      <c r="BE1522" s="1">
        <v>1312</v>
      </c>
      <c r="BF1522" s="1">
        <v>2</v>
      </c>
      <c r="BG1522" s="1">
        <v>0</v>
      </c>
      <c r="BL1522" s="1">
        <v>238</v>
      </c>
      <c r="BM1522" s="1" t="s">
        <v>204</v>
      </c>
      <c r="BN1522" s="1" t="s">
        <v>213</v>
      </c>
      <c r="BO1522" s="1">
        <v>99</v>
      </c>
      <c r="BP1522" s="1" t="s">
        <v>204</v>
      </c>
      <c r="BR1522" s="1" t="str">
        <f>"06223030361060"</f>
        <v>06223030361060</v>
      </c>
      <c r="BT1522" s="1" t="s">
        <v>14806</v>
      </c>
      <c r="BU1522" s="1" t="s">
        <v>3556</v>
      </c>
      <c r="BV1522" s="1" t="s">
        <v>3557</v>
      </c>
      <c r="BW1522" s="1" t="s">
        <v>1217</v>
      </c>
      <c r="BX1522" s="1">
        <v>46</v>
      </c>
      <c r="BY1522" s="1">
        <v>46</v>
      </c>
      <c r="BZ1522" s="1">
        <v>46</v>
      </c>
      <c r="CB1522" s="1" t="str">
        <f t="shared" si="1163"/>
        <v>10</v>
      </c>
      <c r="CC1522" s="1" t="str">
        <f>"0"</f>
        <v>0</v>
      </c>
      <c r="CD1522" s="1">
        <v>29</v>
      </c>
      <c r="CE1522" s="1">
        <v>0</v>
      </c>
      <c r="CG1522" s="1" t="s">
        <v>5897</v>
      </c>
      <c r="CH1522" s="1" t="s">
        <v>277</v>
      </c>
      <c r="CI1522" s="1" t="s">
        <v>220</v>
      </c>
      <c r="CJ1522" s="1" t="s">
        <v>343</v>
      </c>
      <c r="CK1522" s="1" t="s">
        <v>1533</v>
      </c>
      <c r="CL1522" s="1" t="s">
        <v>277</v>
      </c>
      <c r="CM1522" s="1" t="s">
        <v>220</v>
      </c>
      <c r="CN1522" s="1" t="s">
        <v>343</v>
      </c>
      <c r="CO1522" s="1" t="s">
        <v>409</v>
      </c>
      <c r="CP1522" s="1" t="s">
        <v>277</v>
      </c>
      <c r="CQ1522" s="1" t="s">
        <v>220</v>
      </c>
      <c r="CS1522" s="1" t="s">
        <v>821</v>
      </c>
      <c r="CT1522" s="1" t="s">
        <v>277</v>
      </c>
      <c r="CU1522" s="1" t="s">
        <v>220</v>
      </c>
      <c r="CV1522" s="1" t="s">
        <v>343</v>
      </c>
      <c r="CX1522" s="1" t="s">
        <v>224</v>
      </c>
      <c r="DB1522" s="1" t="s">
        <v>224</v>
      </c>
      <c r="DE1522" s="1" t="s">
        <v>669</v>
      </c>
      <c r="DF1522" s="1" t="s">
        <v>277</v>
      </c>
      <c r="DG1522" s="1" t="s">
        <v>229</v>
      </c>
      <c r="DH1522" s="1" t="s">
        <v>343</v>
      </c>
      <c r="DJ1522" s="1" t="s">
        <v>224</v>
      </c>
      <c r="DS1522" s="1" t="s">
        <v>230</v>
      </c>
      <c r="DW1522" s="1" t="s">
        <v>230</v>
      </c>
      <c r="EA1522" s="1" t="s">
        <v>230</v>
      </c>
      <c r="EE1522" s="1" t="s">
        <v>230</v>
      </c>
      <c r="EI1522" s="1" t="s">
        <v>230</v>
      </c>
      <c r="EL1522" s="1" t="s">
        <v>382</v>
      </c>
      <c r="EM1522" s="1" t="s">
        <v>232</v>
      </c>
      <c r="EN1522" s="1" t="s">
        <v>282</v>
      </c>
      <c r="EO1522" s="1" t="s">
        <v>234</v>
      </c>
      <c r="EQ1522" s="1" t="s">
        <v>492</v>
      </c>
      <c r="ER1522" s="1" t="s">
        <v>210</v>
      </c>
      <c r="ES1522" s="1" t="s">
        <v>824</v>
      </c>
      <c r="ET1522" s="1" t="s">
        <v>842</v>
      </c>
      <c r="EU1522" s="1" t="s">
        <v>14807</v>
      </c>
      <c r="EV1522" s="1" t="s">
        <v>240</v>
      </c>
      <c r="EW1522" s="1" t="s">
        <v>937</v>
      </c>
      <c r="EY1522" s="1" t="s">
        <v>242</v>
      </c>
      <c r="EZ1522" s="1" t="s">
        <v>287</v>
      </c>
      <c r="FA1522" s="1" t="s">
        <v>1072</v>
      </c>
      <c r="FB1522" s="1" t="s">
        <v>289</v>
      </c>
      <c r="FD1522" s="1" t="s">
        <v>246</v>
      </c>
      <c r="FE1522" s="1" t="s">
        <v>472</v>
      </c>
      <c r="FF1522" s="1" t="s">
        <v>1113</v>
      </c>
      <c r="FH1522" s="1" t="s">
        <v>825</v>
      </c>
      <c r="FI1522" s="1" t="s">
        <v>473</v>
      </c>
      <c r="FL1522" s="1" t="s">
        <v>358</v>
      </c>
      <c r="FM1522" s="1" t="s">
        <v>252</v>
      </c>
      <c r="FN1522" s="1" t="s">
        <v>213</v>
      </c>
      <c r="FO1522" s="1" t="s">
        <v>213</v>
      </c>
      <c r="FQ1522" s="1" t="s">
        <v>329</v>
      </c>
      <c r="FR1522" s="1" t="s">
        <v>210</v>
      </c>
      <c r="FS1522" s="1" t="s">
        <v>14808</v>
      </c>
      <c r="FT1522" s="1" t="s">
        <v>362</v>
      </c>
      <c r="FU1522" s="1" t="s">
        <v>204</v>
      </c>
      <c r="FW1522" s="1" t="s">
        <v>256</v>
      </c>
      <c r="FX1522" s="1">
        <v>8098</v>
      </c>
      <c r="FY1522" s="1" t="s">
        <v>14809</v>
      </c>
      <c r="FZ1522" s="1" t="s">
        <v>14810</v>
      </c>
      <c r="GA1522" s="1">
        <v>81017</v>
      </c>
      <c r="GB1522" s="1" t="s">
        <v>14811</v>
      </c>
      <c r="GE1522" s="1" t="s">
        <v>210</v>
      </c>
      <c r="GI1522" s="1" t="s">
        <v>213</v>
      </c>
      <c r="GJ1522" s="1" t="s">
        <v>260</v>
      </c>
      <c r="GK1522" s="1" t="s">
        <v>210</v>
      </c>
      <c r="GL1522" s="2">
        <v>42145</v>
      </c>
    </row>
    <row r="1523" spans="1:195">
      <c r="A1523" s="1">
        <v>139900</v>
      </c>
      <c r="B1523" s="1" t="s">
        <v>195</v>
      </c>
      <c r="C1523" s="1" t="str">
        <f>"08887516"</f>
        <v>08887516</v>
      </c>
      <c r="D1523" s="1" t="s">
        <v>196</v>
      </c>
      <c r="F1523" s="1" t="str">
        <f t="shared" si="1162"/>
        <v>107</v>
      </c>
      <c r="G1523" s="2">
        <v>42104</v>
      </c>
      <c r="H1523" s="1">
        <v>139900</v>
      </c>
      <c r="I1523" s="1">
        <v>139900</v>
      </c>
      <c r="J1523" s="1">
        <v>139900</v>
      </c>
      <c r="K1523" s="2">
        <v>42104</v>
      </c>
      <c r="L1523" s="1">
        <v>22</v>
      </c>
      <c r="M1523" s="2">
        <v>42125</v>
      </c>
      <c r="N1523" s="1">
        <v>22</v>
      </c>
      <c r="O1523" s="2">
        <v>42125</v>
      </c>
      <c r="P1523" s="1">
        <v>8094</v>
      </c>
      <c r="Q1523" s="1" t="s">
        <v>197</v>
      </c>
      <c r="R1523" s="2">
        <v>42150</v>
      </c>
      <c r="S1523" s="1">
        <v>243309</v>
      </c>
      <c r="T1523" s="1">
        <v>4700</v>
      </c>
      <c r="U1523" s="1">
        <v>30</v>
      </c>
      <c r="V1523" s="1" t="s">
        <v>4078</v>
      </c>
      <c r="W1523" s="1" t="s">
        <v>264</v>
      </c>
      <c r="Y1523" s="1">
        <v>4</v>
      </c>
      <c r="Z1523" s="1" t="s">
        <v>370</v>
      </c>
      <c r="AA1523" s="1" t="s">
        <v>1211</v>
      </c>
      <c r="AB1523" s="1">
        <v>60107</v>
      </c>
      <c r="AE1523" s="1" t="s">
        <v>14812</v>
      </c>
      <c r="AF1523" s="1">
        <v>1991</v>
      </c>
      <c r="AG1523" s="1" t="s">
        <v>204</v>
      </c>
      <c r="AH1523" s="1" t="s">
        <v>1214</v>
      </c>
      <c r="AI1523" s="1" t="s">
        <v>310</v>
      </c>
      <c r="AJ1523" s="1" t="s">
        <v>374</v>
      </c>
      <c r="AL1523" s="1">
        <v>5</v>
      </c>
      <c r="AM1523" s="1">
        <v>2</v>
      </c>
      <c r="AN1523" s="1">
        <v>1</v>
      </c>
      <c r="AO1523" s="1">
        <v>1</v>
      </c>
      <c r="AP1523" s="1" t="s">
        <v>667</v>
      </c>
      <c r="AR1523" s="1" t="s">
        <v>210</v>
      </c>
      <c r="AS1523" s="1" t="s">
        <v>204</v>
      </c>
      <c r="AT1523" s="1" t="s">
        <v>211</v>
      </c>
      <c r="AU1523" s="1">
        <v>1</v>
      </c>
      <c r="AW1523" s="1" t="s">
        <v>213</v>
      </c>
      <c r="AX1523" s="1" t="s">
        <v>14813</v>
      </c>
      <c r="AZ1523" s="1">
        <v>4092.2</v>
      </c>
      <c r="BA1523" s="1">
        <v>2013</v>
      </c>
      <c r="BB1523" s="1" t="s">
        <v>210</v>
      </c>
      <c r="BE1523" s="1">
        <v>1175</v>
      </c>
      <c r="BF1523" s="1">
        <v>1</v>
      </c>
      <c r="BG1523" s="1">
        <v>0</v>
      </c>
      <c r="BL1523" s="1">
        <v>160</v>
      </c>
      <c r="BM1523" s="1" t="s">
        <v>204</v>
      </c>
      <c r="BN1523" s="1" t="s">
        <v>213</v>
      </c>
      <c r="BO1523" s="1">
        <v>40</v>
      </c>
      <c r="BP1523" s="1" t="s">
        <v>204</v>
      </c>
      <c r="BR1523" s="1" t="str">
        <f>"06251220260000"</f>
        <v>06251220260000</v>
      </c>
      <c r="BT1523" s="1" t="s">
        <v>14814</v>
      </c>
      <c r="BX1523" s="1">
        <v>46</v>
      </c>
      <c r="BY1523" s="1">
        <v>46</v>
      </c>
      <c r="BZ1523" s="1">
        <v>46</v>
      </c>
      <c r="CB1523" s="1" t="str">
        <f t="shared" ref="CB1523:CC1523" si="1164">""</f>
        <v/>
      </c>
      <c r="CC1523" s="1" t="str">
        <f t="shared" si="1164"/>
        <v/>
      </c>
      <c r="CG1523" s="1" t="s">
        <v>581</v>
      </c>
      <c r="CH1523" s="1" t="s">
        <v>219</v>
      </c>
      <c r="CI1523" s="1" t="s">
        <v>220</v>
      </c>
      <c r="CJ1523" s="1" t="s">
        <v>252</v>
      </c>
      <c r="CK1523" s="1" t="s">
        <v>1045</v>
      </c>
      <c r="CL1523" s="1" t="s">
        <v>277</v>
      </c>
      <c r="CM1523" s="1" t="s">
        <v>220</v>
      </c>
      <c r="CN1523" s="1" t="s">
        <v>252</v>
      </c>
      <c r="CO1523" s="1" t="s">
        <v>318</v>
      </c>
      <c r="CP1523" s="1" t="s">
        <v>219</v>
      </c>
      <c r="CQ1523" s="1" t="s">
        <v>220</v>
      </c>
      <c r="CR1523" s="1" t="s">
        <v>252</v>
      </c>
      <c r="CS1523" s="1" t="s">
        <v>318</v>
      </c>
      <c r="CT1523" s="1" t="s">
        <v>277</v>
      </c>
      <c r="CU1523" s="1" t="s">
        <v>220</v>
      </c>
      <c r="CV1523" s="1" t="s">
        <v>252</v>
      </c>
      <c r="CX1523" s="1" t="s">
        <v>224</v>
      </c>
      <c r="DB1523" s="1" t="s">
        <v>224</v>
      </c>
      <c r="DE1523" s="1" t="s">
        <v>318</v>
      </c>
      <c r="DF1523" s="1" t="s">
        <v>219</v>
      </c>
      <c r="DG1523" s="1" t="s">
        <v>226</v>
      </c>
      <c r="DJ1523" s="1" t="s">
        <v>224</v>
      </c>
      <c r="DS1523" s="1" t="s">
        <v>230</v>
      </c>
      <c r="DW1523" s="1" t="s">
        <v>230</v>
      </c>
      <c r="EA1523" s="1" t="s">
        <v>230</v>
      </c>
      <c r="EE1523" s="1" t="s">
        <v>230</v>
      </c>
      <c r="EI1523" s="1" t="s">
        <v>230</v>
      </c>
      <c r="EL1523" s="1" t="s">
        <v>382</v>
      </c>
      <c r="EM1523" s="1" t="s">
        <v>319</v>
      </c>
      <c r="EN1523" s="1" t="s">
        <v>282</v>
      </c>
      <c r="EO1523" s="1" t="s">
        <v>234</v>
      </c>
      <c r="EQ1523" s="1" t="s">
        <v>1094</v>
      </c>
      <c r="ER1523" s="1" t="s">
        <v>210</v>
      </c>
      <c r="EU1523" s="1" t="s">
        <v>1314</v>
      </c>
      <c r="EW1523" s="1" t="s">
        <v>353</v>
      </c>
      <c r="EZ1523" s="1" t="s">
        <v>287</v>
      </c>
      <c r="FB1523" s="1" t="s">
        <v>289</v>
      </c>
      <c r="FD1523" s="1" t="s">
        <v>246</v>
      </c>
      <c r="FE1523" s="1" t="s">
        <v>355</v>
      </c>
      <c r="FF1523" s="1" t="s">
        <v>248</v>
      </c>
      <c r="FH1523" s="1" t="s">
        <v>550</v>
      </c>
      <c r="FL1523" s="1" t="s">
        <v>358</v>
      </c>
      <c r="FM1523" s="1" t="s">
        <v>252</v>
      </c>
      <c r="FN1523" s="1" t="s">
        <v>213</v>
      </c>
      <c r="FO1523" s="1" t="s">
        <v>213</v>
      </c>
      <c r="FQ1523" s="1" t="s">
        <v>6017</v>
      </c>
      <c r="FR1523" s="1" t="s">
        <v>210</v>
      </c>
      <c r="FS1523" s="1" t="s">
        <v>14815</v>
      </c>
      <c r="FT1523" s="1" t="s">
        <v>295</v>
      </c>
      <c r="FU1523" s="1" t="s">
        <v>213</v>
      </c>
      <c r="FW1523" s="1" t="s">
        <v>585</v>
      </c>
      <c r="FX1523" s="1">
        <v>8012</v>
      </c>
      <c r="FY1523" s="1" t="s">
        <v>7225</v>
      </c>
      <c r="FZ1523" s="1" t="s">
        <v>14816</v>
      </c>
      <c r="GA1523" s="1">
        <v>81534</v>
      </c>
      <c r="GB1523" s="1" t="s">
        <v>14817</v>
      </c>
      <c r="GD1523" s="1" t="s">
        <v>14818</v>
      </c>
      <c r="GE1523" s="1" t="s">
        <v>210</v>
      </c>
      <c r="GI1523" s="1" t="s">
        <v>213</v>
      </c>
      <c r="GJ1523" s="1" t="s">
        <v>260</v>
      </c>
      <c r="GK1523" s="1" t="s">
        <v>210</v>
      </c>
      <c r="GL1523" s="2">
        <v>42150</v>
      </c>
      <c r="GM1523" s="1" t="s">
        <v>14819</v>
      </c>
    </row>
    <row r="1524" spans="1:195">
      <c r="A1524" s="1">
        <v>40000</v>
      </c>
      <c r="B1524" s="1" t="s">
        <v>195</v>
      </c>
      <c r="C1524" s="1" t="str">
        <f>"08886174"</f>
        <v>08886174</v>
      </c>
      <c r="D1524" s="1" t="s">
        <v>196</v>
      </c>
      <c r="F1524" s="1" t="str">
        <f>"8043"</f>
        <v>8043</v>
      </c>
      <c r="G1524" s="2">
        <v>42103</v>
      </c>
      <c r="H1524" s="1">
        <v>27300</v>
      </c>
      <c r="I1524" s="1">
        <v>27300</v>
      </c>
      <c r="J1524" s="1">
        <v>40000</v>
      </c>
      <c r="K1524" s="2">
        <v>42103</v>
      </c>
      <c r="L1524" s="1">
        <v>12</v>
      </c>
      <c r="M1524" s="2">
        <v>42114</v>
      </c>
      <c r="N1524" s="1">
        <v>12</v>
      </c>
      <c r="O1524" s="2">
        <v>42114</v>
      </c>
      <c r="P1524" s="1">
        <v>18426</v>
      </c>
      <c r="Q1524" s="1" t="s">
        <v>302</v>
      </c>
      <c r="R1524" s="2">
        <v>42142</v>
      </c>
      <c r="S1524" s="1">
        <v>874659</v>
      </c>
      <c r="U1524" s="1">
        <v>2315</v>
      </c>
      <c r="V1524" s="1" t="s">
        <v>7323</v>
      </c>
      <c r="W1524" s="1" t="s">
        <v>779</v>
      </c>
      <c r="X1524" s="1">
        <v>212</v>
      </c>
      <c r="Y1524" s="1">
        <v>76</v>
      </c>
      <c r="Z1524" s="1" t="s">
        <v>370</v>
      </c>
      <c r="AA1524" s="1" t="s">
        <v>400</v>
      </c>
      <c r="AB1524" s="1">
        <v>60649</v>
      </c>
      <c r="AE1524" s="1" t="s">
        <v>14820</v>
      </c>
      <c r="AF1524" s="1" t="s">
        <v>402</v>
      </c>
      <c r="AG1524" s="1" t="s">
        <v>213</v>
      </c>
      <c r="AH1524" s="1" t="s">
        <v>403</v>
      </c>
      <c r="AI1524" s="1" t="s">
        <v>310</v>
      </c>
      <c r="AJ1524" s="1" t="s">
        <v>562</v>
      </c>
      <c r="AL1524" s="1">
        <v>5</v>
      </c>
      <c r="AM1524" s="1">
        <v>2</v>
      </c>
      <c r="AN1524" s="1">
        <v>2</v>
      </c>
      <c r="AO1524" s="1">
        <v>0</v>
      </c>
      <c r="AP1524" s="1" t="s">
        <v>209</v>
      </c>
      <c r="AR1524" s="1" t="s">
        <v>210</v>
      </c>
      <c r="AS1524" s="1" t="s">
        <v>204</v>
      </c>
      <c r="AT1524" s="1" t="s">
        <v>210</v>
      </c>
      <c r="AW1524" s="1" t="s">
        <v>204</v>
      </c>
      <c r="AX1524" s="1">
        <v>32200</v>
      </c>
      <c r="AZ1524" s="1">
        <v>567.53</v>
      </c>
      <c r="BA1524" s="1">
        <v>2013</v>
      </c>
      <c r="BB1524" s="1" t="s">
        <v>405</v>
      </c>
      <c r="BE1524" s="1">
        <v>1100</v>
      </c>
      <c r="BF1524" s="1">
        <v>2</v>
      </c>
      <c r="BG1524" s="1">
        <v>30</v>
      </c>
      <c r="BL1524" s="1">
        <v>245</v>
      </c>
      <c r="BM1524" s="1" t="s">
        <v>204</v>
      </c>
      <c r="BN1524" s="1" t="s">
        <v>213</v>
      </c>
      <c r="BO1524" s="1">
        <v>30</v>
      </c>
      <c r="BP1524" s="1" t="s">
        <v>204</v>
      </c>
      <c r="BR1524" s="1" t="str">
        <f>"20244290071079"</f>
        <v>20244290071079</v>
      </c>
      <c r="BT1524" s="1" t="s">
        <v>14821</v>
      </c>
      <c r="BX1524" s="1">
        <v>299</v>
      </c>
      <c r="BY1524" s="1">
        <v>299</v>
      </c>
      <c r="BZ1524" s="1">
        <v>299</v>
      </c>
      <c r="CB1524" s="1" t="str">
        <f t="shared" ref="CB1524:CB1525" si="1165">"0"</f>
        <v>0</v>
      </c>
      <c r="CC1524" s="1" t="str">
        <f>"2315"</f>
        <v>2315</v>
      </c>
      <c r="CD1524" s="1">
        <v>0</v>
      </c>
      <c r="CE1524" s="1">
        <v>7000</v>
      </c>
      <c r="CG1524" s="1" t="s">
        <v>1803</v>
      </c>
      <c r="CH1524" s="1" t="s">
        <v>219</v>
      </c>
      <c r="CI1524" s="1" t="s">
        <v>438</v>
      </c>
      <c r="CK1524" s="1" t="s">
        <v>757</v>
      </c>
      <c r="CL1524" s="1" t="s">
        <v>219</v>
      </c>
      <c r="CM1524" s="1" t="s">
        <v>220</v>
      </c>
      <c r="CO1524" s="1" t="s">
        <v>629</v>
      </c>
      <c r="CP1524" s="1" t="s">
        <v>219</v>
      </c>
      <c r="CQ1524" s="1" t="s">
        <v>438</v>
      </c>
      <c r="CS1524" s="1" t="s">
        <v>379</v>
      </c>
      <c r="CT1524" s="1" t="s">
        <v>219</v>
      </c>
      <c r="CU1524" s="1" t="s">
        <v>220</v>
      </c>
      <c r="CX1524" s="1" t="s">
        <v>224</v>
      </c>
      <c r="DB1524" s="1" t="s">
        <v>224</v>
      </c>
      <c r="DE1524" s="1" t="s">
        <v>318</v>
      </c>
      <c r="DF1524" s="1" t="s">
        <v>219</v>
      </c>
      <c r="DG1524" s="1" t="s">
        <v>226</v>
      </c>
      <c r="DJ1524" s="1" t="s">
        <v>224</v>
      </c>
      <c r="DS1524" s="1" t="s">
        <v>230</v>
      </c>
      <c r="DW1524" s="1" t="s">
        <v>230</v>
      </c>
      <c r="EA1524" s="1" t="s">
        <v>230</v>
      </c>
      <c r="EE1524" s="1" t="s">
        <v>230</v>
      </c>
      <c r="EI1524" s="1" t="s">
        <v>230</v>
      </c>
      <c r="EL1524" s="1" t="s">
        <v>2521</v>
      </c>
      <c r="EM1524" s="1" t="s">
        <v>730</v>
      </c>
      <c r="EN1524" s="1" t="s">
        <v>282</v>
      </c>
      <c r="EO1524" s="1" t="s">
        <v>234</v>
      </c>
      <c r="EQ1524" s="1" t="s">
        <v>468</v>
      </c>
      <c r="ER1524" s="1" t="s">
        <v>210</v>
      </c>
      <c r="ES1524" s="1" t="s">
        <v>545</v>
      </c>
      <c r="ET1524" s="1" t="s">
        <v>1161</v>
      </c>
      <c r="EW1524" s="1" t="s">
        <v>7327</v>
      </c>
      <c r="EY1524" s="1" t="s">
        <v>242</v>
      </c>
      <c r="EZ1524" s="1" t="s">
        <v>287</v>
      </c>
      <c r="FB1524" s="1" t="s">
        <v>289</v>
      </c>
      <c r="FD1524" s="1" t="s">
        <v>246</v>
      </c>
      <c r="FE1524" s="1" t="s">
        <v>247</v>
      </c>
      <c r="FF1524" s="1" t="s">
        <v>248</v>
      </c>
      <c r="FH1524" s="1" t="s">
        <v>249</v>
      </c>
      <c r="FL1524" s="1" t="s">
        <v>14822</v>
      </c>
      <c r="FM1524" s="1" t="s">
        <v>252</v>
      </c>
      <c r="FN1524" s="1" t="s">
        <v>213</v>
      </c>
      <c r="FO1524" s="1" t="s">
        <v>213</v>
      </c>
      <c r="FQ1524" s="1" t="s">
        <v>582</v>
      </c>
      <c r="FR1524" s="1" t="s">
        <v>210</v>
      </c>
      <c r="FS1524" s="1" t="s">
        <v>2459</v>
      </c>
      <c r="FT1524" s="1" t="s">
        <v>295</v>
      </c>
      <c r="FU1524" s="1" t="s">
        <v>204</v>
      </c>
      <c r="FW1524" s="1" t="s">
        <v>11437</v>
      </c>
      <c r="FX1524" s="1">
        <v>84340</v>
      </c>
      <c r="FY1524" s="1" t="s">
        <v>11438</v>
      </c>
      <c r="FZ1524" s="1" t="s">
        <v>11439</v>
      </c>
      <c r="GA1524" s="1">
        <v>108645</v>
      </c>
      <c r="GB1524" s="1" t="s">
        <v>11438</v>
      </c>
      <c r="GE1524" s="1" t="s">
        <v>210</v>
      </c>
      <c r="GH1524" s="1" t="s">
        <v>800</v>
      </c>
      <c r="GI1524" s="1" t="s">
        <v>204</v>
      </c>
      <c r="GJ1524" s="1" t="s">
        <v>260</v>
      </c>
      <c r="GK1524" s="1" t="s">
        <v>210</v>
      </c>
      <c r="GL1524" s="2">
        <v>42145</v>
      </c>
      <c r="GM1524" s="1" t="s">
        <v>14823</v>
      </c>
    </row>
    <row r="1525" spans="1:195">
      <c r="A1525" s="1">
        <v>153900</v>
      </c>
      <c r="B1525" s="1" t="s">
        <v>195</v>
      </c>
      <c r="C1525" s="1" t="str">
        <f>"08886587"</f>
        <v>08886587</v>
      </c>
      <c r="D1525" s="1" t="s">
        <v>196</v>
      </c>
      <c r="F1525" s="1" t="str">
        <f>"8061"</f>
        <v>8061</v>
      </c>
      <c r="G1525" s="2">
        <v>42103</v>
      </c>
      <c r="H1525" s="1">
        <v>154900</v>
      </c>
      <c r="I1525" s="1">
        <v>154900</v>
      </c>
      <c r="J1525" s="1">
        <v>153900</v>
      </c>
      <c r="K1525" s="2">
        <v>42101</v>
      </c>
      <c r="L1525" s="1">
        <v>80</v>
      </c>
      <c r="M1525" s="2">
        <v>42103</v>
      </c>
      <c r="N1525" s="1">
        <v>3</v>
      </c>
      <c r="O1525" s="2">
        <v>42103</v>
      </c>
      <c r="P1525" s="1">
        <v>85774</v>
      </c>
      <c r="Q1525" s="1" t="s">
        <v>302</v>
      </c>
      <c r="R1525" s="2">
        <v>42118</v>
      </c>
      <c r="S1525" s="1">
        <v>114602</v>
      </c>
      <c r="U1525" s="1">
        <v>2323</v>
      </c>
      <c r="V1525" s="1" t="s">
        <v>14824</v>
      </c>
      <c r="W1525" s="1" t="s">
        <v>1056</v>
      </c>
      <c r="X1525" s="1">
        <v>327</v>
      </c>
      <c r="Y1525" s="1">
        <v>168</v>
      </c>
      <c r="Z1525" s="1" t="s">
        <v>370</v>
      </c>
      <c r="AA1525" s="1" t="s">
        <v>400</v>
      </c>
      <c r="AB1525" s="1">
        <v>60609</v>
      </c>
      <c r="AE1525" s="1" t="s">
        <v>14825</v>
      </c>
      <c r="AF1525" s="1" t="s">
        <v>402</v>
      </c>
      <c r="AG1525" s="1" t="s">
        <v>204</v>
      </c>
      <c r="AH1525" s="1" t="s">
        <v>403</v>
      </c>
      <c r="AI1525" s="1" t="s">
        <v>310</v>
      </c>
      <c r="AJ1525" s="1" t="s">
        <v>404</v>
      </c>
      <c r="AL1525" s="1">
        <v>5</v>
      </c>
      <c r="AM1525" s="1">
        <v>2</v>
      </c>
      <c r="AN1525" s="1">
        <v>2</v>
      </c>
      <c r="AO1525" s="1">
        <v>0</v>
      </c>
      <c r="AP1525" s="1" t="s">
        <v>209</v>
      </c>
      <c r="AR1525" s="1" t="s">
        <v>210</v>
      </c>
      <c r="AT1525" s="1" t="s">
        <v>211</v>
      </c>
      <c r="AU1525" s="1">
        <v>1</v>
      </c>
      <c r="AW1525" s="1" t="s">
        <v>204</v>
      </c>
      <c r="AX1525" s="1">
        <v>0</v>
      </c>
      <c r="AZ1525" s="1">
        <v>2006</v>
      </c>
      <c r="BA1525" s="1">
        <v>2013</v>
      </c>
      <c r="BE1525" s="1">
        <v>0</v>
      </c>
      <c r="BF1525" s="1">
        <v>3</v>
      </c>
      <c r="BG1525" s="1">
        <v>30</v>
      </c>
      <c r="BL1525" s="1">
        <v>452</v>
      </c>
      <c r="BM1525" s="1" t="s">
        <v>413</v>
      </c>
      <c r="BN1525" s="1" t="s">
        <v>213</v>
      </c>
      <c r="BO1525" s="1">
        <v>30</v>
      </c>
      <c r="BP1525" s="1" t="s">
        <v>204</v>
      </c>
      <c r="BR1525" s="1" t="str">
        <f>"20061001231093"</f>
        <v>20061001231093</v>
      </c>
      <c r="BT1525" s="1" t="s">
        <v>14826</v>
      </c>
      <c r="BX1525" s="1">
        <v>299</v>
      </c>
      <c r="BY1525" s="1">
        <v>299</v>
      </c>
      <c r="BZ1525" s="1">
        <v>299</v>
      </c>
      <c r="CB1525" s="1" t="str">
        <f t="shared" si="1165"/>
        <v>0</v>
      </c>
      <c r="CC1525" s="1" t="str">
        <f>"0"</f>
        <v>0</v>
      </c>
      <c r="CD1525" s="1">
        <v>2323</v>
      </c>
      <c r="CE1525" s="1">
        <v>3900</v>
      </c>
      <c r="CG1525" s="1" t="s">
        <v>3873</v>
      </c>
      <c r="CH1525" s="1" t="s">
        <v>219</v>
      </c>
      <c r="CK1525" s="1" t="s">
        <v>344</v>
      </c>
      <c r="CL1525" s="1" t="s">
        <v>219</v>
      </c>
      <c r="CO1525" s="1" t="s">
        <v>629</v>
      </c>
      <c r="CP1525" s="1" t="s">
        <v>219</v>
      </c>
      <c r="CS1525" s="1" t="s">
        <v>465</v>
      </c>
      <c r="CT1525" s="1" t="s">
        <v>219</v>
      </c>
      <c r="CX1525" s="1" t="s">
        <v>224</v>
      </c>
      <c r="DB1525" s="1" t="s">
        <v>224</v>
      </c>
      <c r="DE1525" s="1" t="s">
        <v>380</v>
      </c>
      <c r="DF1525" s="1" t="s">
        <v>219</v>
      </c>
      <c r="DJ1525" s="1" t="s">
        <v>224</v>
      </c>
      <c r="DS1525" s="1" t="s">
        <v>230</v>
      </c>
      <c r="DW1525" s="1" t="s">
        <v>230</v>
      </c>
      <c r="EA1525" s="1" t="s">
        <v>230</v>
      </c>
      <c r="EE1525" s="1" t="s">
        <v>230</v>
      </c>
      <c r="EI1525" s="1" t="s">
        <v>230</v>
      </c>
      <c r="EL1525" s="1" t="s">
        <v>382</v>
      </c>
      <c r="EM1525" s="1" t="s">
        <v>319</v>
      </c>
      <c r="EN1525" s="1" t="s">
        <v>282</v>
      </c>
      <c r="EO1525" s="1" t="s">
        <v>234</v>
      </c>
      <c r="ER1525" s="1" t="s">
        <v>210</v>
      </c>
      <c r="EW1525" s="1" t="s">
        <v>14827</v>
      </c>
      <c r="EZ1525" s="1" t="s">
        <v>287</v>
      </c>
      <c r="FD1525" s="1" t="s">
        <v>246</v>
      </c>
      <c r="FE1525" s="1" t="s">
        <v>247</v>
      </c>
      <c r="FF1525" s="1" t="s">
        <v>1113</v>
      </c>
      <c r="FH1525" s="1" t="s">
        <v>249</v>
      </c>
      <c r="FL1525" s="1" t="s">
        <v>358</v>
      </c>
      <c r="FM1525" s="1" t="s">
        <v>252</v>
      </c>
      <c r="FN1525" s="1" t="s">
        <v>213</v>
      </c>
      <c r="FO1525" s="1" t="s">
        <v>213</v>
      </c>
      <c r="FQ1525" s="1" t="s">
        <v>689</v>
      </c>
      <c r="FR1525" s="1" t="s">
        <v>210</v>
      </c>
      <c r="FS1525" s="1" t="s">
        <v>14828</v>
      </c>
      <c r="FT1525" s="1" t="s">
        <v>584</v>
      </c>
      <c r="FU1525" s="1" t="s">
        <v>204</v>
      </c>
      <c r="FW1525" s="1" t="s">
        <v>14829</v>
      </c>
      <c r="FX1525" s="1">
        <v>14624</v>
      </c>
      <c r="FY1525" s="1" t="s">
        <v>14830</v>
      </c>
      <c r="FZ1525" s="1" t="s">
        <v>14831</v>
      </c>
      <c r="GA1525" s="1">
        <v>107547</v>
      </c>
      <c r="GB1525" s="1" t="s">
        <v>14830</v>
      </c>
      <c r="GE1525" s="1" t="s">
        <v>210</v>
      </c>
      <c r="GH1525" s="1" t="s">
        <v>589</v>
      </c>
      <c r="GI1525" s="1" t="s">
        <v>213</v>
      </c>
      <c r="GJ1525" s="1" t="s">
        <v>260</v>
      </c>
      <c r="GK1525" s="1" t="s">
        <v>210</v>
      </c>
      <c r="GL1525" s="2">
        <v>42121</v>
      </c>
      <c r="GM1525" s="1" t="s">
        <v>14832</v>
      </c>
    </row>
    <row r="1526" spans="1:195">
      <c r="A1526" s="1">
        <v>160000</v>
      </c>
      <c r="B1526" s="1" t="s">
        <v>195</v>
      </c>
      <c r="C1526" s="1" t="str">
        <f>"08887158"</f>
        <v>08887158</v>
      </c>
      <c r="D1526" s="1" t="s">
        <v>196</v>
      </c>
      <c r="F1526" s="1" t="str">
        <f>"507"</f>
        <v>507</v>
      </c>
      <c r="G1526" s="2">
        <v>42104</v>
      </c>
      <c r="H1526" s="1">
        <v>159900</v>
      </c>
      <c r="I1526" s="1">
        <v>159900</v>
      </c>
      <c r="J1526" s="1">
        <v>160000</v>
      </c>
      <c r="K1526" s="2">
        <v>42104</v>
      </c>
      <c r="L1526" s="1">
        <v>2</v>
      </c>
      <c r="M1526" s="2">
        <v>42105</v>
      </c>
      <c r="N1526" s="1">
        <v>2</v>
      </c>
      <c r="O1526" s="2">
        <v>42105</v>
      </c>
      <c r="P1526" s="1">
        <v>23120</v>
      </c>
      <c r="Q1526" s="1" t="s">
        <v>197</v>
      </c>
      <c r="R1526" s="2">
        <v>42128</v>
      </c>
      <c r="S1526" s="1">
        <v>229635</v>
      </c>
      <c r="U1526" s="1">
        <v>2224</v>
      </c>
      <c r="V1526" s="1" t="s">
        <v>14833</v>
      </c>
      <c r="W1526" s="1" t="s">
        <v>304</v>
      </c>
      <c r="Y1526" s="1">
        <v>6</v>
      </c>
      <c r="Z1526" s="1" t="s">
        <v>249</v>
      </c>
      <c r="AA1526" s="1" t="s">
        <v>1123</v>
      </c>
      <c r="AB1526" s="1">
        <v>60503</v>
      </c>
      <c r="AD1526" s="1" t="s">
        <v>14834</v>
      </c>
      <c r="AE1526" s="1" t="s">
        <v>14835</v>
      </c>
      <c r="AF1526" s="1">
        <v>2004</v>
      </c>
      <c r="AG1526" s="1" t="s">
        <v>204</v>
      </c>
      <c r="AH1526" s="1" t="s">
        <v>1126</v>
      </c>
      <c r="AI1526" s="1" t="s">
        <v>1800</v>
      </c>
      <c r="AJ1526" s="1" t="s">
        <v>1801</v>
      </c>
      <c r="AK1526" s="1" t="s">
        <v>14836</v>
      </c>
      <c r="AL1526" s="1">
        <v>6</v>
      </c>
      <c r="AM1526" s="1">
        <v>2</v>
      </c>
      <c r="AN1526" s="1">
        <v>2</v>
      </c>
      <c r="AO1526" s="1">
        <v>1</v>
      </c>
      <c r="AP1526" s="1" t="s">
        <v>209</v>
      </c>
      <c r="AQ1526" s="1">
        <v>1</v>
      </c>
      <c r="AR1526" s="1" t="s">
        <v>210</v>
      </c>
      <c r="AS1526" s="1" t="s">
        <v>204</v>
      </c>
      <c r="AT1526" s="1" t="s">
        <v>211</v>
      </c>
      <c r="AU1526" s="1">
        <v>2</v>
      </c>
      <c r="AW1526" s="1" t="s">
        <v>204</v>
      </c>
      <c r="AX1526" s="1" t="s">
        <v>212</v>
      </c>
      <c r="AZ1526" s="1">
        <v>5835</v>
      </c>
      <c r="BA1526" s="1">
        <v>2013</v>
      </c>
      <c r="BB1526" s="1" t="s">
        <v>405</v>
      </c>
      <c r="BE1526" s="1">
        <v>1814</v>
      </c>
      <c r="BF1526" s="1">
        <v>1</v>
      </c>
      <c r="BG1526" s="1">
        <v>30</v>
      </c>
      <c r="BL1526" s="1">
        <v>180</v>
      </c>
      <c r="BM1526" s="1" t="s">
        <v>204</v>
      </c>
      <c r="BN1526" s="1" t="s">
        <v>213</v>
      </c>
      <c r="BO1526" s="1" t="s">
        <v>4354</v>
      </c>
      <c r="BP1526" s="1" t="s">
        <v>204</v>
      </c>
      <c r="BR1526" s="1" t="str">
        <f>"01064100871004"</f>
        <v>01064100871004</v>
      </c>
      <c r="BT1526" s="1" t="s">
        <v>14837</v>
      </c>
      <c r="BU1526" s="1" t="s">
        <v>14077</v>
      </c>
      <c r="BV1526" s="1" t="s">
        <v>2574</v>
      </c>
      <c r="BW1526" s="1" t="s">
        <v>460</v>
      </c>
      <c r="BX1526" s="1">
        <v>308</v>
      </c>
      <c r="BY1526" s="1">
        <v>308</v>
      </c>
      <c r="BZ1526" s="1">
        <v>308</v>
      </c>
      <c r="CB1526" s="1" t="str">
        <f t="shared" ref="CB1526:CC1526" si="1166">""</f>
        <v/>
      </c>
      <c r="CC1526" s="1" t="str">
        <f t="shared" si="1166"/>
        <v/>
      </c>
      <c r="CG1526" s="1" t="s">
        <v>278</v>
      </c>
      <c r="CH1526" s="1" t="s">
        <v>219</v>
      </c>
      <c r="CI1526" s="1" t="s">
        <v>438</v>
      </c>
      <c r="CJ1526" s="1" t="s">
        <v>343</v>
      </c>
      <c r="CK1526" s="1" t="s">
        <v>315</v>
      </c>
      <c r="CL1526" s="1" t="s">
        <v>277</v>
      </c>
      <c r="CM1526" s="1" t="s">
        <v>220</v>
      </c>
      <c r="CN1526" s="1" t="s">
        <v>343</v>
      </c>
      <c r="CO1526" s="1" t="s">
        <v>379</v>
      </c>
      <c r="CP1526" s="1" t="s">
        <v>219</v>
      </c>
      <c r="CQ1526" s="1" t="s">
        <v>438</v>
      </c>
      <c r="CR1526" s="1" t="s">
        <v>463</v>
      </c>
      <c r="CS1526" s="1" t="s">
        <v>1046</v>
      </c>
      <c r="CT1526" s="1" t="s">
        <v>277</v>
      </c>
      <c r="CU1526" s="1" t="s">
        <v>220</v>
      </c>
      <c r="CV1526" s="1" t="s">
        <v>343</v>
      </c>
      <c r="CX1526" s="1" t="s">
        <v>224</v>
      </c>
      <c r="DB1526" s="1" t="s">
        <v>224</v>
      </c>
      <c r="DE1526" s="1" t="s">
        <v>3888</v>
      </c>
      <c r="DF1526" s="1" t="s">
        <v>219</v>
      </c>
      <c r="DG1526" s="1" t="s">
        <v>438</v>
      </c>
      <c r="DH1526" s="1" t="s">
        <v>210</v>
      </c>
      <c r="DI1526" s="1" t="s">
        <v>9820</v>
      </c>
      <c r="DJ1526" s="1" t="s">
        <v>277</v>
      </c>
      <c r="DK1526" s="1" t="s">
        <v>220</v>
      </c>
      <c r="DL1526" s="1" t="s">
        <v>343</v>
      </c>
      <c r="DS1526" s="1" t="s">
        <v>230</v>
      </c>
      <c r="DW1526" s="1" t="s">
        <v>230</v>
      </c>
      <c r="EA1526" s="1" t="s">
        <v>230</v>
      </c>
      <c r="EE1526" s="1" t="s">
        <v>230</v>
      </c>
      <c r="EI1526" s="1" t="s">
        <v>230</v>
      </c>
      <c r="EL1526" s="1" t="s">
        <v>466</v>
      </c>
      <c r="EM1526" s="1" t="s">
        <v>319</v>
      </c>
      <c r="EN1526" s="1" t="s">
        <v>282</v>
      </c>
      <c r="EO1526" s="1" t="s">
        <v>1020</v>
      </c>
      <c r="EQ1526" s="1" t="s">
        <v>2188</v>
      </c>
      <c r="ER1526" s="1" t="s">
        <v>210</v>
      </c>
      <c r="ES1526" s="1" t="s">
        <v>824</v>
      </c>
      <c r="ET1526" s="1" t="s">
        <v>866</v>
      </c>
      <c r="EU1526" s="1" t="s">
        <v>1110</v>
      </c>
      <c r="EV1526" s="1" t="s">
        <v>240</v>
      </c>
      <c r="EW1526" s="1" t="s">
        <v>1804</v>
      </c>
      <c r="EY1526" s="1" t="s">
        <v>790</v>
      </c>
      <c r="EZ1526" s="1" t="s">
        <v>287</v>
      </c>
      <c r="FA1526" s="1" t="s">
        <v>1427</v>
      </c>
      <c r="FB1526" s="1" t="s">
        <v>289</v>
      </c>
      <c r="FD1526" s="1" t="s">
        <v>246</v>
      </c>
      <c r="FE1526" s="1" t="s">
        <v>472</v>
      </c>
      <c r="FF1526" s="1" t="s">
        <v>248</v>
      </c>
      <c r="FH1526" s="1" t="s">
        <v>550</v>
      </c>
      <c r="FI1526" s="1" t="s">
        <v>473</v>
      </c>
      <c r="FL1526" s="1" t="s">
        <v>358</v>
      </c>
      <c r="FM1526" s="1" t="s">
        <v>252</v>
      </c>
      <c r="FN1526" s="1" t="s">
        <v>213</v>
      </c>
      <c r="FO1526" s="1" t="s">
        <v>213</v>
      </c>
      <c r="FQ1526" s="1" t="s">
        <v>2870</v>
      </c>
      <c r="FR1526" s="1" t="s">
        <v>210</v>
      </c>
      <c r="FS1526" s="1" t="s">
        <v>14838</v>
      </c>
      <c r="FT1526" s="1" t="s">
        <v>255</v>
      </c>
      <c r="FU1526" s="1" t="s">
        <v>204</v>
      </c>
      <c r="FW1526" s="1" t="s">
        <v>14839</v>
      </c>
      <c r="FX1526" s="1">
        <v>24477</v>
      </c>
      <c r="FY1526" s="1" t="s">
        <v>14840</v>
      </c>
      <c r="FZ1526" s="1" t="s">
        <v>14841</v>
      </c>
      <c r="GA1526" s="1">
        <v>232744</v>
      </c>
      <c r="GB1526" s="1" t="s">
        <v>14840</v>
      </c>
      <c r="GC1526" s="1">
        <v>233784</v>
      </c>
      <c r="GE1526" s="1" t="s">
        <v>210</v>
      </c>
      <c r="GI1526" s="1" t="s">
        <v>213</v>
      </c>
      <c r="GJ1526" s="1" t="s">
        <v>260</v>
      </c>
      <c r="GK1526" s="1" t="s">
        <v>210</v>
      </c>
      <c r="GL1526" s="2">
        <v>42128</v>
      </c>
      <c r="GM1526" s="1" t="s">
        <v>14842</v>
      </c>
    </row>
    <row r="1527" spans="1:195">
      <c r="A1527" s="1">
        <v>140000</v>
      </c>
      <c r="B1527" s="1" t="s">
        <v>195</v>
      </c>
      <c r="C1527" s="1" t="str">
        <f>"08889076"</f>
        <v>08889076</v>
      </c>
      <c r="D1527" s="1" t="s">
        <v>196</v>
      </c>
      <c r="F1527" s="1" t="str">
        <f>"510"</f>
        <v>510</v>
      </c>
      <c r="G1527" s="2">
        <v>42107</v>
      </c>
      <c r="H1527" s="1">
        <v>152500</v>
      </c>
      <c r="I1527" s="1">
        <v>152500</v>
      </c>
      <c r="J1527" s="1">
        <v>140000</v>
      </c>
      <c r="K1527" s="2">
        <v>42105</v>
      </c>
      <c r="L1527" s="1">
        <v>7</v>
      </c>
      <c r="M1527" s="2">
        <v>42111</v>
      </c>
      <c r="N1527" s="1">
        <v>7</v>
      </c>
      <c r="O1527" s="2">
        <v>42111</v>
      </c>
      <c r="P1527" s="1">
        <v>30</v>
      </c>
      <c r="Q1527" s="1" t="s">
        <v>302</v>
      </c>
      <c r="R1527" s="2">
        <v>42124</v>
      </c>
      <c r="S1527" s="1">
        <v>7679</v>
      </c>
      <c r="U1527" s="1">
        <v>124</v>
      </c>
      <c r="V1527" s="1" t="s">
        <v>14843</v>
      </c>
      <c r="W1527" s="1" t="s">
        <v>304</v>
      </c>
      <c r="Y1527" s="1">
        <v>2</v>
      </c>
      <c r="Z1527" s="1" t="s">
        <v>249</v>
      </c>
      <c r="AA1527" s="1" t="s">
        <v>947</v>
      </c>
      <c r="AB1527" s="1">
        <v>60510</v>
      </c>
      <c r="AE1527" s="1" t="s">
        <v>14844</v>
      </c>
      <c r="AF1527" s="1">
        <v>2001</v>
      </c>
      <c r="AG1527" s="1" t="s">
        <v>204</v>
      </c>
      <c r="AH1527" s="1" t="s">
        <v>949</v>
      </c>
      <c r="AI1527" s="1" t="s">
        <v>665</v>
      </c>
      <c r="AJ1527" s="1" t="s">
        <v>949</v>
      </c>
      <c r="AL1527" s="1">
        <v>5</v>
      </c>
      <c r="AM1527" s="1">
        <v>2</v>
      </c>
      <c r="AN1527" s="1">
        <v>2</v>
      </c>
      <c r="AO1527" s="1">
        <v>0</v>
      </c>
      <c r="AP1527" s="1" t="s">
        <v>209</v>
      </c>
      <c r="AR1527" s="1" t="s">
        <v>209</v>
      </c>
      <c r="AS1527" s="1" t="s">
        <v>204</v>
      </c>
      <c r="AT1527" s="1" t="s">
        <v>211</v>
      </c>
      <c r="AU1527" s="1">
        <v>2</v>
      </c>
      <c r="AW1527" s="1" t="s">
        <v>204</v>
      </c>
      <c r="AX1527" s="1" t="s">
        <v>212</v>
      </c>
      <c r="AZ1527" s="1">
        <v>5726.24</v>
      </c>
      <c r="BA1527" s="1">
        <v>2013</v>
      </c>
      <c r="BE1527" s="1">
        <v>0</v>
      </c>
      <c r="BF1527" s="1">
        <v>1</v>
      </c>
      <c r="BG1527" s="1">
        <v>0</v>
      </c>
      <c r="BL1527" s="1">
        <v>0</v>
      </c>
      <c r="BM1527" s="1" t="s">
        <v>204</v>
      </c>
      <c r="BN1527" s="1" t="s">
        <v>213</v>
      </c>
      <c r="BO1527" s="1">
        <v>100</v>
      </c>
      <c r="BP1527" s="1" t="s">
        <v>204</v>
      </c>
      <c r="BR1527" s="1" t="str">
        <f>"1221280017"</f>
        <v>1221280017</v>
      </c>
      <c r="BT1527" s="1" t="s">
        <v>14845</v>
      </c>
      <c r="BX1527" s="1">
        <v>101</v>
      </c>
      <c r="BY1527" s="1">
        <v>101</v>
      </c>
      <c r="BZ1527" s="1">
        <v>101</v>
      </c>
      <c r="CB1527" s="1" t="str">
        <f t="shared" ref="CB1527:CC1527" si="1167">""</f>
        <v/>
      </c>
      <c r="CC1527" s="1" t="str">
        <f t="shared" si="1167"/>
        <v/>
      </c>
      <c r="CG1527" s="1" t="s">
        <v>708</v>
      </c>
      <c r="CH1527" s="1" t="s">
        <v>219</v>
      </c>
      <c r="CK1527" s="1" t="s">
        <v>377</v>
      </c>
      <c r="CL1527" s="1" t="s">
        <v>219</v>
      </c>
      <c r="CO1527" s="1" t="s">
        <v>629</v>
      </c>
      <c r="CP1527" s="1" t="s">
        <v>219</v>
      </c>
      <c r="CS1527" s="1" t="s">
        <v>318</v>
      </c>
      <c r="CT1527" s="1" t="s">
        <v>219</v>
      </c>
      <c r="CX1527" s="1" t="s">
        <v>224</v>
      </c>
      <c r="DB1527" s="1" t="s">
        <v>224</v>
      </c>
      <c r="DE1527" s="1" t="s">
        <v>380</v>
      </c>
      <c r="DF1527" s="1" t="s">
        <v>219</v>
      </c>
      <c r="DG1527" s="1" t="s">
        <v>438</v>
      </c>
      <c r="DJ1527" s="1" t="s">
        <v>224</v>
      </c>
      <c r="DS1527" s="1" t="s">
        <v>230</v>
      </c>
      <c r="DW1527" s="1" t="s">
        <v>230</v>
      </c>
      <c r="EA1527" s="1" t="s">
        <v>230</v>
      </c>
      <c r="EE1527" s="1" t="s">
        <v>230</v>
      </c>
      <c r="EI1527" s="1" t="s">
        <v>230</v>
      </c>
      <c r="EL1527" s="1" t="s">
        <v>466</v>
      </c>
      <c r="EM1527" s="1" t="s">
        <v>319</v>
      </c>
      <c r="EN1527" s="1" t="s">
        <v>282</v>
      </c>
      <c r="EO1527" s="1" t="s">
        <v>234</v>
      </c>
      <c r="EQ1527" s="1" t="s">
        <v>492</v>
      </c>
      <c r="ER1527" s="1" t="s">
        <v>1249</v>
      </c>
      <c r="EW1527" s="1" t="s">
        <v>210</v>
      </c>
      <c r="EZ1527" s="1" t="s">
        <v>287</v>
      </c>
      <c r="FD1527" s="1" t="s">
        <v>246</v>
      </c>
      <c r="FE1527" s="1" t="s">
        <v>975</v>
      </c>
      <c r="FF1527" s="1" t="s">
        <v>14846</v>
      </c>
      <c r="FH1527" s="1" t="s">
        <v>442</v>
      </c>
      <c r="FL1527" s="1" t="s">
        <v>414</v>
      </c>
      <c r="FM1527" s="1" t="s">
        <v>252</v>
      </c>
      <c r="FN1527" s="1" t="s">
        <v>213</v>
      </c>
      <c r="FO1527" s="1" t="s">
        <v>213</v>
      </c>
      <c r="FQ1527" s="1" t="s">
        <v>7057</v>
      </c>
      <c r="FR1527" s="1" t="s">
        <v>210</v>
      </c>
      <c r="FS1527" s="1" t="s">
        <v>14847</v>
      </c>
      <c r="FT1527" s="1" t="s">
        <v>675</v>
      </c>
      <c r="FU1527" s="1" t="s">
        <v>204</v>
      </c>
      <c r="FW1527" s="1" t="s">
        <v>14848</v>
      </c>
      <c r="FX1527" s="1">
        <v>84503</v>
      </c>
      <c r="FY1527" s="1" t="s">
        <v>14849</v>
      </c>
      <c r="FZ1527" s="1" t="s">
        <v>14850</v>
      </c>
      <c r="GA1527" s="1">
        <v>187334</v>
      </c>
      <c r="GB1527" s="1" t="s">
        <v>14851</v>
      </c>
      <c r="GE1527" s="1" t="s">
        <v>210</v>
      </c>
      <c r="GI1527" s="1" t="s">
        <v>213</v>
      </c>
      <c r="GJ1527" s="1" t="s">
        <v>260</v>
      </c>
      <c r="GK1527" s="1" t="s">
        <v>210</v>
      </c>
      <c r="GL1527" s="2">
        <v>42125</v>
      </c>
    </row>
    <row r="1528" spans="1:195">
      <c r="A1528" s="1">
        <v>84000</v>
      </c>
      <c r="B1528" s="1" t="s">
        <v>195</v>
      </c>
      <c r="C1528" s="1" t="str">
        <f>"08892203"</f>
        <v>08892203</v>
      </c>
      <c r="D1528" s="1" t="s">
        <v>196</v>
      </c>
      <c r="F1528" s="1" t="str">
        <f>"540"</f>
        <v>540</v>
      </c>
      <c r="G1528" s="2">
        <v>42109</v>
      </c>
      <c r="H1528" s="1">
        <v>89900</v>
      </c>
      <c r="I1528" s="1">
        <v>89900</v>
      </c>
      <c r="J1528" s="1">
        <v>84000</v>
      </c>
      <c r="K1528" s="2">
        <v>42109</v>
      </c>
      <c r="L1528" s="1">
        <v>6</v>
      </c>
      <c r="M1528" s="2">
        <v>42113</v>
      </c>
      <c r="N1528" s="1">
        <v>5</v>
      </c>
      <c r="O1528" s="2">
        <v>42113</v>
      </c>
      <c r="P1528" s="1">
        <v>21324</v>
      </c>
      <c r="Q1528" s="1" t="s">
        <v>302</v>
      </c>
      <c r="R1528" s="2">
        <v>42150</v>
      </c>
      <c r="S1528" s="1">
        <v>237059</v>
      </c>
      <c r="U1528" s="1">
        <v>104</v>
      </c>
      <c r="V1528" s="1" t="s">
        <v>1903</v>
      </c>
      <c r="W1528" s="1" t="s">
        <v>1056</v>
      </c>
      <c r="X1528" s="1" t="s">
        <v>6276</v>
      </c>
      <c r="Y1528" s="1">
        <v>12</v>
      </c>
      <c r="Z1528" s="1" t="s">
        <v>249</v>
      </c>
      <c r="AA1528" s="1" t="s">
        <v>921</v>
      </c>
      <c r="AB1528" s="1">
        <v>60565</v>
      </c>
      <c r="AD1528" s="1" t="s">
        <v>8875</v>
      </c>
      <c r="AE1528" s="1" t="s">
        <v>14852</v>
      </c>
      <c r="AF1528" s="1">
        <v>1972</v>
      </c>
      <c r="AG1528" s="1" t="s">
        <v>213</v>
      </c>
      <c r="AH1528" s="1" t="s">
        <v>924</v>
      </c>
      <c r="AI1528" s="1" t="s">
        <v>206</v>
      </c>
      <c r="AJ1528" s="1" t="s">
        <v>924</v>
      </c>
      <c r="AL1528" s="1">
        <v>5</v>
      </c>
      <c r="AM1528" s="1">
        <v>2</v>
      </c>
      <c r="AN1528" s="1">
        <v>1</v>
      </c>
      <c r="AO1528" s="1">
        <v>1</v>
      </c>
      <c r="AP1528" s="1" t="s">
        <v>209</v>
      </c>
      <c r="AR1528" s="1" t="s">
        <v>210</v>
      </c>
      <c r="AS1528" s="1" t="s">
        <v>204</v>
      </c>
      <c r="AT1528" s="1" t="s">
        <v>271</v>
      </c>
      <c r="AV1528" s="1">
        <v>2</v>
      </c>
      <c r="AW1528" s="1" t="s">
        <v>204</v>
      </c>
      <c r="AX1528" s="1" t="s">
        <v>212</v>
      </c>
      <c r="AZ1528" s="1">
        <v>1300</v>
      </c>
      <c r="BA1528" s="1">
        <v>2013</v>
      </c>
      <c r="BB1528" s="1" t="s">
        <v>405</v>
      </c>
      <c r="BE1528" s="1">
        <v>980</v>
      </c>
      <c r="BF1528" s="1">
        <v>3</v>
      </c>
      <c r="BG1528" s="1">
        <v>0</v>
      </c>
      <c r="BL1528" s="1">
        <v>339</v>
      </c>
      <c r="BM1528" s="1" t="s">
        <v>204</v>
      </c>
      <c r="BN1528" s="1" t="s">
        <v>213</v>
      </c>
      <c r="BO1528" s="1">
        <v>0</v>
      </c>
      <c r="BP1528" s="1" t="s">
        <v>204</v>
      </c>
      <c r="BR1528" s="1" t="str">
        <f>"0832110010"</f>
        <v>0832110010</v>
      </c>
      <c r="BT1528" s="1" t="s">
        <v>14853</v>
      </c>
      <c r="BU1528" s="1" t="s">
        <v>8878</v>
      </c>
      <c r="BV1528" s="1" t="s">
        <v>8879</v>
      </c>
      <c r="BW1528" s="1" t="s">
        <v>930</v>
      </c>
      <c r="BX1528" s="1">
        <v>203</v>
      </c>
      <c r="BY1528" s="1">
        <v>203</v>
      </c>
      <c r="BZ1528" s="1">
        <v>203</v>
      </c>
      <c r="CB1528" s="1" t="str">
        <f t="shared" ref="CB1528:CC1528" si="1168">"0"</f>
        <v>0</v>
      </c>
      <c r="CC1528" s="1" t="str">
        <f t="shared" si="1168"/>
        <v>0</v>
      </c>
      <c r="CD1528" s="1">
        <v>25</v>
      </c>
      <c r="CE1528" s="1">
        <v>9</v>
      </c>
      <c r="CG1528" s="1" t="s">
        <v>1570</v>
      </c>
      <c r="CH1528" s="1" t="s">
        <v>784</v>
      </c>
      <c r="CI1528" s="1" t="s">
        <v>220</v>
      </c>
      <c r="CJ1528" s="1" t="s">
        <v>252</v>
      </c>
      <c r="CK1528" s="1" t="s">
        <v>223</v>
      </c>
      <c r="CL1528" s="1" t="s">
        <v>784</v>
      </c>
      <c r="CM1528" s="1" t="s">
        <v>220</v>
      </c>
      <c r="CN1528" s="1" t="s">
        <v>252</v>
      </c>
      <c r="CO1528" s="1" t="s">
        <v>1046</v>
      </c>
      <c r="CP1528" s="1" t="s">
        <v>784</v>
      </c>
      <c r="CQ1528" s="1" t="s">
        <v>226</v>
      </c>
      <c r="CS1528" s="1" t="s">
        <v>317</v>
      </c>
      <c r="CT1528" s="1" t="s">
        <v>784</v>
      </c>
      <c r="CU1528" s="1" t="s">
        <v>220</v>
      </c>
      <c r="CV1528" s="1" t="s">
        <v>252</v>
      </c>
      <c r="CX1528" s="1" t="s">
        <v>224</v>
      </c>
      <c r="DB1528" s="1" t="s">
        <v>224</v>
      </c>
      <c r="DE1528" s="1" t="s">
        <v>630</v>
      </c>
      <c r="DF1528" s="1" t="s">
        <v>784</v>
      </c>
      <c r="DG1528" s="1" t="s">
        <v>226</v>
      </c>
      <c r="DJ1528" s="1" t="s">
        <v>224</v>
      </c>
      <c r="DS1528" s="1" t="s">
        <v>230</v>
      </c>
      <c r="DW1528" s="1" t="s">
        <v>230</v>
      </c>
      <c r="EA1528" s="1" t="s">
        <v>230</v>
      </c>
      <c r="EE1528" s="1" t="s">
        <v>230</v>
      </c>
      <c r="EI1528" s="1" t="s">
        <v>230</v>
      </c>
      <c r="EL1528" s="1" t="s">
        <v>605</v>
      </c>
      <c r="EM1528" s="1" t="s">
        <v>319</v>
      </c>
      <c r="EN1528" s="1" t="s">
        <v>1158</v>
      </c>
      <c r="EO1528" s="1" t="s">
        <v>840</v>
      </c>
      <c r="EQ1528" s="1" t="s">
        <v>284</v>
      </c>
      <c r="ER1528" s="1" t="s">
        <v>210</v>
      </c>
      <c r="ES1528" s="1" t="s">
        <v>545</v>
      </c>
      <c r="EU1528" s="1" t="s">
        <v>239</v>
      </c>
      <c r="EV1528" s="1" t="s">
        <v>240</v>
      </c>
      <c r="EW1528" s="1" t="s">
        <v>14854</v>
      </c>
      <c r="EY1528" s="1" t="s">
        <v>14855</v>
      </c>
      <c r="EZ1528" s="1" t="s">
        <v>287</v>
      </c>
      <c r="FA1528" s="1" t="s">
        <v>9459</v>
      </c>
      <c r="FB1528" s="1" t="s">
        <v>613</v>
      </c>
      <c r="FD1528" s="1" t="s">
        <v>246</v>
      </c>
      <c r="FE1528" s="1" t="s">
        <v>247</v>
      </c>
      <c r="FF1528" s="1" t="s">
        <v>387</v>
      </c>
      <c r="FH1528" s="1" t="s">
        <v>249</v>
      </c>
      <c r="FL1528" s="1" t="s">
        <v>2233</v>
      </c>
      <c r="FM1528" s="1" t="s">
        <v>252</v>
      </c>
      <c r="FN1528" s="1" t="s">
        <v>213</v>
      </c>
      <c r="FO1528" s="1" t="s">
        <v>213</v>
      </c>
      <c r="FQ1528" s="1" t="s">
        <v>2700</v>
      </c>
      <c r="FR1528" s="1" t="s">
        <v>210</v>
      </c>
      <c r="FS1528" s="1" t="s">
        <v>1429</v>
      </c>
      <c r="FT1528" s="1" t="s">
        <v>255</v>
      </c>
      <c r="FU1528" s="1" t="s">
        <v>204</v>
      </c>
      <c r="FW1528" s="1" t="s">
        <v>915</v>
      </c>
      <c r="FX1528" s="1">
        <v>23076</v>
      </c>
      <c r="FY1528" s="1" t="s">
        <v>1909</v>
      </c>
      <c r="FZ1528" s="1" t="s">
        <v>14856</v>
      </c>
      <c r="GA1528" s="1">
        <v>230664</v>
      </c>
      <c r="GB1528" s="1" t="s">
        <v>14857</v>
      </c>
      <c r="GE1528" s="1" t="s">
        <v>210</v>
      </c>
      <c r="GH1528" s="1" t="s">
        <v>800</v>
      </c>
      <c r="GI1528" s="1" t="s">
        <v>213</v>
      </c>
      <c r="GJ1528" s="1" t="s">
        <v>260</v>
      </c>
      <c r="GK1528" s="1" t="s">
        <v>210</v>
      </c>
      <c r="GL1528" s="2">
        <v>42150</v>
      </c>
      <c r="GM1528" s="1" t="s">
        <v>14858</v>
      </c>
    </row>
    <row r="1529" spans="1:195">
      <c r="A1529" s="1">
        <v>295000</v>
      </c>
      <c r="B1529" s="1" t="s">
        <v>195</v>
      </c>
      <c r="C1529" s="1" t="str">
        <f>"08887109"</f>
        <v>08887109</v>
      </c>
      <c r="D1529" s="1" t="s">
        <v>196</v>
      </c>
      <c r="F1529" s="1" t="str">
        <f>"187"</f>
        <v>187</v>
      </c>
      <c r="G1529" s="2">
        <v>42104</v>
      </c>
      <c r="H1529" s="1">
        <v>299900</v>
      </c>
      <c r="I1529" s="1">
        <v>299900</v>
      </c>
      <c r="J1529" s="1">
        <v>295000</v>
      </c>
      <c r="K1529" s="2">
        <v>42104</v>
      </c>
      <c r="L1529" s="1">
        <v>5</v>
      </c>
      <c r="M1529" s="2">
        <v>42108</v>
      </c>
      <c r="N1529" s="1">
        <v>5</v>
      </c>
      <c r="O1529" s="2">
        <v>42108</v>
      </c>
      <c r="P1529" s="1">
        <v>25083</v>
      </c>
      <c r="Q1529" s="1" t="s">
        <v>302</v>
      </c>
      <c r="R1529" s="2">
        <v>42144</v>
      </c>
      <c r="S1529" s="1">
        <v>225671</v>
      </c>
      <c r="U1529" s="1">
        <v>1326</v>
      </c>
      <c r="V1529" s="1" t="s">
        <v>5882</v>
      </c>
      <c r="W1529" s="1" t="s">
        <v>504</v>
      </c>
      <c r="Y1529" s="1">
        <v>2</v>
      </c>
      <c r="Z1529" s="1" t="s">
        <v>370</v>
      </c>
      <c r="AA1529" s="1" t="s">
        <v>964</v>
      </c>
      <c r="AB1529" s="1">
        <v>60187</v>
      </c>
      <c r="AD1529" s="1" t="s">
        <v>14859</v>
      </c>
      <c r="AE1529" s="1" t="s">
        <v>14860</v>
      </c>
      <c r="AF1529" s="1">
        <v>1979</v>
      </c>
      <c r="AG1529" s="1" t="s">
        <v>204</v>
      </c>
      <c r="AH1529" s="1" t="s">
        <v>967</v>
      </c>
      <c r="AI1529" s="1" t="s">
        <v>206</v>
      </c>
      <c r="AJ1529" s="1" t="s">
        <v>207</v>
      </c>
      <c r="AK1529" s="1" t="s">
        <v>14861</v>
      </c>
      <c r="AL1529" s="1">
        <v>8</v>
      </c>
      <c r="AM1529" s="1">
        <v>2</v>
      </c>
      <c r="AN1529" s="1">
        <v>2</v>
      </c>
      <c r="AO1529" s="1">
        <v>1</v>
      </c>
      <c r="AP1529" s="1" t="s">
        <v>209</v>
      </c>
      <c r="AQ1529" s="1">
        <v>1</v>
      </c>
      <c r="AR1529" s="1" t="s">
        <v>209</v>
      </c>
      <c r="AS1529" s="1" t="s">
        <v>204</v>
      </c>
      <c r="AT1529" s="1" t="s">
        <v>211</v>
      </c>
      <c r="AU1529" s="1">
        <v>2</v>
      </c>
      <c r="AW1529" s="1" t="s">
        <v>204</v>
      </c>
      <c r="AX1529" s="1" t="s">
        <v>14862</v>
      </c>
      <c r="AZ1529" s="1">
        <v>5491</v>
      </c>
      <c r="BA1529" s="1">
        <v>2013</v>
      </c>
      <c r="BB1529" s="1" t="s">
        <v>599</v>
      </c>
      <c r="BE1529" s="1">
        <v>1759</v>
      </c>
      <c r="BF1529" s="1">
        <v>1</v>
      </c>
      <c r="BG1529" s="1">
        <v>0</v>
      </c>
      <c r="BL1529" s="1">
        <v>325</v>
      </c>
      <c r="BM1529" s="1" t="s">
        <v>204</v>
      </c>
      <c r="BN1529" s="1" t="s">
        <v>213</v>
      </c>
      <c r="BO1529" s="1">
        <v>999</v>
      </c>
      <c r="BP1529" s="1" t="s">
        <v>204</v>
      </c>
      <c r="BR1529" s="1" t="str">
        <f>"0508312038"</f>
        <v>0508312038</v>
      </c>
      <c r="BT1529" s="1" t="s">
        <v>14863</v>
      </c>
      <c r="BU1529" s="1" t="s">
        <v>14864</v>
      </c>
      <c r="BV1529" s="1" t="s">
        <v>14865</v>
      </c>
      <c r="BW1529" s="1" t="s">
        <v>6456</v>
      </c>
      <c r="BX1529" s="1">
        <v>200</v>
      </c>
      <c r="BY1529" s="1">
        <v>200</v>
      </c>
      <c r="BZ1529" s="1">
        <v>200</v>
      </c>
      <c r="CB1529" s="1" t="str">
        <f t="shared" ref="CB1529:CC1529" si="1169">"0"</f>
        <v>0</v>
      </c>
      <c r="CC1529" s="1" t="str">
        <f t="shared" si="1169"/>
        <v>0</v>
      </c>
      <c r="CD1529" s="1">
        <v>25</v>
      </c>
      <c r="CE1529" s="1">
        <v>0</v>
      </c>
      <c r="CG1529" s="1" t="s">
        <v>1570</v>
      </c>
      <c r="CH1529" s="1" t="s">
        <v>219</v>
      </c>
      <c r="CI1529" s="1" t="s">
        <v>220</v>
      </c>
      <c r="CK1529" s="1" t="s">
        <v>729</v>
      </c>
      <c r="CL1529" s="1" t="s">
        <v>277</v>
      </c>
      <c r="CM1529" s="1" t="s">
        <v>220</v>
      </c>
      <c r="CO1529" s="1" t="s">
        <v>223</v>
      </c>
      <c r="CP1529" s="1" t="s">
        <v>219</v>
      </c>
      <c r="CQ1529" s="1" t="s">
        <v>438</v>
      </c>
      <c r="CS1529" s="1" t="s">
        <v>317</v>
      </c>
      <c r="CT1529" s="1" t="s">
        <v>277</v>
      </c>
      <c r="CU1529" s="1" t="s">
        <v>220</v>
      </c>
      <c r="CX1529" s="1" t="s">
        <v>224</v>
      </c>
      <c r="DB1529" s="1" t="s">
        <v>224</v>
      </c>
      <c r="DE1529" s="1" t="s">
        <v>317</v>
      </c>
      <c r="DF1529" s="1" t="s">
        <v>219</v>
      </c>
      <c r="DG1529" s="1" t="s">
        <v>438</v>
      </c>
      <c r="DI1529" s="1" t="s">
        <v>379</v>
      </c>
      <c r="DJ1529" s="1" t="s">
        <v>219</v>
      </c>
      <c r="DK1529" s="1" t="s">
        <v>438</v>
      </c>
      <c r="DM1529" s="1" t="s">
        <v>464</v>
      </c>
      <c r="DN1529" s="1" t="s">
        <v>934</v>
      </c>
      <c r="DR1529" s="1" t="s">
        <v>539</v>
      </c>
      <c r="DS1529" s="1" t="s">
        <v>277</v>
      </c>
      <c r="DV1529" s="1" t="s">
        <v>276</v>
      </c>
      <c r="DW1529" s="1" t="s">
        <v>43</v>
      </c>
      <c r="EA1529" s="1" t="s">
        <v>230</v>
      </c>
      <c r="EE1529" s="1" t="s">
        <v>230</v>
      </c>
      <c r="EI1529" s="1" t="s">
        <v>230</v>
      </c>
      <c r="EL1529" s="1" t="s">
        <v>231</v>
      </c>
      <c r="EM1529" s="1" t="s">
        <v>232</v>
      </c>
      <c r="EN1529" s="1" t="s">
        <v>282</v>
      </c>
      <c r="EO1529" s="1" t="s">
        <v>234</v>
      </c>
      <c r="EQ1529" s="1" t="s">
        <v>236</v>
      </c>
      <c r="ER1529" s="1" t="s">
        <v>544</v>
      </c>
      <c r="ES1529" s="1" t="s">
        <v>322</v>
      </c>
      <c r="ET1529" s="1" t="s">
        <v>14866</v>
      </c>
      <c r="EU1529" s="1" t="s">
        <v>610</v>
      </c>
      <c r="EV1529" s="1" t="s">
        <v>324</v>
      </c>
      <c r="EW1529" s="1" t="s">
        <v>4250</v>
      </c>
      <c r="EY1529" s="1" t="s">
        <v>242</v>
      </c>
      <c r="EZ1529" s="1" t="s">
        <v>3875</v>
      </c>
      <c r="FA1529" s="1" t="s">
        <v>9237</v>
      </c>
      <c r="FB1529" s="1" t="s">
        <v>289</v>
      </c>
      <c r="FC1529" s="1" t="s">
        <v>1386</v>
      </c>
      <c r="FD1529" s="1" t="s">
        <v>246</v>
      </c>
      <c r="FE1529" s="1" t="s">
        <v>496</v>
      </c>
      <c r="FF1529" s="1" t="s">
        <v>248</v>
      </c>
      <c r="FG1529" s="1" t="s">
        <v>14522</v>
      </c>
      <c r="FH1529" s="1" t="s">
        <v>550</v>
      </c>
      <c r="FI1529" s="1" t="s">
        <v>473</v>
      </c>
      <c r="FJ1529" s="1" t="s">
        <v>197</v>
      </c>
      <c r="FL1529" s="1" t="s">
        <v>358</v>
      </c>
      <c r="FM1529" s="1" t="s">
        <v>252</v>
      </c>
      <c r="FN1529" s="1" t="s">
        <v>213</v>
      </c>
      <c r="FO1529" s="1" t="s">
        <v>213</v>
      </c>
      <c r="FQ1529" s="1" t="s">
        <v>793</v>
      </c>
      <c r="FR1529" s="1" t="s">
        <v>652</v>
      </c>
      <c r="FS1529" s="1" t="s">
        <v>14867</v>
      </c>
      <c r="FT1529" s="1" t="s">
        <v>1139</v>
      </c>
      <c r="FU1529" s="1" t="s">
        <v>204</v>
      </c>
      <c r="FW1529" s="1" t="s">
        <v>915</v>
      </c>
      <c r="FX1529" s="1">
        <v>25088</v>
      </c>
      <c r="FY1529" s="1" t="s">
        <v>1761</v>
      </c>
      <c r="FZ1529" s="1" t="s">
        <v>14868</v>
      </c>
      <c r="GA1529" s="1">
        <v>251165</v>
      </c>
      <c r="GB1529" s="1" t="s">
        <v>14869</v>
      </c>
      <c r="GD1529" s="1" t="s">
        <v>14870</v>
      </c>
      <c r="GE1529" s="1" t="s">
        <v>210</v>
      </c>
      <c r="GI1529" s="1" t="s">
        <v>213</v>
      </c>
      <c r="GJ1529" s="1" t="s">
        <v>260</v>
      </c>
      <c r="GK1529" s="1" t="s">
        <v>210</v>
      </c>
      <c r="GL1529" s="2">
        <v>42144</v>
      </c>
      <c r="GM1529" s="1" t="s">
        <v>14871</v>
      </c>
    </row>
    <row r="1530" spans="1:195">
      <c r="A1530" s="1">
        <v>95000</v>
      </c>
      <c r="B1530" s="1" t="s">
        <v>195</v>
      </c>
      <c r="C1530" s="1" t="str">
        <f>"08886158"</f>
        <v>08886158</v>
      </c>
      <c r="D1530" s="1" t="s">
        <v>196</v>
      </c>
      <c r="F1530" s="1" t="str">
        <f>"31"</f>
        <v>31</v>
      </c>
      <c r="G1530" s="2">
        <v>42103</v>
      </c>
      <c r="H1530" s="1">
        <v>99900</v>
      </c>
      <c r="I1530" s="1">
        <v>99900</v>
      </c>
      <c r="J1530" s="1">
        <v>95000</v>
      </c>
      <c r="K1530" s="2">
        <v>42102</v>
      </c>
      <c r="L1530" s="1">
        <v>5</v>
      </c>
      <c r="M1530" s="2">
        <v>42106</v>
      </c>
      <c r="N1530" s="1">
        <v>5</v>
      </c>
      <c r="O1530" s="2">
        <v>42106</v>
      </c>
      <c r="P1530" s="1">
        <v>2644</v>
      </c>
      <c r="Q1530" s="1" t="s">
        <v>302</v>
      </c>
      <c r="R1530" s="2">
        <v>42146</v>
      </c>
      <c r="S1530" s="1">
        <v>16586</v>
      </c>
      <c r="U1530" s="1">
        <v>565</v>
      </c>
      <c r="V1530" s="1" t="s">
        <v>14872</v>
      </c>
      <c r="W1530" s="1" t="s">
        <v>1056</v>
      </c>
      <c r="Y1530" s="1">
        <v>4</v>
      </c>
      <c r="Z1530" s="1" t="s">
        <v>249</v>
      </c>
      <c r="AA1530" s="1" t="s">
        <v>1057</v>
      </c>
      <c r="AB1530" s="1">
        <v>60031</v>
      </c>
      <c r="AD1530" s="1" t="s">
        <v>4200</v>
      </c>
      <c r="AE1530" s="1" t="s">
        <v>14873</v>
      </c>
      <c r="AF1530" s="1">
        <v>1976</v>
      </c>
      <c r="AG1530" s="1" t="s">
        <v>213</v>
      </c>
      <c r="AH1530" s="1" t="s">
        <v>1060</v>
      </c>
      <c r="AI1530" s="1" t="s">
        <v>509</v>
      </c>
      <c r="AJ1530" s="1" t="s">
        <v>1061</v>
      </c>
      <c r="AL1530" s="1">
        <v>5</v>
      </c>
      <c r="AM1530" s="1">
        <v>2</v>
      </c>
      <c r="AN1530" s="1">
        <v>2</v>
      </c>
      <c r="AO1530" s="1">
        <v>0</v>
      </c>
      <c r="AP1530" s="1" t="s">
        <v>209</v>
      </c>
      <c r="AQ1530" s="1">
        <v>1</v>
      </c>
      <c r="AR1530" s="1" t="s">
        <v>210</v>
      </c>
      <c r="AS1530" s="1" t="s">
        <v>204</v>
      </c>
      <c r="AT1530" s="1" t="s">
        <v>211</v>
      </c>
      <c r="AU1530" s="1">
        <v>1</v>
      </c>
      <c r="AW1530" s="1" t="s">
        <v>204</v>
      </c>
      <c r="AX1530" s="1" t="s">
        <v>4740</v>
      </c>
      <c r="AZ1530" s="1">
        <v>1936.37</v>
      </c>
      <c r="BA1530" s="1">
        <v>2013</v>
      </c>
      <c r="BB1530" s="1" t="s">
        <v>405</v>
      </c>
      <c r="BE1530" s="1">
        <v>1162</v>
      </c>
      <c r="BF1530" s="1">
        <v>1</v>
      </c>
      <c r="BG1530" s="1">
        <v>0</v>
      </c>
      <c r="BL1530" s="1">
        <v>351</v>
      </c>
      <c r="BM1530" s="1" t="s">
        <v>204</v>
      </c>
      <c r="BN1530" s="1" t="s">
        <v>213</v>
      </c>
      <c r="BO1530" s="1">
        <v>50</v>
      </c>
      <c r="BP1530" s="1" t="s">
        <v>204</v>
      </c>
      <c r="BR1530" s="1" t="str">
        <f>"07282070100000"</f>
        <v>07282070100000</v>
      </c>
      <c r="BT1530" s="1" t="s">
        <v>14874</v>
      </c>
      <c r="BX1530" s="1">
        <v>56</v>
      </c>
      <c r="BY1530" s="1">
        <v>56</v>
      </c>
      <c r="BZ1530" s="1">
        <v>121</v>
      </c>
      <c r="CB1530" s="1" t="str">
        <f>"33"</f>
        <v>33</v>
      </c>
      <c r="CC1530" s="1" t="str">
        <f>""</f>
        <v/>
      </c>
      <c r="CE1530" s="1">
        <v>16</v>
      </c>
      <c r="CG1530" s="1" t="s">
        <v>6197</v>
      </c>
      <c r="CH1530" s="1" t="s">
        <v>219</v>
      </c>
      <c r="CK1530" s="1" t="s">
        <v>346</v>
      </c>
      <c r="CL1530" s="1" t="s">
        <v>219</v>
      </c>
      <c r="CP1530" s="1" t="s">
        <v>224</v>
      </c>
      <c r="CS1530" s="1" t="s">
        <v>465</v>
      </c>
      <c r="CT1530" s="1" t="s">
        <v>277</v>
      </c>
      <c r="CX1530" s="1" t="s">
        <v>224</v>
      </c>
      <c r="DB1530" s="1" t="s">
        <v>224</v>
      </c>
      <c r="DE1530" s="1" t="s">
        <v>318</v>
      </c>
      <c r="DF1530" s="1" t="s">
        <v>219</v>
      </c>
      <c r="DJ1530" s="1" t="s">
        <v>224</v>
      </c>
      <c r="DM1530" s="1" t="s">
        <v>464</v>
      </c>
      <c r="DR1530" s="1" t="s">
        <v>6197</v>
      </c>
      <c r="DS1530" s="1" t="s">
        <v>277</v>
      </c>
      <c r="DW1530" s="1" t="s">
        <v>230</v>
      </c>
      <c r="EA1530" s="1" t="s">
        <v>230</v>
      </c>
      <c r="EE1530" s="1" t="s">
        <v>230</v>
      </c>
      <c r="EI1530" s="1" t="s">
        <v>230</v>
      </c>
      <c r="EL1530" s="1" t="s">
        <v>231</v>
      </c>
      <c r="EM1530" s="1" t="s">
        <v>232</v>
      </c>
      <c r="EN1530" s="1" t="s">
        <v>282</v>
      </c>
      <c r="EO1530" s="1" t="s">
        <v>234</v>
      </c>
      <c r="EP1530" s="1" t="s">
        <v>14875</v>
      </c>
      <c r="EQ1530" s="1" t="s">
        <v>236</v>
      </c>
      <c r="ER1530" s="1" t="s">
        <v>210</v>
      </c>
      <c r="EW1530" s="1" t="s">
        <v>14876</v>
      </c>
      <c r="EZ1530" s="1" t="s">
        <v>464</v>
      </c>
      <c r="FB1530" s="1" t="s">
        <v>289</v>
      </c>
      <c r="FC1530" s="1" t="s">
        <v>633</v>
      </c>
      <c r="FD1530" s="1" t="s">
        <v>246</v>
      </c>
      <c r="FE1530" s="1" t="s">
        <v>14877</v>
      </c>
      <c r="FF1530" s="1" t="s">
        <v>248</v>
      </c>
      <c r="FG1530" s="1" t="s">
        <v>939</v>
      </c>
      <c r="FH1530" s="1" t="s">
        <v>550</v>
      </c>
      <c r="FI1530" s="1" t="s">
        <v>3300</v>
      </c>
      <c r="FJ1530" s="1" t="s">
        <v>1251</v>
      </c>
      <c r="FL1530" s="1" t="s">
        <v>1073</v>
      </c>
      <c r="FM1530" s="1" t="s">
        <v>252</v>
      </c>
      <c r="FN1530" s="1" t="s">
        <v>213</v>
      </c>
      <c r="FO1530" s="1" t="s">
        <v>213</v>
      </c>
      <c r="FQ1530" s="1" t="s">
        <v>2359</v>
      </c>
      <c r="FR1530" s="1" t="s">
        <v>210</v>
      </c>
      <c r="FS1530" s="1" t="s">
        <v>4124</v>
      </c>
      <c r="FT1530" s="1" t="s">
        <v>255</v>
      </c>
      <c r="FU1530" s="1" t="s">
        <v>204</v>
      </c>
      <c r="FW1530" s="1" t="s">
        <v>14878</v>
      </c>
      <c r="FX1530" s="1">
        <v>8015</v>
      </c>
      <c r="FY1530" s="1" t="s">
        <v>14879</v>
      </c>
      <c r="FZ1530" s="1" t="s">
        <v>14880</v>
      </c>
      <c r="GA1530" s="1">
        <v>80267</v>
      </c>
      <c r="GB1530" s="1" t="s">
        <v>14881</v>
      </c>
      <c r="GE1530" s="1" t="s">
        <v>776</v>
      </c>
      <c r="GI1530" s="1" t="s">
        <v>213</v>
      </c>
      <c r="GJ1530" s="1" t="s">
        <v>260</v>
      </c>
      <c r="GK1530" s="1" t="s">
        <v>210</v>
      </c>
      <c r="GL1530" s="2">
        <v>42150</v>
      </c>
    </row>
    <row r="1531" spans="1:195">
      <c r="A1531" s="1">
        <v>49500</v>
      </c>
      <c r="B1531" s="1" t="s">
        <v>195</v>
      </c>
      <c r="C1531" s="1" t="str">
        <f>"08888788"</f>
        <v>08888788</v>
      </c>
      <c r="D1531" s="1" t="s">
        <v>196</v>
      </c>
      <c r="F1531" s="1" t="str">
        <f>"20"</f>
        <v>20</v>
      </c>
      <c r="G1531" s="2">
        <v>42107</v>
      </c>
      <c r="H1531" s="1">
        <v>52900</v>
      </c>
      <c r="I1531" s="1">
        <v>52900</v>
      </c>
      <c r="J1531" s="1">
        <v>49500</v>
      </c>
      <c r="K1531" s="2">
        <v>42107</v>
      </c>
      <c r="L1531" s="1">
        <v>81</v>
      </c>
      <c r="M1531" s="2">
        <v>42118</v>
      </c>
      <c r="N1531" s="1">
        <v>12</v>
      </c>
      <c r="O1531" s="2">
        <v>42118</v>
      </c>
      <c r="P1531" s="1">
        <v>25211</v>
      </c>
      <c r="Q1531" s="1" t="s">
        <v>302</v>
      </c>
      <c r="R1531" s="2">
        <v>42139</v>
      </c>
      <c r="S1531" s="1">
        <v>238527</v>
      </c>
      <c r="U1531" s="1">
        <v>12</v>
      </c>
      <c r="V1531" s="1" t="s">
        <v>14882</v>
      </c>
      <c r="W1531" s="1" t="s">
        <v>725</v>
      </c>
      <c r="X1531" s="1">
        <v>4</v>
      </c>
      <c r="Y1531" s="1">
        <v>8</v>
      </c>
      <c r="Z1531" s="1" t="s">
        <v>249</v>
      </c>
      <c r="AA1531" s="1" t="s">
        <v>592</v>
      </c>
      <c r="AB1531" s="1">
        <v>60020</v>
      </c>
      <c r="AD1531" s="1" t="s">
        <v>11495</v>
      </c>
      <c r="AE1531" s="1" t="s">
        <v>14883</v>
      </c>
      <c r="AF1531" s="1">
        <v>1970</v>
      </c>
      <c r="AG1531" s="1" t="s">
        <v>213</v>
      </c>
      <c r="AH1531" s="1" t="s">
        <v>595</v>
      </c>
      <c r="AI1531" s="1" t="s">
        <v>509</v>
      </c>
      <c r="AJ1531" s="1" t="s">
        <v>596</v>
      </c>
      <c r="AK1531" s="1" t="s">
        <v>11497</v>
      </c>
      <c r="AL1531" s="1">
        <v>4</v>
      </c>
      <c r="AM1531" s="1">
        <v>2</v>
      </c>
      <c r="AN1531" s="1">
        <v>1</v>
      </c>
      <c r="AO1531" s="1">
        <v>0</v>
      </c>
      <c r="AP1531" s="1" t="s">
        <v>210</v>
      </c>
      <c r="AQ1531" s="1">
        <v>0</v>
      </c>
      <c r="AR1531" s="1" t="s">
        <v>210</v>
      </c>
      <c r="AT1531" s="1" t="s">
        <v>271</v>
      </c>
      <c r="AV1531" s="1">
        <v>2</v>
      </c>
      <c r="AW1531" s="1" t="s">
        <v>204</v>
      </c>
      <c r="AX1531" s="1" t="s">
        <v>212</v>
      </c>
      <c r="AZ1531" s="1">
        <v>1400</v>
      </c>
      <c r="BA1531" s="1">
        <v>2013</v>
      </c>
      <c r="BB1531" s="1" t="s">
        <v>210</v>
      </c>
      <c r="BC1531" s="1">
        <v>0</v>
      </c>
      <c r="BE1531" s="1">
        <v>690</v>
      </c>
      <c r="BF1531" s="1">
        <v>1</v>
      </c>
      <c r="BG1531" s="1">
        <v>0</v>
      </c>
      <c r="BL1531" s="1">
        <v>344</v>
      </c>
      <c r="BM1531" s="1" t="s">
        <v>204</v>
      </c>
      <c r="BN1531" s="1" t="s">
        <v>213</v>
      </c>
      <c r="BO1531" s="1">
        <v>80</v>
      </c>
      <c r="BP1531" s="1" t="s">
        <v>204</v>
      </c>
      <c r="BR1531" s="1" t="str">
        <f>"01331005160000"</f>
        <v>01331005160000</v>
      </c>
      <c r="BT1531" s="1" t="s">
        <v>14884</v>
      </c>
      <c r="BU1531" s="1" t="s">
        <v>2262</v>
      </c>
      <c r="BV1531" s="1" t="s">
        <v>2263</v>
      </c>
      <c r="BW1531" s="1" t="s">
        <v>2264</v>
      </c>
      <c r="BX1531" s="1">
        <v>114</v>
      </c>
      <c r="BY1531" s="1">
        <v>114</v>
      </c>
      <c r="BZ1531" s="1">
        <v>124</v>
      </c>
      <c r="CB1531" s="1" t="str">
        <f>"38"</f>
        <v>38</v>
      </c>
      <c r="CC1531" s="1" t="str">
        <f>"0"</f>
        <v>0</v>
      </c>
      <c r="CD1531" s="1">
        <v>28</v>
      </c>
      <c r="CE1531" s="1">
        <v>0</v>
      </c>
      <c r="CG1531" s="1" t="s">
        <v>1723</v>
      </c>
      <c r="CH1531" s="1" t="s">
        <v>219</v>
      </c>
      <c r="CI1531" s="1" t="s">
        <v>229</v>
      </c>
      <c r="CJ1531" s="1" t="s">
        <v>252</v>
      </c>
      <c r="CK1531" s="1" t="s">
        <v>465</v>
      </c>
      <c r="CL1531" s="1" t="s">
        <v>277</v>
      </c>
      <c r="CM1531" s="1" t="s">
        <v>229</v>
      </c>
      <c r="CN1531" s="1" t="s">
        <v>252</v>
      </c>
      <c r="CP1531" s="1" t="s">
        <v>224</v>
      </c>
      <c r="CS1531" s="1" t="s">
        <v>379</v>
      </c>
      <c r="CT1531" s="1" t="s">
        <v>277</v>
      </c>
      <c r="CU1531" s="1" t="s">
        <v>229</v>
      </c>
      <c r="CX1531" s="1" t="s">
        <v>224</v>
      </c>
      <c r="DB1531" s="1" t="s">
        <v>224</v>
      </c>
      <c r="DE1531" s="1" t="s">
        <v>565</v>
      </c>
      <c r="DF1531" s="1" t="s">
        <v>219</v>
      </c>
      <c r="DG1531" s="1" t="s">
        <v>342</v>
      </c>
      <c r="DH1531" s="1" t="s">
        <v>210</v>
      </c>
      <c r="DJ1531" s="1" t="s">
        <v>224</v>
      </c>
      <c r="DS1531" s="1" t="s">
        <v>230</v>
      </c>
      <c r="DW1531" s="1" t="s">
        <v>230</v>
      </c>
      <c r="EA1531" s="1" t="s">
        <v>230</v>
      </c>
      <c r="EE1531" s="1" t="s">
        <v>230</v>
      </c>
      <c r="EI1531" s="1" t="s">
        <v>230</v>
      </c>
      <c r="EL1531" s="1" t="s">
        <v>605</v>
      </c>
      <c r="EM1531" s="1" t="s">
        <v>319</v>
      </c>
      <c r="EN1531" s="1" t="s">
        <v>282</v>
      </c>
      <c r="EO1531" s="1" t="s">
        <v>234</v>
      </c>
      <c r="EP1531" s="1" t="s">
        <v>14885</v>
      </c>
      <c r="EQ1531" s="1" t="s">
        <v>3718</v>
      </c>
      <c r="ER1531" s="1" t="s">
        <v>210</v>
      </c>
      <c r="ES1531" s="1" t="s">
        <v>3719</v>
      </c>
      <c r="EU1531" s="1" t="s">
        <v>14886</v>
      </c>
      <c r="EV1531" s="1" t="s">
        <v>240</v>
      </c>
      <c r="EW1531" s="1" t="s">
        <v>14887</v>
      </c>
      <c r="EY1531" s="1" t="s">
        <v>242</v>
      </c>
      <c r="EZ1531" s="1" t="s">
        <v>287</v>
      </c>
      <c r="FA1531" s="1" t="s">
        <v>2622</v>
      </c>
      <c r="FB1531" s="1" t="s">
        <v>244</v>
      </c>
      <c r="FC1531" s="1" t="s">
        <v>633</v>
      </c>
      <c r="FD1531" s="1" t="s">
        <v>290</v>
      </c>
      <c r="FE1531" s="1" t="s">
        <v>889</v>
      </c>
      <c r="FF1531" s="1" t="s">
        <v>2998</v>
      </c>
      <c r="FH1531" s="1" t="s">
        <v>249</v>
      </c>
      <c r="FK1531" s="1" t="s">
        <v>6240</v>
      </c>
      <c r="FL1531" s="1" t="s">
        <v>614</v>
      </c>
      <c r="FM1531" s="1" t="s">
        <v>252</v>
      </c>
      <c r="FN1531" s="1" t="s">
        <v>213</v>
      </c>
      <c r="FO1531" s="1" t="s">
        <v>213</v>
      </c>
      <c r="FQ1531" s="1" t="s">
        <v>14088</v>
      </c>
      <c r="FR1531" s="1" t="s">
        <v>652</v>
      </c>
      <c r="FS1531" s="1" t="s">
        <v>14888</v>
      </c>
      <c r="FT1531" s="1" t="s">
        <v>14889</v>
      </c>
      <c r="FU1531" s="1" t="s">
        <v>204</v>
      </c>
      <c r="FV1531" s="1" t="s">
        <v>14890</v>
      </c>
      <c r="FW1531" s="1" t="s">
        <v>3231</v>
      </c>
      <c r="FX1531" s="1">
        <v>24451</v>
      </c>
      <c r="FY1531" s="1" t="s">
        <v>3232</v>
      </c>
      <c r="FZ1531" s="1" t="s">
        <v>10643</v>
      </c>
      <c r="GA1531" s="1">
        <v>256870</v>
      </c>
      <c r="GB1531" s="1" t="s">
        <v>3232</v>
      </c>
      <c r="GD1531" s="1" t="s">
        <v>11705</v>
      </c>
      <c r="GE1531" s="1" t="s">
        <v>1256</v>
      </c>
      <c r="GI1531" s="1" t="s">
        <v>204</v>
      </c>
      <c r="GJ1531" s="1" t="s">
        <v>300</v>
      </c>
      <c r="GK1531" s="1" t="s">
        <v>210</v>
      </c>
      <c r="GL1531" s="2">
        <v>42139</v>
      </c>
      <c r="GM1531" s="1" t="s">
        <v>14891</v>
      </c>
    </row>
    <row r="1532" spans="1:195">
      <c r="A1532" s="1">
        <v>26000</v>
      </c>
      <c r="B1532" s="1" t="s">
        <v>195</v>
      </c>
      <c r="C1532" s="1" t="str">
        <f>"08893484"</f>
        <v>08893484</v>
      </c>
      <c r="D1532" s="1" t="s">
        <v>196</v>
      </c>
      <c r="F1532" s="1" t="str">
        <f>"8051"</f>
        <v>8051</v>
      </c>
      <c r="G1532" s="2">
        <v>42110</v>
      </c>
      <c r="H1532" s="1">
        <v>25300</v>
      </c>
      <c r="I1532" s="1">
        <v>25300</v>
      </c>
      <c r="J1532" s="1">
        <v>26000</v>
      </c>
      <c r="K1532" s="2">
        <v>42109</v>
      </c>
      <c r="L1532" s="1">
        <v>21</v>
      </c>
      <c r="M1532" s="2">
        <v>42129</v>
      </c>
      <c r="N1532" s="1">
        <v>21</v>
      </c>
      <c r="O1532" s="2">
        <v>42129</v>
      </c>
      <c r="P1532" s="1">
        <v>25624</v>
      </c>
      <c r="Q1532" s="1" t="s">
        <v>302</v>
      </c>
      <c r="R1532" s="2">
        <v>42146</v>
      </c>
      <c r="S1532" s="1">
        <v>608055</v>
      </c>
      <c r="U1532" s="1">
        <v>9634</v>
      </c>
      <c r="V1532" s="1" t="s">
        <v>14892</v>
      </c>
      <c r="W1532" s="1" t="s">
        <v>425</v>
      </c>
      <c r="Y1532" s="1">
        <v>2</v>
      </c>
      <c r="Z1532" s="1" t="s">
        <v>200</v>
      </c>
      <c r="AA1532" s="1" t="s">
        <v>400</v>
      </c>
      <c r="AB1532" s="1">
        <v>60617</v>
      </c>
      <c r="AD1532" s="1" t="s">
        <v>14893</v>
      </c>
      <c r="AE1532" s="1" t="s">
        <v>14894</v>
      </c>
      <c r="AF1532" s="1">
        <v>1942</v>
      </c>
      <c r="AG1532" s="1" t="s">
        <v>213</v>
      </c>
      <c r="AH1532" s="1" t="s">
        <v>403</v>
      </c>
      <c r="AI1532" s="1" t="s">
        <v>310</v>
      </c>
      <c r="AJ1532" s="1" t="s">
        <v>562</v>
      </c>
      <c r="AK1532" s="1" t="s">
        <v>9420</v>
      </c>
      <c r="AL1532" s="1">
        <v>5</v>
      </c>
      <c r="AM1532" s="1">
        <v>2</v>
      </c>
      <c r="AN1532" s="1">
        <v>1</v>
      </c>
      <c r="AO1532" s="1">
        <v>0</v>
      </c>
      <c r="AP1532" s="1" t="s">
        <v>210</v>
      </c>
      <c r="AR1532" s="1" t="s">
        <v>209</v>
      </c>
      <c r="AS1532" s="1" t="s">
        <v>204</v>
      </c>
      <c r="AT1532" s="1" t="s">
        <v>211</v>
      </c>
      <c r="AU1532" s="1">
        <v>1</v>
      </c>
      <c r="AW1532" s="1" t="s">
        <v>204</v>
      </c>
      <c r="AX1532" s="1" t="s">
        <v>2379</v>
      </c>
      <c r="AZ1532" s="1">
        <v>1328.44</v>
      </c>
      <c r="BA1532" s="1">
        <v>2013</v>
      </c>
      <c r="BB1532" s="1" t="s">
        <v>210</v>
      </c>
      <c r="BE1532" s="1">
        <v>956</v>
      </c>
      <c r="BF1532" s="1">
        <v>1</v>
      </c>
      <c r="BG1532" s="1">
        <v>0</v>
      </c>
      <c r="BL1532" s="1">
        <v>0</v>
      </c>
      <c r="BM1532" s="1" t="s">
        <v>204</v>
      </c>
      <c r="BN1532" s="1" t="s">
        <v>213</v>
      </c>
      <c r="BO1532" s="1" t="s">
        <v>432</v>
      </c>
      <c r="BP1532" s="1" t="s">
        <v>204</v>
      </c>
      <c r="BR1532" s="1" t="str">
        <f>"26071150760000"</f>
        <v>26071150760000</v>
      </c>
      <c r="BT1532" s="1" t="s">
        <v>14895</v>
      </c>
      <c r="BX1532" s="1">
        <v>299</v>
      </c>
      <c r="BY1532" s="1">
        <v>299</v>
      </c>
      <c r="BZ1532" s="1">
        <v>299</v>
      </c>
      <c r="CB1532" s="1" t="str">
        <f t="shared" ref="CB1532:CB1533" si="1170">"0"</f>
        <v>0</v>
      </c>
      <c r="CC1532" s="1" t="str">
        <f>"2600"</f>
        <v>2600</v>
      </c>
      <c r="CD1532" s="1">
        <v>0</v>
      </c>
      <c r="CE1532" s="1">
        <v>9605</v>
      </c>
      <c r="CG1532" s="1" t="s">
        <v>221</v>
      </c>
      <c r="CH1532" s="1" t="s">
        <v>219</v>
      </c>
      <c r="CK1532" s="1" t="s">
        <v>539</v>
      </c>
      <c r="CL1532" s="1" t="s">
        <v>277</v>
      </c>
      <c r="CO1532" s="1" t="s">
        <v>821</v>
      </c>
      <c r="CP1532" s="1" t="s">
        <v>219</v>
      </c>
      <c r="CS1532" s="1" t="s">
        <v>465</v>
      </c>
      <c r="CT1532" s="1" t="s">
        <v>277</v>
      </c>
      <c r="CX1532" s="1" t="s">
        <v>224</v>
      </c>
      <c r="DB1532" s="1" t="s">
        <v>224</v>
      </c>
      <c r="DE1532" s="1" t="s">
        <v>318</v>
      </c>
      <c r="DF1532" s="1" t="s">
        <v>219</v>
      </c>
      <c r="DJ1532" s="1" t="s">
        <v>224</v>
      </c>
      <c r="DL1532" s="1" t="s">
        <v>210</v>
      </c>
      <c r="DS1532" s="1" t="s">
        <v>230</v>
      </c>
      <c r="DW1532" s="1" t="s">
        <v>230</v>
      </c>
      <c r="EA1532" s="1" t="s">
        <v>230</v>
      </c>
      <c r="EE1532" s="1" t="s">
        <v>230</v>
      </c>
      <c r="EI1532" s="1" t="s">
        <v>230</v>
      </c>
      <c r="EL1532" s="1" t="s">
        <v>440</v>
      </c>
      <c r="EM1532" s="1" t="s">
        <v>232</v>
      </c>
      <c r="EN1532" s="1" t="s">
        <v>210</v>
      </c>
      <c r="EO1532" s="1" t="s">
        <v>234</v>
      </c>
      <c r="ER1532" s="1" t="s">
        <v>1249</v>
      </c>
      <c r="ES1532" s="1" t="s">
        <v>322</v>
      </c>
      <c r="EV1532" s="1" t="s">
        <v>324</v>
      </c>
      <c r="EW1532" s="1" t="s">
        <v>210</v>
      </c>
      <c r="EZ1532" s="1" t="s">
        <v>287</v>
      </c>
      <c r="FD1532" s="1" t="s">
        <v>246</v>
      </c>
      <c r="FE1532" s="1" t="s">
        <v>247</v>
      </c>
      <c r="FF1532" s="1" t="s">
        <v>248</v>
      </c>
      <c r="FH1532" s="1" t="s">
        <v>442</v>
      </c>
      <c r="FL1532" s="1" t="s">
        <v>414</v>
      </c>
      <c r="FM1532" s="1" t="s">
        <v>252</v>
      </c>
      <c r="FN1532" s="1" t="s">
        <v>213</v>
      </c>
      <c r="FO1532" s="1" t="s">
        <v>213</v>
      </c>
      <c r="FQ1532" s="1" t="s">
        <v>14896</v>
      </c>
      <c r="FR1532" s="1" t="s">
        <v>210</v>
      </c>
      <c r="FS1532" s="1" t="s">
        <v>1429</v>
      </c>
      <c r="FT1532" s="1" t="s">
        <v>295</v>
      </c>
      <c r="FU1532" s="1" t="s">
        <v>204</v>
      </c>
      <c r="FW1532" s="1" t="s">
        <v>9046</v>
      </c>
      <c r="FX1532" s="1">
        <v>84674</v>
      </c>
      <c r="FY1532" s="1" t="s">
        <v>9047</v>
      </c>
      <c r="FZ1532" s="1" t="s">
        <v>9048</v>
      </c>
      <c r="GA1532" s="1">
        <v>109817</v>
      </c>
      <c r="GB1532" s="1" t="s">
        <v>9049</v>
      </c>
      <c r="GC1532" s="1">
        <v>178784</v>
      </c>
      <c r="GE1532" s="1" t="s">
        <v>210</v>
      </c>
      <c r="GH1532" s="1" t="s">
        <v>421</v>
      </c>
      <c r="GI1532" s="1" t="s">
        <v>213</v>
      </c>
      <c r="GJ1532" s="1" t="s">
        <v>260</v>
      </c>
      <c r="GK1532" s="1" t="s">
        <v>210</v>
      </c>
      <c r="GL1532" s="2">
        <v>42146</v>
      </c>
      <c r="GM1532" s="1" t="s">
        <v>14897</v>
      </c>
    </row>
    <row r="1533" spans="1:195">
      <c r="A1533" s="1">
        <v>147000</v>
      </c>
      <c r="B1533" s="1" t="s">
        <v>195</v>
      </c>
      <c r="C1533" s="1" t="str">
        <f>"08891918"</f>
        <v>08891918</v>
      </c>
      <c r="D1533" s="1" t="s">
        <v>196</v>
      </c>
      <c r="F1533" s="1" t="str">
        <f>"516"</f>
        <v>516</v>
      </c>
      <c r="G1533" s="2">
        <v>42109</v>
      </c>
      <c r="H1533" s="1">
        <v>152900</v>
      </c>
      <c r="I1533" s="1">
        <v>152900</v>
      </c>
      <c r="J1533" s="1">
        <v>147000</v>
      </c>
      <c r="K1533" s="2">
        <v>42109</v>
      </c>
      <c r="L1533" s="1">
        <v>155</v>
      </c>
      <c r="M1533" s="2">
        <v>42114</v>
      </c>
      <c r="N1533" s="1">
        <v>6</v>
      </c>
      <c r="O1533" s="2">
        <v>42114</v>
      </c>
      <c r="P1533" s="1">
        <v>23265</v>
      </c>
      <c r="Q1533" s="1" t="s">
        <v>197</v>
      </c>
      <c r="R1533" s="2">
        <v>42146</v>
      </c>
      <c r="S1533" s="1">
        <v>212343</v>
      </c>
      <c r="T1533" s="1">
        <v>5450</v>
      </c>
      <c r="U1533" s="1">
        <v>7505</v>
      </c>
      <c r="V1533" s="1" t="s">
        <v>11364</v>
      </c>
      <c r="W1533" s="1" t="s">
        <v>264</v>
      </c>
      <c r="X1533" s="1" t="s">
        <v>14898</v>
      </c>
      <c r="Y1533" s="1">
        <v>6</v>
      </c>
      <c r="Z1533" s="1" t="s">
        <v>249</v>
      </c>
      <c r="AA1533" s="1" t="s">
        <v>1417</v>
      </c>
      <c r="AB1533" s="1">
        <v>60527</v>
      </c>
      <c r="AD1533" s="1" t="s">
        <v>14899</v>
      </c>
      <c r="AE1533" s="1" t="s">
        <v>14900</v>
      </c>
      <c r="AF1533" s="1">
        <v>1992</v>
      </c>
      <c r="AG1533" s="1" t="s">
        <v>204</v>
      </c>
      <c r="AH1533" s="1" t="s">
        <v>1419</v>
      </c>
      <c r="AI1533" s="1" t="s">
        <v>206</v>
      </c>
      <c r="AJ1533" s="1" t="s">
        <v>903</v>
      </c>
      <c r="AK1533" s="1" t="s">
        <v>1151</v>
      </c>
      <c r="AL1533" s="1">
        <v>5</v>
      </c>
      <c r="AM1533" s="1">
        <v>2</v>
      </c>
      <c r="AN1533" s="1">
        <v>2</v>
      </c>
      <c r="AO1533" s="1">
        <v>0</v>
      </c>
      <c r="AP1533" s="1" t="s">
        <v>209</v>
      </c>
      <c r="AR1533" s="1" t="s">
        <v>210</v>
      </c>
      <c r="AS1533" s="1" t="s">
        <v>204</v>
      </c>
      <c r="AT1533" s="1" t="s">
        <v>211</v>
      </c>
      <c r="AU1533" s="1">
        <v>1</v>
      </c>
      <c r="AW1533" s="1" t="s">
        <v>204</v>
      </c>
      <c r="AX1533" s="1" t="s">
        <v>212</v>
      </c>
      <c r="AZ1533" s="1">
        <v>1545</v>
      </c>
      <c r="BA1533" s="1">
        <v>2013</v>
      </c>
      <c r="BE1533" s="1">
        <v>1062</v>
      </c>
      <c r="BF1533" s="1">
        <v>2</v>
      </c>
      <c r="BG1533" s="1">
        <v>30</v>
      </c>
      <c r="BJ1533" s="1">
        <v>100</v>
      </c>
      <c r="BL1533" s="1">
        <v>207</v>
      </c>
      <c r="BM1533" s="1" t="s">
        <v>204</v>
      </c>
      <c r="BN1533" s="1" t="s">
        <v>213</v>
      </c>
      <c r="BO1533" s="1">
        <v>25</v>
      </c>
      <c r="BP1533" s="1" t="s">
        <v>204</v>
      </c>
      <c r="BR1533" s="1" t="str">
        <f>"0927420002"</f>
        <v>0927420002</v>
      </c>
      <c r="BT1533" s="1" t="s">
        <v>14901</v>
      </c>
      <c r="BU1533" s="1" t="s">
        <v>6602</v>
      </c>
      <c r="BV1533" s="1" t="s">
        <v>6603</v>
      </c>
      <c r="BW1533" s="1" t="s">
        <v>907</v>
      </c>
      <c r="BX1533" s="1">
        <v>62</v>
      </c>
      <c r="BY1533" s="1">
        <v>62</v>
      </c>
      <c r="BZ1533" s="1">
        <v>86</v>
      </c>
      <c r="CB1533" s="1" t="str">
        <f t="shared" si="1170"/>
        <v>0</v>
      </c>
      <c r="CC1533" s="1" t="str">
        <f>"0"</f>
        <v>0</v>
      </c>
      <c r="CD1533" s="1">
        <v>17</v>
      </c>
      <c r="CE1533" s="1">
        <v>8</v>
      </c>
      <c r="CG1533" s="1" t="s">
        <v>1004</v>
      </c>
      <c r="CH1533" s="1" t="s">
        <v>277</v>
      </c>
      <c r="CI1533" s="1" t="s">
        <v>438</v>
      </c>
      <c r="CK1533" s="1" t="s">
        <v>228</v>
      </c>
      <c r="CL1533" s="1" t="s">
        <v>277</v>
      </c>
      <c r="CM1533" s="1" t="s">
        <v>229</v>
      </c>
      <c r="CO1533" s="1" t="s">
        <v>1046</v>
      </c>
      <c r="CP1533" s="1" t="s">
        <v>277</v>
      </c>
      <c r="CQ1533" s="1" t="s">
        <v>438</v>
      </c>
      <c r="CS1533" s="1" t="s">
        <v>465</v>
      </c>
      <c r="CT1533" s="1" t="s">
        <v>277</v>
      </c>
      <c r="CU1533" s="1" t="s">
        <v>229</v>
      </c>
      <c r="CX1533" s="1" t="s">
        <v>224</v>
      </c>
      <c r="DB1533" s="1" t="s">
        <v>224</v>
      </c>
      <c r="DE1533" s="1" t="s">
        <v>465</v>
      </c>
      <c r="DF1533" s="1" t="s">
        <v>277</v>
      </c>
      <c r="DG1533" s="1" t="s">
        <v>342</v>
      </c>
      <c r="DJ1533" s="1" t="s">
        <v>224</v>
      </c>
      <c r="DS1533" s="1" t="s">
        <v>230</v>
      </c>
      <c r="DW1533" s="1" t="s">
        <v>230</v>
      </c>
      <c r="EA1533" s="1" t="s">
        <v>230</v>
      </c>
      <c r="EE1533" s="1" t="s">
        <v>230</v>
      </c>
      <c r="EI1533" s="1" t="s">
        <v>230</v>
      </c>
      <c r="EL1533" s="1" t="s">
        <v>382</v>
      </c>
      <c r="EM1533" s="1" t="s">
        <v>730</v>
      </c>
      <c r="EN1533" s="1" t="s">
        <v>282</v>
      </c>
      <c r="EO1533" s="1" t="s">
        <v>234</v>
      </c>
      <c r="EP1533" s="1" t="s">
        <v>14902</v>
      </c>
      <c r="EQ1533" s="1" t="s">
        <v>468</v>
      </c>
      <c r="ER1533" s="1" t="s">
        <v>210</v>
      </c>
      <c r="ES1533" s="1" t="s">
        <v>824</v>
      </c>
      <c r="EU1533" s="1" t="s">
        <v>610</v>
      </c>
      <c r="EV1533" s="1" t="s">
        <v>240</v>
      </c>
      <c r="EW1533" s="1" t="s">
        <v>384</v>
      </c>
      <c r="EZ1533" s="1" t="s">
        <v>287</v>
      </c>
      <c r="FA1533" s="1" t="s">
        <v>5547</v>
      </c>
      <c r="FC1533" s="1" t="s">
        <v>633</v>
      </c>
      <c r="FD1533" s="1" t="s">
        <v>888</v>
      </c>
      <c r="FE1533" s="1" t="s">
        <v>247</v>
      </c>
      <c r="FF1533" s="1" t="s">
        <v>387</v>
      </c>
      <c r="FH1533" s="1" t="s">
        <v>716</v>
      </c>
      <c r="FI1533" s="1" t="s">
        <v>473</v>
      </c>
      <c r="FL1533" s="1" t="s">
        <v>1826</v>
      </c>
      <c r="FM1533" s="1" t="s">
        <v>252</v>
      </c>
      <c r="FN1533" s="1" t="s">
        <v>213</v>
      </c>
      <c r="FO1533" s="1" t="s">
        <v>213</v>
      </c>
      <c r="FQ1533" s="1" t="s">
        <v>849</v>
      </c>
      <c r="FR1533" s="1" t="s">
        <v>210</v>
      </c>
      <c r="FS1533" s="1" t="s">
        <v>9181</v>
      </c>
      <c r="FT1533" s="1" t="s">
        <v>362</v>
      </c>
      <c r="FU1533" s="1" t="s">
        <v>204</v>
      </c>
      <c r="FW1533" s="1" t="s">
        <v>14903</v>
      </c>
      <c r="FX1533" s="1">
        <v>84070</v>
      </c>
      <c r="FY1533" s="1" t="s">
        <v>14904</v>
      </c>
      <c r="FZ1533" s="1" t="s">
        <v>14905</v>
      </c>
      <c r="GA1533" s="1">
        <v>879622</v>
      </c>
      <c r="GB1533" s="1" t="s">
        <v>14906</v>
      </c>
      <c r="GE1533" s="1" t="s">
        <v>335</v>
      </c>
      <c r="GI1533" s="1" t="s">
        <v>213</v>
      </c>
      <c r="GJ1533" s="1" t="s">
        <v>260</v>
      </c>
      <c r="GK1533" s="1" t="s">
        <v>210</v>
      </c>
      <c r="GL1533" s="2">
        <v>42146</v>
      </c>
      <c r="GM1533" s="1" t="s">
        <v>14907</v>
      </c>
    </row>
    <row r="1534" spans="1:195">
      <c r="A1534" s="1">
        <v>393500</v>
      </c>
      <c r="B1534" s="1" t="s">
        <v>195</v>
      </c>
      <c r="C1534" s="1" t="str">
        <f>"08429155"</f>
        <v>08429155</v>
      </c>
      <c r="D1534" s="1" t="s">
        <v>196</v>
      </c>
      <c r="F1534" s="1" t="str">
        <f>"181"</f>
        <v>181</v>
      </c>
      <c r="G1534" s="2">
        <v>41510</v>
      </c>
      <c r="H1534" s="1">
        <v>394900</v>
      </c>
      <c r="I1534" s="1">
        <v>394900</v>
      </c>
      <c r="J1534" s="1">
        <v>393500</v>
      </c>
      <c r="K1534" s="2">
        <v>41510</v>
      </c>
      <c r="L1534" s="1">
        <v>414</v>
      </c>
      <c r="M1534" s="2">
        <v>41923</v>
      </c>
      <c r="N1534" s="1">
        <v>414</v>
      </c>
      <c r="O1534" s="2">
        <v>41923</v>
      </c>
      <c r="P1534" s="1">
        <v>24190</v>
      </c>
      <c r="Q1534" s="1" t="s">
        <v>302</v>
      </c>
      <c r="R1534" s="2">
        <v>42030</v>
      </c>
      <c r="S1534" s="1">
        <v>229913</v>
      </c>
      <c r="U1534" s="1">
        <v>708</v>
      </c>
      <c r="V1534" s="1" t="s">
        <v>14908</v>
      </c>
      <c r="W1534" s="1" t="s">
        <v>264</v>
      </c>
      <c r="Y1534" s="1">
        <v>3</v>
      </c>
      <c r="Z1534" s="1" t="s">
        <v>370</v>
      </c>
      <c r="AA1534" s="1" t="s">
        <v>3310</v>
      </c>
      <c r="AB1534" s="1">
        <v>60181</v>
      </c>
      <c r="AE1534" s="1" t="s">
        <v>14909</v>
      </c>
      <c r="AF1534" s="1">
        <v>2013</v>
      </c>
      <c r="AG1534" s="1" t="s">
        <v>204</v>
      </c>
      <c r="AH1534" s="1" t="s">
        <v>6529</v>
      </c>
      <c r="AI1534" s="1" t="s">
        <v>206</v>
      </c>
      <c r="AJ1534" s="1" t="s">
        <v>1608</v>
      </c>
      <c r="AK1534" s="1" t="s">
        <v>3337</v>
      </c>
      <c r="AL1534" s="1">
        <v>6</v>
      </c>
      <c r="AM1534" s="1">
        <v>2</v>
      </c>
      <c r="AN1534" s="1">
        <v>2</v>
      </c>
      <c r="AO1534" s="1">
        <v>0</v>
      </c>
      <c r="AP1534" s="1" t="s">
        <v>209</v>
      </c>
      <c r="AQ1534" s="1">
        <v>1</v>
      </c>
      <c r="AR1534" s="1" t="s">
        <v>209</v>
      </c>
      <c r="AS1534" s="1" t="s">
        <v>204</v>
      </c>
      <c r="AT1534" s="1" t="s">
        <v>211</v>
      </c>
      <c r="AU1534" s="1">
        <v>2</v>
      </c>
      <c r="AW1534" s="1" t="s">
        <v>204</v>
      </c>
      <c r="AX1534" s="1" t="s">
        <v>212</v>
      </c>
      <c r="AZ1534" s="1" t="s">
        <v>751</v>
      </c>
      <c r="BA1534" s="1">
        <v>2012</v>
      </c>
      <c r="BE1534" s="1">
        <v>1640</v>
      </c>
      <c r="BF1534" s="1">
        <v>1</v>
      </c>
      <c r="BG1534" s="1">
        <v>10</v>
      </c>
      <c r="BL1534" s="1">
        <v>158</v>
      </c>
      <c r="BM1534" s="1" t="s">
        <v>204</v>
      </c>
      <c r="BN1534" s="1" t="s">
        <v>213</v>
      </c>
      <c r="BO1534" s="1">
        <v>35</v>
      </c>
      <c r="BP1534" s="1" t="s">
        <v>213</v>
      </c>
      <c r="BQ1534" s="2">
        <v>41578</v>
      </c>
      <c r="BR1534" s="1" t="str">
        <f>"0622200000"</f>
        <v>0622200000</v>
      </c>
      <c r="BT1534" s="1" t="s">
        <v>14910</v>
      </c>
      <c r="BX1534" s="1">
        <v>48</v>
      </c>
      <c r="BY1534" s="1">
        <v>48</v>
      </c>
      <c r="BZ1534" s="1">
        <v>88</v>
      </c>
      <c r="CB1534" s="1" t="str">
        <f t="shared" ref="CB1534:CC1534" si="1171">""</f>
        <v/>
      </c>
      <c r="CC1534" s="1" t="str">
        <f t="shared" si="1171"/>
        <v/>
      </c>
      <c r="CH1534" s="1" t="s">
        <v>224</v>
      </c>
      <c r="CK1534" s="1" t="s">
        <v>1045</v>
      </c>
      <c r="CL1534" s="1" t="s">
        <v>219</v>
      </c>
      <c r="CM1534" s="1" t="s">
        <v>220</v>
      </c>
      <c r="CO1534" s="1" t="s">
        <v>629</v>
      </c>
      <c r="CP1534" s="1" t="s">
        <v>219</v>
      </c>
      <c r="CQ1534" s="1" t="s">
        <v>438</v>
      </c>
      <c r="CS1534" s="1" t="s">
        <v>346</v>
      </c>
      <c r="CT1534" s="1" t="s">
        <v>219</v>
      </c>
      <c r="CU1534" s="1" t="s">
        <v>220</v>
      </c>
      <c r="CX1534" s="1" t="s">
        <v>224</v>
      </c>
      <c r="DB1534" s="1" t="s">
        <v>224</v>
      </c>
      <c r="DE1534" s="1" t="s">
        <v>1046</v>
      </c>
      <c r="DF1534" s="1" t="s">
        <v>219</v>
      </c>
      <c r="DG1534" s="1" t="s">
        <v>438</v>
      </c>
      <c r="DI1534" s="1" t="s">
        <v>538</v>
      </c>
      <c r="DJ1534" s="1" t="s">
        <v>219</v>
      </c>
      <c r="DK1534" s="1" t="s">
        <v>438</v>
      </c>
      <c r="DM1534" s="1" t="s">
        <v>1005</v>
      </c>
      <c r="DR1534" s="1" t="s">
        <v>465</v>
      </c>
      <c r="DS1534" s="1" t="s">
        <v>219</v>
      </c>
      <c r="DT1534" s="1" t="s">
        <v>220</v>
      </c>
      <c r="DW1534" s="1" t="s">
        <v>230</v>
      </c>
      <c r="EA1534" s="1" t="s">
        <v>230</v>
      </c>
      <c r="EE1534" s="1" t="s">
        <v>230</v>
      </c>
      <c r="EI1534" s="1" t="s">
        <v>230</v>
      </c>
      <c r="EL1534" s="1" t="s">
        <v>760</v>
      </c>
      <c r="EM1534" s="1" t="s">
        <v>319</v>
      </c>
      <c r="EN1534" s="1" t="s">
        <v>282</v>
      </c>
      <c r="EO1534" s="1" t="s">
        <v>234</v>
      </c>
      <c r="EP1534" s="1" t="s">
        <v>12276</v>
      </c>
      <c r="EQ1534" s="1" t="s">
        <v>671</v>
      </c>
      <c r="ER1534" s="1" t="s">
        <v>2453</v>
      </c>
      <c r="ET1534" s="1" t="s">
        <v>866</v>
      </c>
      <c r="EU1534" s="1" t="s">
        <v>712</v>
      </c>
      <c r="EV1534" s="1" t="s">
        <v>1553</v>
      </c>
      <c r="EW1534" s="1" t="s">
        <v>353</v>
      </c>
      <c r="EY1534" s="1" t="s">
        <v>2455</v>
      </c>
      <c r="EZ1534" s="1" t="s">
        <v>1005</v>
      </c>
      <c r="FA1534" s="1" t="s">
        <v>14911</v>
      </c>
      <c r="FD1534" s="1" t="s">
        <v>246</v>
      </c>
      <c r="FE1534" s="1" t="s">
        <v>5428</v>
      </c>
      <c r="FF1534" s="1" t="s">
        <v>248</v>
      </c>
      <c r="FG1534" s="1" t="s">
        <v>871</v>
      </c>
      <c r="FH1534" s="1" t="s">
        <v>825</v>
      </c>
      <c r="FI1534" s="1" t="s">
        <v>473</v>
      </c>
      <c r="FL1534" s="1" t="s">
        <v>358</v>
      </c>
      <c r="FM1534" s="1" t="s">
        <v>252</v>
      </c>
      <c r="FN1534" s="1" t="s">
        <v>213</v>
      </c>
      <c r="FO1534" s="1" t="s">
        <v>213</v>
      </c>
      <c r="FQ1534" s="1" t="s">
        <v>14912</v>
      </c>
      <c r="FR1534" s="1" t="s">
        <v>210</v>
      </c>
      <c r="FS1534" s="1" t="s">
        <v>14913</v>
      </c>
      <c r="FT1534" s="1" t="s">
        <v>14914</v>
      </c>
      <c r="FU1534" s="1" t="s">
        <v>204</v>
      </c>
      <c r="FV1534" s="1" t="s">
        <v>14915</v>
      </c>
      <c r="FW1534" s="1" t="s">
        <v>719</v>
      </c>
      <c r="FX1534" s="1">
        <v>22029</v>
      </c>
      <c r="FY1534" s="1" t="s">
        <v>720</v>
      </c>
      <c r="FZ1534" s="1" t="s">
        <v>14916</v>
      </c>
      <c r="GA1534" s="1">
        <v>215491</v>
      </c>
      <c r="GB1534" s="1" t="s">
        <v>14917</v>
      </c>
      <c r="GD1534" s="1" t="s">
        <v>14918</v>
      </c>
      <c r="GE1534" s="1" t="s">
        <v>210</v>
      </c>
      <c r="GH1534" s="1" t="s">
        <v>800</v>
      </c>
      <c r="GI1534" s="1" t="s">
        <v>204</v>
      </c>
      <c r="GJ1534" s="1" t="s">
        <v>260</v>
      </c>
      <c r="GK1534" s="1" t="s">
        <v>261</v>
      </c>
      <c r="GL1534" s="2">
        <v>42041</v>
      </c>
      <c r="GM1534" s="1" t="s">
        <v>14919</v>
      </c>
    </row>
    <row r="1535" spans="1:195">
      <c r="A1535" s="1">
        <v>180500</v>
      </c>
      <c r="B1535" s="1" t="s">
        <v>195</v>
      </c>
      <c r="C1535" s="1" t="str">
        <f>"08587855"</f>
        <v>08587855</v>
      </c>
      <c r="D1535" s="1" t="s">
        <v>196</v>
      </c>
      <c r="F1535" s="1" t="str">
        <f>"10"</f>
        <v>10</v>
      </c>
      <c r="G1535" s="2">
        <v>41745</v>
      </c>
      <c r="H1535" s="1">
        <v>235000</v>
      </c>
      <c r="I1535" s="1">
        <v>199000</v>
      </c>
      <c r="J1535" s="1">
        <v>180500</v>
      </c>
      <c r="K1535" s="2">
        <v>41745</v>
      </c>
      <c r="L1535" s="1">
        <v>225</v>
      </c>
      <c r="M1535" s="2">
        <v>41969</v>
      </c>
      <c r="N1535" s="1">
        <v>225</v>
      </c>
      <c r="O1535" s="2">
        <v>41969</v>
      </c>
      <c r="P1535" s="1">
        <v>1232</v>
      </c>
      <c r="Q1535" s="1" t="s">
        <v>423</v>
      </c>
      <c r="R1535" s="2">
        <v>42046</v>
      </c>
      <c r="S1535" s="1">
        <v>240141</v>
      </c>
      <c r="U1535" s="1">
        <v>324</v>
      </c>
      <c r="V1535" s="1" t="s">
        <v>13796</v>
      </c>
      <c r="W1535" s="1" t="s">
        <v>1056</v>
      </c>
      <c r="X1535" s="1" t="s">
        <v>14920</v>
      </c>
      <c r="Y1535" s="1">
        <v>4</v>
      </c>
      <c r="Z1535" s="1" t="s">
        <v>370</v>
      </c>
      <c r="AA1535" s="1" t="s">
        <v>1985</v>
      </c>
      <c r="AB1535" s="1">
        <v>60010</v>
      </c>
      <c r="AC1535" s="1">
        <v>1628</v>
      </c>
      <c r="AD1535" s="1" t="s">
        <v>7204</v>
      </c>
      <c r="AE1535" s="1" t="s">
        <v>14921</v>
      </c>
      <c r="AF1535" s="1">
        <v>1978</v>
      </c>
      <c r="AG1535" s="1" t="s">
        <v>204</v>
      </c>
      <c r="AH1535" s="1" t="s">
        <v>1988</v>
      </c>
      <c r="AI1535" s="1" t="s">
        <v>509</v>
      </c>
      <c r="AJ1535" s="1" t="s">
        <v>1989</v>
      </c>
      <c r="AK1535" s="1" t="s">
        <v>7526</v>
      </c>
      <c r="AL1535" s="1">
        <v>6</v>
      </c>
      <c r="AM1535" s="1">
        <v>2</v>
      </c>
      <c r="AN1535" s="1">
        <v>2</v>
      </c>
      <c r="AO1535" s="1">
        <v>1</v>
      </c>
      <c r="AP1535" s="1" t="s">
        <v>209</v>
      </c>
      <c r="AQ1535" s="1">
        <v>2</v>
      </c>
      <c r="AR1535" s="1" t="s">
        <v>209</v>
      </c>
      <c r="AS1535" s="1" t="s">
        <v>204</v>
      </c>
      <c r="AT1535" s="1" t="s">
        <v>375</v>
      </c>
      <c r="AU1535" s="1">
        <v>1</v>
      </c>
      <c r="AV1535" s="1">
        <v>1</v>
      </c>
      <c r="AW1535" s="1" t="s">
        <v>204</v>
      </c>
      <c r="AX1535" s="1" t="s">
        <v>212</v>
      </c>
      <c r="AZ1535" s="1">
        <v>4075.22</v>
      </c>
      <c r="BA1535" s="1">
        <v>2013</v>
      </c>
      <c r="BB1535" s="1" t="s">
        <v>599</v>
      </c>
      <c r="BE1535" s="1">
        <v>1975</v>
      </c>
      <c r="BF1535" s="1">
        <v>1</v>
      </c>
      <c r="BG1535" s="1">
        <v>30</v>
      </c>
      <c r="BL1535" s="1">
        <v>394</v>
      </c>
      <c r="BM1535" s="1" t="s">
        <v>204</v>
      </c>
      <c r="BN1535" s="1" t="s">
        <v>213</v>
      </c>
      <c r="BO1535" s="1">
        <v>999</v>
      </c>
      <c r="BP1535" s="1" t="s">
        <v>204</v>
      </c>
      <c r="BR1535" s="1" t="str">
        <f>"13113000310000"</f>
        <v>13113000310000</v>
      </c>
      <c r="BT1535" s="1" t="s">
        <v>14922</v>
      </c>
      <c r="BU1535" s="1" t="s">
        <v>1992</v>
      </c>
      <c r="BV1535" s="1" t="s">
        <v>1993</v>
      </c>
      <c r="BW1535" s="1" t="s">
        <v>1994</v>
      </c>
      <c r="BX1535" s="1">
        <v>220</v>
      </c>
      <c r="BY1535" s="1">
        <v>220</v>
      </c>
      <c r="BZ1535" s="1">
        <v>220</v>
      </c>
      <c r="CB1535" s="1" t="str">
        <f>"24"</f>
        <v>24</v>
      </c>
      <c r="CC1535" s="1" t="str">
        <f>""</f>
        <v/>
      </c>
      <c r="CD1535" s="1">
        <v>26</v>
      </c>
      <c r="CG1535" s="1" t="s">
        <v>885</v>
      </c>
      <c r="CH1535" s="1" t="s">
        <v>219</v>
      </c>
      <c r="CI1535" s="1" t="s">
        <v>220</v>
      </c>
      <c r="CJ1535" s="1" t="s">
        <v>343</v>
      </c>
      <c r="CK1535" s="1" t="s">
        <v>515</v>
      </c>
      <c r="CL1535" s="1" t="s">
        <v>277</v>
      </c>
      <c r="CM1535" s="1" t="s">
        <v>220</v>
      </c>
      <c r="CN1535" s="1" t="s">
        <v>343</v>
      </c>
      <c r="CO1535" s="1" t="s">
        <v>1297</v>
      </c>
      <c r="CP1535" s="1" t="s">
        <v>219</v>
      </c>
      <c r="CQ1535" s="1" t="s">
        <v>220</v>
      </c>
      <c r="CR1535" s="1" t="s">
        <v>343</v>
      </c>
      <c r="CS1535" s="1" t="s">
        <v>344</v>
      </c>
      <c r="CT1535" s="1" t="s">
        <v>277</v>
      </c>
      <c r="CU1535" s="1" t="s">
        <v>220</v>
      </c>
      <c r="CV1535" s="1" t="s">
        <v>343</v>
      </c>
      <c r="CX1535" s="1" t="s">
        <v>224</v>
      </c>
      <c r="DB1535" s="1" t="s">
        <v>224</v>
      </c>
      <c r="DE1535" s="1" t="s">
        <v>1598</v>
      </c>
      <c r="DF1535" s="1" t="s">
        <v>219</v>
      </c>
      <c r="DG1535" s="1" t="s">
        <v>226</v>
      </c>
      <c r="DH1535" s="1" t="s">
        <v>343</v>
      </c>
      <c r="DI1535" s="1" t="s">
        <v>276</v>
      </c>
      <c r="DJ1535" s="1" t="s">
        <v>822</v>
      </c>
      <c r="DK1535" s="1" t="s">
        <v>220</v>
      </c>
      <c r="DM1535" s="1" t="s">
        <v>709</v>
      </c>
      <c r="DR1535" s="1" t="s">
        <v>7812</v>
      </c>
      <c r="DS1535" s="1" t="s">
        <v>219</v>
      </c>
      <c r="DT1535" s="1" t="s">
        <v>226</v>
      </c>
      <c r="DU1535" s="1" t="s">
        <v>210</v>
      </c>
      <c r="DW1535" s="1" t="s">
        <v>230</v>
      </c>
      <c r="EA1535" s="1" t="s">
        <v>230</v>
      </c>
      <c r="EE1535" s="1" t="s">
        <v>230</v>
      </c>
      <c r="EI1535" s="1" t="s">
        <v>230</v>
      </c>
      <c r="EL1535" s="1" t="s">
        <v>231</v>
      </c>
      <c r="EM1535" s="1" t="s">
        <v>761</v>
      </c>
      <c r="EN1535" s="1" t="s">
        <v>282</v>
      </c>
      <c r="EO1535" s="1" t="s">
        <v>234</v>
      </c>
      <c r="EP1535" s="1" t="s">
        <v>14923</v>
      </c>
      <c r="EQ1535" s="1" t="s">
        <v>953</v>
      </c>
      <c r="ER1535" s="1" t="s">
        <v>544</v>
      </c>
      <c r="ES1535" s="1" t="s">
        <v>824</v>
      </c>
      <c r="EU1535" s="1" t="s">
        <v>14924</v>
      </c>
      <c r="EV1535" s="1" t="s">
        <v>240</v>
      </c>
      <c r="EW1535" s="1" t="s">
        <v>6667</v>
      </c>
      <c r="EY1535" s="1" t="s">
        <v>242</v>
      </c>
      <c r="EZ1535" s="1" t="s">
        <v>709</v>
      </c>
      <c r="FA1535" s="1" t="s">
        <v>14925</v>
      </c>
      <c r="FD1535" s="1" t="s">
        <v>495</v>
      </c>
      <c r="FE1535" s="1" t="s">
        <v>889</v>
      </c>
      <c r="FF1535" s="1" t="s">
        <v>387</v>
      </c>
      <c r="FG1535" s="1" t="s">
        <v>715</v>
      </c>
      <c r="FH1535" s="1" t="s">
        <v>1428</v>
      </c>
      <c r="FI1535" s="1" t="s">
        <v>473</v>
      </c>
      <c r="FJ1535" s="1" t="s">
        <v>197</v>
      </c>
      <c r="FK1535" s="1" t="s">
        <v>14926</v>
      </c>
      <c r="FL1535" s="1" t="s">
        <v>14927</v>
      </c>
      <c r="FM1535" s="1" t="s">
        <v>252</v>
      </c>
      <c r="FN1535" s="1" t="s">
        <v>213</v>
      </c>
      <c r="FO1535" s="1" t="s">
        <v>213</v>
      </c>
      <c r="FQ1535" s="1" t="s">
        <v>3545</v>
      </c>
      <c r="FR1535" s="1" t="s">
        <v>210</v>
      </c>
      <c r="FS1535" s="1" t="s">
        <v>14928</v>
      </c>
      <c r="FT1535" s="1" t="s">
        <v>295</v>
      </c>
      <c r="FU1535" s="1" t="s">
        <v>204</v>
      </c>
      <c r="FW1535" s="1" t="s">
        <v>585</v>
      </c>
      <c r="FX1535" s="1">
        <v>6026</v>
      </c>
      <c r="FY1535" s="1" t="s">
        <v>1223</v>
      </c>
      <c r="FZ1535" s="1" t="s">
        <v>14929</v>
      </c>
      <c r="GA1535" s="1">
        <v>62154</v>
      </c>
      <c r="GB1535" s="1" t="s">
        <v>14930</v>
      </c>
      <c r="GE1535" s="1" t="s">
        <v>1256</v>
      </c>
      <c r="GI1535" s="1" t="s">
        <v>213</v>
      </c>
      <c r="GJ1535" s="1" t="s">
        <v>260</v>
      </c>
      <c r="GK1535" s="1" t="s">
        <v>210</v>
      </c>
      <c r="GL1535" s="2">
        <v>42046</v>
      </c>
    </row>
    <row r="1536" spans="1:195">
      <c r="A1536" s="1">
        <v>294900</v>
      </c>
      <c r="B1536" s="1" t="s">
        <v>195</v>
      </c>
      <c r="C1536" s="1" t="str">
        <f>"08440648"</f>
        <v>08440648</v>
      </c>
      <c r="D1536" s="1" t="s">
        <v>196</v>
      </c>
      <c r="F1536" s="1" t="str">
        <f>"532"</f>
        <v>532</v>
      </c>
      <c r="G1536" s="2">
        <v>41526</v>
      </c>
      <c r="H1536" s="1">
        <v>294900</v>
      </c>
      <c r="I1536" s="1">
        <v>294900</v>
      </c>
      <c r="J1536" s="1">
        <v>294900</v>
      </c>
      <c r="K1536" s="2">
        <v>41526</v>
      </c>
      <c r="L1536" s="1">
        <v>459</v>
      </c>
      <c r="M1536" s="2">
        <v>41984</v>
      </c>
      <c r="N1536" s="1">
        <v>459</v>
      </c>
      <c r="O1536" s="2">
        <v>41984</v>
      </c>
      <c r="P1536" s="1">
        <v>23030</v>
      </c>
      <c r="Q1536" s="1" t="s">
        <v>197</v>
      </c>
      <c r="R1536" s="2">
        <v>42020</v>
      </c>
      <c r="S1536" s="1">
        <v>234282</v>
      </c>
      <c r="U1536" s="1">
        <v>4726</v>
      </c>
      <c r="V1536" s="1" t="s">
        <v>14931</v>
      </c>
      <c r="W1536" s="1" t="s">
        <v>425</v>
      </c>
      <c r="X1536" s="1">
        <v>4726</v>
      </c>
      <c r="Y1536" s="1">
        <v>6</v>
      </c>
      <c r="Z1536" s="1" t="s">
        <v>370</v>
      </c>
      <c r="AA1536" s="1" t="s">
        <v>1566</v>
      </c>
      <c r="AB1536" s="1">
        <v>60532</v>
      </c>
      <c r="AD1536" s="1" t="s">
        <v>14932</v>
      </c>
      <c r="AE1536" s="1" t="s">
        <v>14933</v>
      </c>
      <c r="AF1536" s="1">
        <v>2014</v>
      </c>
      <c r="AG1536" s="1" t="s">
        <v>204</v>
      </c>
      <c r="AH1536" s="1" t="s">
        <v>925</v>
      </c>
      <c r="AI1536" s="1" t="s">
        <v>206</v>
      </c>
      <c r="AJ1536" s="1" t="s">
        <v>925</v>
      </c>
      <c r="AK1536" s="1" t="s">
        <v>14934</v>
      </c>
      <c r="AL1536" s="1">
        <v>6</v>
      </c>
      <c r="AM1536" s="1">
        <v>2</v>
      </c>
      <c r="AN1536" s="1">
        <v>2</v>
      </c>
      <c r="AO1536" s="1">
        <v>1</v>
      </c>
      <c r="AP1536" s="1" t="s">
        <v>209</v>
      </c>
      <c r="AQ1536" s="1">
        <v>1</v>
      </c>
      <c r="AR1536" s="1" t="s">
        <v>1483</v>
      </c>
      <c r="AS1536" s="1" t="s">
        <v>204</v>
      </c>
      <c r="AT1536" s="1" t="s">
        <v>211</v>
      </c>
      <c r="AU1536" s="1">
        <v>2</v>
      </c>
      <c r="AW1536" s="1" t="s">
        <v>204</v>
      </c>
      <c r="AX1536" s="1" t="s">
        <v>14935</v>
      </c>
      <c r="AZ1536" s="1" t="s">
        <v>751</v>
      </c>
      <c r="BA1536" s="1">
        <v>2012</v>
      </c>
      <c r="BE1536" s="1">
        <v>1800</v>
      </c>
      <c r="BF1536" s="1">
        <v>1</v>
      </c>
      <c r="BG1536" s="1">
        <v>0</v>
      </c>
      <c r="BL1536" s="1">
        <v>150</v>
      </c>
      <c r="BM1536" s="1" t="s">
        <v>204</v>
      </c>
      <c r="BN1536" s="1" t="s">
        <v>213</v>
      </c>
      <c r="BO1536" s="1">
        <v>999</v>
      </c>
      <c r="BP1536" s="1" t="s">
        <v>213</v>
      </c>
      <c r="BQ1536" s="2">
        <v>41912</v>
      </c>
      <c r="BR1536" s="1" t="str">
        <f>"0811200031"</f>
        <v>0811200031</v>
      </c>
      <c r="BT1536" s="1" t="s">
        <v>14936</v>
      </c>
      <c r="BX1536" s="1">
        <v>202</v>
      </c>
      <c r="BY1536" s="1">
        <v>202</v>
      </c>
      <c r="BZ1536" s="1">
        <v>202</v>
      </c>
      <c r="CB1536" s="1" t="str">
        <f t="shared" ref="CB1536:CC1536" si="1172">"0"</f>
        <v>0</v>
      </c>
      <c r="CC1536" s="1" t="str">
        <f t="shared" si="1172"/>
        <v>0</v>
      </c>
      <c r="CD1536" s="1">
        <v>28</v>
      </c>
      <c r="CE1536" s="1">
        <v>6</v>
      </c>
      <c r="CG1536" s="1" t="s">
        <v>729</v>
      </c>
      <c r="CH1536" s="1" t="s">
        <v>219</v>
      </c>
      <c r="CI1536" s="1" t="s">
        <v>438</v>
      </c>
      <c r="CK1536" s="1" t="s">
        <v>861</v>
      </c>
      <c r="CL1536" s="1" t="s">
        <v>277</v>
      </c>
      <c r="CM1536" s="1" t="s">
        <v>220</v>
      </c>
      <c r="CO1536" s="1" t="s">
        <v>223</v>
      </c>
      <c r="CP1536" s="1" t="s">
        <v>219</v>
      </c>
      <c r="CQ1536" s="1" t="s">
        <v>438</v>
      </c>
      <c r="CS1536" s="1" t="s">
        <v>6628</v>
      </c>
      <c r="CT1536" s="1" t="s">
        <v>277</v>
      </c>
      <c r="CU1536" s="1" t="s">
        <v>220</v>
      </c>
      <c r="CX1536" s="1" t="s">
        <v>224</v>
      </c>
      <c r="DB1536" s="1" t="s">
        <v>224</v>
      </c>
      <c r="DE1536" s="1" t="s">
        <v>539</v>
      </c>
      <c r="DF1536" s="1" t="s">
        <v>219</v>
      </c>
      <c r="DG1536" s="1" t="s">
        <v>438</v>
      </c>
      <c r="DJ1536" s="1" t="s">
        <v>224</v>
      </c>
      <c r="DM1536" s="1" t="s">
        <v>464</v>
      </c>
      <c r="DR1536" s="1" t="s">
        <v>2231</v>
      </c>
      <c r="DS1536" s="1" t="s">
        <v>277</v>
      </c>
      <c r="DT1536" s="1" t="s">
        <v>220</v>
      </c>
      <c r="DW1536" s="1" t="s">
        <v>230</v>
      </c>
      <c r="EA1536" s="1" t="s">
        <v>230</v>
      </c>
      <c r="EE1536" s="1" t="s">
        <v>230</v>
      </c>
      <c r="EI1536" s="1" t="s">
        <v>230</v>
      </c>
      <c r="EL1536" s="1" t="s">
        <v>760</v>
      </c>
      <c r="EM1536" s="1" t="s">
        <v>319</v>
      </c>
      <c r="EN1536" s="1" t="s">
        <v>282</v>
      </c>
      <c r="EO1536" s="1" t="s">
        <v>234</v>
      </c>
      <c r="EP1536" s="1" t="s">
        <v>650</v>
      </c>
      <c r="EQ1536" s="1" t="s">
        <v>671</v>
      </c>
      <c r="ER1536" s="1" t="s">
        <v>1249</v>
      </c>
      <c r="ES1536" s="1" t="s">
        <v>608</v>
      </c>
      <c r="ET1536" s="1" t="s">
        <v>14937</v>
      </c>
      <c r="EU1536" s="1" t="s">
        <v>1202</v>
      </c>
      <c r="EV1536" s="1" t="s">
        <v>324</v>
      </c>
      <c r="EW1536" s="1" t="s">
        <v>353</v>
      </c>
      <c r="EX1536" s="1" t="s">
        <v>14938</v>
      </c>
      <c r="EZ1536" s="1" t="s">
        <v>464</v>
      </c>
      <c r="FA1536" s="1" t="s">
        <v>3837</v>
      </c>
      <c r="FB1536" s="1" t="s">
        <v>734</v>
      </c>
      <c r="FD1536" s="1" t="s">
        <v>246</v>
      </c>
      <c r="FE1536" s="1" t="s">
        <v>9850</v>
      </c>
      <c r="FF1536" s="1" t="s">
        <v>248</v>
      </c>
      <c r="FG1536" s="1" t="s">
        <v>14939</v>
      </c>
      <c r="FH1536" s="1" t="s">
        <v>550</v>
      </c>
      <c r="FI1536" s="1" t="s">
        <v>473</v>
      </c>
      <c r="FJ1536" s="1" t="s">
        <v>518</v>
      </c>
      <c r="FL1536" s="1" t="s">
        <v>414</v>
      </c>
      <c r="FM1536" s="1" t="s">
        <v>252</v>
      </c>
      <c r="FN1536" s="1" t="s">
        <v>213</v>
      </c>
      <c r="FO1536" s="1" t="s">
        <v>213</v>
      </c>
      <c r="FQ1536" s="1" t="s">
        <v>14940</v>
      </c>
      <c r="FR1536" s="1" t="s">
        <v>210</v>
      </c>
      <c r="FS1536" s="1" t="s">
        <v>14941</v>
      </c>
      <c r="FT1536" s="1" t="s">
        <v>14942</v>
      </c>
      <c r="FU1536" s="1" t="s">
        <v>204</v>
      </c>
      <c r="FW1536" s="1" t="s">
        <v>1898</v>
      </c>
      <c r="FX1536" s="1">
        <v>23030</v>
      </c>
      <c r="FY1536" s="1" t="s">
        <v>1899</v>
      </c>
      <c r="FZ1536" s="1" t="s">
        <v>14943</v>
      </c>
      <c r="GA1536" s="1">
        <v>259084</v>
      </c>
      <c r="GB1536" s="1" t="s">
        <v>14944</v>
      </c>
      <c r="GD1536" s="1" t="s">
        <v>14945</v>
      </c>
      <c r="GE1536" s="1" t="s">
        <v>1145</v>
      </c>
      <c r="GI1536" s="1" t="s">
        <v>213</v>
      </c>
      <c r="GJ1536" s="1" t="s">
        <v>260</v>
      </c>
      <c r="GK1536" s="1" t="s">
        <v>210</v>
      </c>
      <c r="GL1536" s="2">
        <v>42022</v>
      </c>
      <c r="GM1536" s="1" t="s">
        <v>14946</v>
      </c>
    </row>
    <row r="1537" spans="1:195">
      <c r="A1537" s="1">
        <v>106000</v>
      </c>
      <c r="B1537" s="1" t="s">
        <v>195</v>
      </c>
      <c r="C1537" s="1" t="str">
        <f>"08442025"</f>
        <v>08442025</v>
      </c>
      <c r="D1537" s="1" t="s">
        <v>196</v>
      </c>
      <c r="F1537" s="1" t="str">
        <f>"84"</f>
        <v>84</v>
      </c>
      <c r="G1537" s="2">
        <v>41528</v>
      </c>
      <c r="H1537" s="1">
        <v>150000</v>
      </c>
      <c r="I1537" s="1">
        <v>109000</v>
      </c>
      <c r="J1537" s="1">
        <v>106000</v>
      </c>
      <c r="K1537" s="2">
        <v>41527</v>
      </c>
      <c r="L1537" s="1">
        <v>269</v>
      </c>
      <c r="M1537" s="2">
        <v>41795</v>
      </c>
      <c r="N1537" s="1">
        <v>269</v>
      </c>
      <c r="O1537" s="2">
        <v>41795</v>
      </c>
      <c r="P1537" s="1">
        <v>5132</v>
      </c>
      <c r="Q1537" s="1" t="s">
        <v>423</v>
      </c>
      <c r="R1537" s="2">
        <v>41969</v>
      </c>
      <c r="S1537" s="1">
        <v>55580</v>
      </c>
      <c r="U1537" s="1">
        <v>215</v>
      </c>
      <c r="V1537" s="1" t="s">
        <v>14947</v>
      </c>
      <c r="W1537" s="1" t="s">
        <v>264</v>
      </c>
      <c r="Y1537" s="1">
        <v>4</v>
      </c>
      <c r="Z1537" s="1" t="s">
        <v>370</v>
      </c>
      <c r="AA1537" s="1" t="s">
        <v>5871</v>
      </c>
      <c r="AB1537" s="1">
        <v>60084</v>
      </c>
      <c r="AD1537" s="1" t="s">
        <v>14948</v>
      </c>
      <c r="AE1537" s="1" t="s">
        <v>14949</v>
      </c>
      <c r="AF1537" s="1">
        <v>1988</v>
      </c>
      <c r="AG1537" s="1" t="s">
        <v>204</v>
      </c>
      <c r="AH1537" s="1" t="s">
        <v>2599</v>
      </c>
      <c r="AI1537" s="1" t="s">
        <v>509</v>
      </c>
      <c r="AJ1537" s="1" t="s">
        <v>2599</v>
      </c>
      <c r="AL1537" s="1">
        <v>7</v>
      </c>
      <c r="AM1537" s="1">
        <v>2</v>
      </c>
      <c r="AN1537" s="1">
        <v>1</v>
      </c>
      <c r="AO1537" s="1">
        <v>1</v>
      </c>
      <c r="AP1537" s="1" t="s">
        <v>455</v>
      </c>
      <c r="AR1537" s="1" t="s">
        <v>209</v>
      </c>
      <c r="AS1537" s="1" t="s">
        <v>204</v>
      </c>
      <c r="AT1537" s="1" t="s">
        <v>211</v>
      </c>
      <c r="AU1537" s="1">
        <v>1</v>
      </c>
      <c r="AW1537" s="1" t="s">
        <v>204</v>
      </c>
      <c r="AX1537" s="1">
        <v>0.01</v>
      </c>
      <c r="AZ1537" s="1">
        <v>3676.25</v>
      </c>
      <c r="BA1537" s="1">
        <v>2012</v>
      </c>
      <c r="BE1537" s="1">
        <v>1371</v>
      </c>
      <c r="BF1537" s="1">
        <v>1</v>
      </c>
      <c r="BG1537" s="1">
        <v>5</v>
      </c>
      <c r="BL1537" s="1">
        <v>170</v>
      </c>
      <c r="BM1537" s="1" t="s">
        <v>204</v>
      </c>
      <c r="BN1537" s="1" t="s">
        <v>213</v>
      </c>
      <c r="BO1537" s="1">
        <v>0</v>
      </c>
      <c r="BP1537" s="1" t="s">
        <v>204</v>
      </c>
      <c r="BR1537" s="1" t="str">
        <f>"09254040040000"</f>
        <v>09254040040000</v>
      </c>
      <c r="BT1537" s="1" t="s">
        <v>14950</v>
      </c>
      <c r="BU1537" s="1" t="s">
        <v>2603</v>
      </c>
      <c r="BV1537" s="1" t="s">
        <v>2604</v>
      </c>
      <c r="BW1537" s="1" t="s">
        <v>2605</v>
      </c>
      <c r="BX1537" s="1">
        <v>118</v>
      </c>
      <c r="BY1537" s="1">
        <v>118</v>
      </c>
      <c r="BZ1537" s="1">
        <v>118</v>
      </c>
      <c r="CB1537" s="1" t="str">
        <f t="shared" ref="CB1537:CC1537" si="1173">""</f>
        <v/>
      </c>
      <c r="CC1537" s="1" t="str">
        <f t="shared" si="1173"/>
        <v/>
      </c>
      <c r="CG1537" s="1" t="s">
        <v>932</v>
      </c>
      <c r="CH1537" s="1" t="s">
        <v>219</v>
      </c>
      <c r="CI1537" s="1" t="s">
        <v>229</v>
      </c>
      <c r="CK1537" s="1" t="s">
        <v>932</v>
      </c>
      <c r="CL1537" s="1" t="s">
        <v>277</v>
      </c>
      <c r="CM1537" s="1" t="s">
        <v>229</v>
      </c>
      <c r="CO1537" s="1" t="s">
        <v>1297</v>
      </c>
      <c r="CP1537" s="1" t="s">
        <v>219</v>
      </c>
      <c r="CQ1537" s="1" t="s">
        <v>229</v>
      </c>
      <c r="CS1537" s="1" t="s">
        <v>1533</v>
      </c>
      <c r="CT1537" s="1" t="s">
        <v>277</v>
      </c>
      <c r="CU1537" s="1" t="s">
        <v>229</v>
      </c>
      <c r="CX1537" s="1" t="s">
        <v>224</v>
      </c>
      <c r="DB1537" s="1" t="s">
        <v>224</v>
      </c>
      <c r="DE1537" s="1" t="s">
        <v>2104</v>
      </c>
      <c r="DF1537" s="1" t="s">
        <v>219</v>
      </c>
      <c r="DG1537" s="1" t="s">
        <v>229</v>
      </c>
      <c r="DI1537" s="1" t="s">
        <v>461</v>
      </c>
      <c r="DJ1537" s="1" t="s">
        <v>43</v>
      </c>
      <c r="DM1537" s="1" t="s">
        <v>411</v>
      </c>
      <c r="DR1537" s="1" t="s">
        <v>836</v>
      </c>
      <c r="DS1537" s="1" t="s">
        <v>43</v>
      </c>
      <c r="DW1537" s="1" t="s">
        <v>230</v>
      </c>
      <c r="EA1537" s="1" t="s">
        <v>230</v>
      </c>
      <c r="EE1537" s="1" t="s">
        <v>230</v>
      </c>
      <c r="EI1537" s="1" t="s">
        <v>230</v>
      </c>
      <c r="EL1537" s="1" t="s">
        <v>542</v>
      </c>
      <c r="EM1537" s="1" t="s">
        <v>319</v>
      </c>
      <c r="EN1537" s="1" t="s">
        <v>282</v>
      </c>
      <c r="EO1537" s="1" t="s">
        <v>234</v>
      </c>
      <c r="EQ1537" s="1" t="s">
        <v>1109</v>
      </c>
      <c r="ER1537" s="1" t="s">
        <v>544</v>
      </c>
      <c r="EU1537" s="1" t="s">
        <v>712</v>
      </c>
      <c r="EV1537" s="1" t="s">
        <v>324</v>
      </c>
      <c r="EW1537" s="1" t="s">
        <v>353</v>
      </c>
      <c r="EZ1537" s="1" t="s">
        <v>411</v>
      </c>
      <c r="FB1537" s="1" t="s">
        <v>244</v>
      </c>
      <c r="FD1537" s="1" t="s">
        <v>246</v>
      </c>
      <c r="FE1537" s="1" t="s">
        <v>472</v>
      </c>
      <c r="FF1537" s="1" t="s">
        <v>248</v>
      </c>
      <c r="FH1537" s="1" t="s">
        <v>550</v>
      </c>
      <c r="FI1537" s="1" t="s">
        <v>357</v>
      </c>
      <c r="FJ1537" s="1" t="s">
        <v>518</v>
      </c>
      <c r="FL1537" s="1" t="s">
        <v>414</v>
      </c>
      <c r="FM1537" s="1" t="s">
        <v>252</v>
      </c>
      <c r="FN1537" s="1" t="s">
        <v>213</v>
      </c>
      <c r="FO1537" s="1" t="s">
        <v>213</v>
      </c>
      <c r="FQ1537" s="1" t="s">
        <v>14951</v>
      </c>
      <c r="FR1537" s="1" t="s">
        <v>360</v>
      </c>
      <c r="FS1537" s="1" t="s">
        <v>14952</v>
      </c>
      <c r="FT1537" s="1" t="s">
        <v>14953</v>
      </c>
      <c r="FU1537" s="1" t="s">
        <v>204</v>
      </c>
      <c r="FW1537" s="1" t="s">
        <v>13691</v>
      </c>
      <c r="FX1537" s="1">
        <v>5132</v>
      </c>
      <c r="FY1537" s="1" t="s">
        <v>14954</v>
      </c>
      <c r="FZ1537" s="1" t="s">
        <v>14955</v>
      </c>
      <c r="GA1537" s="1">
        <v>55580</v>
      </c>
      <c r="GE1537" s="1" t="s">
        <v>776</v>
      </c>
      <c r="GI1537" s="1" t="s">
        <v>204</v>
      </c>
      <c r="GJ1537" s="1" t="s">
        <v>260</v>
      </c>
      <c r="GK1537" s="1" t="s">
        <v>210</v>
      </c>
      <c r="GL1537" s="2">
        <v>41977</v>
      </c>
      <c r="GM1537" s="1" t="s">
        <v>14956</v>
      </c>
    </row>
    <row r="1538" spans="1:195">
      <c r="A1538" s="1">
        <v>115000</v>
      </c>
      <c r="B1538" s="1" t="s">
        <v>195</v>
      </c>
      <c r="C1538" s="1" t="str">
        <f>"08448892"</f>
        <v>08448892</v>
      </c>
      <c r="D1538" s="1" t="s">
        <v>196</v>
      </c>
      <c r="F1538" s="1" t="str">
        <f>"540"</f>
        <v>540</v>
      </c>
      <c r="G1538" s="2">
        <v>41536</v>
      </c>
      <c r="H1538" s="1">
        <v>129900</v>
      </c>
      <c r="I1538" s="1">
        <v>120000</v>
      </c>
      <c r="J1538" s="1">
        <v>115000</v>
      </c>
      <c r="K1538" s="2">
        <v>41534</v>
      </c>
      <c r="L1538" s="1">
        <v>386</v>
      </c>
      <c r="M1538" s="2">
        <v>41919</v>
      </c>
      <c r="N1538" s="1">
        <v>386</v>
      </c>
      <c r="O1538" s="2">
        <v>41919</v>
      </c>
      <c r="P1538" s="1">
        <v>23030</v>
      </c>
      <c r="Q1538" s="1" t="s">
        <v>197</v>
      </c>
      <c r="R1538" s="2">
        <v>42030</v>
      </c>
      <c r="S1538" s="1">
        <v>245396</v>
      </c>
      <c r="U1538" s="1">
        <v>893</v>
      </c>
      <c r="V1538" s="1" t="s">
        <v>11945</v>
      </c>
      <c r="W1538" s="1" t="s">
        <v>304</v>
      </c>
      <c r="X1538" s="1">
        <v>101</v>
      </c>
      <c r="Y1538" s="1">
        <v>4</v>
      </c>
      <c r="Z1538" s="1" t="s">
        <v>249</v>
      </c>
      <c r="AA1538" s="1" t="s">
        <v>921</v>
      </c>
      <c r="AB1538" s="1">
        <v>60565</v>
      </c>
      <c r="AD1538" s="1" t="s">
        <v>14957</v>
      </c>
      <c r="AE1538" s="1" t="s">
        <v>14958</v>
      </c>
      <c r="AF1538" s="1">
        <v>1992</v>
      </c>
      <c r="AG1538" s="1" t="s">
        <v>204</v>
      </c>
      <c r="AH1538" s="1" t="s">
        <v>924</v>
      </c>
      <c r="AI1538" s="1" t="s">
        <v>206</v>
      </c>
      <c r="AJ1538" s="1" t="s">
        <v>924</v>
      </c>
      <c r="AL1538" s="1">
        <v>5</v>
      </c>
      <c r="AM1538" s="1">
        <v>2</v>
      </c>
      <c r="AN1538" s="1">
        <v>1</v>
      </c>
      <c r="AO1538" s="1">
        <v>0</v>
      </c>
      <c r="AP1538" s="1" t="s">
        <v>667</v>
      </c>
      <c r="AR1538" s="1" t="s">
        <v>210</v>
      </c>
      <c r="AS1538" s="1" t="s">
        <v>204</v>
      </c>
      <c r="AT1538" s="1" t="s">
        <v>375</v>
      </c>
      <c r="AU1538" s="1">
        <v>1</v>
      </c>
      <c r="AV1538" s="1">
        <v>1</v>
      </c>
      <c r="AW1538" s="1" t="s">
        <v>204</v>
      </c>
      <c r="AX1538" s="1" t="s">
        <v>212</v>
      </c>
      <c r="AZ1538" s="1">
        <v>2779</v>
      </c>
      <c r="BA1538" s="1">
        <v>2013</v>
      </c>
      <c r="BE1538" s="1">
        <v>1128</v>
      </c>
      <c r="BF1538" s="1">
        <v>1</v>
      </c>
      <c r="BG1538" s="1">
        <v>0</v>
      </c>
      <c r="BJ1538" s="1">
        <v>100</v>
      </c>
      <c r="BL1538" s="1">
        <v>180</v>
      </c>
      <c r="BM1538" s="1" t="s">
        <v>204</v>
      </c>
      <c r="BN1538" s="1" t="s">
        <v>213</v>
      </c>
      <c r="BO1538" s="1">
        <v>999</v>
      </c>
      <c r="BP1538" s="1" t="s">
        <v>204</v>
      </c>
      <c r="BR1538" s="1" t="str">
        <f>"0710309089"</f>
        <v>0710309089</v>
      </c>
      <c r="BT1538" s="1" t="s">
        <v>14959</v>
      </c>
      <c r="BU1538" s="1" t="s">
        <v>1248</v>
      </c>
      <c r="BV1538" s="1" t="s">
        <v>1247</v>
      </c>
      <c r="BW1538" s="1" t="s">
        <v>1131</v>
      </c>
      <c r="BX1538" s="1">
        <v>204</v>
      </c>
      <c r="BY1538" s="1">
        <v>204</v>
      </c>
      <c r="BZ1538" s="1">
        <v>204</v>
      </c>
      <c r="CB1538" s="1" t="str">
        <f t="shared" ref="CB1538:CC1538" si="1174">""</f>
        <v/>
      </c>
      <c r="CC1538" s="1" t="str">
        <f t="shared" si="1174"/>
        <v/>
      </c>
      <c r="CD1538" s="1">
        <v>29</v>
      </c>
      <c r="CE1538" s="1">
        <v>5</v>
      </c>
      <c r="CG1538" s="1" t="s">
        <v>861</v>
      </c>
      <c r="CH1538" s="1" t="s">
        <v>219</v>
      </c>
      <c r="CI1538" s="1" t="s">
        <v>220</v>
      </c>
      <c r="CK1538" s="1" t="s">
        <v>1358</v>
      </c>
      <c r="CL1538" s="1" t="s">
        <v>219</v>
      </c>
      <c r="CM1538" s="1" t="s">
        <v>220</v>
      </c>
      <c r="CN1538" s="1" t="s">
        <v>343</v>
      </c>
      <c r="CO1538" s="1" t="s">
        <v>837</v>
      </c>
      <c r="CP1538" s="1" t="s">
        <v>219</v>
      </c>
      <c r="CQ1538" s="1" t="s">
        <v>220</v>
      </c>
      <c r="CS1538" s="1" t="s">
        <v>379</v>
      </c>
      <c r="CT1538" s="1" t="s">
        <v>219</v>
      </c>
      <c r="CU1538" s="1" t="s">
        <v>220</v>
      </c>
      <c r="CX1538" s="1" t="s">
        <v>224</v>
      </c>
      <c r="DB1538" s="1" t="s">
        <v>224</v>
      </c>
      <c r="DE1538" s="1" t="s">
        <v>1612</v>
      </c>
      <c r="DF1538" s="1" t="s">
        <v>219</v>
      </c>
      <c r="DG1538" s="1" t="s">
        <v>342</v>
      </c>
      <c r="DJ1538" s="1" t="s">
        <v>224</v>
      </c>
      <c r="DS1538" s="1" t="s">
        <v>230</v>
      </c>
      <c r="DW1538" s="1" t="s">
        <v>230</v>
      </c>
      <c r="EA1538" s="1" t="s">
        <v>230</v>
      </c>
      <c r="EE1538" s="1" t="s">
        <v>230</v>
      </c>
      <c r="EI1538" s="1" t="s">
        <v>230</v>
      </c>
      <c r="EL1538" s="1" t="s">
        <v>382</v>
      </c>
      <c r="EM1538" s="1" t="s">
        <v>232</v>
      </c>
      <c r="EN1538" s="1" t="s">
        <v>282</v>
      </c>
      <c r="EO1538" s="1" t="s">
        <v>234</v>
      </c>
      <c r="EQ1538" s="1" t="s">
        <v>953</v>
      </c>
      <c r="ER1538" s="1" t="s">
        <v>210</v>
      </c>
      <c r="EU1538" s="1" t="s">
        <v>1202</v>
      </c>
      <c r="EW1538" s="1" t="s">
        <v>14960</v>
      </c>
      <c r="EZ1538" s="1" t="s">
        <v>287</v>
      </c>
      <c r="FD1538" s="1" t="s">
        <v>246</v>
      </c>
      <c r="FE1538" s="1" t="s">
        <v>975</v>
      </c>
      <c r="FF1538" s="1" t="s">
        <v>248</v>
      </c>
      <c r="FH1538" s="1" t="s">
        <v>249</v>
      </c>
      <c r="FJ1538" s="1" t="s">
        <v>197</v>
      </c>
      <c r="FL1538" s="1" t="s">
        <v>414</v>
      </c>
      <c r="FM1538" s="1" t="s">
        <v>252</v>
      </c>
      <c r="FN1538" s="1" t="s">
        <v>213</v>
      </c>
      <c r="FO1538" s="1" t="s">
        <v>213</v>
      </c>
      <c r="FQ1538" s="1" t="s">
        <v>3545</v>
      </c>
      <c r="FR1538" s="1" t="s">
        <v>360</v>
      </c>
      <c r="FS1538" s="1" t="s">
        <v>14961</v>
      </c>
      <c r="FT1538" s="1" t="s">
        <v>295</v>
      </c>
      <c r="FU1538" s="1" t="s">
        <v>204</v>
      </c>
      <c r="FW1538" s="1" t="s">
        <v>915</v>
      </c>
      <c r="FX1538" s="1">
        <v>23076</v>
      </c>
      <c r="FY1538" s="1" t="s">
        <v>1909</v>
      </c>
      <c r="FZ1538" s="1" t="s">
        <v>14962</v>
      </c>
      <c r="GA1538" s="1">
        <v>237008</v>
      </c>
      <c r="GB1538" s="1" t="s">
        <v>14963</v>
      </c>
      <c r="GC1538" s="1">
        <v>225492</v>
      </c>
      <c r="GE1538" s="1" t="s">
        <v>335</v>
      </c>
      <c r="GI1538" s="1" t="s">
        <v>213</v>
      </c>
      <c r="GJ1538" s="1" t="s">
        <v>260</v>
      </c>
      <c r="GK1538" s="1" t="s">
        <v>210</v>
      </c>
      <c r="GL1538" s="2">
        <v>42030</v>
      </c>
      <c r="GM1538" s="1" t="s">
        <v>14964</v>
      </c>
    </row>
    <row r="1539" spans="1:195">
      <c r="A1539" s="1">
        <v>136000</v>
      </c>
      <c r="B1539" s="1" t="s">
        <v>195</v>
      </c>
      <c r="C1539" s="1" t="str">
        <f>"08672347"</f>
        <v>08672347</v>
      </c>
      <c r="D1539" s="1" t="s">
        <v>196</v>
      </c>
      <c r="F1539" s="1" t="str">
        <f>"8041"</f>
        <v>8041</v>
      </c>
      <c r="G1539" s="2">
        <v>41834</v>
      </c>
      <c r="H1539" s="1">
        <v>158000</v>
      </c>
      <c r="I1539" s="1">
        <v>147000</v>
      </c>
      <c r="J1539" s="1">
        <v>136000</v>
      </c>
      <c r="K1539" s="2">
        <v>41834</v>
      </c>
      <c r="L1539" s="1">
        <v>142</v>
      </c>
      <c r="M1539" s="2">
        <v>41975</v>
      </c>
      <c r="N1539" s="1">
        <v>142</v>
      </c>
      <c r="O1539" s="2">
        <v>41975</v>
      </c>
      <c r="P1539" s="1">
        <v>12937</v>
      </c>
      <c r="Q1539" s="1" t="s">
        <v>2050</v>
      </c>
      <c r="R1539" s="2">
        <v>42045</v>
      </c>
      <c r="S1539" s="1">
        <v>118175</v>
      </c>
      <c r="U1539" s="1">
        <v>5467</v>
      </c>
      <c r="V1539" s="1" t="s">
        <v>10000</v>
      </c>
      <c r="W1539" s="1" t="s">
        <v>425</v>
      </c>
      <c r="X1539" s="1" t="s">
        <v>4923</v>
      </c>
      <c r="Y1539" s="1">
        <v>30</v>
      </c>
      <c r="Z1539" s="1" t="s">
        <v>249</v>
      </c>
      <c r="AA1539" s="1" t="s">
        <v>400</v>
      </c>
      <c r="AB1539" s="1">
        <v>60615</v>
      </c>
      <c r="AD1539" s="1" t="s">
        <v>14965</v>
      </c>
      <c r="AE1539" s="1" t="s">
        <v>14966</v>
      </c>
      <c r="AF1539" s="1">
        <v>1920</v>
      </c>
      <c r="AG1539" s="1" t="s">
        <v>213</v>
      </c>
      <c r="AH1539" s="1" t="s">
        <v>403</v>
      </c>
      <c r="AI1539" s="1" t="s">
        <v>310</v>
      </c>
      <c r="AJ1539" s="1" t="s">
        <v>562</v>
      </c>
      <c r="AL1539" s="1">
        <v>5</v>
      </c>
      <c r="AM1539" s="1">
        <v>2</v>
      </c>
      <c r="AN1539" s="1">
        <v>1</v>
      </c>
      <c r="AO1539" s="1">
        <v>0</v>
      </c>
      <c r="AP1539" s="1" t="s">
        <v>210</v>
      </c>
      <c r="AR1539" s="1" t="s">
        <v>210</v>
      </c>
      <c r="AS1539" s="1" t="s">
        <v>204</v>
      </c>
      <c r="AT1539" s="1" t="s">
        <v>210</v>
      </c>
      <c r="AW1539" s="1" t="s">
        <v>204</v>
      </c>
      <c r="AX1539" s="1" t="s">
        <v>212</v>
      </c>
      <c r="AZ1539" s="1">
        <v>1794.22</v>
      </c>
      <c r="BA1539" s="1">
        <v>2013</v>
      </c>
      <c r="BB1539" s="1" t="s">
        <v>210</v>
      </c>
      <c r="BE1539" s="1">
        <v>0</v>
      </c>
      <c r="BF1539" s="1">
        <v>3</v>
      </c>
      <c r="BG1539" s="1">
        <v>30</v>
      </c>
      <c r="BL1539" s="1">
        <v>296</v>
      </c>
      <c r="BM1539" s="1" t="s">
        <v>204</v>
      </c>
      <c r="BN1539" s="1" t="s">
        <v>213</v>
      </c>
      <c r="BO1539" s="1">
        <v>0</v>
      </c>
      <c r="BP1539" s="1" t="s">
        <v>204</v>
      </c>
      <c r="BR1539" s="1" t="str">
        <f>"20113280281024"</f>
        <v>20113280281024</v>
      </c>
      <c r="BT1539" s="1" t="s">
        <v>14967</v>
      </c>
      <c r="BU1539" s="1" t="s">
        <v>14968</v>
      </c>
      <c r="BV1539" s="1" t="s">
        <v>14969</v>
      </c>
      <c r="BW1539" s="1" t="s">
        <v>14970</v>
      </c>
      <c r="BX1539" s="1">
        <v>299</v>
      </c>
      <c r="BY1539" s="1">
        <v>299</v>
      </c>
      <c r="BZ1539" s="1">
        <v>299</v>
      </c>
      <c r="CB1539" s="1" t="str">
        <f>"0"</f>
        <v>0</v>
      </c>
      <c r="CC1539" s="1" t="str">
        <f>"1000"</f>
        <v>1000</v>
      </c>
      <c r="CD1539" s="1">
        <v>0</v>
      </c>
      <c r="CE1539" s="1">
        <v>5467</v>
      </c>
      <c r="CG1539" s="1" t="s">
        <v>1004</v>
      </c>
      <c r="CH1539" s="1" t="s">
        <v>219</v>
      </c>
      <c r="CI1539" s="1" t="s">
        <v>438</v>
      </c>
      <c r="CJ1539" s="1" t="s">
        <v>343</v>
      </c>
      <c r="CK1539" s="1" t="s">
        <v>465</v>
      </c>
      <c r="CL1539" s="1" t="s">
        <v>219</v>
      </c>
      <c r="CM1539" s="1" t="s">
        <v>438</v>
      </c>
      <c r="CN1539" s="1" t="s">
        <v>343</v>
      </c>
      <c r="CO1539" s="1" t="s">
        <v>318</v>
      </c>
      <c r="CP1539" s="1" t="s">
        <v>219</v>
      </c>
      <c r="CQ1539" s="1" t="s">
        <v>438</v>
      </c>
      <c r="CR1539" s="1" t="s">
        <v>343</v>
      </c>
      <c r="CS1539" s="1" t="s">
        <v>1046</v>
      </c>
      <c r="CT1539" s="1" t="s">
        <v>219</v>
      </c>
      <c r="CU1539" s="1" t="s">
        <v>438</v>
      </c>
      <c r="CV1539" s="1" t="s">
        <v>343</v>
      </c>
      <c r="CX1539" s="1" t="s">
        <v>224</v>
      </c>
      <c r="DB1539" s="1" t="s">
        <v>224</v>
      </c>
      <c r="DE1539" s="1" t="s">
        <v>565</v>
      </c>
      <c r="DF1539" s="1" t="s">
        <v>219</v>
      </c>
      <c r="DG1539" s="1" t="s">
        <v>226</v>
      </c>
      <c r="DH1539" s="1" t="s">
        <v>343</v>
      </c>
      <c r="DJ1539" s="1" t="s">
        <v>224</v>
      </c>
      <c r="DS1539" s="1" t="s">
        <v>230</v>
      </c>
      <c r="DW1539" s="1" t="s">
        <v>230</v>
      </c>
      <c r="EA1539" s="1" t="s">
        <v>230</v>
      </c>
      <c r="EE1539" s="1" t="s">
        <v>230</v>
      </c>
      <c r="EI1539" s="1" t="s">
        <v>230</v>
      </c>
      <c r="EL1539" s="1" t="s">
        <v>2521</v>
      </c>
      <c r="EM1539" s="1" t="s">
        <v>232</v>
      </c>
      <c r="EN1539" s="1" t="s">
        <v>210</v>
      </c>
      <c r="EO1539" s="1" t="s">
        <v>234</v>
      </c>
      <c r="EP1539" s="1" t="s">
        <v>14971</v>
      </c>
      <c r="EQ1539" s="1" t="s">
        <v>350</v>
      </c>
      <c r="ER1539" s="1" t="s">
        <v>210</v>
      </c>
      <c r="ES1539" s="1" t="s">
        <v>545</v>
      </c>
      <c r="EV1539" s="1" t="s">
        <v>324</v>
      </c>
      <c r="EW1539" s="1" t="s">
        <v>4815</v>
      </c>
      <c r="EY1539" s="1" t="s">
        <v>242</v>
      </c>
      <c r="EZ1539" s="1" t="s">
        <v>287</v>
      </c>
      <c r="FB1539" s="1" t="s">
        <v>1505</v>
      </c>
      <c r="FC1539" s="1" t="s">
        <v>1362</v>
      </c>
      <c r="FD1539" s="1" t="s">
        <v>246</v>
      </c>
      <c r="FE1539" s="1" t="s">
        <v>247</v>
      </c>
      <c r="FF1539" s="1" t="s">
        <v>248</v>
      </c>
      <c r="FH1539" s="1" t="s">
        <v>14972</v>
      </c>
      <c r="FJ1539" s="1" t="s">
        <v>197</v>
      </c>
      <c r="FL1539" s="1" t="s">
        <v>5090</v>
      </c>
      <c r="FM1539" s="1" t="s">
        <v>252</v>
      </c>
      <c r="FN1539" s="1" t="s">
        <v>213</v>
      </c>
      <c r="FO1539" s="1" t="s">
        <v>213</v>
      </c>
      <c r="FQ1539" s="1" t="s">
        <v>14973</v>
      </c>
      <c r="FR1539" s="1" t="s">
        <v>210</v>
      </c>
      <c r="FS1539" s="1" t="s">
        <v>14974</v>
      </c>
      <c r="FT1539" s="1" t="s">
        <v>362</v>
      </c>
      <c r="FU1539" s="1" t="s">
        <v>204</v>
      </c>
      <c r="FW1539" s="1" t="s">
        <v>13354</v>
      </c>
      <c r="FX1539" s="1">
        <v>12937</v>
      </c>
      <c r="FY1539" s="1" t="s">
        <v>13355</v>
      </c>
      <c r="FZ1539" s="1" t="s">
        <v>14975</v>
      </c>
      <c r="GA1539" s="1">
        <v>118175</v>
      </c>
      <c r="GB1539" s="1" t="s">
        <v>14976</v>
      </c>
      <c r="GD1539" s="1" t="s">
        <v>14977</v>
      </c>
      <c r="GE1539" s="1" t="s">
        <v>210</v>
      </c>
      <c r="GH1539" s="1" t="s">
        <v>421</v>
      </c>
      <c r="GI1539" s="1" t="s">
        <v>213</v>
      </c>
      <c r="GJ1539" s="1" t="s">
        <v>260</v>
      </c>
      <c r="GK1539" s="1" t="s">
        <v>210</v>
      </c>
      <c r="GL1539" s="2">
        <v>42046</v>
      </c>
      <c r="GM1539" s="1" t="s">
        <v>14978</v>
      </c>
    </row>
    <row r="1540" spans="1:195">
      <c r="A1540" s="1">
        <v>79767</v>
      </c>
      <c r="B1540" s="1" t="s">
        <v>195</v>
      </c>
      <c r="C1540" s="1" t="str">
        <f>"08788869"</f>
        <v>08788869</v>
      </c>
      <c r="D1540" s="1" t="s">
        <v>196</v>
      </c>
      <c r="F1540" s="1" t="str">
        <f>"31"</f>
        <v>31</v>
      </c>
      <c r="G1540" s="2">
        <v>41961</v>
      </c>
      <c r="H1540" s="1">
        <v>96300</v>
      </c>
      <c r="I1540" s="1">
        <v>86900</v>
      </c>
      <c r="J1540" s="1">
        <v>79767</v>
      </c>
      <c r="K1540" s="2">
        <v>41961</v>
      </c>
      <c r="L1540" s="1">
        <v>115</v>
      </c>
      <c r="M1540" s="2">
        <v>42075</v>
      </c>
      <c r="N1540" s="1">
        <v>115</v>
      </c>
      <c r="O1540" s="2">
        <v>42075</v>
      </c>
      <c r="P1540" s="1">
        <v>4594</v>
      </c>
      <c r="Q1540" s="1" t="s">
        <v>302</v>
      </c>
      <c r="R1540" s="2">
        <v>42111</v>
      </c>
      <c r="S1540" s="1">
        <v>35933</v>
      </c>
      <c r="U1540" s="1">
        <v>913</v>
      </c>
      <c r="V1540" s="1" t="s">
        <v>14979</v>
      </c>
      <c r="W1540" s="1" t="s">
        <v>264</v>
      </c>
      <c r="Y1540" s="1">
        <v>5</v>
      </c>
      <c r="Z1540" s="1" t="s">
        <v>370</v>
      </c>
      <c r="AA1540" s="1" t="s">
        <v>1057</v>
      </c>
      <c r="AB1540" s="1">
        <v>60031</v>
      </c>
      <c r="AE1540" s="1" t="s">
        <v>14980</v>
      </c>
      <c r="AF1540" s="1">
        <v>1979</v>
      </c>
      <c r="AG1540" s="1" t="s">
        <v>204</v>
      </c>
      <c r="AH1540" s="1" t="s">
        <v>1060</v>
      </c>
      <c r="AI1540" s="1" t="s">
        <v>509</v>
      </c>
      <c r="AJ1540" s="1" t="s">
        <v>1061</v>
      </c>
      <c r="AL1540" s="1">
        <v>4</v>
      </c>
      <c r="AM1540" s="1">
        <v>2</v>
      </c>
      <c r="AN1540" s="1">
        <v>2</v>
      </c>
      <c r="AO1540" s="1">
        <v>0</v>
      </c>
      <c r="AP1540" s="1" t="s">
        <v>210</v>
      </c>
      <c r="AQ1540" s="1">
        <v>1</v>
      </c>
      <c r="AR1540" s="1" t="s">
        <v>210</v>
      </c>
      <c r="AS1540" s="1" t="s">
        <v>204</v>
      </c>
      <c r="AT1540" s="1" t="s">
        <v>211</v>
      </c>
      <c r="AU1540" s="1">
        <v>1</v>
      </c>
      <c r="AW1540" s="1" t="s">
        <v>204</v>
      </c>
      <c r="AX1540" s="1" t="s">
        <v>212</v>
      </c>
      <c r="AZ1540" s="1">
        <v>1482</v>
      </c>
      <c r="BA1540" s="1">
        <v>2013</v>
      </c>
      <c r="BE1540" s="1">
        <v>1162</v>
      </c>
      <c r="BF1540" s="1">
        <v>1</v>
      </c>
      <c r="BG1540" s="1">
        <v>0</v>
      </c>
      <c r="BL1540" s="1">
        <v>310</v>
      </c>
      <c r="BM1540" s="1" t="s">
        <v>204</v>
      </c>
      <c r="BN1540" s="1" t="s">
        <v>204</v>
      </c>
      <c r="BP1540" s="1" t="s">
        <v>204</v>
      </c>
      <c r="BR1540" s="1" t="str">
        <f>"07283010160000"</f>
        <v>07283010160000</v>
      </c>
      <c r="BT1540" s="1" t="s">
        <v>14981</v>
      </c>
      <c r="BX1540" s="1">
        <v>50</v>
      </c>
      <c r="BY1540" s="1">
        <v>50</v>
      </c>
      <c r="BZ1540" s="1">
        <v>121</v>
      </c>
      <c r="CB1540" s="1" t="str">
        <f>"33"</f>
        <v>33</v>
      </c>
      <c r="CC1540" s="1" t="str">
        <f>"0"</f>
        <v>0</v>
      </c>
      <c r="CD1540" s="1">
        <v>16</v>
      </c>
      <c r="CE1540" s="1">
        <v>0</v>
      </c>
      <c r="CG1540" s="1" t="s">
        <v>628</v>
      </c>
      <c r="CH1540" s="1" t="s">
        <v>219</v>
      </c>
      <c r="CI1540" s="1" t="s">
        <v>220</v>
      </c>
      <c r="CK1540" s="1" t="s">
        <v>932</v>
      </c>
      <c r="CL1540" s="1" t="s">
        <v>277</v>
      </c>
      <c r="CM1540" s="1" t="s">
        <v>220</v>
      </c>
      <c r="CP1540" s="1" t="s">
        <v>224</v>
      </c>
      <c r="CS1540" s="1" t="s">
        <v>317</v>
      </c>
      <c r="CT1540" s="1" t="s">
        <v>219</v>
      </c>
      <c r="CU1540" s="1" t="s">
        <v>220</v>
      </c>
      <c r="CX1540" s="1" t="s">
        <v>224</v>
      </c>
      <c r="DB1540" s="1" t="s">
        <v>224</v>
      </c>
      <c r="DE1540" s="1" t="s">
        <v>1046</v>
      </c>
      <c r="DF1540" s="1" t="s">
        <v>219</v>
      </c>
      <c r="DG1540" s="1" t="s">
        <v>342</v>
      </c>
      <c r="DJ1540" s="1" t="s">
        <v>224</v>
      </c>
      <c r="DS1540" s="1" t="s">
        <v>230</v>
      </c>
      <c r="DW1540" s="1" t="s">
        <v>230</v>
      </c>
      <c r="EA1540" s="1" t="s">
        <v>230</v>
      </c>
      <c r="EE1540" s="1" t="s">
        <v>230</v>
      </c>
      <c r="EI1540" s="1" t="s">
        <v>230</v>
      </c>
      <c r="EL1540" s="1" t="s">
        <v>231</v>
      </c>
      <c r="EM1540" s="1" t="s">
        <v>319</v>
      </c>
      <c r="EN1540" s="1" t="s">
        <v>282</v>
      </c>
      <c r="EO1540" s="1" t="s">
        <v>234</v>
      </c>
      <c r="ER1540" s="1" t="s">
        <v>210</v>
      </c>
      <c r="EW1540" s="1" t="s">
        <v>1895</v>
      </c>
      <c r="EZ1540" s="1" t="s">
        <v>287</v>
      </c>
      <c r="FD1540" s="1" t="s">
        <v>1112</v>
      </c>
      <c r="FE1540" s="1" t="s">
        <v>1031</v>
      </c>
      <c r="FF1540" s="1" t="s">
        <v>248</v>
      </c>
      <c r="FG1540" s="1" t="s">
        <v>939</v>
      </c>
      <c r="FH1540" s="1" t="s">
        <v>550</v>
      </c>
      <c r="FL1540" s="1" t="s">
        <v>292</v>
      </c>
      <c r="FM1540" s="1" t="s">
        <v>252</v>
      </c>
      <c r="FN1540" s="1" t="s">
        <v>213</v>
      </c>
      <c r="FO1540" s="1" t="s">
        <v>213</v>
      </c>
      <c r="FQ1540" s="1" t="s">
        <v>582</v>
      </c>
      <c r="FR1540" s="1" t="s">
        <v>210</v>
      </c>
      <c r="FS1540" s="1" t="s">
        <v>583</v>
      </c>
      <c r="FT1540" s="1" t="s">
        <v>1828</v>
      </c>
      <c r="FU1540" s="1" t="s">
        <v>204</v>
      </c>
      <c r="FW1540" s="1" t="s">
        <v>585</v>
      </c>
      <c r="FX1540" s="1">
        <v>2050</v>
      </c>
      <c r="FY1540" s="1" t="s">
        <v>4207</v>
      </c>
      <c r="FZ1540" s="1" t="s">
        <v>5766</v>
      </c>
      <c r="GA1540" s="1">
        <v>18950</v>
      </c>
      <c r="GB1540" s="1" t="s">
        <v>5767</v>
      </c>
      <c r="GC1540" s="1">
        <v>35055</v>
      </c>
      <c r="GD1540" s="1" t="s">
        <v>5768</v>
      </c>
      <c r="GE1540" s="1" t="s">
        <v>210</v>
      </c>
      <c r="GI1540" s="1" t="s">
        <v>213</v>
      </c>
      <c r="GJ1540" s="1" t="s">
        <v>260</v>
      </c>
      <c r="GK1540" s="1" t="s">
        <v>210</v>
      </c>
      <c r="GL1540" s="2">
        <v>42111</v>
      </c>
      <c r="GM1540" s="1" t="s">
        <v>9739</v>
      </c>
    </row>
    <row r="1541" spans="1:195">
      <c r="A1541" s="1">
        <v>72000</v>
      </c>
      <c r="B1541" s="1" t="s">
        <v>195</v>
      </c>
      <c r="C1541" s="1" t="str">
        <f>"08676257"</f>
        <v>08676257</v>
      </c>
      <c r="D1541" s="1" t="s">
        <v>196</v>
      </c>
      <c r="F1541" s="1" t="str">
        <f>"104"</f>
        <v>104</v>
      </c>
      <c r="G1541" s="2">
        <v>41837</v>
      </c>
      <c r="H1541" s="1">
        <v>119900</v>
      </c>
      <c r="I1541" s="1">
        <v>90000</v>
      </c>
      <c r="J1541" s="1">
        <v>72000</v>
      </c>
      <c r="K1541" s="2">
        <v>41836</v>
      </c>
      <c r="L1541" s="1">
        <v>94</v>
      </c>
      <c r="M1541" s="2">
        <v>41929</v>
      </c>
      <c r="N1541" s="1">
        <v>94</v>
      </c>
      <c r="O1541" s="2">
        <v>41929</v>
      </c>
      <c r="P1541" s="1">
        <v>23804</v>
      </c>
      <c r="Q1541" s="1" t="s">
        <v>302</v>
      </c>
      <c r="R1541" s="2">
        <v>41978</v>
      </c>
      <c r="S1541" s="1">
        <v>223161</v>
      </c>
      <c r="U1541" s="1">
        <v>110</v>
      </c>
      <c r="V1541" s="1" t="s">
        <v>7780</v>
      </c>
      <c r="W1541" s="1" t="s">
        <v>425</v>
      </c>
      <c r="X1541" s="1" t="s">
        <v>527</v>
      </c>
      <c r="Y1541" s="1">
        <v>4</v>
      </c>
      <c r="Z1541" s="1" t="s">
        <v>249</v>
      </c>
      <c r="AA1541" s="1" t="s">
        <v>371</v>
      </c>
      <c r="AB1541" s="1">
        <v>60103</v>
      </c>
      <c r="AE1541" s="1" t="s">
        <v>14982</v>
      </c>
      <c r="AF1541" s="1">
        <v>1991</v>
      </c>
      <c r="AG1541" s="1" t="s">
        <v>204</v>
      </c>
      <c r="AH1541" s="1" t="s">
        <v>373</v>
      </c>
      <c r="AI1541" s="1" t="s">
        <v>310</v>
      </c>
      <c r="AJ1541" s="1" t="s">
        <v>374</v>
      </c>
      <c r="AL1541" s="1">
        <v>5</v>
      </c>
      <c r="AM1541" s="1">
        <v>2</v>
      </c>
      <c r="AN1541" s="1">
        <v>1</v>
      </c>
      <c r="AO1541" s="1">
        <v>1</v>
      </c>
      <c r="AP1541" s="1" t="s">
        <v>667</v>
      </c>
      <c r="AR1541" s="1" t="s">
        <v>210</v>
      </c>
      <c r="AS1541" s="1" t="s">
        <v>204</v>
      </c>
      <c r="AT1541" s="1" t="s">
        <v>211</v>
      </c>
      <c r="AU1541" s="1">
        <v>1</v>
      </c>
      <c r="AW1541" s="1" t="s">
        <v>204</v>
      </c>
      <c r="AX1541" s="1" t="s">
        <v>270</v>
      </c>
      <c r="AZ1541" s="1">
        <v>3242.95</v>
      </c>
      <c r="BA1541" s="1">
        <v>2013</v>
      </c>
      <c r="BB1541" s="1" t="s">
        <v>405</v>
      </c>
      <c r="BE1541" s="1">
        <v>1224</v>
      </c>
      <c r="BF1541" s="1">
        <v>1</v>
      </c>
      <c r="BG1541" s="1">
        <v>0</v>
      </c>
      <c r="BL1541" s="1">
        <v>125</v>
      </c>
      <c r="BM1541" s="1" t="s">
        <v>413</v>
      </c>
      <c r="BN1541" s="1" t="s">
        <v>213</v>
      </c>
      <c r="BO1541" s="1">
        <v>0</v>
      </c>
      <c r="BP1541" s="1" t="s">
        <v>204</v>
      </c>
      <c r="BR1541" s="1" t="str">
        <f>"06353060791001"</f>
        <v>06353060791001</v>
      </c>
      <c r="BT1541" s="1" t="s">
        <v>14983</v>
      </c>
      <c r="BX1541" s="1">
        <v>46</v>
      </c>
      <c r="BY1541" s="1">
        <v>46</v>
      </c>
      <c r="BZ1541" s="1">
        <v>46</v>
      </c>
      <c r="CB1541" s="1" t="str">
        <f t="shared" ref="CB1541:CC1541" si="1175">""</f>
        <v/>
      </c>
      <c r="CC1541" s="1" t="str">
        <f t="shared" si="1175"/>
        <v/>
      </c>
      <c r="CG1541" s="1" t="s">
        <v>1853</v>
      </c>
      <c r="CH1541" s="1" t="s">
        <v>219</v>
      </c>
      <c r="CI1541" s="1" t="s">
        <v>229</v>
      </c>
      <c r="CK1541" s="1" t="s">
        <v>2934</v>
      </c>
      <c r="CL1541" s="1" t="s">
        <v>277</v>
      </c>
      <c r="CM1541" s="1" t="s">
        <v>229</v>
      </c>
      <c r="CO1541" s="1" t="s">
        <v>409</v>
      </c>
      <c r="CP1541" s="1" t="s">
        <v>219</v>
      </c>
      <c r="CQ1541" s="1" t="s">
        <v>229</v>
      </c>
      <c r="CS1541" s="1" t="s">
        <v>3151</v>
      </c>
      <c r="CT1541" s="1" t="s">
        <v>277</v>
      </c>
      <c r="CX1541" s="1" t="s">
        <v>224</v>
      </c>
      <c r="DB1541" s="1" t="s">
        <v>224</v>
      </c>
      <c r="DE1541" s="1" t="s">
        <v>316</v>
      </c>
      <c r="DF1541" s="1" t="s">
        <v>219</v>
      </c>
      <c r="DG1541" s="1" t="s">
        <v>229</v>
      </c>
      <c r="DJ1541" s="1" t="s">
        <v>224</v>
      </c>
      <c r="DS1541" s="1" t="s">
        <v>230</v>
      </c>
      <c r="DW1541" s="1" t="s">
        <v>230</v>
      </c>
      <c r="EA1541" s="1" t="s">
        <v>230</v>
      </c>
      <c r="EE1541" s="1" t="s">
        <v>230</v>
      </c>
      <c r="EI1541" s="1" t="s">
        <v>230</v>
      </c>
      <c r="EL1541" s="1" t="s">
        <v>382</v>
      </c>
      <c r="EM1541" s="1" t="s">
        <v>319</v>
      </c>
      <c r="EN1541" s="1" t="s">
        <v>282</v>
      </c>
      <c r="EO1541" s="1" t="s">
        <v>234</v>
      </c>
      <c r="ER1541" s="1" t="s">
        <v>210</v>
      </c>
      <c r="EW1541" s="1" t="s">
        <v>887</v>
      </c>
      <c r="EZ1541" s="1" t="s">
        <v>287</v>
      </c>
      <c r="FD1541" s="1" t="s">
        <v>246</v>
      </c>
      <c r="FE1541" s="1" t="s">
        <v>765</v>
      </c>
      <c r="FF1541" s="1" t="s">
        <v>248</v>
      </c>
      <c r="FH1541" s="1" t="s">
        <v>356</v>
      </c>
      <c r="FL1541" s="1" t="s">
        <v>358</v>
      </c>
      <c r="FM1541" s="1" t="s">
        <v>252</v>
      </c>
      <c r="FN1541" s="1" t="s">
        <v>213</v>
      </c>
      <c r="FO1541" s="1" t="s">
        <v>213</v>
      </c>
      <c r="FQ1541" s="1" t="s">
        <v>582</v>
      </c>
      <c r="FR1541" s="1" t="s">
        <v>360</v>
      </c>
      <c r="FS1541" s="1" t="s">
        <v>6634</v>
      </c>
      <c r="FT1541" s="1" t="s">
        <v>255</v>
      </c>
      <c r="FU1541" s="1" t="s">
        <v>204</v>
      </c>
      <c r="FW1541" s="1" t="s">
        <v>14984</v>
      </c>
      <c r="FX1541" s="1">
        <v>23804</v>
      </c>
      <c r="FY1541" s="1" t="s">
        <v>14985</v>
      </c>
      <c r="FZ1541" s="1" t="s">
        <v>14986</v>
      </c>
      <c r="GA1541" s="1">
        <v>239840</v>
      </c>
      <c r="GD1541" s="1" t="s">
        <v>14987</v>
      </c>
      <c r="GE1541" s="1" t="s">
        <v>210</v>
      </c>
      <c r="GH1541" s="1" t="s">
        <v>421</v>
      </c>
      <c r="GI1541" s="1" t="s">
        <v>204</v>
      </c>
      <c r="GJ1541" s="1" t="s">
        <v>260</v>
      </c>
      <c r="GK1541" s="1" t="s">
        <v>210</v>
      </c>
      <c r="GL1541" s="2">
        <v>41981</v>
      </c>
      <c r="GM1541" s="1" t="s">
        <v>14988</v>
      </c>
    </row>
    <row r="1542" spans="1:195">
      <c r="A1542" s="1">
        <v>118000</v>
      </c>
      <c r="B1542" s="1" t="s">
        <v>195</v>
      </c>
      <c r="C1542" s="1" t="str">
        <f>"08680984"</f>
        <v>08680984</v>
      </c>
      <c r="D1542" s="1" t="s">
        <v>196</v>
      </c>
      <c r="F1542" s="1" t="str">
        <f>"110"</f>
        <v>110</v>
      </c>
      <c r="G1542" s="2">
        <v>41843</v>
      </c>
      <c r="H1542" s="1">
        <v>139900</v>
      </c>
      <c r="I1542" s="1">
        <v>109900</v>
      </c>
      <c r="J1542" s="1">
        <v>118000</v>
      </c>
      <c r="K1542" s="2">
        <v>41843</v>
      </c>
      <c r="L1542" s="1">
        <v>192</v>
      </c>
      <c r="M1542" s="2">
        <v>42034</v>
      </c>
      <c r="N1542" s="1">
        <v>192</v>
      </c>
      <c r="O1542" s="2">
        <v>42034</v>
      </c>
      <c r="P1542" s="1">
        <v>222</v>
      </c>
      <c r="Q1542" s="1" t="s">
        <v>197</v>
      </c>
      <c r="R1542" s="2">
        <v>42109</v>
      </c>
      <c r="S1542" s="1">
        <v>1305</v>
      </c>
      <c r="U1542" s="1">
        <v>602</v>
      </c>
      <c r="V1542" s="1" t="s">
        <v>14989</v>
      </c>
      <c r="W1542" s="1" t="s">
        <v>264</v>
      </c>
      <c r="Y1542" s="1">
        <v>4</v>
      </c>
      <c r="Z1542" s="1" t="s">
        <v>200</v>
      </c>
      <c r="AA1542" s="1" t="s">
        <v>803</v>
      </c>
      <c r="AB1542" s="1">
        <v>60110</v>
      </c>
      <c r="AE1542" s="1" t="s">
        <v>14990</v>
      </c>
      <c r="AF1542" s="1">
        <v>1992</v>
      </c>
      <c r="AG1542" s="1" t="s">
        <v>204</v>
      </c>
      <c r="AH1542" s="1" t="s">
        <v>2557</v>
      </c>
      <c r="AI1542" s="1" t="s">
        <v>665</v>
      </c>
      <c r="AJ1542" s="1" t="s">
        <v>805</v>
      </c>
      <c r="AL1542" s="1">
        <v>6</v>
      </c>
      <c r="AM1542" s="1">
        <v>2</v>
      </c>
      <c r="AN1542" s="1">
        <v>2</v>
      </c>
      <c r="AO1542" s="1">
        <v>0</v>
      </c>
      <c r="AP1542" s="1" t="s">
        <v>209</v>
      </c>
      <c r="AR1542" s="1" t="s">
        <v>1421</v>
      </c>
      <c r="AS1542" s="1" t="s">
        <v>204</v>
      </c>
      <c r="AT1542" s="1" t="s">
        <v>211</v>
      </c>
      <c r="AU1542" s="1">
        <v>2</v>
      </c>
      <c r="AW1542" s="1" t="s">
        <v>204</v>
      </c>
      <c r="AX1542" s="1" t="s">
        <v>212</v>
      </c>
      <c r="AZ1542" s="1">
        <v>2777.76</v>
      </c>
      <c r="BA1542" s="1">
        <v>2013</v>
      </c>
      <c r="BE1542" s="1">
        <v>1700</v>
      </c>
      <c r="BF1542" s="1">
        <v>1</v>
      </c>
      <c r="BG1542" s="1">
        <v>0</v>
      </c>
      <c r="BL1542" s="1">
        <v>195</v>
      </c>
      <c r="BM1542" s="1" t="s">
        <v>204</v>
      </c>
      <c r="BN1542" s="1" t="s">
        <v>213</v>
      </c>
      <c r="BO1542" s="1">
        <v>0</v>
      </c>
      <c r="BP1542" s="1" t="s">
        <v>204</v>
      </c>
      <c r="BR1542" s="1" t="str">
        <f>"0316430033"</f>
        <v>0316430033</v>
      </c>
      <c r="BT1542" s="1" t="s">
        <v>14991</v>
      </c>
      <c r="BX1542" s="1">
        <v>300</v>
      </c>
      <c r="BY1542" s="1">
        <v>300</v>
      </c>
      <c r="BZ1542" s="1">
        <v>300</v>
      </c>
      <c r="CB1542" s="1" t="str">
        <f t="shared" ref="CB1542:CC1542" si="1176">""</f>
        <v/>
      </c>
      <c r="CC1542" s="1" t="str">
        <f t="shared" si="1176"/>
        <v/>
      </c>
      <c r="CG1542" s="1" t="s">
        <v>862</v>
      </c>
      <c r="CH1542" s="1" t="s">
        <v>219</v>
      </c>
      <c r="CK1542" s="1" t="s">
        <v>5801</v>
      </c>
      <c r="CL1542" s="1" t="s">
        <v>277</v>
      </c>
      <c r="CO1542" s="1" t="s">
        <v>951</v>
      </c>
      <c r="CP1542" s="1" t="s">
        <v>219</v>
      </c>
      <c r="CS1542" s="1" t="s">
        <v>465</v>
      </c>
      <c r="CT1542" s="1" t="s">
        <v>277</v>
      </c>
      <c r="CX1542" s="1" t="s">
        <v>224</v>
      </c>
      <c r="DB1542" s="1" t="s">
        <v>224</v>
      </c>
      <c r="DE1542" s="1" t="s">
        <v>409</v>
      </c>
      <c r="DF1542" s="1" t="s">
        <v>219</v>
      </c>
      <c r="DI1542" s="1" t="s">
        <v>7600</v>
      </c>
      <c r="DJ1542" s="1" t="s">
        <v>822</v>
      </c>
      <c r="DS1542" s="1" t="s">
        <v>230</v>
      </c>
      <c r="DW1542" s="1" t="s">
        <v>230</v>
      </c>
      <c r="EA1542" s="1" t="s">
        <v>230</v>
      </c>
      <c r="EE1542" s="1" t="s">
        <v>230</v>
      </c>
      <c r="EI1542" s="1" t="s">
        <v>230</v>
      </c>
      <c r="EL1542" s="1" t="s">
        <v>382</v>
      </c>
      <c r="EM1542" s="1" t="s">
        <v>319</v>
      </c>
      <c r="EN1542" s="1" t="s">
        <v>282</v>
      </c>
      <c r="EO1542" s="1" t="s">
        <v>234</v>
      </c>
      <c r="ER1542" s="1" t="s">
        <v>544</v>
      </c>
      <c r="EW1542" s="1" t="s">
        <v>1219</v>
      </c>
      <c r="EZ1542" s="1" t="s">
        <v>287</v>
      </c>
      <c r="FD1542" s="1" t="s">
        <v>246</v>
      </c>
      <c r="FE1542" s="1" t="s">
        <v>355</v>
      </c>
      <c r="FF1542" s="1" t="s">
        <v>248</v>
      </c>
      <c r="FH1542" s="1" t="s">
        <v>550</v>
      </c>
      <c r="FL1542" s="1" t="s">
        <v>358</v>
      </c>
      <c r="FM1542" s="1" t="s">
        <v>252</v>
      </c>
      <c r="FN1542" s="1" t="s">
        <v>213</v>
      </c>
      <c r="FO1542" s="1" t="s">
        <v>213</v>
      </c>
      <c r="FQ1542" s="1" t="s">
        <v>689</v>
      </c>
      <c r="FR1542" s="1" t="s">
        <v>210</v>
      </c>
      <c r="FS1542" s="1" t="s">
        <v>8977</v>
      </c>
      <c r="FT1542" s="1" t="s">
        <v>295</v>
      </c>
      <c r="FU1542" s="1" t="s">
        <v>204</v>
      </c>
      <c r="FW1542" s="1" t="s">
        <v>1637</v>
      </c>
      <c r="FX1542" s="1">
        <v>8055</v>
      </c>
      <c r="FY1542" s="1" t="s">
        <v>1728</v>
      </c>
      <c r="FZ1542" s="1" t="s">
        <v>2311</v>
      </c>
      <c r="GA1542" s="1">
        <v>82542</v>
      </c>
      <c r="GB1542" s="1" t="s">
        <v>2312</v>
      </c>
      <c r="GE1542" s="1" t="s">
        <v>210</v>
      </c>
      <c r="GI1542" s="1" t="s">
        <v>213</v>
      </c>
      <c r="GJ1542" s="1" t="s">
        <v>260</v>
      </c>
      <c r="GK1542" s="1" t="s">
        <v>210</v>
      </c>
      <c r="GL1542" s="2">
        <v>42110</v>
      </c>
      <c r="GM1542" s="1" t="s">
        <v>13382</v>
      </c>
    </row>
    <row r="1543" spans="1:195">
      <c r="A1543" s="1">
        <v>34000</v>
      </c>
      <c r="B1543" s="1" t="s">
        <v>195</v>
      </c>
      <c r="C1543" s="1" t="str">
        <f>"08676084"</f>
        <v>08676084</v>
      </c>
      <c r="D1543" s="1" t="s">
        <v>196</v>
      </c>
      <c r="F1543" s="1" t="str">
        <f>"8038"</f>
        <v>8038</v>
      </c>
      <c r="G1543" s="2">
        <v>41837</v>
      </c>
      <c r="H1543" s="1">
        <v>59900</v>
      </c>
      <c r="I1543" s="1">
        <v>34900</v>
      </c>
      <c r="J1543" s="1">
        <v>34000</v>
      </c>
      <c r="K1543" s="2">
        <v>41837</v>
      </c>
      <c r="L1543" s="1">
        <v>272</v>
      </c>
      <c r="M1543" s="2">
        <v>42108</v>
      </c>
      <c r="N1543" s="1">
        <v>272</v>
      </c>
      <c r="O1543" s="2">
        <v>42108</v>
      </c>
      <c r="P1543" s="1">
        <v>23478</v>
      </c>
      <c r="Q1543" s="1" t="s">
        <v>302</v>
      </c>
      <c r="R1543" s="2">
        <v>42145</v>
      </c>
      <c r="S1543" s="1">
        <v>89483</v>
      </c>
      <c r="U1543" s="1">
        <v>301</v>
      </c>
      <c r="V1543" s="1" t="s">
        <v>14992</v>
      </c>
      <c r="W1543" s="1" t="s">
        <v>725</v>
      </c>
      <c r="X1543" s="1" t="s">
        <v>14993</v>
      </c>
      <c r="Y1543" s="1">
        <v>26</v>
      </c>
      <c r="Z1543" s="1" t="s">
        <v>249</v>
      </c>
      <c r="AA1543" s="1" t="s">
        <v>400</v>
      </c>
      <c r="AB1543" s="1">
        <v>60615</v>
      </c>
      <c r="AE1543" s="1" t="s">
        <v>14994</v>
      </c>
      <c r="AF1543" s="1">
        <v>1920</v>
      </c>
      <c r="AG1543" s="1" t="s">
        <v>213</v>
      </c>
      <c r="AH1543" s="1" t="s">
        <v>403</v>
      </c>
      <c r="AI1543" s="1" t="s">
        <v>310</v>
      </c>
      <c r="AJ1543" s="1" t="s">
        <v>562</v>
      </c>
      <c r="AL1543" s="1">
        <v>4</v>
      </c>
      <c r="AM1543" s="1">
        <v>2</v>
      </c>
      <c r="AN1543" s="1">
        <v>1</v>
      </c>
      <c r="AO1543" s="1">
        <v>0</v>
      </c>
      <c r="AP1543" s="1" t="s">
        <v>210</v>
      </c>
      <c r="AQ1543" s="1">
        <v>0</v>
      </c>
      <c r="AR1543" s="1" t="s">
        <v>209</v>
      </c>
      <c r="AS1543" s="1" t="s">
        <v>204</v>
      </c>
      <c r="AT1543" s="1" t="s">
        <v>271</v>
      </c>
      <c r="AV1543" s="1">
        <v>1</v>
      </c>
      <c r="AW1543" s="1" t="s">
        <v>204</v>
      </c>
      <c r="AX1543" s="1" t="s">
        <v>14995</v>
      </c>
      <c r="AZ1543" s="1">
        <v>649.04</v>
      </c>
      <c r="BA1543" s="1">
        <v>2013</v>
      </c>
      <c r="BB1543" s="1" t="s">
        <v>210</v>
      </c>
      <c r="BE1543" s="1">
        <v>820</v>
      </c>
      <c r="BF1543" s="1">
        <v>3</v>
      </c>
      <c r="BG1543" s="1">
        <v>0</v>
      </c>
      <c r="BL1543" s="1">
        <v>155</v>
      </c>
      <c r="BM1543" s="1" t="s">
        <v>204</v>
      </c>
      <c r="BN1543" s="1" t="s">
        <v>213</v>
      </c>
      <c r="BO1543" s="1">
        <v>999</v>
      </c>
      <c r="BP1543" s="1" t="s">
        <v>204</v>
      </c>
      <c r="BR1543" s="1" t="str">
        <f>"20101220241001"</f>
        <v>20101220241001</v>
      </c>
      <c r="BT1543" s="1" t="s">
        <v>14996</v>
      </c>
      <c r="BX1543" s="1">
        <v>299</v>
      </c>
      <c r="BY1543" s="1">
        <v>299</v>
      </c>
      <c r="BZ1543" s="1">
        <v>299</v>
      </c>
      <c r="CB1543" s="1" t="str">
        <f>"0"</f>
        <v>0</v>
      </c>
      <c r="CC1543" s="1" t="str">
        <f>"305"</f>
        <v>305</v>
      </c>
      <c r="CD1543" s="1">
        <v>0</v>
      </c>
      <c r="CE1543" s="1">
        <v>5000</v>
      </c>
      <c r="CG1543" s="1" t="s">
        <v>757</v>
      </c>
      <c r="CH1543" s="1" t="s">
        <v>784</v>
      </c>
      <c r="CI1543" s="1" t="s">
        <v>438</v>
      </c>
      <c r="CK1543" s="1" t="s">
        <v>1297</v>
      </c>
      <c r="CL1543" s="1" t="s">
        <v>784</v>
      </c>
      <c r="CP1543" s="1" t="s">
        <v>224</v>
      </c>
      <c r="CS1543" s="1" t="s">
        <v>379</v>
      </c>
      <c r="CT1543" s="1" t="s">
        <v>784</v>
      </c>
      <c r="CX1543" s="1" t="s">
        <v>224</v>
      </c>
      <c r="DB1543" s="1" t="s">
        <v>224</v>
      </c>
      <c r="DE1543" s="1" t="s">
        <v>951</v>
      </c>
      <c r="DF1543" s="1" t="s">
        <v>784</v>
      </c>
      <c r="DJ1543" s="1" t="s">
        <v>224</v>
      </c>
      <c r="DS1543" s="1" t="s">
        <v>230</v>
      </c>
      <c r="DW1543" s="1" t="s">
        <v>230</v>
      </c>
      <c r="EA1543" s="1" t="s">
        <v>230</v>
      </c>
      <c r="EE1543" s="1" t="s">
        <v>230</v>
      </c>
      <c r="EI1543" s="1" t="s">
        <v>230</v>
      </c>
      <c r="EL1543" s="1" t="s">
        <v>2521</v>
      </c>
      <c r="EM1543" s="1" t="s">
        <v>232</v>
      </c>
      <c r="EN1543" s="1" t="s">
        <v>1343</v>
      </c>
      <c r="EO1543" s="1" t="s">
        <v>234</v>
      </c>
      <c r="ER1543" s="1" t="s">
        <v>347</v>
      </c>
      <c r="EW1543" s="1" t="s">
        <v>4815</v>
      </c>
      <c r="EZ1543" s="1" t="s">
        <v>287</v>
      </c>
      <c r="FB1543" s="1" t="s">
        <v>1505</v>
      </c>
      <c r="FD1543" s="1" t="s">
        <v>246</v>
      </c>
      <c r="FE1543" s="1" t="s">
        <v>247</v>
      </c>
      <c r="FF1543" s="1" t="s">
        <v>248</v>
      </c>
      <c r="FH1543" s="1" t="s">
        <v>249</v>
      </c>
      <c r="FJ1543" s="1" t="s">
        <v>197</v>
      </c>
      <c r="FK1543" s="1" t="s">
        <v>2076</v>
      </c>
      <c r="FL1543" s="1" t="s">
        <v>414</v>
      </c>
      <c r="FM1543" s="1" t="s">
        <v>252</v>
      </c>
      <c r="FN1543" s="1" t="s">
        <v>213</v>
      </c>
      <c r="FO1543" s="1" t="s">
        <v>213</v>
      </c>
      <c r="FQ1543" s="1" t="s">
        <v>359</v>
      </c>
      <c r="FR1543" s="1" t="s">
        <v>360</v>
      </c>
      <c r="FS1543" s="1" t="s">
        <v>5528</v>
      </c>
      <c r="FT1543" s="1" t="s">
        <v>14997</v>
      </c>
      <c r="FU1543" s="1" t="s">
        <v>204</v>
      </c>
      <c r="FW1543" s="1" t="s">
        <v>1637</v>
      </c>
      <c r="FX1543" s="1">
        <v>2626</v>
      </c>
      <c r="FY1543" s="1" t="s">
        <v>1638</v>
      </c>
      <c r="FZ1543" s="1" t="s">
        <v>5530</v>
      </c>
      <c r="GA1543" s="1">
        <v>28075</v>
      </c>
      <c r="GB1543" s="1" t="s">
        <v>5531</v>
      </c>
      <c r="GE1543" s="1" t="s">
        <v>210</v>
      </c>
      <c r="GH1543" s="1" t="s">
        <v>800</v>
      </c>
      <c r="GI1543" s="1" t="s">
        <v>213</v>
      </c>
      <c r="GJ1543" s="1" t="s">
        <v>260</v>
      </c>
      <c r="GK1543" s="1" t="s">
        <v>210</v>
      </c>
      <c r="GL1543" s="2">
        <v>42150</v>
      </c>
      <c r="GM1543" s="1" t="s">
        <v>14998</v>
      </c>
    </row>
    <row r="1544" spans="1:195">
      <c r="A1544" s="1">
        <v>95000</v>
      </c>
      <c r="B1544" s="1" t="s">
        <v>195</v>
      </c>
      <c r="C1544" s="1" t="str">
        <f>"08688698"</f>
        <v>08688698</v>
      </c>
      <c r="D1544" s="1" t="s">
        <v>196</v>
      </c>
      <c r="F1544" s="1" t="str">
        <f>"515"</f>
        <v>515</v>
      </c>
      <c r="G1544" s="2">
        <v>41851</v>
      </c>
      <c r="H1544" s="1">
        <v>115000</v>
      </c>
      <c r="I1544" s="1">
        <v>99900</v>
      </c>
      <c r="J1544" s="1">
        <v>95000</v>
      </c>
      <c r="K1544" s="2">
        <v>41851</v>
      </c>
      <c r="L1544" s="1">
        <v>185</v>
      </c>
      <c r="M1544" s="2">
        <v>42035</v>
      </c>
      <c r="N1544" s="1">
        <v>185</v>
      </c>
      <c r="O1544" s="2">
        <v>42035</v>
      </c>
      <c r="P1544" s="1">
        <v>22273</v>
      </c>
      <c r="Q1544" s="1" t="s">
        <v>197</v>
      </c>
      <c r="R1544" s="2">
        <v>42075</v>
      </c>
      <c r="S1544" s="1">
        <v>221427</v>
      </c>
      <c r="U1544" s="1">
        <v>4043</v>
      </c>
      <c r="V1544" s="1" t="s">
        <v>14999</v>
      </c>
      <c r="W1544" s="1" t="s">
        <v>425</v>
      </c>
      <c r="X1544" s="1" t="s">
        <v>15000</v>
      </c>
      <c r="Y1544" s="1">
        <v>24</v>
      </c>
      <c r="Z1544" s="1" t="s">
        <v>249</v>
      </c>
      <c r="AA1544" s="1" t="s">
        <v>1294</v>
      </c>
      <c r="AB1544" s="1">
        <v>60515</v>
      </c>
      <c r="AE1544" s="1" t="s">
        <v>15001</v>
      </c>
      <c r="AF1544" s="1">
        <v>1968</v>
      </c>
      <c r="AG1544" s="1" t="s">
        <v>213</v>
      </c>
      <c r="AH1544" s="1" t="s">
        <v>903</v>
      </c>
      <c r="AI1544" s="1" t="s">
        <v>206</v>
      </c>
      <c r="AJ1544" s="1" t="s">
        <v>903</v>
      </c>
      <c r="AL1544" s="1">
        <v>5</v>
      </c>
      <c r="AM1544" s="1">
        <v>2</v>
      </c>
      <c r="AN1544" s="1">
        <v>1</v>
      </c>
      <c r="AO1544" s="1">
        <v>0</v>
      </c>
      <c r="AP1544" s="1" t="s">
        <v>210</v>
      </c>
      <c r="AR1544" s="1" t="s">
        <v>210</v>
      </c>
      <c r="AT1544" s="1" t="s">
        <v>271</v>
      </c>
      <c r="AV1544" s="1">
        <v>2</v>
      </c>
      <c r="AW1544" s="1" t="s">
        <v>204</v>
      </c>
      <c r="AX1544" s="1" t="s">
        <v>212</v>
      </c>
      <c r="AZ1544" s="1">
        <v>939.88</v>
      </c>
      <c r="BA1544" s="1">
        <v>2013</v>
      </c>
      <c r="BB1544" s="1" t="s">
        <v>405</v>
      </c>
      <c r="BE1544" s="1">
        <v>1050</v>
      </c>
      <c r="BF1544" s="1">
        <v>1</v>
      </c>
      <c r="BG1544" s="1">
        <v>0</v>
      </c>
      <c r="BJ1544" s="1">
        <v>100</v>
      </c>
      <c r="BK1544" s="1">
        <v>0.22</v>
      </c>
      <c r="BL1544" s="1">
        <v>315</v>
      </c>
      <c r="BM1544" s="1" t="s">
        <v>204</v>
      </c>
      <c r="BN1544" s="1" t="s">
        <v>213</v>
      </c>
      <c r="BP1544" s="1" t="s">
        <v>204</v>
      </c>
      <c r="BR1544" s="1" t="str">
        <f>"0905123082"</f>
        <v>0905123082</v>
      </c>
      <c r="BT1544" s="1" t="s">
        <v>15002</v>
      </c>
      <c r="BU1544" s="1" t="s">
        <v>5757</v>
      </c>
      <c r="BV1544" s="1" t="s">
        <v>2761</v>
      </c>
      <c r="BW1544" s="1" t="s">
        <v>2762</v>
      </c>
      <c r="BX1544" s="1">
        <v>58</v>
      </c>
      <c r="BY1544" s="1">
        <v>58</v>
      </c>
      <c r="BZ1544" s="1">
        <v>99</v>
      </c>
      <c r="CB1544" s="1" t="str">
        <f t="shared" ref="CB1544:CC1544" si="1177">""</f>
        <v/>
      </c>
      <c r="CC1544" s="1" t="str">
        <f t="shared" si="1177"/>
        <v/>
      </c>
      <c r="CG1544" s="1" t="s">
        <v>2402</v>
      </c>
      <c r="CH1544" s="1" t="s">
        <v>219</v>
      </c>
      <c r="CI1544" s="1" t="s">
        <v>220</v>
      </c>
      <c r="CJ1544" s="1" t="s">
        <v>343</v>
      </c>
      <c r="CK1544" s="1" t="s">
        <v>278</v>
      </c>
      <c r="CL1544" s="1" t="s">
        <v>219</v>
      </c>
      <c r="CM1544" s="1" t="s">
        <v>220</v>
      </c>
      <c r="CN1544" s="1" t="s">
        <v>343</v>
      </c>
      <c r="CO1544" s="1" t="s">
        <v>629</v>
      </c>
      <c r="CP1544" s="1" t="s">
        <v>219</v>
      </c>
      <c r="CQ1544" s="1" t="s">
        <v>220</v>
      </c>
      <c r="CS1544" s="1" t="s">
        <v>223</v>
      </c>
      <c r="CT1544" s="1" t="s">
        <v>219</v>
      </c>
      <c r="CU1544" s="1" t="s">
        <v>220</v>
      </c>
      <c r="CV1544" s="1" t="s">
        <v>343</v>
      </c>
      <c r="CX1544" s="1" t="s">
        <v>224</v>
      </c>
      <c r="DB1544" s="1" t="s">
        <v>224</v>
      </c>
      <c r="DE1544" s="1" t="s">
        <v>1612</v>
      </c>
      <c r="DF1544" s="1" t="s">
        <v>219</v>
      </c>
      <c r="DG1544" s="1" t="s">
        <v>15003</v>
      </c>
      <c r="DJ1544" s="1" t="s">
        <v>224</v>
      </c>
      <c r="DS1544" s="1" t="s">
        <v>230</v>
      </c>
      <c r="DW1544" s="1" t="s">
        <v>230</v>
      </c>
      <c r="EA1544" s="1" t="s">
        <v>230</v>
      </c>
      <c r="EE1544" s="1" t="s">
        <v>230</v>
      </c>
      <c r="EI1544" s="1" t="s">
        <v>230</v>
      </c>
      <c r="EL1544" s="1" t="s">
        <v>605</v>
      </c>
      <c r="EM1544" s="1" t="s">
        <v>730</v>
      </c>
      <c r="EN1544" s="1" t="s">
        <v>1158</v>
      </c>
      <c r="EO1544" s="1" t="s">
        <v>234</v>
      </c>
      <c r="EP1544" s="1" t="s">
        <v>15004</v>
      </c>
      <c r="EQ1544" s="1" t="s">
        <v>3494</v>
      </c>
      <c r="ER1544" s="1" t="s">
        <v>210</v>
      </c>
      <c r="ES1544" s="1" t="s">
        <v>824</v>
      </c>
      <c r="EU1544" s="1" t="s">
        <v>239</v>
      </c>
      <c r="EV1544" s="1" t="s">
        <v>240</v>
      </c>
      <c r="EW1544" s="1" t="s">
        <v>4301</v>
      </c>
      <c r="EY1544" s="1" t="s">
        <v>242</v>
      </c>
      <c r="EZ1544" s="1" t="s">
        <v>287</v>
      </c>
      <c r="FA1544" s="1" t="s">
        <v>3573</v>
      </c>
      <c r="FB1544" s="1" t="s">
        <v>1755</v>
      </c>
      <c r="FC1544" s="1" t="s">
        <v>1386</v>
      </c>
      <c r="FD1544" s="1" t="s">
        <v>736</v>
      </c>
      <c r="FE1544" s="1" t="s">
        <v>247</v>
      </c>
      <c r="FF1544" s="1" t="s">
        <v>248</v>
      </c>
      <c r="FH1544" s="1" t="s">
        <v>15005</v>
      </c>
      <c r="FJ1544" s="1" t="s">
        <v>197</v>
      </c>
      <c r="FK1544" s="1" t="s">
        <v>4663</v>
      </c>
      <c r="FL1544" s="1" t="s">
        <v>15006</v>
      </c>
      <c r="FM1544" s="1" t="s">
        <v>252</v>
      </c>
      <c r="FN1544" s="1" t="s">
        <v>213</v>
      </c>
      <c r="FO1544" s="1" t="s">
        <v>213</v>
      </c>
      <c r="FQ1544" s="1" t="s">
        <v>6026</v>
      </c>
      <c r="FR1544" s="1" t="s">
        <v>210</v>
      </c>
      <c r="FS1544" s="1" t="s">
        <v>15007</v>
      </c>
      <c r="FT1544" s="1" t="s">
        <v>255</v>
      </c>
      <c r="FU1544" s="1" t="s">
        <v>204</v>
      </c>
      <c r="FW1544" s="1" t="s">
        <v>2179</v>
      </c>
      <c r="FX1544" s="1">
        <v>22039</v>
      </c>
      <c r="FY1544" s="1" t="s">
        <v>2180</v>
      </c>
      <c r="FZ1544" s="1" t="s">
        <v>15008</v>
      </c>
      <c r="GA1544" s="1">
        <v>232226</v>
      </c>
      <c r="GB1544" s="1" t="s">
        <v>15009</v>
      </c>
      <c r="GD1544" s="1">
        <v>232226</v>
      </c>
      <c r="GE1544" s="1" t="s">
        <v>335</v>
      </c>
      <c r="GI1544" s="1" t="s">
        <v>213</v>
      </c>
      <c r="GJ1544" s="1" t="s">
        <v>260</v>
      </c>
      <c r="GK1544" s="1" t="s">
        <v>261</v>
      </c>
      <c r="GL1544" s="2">
        <v>42079</v>
      </c>
      <c r="GM1544" s="1" t="s">
        <v>15010</v>
      </c>
    </row>
    <row r="1545" spans="1:195">
      <c r="A1545" s="1">
        <v>20547</v>
      </c>
      <c r="B1545" s="1" t="s">
        <v>195</v>
      </c>
      <c r="C1545" s="1" t="str">
        <f>"08680925"</f>
        <v>08680925</v>
      </c>
      <c r="D1545" s="1" t="s">
        <v>196</v>
      </c>
      <c r="F1545" s="1" t="str">
        <f>"8075"</f>
        <v>8075</v>
      </c>
      <c r="G1545" s="2">
        <v>41843</v>
      </c>
      <c r="H1545" s="1">
        <v>60000</v>
      </c>
      <c r="I1545" s="1">
        <v>0</v>
      </c>
      <c r="J1545" s="1">
        <v>20547</v>
      </c>
      <c r="K1545" s="2">
        <v>41843</v>
      </c>
      <c r="L1545" s="1">
        <v>234</v>
      </c>
      <c r="M1545" s="2">
        <v>42076</v>
      </c>
      <c r="N1545" s="1">
        <v>234</v>
      </c>
      <c r="O1545" s="2">
        <v>42076</v>
      </c>
      <c r="P1545" s="1">
        <v>84866</v>
      </c>
      <c r="Q1545" s="1" t="s">
        <v>302</v>
      </c>
      <c r="R1545" s="2">
        <v>42079</v>
      </c>
      <c r="S1545" s="1">
        <v>106154</v>
      </c>
      <c r="U1545" s="1">
        <v>2340</v>
      </c>
      <c r="V1545" s="1" t="s">
        <v>3478</v>
      </c>
      <c r="W1545" s="1" t="s">
        <v>725</v>
      </c>
      <c r="X1545" s="1" t="s">
        <v>4849</v>
      </c>
      <c r="Y1545" s="1">
        <v>6</v>
      </c>
      <c r="Z1545" s="1" t="s">
        <v>249</v>
      </c>
      <c r="AA1545" s="1" t="s">
        <v>400</v>
      </c>
      <c r="AB1545" s="1">
        <v>60643</v>
      </c>
      <c r="AE1545" s="1" t="s">
        <v>15011</v>
      </c>
      <c r="AF1545" s="1">
        <v>1970</v>
      </c>
      <c r="AG1545" s="1" t="s">
        <v>213</v>
      </c>
      <c r="AH1545" s="1" t="s">
        <v>403</v>
      </c>
      <c r="AI1545" s="1" t="s">
        <v>310</v>
      </c>
      <c r="AJ1545" s="1" t="s">
        <v>683</v>
      </c>
      <c r="AL1545" s="1">
        <v>5</v>
      </c>
      <c r="AM1545" s="1">
        <v>2</v>
      </c>
      <c r="AN1545" s="1">
        <v>1</v>
      </c>
      <c r="AO1545" s="1">
        <v>0</v>
      </c>
      <c r="AP1545" s="1" t="s">
        <v>210</v>
      </c>
      <c r="AR1545" s="1" t="s">
        <v>210</v>
      </c>
      <c r="AS1545" s="1" t="s">
        <v>204</v>
      </c>
      <c r="AT1545" s="1" t="s">
        <v>271</v>
      </c>
      <c r="AV1545" s="1">
        <v>1</v>
      </c>
      <c r="AW1545" s="1" t="s">
        <v>204</v>
      </c>
      <c r="AX1545" s="1" t="s">
        <v>212</v>
      </c>
      <c r="AZ1545" s="1">
        <v>1902.36</v>
      </c>
      <c r="BA1545" s="1">
        <v>2012</v>
      </c>
      <c r="BB1545" s="1" t="s">
        <v>210</v>
      </c>
      <c r="BE1545" s="1">
        <v>895</v>
      </c>
      <c r="BF1545" s="1">
        <v>2</v>
      </c>
      <c r="BG1545" s="1">
        <v>30</v>
      </c>
      <c r="BL1545" s="1">
        <v>262</v>
      </c>
      <c r="BM1545" s="1" t="s">
        <v>204</v>
      </c>
      <c r="BN1545" s="1" t="s">
        <v>213</v>
      </c>
      <c r="BO1545" s="1" t="s">
        <v>402</v>
      </c>
      <c r="BP1545" s="1" t="s">
        <v>204</v>
      </c>
      <c r="BR1545" s="1" t="str">
        <f>"25183170541011"</f>
        <v>25183170541011</v>
      </c>
      <c r="BT1545" s="1" t="s">
        <v>15012</v>
      </c>
      <c r="BX1545" s="1">
        <v>299</v>
      </c>
      <c r="BY1545" s="1">
        <v>299</v>
      </c>
      <c r="BZ1545" s="1">
        <v>299</v>
      </c>
      <c r="CB1545" s="1" t="str">
        <f t="shared" ref="CB1545:CC1545" si="1178">"0"</f>
        <v>0</v>
      </c>
      <c r="CC1545" s="1" t="str">
        <f t="shared" si="1178"/>
        <v>0</v>
      </c>
      <c r="CD1545" s="1">
        <v>2340</v>
      </c>
      <c r="CE1545" s="1">
        <v>11100</v>
      </c>
      <c r="CG1545" s="1" t="s">
        <v>1004</v>
      </c>
      <c r="CH1545" s="1" t="s">
        <v>219</v>
      </c>
      <c r="CI1545" s="1" t="s">
        <v>438</v>
      </c>
      <c r="CJ1545" s="1" t="s">
        <v>210</v>
      </c>
      <c r="CK1545" s="1" t="s">
        <v>1297</v>
      </c>
      <c r="CL1545" s="1" t="s">
        <v>219</v>
      </c>
      <c r="CM1545" s="1" t="s">
        <v>438</v>
      </c>
      <c r="CN1545" s="1" t="s">
        <v>210</v>
      </c>
      <c r="CO1545" s="1" t="s">
        <v>281</v>
      </c>
      <c r="CP1545" s="1" t="s">
        <v>219</v>
      </c>
      <c r="CQ1545" s="1" t="s">
        <v>438</v>
      </c>
      <c r="CR1545" s="1" t="s">
        <v>210</v>
      </c>
      <c r="CS1545" s="1" t="s">
        <v>1297</v>
      </c>
      <c r="CT1545" s="1" t="s">
        <v>219</v>
      </c>
      <c r="CU1545" s="1" t="s">
        <v>438</v>
      </c>
      <c r="CV1545" s="1" t="s">
        <v>210</v>
      </c>
      <c r="CX1545" s="1" t="s">
        <v>224</v>
      </c>
      <c r="DB1545" s="1" t="s">
        <v>224</v>
      </c>
      <c r="DE1545" s="1" t="s">
        <v>1571</v>
      </c>
      <c r="DF1545" s="1" t="s">
        <v>219</v>
      </c>
      <c r="DG1545" s="1" t="s">
        <v>226</v>
      </c>
      <c r="DH1545" s="1" t="s">
        <v>210</v>
      </c>
      <c r="DJ1545" s="1" t="s">
        <v>224</v>
      </c>
      <c r="DS1545" s="1" t="s">
        <v>230</v>
      </c>
      <c r="DW1545" s="1" t="s">
        <v>230</v>
      </c>
      <c r="EA1545" s="1" t="s">
        <v>230</v>
      </c>
      <c r="EE1545" s="1" t="s">
        <v>230</v>
      </c>
      <c r="EI1545" s="1" t="s">
        <v>230</v>
      </c>
      <c r="EL1545" s="1" t="s">
        <v>605</v>
      </c>
      <c r="EM1545" s="1" t="s">
        <v>232</v>
      </c>
      <c r="EN1545" s="1" t="s">
        <v>731</v>
      </c>
      <c r="EO1545" s="1" t="s">
        <v>234</v>
      </c>
      <c r="EP1545" s="1" t="s">
        <v>2369</v>
      </c>
      <c r="ER1545" s="1" t="s">
        <v>210</v>
      </c>
      <c r="ES1545" s="1" t="s">
        <v>545</v>
      </c>
      <c r="EV1545" s="1" t="s">
        <v>324</v>
      </c>
      <c r="EW1545" s="1" t="s">
        <v>2765</v>
      </c>
      <c r="EZ1545" s="1" t="s">
        <v>287</v>
      </c>
      <c r="FB1545" s="1" t="s">
        <v>734</v>
      </c>
      <c r="FC1545" s="1" t="s">
        <v>26</v>
      </c>
      <c r="FD1545" s="1" t="s">
        <v>246</v>
      </c>
      <c r="FE1545" s="1" t="s">
        <v>247</v>
      </c>
      <c r="FF1545" s="1" t="s">
        <v>248</v>
      </c>
      <c r="FH1545" s="1" t="s">
        <v>249</v>
      </c>
      <c r="FK1545" s="1" t="s">
        <v>291</v>
      </c>
      <c r="FL1545" s="1" t="s">
        <v>328</v>
      </c>
      <c r="FM1545" s="1" t="s">
        <v>252</v>
      </c>
      <c r="FN1545" s="1" t="s">
        <v>213</v>
      </c>
      <c r="FO1545" s="1" t="s">
        <v>213</v>
      </c>
      <c r="FQ1545" s="1" t="s">
        <v>15013</v>
      </c>
      <c r="FR1545" s="1" t="s">
        <v>210</v>
      </c>
      <c r="FS1545" s="1" t="s">
        <v>13276</v>
      </c>
      <c r="FT1545" s="1" t="s">
        <v>1828</v>
      </c>
      <c r="FU1545" s="1" t="s">
        <v>204</v>
      </c>
      <c r="FW1545" s="1" t="s">
        <v>13170</v>
      </c>
      <c r="FX1545" s="1">
        <v>12511</v>
      </c>
      <c r="FY1545" s="1" t="s">
        <v>13171</v>
      </c>
      <c r="FZ1545" s="1" t="s">
        <v>13172</v>
      </c>
      <c r="GA1545" s="1">
        <v>121408</v>
      </c>
      <c r="GB1545" s="1" t="s">
        <v>13173</v>
      </c>
      <c r="GE1545" s="1" t="s">
        <v>1187</v>
      </c>
      <c r="GH1545" s="1" t="s">
        <v>589</v>
      </c>
      <c r="GI1545" s="1" t="s">
        <v>213</v>
      </c>
      <c r="GJ1545" s="1" t="s">
        <v>260</v>
      </c>
      <c r="GK1545" s="1" t="s">
        <v>210</v>
      </c>
      <c r="GL1545" s="2">
        <v>42079</v>
      </c>
      <c r="GM1545" s="1" t="s">
        <v>15014</v>
      </c>
    </row>
    <row r="1546" spans="1:195">
      <c r="A1546" s="1">
        <v>89500</v>
      </c>
      <c r="B1546" s="1" t="s">
        <v>195</v>
      </c>
      <c r="C1546" s="1" t="str">
        <f>"08683831"</f>
        <v>08683831</v>
      </c>
      <c r="D1546" s="1" t="s">
        <v>196</v>
      </c>
      <c r="F1546" s="1" t="str">
        <f>"515"</f>
        <v>515</v>
      </c>
      <c r="G1546" s="2">
        <v>41845</v>
      </c>
      <c r="H1546" s="1">
        <v>97000</v>
      </c>
      <c r="I1546" s="1">
        <v>93000</v>
      </c>
      <c r="J1546" s="1">
        <v>89500</v>
      </c>
      <c r="K1546" s="2">
        <v>41845</v>
      </c>
      <c r="L1546" s="1">
        <v>79</v>
      </c>
      <c r="M1546" s="2">
        <v>41923</v>
      </c>
      <c r="N1546" s="1">
        <v>79</v>
      </c>
      <c r="O1546" s="2">
        <v>41923</v>
      </c>
      <c r="P1546" s="1">
        <v>23177</v>
      </c>
      <c r="Q1546" s="1" t="s">
        <v>302</v>
      </c>
      <c r="R1546" s="2">
        <v>41983</v>
      </c>
      <c r="S1546" s="1">
        <v>238177</v>
      </c>
      <c r="U1546" s="1">
        <v>4439</v>
      </c>
      <c r="V1546" s="1" t="s">
        <v>15015</v>
      </c>
      <c r="W1546" s="1" t="s">
        <v>449</v>
      </c>
      <c r="X1546" s="1">
        <v>22</v>
      </c>
      <c r="Y1546" s="1">
        <v>6</v>
      </c>
      <c r="Z1546" s="1" t="s">
        <v>249</v>
      </c>
      <c r="AA1546" s="1" t="s">
        <v>1294</v>
      </c>
      <c r="AB1546" s="1">
        <v>60515</v>
      </c>
      <c r="AE1546" s="1" t="s">
        <v>15016</v>
      </c>
      <c r="AF1546" s="1">
        <v>1981</v>
      </c>
      <c r="AG1546" s="1" t="s">
        <v>204</v>
      </c>
      <c r="AH1546" s="1" t="s">
        <v>903</v>
      </c>
      <c r="AI1546" s="1" t="s">
        <v>206</v>
      </c>
      <c r="AJ1546" s="1" t="s">
        <v>925</v>
      </c>
      <c r="AK1546" s="1" t="s">
        <v>1151</v>
      </c>
      <c r="AL1546" s="1">
        <v>5</v>
      </c>
      <c r="AM1546" s="1">
        <v>2</v>
      </c>
      <c r="AN1546" s="1">
        <v>1</v>
      </c>
      <c r="AO1546" s="1">
        <v>0</v>
      </c>
      <c r="AP1546" s="1" t="s">
        <v>210</v>
      </c>
      <c r="AQ1546" s="1">
        <v>0</v>
      </c>
      <c r="AR1546" s="1" t="s">
        <v>210</v>
      </c>
      <c r="AS1546" s="1" t="s">
        <v>204</v>
      </c>
      <c r="AT1546" s="1" t="s">
        <v>271</v>
      </c>
      <c r="AV1546" s="1">
        <v>2</v>
      </c>
      <c r="AW1546" s="1" t="s">
        <v>204</v>
      </c>
      <c r="AX1546" s="1" t="s">
        <v>212</v>
      </c>
      <c r="AZ1546" s="1">
        <v>2118</v>
      </c>
      <c r="BA1546" s="1">
        <v>2013</v>
      </c>
      <c r="BB1546" s="1" t="s">
        <v>210</v>
      </c>
      <c r="BC1546" s="1">
        <v>0</v>
      </c>
      <c r="BE1546" s="1">
        <v>0</v>
      </c>
      <c r="BF1546" s="1">
        <v>2</v>
      </c>
      <c r="BG1546" s="1">
        <v>14</v>
      </c>
      <c r="BL1546" s="1">
        <v>295</v>
      </c>
      <c r="BM1546" s="1" t="s">
        <v>204</v>
      </c>
      <c r="BN1546" s="1" t="s">
        <v>213</v>
      </c>
      <c r="BO1546" s="1">
        <v>999</v>
      </c>
      <c r="BP1546" s="1" t="s">
        <v>204</v>
      </c>
      <c r="BR1546" s="1" t="str">
        <f>"0801414035"</f>
        <v>0801414035</v>
      </c>
      <c r="BT1546" s="1" t="s">
        <v>15017</v>
      </c>
      <c r="BU1546" s="1" t="s">
        <v>14725</v>
      </c>
      <c r="BV1546" s="1" t="s">
        <v>2761</v>
      </c>
      <c r="BW1546" s="1" t="s">
        <v>2762</v>
      </c>
      <c r="BX1546" s="1">
        <v>69</v>
      </c>
      <c r="BY1546" s="1">
        <v>58</v>
      </c>
      <c r="BZ1546" s="1">
        <v>99</v>
      </c>
      <c r="CB1546" s="1" t="str">
        <f t="shared" ref="CB1546:CC1546" si="1179">""</f>
        <v/>
      </c>
      <c r="CC1546" s="1" t="str">
        <f t="shared" si="1179"/>
        <v/>
      </c>
      <c r="CD1546" s="1">
        <v>21</v>
      </c>
      <c r="CE1546" s="1">
        <v>4</v>
      </c>
      <c r="CG1546" s="1" t="s">
        <v>221</v>
      </c>
      <c r="CH1546" s="1" t="s">
        <v>277</v>
      </c>
      <c r="CI1546" s="1" t="s">
        <v>438</v>
      </c>
      <c r="CK1546" s="1" t="s">
        <v>1297</v>
      </c>
      <c r="CL1546" s="1" t="s">
        <v>277</v>
      </c>
      <c r="CM1546" s="1" t="s">
        <v>438</v>
      </c>
      <c r="CO1546" s="1" t="s">
        <v>973</v>
      </c>
      <c r="CP1546" s="1" t="s">
        <v>277</v>
      </c>
      <c r="CQ1546" s="1" t="s">
        <v>438</v>
      </c>
      <c r="CS1546" s="1" t="s">
        <v>821</v>
      </c>
      <c r="CT1546" s="1" t="s">
        <v>277</v>
      </c>
      <c r="CU1546" s="1" t="s">
        <v>438</v>
      </c>
      <c r="CX1546" s="1" t="s">
        <v>224</v>
      </c>
      <c r="DB1546" s="1" t="s">
        <v>224</v>
      </c>
      <c r="DE1546" s="1" t="s">
        <v>223</v>
      </c>
      <c r="DF1546" s="1" t="s">
        <v>277</v>
      </c>
      <c r="DG1546" s="1" t="s">
        <v>5665</v>
      </c>
      <c r="DH1546" s="1" t="s">
        <v>210</v>
      </c>
      <c r="DJ1546" s="1" t="s">
        <v>224</v>
      </c>
      <c r="DS1546" s="1" t="s">
        <v>230</v>
      </c>
      <c r="DW1546" s="1" t="s">
        <v>230</v>
      </c>
      <c r="EA1546" s="1" t="s">
        <v>230</v>
      </c>
      <c r="EE1546" s="1" t="s">
        <v>230</v>
      </c>
      <c r="EI1546" s="1" t="s">
        <v>230</v>
      </c>
      <c r="EL1546" s="1" t="s">
        <v>231</v>
      </c>
      <c r="EM1546" s="1" t="s">
        <v>232</v>
      </c>
      <c r="EN1546" s="1" t="s">
        <v>1158</v>
      </c>
      <c r="EO1546" s="1" t="s">
        <v>234</v>
      </c>
      <c r="EQ1546" s="1" t="s">
        <v>1109</v>
      </c>
      <c r="ER1546" s="1" t="s">
        <v>210</v>
      </c>
      <c r="ES1546" s="1" t="s">
        <v>493</v>
      </c>
      <c r="EU1546" s="1" t="s">
        <v>712</v>
      </c>
      <c r="EV1546" s="1" t="s">
        <v>352</v>
      </c>
      <c r="EW1546" s="1" t="s">
        <v>286</v>
      </c>
      <c r="EY1546" s="1" t="s">
        <v>441</v>
      </c>
      <c r="EZ1546" s="1" t="s">
        <v>287</v>
      </c>
      <c r="FA1546" s="1" t="s">
        <v>471</v>
      </c>
      <c r="FC1546" s="1" t="s">
        <v>1386</v>
      </c>
      <c r="FD1546" s="1" t="s">
        <v>246</v>
      </c>
      <c r="FE1546" s="1" t="s">
        <v>247</v>
      </c>
      <c r="FF1546" s="1" t="s">
        <v>248</v>
      </c>
      <c r="FH1546" s="1" t="s">
        <v>249</v>
      </c>
      <c r="FK1546" s="1" t="s">
        <v>291</v>
      </c>
      <c r="FL1546" s="1" t="s">
        <v>292</v>
      </c>
      <c r="FM1546" s="1" t="s">
        <v>252</v>
      </c>
      <c r="FN1546" s="1" t="s">
        <v>213</v>
      </c>
      <c r="FO1546" s="1" t="s">
        <v>213</v>
      </c>
      <c r="FQ1546" s="1" t="s">
        <v>2253</v>
      </c>
      <c r="FR1546" s="1" t="s">
        <v>210</v>
      </c>
      <c r="FS1546" s="1" t="s">
        <v>15018</v>
      </c>
      <c r="FT1546" s="1" t="s">
        <v>255</v>
      </c>
      <c r="FU1546" s="1" t="s">
        <v>204</v>
      </c>
      <c r="FW1546" s="1" t="s">
        <v>5648</v>
      </c>
      <c r="FX1546" s="1">
        <v>23099</v>
      </c>
      <c r="FY1546" s="1" t="s">
        <v>5649</v>
      </c>
      <c r="FZ1546" s="1" t="s">
        <v>13716</v>
      </c>
      <c r="GA1546" s="1">
        <v>222381</v>
      </c>
      <c r="GB1546" s="1" t="s">
        <v>13717</v>
      </c>
      <c r="GE1546" s="1" t="s">
        <v>210</v>
      </c>
      <c r="GI1546" s="1" t="s">
        <v>213</v>
      </c>
      <c r="GJ1546" s="1" t="s">
        <v>260</v>
      </c>
      <c r="GK1546" s="1" t="s">
        <v>210</v>
      </c>
      <c r="GL1546" s="2">
        <v>41983</v>
      </c>
      <c r="GM1546" s="1" t="s">
        <v>15019</v>
      </c>
    </row>
    <row r="1547" spans="1:195">
      <c r="A1547" s="1">
        <v>74000</v>
      </c>
      <c r="B1547" s="1" t="s">
        <v>195</v>
      </c>
      <c r="C1547" s="1" t="str">
        <f>"08689616"</f>
        <v>08689616</v>
      </c>
      <c r="D1547" s="1" t="s">
        <v>196</v>
      </c>
      <c r="F1547" s="1" t="str">
        <f>"110"</f>
        <v>110</v>
      </c>
      <c r="G1547" s="2">
        <v>41852</v>
      </c>
      <c r="H1547" s="1">
        <v>89900</v>
      </c>
      <c r="I1547" s="1">
        <v>79900</v>
      </c>
      <c r="J1547" s="1">
        <v>74000</v>
      </c>
      <c r="K1547" s="2">
        <v>41852</v>
      </c>
      <c r="L1547" s="1">
        <v>86</v>
      </c>
      <c r="M1547" s="2">
        <v>41937</v>
      </c>
      <c r="N1547" s="1">
        <v>86</v>
      </c>
      <c r="O1547" s="2">
        <v>41937</v>
      </c>
      <c r="P1547" s="1">
        <v>8059</v>
      </c>
      <c r="Q1547" s="1" t="s">
        <v>197</v>
      </c>
      <c r="R1547" s="2">
        <v>42011</v>
      </c>
      <c r="S1547" s="1">
        <v>241104</v>
      </c>
      <c r="U1547" s="1">
        <v>2307</v>
      </c>
      <c r="V1547" s="1" t="s">
        <v>3121</v>
      </c>
      <c r="W1547" s="1" t="s">
        <v>264</v>
      </c>
      <c r="Y1547" s="1">
        <v>8</v>
      </c>
      <c r="Z1547" s="1" t="s">
        <v>370</v>
      </c>
      <c r="AA1547" s="1" t="s">
        <v>803</v>
      </c>
      <c r="AB1547" s="1">
        <v>60110</v>
      </c>
      <c r="AD1547" s="1" t="s">
        <v>8982</v>
      </c>
      <c r="AE1547" s="1" t="s">
        <v>15020</v>
      </c>
      <c r="AF1547" s="1">
        <v>2005</v>
      </c>
      <c r="AG1547" s="1" t="s">
        <v>204</v>
      </c>
      <c r="AH1547" s="1" t="s">
        <v>2557</v>
      </c>
      <c r="AI1547" s="1" t="s">
        <v>665</v>
      </c>
      <c r="AJ1547" s="1" t="s">
        <v>805</v>
      </c>
      <c r="AL1547" s="1">
        <v>5</v>
      </c>
      <c r="AM1547" s="1">
        <v>2</v>
      </c>
      <c r="AN1547" s="1">
        <v>2</v>
      </c>
      <c r="AO1547" s="1">
        <v>0</v>
      </c>
      <c r="AP1547" s="1" t="s">
        <v>209</v>
      </c>
      <c r="AR1547" s="1" t="s">
        <v>210</v>
      </c>
      <c r="AS1547" s="1" t="s">
        <v>204</v>
      </c>
      <c r="AT1547" s="1" t="s">
        <v>271</v>
      </c>
      <c r="AV1547" s="1">
        <v>1</v>
      </c>
      <c r="AW1547" s="1" t="s">
        <v>204</v>
      </c>
      <c r="AX1547" s="1" t="s">
        <v>212</v>
      </c>
      <c r="AZ1547" s="1">
        <v>2181.2199999999998</v>
      </c>
      <c r="BA1547" s="1">
        <v>2012</v>
      </c>
      <c r="BE1547" s="1">
        <v>1049</v>
      </c>
      <c r="BF1547" s="1">
        <v>1</v>
      </c>
      <c r="BG1547" s="1">
        <v>0</v>
      </c>
      <c r="BL1547" s="1">
        <v>109</v>
      </c>
      <c r="BM1547" s="1" t="s">
        <v>204</v>
      </c>
      <c r="BN1547" s="1" t="s">
        <v>213</v>
      </c>
      <c r="BO1547" s="1">
        <v>999</v>
      </c>
      <c r="BP1547" s="1" t="s">
        <v>204</v>
      </c>
      <c r="BR1547" s="1" t="str">
        <f>"0302479061"</f>
        <v>0302479061</v>
      </c>
      <c r="BT1547" s="1" t="s">
        <v>15021</v>
      </c>
      <c r="BU1547" s="1" t="s">
        <v>8985</v>
      </c>
      <c r="BV1547" s="1" t="s">
        <v>8986</v>
      </c>
      <c r="BW1547" s="1" t="s">
        <v>809</v>
      </c>
      <c r="BX1547" s="1">
        <v>300</v>
      </c>
      <c r="BY1547" s="1">
        <v>300</v>
      </c>
      <c r="BZ1547" s="1">
        <v>300</v>
      </c>
      <c r="CB1547" s="1" t="str">
        <f t="shared" ref="CB1547:CC1547" si="1180">""</f>
        <v/>
      </c>
      <c r="CC1547" s="1" t="str">
        <f t="shared" si="1180"/>
        <v/>
      </c>
      <c r="CG1547" s="1" t="s">
        <v>344</v>
      </c>
      <c r="CH1547" s="1" t="s">
        <v>219</v>
      </c>
      <c r="CK1547" s="1" t="s">
        <v>344</v>
      </c>
      <c r="CL1547" s="1" t="s">
        <v>219</v>
      </c>
      <c r="CO1547" s="1" t="s">
        <v>380</v>
      </c>
      <c r="CP1547" s="1" t="s">
        <v>219</v>
      </c>
      <c r="CS1547" s="1" t="s">
        <v>378</v>
      </c>
      <c r="CT1547" s="1" t="s">
        <v>219</v>
      </c>
      <c r="CX1547" s="1" t="s">
        <v>224</v>
      </c>
      <c r="DB1547" s="1" t="s">
        <v>224</v>
      </c>
      <c r="DE1547" s="1" t="s">
        <v>380</v>
      </c>
      <c r="DF1547" s="1" t="s">
        <v>219</v>
      </c>
      <c r="DJ1547" s="1" t="s">
        <v>224</v>
      </c>
      <c r="DS1547" s="1" t="s">
        <v>230</v>
      </c>
      <c r="DW1547" s="1" t="s">
        <v>230</v>
      </c>
      <c r="EA1547" s="1" t="s">
        <v>230</v>
      </c>
      <c r="EE1547" s="1" t="s">
        <v>230</v>
      </c>
      <c r="EI1547" s="1" t="s">
        <v>230</v>
      </c>
      <c r="EL1547" s="1" t="s">
        <v>491</v>
      </c>
      <c r="EM1547" s="1" t="s">
        <v>319</v>
      </c>
      <c r="EN1547" s="1" t="s">
        <v>210</v>
      </c>
      <c r="EO1547" s="1" t="s">
        <v>234</v>
      </c>
      <c r="ER1547" s="1" t="s">
        <v>210</v>
      </c>
      <c r="EW1547" s="1" t="s">
        <v>384</v>
      </c>
      <c r="EZ1547" s="1" t="s">
        <v>287</v>
      </c>
      <c r="FD1547" s="1" t="s">
        <v>246</v>
      </c>
      <c r="FE1547" s="1" t="s">
        <v>472</v>
      </c>
      <c r="FF1547" s="1" t="s">
        <v>248</v>
      </c>
      <c r="FH1547" s="1" t="s">
        <v>249</v>
      </c>
      <c r="FL1547" s="1" t="s">
        <v>292</v>
      </c>
      <c r="FM1547" s="1" t="s">
        <v>252</v>
      </c>
      <c r="FN1547" s="1" t="s">
        <v>213</v>
      </c>
      <c r="FO1547" s="1" t="s">
        <v>213</v>
      </c>
      <c r="FQ1547" s="1" t="s">
        <v>582</v>
      </c>
      <c r="FR1547" s="1" t="s">
        <v>210</v>
      </c>
      <c r="FS1547" s="1" t="s">
        <v>15022</v>
      </c>
      <c r="FT1547" s="1" t="s">
        <v>584</v>
      </c>
      <c r="FU1547" s="1" t="s">
        <v>204</v>
      </c>
      <c r="FW1547" s="1" t="s">
        <v>585</v>
      </c>
      <c r="FX1547" s="1">
        <v>6026</v>
      </c>
      <c r="FY1547" s="1" t="s">
        <v>1223</v>
      </c>
      <c r="FZ1547" s="1" t="s">
        <v>15023</v>
      </c>
      <c r="GA1547" s="1">
        <v>62750</v>
      </c>
      <c r="GB1547" s="1" t="s">
        <v>15024</v>
      </c>
      <c r="GE1547" s="1" t="s">
        <v>210</v>
      </c>
      <c r="GI1547" s="1" t="s">
        <v>213</v>
      </c>
      <c r="GJ1547" s="1" t="s">
        <v>260</v>
      </c>
      <c r="GK1547" s="1" t="s">
        <v>210</v>
      </c>
      <c r="GL1547" s="2">
        <v>42011</v>
      </c>
      <c r="GM1547" s="1" t="s">
        <v>15025</v>
      </c>
    </row>
    <row r="1548" spans="1:195">
      <c r="A1548" s="1">
        <v>42500</v>
      </c>
      <c r="B1548" s="1" t="s">
        <v>195</v>
      </c>
      <c r="C1548" s="1" t="str">
        <f>"08680100"</f>
        <v>08680100</v>
      </c>
      <c r="D1548" s="1" t="s">
        <v>196</v>
      </c>
      <c r="F1548" s="1" t="str">
        <f>"73"</f>
        <v>73</v>
      </c>
      <c r="G1548" s="2">
        <v>41842</v>
      </c>
      <c r="H1548" s="1">
        <v>50000</v>
      </c>
      <c r="I1548" s="1">
        <v>50000</v>
      </c>
      <c r="J1548" s="1">
        <v>42500</v>
      </c>
      <c r="K1548" s="2">
        <v>41842</v>
      </c>
      <c r="L1548" s="1">
        <v>56</v>
      </c>
      <c r="M1548" s="2">
        <v>41897</v>
      </c>
      <c r="N1548" s="1">
        <v>56</v>
      </c>
      <c r="O1548" s="2">
        <v>41897</v>
      </c>
      <c r="P1548" s="1">
        <v>2208</v>
      </c>
      <c r="Q1548" s="1" t="s">
        <v>302</v>
      </c>
      <c r="R1548" s="2">
        <v>41984</v>
      </c>
      <c r="S1548" s="1">
        <v>80921</v>
      </c>
      <c r="U1548" s="1">
        <v>334</v>
      </c>
      <c r="V1548" s="1" t="s">
        <v>15026</v>
      </c>
      <c r="W1548" s="1" t="s">
        <v>504</v>
      </c>
      <c r="Y1548" s="1">
        <v>4</v>
      </c>
      <c r="Z1548" s="1" t="s">
        <v>370</v>
      </c>
      <c r="AA1548" s="1" t="s">
        <v>1027</v>
      </c>
      <c r="AB1548" s="1">
        <v>60073</v>
      </c>
      <c r="AD1548" s="1" t="s">
        <v>15026</v>
      </c>
      <c r="AE1548" s="1" t="s">
        <v>15027</v>
      </c>
      <c r="AF1548" s="1">
        <v>1984</v>
      </c>
      <c r="AG1548" s="1" t="s">
        <v>204</v>
      </c>
      <c r="AH1548" s="1" t="s">
        <v>1262</v>
      </c>
      <c r="AI1548" s="1" t="s">
        <v>509</v>
      </c>
      <c r="AJ1548" s="1" t="s">
        <v>1263</v>
      </c>
      <c r="AL1548" s="1">
        <v>5</v>
      </c>
      <c r="AM1548" s="1">
        <v>2</v>
      </c>
      <c r="AN1548" s="1">
        <v>1</v>
      </c>
      <c r="AO1548" s="1">
        <v>1</v>
      </c>
      <c r="AP1548" s="1" t="s">
        <v>210</v>
      </c>
      <c r="AQ1548" s="1">
        <v>1</v>
      </c>
      <c r="AR1548" s="1" t="s">
        <v>210</v>
      </c>
      <c r="AS1548" s="1" t="s">
        <v>204</v>
      </c>
      <c r="AT1548" s="1" t="s">
        <v>211</v>
      </c>
      <c r="AU1548" s="1">
        <v>1</v>
      </c>
      <c r="AW1548" s="1" t="s">
        <v>204</v>
      </c>
      <c r="AX1548" s="1" t="s">
        <v>212</v>
      </c>
      <c r="AZ1548" s="1">
        <v>1017.6</v>
      </c>
      <c r="BA1548" s="1">
        <v>2013</v>
      </c>
      <c r="BE1548" s="1">
        <v>960</v>
      </c>
      <c r="BF1548" s="1">
        <v>1</v>
      </c>
      <c r="BG1548" s="1">
        <v>0</v>
      </c>
      <c r="BL1548" s="1">
        <v>235</v>
      </c>
      <c r="BM1548" s="1" t="s">
        <v>204</v>
      </c>
      <c r="BN1548" s="1" t="s">
        <v>213</v>
      </c>
      <c r="BO1548" s="1">
        <v>99</v>
      </c>
      <c r="BP1548" s="1" t="s">
        <v>204</v>
      </c>
      <c r="BR1548" s="1" t="str">
        <f>"06171210190000"</f>
        <v>06171210190000</v>
      </c>
      <c r="BT1548" s="1" t="s">
        <v>15028</v>
      </c>
      <c r="BX1548" s="1">
        <v>116</v>
      </c>
      <c r="BY1548" s="1">
        <v>116</v>
      </c>
      <c r="BZ1548" s="1">
        <v>116</v>
      </c>
      <c r="CB1548" s="1" t="str">
        <f>"35"</f>
        <v>35</v>
      </c>
      <c r="CC1548" s="1" t="str">
        <f>"0"</f>
        <v>0</v>
      </c>
      <c r="CD1548" s="1">
        <v>23</v>
      </c>
      <c r="CE1548" s="1">
        <v>0</v>
      </c>
      <c r="CG1548" s="1" t="s">
        <v>648</v>
      </c>
      <c r="CH1548" s="1" t="s">
        <v>219</v>
      </c>
      <c r="CK1548" s="1" t="s">
        <v>461</v>
      </c>
      <c r="CL1548" s="1" t="s">
        <v>277</v>
      </c>
      <c r="CO1548" s="1" t="s">
        <v>629</v>
      </c>
      <c r="CP1548" s="1" t="s">
        <v>219</v>
      </c>
      <c r="CS1548" s="1" t="s">
        <v>379</v>
      </c>
      <c r="CT1548" s="1" t="s">
        <v>277</v>
      </c>
      <c r="CX1548" s="1" t="s">
        <v>224</v>
      </c>
      <c r="DB1548" s="1" t="s">
        <v>224</v>
      </c>
      <c r="DE1548" s="1" t="s">
        <v>318</v>
      </c>
      <c r="DF1548" s="1" t="s">
        <v>219</v>
      </c>
      <c r="DJ1548" s="1" t="s">
        <v>224</v>
      </c>
      <c r="DS1548" s="1" t="s">
        <v>230</v>
      </c>
      <c r="DW1548" s="1" t="s">
        <v>230</v>
      </c>
      <c r="EA1548" s="1" t="s">
        <v>230</v>
      </c>
      <c r="EE1548" s="1" t="s">
        <v>230</v>
      </c>
      <c r="EI1548" s="1" t="s">
        <v>230</v>
      </c>
      <c r="EL1548" s="1" t="s">
        <v>542</v>
      </c>
      <c r="EM1548" s="1" t="s">
        <v>319</v>
      </c>
      <c r="EN1548" s="1" t="s">
        <v>282</v>
      </c>
      <c r="EO1548" s="1" t="s">
        <v>234</v>
      </c>
      <c r="ER1548" s="1" t="s">
        <v>383</v>
      </c>
      <c r="EU1548" s="1" t="s">
        <v>239</v>
      </c>
      <c r="EW1548" s="1" t="s">
        <v>15029</v>
      </c>
      <c r="EZ1548" s="1" t="s">
        <v>287</v>
      </c>
      <c r="FD1548" s="1" t="s">
        <v>290</v>
      </c>
      <c r="FE1548" s="1" t="s">
        <v>472</v>
      </c>
      <c r="FF1548" s="1" t="s">
        <v>248</v>
      </c>
      <c r="FH1548" s="1" t="s">
        <v>550</v>
      </c>
      <c r="FL1548" s="1" t="s">
        <v>358</v>
      </c>
      <c r="FM1548" s="1" t="s">
        <v>252</v>
      </c>
      <c r="FN1548" s="1" t="s">
        <v>213</v>
      </c>
      <c r="FO1548" s="1" t="s">
        <v>213</v>
      </c>
      <c r="FQ1548" s="1" t="s">
        <v>582</v>
      </c>
      <c r="FR1548" s="1" t="s">
        <v>210</v>
      </c>
      <c r="FS1548" s="1" t="s">
        <v>2844</v>
      </c>
      <c r="FT1548" s="1" t="s">
        <v>295</v>
      </c>
      <c r="FU1548" s="1" t="s">
        <v>204</v>
      </c>
      <c r="FW1548" s="1" t="s">
        <v>2845</v>
      </c>
      <c r="FX1548" s="1">
        <v>5293</v>
      </c>
      <c r="FY1548" s="1" t="s">
        <v>2846</v>
      </c>
      <c r="FZ1548" s="1" t="s">
        <v>2847</v>
      </c>
      <c r="GA1548" s="1">
        <v>53957</v>
      </c>
      <c r="GE1548" s="1" t="s">
        <v>480</v>
      </c>
      <c r="GI1548" s="1" t="s">
        <v>204</v>
      </c>
      <c r="GJ1548" s="1" t="s">
        <v>260</v>
      </c>
      <c r="GK1548" s="1" t="s">
        <v>210</v>
      </c>
      <c r="GL1548" s="2">
        <v>41984</v>
      </c>
      <c r="GM1548" s="1" t="s">
        <v>15030</v>
      </c>
    </row>
    <row r="1549" spans="1:195">
      <c r="A1549" s="1">
        <v>94500</v>
      </c>
      <c r="B1549" s="1" t="s">
        <v>195</v>
      </c>
      <c r="C1549" s="1" t="str">
        <f>"08686808"</f>
        <v>08686808</v>
      </c>
      <c r="D1549" s="1" t="s">
        <v>196</v>
      </c>
      <c r="F1549" s="1" t="str">
        <f>"107"</f>
        <v>107</v>
      </c>
      <c r="G1549" s="2">
        <v>41849</v>
      </c>
      <c r="H1549" s="1">
        <v>116100</v>
      </c>
      <c r="I1549" s="1">
        <v>89900</v>
      </c>
      <c r="J1549" s="1">
        <v>94500</v>
      </c>
      <c r="K1549" s="2">
        <v>41849</v>
      </c>
      <c r="L1549" s="1">
        <v>108</v>
      </c>
      <c r="M1549" s="2">
        <v>41956</v>
      </c>
      <c r="N1549" s="1">
        <v>108</v>
      </c>
      <c r="O1549" s="2">
        <v>41956</v>
      </c>
      <c r="P1549" s="1">
        <v>22739</v>
      </c>
      <c r="Q1549" s="1" t="s">
        <v>197</v>
      </c>
      <c r="R1549" s="2">
        <v>42034</v>
      </c>
      <c r="S1549" s="1">
        <v>240206</v>
      </c>
      <c r="T1549" s="1">
        <v>1890</v>
      </c>
      <c r="U1549" s="1">
        <v>737</v>
      </c>
      <c r="V1549" s="1" t="s">
        <v>1214</v>
      </c>
      <c r="W1549" s="1" t="s">
        <v>199</v>
      </c>
      <c r="X1549" s="1" t="s">
        <v>527</v>
      </c>
      <c r="Y1549" s="1">
        <v>4</v>
      </c>
      <c r="Z1549" s="1" t="s">
        <v>249</v>
      </c>
      <c r="AA1549" s="1" t="s">
        <v>1211</v>
      </c>
      <c r="AB1549" s="1">
        <v>60107</v>
      </c>
      <c r="AD1549" s="1" t="s">
        <v>3552</v>
      </c>
      <c r="AE1549" s="1" t="s">
        <v>15031</v>
      </c>
      <c r="AF1549" s="1">
        <v>1992</v>
      </c>
      <c r="AG1549" s="1" t="s">
        <v>204</v>
      </c>
      <c r="AH1549" s="1" t="s">
        <v>1214</v>
      </c>
      <c r="AI1549" s="1" t="s">
        <v>310</v>
      </c>
      <c r="AJ1549" s="1" t="s">
        <v>374</v>
      </c>
      <c r="AL1549" s="1">
        <v>5</v>
      </c>
      <c r="AM1549" s="1">
        <v>2</v>
      </c>
      <c r="AN1549" s="1">
        <v>1</v>
      </c>
      <c r="AO1549" s="1">
        <v>0</v>
      </c>
      <c r="AP1549" s="1" t="s">
        <v>210</v>
      </c>
      <c r="AR1549" s="1" t="s">
        <v>210</v>
      </c>
      <c r="AS1549" s="1" t="s">
        <v>204</v>
      </c>
      <c r="AT1549" s="1" t="s">
        <v>211</v>
      </c>
      <c r="AU1549" s="1">
        <v>1</v>
      </c>
      <c r="AW1549" s="1" t="s">
        <v>204</v>
      </c>
      <c r="AX1549" s="1" t="s">
        <v>15032</v>
      </c>
      <c r="AZ1549" s="1">
        <v>1663</v>
      </c>
      <c r="BA1549" s="1">
        <v>2012</v>
      </c>
      <c r="BE1549" s="1">
        <v>1200</v>
      </c>
      <c r="BF1549" s="1">
        <v>1</v>
      </c>
      <c r="BG1549" s="1">
        <v>0</v>
      </c>
      <c r="BL1549" s="1">
        <v>191</v>
      </c>
      <c r="BM1549" s="1" t="s">
        <v>204</v>
      </c>
      <c r="BN1549" s="1" t="s">
        <v>213</v>
      </c>
      <c r="BO1549" s="1">
        <v>0</v>
      </c>
      <c r="BP1549" s="1" t="s">
        <v>204</v>
      </c>
      <c r="BR1549" s="1" t="str">
        <f>"06223030361049"</f>
        <v>06223030361049</v>
      </c>
      <c r="BT1549" s="1" t="s">
        <v>15033</v>
      </c>
      <c r="BX1549" s="1">
        <v>46</v>
      </c>
      <c r="BY1549" s="1">
        <v>46</v>
      </c>
      <c r="BZ1549" s="1">
        <v>46</v>
      </c>
      <c r="CB1549" s="1" t="str">
        <f>"10"</f>
        <v>10</v>
      </c>
      <c r="CC1549" s="1" t="str">
        <f>""</f>
        <v/>
      </c>
      <c r="CD1549" s="1">
        <v>29</v>
      </c>
      <c r="CG1549" s="1" t="s">
        <v>1936</v>
      </c>
      <c r="CH1549" s="1" t="s">
        <v>219</v>
      </c>
      <c r="CK1549" s="1" t="s">
        <v>437</v>
      </c>
      <c r="CL1549" s="1" t="s">
        <v>822</v>
      </c>
      <c r="CO1549" s="1" t="s">
        <v>318</v>
      </c>
      <c r="CP1549" s="1" t="s">
        <v>219</v>
      </c>
      <c r="CS1549" s="1" t="s">
        <v>346</v>
      </c>
      <c r="CT1549" s="1" t="s">
        <v>219</v>
      </c>
      <c r="CX1549" s="1" t="s">
        <v>224</v>
      </c>
      <c r="DB1549" s="1" t="s">
        <v>224</v>
      </c>
      <c r="DE1549" s="1" t="s">
        <v>1046</v>
      </c>
      <c r="DF1549" s="1" t="s">
        <v>219</v>
      </c>
      <c r="DJ1549" s="1" t="s">
        <v>224</v>
      </c>
      <c r="DS1549" s="1" t="s">
        <v>230</v>
      </c>
      <c r="DW1549" s="1" t="s">
        <v>230</v>
      </c>
      <c r="EA1549" s="1" t="s">
        <v>230</v>
      </c>
      <c r="EE1549" s="1" t="s">
        <v>230</v>
      </c>
      <c r="EI1549" s="1" t="s">
        <v>230</v>
      </c>
      <c r="EL1549" s="1" t="s">
        <v>382</v>
      </c>
      <c r="EM1549" s="1" t="s">
        <v>232</v>
      </c>
      <c r="EN1549" s="1" t="s">
        <v>282</v>
      </c>
      <c r="EO1549" s="1" t="s">
        <v>1020</v>
      </c>
      <c r="EQ1549" s="1" t="s">
        <v>321</v>
      </c>
      <c r="ER1549" s="1" t="s">
        <v>210</v>
      </c>
      <c r="EU1549" s="1" t="s">
        <v>239</v>
      </c>
      <c r="EV1549" s="1" t="s">
        <v>240</v>
      </c>
      <c r="EW1549" s="1" t="s">
        <v>286</v>
      </c>
      <c r="EZ1549" s="1" t="s">
        <v>287</v>
      </c>
      <c r="FB1549" s="1" t="s">
        <v>289</v>
      </c>
      <c r="FD1549" s="1" t="s">
        <v>495</v>
      </c>
      <c r="FE1549" s="1" t="s">
        <v>1031</v>
      </c>
      <c r="FF1549" s="1" t="s">
        <v>248</v>
      </c>
      <c r="FH1549" s="1" t="s">
        <v>249</v>
      </c>
      <c r="FJ1549" s="1" t="s">
        <v>197</v>
      </c>
      <c r="FL1549" s="1" t="s">
        <v>358</v>
      </c>
      <c r="FM1549" s="1" t="s">
        <v>252</v>
      </c>
      <c r="FN1549" s="1" t="s">
        <v>213</v>
      </c>
      <c r="FO1549" s="1" t="s">
        <v>213</v>
      </c>
      <c r="FQ1549" s="1" t="s">
        <v>689</v>
      </c>
      <c r="FR1549" s="1" t="s">
        <v>210</v>
      </c>
      <c r="FS1549" s="1" t="s">
        <v>1575</v>
      </c>
      <c r="FT1549" s="1" t="s">
        <v>295</v>
      </c>
      <c r="FU1549" s="1" t="s">
        <v>204</v>
      </c>
      <c r="FV1549" s="1" t="s">
        <v>15034</v>
      </c>
      <c r="FW1549" s="1" t="s">
        <v>1388</v>
      </c>
      <c r="FX1549" s="1">
        <v>23948</v>
      </c>
      <c r="FY1549" s="1" t="s">
        <v>1389</v>
      </c>
      <c r="FZ1549" s="1" t="s">
        <v>1390</v>
      </c>
      <c r="GA1549" s="1">
        <v>214765</v>
      </c>
      <c r="GB1549" s="1" t="s">
        <v>1391</v>
      </c>
      <c r="GE1549" s="1" t="s">
        <v>210</v>
      </c>
      <c r="GH1549" s="1" t="s">
        <v>589</v>
      </c>
      <c r="GI1549" s="1" t="s">
        <v>213</v>
      </c>
      <c r="GJ1549" s="1" t="s">
        <v>260</v>
      </c>
      <c r="GK1549" s="1" t="s">
        <v>210</v>
      </c>
      <c r="GL1549" s="2">
        <v>42037</v>
      </c>
      <c r="GM1549" s="1" t="s">
        <v>15035</v>
      </c>
    </row>
    <row r="1550" spans="1:195">
      <c r="A1550" s="1">
        <v>63000</v>
      </c>
      <c r="B1550" s="1" t="s">
        <v>195</v>
      </c>
      <c r="C1550" s="1" t="str">
        <f>"08684301"</f>
        <v>08684301</v>
      </c>
      <c r="D1550" s="1" t="s">
        <v>196</v>
      </c>
      <c r="F1550" s="1" t="str">
        <f>"106"</f>
        <v>106</v>
      </c>
      <c r="G1550" s="2">
        <v>41846</v>
      </c>
      <c r="H1550" s="1">
        <v>95000</v>
      </c>
      <c r="I1550" s="1">
        <v>80000</v>
      </c>
      <c r="J1550" s="1">
        <v>63000</v>
      </c>
      <c r="K1550" s="2">
        <v>41846</v>
      </c>
      <c r="L1550" s="1">
        <v>94</v>
      </c>
      <c r="M1550" s="2">
        <v>41939</v>
      </c>
      <c r="N1550" s="1">
        <v>94</v>
      </c>
      <c r="O1550" s="2">
        <v>41939</v>
      </c>
      <c r="P1550" s="1">
        <v>22993</v>
      </c>
      <c r="Q1550" s="1" t="s">
        <v>302</v>
      </c>
      <c r="R1550" s="2">
        <v>42010</v>
      </c>
      <c r="S1550" s="1">
        <v>233281</v>
      </c>
      <c r="U1550" s="1">
        <v>4</v>
      </c>
      <c r="V1550" s="1" t="s">
        <v>15036</v>
      </c>
      <c r="W1550" s="1" t="s">
        <v>725</v>
      </c>
      <c r="X1550" s="1">
        <v>202</v>
      </c>
      <c r="Y1550" s="1">
        <v>39</v>
      </c>
      <c r="Z1550" s="1" t="s">
        <v>249</v>
      </c>
      <c r="AA1550" s="1" t="s">
        <v>1229</v>
      </c>
      <c r="AB1550" s="1">
        <v>60106</v>
      </c>
      <c r="AE1550" s="1" t="s">
        <v>15037</v>
      </c>
      <c r="AF1550" s="1">
        <v>1973</v>
      </c>
      <c r="AG1550" s="1" t="s">
        <v>213</v>
      </c>
      <c r="AH1550" s="1" t="s">
        <v>1233</v>
      </c>
      <c r="AI1550" s="1" t="s">
        <v>206</v>
      </c>
      <c r="AJ1550" s="1" t="s">
        <v>1233</v>
      </c>
      <c r="AL1550" s="1">
        <v>5</v>
      </c>
      <c r="AM1550" s="1">
        <v>2</v>
      </c>
      <c r="AN1550" s="1">
        <v>2</v>
      </c>
      <c r="AO1550" s="1">
        <v>0</v>
      </c>
      <c r="AP1550" s="1" t="s">
        <v>209</v>
      </c>
      <c r="AR1550" s="1" t="s">
        <v>210</v>
      </c>
      <c r="AS1550" s="1" t="s">
        <v>204</v>
      </c>
      <c r="AT1550" s="1" t="s">
        <v>271</v>
      </c>
      <c r="AV1550" s="1">
        <v>1</v>
      </c>
      <c r="AW1550" s="1" t="s">
        <v>204</v>
      </c>
      <c r="AX1550" s="1" t="s">
        <v>212</v>
      </c>
      <c r="AZ1550" s="1">
        <v>1488</v>
      </c>
      <c r="BA1550" s="1">
        <v>2013</v>
      </c>
      <c r="BB1550" s="1" t="s">
        <v>210</v>
      </c>
      <c r="BE1550" s="1">
        <v>1012</v>
      </c>
      <c r="BF1550" s="1">
        <v>2</v>
      </c>
      <c r="BG1550" s="1">
        <v>0</v>
      </c>
      <c r="BL1550" s="1">
        <v>282</v>
      </c>
      <c r="BM1550" s="1" t="s">
        <v>204</v>
      </c>
      <c r="BN1550" s="1" t="s">
        <v>213</v>
      </c>
      <c r="BO1550" s="1">
        <v>0</v>
      </c>
      <c r="BP1550" s="1" t="s">
        <v>204</v>
      </c>
      <c r="BR1550" s="1" t="str">
        <f>"0314422009"</f>
        <v>0314422009</v>
      </c>
      <c r="BT1550" s="1" t="s">
        <v>15038</v>
      </c>
      <c r="BX1550" s="1">
        <v>299</v>
      </c>
      <c r="BY1550" s="1">
        <v>299</v>
      </c>
      <c r="BZ1550" s="1">
        <v>299</v>
      </c>
      <c r="CB1550" s="1" t="str">
        <f t="shared" ref="CB1550:CC1550" si="1181">""</f>
        <v/>
      </c>
      <c r="CC1550" s="1" t="str">
        <f t="shared" si="1181"/>
        <v/>
      </c>
      <c r="CG1550" s="1" t="s">
        <v>1045</v>
      </c>
      <c r="CH1550" s="1" t="s">
        <v>219</v>
      </c>
      <c r="CI1550" s="1" t="s">
        <v>220</v>
      </c>
      <c r="CK1550" s="1" t="s">
        <v>408</v>
      </c>
      <c r="CL1550" s="1" t="s">
        <v>219</v>
      </c>
      <c r="CM1550" s="1" t="s">
        <v>220</v>
      </c>
      <c r="CO1550" s="1" t="s">
        <v>318</v>
      </c>
      <c r="CP1550" s="1" t="s">
        <v>219</v>
      </c>
      <c r="CQ1550" s="1" t="s">
        <v>220</v>
      </c>
      <c r="CS1550" s="1" t="s">
        <v>539</v>
      </c>
      <c r="CT1550" s="1" t="s">
        <v>219</v>
      </c>
      <c r="CU1550" s="1" t="s">
        <v>220</v>
      </c>
      <c r="CX1550" s="1" t="s">
        <v>224</v>
      </c>
      <c r="DB1550" s="1" t="s">
        <v>224</v>
      </c>
      <c r="DE1550" s="1" t="s">
        <v>379</v>
      </c>
      <c r="DF1550" s="1" t="s">
        <v>219</v>
      </c>
      <c r="DG1550" s="1" t="s">
        <v>342</v>
      </c>
      <c r="DJ1550" s="1" t="s">
        <v>224</v>
      </c>
      <c r="DS1550" s="1" t="s">
        <v>230</v>
      </c>
      <c r="DW1550" s="1" t="s">
        <v>230</v>
      </c>
      <c r="EA1550" s="1" t="s">
        <v>230</v>
      </c>
      <c r="EE1550" s="1" t="s">
        <v>230</v>
      </c>
      <c r="EI1550" s="1" t="s">
        <v>230</v>
      </c>
      <c r="EL1550" s="1" t="s">
        <v>605</v>
      </c>
      <c r="EM1550" s="1" t="s">
        <v>319</v>
      </c>
      <c r="EN1550" s="1" t="s">
        <v>282</v>
      </c>
      <c r="EO1550" s="1" t="s">
        <v>234</v>
      </c>
      <c r="ER1550" s="1" t="s">
        <v>383</v>
      </c>
      <c r="ES1550" s="1" t="s">
        <v>322</v>
      </c>
      <c r="EV1550" s="1" t="s">
        <v>240</v>
      </c>
      <c r="EW1550" s="1" t="s">
        <v>2765</v>
      </c>
      <c r="EY1550" s="1" t="s">
        <v>242</v>
      </c>
      <c r="EZ1550" s="1" t="s">
        <v>287</v>
      </c>
      <c r="FB1550" s="1" t="s">
        <v>244</v>
      </c>
      <c r="FD1550" s="1" t="s">
        <v>736</v>
      </c>
      <c r="FE1550" s="1" t="s">
        <v>247</v>
      </c>
      <c r="FF1550" s="1" t="s">
        <v>248</v>
      </c>
      <c r="FH1550" s="1" t="s">
        <v>249</v>
      </c>
      <c r="FK1550" s="1" t="s">
        <v>2806</v>
      </c>
      <c r="FL1550" s="1" t="s">
        <v>358</v>
      </c>
      <c r="FM1550" s="1" t="s">
        <v>252</v>
      </c>
      <c r="FN1550" s="1" t="s">
        <v>213</v>
      </c>
      <c r="FO1550" s="1" t="s">
        <v>213</v>
      </c>
      <c r="FQ1550" s="1" t="s">
        <v>689</v>
      </c>
      <c r="FR1550" s="1" t="s">
        <v>652</v>
      </c>
      <c r="FS1550" s="1" t="s">
        <v>11823</v>
      </c>
      <c r="FT1550" s="1" t="s">
        <v>654</v>
      </c>
      <c r="FU1550" s="1" t="s">
        <v>204</v>
      </c>
      <c r="FW1550" s="1" t="s">
        <v>1857</v>
      </c>
      <c r="FX1550" s="1">
        <v>22993</v>
      </c>
      <c r="FY1550" s="1" t="s">
        <v>1858</v>
      </c>
      <c r="FZ1550" s="1" t="s">
        <v>1859</v>
      </c>
      <c r="GA1550" s="1">
        <v>233401</v>
      </c>
      <c r="GB1550" s="1" t="s">
        <v>1858</v>
      </c>
      <c r="GD1550" s="1" t="s">
        <v>1860</v>
      </c>
      <c r="GE1550" s="1" t="s">
        <v>1187</v>
      </c>
      <c r="GH1550" s="1" t="s">
        <v>421</v>
      </c>
      <c r="GI1550" s="1" t="s">
        <v>213</v>
      </c>
      <c r="GJ1550" s="1" t="s">
        <v>260</v>
      </c>
      <c r="GK1550" s="1" t="s">
        <v>210</v>
      </c>
      <c r="GL1550" s="2">
        <v>42010</v>
      </c>
      <c r="GM1550" s="1" t="s">
        <v>15039</v>
      </c>
    </row>
    <row r="1551" spans="1:195">
      <c r="A1551" s="1">
        <v>176000</v>
      </c>
      <c r="B1551" s="1" t="s">
        <v>195</v>
      </c>
      <c r="C1551" s="1" t="str">
        <f>"08682383"</f>
        <v>08682383</v>
      </c>
      <c r="D1551" s="1" t="s">
        <v>196</v>
      </c>
      <c r="F1551" s="1" t="str">
        <f>"540"</f>
        <v>540</v>
      </c>
      <c r="G1551" s="2">
        <v>41844</v>
      </c>
      <c r="H1551" s="1">
        <v>190000</v>
      </c>
      <c r="I1551" s="1">
        <v>190000</v>
      </c>
      <c r="J1551" s="1">
        <v>176000</v>
      </c>
      <c r="K1551" s="2">
        <v>41844</v>
      </c>
      <c r="L1551" s="1">
        <v>13</v>
      </c>
      <c r="M1551" s="2">
        <v>41856</v>
      </c>
      <c r="N1551" s="1">
        <v>13</v>
      </c>
      <c r="O1551" s="2">
        <v>41856</v>
      </c>
      <c r="P1551" s="1">
        <v>1995</v>
      </c>
      <c r="Q1551" s="1" t="s">
        <v>197</v>
      </c>
      <c r="R1551" s="2">
        <v>41985</v>
      </c>
      <c r="S1551" s="1">
        <v>26600</v>
      </c>
      <c r="U1551" s="1">
        <v>1927</v>
      </c>
      <c r="V1551" s="1" t="s">
        <v>9989</v>
      </c>
      <c r="W1551" s="1" t="s">
        <v>504</v>
      </c>
      <c r="X1551" s="1">
        <v>111</v>
      </c>
      <c r="Y1551" s="1">
        <v>4</v>
      </c>
      <c r="Z1551" s="1" t="s">
        <v>249</v>
      </c>
      <c r="AA1551" s="1" t="s">
        <v>921</v>
      </c>
      <c r="AB1551" s="1">
        <v>60564</v>
      </c>
      <c r="AD1551" s="1" t="s">
        <v>10591</v>
      </c>
      <c r="AE1551" s="1" t="s">
        <v>15040</v>
      </c>
      <c r="AF1551" s="1">
        <v>1994</v>
      </c>
      <c r="AG1551" s="1" t="s">
        <v>204</v>
      </c>
      <c r="AH1551" s="1" t="s">
        <v>924</v>
      </c>
      <c r="AI1551" s="1" t="s">
        <v>1800</v>
      </c>
      <c r="AJ1551" s="1" t="s">
        <v>1801</v>
      </c>
      <c r="AL1551" s="1">
        <v>5</v>
      </c>
      <c r="AM1551" s="1">
        <v>2</v>
      </c>
      <c r="AN1551" s="1">
        <v>1</v>
      </c>
      <c r="AO1551" s="1">
        <v>1</v>
      </c>
      <c r="AP1551" s="1" t="s">
        <v>667</v>
      </c>
      <c r="AQ1551" s="1">
        <v>1</v>
      </c>
      <c r="AR1551" s="1" t="s">
        <v>210</v>
      </c>
      <c r="AS1551" s="1" t="s">
        <v>204</v>
      </c>
      <c r="AT1551" s="1" t="s">
        <v>211</v>
      </c>
      <c r="AU1551" s="1">
        <v>2</v>
      </c>
      <c r="AW1551" s="1" t="s">
        <v>204</v>
      </c>
      <c r="AX1551" s="1" t="s">
        <v>212</v>
      </c>
      <c r="AZ1551" s="1">
        <v>5681</v>
      </c>
      <c r="BA1551" s="1">
        <v>2013</v>
      </c>
      <c r="BB1551" s="1" t="s">
        <v>210</v>
      </c>
      <c r="BE1551" s="1">
        <v>1286</v>
      </c>
      <c r="BF1551" s="1">
        <v>1</v>
      </c>
      <c r="BG1551" s="1">
        <v>30</v>
      </c>
      <c r="BL1551" s="1">
        <v>199</v>
      </c>
      <c r="BM1551" s="1" t="s">
        <v>204</v>
      </c>
      <c r="BN1551" s="1" t="s">
        <v>213</v>
      </c>
      <c r="BO1551" s="1">
        <v>999</v>
      </c>
      <c r="BP1551" s="1" t="s">
        <v>204</v>
      </c>
      <c r="BR1551" s="1" t="str">
        <f>"01023050141003"</f>
        <v>01023050141003</v>
      </c>
      <c r="BT1551" s="1" t="s">
        <v>15041</v>
      </c>
      <c r="BX1551" s="1">
        <v>204</v>
      </c>
      <c r="BY1551" s="1">
        <v>204</v>
      </c>
      <c r="BZ1551" s="1">
        <v>204</v>
      </c>
      <c r="CB1551" s="1" t="str">
        <f t="shared" ref="CB1551:CC1551" si="1182">""</f>
        <v/>
      </c>
      <c r="CC1551" s="1" t="str">
        <f t="shared" si="1182"/>
        <v/>
      </c>
      <c r="CG1551" s="1" t="s">
        <v>1155</v>
      </c>
      <c r="CH1551" s="1" t="s">
        <v>219</v>
      </c>
      <c r="CI1551" s="1" t="s">
        <v>229</v>
      </c>
      <c r="CJ1551" s="1" t="s">
        <v>439</v>
      </c>
      <c r="CK1551" s="1" t="s">
        <v>315</v>
      </c>
      <c r="CL1551" s="1" t="s">
        <v>277</v>
      </c>
      <c r="CM1551" s="1" t="s">
        <v>220</v>
      </c>
      <c r="CN1551" s="1" t="s">
        <v>463</v>
      </c>
      <c r="CP1551" s="1" t="s">
        <v>224</v>
      </c>
      <c r="CS1551" s="1" t="s">
        <v>2138</v>
      </c>
      <c r="CT1551" s="1" t="s">
        <v>277</v>
      </c>
      <c r="CU1551" s="1" t="s">
        <v>220</v>
      </c>
      <c r="CV1551" s="1" t="s">
        <v>343</v>
      </c>
      <c r="CX1551" s="1" t="s">
        <v>224</v>
      </c>
      <c r="DB1551" s="1" t="s">
        <v>224</v>
      </c>
      <c r="DE1551" s="1" t="s">
        <v>318</v>
      </c>
      <c r="DF1551" s="1" t="s">
        <v>219</v>
      </c>
      <c r="DG1551" s="1" t="s">
        <v>229</v>
      </c>
      <c r="DH1551" s="1" t="s">
        <v>210</v>
      </c>
      <c r="DJ1551" s="1" t="s">
        <v>224</v>
      </c>
      <c r="DM1551" s="1" t="s">
        <v>1548</v>
      </c>
      <c r="DN1551" s="1" t="s">
        <v>838</v>
      </c>
      <c r="DO1551" s="1" t="s">
        <v>1359</v>
      </c>
      <c r="DP1551" s="1" t="s">
        <v>709</v>
      </c>
      <c r="DR1551" s="1" t="s">
        <v>318</v>
      </c>
      <c r="DS1551" s="1" t="s">
        <v>219</v>
      </c>
      <c r="DT1551" s="1" t="s">
        <v>229</v>
      </c>
      <c r="DU1551" s="1" t="s">
        <v>439</v>
      </c>
      <c r="DV1551" s="1" t="s">
        <v>5758</v>
      </c>
      <c r="DW1551" s="1" t="s">
        <v>277</v>
      </c>
      <c r="DX1551" s="1" t="s">
        <v>220</v>
      </c>
      <c r="DY1551" s="1" t="s">
        <v>210</v>
      </c>
      <c r="DZ1551" s="1" t="s">
        <v>377</v>
      </c>
      <c r="EA1551" s="1" t="s">
        <v>219</v>
      </c>
      <c r="EB1551" s="1" t="s">
        <v>347</v>
      </c>
      <c r="EC1551" s="1" t="s">
        <v>210</v>
      </c>
      <c r="ED1551" s="1" t="s">
        <v>1598</v>
      </c>
      <c r="EE1551" s="1" t="s">
        <v>219</v>
      </c>
      <c r="EF1551" s="1" t="s">
        <v>229</v>
      </c>
      <c r="EG1551" s="1" t="s">
        <v>439</v>
      </c>
      <c r="EI1551" s="1" t="s">
        <v>230</v>
      </c>
      <c r="EL1551" s="1" t="s">
        <v>670</v>
      </c>
      <c r="EM1551" s="1" t="s">
        <v>319</v>
      </c>
      <c r="EN1551" s="1" t="s">
        <v>282</v>
      </c>
      <c r="EO1551" s="1" t="s">
        <v>234</v>
      </c>
      <c r="EP1551" s="1" t="s">
        <v>650</v>
      </c>
      <c r="EQ1551" s="1" t="s">
        <v>671</v>
      </c>
      <c r="ER1551" s="1" t="s">
        <v>383</v>
      </c>
      <c r="EU1551" s="1" t="s">
        <v>712</v>
      </c>
      <c r="EW1551" s="1" t="s">
        <v>1804</v>
      </c>
      <c r="EZ1551" s="1" t="s">
        <v>15042</v>
      </c>
      <c r="FC1551" s="1" t="s">
        <v>548</v>
      </c>
      <c r="FD1551" s="1" t="s">
        <v>246</v>
      </c>
      <c r="FE1551" s="1" t="s">
        <v>975</v>
      </c>
      <c r="FF1551" s="1" t="s">
        <v>248</v>
      </c>
      <c r="FG1551" s="1" t="s">
        <v>939</v>
      </c>
      <c r="FH1551" s="1" t="s">
        <v>550</v>
      </c>
      <c r="FI1551" s="1" t="s">
        <v>357</v>
      </c>
      <c r="FJ1551" s="1" t="s">
        <v>518</v>
      </c>
      <c r="FL1551" s="1" t="s">
        <v>358</v>
      </c>
      <c r="FM1551" s="1" t="s">
        <v>252</v>
      </c>
      <c r="FN1551" s="1" t="s">
        <v>213</v>
      </c>
      <c r="FO1551" s="1" t="s">
        <v>213</v>
      </c>
      <c r="FQ1551" s="1" t="s">
        <v>2004</v>
      </c>
      <c r="FR1551" s="1" t="s">
        <v>210</v>
      </c>
      <c r="FS1551" s="1" t="s">
        <v>1008</v>
      </c>
      <c r="FT1551" s="1" t="s">
        <v>15043</v>
      </c>
      <c r="FU1551" s="1" t="s">
        <v>204</v>
      </c>
      <c r="FW1551" s="1" t="s">
        <v>2006</v>
      </c>
      <c r="FX1551" s="1">
        <v>25792</v>
      </c>
      <c r="FY1551" s="1" t="s">
        <v>3181</v>
      </c>
      <c r="FZ1551" s="1" t="s">
        <v>15044</v>
      </c>
      <c r="GA1551" s="1">
        <v>218107</v>
      </c>
      <c r="GB1551" s="1" t="s">
        <v>15045</v>
      </c>
      <c r="GD1551" s="1" t="s">
        <v>15046</v>
      </c>
      <c r="GE1551" s="1" t="s">
        <v>480</v>
      </c>
      <c r="GI1551" s="1" t="s">
        <v>213</v>
      </c>
      <c r="GJ1551" s="1" t="s">
        <v>260</v>
      </c>
      <c r="GK1551" s="1" t="s">
        <v>210</v>
      </c>
      <c r="GL1551" s="2">
        <v>41988</v>
      </c>
    </row>
    <row r="1552" spans="1:195">
      <c r="A1552" s="1">
        <v>102500</v>
      </c>
      <c r="B1552" s="1" t="s">
        <v>195</v>
      </c>
      <c r="C1552" s="1" t="str">
        <f>"08792211"</f>
        <v>08792211</v>
      </c>
      <c r="D1552" s="1" t="s">
        <v>196</v>
      </c>
      <c r="F1552" s="1" t="str">
        <f>"61"</f>
        <v>61</v>
      </c>
      <c r="G1552" s="2">
        <v>41967</v>
      </c>
      <c r="H1552" s="1">
        <v>105900</v>
      </c>
      <c r="I1552" s="1">
        <v>105900</v>
      </c>
      <c r="J1552" s="1">
        <v>102500</v>
      </c>
      <c r="K1552" s="2">
        <v>41967</v>
      </c>
      <c r="L1552" s="1">
        <v>50</v>
      </c>
      <c r="M1552" s="2">
        <v>42016</v>
      </c>
      <c r="N1552" s="1">
        <v>50</v>
      </c>
      <c r="O1552" s="2">
        <v>42016</v>
      </c>
      <c r="P1552" s="1">
        <v>25752</v>
      </c>
      <c r="Q1552" s="1" t="s">
        <v>302</v>
      </c>
      <c r="R1552" s="2">
        <v>42052</v>
      </c>
      <c r="S1552" s="1">
        <v>16882</v>
      </c>
      <c r="U1552" s="1">
        <v>2</v>
      </c>
      <c r="V1552" s="1" t="s">
        <v>9371</v>
      </c>
      <c r="W1552" s="1" t="s">
        <v>504</v>
      </c>
      <c r="X1552" s="1">
        <v>6</v>
      </c>
      <c r="Y1552" s="1">
        <v>6</v>
      </c>
      <c r="Z1552" s="1" t="s">
        <v>200</v>
      </c>
      <c r="AA1552" s="1" t="s">
        <v>505</v>
      </c>
      <c r="AB1552" s="1">
        <v>60061</v>
      </c>
      <c r="AD1552" s="1" t="s">
        <v>15047</v>
      </c>
      <c r="AE1552" s="1" t="s">
        <v>15048</v>
      </c>
      <c r="AF1552" s="1">
        <v>1978</v>
      </c>
      <c r="AG1552" s="1" t="s">
        <v>204</v>
      </c>
      <c r="AH1552" s="1" t="s">
        <v>508</v>
      </c>
      <c r="AI1552" s="1" t="s">
        <v>509</v>
      </c>
      <c r="AJ1552" s="1" t="s">
        <v>510</v>
      </c>
      <c r="AK1552" s="1" t="s">
        <v>4036</v>
      </c>
      <c r="AL1552" s="1">
        <v>5</v>
      </c>
      <c r="AM1552" s="1">
        <v>2</v>
      </c>
      <c r="AN1552" s="1">
        <v>1</v>
      </c>
      <c r="AO1552" s="1">
        <v>1</v>
      </c>
      <c r="AP1552" s="1" t="s">
        <v>210</v>
      </c>
      <c r="AR1552" s="1" t="s">
        <v>210</v>
      </c>
      <c r="AS1552" s="1" t="s">
        <v>204</v>
      </c>
      <c r="AT1552" s="1" t="s">
        <v>271</v>
      </c>
      <c r="AV1552" s="1">
        <v>2</v>
      </c>
      <c r="AW1552" s="1" t="s">
        <v>213</v>
      </c>
      <c r="AX1552" s="1" t="s">
        <v>212</v>
      </c>
      <c r="AZ1552" s="1">
        <v>2428.33</v>
      </c>
      <c r="BA1552" s="1">
        <v>2013</v>
      </c>
      <c r="BB1552" s="1" t="s">
        <v>210</v>
      </c>
      <c r="BE1552" s="1">
        <v>948</v>
      </c>
      <c r="BF1552" s="1">
        <v>1</v>
      </c>
      <c r="BG1552" s="1">
        <v>0</v>
      </c>
      <c r="BJ1552" s="1">
        <v>90</v>
      </c>
      <c r="BL1552" s="1">
        <v>283</v>
      </c>
      <c r="BM1552" s="1" t="s">
        <v>204</v>
      </c>
      <c r="BN1552" s="1" t="s">
        <v>213</v>
      </c>
      <c r="BO1552" s="1">
        <v>50</v>
      </c>
      <c r="BP1552" s="1" t="s">
        <v>204</v>
      </c>
      <c r="BR1552" s="1" t="str">
        <f>"11324091760000"</f>
        <v>11324091760000</v>
      </c>
      <c r="BT1552" s="1" t="s">
        <v>15049</v>
      </c>
      <c r="BX1552" s="1">
        <v>73</v>
      </c>
      <c r="BY1552" s="1">
        <v>73</v>
      </c>
      <c r="BZ1552" s="1">
        <v>128</v>
      </c>
      <c r="CB1552" s="1" t="str">
        <f>"26"</f>
        <v>26</v>
      </c>
      <c r="CC1552" s="1" t="str">
        <f>"0"</f>
        <v>0</v>
      </c>
      <c r="CD1552" s="1">
        <v>17</v>
      </c>
      <c r="CE1552" s="1">
        <v>0</v>
      </c>
      <c r="CG1552" s="1" t="s">
        <v>1357</v>
      </c>
      <c r="CH1552" s="1" t="s">
        <v>219</v>
      </c>
      <c r="CK1552" s="1" t="s">
        <v>344</v>
      </c>
      <c r="CL1552" s="1" t="s">
        <v>219</v>
      </c>
      <c r="CO1552" s="1" t="s">
        <v>1724</v>
      </c>
      <c r="CP1552" s="1" t="s">
        <v>219</v>
      </c>
      <c r="CS1552" s="1" t="s">
        <v>837</v>
      </c>
      <c r="CT1552" s="1" t="s">
        <v>219</v>
      </c>
      <c r="CX1552" s="1" t="s">
        <v>224</v>
      </c>
      <c r="DB1552" s="1" t="s">
        <v>224</v>
      </c>
      <c r="DE1552" s="1" t="s">
        <v>408</v>
      </c>
      <c r="DF1552" s="1" t="s">
        <v>219</v>
      </c>
      <c r="DJ1552" s="1" t="s">
        <v>224</v>
      </c>
      <c r="DS1552" s="1" t="s">
        <v>230</v>
      </c>
      <c r="DW1552" s="1" t="s">
        <v>230</v>
      </c>
      <c r="EA1552" s="1" t="s">
        <v>230</v>
      </c>
      <c r="EE1552" s="1" t="s">
        <v>230</v>
      </c>
      <c r="EI1552" s="1" t="s">
        <v>230</v>
      </c>
      <c r="EL1552" s="1" t="s">
        <v>231</v>
      </c>
      <c r="EM1552" s="1" t="s">
        <v>319</v>
      </c>
      <c r="EN1552" s="1" t="s">
        <v>1158</v>
      </c>
      <c r="EO1552" s="1" t="s">
        <v>234</v>
      </c>
      <c r="EP1552" s="1" t="s">
        <v>15050</v>
      </c>
      <c r="ER1552" s="1" t="s">
        <v>210</v>
      </c>
      <c r="ES1552" s="1" t="s">
        <v>322</v>
      </c>
      <c r="EV1552" s="1" t="s">
        <v>240</v>
      </c>
      <c r="EW1552" s="1" t="s">
        <v>2232</v>
      </c>
      <c r="EY1552" s="1" t="s">
        <v>242</v>
      </c>
      <c r="EZ1552" s="1" t="s">
        <v>287</v>
      </c>
      <c r="FA1552" s="1" t="s">
        <v>471</v>
      </c>
      <c r="FB1552" s="1" t="s">
        <v>289</v>
      </c>
      <c r="FC1552" s="1" t="s">
        <v>1386</v>
      </c>
      <c r="FD1552" s="1" t="s">
        <v>246</v>
      </c>
      <c r="FE1552" s="1" t="s">
        <v>549</v>
      </c>
      <c r="FF1552" s="1" t="s">
        <v>248</v>
      </c>
      <c r="FH1552" s="1" t="s">
        <v>15051</v>
      </c>
      <c r="FK1552" s="1" t="s">
        <v>6240</v>
      </c>
      <c r="FL1552" s="1" t="s">
        <v>2370</v>
      </c>
      <c r="FM1552" s="1" t="s">
        <v>252</v>
      </c>
      <c r="FN1552" s="1" t="s">
        <v>213</v>
      </c>
      <c r="FO1552" s="1" t="s">
        <v>213</v>
      </c>
      <c r="FQ1552" s="1" t="s">
        <v>582</v>
      </c>
      <c r="FR1552" s="1" t="s">
        <v>210</v>
      </c>
      <c r="FS1552" s="1" t="s">
        <v>583</v>
      </c>
      <c r="FT1552" s="1" t="s">
        <v>584</v>
      </c>
      <c r="FU1552" s="1" t="s">
        <v>204</v>
      </c>
      <c r="FW1552" s="1" t="s">
        <v>585</v>
      </c>
      <c r="FX1552" s="1">
        <v>8002</v>
      </c>
      <c r="FY1552" s="1" t="s">
        <v>586</v>
      </c>
      <c r="FZ1552" s="1" t="s">
        <v>587</v>
      </c>
      <c r="GA1552" s="1">
        <v>89090</v>
      </c>
      <c r="GB1552" s="1" t="s">
        <v>588</v>
      </c>
      <c r="GC1552" s="1">
        <v>35055</v>
      </c>
      <c r="GE1552" s="1" t="s">
        <v>210</v>
      </c>
      <c r="GI1552" s="1" t="s">
        <v>213</v>
      </c>
      <c r="GJ1552" s="1" t="s">
        <v>260</v>
      </c>
      <c r="GK1552" s="1" t="s">
        <v>210</v>
      </c>
      <c r="GL1552" s="2">
        <v>42052</v>
      </c>
      <c r="GM1552" s="1" t="s">
        <v>15052</v>
      </c>
    </row>
    <row r="1553" spans="1:195">
      <c r="A1553" s="1">
        <v>222000</v>
      </c>
      <c r="B1553" s="1" t="s">
        <v>195</v>
      </c>
      <c r="C1553" s="1" t="str">
        <f>"08686762"</f>
        <v>08686762</v>
      </c>
      <c r="D1553" s="1" t="s">
        <v>196</v>
      </c>
      <c r="F1553" s="1" t="str">
        <f>"101"</f>
        <v>101</v>
      </c>
      <c r="G1553" s="2">
        <v>41849</v>
      </c>
      <c r="H1553" s="1">
        <v>249000</v>
      </c>
      <c r="I1553" s="1">
        <v>235000</v>
      </c>
      <c r="J1553" s="1">
        <v>222000</v>
      </c>
      <c r="K1553" s="2">
        <v>41849</v>
      </c>
      <c r="L1553" s="1">
        <v>185</v>
      </c>
      <c r="M1553" s="2">
        <v>42033</v>
      </c>
      <c r="N1553" s="1">
        <v>185</v>
      </c>
      <c r="O1553" s="2">
        <v>42033</v>
      </c>
      <c r="P1553" s="1">
        <v>23655</v>
      </c>
      <c r="Q1553" s="1" t="s">
        <v>197</v>
      </c>
      <c r="R1553" s="2">
        <v>42074</v>
      </c>
      <c r="S1553" s="1">
        <v>222796</v>
      </c>
      <c r="U1553" s="1">
        <v>1200</v>
      </c>
      <c r="V1553" s="1" t="s">
        <v>9937</v>
      </c>
      <c r="W1553" s="1" t="s">
        <v>264</v>
      </c>
      <c r="X1553" s="1">
        <v>205</v>
      </c>
      <c r="Y1553" s="1">
        <v>42</v>
      </c>
      <c r="Z1553" s="1" t="s">
        <v>249</v>
      </c>
      <c r="AA1553" s="1" t="s">
        <v>2631</v>
      </c>
      <c r="AB1553" s="1">
        <v>60101</v>
      </c>
      <c r="AD1553" s="1" t="s">
        <v>15053</v>
      </c>
      <c r="AE1553" s="1" t="s">
        <v>15054</v>
      </c>
      <c r="AF1553" s="1">
        <v>2006</v>
      </c>
      <c r="AG1553" s="1" t="s">
        <v>204</v>
      </c>
      <c r="AH1553" s="1" t="s">
        <v>1233</v>
      </c>
      <c r="AI1553" s="1" t="s">
        <v>206</v>
      </c>
      <c r="AJ1553" s="1" t="s">
        <v>1233</v>
      </c>
      <c r="AK1553" s="1" t="s">
        <v>15055</v>
      </c>
      <c r="AL1553" s="1">
        <v>5</v>
      </c>
      <c r="AM1553" s="1">
        <v>2</v>
      </c>
      <c r="AN1553" s="1">
        <v>2</v>
      </c>
      <c r="AO1553" s="1">
        <v>0</v>
      </c>
      <c r="AP1553" s="1" t="s">
        <v>209</v>
      </c>
      <c r="AR1553" s="1" t="s">
        <v>210</v>
      </c>
      <c r="AS1553" s="1" t="s">
        <v>204</v>
      </c>
      <c r="AT1553" s="1" t="s">
        <v>375</v>
      </c>
      <c r="AU1553" s="1">
        <v>1</v>
      </c>
      <c r="AV1553" s="1">
        <v>1</v>
      </c>
      <c r="AW1553" s="1" t="s">
        <v>213</v>
      </c>
      <c r="AX1553" s="1" t="s">
        <v>212</v>
      </c>
      <c r="AZ1553" s="1">
        <v>5376</v>
      </c>
      <c r="BA1553" s="1">
        <v>2013</v>
      </c>
      <c r="BB1553" s="1" t="s">
        <v>210</v>
      </c>
      <c r="BE1553" s="1">
        <v>1386</v>
      </c>
      <c r="BF1553" s="1">
        <v>2</v>
      </c>
      <c r="BG1553" s="1">
        <v>30</v>
      </c>
      <c r="BL1553" s="1">
        <v>318</v>
      </c>
      <c r="BM1553" s="1" t="s">
        <v>204</v>
      </c>
      <c r="BN1553" s="1" t="s">
        <v>213</v>
      </c>
      <c r="BO1553" s="1">
        <v>30</v>
      </c>
      <c r="BP1553" s="1" t="s">
        <v>204</v>
      </c>
      <c r="BR1553" s="1" t="str">
        <f>"03192150620000"</f>
        <v>03192150620000</v>
      </c>
      <c r="BT1553" s="1" t="s">
        <v>15056</v>
      </c>
      <c r="BU1553" s="1" t="s">
        <v>15057</v>
      </c>
      <c r="BV1553" s="1" t="s">
        <v>2720</v>
      </c>
      <c r="BW1553" s="1" t="s">
        <v>2721</v>
      </c>
      <c r="BX1553" s="1">
        <v>4</v>
      </c>
      <c r="BY1553" s="1">
        <v>4</v>
      </c>
      <c r="BZ1553" s="1">
        <v>88</v>
      </c>
      <c r="CB1553" s="1" t="str">
        <f t="shared" ref="CB1553:CC1553" si="1183">""</f>
        <v/>
      </c>
      <c r="CC1553" s="1" t="str">
        <f t="shared" si="1183"/>
        <v/>
      </c>
      <c r="CG1553" s="1" t="s">
        <v>3558</v>
      </c>
      <c r="CH1553" s="1" t="s">
        <v>219</v>
      </c>
      <c r="CI1553" s="1" t="s">
        <v>438</v>
      </c>
      <c r="CJ1553" s="1" t="s">
        <v>343</v>
      </c>
      <c r="CK1553" s="1" t="s">
        <v>885</v>
      </c>
      <c r="CL1553" s="1" t="s">
        <v>219</v>
      </c>
      <c r="CM1553" s="1" t="s">
        <v>438</v>
      </c>
      <c r="CN1553" s="1" t="s">
        <v>343</v>
      </c>
      <c r="CO1553" s="1" t="s">
        <v>629</v>
      </c>
      <c r="CP1553" s="1" t="s">
        <v>219</v>
      </c>
      <c r="CQ1553" s="1" t="s">
        <v>438</v>
      </c>
      <c r="CR1553" s="1" t="s">
        <v>343</v>
      </c>
      <c r="CS1553" s="1" t="s">
        <v>465</v>
      </c>
      <c r="CT1553" s="1" t="s">
        <v>219</v>
      </c>
      <c r="CU1553" s="1" t="s">
        <v>438</v>
      </c>
      <c r="CV1553" s="1" t="s">
        <v>343</v>
      </c>
      <c r="CX1553" s="1" t="s">
        <v>224</v>
      </c>
      <c r="DB1553" s="1" t="s">
        <v>224</v>
      </c>
      <c r="DE1553" s="1" t="s">
        <v>318</v>
      </c>
      <c r="DF1553" s="1" t="s">
        <v>219</v>
      </c>
      <c r="DG1553" s="1" t="s">
        <v>438</v>
      </c>
      <c r="DH1553" s="1" t="s">
        <v>343</v>
      </c>
      <c r="DJ1553" s="1" t="s">
        <v>224</v>
      </c>
      <c r="DM1553" s="1" t="s">
        <v>1614</v>
      </c>
      <c r="DN1553" s="1" t="s">
        <v>838</v>
      </c>
      <c r="DR1553" s="1" t="s">
        <v>316</v>
      </c>
      <c r="DS1553" s="1" t="s">
        <v>822</v>
      </c>
      <c r="DV1553" s="1" t="s">
        <v>7610</v>
      </c>
      <c r="DW1553" s="1" t="s">
        <v>219</v>
      </c>
      <c r="EA1553" s="1" t="s">
        <v>230</v>
      </c>
      <c r="EE1553" s="1" t="s">
        <v>230</v>
      </c>
      <c r="EI1553" s="1" t="s">
        <v>230</v>
      </c>
      <c r="EL1553" s="1" t="s">
        <v>491</v>
      </c>
      <c r="EM1553" s="1" t="s">
        <v>232</v>
      </c>
      <c r="EN1553" s="1" t="s">
        <v>282</v>
      </c>
      <c r="EO1553" s="1" t="s">
        <v>234</v>
      </c>
      <c r="EP1553" s="1" t="s">
        <v>15058</v>
      </c>
      <c r="EQ1553" s="1" t="s">
        <v>236</v>
      </c>
      <c r="ER1553" s="1" t="s">
        <v>210</v>
      </c>
      <c r="ES1553" s="1" t="s">
        <v>493</v>
      </c>
      <c r="EU1553" s="1" t="s">
        <v>15059</v>
      </c>
      <c r="EV1553" s="1" t="s">
        <v>240</v>
      </c>
      <c r="EW1553" s="1" t="s">
        <v>3178</v>
      </c>
      <c r="EZ1553" s="1" t="s">
        <v>15060</v>
      </c>
      <c r="FA1553" s="1" t="s">
        <v>13981</v>
      </c>
      <c r="FB1553" s="1" t="s">
        <v>289</v>
      </c>
      <c r="FC1553" s="1" t="s">
        <v>633</v>
      </c>
      <c r="FD1553" s="1" t="s">
        <v>246</v>
      </c>
      <c r="FE1553" s="1" t="s">
        <v>847</v>
      </c>
      <c r="FF1553" s="1" t="s">
        <v>248</v>
      </c>
      <c r="FH1553" s="1" t="s">
        <v>249</v>
      </c>
      <c r="FI1553" s="1" t="s">
        <v>357</v>
      </c>
      <c r="FJ1553" s="1" t="s">
        <v>7546</v>
      </c>
      <c r="FK1553" s="1" t="s">
        <v>891</v>
      </c>
      <c r="FL1553" s="1" t="s">
        <v>10533</v>
      </c>
      <c r="FM1553" s="1" t="s">
        <v>252</v>
      </c>
      <c r="FN1553" s="1" t="s">
        <v>213</v>
      </c>
      <c r="FO1553" s="1" t="s">
        <v>213</v>
      </c>
      <c r="FQ1553" s="1" t="s">
        <v>329</v>
      </c>
      <c r="FR1553" s="1" t="s">
        <v>210</v>
      </c>
      <c r="FS1553" s="1" t="s">
        <v>15061</v>
      </c>
      <c r="FT1553" s="1" t="s">
        <v>295</v>
      </c>
      <c r="FU1553" s="1" t="s">
        <v>204</v>
      </c>
      <c r="FW1553" s="1" t="s">
        <v>1097</v>
      </c>
      <c r="FX1553" s="1">
        <v>25005</v>
      </c>
      <c r="FY1553" s="1" t="s">
        <v>1098</v>
      </c>
      <c r="FZ1553" s="1" t="s">
        <v>15062</v>
      </c>
      <c r="GA1553" s="1">
        <v>256445</v>
      </c>
      <c r="GB1553" s="1" t="s">
        <v>15063</v>
      </c>
      <c r="GE1553" s="1" t="s">
        <v>480</v>
      </c>
      <c r="GH1553" s="1" t="s">
        <v>230</v>
      </c>
      <c r="GI1553" s="1" t="s">
        <v>213</v>
      </c>
      <c r="GJ1553" s="1" t="s">
        <v>260</v>
      </c>
      <c r="GK1553" s="1" t="s">
        <v>210</v>
      </c>
      <c r="GL1553" s="2">
        <v>42076</v>
      </c>
      <c r="GM1553" s="1" t="s">
        <v>15064</v>
      </c>
    </row>
    <row r="1554" spans="1:195">
      <c r="A1554" s="1">
        <v>133000</v>
      </c>
      <c r="B1554" s="1" t="s">
        <v>195</v>
      </c>
      <c r="C1554" s="1" t="str">
        <f>"08680506"</f>
        <v>08680506</v>
      </c>
      <c r="D1554" s="1" t="s">
        <v>196</v>
      </c>
      <c r="F1554" s="1" t="str">
        <f>"559"</f>
        <v>559</v>
      </c>
      <c r="G1554" s="2">
        <v>41842</v>
      </c>
      <c r="H1554" s="1">
        <v>144900</v>
      </c>
      <c r="I1554" s="1">
        <v>139900</v>
      </c>
      <c r="J1554" s="1">
        <v>133000</v>
      </c>
      <c r="K1554" s="2">
        <v>41842</v>
      </c>
      <c r="L1554" s="1">
        <v>152</v>
      </c>
      <c r="M1554" s="2">
        <v>41992</v>
      </c>
      <c r="N1554" s="1">
        <v>151</v>
      </c>
      <c r="O1554" s="2">
        <v>41992</v>
      </c>
      <c r="P1554" s="1">
        <v>22975</v>
      </c>
      <c r="Q1554" s="1" t="s">
        <v>197</v>
      </c>
      <c r="R1554" s="2">
        <v>42040</v>
      </c>
      <c r="S1554" s="1">
        <v>234581</v>
      </c>
      <c r="T1554" s="1">
        <v>500</v>
      </c>
      <c r="U1554" s="1">
        <v>5815</v>
      </c>
      <c r="V1554" s="1" t="s">
        <v>13857</v>
      </c>
      <c r="W1554" s="1" t="s">
        <v>304</v>
      </c>
      <c r="X1554" s="1" t="s">
        <v>15065</v>
      </c>
      <c r="Y1554" s="1">
        <v>4</v>
      </c>
      <c r="Z1554" s="1" t="s">
        <v>249</v>
      </c>
      <c r="AA1554" s="1" t="s">
        <v>1950</v>
      </c>
      <c r="AB1554" s="1">
        <v>60559</v>
      </c>
      <c r="AD1554" s="1" t="s">
        <v>15066</v>
      </c>
      <c r="AE1554" s="1" t="s">
        <v>15067</v>
      </c>
      <c r="AF1554" s="1">
        <v>1976</v>
      </c>
      <c r="AG1554" s="1" t="s">
        <v>213</v>
      </c>
      <c r="AH1554" s="1" t="s">
        <v>1952</v>
      </c>
      <c r="AI1554" s="1" t="s">
        <v>206</v>
      </c>
      <c r="AJ1554" s="1" t="s">
        <v>903</v>
      </c>
      <c r="AL1554" s="1">
        <v>5</v>
      </c>
      <c r="AM1554" s="1">
        <v>2</v>
      </c>
      <c r="AN1554" s="1">
        <v>2</v>
      </c>
      <c r="AO1554" s="1">
        <v>0</v>
      </c>
      <c r="AP1554" s="1" t="s">
        <v>209</v>
      </c>
      <c r="AQ1554" s="1">
        <v>0</v>
      </c>
      <c r="AR1554" s="1" t="s">
        <v>210</v>
      </c>
      <c r="AT1554" s="1" t="s">
        <v>375</v>
      </c>
      <c r="AU1554" s="1">
        <v>1</v>
      </c>
      <c r="AV1554" s="1">
        <v>1</v>
      </c>
      <c r="AW1554" s="1" t="s">
        <v>204</v>
      </c>
      <c r="AX1554" s="1" t="s">
        <v>212</v>
      </c>
      <c r="AZ1554" s="1">
        <v>2389</v>
      </c>
      <c r="BA1554" s="1">
        <v>2013</v>
      </c>
      <c r="BB1554" s="1" t="s">
        <v>599</v>
      </c>
      <c r="BE1554" s="1">
        <v>1103</v>
      </c>
      <c r="BF1554" s="1">
        <v>1</v>
      </c>
      <c r="BG1554" s="1">
        <v>0</v>
      </c>
      <c r="BJ1554" s="1">
        <v>100</v>
      </c>
      <c r="BK1554" s="1">
        <v>100</v>
      </c>
      <c r="BL1554" s="1">
        <v>188</v>
      </c>
      <c r="BM1554" s="1" t="s">
        <v>204</v>
      </c>
      <c r="BN1554" s="1" t="s">
        <v>213</v>
      </c>
      <c r="BO1554" s="1">
        <v>20</v>
      </c>
      <c r="BP1554" s="1" t="s">
        <v>204</v>
      </c>
      <c r="BR1554" s="1" t="str">
        <f>"0916112064"</f>
        <v>0916112064</v>
      </c>
      <c r="BT1554" s="1" t="s">
        <v>15068</v>
      </c>
      <c r="BU1554" s="1" t="s">
        <v>13860</v>
      </c>
      <c r="BV1554" s="1" t="s">
        <v>4258</v>
      </c>
      <c r="BW1554" s="1" t="s">
        <v>3099</v>
      </c>
      <c r="BX1554" s="1">
        <v>58</v>
      </c>
      <c r="BY1554" s="1">
        <v>58</v>
      </c>
      <c r="BZ1554" s="1">
        <v>99</v>
      </c>
      <c r="CB1554" s="1" t="str">
        <f t="shared" ref="CB1554:CC1554" si="1184">""</f>
        <v/>
      </c>
      <c r="CC1554" s="1" t="str">
        <f t="shared" si="1184"/>
        <v/>
      </c>
      <c r="CG1554" s="1" t="s">
        <v>931</v>
      </c>
      <c r="CH1554" s="1" t="s">
        <v>219</v>
      </c>
      <c r="CI1554" s="1" t="s">
        <v>220</v>
      </c>
      <c r="CJ1554" s="1" t="s">
        <v>343</v>
      </c>
      <c r="CK1554" s="1" t="s">
        <v>315</v>
      </c>
      <c r="CL1554" s="1" t="s">
        <v>219</v>
      </c>
      <c r="CM1554" s="1" t="s">
        <v>220</v>
      </c>
      <c r="CN1554" s="1" t="s">
        <v>343</v>
      </c>
      <c r="CO1554" s="1" t="s">
        <v>346</v>
      </c>
      <c r="CP1554" s="1" t="s">
        <v>219</v>
      </c>
      <c r="CQ1554" s="1" t="s">
        <v>220</v>
      </c>
      <c r="CS1554" s="1" t="s">
        <v>379</v>
      </c>
      <c r="CT1554" s="1" t="s">
        <v>219</v>
      </c>
      <c r="CU1554" s="1" t="s">
        <v>220</v>
      </c>
      <c r="CV1554" s="1" t="s">
        <v>343</v>
      </c>
      <c r="CX1554" s="1" t="s">
        <v>224</v>
      </c>
      <c r="DB1554" s="1" t="s">
        <v>224</v>
      </c>
      <c r="DE1554" s="1" t="s">
        <v>837</v>
      </c>
      <c r="DF1554" s="1" t="s">
        <v>219</v>
      </c>
      <c r="DG1554" s="1" t="s">
        <v>342</v>
      </c>
      <c r="DJ1554" s="1" t="s">
        <v>224</v>
      </c>
      <c r="DS1554" s="1" t="s">
        <v>230</v>
      </c>
      <c r="DW1554" s="1" t="s">
        <v>230</v>
      </c>
      <c r="EA1554" s="1" t="s">
        <v>230</v>
      </c>
      <c r="EE1554" s="1" t="s">
        <v>230</v>
      </c>
      <c r="EI1554" s="1" t="s">
        <v>230</v>
      </c>
      <c r="EL1554" s="1" t="s">
        <v>231</v>
      </c>
      <c r="EM1554" s="1" t="s">
        <v>232</v>
      </c>
      <c r="EN1554" s="1" t="s">
        <v>282</v>
      </c>
      <c r="EO1554" s="1" t="s">
        <v>234</v>
      </c>
      <c r="EP1554" s="1" t="s">
        <v>1047</v>
      </c>
      <c r="EQ1554" s="1" t="s">
        <v>1094</v>
      </c>
      <c r="ER1554" s="1" t="s">
        <v>210</v>
      </c>
      <c r="ES1554" s="1" t="s">
        <v>3218</v>
      </c>
      <c r="EU1554" s="1" t="s">
        <v>1110</v>
      </c>
      <c r="EV1554" s="1" t="s">
        <v>1999</v>
      </c>
      <c r="EW1554" s="1" t="s">
        <v>353</v>
      </c>
      <c r="EY1554" s="1" t="s">
        <v>242</v>
      </c>
      <c r="EZ1554" s="1" t="s">
        <v>287</v>
      </c>
      <c r="FA1554" s="1" t="s">
        <v>15069</v>
      </c>
      <c r="FB1554" s="1" t="s">
        <v>734</v>
      </c>
      <c r="FC1554" s="1" t="s">
        <v>633</v>
      </c>
      <c r="FD1554" s="1" t="s">
        <v>290</v>
      </c>
      <c r="FE1554" s="1" t="s">
        <v>247</v>
      </c>
      <c r="FF1554" s="1" t="s">
        <v>248</v>
      </c>
      <c r="FH1554" s="1" t="s">
        <v>716</v>
      </c>
      <c r="FI1554" s="1" t="s">
        <v>357</v>
      </c>
      <c r="FJ1554" s="1" t="s">
        <v>197</v>
      </c>
      <c r="FK1554" s="1" t="s">
        <v>768</v>
      </c>
      <c r="FL1554" s="1" t="s">
        <v>358</v>
      </c>
      <c r="FM1554" s="1" t="s">
        <v>252</v>
      </c>
      <c r="FN1554" s="1" t="s">
        <v>213</v>
      </c>
      <c r="FO1554" s="1" t="s">
        <v>204</v>
      </c>
      <c r="FQ1554" s="1" t="s">
        <v>793</v>
      </c>
      <c r="FR1554" s="1" t="s">
        <v>210</v>
      </c>
      <c r="FS1554" s="1" t="s">
        <v>15070</v>
      </c>
      <c r="FT1554" s="1" t="s">
        <v>15071</v>
      </c>
      <c r="FU1554" s="1" t="s">
        <v>204</v>
      </c>
      <c r="FV1554" s="1" t="s">
        <v>15072</v>
      </c>
      <c r="FW1554" s="1" t="s">
        <v>15073</v>
      </c>
      <c r="FX1554" s="1">
        <v>25108</v>
      </c>
      <c r="FY1554" s="1" t="s">
        <v>15074</v>
      </c>
      <c r="FZ1554" s="1" t="s">
        <v>15075</v>
      </c>
      <c r="GA1554" s="1">
        <v>238493</v>
      </c>
      <c r="GE1554" s="1" t="s">
        <v>210</v>
      </c>
      <c r="GI1554" s="1" t="s">
        <v>204</v>
      </c>
      <c r="GJ1554" s="1" t="s">
        <v>300</v>
      </c>
      <c r="GK1554" s="1" t="s">
        <v>210</v>
      </c>
      <c r="GL1554" s="2">
        <v>42041</v>
      </c>
      <c r="GM1554" s="1" t="s">
        <v>15076</v>
      </c>
    </row>
    <row r="1555" spans="1:195">
      <c r="A1555" s="1">
        <v>38900</v>
      </c>
      <c r="B1555" s="1" t="s">
        <v>195</v>
      </c>
      <c r="C1555" s="1" t="str">
        <f>"08680190"</f>
        <v>08680190</v>
      </c>
      <c r="D1555" s="1" t="s">
        <v>196</v>
      </c>
      <c r="F1555" s="1" t="str">
        <f>"155"</f>
        <v>155</v>
      </c>
      <c r="G1555" s="2">
        <v>41842</v>
      </c>
      <c r="H1555" s="1">
        <v>34900</v>
      </c>
      <c r="I1555" s="1">
        <v>34900</v>
      </c>
      <c r="J1555" s="1">
        <v>38900</v>
      </c>
      <c r="K1555" s="2">
        <v>41842</v>
      </c>
      <c r="L1555" s="1">
        <v>25</v>
      </c>
      <c r="M1555" s="2">
        <v>41866</v>
      </c>
      <c r="N1555" s="1">
        <v>25</v>
      </c>
      <c r="O1555" s="2">
        <v>41866</v>
      </c>
      <c r="P1555" s="1">
        <v>25042</v>
      </c>
      <c r="Q1555" s="1" t="s">
        <v>302</v>
      </c>
      <c r="R1555" s="2">
        <v>42047</v>
      </c>
      <c r="S1555" s="1">
        <v>220946</v>
      </c>
      <c r="U1555" s="1">
        <v>1030</v>
      </c>
      <c r="V1555" s="1" t="s">
        <v>15077</v>
      </c>
      <c r="W1555" s="1" t="s">
        <v>725</v>
      </c>
      <c r="X1555" s="1" t="s">
        <v>9641</v>
      </c>
      <c r="Y1555" s="1">
        <v>6</v>
      </c>
      <c r="Z1555" s="1" t="s">
        <v>249</v>
      </c>
      <c r="AA1555" s="1" t="s">
        <v>15078</v>
      </c>
      <c r="AB1555" s="1">
        <v>60155</v>
      </c>
      <c r="AE1555" s="1" t="s">
        <v>15079</v>
      </c>
      <c r="AF1555" s="1">
        <v>1973</v>
      </c>
      <c r="AG1555" s="1" t="s">
        <v>213</v>
      </c>
      <c r="AH1555" s="1" t="s">
        <v>15080</v>
      </c>
      <c r="AI1555" s="1" t="s">
        <v>310</v>
      </c>
      <c r="AJ1555" s="1" t="s">
        <v>429</v>
      </c>
      <c r="AL1555" s="1">
        <v>4</v>
      </c>
      <c r="AM1555" s="1">
        <v>2</v>
      </c>
      <c r="AN1555" s="1">
        <v>1</v>
      </c>
      <c r="AO1555" s="1">
        <v>0</v>
      </c>
      <c r="AP1555" s="1" t="s">
        <v>210</v>
      </c>
      <c r="AR1555" s="1" t="s">
        <v>210</v>
      </c>
      <c r="AS1555" s="1" t="s">
        <v>204</v>
      </c>
      <c r="AT1555" s="1" t="s">
        <v>271</v>
      </c>
      <c r="AV1555" s="1">
        <v>1</v>
      </c>
      <c r="AW1555" s="1" t="s">
        <v>204</v>
      </c>
      <c r="AX1555" s="1" t="s">
        <v>212</v>
      </c>
      <c r="AZ1555" s="1">
        <v>1929</v>
      </c>
      <c r="BA1555" s="1">
        <v>2012</v>
      </c>
      <c r="BE1555" s="1">
        <v>850</v>
      </c>
      <c r="BF1555" s="1">
        <v>1</v>
      </c>
      <c r="BG1555" s="1">
        <v>30</v>
      </c>
      <c r="BL1555" s="1">
        <v>230</v>
      </c>
      <c r="BM1555" s="1" t="s">
        <v>213</v>
      </c>
      <c r="BN1555" s="1" t="s">
        <v>204</v>
      </c>
      <c r="BP1555" s="1" t="s">
        <v>204</v>
      </c>
      <c r="BR1555" s="1" t="str">
        <f>"15224050280000"</f>
        <v>15224050280000</v>
      </c>
      <c r="BT1555" s="1" t="s">
        <v>15081</v>
      </c>
      <c r="BX1555" s="1">
        <v>92</v>
      </c>
      <c r="BY1555" s="1">
        <v>92</v>
      </c>
      <c r="BZ1555" s="1">
        <v>209</v>
      </c>
      <c r="CB1555" s="1" t="str">
        <f t="shared" ref="CB1555:CC1555" si="1185">""</f>
        <v/>
      </c>
      <c r="CC1555" s="1" t="str">
        <f t="shared" si="1185"/>
        <v/>
      </c>
      <c r="CG1555" s="1" t="s">
        <v>539</v>
      </c>
      <c r="CH1555" s="1" t="s">
        <v>219</v>
      </c>
      <c r="CK1555" s="1" t="s">
        <v>465</v>
      </c>
      <c r="CL1555" s="1" t="s">
        <v>219</v>
      </c>
      <c r="CP1555" s="1" t="s">
        <v>224</v>
      </c>
      <c r="CS1555" s="1" t="s">
        <v>1046</v>
      </c>
      <c r="CT1555" s="1" t="s">
        <v>219</v>
      </c>
      <c r="CX1555" s="1" t="s">
        <v>224</v>
      </c>
      <c r="DB1555" s="1" t="s">
        <v>224</v>
      </c>
      <c r="DE1555" s="1" t="s">
        <v>316</v>
      </c>
      <c r="DF1555" s="1" t="s">
        <v>219</v>
      </c>
      <c r="DJ1555" s="1" t="s">
        <v>224</v>
      </c>
      <c r="DS1555" s="1" t="s">
        <v>230</v>
      </c>
      <c r="DW1555" s="1" t="s">
        <v>230</v>
      </c>
      <c r="EA1555" s="1" t="s">
        <v>230</v>
      </c>
      <c r="EE1555" s="1" t="s">
        <v>230</v>
      </c>
      <c r="EI1555" s="1" t="s">
        <v>230</v>
      </c>
      <c r="EL1555" s="1" t="s">
        <v>605</v>
      </c>
      <c r="EM1555" s="1" t="s">
        <v>319</v>
      </c>
      <c r="EN1555" s="1" t="s">
        <v>210</v>
      </c>
      <c r="EO1555" s="1" t="s">
        <v>234</v>
      </c>
      <c r="ER1555" s="1" t="s">
        <v>210</v>
      </c>
      <c r="EW1555" s="1" t="s">
        <v>15082</v>
      </c>
      <c r="EZ1555" s="1" t="s">
        <v>287</v>
      </c>
      <c r="FD1555" s="1" t="s">
        <v>1112</v>
      </c>
      <c r="FE1555" s="1" t="s">
        <v>247</v>
      </c>
      <c r="FF1555" s="1" t="s">
        <v>248</v>
      </c>
      <c r="FH1555" s="1" t="s">
        <v>249</v>
      </c>
      <c r="FL1555" s="1" t="s">
        <v>358</v>
      </c>
      <c r="FM1555" s="1" t="s">
        <v>252</v>
      </c>
      <c r="FN1555" s="1" t="s">
        <v>213</v>
      </c>
      <c r="FO1555" s="1" t="s">
        <v>213</v>
      </c>
      <c r="FQ1555" s="1" t="s">
        <v>12064</v>
      </c>
      <c r="FR1555" s="1" t="s">
        <v>210</v>
      </c>
      <c r="FS1555" s="1" t="s">
        <v>1429</v>
      </c>
      <c r="FT1555" s="1" t="s">
        <v>295</v>
      </c>
      <c r="FU1555" s="1" t="s">
        <v>204</v>
      </c>
      <c r="FW1555" s="1" t="s">
        <v>3353</v>
      </c>
      <c r="FX1555" s="1">
        <v>8658</v>
      </c>
      <c r="FY1555" s="1" t="s">
        <v>3354</v>
      </c>
      <c r="FZ1555" s="1" t="s">
        <v>3355</v>
      </c>
      <c r="GA1555" s="1">
        <v>84760</v>
      </c>
      <c r="GB1555" s="1" t="s">
        <v>3354</v>
      </c>
      <c r="GD1555" s="1" t="s">
        <v>9655</v>
      </c>
      <c r="GE1555" s="1" t="s">
        <v>210</v>
      </c>
      <c r="GH1555" s="1" t="s">
        <v>589</v>
      </c>
      <c r="GI1555" s="1" t="s">
        <v>213</v>
      </c>
      <c r="GJ1555" s="1" t="s">
        <v>260</v>
      </c>
      <c r="GK1555" s="1" t="s">
        <v>210</v>
      </c>
      <c r="GL1555" s="2">
        <v>42076</v>
      </c>
      <c r="GM1555" s="1" t="s">
        <v>15083</v>
      </c>
    </row>
    <row r="1556" spans="1:195">
      <c r="A1556" s="1">
        <v>235000</v>
      </c>
      <c r="B1556" s="1" t="s">
        <v>195</v>
      </c>
      <c r="C1556" s="1" t="str">
        <f>"08683916"</f>
        <v>08683916</v>
      </c>
      <c r="D1556" s="1" t="s">
        <v>196</v>
      </c>
      <c r="F1556" s="1" t="str">
        <f>"47"</f>
        <v>47</v>
      </c>
      <c r="G1556" s="2">
        <v>41845</v>
      </c>
      <c r="H1556" s="1">
        <v>259900</v>
      </c>
      <c r="I1556" s="1">
        <v>239900</v>
      </c>
      <c r="J1556" s="1">
        <v>235000</v>
      </c>
      <c r="K1556" s="2">
        <v>41843</v>
      </c>
      <c r="L1556" s="1">
        <v>197</v>
      </c>
      <c r="M1556" s="2">
        <v>42039</v>
      </c>
      <c r="N1556" s="1">
        <v>197</v>
      </c>
      <c r="O1556" s="2">
        <v>42039</v>
      </c>
      <c r="P1556" s="1">
        <v>2700</v>
      </c>
      <c r="Q1556" s="1" t="s">
        <v>197</v>
      </c>
      <c r="R1556" s="2">
        <v>42076</v>
      </c>
      <c r="S1556" s="1">
        <v>19248</v>
      </c>
      <c r="U1556" s="1">
        <v>15</v>
      </c>
      <c r="V1556" s="1" t="s">
        <v>10812</v>
      </c>
      <c r="W1556" s="1" t="s">
        <v>504</v>
      </c>
      <c r="X1556" s="1">
        <v>143</v>
      </c>
      <c r="Y1556" s="1">
        <v>3</v>
      </c>
      <c r="Z1556" s="1" t="s">
        <v>370</v>
      </c>
      <c r="AA1556" s="1" t="s">
        <v>528</v>
      </c>
      <c r="AB1556" s="1">
        <v>60047</v>
      </c>
      <c r="AD1556" s="1" t="s">
        <v>15084</v>
      </c>
      <c r="AE1556" s="1" t="s">
        <v>15085</v>
      </c>
      <c r="AF1556" s="1">
        <v>2009</v>
      </c>
      <c r="AG1556" s="1" t="s">
        <v>204</v>
      </c>
      <c r="AH1556" s="1" t="s">
        <v>531</v>
      </c>
      <c r="AI1556" s="1" t="s">
        <v>509</v>
      </c>
      <c r="AJ1556" s="1" t="s">
        <v>532</v>
      </c>
      <c r="AK1556" s="1" t="s">
        <v>15086</v>
      </c>
      <c r="AL1556" s="1">
        <v>7</v>
      </c>
      <c r="AM1556" s="1">
        <v>2</v>
      </c>
      <c r="AN1556" s="1">
        <v>2</v>
      </c>
      <c r="AO1556" s="1">
        <v>1</v>
      </c>
      <c r="AP1556" s="1" t="s">
        <v>209</v>
      </c>
      <c r="AR1556" s="1" t="s">
        <v>1421</v>
      </c>
      <c r="AS1556" s="1" t="s">
        <v>204</v>
      </c>
      <c r="AT1556" s="1" t="s">
        <v>211</v>
      </c>
      <c r="AU1556" s="1">
        <v>2</v>
      </c>
      <c r="AW1556" s="1" t="s">
        <v>204</v>
      </c>
      <c r="AX1556" s="1" t="s">
        <v>1265</v>
      </c>
      <c r="AZ1556" s="1">
        <v>5785.64</v>
      </c>
      <c r="BA1556" s="1">
        <v>2013</v>
      </c>
      <c r="BB1556" s="1" t="s">
        <v>405</v>
      </c>
      <c r="BE1556" s="1">
        <v>2234</v>
      </c>
      <c r="BF1556" s="1">
        <v>1</v>
      </c>
      <c r="BG1556" s="1">
        <v>0</v>
      </c>
      <c r="BL1556" s="1">
        <v>270</v>
      </c>
      <c r="BM1556" s="1" t="s">
        <v>204</v>
      </c>
      <c r="BN1556" s="1" t="s">
        <v>213</v>
      </c>
      <c r="BO1556" s="1">
        <v>999</v>
      </c>
      <c r="BP1556" s="1" t="s">
        <v>204</v>
      </c>
      <c r="BR1556" s="1" t="str">
        <f>"14074020250000"</f>
        <v>14074020250000</v>
      </c>
      <c r="BT1556" s="1" t="s">
        <v>15087</v>
      </c>
      <c r="BU1556" s="1" t="s">
        <v>15088</v>
      </c>
      <c r="BV1556" s="1" t="s">
        <v>536</v>
      </c>
      <c r="BW1556" s="1" t="s">
        <v>537</v>
      </c>
      <c r="BX1556" s="1">
        <v>95</v>
      </c>
      <c r="BY1556" s="1">
        <v>95</v>
      </c>
      <c r="BZ1556" s="1">
        <v>95</v>
      </c>
      <c r="CB1556" s="1" t="str">
        <f>"24"</f>
        <v>24</v>
      </c>
      <c r="CC1556" s="1" t="str">
        <f>"0"</f>
        <v>0</v>
      </c>
      <c r="CD1556" s="1">
        <v>24</v>
      </c>
      <c r="CE1556" s="1">
        <v>0</v>
      </c>
      <c r="CG1556" s="1" t="s">
        <v>461</v>
      </c>
      <c r="CH1556" s="1" t="s">
        <v>219</v>
      </c>
      <c r="CI1556" s="1" t="s">
        <v>220</v>
      </c>
      <c r="CJ1556" s="1" t="s">
        <v>252</v>
      </c>
      <c r="CK1556" s="1" t="s">
        <v>1004</v>
      </c>
      <c r="CL1556" s="1" t="s">
        <v>277</v>
      </c>
      <c r="CM1556" s="1" t="s">
        <v>220</v>
      </c>
      <c r="CN1556" s="1" t="s">
        <v>252</v>
      </c>
      <c r="CO1556" s="1" t="s">
        <v>972</v>
      </c>
      <c r="CP1556" s="1" t="s">
        <v>219</v>
      </c>
      <c r="CQ1556" s="1" t="s">
        <v>220</v>
      </c>
      <c r="CR1556" s="1" t="s">
        <v>252</v>
      </c>
      <c r="CS1556" s="1" t="s">
        <v>757</v>
      </c>
      <c r="CT1556" s="1" t="s">
        <v>277</v>
      </c>
      <c r="CU1556" s="1" t="s">
        <v>220</v>
      </c>
      <c r="CV1556" s="1" t="s">
        <v>210</v>
      </c>
      <c r="CX1556" s="1" t="s">
        <v>224</v>
      </c>
      <c r="DB1556" s="1" t="s">
        <v>224</v>
      </c>
      <c r="DE1556" s="1" t="s">
        <v>729</v>
      </c>
      <c r="DF1556" s="1" t="s">
        <v>219</v>
      </c>
      <c r="DG1556" s="1" t="s">
        <v>226</v>
      </c>
      <c r="DH1556" s="1" t="s">
        <v>252</v>
      </c>
      <c r="DI1556" s="1" t="s">
        <v>757</v>
      </c>
      <c r="DJ1556" s="1" t="s">
        <v>822</v>
      </c>
      <c r="DK1556" s="1" t="s">
        <v>220</v>
      </c>
      <c r="DL1556" s="1" t="s">
        <v>252</v>
      </c>
      <c r="DM1556" s="1" t="s">
        <v>464</v>
      </c>
      <c r="DR1556" s="1" t="s">
        <v>318</v>
      </c>
      <c r="DS1556" s="1" t="s">
        <v>219</v>
      </c>
      <c r="DT1556" s="1" t="s">
        <v>220</v>
      </c>
      <c r="DU1556" s="1" t="s">
        <v>252</v>
      </c>
      <c r="DW1556" s="1" t="s">
        <v>230</v>
      </c>
      <c r="EA1556" s="1" t="s">
        <v>230</v>
      </c>
      <c r="EE1556" s="1" t="s">
        <v>230</v>
      </c>
      <c r="EI1556" s="1" t="s">
        <v>230</v>
      </c>
      <c r="EL1556" s="1" t="s">
        <v>491</v>
      </c>
      <c r="EM1556" s="1" t="s">
        <v>319</v>
      </c>
      <c r="EN1556" s="1" t="s">
        <v>282</v>
      </c>
      <c r="EO1556" s="1" t="s">
        <v>234</v>
      </c>
      <c r="EP1556" s="1" t="s">
        <v>1268</v>
      </c>
      <c r="EQ1556" s="1" t="s">
        <v>236</v>
      </c>
      <c r="ER1556" s="1" t="s">
        <v>544</v>
      </c>
      <c r="ES1556" s="1" t="s">
        <v>4621</v>
      </c>
      <c r="ET1556" s="1" t="s">
        <v>842</v>
      </c>
      <c r="EV1556" s="1" t="s">
        <v>240</v>
      </c>
      <c r="EW1556" s="1" t="s">
        <v>1920</v>
      </c>
      <c r="EY1556" s="1" t="s">
        <v>790</v>
      </c>
      <c r="EZ1556" s="1" t="s">
        <v>464</v>
      </c>
      <c r="FA1556" s="1" t="s">
        <v>4980</v>
      </c>
      <c r="FD1556" s="1" t="s">
        <v>246</v>
      </c>
      <c r="FE1556" s="1" t="s">
        <v>247</v>
      </c>
      <c r="FF1556" s="1" t="s">
        <v>248</v>
      </c>
      <c r="FH1556" s="1" t="s">
        <v>1428</v>
      </c>
      <c r="FI1556" s="1" t="s">
        <v>473</v>
      </c>
      <c r="FJ1556" s="1" t="s">
        <v>197</v>
      </c>
      <c r="FL1556" s="1" t="s">
        <v>358</v>
      </c>
      <c r="FM1556" s="1" t="s">
        <v>252</v>
      </c>
      <c r="FN1556" s="1" t="s">
        <v>213</v>
      </c>
      <c r="FO1556" s="1" t="s">
        <v>213</v>
      </c>
      <c r="FQ1556" s="1" t="s">
        <v>329</v>
      </c>
      <c r="FR1556" s="1" t="s">
        <v>210</v>
      </c>
      <c r="FS1556" s="1" t="s">
        <v>15089</v>
      </c>
      <c r="FT1556" s="1" t="s">
        <v>15090</v>
      </c>
      <c r="FU1556" s="1" t="s">
        <v>204</v>
      </c>
      <c r="FW1556" s="1" t="s">
        <v>554</v>
      </c>
      <c r="FX1556" s="1">
        <v>6076</v>
      </c>
      <c r="FY1556" s="1" t="s">
        <v>555</v>
      </c>
      <c r="FZ1556" s="1" t="s">
        <v>15091</v>
      </c>
      <c r="GA1556" s="1">
        <v>61872</v>
      </c>
      <c r="GB1556" s="1" t="s">
        <v>15092</v>
      </c>
      <c r="GE1556" s="1" t="s">
        <v>480</v>
      </c>
      <c r="GI1556" s="1" t="s">
        <v>213</v>
      </c>
      <c r="GJ1556" s="1" t="s">
        <v>260</v>
      </c>
      <c r="GK1556" s="1" t="s">
        <v>210</v>
      </c>
      <c r="GL1556" s="2">
        <v>42076</v>
      </c>
      <c r="GM1556" s="1" t="s">
        <v>15093</v>
      </c>
    </row>
    <row r="1557" spans="1:195">
      <c r="A1557" s="1">
        <v>305000</v>
      </c>
      <c r="B1557" s="1" t="s">
        <v>195</v>
      </c>
      <c r="C1557" s="1" t="str">
        <f>"08687237"</f>
        <v>08687237</v>
      </c>
      <c r="D1557" s="1" t="s">
        <v>196</v>
      </c>
      <c r="F1557" s="1" t="str">
        <f>"137"</f>
        <v>137</v>
      </c>
      <c r="G1557" s="2">
        <v>41850</v>
      </c>
      <c r="H1557" s="1">
        <v>324500</v>
      </c>
      <c r="I1557" s="1">
        <v>315000</v>
      </c>
      <c r="J1557" s="1">
        <v>305000</v>
      </c>
      <c r="K1557" s="2">
        <v>41850</v>
      </c>
      <c r="L1557" s="1">
        <v>71</v>
      </c>
      <c r="M1557" s="2">
        <v>41920</v>
      </c>
      <c r="N1557" s="1">
        <v>71</v>
      </c>
      <c r="O1557" s="2">
        <v>41920</v>
      </c>
      <c r="P1557" s="1">
        <v>22039</v>
      </c>
      <c r="Q1557" s="1" t="s">
        <v>302</v>
      </c>
      <c r="R1557" s="2">
        <v>42009</v>
      </c>
      <c r="S1557" s="1">
        <v>252547</v>
      </c>
      <c r="U1557" s="1">
        <v>570</v>
      </c>
      <c r="V1557" s="1" t="s">
        <v>12251</v>
      </c>
      <c r="W1557" s="1" t="s">
        <v>199</v>
      </c>
      <c r="X1557" s="1">
        <v>501</v>
      </c>
      <c r="Y1557" s="1">
        <v>37</v>
      </c>
      <c r="Z1557" s="1" t="s">
        <v>249</v>
      </c>
      <c r="AA1557" s="1" t="s">
        <v>201</v>
      </c>
      <c r="AB1557" s="1">
        <v>60137</v>
      </c>
      <c r="AE1557" s="1" t="s">
        <v>15094</v>
      </c>
      <c r="AF1557" s="1">
        <v>2001</v>
      </c>
      <c r="AG1557" s="1" t="s">
        <v>204</v>
      </c>
      <c r="AH1557" s="1" t="s">
        <v>205</v>
      </c>
      <c r="AI1557" s="1" t="s">
        <v>206</v>
      </c>
      <c r="AJ1557" s="1" t="s">
        <v>207</v>
      </c>
      <c r="AL1557" s="1">
        <v>5</v>
      </c>
      <c r="AM1557" s="1">
        <v>2</v>
      </c>
      <c r="AN1557" s="1">
        <v>2</v>
      </c>
      <c r="AO1557" s="1">
        <v>0</v>
      </c>
      <c r="AP1557" s="1" t="s">
        <v>209</v>
      </c>
      <c r="AR1557" s="1" t="s">
        <v>210</v>
      </c>
      <c r="AS1557" s="1" t="s">
        <v>204</v>
      </c>
      <c r="AT1557" s="1" t="s">
        <v>375</v>
      </c>
      <c r="AU1557" s="1">
        <v>1</v>
      </c>
      <c r="AV1557" s="1">
        <v>55</v>
      </c>
      <c r="AW1557" s="1" t="s">
        <v>204</v>
      </c>
      <c r="AX1557" s="1" t="s">
        <v>212</v>
      </c>
      <c r="AZ1557" s="1">
        <v>7743</v>
      </c>
      <c r="BA1557" s="1">
        <v>2013</v>
      </c>
      <c r="BB1557" s="1" t="s">
        <v>405</v>
      </c>
      <c r="BE1557" s="1">
        <v>1655</v>
      </c>
      <c r="BF1557" s="1">
        <v>5</v>
      </c>
      <c r="BG1557" s="1">
        <v>0</v>
      </c>
      <c r="BL1557" s="1">
        <v>430</v>
      </c>
      <c r="BM1557" s="1" t="s">
        <v>204</v>
      </c>
      <c r="BN1557" s="1" t="s">
        <v>213</v>
      </c>
      <c r="BO1557" s="1">
        <v>0</v>
      </c>
      <c r="BP1557" s="1" t="s">
        <v>204</v>
      </c>
      <c r="BR1557" s="1" t="str">
        <f>"0511335041"</f>
        <v>0511335041</v>
      </c>
      <c r="BT1557" s="1" t="s">
        <v>15095</v>
      </c>
      <c r="BU1557" s="1" t="s">
        <v>12255</v>
      </c>
      <c r="BV1557" s="1" t="s">
        <v>2168</v>
      </c>
      <c r="BW1557" s="1" t="s">
        <v>2169</v>
      </c>
      <c r="BX1557" s="1">
        <v>41</v>
      </c>
      <c r="BY1557" s="1">
        <v>41</v>
      </c>
      <c r="BZ1557" s="1">
        <v>87</v>
      </c>
      <c r="CB1557" s="1" t="str">
        <f t="shared" ref="CB1557:CC1557" si="1186">""</f>
        <v/>
      </c>
      <c r="CC1557" s="1" t="str">
        <f t="shared" si="1186"/>
        <v/>
      </c>
      <c r="CF1557" s="1" t="s">
        <v>15096</v>
      </c>
      <c r="CG1557" s="1" t="s">
        <v>1936</v>
      </c>
      <c r="CH1557" s="1" t="s">
        <v>219</v>
      </c>
      <c r="CI1557" s="1" t="s">
        <v>220</v>
      </c>
      <c r="CK1557" s="1" t="s">
        <v>317</v>
      </c>
      <c r="CL1557" s="1" t="s">
        <v>219</v>
      </c>
      <c r="CM1557" s="1" t="s">
        <v>220</v>
      </c>
      <c r="CO1557" s="1" t="s">
        <v>516</v>
      </c>
      <c r="CP1557" s="1" t="s">
        <v>219</v>
      </c>
      <c r="CS1557" s="1" t="s">
        <v>602</v>
      </c>
      <c r="CT1557" s="1" t="s">
        <v>219</v>
      </c>
      <c r="CU1557" s="1" t="s">
        <v>220</v>
      </c>
      <c r="CX1557" s="1" t="s">
        <v>224</v>
      </c>
      <c r="DB1557" s="1" t="s">
        <v>224</v>
      </c>
      <c r="DE1557" s="1" t="s">
        <v>539</v>
      </c>
      <c r="DF1557" s="1" t="s">
        <v>219</v>
      </c>
      <c r="DG1557" s="1" t="s">
        <v>226</v>
      </c>
      <c r="DJ1557" s="1" t="s">
        <v>224</v>
      </c>
      <c r="DS1557" s="1" t="s">
        <v>230</v>
      </c>
      <c r="DW1557" s="1" t="s">
        <v>230</v>
      </c>
      <c r="EA1557" s="1" t="s">
        <v>230</v>
      </c>
      <c r="EE1557" s="1" t="s">
        <v>230</v>
      </c>
      <c r="EI1557" s="1" t="s">
        <v>230</v>
      </c>
      <c r="EL1557" s="1" t="s">
        <v>466</v>
      </c>
      <c r="EM1557" s="1" t="s">
        <v>232</v>
      </c>
      <c r="EN1557" s="1" t="s">
        <v>282</v>
      </c>
      <c r="EO1557" s="1" t="s">
        <v>234</v>
      </c>
      <c r="EP1557" s="1" t="s">
        <v>7418</v>
      </c>
      <c r="ER1557" s="1" t="s">
        <v>210</v>
      </c>
      <c r="EW1557" s="1" t="s">
        <v>15097</v>
      </c>
      <c r="EZ1557" s="1" t="s">
        <v>287</v>
      </c>
      <c r="FB1557" s="1" t="s">
        <v>289</v>
      </c>
      <c r="FC1557" s="1" t="s">
        <v>548</v>
      </c>
      <c r="FD1557" s="1" t="s">
        <v>246</v>
      </c>
      <c r="FE1557" s="1" t="s">
        <v>247</v>
      </c>
      <c r="FF1557" s="1" t="s">
        <v>248</v>
      </c>
      <c r="FH1557" s="1" t="s">
        <v>249</v>
      </c>
      <c r="FI1557" s="1" t="s">
        <v>848</v>
      </c>
      <c r="FK1557" s="1" t="s">
        <v>15098</v>
      </c>
      <c r="FL1557" s="1" t="s">
        <v>414</v>
      </c>
      <c r="FM1557" s="1" t="s">
        <v>252</v>
      </c>
      <c r="FN1557" s="1" t="s">
        <v>213</v>
      </c>
      <c r="FO1557" s="1" t="s">
        <v>213</v>
      </c>
      <c r="FQ1557" s="1" t="s">
        <v>1884</v>
      </c>
      <c r="FR1557" s="1" t="s">
        <v>210</v>
      </c>
      <c r="FS1557" s="1" t="s">
        <v>13454</v>
      </c>
      <c r="FT1557" s="1" t="s">
        <v>362</v>
      </c>
      <c r="FU1557" s="1" t="s">
        <v>204</v>
      </c>
      <c r="FW1557" s="1" t="s">
        <v>915</v>
      </c>
      <c r="FX1557" s="1">
        <v>25200</v>
      </c>
      <c r="FY1557" s="1" t="s">
        <v>6011</v>
      </c>
      <c r="FZ1557" s="1" t="s">
        <v>15099</v>
      </c>
      <c r="GA1557" s="1">
        <v>252187</v>
      </c>
      <c r="GB1557" s="1" t="s">
        <v>15100</v>
      </c>
      <c r="GE1557" s="1" t="s">
        <v>15101</v>
      </c>
      <c r="GI1557" s="1" t="s">
        <v>213</v>
      </c>
      <c r="GJ1557" s="1" t="s">
        <v>300</v>
      </c>
      <c r="GK1557" s="1" t="s">
        <v>210</v>
      </c>
      <c r="GL1557" s="2">
        <v>42009</v>
      </c>
      <c r="GM1557" s="1" t="s">
        <v>15102</v>
      </c>
    </row>
    <row r="1558" spans="1:195">
      <c r="A1558" s="1">
        <v>51500</v>
      </c>
      <c r="B1558" s="1" t="s">
        <v>195</v>
      </c>
      <c r="C1558" s="1" t="str">
        <f>"08680572"</f>
        <v>08680572</v>
      </c>
      <c r="D1558" s="1" t="s">
        <v>196</v>
      </c>
      <c r="F1558" s="1" t="str">
        <f>"8055"</f>
        <v>8055</v>
      </c>
      <c r="G1558" s="2">
        <v>41842</v>
      </c>
      <c r="H1558" s="1">
        <v>59900</v>
      </c>
      <c r="I1558" s="1">
        <v>59900</v>
      </c>
      <c r="J1558" s="1">
        <v>51500</v>
      </c>
      <c r="K1558" s="2">
        <v>41842</v>
      </c>
      <c r="L1558" s="1">
        <v>245</v>
      </c>
      <c r="M1558" s="2">
        <v>42086</v>
      </c>
      <c r="N1558" s="1">
        <v>245</v>
      </c>
      <c r="O1558" s="2">
        <v>42086</v>
      </c>
      <c r="P1558" s="1">
        <v>60321</v>
      </c>
      <c r="Q1558" s="1" t="s">
        <v>197</v>
      </c>
      <c r="R1558" s="2">
        <v>42087</v>
      </c>
      <c r="S1558" s="1">
        <v>603064</v>
      </c>
      <c r="U1558" s="1">
        <v>13050</v>
      </c>
      <c r="V1558" s="1" t="s">
        <v>5916</v>
      </c>
      <c r="W1558" s="1" t="s">
        <v>425</v>
      </c>
      <c r="X1558" s="1" t="s">
        <v>15103</v>
      </c>
      <c r="Y1558" s="1">
        <v>18</v>
      </c>
      <c r="Z1558" s="1" t="s">
        <v>200</v>
      </c>
      <c r="AA1558" s="1" t="s">
        <v>400</v>
      </c>
      <c r="AB1558" s="1">
        <v>60633</v>
      </c>
      <c r="AE1558" s="1" t="s">
        <v>15104</v>
      </c>
      <c r="AF1558" s="1">
        <v>1982</v>
      </c>
      <c r="AG1558" s="1" t="s">
        <v>204</v>
      </c>
      <c r="AH1558" s="1" t="s">
        <v>403</v>
      </c>
      <c r="AI1558" s="1" t="s">
        <v>310</v>
      </c>
      <c r="AJ1558" s="1" t="s">
        <v>562</v>
      </c>
      <c r="AL1558" s="1">
        <v>5</v>
      </c>
      <c r="AM1558" s="1">
        <v>2</v>
      </c>
      <c r="AN1558" s="1">
        <v>1</v>
      </c>
      <c r="AO1558" s="1">
        <v>1</v>
      </c>
      <c r="AP1558" s="1" t="s">
        <v>1234</v>
      </c>
      <c r="AR1558" s="1" t="s">
        <v>210</v>
      </c>
      <c r="AS1558" s="1" t="s">
        <v>204</v>
      </c>
      <c r="AT1558" s="1" t="s">
        <v>271</v>
      </c>
      <c r="AV1558" s="1">
        <v>1</v>
      </c>
      <c r="AW1558" s="1" t="s">
        <v>204</v>
      </c>
      <c r="AX1558" s="1" t="s">
        <v>212</v>
      </c>
      <c r="AZ1558" s="3">
        <v>1039</v>
      </c>
      <c r="BA1558" s="1">
        <v>2013</v>
      </c>
      <c r="BE1558" s="1">
        <v>1000</v>
      </c>
      <c r="BF1558" s="1">
        <v>2</v>
      </c>
      <c r="BG1558" s="1">
        <v>30</v>
      </c>
      <c r="BJ1558" s="1">
        <v>100</v>
      </c>
      <c r="BL1558" s="1">
        <v>200</v>
      </c>
      <c r="BM1558" s="1" t="s">
        <v>204</v>
      </c>
      <c r="BN1558" s="1" t="s">
        <v>213</v>
      </c>
      <c r="BO1558" s="1">
        <v>20</v>
      </c>
      <c r="BP1558" s="1" t="s">
        <v>204</v>
      </c>
      <c r="BR1558" s="1" t="str">
        <f>"26311010341007"</f>
        <v>26311010341007</v>
      </c>
      <c r="BT1558" s="1" t="s">
        <v>15105</v>
      </c>
      <c r="BX1558" s="1">
        <v>299</v>
      </c>
      <c r="BY1558" s="1">
        <v>299</v>
      </c>
      <c r="BZ1558" s="1">
        <v>299</v>
      </c>
      <c r="CB1558" s="1" t="str">
        <f>"0"</f>
        <v>0</v>
      </c>
      <c r="CC1558" s="1" t="str">
        <f>"3400"</f>
        <v>3400</v>
      </c>
      <c r="CD1558" s="1">
        <v>0</v>
      </c>
      <c r="CE1558" s="1">
        <v>13000</v>
      </c>
      <c r="CG1558" s="1" t="s">
        <v>1788</v>
      </c>
      <c r="CH1558" s="1" t="s">
        <v>219</v>
      </c>
      <c r="CI1558" s="1" t="s">
        <v>220</v>
      </c>
      <c r="CJ1558" s="1" t="s">
        <v>343</v>
      </c>
      <c r="CK1558" s="1" t="s">
        <v>378</v>
      </c>
      <c r="CL1558" s="1" t="s">
        <v>219</v>
      </c>
      <c r="CM1558" s="1" t="s">
        <v>220</v>
      </c>
      <c r="CN1558" s="1" t="s">
        <v>463</v>
      </c>
      <c r="CO1558" s="1" t="s">
        <v>836</v>
      </c>
      <c r="CP1558" s="1" t="s">
        <v>219</v>
      </c>
      <c r="CQ1558" s="1" t="s">
        <v>220</v>
      </c>
      <c r="CR1558" s="1" t="s">
        <v>343</v>
      </c>
      <c r="CS1558" s="1" t="s">
        <v>378</v>
      </c>
      <c r="CT1558" s="1" t="s">
        <v>219</v>
      </c>
      <c r="CU1558" s="1" t="s">
        <v>220</v>
      </c>
      <c r="CV1558" s="1" t="s">
        <v>463</v>
      </c>
      <c r="CX1558" s="1" t="s">
        <v>224</v>
      </c>
      <c r="DB1558" s="1" t="s">
        <v>224</v>
      </c>
      <c r="DE1558" s="1" t="s">
        <v>1470</v>
      </c>
      <c r="DF1558" s="1" t="s">
        <v>219</v>
      </c>
      <c r="DG1558" s="1" t="s">
        <v>342</v>
      </c>
      <c r="DH1558" s="1" t="s">
        <v>343</v>
      </c>
      <c r="DJ1558" s="1" t="s">
        <v>224</v>
      </c>
      <c r="DS1558" s="1" t="s">
        <v>230</v>
      </c>
      <c r="DW1558" s="1" t="s">
        <v>230</v>
      </c>
      <c r="EA1558" s="1" t="s">
        <v>230</v>
      </c>
      <c r="EE1558" s="1" t="s">
        <v>230</v>
      </c>
      <c r="EI1558" s="1" t="s">
        <v>230</v>
      </c>
      <c r="EL1558" s="1" t="s">
        <v>231</v>
      </c>
      <c r="EM1558" s="1" t="s">
        <v>232</v>
      </c>
      <c r="EN1558" s="1" t="s">
        <v>282</v>
      </c>
      <c r="EO1558" s="1" t="s">
        <v>234</v>
      </c>
      <c r="EP1558" s="1" t="s">
        <v>15106</v>
      </c>
      <c r="ER1558" s="1" t="s">
        <v>210</v>
      </c>
      <c r="EW1558" s="1" t="s">
        <v>887</v>
      </c>
      <c r="EZ1558" s="1" t="s">
        <v>287</v>
      </c>
      <c r="FB1558" s="1" t="s">
        <v>289</v>
      </c>
      <c r="FC1558" s="1" t="s">
        <v>548</v>
      </c>
      <c r="FD1558" s="1" t="s">
        <v>246</v>
      </c>
      <c r="FE1558" s="1" t="s">
        <v>247</v>
      </c>
      <c r="FF1558" s="1" t="s">
        <v>248</v>
      </c>
      <c r="FH1558" s="1" t="s">
        <v>249</v>
      </c>
      <c r="FK1558" s="1" t="s">
        <v>291</v>
      </c>
      <c r="FL1558" s="1" t="s">
        <v>358</v>
      </c>
      <c r="FM1558" s="1" t="s">
        <v>252</v>
      </c>
      <c r="FN1558" s="1" t="s">
        <v>213</v>
      </c>
      <c r="FO1558" s="1" t="s">
        <v>213</v>
      </c>
      <c r="FQ1558" s="1" t="s">
        <v>673</v>
      </c>
      <c r="FR1558" s="1" t="s">
        <v>210</v>
      </c>
      <c r="FS1558" s="1" t="s">
        <v>3919</v>
      </c>
      <c r="FT1558" s="1" t="s">
        <v>15107</v>
      </c>
      <c r="FU1558" s="1" t="s">
        <v>204</v>
      </c>
      <c r="FW1558" s="1" t="s">
        <v>915</v>
      </c>
      <c r="FX1558" s="1">
        <v>51100</v>
      </c>
      <c r="FY1558" s="1" t="s">
        <v>15108</v>
      </c>
      <c r="FZ1558" s="1" t="s">
        <v>15109</v>
      </c>
      <c r="GA1558" s="1">
        <v>506370</v>
      </c>
      <c r="GB1558" s="1" t="s">
        <v>15110</v>
      </c>
      <c r="GE1558" s="1" t="s">
        <v>1764</v>
      </c>
      <c r="GH1558" s="1" t="s">
        <v>421</v>
      </c>
      <c r="GI1558" s="1" t="s">
        <v>213</v>
      </c>
      <c r="GJ1558" s="1" t="s">
        <v>260</v>
      </c>
      <c r="GK1558" s="1" t="s">
        <v>210</v>
      </c>
      <c r="GL1558" s="2">
        <v>42087</v>
      </c>
      <c r="GM1558" s="1" t="s">
        <v>15111</v>
      </c>
    </row>
    <row r="1559" spans="1:195">
      <c r="A1559" s="1">
        <v>75000</v>
      </c>
      <c r="B1559" s="1" t="s">
        <v>195</v>
      </c>
      <c r="C1559" s="1" t="str">
        <f>"08688333"</f>
        <v>08688333</v>
      </c>
      <c r="D1559" s="1" t="s">
        <v>196</v>
      </c>
      <c r="F1559" s="1" t="str">
        <f>"101"</f>
        <v>101</v>
      </c>
      <c r="G1559" s="2">
        <v>41851</v>
      </c>
      <c r="H1559" s="1">
        <v>79900</v>
      </c>
      <c r="I1559" s="1">
        <v>79900</v>
      </c>
      <c r="J1559" s="1">
        <v>75000</v>
      </c>
      <c r="K1559" s="2">
        <v>41851</v>
      </c>
      <c r="L1559" s="1">
        <v>108</v>
      </c>
      <c r="M1559" s="2">
        <v>41958</v>
      </c>
      <c r="N1559" s="1">
        <v>108</v>
      </c>
      <c r="O1559" s="2">
        <v>41958</v>
      </c>
      <c r="P1559" s="1">
        <v>252</v>
      </c>
      <c r="Q1559" s="1" t="s">
        <v>197</v>
      </c>
      <c r="R1559" s="2">
        <v>42003</v>
      </c>
      <c r="S1559" s="1">
        <v>7748</v>
      </c>
      <c r="U1559" s="1">
        <v>45</v>
      </c>
      <c r="V1559" s="1" t="s">
        <v>8979</v>
      </c>
      <c r="W1559" s="1" t="s">
        <v>425</v>
      </c>
      <c r="X1559" s="1" t="s">
        <v>15112</v>
      </c>
      <c r="Y1559" s="1">
        <v>4</v>
      </c>
      <c r="Z1559" s="1" t="s">
        <v>249</v>
      </c>
      <c r="AA1559" s="1" t="s">
        <v>2631</v>
      </c>
      <c r="AB1559" s="1">
        <v>60101</v>
      </c>
      <c r="AC1559" s="1">
        <v>3317</v>
      </c>
      <c r="AD1559" s="1" t="s">
        <v>15113</v>
      </c>
      <c r="AE1559" s="1" t="s">
        <v>15114</v>
      </c>
      <c r="AF1559" s="1" t="s">
        <v>402</v>
      </c>
      <c r="AG1559" s="1" t="s">
        <v>213</v>
      </c>
      <c r="AH1559" s="1" t="s">
        <v>1233</v>
      </c>
      <c r="AI1559" s="1" t="s">
        <v>206</v>
      </c>
      <c r="AJ1559" s="1" t="s">
        <v>1233</v>
      </c>
      <c r="AL1559" s="1">
        <v>5</v>
      </c>
      <c r="AM1559" s="1">
        <v>2</v>
      </c>
      <c r="AN1559" s="1">
        <v>1</v>
      </c>
      <c r="AO1559" s="1">
        <v>1</v>
      </c>
      <c r="AP1559" s="1" t="s">
        <v>210</v>
      </c>
      <c r="AR1559" s="1" t="s">
        <v>209</v>
      </c>
      <c r="AS1559" s="1" t="s">
        <v>204</v>
      </c>
      <c r="AT1559" s="1" t="s">
        <v>271</v>
      </c>
      <c r="AV1559" s="1">
        <v>2</v>
      </c>
      <c r="AW1559" s="1" t="s">
        <v>204</v>
      </c>
      <c r="AX1559" s="1" t="s">
        <v>212</v>
      </c>
      <c r="AZ1559" s="1">
        <v>3187</v>
      </c>
      <c r="BA1559" s="1">
        <v>2013</v>
      </c>
      <c r="BB1559" s="1" t="s">
        <v>405</v>
      </c>
      <c r="BE1559" s="1">
        <v>0</v>
      </c>
      <c r="BF1559" s="1">
        <v>1</v>
      </c>
      <c r="BG1559" s="1">
        <v>0</v>
      </c>
      <c r="BJ1559" s="1">
        <v>100</v>
      </c>
      <c r="BL1559" s="1">
        <v>180</v>
      </c>
      <c r="BM1559" s="1" t="s">
        <v>204</v>
      </c>
      <c r="BN1559" s="1" t="s">
        <v>213</v>
      </c>
      <c r="BO1559" s="1">
        <v>0</v>
      </c>
      <c r="BP1559" s="1" t="s">
        <v>204</v>
      </c>
      <c r="BR1559" s="1" t="str">
        <f>"0329421011"</f>
        <v>0329421011</v>
      </c>
      <c r="BT1559" s="1" t="s">
        <v>15115</v>
      </c>
      <c r="BU1559" s="1" t="s">
        <v>15116</v>
      </c>
      <c r="BV1559" s="1" t="s">
        <v>2720</v>
      </c>
      <c r="BW1559" s="1" t="s">
        <v>15117</v>
      </c>
      <c r="BX1559" s="1">
        <v>4</v>
      </c>
      <c r="BY1559" s="1">
        <v>4</v>
      </c>
      <c r="BZ1559" s="1">
        <v>88</v>
      </c>
      <c r="CB1559" s="1" t="str">
        <f>"3"</f>
        <v>3</v>
      </c>
      <c r="CC1559" s="1" t="str">
        <f t="shared" ref="CC1559:CC1560" si="1187">"0"</f>
        <v>0</v>
      </c>
      <c r="CD1559" s="1">
        <v>19</v>
      </c>
      <c r="CE1559" s="1">
        <v>0</v>
      </c>
      <c r="CG1559" s="1" t="s">
        <v>278</v>
      </c>
      <c r="CH1559" s="1" t="s">
        <v>219</v>
      </c>
      <c r="CK1559" s="1" t="s">
        <v>1454</v>
      </c>
      <c r="CL1559" s="1" t="s">
        <v>277</v>
      </c>
      <c r="CM1559" s="1" t="s">
        <v>220</v>
      </c>
      <c r="CO1559" s="1" t="s">
        <v>6407</v>
      </c>
      <c r="CP1559" s="1" t="s">
        <v>219</v>
      </c>
      <c r="CQ1559" s="1" t="s">
        <v>226</v>
      </c>
      <c r="CS1559" s="1" t="s">
        <v>318</v>
      </c>
      <c r="CT1559" s="1" t="s">
        <v>277</v>
      </c>
      <c r="CU1559" s="1" t="s">
        <v>220</v>
      </c>
      <c r="CX1559" s="1" t="s">
        <v>224</v>
      </c>
      <c r="DB1559" s="1" t="s">
        <v>224</v>
      </c>
      <c r="DE1559" s="1" t="s">
        <v>4148</v>
      </c>
      <c r="DF1559" s="1" t="s">
        <v>219</v>
      </c>
      <c r="DH1559" s="1" t="s">
        <v>210</v>
      </c>
      <c r="DJ1559" s="1" t="s">
        <v>224</v>
      </c>
      <c r="DL1559" s="1" t="s">
        <v>210</v>
      </c>
      <c r="DS1559" s="1" t="s">
        <v>230</v>
      </c>
      <c r="DW1559" s="1" t="s">
        <v>230</v>
      </c>
      <c r="EA1559" s="1" t="s">
        <v>230</v>
      </c>
      <c r="EE1559" s="1" t="s">
        <v>230</v>
      </c>
      <c r="EI1559" s="1" t="s">
        <v>230</v>
      </c>
      <c r="EL1559" s="1" t="s">
        <v>413</v>
      </c>
      <c r="EM1559" s="1" t="s">
        <v>232</v>
      </c>
      <c r="EN1559" s="1" t="s">
        <v>282</v>
      </c>
      <c r="EO1559" s="1" t="s">
        <v>234</v>
      </c>
      <c r="EQ1559" s="1" t="s">
        <v>468</v>
      </c>
      <c r="ER1559" s="1" t="s">
        <v>351</v>
      </c>
      <c r="ES1559" s="1" t="s">
        <v>545</v>
      </c>
      <c r="EW1559" s="1" t="s">
        <v>7034</v>
      </c>
      <c r="EY1559" s="1" t="s">
        <v>790</v>
      </c>
      <c r="EZ1559" s="1" t="s">
        <v>287</v>
      </c>
      <c r="FA1559" s="1" t="s">
        <v>15118</v>
      </c>
      <c r="FB1559" s="1" t="s">
        <v>289</v>
      </c>
      <c r="FC1559" s="1" t="s">
        <v>1386</v>
      </c>
      <c r="FD1559" s="1" t="s">
        <v>246</v>
      </c>
      <c r="FE1559" s="1" t="s">
        <v>247</v>
      </c>
      <c r="FF1559" s="1" t="s">
        <v>3103</v>
      </c>
      <c r="FH1559" s="1" t="s">
        <v>550</v>
      </c>
      <c r="FK1559" s="1" t="s">
        <v>291</v>
      </c>
      <c r="FL1559" s="1" t="s">
        <v>358</v>
      </c>
      <c r="FM1559" s="1" t="s">
        <v>252</v>
      </c>
      <c r="FN1559" s="1" t="s">
        <v>213</v>
      </c>
      <c r="FO1559" s="1" t="s">
        <v>213</v>
      </c>
      <c r="FQ1559" s="1" t="s">
        <v>9805</v>
      </c>
      <c r="FR1559" s="1" t="s">
        <v>9166</v>
      </c>
      <c r="FS1559" s="1" t="s">
        <v>636</v>
      </c>
      <c r="FT1559" s="1" t="s">
        <v>15119</v>
      </c>
      <c r="FU1559" s="1" t="s">
        <v>204</v>
      </c>
      <c r="FW1559" s="1" t="s">
        <v>8332</v>
      </c>
      <c r="FX1559" s="1">
        <v>8103</v>
      </c>
      <c r="FY1559" s="1" t="s">
        <v>8333</v>
      </c>
      <c r="FZ1559" s="1" t="s">
        <v>15120</v>
      </c>
      <c r="GA1559" s="1">
        <v>80782</v>
      </c>
      <c r="GB1559" s="1" t="s">
        <v>15121</v>
      </c>
      <c r="GE1559" s="1" t="s">
        <v>15122</v>
      </c>
      <c r="GH1559" s="1" t="s">
        <v>421</v>
      </c>
      <c r="GI1559" s="1" t="s">
        <v>213</v>
      </c>
      <c r="GJ1559" s="1" t="s">
        <v>260</v>
      </c>
      <c r="GK1559" s="1" t="s">
        <v>210</v>
      </c>
      <c r="GL1559" s="2">
        <v>42003</v>
      </c>
      <c r="GM1559" s="1" t="s">
        <v>15123</v>
      </c>
    </row>
    <row r="1560" spans="1:195">
      <c r="A1560" s="1">
        <v>155000</v>
      </c>
      <c r="B1560" s="1" t="s">
        <v>195</v>
      </c>
      <c r="C1560" s="1" t="str">
        <f>"08692282"</f>
        <v>08692282</v>
      </c>
      <c r="D1560" s="1" t="s">
        <v>196</v>
      </c>
      <c r="F1560" s="1" t="str">
        <f>"30"</f>
        <v>30</v>
      </c>
      <c r="G1560" s="2">
        <v>41855</v>
      </c>
      <c r="H1560" s="1">
        <v>195000</v>
      </c>
      <c r="I1560" s="1">
        <v>159000</v>
      </c>
      <c r="J1560" s="1">
        <v>155000</v>
      </c>
      <c r="K1560" s="2">
        <v>41855</v>
      </c>
      <c r="L1560" s="1">
        <v>168</v>
      </c>
      <c r="M1560" s="2">
        <v>42022</v>
      </c>
      <c r="N1560" s="1">
        <v>168</v>
      </c>
      <c r="O1560" s="2">
        <v>42022</v>
      </c>
      <c r="P1560" s="1">
        <v>2644</v>
      </c>
      <c r="Q1560" s="1" t="s">
        <v>197</v>
      </c>
      <c r="R1560" s="2">
        <v>42062</v>
      </c>
      <c r="S1560" s="1">
        <v>18736</v>
      </c>
      <c r="U1560" s="1">
        <v>202</v>
      </c>
      <c r="V1560" s="1" t="s">
        <v>15124</v>
      </c>
      <c r="W1560" s="1" t="s">
        <v>504</v>
      </c>
      <c r="X1560" s="1">
        <v>202</v>
      </c>
      <c r="Y1560" s="1">
        <v>6</v>
      </c>
      <c r="Z1560" s="1" t="s">
        <v>370</v>
      </c>
      <c r="AA1560" s="1" t="s">
        <v>1834</v>
      </c>
      <c r="AB1560" s="1">
        <v>60030</v>
      </c>
      <c r="AD1560" s="1" t="s">
        <v>15125</v>
      </c>
      <c r="AE1560" s="1" t="s">
        <v>15126</v>
      </c>
      <c r="AF1560" s="1">
        <v>2003</v>
      </c>
      <c r="AG1560" s="1" t="s">
        <v>204</v>
      </c>
      <c r="AH1560" s="1" t="s">
        <v>1837</v>
      </c>
      <c r="AI1560" s="1" t="s">
        <v>509</v>
      </c>
      <c r="AJ1560" s="1" t="s">
        <v>1263</v>
      </c>
      <c r="AK1560" s="1" t="s">
        <v>15127</v>
      </c>
      <c r="AL1560" s="1">
        <v>6</v>
      </c>
      <c r="AM1560" s="1">
        <v>2</v>
      </c>
      <c r="AN1560" s="1">
        <v>1</v>
      </c>
      <c r="AO1560" s="1">
        <v>0</v>
      </c>
      <c r="AP1560" s="1" t="s">
        <v>209</v>
      </c>
      <c r="AQ1560" s="1">
        <v>1</v>
      </c>
      <c r="AR1560" s="1" t="s">
        <v>210</v>
      </c>
      <c r="AS1560" s="1" t="s">
        <v>204</v>
      </c>
      <c r="AT1560" s="1" t="s">
        <v>211</v>
      </c>
      <c r="AU1560" s="1">
        <v>2</v>
      </c>
      <c r="AW1560" s="1" t="s">
        <v>204</v>
      </c>
      <c r="AX1560" s="1" t="s">
        <v>212</v>
      </c>
      <c r="AZ1560" s="1">
        <v>5192.49</v>
      </c>
      <c r="BA1560" s="1">
        <v>2013</v>
      </c>
      <c r="BB1560" s="1" t="s">
        <v>599</v>
      </c>
      <c r="BE1560" s="1">
        <v>1249</v>
      </c>
      <c r="BF1560" s="1">
        <v>1</v>
      </c>
      <c r="BG1560" s="1">
        <v>10</v>
      </c>
      <c r="BL1560" s="1">
        <v>287</v>
      </c>
      <c r="BM1560" s="1" t="s">
        <v>204</v>
      </c>
      <c r="BN1560" s="1" t="s">
        <v>213</v>
      </c>
      <c r="BO1560" s="1">
        <v>0</v>
      </c>
      <c r="BP1560" s="1" t="s">
        <v>204</v>
      </c>
      <c r="BR1560" s="1" t="str">
        <f>"06143080250000"</f>
        <v>06143080250000</v>
      </c>
      <c r="BT1560" s="1" t="s">
        <v>15128</v>
      </c>
      <c r="BX1560" s="1">
        <v>46</v>
      </c>
      <c r="BY1560" s="1">
        <v>46</v>
      </c>
      <c r="BZ1560" s="1">
        <v>127</v>
      </c>
      <c r="CB1560" s="1" t="str">
        <f>"35"</f>
        <v>35</v>
      </c>
      <c r="CC1560" s="1" t="str">
        <f t="shared" si="1187"/>
        <v>0</v>
      </c>
      <c r="CD1560" s="1">
        <v>19</v>
      </c>
      <c r="CE1560" s="1">
        <v>0</v>
      </c>
      <c r="CG1560" s="1" t="s">
        <v>228</v>
      </c>
      <c r="CH1560" s="1" t="s">
        <v>219</v>
      </c>
      <c r="CI1560" s="1" t="s">
        <v>438</v>
      </c>
      <c r="CJ1560" s="1" t="s">
        <v>1199</v>
      </c>
      <c r="CK1560" s="1" t="s">
        <v>932</v>
      </c>
      <c r="CL1560" s="1" t="s">
        <v>219</v>
      </c>
      <c r="CM1560" s="1" t="s">
        <v>438</v>
      </c>
      <c r="CN1560" s="1" t="s">
        <v>1199</v>
      </c>
      <c r="CO1560" s="1" t="s">
        <v>757</v>
      </c>
      <c r="CP1560" s="1" t="s">
        <v>219</v>
      </c>
      <c r="CQ1560" s="1" t="s">
        <v>438</v>
      </c>
      <c r="CS1560" s="1" t="s">
        <v>465</v>
      </c>
      <c r="CT1560" s="1" t="s">
        <v>219</v>
      </c>
      <c r="CU1560" s="1" t="s">
        <v>438</v>
      </c>
      <c r="CV1560" s="1" t="s">
        <v>252</v>
      </c>
      <c r="CX1560" s="1" t="s">
        <v>224</v>
      </c>
      <c r="DB1560" s="1" t="s">
        <v>224</v>
      </c>
      <c r="DE1560" s="1" t="s">
        <v>379</v>
      </c>
      <c r="DF1560" s="1" t="s">
        <v>219</v>
      </c>
      <c r="DG1560" s="1" t="s">
        <v>438</v>
      </c>
      <c r="DJ1560" s="1" t="s">
        <v>224</v>
      </c>
      <c r="DM1560" s="1" t="s">
        <v>381</v>
      </c>
      <c r="DR1560" s="1" t="s">
        <v>346</v>
      </c>
      <c r="DS1560" s="1" t="s">
        <v>219</v>
      </c>
      <c r="DT1560" s="1" t="s">
        <v>438</v>
      </c>
      <c r="DU1560" s="1" t="s">
        <v>1199</v>
      </c>
      <c r="DW1560" s="1" t="s">
        <v>230</v>
      </c>
      <c r="EA1560" s="1" t="s">
        <v>230</v>
      </c>
      <c r="EE1560" s="1" t="s">
        <v>230</v>
      </c>
      <c r="EI1560" s="1" t="s">
        <v>230</v>
      </c>
      <c r="EL1560" s="1" t="s">
        <v>466</v>
      </c>
      <c r="EM1560" s="1" t="s">
        <v>232</v>
      </c>
      <c r="EN1560" s="1" t="s">
        <v>282</v>
      </c>
      <c r="EO1560" s="1" t="s">
        <v>234</v>
      </c>
      <c r="EP1560" s="1" t="s">
        <v>15129</v>
      </c>
      <c r="EQ1560" s="1" t="s">
        <v>492</v>
      </c>
      <c r="ER1560" s="1" t="s">
        <v>210</v>
      </c>
      <c r="ES1560" s="1" t="s">
        <v>322</v>
      </c>
      <c r="ET1560" s="1" t="s">
        <v>15130</v>
      </c>
      <c r="EU1560" s="1" t="s">
        <v>712</v>
      </c>
      <c r="EV1560" s="1" t="s">
        <v>240</v>
      </c>
      <c r="EW1560" s="1" t="s">
        <v>15131</v>
      </c>
      <c r="EY1560" s="1" t="s">
        <v>790</v>
      </c>
      <c r="EZ1560" s="1" t="s">
        <v>381</v>
      </c>
      <c r="FA1560" s="1" t="s">
        <v>15132</v>
      </c>
      <c r="FD1560" s="1" t="s">
        <v>246</v>
      </c>
      <c r="FE1560" s="1" t="s">
        <v>247</v>
      </c>
      <c r="FF1560" s="1" t="s">
        <v>248</v>
      </c>
      <c r="FH1560" s="1" t="s">
        <v>3013</v>
      </c>
      <c r="FI1560" s="1" t="s">
        <v>473</v>
      </c>
      <c r="FL1560" s="1" t="s">
        <v>358</v>
      </c>
      <c r="FM1560" s="1" t="s">
        <v>252</v>
      </c>
      <c r="FN1560" s="1" t="s">
        <v>213</v>
      </c>
      <c r="FO1560" s="1" t="s">
        <v>213</v>
      </c>
      <c r="FQ1560" s="1" t="s">
        <v>359</v>
      </c>
      <c r="FR1560" s="1" t="s">
        <v>210</v>
      </c>
      <c r="FS1560" s="1" t="s">
        <v>15133</v>
      </c>
      <c r="FT1560" s="1" t="s">
        <v>691</v>
      </c>
      <c r="FU1560" s="1" t="s">
        <v>204</v>
      </c>
      <c r="FW1560" s="1" t="s">
        <v>256</v>
      </c>
      <c r="FX1560" s="1">
        <v>2648</v>
      </c>
      <c r="FY1560" s="1" t="s">
        <v>1022</v>
      </c>
      <c r="FZ1560" s="1" t="s">
        <v>7675</v>
      </c>
      <c r="GA1560" s="1">
        <v>18093</v>
      </c>
      <c r="GB1560" s="1" t="s">
        <v>7676</v>
      </c>
      <c r="GC1560" s="1">
        <v>18713</v>
      </c>
      <c r="GD1560" s="1" t="s">
        <v>15134</v>
      </c>
      <c r="GE1560" s="1" t="s">
        <v>15135</v>
      </c>
      <c r="GI1560" s="1" t="s">
        <v>213</v>
      </c>
      <c r="GJ1560" s="1" t="s">
        <v>260</v>
      </c>
      <c r="GK1560" s="1" t="s">
        <v>210</v>
      </c>
      <c r="GL1560" s="2">
        <v>42062</v>
      </c>
      <c r="GM1560" s="1" t="s">
        <v>15136</v>
      </c>
    </row>
    <row r="1561" spans="1:195">
      <c r="A1561" s="1">
        <v>201000</v>
      </c>
      <c r="B1561" s="1" t="s">
        <v>195</v>
      </c>
      <c r="C1561" s="1" t="str">
        <f>"08687012"</f>
        <v>08687012</v>
      </c>
      <c r="D1561" s="1" t="s">
        <v>196</v>
      </c>
      <c r="F1561" s="1" t="str">
        <f>"174"</f>
        <v>174</v>
      </c>
      <c r="G1561" s="2">
        <v>41849</v>
      </c>
      <c r="H1561" s="1">
        <v>222500</v>
      </c>
      <c r="I1561" s="1">
        <v>204900</v>
      </c>
      <c r="J1561" s="1">
        <v>201000</v>
      </c>
      <c r="K1561" s="2">
        <v>41849</v>
      </c>
      <c r="L1561" s="1">
        <v>213</v>
      </c>
      <c r="M1561" s="2">
        <v>42061</v>
      </c>
      <c r="N1561" s="1">
        <v>213</v>
      </c>
      <c r="O1561" s="2">
        <v>42061</v>
      </c>
      <c r="P1561" s="1">
        <v>5600</v>
      </c>
      <c r="Q1561" s="1" t="s">
        <v>197</v>
      </c>
      <c r="R1561" s="2">
        <v>42089</v>
      </c>
      <c r="S1561" s="1">
        <v>55757</v>
      </c>
      <c r="T1561" s="1">
        <v>3000</v>
      </c>
      <c r="U1561" s="1">
        <v>309</v>
      </c>
      <c r="V1561" s="1" t="s">
        <v>15137</v>
      </c>
      <c r="W1561" s="1" t="s">
        <v>264</v>
      </c>
      <c r="Y1561" s="1">
        <v>4</v>
      </c>
      <c r="Z1561" s="1" t="s">
        <v>370</v>
      </c>
      <c r="AA1561" s="1" t="s">
        <v>879</v>
      </c>
      <c r="AB1561" s="1">
        <v>60175</v>
      </c>
      <c r="AD1561" s="1" t="s">
        <v>12879</v>
      </c>
      <c r="AE1561" s="1" t="s">
        <v>15138</v>
      </c>
      <c r="AF1561" s="1">
        <v>2000</v>
      </c>
      <c r="AG1561" s="1" t="s">
        <v>204</v>
      </c>
      <c r="AH1561" s="1" t="s">
        <v>883</v>
      </c>
      <c r="AI1561" s="1" t="s">
        <v>665</v>
      </c>
      <c r="AJ1561" s="1" t="s">
        <v>2115</v>
      </c>
      <c r="AK1561" s="1" t="s">
        <v>15139</v>
      </c>
      <c r="AL1561" s="1">
        <v>8</v>
      </c>
      <c r="AM1561" s="1">
        <v>2</v>
      </c>
      <c r="AN1561" s="1">
        <v>2</v>
      </c>
      <c r="AO1561" s="1">
        <v>1</v>
      </c>
      <c r="AP1561" s="1" t="s">
        <v>209</v>
      </c>
      <c r="AQ1561" s="1">
        <v>1</v>
      </c>
      <c r="AR1561" s="1" t="s">
        <v>2275</v>
      </c>
      <c r="AS1561" s="1" t="s">
        <v>204</v>
      </c>
      <c r="AT1561" s="1" t="s">
        <v>211</v>
      </c>
      <c r="AU1561" s="1">
        <v>2</v>
      </c>
      <c r="AW1561" s="1" t="s">
        <v>204</v>
      </c>
      <c r="AX1561" s="1" t="s">
        <v>212</v>
      </c>
      <c r="AZ1561" s="1">
        <v>6082</v>
      </c>
      <c r="BA1561" s="1">
        <v>2013</v>
      </c>
      <c r="BB1561" s="1" t="s">
        <v>210</v>
      </c>
      <c r="BE1561" s="1">
        <v>1780</v>
      </c>
      <c r="BF1561" s="1">
        <v>1</v>
      </c>
      <c r="BG1561" s="1">
        <v>0</v>
      </c>
      <c r="BL1561" s="1">
        <v>225</v>
      </c>
      <c r="BM1561" s="1" t="s">
        <v>204</v>
      </c>
      <c r="BN1561" s="1" t="s">
        <v>213</v>
      </c>
      <c r="BO1561" s="1">
        <v>999</v>
      </c>
      <c r="BP1561" s="1" t="s">
        <v>204</v>
      </c>
      <c r="BR1561" s="1" t="str">
        <f>"0932128035"</f>
        <v>0932128035</v>
      </c>
      <c r="BT1561" s="1" t="s">
        <v>15140</v>
      </c>
      <c r="BU1561" s="1" t="s">
        <v>15141</v>
      </c>
      <c r="BV1561" s="1" t="s">
        <v>2118</v>
      </c>
      <c r="BW1561" s="1" t="s">
        <v>4719</v>
      </c>
      <c r="BX1561" s="1">
        <v>303</v>
      </c>
      <c r="BY1561" s="1">
        <v>303</v>
      </c>
      <c r="BZ1561" s="1">
        <v>303</v>
      </c>
      <c r="CB1561" s="1" t="str">
        <f t="shared" ref="CB1561:CC1561" si="1188">""</f>
        <v/>
      </c>
      <c r="CC1561" s="1" t="str">
        <f t="shared" si="1188"/>
        <v/>
      </c>
      <c r="CG1561" s="1" t="s">
        <v>13224</v>
      </c>
      <c r="CH1561" s="1" t="s">
        <v>219</v>
      </c>
      <c r="CI1561" s="1" t="s">
        <v>220</v>
      </c>
      <c r="CJ1561" s="1" t="s">
        <v>343</v>
      </c>
      <c r="CK1561" s="1" t="s">
        <v>377</v>
      </c>
      <c r="CL1561" s="1" t="s">
        <v>277</v>
      </c>
      <c r="CM1561" s="1" t="s">
        <v>220</v>
      </c>
      <c r="CN1561" s="1" t="s">
        <v>343</v>
      </c>
      <c r="CO1561" s="1" t="s">
        <v>408</v>
      </c>
      <c r="CP1561" s="1" t="s">
        <v>219</v>
      </c>
      <c r="CQ1561" s="1" t="s">
        <v>220</v>
      </c>
      <c r="CR1561" s="1" t="s">
        <v>210</v>
      </c>
      <c r="CS1561" s="1" t="s">
        <v>221</v>
      </c>
      <c r="CT1561" s="1" t="s">
        <v>277</v>
      </c>
      <c r="CU1561" s="1" t="s">
        <v>220</v>
      </c>
      <c r="CV1561" s="1" t="s">
        <v>343</v>
      </c>
      <c r="CX1561" s="1" t="s">
        <v>224</v>
      </c>
      <c r="DB1561" s="1" t="s">
        <v>224</v>
      </c>
      <c r="DE1561" s="1" t="s">
        <v>1297</v>
      </c>
      <c r="DF1561" s="1" t="s">
        <v>219</v>
      </c>
      <c r="DG1561" s="1" t="s">
        <v>342</v>
      </c>
      <c r="DH1561" s="1" t="s">
        <v>343</v>
      </c>
      <c r="DI1561" s="1" t="s">
        <v>1267</v>
      </c>
      <c r="DJ1561" s="1" t="s">
        <v>219</v>
      </c>
      <c r="DK1561" s="1" t="s">
        <v>220</v>
      </c>
      <c r="DL1561" s="1" t="s">
        <v>343</v>
      </c>
      <c r="DM1561" s="1" t="s">
        <v>464</v>
      </c>
      <c r="DN1561" s="1" t="s">
        <v>934</v>
      </c>
      <c r="DO1561" s="1" t="s">
        <v>2278</v>
      </c>
      <c r="DR1561" s="1" t="s">
        <v>408</v>
      </c>
      <c r="DS1561" s="1" t="s">
        <v>277</v>
      </c>
      <c r="DT1561" s="1" t="s">
        <v>220</v>
      </c>
      <c r="DU1561" s="1" t="s">
        <v>210</v>
      </c>
      <c r="DV1561" s="1" t="s">
        <v>15142</v>
      </c>
      <c r="DW1561" s="1" t="s">
        <v>4450</v>
      </c>
      <c r="DX1561" s="1" t="s">
        <v>347</v>
      </c>
      <c r="DY1561" s="1" t="s">
        <v>343</v>
      </c>
      <c r="DZ1561" s="1" t="s">
        <v>15143</v>
      </c>
      <c r="EA1561" s="1" t="s">
        <v>4450</v>
      </c>
      <c r="EB1561" s="1" t="s">
        <v>347</v>
      </c>
      <c r="EC1561" s="1" t="s">
        <v>210</v>
      </c>
      <c r="EE1561" s="1" t="s">
        <v>230</v>
      </c>
      <c r="EI1561" s="1" t="s">
        <v>230</v>
      </c>
      <c r="EL1561" s="1" t="s">
        <v>466</v>
      </c>
      <c r="EM1561" s="1" t="s">
        <v>761</v>
      </c>
      <c r="EN1561" s="1" t="s">
        <v>282</v>
      </c>
      <c r="EO1561" s="1" t="s">
        <v>234</v>
      </c>
      <c r="EP1561" s="1" t="s">
        <v>936</v>
      </c>
      <c r="EQ1561" s="1" t="s">
        <v>15144</v>
      </c>
      <c r="ER1561" s="1" t="s">
        <v>351</v>
      </c>
      <c r="ES1561" s="1" t="s">
        <v>3914</v>
      </c>
      <c r="EU1561" s="1" t="s">
        <v>239</v>
      </c>
      <c r="EV1561" s="1" t="s">
        <v>240</v>
      </c>
      <c r="EW1561" s="1" t="s">
        <v>353</v>
      </c>
      <c r="EY1561" s="1" t="s">
        <v>2455</v>
      </c>
      <c r="EZ1561" s="1" t="s">
        <v>15145</v>
      </c>
      <c r="FA1561" s="1" t="s">
        <v>15146</v>
      </c>
      <c r="FC1561" s="1" t="s">
        <v>1405</v>
      </c>
      <c r="FD1561" s="1" t="s">
        <v>495</v>
      </c>
      <c r="FE1561" s="1" t="s">
        <v>870</v>
      </c>
      <c r="FF1561" s="1" t="s">
        <v>248</v>
      </c>
      <c r="FG1561" s="1" t="s">
        <v>2406</v>
      </c>
      <c r="FH1561" s="1" t="s">
        <v>550</v>
      </c>
      <c r="FI1561" s="1" t="s">
        <v>473</v>
      </c>
      <c r="FJ1561" s="1" t="s">
        <v>1620</v>
      </c>
      <c r="FL1561" s="1" t="s">
        <v>358</v>
      </c>
      <c r="FM1561" s="1" t="s">
        <v>252</v>
      </c>
      <c r="FN1561" s="1" t="s">
        <v>213</v>
      </c>
      <c r="FO1561" s="1" t="s">
        <v>213</v>
      </c>
      <c r="FQ1561" s="1" t="s">
        <v>9180</v>
      </c>
      <c r="FR1561" s="1" t="s">
        <v>210</v>
      </c>
      <c r="FS1561" s="1" t="s">
        <v>15147</v>
      </c>
      <c r="FT1561" s="1" t="s">
        <v>15148</v>
      </c>
      <c r="FU1561" s="1" t="s">
        <v>204</v>
      </c>
      <c r="FW1561" s="1" t="s">
        <v>15149</v>
      </c>
      <c r="FX1561" s="1">
        <v>5600</v>
      </c>
      <c r="FY1561" s="1" t="s">
        <v>15150</v>
      </c>
      <c r="FZ1561" s="1" t="s">
        <v>15151</v>
      </c>
      <c r="GA1561" s="1">
        <v>55757</v>
      </c>
      <c r="GD1561" s="1" t="s">
        <v>15152</v>
      </c>
      <c r="GE1561" s="1" t="s">
        <v>480</v>
      </c>
      <c r="GI1561" s="1" t="s">
        <v>204</v>
      </c>
      <c r="GJ1561" s="1" t="s">
        <v>260</v>
      </c>
      <c r="GK1561" s="1" t="s">
        <v>210</v>
      </c>
      <c r="GL1561" s="2">
        <v>42101</v>
      </c>
      <c r="GM1561" s="1" t="s">
        <v>15153</v>
      </c>
    </row>
    <row r="1562" spans="1:195">
      <c r="A1562" s="1">
        <v>185000</v>
      </c>
      <c r="B1562" s="1" t="s">
        <v>195</v>
      </c>
      <c r="C1562" s="1" t="str">
        <f>"08686978"</f>
        <v>08686978</v>
      </c>
      <c r="D1562" s="1" t="s">
        <v>196</v>
      </c>
      <c r="F1562" s="1" t="str">
        <f>"516"</f>
        <v>516</v>
      </c>
      <c r="G1562" s="2">
        <v>41849</v>
      </c>
      <c r="H1562" s="1">
        <v>209000</v>
      </c>
      <c r="I1562" s="1">
        <v>191000</v>
      </c>
      <c r="J1562" s="1">
        <v>185000</v>
      </c>
      <c r="K1562" s="2">
        <v>41849</v>
      </c>
      <c r="L1562" s="1">
        <v>228</v>
      </c>
      <c r="M1562" s="2">
        <v>42076</v>
      </c>
      <c r="N1562" s="1">
        <v>228</v>
      </c>
      <c r="O1562" s="2">
        <v>42076</v>
      </c>
      <c r="P1562" s="1">
        <v>22076</v>
      </c>
      <c r="Q1562" s="1" t="s">
        <v>197</v>
      </c>
      <c r="R1562" s="2">
        <v>42114</v>
      </c>
      <c r="S1562" s="1">
        <v>216618</v>
      </c>
      <c r="U1562" s="1" t="s">
        <v>15154</v>
      </c>
      <c r="V1562" s="1" t="s">
        <v>1416</v>
      </c>
      <c r="W1562" s="1" t="s">
        <v>304</v>
      </c>
      <c r="Y1562" s="1">
        <v>4</v>
      </c>
      <c r="Z1562" s="1" t="s">
        <v>370</v>
      </c>
      <c r="AA1562" s="1" t="s">
        <v>1417</v>
      </c>
      <c r="AB1562" s="1">
        <v>60527</v>
      </c>
      <c r="AE1562" s="1" t="s">
        <v>15155</v>
      </c>
      <c r="AF1562" s="1">
        <v>2001</v>
      </c>
      <c r="AG1562" s="1" t="s">
        <v>204</v>
      </c>
      <c r="AH1562" s="1" t="s">
        <v>1419</v>
      </c>
      <c r="AI1562" s="1" t="s">
        <v>206</v>
      </c>
      <c r="AJ1562" s="1" t="s">
        <v>903</v>
      </c>
      <c r="AL1562" s="1">
        <v>6</v>
      </c>
      <c r="AM1562" s="1">
        <v>2</v>
      </c>
      <c r="AN1562" s="1">
        <v>1</v>
      </c>
      <c r="AO1562" s="1">
        <v>2</v>
      </c>
      <c r="AP1562" s="1" t="s">
        <v>667</v>
      </c>
      <c r="AR1562" s="1" t="s">
        <v>1421</v>
      </c>
      <c r="AS1562" s="1" t="s">
        <v>213</v>
      </c>
      <c r="AT1562" s="1" t="s">
        <v>211</v>
      </c>
      <c r="AU1562" s="1">
        <v>2</v>
      </c>
      <c r="AW1562" s="1" t="s">
        <v>204</v>
      </c>
      <c r="AX1562" s="1" t="s">
        <v>15156</v>
      </c>
      <c r="AZ1562" s="1">
        <v>3738</v>
      </c>
      <c r="BA1562" s="1">
        <v>2013</v>
      </c>
      <c r="BE1562" s="1">
        <v>1326</v>
      </c>
      <c r="BF1562" s="1">
        <v>1</v>
      </c>
      <c r="BG1562" s="1">
        <v>0</v>
      </c>
      <c r="BL1562" s="1">
        <v>200</v>
      </c>
      <c r="BM1562" s="1" t="s">
        <v>204</v>
      </c>
      <c r="BN1562" s="1" t="s">
        <v>213</v>
      </c>
      <c r="BO1562" s="1">
        <v>999</v>
      </c>
      <c r="BP1562" s="1" t="s">
        <v>204</v>
      </c>
      <c r="BR1562" s="1" t="str">
        <f>"1011303069"</f>
        <v>1011303069</v>
      </c>
      <c r="BT1562" s="1" t="s">
        <v>15157</v>
      </c>
      <c r="BU1562" s="1" t="s">
        <v>1423</v>
      </c>
      <c r="BV1562" s="1" t="s">
        <v>1424</v>
      </c>
      <c r="BW1562" s="1" t="s">
        <v>907</v>
      </c>
      <c r="BX1562" s="1">
        <v>180</v>
      </c>
      <c r="BY1562" s="1">
        <v>180</v>
      </c>
      <c r="BZ1562" s="1">
        <v>86</v>
      </c>
      <c r="CB1562" s="1" t="str">
        <f t="shared" ref="CB1562:CC1562" si="1189">""</f>
        <v/>
      </c>
      <c r="CC1562" s="1" t="str">
        <f t="shared" si="1189"/>
        <v/>
      </c>
      <c r="CG1562" s="1" t="s">
        <v>861</v>
      </c>
      <c r="CH1562" s="1" t="s">
        <v>219</v>
      </c>
      <c r="CI1562" s="1" t="s">
        <v>438</v>
      </c>
      <c r="CK1562" s="1" t="s">
        <v>344</v>
      </c>
      <c r="CL1562" s="1" t="s">
        <v>277</v>
      </c>
      <c r="CM1562" s="1" t="s">
        <v>220</v>
      </c>
      <c r="CP1562" s="1" t="s">
        <v>224</v>
      </c>
      <c r="CS1562" s="1" t="s">
        <v>465</v>
      </c>
      <c r="CT1562" s="1" t="s">
        <v>277</v>
      </c>
      <c r="CX1562" s="1" t="s">
        <v>224</v>
      </c>
      <c r="DB1562" s="1" t="s">
        <v>224</v>
      </c>
      <c r="DE1562" s="1" t="s">
        <v>539</v>
      </c>
      <c r="DF1562" s="1" t="s">
        <v>219</v>
      </c>
      <c r="DG1562" s="1" t="s">
        <v>438</v>
      </c>
      <c r="DI1562" s="1" t="s">
        <v>1615</v>
      </c>
      <c r="DJ1562" s="1" t="s">
        <v>43</v>
      </c>
      <c r="DM1562" s="1" t="s">
        <v>464</v>
      </c>
      <c r="DN1562" s="1" t="s">
        <v>6766</v>
      </c>
      <c r="DR1562" s="1" t="s">
        <v>1737</v>
      </c>
      <c r="DS1562" s="1" t="s">
        <v>277</v>
      </c>
      <c r="DV1562" s="1" t="s">
        <v>5954</v>
      </c>
      <c r="DW1562" s="1" t="s">
        <v>219</v>
      </c>
      <c r="DX1562" s="1" t="s">
        <v>438</v>
      </c>
      <c r="EA1562" s="1" t="s">
        <v>230</v>
      </c>
      <c r="EE1562" s="1" t="s">
        <v>230</v>
      </c>
      <c r="EI1562" s="1" t="s">
        <v>230</v>
      </c>
      <c r="EL1562" s="1" t="s">
        <v>466</v>
      </c>
      <c r="EM1562" s="1" t="s">
        <v>232</v>
      </c>
      <c r="EN1562" s="1" t="s">
        <v>282</v>
      </c>
      <c r="EO1562" s="1" t="s">
        <v>1020</v>
      </c>
      <c r="EQ1562" s="1" t="s">
        <v>350</v>
      </c>
      <c r="ER1562" s="1" t="s">
        <v>544</v>
      </c>
      <c r="ES1562" s="1" t="s">
        <v>3218</v>
      </c>
      <c r="EW1562" s="1" t="s">
        <v>353</v>
      </c>
      <c r="EZ1562" s="1" t="s">
        <v>15158</v>
      </c>
      <c r="FD1562" s="1" t="s">
        <v>246</v>
      </c>
      <c r="FE1562" s="1" t="s">
        <v>496</v>
      </c>
      <c r="FF1562" s="1" t="s">
        <v>248</v>
      </c>
      <c r="FH1562" s="1" t="s">
        <v>550</v>
      </c>
      <c r="FL1562" s="1" t="s">
        <v>358</v>
      </c>
      <c r="FM1562" s="1" t="s">
        <v>252</v>
      </c>
      <c r="FN1562" s="1" t="s">
        <v>213</v>
      </c>
      <c r="FO1562" s="1" t="s">
        <v>213</v>
      </c>
      <c r="FQ1562" s="1" t="s">
        <v>329</v>
      </c>
      <c r="FR1562" s="1" t="s">
        <v>210</v>
      </c>
      <c r="FS1562" s="1" t="s">
        <v>15159</v>
      </c>
      <c r="FT1562" s="1" t="s">
        <v>15160</v>
      </c>
      <c r="FU1562" s="1" t="s">
        <v>204</v>
      </c>
      <c r="FW1562" s="1" t="s">
        <v>5648</v>
      </c>
      <c r="FX1562" s="1">
        <v>23099</v>
      </c>
      <c r="FY1562" s="1" t="s">
        <v>5649</v>
      </c>
      <c r="FZ1562" s="1" t="s">
        <v>8398</v>
      </c>
      <c r="GA1562" s="1">
        <v>231079</v>
      </c>
      <c r="GB1562" s="1" t="s">
        <v>8399</v>
      </c>
      <c r="GE1562" s="1" t="s">
        <v>210</v>
      </c>
      <c r="GI1562" s="1" t="s">
        <v>213</v>
      </c>
      <c r="GJ1562" s="1" t="s">
        <v>260</v>
      </c>
      <c r="GK1562" s="1" t="s">
        <v>261</v>
      </c>
      <c r="GL1562" s="2">
        <v>42115</v>
      </c>
    </row>
    <row r="1563" spans="1:195">
      <c r="A1563" s="1">
        <v>116000</v>
      </c>
      <c r="B1563" s="1" t="s">
        <v>195</v>
      </c>
      <c r="C1563" s="1" t="str">
        <f>"08691905"</f>
        <v>08691905</v>
      </c>
      <c r="D1563" s="1" t="s">
        <v>196</v>
      </c>
      <c r="F1563" s="1" t="str">
        <f>"140"</f>
        <v>140</v>
      </c>
      <c r="G1563" s="2">
        <v>41855</v>
      </c>
      <c r="H1563" s="1">
        <v>136900</v>
      </c>
      <c r="I1563" s="1">
        <v>130000</v>
      </c>
      <c r="J1563" s="1">
        <v>116000</v>
      </c>
      <c r="K1563" s="2">
        <v>41855</v>
      </c>
      <c r="L1563" s="1">
        <v>162</v>
      </c>
      <c r="M1563" s="2">
        <v>42016</v>
      </c>
      <c r="N1563" s="1">
        <v>162</v>
      </c>
      <c r="O1563" s="2">
        <v>42016</v>
      </c>
      <c r="P1563" s="1">
        <v>1666</v>
      </c>
      <c r="Q1563" s="1" t="s">
        <v>423</v>
      </c>
      <c r="R1563" s="2">
        <v>42053</v>
      </c>
      <c r="S1563" s="1">
        <v>26352</v>
      </c>
      <c r="T1563" s="1">
        <v>2000</v>
      </c>
      <c r="U1563" s="1">
        <v>1296</v>
      </c>
      <c r="V1563" s="1" t="s">
        <v>13264</v>
      </c>
      <c r="W1563" s="1" t="s">
        <v>504</v>
      </c>
      <c r="Y1563" s="1">
        <v>4</v>
      </c>
      <c r="Z1563" s="1" t="s">
        <v>200</v>
      </c>
      <c r="AA1563" s="1" t="s">
        <v>744</v>
      </c>
      <c r="AB1563" s="1">
        <v>60140</v>
      </c>
      <c r="AD1563" s="1" t="s">
        <v>8490</v>
      </c>
      <c r="AE1563" s="1" t="s">
        <v>15161</v>
      </c>
      <c r="AF1563" s="1">
        <v>2006</v>
      </c>
      <c r="AG1563" s="1" t="s">
        <v>204</v>
      </c>
      <c r="AH1563" s="1" t="s">
        <v>747</v>
      </c>
      <c r="AI1563" s="1" t="s">
        <v>665</v>
      </c>
      <c r="AJ1563" s="1" t="s">
        <v>748</v>
      </c>
      <c r="AK1563" s="1" t="s">
        <v>9267</v>
      </c>
      <c r="AL1563" s="1">
        <v>5</v>
      </c>
      <c r="AM1563" s="1">
        <v>2</v>
      </c>
      <c r="AN1563" s="1">
        <v>2</v>
      </c>
      <c r="AO1563" s="1">
        <v>1</v>
      </c>
      <c r="AP1563" s="1" t="s">
        <v>209</v>
      </c>
      <c r="AR1563" s="1" t="s">
        <v>2165</v>
      </c>
      <c r="AS1563" s="1" t="s">
        <v>204</v>
      </c>
      <c r="AT1563" s="1" t="s">
        <v>211</v>
      </c>
      <c r="AU1563" s="1">
        <v>2</v>
      </c>
      <c r="AW1563" s="1" t="s">
        <v>204</v>
      </c>
      <c r="AX1563" s="1" t="s">
        <v>212</v>
      </c>
      <c r="AZ1563" s="1">
        <v>3752</v>
      </c>
      <c r="BA1563" s="1">
        <v>2013</v>
      </c>
      <c r="BB1563" s="1" t="s">
        <v>599</v>
      </c>
      <c r="BE1563" s="1">
        <v>1474</v>
      </c>
      <c r="BF1563" s="1">
        <v>1</v>
      </c>
      <c r="BG1563" s="1">
        <v>0</v>
      </c>
      <c r="BL1563" s="1">
        <v>204</v>
      </c>
      <c r="BM1563" s="1" t="s">
        <v>204</v>
      </c>
      <c r="BN1563" s="1" t="s">
        <v>213</v>
      </c>
      <c r="BO1563" s="1">
        <v>999</v>
      </c>
      <c r="BP1563" s="1" t="s">
        <v>204</v>
      </c>
      <c r="BR1563" s="1" t="str">
        <f>"0228307018"</f>
        <v>0228307018</v>
      </c>
      <c r="BT1563" s="1" t="s">
        <v>15162</v>
      </c>
      <c r="BU1563" s="1" t="s">
        <v>753</v>
      </c>
      <c r="BV1563" s="1" t="s">
        <v>754</v>
      </c>
      <c r="BW1563" s="1" t="s">
        <v>755</v>
      </c>
      <c r="BX1563" s="1">
        <v>300</v>
      </c>
      <c r="BY1563" s="1">
        <v>300</v>
      </c>
      <c r="BZ1563" s="1">
        <v>300</v>
      </c>
      <c r="CB1563" s="1" t="str">
        <f t="shared" ref="CB1563:CC1563" si="1190">""</f>
        <v/>
      </c>
      <c r="CC1563" s="1" t="str">
        <f t="shared" si="1190"/>
        <v/>
      </c>
      <c r="CF1563" s="1" t="s">
        <v>15163</v>
      </c>
      <c r="CG1563" s="1" t="s">
        <v>2402</v>
      </c>
      <c r="CH1563" s="1" t="s">
        <v>219</v>
      </c>
      <c r="CI1563" s="1" t="s">
        <v>220</v>
      </c>
      <c r="CJ1563" s="1" t="s">
        <v>252</v>
      </c>
      <c r="CK1563" s="1" t="s">
        <v>1045</v>
      </c>
      <c r="CL1563" s="1" t="s">
        <v>277</v>
      </c>
      <c r="CM1563" s="1" t="s">
        <v>220</v>
      </c>
      <c r="CN1563" s="1" t="s">
        <v>252</v>
      </c>
      <c r="CP1563" s="1" t="s">
        <v>224</v>
      </c>
      <c r="CS1563" s="1" t="s">
        <v>564</v>
      </c>
      <c r="CT1563" s="1" t="s">
        <v>219</v>
      </c>
      <c r="CU1563" s="1" t="s">
        <v>220</v>
      </c>
      <c r="CV1563" s="1" t="s">
        <v>252</v>
      </c>
      <c r="CX1563" s="1" t="s">
        <v>224</v>
      </c>
      <c r="DB1563" s="1" t="s">
        <v>224</v>
      </c>
      <c r="DE1563" s="1" t="s">
        <v>539</v>
      </c>
      <c r="DF1563" s="1" t="s">
        <v>219</v>
      </c>
      <c r="DG1563" s="1" t="s">
        <v>342</v>
      </c>
      <c r="DH1563" s="1" t="s">
        <v>252</v>
      </c>
      <c r="DI1563" s="1" t="s">
        <v>378</v>
      </c>
      <c r="DJ1563" s="1" t="s">
        <v>822</v>
      </c>
      <c r="DK1563" s="1" t="s">
        <v>220</v>
      </c>
      <c r="DL1563" s="1" t="s">
        <v>210</v>
      </c>
      <c r="DS1563" s="1" t="s">
        <v>230</v>
      </c>
      <c r="DW1563" s="1" t="s">
        <v>230</v>
      </c>
      <c r="EA1563" s="1" t="s">
        <v>230</v>
      </c>
      <c r="EE1563" s="1" t="s">
        <v>230</v>
      </c>
      <c r="EI1563" s="1" t="s">
        <v>230</v>
      </c>
      <c r="EL1563" s="1" t="s">
        <v>491</v>
      </c>
      <c r="EM1563" s="1" t="s">
        <v>319</v>
      </c>
      <c r="EN1563" s="1" t="s">
        <v>282</v>
      </c>
      <c r="EO1563" s="1" t="s">
        <v>234</v>
      </c>
      <c r="EQ1563" s="1" t="s">
        <v>1094</v>
      </c>
      <c r="ER1563" s="1" t="s">
        <v>544</v>
      </c>
      <c r="ES1563" s="1" t="s">
        <v>322</v>
      </c>
      <c r="EU1563" s="1" t="s">
        <v>610</v>
      </c>
      <c r="EW1563" s="1" t="s">
        <v>3255</v>
      </c>
      <c r="EY1563" s="1" t="s">
        <v>242</v>
      </c>
      <c r="EZ1563" s="1" t="s">
        <v>287</v>
      </c>
      <c r="FA1563" s="1" t="s">
        <v>3624</v>
      </c>
      <c r="FD1563" s="1" t="s">
        <v>246</v>
      </c>
      <c r="FE1563" s="1" t="s">
        <v>247</v>
      </c>
      <c r="FF1563" s="1" t="s">
        <v>248</v>
      </c>
      <c r="FH1563" s="1" t="s">
        <v>1428</v>
      </c>
      <c r="FI1563" s="1" t="s">
        <v>473</v>
      </c>
      <c r="FJ1563" s="1" t="s">
        <v>518</v>
      </c>
      <c r="FL1563" s="1" t="s">
        <v>358</v>
      </c>
      <c r="FM1563" s="1" t="s">
        <v>252</v>
      </c>
      <c r="FN1563" s="1" t="s">
        <v>213</v>
      </c>
      <c r="FO1563" s="1" t="s">
        <v>213</v>
      </c>
      <c r="FQ1563" s="1" t="s">
        <v>1884</v>
      </c>
      <c r="FR1563" s="1" t="s">
        <v>210</v>
      </c>
      <c r="FS1563" s="1" t="s">
        <v>15164</v>
      </c>
      <c r="FT1563" s="1" t="s">
        <v>295</v>
      </c>
      <c r="FU1563" s="1" t="s">
        <v>204</v>
      </c>
      <c r="FW1563" s="1" t="s">
        <v>7048</v>
      </c>
      <c r="FX1563" s="1">
        <v>432</v>
      </c>
      <c r="FY1563" s="1" t="s">
        <v>7049</v>
      </c>
      <c r="FZ1563" s="1" t="s">
        <v>9461</v>
      </c>
      <c r="GA1563" s="1">
        <v>77389</v>
      </c>
      <c r="GB1563" s="1" t="s">
        <v>9462</v>
      </c>
      <c r="GE1563" s="1" t="s">
        <v>480</v>
      </c>
      <c r="GI1563" s="1" t="s">
        <v>213</v>
      </c>
      <c r="GJ1563" s="1" t="s">
        <v>260</v>
      </c>
      <c r="GK1563" s="1" t="s">
        <v>210</v>
      </c>
      <c r="GL1563" s="2">
        <v>42054</v>
      </c>
      <c r="GM1563" s="1" t="s">
        <v>15165</v>
      </c>
    </row>
    <row r="1564" spans="1:195">
      <c r="A1564" s="1">
        <v>96000</v>
      </c>
      <c r="B1564" s="1" t="s">
        <v>195</v>
      </c>
      <c r="C1564" s="1" t="str">
        <f>"08682476"</f>
        <v>08682476</v>
      </c>
      <c r="D1564" s="1" t="s">
        <v>196</v>
      </c>
      <c r="F1564" s="1" t="str">
        <f>"110"</f>
        <v>110</v>
      </c>
      <c r="G1564" s="2">
        <v>41844</v>
      </c>
      <c r="H1564" s="1">
        <v>99900</v>
      </c>
      <c r="I1564" s="1">
        <v>99900</v>
      </c>
      <c r="J1564" s="1">
        <v>96000</v>
      </c>
      <c r="K1564" s="2">
        <v>41844</v>
      </c>
      <c r="L1564" s="1">
        <v>106</v>
      </c>
      <c r="M1564" s="2">
        <v>41949</v>
      </c>
      <c r="N1564" s="1">
        <v>106</v>
      </c>
      <c r="O1564" s="2">
        <v>41949</v>
      </c>
      <c r="P1564" s="1">
        <v>432</v>
      </c>
      <c r="Q1564" s="1" t="s">
        <v>197</v>
      </c>
      <c r="R1564" s="2">
        <v>42009</v>
      </c>
      <c r="S1564" s="1">
        <v>7964</v>
      </c>
      <c r="T1564" s="1">
        <v>1920</v>
      </c>
      <c r="U1564" s="1">
        <v>1338</v>
      </c>
      <c r="V1564" s="1" t="s">
        <v>4739</v>
      </c>
      <c r="W1564" s="1" t="s">
        <v>264</v>
      </c>
      <c r="Y1564" s="1">
        <v>6</v>
      </c>
      <c r="Z1564" s="1" t="s">
        <v>249</v>
      </c>
      <c r="AA1564" s="1" t="s">
        <v>803</v>
      </c>
      <c r="AB1564" s="1">
        <v>60110</v>
      </c>
      <c r="AD1564" s="1" t="s">
        <v>15166</v>
      </c>
      <c r="AE1564" s="1" t="s">
        <v>15167</v>
      </c>
      <c r="AF1564" s="1">
        <v>2003</v>
      </c>
      <c r="AG1564" s="1" t="s">
        <v>204</v>
      </c>
      <c r="AH1564" s="1" t="s">
        <v>2557</v>
      </c>
      <c r="AI1564" s="1" t="s">
        <v>665</v>
      </c>
      <c r="AJ1564" s="1" t="s">
        <v>805</v>
      </c>
      <c r="AK1564" s="1" t="s">
        <v>9432</v>
      </c>
      <c r="AL1564" s="1">
        <v>6</v>
      </c>
      <c r="AM1564" s="1">
        <v>2</v>
      </c>
      <c r="AN1564" s="1">
        <v>2</v>
      </c>
      <c r="AO1564" s="1">
        <v>0</v>
      </c>
      <c r="AP1564" s="1" t="s">
        <v>209</v>
      </c>
      <c r="AQ1564" s="1">
        <v>1</v>
      </c>
      <c r="AR1564" s="1" t="s">
        <v>210</v>
      </c>
      <c r="AT1564" s="1" t="s">
        <v>211</v>
      </c>
      <c r="AU1564" s="1">
        <v>1</v>
      </c>
      <c r="AW1564" s="1" t="s">
        <v>204</v>
      </c>
      <c r="AX1564" s="1" t="s">
        <v>4740</v>
      </c>
      <c r="AZ1564" s="1">
        <v>4076</v>
      </c>
      <c r="BA1564" s="1">
        <v>2012</v>
      </c>
      <c r="BB1564" s="1" t="s">
        <v>405</v>
      </c>
      <c r="BC1564" s="1">
        <v>0</v>
      </c>
      <c r="BE1564" s="1">
        <v>1431</v>
      </c>
      <c r="BF1564" s="1">
        <v>2</v>
      </c>
      <c r="BG1564" s="1">
        <v>0</v>
      </c>
      <c r="BL1564" s="1">
        <v>183</v>
      </c>
      <c r="BM1564" s="1" t="s">
        <v>204</v>
      </c>
      <c r="BN1564" s="1" t="s">
        <v>213</v>
      </c>
      <c r="BO1564" s="1">
        <v>100</v>
      </c>
      <c r="BP1564" s="1" t="s">
        <v>204</v>
      </c>
      <c r="BR1564" s="1" t="str">
        <f>"0314176011"</f>
        <v>0314176011</v>
      </c>
      <c r="BT1564" s="1" t="s">
        <v>15168</v>
      </c>
      <c r="BU1564" s="1" t="s">
        <v>15169</v>
      </c>
      <c r="BV1564" s="1" t="s">
        <v>8986</v>
      </c>
      <c r="BW1564" s="1" t="s">
        <v>809</v>
      </c>
      <c r="BX1564" s="1">
        <v>300</v>
      </c>
      <c r="BY1564" s="1">
        <v>300</v>
      </c>
      <c r="BZ1564" s="1">
        <v>300</v>
      </c>
      <c r="CB1564" s="1" t="str">
        <f>"16"</f>
        <v>16</v>
      </c>
      <c r="CC1564" s="1" t="str">
        <f>"0"</f>
        <v>0</v>
      </c>
      <c r="CD1564" s="1">
        <v>21</v>
      </c>
      <c r="CE1564" s="1">
        <v>0</v>
      </c>
      <c r="CG1564" s="1" t="s">
        <v>686</v>
      </c>
      <c r="CH1564" s="1" t="s">
        <v>277</v>
      </c>
      <c r="CI1564" s="1" t="s">
        <v>220</v>
      </c>
      <c r="CJ1564" s="1" t="s">
        <v>252</v>
      </c>
      <c r="CK1564" s="1" t="s">
        <v>539</v>
      </c>
      <c r="CL1564" s="1" t="s">
        <v>277</v>
      </c>
      <c r="CM1564" s="1" t="s">
        <v>220</v>
      </c>
      <c r="CN1564" s="1" t="s">
        <v>252</v>
      </c>
      <c r="CO1564" s="1" t="s">
        <v>630</v>
      </c>
      <c r="CP1564" s="1" t="s">
        <v>277</v>
      </c>
      <c r="CQ1564" s="1" t="s">
        <v>220</v>
      </c>
      <c r="CR1564" s="1" t="s">
        <v>252</v>
      </c>
      <c r="CS1564" s="1" t="s">
        <v>1046</v>
      </c>
      <c r="CT1564" s="1" t="s">
        <v>277</v>
      </c>
      <c r="CU1564" s="1" t="s">
        <v>220</v>
      </c>
      <c r="CV1564" s="1" t="s">
        <v>252</v>
      </c>
      <c r="CX1564" s="1" t="s">
        <v>224</v>
      </c>
      <c r="DB1564" s="1" t="s">
        <v>224</v>
      </c>
      <c r="DE1564" s="1" t="s">
        <v>318</v>
      </c>
      <c r="DF1564" s="1" t="s">
        <v>277</v>
      </c>
      <c r="DG1564" s="1" t="s">
        <v>342</v>
      </c>
      <c r="DH1564" s="1" t="s">
        <v>252</v>
      </c>
      <c r="DI1564" s="1" t="s">
        <v>278</v>
      </c>
      <c r="DJ1564" s="1" t="s">
        <v>277</v>
      </c>
      <c r="DK1564" s="1" t="s">
        <v>220</v>
      </c>
      <c r="DL1564" s="1" t="s">
        <v>252</v>
      </c>
      <c r="DS1564" s="1" t="s">
        <v>230</v>
      </c>
      <c r="DW1564" s="1" t="s">
        <v>230</v>
      </c>
      <c r="EA1564" s="1" t="s">
        <v>230</v>
      </c>
      <c r="EE1564" s="1" t="s">
        <v>230</v>
      </c>
      <c r="EI1564" s="1" t="s">
        <v>230</v>
      </c>
      <c r="EL1564" s="1" t="s">
        <v>466</v>
      </c>
      <c r="EM1564" s="1" t="s">
        <v>319</v>
      </c>
      <c r="EN1564" s="1" t="s">
        <v>282</v>
      </c>
      <c r="EO1564" s="1" t="s">
        <v>234</v>
      </c>
      <c r="EP1564" s="1" t="s">
        <v>1489</v>
      </c>
      <c r="EQ1564" s="1" t="s">
        <v>1094</v>
      </c>
      <c r="ER1564" s="1" t="s">
        <v>210</v>
      </c>
      <c r="EU1564" s="1" t="s">
        <v>15170</v>
      </c>
      <c r="EV1564" s="1" t="s">
        <v>240</v>
      </c>
      <c r="EW1564" s="1" t="s">
        <v>384</v>
      </c>
      <c r="EZ1564" s="1" t="s">
        <v>287</v>
      </c>
      <c r="FA1564" s="1" t="s">
        <v>672</v>
      </c>
      <c r="FC1564" s="1" t="s">
        <v>326</v>
      </c>
      <c r="FD1564" s="1" t="s">
        <v>246</v>
      </c>
      <c r="FE1564" s="1" t="s">
        <v>975</v>
      </c>
      <c r="FF1564" s="1" t="s">
        <v>248</v>
      </c>
      <c r="FH1564" s="1" t="s">
        <v>2221</v>
      </c>
      <c r="FI1564" s="1" t="s">
        <v>473</v>
      </c>
      <c r="FL1564" s="1" t="s">
        <v>358</v>
      </c>
      <c r="FM1564" s="1" t="s">
        <v>252</v>
      </c>
      <c r="FN1564" s="1" t="s">
        <v>213</v>
      </c>
      <c r="FO1564" s="1" t="s">
        <v>213</v>
      </c>
      <c r="FQ1564" s="1" t="s">
        <v>1441</v>
      </c>
      <c r="FR1564" s="1" t="s">
        <v>210</v>
      </c>
      <c r="FS1564" s="1" t="s">
        <v>8342</v>
      </c>
      <c r="FT1564" s="1" t="s">
        <v>1139</v>
      </c>
      <c r="FU1564" s="1" t="s">
        <v>204</v>
      </c>
      <c r="FW1564" s="1" t="s">
        <v>554</v>
      </c>
      <c r="FX1564" s="1">
        <v>5040</v>
      </c>
      <c r="FY1564" s="1" t="s">
        <v>2611</v>
      </c>
      <c r="FZ1564" s="1" t="s">
        <v>2612</v>
      </c>
      <c r="GA1564" s="1">
        <v>54861</v>
      </c>
      <c r="GB1564" s="1" t="s">
        <v>2613</v>
      </c>
      <c r="GD1564" s="1" t="s">
        <v>2610</v>
      </c>
      <c r="GE1564" s="1" t="s">
        <v>480</v>
      </c>
      <c r="GI1564" s="1" t="s">
        <v>213</v>
      </c>
      <c r="GJ1564" s="1" t="s">
        <v>260</v>
      </c>
      <c r="GK1564" s="1" t="s">
        <v>210</v>
      </c>
      <c r="GL1564" s="2">
        <v>42010</v>
      </c>
    </row>
    <row r="1565" spans="1:195">
      <c r="A1565" s="1">
        <v>210000</v>
      </c>
      <c r="B1565" s="1" t="s">
        <v>195</v>
      </c>
      <c r="C1565" s="1" t="str">
        <f>"08692461"</f>
        <v>08692461</v>
      </c>
      <c r="D1565" s="1" t="s">
        <v>196</v>
      </c>
      <c r="F1565" s="1" t="str">
        <f>"543"</f>
        <v>543</v>
      </c>
      <c r="G1565" s="2">
        <v>41855</v>
      </c>
      <c r="H1565" s="1">
        <v>229900</v>
      </c>
      <c r="I1565" s="1">
        <v>215000</v>
      </c>
      <c r="J1565" s="1">
        <v>210000</v>
      </c>
      <c r="K1565" s="2">
        <v>41855</v>
      </c>
      <c r="L1565" s="1">
        <v>111</v>
      </c>
      <c r="M1565" s="2">
        <v>41965</v>
      </c>
      <c r="N1565" s="1">
        <v>111</v>
      </c>
      <c r="O1565" s="2">
        <v>41965</v>
      </c>
      <c r="P1565" s="1">
        <v>24344</v>
      </c>
      <c r="Q1565" s="1" t="s">
        <v>197</v>
      </c>
      <c r="R1565" s="2">
        <v>42003</v>
      </c>
      <c r="S1565" s="1">
        <v>226161</v>
      </c>
      <c r="T1565" s="1">
        <v>1500</v>
      </c>
      <c r="U1565" s="1">
        <v>577</v>
      </c>
      <c r="V1565" s="1" t="s">
        <v>15171</v>
      </c>
      <c r="W1565" s="1" t="s">
        <v>449</v>
      </c>
      <c r="Y1565" s="1">
        <v>2</v>
      </c>
      <c r="Z1565" s="1" t="s">
        <v>370</v>
      </c>
      <c r="AA1565" s="1" t="s">
        <v>2639</v>
      </c>
      <c r="AB1565" s="1">
        <v>60543</v>
      </c>
      <c r="AD1565" s="1" t="s">
        <v>15172</v>
      </c>
      <c r="AE1565" s="1" t="s">
        <v>15173</v>
      </c>
      <c r="AF1565" s="1">
        <v>2007</v>
      </c>
      <c r="AG1565" s="1" t="s">
        <v>204</v>
      </c>
      <c r="AH1565" s="1" t="s">
        <v>1397</v>
      </c>
      <c r="AI1565" s="1" t="s">
        <v>453</v>
      </c>
      <c r="AJ1565" s="1" t="s">
        <v>1397</v>
      </c>
      <c r="AL1565" s="1">
        <v>7</v>
      </c>
      <c r="AM1565" s="1">
        <v>2</v>
      </c>
      <c r="AN1565" s="1">
        <v>3</v>
      </c>
      <c r="AO1565" s="1">
        <v>1</v>
      </c>
      <c r="AP1565" s="1" t="s">
        <v>209</v>
      </c>
      <c r="AQ1565" s="1">
        <v>1</v>
      </c>
      <c r="AR1565" s="1" t="s">
        <v>1483</v>
      </c>
      <c r="AS1565" s="1" t="s">
        <v>213</v>
      </c>
      <c r="AT1565" s="1" t="s">
        <v>211</v>
      </c>
      <c r="AU1565" s="1">
        <v>2</v>
      </c>
      <c r="AW1565" s="1" t="s">
        <v>204</v>
      </c>
      <c r="AX1565" s="1" t="s">
        <v>4616</v>
      </c>
      <c r="AZ1565" s="1">
        <v>7939</v>
      </c>
      <c r="BA1565" s="1">
        <v>2013</v>
      </c>
      <c r="BB1565" s="1" t="s">
        <v>210</v>
      </c>
      <c r="BE1565" s="1">
        <v>0</v>
      </c>
      <c r="BF1565" s="1">
        <v>2</v>
      </c>
      <c r="BG1565" s="1">
        <v>0</v>
      </c>
      <c r="BL1565" s="1">
        <v>25</v>
      </c>
      <c r="BM1565" s="1" t="s">
        <v>204</v>
      </c>
      <c r="BN1565" s="1" t="s">
        <v>213</v>
      </c>
      <c r="BO1565" s="1">
        <v>0</v>
      </c>
      <c r="BP1565" s="1" t="s">
        <v>204</v>
      </c>
      <c r="BR1565" s="1" t="str">
        <f>"0329114002"</f>
        <v>0329114002</v>
      </c>
      <c r="BT1565" s="1" t="s">
        <v>15174</v>
      </c>
      <c r="BU1565" s="1" t="s">
        <v>4618</v>
      </c>
      <c r="BV1565" s="1" t="s">
        <v>2574</v>
      </c>
      <c r="BW1565" s="1" t="s">
        <v>460</v>
      </c>
      <c r="BX1565" s="1">
        <v>308</v>
      </c>
      <c r="BY1565" s="1">
        <v>308</v>
      </c>
      <c r="BZ1565" s="1">
        <v>308</v>
      </c>
      <c r="CB1565" s="1" t="str">
        <f t="shared" ref="CB1565:CC1565" si="1191">"0"</f>
        <v>0</v>
      </c>
      <c r="CC1565" s="1" t="str">
        <f t="shared" si="1191"/>
        <v>0</v>
      </c>
      <c r="CD1565" s="1">
        <v>37</v>
      </c>
      <c r="CE1565" s="1">
        <v>13</v>
      </c>
      <c r="CG1565" s="1" t="s">
        <v>1267</v>
      </c>
      <c r="CH1565" s="1" t="s">
        <v>219</v>
      </c>
      <c r="CI1565" s="1" t="s">
        <v>438</v>
      </c>
      <c r="CK1565" s="1" t="s">
        <v>228</v>
      </c>
      <c r="CL1565" s="1" t="s">
        <v>277</v>
      </c>
      <c r="CM1565" s="1" t="s">
        <v>220</v>
      </c>
      <c r="CO1565" s="1" t="s">
        <v>317</v>
      </c>
      <c r="CP1565" s="1" t="s">
        <v>219</v>
      </c>
      <c r="CQ1565" s="1" t="s">
        <v>438</v>
      </c>
      <c r="CS1565" s="1" t="s">
        <v>461</v>
      </c>
      <c r="CT1565" s="1" t="s">
        <v>277</v>
      </c>
      <c r="CU1565" s="1" t="s">
        <v>220</v>
      </c>
      <c r="CX1565" s="1" t="s">
        <v>224</v>
      </c>
      <c r="DB1565" s="1" t="s">
        <v>224</v>
      </c>
      <c r="DE1565" s="1" t="s">
        <v>1936</v>
      </c>
      <c r="DF1565" s="1" t="s">
        <v>219</v>
      </c>
      <c r="DG1565" s="1" t="s">
        <v>438</v>
      </c>
      <c r="DI1565" s="1" t="s">
        <v>6271</v>
      </c>
      <c r="DJ1565" s="1" t="s">
        <v>822</v>
      </c>
      <c r="DK1565" s="1" t="s">
        <v>220</v>
      </c>
      <c r="DL1565" s="1" t="s">
        <v>210</v>
      </c>
      <c r="DM1565" s="1" t="s">
        <v>464</v>
      </c>
      <c r="DR1565" s="1" t="s">
        <v>461</v>
      </c>
      <c r="DS1565" s="1" t="s">
        <v>277</v>
      </c>
      <c r="DT1565" s="1" t="s">
        <v>220</v>
      </c>
      <c r="DW1565" s="1" t="s">
        <v>230</v>
      </c>
      <c r="EA1565" s="1" t="s">
        <v>230</v>
      </c>
      <c r="EE1565" s="1" t="s">
        <v>230</v>
      </c>
      <c r="EI1565" s="1" t="s">
        <v>230</v>
      </c>
      <c r="EL1565" s="1" t="s">
        <v>491</v>
      </c>
      <c r="EM1565" s="1" t="s">
        <v>319</v>
      </c>
      <c r="EN1565" s="1" t="s">
        <v>282</v>
      </c>
      <c r="EO1565" s="1" t="s">
        <v>234</v>
      </c>
      <c r="EQ1565" s="1" t="s">
        <v>492</v>
      </c>
      <c r="ER1565" s="1" t="s">
        <v>544</v>
      </c>
      <c r="ES1565" s="1" t="s">
        <v>1868</v>
      </c>
      <c r="ET1565" s="1" t="s">
        <v>1404</v>
      </c>
      <c r="EU1565" s="1" t="s">
        <v>610</v>
      </c>
      <c r="EV1565" s="1" t="s">
        <v>324</v>
      </c>
      <c r="EW1565" s="1" t="s">
        <v>3471</v>
      </c>
      <c r="EY1565" s="1" t="s">
        <v>2455</v>
      </c>
      <c r="EZ1565" s="1" t="s">
        <v>464</v>
      </c>
      <c r="FA1565" s="1" t="s">
        <v>869</v>
      </c>
      <c r="FB1565" s="1" t="s">
        <v>734</v>
      </c>
      <c r="FC1565" s="1" t="s">
        <v>1362</v>
      </c>
      <c r="FD1565" s="1" t="s">
        <v>246</v>
      </c>
      <c r="FE1565" s="1" t="s">
        <v>247</v>
      </c>
      <c r="FF1565" s="1" t="s">
        <v>387</v>
      </c>
      <c r="FG1565" s="1" t="s">
        <v>1682</v>
      </c>
      <c r="FH1565" s="1" t="s">
        <v>442</v>
      </c>
      <c r="FI1565" s="1" t="s">
        <v>473</v>
      </c>
      <c r="FJ1565" s="1" t="s">
        <v>518</v>
      </c>
      <c r="FL1565" s="1" t="s">
        <v>358</v>
      </c>
      <c r="FM1565" s="1" t="s">
        <v>252</v>
      </c>
      <c r="FN1565" s="1" t="s">
        <v>213</v>
      </c>
      <c r="FO1565" s="1" t="s">
        <v>213</v>
      </c>
      <c r="FQ1565" s="1" t="s">
        <v>2091</v>
      </c>
      <c r="FR1565" s="1" t="s">
        <v>210</v>
      </c>
      <c r="FS1565" s="1" t="s">
        <v>15175</v>
      </c>
      <c r="FT1565" s="1" t="s">
        <v>295</v>
      </c>
      <c r="FU1565" s="1" t="s">
        <v>204</v>
      </c>
      <c r="FW1565" s="1" t="s">
        <v>813</v>
      </c>
      <c r="FX1565" s="1">
        <v>22588</v>
      </c>
      <c r="FY1565" s="1" t="s">
        <v>2685</v>
      </c>
      <c r="FZ1565" s="1" t="s">
        <v>14629</v>
      </c>
      <c r="GA1565" s="1">
        <v>222996</v>
      </c>
      <c r="GB1565" s="1" t="s">
        <v>14630</v>
      </c>
      <c r="GC1565" s="1">
        <v>222986</v>
      </c>
      <c r="GD1565" s="1" t="s">
        <v>14631</v>
      </c>
      <c r="GE1565" s="1" t="s">
        <v>480</v>
      </c>
      <c r="GI1565" s="1" t="s">
        <v>213</v>
      </c>
      <c r="GJ1565" s="1" t="s">
        <v>260</v>
      </c>
      <c r="GK1565" s="1" t="s">
        <v>210</v>
      </c>
      <c r="GL1565" s="2">
        <v>42003</v>
      </c>
      <c r="GM1565" s="1" t="s">
        <v>15176</v>
      </c>
    </row>
    <row r="1566" spans="1:195">
      <c r="A1566" s="1">
        <v>145000</v>
      </c>
      <c r="B1566" s="1" t="s">
        <v>195</v>
      </c>
      <c r="C1566" s="1" t="str">
        <f>"08688525"</f>
        <v>08688525</v>
      </c>
      <c r="D1566" s="1" t="s">
        <v>196</v>
      </c>
      <c r="F1566" s="1" t="str">
        <f>"139"</f>
        <v>139</v>
      </c>
      <c r="G1566" s="2">
        <v>41851</v>
      </c>
      <c r="H1566" s="1">
        <v>154900</v>
      </c>
      <c r="I1566" s="1">
        <v>134000</v>
      </c>
      <c r="J1566" s="1">
        <v>145000</v>
      </c>
      <c r="K1566" s="2">
        <v>41850</v>
      </c>
      <c r="L1566" s="1">
        <v>91</v>
      </c>
      <c r="M1566" s="2">
        <v>41940</v>
      </c>
      <c r="N1566" s="1">
        <v>91</v>
      </c>
      <c r="O1566" s="2">
        <v>41940</v>
      </c>
      <c r="P1566" s="1">
        <v>25309</v>
      </c>
      <c r="Q1566" s="1" t="s">
        <v>197</v>
      </c>
      <c r="R1566" s="2">
        <v>41985</v>
      </c>
      <c r="S1566" s="1">
        <v>225558</v>
      </c>
      <c r="T1566" s="1">
        <v>4350</v>
      </c>
      <c r="U1566" s="1">
        <v>1156</v>
      </c>
      <c r="V1566" s="1" t="s">
        <v>15177</v>
      </c>
      <c r="W1566" s="1" t="s">
        <v>304</v>
      </c>
      <c r="Y1566" s="1">
        <v>8</v>
      </c>
      <c r="Z1566" s="1" t="s">
        <v>249</v>
      </c>
      <c r="AA1566" s="1" t="s">
        <v>1732</v>
      </c>
      <c r="AB1566" s="1">
        <v>60139</v>
      </c>
      <c r="AD1566" s="1" t="s">
        <v>15178</v>
      </c>
      <c r="AE1566" s="1" t="s">
        <v>15179</v>
      </c>
      <c r="AF1566" s="1">
        <v>1994</v>
      </c>
      <c r="AG1566" s="1" t="s">
        <v>204</v>
      </c>
      <c r="AH1566" s="1" t="s">
        <v>1735</v>
      </c>
      <c r="AI1566" s="1" t="s">
        <v>206</v>
      </c>
      <c r="AJ1566" s="1" t="s">
        <v>207</v>
      </c>
      <c r="AL1566" s="1">
        <v>6</v>
      </c>
      <c r="AM1566" s="1">
        <v>2</v>
      </c>
      <c r="AN1566" s="1">
        <v>2</v>
      </c>
      <c r="AO1566" s="1">
        <v>1</v>
      </c>
      <c r="AP1566" s="1" t="s">
        <v>209</v>
      </c>
      <c r="AR1566" s="1" t="s">
        <v>210</v>
      </c>
      <c r="AS1566" s="1" t="s">
        <v>204</v>
      </c>
      <c r="AT1566" s="1" t="s">
        <v>211</v>
      </c>
      <c r="AU1566" s="1">
        <v>1</v>
      </c>
      <c r="AW1566" s="1" t="s">
        <v>204</v>
      </c>
      <c r="AX1566" s="1" t="s">
        <v>212</v>
      </c>
      <c r="AZ1566" s="1">
        <v>5603</v>
      </c>
      <c r="BA1566" s="1">
        <v>2013</v>
      </c>
      <c r="BE1566" s="1">
        <v>1458</v>
      </c>
      <c r="BF1566" s="1">
        <v>1</v>
      </c>
      <c r="BG1566" s="1">
        <v>30</v>
      </c>
      <c r="BL1566" s="1">
        <v>220</v>
      </c>
      <c r="BM1566" s="1" t="s">
        <v>413</v>
      </c>
      <c r="BN1566" s="1" t="s">
        <v>213</v>
      </c>
      <c r="BO1566" s="1">
        <v>50</v>
      </c>
      <c r="BP1566" s="1" t="s">
        <v>204</v>
      </c>
      <c r="BR1566" s="1" t="str">
        <f>"0503104094"</f>
        <v>0503104094</v>
      </c>
      <c r="BT1566" s="1" t="s">
        <v>15180</v>
      </c>
      <c r="BX1566" s="1">
        <v>41</v>
      </c>
      <c r="BY1566" s="1">
        <v>41</v>
      </c>
      <c r="BZ1566" s="1">
        <v>87</v>
      </c>
      <c r="CB1566" s="1" t="str">
        <f>"1"</f>
        <v>1</v>
      </c>
      <c r="CC1566" s="1" t="str">
        <f>"0"</f>
        <v>0</v>
      </c>
      <c r="CD1566" s="1">
        <v>23</v>
      </c>
      <c r="CE1566" s="1">
        <v>0</v>
      </c>
      <c r="CG1566" s="1" t="s">
        <v>1045</v>
      </c>
      <c r="CH1566" s="1" t="s">
        <v>219</v>
      </c>
      <c r="CI1566" s="1" t="s">
        <v>229</v>
      </c>
      <c r="CK1566" s="1" t="s">
        <v>861</v>
      </c>
      <c r="CL1566" s="1" t="s">
        <v>277</v>
      </c>
      <c r="CM1566" s="1" t="s">
        <v>220</v>
      </c>
      <c r="CO1566" s="1" t="s">
        <v>318</v>
      </c>
      <c r="CP1566" s="1" t="s">
        <v>219</v>
      </c>
      <c r="CQ1566" s="1" t="s">
        <v>229</v>
      </c>
      <c r="CS1566" s="1" t="s">
        <v>539</v>
      </c>
      <c r="CT1566" s="1" t="s">
        <v>277</v>
      </c>
      <c r="CU1566" s="1" t="s">
        <v>220</v>
      </c>
      <c r="CX1566" s="1" t="s">
        <v>224</v>
      </c>
      <c r="DB1566" s="1" t="s">
        <v>224</v>
      </c>
      <c r="DE1566" s="1" t="s">
        <v>379</v>
      </c>
      <c r="DF1566" s="1" t="s">
        <v>219</v>
      </c>
      <c r="DJ1566" s="1" t="s">
        <v>224</v>
      </c>
      <c r="DM1566" s="1" t="s">
        <v>464</v>
      </c>
      <c r="DR1566" s="1" t="s">
        <v>1297</v>
      </c>
      <c r="DS1566" s="1" t="s">
        <v>277</v>
      </c>
      <c r="DT1566" s="1" t="s">
        <v>220</v>
      </c>
      <c r="DW1566" s="1" t="s">
        <v>230</v>
      </c>
      <c r="EA1566" s="1" t="s">
        <v>230</v>
      </c>
      <c r="EE1566" s="1" t="s">
        <v>230</v>
      </c>
      <c r="EI1566" s="1" t="s">
        <v>230</v>
      </c>
      <c r="EL1566" s="1" t="s">
        <v>670</v>
      </c>
      <c r="EM1566" s="1" t="s">
        <v>319</v>
      </c>
      <c r="EN1566" s="1" t="s">
        <v>282</v>
      </c>
      <c r="EO1566" s="1" t="s">
        <v>234</v>
      </c>
      <c r="ER1566" s="1" t="s">
        <v>383</v>
      </c>
      <c r="EU1566" s="1" t="s">
        <v>14886</v>
      </c>
      <c r="EV1566" s="1" t="s">
        <v>324</v>
      </c>
      <c r="EW1566" s="1" t="s">
        <v>353</v>
      </c>
      <c r="EY1566" s="1" t="s">
        <v>242</v>
      </c>
      <c r="EZ1566" s="1" t="s">
        <v>464</v>
      </c>
      <c r="FA1566" s="1" t="s">
        <v>471</v>
      </c>
      <c r="FB1566" s="1" t="s">
        <v>1505</v>
      </c>
      <c r="FC1566" s="1" t="s">
        <v>1405</v>
      </c>
      <c r="FD1566" s="1" t="s">
        <v>246</v>
      </c>
      <c r="FE1566" s="1" t="s">
        <v>975</v>
      </c>
      <c r="FF1566" s="1" t="s">
        <v>248</v>
      </c>
      <c r="FH1566" s="1" t="s">
        <v>550</v>
      </c>
      <c r="FJ1566" s="1" t="s">
        <v>7546</v>
      </c>
      <c r="FL1566" s="1" t="s">
        <v>414</v>
      </c>
      <c r="FM1566" s="1" t="s">
        <v>252</v>
      </c>
      <c r="FN1566" s="1" t="s">
        <v>213</v>
      </c>
      <c r="FO1566" s="1" t="s">
        <v>213</v>
      </c>
      <c r="FQ1566" s="1" t="s">
        <v>673</v>
      </c>
      <c r="FR1566" s="1" t="s">
        <v>210</v>
      </c>
      <c r="FS1566" s="1" t="s">
        <v>15181</v>
      </c>
      <c r="FT1566" s="1" t="s">
        <v>9323</v>
      </c>
      <c r="FU1566" s="1" t="s">
        <v>204</v>
      </c>
      <c r="FW1566" s="1" t="s">
        <v>1742</v>
      </c>
      <c r="FX1566" s="1">
        <v>25401</v>
      </c>
      <c r="FY1566" s="1" t="s">
        <v>1743</v>
      </c>
      <c r="FZ1566" s="1" t="s">
        <v>1744</v>
      </c>
      <c r="GA1566" s="1">
        <v>231228</v>
      </c>
      <c r="GB1566" s="1" t="s">
        <v>1743</v>
      </c>
      <c r="GD1566" s="1" t="s">
        <v>15182</v>
      </c>
      <c r="GE1566" s="1" t="s">
        <v>210</v>
      </c>
      <c r="GI1566" s="1" t="s">
        <v>213</v>
      </c>
      <c r="GJ1566" s="1" t="s">
        <v>260</v>
      </c>
      <c r="GK1566" s="1" t="s">
        <v>210</v>
      </c>
      <c r="GL1566" s="2">
        <v>41985</v>
      </c>
      <c r="GM1566" s="1" t="s">
        <v>15183</v>
      </c>
    </row>
    <row r="1567" spans="1:195">
      <c r="A1567" s="1">
        <v>34900</v>
      </c>
      <c r="B1567" s="1" t="s">
        <v>195</v>
      </c>
      <c r="C1567" s="1" t="str">
        <f>"08804055"</f>
        <v>08804055</v>
      </c>
      <c r="D1567" s="1" t="s">
        <v>196</v>
      </c>
      <c r="F1567" s="1" t="str">
        <f>"543"</f>
        <v>543</v>
      </c>
      <c r="G1567" s="2">
        <v>41991</v>
      </c>
      <c r="H1567" s="1">
        <v>44900</v>
      </c>
      <c r="I1567" s="1">
        <v>34900</v>
      </c>
      <c r="J1567" s="1">
        <v>34900</v>
      </c>
      <c r="K1567" s="2">
        <v>41991</v>
      </c>
      <c r="L1567" s="1">
        <v>47</v>
      </c>
      <c r="M1567" s="2">
        <v>42037</v>
      </c>
      <c r="N1567" s="1">
        <v>47</v>
      </c>
      <c r="O1567" s="2">
        <v>42037</v>
      </c>
      <c r="P1567" s="1">
        <v>304</v>
      </c>
      <c r="Q1567" s="1" t="s">
        <v>302</v>
      </c>
      <c r="R1567" s="2">
        <v>42054</v>
      </c>
      <c r="S1567" s="1">
        <v>304027</v>
      </c>
      <c r="U1567" s="1">
        <v>2400</v>
      </c>
      <c r="V1567" s="1" t="s">
        <v>15184</v>
      </c>
      <c r="W1567" s="1" t="s">
        <v>1056</v>
      </c>
      <c r="X1567" s="1">
        <v>107</v>
      </c>
      <c r="Y1567" s="1">
        <v>16</v>
      </c>
      <c r="Z1567" s="1" t="s">
        <v>249</v>
      </c>
      <c r="AA1567" s="1" t="s">
        <v>2639</v>
      </c>
      <c r="AB1567" s="1">
        <v>60543</v>
      </c>
      <c r="AC1567" s="1">
        <v>9216</v>
      </c>
      <c r="AD1567" s="1" t="s">
        <v>15185</v>
      </c>
      <c r="AE1567" s="1" t="s">
        <v>15186</v>
      </c>
      <c r="AF1567" s="1">
        <v>1996</v>
      </c>
      <c r="AG1567" s="1" t="s">
        <v>204</v>
      </c>
      <c r="AH1567" s="1" t="s">
        <v>1397</v>
      </c>
      <c r="AI1567" s="1" t="s">
        <v>453</v>
      </c>
      <c r="AJ1567" s="1" t="s">
        <v>1397</v>
      </c>
      <c r="AK1567" s="1" t="s">
        <v>15187</v>
      </c>
      <c r="AL1567" s="1">
        <v>4</v>
      </c>
      <c r="AM1567" s="1">
        <v>2</v>
      </c>
      <c r="AN1567" s="1">
        <v>1</v>
      </c>
      <c r="AO1567" s="1">
        <v>0</v>
      </c>
      <c r="AP1567" s="1" t="s">
        <v>210</v>
      </c>
      <c r="AR1567" s="1" t="s">
        <v>210</v>
      </c>
      <c r="AS1567" s="1" t="s">
        <v>204</v>
      </c>
      <c r="AT1567" s="1" t="s">
        <v>271</v>
      </c>
      <c r="AV1567" s="1">
        <v>1</v>
      </c>
      <c r="AW1567" s="1" t="s">
        <v>204</v>
      </c>
      <c r="AX1567" s="1" t="s">
        <v>212</v>
      </c>
      <c r="AZ1567" s="1">
        <v>678.82</v>
      </c>
      <c r="BA1567" s="1">
        <v>2013</v>
      </c>
      <c r="BB1567" s="1" t="s">
        <v>405</v>
      </c>
      <c r="BE1567" s="1">
        <v>724</v>
      </c>
      <c r="BF1567" s="1">
        <v>1</v>
      </c>
      <c r="BG1567" s="1">
        <v>0</v>
      </c>
      <c r="BL1567" s="1">
        <v>286</v>
      </c>
      <c r="BM1567" s="1" t="s">
        <v>204</v>
      </c>
      <c r="BN1567" s="1" t="s">
        <v>213</v>
      </c>
      <c r="BO1567" s="1">
        <v>999</v>
      </c>
      <c r="BP1567" s="1" t="s">
        <v>204</v>
      </c>
      <c r="BR1567" s="1" t="str">
        <f>"0308153009"</f>
        <v>0308153009</v>
      </c>
      <c r="BT1567" s="1" t="s">
        <v>15188</v>
      </c>
      <c r="BU1567" s="1" t="s">
        <v>9258</v>
      </c>
      <c r="BV1567" s="1" t="s">
        <v>459</v>
      </c>
      <c r="BW1567" s="1" t="s">
        <v>460</v>
      </c>
      <c r="BX1567" s="1">
        <v>308</v>
      </c>
      <c r="BY1567" s="1">
        <v>308</v>
      </c>
      <c r="BZ1567" s="1">
        <v>308</v>
      </c>
      <c r="CB1567" s="1" t="str">
        <f t="shared" ref="CB1567:CC1567" si="1192">"0"</f>
        <v>0</v>
      </c>
      <c r="CC1567" s="1" t="str">
        <f t="shared" si="1192"/>
        <v>0</v>
      </c>
      <c r="CD1567" s="1">
        <v>38</v>
      </c>
      <c r="CE1567" s="1">
        <v>11</v>
      </c>
      <c r="CG1567" s="1" t="s">
        <v>581</v>
      </c>
      <c r="CH1567" s="1" t="s">
        <v>219</v>
      </c>
      <c r="CK1567" s="1" t="s">
        <v>757</v>
      </c>
      <c r="CL1567" s="1" t="s">
        <v>219</v>
      </c>
      <c r="CP1567" s="1" t="s">
        <v>224</v>
      </c>
      <c r="CS1567" s="1" t="s">
        <v>346</v>
      </c>
      <c r="CT1567" s="1" t="s">
        <v>219</v>
      </c>
      <c r="CX1567" s="1" t="s">
        <v>224</v>
      </c>
      <c r="DB1567" s="1" t="s">
        <v>224</v>
      </c>
      <c r="DE1567" s="1" t="s">
        <v>540</v>
      </c>
      <c r="DF1567" s="1" t="s">
        <v>219</v>
      </c>
      <c r="DJ1567" s="1" t="s">
        <v>224</v>
      </c>
      <c r="DS1567" s="1" t="s">
        <v>230</v>
      </c>
      <c r="DW1567" s="1" t="s">
        <v>230</v>
      </c>
      <c r="EA1567" s="1" t="s">
        <v>230</v>
      </c>
      <c r="EE1567" s="1" t="s">
        <v>230</v>
      </c>
      <c r="EI1567" s="1" t="s">
        <v>230</v>
      </c>
      <c r="EL1567" s="1" t="s">
        <v>670</v>
      </c>
      <c r="EM1567" s="1" t="s">
        <v>319</v>
      </c>
      <c r="EN1567" s="1" t="s">
        <v>1158</v>
      </c>
      <c r="EO1567" s="1" t="s">
        <v>234</v>
      </c>
      <c r="EP1567" s="1" t="s">
        <v>650</v>
      </c>
      <c r="ER1567" s="1" t="s">
        <v>210</v>
      </c>
      <c r="ES1567" s="1" t="s">
        <v>322</v>
      </c>
      <c r="EW1567" s="1" t="s">
        <v>844</v>
      </c>
      <c r="EY1567" s="1" t="s">
        <v>242</v>
      </c>
      <c r="EZ1567" s="1" t="s">
        <v>287</v>
      </c>
      <c r="FB1567" s="1" t="s">
        <v>244</v>
      </c>
      <c r="FD1567" s="1" t="s">
        <v>246</v>
      </c>
      <c r="FE1567" s="1" t="s">
        <v>651</v>
      </c>
      <c r="FF1567" s="1" t="s">
        <v>248</v>
      </c>
      <c r="FH1567" s="1" t="s">
        <v>249</v>
      </c>
      <c r="FL1567" s="1" t="s">
        <v>2370</v>
      </c>
      <c r="FM1567" s="1" t="s">
        <v>252</v>
      </c>
      <c r="FN1567" s="1" t="s">
        <v>213</v>
      </c>
      <c r="FO1567" s="1" t="s">
        <v>213</v>
      </c>
      <c r="FQ1567" s="1" t="s">
        <v>673</v>
      </c>
      <c r="FR1567" s="1" t="s">
        <v>652</v>
      </c>
      <c r="FS1567" s="1" t="s">
        <v>2753</v>
      </c>
      <c r="FT1567" s="1" t="s">
        <v>4371</v>
      </c>
      <c r="FU1567" s="1" t="s">
        <v>204</v>
      </c>
      <c r="FW1567" s="1" t="s">
        <v>9811</v>
      </c>
      <c r="FX1567" s="1">
        <v>23187</v>
      </c>
      <c r="FY1567" s="1" t="s">
        <v>9812</v>
      </c>
      <c r="FZ1567" s="1" t="s">
        <v>9813</v>
      </c>
      <c r="GA1567" s="1">
        <v>233406</v>
      </c>
      <c r="GB1567" s="1" t="s">
        <v>9814</v>
      </c>
      <c r="GC1567" s="1">
        <v>232524</v>
      </c>
      <c r="GE1567" s="1" t="s">
        <v>480</v>
      </c>
      <c r="GI1567" s="1" t="s">
        <v>213</v>
      </c>
      <c r="GJ1567" s="1" t="s">
        <v>260</v>
      </c>
      <c r="GK1567" s="1" t="s">
        <v>210</v>
      </c>
      <c r="GL1567" s="2">
        <v>42055</v>
      </c>
      <c r="GM1567" s="1" t="s">
        <v>15189</v>
      </c>
    </row>
    <row r="1568" spans="1:195">
      <c r="A1568" s="1">
        <v>115000</v>
      </c>
      <c r="B1568" s="1" t="s">
        <v>195</v>
      </c>
      <c r="C1568" s="1" t="str">
        <f>"08683379"</f>
        <v>08683379</v>
      </c>
      <c r="D1568" s="1" t="s">
        <v>196</v>
      </c>
      <c r="F1568" s="1" t="str">
        <f>"139"</f>
        <v>139</v>
      </c>
      <c r="G1568" s="2">
        <v>41845</v>
      </c>
      <c r="H1568" s="1">
        <v>138500</v>
      </c>
      <c r="I1568" s="1">
        <v>119900</v>
      </c>
      <c r="J1568" s="1">
        <v>115000</v>
      </c>
      <c r="K1568" s="2">
        <v>41844</v>
      </c>
      <c r="L1568" s="1">
        <v>99</v>
      </c>
      <c r="M1568" s="2">
        <v>41942</v>
      </c>
      <c r="N1568" s="1">
        <v>99</v>
      </c>
      <c r="O1568" s="2">
        <v>41942</v>
      </c>
      <c r="P1568" s="1">
        <v>17299</v>
      </c>
      <c r="Q1568" s="1" t="s">
        <v>197</v>
      </c>
      <c r="R1568" s="2">
        <v>41985</v>
      </c>
      <c r="S1568" s="1">
        <v>114854</v>
      </c>
      <c r="U1568" s="1">
        <v>68</v>
      </c>
      <c r="V1568" s="1" t="s">
        <v>5506</v>
      </c>
      <c r="W1568" s="1" t="s">
        <v>264</v>
      </c>
      <c r="X1568" s="7">
        <v>42221</v>
      </c>
      <c r="Y1568" s="1">
        <v>4</v>
      </c>
      <c r="Z1568" s="1" t="s">
        <v>200</v>
      </c>
      <c r="AA1568" s="1" t="s">
        <v>1732</v>
      </c>
      <c r="AB1568" s="1">
        <v>60139</v>
      </c>
      <c r="AE1568" s="1" t="s">
        <v>15190</v>
      </c>
      <c r="AF1568" s="1">
        <v>1993</v>
      </c>
      <c r="AG1568" s="1" t="s">
        <v>204</v>
      </c>
      <c r="AH1568" s="1" t="s">
        <v>1735</v>
      </c>
      <c r="AI1568" s="1" t="s">
        <v>206</v>
      </c>
      <c r="AJ1568" s="1" t="s">
        <v>207</v>
      </c>
      <c r="AL1568" s="1">
        <v>5</v>
      </c>
      <c r="AM1568" s="1">
        <v>2</v>
      </c>
      <c r="AN1568" s="1">
        <v>1</v>
      </c>
      <c r="AO1568" s="1">
        <v>1</v>
      </c>
      <c r="AP1568" s="1" t="s">
        <v>209</v>
      </c>
      <c r="AR1568" s="1" t="s">
        <v>210</v>
      </c>
      <c r="AS1568" s="1" t="s">
        <v>204</v>
      </c>
      <c r="AT1568" s="1" t="s">
        <v>211</v>
      </c>
      <c r="AU1568" s="1">
        <v>1</v>
      </c>
      <c r="AW1568" s="1" t="s">
        <v>204</v>
      </c>
      <c r="AX1568" s="1" t="s">
        <v>212</v>
      </c>
      <c r="AZ1568" s="1">
        <v>4839</v>
      </c>
      <c r="BA1568" s="1">
        <v>2013</v>
      </c>
      <c r="BE1568" s="1">
        <v>1125</v>
      </c>
      <c r="BF1568" s="1">
        <v>1</v>
      </c>
      <c r="BG1568" s="1">
        <v>0</v>
      </c>
      <c r="BL1568" s="1">
        <v>203</v>
      </c>
      <c r="BM1568" s="1" t="s">
        <v>204</v>
      </c>
      <c r="BN1568" s="1" t="s">
        <v>213</v>
      </c>
      <c r="BO1568" s="1">
        <v>999</v>
      </c>
      <c r="BP1568" s="1" t="s">
        <v>204</v>
      </c>
      <c r="BR1568" s="1" t="str">
        <f>"0503104035"</f>
        <v>0503104035</v>
      </c>
      <c r="BT1568" s="1" t="s">
        <v>15191</v>
      </c>
      <c r="BX1568" s="1">
        <v>41</v>
      </c>
      <c r="BY1568" s="1">
        <v>41</v>
      </c>
      <c r="BZ1568" s="1">
        <v>87</v>
      </c>
      <c r="CB1568" s="1" t="str">
        <f t="shared" ref="CB1568:CC1568" si="1193">""</f>
        <v/>
      </c>
      <c r="CC1568" s="1" t="str">
        <f t="shared" si="1193"/>
        <v/>
      </c>
      <c r="CG1568" s="1" t="s">
        <v>1004</v>
      </c>
      <c r="CH1568" s="1" t="s">
        <v>219</v>
      </c>
      <c r="CI1568" s="1" t="s">
        <v>220</v>
      </c>
      <c r="CK1568" s="1" t="s">
        <v>378</v>
      </c>
      <c r="CL1568" s="1" t="s">
        <v>277</v>
      </c>
      <c r="CM1568" s="1" t="s">
        <v>220</v>
      </c>
      <c r="CO1568" s="1" t="s">
        <v>629</v>
      </c>
      <c r="CP1568" s="1" t="s">
        <v>219</v>
      </c>
      <c r="CQ1568" s="1" t="s">
        <v>220</v>
      </c>
      <c r="CS1568" s="1" t="s">
        <v>1046</v>
      </c>
      <c r="CT1568" s="1" t="s">
        <v>277</v>
      </c>
      <c r="CX1568" s="1" t="s">
        <v>224</v>
      </c>
      <c r="DB1568" s="1" t="s">
        <v>224</v>
      </c>
      <c r="DE1568" s="1" t="s">
        <v>318</v>
      </c>
      <c r="DF1568" s="1" t="s">
        <v>219</v>
      </c>
      <c r="DG1568" s="1" t="s">
        <v>347</v>
      </c>
      <c r="DJ1568" s="1" t="s">
        <v>224</v>
      </c>
      <c r="DS1568" s="1" t="s">
        <v>230</v>
      </c>
      <c r="DW1568" s="1" t="s">
        <v>230</v>
      </c>
      <c r="EA1568" s="1" t="s">
        <v>230</v>
      </c>
      <c r="EE1568" s="1" t="s">
        <v>230</v>
      </c>
      <c r="EI1568" s="1" t="s">
        <v>230</v>
      </c>
      <c r="EL1568" s="1" t="s">
        <v>382</v>
      </c>
      <c r="EM1568" s="1" t="s">
        <v>319</v>
      </c>
      <c r="EN1568" s="1" t="s">
        <v>282</v>
      </c>
      <c r="EO1568" s="1" t="s">
        <v>234</v>
      </c>
      <c r="ER1568" s="1" t="s">
        <v>210</v>
      </c>
      <c r="EW1568" s="1" t="s">
        <v>887</v>
      </c>
      <c r="EZ1568" s="1" t="s">
        <v>287</v>
      </c>
      <c r="FD1568" s="1" t="s">
        <v>246</v>
      </c>
      <c r="FE1568" s="1" t="s">
        <v>975</v>
      </c>
      <c r="FF1568" s="1" t="s">
        <v>248</v>
      </c>
      <c r="FH1568" s="1" t="s">
        <v>550</v>
      </c>
      <c r="FL1568" s="1" t="s">
        <v>414</v>
      </c>
      <c r="FM1568" s="1" t="s">
        <v>252</v>
      </c>
      <c r="FN1568" s="1" t="s">
        <v>213</v>
      </c>
      <c r="FO1568" s="1" t="s">
        <v>213</v>
      </c>
      <c r="FQ1568" s="1" t="s">
        <v>689</v>
      </c>
      <c r="FR1568" s="1" t="s">
        <v>210</v>
      </c>
      <c r="FS1568" s="1" t="s">
        <v>15192</v>
      </c>
      <c r="FT1568" s="1" t="s">
        <v>584</v>
      </c>
      <c r="FU1568" s="1" t="s">
        <v>204</v>
      </c>
      <c r="FW1568" s="1" t="s">
        <v>11108</v>
      </c>
      <c r="FX1568" s="1">
        <v>17497</v>
      </c>
      <c r="FY1568" s="1" t="s">
        <v>11109</v>
      </c>
      <c r="FZ1568" s="1" t="s">
        <v>11110</v>
      </c>
      <c r="GA1568" s="1">
        <v>131652</v>
      </c>
      <c r="GB1568" s="1" t="s">
        <v>11111</v>
      </c>
      <c r="GE1568" s="1" t="s">
        <v>480</v>
      </c>
      <c r="GI1568" s="1" t="s">
        <v>213</v>
      </c>
      <c r="GJ1568" s="1" t="s">
        <v>260</v>
      </c>
      <c r="GK1568" s="1" t="s">
        <v>210</v>
      </c>
      <c r="GL1568" s="2">
        <v>41985</v>
      </c>
      <c r="GM1568" s="1" t="s">
        <v>15193</v>
      </c>
    </row>
    <row r="1569" spans="1:195">
      <c r="A1569" s="1">
        <v>175000</v>
      </c>
      <c r="B1569" s="1" t="s">
        <v>195</v>
      </c>
      <c r="C1569" s="1" t="str">
        <f>"08687389"</f>
        <v>08687389</v>
      </c>
      <c r="D1569" s="1" t="s">
        <v>196</v>
      </c>
      <c r="F1569" s="1" t="str">
        <f>"510"</f>
        <v>510</v>
      </c>
      <c r="G1569" s="2">
        <v>41850</v>
      </c>
      <c r="H1569" s="1">
        <v>194500</v>
      </c>
      <c r="I1569" s="1">
        <v>186900</v>
      </c>
      <c r="J1569" s="1">
        <v>175000</v>
      </c>
      <c r="K1569" s="2">
        <v>41850</v>
      </c>
      <c r="L1569" s="1">
        <v>195</v>
      </c>
      <c r="M1569" s="2">
        <v>42044</v>
      </c>
      <c r="N1569" s="1">
        <v>195</v>
      </c>
      <c r="O1569" s="2">
        <v>42044</v>
      </c>
      <c r="P1569" s="1">
        <v>358</v>
      </c>
      <c r="Q1569" s="1" t="s">
        <v>302</v>
      </c>
      <c r="R1569" s="2">
        <v>42065</v>
      </c>
      <c r="S1569" s="1">
        <v>347</v>
      </c>
      <c r="T1569" s="1">
        <v>500</v>
      </c>
      <c r="U1569" s="1">
        <v>1115</v>
      </c>
      <c r="V1569" s="1" t="s">
        <v>15194</v>
      </c>
      <c r="W1569" s="1" t="s">
        <v>725</v>
      </c>
      <c r="Y1569" s="1">
        <v>2</v>
      </c>
      <c r="Z1569" s="1" t="s">
        <v>200</v>
      </c>
      <c r="AA1569" s="1" t="s">
        <v>947</v>
      </c>
      <c r="AB1569" s="1">
        <v>60510</v>
      </c>
      <c r="AE1569" s="1" t="s">
        <v>15195</v>
      </c>
      <c r="AF1569" s="1">
        <v>1993</v>
      </c>
      <c r="AG1569" s="1" t="s">
        <v>204</v>
      </c>
      <c r="AH1569" s="1" t="s">
        <v>949</v>
      </c>
      <c r="AI1569" s="1" t="s">
        <v>665</v>
      </c>
      <c r="AJ1569" s="1" t="s">
        <v>949</v>
      </c>
      <c r="AL1569" s="1">
        <v>5</v>
      </c>
      <c r="AM1569" s="1">
        <v>2</v>
      </c>
      <c r="AN1569" s="1">
        <v>2</v>
      </c>
      <c r="AO1569" s="1">
        <v>0</v>
      </c>
      <c r="AP1569" s="1" t="s">
        <v>209</v>
      </c>
      <c r="AR1569" s="1" t="s">
        <v>209</v>
      </c>
      <c r="AS1569" s="1" t="s">
        <v>204</v>
      </c>
      <c r="AT1569" s="1" t="s">
        <v>211</v>
      </c>
      <c r="AU1569" s="1">
        <v>2</v>
      </c>
      <c r="AW1569" s="1" t="s">
        <v>204</v>
      </c>
      <c r="AX1569" s="1" t="s">
        <v>15196</v>
      </c>
      <c r="AZ1569" s="1">
        <v>6980</v>
      </c>
      <c r="BA1569" s="1">
        <v>2013</v>
      </c>
      <c r="BE1569" s="1">
        <v>1484</v>
      </c>
      <c r="BF1569" s="1">
        <v>1</v>
      </c>
      <c r="BG1569" s="1">
        <v>0</v>
      </c>
      <c r="BL1569" s="1">
        <v>0</v>
      </c>
      <c r="BM1569" s="1" t="s">
        <v>413</v>
      </c>
      <c r="BN1569" s="1" t="s">
        <v>213</v>
      </c>
      <c r="BP1569" s="1" t="s">
        <v>204</v>
      </c>
      <c r="BR1569" s="1" t="str">
        <f>"1221251125"</f>
        <v>1221251125</v>
      </c>
      <c r="BT1569" s="1" t="s">
        <v>15197</v>
      </c>
      <c r="BV1569" s="1" t="s">
        <v>6404</v>
      </c>
      <c r="BW1569" s="1" t="s">
        <v>6405</v>
      </c>
      <c r="BX1569" s="1">
        <v>101</v>
      </c>
      <c r="BY1569" s="1">
        <v>101</v>
      </c>
      <c r="BZ1569" s="1">
        <v>101</v>
      </c>
      <c r="CB1569" s="1" t="str">
        <f t="shared" ref="CB1569:CC1569" si="1194">""</f>
        <v/>
      </c>
      <c r="CC1569" s="1" t="str">
        <f t="shared" si="1194"/>
        <v/>
      </c>
      <c r="CG1569" s="1" t="s">
        <v>708</v>
      </c>
      <c r="CH1569" s="1" t="s">
        <v>219</v>
      </c>
      <c r="CI1569" s="1" t="s">
        <v>220</v>
      </c>
      <c r="CK1569" s="1" t="s">
        <v>221</v>
      </c>
      <c r="CL1569" s="1" t="s">
        <v>219</v>
      </c>
      <c r="CM1569" s="1" t="s">
        <v>220</v>
      </c>
      <c r="CO1569" s="1" t="s">
        <v>379</v>
      </c>
      <c r="CP1569" s="1" t="s">
        <v>219</v>
      </c>
      <c r="CQ1569" s="1" t="s">
        <v>220</v>
      </c>
      <c r="CS1569" s="1" t="s">
        <v>346</v>
      </c>
      <c r="CT1569" s="1" t="s">
        <v>219</v>
      </c>
      <c r="CU1569" s="1" t="s">
        <v>220</v>
      </c>
      <c r="CX1569" s="1" t="s">
        <v>224</v>
      </c>
      <c r="DB1569" s="1" t="s">
        <v>224</v>
      </c>
      <c r="DE1569" s="1" t="s">
        <v>1425</v>
      </c>
      <c r="DF1569" s="1" t="s">
        <v>219</v>
      </c>
      <c r="DG1569" s="1" t="s">
        <v>342</v>
      </c>
      <c r="DJ1569" s="1" t="s">
        <v>224</v>
      </c>
      <c r="DM1569" s="1" t="s">
        <v>603</v>
      </c>
      <c r="DR1569" s="1" t="s">
        <v>346</v>
      </c>
      <c r="DS1569" s="1" t="s">
        <v>219</v>
      </c>
      <c r="DT1569" s="1" t="s">
        <v>220</v>
      </c>
      <c r="DW1569" s="1" t="s">
        <v>230</v>
      </c>
      <c r="EA1569" s="1" t="s">
        <v>230</v>
      </c>
      <c r="EE1569" s="1" t="s">
        <v>230</v>
      </c>
      <c r="EI1569" s="1" t="s">
        <v>230</v>
      </c>
      <c r="EL1569" s="1" t="s">
        <v>382</v>
      </c>
      <c r="EM1569" s="1" t="s">
        <v>319</v>
      </c>
      <c r="EN1569" s="1" t="s">
        <v>282</v>
      </c>
      <c r="EO1569" s="1" t="s">
        <v>840</v>
      </c>
      <c r="EQ1569" s="1" t="s">
        <v>3718</v>
      </c>
      <c r="ER1569" s="1" t="s">
        <v>1249</v>
      </c>
      <c r="ES1569" s="1" t="s">
        <v>322</v>
      </c>
      <c r="EV1569" s="1" t="s">
        <v>324</v>
      </c>
      <c r="EW1569" s="1" t="s">
        <v>210</v>
      </c>
      <c r="EY1569" s="1" t="s">
        <v>790</v>
      </c>
      <c r="EZ1569" s="1" t="s">
        <v>603</v>
      </c>
      <c r="FA1569" s="1" t="s">
        <v>15198</v>
      </c>
      <c r="FD1569" s="1" t="s">
        <v>3287</v>
      </c>
      <c r="FE1569" s="1" t="s">
        <v>975</v>
      </c>
      <c r="FF1569" s="1" t="s">
        <v>248</v>
      </c>
      <c r="FH1569" s="1" t="s">
        <v>442</v>
      </c>
      <c r="FI1569" s="1" t="s">
        <v>357</v>
      </c>
      <c r="FL1569" s="1" t="s">
        <v>358</v>
      </c>
      <c r="FM1569" s="1" t="s">
        <v>252</v>
      </c>
      <c r="FN1569" s="1" t="s">
        <v>204</v>
      </c>
      <c r="FO1569" s="1" t="s">
        <v>213</v>
      </c>
      <c r="FQ1569" s="1" t="s">
        <v>956</v>
      </c>
      <c r="FR1569" s="1" t="s">
        <v>210</v>
      </c>
      <c r="FS1569" s="1" t="s">
        <v>15199</v>
      </c>
      <c r="FT1569" s="1" t="s">
        <v>295</v>
      </c>
      <c r="FU1569" s="1" t="s">
        <v>204</v>
      </c>
      <c r="FW1569" s="1" t="s">
        <v>15200</v>
      </c>
      <c r="FX1569" s="1">
        <v>31500</v>
      </c>
      <c r="FY1569" s="1" t="s">
        <v>15201</v>
      </c>
      <c r="FZ1569" s="1" t="s">
        <v>15202</v>
      </c>
      <c r="GA1569" s="1">
        <v>315012</v>
      </c>
      <c r="GB1569" s="1" t="s">
        <v>15203</v>
      </c>
      <c r="GE1569" s="1" t="s">
        <v>210</v>
      </c>
      <c r="GI1569" s="1" t="s">
        <v>213</v>
      </c>
      <c r="GJ1569" s="1" t="s">
        <v>260</v>
      </c>
      <c r="GK1569" s="1" t="s">
        <v>210</v>
      </c>
      <c r="GL1569" s="2">
        <v>42065</v>
      </c>
      <c r="GM1569" s="1" t="s">
        <v>15204</v>
      </c>
    </row>
    <row r="1570" spans="1:195">
      <c r="A1570" s="1">
        <v>87500</v>
      </c>
      <c r="B1570" s="1" t="s">
        <v>195</v>
      </c>
      <c r="C1570" s="1" t="str">
        <f>"08693554"</f>
        <v>08693554</v>
      </c>
      <c r="D1570" s="1" t="s">
        <v>196</v>
      </c>
      <c r="F1570" s="1" t="str">
        <f>"515"</f>
        <v>515</v>
      </c>
      <c r="G1570" s="2">
        <v>41856</v>
      </c>
      <c r="H1570" s="1">
        <v>94000</v>
      </c>
      <c r="I1570" s="1">
        <v>94000</v>
      </c>
      <c r="J1570" s="1">
        <v>87500</v>
      </c>
      <c r="K1570" s="2">
        <v>41855</v>
      </c>
      <c r="L1570" s="1">
        <v>106</v>
      </c>
      <c r="M1570" s="2">
        <v>41960</v>
      </c>
      <c r="N1570" s="1">
        <v>106</v>
      </c>
      <c r="O1570" s="2">
        <v>41960</v>
      </c>
      <c r="P1570" s="1">
        <v>23219</v>
      </c>
      <c r="Q1570" s="1" t="s">
        <v>197</v>
      </c>
      <c r="R1570" s="2">
        <v>41992</v>
      </c>
      <c r="S1570" s="1">
        <v>234268</v>
      </c>
      <c r="U1570" s="1">
        <v>2415</v>
      </c>
      <c r="V1570" s="1" t="s">
        <v>4567</v>
      </c>
      <c r="W1570" s="1" t="s">
        <v>425</v>
      </c>
      <c r="X1570" s="1">
        <v>1</v>
      </c>
      <c r="Y1570" s="1">
        <v>12</v>
      </c>
      <c r="Z1570" s="1" t="s">
        <v>249</v>
      </c>
      <c r="AA1570" s="1" t="s">
        <v>1294</v>
      </c>
      <c r="AB1570" s="1">
        <v>60515</v>
      </c>
      <c r="AD1570" s="1" t="s">
        <v>15205</v>
      </c>
      <c r="AE1570" s="1" t="s">
        <v>15206</v>
      </c>
      <c r="AF1570" s="1">
        <v>1968</v>
      </c>
      <c r="AG1570" s="1" t="s">
        <v>213</v>
      </c>
      <c r="AH1570" s="1" t="s">
        <v>903</v>
      </c>
      <c r="AI1570" s="1" t="s">
        <v>206</v>
      </c>
      <c r="AJ1570" s="1" t="s">
        <v>925</v>
      </c>
      <c r="AL1570" s="1">
        <v>5</v>
      </c>
      <c r="AM1570" s="1">
        <v>2</v>
      </c>
      <c r="AN1570" s="1">
        <v>2</v>
      </c>
      <c r="AO1570" s="1">
        <v>0</v>
      </c>
      <c r="AP1570" s="1" t="s">
        <v>209</v>
      </c>
      <c r="AR1570" s="1" t="s">
        <v>210</v>
      </c>
      <c r="AS1570" s="1" t="s">
        <v>204</v>
      </c>
      <c r="AT1570" s="1" t="s">
        <v>271</v>
      </c>
      <c r="AV1570" s="1">
        <v>1</v>
      </c>
      <c r="AW1570" s="1" t="s">
        <v>204</v>
      </c>
      <c r="AX1570" s="1" t="s">
        <v>212</v>
      </c>
      <c r="AZ1570" s="3">
        <v>1185</v>
      </c>
      <c r="BA1570" s="1">
        <v>2013</v>
      </c>
      <c r="BB1570" s="1" t="s">
        <v>599</v>
      </c>
      <c r="BE1570" s="1">
        <v>1160</v>
      </c>
      <c r="BF1570" s="1">
        <v>1</v>
      </c>
      <c r="BG1570" s="1">
        <v>15</v>
      </c>
      <c r="BL1570" s="1">
        <v>398</v>
      </c>
      <c r="BM1570" s="1" t="s">
        <v>204</v>
      </c>
      <c r="BN1570" s="1" t="s">
        <v>213</v>
      </c>
      <c r="BO1570" s="1" t="s">
        <v>432</v>
      </c>
      <c r="BP1570" s="1" t="s">
        <v>204</v>
      </c>
      <c r="BR1570" s="1" t="str">
        <f>"0801310061"</f>
        <v>0801310061</v>
      </c>
      <c r="BT1570" s="1" t="s">
        <v>15207</v>
      </c>
      <c r="BU1570" s="1" t="s">
        <v>14725</v>
      </c>
      <c r="BV1570" s="1" t="s">
        <v>14725</v>
      </c>
      <c r="BW1570" s="1" t="s">
        <v>2762</v>
      </c>
      <c r="BX1570" s="1">
        <v>69</v>
      </c>
      <c r="BY1570" s="1">
        <v>69</v>
      </c>
      <c r="BZ1570" s="1">
        <v>99</v>
      </c>
      <c r="CB1570" s="1" t="str">
        <f t="shared" ref="CB1570:CC1570" si="1195">""</f>
        <v/>
      </c>
      <c r="CC1570" s="1" t="str">
        <f t="shared" si="1195"/>
        <v/>
      </c>
      <c r="CG1570" s="1" t="s">
        <v>5997</v>
      </c>
      <c r="CH1570" s="1" t="s">
        <v>219</v>
      </c>
      <c r="CI1570" s="1" t="s">
        <v>220</v>
      </c>
      <c r="CJ1570" s="1" t="s">
        <v>343</v>
      </c>
      <c r="CK1570" s="1" t="s">
        <v>2122</v>
      </c>
      <c r="CL1570" s="1" t="s">
        <v>219</v>
      </c>
      <c r="CM1570" s="1" t="s">
        <v>220</v>
      </c>
      <c r="CN1570" s="1" t="s">
        <v>343</v>
      </c>
      <c r="CO1570" s="1" t="s">
        <v>1297</v>
      </c>
      <c r="CP1570" s="1" t="s">
        <v>219</v>
      </c>
      <c r="CQ1570" s="1" t="s">
        <v>220</v>
      </c>
      <c r="CS1570" s="1" t="s">
        <v>1107</v>
      </c>
      <c r="CT1570" s="1" t="s">
        <v>219</v>
      </c>
      <c r="CU1570" s="1" t="s">
        <v>220</v>
      </c>
      <c r="CV1570" s="1" t="s">
        <v>343</v>
      </c>
      <c r="CX1570" s="1" t="s">
        <v>224</v>
      </c>
      <c r="DB1570" s="1" t="s">
        <v>224</v>
      </c>
      <c r="DE1570" s="1" t="s">
        <v>1469</v>
      </c>
      <c r="DF1570" s="1" t="s">
        <v>219</v>
      </c>
      <c r="DG1570" s="1" t="s">
        <v>226</v>
      </c>
      <c r="DJ1570" s="1" t="s">
        <v>224</v>
      </c>
      <c r="DS1570" s="1" t="s">
        <v>230</v>
      </c>
      <c r="DW1570" s="1" t="s">
        <v>230</v>
      </c>
      <c r="EA1570" s="1" t="s">
        <v>230</v>
      </c>
      <c r="EE1570" s="1" t="s">
        <v>230</v>
      </c>
      <c r="EI1570" s="1" t="s">
        <v>230</v>
      </c>
      <c r="EL1570" s="1" t="s">
        <v>605</v>
      </c>
      <c r="EM1570" s="1" t="s">
        <v>232</v>
      </c>
      <c r="EN1570" s="1" t="s">
        <v>1158</v>
      </c>
      <c r="EO1570" s="1" t="s">
        <v>234</v>
      </c>
      <c r="EP1570" s="1" t="s">
        <v>15208</v>
      </c>
      <c r="EQ1570" s="1" t="s">
        <v>1109</v>
      </c>
      <c r="ER1570" s="1" t="s">
        <v>210</v>
      </c>
      <c r="ES1570" s="1" t="s">
        <v>824</v>
      </c>
      <c r="ET1570" s="1" t="s">
        <v>609</v>
      </c>
      <c r="EV1570" s="1" t="s">
        <v>324</v>
      </c>
      <c r="EW1570" s="1" t="s">
        <v>2232</v>
      </c>
      <c r="EZ1570" s="1" t="s">
        <v>287</v>
      </c>
      <c r="FB1570" s="1" t="s">
        <v>289</v>
      </c>
      <c r="FC1570" s="1" t="s">
        <v>326</v>
      </c>
      <c r="FD1570" s="1" t="s">
        <v>246</v>
      </c>
      <c r="FE1570" s="1" t="s">
        <v>247</v>
      </c>
      <c r="FF1570" s="1" t="s">
        <v>248</v>
      </c>
      <c r="FH1570" s="1" t="s">
        <v>249</v>
      </c>
      <c r="FJ1570" s="1" t="s">
        <v>197</v>
      </c>
      <c r="FK1570" s="1" t="s">
        <v>389</v>
      </c>
      <c r="FL1570" s="1" t="s">
        <v>5090</v>
      </c>
      <c r="FM1570" s="1" t="s">
        <v>252</v>
      </c>
      <c r="FN1570" s="1" t="s">
        <v>213</v>
      </c>
      <c r="FO1570" s="1" t="s">
        <v>213</v>
      </c>
      <c r="FQ1570" s="1" t="s">
        <v>849</v>
      </c>
      <c r="FR1570" s="1" t="s">
        <v>210</v>
      </c>
      <c r="FS1570" s="1" t="s">
        <v>15209</v>
      </c>
      <c r="FT1570" s="1" t="s">
        <v>295</v>
      </c>
      <c r="FU1570" s="1" t="s">
        <v>204</v>
      </c>
      <c r="FW1570" s="1" t="s">
        <v>7776</v>
      </c>
      <c r="FX1570" s="1">
        <v>20132</v>
      </c>
      <c r="FY1570" s="1" t="s">
        <v>7777</v>
      </c>
      <c r="FZ1570" s="1" t="s">
        <v>15210</v>
      </c>
      <c r="GA1570" s="1">
        <v>212208</v>
      </c>
      <c r="GB1570" s="1" t="s">
        <v>15211</v>
      </c>
      <c r="GE1570" s="1" t="s">
        <v>1764</v>
      </c>
      <c r="GI1570" s="1" t="s">
        <v>213</v>
      </c>
      <c r="GJ1570" s="1" t="s">
        <v>260</v>
      </c>
      <c r="GK1570" s="1" t="s">
        <v>210</v>
      </c>
      <c r="GL1570" s="2">
        <v>41993</v>
      </c>
      <c r="GM1570" s="1" t="s">
        <v>15212</v>
      </c>
    </row>
    <row r="1571" spans="1:195">
      <c r="A1571" s="1">
        <v>178000</v>
      </c>
      <c r="B1571" s="1" t="s">
        <v>195</v>
      </c>
      <c r="C1571" s="1" t="str">
        <f>"08690103"</f>
        <v>08690103</v>
      </c>
      <c r="D1571" s="1" t="s">
        <v>196</v>
      </c>
      <c r="F1571" s="1" t="str">
        <f>"559"</f>
        <v>559</v>
      </c>
      <c r="G1571" s="2">
        <v>41852</v>
      </c>
      <c r="H1571" s="1">
        <v>185000</v>
      </c>
      <c r="I1571" s="1">
        <v>185000</v>
      </c>
      <c r="J1571" s="1">
        <v>178000</v>
      </c>
      <c r="K1571" s="2">
        <v>41852</v>
      </c>
      <c r="L1571" s="1">
        <v>77</v>
      </c>
      <c r="M1571" s="2">
        <v>41928</v>
      </c>
      <c r="N1571" s="1">
        <v>77</v>
      </c>
      <c r="O1571" s="2">
        <v>41928</v>
      </c>
      <c r="P1571" s="1">
        <v>23120</v>
      </c>
      <c r="Q1571" s="1" t="s">
        <v>197</v>
      </c>
      <c r="R1571" s="2">
        <v>41977</v>
      </c>
      <c r="S1571" s="1">
        <v>241879</v>
      </c>
      <c r="T1571" s="1">
        <v>2500</v>
      </c>
      <c r="U1571" s="1">
        <v>14</v>
      </c>
      <c r="V1571" s="1" t="s">
        <v>15213</v>
      </c>
      <c r="W1571" s="1" t="s">
        <v>264</v>
      </c>
      <c r="Y1571" s="1">
        <v>4</v>
      </c>
      <c r="Z1571" s="1" t="s">
        <v>200</v>
      </c>
      <c r="AA1571" s="1" t="s">
        <v>1950</v>
      </c>
      <c r="AB1571" s="1">
        <v>60559</v>
      </c>
      <c r="AC1571" s="1">
        <v>1081</v>
      </c>
      <c r="AD1571" s="1" t="s">
        <v>15213</v>
      </c>
      <c r="AE1571" s="1" t="s">
        <v>15214</v>
      </c>
      <c r="AF1571" s="1">
        <v>1983</v>
      </c>
      <c r="AG1571" s="1" t="s">
        <v>204</v>
      </c>
      <c r="AH1571" s="1" t="s">
        <v>1952</v>
      </c>
      <c r="AI1571" s="1" t="s">
        <v>206</v>
      </c>
      <c r="AJ1571" s="1" t="s">
        <v>1608</v>
      </c>
      <c r="AK1571" s="1" t="s">
        <v>15215</v>
      </c>
      <c r="AL1571" s="1">
        <v>5</v>
      </c>
      <c r="AM1571" s="1">
        <v>2</v>
      </c>
      <c r="AN1571" s="1">
        <v>1</v>
      </c>
      <c r="AO1571" s="1">
        <v>1</v>
      </c>
      <c r="AP1571" s="1" t="s">
        <v>667</v>
      </c>
      <c r="AR1571" s="1" t="s">
        <v>210</v>
      </c>
      <c r="AS1571" s="1" t="s">
        <v>204</v>
      </c>
      <c r="AT1571" s="1" t="s">
        <v>211</v>
      </c>
      <c r="AU1571" s="1">
        <v>2</v>
      </c>
      <c r="AW1571" s="1" t="s">
        <v>204</v>
      </c>
      <c r="AX1571" s="1" t="s">
        <v>15216</v>
      </c>
      <c r="AZ1571" s="1">
        <v>3267</v>
      </c>
      <c r="BA1571" s="1">
        <v>2013</v>
      </c>
      <c r="BB1571" s="1" t="s">
        <v>599</v>
      </c>
      <c r="BE1571" s="1">
        <v>1387</v>
      </c>
      <c r="BF1571" s="1">
        <v>1</v>
      </c>
      <c r="BG1571" s="1">
        <v>30</v>
      </c>
      <c r="BL1571" s="1">
        <v>290</v>
      </c>
      <c r="BM1571" s="1" t="s">
        <v>204</v>
      </c>
      <c r="BN1571" s="1" t="s">
        <v>213</v>
      </c>
      <c r="BO1571" s="1">
        <v>999</v>
      </c>
      <c r="BP1571" s="1" t="s">
        <v>204</v>
      </c>
      <c r="BR1571" s="1" t="str">
        <f>"0633412058"</f>
        <v>0633412058</v>
      </c>
      <c r="BT1571" s="1" t="s">
        <v>15217</v>
      </c>
      <c r="BU1571" s="1" t="s">
        <v>9778</v>
      </c>
      <c r="BX1571" s="1">
        <v>201</v>
      </c>
      <c r="BY1571" s="1">
        <v>201</v>
      </c>
      <c r="BZ1571" s="1">
        <v>201</v>
      </c>
      <c r="CB1571" s="1" t="str">
        <f t="shared" ref="CB1571:CC1571" si="1196">""</f>
        <v/>
      </c>
      <c r="CC1571" s="1" t="str">
        <f t="shared" si="1196"/>
        <v/>
      </c>
      <c r="CG1571" s="1" t="s">
        <v>5319</v>
      </c>
      <c r="CH1571" s="1" t="s">
        <v>219</v>
      </c>
      <c r="CI1571" s="1" t="s">
        <v>220</v>
      </c>
      <c r="CJ1571" s="1" t="s">
        <v>463</v>
      </c>
      <c r="CK1571" s="1" t="s">
        <v>3151</v>
      </c>
      <c r="CL1571" s="1" t="s">
        <v>277</v>
      </c>
      <c r="CM1571" s="1" t="s">
        <v>220</v>
      </c>
      <c r="CN1571" s="1" t="s">
        <v>463</v>
      </c>
      <c r="CO1571" s="1" t="s">
        <v>836</v>
      </c>
      <c r="CP1571" s="1" t="s">
        <v>219</v>
      </c>
      <c r="CQ1571" s="1" t="s">
        <v>220</v>
      </c>
      <c r="CR1571" s="1" t="s">
        <v>463</v>
      </c>
      <c r="CS1571" s="1" t="s">
        <v>836</v>
      </c>
      <c r="CT1571" s="1" t="s">
        <v>277</v>
      </c>
      <c r="CU1571" s="1" t="s">
        <v>220</v>
      </c>
      <c r="CV1571" s="1" t="s">
        <v>463</v>
      </c>
      <c r="CX1571" s="1" t="s">
        <v>224</v>
      </c>
      <c r="DB1571" s="1" t="s">
        <v>224</v>
      </c>
      <c r="DE1571" s="1" t="s">
        <v>2122</v>
      </c>
      <c r="DF1571" s="1" t="s">
        <v>219</v>
      </c>
      <c r="DG1571" s="1" t="s">
        <v>342</v>
      </c>
      <c r="DH1571" s="1" t="s">
        <v>210</v>
      </c>
      <c r="DJ1571" s="1" t="s">
        <v>224</v>
      </c>
      <c r="DS1571" s="1" t="s">
        <v>230</v>
      </c>
      <c r="DW1571" s="1" t="s">
        <v>230</v>
      </c>
      <c r="EA1571" s="1" t="s">
        <v>230</v>
      </c>
      <c r="EE1571" s="1" t="s">
        <v>230</v>
      </c>
      <c r="EI1571" s="1" t="s">
        <v>230</v>
      </c>
      <c r="EL1571" s="1" t="s">
        <v>231</v>
      </c>
      <c r="EM1571" s="1" t="s">
        <v>730</v>
      </c>
      <c r="EN1571" s="1" t="s">
        <v>282</v>
      </c>
      <c r="EO1571" s="1" t="s">
        <v>234</v>
      </c>
      <c r="EP1571" s="1" t="s">
        <v>650</v>
      </c>
      <c r="EQ1571" s="1" t="s">
        <v>236</v>
      </c>
      <c r="ER1571" s="1" t="s">
        <v>210</v>
      </c>
      <c r="ES1571" s="1" t="s">
        <v>322</v>
      </c>
      <c r="EU1571" s="1" t="s">
        <v>2803</v>
      </c>
      <c r="EV1571" s="1" t="s">
        <v>240</v>
      </c>
      <c r="EW1571" s="1" t="s">
        <v>867</v>
      </c>
      <c r="EY1571" s="1" t="s">
        <v>242</v>
      </c>
      <c r="EZ1571" s="1" t="s">
        <v>287</v>
      </c>
      <c r="FA1571" s="1" t="s">
        <v>4439</v>
      </c>
      <c r="FB1571" s="1" t="s">
        <v>289</v>
      </c>
      <c r="FC1571" s="1" t="s">
        <v>548</v>
      </c>
      <c r="FD1571" s="1" t="s">
        <v>246</v>
      </c>
      <c r="FE1571" s="1" t="s">
        <v>472</v>
      </c>
      <c r="FF1571" s="1" t="s">
        <v>248</v>
      </c>
      <c r="FH1571" s="1" t="s">
        <v>550</v>
      </c>
      <c r="FI1571" s="1" t="s">
        <v>473</v>
      </c>
      <c r="FJ1571" s="1" t="s">
        <v>197</v>
      </c>
      <c r="FL1571" s="1" t="s">
        <v>414</v>
      </c>
      <c r="FM1571" s="1" t="s">
        <v>252</v>
      </c>
      <c r="FN1571" s="1" t="s">
        <v>213</v>
      </c>
      <c r="FO1571" s="1" t="s">
        <v>213</v>
      </c>
      <c r="FQ1571" s="1" t="s">
        <v>892</v>
      </c>
      <c r="FR1571" s="1" t="s">
        <v>210</v>
      </c>
      <c r="FS1571" s="1" t="s">
        <v>1429</v>
      </c>
      <c r="FT1571" s="1" t="s">
        <v>255</v>
      </c>
      <c r="FU1571" s="1" t="s">
        <v>204</v>
      </c>
      <c r="FW1571" s="1" t="s">
        <v>915</v>
      </c>
      <c r="FX1571" s="1">
        <v>20179</v>
      </c>
      <c r="FY1571" s="1" t="s">
        <v>1944</v>
      </c>
      <c r="FZ1571" s="1" t="s">
        <v>6396</v>
      </c>
      <c r="GA1571" s="1">
        <v>215589</v>
      </c>
      <c r="GD1571" s="1" t="s">
        <v>15218</v>
      </c>
      <c r="GE1571" s="1" t="s">
        <v>480</v>
      </c>
      <c r="GI1571" s="1" t="s">
        <v>213</v>
      </c>
      <c r="GJ1571" s="1" t="s">
        <v>260</v>
      </c>
      <c r="GK1571" s="1" t="s">
        <v>210</v>
      </c>
      <c r="GL1571" s="2">
        <v>41977</v>
      </c>
      <c r="GM1571" s="1" t="s">
        <v>15219</v>
      </c>
    </row>
    <row r="1572" spans="1:195">
      <c r="A1572" s="1">
        <v>46200</v>
      </c>
      <c r="B1572" s="1" t="s">
        <v>195</v>
      </c>
      <c r="C1572" s="1" t="str">
        <f>"08686841"</f>
        <v>08686841</v>
      </c>
      <c r="D1572" s="1" t="s">
        <v>196</v>
      </c>
      <c r="F1572" s="1" t="str">
        <f>"517"</f>
        <v>517</v>
      </c>
      <c r="G1572" s="2">
        <v>41849</v>
      </c>
      <c r="H1572" s="1">
        <v>82500</v>
      </c>
      <c r="I1572" s="1">
        <v>82500</v>
      </c>
      <c r="J1572" s="1">
        <v>46200</v>
      </c>
      <c r="K1572" s="2">
        <v>41849</v>
      </c>
      <c r="L1572" s="1">
        <v>134</v>
      </c>
      <c r="M1572" s="2">
        <v>41982</v>
      </c>
      <c r="N1572" s="1">
        <v>134</v>
      </c>
      <c r="O1572" s="2">
        <v>41982</v>
      </c>
      <c r="P1572" s="1">
        <v>84098</v>
      </c>
      <c r="Q1572" s="1" t="s">
        <v>302</v>
      </c>
      <c r="R1572" s="2">
        <v>42069</v>
      </c>
      <c r="S1572" s="1">
        <v>119234</v>
      </c>
      <c r="U1572" s="1">
        <v>2020</v>
      </c>
      <c r="V1572" s="1" t="s">
        <v>7960</v>
      </c>
      <c r="W1572" s="1" t="s">
        <v>264</v>
      </c>
      <c r="X1572" s="1" t="s">
        <v>15220</v>
      </c>
      <c r="Y1572" s="1">
        <v>8</v>
      </c>
      <c r="Z1572" s="1" t="s">
        <v>249</v>
      </c>
      <c r="AA1572" s="1" t="s">
        <v>2850</v>
      </c>
      <c r="AB1572" s="1">
        <v>60517</v>
      </c>
      <c r="AD1572" s="1" t="s">
        <v>5194</v>
      </c>
      <c r="AE1572" s="1" t="s">
        <v>15221</v>
      </c>
      <c r="AF1572" s="1">
        <v>1974</v>
      </c>
      <c r="AG1572" s="1" t="s">
        <v>213</v>
      </c>
      <c r="AH1572" s="1" t="s">
        <v>2853</v>
      </c>
      <c r="AI1572" s="1" t="s">
        <v>206</v>
      </c>
      <c r="AJ1572" s="1" t="s">
        <v>925</v>
      </c>
      <c r="AL1572" s="1">
        <v>5</v>
      </c>
      <c r="AM1572" s="1">
        <v>2</v>
      </c>
      <c r="AN1572" s="1">
        <v>1</v>
      </c>
      <c r="AO1572" s="1">
        <v>2</v>
      </c>
      <c r="AP1572" s="1" t="s">
        <v>1234</v>
      </c>
      <c r="AR1572" s="1" t="s">
        <v>210</v>
      </c>
      <c r="AS1572" s="1" t="s">
        <v>204</v>
      </c>
      <c r="AT1572" s="1" t="s">
        <v>271</v>
      </c>
      <c r="AV1572" s="1">
        <v>1</v>
      </c>
      <c r="AW1572" s="1" t="s">
        <v>204</v>
      </c>
      <c r="AX1572" s="1" t="s">
        <v>212</v>
      </c>
      <c r="AZ1572" s="1">
        <v>2620.6799999999998</v>
      </c>
      <c r="BA1572" s="1">
        <v>2013</v>
      </c>
      <c r="BE1572" s="1">
        <v>1218</v>
      </c>
      <c r="BF1572" s="1">
        <v>1</v>
      </c>
      <c r="BG1572" s="1">
        <v>0</v>
      </c>
      <c r="BL1572" s="1">
        <v>314</v>
      </c>
      <c r="BM1572" s="1" t="s">
        <v>204</v>
      </c>
      <c r="BN1572" s="1" t="s">
        <v>213</v>
      </c>
      <c r="BO1572" s="1">
        <v>999</v>
      </c>
      <c r="BP1572" s="1" t="s">
        <v>204</v>
      </c>
      <c r="BR1572" s="1" t="str">
        <f>"0825420060"</f>
        <v>0825420060</v>
      </c>
      <c r="BT1572" s="1" t="s">
        <v>15222</v>
      </c>
      <c r="BX1572" s="1">
        <v>68</v>
      </c>
      <c r="BY1572" s="1">
        <v>68</v>
      </c>
      <c r="BZ1572" s="1">
        <v>99</v>
      </c>
      <c r="CB1572" s="1" t="str">
        <f t="shared" ref="CB1572:CC1572" si="1197">""</f>
        <v/>
      </c>
      <c r="CC1572" s="1" t="str">
        <f t="shared" si="1197"/>
        <v/>
      </c>
      <c r="CG1572" s="1" t="s">
        <v>1737</v>
      </c>
      <c r="CH1572" s="1" t="s">
        <v>219</v>
      </c>
      <c r="CK1572" s="1" t="s">
        <v>564</v>
      </c>
      <c r="CL1572" s="1" t="s">
        <v>277</v>
      </c>
      <c r="CO1572" s="1" t="s">
        <v>409</v>
      </c>
      <c r="CP1572" s="1" t="s">
        <v>219</v>
      </c>
      <c r="CS1572" s="1" t="s">
        <v>1358</v>
      </c>
      <c r="CT1572" s="1" t="s">
        <v>277</v>
      </c>
      <c r="CX1572" s="1" t="s">
        <v>224</v>
      </c>
      <c r="DB1572" s="1" t="s">
        <v>224</v>
      </c>
      <c r="DE1572" s="1" t="s">
        <v>1297</v>
      </c>
      <c r="DF1572" s="1" t="s">
        <v>219</v>
      </c>
      <c r="DJ1572" s="1" t="s">
        <v>224</v>
      </c>
      <c r="DS1572" s="1" t="s">
        <v>230</v>
      </c>
      <c r="DW1572" s="1" t="s">
        <v>230</v>
      </c>
      <c r="EA1572" s="1" t="s">
        <v>230</v>
      </c>
      <c r="EE1572" s="1" t="s">
        <v>230</v>
      </c>
      <c r="EI1572" s="1" t="s">
        <v>230</v>
      </c>
      <c r="EL1572" s="1" t="s">
        <v>231</v>
      </c>
      <c r="EM1572" s="1" t="s">
        <v>232</v>
      </c>
      <c r="EN1572" s="1" t="s">
        <v>282</v>
      </c>
      <c r="EO1572" s="1" t="s">
        <v>234</v>
      </c>
      <c r="ER1572" s="1" t="s">
        <v>210</v>
      </c>
      <c r="EW1572" s="1" t="s">
        <v>15223</v>
      </c>
      <c r="EZ1572" s="1" t="s">
        <v>287</v>
      </c>
      <c r="FB1572" s="1" t="s">
        <v>289</v>
      </c>
      <c r="FD1572" s="1" t="s">
        <v>246</v>
      </c>
      <c r="FE1572" s="1" t="s">
        <v>1031</v>
      </c>
      <c r="FF1572" s="1" t="s">
        <v>248</v>
      </c>
      <c r="FH1572" s="1" t="s">
        <v>249</v>
      </c>
      <c r="FL1572" s="1" t="s">
        <v>358</v>
      </c>
      <c r="FM1572" s="1" t="s">
        <v>252</v>
      </c>
      <c r="FN1572" s="1" t="s">
        <v>213</v>
      </c>
      <c r="FO1572" s="1" t="s">
        <v>213</v>
      </c>
      <c r="FQ1572" s="1" t="s">
        <v>15224</v>
      </c>
      <c r="FR1572" s="1" t="s">
        <v>652</v>
      </c>
      <c r="FS1572" s="1" t="s">
        <v>4325</v>
      </c>
      <c r="FT1572" s="1" t="s">
        <v>654</v>
      </c>
      <c r="FU1572" s="1" t="s">
        <v>204</v>
      </c>
      <c r="FW1572" s="1" t="s">
        <v>9811</v>
      </c>
      <c r="FX1572" s="1">
        <v>23187</v>
      </c>
      <c r="FY1572" s="1" t="s">
        <v>9812</v>
      </c>
      <c r="FZ1572" s="1" t="s">
        <v>15225</v>
      </c>
      <c r="GA1572" s="1">
        <v>232524</v>
      </c>
      <c r="GB1572" s="1" t="s">
        <v>15226</v>
      </c>
      <c r="GC1572" s="1">
        <v>227398</v>
      </c>
      <c r="GE1572" s="1" t="s">
        <v>210</v>
      </c>
      <c r="GI1572" s="1" t="s">
        <v>213</v>
      </c>
      <c r="GJ1572" s="1" t="s">
        <v>260</v>
      </c>
      <c r="GK1572" s="1" t="s">
        <v>210</v>
      </c>
      <c r="GL1572" s="2">
        <v>42069</v>
      </c>
      <c r="GM1572" s="1" t="s">
        <v>15227</v>
      </c>
    </row>
    <row r="1573" spans="1:195">
      <c r="A1573" s="1">
        <v>142500</v>
      </c>
      <c r="B1573" s="1" t="s">
        <v>195</v>
      </c>
      <c r="C1573" s="1" t="str">
        <f>"08688791"</f>
        <v>08688791</v>
      </c>
      <c r="D1573" s="1" t="s">
        <v>196</v>
      </c>
      <c r="F1573" s="1" t="str">
        <f>"123"</f>
        <v>123</v>
      </c>
      <c r="G1573" s="2">
        <v>41851</v>
      </c>
      <c r="H1573" s="1">
        <v>154944</v>
      </c>
      <c r="I1573" s="1">
        <v>154944</v>
      </c>
      <c r="J1573" s="1">
        <v>142500</v>
      </c>
      <c r="K1573" s="2">
        <v>41850</v>
      </c>
      <c r="L1573" s="1">
        <v>200</v>
      </c>
      <c r="M1573" s="2">
        <v>42049</v>
      </c>
      <c r="N1573" s="1">
        <v>200</v>
      </c>
      <c r="O1573" s="2">
        <v>42049</v>
      </c>
      <c r="P1573" s="1">
        <v>23099</v>
      </c>
      <c r="Q1573" s="1" t="s">
        <v>302</v>
      </c>
      <c r="R1573" s="2">
        <v>42065</v>
      </c>
      <c r="S1573" s="1">
        <v>227658</v>
      </c>
      <c r="T1573" s="1">
        <v>1000</v>
      </c>
      <c r="U1573" s="1">
        <v>944</v>
      </c>
      <c r="V1573" s="1" t="s">
        <v>15228</v>
      </c>
      <c r="W1573" s="1" t="s">
        <v>264</v>
      </c>
      <c r="Y1573" s="1">
        <v>3</v>
      </c>
      <c r="Z1573" s="1" t="s">
        <v>370</v>
      </c>
      <c r="AA1573" s="1" t="s">
        <v>1173</v>
      </c>
      <c r="AB1573" s="1">
        <v>60123</v>
      </c>
      <c r="AD1573" s="1" t="s">
        <v>15229</v>
      </c>
      <c r="AE1573" s="1" t="s">
        <v>15230</v>
      </c>
      <c r="AF1573" s="1">
        <v>1991</v>
      </c>
      <c r="AG1573" s="1" t="s">
        <v>204</v>
      </c>
      <c r="AH1573" s="1" t="s">
        <v>1175</v>
      </c>
      <c r="AI1573" s="1" t="s">
        <v>665</v>
      </c>
      <c r="AJ1573" s="1" t="s">
        <v>1175</v>
      </c>
      <c r="AL1573" s="1">
        <v>7</v>
      </c>
      <c r="AM1573" s="1">
        <v>2</v>
      </c>
      <c r="AN1573" s="1">
        <v>2</v>
      </c>
      <c r="AO1573" s="1">
        <v>0</v>
      </c>
      <c r="AP1573" s="1" t="s">
        <v>209</v>
      </c>
      <c r="AQ1573" s="1">
        <v>1</v>
      </c>
      <c r="AR1573" s="1" t="s">
        <v>4448</v>
      </c>
      <c r="AS1573" s="1" t="s">
        <v>213</v>
      </c>
      <c r="AT1573" s="1" t="s">
        <v>211</v>
      </c>
      <c r="AU1573" s="1">
        <v>2</v>
      </c>
      <c r="AW1573" s="1" t="s">
        <v>204</v>
      </c>
      <c r="AX1573" s="1" t="s">
        <v>15231</v>
      </c>
      <c r="AZ1573" s="1">
        <v>3572.12</v>
      </c>
      <c r="BA1573" s="1">
        <v>2013</v>
      </c>
      <c r="BB1573" s="1" t="s">
        <v>405</v>
      </c>
      <c r="BE1573" s="1">
        <v>1725</v>
      </c>
      <c r="BF1573" s="1">
        <v>1</v>
      </c>
      <c r="BG1573" s="1">
        <v>0</v>
      </c>
      <c r="BL1573" s="1">
        <v>205</v>
      </c>
      <c r="BM1573" s="1" t="s">
        <v>204</v>
      </c>
      <c r="BN1573" s="1" t="s">
        <v>213</v>
      </c>
      <c r="BO1573" s="1">
        <v>99</v>
      </c>
      <c r="BP1573" s="1" t="s">
        <v>204</v>
      </c>
      <c r="BR1573" s="1" t="str">
        <f>"0627176068"</f>
        <v>0627176068</v>
      </c>
      <c r="BT1573" s="1" t="s">
        <v>15232</v>
      </c>
      <c r="BX1573" s="1">
        <v>46</v>
      </c>
      <c r="BY1573" s="1">
        <v>46</v>
      </c>
      <c r="BZ1573" s="1">
        <v>46</v>
      </c>
      <c r="CB1573" s="1" t="str">
        <f t="shared" ref="CB1573:CC1573" si="1198">""</f>
        <v/>
      </c>
      <c r="CC1573" s="1" t="str">
        <f t="shared" si="1198"/>
        <v/>
      </c>
      <c r="CG1573" s="1" t="s">
        <v>377</v>
      </c>
      <c r="CH1573" s="1" t="s">
        <v>219</v>
      </c>
      <c r="CI1573" s="1" t="s">
        <v>220</v>
      </c>
      <c r="CJ1573" s="1" t="s">
        <v>343</v>
      </c>
      <c r="CK1573" s="1" t="s">
        <v>1178</v>
      </c>
      <c r="CL1573" s="1" t="s">
        <v>277</v>
      </c>
      <c r="CM1573" s="1" t="s">
        <v>220</v>
      </c>
      <c r="CN1573" s="1" t="s">
        <v>252</v>
      </c>
      <c r="CP1573" s="1" t="s">
        <v>224</v>
      </c>
      <c r="CS1573" s="1" t="s">
        <v>836</v>
      </c>
      <c r="CT1573" s="1" t="s">
        <v>822</v>
      </c>
      <c r="CU1573" s="1" t="s">
        <v>220</v>
      </c>
      <c r="CV1573" s="1" t="s">
        <v>252</v>
      </c>
      <c r="CX1573" s="1" t="s">
        <v>224</v>
      </c>
      <c r="DB1573" s="1" t="s">
        <v>224</v>
      </c>
      <c r="DE1573" s="1" t="s">
        <v>318</v>
      </c>
      <c r="DF1573" s="1" t="s">
        <v>219</v>
      </c>
      <c r="DG1573" s="1" t="s">
        <v>226</v>
      </c>
      <c r="DH1573" s="1" t="s">
        <v>210</v>
      </c>
      <c r="DI1573" s="1" t="s">
        <v>908</v>
      </c>
      <c r="DJ1573" s="1" t="s">
        <v>822</v>
      </c>
      <c r="DK1573" s="1" t="s">
        <v>220</v>
      </c>
      <c r="DL1573" s="1" t="s">
        <v>343</v>
      </c>
      <c r="DM1573" s="1" t="s">
        <v>381</v>
      </c>
      <c r="DN1573" s="1" t="s">
        <v>464</v>
      </c>
      <c r="DR1573" s="1" t="s">
        <v>409</v>
      </c>
      <c r="DS1573" s="1" t="s">
        <v>219</v>
      </c>
      <c r="DT1573" s="1" t="s">
        <v>226</v>
      </c>
      <c r="DU1573" s="1" t="s">
        <v>252</v>
      </c>
      <c r="DV1573" s="1" t="s">
        <v>9969</v>
      </c>
      <c r="DW1573" s="1" t="s">
        <v>277</v>
      </c>
      <c r="DX1573" s="1" t="s">
        <v>220</v>
      </c>
      <c r="DY1573" s="1" t="s">
        <v>210</v>
      </c>
      <c r="EA1573" s="1" t="s">
        <v>230</v>
      </c>
      <c r="EE1573" s="1" t="s">
        <v>230</v>
      </c>
      <c r="EI1573" s="1" t="s">
        <v>230</v>
      </c>
      <c r="EL1573" s="1" t="s">
        <v>382</v>
      </c>
      <c r="EM1573" s="1" t="s">
        <v>319</v>
      </c>
      <c r="EN1573" s="1" t="s">
        <v>282</v>
      </c>
      <c r="EO1573" s="1" t="s">
        <v>234</v>
      </c>
      <c r="EP1573" s="1" t="s">
        <v>283</v>
      </c>
      <c r="EQ1573" s="1" t="s">
        <v>236</v>
      </c>
      <c r="ER1573" s="1" t="s">
        <v>544</v>
      </c>
      <c r="ES1573" s="1" t="s">
        <v>3932</v>
      </c>
      <c r="ET1573" s="1" t="s">
        <v>1201</v>
      </c>
      <c r="EW1573" s="1" t="s">
        <v>887</v>
      </c>
      <c r="EZ1573" s="1" t="s">
        <v>4284</v>
      </c>
      <c r="FA1573" s="1" t="s">
        <v>15233</v>
      </c>
      <c r="FC1573" s="1" t="s">
        <v>1405</v>
      </c>
      <c r="FD1573" s="1" t="s">
        <v>495</v>
      </c>
      <c r="FE1573" s="1" t="s">
        <v>549</v>
      </c>
      <c r="FF1573" s="1" t="s">
        <v>248</v>
      </c>
      <c r="FG1573" s="1" t="s">
        <v>14522</v>
      </c>
      <c r="FH1573" s="1" t="s">
        <v>550</v>
      </c>
      <c r="FI1573" s="1" t="s">
        <v>473</v>
      </c>
      <c r="FJ1573" s="1" t="s">
        <v>518</v>
      </c>
      <c r="FL1573" s="1" t="s">
        <v>358</v>
      </c>
      <c r="FM1573" s="1" t="s">
        <v>252</v>
      </c>
      <c r="FN1573" s="1" t="s">
        <v>213</v>
      </c>
      <c r="FO1573" s="1" t="s">
        <v>213</v>
      </c>
      <c r="FQ1573" s="1" t="s">
        <v>2793</v>
      </c>
      <c r="FR1573" s="1" t="s">
        <v>652</v>
      </c>
      <c r="FS1573" s="1" t="s">
        <v>15234</v>
      </c>
      <c r="FT1573" s="1" t="s">
        <v>255</v>
      </c>
      <c r="FU1573" s="1" t="s">
        <v>204</v>
      </c>
      <c r="FV1573" s="1" t="s">
        <v>15235</v>
      </c>
      <c r="FW1573" s="1" t="s">
        <v>15236</v>
      </c>
      <c r="FX1573" s="1">
        <v>7630</v>
      </c>
      <c r="FY1573" s="1" t="s">
        <v>15237</v>
      </c>
      <c r="FZ1573" s="1" t="s">
        <v>15238</v>
      </c>
      <c r="GA1573" s="1">
        <v>77062</v>
      </c>
      <c r="GB1573" s="1" t="s">
        <v>15239</v>
      </c>
      <c r="GE1573" s="1" t="s">
        <v>210</v>
      </c>
      <c r="GI1573" s="1" t="s">
        <v>213</v>
      </c>
      <c r="GJ1573" s="1" t="s">
        <v>260</v>
      </c>
      <c r="GK1573" s="1" t="s">
        <v>210</v>
      </c>
      <c r="GL1573" s="2">
        <v>42066</v>
      </c>
      <c r="GM1573" s="1" t="s">
        <v>15240</v>
      </c>
    </row>
    <row r="1574" spans="1:195">
      <c r="A1574" s="1">
        <v>43777</v>
      </c>
      <c r="B1574" s="1" t="s">
        <v>195</v>
      </c>
      <c r="C1574" s="1" t="str">
        <f>"08695746"</f>
        <v>08695746</v>
      </c>
      <c r="D1574" s="1" t="s">
        <v>196</v>
      </c>
      <c r="F1574" s="1" t="str">
        <f>"2"</f>
        <v>2</v>
      </c>
      <c r="G1574" s="2">
        <v>41858</v>
      </c>
      <c r="H1574" s="1">
        <v>76650</v>
      </c>
      <c r="I1574" s="1">
        <v>58400</v>
      </c>
      <c r="J1574" s="1">
        <v>43777</v>
      </c>
      <c r="K1574" s="2">
        <v>41856</v>
      </c>
      <c r="L1574" s="1">
        <v>123</v>
      </c>
      <c r="M1574" s="2">
        <v>41978</v>
      </c>
      <c r="N1574" s="1">
        <v>123</v>
      </c>
      <c r="O1574" s="2">
        <v>41978</v>
      </c>
      <c r="P1574" s="1">
        <v>5070</v>
      </c>
      <c r="Q1574" s="1" t="s">
        <v>302</v>
      </c>
      <c r="R1574" s="2">
        <v>42009</v>
      </c>
      <c r="S1574" s="1">
        <v>55510</v>
      </c>
      <c r="U1574" s="1">
        <v>476</v>
      </c>
      <c r="V1574" s="1" t="s">
        <v>6831</v>
      </c>
      <c r="W1574" s="1" t="s">
        <v>526</v>
      </c>
      <c r="Y1574" s="1">
        <v>2</v>
      </c>
      <c r="Z1574" s="1" t="s">
        <v>200</v>
      </c>
      <c r="AA1574" s="1" t="s">
        <v>5713</v>
      </c>
      <c r="AB1574" s="1">
        <v>60002</v>
      </c>
      <c r="AE1574" s="1" t="s">
        <v>15241</v>
      </c>
      <c r="AF1574" s="1">
        <v>1993</v>
      </c>
      <c r="AG1574" s="1" t="s">
        <v>204</v>
      </c>
      <c r="AH1574" s="1" t="s">
        <v>596</v>
      </c>
      <c r="AI1574" s="1" t="s">
        <v>509</v>
      </c>
      <c r="AJ1574" s="1" t="s">
        <v>596</v>
      </c>
      <c r="AL1574" s="1">
        <v>5</v>
      </c>
      <c r="AM1574" s="1">
        <v>2</v>
      </c>
      <c r="AN1574" s="1">
        <v>1</v>
      </c>
      <c r="AO1574" s="1">
        <v>1</v>
      </c>
      <c r="AP1574" s="1" t="s">
        <v>210</v>
      </c>
      <c r="AR1574" s="1" t="s">
        <v>210</v>
      </c>
      <c r="AS1574" s="1" t="s">
        <v>204</v>
      </c>
      <c r="AT1574" s="1" t="s">
        <v>211</v>
      </c>
      <c r="AU1574" s="1">
        <v>1</v>
      </c>
      <c r="AW1574" s="1" t="s">
        <v>204</v>
      </c>
      <c r="AX1574" s="1">
        <v>4792</v>
      </c>
      <c r="AZ1574" s="1">
        <v>3187.19</v>
      </c>
      <c r="BA1574" s="1">
        <v>2012</v>
      </c>
      <c r="BE1574" s="1">
        <v>1325</v>
      </c>
      <c r="BF1574" s="1">
        <v>1</v>
      </c>
      <c r="BG1574" s="1">
        <v>0</v>
      </c>
      <c r="BL1574" s="1">
        <v>0</v>
      </c>
      <c r="BM1574" s="1" t="s">
        <v>204</v>
      </c>
      <c r="BN1574" s="1" t="s">
        <v>213</v>
      </c>
      <c r="BO1574" s="1">
        <v>0</v>
      </c>
      <c r="BP1574" s="1" t="s">
        <v>204</v>
      </c>
      <c r="BR1574" s="1" t="str">
        <f>"02053100550000"</f>
        <v>02053100550000</v>
      </c>
      <c r="BT1574" s="1" t="s">
        <v>15242</v>
      </c>
      <c r="BX1574" s="1">
        <v>34</v>
      </c>
      <c r="BY1574" s="1">
        <v>34</v>
      </c>
      <c r="BZ1574" s="1">
        <v>117</v>
      </c>
      <c r="CB1574" s="1" t="str">
        <f t="shared" ref="CB1574:CC1574" si="1199">""</f>
        <v/>
      </c>
      <c r="CC1574" s="1" t="str">
        <f t="shared" si="1199"/>
        <v/>
      </c>
      <c r="CG1574" s="1" t="s">
        <v>1106</v>
      </c>
      <c r="CH1574" s="1" t="s">
        <v>219</v>
      </c>
      <c r="CK1574" s="1" t="s">
        <v>836</v>
      </c>
      <c r="CL1574" s="1" t="s">
        <v>219</v>
      </c>
      <c r="CO1574" s="1" t="s">
        <v>4098</v>
      </c>
      <c r="CP1574" s="1" t="s">
        <v>219</v>
      </c>
      <c r="CS1574" s="1" t="s">
        <v>465</v>
      </c>
      <c r="CT1574" s="1" t="s">
        <v>219</v>
      </c>
      <c r="CX1574" s="1" t="s">
        <v>224</v>
      </c>
      <c r="DB1574" s="1" t="s">
        <v>224</v>
      </c>
      <c r="DE1574" s="1" t="s">
        <v>317</v>
      </c>
      <c r="DF1574" s="1" t="s">
        <v>219</v>
      </c>
      <c r="DJ1574" s="1" t="s">
        <v>224</v>
      </c>
      <c r="DS1574" s="1" t="s">
        <v>230</v>
      </c>
      <c r="DW1574" s="1" t="s">
        <v>230</v>
      </c>
      <c r="EA1574" s="1" t="s">
        <v>230</v>
      </c>
      <c r="EE1574" s="1" t="s">
        <v>230</v>
      </c>
      <c r="EI1574" s="1" t="s">
        <v>230</v>
      </c>
      <c r="EL1574" s="1" t="s">
        <v>382</v>
      </c>
      <c r="EM1574" s="1" t="s">
        <v>319</v>
      </c>
      <c r="EN1574" s="1" t="s">
        <v>282</v>
      </c>
      <c r="EO1574" s="1" t="s">
        <v>234</v>
      </c>
      <c r="ER1574" s="1" t="s">
        <v>210</v>
      </c>
      <c r="EW1574" s="1" t="s">
        <v>210</v>
      </c>
      <c r="EZ1574" s="1" t="s">
        <v>287</v>
      </c>
      <c r="FD1574" s="1" t="s">
        <v>246</v>
      </c>
      <c r="FE1574" s="1" t="s">
        <v>870</v>
      </c>
      <c r="FF1574" s="1" t="s">
        <v>248</v>
      </c>
      <c r="FH1574" s="1" t="s">
        <v>442</v>
      </c>
      <c r="FL1574" s="1" t="s">
        <v>358</v>
      </c>
      <c r="FM1574" s="1" t="s">
        <v>252</v>
      </c>
      <c r="FN1574" s="1" t="s">
        <v>213</v>
      </c>
      <c r="FO1574" s="1" t="s">
        <v>213</v>
      </c>
      <c r="FQ1574" s="1" t="s">
        <v>689</v>
      </c>
      <c r="FR1574" s="1" t="s">
        <v>210</v>
      </c>
      <c r="FS1574" s="1" t="s">
        <v>15243</v>
      </c>
      <c r="FT1574" s="1" t="s">
        <v>654</v>
      </c>
      <c r="FU1574" s="1" t="s">
        <v>204</v>
      </c>
      <c r="FW1574" s="1" t="s">
        <v>1806</v>
      </c>
      <c r="FX1574" s="1">
        <v>25196</v>
      </c>
      <c r="FY1574" s="1" t="s">
        <v>1807</v>
      </c>
      <c r="FZ1574" s="1" t="s">
        <v>1808</v>
      </c>
      <c r="GA1574" s="1">
        <v>214545</v>
      </c>
      <c r="GB1574" s="1" t="s">
        <v>1807</v>
      </c>
      <c r="GC1574" s="1">
        <v>239627</v>
      </c>
      <c r="GE1574" s="1" t="s">
        <v>210</v>
      </c>
      <c r="GI1574" s="1" t="s">
        <v>204</v>
      </c>
      <c r="GJ1574" s="1" t="s">
        <v>260</v>
      </c>
      <c r="GK1574" s="1" t="s">
        <v>210</v>
      </c>
      <c r="GL1574" s="2">
        <v>42010</v>
      </c>
      <c r="GM1574" s="1" t="s">
        <v>15244</v>
      </c>
    </row>
    <row r="1575" spans="1:195">
      <c r="A1575" s="1">
        <v>253930</v>
      </c>
      <c r="B1575" s="1" t="s">
        <v>195</v>
      </c>
      <c r="C1575" s="1" t="str">
        <f>"08696398"</f>
        <v>08696398</v>
      </c>
      <c r="D1575" s="1" t="s">
        <v>196</v>
      </c>
      <c r="F1575" s="1" t="str">
        <f>"188"</f>
        <v>188</v>
      </c>
      <c r="G1575" s="2">
        <v>41859</v>
      </c>
      <c r="H1575" s="1">
        <v>254990</v>
      </c>
      <c r="I1575" s="1">
        <v>248990</v>
      </c>
      <c r="J1575" s="1">
        <v>253930</v>
      </c>
      <c r="K1575" s="2">
        <v>41859</v>
      </c>
      <c r="L1575" s="1">
        <v>203</v>
      </c>
      <c r="M1575" s="2">
        <v>41994</v>
      </c>
      <c r="N1575" s="1">
        <v>136</v>
      </c>
      <c r="O1575" s="2">
        <v>41994</v>
      </c>
      <c r="P1575" s="1" t="s">
        <v>1039</v>
      </c>
      <c r="Q1575" s="1" t="s">
        <v>423</v>
      </c>
      <c r="R1575" s="2">
        <v>42061</v>
      </c>
      <c r="S1575" s="1">
        <v>99999</v>
      </c>
      <c r="U1575" s="1">
        <v>275</v>
      </c>
      <c r="V1575" s="1" t="s">
        <v>15245</v>
      </c>
      <c r="W1575" s="1" t="s">
        <v>264</v>
      </c>
      <c r="Y1575" s="1">
        <v>5</v>
      </c>
      <c r="Z1575" s="1" t="s">
        <v>370</v>
      </c>
      <c r="AA1575" s="1" t="s">
        <v>1084</v>
      </c>
      <c r="AB1575" s="1">
        <v>60188</v>
      </c>
      <c r="AD1575" s="1" t="s">
        <v>5169</v>
      </c>
      <c r="AE1575" s="1" t="s">
        <v>5170</v>
      </c>
      <c r="AF1575" s="1">
        <v>2014</v>
      </c>
      <c r="AG1575" s="1" t="s">
        <v>204</v>
      </c>
      <c r="AH1575" s="1" t="s">
        <v>1087</v>
      </c>
      <c r="AI1575" s="1" t="s">
        <v>206</v>
      </c>
      <c r="AJ1575" s="1" t="s">
        <v>269</v>
      </c>
      <c r="AK1575" s="1" t="s">
        <v>15246</v>
      </c>
      <c r="AL1575" s="1">
        <v>5</v>
      </c>
      <c r="AM1575" s="1">
        <v>2</v>
      </c>
      <c r="AN1575" s="1">
        <v>2</v>
      </c>
      <c r="AO1575" s="1">
        <v>1</v>
      </c>
      <c r="AP1575" s="1" t="s">
        <v>209</v>
      </c>
      <c r="AR1575" s="1" t="s">
        <v>210</v>
      </c>
      <c r="AS1575" s="1" t="s">
        <v>204</v>
      </c>
      <c r="AT1575" s="1" t="s">
        <v>211</v>
      </c>
      <c r="AU1575" s="1">
        <v>2</v>
      </c>
      <c r="AW1575" s="1" t="s">
        <v>204</v>
      </c>
      <c r="AX1575" s="1" t="s">
        <v>212</v>
      </c>
      <c r="AZ1575" s="1" t="s">
        <v>751</v>
      </c>
      <c r="BA1575" s="1">
        <v>2013</v>
      </c>
      <c r="BB1575" s="1" t="s">
        <v>210</v>
      </c>
      <c r="BE1575" s="1">
        <v>1706</v>
      </c>
      <c r="BF1575" s="1">
        <v>2</v>
      </c>
      <c r="BG1575" s="1">
        <v>0</v>
      </c>
      <c r="BL1575" s="1">
        <v>130</v>
      </c>
      <c r="BM1575" s="1" t="s">
        <v>204</v>
      </c>
      <c r="BN1575" s="1" t="s">
        <v>213</v>
      </c>
      <c r="BO1575" s="1">
        <v>0</v>
      </c>
      <c r="BP1575" s="1" t="s">
        <v>213</v>
      </c>
      <c r="BQ1575" s="2">
        <v>41916</v>
      </c>
      <c r="BR1575" s="1" t="str">
        <f>"0232307084"</f>
        <v>0232307084</v>
      </c>
      <c r="BT1575" s="1" t="s">
        <v>15247</v>
      </c>
      <c r="BU1575" s="1" t="s">
        <v>4776</v>
      </c>
      <c r="BV1575" s="1" t="s">
        <v>1502</v>
      </c>
      <c r="BW1575" s="1" t="s">
        <v>1092</v>
      </c>
      <c r="BX1575" s="1">
        <v>93</v>
      </c>
      <c r="BY1575" s="1">
        <v>93</v>
      </c>
      <c r="BZ1575" s="1">
        <v>87</v>
      </c>
      <c r="CB1575" s="1" t="str">
        <f>"2"</f>
        <v>2</v>
      </c>
      <c r="CC1575" s="1" t="str">
        <f>"0"</f>
        <v>0</v>
      </c>
      <c r="CD1575" s="1">
        <v>25</v>
      </c>
      <c r="CE1575" s="1">
        <v>0</v>
      </c>
      <c r="CH1575" s="1" t="s">
        <v>224</v>
      </c>
      <c r="CK1575" s="1" t="s">
        <v>377</v>
      </c>
      <c r="CL1575" s="1" t="s">
        <v>277</v>
      </c>
      <c r="CM1575" s="1" t="s">
        <v>220</v>
      </c>
      <c r="CP1575" s="1" t="s">
        <v>224</v>
      </c>
      <c r="CS1575" s="1" t="s">
        <v>2170</v>
      </c>
      <c r="CT1575" s="1" t="s">
        <v>277</v>
      </c>
      <c r="CU1575" s="1" t="s">
        <v>220</v>
      </c>
      <c r="CX1575" s="1" t="s">
        <v>224</v>
      </c>
      <c r="DB1575" s="1" t="s">
        <v>224</v>
      </c>
      <c r="DE1575" s="1" t="s">
        <v>1297</v>
      </c>
      <c r="DF1575" s="1" t="s">
        <v>219</v>
      </c>
      <c r="DJ1575" s="1" t="s">
        <v>224</v>
      </c>
      <c r="DM1575" s="1" t="s">
        <v>381</v>
      </c>
      <c r="DO1575" s="1" t="s">
        <v>1676</v>
      </c>
      <c r="DR1575" s="1" t="s">
        <v>1297</v>
      </c>
      <c r="DS1575" s="1" t="s">
        <v>219</v>
      </c>
      <c r="DW1575" s="1" t="s">
        <v>230</v>
      </c>
      <c r="DZ1575" s="1" t="s">
        <v>377</v>
      </c>
      <c r="EA1575" s="1" t="s">
        <v>219</v>
      </c>
      <c r="EB1575" s="1" t="s">
        <v>220</v>
      </c>
      <c r="EE1575" s="1" t="s">
        <v>230</v>
      </c>
      <c r="EI1575" s="1" t="s">
        <v>230</v>
      </c>
      <c r="EL1575" s="1" t="s">
        <v>760</v>
      </c>
      <c r="EM1575" s="1" t="s">
        <v>319</v>
      </c>
      <c r="EN1575" s="1" t="s">
        <v>282</v>
      </c>
      <c r="EO1575" s="1" t="s">
        <v>234</v>
      </c>
      <c r="EQ1575" s="1" t="s">
        <v>15248</v>
      </c>
      <c r="ER1575" s="1" t="s">
        <v>210</v>
      </c>
      <c r="ES1575" s="1" t="s">
        <v>322</v>
      </c>
      <c r="ET1575" s="1" t="s">
        <v>866</v>
      </c>
      <c r="EU1575" s="1" t="s">
        <v>239</v>
      </c>
      <c r="EW1575" s="1" t="s">
        <v>867</v>
      </c>
      <c r="EY1575" s="1" t="s">
        <v>790</v>
      </c>
      <c r="EZ1575" s="1" t="s">
        <v>5173</v>
      </c>
      <c r="FA1575" s="1" t="s">
        <v>1270</v>
      </c>
      <c r="FD1575" s="1" t="s">
        <v>246</v>
      </c>
      <c r="FE1575" s="1" t="s">
        <v>355</v>
      </c>
      <c r="FF1575" s="1" t="s">
        <v>248</v>
      </c>
      <c r="FH1575" s="1" t="s">
        <v>550</v>
      </c>
      <c r="FJ1575" s="1" t="s">
        <v>518</v>
      </c>
      <c r="FL1575" s="1" t="s">
        <v>358</v>
      </c>
      <c r="FM1575" s="1" t="s">
        <v>252</v>
      </c>
      <c r="FN1575" s="1" t="s">
        <v>213</v>
      </c>
      <c r="FO1575" s="1" t="s">
        <v>213</v>
      </c>
      <c r="FQ1575" s="1" t="s">
        <v>15249</v>
      </c>
      <c r="FR1575" s="1" t="s">
        <v>411</v>
      </c>
      <c r="FS1575" s="1" t="s">
        <v>15250</v>
      </c>
      <c r="FT1575" s="1" t="s">
        <v>3855</v>
      </c>
      <c r="FU1575" s="1" t="s">
        <v>204</v>
      </c>
      <c r="FV1575" s="1" t="s">
        <v>4779</v>
      </c>
      <c r="FW1575" s="1" t="s">
        <v>3857</v>
      </c>
      <c r="FX1575" s="1">
        <v>23223</v>
      </c>
      <c r="FY1575" s="1" t="s">
        <v>3858</v>
      </c>
      <c r="FZ1575" s="1" t="s">
        <v>3859</v>
      </c>
      <c r="GA1575" s="1">
        <v>236300</v>
      </c>
      <c r="GC1575" s="1">
        <v>210778</v>
      </c>
      <c r="GE1575" s="1" t="s">
        <v>480</v>
      </c>
      <c r="GI1575" s="1" t="s">
        <v>204</v>
      </c>
      <c r="GJ1575" s="1" t="s">
        <v>300</v>
      </c>
      <c r="GK1575" s="1" t="s">
        <v>210</v>
      </c>
      <c r="GL1575" s="2">
        <v>42061</v>
      </c>
      <c r="GM1575" s="1" t="s">
        <v>15251</v>
      </c>
    </row>
    <row r="1576" spans="1:195">
      <c r="A1576" s="1">
        <v>185000</v>
      </c>
      <c r="B1576" s="1" t="s">
        <v>195</v>
      </c>
      <c r="C1576" s="1" t="str">
        <f>"08696477"</f>
        <v>08696477</v>
      </c>
      <c r="D1576" s="1" t="s">
        <v>196</v>
      </c>
      <c r="F1576" s="1" t="str">
        <f>"8041"</f>
        <v>8041</v>
      </c>
      <c r="G1576" s="2">
        <v>41859</v>
      </c>
      <c r="H1576" s="1">
        <v>189000</v>
      </c>
      <c r="I1576" s="1">
        <v>189000</v>
      </c>
      <c r="J1576" s="1">
        <v>185000</v>
      </c>
      <c r="K1576" s="2">
        <v>41859</v>
      </c>
      <c r="L1576" s="1">
        <v>355</v>
      </c>
      <c r="M1576" s="2">
        <v>41942</v>
      </c>
      <c r="N1576" s="1">
        <v>84</v>
      </c>
      <c r="O1576" s="2">
        <v>41942</v>
      </c>
      <c r="P1576" s="1">
        <v>11000</v>
      </c>
      <c r="Q1576" s="1" t="s">
        <v>197</v>
      </c>
      <c r="R1576" s="2">
        <v>41988</v>
      </c>
      <c r="S1576" s="1">
        <v>182092</v>
      </c>
      <c r="U1576" s="1">
        <v>5408</v>
      </c>
      <c r="V1576" s="1" t="s">
        <v>13359</v>
      </c>
      <c r="W1576" s="1" t="s">
        <v>425</v>
      </c>
      <c r="X1576" s="1">
        <v>1</v>
      </c>
      <c r="Y1576" s="1">
        <v>99</v>
      </c>
      <c r="Z1576" s="1" t="s">
        <v>249</v>
      </c>
      <c r="AA1576" s="1" t="s">
        <v>400</v>
      </c>
      <c r="AB1576" s="1">
        <v>60615</v>
      </c>
      <c r="AD1576" s="1" t="s">
        <v>15252</v>
      </c>
      <c r="AE1576" s="1" t="s">
        <v>15253</v>
      </c>
      <c r="AF1576" s="1">
        <v>1912</v>
      </c>
      <c r="AG1576" s="1" t="s">
        <v>213</v>
      </c>
      <c r="AH1576" s="1" t="s">
        <v>403</v>
      </c>
      <c r="AI1576" s="1" t="s">
        <v>310</v>
      </c>
      <c r="AJ1576" s="1" t="s">
        <v>562</v>
      </c>
      <c r="AL1576" s="1">
        <v>6</v>
      </c>
      <c r="AM1576" s="1">
        <v>2</v>
      </c>
      <c r="AN1576" s="1">
        <v>2</v>
      </c>
      <c r="AO1576" s="1">
        <v>0</v>
      </c>
      <c r="AP1576" s="1" t="s">
        <v>209</v>
      </c>
      <c r="AQ1576" s="1">
        <v>1</v>
      </c>
      <c r="AR1576" s="1" t="s">
        <v>210</v>
      </c>
      <c r="AS1576" s="1" t="s">
        <v>204</v>
      </c>
      <c r="AT1576" s="1" t="s">
        <v>271</v>
      </c>
      <c r="AV1576" s="1">
        <v>1</v>
      </c>
      <c r="AW1576" s="1" t="s">
        <v>213</v>
      </c>
      <c r="AX1576" s="1" t="s">
        <v>212</v>
      </c>
      <c r="AZ1576" s="5">
        <v>3598.6</v>
      </c>
      <c r="BA1576" s="1">
        <v>2012</v>
      </c>
      <c r="BB1576" s="1" t="s">
        <v>210</v>
      </c>
      <c r="BE1576" s="1">
        <v>1500</v>
      </c>
      <c r="BF1576" s="1">
        <v>1</v>
      </c>
      <c r="BG1576" s="1">
        <v>30</v>
      </c>
      <c r="BL1576" s="1">
        <v>486</v>
      </c>
      <c r="BM1576" s="1" t="s">
        <v>204</v>
      </c>
      <c r="BN1576" s="1" t="s">
        <v>213</v>
      </c>
      <c r="BP1576" s="1" t="s">
        <v>204</v>
      </c>
      <c r="BR1576" s="1" t="str">
        <f>"20121140521016"</f>
        <v>20121140521016</v>
      </c>
      <c r="BT1576" s="1" t="s">
        <v>15254</v>
      </c>
      <c r="BU1576" s="1" t="s">
        <v>15255</v>
      </c>
      <c r="BX1576" s="1">
        <v>299</v>
      </c>
      <c r="BY1576" s="1">
        <v>299</v>
      </c>
      <c r="BZ1576" s="1">
        <v>299</v>
      </c>
      <c r="CB1576" s="1" t="str">
        <f>"0"</f>
        <v>0</v>
      </c>
      <c r="CC1576" s="1" t="str">
        <f>"1700"</f>
        <v>1700</v>
      </c>
      <c r="CD1576" s="1">
        <v>0</v>
      </c>
      <c r="CE1576" s="1">
        <v>5408</v>
      </c>
      <c r="CG1576" s="1" t="s">
        <v>648</v>
      </c>
      <c r="CH1576" s="1" t="s">
        <v>219</v>
      </c>
      <c r="CI1576" s="1" t="s">
        <v>438</v>
      </c>
      <c r="CK1576" s="1" t="s">
        <v>280</v>
      </c>
      <c r="CL1576" s="1" t="s">
        <v>219</v>
      </c>
      <c r="CM1576" s="1" t="s">
        <v>438</v>
      </c>
      <c r="CO1576" s="1" t="s">
        <v>2935</v>
      </c>
      <c r="CP1576" s="1" t="s">
        <v>219</v>
      </c>
      <c r="CQ1576" s="1" t="s">
        <v>438</v>
      </c>
      <c r="CR1576" s="1" t="s">
        <v>210</v>
      </c>
      <c r="CS1576" s="1" t="s">
        <v>379</v>
      </c>
      <c r="CT1576" s="1" t="s">
        <v>219</v>
      </c>
      <c r="CU1576" s="1" t="s">
        <v>438</v>
      </c>
      <c r="CX1576" s="1" t="s">
        <v>224</v>
      </c>
      <c r="DB1576" s="1" t="s">
        <v>224</v>
      </c>
      <c r="DE1576" s="1" t="s">
        <v>5696</v>
      </c>
      <c r="DF1576" s="1" t="s">
        <v>219</v>
      </c>
      <c r="DG1576" s="1" t="s">
        <v>342</v>
      </c>
      <c r="DJ1576" s="1" t="s">
        <v>224</v>
      </c>
      <c r="DM1576" s="1" t="s">
        <v>709</v>
      </c>
      <c r="DN1576" s="1" t="s">
        <v>1789</v>
      </c>
      <c r="DO1576" s="1" t="s">
        <v>1614</v>
      </c>
      <c r="DR1576" s="1" t="s">
        <v>2123</v>
      </c>
      <c r="DS1576" s="1" t="s">
        <v>219</v>
      </c>
      <c r="DT1576" s="1" t="s">
        <v>438</v>
      </c>
      <c r="DV1576" s="1" t="s">
        <v>837</v>
      </c>
      <c r="DW1576" s="1" t="s">
        <v>219</v>
      </c>
      <c r="DX1576" s="1" t="s">
        <v>226</v>
      </c>
      <c r="DZ1576" s="1" t="s">
        <v>1919</v>
      </c>
      <c r="EA1576" s="1" t="s">
        <v>219</v>
      </c>
      <c r="EB1576" s="1" t="s">
        <v>438</v>
      </c>
      <c r="EE1576" s="1" t="s">
        <v>230</v>
      </c>
      <c r="EI1576" s="1" t="s">
        <v>230</v>
      </c>
      <c r="EL1576" s="1" t="s">
        <v>787</v>
      </c>
      <c r="EM1576" s="1" t="s">
        <v>730</v>
      </c>
      <c r="EN1576" s="1" t="s">
        <v>210</v>
      </c>
      <c r="EO1576" s="1" t="s">
        <v>234</v>
      </c>
      <c r="EP1576" s="1" t="s">
        <v>15256</v>
      </c>
      <c r="EQ1576" s="1" t="s">
        <v>5566</v>
      </c>
      <c r="ER1576" s="1" t="s">
        <v>210</v>
      </c>
      <c r="EU1576" s="1" t="s">
        <v>1110</v>
      </c>
      <c r="EV1576" s="1" t="s">
        <v>324</v>
      </c>
      <c r="EW1576" s="1" t="s">
        <v>15257</v>
      </c>
      <c r="EZ1576" s="1" t="s">
        <v>15258</v>
      </c>
      <c r="FB1576" s="1" t="s">
        <v>244</v>
      </c>
      <c r="FC1576" s="1" t="s">
        <v>1405</v>
      </c>
      <c r="FD1576" s="1" t="s">
        <v>736</v>
      </c>
      <c r="FE1576" s="1" t="s">
        <v>247</v>
      </c>
      <c r="FF1576" s="1" t="s">
        <v>248</v>
      </c>
      <c r="FH1576" s="1" t="s">
        <v>15259</v>
      </c>
      <c r="FK1576" s="1" t="s">
        <v>891</v>
      </c>
      <c r="FL1576" s="1" t="s">
        <v>414</v>
      </c>
      <c r="FM1576" s="1" t="s">
        <v>252</v>
      </c>
      <c r="FN1576" s="1" t="s">
        <v>213</v>
      </c>
      <c r="FO1576" s="1" t="s">
        <v>213</v>
      </c>
      <c r="FQ1576" s="1" t="s">
        <v>1758</v>
      </c>
      <c r="FR1576" s="1" t="s">
        <v>210</v>
      </c>
      <c r="FS1576" s="1" t="s">
        <v>15260</v>
      </c>
      <c r="FT1576" s="1" t="s">
        <v>295</v>
      </c>
      <c r="FU1576" s="1" t="s">
        <v>204</v>
      </c>
      <c r="FW1576" s="1" t="s">
        <v>10893</v>
      </c>
      <c r="FX1576" s="1">
        <v>85110</v>
      </c>
      <c r="FY1576" s="1" t="s">
        <v>10894</v>
      </c>
      <c r="FZ1576" s="1" t="s">
        <v>15261</v>
      </c>
      <c r="GA1576" s="1">
        <v>148474</v>
      </c>
      <c r="GB1576" s="1" t="s">
        <v>10894</v>
      </c>
      <c r="GE1576" s="1" t="s">
        <v>2504</v>
      </c>
      <c r="GH1576" s="1" t="s">
        <v>421</v>
      </c>
      <c r="GI1576" s="1" t="s">
        <v>213</v>
      </c>
      <c r="GJ1576" s="1" t="s">
        <v>260</v>
      </c>
      <c r="GK1576" s="1" t="s">
        <v>210</v>
      </c>
      <c r="GL1576" s="2">
        <v>41988</v>
      </c>
    </row>
    <row r="1577" spans="1:195">
      <c r="A1577" s="1">
        <v>140000</v>
      </c>
      <c r="B1577" s="1" t="s">
        <v>195</v>
      </c>
      <c r="C1577" s="1" t="str">
        <f>"08690772"</f>
        <v>08690772</v>
      </c>
      <c r="D1577" s="1" t="s">
        <v>196</v>
      </c>
      <c r="F1577" s="1" t="str">
        <f>"136"</f>
        <v>136</v>
      </c>
      <c r="G1577" s="2">
        <v>41853</v>
      </c>
      <c r="H1577" s="1">
        <v>168500</v>
      </c>
      <c r="I1577" s="1">
        <v>149500</v>
      </c>
      <c r="J1577" s="1">
        <v>140000</v>
      </c>
      <c r="K1577" s="2">
        <v>41853</v>
      </c>
      <c r="L1577" s="1">
        <v>153</v>
      </c>
      <c r="M1577" s="2">
        <v>42005</v>
      </c>
      <c r="N1577" s="1">
        <v>153</v>
      </c>
      <c r="O1577" s="2">
        <v>42005</v>
      </c>
      <c r="P1577" s="1">
        <v>7450</v>
      </c>
      <c r="Q1577" s="1" t="s">
        <v>197</v>
      </c>
      <c r="R1577" s="2">
        <v>42048</v>
      </c>
      <c r="S1577" s="1">
        <v>70036</v>
      </c>
      <c r="U1577" s="1">
        <v>118</v>
      </c>
      <c r="V1577" s="1" t="s">
        <v>11912</v>
      </c>
      <c r="W1577" s="1" t="s">
        <v>264</v>
      </c>
      <c r="Y1577" s="1">
        <v>6</v>
      </c>
      <c r="Z1577" s="1" t="s">
        <v>370</v>
      </c>
      <c r="AA1577" s="1" t="s">
        <v>3680</v>
      </c>
      <c r="AB1577" s="1">
        <v>60136</v>
      </c>
      <c r="AD1577" s="1" t="s">
        <v>12657</v>
      </c>
      <c r="AE1577" s="1" t="s">
        <v>15262</v>
      </c>
      <c r="AF1577" s="1">
        <v>2004</v>
      </c>
      <c r="AG1577" s="1" t="s">
        <v>204</v>
      </c>
      <c r="AH1577" s="1" t="s">
        <v>3682</v>
      </c>
      <c r="AI1577" s="1" t="s">
        <v>665</v>
      </c>
      <c r="AJ1577" s="1" t="s">
        <v>748</v>
      </c>
      <c r="AK1577" s="1" t="s">
        <v>13158</v>
      </c>
      <c r="AL1577" s="1">
        <v>6</v>
      </c>
      <c r="AM1577" s="1">
        <v>2</v>
      </c>
      <c r="AN1577" s="1">
        <v>2</v>
      </c>
      <c r="AO1577" s="1">
        <v>1</v>
      </c>
      <c r="AP1577" s="1" t="s">
        <v>209</v>
      </c>
      <c r="AR1577" s="1" t="s">
        <v>1483</v>
      </c>
      <c r="AS1577" s="1" t="s">
        <v>204</v>
      </c>
      <c r="AT1577" s="1" t="s">
        <v>211</v>
      </c>
      <c r="AU1577" s="1">
        <v>2</v>
      </c>
      <c r="AW1577" s="1" t="s">
        <v>204</v>
      </c>
      <c r="AX1577" s="1" t="s">
        <v>212</v>
      </c>
      <c r="AZ1577" s="1">
        <v>5116</v>
      </c>
      <c r="BA1577" s="1">
        <v>2013</v>
      </c>
      <c r="BB1577" s="1" t="s">
        <v>405</v>
      </c>
      <c r="BE1577" s="1">
        <v>1765</v>
      </c>
      <c r="BF1577" s="1">
        <v>1</v>
      </c>
      <c r="BG1577" s="1">
        <v>0</v>
      </c>
      <c r="BL1577" s="1">
        <v>165</v>
      </c>
      <c r="BM1577" s="1" t="s">
        <v>204</v>
      </c>
      <c r="BN1577" s="1" t="s">
        <v>213</v>
      </c>
      <c r="BO1577" s="1">
        <v>99</v>
      </c>
      <c r="BP1577" s="1" t="s">
        <v>204</v>
      </c>
      <c r="BR1577" s="1" t="str">
        <f>"0225307046"</f>
        <v>0225307046</v>
      </c>
      <c r="BT1577" s="1" t="s">
        <v>15263</v>
      </c>
      <c r="BX1577" s="1">
        <v>300</v>
      </c>
      <c r="BY1577" s="1">
        <v>300</v>
      </c>
      <c r="BZ1577" s="1">
        <v>300</v>
      </c>
      <c r="CB1577" s="1" t="str">
        <f>"15"</f>
        <v>15</v>
      </c>
      <c r="CC1577" s="1" t="str">
        <f t="shared" ref="CC1577:CC1578" si="1200">"0"</f>
        <v>0</v>
      </c>
      <c r="CD1577" s="1">
        <v>39</v>
      </c>
      <c r="CE1577" s="1">
        <v>0</v>
      </c>
      <c r="CG1577" s="1" t="s">
        <v>461</v>
      </c>
      <c r="CH1577" s="1" t="s">
        <v>219</v>
      </c>
      <c r="CI1577" s="1" t="s">
        <v>220</v>
      </c>
      <c r="CJ1577" s="1" t="s">
        <v>252</v>
      </c>
      <c r="CK1577" s="1" t="s">
        <v>315</v>
      </c>
      <c r="CL1577" s="1" t="s">
        <v>277</v>
      </c>
      <c r="CM1577" s="1" t="s">
        <v>220</v>
      </c>
      <c r="CN1577" s="1" t="s">
        <v>252</v>
      </c>
      <c r="CO1577" s="1" t="s">
        <v>1297</v>
      </c>
      <c r="CP1577" s="1" t="s">
        <v>219</v>
      </c>
      <c r="CQ1577" s="1" t="s">
        <v>220</v>
      </c>
      <c r="CR1577" s="1" t="s">
        <v>252</v>
      </c>
      <c r="CS1577" s="1" t="s">
        <v>346</v>
      </c>
      <c r="CT1577" s="1" t="s">
        <v>277</v>
      </c>
      <c r="CU1577" s="1" t="s">
        <v>220</v>
      </c>
      <c r="CV1577" s="1" t="s">
        <v>252</v>
      </c>
      <c r="CX1577" s="1" t="s">
        <v>224</v>
      </c>
      <c r="DB1577" s="1" t="s">
        <v>224</v>
      </c>
      <c r="DE1577" s="1" t="s">
        <v>15264</v>
      </c>
      <c r="DF1577" s="1" t="s">
        <v>219</v>
      </c>
      <c r="DH1577" s="1" t="s">
        <v>252</v>
      </c>
      <c r="DJ1577" s="1" t="s">
        <v>224</v>
      </c>
      <c r="DM1577" s="1" t="s">
        <v>464</v>
      </c>
      <c r="DR1577" s="1" t="s">
        <v>317</v>
      </c>
      <c r="DS1577" s="1" t="s">
        <v>277</v>
      </c>
      <c r="DT1577" s="1" t="s">
        <v>220</v>
      </c>
      <c r="DU1577" s="1" t="s">
        <v>252</v>
      </c>
      <c r="DW1577" s="1" t="s">
        <v>230</v>
      </c>
      <c r="EA1577" s="1" t="s">
        <v>230</v>
      </c>
      <c r="EE1577" s="1" t="s">
        <v>230</v>
      </c>
      <c r="EI1577" s="1" t="s">
        <v>230</v>
      </c>
      <c r="EL1577" s="1" t="s">
        <v>491</v>
      </c>
      <c r="EM1577" s="1" t="s">
        <v>319</v>
      </c>
      <c r="EN1577" s="1" t="s">
        <v>282</v>
      </c>
      <c r="EO1577" s="1" t="s">
        <v>234</v>
      </c>
      <c r="EP1577" s="1" t="s">
        <v>1268</v>
      </c>
      <c r="EQ1577" s="1" t="s">
        <v>236</v>
      </c>
      <c r="ER1577" s="1" t="s">
        <v>1249</v>
      </c>
      <c r="ES1577" s="1" t="s">
        <v>1868</v>
      </c>
      <c r="EV1577" s="1" t="s">
        <v>324</v>
      </c>
      <c r="EW1577" s="1" t="s">
        <v>353</v>
      </c>
      <c r="EY1577" s="1" t="s">
        <v>242</v>
      </c>
      <c r="EZ1577" s="1" t="s">
        <v>464</v>
      </c>
      <c r="FB1577" s="1" t="s">
        <v>289</v>
      </c>
      <c r="FC1577" s="1" t="s">
        <v>633</v>
      </c>
      <c r="FD1577" s="1" t="s">
        <v>246</v>
      </c>
      <c r="FE1577" s="1" t="s">
        <v>975</v>
      </c>
      <c r="FF1577" s="1" t="s">
        <v>248</v>
      </c>
      <c r="FH1577" s="1" t="s">
        <v>550</v>
      </c>
      <c r="FI1577" s="1" t="s">
        <v>473</v>
      </c>
      <c r="FJ1577" s="1" t="s">
        <v>197</v>
      </c>
      <c r="FL1577" s="1" t="s">
        <v>358</v>
      </c>
      <c r="FM1577" s="1" t="s">
        <v>252</v>
      </c>
      <c r="FN1577" s="1" t="s">
        <v>213</v>
      </c>
      <c r="FO1577" s="1" t="s">
        <v>213</v>
      </c>
      <c r="FQ1577" s="1" t="s">
        <v>7855</v>
      </c>
      <c r="FR1577" s="1" t="s">
        <v>210</v>
      </c>
      <c r="FS1577" s="1" t="s">
        <v>11257</v>
      </c>
      <c r="FT1577" s="1" t="s">
        <v>295</v>
      </c>
      <c r="FU1577" s="1" t="s">
        <v>204</v>
      </c>
      <c r="FW1577" s="1" t="s">
        <v>15265</v>
      </c>
      <c r="FX1577" s="1">
        <v>5121</v>
      </c>
      <c r="FY1577" s="1" t="s">
        <v>15266</v>
      </c>
      <c r="FZ1577" s="1" t="s">
        <v>15267</v>
      </c>
      <c r="GA1577" s="1">
        <v>50122</v>
      </c>
      <c r="GB1577" s="1" t="s">
        <v>15268</v>
      </c>
      <c r="GD1577" s="1" t="s">
        <v>15269</v>
      </c>
      <c r="GE1577" s="1" t="s">
        <v>480</v>
      </c>
      <c r="GI1577" s="1" t="s">
        <v>213</v>
      </c>
      <c r="GJ1577" s="1" t="s">
        <v>260</v>
      </c>
      <c r="GK1577" s="1" t="s">
        <v>210</v>
      </c>
      <c r="GL1577" s="2">
        <v>42051</v>
      </c>
    </row>
    <row r="1578" spans="1:195">
      <c r="A1578" s="1">
        <v>105000</v>
      </c>
      <c r="B1578" s="1" t="s">
        <v>195</v>
      </c>
      <c r="C1578" s="1" t="str">
        <f>"08694150"</f>
        <v>08694150</v>
      </c>
      <c r="D1578" s="1" t="s">
        <v>196</v>
      </c>
      <c r="F1578" s="1" t="str">
        <f>"177"</f>
        <v>177</v>
      </c>
      <c r="G1578" s="2">
        <v>41857</v>
      </c>
      <c r="H1578" s="1">
        <v>115000</v>
      </c>
      <c r="I1578" s="1">
        <v>114900</v>
      </c>
      <c r="J1578" s="1">
        <v>105000</v>
      </c>
      <c r="K1578" s="2">
        <v>41857</v>
      </c>
      <c r="L1578" s="1">
        <v>94</v>
      </c>
      <c r="M1578" s="2">
        <v>41950</v>
      </c>
      <c r="N1578" s="1">
        <v>94</v>
      </c>
      <c r="O1578" s="2">
        <v>41950</v>
      </c>
      <c r="P1578" s="1">
        <v>22029</v>
      </c>
      <c r="Q1578" s="1" t="s">
        <v>423</v>
      </c>
      <c r="R1578" s="2">
        <v>41995</v>
      </c>
      <c r="S1578" s="1">
        <v>239943</v>
      </c>
      <c r="U1578" s="1">
        <v>1237</v>
      </c>
      <c r="V1578" s="1" t="s">
        <v>10690</v>
      </c>
      <c r="W1578" s="1" t="s">
        <v>504</v>
      </c>
      <c r="Y1578" s="1">
        <v>4</v>
      </c>
      <c r="Z1578" s="1" t="s">
        <v>249</v>
      </c>
      <c r="AA1578" s="1" t="s">
        <v>1461</v>
      </c>
      <c r="AB1578" s="1">
        <v>60177</v>
      </c>
      <c r="AD1578" s="1" t="s">
        <v>10691</v>
      </c>
      <c r="AE1578" s="1" t="s">
        <v>15270</v>
      </c>
      <c r="AF1578" s="1">
        <v>1994</v>
      </c>
      <c r="AG1578" s="1" t="s">
        <v>204</v>
      </c>
      <c r="AH1578" s="1" t="s">
        <v>1464</v>
      </c>
      <c r="AI1578" s="1" t="s">
        <v>665</v>
      </c>
      <c r="AJ1578" s="1" t="s">
        <v>1175</v>
      </c>
      <c r="AL1578" s="1">
        <v>5</v>
      </c>
      <c r="AM1578" s="1">
        <v>2</v>
      </c>
      <c r="AN1578" s="1">
        <v>1</v>
      </c>
      <c r="AO1578" s="1">
        <v>0</v>
      </c>
      <c r="AP1578" s="1" t="s">
        <v>667</v>
      </c>
      <c r="AR1578" s="1" t="s">
        <v>210</v>
      </c>
      <c r="AS1578" s="1" t="s">
        <v>204</v>
      </c>
      <c r="AT1578" s="1" t="s">
        <v>375</v>
      </c>
      <c r="AU1578" s="1">
        <v>1</v>
      </c>
      <c r="AV1578" s="1">
        <v>1</v>
      </c>
      <c r="AW1578" s="1" t="s">
        <v>204</v>
      </c>
      <c r="AX1578" s="1" t="s">
        <v>212</v>
      </c>
      <c r="AZ1578" s="1">
        <v>1898.44</v>
      </c>
      <c r="BA1578" s="1">
        <v>2013</v>
      </c>
      <c r="BB1578" s="1" t="s">
        <v>405</v>
      </c>
      <c r="BE1578" s="1">
        <v>1100</v>
      </c>
      <c r="BF1578" s="1">
        <v>1</v>
      </c>
      <c r="BG1578" s="1">
        <v>0</v>
      </c>
      <c r="BL1578" s="1">
        <v>114</v>
      </c>
      <c r="BM1578" s="1" t="s">
        <v>204</v>
      </c>
      <c r="BN1578" s="1" t="s">
        <v>213</v>
      </c>
      <c r="BO1578" s="1">
        <v>999</v>
      </c>
      <c r="BP1578" s="1" t="s">
        <v>204</v>
      </c>
      <c r="BR1578" s="1" t="str">
        <f>"0634104045"</f>
        <v>0634104045</v>
      </c>
      <c r="BT1578" s="1" t="s">
        <v>15271</v>
      </c>
      <c r="BU1578" s="1" t="s">
        <v>6003</v>
      </c>
      <c r="BV1578" s="1" t="s">
        <v>1467</v>
      </c>
      <c r="BW1578" s="1" t="s">
        <v>1468</v>
      </c>
      <c r="BX1578" s="1">
        <v>46</v>
      </c>
      <c r="BY1578" s="1">
        <v>46</v>
      </c>
      <c r="BZ1578" s="1">
        <v>46</v>
      </c>
      <c r="CB1578" s="1" t="str">
        <f>"8"</f>
        <v>8</v>
      </c>
      <c r="CC1578" s="1" t="str">
        <f t="shared" si="1200"/>
        <v>0</v>
      </c>
      <c r="CD1578" s="1">
        <v>34</v>
      </c>
      <c r="CE1578" s="1">
        <v>0</v>
      </c>
      <c r="CG1578" s="1" t="s">
        <v>729</v>
      </c>
      <c r="CH1578" s="1" t="s">
        <v>219</v>
      </c>
      <c r="CI1578" s="1" t="s">
        <v>220</v>
      </c>
      <c r="CJ1578" s="1" t="s">
        <v>343</v>
      </c>
      <c r="CK1578" s="1" t="s">
        <v>1004</v>
      </c>
      <c r="CL1578" s="1" t="s">
        <v>277</v>
      </c>
      <c r="CM1578" s="1" t="s">
        <v>220</v>
      </c>
      <c r="CN1578" s="1" t="s">
        <v>343</v>
      </c>
      <c r="CO1578" s="1" t="s">
        <v>379</v>
      </c>
      <c r="CP1578" s="1" t="s">
        <v>219</v>
      </c>
      <c r="CQ1578" s="1" t="s">
        <v>229</v>
      </c>
      <c r="CR1578" s="1" t="s">
        <v>343</v>
      </c>
      <c r="CS1578" s="1" t="s">
        <v>317</v>
      </c>
      <c r="CT1578" s="1" t="s">
        <v>277</v>
      </c>
      <c r="CU1578" s="1" t="s">
        <v>220</v>
      </c>
      <c r="CV1578" s="1" t="s">
        <v>343</v>
      </c>
      <c r="CX1578" s="1" t="s">
        <v>224</v>
      </c>
      <c r="DB1578" s="1" t="s">
        <v>224</v>
      </c>
      <c r="DE1578" s="1" t="s">
        <v>837</v>
      </c>
      <c r="DF1578" s="1" t="s">
        <v>219</v>
      </c>
      <c r="DG1578" s="1" t="s">
        <v>229</v>
      </c>
      <c r="DH1578" s="1" t="s">
        <v>210</v>
      </c>
      <c r="DJ1578" s="1" t="s">
        <v>224</v>
      </c>
      <c r="DS1578" s="1" t="s">
        <v>230</v>
      </c>
      <c r="DW1578" s="1" t="s">
        <v>230</v>
      </c>
      <c r="EA1578" s="1" t="s">
        <v>230</v>
      </c>
      <c r="EE1578" s="1" t="s">
        <v>230</v>
      </c>
      <c r="EI1578" s="1" t="s">
        <v>230</v>
      </c>
      <c r="EL1578" s="1" t="s">
        <v>670</v>
      </c>
      <c r="EM1578" s="1" t="s">
        <v>319</v>
      </c>
      <c r="EN1578" s="1" t="s">
        <v>282</v>
      </c>
      <c r="EO1578" s="1" t="s">
        <v>234</v>
      </c>
      <c r="EQ1578" s="1" t="s">
        <v>236</v>
      </c>
      <c r="ER1578" s="1" t="s">
        <v>210</v>
      </c>
      <c r="ET1578" s="1" t="s">
        <v>842</v>
      </c>
      <c r="EU1578" s="1" t="s">
        <v>15272</v>
      </c>
      <c r="EV1578" s="1" t="s">
        <v>240</v>
      </c>
      <c r="EW1578" s="1" t="s">
        <v>353</v>
      </c>
      <c r="EY1578" s="1" t="s">
        <v>790</v>
      </c>
      <c r="EZ1578" s="1" t="s">
        <v>287</v>
      </c>
      <c r="FA1578" s="1" t="s">
        <v>1072</v>
      </c>
      <c r="FB1578" s="1" t="s">
        <v>289</v>
      </c>
      <c r="FC1578" s="1" t="s">
        <v>1739</v>
      </c>
      <c r="FD1578" s="1" t="s">
        <v>246</v>
      </c>
      <c r="FE1578" s="1" t="s">
        <v>472</v>
      </c>
      <c r="FF1578" s="1" t="s">
        <v>248</v>
      </c>
      <c r="FH1578" s="1" t="s">
        <v>15273</v>
      </c>
      <c r="FI1578" s="1" t="s">
        <v>473</v>
      </c>
      <c r="FJ1578" s="1" t="s">
        <v>15274</v>
      </c>
      <c r="FK1578" s="1" t="s">
        <v>768</v>
      </c>
      <c r="FL1578" s="1" t="s">
        <v>358</v>
      </c>
      <c r="FM1578" s="1" t="s">
        <v>252</v>
      </c>
      <c r="FN1578" s="1" t="s">
        <v>213</v>
      </c>
      <c r="FO1578" s="1" t="s">
        <v>213</v>
      </c>
      <c r="FQ1578" s="1" t="s">
        <v>849</v>
      </c>
      <c r="FR1578" s="1" t="s">
        <v>210</v>
      </c>
      <c r="FS1578" s="1" t="s">
        <v>15275</v>
      </c>
      <c r="FT1578" s="1" t="s">
        <v>295</v>
      </c>
      <c r="FU1578" s="1" t="s">
        <v>204</v>
      </c>
      <c r="FW1578" s="1" t="s">
        <v>3291</v>
      </c>
      <c r="FX1578" s="1">
        <v>7450</v>
      </c>
      <c r="FY1578" s="1" t="s">
        <v>3292</v>
      </c>
      <c r="FZ1578" s="1" t="s">
        <v>15276</v>
      </c>
      <c r="GA1578" s="1">
        <v>2161</v>
      </c>
      <c r="GB1578" s="1" t="s">
        <v>15277</v>
      </c>
      <c r="GD1578" s="1" t="s">
        <v>15278</v>
      </c>
      <c r="GE1578" s="1" t="s">
        <v>210</v>
      </c>
      <c r="GI1578" s="1" t="s">
        <v>213</v>
      </c>
      <c r="GJ1578" s="1" t="s">
        <v>260</v>
      </c>
      <c r="GK1578" s="1" t="s">
        <v>210</v>
      </c>
      <c r="GL1578" s="2">
        <v>42004</v>
      </c>
      <c r="GM1578" s="1" t="s">
        <v>15279</v>
      </c>
    </row>
    <row r="1579" spans="1:195">
      <c r="A1579" s="1">
        <v>108000</v>
      </c>
      <c r="B1579" s="1" t="s">
        <v>195</v>
      </c>
      <c r="C1579" s="1" t="str">
        <f>"08693236"</f>
        <v>08693236</v>
      </c>
      <c r="D1579" s="1" t="s">
        <v>196</v>
      </c>
      <c r="F1579" s="1" t="str">
        <f>"107"</f>
        <v>107</v>
      </c>
      <c r="G1579" s="2">
        <v>41856</v>
      </c>
      <c r="H1579" s="1">
        <v>113900</v>
      </c>
      <c r="I1579" s="1">
        <v>106900</v>
      </c>
      <c r="J1579" s="1">
        <v>108000</v>
      </c>
      <c r="K1579" s="2">
        <v>41855</v>
      </c>
      <c r="L1579" s="1">
        <v>130</v>
      </c>
      <c r="M1579" s="2">
        <v>41906</v>
      </c>
      <c r="N1579" s="1">
        <v>52</v>
      </c>
      <c r="O1579" s="2">
        <v>41906</v>
      </c>
      <c r="P1579" s="1">
        <v>8059</v>
      </c>
      <c r="Q1579" s="1" t="s">
        <v>197</v>
      </c>
      <c r="R1579" s="2">
        <v>41969</v>
      </c>
      <c r="S1579" s="1">
        <v>87018</v>
      </c>
      <c r="U1579" s="1">
        <v>240</v>
      </c>
      <c r="V1579" s="1" t="s">
        <v>15280</v>
      </c>
      <c r="W1579" s="1" t="s">
        <v>504</v>
      </c>
      <c r="Y1579" s="1">
        <v>1</v>
      </c>
      <c r="Z1579" s="1" t="s">
        <v>370</v>
      </c>
      <c r="AA1579" s="1" t="s">
        <v>1211</v>
      </c>
      <c r="AB1579" s="1">
        <v>60107</v>
      </c>
      <c r="AD1579" s="1" t="s">
        <v>5137</v>
      </c>
      <c r="AE1579" s="1" t="s">
        <v>15281</v>
      </c>
      <c r="AF1579" s="1">
        <v>1987</v>
      </c>
      <c r="AG1579" s="1" t="s">
        <v>204</v>
      </c>
      <c r="AH1579" s="1" t="s">
        <v>1214</v>
      </c>
      <c r="AI1579" s="1" t="s">
        <v>310</v>
      </c>
      <c r="AJ1579" s="1" t="s">
        <v>374</v>
      </c>
      <c r="AL1579" s="1">
        <v>5</v>
      </c>
      <c r="AM1579" s="1">
        <v>2</v>
      </c>
      <c r="AN1579" s="1">
        <v>1</v>
      </c>
      <c r="AO1579" s="1">
        <v>1</v>
      </c>
      <c r="AP1579" s="1" t="s">
        <v>667</v>
      </c>
      <c r="AR1579" s="1" t="s">
        <v>210</v>
      </c>
      <c r="AS1579" s="1" t="s">
        <v>204</v>
      </c>
      <c r="AT1579" s="1" t="s">
        <v>211</v>
      </c>
      <c r="AU1579" s="1">
        <v>1</v>
      </c>
      <c r="AW1579" s="1" t="s">
        <v>204</v>
      </c>
      <c r="AX1579" s="1" t="s">
        <v>212</v>
      </c>
      <c r="AZ1579" s="1">
        <v>4071.75</v>
      </c>
      <c r="BA1579" s="1">
        <v>2012</v>
      </c>
      <c r="BE1579" s="1">
        <v>1133</v>
      </c>
      <c r="BF1579" s="1">
        <v>1</v>
      </c>
      <c r="BG1579" s="1">
        <v>0</v>
      </c>
      <c r="BL1579" s="1">
        <v>225</v>
      </c>
      <c r="BM1579" s="1" t="s">
        <v>413</v>
      </c>
      <c r="BN1579" s="1" t="s">
        <v>213</v>
      </c>
      <c r="BO1579" s="1">
        <v>0</v>
      </c>
      <c r="BP1579" s="1" t="s">
        <v>204</v>
      </c>
      <c r="BR1579" s="1" t="str">
        <f>"06244110220000"</f>
        <v>06244110220000</v>
      </c>
      <c r="BT1579" s="1" t="s">
        <v>15282</v>
      </c>
      <c r="BX1579" s="1">
        <v>46</v>
      </c>
      <c r="BY1579" s="1">
        <v>46</v>
      </c>
      <c r="BZ1579" s="1">
        <v>46</v>
      </c>
      <c r="CB1579" s="1" t="str">
        <f>"27"</f>
        <v>27</v>
      </c>
      <c r="CC1579" s="1" t="str">
        <f>""</f>
        <v/>
      </c>
      <c r="CD1579" s="1">
        <v>10</v>
      </c>
      <c r="CG1579" s="1" t="s">
        <v>538</v>
      </c>
      <c r="CH1579" s="1" t="s">
        <v>219</v>
      </c>
      <c r="CK1579" s="1" t="s">
        <v>315</v>
      </c>
      <c r="CL1579" s="1" t="s">
        <v>277</v>
      </c>
      <c r="CO1579" s="1" t="s">
        <v>516</v>
      </c>
      <c r="CP1579" s="1" t="s">
        <v>219</v>
      </c>
      <c r="CS1579" s="1" t="s">
        <v>1297</v>
      </c>
      <c r="CT1579" s="1" t="s">
        <v>277</v>
      </c>
      <c r="CX1579" s="1" t="s">
        <v>224</v>
      </c>
      <c r="DB1579" s="1" t="s">
        <v>224</v>
      </c>
      <c r="DE1579" s="1" t="s">
        <v>316</v>
      </c>
      <c r="DF1579" s="1" t="s">
        <v>219</v>
      </c>
      <c r="DJ1579" s="1" t="s">
        <v>224</v>
      </c>
      <c r="DS1579" s="1" t="s">
        <v>230</v>
      </c>
      <c r="DW1579" s="1" t="s">
        <v>230</v>
      </c>
      <c r="EA1579" s="1" t="s">
        <v>230</v>
      </c>
      <c r="EE1579" s="1" t="s">
        <v>230</v>
      </c>
      <c r="EI1579" s="1" t="s">
        <v>230</v>
      </c>
      <c r="EL1579" s="1" t="s">
        <v>542</v>
      </c>
      <c r="EM1579" s="1" t="s">
        <v>319</v>
      </c>
      <c r="EN1579" s="1" t="s">
        <v>282</v>
      </c>
      <c r="EO1579" s="1" t="s">
        <v>234</v>
      </c>
      <c r="ER1579" s="1" t="s">
        <v>210</v>
      </c>
      <c r="EW1579" s="1" t="s">
        <v>347</v>
      </c>
      <c r="EZ1579" s="1" t="s">
        <v>287</v>
      </c>
      <c r="FB1579" s="1" t="s">
        <v>289</v>
      </c>
      <c r="FD1579" s="1" t="s">
        <v>888</v>
      </c>
      <c r="FE1579" s="1" t="s">
        <v>472</v>
      </c>
      <c r="FF1579" s="1" t="s">
        <v>248</v>
      </c>
      <c r="FH1579" s="1" t="s">
        <v>550</v>
      </c>
      <c r="FL1579" s="1" t="s">
        <v>414</v>
      </c>
      <c r="FM1579" s="1" t="s">
        <v>252</v>
      </c>
      <c r="FN1579" s="1" t="s">
        <v>213</v>
      </c>
      <c r="FO1579" s="1" t="s">
        <v>213</v>
      </c>
      <c r="FQ1579" s="1" t="s">
        <v>849</v>
      </c>
      <c r="FR1579" s="1" t="s">
        <v>210</v>
      </c>
      <c r="FS1579" s="1" t="s">
        <v>1575</v>
      </c>
      <c r="FT1579" s="1" t="s">
        <v>675</v>
      </c>
      <c r="FU1579" s="1" t="s">
        <v>204</v>
      </c>
      <c r="FW1579" s="1" t="s">
        <v>2563</v>
      </c>
      <c r="FX1579" s="1">
        <v>25558</v>
      </c>
      <c r="FY1579" s="1" t="s">
        <v>4051</v>
      </c>
      <c r="FZ1579" s="1" t="s">
        <v>15283</v>
      </c>
      <c r="GA1579" s="1">
        <v>232593</v>
      </c>
      <c r="GB1579" s="1" t="s">
        <v>15284</v>
      </c>
      <c r="GE1579" s="1" t="s">
        <v>210</v>
      </c>
      <c r="GI1579" s="1" t="s">
        <v>213</v>
      </c>
      <c r="GJ1579" s="1" t="s">
        <v>260</v>
      </c>
      <c r="GK1579" s="1" t="s">
        <v>210</v>
      </c>
      <c r="GL1579" s="2">
        <v>41976</v>
      </c>
      <c r="GM1579" s="1" t="s">
        <v>15285</v>
      </c>
    </row>
    <row r="1580" spans="1:195">
      <c r="A1580" s="1">
        <v>59900</v>
      </c>
      <c r="B1580" s="1" t="s">
        <v>195</v>
      </c>
      <c r="C1580" s="1" t="str">
        <f>"08695498"</f>
        <v>08695498</v>
      </c>
      <c r="D1580" s="1" t="s">
        <v>196</v>
      </c>
      <c r="F1580" s="1" t="str">
        <f>"8041"</f>
        <v>8041</v>
      </c>
      <c r="G1580" s="2">
        <v>41858</v>
      </c>
      <c r="H1580" s="1">
        <v>87900</v>
      </c>
      <c r="I1580" s="1">
        <v>59900</v>
      </c>
      <c r="J1580" s="1">
        <v>59900</v>
      </c>
      <c r="K1580" s="2">
        <v>41857</v>
      </c>
      <c r="L1580" s="1">
        <v>197</v>
      </c>
      <c r="M1580" s="2">
        <v>42053</v>
      </c>
      <c r="N1580" s="1">
        <v>197</v>
      </c>
      <c r="O1580" s="2">
        <v>42053</v>
      </c>
      <c r="P1580" s="1">
        <v>85646</v>
      </c>
      <c r="Q1580" s="1" t="s">
        <v>302</v>
      </c>
      <c r="R1580" s="2">
        <v>42093</v>
      </c>
      <c r="S1580" s="1">
        <v>116152</v>
      </c>
      <c r="U1580" s="1">
        <v>1400</v>
      </c>
      <c r="V1580" s="1" t="s">
        <v>5725</v>
      </c>
      <c r="W1580" s="1" t="s">
        <v>779</v>
      </c>
      <c r="X1580" s="1" t="s">
        <v>15286</v>
      </c>
      <c r="Y1580" s="1">
        <v>540</v>
      </c>
      <c r="Z1580" s="1" t="s">
        <v>249</v>
      </c>
      <c r="AA1580" s="1" t="s">
        <v>400</v>
      </c>
      <c r="AB1580" s="1">
        <v>60637</v>
      </c>
      <c r="AE1580" s="1" t="s">
        <v>15287</v>
      </c>
      <c r="AF1580" s="1">
        <v>1960</v>
      </c>
      <c r="AG1580" s="1" t="s">
        <v>213</v>
      </c>
      <c r="AH1580" s="1" t="s">
        <v>403</v>
      </c>
      <c r="AI1580" s="1" t="s">
        <v>310</v>
      </c>
      <c r="AJ1580" s="1" t="s">
        <v>562</v>
      </c>
      <c r="AL1580" s="1">
        <v>4</v>
      </c>
      <c r="AM1580" s="1">
        <v>2</v>
      </c>
      <c r="AN1580" s="1">
        <v>1</v>
      </c>
      <c r="AO1580" s="1">
        <v>1</v>
      </c>
      <c r="AP1580" s="1" t="s">
        <v>209</v>
      </c>
      <c r="AR1580" s="1" t="s">
        <v>210</v>
      </c>
      <c r="AS1580" s="1" t="s">
        <v>204</v>
      </c>
      <c r="AT1580" s="1" t="s">
        <v>211</v>
      </c>
      <c r="AU1580" s="1">
        <v>1</v>
      </c>
      <c r="AW1580" s="1" t="s">
        <v>204</v>
      </c>
      <c r="AX1580" s="1" t="s">
        <v>212</v>
      </c>
      <c r="AZ1580" s="1">
        <v>2320</v>
      </c>
      <c r="BA1580" s="1">
        <v>2012</v>
      </c>
      <c r="BE1580" s="1">
        <v>0</v>
      </c>
      <c r="BF1580" s="1">
        <v>7</v>
      </c>
      <c r="BG1580" s="1">
        <v>30</v>
      </c>
      <c r="BL1580" s="1">
        <v>812</v>
      </c>
      <c r="BM1580" s="1" t="s">
        <v>204</v>
      </c>
      <c r="BN1580" s="1" t="s">
        <v>213</v>
      </c>
      <c r="BO1580" s="1">
        <v>50</v>
      </c>
      <c r="BP1580" s="1" t="s">
        <v>204</v>
      </c>
      <c r="BR1580" s="1" t="str">
        <f>"20142020761276"</f>
        <v>20142020761276</v>
      </c>
      <c r="BT1580" s="1" t="s">
        <v>15288</v>
      </c>
      <c r="BX1580" s="1">
        <v>299</v>
      </c>
      <c r="BY1580" s="1">
        <v>299</v>
      </c>
      <c r="BZ1580" s="1">
        <v>299</v>
      </c>
      <c r="CB1580" s="1" t="str">
        <f>"0"</f>
        <v>0</v>
      </c>
      <c r="CC1580" s="1" t="str">
        <f>"1400"</f>
        <v>1400</v>
      </c>
      <c r="CD1580" s="1">
        <v>0</v>
      </c>
      <c r="CE1580" s="1">
        <v>5500</v>
      </c>
      <c r="CG1580" s="1" t="s">
        <v>7317</v>
      </c>
      <c r="CH1580" s="1" t="s">
        <v>219</v>
      </c>
      <c r="CK1580" s="1" t="s">
        <v>757</v>
      </c>
      <c r="CL1580" s="1" t="s">
        <v>219</v>
      </c>
      <c r="CP1580" s="1" t="s">
        <v>224</v>
      </c>
      <c r="CS1580" s="1" t="s">
        <v>378</v>
      </c>
      <c r="CT1580" s="1" t="s">
        <v>219</v>
      </c>
      <c r="CX1580" s="1" t="s">
        <v>224</v>
      </c>
      <c r="DB1580" s="1" t="s">
        <v>224</v>
      </c>
      <c r="DE1580" s="1" t="s">
        <v>973</v>
      </c>
      <c r="DF1580" s="1" t="s">
        <v>219</v>
      </c>
      <c r="DJ1580" s="1" t="s">
        <v>224</v>
      </c>
      <c r="DS1580" s="1" t="s">
        <v>230</v>
      </c>
      <c r="DW1580" s="1" t="s">
        <v>230</v>
      </c>
      <c r="EA1580" s="1" t="s">
        <v>230</v>
      </c>
      <c r="EE1580" s="1" t="s">
        <v>230</v>
      </c>
      <c r="EI1580" s="1" t="s">
        <v>230</v>
      </c>
      <c r="EL1580" s="1" t="s">
        <v>649</v>
      </c>
      <c r="EM1580" s="1" t="s">
        <v>232</v>
      </c>
      <c r="EN1580" s="1" t="s">
        <v>1158</v>
      </c>
      <c r="EO1580" s="1" t="s">
        <v>234</v>
      </c>
      <c r="EP1580" s="1" t="s">
        <v>15289</v>
      </c>
      <c r="ER1580" s="1" t="s">
        <v>210</v>
      </c>
      <c r="EW1580" s="1" t="s">
        <v>15290</v>
      </c>
      <c r="EZ1580" s="1" t="s">
        <v>287</v>
      </c>
      <c r="FB1580" s="1" t="s">
        <v>1755</v>
      </c>
      <c r="FD1580" s="1" t="s">
        <v>246</v>
      </c>
      <c r="FE1580" s="1" t="s">
        <v>6104</v>
      </c>
      <c r="FF1580" s="1" t="s">
        <v>248</v>
      </c>
      <c r="FH1580" s="1" t="s">
        <v>5778</v>
      </c>
      <c r="FI1580" s="1" t="s">
        <v>4004</v>
      </c>
      <c r="FJ1580" s="1" t="s">
        <v>1472</v>
      </c>
      <c r="FL1580" s="1" t="s">
        <v>10249</v>
      </c>
      <c r="FM1580" s="1" t="s">
        <v>252</v>
      </c>
      <c r="FN1580" s="1" t="s">
        <v>213</v>
      </c>
      <c r="FO1580" s="1" t="s">
        <v>213</v>
      </c>
      <c r="FQ1580" s="1" t="s">
        <v>689</v>
      </c>
      <c r="FR1580" s="1" t="s">
        <v>210</v>
      </c>
      <c r="FS1580" s="1" t="s">
        <v>15291</v>
      </c>
      <c r="FT1580" s="1" t="s">
        <v>15292</v>
      </c>
      <c r="FU1580" s="1" t="s">
        <v>204</v>
      </c>
      <c r="FW1580" s="1" t="s">
        <v>15293</v>
      </c>
      <c r="FX1580" s="1">
        <v>21445</v>
      </c>
      <c r="FY1580" s="1" t="s">
        <v>15294</v>
      </c>
      <c r="FZ1580" s="1" t="s">
        <v>15295</v>
      </c>
      <c r="GA1580" s="1">
        <v>607396</v>
      </c>
      <c r="GB1580" s="1" t="s">
        <v>15294</v>
      </c>
      <c r="GE1580" s="1" t="s">
        <v>210</v>
      </c>
      <c r="GH1580" s="1" t="s">
        <v>800</v>
      </c>
      <c r="GI1580" s="1" t="s">
        <v>213</v>
      </c>
      <c r="GJ1580" s="1" t="s">
        <v>260</v>
      </c>
      <c r="GK1580" s="1" t="s">
        <v>210</v>
      </c>
      <c r="GL1580" s="2">
        <v>42095</v>
      </c>
      <c r="GM1580" s="1" t="s">
        <v>15296</v>
      </c>
    </row>
    <row r="1581" spans="1:195">
      <c r="A1581" s="1">
        <v>105000</v>
      </c>
      <c r="B1581" s="1" t="s">
        <v>195</v>
      </c>
      <c r="C1581" s="1" t="str">
        <f>"08684547"</f>
        <v>08684547</v>
      </c>
      <c r="D1581" s="1" t="s">
        <v>196</v>
      </c>
      <c r="F1581" s="1" t="str">
        <f>"126"</f>
        <v>126</v>
      </c>
      <c r="G1581" s="2">
        <v>41847</v>
      </c>
      <c r="H1581" s="1">
        <v>140000</v>
      </c>
      <c r="I1581" s="1">
        <v>125000</v>
      </c>
      <c r="J1581" s="1">
        <v>105000</v>
      </c>
      <c r="K1581" s="2">
        <v>41847</v>
      </c>
      <c r="L1581" s="1">
        <v>224</v>
      </c>
      <c r="M1581" s="2">
        <v>42070</v>
      </c>
      <c r="N1581" s="1">
        <v>224</v>
      </c>
      <c r="O1581" s="2">
        <v>42070</v>
      </c>
      <c r="P1581" s="1">
        <v>24039</v>
      </c>
      <c r="Q1581" s="1" t="s">
        <v>302</v>
      </c>
      <c r="R1581" s="2">
        <v>42117</v>
      </c>
      <c r="S1581" s="1">
        <v>236146</v>
      </c>
      <c r="U1581" s="1">
        <v>110</v>
      </c>
      <c r="V1581" s="1" t="s">
        <v>8680</v>
      </c>
      <c r="W1581" s="1" t="s">
        <v>1056</v>
      </c>
      <c r="X1581" s="1" t="s">
        <v>15297</v>
      </c>
      <c r="Y1581" s="1">
        <v>66</v>
      </c>
      <c r="Z1581" s="1" t="s">
        <v>200</v>
      </c>
      <c r="AA1581" s="1" t="s">
        <v>3169</v>
      </c>
      <c r="AB1581" s="1">
        <v>60126</v>
      </c>
      <c r="AE1581" s="1" t="s">
        <v>8682</v>
      </c>
      <c r="AF1581" s="1">
        <v>1966</v>
      </c>
      <c r="AG1581" s="1" t="s">
        <v>213</v>
      </c>
      <c r="AH1581" s="1" t="s">
        <v>3172</v>
      </c>
      <c r="AI1581" s="1" t="s">
        <v>206</v>
      </c>
      <c r="AJ1581" s="1" t="s">
        <v>1608</v>
      </c>
      <c r="AL1581" s="1">
        <v>5</v>
      </c>
      <c r="AM1581" s="1">
        <v>2</v>
      </c>
      <c r="AN1581" s="1">
        <v>2</v>
      </c>
      <c r="AO1581" s="1">
        <v>0</v>
      </c>
      <c r="AP1581" s="1" t="s">
        <v>209</v>
      </c>
      <c r="AR1581" s="1" t="s">
        <v>210</v>
      </c>
      <c r="AS1581" s="1" t="s">
        <v>204</v>
      </c>
      <c r="AT1581" s="1" t="s">
        <v>271</v>
      </c>
      <c r="AV1581" s="1">
        <v>1</v>
      </c>
      <c r="AW1581" s="1" t="s">
        <v>204</v>
      </c>
      <c r="AX1581" s="1" t="s">
        <v>8683</v>
      </c>
      <c r="AZ1581" s="1">
        <v>1611.58</v>
      </c>
      <c r="BA1581" s="1">
        <v>2013</v>
      </c>
      <c r="BB1581" s="1" t="s">
        <v>8684</v>
      </c>
      <c r="BE1581" s="1">
        <v>1000</v>
      </c>
      <c r="BF1581" s="1" t="s">
        <v>4806</v>
      </c>
      <c r="BG1581" s="1">
        <v>0</v>
      </c>
      <c r="BL1581" s="1">
        <v>318</v>
      </c>
      <c r="BM1581" s="1" t="s">
        <v>204</v>
      </c>
      <c r="BN1581" s="1" t="s">
        <v>204</v>
      </c>
      <c r="BP1581" s="1" t="s">
        <v>204</v>
      </c>
      <c r="BR1581" s="1" t="str">
        <f>"0614415016"</f>
        <v>0614415016</v>
      </c>
      <c r="BT1581" s="1" t="s">
        <v>15298</v>
      </c>
      <c r="BU1581" s="1" t="s">
        <v>3822</v>
      </c>
      <c r="BV1581" s="1" t="s">
        <v>3315</v>
      </c>
      <c r="BW1581" s="1" t="s">
        <v>2201</v>
      </c>
      <c r="BX1581" s="1">
        <v>48</v>
      </c>
      <c r="BY1581" s="1">
        <v>48</v>
      </c>
      <c r="BZ1581" s="1">
        <v>88</v>
      </c>
      <c r="CB1581" s="1" t="str">
        <f t="shared" ref="CB1581:CC1581" si="1201">""</f>
        <v/>
      </c>
      <c r="CC1581" s="1" t="str">
        <f t="shared" si="1201"/>
        <v/>
      </c>
      <c r="CG1581" s="1" t="s">
        <v>885</v>
      </c>
      <c r="CH1581" s="1" t="s">
        <v>219</v>
      </c>
      <c r="CI1581" s="1" t="s">
        <v>220</v>
      </c>
      <c r="CJ1581" s="1" t="s">
        <v>252</v>
      </c>
      <c r="CK1581" s="1" t="s">
        <v>932</v>
      </c>
      <c r="CL1581" s="1" t="s">
        <v>219</v>
      </c>
      <c r="CM1581" s="1" t="s">
        <v>220</v>
      </c>
      <c r="CO1581" s="1" t="s">
        <v>348</v>
      </c>
      <c r="CP1581" s="1" t="s">
        <v>219</v>
      </c>
      <c r="CQ1581" s="1" t="s">
        <v>220</v>
      </c>
      <c r="CS1581" s="1" t="s">
        <v>932</v>
      </c>
      <c r="CT1581" s="1" t="s">
        <v>219</v>
      </c>
      <c r="CU1581" s="1" t="s">
        <v>220</v>
      </c>
      <c r="CX1581" s="1" t="s">
        <v>224</v>
      </c>
      <c r="DB1581" s="1" t="s">
        <v>224</v>
      </c>
      <c r="DE1581" s="1" t="s">
        <v>2031</v>
      </c>
      <c r="DF1581" s="1" t="s">
        <v>219</v>
      </c>
      <c r="DG1581" s="1" t="s">
        <v>566</v>
      </c>
      <c r="DJ1581" s="1" t="s">
        <v>224</v>
      </c>
      <c r="DS1581" s="1" t="s">
        <v>230</v>
      </c>
      <c r="DW1581" s="1" t="s">
        <v>230</v>
      </c>
      <c r="EA1581" s="1" t="s">
        <v>230</v>
      </c>
      <c r="EE1581" s="1" t="s">
        <v>230</v>
      </c>
      <c r="EI1581" s="1" t="s">
        <v>230</v>
      </c>
      <c r="EL1581" s="1" t="s">
        <v>605</v>
      </c>
      <c r="EM1581" s="1" t="s">
        <v>232</v>
      </c>
      <c r="EN1581" s="1" t="s">
        <v>282</v>
      </c>
      <c r="EO1581" s="1" t="s">
        <v>234</v>
      </c>
      <c r="ER1581" s="1" t="s">
        <v>210</v>
      </c>
      <c r="EW1581" s="1" t="s">
        <v>8686</v>
      </c>
      <c r="EZ1581" s="1" t="s">
        <v>287</v>
      </c>
      <c r="FD1581" s="1" t="s">
        <v>1112</v>
      </c>
      <c r="FE1581" s="1" t="s">
        <v>247</v>
      </c>
      <c r="FF1581" s="1" t="s">
        <v>248</v>
      </c>
      <c r="FH1581" s="1" t="s">
        <v>249</v>
      </c>
      <c r="FL1581" s="1" t="s">
        <v>414</v>
      </c>
      <c r="FM1581" s="1" t="s">
        <v>252</v>
      </c>
      <c r="FN1581" s="1" t="s">
        <v>213</v>
      </c>
      <c r="FO1581" s="1" t="s">
        <v>213</v>
      </c>
      <c r="FQ1581" s="1" t="s">
        <v>4216</v>
      </c>
      <c r="FR1581" s="1" t="s">
        <v>210</v>
      </c>
      <c r="FS1581" s="1" t="s">
        <v>15299</v>
      </c>
      <c r="FT1581" s="1" t="s">
        <v>295</v>
      </c>
      <c r="FU1581" s="1" t="s">
        <v>213</v>
      </c>
      <c r="FW1581" s="1" t="s">
        <v>15300</v>
      </c>
      <c r="FX1581" s="1">
        <v>24466</v>
      </c>
      <c r="FY1581" s="1" t="s">
        <v>15301</v>
      </c>
      <c r="FZ1581" s="1" t="s">
        <v>15302</v>
      </c>
      <c r="GA1581" s="1">
        <v>245835</v>
      </c>
      <c r="GB1581" s="1" t="s">
        <v>15301</v>
      </c>
      <c r="GE1581" s="1" t="s">
        <v>210</v>
      </c>
      <c r="GI1581" s="1" t="s">
        <v>204</v>
      </c>
      <c r="GJ1581" s="1" t="s">
        <v>260</v>
      </c>
      <c r="GK1581" s="1" t="s">
        <v>210</v>
      </c>
      <c r="GL1581" s="2">
        <v>42119</v>
      </c>
      <c r="GM1581" s="1" t="s">
        <v>15303</v>
      </c>
    </row>
    <row r="1582" spans="1:195">
      <c r="A1582" s="1">
        <v>118000</v>
      </c>
      <c r="B1582" s="1" t="s">
        <v>195</v>
      </c>
      <c r="C1582" s="1" t="str">
        <f>"08687195"</f>
        <v>08687195</v>
      </c>
      <c r="D1582" s="1" t="s">
        <v>196</v>
      </c>
      <c r="F1582" s="1" t="str">
        <f>"107"</f>
        <v>107</v>
      </c>
      <c r="G1582" s="2">
        <v>41850</v>
      </c>
      <c r="H1582" s="1">
        <v>131000</v>
      </c>
      <c r="I1582" s="1">
        <v>119500</v>
      </c>
      <c r="J1582" s="1">
        <v>118000</v>
      </c>
      <c r="K1582" s="2">
        <v>41849</v>
      </c>
      <c r="L1582" s="1">
        <v>73</v>
      </c>
      <c r="M1582" s="2">
        <v>41921</v>
      </c>
      <c r="N1582" s="1">
        <v>73</v>
      </c>
      <c r="O1582" s="2">
        <v>41921</v>
      </c>
      <c r="P1582" s="1">
        <v>3753</v>
      </c>
      <c r="Q1582" s="1" t="s">
        <v>197</v>
      </c>
      <c r="R1582" s="2">
        <v>41992</v>
      </c>
      <c r="S1582" s="1">
        <v>36036</v>
      </c>
      <c r="T1582" s="1">
        <v>2380</v>
      </c>
      <c r="U1582" s="1">
        <v>4</v>
      </c>
      <c r="V1582" s="1" t="s">
        <v>8410</v>
      </c>
      <c r="W1582" s="1" t="s">
        <v>504</v>
      </c>
      <c r="X1582" s="1">
        <v>4</v>
      </c>
      <c r="Y1582" s="1">
        <v>6</v>
      </c>
      <c r="Z1582" s="1" t="s">
        <v>370</v>
      </c>
      <c r="AA1582" s="1" t="s">
        <v>1211</v>
      </c>
      <c r="AB1582" s="1">
        <v>60107</v>
      </c>
      <c r="AD1582" s="1" t="s">
        <v>6338</v>
      </c>
      <c r="AE1582" s="1" t="s">
        <v>15304</v>
      </c>
      <c r="AF1582" s="1">
        <v>1988</v>
      </c>
      <c r="AG1582" s="1" t="s">
        <v>204</v>
      </c>
      <c r="AH1582" s="1" t="s">
        <v>1214</v>
      </c>
      <c r="AI1582" s="1" t="s">
        <v>310</v>
      </c>
      <c r="AJ1582" s="1" t="s">
        <v>374</v>
      </c>
      <c r="AL1582" s="1">
        <v>6</v>
      </c>
      <c r="AM1582" s="1">
        <v>2</v>
      </c>
      <c r="AN1582" s="1">
        <v>1</v>
      </c>
      <c r="AO1582" s="1">
        <v>1</v>
      </c>
      <c r="AP1582" s="1" t="s">
        <v>667</v>
      </c>
      <c r="AQ1582" s="1">
        <v>0</v>
      </c>
      <c r="AR1582" s="1" t="s">
        <v>209</v>
      </c>
      <c r="AS1582" s="1" t="s">
        <v>204</v>
      </c>
      <c r="AT1582" s="1" t="s">
        <v>211</v>
      </c>
      <c r="AU1582" s="1">
        <v>1</v>
      </c>
      <c r="AW1582" s="1" t="s">
        <v>204</v>
      </c>
      <c r="AX1582" s="1" t="s">
        <v>4740</v>
      </c>
      <c r="AZ1582" s="1">
        <v>3277.68</v>
      </c>
      <c r="BA1582" s="1">
        <v>2013</v>
      </c>
      <c r="BB1582" s="1" t="s">
        <v>405</v>
      </c>
      <c r="BC1582" s="1">
        <v>0</v>
      </c>
      <c r="BD1582" s="1">
        <v>2013</v>
      </c>
      <c r="BE1582" s="1">
        <v>1235</v>
      </c>
      <c r="BF1582" s="1">
        <v>1</v>
      </c>
      <c r="BG1582" s="1">
        <v>0</v>
      </c>
      <c r="BL1582" s="1">
        <v>212</v>
      </c>
      <c r="BM1582" s="1" t="s">
        <v>204</v>
      </c>
      <c r="BN1582" s="1" t="s">
        <v>213</v>
      </c>
      <c r="BO1582" s="1">
        <v>999</v>
      </c>
      <c r="BP1582" s="1" t="s">
        <v>204</v>
      </c>
      <c r="BR1582" s="1" t="str">
        <f>"06143040150000"</f>
        <v>06143040150000</v>
      </c>
      <c r="BT1582" s="1" t="s">
        <v>15305</v>
      </c>
      <c r="BX1582" s="1">
        <v>46</v>
      </c>
      <c r="BY1582" s="1">
        <v>46</v>
      </c>
      <c r="BZ1582" s="1">
        <v>46</v>
      </c>
      <c r="CB1582" s="1" t="str">
        <f>"11"</f>
        <v>11</v>
      </c>
      <c r="CC1582" s="1" t="str">
        <f>"0"</f>
        <v>0</v>
      </c>
      <c r="CD1582" s="1">
        <v>28</v>
      </c>
      <c r="CE1582" s="1">
        <v>0</v>
      </c>
      <c r="CG1582" s="1" t="s">
        <v>1723</v>
      </c>
      <c r="CH1582" s="1" t="s">
        <v>219</v>
      </c>
      <c r="CI1582" s="1" t="s">
        <v>229</v>
      </c>
      <c r="CK1582" s="1" t="s">
        <v>932</v>
      </c>
      <c r="CL1582" s="1" t="s">
        <v>277</v>
      </c>
      <c r="CM1582" s="1" t="s">
        <v>220</v>
      </c>
      <c r="CO1582" s="1" t="s">
        <v>346</v>
      </c>
      <c r="CP1582" s="1" t="s">
        <v>219</v>
      </c>
      <c r="CQ1582" s="1" t="s">
        <v>229</v>
      </c>
      <c r="CS1582" s="1" t="s">
        <v>1297</v>
      </c>
      <c r="CT1582" s="1" t="s">
        <v>277</v>
      </c>
      <c r="CU1582" s="1" t="s">
        <v>220</v>
      </c>
      <c r="CX1582" s="1" t="s">
        <v>224</v>
      </c>
      <c r="DB1582" s="1" t="s">
        <v>224</v>
      </c>
      <c r="DE1582" s="1" t="s">
        <v>1297</v>
      </c>
      <c r="DF1582" s="1" t="s">
        <v>219</v>
      </c>
      <c r="DG1582" s="1" t="s">
        <v>438</v>
      </c>
      <c r="DJ1582" s="1" t="s">
        <v>224</v>
      </c>
      <c r="DM1582" s="1" t="s">
        <v>934</v>
      </c>
      <c r="DR1582" s="1" t="s">
        <v>2884</v>
      </c>
      <c r="DS1582" s="1" t="s">
        <v>43</v>
      </c>
      <c r="DT1582" s="1" t="s">
        <v>220</v>
      </c>
      <c r="DW1582" s="1" t="s">
        <v>230</v>
      </c>
      <c r="EA1582" s="1" t="s">
        <v>230</v>
      </c>
      <c r="EE1582" s="1" t="s">
        <v>230</v>
      </c>
      <c r="EI1582" s="1" t="s">
        <v>230</v>
      </c>
      <c r="EL1582" s="1" t="s">
        <v>542</v>
      </c>
      <c r="EM1582" s="1" t="s">
        <v>232</v>
      </c>
      <c r="EN1582" s="1" t="s">
        <v>282</v>
      </c>
      <c r="EO1582" s="1" t="s">
        <v>840</v>
      </c>
      <c r="EP1582" s="1" t="s">
        <v>762</v>
      </c>
      <c r="ER1582" s="1" t="s">
        <v>544</v>
      </c>
      <c r="ES1582" s="1" t="s">
        <v>608</v>
      </c>
      <c r="EV1582" s="1" t="s">
        <v>240</v>
      </c>
      <c r="EW1582" s="1" t="s">
        <v>353</v>
      </c>
      <c r="EZ1582" s="1" t="s">
        <v>934</v>
      </c>
      <c r="FB1582" s="1" t="s">
        <v>289</v>
      </c>
      <c r="FD1582" s="1" t="s">
        <v>246</v>
      </c>
      <c r="FE1582" s="1" t="s">
        <v>870</v>
      </c>
      <c r="FF1582" s="1" t="s">
        <v>248</v>
      </c>
      <c r="FH1582" s="1" t="s">
        <v>550</v>
      </c>
      <c r="FJ1582" s="1" t="s">
        <v>15306</v>
      </c>
      <c r="FL1582" s="1" t="s">
        <v>358</v>
      </c>
      <c r="FM1582" s="1" t="s">
        <v>252</v>
      </c>
      <c r="FN1582" s="1" t="s">
        <v>213</v>
      </c>
      <c r="FO1582" s="1" t="s">
        <v>213</v>
      </c>
      <c r="FQ1582" s="1" t="s">
        <v>7479</v>
      </c>
      <c r="FR1582" s="1" t="s">
        <v>210</v>
      </c>
      <c r="FS1582" s="1" t="s">
        <v>7480</v>
      </c>
      <c r="FT1582" s="1" t="s">
        <v>584</v>
      </c>
      <c r="FU1582" s="1" t="s">
        <v>204</v>
      </c>
      <c r="FW1582" s="1" t="s">
        <v>3132</v>
      </c>
      <c r="FX1582" s="1">
        <v>6267</v>
      </c>
      <c r="FY1582" s="1" t="s">
        <v>3133</v>
      </c>
      <c r="FZ1582" s="1" t="s">
        <v>7481</v>
      </c>
      <c r="GA1582" s="1">
        <v>38359</v>
      </c>
      <c r="GB1582" s="1" t="s">
        <v>7482</v>
      </c>
      <c r="GE1582" s="1" t="s">
        <v>210</v>
      </c>
      <c r="GH1582" s="1" t="s">
        <v>800</v>
      </c>
      <c r="GI1582" s="1" t="s">
        <v>213</v>
      </c>
      <c r="GJ1582" s="1" t="s">
        <v>260</v>
      </c>
      <c r="GK1582" s="1" t="s">
        <v>210</v>
      </c>
      <c r="GL1582" s="2">
        <v>41995</v>
      </c>
      <c r="GM1582" s="1" t="s">
        <v>15307</v>
      </c>
    </row>
    <row r="1583" spans="1:195">
      <c r="A1583" s="1">
        <v>92000</v>
      </c>
      <c r="B1583" s="1" t="s">
        <v>195</v>
      </c>
      <c r="C1583" s="1" t="str">
        <f>"08689266"</f>
        <v>08689266</v>
      </c>
      <c r="D1583" s="1" t="s">
        <v>196</v>
      </c>
      <c r="F1583" s="1" t="str">
        <f>"8072"</f>
        <v>8072</v>
      </c>
      <c r="G1583" s="2">
        <v>41852</v>
      </c>
      <c r="H1583" s="1">
        <v>99900</v>
      </c>
      <c r="I1583" s="1">
        <v>99900</v>
      </c>
      <c r="J1583" s="1">
        <v>92000</v>
      </c>
      <c r="K1583" s="2">
        <v>41851</v>
      </c>
      <c r="L1583" s="1">
        <v>193</v>
      </c>
      <c r="M1583" s="2">
        <v>42043</v>
      </c>
      <c r="N1583" s="1">
        <v>193</v>
      </c>
      <c r="O1583" s="2">
        <v>42043</v>
      </c>
      <c r="P1583" s="1">
        <v>12762</v>
      </c>
      <c r="Q1583" s="1" t="s">
        <v>197</v>
      </c>
      <c r="R1583" s="2">
        <v>42069</v>
      </c>
      <c r="S1583" s="1">
        <v>180799</v>
      </c>
      <c r="U1583" s="1">
        <v>10655</v>
      </c>
      <c r="V1583" s="1" t="s">
        <v>9161</v>
      </c>
      <c r="W1583" s="1" t="s">
        <v>425</v>
      </c>
      <c r="X1583" s="1" t="s">
        <v>3744</v>
      </c>
      <c r="Y1583" s="1">
        <v>12</v>
      </c>
      <c r="Z1583" s="1" t="s">
        <v>249</v>
      </c>
      <c r="AA1583" s="1" t="s">
        <v>400</v>
      </c>
      <c r="AB1583" s="1">
        <v>60655</v>
      </c>
      <c r="AD1583" s="1" t="s">
        <v>15308</v>
      </c>
      <c r="AE1583" s="1" t="s">
        <v>15309</v>
      </c>
      <c r="AF1583" s="1">
        <v>1950</v>
      </c>
      <c r="AG1583" s="1" t="s">
        <v>213</v>
      </c>
      <c r="AH1583" s="1" t="s">
        <v>403</v>
      </c>
      <c r="AI1583" s="1" t="s">
        <v>310</v>
      </c>
      <c r="AJ1583" s="1" t="s">
        <v>683</v>
      </c>
      <c r="AL1583" s="1">
        <v>4</v>
      </c>
      <c r="AM1583" s="1">
        <v>2</v>
      </c>
      <c r="AN1583" s="1">
        <v>1</v>
      </c>
      <c r="AO1583" s="1">
        <v>0</v>
      </c>
      <c r="AP1583" s="1" t="s">
        <v>210</v>
      </c>
      <c r="AR1583" s="1" t="s">
        <v>1631</v>
      </c>
      <c r="AS1583" s="1" t="s">
        <v>204</v>
      </c>
      <c r="AT1583" s="1" t="s">
        <v>271</v>
      </c>
      <c r="AV1583" s="1">
        <v>1</v>
      </c>
      <c r="AW1583" s="1" t="s">
        <v>204</v>
      </c>
      <c r="AX1583" s="1" t="s">
        <v>212</v>
      </c>
      <c r="AZ1583" s="5">
        <v>1622.11</v>
      </c>
      <c r="BA1583" s="1">
        <v>2013</v>
      </c>
      <c r="BE1583" s="1">
        <v>800</v>
      </c>
      <c r="BF1583" s="1">
        <v>1</v>
      </c>
      <c r="BG1583" s="1">
        <v>10</v>
      </c>
      <c r="BL1583" s="1">
        <v>211</v>
      </c>
      <c r="BM1583" s="1" t="s">
        <v>213</v>
      </c>
      <c r="BN1583" s="1" t="s">
        <v>213</v>
      </c>
      <c r="BP1583" s="1" t="s">
        <v>204</v>
      </c>
      <c r="BR1583" s="1" t="str">
        <f>"24132330541001"</f>
        <v>24132330541001</v>
      </c>
      <c r="BT1583" s="1" t="s">
        <v>15310</v>
      </c>
      <c r="BX1583" s="1">
        <v>299</v>
      </c>
      <c r="BY1583" s="1">
        <v>299</v>
      </c>
      <c r="BZ1583" s="1">
        <v>299</v>
      </c>
      <c r="CB1583" s="1" t="str">
        <f t="shared" ref="CB1583:CC1583" si="1202">"0"</f>
        <v>0</v>
      </c>
      <c r="CC1583" s="1" t="str">
        <f t="shared" si="1202"/>
        <v>0</v>
      </c>
      <c r="CD1583" s="1">
        <v>2450</v>
      </c>
      <c r="CE1583" s="1">
        <v>10600</v>
      </c>
      <c r="CG1583" s="1" t="s">
        <v>669</v>
      </c>
      <c r="CH1583" s="1" t="s">
        <v>219</v>
      </c>
      <c r="CI1583" s="1" t="s">
        <v>438</v>
      </c>
      <c r="CJ1583" s="1" t="s">
        <v>210</v>
      </c>
      <c r="CK1583" s="1" t="s">
        <v>1358</v>
      </c>
      <c r="CL1583" s="1" t="s">
        <v>219</v>
      </c>
      <c r="CM1583" s="1" t="s">
        <v>438</v>
      </c>
      <c r="CN1583" s="1" t="s">
        <v>343</v>
      </c>
      <c r="CP1583" s="1" t="s">
        <v>224</v>
      </c>
      <c r="CS1583" s="1" t="s">
        <v>346</v>
      </c>
      <c r="CT1583" s="1" t="s">
        <v>219</v>
      </c>
      <c r="CU1583" s="1" t="s">
        <v>438</v>
      </c>
      <c r="CV1583" s="1" t="s">
        <v>210</v>
      </c>
      <c r="CX1583" s="1" t="s">
        <v>224</v>
      </c>
      <c r="DB1583" s="1" t="s">
        <v>224</v>
      </c>
      <c r="DE1583" s="1" t="s">
        <v>1612</v>
      </c>
      <c r="DF1583" s="1" t="s">
        <v>219</v>
      </c>
      <c r="DG1583" s="1" t="s">
        <v>226</v>
      </c>
      <c r="DH1583" s="1" t="s">
        <v>210</v>
      </c>
      <c r="DJ1583" s="1" t="s">
        <v>224</v>
      </c>
      <c r="DS1583" s="1" t="s">
        <v>230</v>
      </c>
      <c r="DW1583" s="1" t="s">
        <v>230</v>
      </c>
      <c r="EA1583" s="1" t="s">
        <v>230</v>
      </c>
      <c r="EE1583" s="1" t="s">
        <v>230</v>
      </c>
      <c r="EI1583" s="1" t="s">
        <v>230</v>
      </c>
      <c r="EL1583" s="1" t="s">
        <v>3717</v>
      </c>
      <c r="EM1583" s="1" t="s">
        <v>232</v>
      </c>
      <c r="EN1583" s="1" t="s">
        <v>282</v>
      </c>
      <c r="EO1583" s="1" t="s">
        <v>234</v>
      </c>
      <c r="EQ1583" s="1" t="s">
        <v>492</v>
      </c>
      <c r="ER1583" s="1" t="s">
        <v>1249</v>
      </c>
      <c r="EW1583" s="1" t="s">
        <v>937</v>
      </c>
      <c r="EY1583" s="1" t="s">
        <v>242</v>
      </c>
      <c r="EZ1583" s="1" t="s">
        <v>287</v>
      </c>
      <c r="FA1583" s="1" t="s">
        <v>471</v>
      </c>
      <c r="FC1583" s="1" t="s">
        <v>326</v>
      </c>
      <c r="FD1583" s="1" t="s">
        <v>736</v>
      </c>
      <c r="FE1583" s="1" t="s">
        <v>247</v>
      </c>
      <c r="FF1583" s="1" t="s">
        <v>248</v>
      </c>
      <c r="FH1583" s="1" t="s">
        <v>249</v>
      </c>
      <c r="FJ1583" s="1" t="s">
        <v>197</v>
      </c>
      <c r="FL1583" s="1" t="s">
        <v>358</v>
      </c>
      <c r="FM1583" s="1" t="s">
        <v>252</v>
      </c>
      <c r="FN1583" s="1" t="s">
        <v>213</v>
      </c>
      <c r="FO1583" s="1" t="s">
        <v>213</v>
      </c>
      <c r="FQ1583" s="1" t="s">
        <v>9165</v>
      </c>
      <c r="FR1583" s="1" t="s">
        <v>210</v>
      </c>
      <c r="FS1583" s="1" t="s">
        <v>15311</v>
      </c>
      <c r="FT1583" s="1" t="s">
        <v>15312</v>
      </c>
      <c r="FU1583" s="1" t="s">
        <v>204</v>
      </c>
      <c r="FW1583" s="1" t="s">
        <v>15313</v>
      </c>
      <c r="FX1583" s="1">
        <v>85630</v>
      </c>
      <c r="FY1583" s="1" t="s">
        <v>15314</v>
      </c>
      <c r="FZ1583" s="1" t="s">
        <v>15313</v>
      </c>
      <c r="GA1583" s="1">
        <v>119227</v>
      </c>
      <c r="GB1583" s="1" t="s">
        <v>15314</v>
      </c>
      <c r="GE1583" s="1" t="s">
        <v>210</v>
      </c>
      <c r="GH1583" s="1" t="s">
        <v>421</v>
      </c>
      <c r="GI1583" s="1" t="s">
        <v>204</v>
      </c>
      <c r="GJ1583" s="1" t="s">
        <v>260</v>
      </c>
      <c r="GK1583" s="1" t="s">
        <v>210</v>
      </c>
      <c r="GL1583" s="2">
        <v>42069</v>
      </c>
      <c r="GM1583" s="1" t="s">
        <v>15315</v>
      </c>
    </row>
    <row r="1584" spans="1:195">
      <c r="A1584" s="1">
        <v>118000</v>
      </c>
      <c r="B1584" s="1" t="s">
        <v>195</v>
      </c>
      <c r="C1584" s="1" t="str">
        <f>"08690679"</f>
        <v>08690679</v>
      </c>
      <c r="D1584" s="1" t="s">
        <v>196</v>
      </c>
      <c r="F1584" s="1" t="str">
        <f>"538"</f>
        <v>538</v>
      </c>
      <c r="G1584" s="2">
        <v>41853</v>
      </c>
      <c r="H1584" s="1">
        <v>139000</v>
      </c>
      <c r="I1584" s="1">
        <v>120000</v>
      </c>
      <c r="J1584" s="1">
        <v>118000</v>
      </c>
      <c r="K1584" s="2">
        <v>41853</v>
      </c>
      <c r="L1584" s="1">
        <v>95</v>
      </c>
      <c r="M1584" s="2">
        <v>41947</v>
      </c>
      <c r="N1584" s="1">
        <v>95</v>
      </c>
      <c r="O1584" s="2">
        <v>41947</v>
      </c>
      <c r="P1584" s="1">
        <v>30</v>
      </c>
      <c r="Q1584" s="1" t="s">
        <v>197</v>
      </c>
      <c r="R1584" s="2">
        <v>41985</v>
      </c>
      <c r="S1584" s="1">
        <v>607</v>
      </c>
      <c r="U1584" s="1">
        <v>1322</v>
      </c>
      <c r="V1584" s="1" t="s">
        <v>15316</v>
      </c>
      <c r="W1584" s="1" t="s">
        <v>425</v>
      </c>
      <c r="X1584" s="1">
        <v>1322</v>
      </c>
      <c r="Y1584" s="1">
        <v>6</v>
      </c>
      <c r="Z1584" s="1" t="s">
        <v>370</v>
      </c>
      <c r="AA1584" s="1" t="s">
        <v>450</v>
      </c>
      <c r="AB1584" s="1">
        <v>60538</v>
      </c>
      <c r="AD1584" s="1" t="s">
        <v>12503</v>
      </c>
      <c r="AE1584" s="1" t="s">
        <v>15317</v>
      </c>
      <c r="AF1584" s="1">
        <v>2006</v>
      </c>
      <c r="AG1584" s="1" t="s">
        <v>204</v>
      </c>
      <c r="AH1584" s="1" t="s">
        <v>452</v>
      </c>
      <c r="AI1584" s="1" t="s">
        <v>665</v>
      </c>
      <c r="AJ1584" s="1" t="s">
        <v>1126</v>
      </c>
      <c r="AL1584" s="1">
        <v>6</v>
      </c>
      <c r="AM1584" s="1">
        <v>2</v>
      </c>
      <c r="AN1584" s="1">
        <v>1</v>
      </c>
      <c r="AO1584" s="1">
        <v>1</v>
      </c>
      <c r="AP1584" s="1" t="s">
        <v>210</v>
      </c>
      <c r="AR1584" s="1" t="s">
        <v>2165</v>
      </c>
      <c r="AS1584" s="1" t="s">
        <v>204</v>
      </c>
      <c r="AT1584" s="1" t="s">
        <v>211</v>
      </c>
      <c r="AU1584" s="1">
        <v>2</v>
      </c>
      <c r="AW1584" s="1" t="s">
        <v>204</v>
      </c>
      <c r="AX1584" s="1" t="s">
        <v>212</v>
      </c>
      <c r="AZ1584" s="1">
        <v>3663.2</v>
      </c>
      <c r="BA1584" s="1">
        <v>2013</v>
      </c>
      <c r="BB1584" s="1" t="s">
        <v>405</v>
      </c>
      <c r="BE1584" s="1">
        <v>1495</v>
      </c>
      <c r="BF1584" s="1">
        <v>1</v>
      </c>
      <c r="BG1584" s="1">
        <v>0</v>
      </c>
      <c r="BL1584" s="1">
        <v>150</v>
      </c>
      <c r="BM1584" s="1" t="s">
        <v>204</v>
      </c>
      <c r="BN1584" s="1" t="s">
        <v>213</v>
      </c>
      <c r="BO1584" s="1">
        <v>999</v>
      </c>
      <c r="BP1584" s="1" t="s">
        <v>204</v>
      </c>
      <c r="BR1584" s="1" t="str">
        <f>"1533477023"</f>
        <v>1533477023</v>
      </c>
      <c r="BT1584" s="1" t="s">
        <v>15318</v>
      </c>
      <c r="BX1584" s="1">
        <v>129</v>
      </c>
      <c r="BY1584" s="1">
        <v>129</v>
      </c>
      <c r="BZ1584" s="1">
        <v>129</v>
      </c>
      <c r="CB1584" s="1" t="str">
        <f t="shared" ref="CB1584:CC1584" si="1203">"0"</f>
        <v>0</v>
      </c>
      <c r="CC1584" s="1" t="str">
        <f t="shared" si="1203"/>
        <v>0</v>
      </c>
      <c r="CD1584" s="1">
        <v>36</v>
      </c>
      <c r="CE1584" s="1">
        <v>10</v>
      </c>
      <c r="CG1584" s="1" t="s">
        <v>1177</v>
      </c>
      <c r="CH1584" s="1" t="s">
        <v>219</v>
      </c>
      <c r="CI1584" s="1" t="s">
        <v>229</v>
      </c>
      <c r="CJ1584" s="1" t="s">
        <v>343</v>
      </c>
      <c r="CK1584" s="1" t="s">
        <v>280</v>
      </c>
      <c r="CL1584" s="1" t="s">
        <v>277</v>
      </c>
      <c r="CM1584" s="1" t="s">
        <v>229</v>
      </c>
      <c r="CN1584" s="1" t="s">
        <v>343</v>
      </c>
      <c r="CO1584" s="1" t="s">
        <v>1402</v>
      </c>
      <c r="CP1584" s="1" t="s">
        <v>219</v>
      </c>
      <c r="CQ1584" s="1" t="s">
        <v>229</v>
      </c>
      <c r="CS1584" s="1" t="s">
        <v>346</v>
      </c>
      <c r="CT1584" s="1" t="s">
        <v>277</v>
      </c>
      <c r="CU1584" s="1" t="s">
        <v>229</v>
      </c>
      <c r="CV1584" s="1" t="s">
        <v>343</v>
      </c>
      <c r="CX1584" s="1" t="s">
        <v>224</v>
      </c>
      <c r="DB1584" s="1" t="s">
        <v>224</v>
      </c>
      <c r="DE1584" s="1" t="s">
        <v>344</v>
      </c>
      <c r="DF1584" s="1" t="s">
        <v>219</v>
      </c>
      <c r="DG1584" s="1" t="s">
        <v>342</v>
      </c>
      <c r="DI1584" s="1" t="s">
        <v>4225</v>
      </c>
      <c r="DJ1584" s="1" t="s">
        <v>822</v>
      </c>
      <c r="DK1584" s="1" t="s">
        <v>229</v>
      </c>
      <c r="DL1584" s="1" t="s">
        <v>343</v>
      </c>
      <c r="DS1584" s="1" t="s">
        <v>230</v>
      </c>
      <c r="DW1584" s="1" t="s">
        <v>230</v>
      </c>
      <c r="EA1584" s="1" t="s">
        <v>230</v>
      </c>
      <c r="EE1584" s="1" t="s">
        <v>230</v>
      </c>
      <c r="EI1584" s="1" t="s">
        <v>230</v>
      </c>
      <c r="EL1584" s="1" t="s">
        <v>491</v>
      </c>
      <c r="EM1584" s="1" t="s">
        <v>319</v>
      </c>
      <c r="EN1584" s="1" t="s">
        <v>282</v>
      </c>
      <c r="EO1584" s="1" t="s">
        <v>234</v>
      </c>
      <c r="EP1584" s="1" t="s">
        <v>936</v>
      </c>
      <c r="EQ1584" s="1" t="s">
        <v>492</v>
      </c>
      <c r="ER1584" s="1" t="s">
        <v>544</v>
      </c>
      <c r="ES1584" s="1" t="s">
        <v>3850</v>
      </c>
      <c r="EU1584" s="1" t="s">
        <v>610</v>
      </c>
      <c r="EV1584" s="1" t="s">
        <v>324</v>
      </c>
      <c r="EW1584" s="1" t="s">
        <v>1920</v>
      </c>
      <c r="EY1584" s="1" t="s">
        <v>242</v>
      </c>
      <c r="EZ1584" s="1" t="s">
        <v>287</v>
      </c>
      <c r="FB1584" s="1" t="s">
        <v>289</v>
      </c>
      <c r="FD1584" s="1" t="s">
        <v>495</v>
      </c>
      <c r="FE1584" s="1" t="s">
        <v>1031</v>
      </c>
      <c r="FF1584" s="1" t="s">
        <v>248</v>
      </c>
      <c r="FH1584" s="1" t="s">
        <v>2175</v>
      </c>
      <c r="FI1584" s="1" t="s">
        <v>473</v>
      </c>
      <c r="FJ1584" s="1" t="s">
        <v>518</v>
      </c>
      <c r="FL1584" s="1" t="s">
        <v>358</v>
      </c>
      <c r="FM1584" s="1" t="s">
        <v>252</v>
      </c>
      <c r="FN1584" s="1" t="s">
        <v>213</v>
      </c>
      <c r="FO1584" s="1" t="s">
        <v>213</v>
      </c>
      <c r="FQ1584" s="1" t="s">
        <v>15319</v>
      </c>
      <c r="FR1584" s="1" t="s">
        <v>210</v>
      </c>
      <c r="FS1584" s="1" t="s">
        <v>15320</v>
      </c>
      <c r="FT1584" s="1" t="s">
        <v>295</v>
      </c>
      <c r="FU1584" s="1" t="s">
        <v>204</v>
      </c>
      <c r="FW1584" s="1" t="s">
        <v>813</v>
      </c>
      <c r="FX1584" s="1">
        <v>23196</v>
      </c>
      <c r="FY1584" s="1" t="s">
        <v>14015</v>
      </c>
      <c r="FZ1584" s="1" t="s">
        <v>15321</v>
      </c>
      <c r="GA1584" s="1">
        <v>231926</v>
      </c>
      <c r="GB1584" s="1" t="s">
        <v>15322</v>
      </c>
      <c r="GD1584" s="1" t="s">
        <v>15323</v>
      </c>
      <c r="GE1584" s="1" t="s">
        <v>210</v>
      </c>
      <c r="GI1584" s="1" t="s">
        <v>213</v>
      </c>
      <c r="GJ1584" s="1" t="s">
        <v>260</v>
      </c>
      <c r="GK1584" s="1" t="s">
        <v>210</v>
      </c>
      <c r="GL1584" s="2">
        <v>41985</v>
      </c>
      <c r="GM1584" s="1" t="s">
        <v>15324</v>
      </c>
    </row>
    <row r="1585" spans="1:195">
      <c r="A1585" s="1">
        <v>215000</v>
      </c>
      <c r="B1585" s="1" t="s">
        <v>195</v>
      </c>
      <c r="C1585" s="1" t="str">
        <f>"08688539"</f>
        <v>08688539</v>
      </c>
      <c r="D1585" s="1" t="s">
        <v>196</v>
      </c>
      <c r="F1585" s="1" t="str">
        <f>"148"</f>
        <v>148</v>
      </c>
      <c r="G1585" s="2">
        <v>41851</v>
      </c>
      <c r="H1585" s="1">
        <v>219999</v>
      </c>
      <c r="I1585" s="1">
        <v>218000</v>
      </c>
      <c r="J1585" s="1">
        <v>215000</v>
      </c>
      <c r="K1585" s="2">
        <v>41851</v>
      </c>
      <c r="L1585" s="1">
        <v>103</v>
      </c>
      <c r="M1585" s="2">
        <v>41953</v>
      </c>
      <c r="N1585" s="1">
        <v>103</v>
      </c>
      <c r="O1585" s="2">
        <v>41953</v>
      </c>
      <c r="P1585" s="1">
        <v>20150</v>
      </c>
      <c r="Q1585" s="1" t="s">
        <v>197</v>
      </c>
      <c r="R1585" s="2">
        <v>41985</v>
      </c>
      <c r="S1585" s="1">
        <v>212118</v>
      </c>
      <c r="T1585" s="1">
        <v>1500</v>
      </c>
      <c r="U1585" s="1">
        <v>855</v>
      </c>
      <c r="V1585" s="1" t="s">
        <v>3269</v>
      </c>
      <c r="W1585" s="1" t="s">
        <v>725</v>
      </c>
      <c r="X1585" s="1">
        <v>102</v>
      </c>
      <c r="Y1585" s="1">
        <v>74</v>
      </c>
      <c r="Z1585" s="1" t="s">
        <v>370</v>
      </c>
      <c r="AA1585" s="1" t="s">
        <v>1927</v>
      </c>
      <c r="AB1585" s="1">
        <v>60148</v>
      </c>
      <c r="AD1585" s="1" t="s">
        <v>15325</v>
      </c>
      <c r="AE1585" s="1" t="s">
        <v>15326</v>
      </c>
      <c r="AF1585" s="1">
        <v>2007</v>
      </c>
      <c r="AG1585" s="1" t="s">
        <v>204</v>
      </c>
      <c r="AH1585" s="1" t="s">
        <v>1930</v>
      </c>
      <c r="AI1585" s="1" t="s">
        <v>206</v>
      </c>
      <c r="AJ1585" s="1" t="s">
        <v>1608</v>
      </c>
      <c r="AL1585" s="1">
        <v>5</v>
      </c>
      <c r="AM1585" s="1">
        <v>2</v>
      </c>
      <c r="AN1585" s="1">
        <v>2</v>
      </c>
      <c r="AO1585" s="1">
        <v>0</v>
      </c>
      <c r="AP1585" s="1" t="s">
        <v>209</v>
      </c>
      <c r="AR1585" s="1" t="s">
        <v>210</v>
      </c>
      <c r="AS1585" s="1" t="s">
        <v>204</v>
      </c>
      <c r="AT1585" s="1" t="s">
        <v>211</v>
      </c>
      <c r="AU1585" s="1">
        <v>1</v>
      </c>
      <c r="AW1585" s="1" t="s">
        <v>204</v>
      </c>
      <c r="AX1585" s="1" t="s">
        <v>212</v>
      </c>
      <c r="AZ1585" s="1">
        <v>5118</v>
      </c>
      <c r="BA1585" s="1">
        <v>2013</v>
      </c>
      <c r="BE1585" s="1">
        <v>1242</v>
      </c>
      <c r="BF1585" s="1">
        <v>1</v>
      </c>
      <c r="BG1585" s="1">
        <v>0</v>
      </c>
      <c r="BL1585" s="1">
        <v>265</v>
      </c>
      <c r="BM1585" s="1" t="s">
        <v>204</v>
      </c>
      <c r="BN1585" s="1" t="s">
        <v>213</v>
      </c>
      <c r="BO1585" s="1">
        <v>50</v>
      </c>
      <c r="BP1585" s="1" t="s">
        <v>204</v>
      </c>
      <c r="BR1585" s="1" t="str">
        <f>"0628110002"</f>
        <v>0628110002</v>
      </c>
      <c r="BT1585" s="1" t="s">
        <v>15327</v>
      </c>
      <c r="BU1585" s="1" t="s">
        <v>2199</v>
      </c>
      <c r="BV1585" s="1" t="s">
        <v>2200</v>
      </c>
      <c r="BW1585" s="1" t="s">
        <v>2201</v>
      </c>
      <c r="BX1585" s="1">
        <v>45</v>
      </c>
      <c r="BY1585" s="1">
        <v>45</v>
      </c>
      <c r="BZ1585" s="1">
        <v>88</v>
      </c>
      <c r="CB1585" s="1" t="str">
        <f t="shared" ref="CB1585:CC1585" si="1204">""</f>
        <v/>
      </c>
      <c r="CC1585" s="1" t="str">
        <f t="shared" si="1204"/>
        <v/>
      </c>
      <c r="CG1585" s="1" t="s">
        <v>1155</v>
      </c>
      <c r="CH1585" s="1" t="s">
        <v>219</v>
      </c>
      <c r="CI1585" s="1" t="s">
        <v>438</v>
      </c>
      <c r="CJ1585" s="1" t="s">
        <v>909</v>
      </c>
      <c r="CK1585" s="1" t="s">
        <v>757</v>
      </c>
      <c r="CL1585" s="1" t="s">
        <v>219</v>
      </c>
      <c r="CM1585" s="1" t="s">
        <v>438</v>
      </c>
      <c r="CN1585" s="1" t="s">
        <v>343</v>
      </c>
      <c r="CO1585" s="1" t="s">
        <v>629</v>
      </c>
      <c r="CP1585" s="1" t="s">
        <v>219</v>
      </c>
      <c r="CQ1585" s="1" t="s">
        <v>438</v>
      </c>
      <c r="CS1585" s="1" t="s">
        <v>1046</v>
      </c>
      <c r="CT1585" s="1" t="s">
        <v>219</v>
      </c>
      <c r="CU1585" s="1" t="s">
        <v>438</v>
      </c>
      <c r="CV1585" s="1" t="s">
        <v>343</v>
      </c>
      <c r="CX1585" s="1" t="s">
        <v>224</v>
      </c>
      <c r="DB1585" s="1" t="s">
        <v>224</v>
      </c>
      <c r="DE1585" s="1" t="s">
        <v>379</v>
      </c>
      <c r="DF1585" s="1" t="s">
        <v>219</v>
      </c>
      <c r="DG1585" s="1" t="s">
        <v>226</v>
      </c>
      <c r="DH1585" s="1" t="s">
        <v>210</v>
      </c>
      <c r="DJ1585" s="1" t="s">
        <v>224</v>
      </c>
      <c r="DS1585" s="1" t="s">
        <v>230</v>
      </c>
      <c r="DW1585" s="1" t="s">
        <v>230</v>
      </c>
      <c r="EA1585" s="1" t="s">
        <v>230</v>
      </c>
      <c r="EE1585" s="1" t="s">
        <v>230</v>
      </c>
      <c r="EI1585" s="1" t="s">
        <v>230</v>
      </c>
      <c r="EL1585" s="1" t="s">
        <v>491</v>
      </c>
      <c r="EM1585" s="1" t="s">
        <v>730</v>
      </c>
      <c r="EN1585" s="1" t="s">
        <v>282</v>
      </c>
      <c r="EO1585" s="1" t="s">
        <v>234</v>
      </c>
      <c r="ER1585" s="1" t="s">
        <v>210</v>
      </c>
      <c r="ES1585" s="1" t="s">
        <v>3850</v>
      </c>
      <c r="EU1585" s="1" t="s">
        <v>712</v>
      </c>
      <c r="EW1585" s="1" t="s">
        <v>286</v>
      </c>
      <c r="EY1585" s="1" t="s">
        <v>242</v>
      </c>
      <c r="EZ1585" s="1" t="s">
        <v>287</v>
      </c>
      <c r="FB1585" s="1" t="s">
        <v>289</v>
      </c>
      <c r="FD1585" s="1" t="s">
        <v>246</v>
      </c>
      <c r="FE1585" s="1" t="s">
        <v>247</v>
      </c>
      <c r="FF1585" s="1" t="s">
        <v>248</v>
      </c>
      <c r="FH1585" s="1" t="s">
        <v>249</v>
      </c>
      <c r="FI1585" s="1" t="s">
        <v>250</v>
      </c>
      <c r="FJ1585" s="1" t="s">
        <v>518</v>
      </c>
      <c r="FL1585" s="1" t="s">
        <v>358</v>
      </c>
      <c r="FM1585" s="1" t="s">
        <v>252</v>
      </c>
      <c r="FN1585" s="1" t="s">
        <v>213</v>
      </c>
      <c r="FO1585" s="1" t="s">
        <v>213</v>
      </c>
      <c r="FQ1585" s="1" t="s">
        <v>3616</v>
      </c>
      <c r="FR1585" s="1" t="s">
        <v>210</v>
      </c>
      <c r="FS1585" s="1" t="s">
        <v>2657</v>
      </c>
      <c r="FT1585" s="1" t="s">
        <v>295</v>
      </c>
      <c r="FU1585" s="1" t="s">
        <v>213</v>
      </c>
      <c r="FW1585" s="1" t="s">
        <v>2658</v>
      </c>
      <c r="FX1585" s="1">
        <v>92063</v>
      </c>
      <c r="FY1585" s="1" t="s">
        <v>2659</v>
      </c>
      <c r="FZ1585" s="1" t="s">
        <v>2660</v>
      </c>
      <c r="GA1585" s="1">
        <v>26265</v>
      </c>
      <c r="GE1585" s="1" t="s">
        <v>210</v>
      </c>
      <c r="GH1585" s="1" t="s">
        <v>800</v>
      </c>
      <c r="GI1585" s="1" t="s">
        <v>213</v>
      </c>
      <c r="GJ1585" s="1" t="s">
        <v>260</v>
      </c>
      <c r="GK1585" s="1" t="s">
        <v>210</v>
      </c>
      <c r="GL1585" s="2">
        <v>41985</v>
      </c>
      <c r="GM1585" s="1" t="s">
        <v>15328</v>
      </c>
    </row>
    <row r="1586" spans="1:195">
      <c r="A1586" s="1">
        <v>114000</v>
      </c>
      <c r="B1586" s="1" t="s">
        <v>195</v>
      </c>
      <c r="C1586" s="1" t="str">
        <f>"08684956"</f>
        <v>08684956</v>
      </c>
      <c r="D1586" s="1" t="s">
        <v>196</v>
      </c>
      <c r="F1586" s="1" t="str">
        <f>"538"</f>
        <v>538</v>
      </c>
      <c r="G1586" s="2">
        <v>41848</v>
      </c>
      <c r="H1586" s="1">
        <v>127500</v>
      </c>
      <c r="I1586" s="1">
        <v>115000</v>
      </c>
      <c r="J1586" s="1">
        <v>114000</v>
      </c>
      <c r="K1586" s="2">
        <v>41848</v>
      </c>
      <c r="L1586" s="1">
        <v>94</v>
      </c>
      <c r="M1586" s="2">
        <v>41887</v>
      </c>
      <c r="N1586" s="1">
        <v>40</v>
      </c>
      <c r="O1586" s="2">
        <v>41887</v>
      </c>
      <c r="P1586" s="1">
        <v>40191</v>
      </c>
      <c r="Q1586" s="1" t="s">
        <v>197</v>
      </c>
      <c r="R1586" s="2">
        <v>42002</v>
      </c>
      <c r="S1586" s="1">
        <v>400732</v>
      </c>
      <c r="U1586" s="1">
        <v>1834</v>
      </c>
      <c r="V1586" s="1" t="s">
        <v>5892</v>
      </c>
      <c r="W1586" s="1" t="s">
        <v>3006</v>
      </c>
      <c r="Y1586" s="1">
        <v>4</v>
      </c>
      <c r="Z1586" s="1" t="s">
        <v>200</v>
      </c>
      <c r="AA1586" s="1" t="s">
        <v>450</v>
      </c>
      <c r="AB1586" s="1">
        <v>60538</v>
      </c>
      <c r="AE1586" s="1" t="s">
        <v>15329</v>
      </c>
      <c r="AF1586" s="1">
        <v>2003</v>
      </c>
      <c r="AG1586" s="1" t="s">
        <v>204</v>
      </c>
      <c r="AH1586" s="1" t="s">
        <v>452</v>
      </c>
      <c r="AI1586" s="1" t="s">
        <v>665</v>
      </c>
      <c r="AJ1586" s="1" t="s">
        <v>3240</v>
      </c>
      <c r="AL1586" s="1">
        <v>4</v>
      </c>
      <c r="AM1586" s="1">
        <v>2</v>
      </c>
      <c r="AN1586" s="1">
        <v>2</v>
      </c>
      <c r="AO1586" s="1">
        <v>1</v>
      </c>
      <c r="AP1586" s="1" t="s">
        <v>209</v>
      </c>
      <c r="AR1586" s="1" t="s">
        <v>210</v>
      </c>
      <c r="AS1586" s="1" t="s">
        <v>204</v>
      </c>
      <c r="AT1586" s="1" t="s">
        <v>211</v>
      </c>
      <c r="AU1586" s="1">
        <v>2</v>
      </c>
      <c r="AW1586" s="1" t="s">
        <v>213</v>
      </c>
      <c r="AX1586" s="1" t="s">
        <v>212</v>
      </c>
      <c r="AZ1586" s="1">
        <v>4503</v>
      </c>
      <c r="BA1586" s="1">
        <v>2012</v>
      </c>
      <c r="BE1586" s="1">
        <v>1300</v>
      </c>
      <c r="BF1586" s="1">
        <v>1</v>
      </c>
      <c r="BG1586" s="1">
        <v>30</v>
      </c>
      <c r="BL1586" s="1">
        <v>141</v>
      </c>
      <c r="BM1586" s="1" t="s">
        <v>413</v>
      </c>
      <c r="BN1586" s="1" t="s">
        <v>213</v>
      </c>
      <c r="BO1586" s="1">
        <v>0</v>
      </c>
      <c r="BP1586" s="1" t="s">
        <v>204</v>
      </c>
      <c r="BR1586" s="1" t="str">
        <f>"1435457014"</f>
        <v>1435457014</v>
      </c>
      <c r="BT1586" s="1" t="s">
        <v>15330</v>
      </c>
      <c r="BU1586" s="1" t="s">
        <v>15331</v>
      </c>
      <c r="BV1586" s="1" t="s">
        <v>15332</v>
      </c>
      <c r="BW1586" s="1" t="s">
        <v>13190</v>
      </c>
      <c r="BX1586" s="1">
        <v>302</v>
      </c>
      <c r="BY1586" s="1">
        <v>302</v>
      </c>
      <c r="BZ1586" s="1">
        <v>302</v>
      </c>
      <c r="CB1586" s="1" t="str">
        <f t="shared" ref="CB1586:CC1586" si="1205">""</f>
        <v/>
      </c>
      <c r="CC1586" s="1" t="str">
        <f t="shared" si="1205"/>
        <v/>
      </c>
      <c r="CG1586" s="1" t="s">
        <v>539</v>
      </c>
      <c r="CH1586" s="1" t="s">
        <v>219</v>
      </c>
      <c r="CI1586" s="1" t="s">
        <v>220</v>
      </c>
      <c r="CJ1586" s="1" t="s">
        <v>252</v>
      </c>
      <c r="CK1586" s="1" t="s">
        <v>278</v>
      </c>
      <c r="CL1586" s="1" t="s">
        <v>277</v>
      </c>
      <c r="CM1586" s="1" t="s">
        <v>220</v>
      </c>
      <c r="CN1586" s="1" t="s">
        <v>252</v>
      </c>
      <c r="CP1586" s="1" t="s">
        <v>224</v>
      </c>
      <c r="CS1586" s="1" t="s">
        <v>465</v>
      </c>
      <c r="CT1586" s="1" t="s">
        <v>277</v>
      </c>
      <c r="CU1586" s="1" t="s">
        <v>220</v>
      </c>
      <c r="CX1586" s="1" t="s">
        <v>224</v>
      </c>
      <c r="DB1586" s="1" t="s">
        <v>224</v>
      </c>
      <c r="DE1586" s="1" t="s">
        <v>461</v>
      </c>
      <c r="DF1586" s="1" t="s">
        <v>219</v>
      </c>
      <c r="DG1586" s="1" t="s">
        <v>342</v>
      </c>
      <c r="DH1586" s="1" t="s">
        <v>252</v>
      </c>
      <c r="DJ1586" s="1" t="s">
        <v>224</v>
      </c>
      <c r="DS1586" s="1" t="s">
        <v>230</v>
      </c>
      <c r="DW1586" s="1" t="s">
        <v>230</v>
      </c>
      <c r="EA1586" s="1" t="s">
        <v>230</v>
      </c>
      <c r="EE1586" s="1" t="s">
        <v>230</v>
      </c>
      <c r="EI1586" s="1" t="s">
        <v>230</v>
      </c>
      <c r="EL1586" s="1" t="s">
        <v>466</v>
      </c>
      <c r="EM1586" s="1" t="s">
        <v>319</v>
      </c>
      <c r="EN1586" s="1" t="s">
        <v>282</v>
      </c>
      <c r="EO1586" s="1" t="s">
        <v>234</v>
      </c>
      <c r="ER1586" s="1" t="s">
        <v>383</v>
      </c>
      <c r="EW1586" s="1" t="s">
        <v>1250</v>
      </c>
      <c r="EY1586" s="1" t="s">
        <v>242</v>
      </c>
      <c r="EZ1586" s="1" t="s">
        <v>287</v>
      </c>
      <c r="FD1586" s="1" t="s">
        <v>246</v>
      </c>
      <c r="FE1586" s="1" t="s">
        <v>1006</v>
      </c>
      <c r="FF1586" s="1" t="s">
        <v>248</v>
      </c>
      <c r="FH1586" s="1" t="s">
        <v>550</v>
      </c>
      <c r="FL1586" s="1" t="s">
        <v>358</v>
      </c>
      <c r="FM1586" s="1" t="s">
        <v>252</v>
      </c>
      <c r="FN1586" s="1" t="s">
        <v>213</v>
      </c>
      <c r="FO1586" s="1" t="s">
        <v>213</v>
      </c>
      <c r="FQ1586" s="1" t="s">
        <v>3164</v>
      </c>
      <c r="FR1586" s="1" t="s">
        <v>360</v>
      </c>
      <c r="FS1586" s="1" t="s">
        <v>15333</v>
      </c>
      <c r="FT1586" s="1" t="s">
        <v>2589</v>
      </c>
      <c r="FU1586" s="1" t="s">
        <v>204</v>
      </c>
      <c r="FW1586" s="1" t="s">
        <v>813</v>
      </c>
      <c r="FX1586" s="1">
        <v>23196</v>
      </c>
      <c r="FY1586" s="1" t="s">
        <v>14015</v>
      </c>
      <c r="FZ1586" s="1" t="s">
        <v>15334</v>
      </c>
      <c r="GA1586" s="1">
        <v>215286</v>
      </c>
      <c r="GD1586" s="1" t="s">
        <v>15335</v>
      </c>
      <c r="GE1586" s="1" t="s">
        <v>210</v>
      </c>
      <c r="GI1586" s="1" t="s">
        <v>213</v>
      </c>
      <c r="GJ1586" s="1" t="s">
        <v>260</v>
      </c>
      <c r="GK1586" s="1" t="s">
        <v>210</v>
      </c>
      <c r="GL1586" s="2">
        <v>42002</v>
      </c>
      <c r="GM1586" s="1" t="s">
        <v>15336</v>
      </c>
    </row>
    <row r="1587" spans="1:195">
      <c r="A1587" s="1">
        <v>111900</v>
      </c>
      <c r="B1587" s="1" t="s">
        <v>195</v>
      </c>
      <c r="C1587" s="1" t="str">
        <f>"08702227"</f>
        <v>08702227</v>
      </c>
      <c r="D1587" s="1" t="s">
        <v>196</v>
      </c>
      <c r="F1587" s="1" t="str">
        <f>"540"</f>
        <v>540</v>
      </c>
      <c r="G1587" s="2">
        <v>41865</v>
      </c>
      <c r="H1587" s="1">
        <v>123000</v>
      </c>
      <c r="I1587" s="1">
        <v>118900</v>
      </c>
      <c r="J1587" s="1">
        <v>111900</v>
      </c>
      <c r="K1587" s="2">
        <v>41864</v>
      </c>
      <c r="L1587" s="1">
        <v>196</v>
      </c>
      <c r="M1587" s="2">
        <v>42059</v>
      </c>
      <c r="N1587" s="1">
        <v>196</v>
      </c>
      <c r="O1587" s="2">
        <v>42059</v>
      </c>
      <c r="P1587" s="1">
        <v>23076</v>
      </c>
      <c r="Q1587" s="1" t="s">
        <v>302</v>
      </c>
      <c r="R1587" s="2">
        <v>42087</v>
      </c>
      <c r="S1587" s="1">
        <v>242177</v>
      </c>
      <c r="U1587" s="1">
        <v>1494</v>
      </c>
      <c r="V1587" s="1" t="s">
        <v>12149</v>
      </c>
      <c r="W1587" s="1" t="s">
        <v>425</v>
      </c>
      <c r="X1587" s="1" t="s">
        <v>800</v>
      </c>
      <c r="Y1587" s="1">
        <v>5</v>
      </c>
      <c r="Z1587" s="1" t="s">
        <v>249</v>
      </c>
      <c r="AA1587" s="1" t="s">
        <v>921</v>
      </c>
      <c r="AB1587" s="1">
        <v>60540</v>
      </c>
      <c r="AD1587" s="1" t="s">
        <v>15337</v>
      </c>
      <c r="AE1587" s="1" t="s">
        <v>15338</v>
      </c>
      <c r="AF1587" s="1">
        <v>1986</v>
      </c>
      <c r="AG1587" s="1" t="s">
        <v>204</v>
      </c>
      <c r="AH1587" s="1" t="s">
        <v>924</v>
      </c>
      <c r="AI1587" s="1" t="s">
        <v>206</v>
      </c>
      <c r="AJ1587" s="1" t="s">
        <v>924</v>
      </c>
      <c r="AL1587" s="1">
        <v>5</v>
      </c>
      <c r="AM1587" s="1">
        <v>2</v>
      </c>
      <c r="AN1587" s="1">
        <v>1</v>
      </c>
      <c r="AO1587" s="1">
        <v>1</v>
      </c>
      <c r="AP1587" s="1" t="s">
        <v>210</v>
      </c>
      <c r="AR1587" s="1" t="s">
        <v>210</v>
      </c>
      <c r="AT1587" s="1" t="s">
        <v>271</v>
      </c>
      <c r="AV1587" s="1">
        <v>2</v>
      </c>
      <c r="AW1587" s="1" t="s">
        <v>204</v>
      </c>
      <c r="AX1587" s="1" t="s">
        <v>212</v>
      </c>
      <c r="AZ1587" s="1">
        <v>1758</v>
      </c>
      <c r="BA1587" s="1">
        <v>2013</v>
      </c>
      <c r="BE1587" s="1">
        <v>992</v>
      </c>
      <c r="BF1587" s="1">
        <v>2</v>
      </c>
      <c r="BG1587" s="1">
        <v>30</v>
      </c>
      <c r="BL1587" s="1">
        <v>264</v>
      </c>
      <c r="BM1587" s="1" t="s">
        <v>413</v>
      </c>
      <c r="BN1587" s="1" t="s">
        <v>213</v>
      </c>
      <c r="BO1587" s="1">
        <v>1</v>
      </c>
      <c r="BP1587" s="1" t="s">
        <v>204</v>
      </c>
      <c r="BR1587" s="1" t="str">
        <f>"0723114020"</f>
        <v>0723114020</v>
      </c>
      <c r="BT1587" s="1" t="s">
        <v>15339</v>
      </c>
      <c r="BU1587" s="1" t="s">
        <v>2823</v>
      </c>
      <c r="BV1587" s="1" t="s">
        <v>2824</v>
      </c>
      <c r="BW1587" s="1" t="s">
        <v>2825</v>
      </c>
      <c r="BX1587" s="1">
        <v>203</v>
      </c>
      <c r="BY1587" s="1">
        <v>203</v>
      </c>
      <c r="BZ1587" s="1">
        <v>203</v>
      </c>
      <c r="CB1587" s="1" t="str">
        <f t="shared" ref="CB1587:CC1587" si="1206">"0"</f>
        <v>0</v>
      </c>
      <c r="CC1587" s="1" t="str">
        <f t="shared" si="1206"/>
        <v>0</v>
      </c>
      <c r="CD1587" s="1">
        <v>28</v>
      </c>
      <c r="CE1587" s="1">
        <v>6</v>
      </c>
      <c r="CG1587" s="1" t="s">
        <v>1267</v>
      </c>
      <c r="CH1587" s="1" t="s">
        <v>277</v>
      </c>
      <c r="CI1587" s="1" t="s">
        <v>220</v>
      </c>
      <c r="CJ1587" s="1" t="s">
        <v>343</v>
      </c>
      <c r="CK1587" s="1" t="s">
        <v>757</v>
      </c>
      <c r="CL1587" s="1" t="s">
        <v>784</v>
      </c>
      <c r="CM1587" s="1" t="s">
        <v>220</v>
      </c>
      <c r="CN1587" s="1" t="s">
        <v>343</v>
      </c>
      <c r="CO1587" s="1" t="s">
        <v>630</v>
      </c>
      <c r="CP1587" s="1" t="s">
        <v>277</v>
      </c>
      <c r="CQ1587" s="1" t="s">
        <v>229</v>
      </c>
      <c r="CR1587" s="1" t="s">
        <v>343</v>
      </c>
      <c r="CS1587" s="1" t="s">
        <v>1046</v>
      </c>
      <c r="CT1587" s="1" t="s">
        <v>784</v>
      </c>
      <c r="CU1587" s="1" t="s">
        <v>220</v>
      </c>
      <c r="CV1587" s="1" t="s">
        <v>343</v>
      </c>
      <c r="CX1587" s="1" t="s">
        <v>224</v>
      </c>
      <c r="DB1587" s="1" t="s">
        <v>224</v>
      </c>
      <c r="DE1587" s="1" t="s">
        <v>630</v>
      </c>
      <c r="DF1587" s="1" t="s">
        <v>277</v>
      </c>
      <c r="DG1587" s="1" t="s">
        <v>229</v>
      </c>
      <c r="DJ1587" s="1" t="s">
        <v>224</v>
      </c>
      <c r="DS1587" s="1" t="s">
        <v>230</v>
      </c>
      <c r="DW1587" s="1" t="s">
        <v>230</v>
      </c>
      <c r="EA1587" s="1" t="s">
        <v>230</v>
      </c>
      <c r="EE1587" s="1" t="s">
        <v>230</v>
      </c>
      <c r="EI1587" s="1" t="s">
        <v>230</v>
      </c>
      <c r="EL1587" s="1" t="s">
        <v>542</v>
      </c>
      <c r="EM1587" s="1" t="s">
        <v>232</v>
      </c>
      <c r="EN1587" s="1" t="s">
        <v>282</v>
      </c>
      <c r="EO1587" s="1" t="s">
        <v>234</v>
      </c>
      <c r="EP1587" s="1" t="s">
        <v>650</v>
      </c>
      <c r="EQ1587" s="1" t="s">
        <v>1094</v>
      </c>
      <c r="ER1587" s="1" t="s">
        <v>210</v>
      </c>
      <c r="ES1587" s="1" t="s">
        <v>1552</v>
      </c>
      <c r="EU1587" s="1" t="s">
        <v>239</v>
      </c>
      <c r="EV1587" s="1" t="s">
        <v>324</v>
      </c>
      <c r="EW1587" s="1" t="s">
        <v>286</v>
      </c>
      <c r="EZ1587" s="1" t="s">
        <v>287</v>
      </c>
      <c r="FA1587" s="1" t="s">
        <v>471</v>
      </c>
      <c r="FB1587" s="1" t="s">
        <v>289</v>
      </c>
      <c r="FD1587" s="1" t="s">
        <v>495</v>
      </c>
      <c r="FE1587" s="1" t="s">
        <v>247</v>
      </c>
      <c r="FF1587" s="1" t="s">
        <v>248</v>
      </c>
      <c r="FH1587" s="1" t="s">
        <v>249</v>
      </c>
      <c r="FK1587" s="1" t="s">
        <v>1825</v>
      </c>
      <c r="FL1587" s="1" t="s">
        <v>358</v>
      </c>
      <c r="FM1587" s="1" t="s">
        <v>252</v>
      </c>
      <c r="FN1587" s="1" t="s">
        <v>213</v>
      </c>
      <c r="FO1587" s="1" t="s">
        <v>213</v>
      </c>
      <c r="FQ1587" s="1" t="s">
        <v>3036</v>
      </c>
      <c r="FR1587" s="1" t="s">
        <v>210</v>
      </c>
      <c r="FS1587" s="1" t="s">
        <v>15340</v>
      </c>
      <c r="FT1587" s="1" t="s">
        <v>295</v>
      </c>
      <c r="FU1587" s="1" t="s">
        <v>204</v>
      </c>
      <c r="FW1587" s="1" t="s">
        <v>1898</v>
      </c>
      <c r="FX1587" s="1">
        <v>23030</v>
      </c>
      <c r="FY1587" s="1" t="s">
        <v>1899</v>
      </c>
      <c r="FZ1587" s="1" t="s">
        <v>15341</v>
      </c>
      <c r="GA1587" s="1">
        <v>237015</v>
      </c>
      <c r="GB1587" s="1" t="s">
        <v>15342</v>
      </c>
      <c r="GC1587" s="1">
        <v>233664</v>
      </c>
      <c r="GE1587" s="1" t="s">
        <v>658</v>
      </c>
      <c r="GH1587" s="1" t="s">
        <v>589</v>
      </c>
      <c r="GI1587" s="1" t="s">
        <v>213</v>
      </c>
      <c r="GJ1587" s="1" t="s">
        <v>260</v>
      </c>
      <c r="GK1587" s="1" t="s">
        <v>210</v>
      </c>
      <c r="GL1587" s="2">
        <v>42088</v>
      </c>
      <c r="GM1587" s="1" t="s">
        <v>15343</v>
      </c>
    </row>
    <row r="1588" spans="1:195">
      <c r="A1588" s="1">
        <v>25379</v>
      </c>
      <c r="B1588" s="1" t="s">
        <v>195</v>
      </c>
      <c r="C1588" s="1" t="str">
        <f>"08689456"</f>
        <v>08689456</v>
      </c>
      <c r="D1588" s="1" t="s">
        <v>196</v>
      </c>
      <c r="F1588" s="1" t="str">
        <f>"8065"</f>
        <v>8065</v>
      </c>
      <c r="G1588" s="2">
        <v>41852</v>
      </c>
      <c r="H1588" s="1">
        <v>40000</v>
      </c>
      <c r="I1588" s="1">
        <v>17000</v>
      </c>
      <c r="J1588" s="1">
        <v>25379</v>
      </c>
      <c r="K1588" s="2">
        <v>41852</v>
      </c>
      <c r="L1588" s="1">
        <v>130</v>
      </c>
      <c r="M1588" s="2">
        <v>41981</v>
      </c>
      <c r="N1588" s="1">
        <v>130</v>
      </c>
      <c r="O1588" s="2">
        <v>41981</v>
      </c>
      <c r="P1588" s="1">
        <v>17299</v>
      </c>
      <c r="Q1588" s="1" t="s">
        <v>302</v>
      </c>
      <c r="R1588" s="2">
        <v>42004</v>
      </c>
      <c r="S1588" s="1">
        <v>131125</v>
      </c>
      <c r="U1588" s="1">
        <v>3900</v>
      </c>
      <c r="V1588" s="1" t="s">
        <v>4294</v>
      </c>
      <c r="W1588" s="1" t="s">
        <v>725</v>
      </c>
      <c r="X1588" s="1" t="s">
        <v>9641</v>
      </c>
      <c r="Y1588" s="1">
        <v>8</v>
      </c>
      <c r="Z1588" s="1" t="s">
        <v>249</v>
      </c>
      <c r="AA1588" s="1" t="s">
        <v>400</v>
      </c>
      <c r="AB1588" s="1">
        <v>60629</v>
      </c>
      <c r="AE1588" s="1" t="s">
        <v>15344</v>
      </c>
      <c r="AF1588" s="1">
        <v>1986</v>
      </c>
      <c r="AG1588" s="1" t="s">
        <v>204</v>
      </c>
      <c r="AH1588" s="1" t="s">
        <v>403</v>
      </c>
      <c r="AI1588" s="1" t="s">
        <v>310</v>
      </c>
      <c r="AJ1588" s="1" t="s">
        <v>683</v>
      </c>
      <c r="AL1588" s="1">
        <v>4</v>
      </c>
      <c r="AM1588" s="1">
        <v>2</v>
      </c>
      <c r="AN1588" s="1">
        <v>1</v>
      </c>
      <c r="AO1588" s="1">
        <v>0</v>
      </c>
      <c r="AP1588" s="1" t="s">
        <v>210</v>
      </c>
      <c r="AR1588" s="1" t="s">
        <v>210</v>
      </c>
      <c r="AS1588" s="1" t="s">
        <v>204</v>
      </c>
      <c r="AT1588" s="1" t="s">
        <v>210</v>
      </c>
      <c r="AW1588" s="1" t="s">
        <v>204</v>
      </c>
      <c r="AX1588" s="1" t="s">
        <v>270</v>
      </c>
      <c r="AZ1588" s="1">
        <v>787.52</v>
      </c>
      <c r="BA1588" s="1">
        <v>2012</v>
      </c>
      <c r="BE1588" s="1">
        <v>900</v>
      </c>
      <c r="BF1588" s="1">
        <v>2</v>
      </c>
      <c r="BG1588" s="1">
        <v>0</v>
      </c>
      <c r="BL1588" s="1">
        <v>250</v>
      </c>
      <c r="BM1588" s="1" t="s">
        <v>413</v>
      </c>
      <c r="BN1588" s="1" t="s">
        <v>204</v>
      </c>
      <c r="BP1588" s="1" t="s">
        <v>204</v>
      </c>
      <c r="BR1588" s="1" t="str">
        <f>"19143280461001"</f>
        <v>19143280461001</v>
      </c>
      <c r="BT1588" s="1" t="s">
        <v>15345</v>
      </c>
      <c r="BX1588" s="1">
        <v>299</v>
      </c>
      <c r="BY1588" s="1">
        <v>299</v>
      </c>
      <c r="BZ1588" s="1">
        <v>299</v>
      </c>
      <c r="CB1588" s="1" t="str">
        <f t="shared" ref="CB1588:CC1588" si="1207">"0"</f>
        <v>0</v>
      </c>
      <c r="CC1588" s="1" t="str">
        <f t="shared" si="1207"/>
        <v>0</v>
      </c>
      <c r="CD1588" s="1">
        <v>3900</v>
      </c>
      <c r="CE1588" s="1">
        <v>6300</v>
      </c>
      <c r="CG1588" s="1" t="s">
        <v>602</v>
      </c>
      <c r="CH1588" s="1" t="s">
        <v>277</v>
      </c>
      <c r="CK1588" s="1" t="s">
        <v>2122</v>
      </c>
      <c r="CL1588" s="1" t="s">
        <v>277</v>
      </c>
      <c r="CP1588" s="1" t="s">
        <v>224</v>
      </c>
      <c r="CS1588" s="1" t="s">
        <v>378</v>
      </c>
      <c r="CT1588" s="1" t="s">
        <v>277</v>
      </c>
      <c r="CX1588" s="1" t="s">
        <v>224</v>
      </c>
      <c r="DB1588" s="1" t="s">
        <v>224</v>
      </c>
      <c r="DE1588" s="1" t="s">
        <v>378</v>
      </c>
      <c r="DF1588" s="1" t="s">
        <v>277</v>
      </c>
      <c r="DJ1588" s="1" t="s">
        <v>224</v>
      </c>
      <c r="DS1588" s="1" t="s">
        <v>230</v>
      </c>
      <c r="DW1588" s="1" t="s">
        <v>230</v>
      </c>
      <c r="EA1588" s="1" t="s">
        <v>230</v>
      </c>
      <c r="EE1588" s="1" t="s">
        <v>230</v>
      </c>
      <c r="EI1588" s="1" t="s">
        <v>230</v>
      </c>
      <c r="EL1588" s="1" t="s">
        <v>542</v>
      </c>
      <c r="EM1588" s="1" t="s">
        <v>232</v>
      </c>
      <c r="EN1588" s="1" t="s">
        <v>731</v>
      </c>
      <c r="EO1588" s="1" t="s">
        <v>5573</v>
      </c>
      <c r="ER1588" s="1" t="s">
        <v>210</v>
      </c>
      <c r="EW1588" s="1" t="s">
        <v>713</v>
      </c>
      <c r="EZ1588" s="1" t="s">
        <v>287</v>
      </c>
      <c r="FD1588" s="1" t="s">
        <v>1112</v>
      </c>
      <c r="FE1588" s="1" t="s">
        <v>247</v>
      </c>
      <c r="FF1588" s="1" t="s">
        <v>248</v>
      </c>
      <c r="FH1588" s="1" t="s">
        <v>249</v>
      </c>
      <c r="FJ1588" s="1" t="s">
        <v>1472</v>
      </c>
      <c r="FL1588" s="1" t="s">
        <v>328</v>
      </c>
      <c r="FM1588" s="1" t="s">
        <v>252</v>
      </c>
      <c r="FN1588" s="1" t="s">
        <v>213</v>
      </c>
      <c r="FO1588" s="1" t="s">
        <v>213</v>
      </c>
      <c r="FQ1588" s="1" t="s">
        <v>5727</v>
      </c>
      <c r="FR1588" s="1" t="s">
        <v>210</v>
      </c>
      <c r="FS1588" s="1" t="s">
        <v>13482</v>
      </c>
      <c r="FT1588" s="1" t="s">
        <v>8607</v>
      </c>
      <c r="FU1588" s="1" t="s">
        <v>204</v>
      </c>
      <c r="FW1588" s="1" t="s">
        <v>3774</v>
      </c>
      <c r="FX1588" s="1">
        <v>1984</v>
      </c>
      <c r="FY1588" s="1" t="s">
        <v>3775</v>
      </c>
      <c r="FZ1588" s="1" t="s">
        <v>3776</v>
      </c>
      <c r="GA1588" s="1">
        <v>922950</v>
      </c>
      <c r="GE1588" s="1" t="s">
        <v>210</v>
      </c>
      <c r="GH1588" s="1" t="s">
        <v>589</v>
      </c>
      <c r="GI1588" s="1" t="s">
        <v>204</v>
      </c>
      <c r="GJ1588" s="1" t="s">
        <v>260</v>
      </c>
      <c r="GK1588" s="1" t="s">
        <v>210</v>
      </c>
      <c r="GL1588" s="2">
        <v>42006</v>
      </c>
      <c r="GM1588" s="1" t="s">
        <v>15346</v>
      </c>
    </row>
    <row r="1589" spans="1:195">
      <c r="A1589" s="1">
        <v>112000</v>
      </c>
      <c r="B1589" s="1" t="s">
        <v>195</v>
      </c>
      <c r="C1589" s="1" t="str">
        <f>"08693553"</f>
        <v>08693553</v>
      </c>
      <c r="D1589" s="1" t="s">
        <v>196</v>
      </c>
      <c r="F1589" s="1" t="str">
        <f>"560"</f>
        <v>560</v>
      </c>
      <c r="G1589" s="2">
        <v>41856</v>
      </c>
      <c r="H1589" s="1">
        <v>129900</v>
      </c>
      <c r="I1589" s="1">
        <v>118000</v>
      </c>
      <c r="J1589" s="1">
        <v>112000</v>
      </c>
      <c r="K1589" s="2">
        <v>41856</v>
      </c>
      <c r="L1589" s="1">
        <v>202</v>
      </c>
      <c r="M1589" s="2">
        <v>42057</v>
      </c>
      <c r="N1589" s="1">
        <v>202</v>
      </c>
      <c r="O1589" s="2">
        <v>42057</v>
      </c>
      <c r="P1589" s="1">
        <v>306</v>
      </c>
      <c r="Q1589" s="1" t="s">
        <v>423</v>
      </c>
      <c r="R1589" s="2">
        <v>42094</v>
      </c>
      <c r="S1589" s="1">
        <v>310453</v>
      </c>
      <c r="U1589" s="1">
        <v>231</v>
      </c>
      <c r="V1589" s="1" t="s">
        <v>8598</v>
      </c>
      <c r="W1589" s="1" t="s">
        <v>264</v>
      </c>
      <c r="X1589" s="1" t="s">
        <v>1000</v>
      </c>
      <c r="Y1589" s="1">
        <v>4</v>
      </c>
      <c r="Z1589" s="1" t="s">
        <v>370</v>
      </c>
      <c r="AA1589" s="1" t="s">
        <v>484</v>
      </c>
      <c r="AB1589" s="1">
        <v>60560</v>
      </c>
      <c r="AD1589" s="1" t="s">
        <v>485</v>
      </c>
      <c r="AE1589" s="1" t="s">
        <v>15347</v>
      </c>
      <c r="AF1589" s="1">
        <v>2006</v>
      </c>
      <c r="AG1589" s="1" t="s">
        <v>204</v>
      </c>
      <c r="AH1589" s="1" t="s">
        <v>487</v>
      </c>
      <c r="AI1589" s="1" t="s">
        <v>453</v>
      </c>
      <c r="AJ1589" s="1" t="s">
        <v>454</v>
      </c>
      <c r="AL1589" s="1">
        <v>6</v>
      </c>
      <c r="AM1589" s="1">
        <v>2</v>
      </c>
      <c r="AN1589" s="1">
        <v>1</v>
      </c>
      <c r="AO1589" s="1">
        <v>1</v>
      </c>
      <c r="AP1589" s="1" t="s">
        <v>667</v>
      </c>
      <c r="AR1589" s="1" t="s">
        <v>210</v>
      </c>
      <c r="AT1589" s="1" t="s">
        <v>211</v>
      </c>
      <c r="AU1589" s="1">
        <v>2</v>
      </c>
      <c r="AW1589" s="1" t="s">
        <v>204</v>
      </c>
      <c r="AX1589" s="1" t="s">
        <v>15348</v>
      </c>
      <c r="AZ1589" s="1">
        <v>4887.16</v>
      </c>
      <c r="BA1589" s="1">
        <v>2013</v>
      </c>
      <c r="BB1589" s="1" t="s">
        <v>405</v>
      </c>
      <c r="BE1589" s="1">
        <v>1490</v>
      </c>
      <c r="BF1589" s="1">
        <v>1</v>
      </c>
      <c r="BG1589" s="1">
        <v>0</v>
      </c>
      <c r="BL1589" s="1">
        <v>172</v>
      </c>
      <c r="BM1589" s="1" t="s">
        <v>204</v>
      </c>
      <c r="BN1589" s="1" t="s">
        <v>213</v>
      </c>
      <c r="BO1589" s="1">
        <v>0</v>
      </c>
      <c r="BP1589" s="1" t="s">
        <v>204</v>
      </c>
      <c r="BR1589" s="1" t="str">
        <f>"0204329049"</f>
        <v>0204329049</v>
      </c>
      <c r="BT1589" s="1" t="s">
        <v>15349</v>
      </c>
      <c r="BX1589" s="1">
        <v>115</v>
      </c>
      <c r="BY1589" s="1">
        <v>115</v>
      </c>
      <c r="BZ1589" s="1">
        <v>115</v>
      </c>
      <c r="CB1589" s="1" t="str">
        <f t="shared" ref="CB1589:CC1589" si="1208">""</f>
        <v/>
      </c>
      <c r="CC1589" s="1" t="str">
        <f t="shared" si="1208"/>
        <v/>
      </c>
      <c r="CG1589" s="1" t="s">
        <v>218</v>
      </c>
      <c r="CH1589" s="1" t="s">
        <v>219</v>
      </c>
      <c r="CI1589" s="1" t="s">
        <v>220</v>
      </c>
      <c r="CJ1589" s="1" t="s">
        <v>909</v>
      </c>
      <c r="CK1589" s="1" t="s">
        <v>932</v>
      </c>
      <c r="CL1589" s="1" t="s">
        <v>277</v>
      </c>
      <c r="CM1589" s="1" t="s">
        <v>220</v>
      </c>
      <c r="CN1589" s="1" t="s">
        <v>909</v>
      </c>
      <c r="CO1589" s="1" t="s">
        <v>281</v>
      </c>
      <c r="CP1589" s="1" t="s">
        <v>219</v>
      </c>
      <c r="CQ1589" s="1" t="s">
        <v>220</v>
      </c>
      <c r="CR1589" s="1" t="s">
        <v>909</v>
      </c>
      <c r="CS1589" s="1" t="s">
        <v>1046</v>
      </c>
      <c r="CT1589" s="1" t="s">
        <v>277</v>
      </c>
      <c r="CU1589" s="1" t="s">
        <v>220</v>
      </c>
      <c r="CV1589" s="1" t="s">
        <v>909</v>
      </c>
      <c r="CX1589" s="1" t="s">
        <v>224</v>
      </c>
      <c r="DB1589" s="1" t="s">
        <v>224</v>
      </c>
      <c r="DE1589" s="1" t="s">
        <v>1046</v>
      </c>
      <c r="DF1589" s="1" t="s">
        <v>219</v>
      </c>
      <c r="DG1589" s="1" t="s">
        <v>342</v>
      </c>
      <c r="DI1589" s="1" t="s">
        <v>4571</v>
      </c>
      <c r="DJ1589" s="1" t="s">
        <v>277</v>
      </c>
      <c r="DK1589" s="1" t="s">
        <v>220</v>
      </c>
      <c r="DL1589" s="1" t="s">
        <v>343</v>
      </c>
      <c r="DS1589" s="1" t="s">
        <v>230</v>
      </c>
      <c r="DW1589" s="1" t="s">
        <v>230</v>
      </c>
      <c r="EA1589" s="1" t="s">
        <v>230</v>
      </c>
      <c r="EE1589" s="1" t="s">
        <v>230</v>
      </c>
      <c r="EI1589" s="1" t="s">
        <v>230</v>
      </c>
      <c r="EL1589" s="1" t="s">
        <v>491</v>
      </c>
      <c r="EM1589" s="1" t="s">
        <v>319</v>
      </c>
      <c r="EN1589" s="1" t="s">
        <v>282</v>
      </c>
      <c r="EO1589" s="1" t="s">
        <v>1020</v>
      </c>
      <c r="ER1589" s="1" t="s">
        <v>210</v>
      </c>
      <c r="EW1589" s="1" t="s">
        <v>15350</v>
      </c>
      <c r="EZ1589" s="1" t="s">
        <v>287</v>
      </c>
      <c r="FD1589" s="1" t="s">
        <v>246</v>
      </c>
      <c r="FE1589" s="1" t="s">
        <v>472</v>
      </c>
      <c r="FF1589" s="1" t="s">
        <v>248</v>
      </c>
      <c r="FH1589" s="1" t="s">
        <v>550</v>
      </c>
      <c r="FL1589" s="1" t="s">
        <v>810</v>
      </c>
      <c r="FM1589" s="1" t="s">
        <v>252</v>
      </c>
      <c r="FN1589" s="1" t="s">
        <v>213</v>
      </c>
      <c r="FO1589" s="1" t="s">
        <v>213</v>
      </c>
      <c r="FQ1589" s="1" t="s">
        <v>4413</v>
      </c>
      <c r="FR1589" s="1" t="s">
        <v>210</v>
      </c>
      <c r="FS1589" s="1" t="s">
        <v>15351</v>
      </c>
      <c r="FT1589" s="1" t="s">
        <v>295</v>
      </c>
      <c r="FU1589" s="1" t="s">
        <v>204</v>
      </c>
      <c r="FW1589" s="1" t="s">
        <v>5481</v>
      </c>
      <c r="FX1589" s="1">
        <v>23842</v>
      </c>
      <c r="FY1589" s="1" t="s">
        <v>5482</v>
      </c>
      <c r="FZ1589" s="1" t="s">
        <v>15352</v>
      </c>
      <c r="GA1589" s="1">
        <v>236198</v>
      </c>
      <c r="GE1589" s="1" t="s">
        <v>480</v>
      </c>
      <c r="GI1589" s="1" t="s">
        <v>213</v>
      </c>
      <c r="GJ1589" s="1" t="s">
        <v>260</v>
      </c>
      <c r="GK1589" s="1" t="s">
        <v>1413</v>
      </c>
      <c r="GL1589" s="2">
        <v>42095</v>
      </c>
      <c r="GM1589" s="1" t="s">
        <v>15353</v>
      </c>
    </row>
    <row r="1590" spans="1:195">
      <c r="A1590" s="1">
        <v>122000</v>
      </c>
      <c r="B1590" s="1" t="s">
        <v>195</v>
      </c>
      <c r="C1590" s="1" t="str">
        <f>"08743652"</f>
        <v>08743652</v>
      </c>
      <c r="D1590" s="1" t="s">
        <v>196</v>
      </c>
      <c r="F1590" s="1" t="str">
        <f>"510"</f>
        <v>510</v>
      </c>
      <c r="G1590" s="2">
        <v>41914</v>
      </c>
      <c r="H1590" s="1">
        <v>149900</v>
      </c>
      <c r="I1590" s="1">
        <v>135000</v>
      </c>
      <c r="J1590" s="1">
        <v>122000</v>
      </c>
      <c r="K1590" s="2">
        <v>41914</v>
      </c>
      <c r="L1590" s="1">
        <v>63</v>
      </c>
      <c r="M1590" s="2">
        <v>41976</v>
      </c>
      <c r="N1590" s="1">
        <v>63</v>
      </c>
      <c r="O1590" s="2">
        <v>41976</v>
      </c>
      <c r="P1590" s="1">
        <v>49</v>
      </c>
      <c r="Q1590" s="1" t="s">
        <v>302</v>
      </c>
      <c r="R1590" s="2">
        <v>42033</v>
      </c>
      <c r="S1590" s="1">
        <v>8371</v>
      </c>
      <c r="U1590" s="1">
        <v>530</v>
      </c>
      <c r="V1590" s="1" t="s">
        <v>15354</v>
      </c>
      <c r="W1590" s="1" t="s">
        <v>725</v>
      </c>
      <c r="Y1590" s="1">
        <v>2</v>
      </c>
      <c r="Z1590" s="1" t="s">
        <v>200</v>
      </c>
      <c r="AA1590" s="1" t="s">
        <v>947</v>
      </c>
      <c r="AB1590" s="1">
        <v>60510</v>
      </c>
      <c r="AE1590" s="1" t="s">
        <v>15355</v>
      </c>
      <c r="AF1590" s="1">
        <v>1970</v>
      </c>
      <c r="AG1590" s="1" t="s">
        <v>213</v>
      </c>
      <c r="AH1590" s="1" t="s">
        <v>949</v>
      </c>
      <c r="AI1590" s="1" t="s">
        <v>665</v>
      </c>
      <c r="AJ1590" s="1" t="s">
        <v>949</v>
      </c>
      <c r="AL1590" s="1">
        <v>4</v>
      </c>
      <c r="AM1590" s="1">
        <v>2</v>
      </c>
      <c r="AN1590" s="1">
        <v>1</v>
      </c>
      <c r="AO1590" s="1">
        <v>1</v>
      </c>
      <c r="AP1590" s="1" t="s">
        <v>210</v>
      </c>
      <c r="AQ1590" s="1">
        <v>0</v>
      </c>
      <c r="AR1590" s="1" t="s">
        <v>210</v>
      </c>
      <c r="AS1590" s="1" t="s">
        <v>204</v>
      </c>
      <c r="AT1590" s="1" t="s">
        <v>211</v>
      </c>
      <c r="AU1590" s="1">
        <v>1</v>
      </c>
      <c r="AW1590" s="1" t="s">
        <v>204</v>
      </c>
      <c r="AX1590" s="1" t="s">
        <v>15356</v>
      </c>
      <c r="AZ1590" s="1">
        <v>4571.12</v>
      </c>
      <c r="BA1590" s="1">
        <v>2013</v>
      </c>
      <c r="BB1590" s="1" t="s">
        <v>210</v>
      </c>
      <c r="BE1590" s="1">
        <v>1058</v>
      </c>
      <c r="BF1590" s="1">
        <v>1</v>
      </c>
      <c r="BG1590" s="1">
        <v>0</v>
      </c>
      <c r="BJ1590" s="1">
        <v>0</v>
      </c>
      <c r="BL1590" s="1">
        <v>0</v>
      </c>
      <c r="BM1590" s="1" t="s">
        <v>204</v>
      </c>
      <c r="BN1590" s="1" t="s">
        <v>213</v>
      </c>
      <c r="BO1590" s="1">
        <v>999</v>
      </c>
      <c r="BP1590" s="1" t="s">
        <v>204</v>
      </c>
      <c r="BR1590" s="1" t="str">
        <f>"1222306106"</f>
        <v>1222306106</v>
      </c>
      <c r="BT1590" s="1" t="s">
        <v>15357</v>
      </c>
      <c r="BU1590" s="1" t="s">
        <v>11447</v>
      </c>
      <c r="BV1590" s="1" t="s">
        <v>6404</v>
      </c>
      <c r="BW1590" s="1" t="s">
        <v>6405</v>
      </c>
      <c r="BX1590" s="1">
        <v>101</v>
      </c>
      <c r="BY1590" s="1">
        <v>101</v>
      </c>
      <c r="BZ1590" s="1">
        <v>101</v>
      </c>
      <c r="CB1590" s="1" t="str">
        <f t="shared" ref="CB1590:CC1590" si="1209">""</f>
        <v/>
      </c>
      <c r="CC1590" s="1" t="str">
        <f t="shared" si="1209"/>
        <v/>
      </c>
      <c r="CG1590" s="1" t="s">
        <v>515</v>
      </c>
      <c r="CH1590" s="1" t="s">
        <v>219</v>
      </c>
      <c r="CI1590" s="1" t="s">
        <v>229</v>
      </c>
      <c r="CJ1590" s="1" t="s">
        <v>252</v>
      </c>
      <c r="CK1590" s="1" t="s">
        <v>539</v>
      </c>
      <c r="CL1590" s="1" t="s">
        <v>219</v>
      </c>
      <c r="CM1590" s="1" t="s">
        <v>229</v>
      </c>
      <c r="CN1590" s="1" t="s">
        <v>252</v>
      </c>
      <c r="CP1590" s="1" t="s">
        <v>224</v>
      </c>
      <c r="CS1590" s="1" t="s">
        <v>378</v>
      </c>
      <c r="CT1590" s="1" t="s">
        <v>219</v>
      </c>
      <c r="CU1590" s="1" t="s">
        <v>229</v>
      </c>
      <c r="CV1590" s="1" t="s">
        <v>210</v>
      </c>
      <c r="CX1590" s="1" t="s">
        <v>224</v>
      </c>
      <c r="DB1590" s="1" t="s">
        <v>224</v>
      </c>
      <c r="DE1590" s="1" t="s">
        <v>1178</v>
      </c>
      <c r="DF1590" s="1" t="s">
        <v>219</v>
      </c>
      <c r="DG1590" s="1" t="s">
        <v>229</v>
      </c>
      <c r="DH1590" s="1" t="s">
        <v>252</v>
      </c>
      <c r="DJ1590" s="1" t="s">
        <v>224</v>
      </c>
      <c r="DS1590" s="1" t="s">
        <v>230</v>
      </c>
      <c r="DW1590" s="1" t="s">
        <v>230</v>
      </c>
      <c r="EA1590" s="1" t="s">
        <v>230</v>
      </c>
      <c r="EE1590" s="1" t="s">
        <v>230</v>
      </c>
      <c r="EI1590" s="1" t="s">
        <v>230</v>
      </c>
      <c r="EL1590" s="1" t="s">
        <v>605</v>
      </c>
      <c r="EM1590" s="1" t="s">
        <v>319</v>
      </c>
      <c r="EN1590" s="1" t="s">
        <v>282</v>
      </c>
      <c r="EO1590" s="1" t="s">
        <v>234</v>
      </c>
      <c r="EQ1590" s="1" t="s">
        <v>1109</v>
      </c>
      <c r="ER1590" s="1" t="s">
        <v>383</v>
      </c>
      <c r="ES1590" s="1" t="s">
        <v>322</v>
      </c>
      <c r="EU1590" s="1" t="s">
        <v>546</v>
      </c>
      <c r="EW1590" s="1" t="s">
        <v>210</v>
      </c>
      <c r="EZ1590" s="1" t="s">
        <v>287</v>
      </c>
      <c r="FA1590" s="1" t="s">
        <v>1072</v>
      </c>
      <c r="FC1590" s="1" t="s">
        <v>326</v>
      </c>
      <c r="FD1590" s="1" t="s">
        <v>246</v>
      </c>
      <c r="FE1590" s="1" t="s">
        <v>549</v>
      </c>
      <c r="FF1590" s="1" t="s">
        <v>248</v>
      </c>
      <c r="FH1590" s="1" t="s">
        <v>442</v>
      </c>
      <c r="FL1590" s="1" t="s">
        <v>414</v>
      </c>
      <c r="FM1590" s="1" t="s">
        <v>252</v>
      </c>
      <c r="FN1590" s="1" t="s">
        <v>213</v>
      </c>
      <c r="FO1590" s="1" t="s">
        <v>213</v>
      </c>
      <c r="FQ1590" s="1" t="s">
        <v>2091</v>
      </c>
      <c r="FR1590" s="1" t="s">
        <v>210</v>
      </c>
      <c r="FS1590" s="1" t="s">
        <v>15358</v>
      </c>
      <c r="FT1590" s="1" t="s">
        <v>295</v>
      </c>
      <c r="FU1590" s="1" t="s">
        <v>204</v>
      </c>
      <c r="FW1590" s="1" t="s">
        <v>13153</v>
      </c>
      <c r="FX1590" s="1">
        <v>280</v>
      </c>
      <c r="FY1590" s="1" t="s">
        <v>13154</v>
      </c>
      <c r="FZ1590" s="1" t="s">
        <v>13155</v>
      </c>
      <c r="GA1590" s="1">
        <v>1127</v>
      </c>
      <c r="GB1590" s="1" t="s">
        <v>13156</v>
      </c>
      <c r="GC1590" s="1">
        <v>2089</v>
      </c>
      <c r="GD1590" s="1" t="s">
        <v>15359</v>
      </c>
      <c r="GE1590" s="1" t="s">
        <v>480</v>
      </c>
      <c r="GI1590" s="1" t="s">
        <v>213</v>
      </c>
      <c r="GJ1590" s="1" t="s">
        <v>260</v>
      </c>
      <c r="GK1590" s="1" t="s">
        <v>210</v>
      </c>
      <c r="GL1590" s="2">
        <v>42034</v>
      </c>
      <c r="GM1590" s="1" t="s">
        <v>15360</v>
      </c>
    </row>
    <row r="1591" spans="1:195">
      <c r="A1591" s="1">
        <v>225000</v>
      </c>
      <c r="B1591" s="1" t="s">
        <v>195</v>
      </c>
      <c r="C1591" s="1" t="str">
        <f>"08694228"</f>
        <v>08694228</v>
      </c>
      <c r="D1591" s="1" t="s">
        <v>196</v>
      </c>
      <c r="F1591" s="1" t="str">
        <f>"143"</f>
        <v>143</v>
      </c>
      <c r="G1591" s="2">
        <v>41857</v>
      </c>
      <c r="H1591" s="1">
        <v>239000</v>
      </c>
      <c r="I1591" s="1">
        <v>239000</v>
      </c>
      <c r="J1591" s="1">
        <v>225000</v>
      </c>
      <c r="K1591" s="2">
        <v>41857</v>
      </c>
      <c r="L1591" s="1">
        <v>91</v>
      </c>
      <c r="M1591" s="2">
        <v>41947</v>
      </c>
      <c r="N1591" s="1">
        <v>91</v>
      </c>
      <c r="O1591" s="2">
        <v>41947</v>
      </c>
      <c r="P1591" s="1">
        <v>24250</v>
      </c>
      <c r="Q1591" s="1" t="s">
        <v>197</v>
      </c>
      <c r="R1591" s="2">
        <v>42003</v>
      </c>
      <c r="S1591" s="1">
        <v>89906</v>
      </c>
      <c r="U1591" s="1">
        <v>1</v>
      </c>
      <c r="V1591" s="1" t="s">
        <v>7873</v>
      </c>
      <c r="W1591" s="1" t="s">
        <v>779</v>
      </c>
      <c r="X1591" s="1">
        <v>304</v>
      </c>
      <c r="Y1591" s="1">
        <v>70</v>
      </c>
      <c r="Z1591" s="1" t="s">
        <v>249</v>
      </c>
      <c r="AA1591" s="1" t="s">
        <v>7871</v>
      </c>
      <c r="AB1591" s="1">
        <v>60143</v>
      </c>
      <c r="AD1591" s="1" t="s">
        <v>10524</v>
      </c>
      <c r="AE1591" s="1" t="s">
        <v>15361</v>
      </c>
      <c r="AF1591" s="1">
        <v>2006</v>
      </c>
      <c r="AG1591" s="1" t="s">
        <v>204</v>
      </c>
      <c r="AH1591" s="1" t="s">
        <v>882</v>
      </c>
      <c r="AI1591" s="1" t="s">
        <v>206</v>
      </c>
      <c r="AJ1591" s="1" t="s">
        <v>269</v>
      </c>
      <c r="AL1591" s="1">
        <v>5</v>
      </c>
      <c r="AM1591" s="1">
        <v>2</v>
      </c>
      <c r="AN1591" s="1">
        <v>2</v>
      </c>
      <c r="AO1591" s="1">
        <v>0</v>
      </c>
      <c r="AP1591" s="1" t="s">
        <v>209</v>
      </c>
      <c r="AR1591" s="1" t="s">
        <v>210</v>
      </c>
      <c r="AS1591" s="1" t="s">
        <v>204</v>
      </c>
      <c r="AT1591" s="1" t="s">
        <v>211</v>
      </c>
      <c r="AU1591" s="1">
        <v>2</v>
      </c>
      <c r="AW1591" s="1" t="s">
        <v>204</v>
      </c>
      <c r="AX1591" s="1" t="s">
        <v>212</v>
      </c>
      <c r="AZ1591" s="1">
        <v>3146</v>
      </c>
      <c r="BA1591" s="1">
        <v>2013</v>
      </c>
      <c r="BE1591" s="1">
        <v>1355</v>
      </c>
      <c r="BF1591" s="1">
        <v>3</v>
      </c>
      <c r="BG1591" s="1">
        <v>10</v>
      </c>
      <c r="BL1591" s="1">
        <v>200</v>
      </c>
      <c r="BM1591" s="1" t="s">
        <v>204</v>
      </c>
      <c r="BN1591" s="1" t="s">
        <v>213</v>
      </c>
      <c r="BO1591" s="1">
        <v>40</v>
      </c>
      <c r="BP1591" s="1" t="s">
        <v>204</v>
      </c>
      <c r="BR1591" s="1" t="str">
        <f>"0213208018"</f>
        <v>0213208018</v>
      </c>
      <c r="BT1591" s="1" t="s">
        <v>15362</v>
      </c>
      <c r="BU1591" s="1" t="s">
        <v>15363</v>
      </c>
      <c r="BV1591" s="1" t="s">
        <v>10529</v>
      </c>
      <c r="BW1591" s="1" t="s">
        <v>275</v>
      </c>
      <c r="BX1591" s="1">
        <v>11</v>
      </c>
      <c r="BY1591" s="1">
        <v>11</v>
      </c>
      <c r="BZ1591" s="1">
        <v>108</v>
      </c>
      <c r="CB1591" s="1" t="str">
        <f>"6"</f>
        <v>6</v>
      </c>
      <c r="CC1591" s="1" t="str">
        <f>"0"</f>
        <v>0</v>
      </c>
      <c r="CD1591" s="1">
        <v>21</v>
      </c>
      <c r="CE1591" s="1">
        <v>0</v>
      </c>
      <c r="CG1591" s="1" t="s">
        <v>515</v>
      </c>
      <c r="CH1591" s="1" t="s">
        <v>685</v>
      </c>
      <c r="CI1591" s="1" t="s">
        <v>220</v>
      </c>
      <c r="CK1591" s="1" t="s">
        <v>1045</v>
      </c>
      <c r="CL1591" s="1" t="s">
        <v>685</v>
      </c>
      <c r="CM1591" s="1" t="s">
        <v>220</v>
      </c>
      <c r="CO1591" s="1" t="s">
        <v>318</v>
      </c>
      <c r="CP1591" s="1" t="s">
        <v>685</v>
      </c>
      <c r="CQ1591" s="1" t="s">
        <v>220</v>
      </c>
      <c r="CS1591" s="1" t="s">
        <v>379</v>
      </c>
      <c r="CT1591" s="1" t="s">
        <v>685</v>
      </c>
      <c r="CU1591" s="1" t="s">
        <v>220</v>
      </c>
      <c r="CX1591" s="1" t="s">
        <v>224</v>
      </c>
      <c r="DB1591" s="1" t="s">
        <v>224</v>
      </c>
      <c r="DE1591" s="1" t="s">
        <v>318</v>
      </c>
      <c r="DF1591" s="1" t="s">
        <v>685</v>
      </c>
      <c r="DG1591" s="1" t="s">
        <v>226</v>
      </c>
      <c r="DJ1591" s="1" t="s">
        <v>224</v>
      </c>
      <c r="DM1591" s="1" t="s">
        <v>3011</v>
      </c>
      <c r="DR1591" s="1" t="s">
        <v>6174</v>
      </c>
      <c r="DS1591" s="1" t="s">
        <v>784</v>
      </c>
      <c r="DT1591" s="1" t="s">
        <v>226</v>
      </c>
      <c r="DW1591" s="1" t="s">
        <v>230</v>
      </c>
      <c r="EA1591" s="1" t="s">
        <v>230</v>
      </c>
      <c r="EE1591" s="1" t="s">
        <v>230</v>
      </c>
      <c r="EI1591" s="1" t="s">
        <v>230</v>
      </c>
      <c r="EL1591" s="1" t="s">
        <v>491</v>
      </c>
      <c r="EM1591" s="1" t="s">
        <v>232</v>
      </c>
      <c r="EN1591" s="1" t="s">
        <v>282</v>
      </c>
      <c r="EO1591" s="1" t="s">
        <v>234</v>
      </c>
      <c r="ER1591" s="1" t="s">
        <v>210</v>
      </c>
      <c r="EW1591" s="1" t="s">
        <v>15364</v>
      </c>
      <c r="EZ1591" s="1" t="s">
        <v>3011</v>
      </c>
      <c r="FD1591" s="1" t="s">
        <v>385</v>
      </c>
      <c r="FE1591" s="1" t="s">
        <v>247</v>
      </c>
      <c r="FF1591" s="1" t="s">
        <v>248</v>
      </c>
      <c r="FH1591" s="1" t="s">
        <v>249</v>
      </c>
      <c r="FL1591" s="1" t="s">
        <v>414</v>
      </c>
      <c r="FM1591" s="1" t="s">
        <v>252</v>
      </c>
      <c r="FN1591" s="1" t="s">
        <v>213</v>
      </c>
      <c r="FO1591" s="1" t="s">
        <v>213</v>
      </c>
      <c r="FQ1591" s="1" t="s">
        <v>9805</v>
      </c>
      <c r="FR1591" s="1" t="s">
        <v>210</v>
      </c>
      <c r="FS1591" s="1" t="s">
        <v>15365</v>
      </c>
      <c r="FT1591" s="1" t="s">
        <v>255</v>
      </c>
      <c r="FU1591" s="1" t="s">
        <v>204</v>
      </c>
      <c r="FW1591" s="1" t="s">
        <v>2726</v>
      </c>
      <c r="FX1591" s="1">
        <v>1109</v>
      </c>
      <c r="FY1591" s="1" t="s">
        <v>2727</v>
      </c>
      <c r="FZ1591" s="1" t="s">
        <v>15366</v>
      </c>
      <c r="GA1591" s="1">
        <v>89704</v>
      </c>
      <c r="GB1591" s="1" t="s">
        <v>15367</v>
      </c>
      <c r="GC1591" s="1">
        <v>28904</v>
      </c>
      <c r="GE1591" s="1" t="s">
        <v>210</v>
      </c>
      <c r="GI1591" s="1" t="s">
        <v>213</v>
      </c>
      <c r="GJ1591" s="1" t="s">
        <v>260</v>
      </c>
      <c r="GK1591" s="1" t="s">
        <v>261</v>
      </c>
      <c r="GL1591" s="2">
        <v>42009</v>
      </c>
      <c r="GM1591" s="1" t="s">
        <v>15368</v>
      </c>
    </row>
    <row r="1592" spans="1:195">
      <c r="A1592" s="1">
        <v>107000</v>
      </c>
      <c r="B1592" s="1" t="s">
        <v>195</v>
      </c>
      <c r="C1592" s="1" t="str">
        <f>"08696088"</f>
        <v>08696088</v>
      </c>
      <c r="D1592" s="1" t="s">
        <v>196</v>
      </c>
      <c r="F1592" s="1" t="str">
        <f>"187"</f>
        <v>187</v>
      </c>
      <c r="G1592" s="2">
        <v>41859</v>
      </c>
      <c r="H1592" s="1">
        <v>114900</v>
      </c>
      <c r="I1592" s="1">
        <v>114900</v>
      </c>
      <c r="J1592" s="1">
        <v>107000</v>
      </c>
      <c r="K1592" s="2">
        <v>41859</v>
      </c>
      <c r="L1592" s="1">
        <v>106</v>
      </c>
      <c r="M1592" s="2">
        <v>41964</v>
      </c>
      <c r="N1592" s="1">
        <v>106</v>
      </c>
      <c r="O1592" s="2">
        <v>41964</v>
      </c>
      <c r="P1592" s="1">
        <v>22039</v>
      </c>
      <c r="Q1592" s="1" t="s">
        <v>197</v>
      </c>
      <c r="R1592" s="2">
        <v>42009</v>
      </c>
      <c r="S1592" s="1">
        <v>240280</v>
      </c>
      <c r="U1592" s="1">
        <v>1200</v>
      </c>
      <c r="V1592" s="1" t="s">
        <v>15369</v>
      </c>
      <c r="W1592" s="1" t="s">
        <v>304</v>
      </c>
      <c r="X1592" s="1" t="s">
        <v>800</v>
      </c>
      <c r="Y1592" s="1">
        <v>5</v>
      </c>
      <c r="Z1592" s="1" t="s">
        <v>249</v>
      </c>
      <c r="AA1592" s="1" t="s">
        <v>964</v>
      </c>
      <c r="AB1592" s="1">
        <v>60189</v>
      </c>
      <c r="AC1592" s="1">
        <v>8291</v>
      </c>
      <c r="AE1592" s="1" t="s">
        <v>15370</v>
      </c>
      <c r="AF1592" s="1">
        <v>1976</v>
      </c>
      <c r="AG1592" s="1" t="s">
        <v>213</v>
      </c>
      <c r="AH1592" s="1" t="s">
        <v>967</v>
      </c>
      <c r="AI1592" s="1" t="s">
        <v>206</v>
      </c>
      <c r="AJ1592" s="1" t="s">
        <v>987</v>
      </c>
      <c r="AL1592" s="1">
        <v>5</v>
      </c>
      <c r="AM1592" s="1">
        <v>2</v>
      </c>
      <c r="AN1592" s="1">
        <v>1</v>
      </c>
      <c r="AO1592" s="1">
        <v>0</v>
      </c>
      <c r="AP1592" s="1" t="s">
        <v>210</v>
      </c>
      <c r="AR1592" s="1" t="s">
        <v>210</v>
      </c>
      <c r="AS1592" s="1" t="s">
        <v>204</v>
      </c>
      <c r="AT1592" s="1" t="s">
        <v>271</v>
      </c>
      <c r="AV1592" s="1">
        <v>2</v>
      </c>
      <c r="AW1592" s="1" t="s">
        <v>204</v>
      </c>
      <c r="AX1592" s="1" t="s">
        <v>212</v>
      </c>
      <c r="AZ1592" s="1">
        <v>2882</v>
      </c>
      <c r="BA1592" s="1">
        <v>2013</v>
      </c>
      <c r="BB1592" s="1" t="s">
        <v>405</v>
      </c>
      <c r="BE1592" s="1">
        <v>0</v>
      </c>
      <c r="BF1592" s="1">
        <v>1</v>
      </c>
      <c r="BG1592" s="1">
        <v>30</v>
      </c>
      <c r="BL1592" s="1">
        <v>164</v>
      </c>
      <c r="BM1592" s="1" t="s">
        <v>204</v>
      </c>
      <c r="BN1592" s="1" t="s">
        <v>213</v>
      </c>
      <c r="BO1592" s="1">
        <v>999</v>
      </c>
      <c r="BP1592" s="1" t="s">
        <v>204</v>
      </c>
      <c r="BR1592" s="1" t="str">
        <f>"0527106231"</f>
        <v>0527106231</v>
      </c>
      <c r="BT1592" s="1" t="s">
        <v>15371</v>
      </c>
      <c r="BU1592" s="1" t="s">
        <v>969</v>
      </c>
      <c r="BV1592" s="1" t="s">
        <v>970</v>
      </c>
      <c r="BW1592" s="1" t="s">
        <v>971</v>
      </c>
      <c r="BX1592" s="1">
        <v>200</v>
      </c>
      <c r="BY1592" s="1">
        <v>200</v>
      </c>
      <c r="BZ1592" s="1">
        <v>200</v>
      </c>
      <c r="CB1592" s="1" t="str">
        <f t="shared" ref="CB1592:CC1592" si="1210">"0"</f>
        <v>0</v>
      </c>
      <c r="CC1592" s="1" t="str">
        <f t="shared" si="1210"/>
        <v>0</v>
      </c>
      <c r="CD1592" s="1">
        <v>23</v>
      </c>
      <c r="CE1592" s="1">
        <v>2</v>
      </c>
      <c r="CG1592" s="1" t="s">
        <v>581</v>
      </c>
      <c r="CH1592" s="1" t="s">
        <v>219</v>
      </c>
      <c r="CI1592" s="1" t="s">
        <v>229</v>
      </c>
      <c r="CJ1592" s="1" t="s">
        <v>252</v>
      </c>
      <c r="CK1592" s="1" t="s">
        <v>223</v>
      </c>
      <c r="CL1592" s="1" t="s">
        <v>277</v>
      </c>
      <c r="CM1592" s="1" t="s">
        <v>220</v>
      </c>
      <c r="CN1592" s="1" t="s">
        <v>252</v>
      </c>
      <c r="CO1592" s="1" t="s">
        <v>348</v>
      </c>
      <c r="CP1592" s="1" t="s">
        <v>219</v>
      </c>
      <c r="CQ1592" s="1" t="s">
        <v>229</v>
      </c>
      <c r="CR1592" s="1" t="s">
        <v>252</v>
      </c>
      <c r="CS1592" s="1" t="s">
        <v>346</v>
      </c>
      <c r="CT1592" s="1" t="s">
        <v>277</v>
      </c>
      <c r="CU1592" s="1" t="s">
        <v>220</v>
      </c>
      <c r="CV1592" s="1" t="s">
        <v>252</v>
      </c>
      <c r="CX1592" s="1" t="s">
        <v>224</v>
      </c>
      <c r="DB1592" s="1" t="s">
        <v>224</v>
      </c>
      <c r="DE1592" s="1" t="s">
        <v>1133</v>
      </c>
      <c r="DF1592" s="1" t="s">
        <v>219</v>
      </c>
      <c r="DG1592" s="1" t="s">
        <v>229</v>
      </c>
      <c r="DH1592" s="1" t="s">
        <v>252</v>
      </c>
      <c r="DJ1592" s="1" t="s">
        <v>224</v>
      </c>
      <c r="DS1592" s="1" t="s">
        <v>230</v>
      </c>
      <c r="DW1592" s="1" t="s">
        <v>230</v>
      </c>
      <c r="EA1592" s="1" t="s">
        <v>230</v>
      </c>
      <c r="EE1592" s="1" t="s">
        <v>230</v>
      </c>
      <c r="EI1592" s="1" t="s">
        <v>230</v>
      </c>
      <c r="EL1592" s="1" t="s">
        <v>231</v>
      </c>
      <c r="EM1592" s="1" t="s">
        <v>232</v>
      </c>
      <c r="EN1592" s="1" t="s">
        <v>282</v>
      </c>
      <c r="EO1592" s="1" t="s">
        <v>234</v>
      </c>
      <c r="EP1592" s="1" t="s">
        <v>7543</v>
      </c>
      <c r="EQ1592" s="1" t="s">
        <v>468</v>
      </c>
      <c r="ER1592" s="1" t="s">
        <v>210</v>
      </c>
      <c r="ES1592" s="1" t="s">
        <v>545</v>
      </c>
      <c r="EU1592" s="1" t="s">
        <v>1314</v>
      </c>
      <c r="EV1592" s="1" t="s">
        <v>240</v>
      </c>
      <c r="EW1592" s="1" t="s">
        <v>15372</v>
      </c>
      <c r="EY1592" s="1" t="s">
        <v>7991</v>
      </c>
      <c r="EZ1592" s="1" t="s">
        <v>287</v>
      </c>
      <c r="FA1592" s="1" t="s">
        <v>471</v>
      </c>
      <c r="FB1592" s="1" t="s">
        <v>289</v>
      </c>
      <c r="FC1592" s="1" t="s">
        <v>548</v>
      </c>
      <c r="FD1592" s="1" t="s">
        <v>246</v>
      </c>
      <c r="FE1592" s="1" t="s">
        <v>472</v>
      </c>
      <c r="FF1592" s="1" t="s">
        <v>248</v>
      </c>
      <c r="FH1592" s="1" t="s">
        <v>249</v>
      </c>
      <c r="FJ1592" s="1" t="s">
        <v>197</v>
      </c>
      <c r="FK1592" s="1" t="s">
        <v>291</v>
      </c>
      <c r="FL1592" s="1" t="s">
        <v>358</v>
      </c>
      <c r="FM1592" s="1" t="s">
        <v>252</v>
      </c>
      <c r="FN1592" s="1" t="s">
        <v>213</v>
      </c>
      <c r="FO1592" s="1" t="s">
        <v>213</v>
      </c>
      <c r="FQ1592" s="1" t="s">
        <v>6017</v>
      </c>
      <c r="FR1592" s="1" t="s">
        <v>210</v>
      </c>
      <c r="FS1592" s="1" t="s">
        <v>15373</v>
      </c>
      <c r="FT1592" s="1" t="s">
        <v>295</v>
      </c>
      <c r="FU1592" s="1" t="s">
        <v>204</v>
      </c>
      <c r="FW1592" s="1" t="s">
        <v>1637</v>
      </c>
      <c r="FX1592" s="1">
        <v>8059</v>
      </c>
      <c r="FY1592" s="1" t="s">
        <v>2034</v>
      </c>
      <c r="FZ1592" s="1" t="s">
        <v>15374</v>
      </c>
      <c r="GA1592" s="1">
        <v>26973</v>
      </c>
      <c r="GB1592" s="1" t="s">
        <v>15375</v>
      </c>
      <c r="GD1592" s="1" t="s">
        <v>15376</v>
      </c>
      <c r="GE1592" s="1" t="s">
        <v>658</v>
      </c>
      <c r="GI1592" s="1" t="s">
        <v>213</v>
      </c>
      <c r="GJ1592" s="1" t="s">
        <v>260</v>
      </c>
      <c r="GK1592" s="1" t="s">
        <v>210</v>
      </c>
      <c r="GL1592" s="2">
        <v>42012</v>
      </c>
    </row>
    <row r="1593" spans="1:195">
      <c r="A1593" s="1">
        <v>113000</v>
      </c>
      <c r="B1593" s="1" t="s">
        <v>195</v>
      </c>
      <c r="C1593" s="1" t="str">
        <f>"08702698"</f>
        <v>08702698</v>
      </c>
      <c r="D1593" s="1" t="s">
        <v>196</v>
      </c>
      <c r="F1593" s="1" t="str">
        <f>"110"</f>
        <v>110</v>
      </c>
      <c r="G1593" s="2">
        <v>41866</v>
      </c>
      <c r="H1593" s="1">
        <v>129900</v>
      </c>
      <c r="I1593" s="1">
        <v>119900</v>
      </c>
      <c r="J1593" s="1">
        <v>113000</v>
      </c>
      <c r="K1593" s="2">
        <v>41865</v>
      </c>
      <c r="L1593" s="1">
        <v>101</v>
      </c>
      <c r="M1593" s="2">
        <v>41965</v>
      </c>
      <c r="N1593" s="1">
        <v>101</v>
      </c>
      <c r="O1593" s="2">
        <v>41965</v>
      </c>
      <c r="P1593" s="1">
        <v>7450</v>
      </c>
      <c r="Q1593" s="1" t="s">
        <v>302</v>
      </c>
      <c r="R1593" s="2">
        <v>41985</v>
      </c>
      <c r="S1593" s="1">
        <v>70036</v>
      </c>
      <c r="U1593" s="1">
        <v>2062</v>
      </c>
      <c r="V1593" s="1" t="s">
        <v>15377</v>
      </c>
      <c r="W1593" s="1" t="s">
        <v>504</v>
      </c>
      <c r="Y1593" s="1">
        <v>4</v>
      </c>
      <c r="Z1593" s="1" t="s">
        <v>370</v>
      </c>
      <c r="AA1593" s="1" t="s">
        <v>803</v>
      </c>
      <c r="AB1593" s="1">
        <v>60110</v>
      </c>
      <c r="AD1593" s="1" t="s">
        <v>6981</v>
      </c>
      <c r="AE1593" s="1" t="s">
        <v>15378</v>
      </c>
      <c r="AF1593" s="1">
        <v>1996</v>
      </c>
      <c r="AG1593" s="1" t="s">
        <v>204</v>
      </c>
      <c r="AH1593" s="1" t="s">
        <v>2557</v>
      </c>
      <c r="AI1593" s="1" t="s">
        <v>665</v>
      </c>
      <c r="AJ1593" s="1" t="s">
        <v>805</v>
      </c>
      <c r="AL1593" s="1">
        <v>6</v>
      </c>
      <c r="AM1593" s="1">
        <v>2</v>
      </c>
      <c r="AN1593" s="1">
        <v>1</v>
      </c>
      <c r="AO1593" s="1">
        <v>1</v>
      </c>
      <c r="AP1593" s="1" t="s">
        <v>667</v>
      </c>
      <c r="AQ1593" s="1">
        <v>1</v>
      </c>
      <c r="AR1593" s="1" t="s">
        <v>210</v>
      </c>
      <c r="AS1593" s="1" t="s">
        <v>204</v>
      </c>
      <c r="AT1593" s="1" t="s">
        <v>211</v>
      </c>
      <c r="AU1593" s="1">
        <v>2</v>
      </c>
      <c r="AW1593" s="1" t="s">
        <v>204</v>
      </c>
      <c r="AX1593" s="1" t="s">
        <v>212</v>
      </c>
      <c r="AZ1593" s="1">
        <v>3993.44</v>
      </c>
      <c r="BA1593" s="1">
        <v>2013</v>
      </c>
      <c r="BE1593" s="1">
        <v>1455</v>
      </c>
      <c r="BF1593" s="1">
        <v>1</v>
      </c>
      <c r="BG1593" s="1">
        <v>0</v>
      </c>
      <c r="BL1593" s="1">
        <v>120</v>
      </c>
      <c r="BM1593" s="1" t="s">
        <v>413</v>
      </c>
      <c r="BN1593" s="1" t="s">
        <v>213</v>
      </c>
      <c r="BO1593" s="1">
        <v>0</v>
      </c>
      <c r="BP1593" s="1" t="s">
        <v>204</v>
      </c>
      <c r="BR1593" s="1" t="str">
        <f>"0318255016"</f>
        <v>0318255016</v>
      </c>
      <c r="BT1593" s="1" t="s">
        <v>15379</v>
      </c>
      <c r="BX1593" s="1">
        <v>300</v>
      </c>
      <c r="BY1593" s="1">
        <v>300</v>
      </c>
      <c r="BZ1593" s="1">
        <v>300</v>
      </c>
      <c r="CB1593" s="1" t="str">
        <f t="shared" ref="CB1593:CC1593" si="1211">""</f>
        <v/>
      </c>
      <c r="CC1593" s="1" t="str">
        <f t="shared" si="1211"/>
        <v/>
      </c>
      <c r="CG1593" s="1" t="s">
        <v>861</v>
      </c>
      <c r="CH1593" s="1" t="s">
        <v>219</v>
      </c>
      <c r="CK1593" s="1" t="s">
        <v>757</v>
      </c>
      <c r="CL1593" s="1" t="s">
        <v>277</v>
      </c>
      <c r="CO1593" s="1" t="s">
        <v>379</v>
      </c>
      <c r="CP1593" s="1" t="s">
        <v>219</v>
      </c>
      <c r="CS1593" s="1" t="s">
        <v>465</v>
      </c>
      <c r="CT1593" s="1" t="s">
        <v>277</v>
      </c>
      <c r="CX1593" s="1" t="s">
        <v>224</v>
      </c>
      <c r="DB1593" s="1" t="s">
        <v>224</v>
      </c>
      <c r="DE1593" s="1" t="s">
        <v>437</v>
      </c>
      <c r="DF1593" s="1" t="s">
        <v>219</v>
      </c>
      <c r="DJ1593" s="1" t="s">
        <v>224</v>
      </c>
      <c r="DM1593" s="1" t="s">
        <v>464</v>
      </c>
      <c r="DR1593" s="1" t="s">
        <v>539</v>
      </c>
      <c r="DS1593" s="1" t="s">
        <v>277</v>
      </c>
      <c r="DW1593" s="1" t="s">
        <v>230</v>
      </c>
      <c r="EA1593" s="1" t="s">
        <v>230</v>
      </c>
      <c r="EE1593" s="1" t="s">
        <v>230</v>
      </c>
      <c r="EI1593" s="1" t="s">
        <v>230</v>
      </c>
      <c r="EL1593" s="1" t="s">
        <v>670</v>
      </c>
      <c r="EM1593" s="1" t="s">
        <v>319</v>
      </c>
      <c r="EN1593" s="1" t="s">
        <v>282</v>
      </c>
      <c r="EO1593" s="1" t="s">
        <v>234</v>
      </c>
      <c r="ER1593" s="1" t="s">
        <v>210</v>
      </c>
      <c r="EV1593" s="1" t="s">
        <v>324</v>
      </c>
      <c r="EW1593" s="1" t="s">
        <v>867</v>
      </c>
      <c r="EY1593" s="1" t="s">
        <v>242</v>
      </c>
      <c r="EZ1593" s="1" t="s">
        <v>464</v>
      </c>
      <c r="FB1593" s="1" t="s">
        <v>289</v>
      </c>
      <c r="FD1593" s="1" t="s">
        <v>246</v>
      </c>
      <c r="FE1593" s="1" t="s">
        <v>472</v>
      </c>
      <c r="FF1593" s="1" t="s">
        <v>248</v>
      </c>
      <c r="FH1593" s="1" t="s">
        <v>550</v>
      </c>
      <c r="FL1593" s="1" t="s">
        <v>358</v>
      </c>
      <c r="FM1593" s="1" t="s">
        <v>252</v>
      </c>
      <c r="FN1593" s="1" t="s">
        <v>213</v>
      </c>
      <c r="FO1593" s="1" t="s">
        <v>213</v>
      </c>
      <c r="FQ1593" s="1" t="s">
        <v>582</v>
      </c>
      <c r="FR1593" s="1" t="s">
        <v>210</v>
      </c>
      <c r="FS1593" s="1" t="s">
        <v>3352</v>
      </c>
      <c r="FT1593" s="1" t="s">
        <v>1828</v>
      </c>
      <c r="FU1593" s="1" t="s">
        <v>204</v>
      </c>
      <c r="FW1593" s="1" t="s">
        <v>15236</v>
      </c>
      <c r="FX1593" s="1">
        <v>7630</v>
      </c>
      <c r="FY1593" s="1" t="s">
        <v>15237</v>
      </c>
      <c r="FZ1593" s="1" t="s">
        <v>15380</v>
      </c>
      <c r="GA1593" s="1">
        <v>77822</v>
      </c>
      <c r="GB1593" s="1" t="s">
        <v>15381</v>
      </c>
      <c r="GE1593" s="1" t="s">
        <v>480</v>
      </c>
      <c r="GI1593" s="1" t="s">
        <v>204</v>
      </c>
      <c r="GJ1593" s="1" t="s">
        <v>260</v>
      </c>
      <c r="GK1593" s="1" t="s">
        <v>210</v>
      </c>
      <c r="GL1593" s="2">
        <v>41985</v>
      </c>
      <c r="GM1593" s="1" t="s">
        <v>15382</v>
      </c>
    </row>
    <row r="1594" spans="1:195">
      <c r="A1594" s="1">
        <v>170000</v>
      </c>
      <c r="B1594" s="1" t="s">
        <v>195</v>
      </c>
      <c r="C1594" s="1" t="str">
        <f>"08690653"</f>
        <v>08690653</v>
      </c>
      <c r="D1594" s="1" t="s">
        <v>196</v>
      </c>
      <c r="F1594" s="1" t="str">
        <f>"507"</f>
        <v>507</v>
      </c>
      <c r="G1594" s="2">
        <v>41853</v>
      </c>
      <c r="H1594" s="1">
        <v>186400</v>
      </c>
      <c r="I1594" s="1">
        <v>183400</v>
      </c>
      <c r="J1594" s="1">
        <v>170000</v>
      </c>
      <c r="K1594" s="2">
        <v>41852</v>
      </c>
      <c r="L1594" s="1">
        <v>182</v>
      </c>
      <c r="M1594" s="2">
        <v>42033</v>
      </c>
      <c r="N1594" s="1">
        <v>182</v>
      </c>
      <c r="O1594" s="2">
        <v>42033</v>
      </c>
      <c r="P1594" s="1">
        <v>20199</v>
      </c>
      <c r="Q1594" s="1" t="s">
        <v>197</v>
      </c>
      <c r="R1594" s="2">
        <v>42082</v>
      </c>
      <c r="S1594" s="1">
        <v>222849</v>
      </c>
      <c r="U1594" s="1">
        <v>2384</v>
      </c>
      <c r="V1594" s="1" t="s">
        <v>6254</v>
      </c>
      <c r="W1594" s="1" t="s">
        <v>449</v>
      </c>
      <c r="Y1594" s="1">
        <v>4</v>
      </c>
      <c r="Z1594" s="1" t="s">
        <v>249</v>
      </c>
      <c r="AA1594" s="1" t="s">
        <v>1123</v>
      </c>
      <c r="AB1594" s="1">
        <v>60502</v>
      </c>
      <c r="AD1594" s="1" t="s">
        <v>7345</v>
      </c>
      <c r="AE1594" s="1" t="s">
        <v>15383</v>
      </c>
      <c r="AF1594" s="1">
        <v>2002</v>
      </c>
      <c r="AG1594" s="1" t="s">
        <v>204</v>
      </c>
      <c r="AH1594" s="1" t="s">
        <v>1126</v>
      </c>
      <c r="AI1594" s="1" t="s">
        <v>206</v>
      </c>
      <c r="AJ1594" s="1" t="s">
        <v>924</v>
      </c>
      <c r="AK1594" s="1" t="s">
        <v>15384</v>
      </c>
      <c r="AL1594" s="1">
        <v>6</v>
      </c>
      <c r="AM1594" s="1">
        <v>2</v>
      </c>
      <c r="AN1594" s="1">
        <v>2</v>
      </c>
      <c r="AO1594" s="1">
        <v>1</v>
      </c>
      <c r="AP1594" s="1" t="s">
        <v>209</v>
      </c>
      <c r="AQ1594" s="1">
        <v>1</v>
      </c>
      <c r="AR1594" s="1" t="s">
        <v>210</v>
      </c>
      <c r="AS1594" s="1" t="s">
        <v>204</v>
      </c>
      <c r="AT1594" s="1" t="s">
        <v>211</v>
      </c>
      <c r="AU1594" s="1">
        <v>2</v>
      </c>
      <c r="AW1594" s="1" t="s">
        <v>204</v>
      </c>
      <c r="AX1594" s="1" t="s">
        <v>212</v>
      </c>
      <c r="AZ1594" s="1">
        <v>4086</v>
      </c>
      <c r="BA1594" s="1">
        <v>2013</v>
      </c>
      <c r="BB1594" s="1" t="s">
        <v>405</v>
      </c>
      <c r="BE1594" s="1">
        <v>1668</v>
      </c>
      <c r="BF1594" s="1">
        <v>1</v>
      </c>
      <c r="BG1594" s="1">
        <v>0</v>
      </c>
      <c r="BL1594" s="1">
        <v>157</v>
      </c>
      <c r="BM1594" s="1" t="s">
        <v>204</v>
      </c>
      <c r="BN1594" s="1" t="s">
        <v>213</v>
      </c>
      <c r="BO1594" s="1">
        <v>999</v>
      </c>
      <c r="BP1594" s="1" t="s">
        <v>204</v>
      </c>
      <c r="BR1594" s="1" t="str">
        <f>"0719316051"</f>
        <v>0719316051</v>
      </c>
      <c r="BT1594" s="1" t="s">
        <v>15385</v>
      </c>
      <c r="BX1594" s="1">
        <v>204</v>
      </c>
      <c r="BY1594" s="1">
        <v>204</v>
      </c>
      <c r="BZ1594" s="1">
        <v>204</v>
      </c>
      <c r="CB1594" s="1" t="str">
        <f t="shared" ref="CB1594:CC1594" si="1212">"0"</f>
        <v>0</v>
      </c>
      <c r="CC1594" s="1" t="str">
        <f t="shared" si="1212"/>
        <v>0</v>
      </c>
      <c r="CD1594" s="1">
        <v>32</v>
      </c>
      <c r="CE1594" s="1">
        <v>7</v>
      </c>
      <c r="CG1594" s="1" t="s">
        <v>461</v>
      </c>
      <c r="CH1594" s="1" t="s">
        <v>219</v>
      </c>
      <c r="CI1594" s="1" t="s">
        <v>438</v>
      </c>
      <c r="CJ1594" s="1" t="s">
        <v>343</v>
      </c>
      <c r="CK1594" s="1" t="s">
        <v>931</v>
      </c>
      <c r="CL1594" s="1" t="s">
        <v>277</v>
      </c>
      <c r="CM1594" s="1" t="s">
        <v>220</v>
      </c>
      <c r="CN1594" s="1" t="s">
        <v>343</v>
      </c>
      <c r="CO1594" s="1" t="s">
        <v>318</v>
      </c>
      <c r="CP1594" s="1" t="s">
        <v>219</v>
      </c>
      <c r="CQ1594" s="1" t="s">
        <v>438</v>
      </c>
      <c r="CR1594" s="1" t="s">
        <v>343</v>
      </c>
      <c r="CS1594" s="1" t="s">
        <v>379</v>
      </c>
      <c r="CT1594" s="1" t="s">
        <v>277</v>
      </c>
      <c r="CU1594" s="1" t="s">
        <v>220</v>
      </c>
      <c r="CV1594" s="1" t="s">
        <v>343</v>
      </c>
      <c r="CX1594" s="1" t="s">
        <v>224</v>
      </c>
      <c r="DB1594" s="1" t="s">
        <v>224</v>
      </c>
      <c r="DE1594" s="1" t="s">
        <v>318</v>
      </c>
      <c r="DF1594" s="1" t="s">
        <v>219</v>
      </c>
      <c r="DG1594" s="1" t="s">
        <v>438</v>
      </c>
      <c r="DH1594" s="1" t="s">
        <v>210</v>
      </c>
      <c r="DJ1594" s="1" t="s">
        <v>224</v>
      </c>
      <c r="DM1594" s="1" t="s">
        <v>464</v>
      </c>
      <c r="DR1594" s="1" t="s">
        <v>602</v>
      </c>
      <c r="DS1594" s="1" t="s">
        <v>277</v>
      </c>
      <c r="DT1594" s="1" t="s">
        <v>220</v>
      </c>
      <c r="DU1594" s="1" t="s">
        <v>343</v>
      </c>
      <c r="DW1594" s="1" t="s">
        <v>230</v>
      </c>
      <c r="EA1594" s="1" t="s">
        <v>230</v>
      </c>
      <c r="EE1594" s="1" t="s">
        <v>230</v>
      </c>
      <c r="EI1594" s="1" t="s">
        <v>230</v>
      </c>
      <c r="EL1594" s="1" t="s">
        <v>466</v>
      </c>
      <c r="EM1594" s="1" t="s">
        <v>232</v>
      </c>
      <c r="EN1594" s="1" t="s">
        <v>282</v>
      </c>
      <c r="EO1594" s="1" t="s">
        <v>234</v>
      </c>
      <c r="EP1594" s="1" t="s">
        <v>650</v>
      </c>
      <c r="EQ1594" s="1" t="s">
        <v>236</v>
      </c>
      <c r="ER1594" s="1" t="s">
        <v>210</v>
      </c>
      <c r="ES1594" s="1" t="s">
        <v>608</v>
      </c>
      <c r="ET1594" s="1" t="s">
        <v>866</v>
      </c>
      <c r="EU1594" s="1" t="s">
        <v>239</v>
      </c>
      <c r="EV1594" s="1" t="s">
        <v>240</v>
      </c>
      <c r="EW1594" s="1" t="s">
        <v>1219</v>
      </c>
      <c r="EZ1594" s="1" t="s">
        <v>464</v>
      </c>
      <c r="FA1594" s="1" t="s">
        <v>471</v>
      </c>
      <c r="FB1594" s="1" t="s">
        <v>289</v>
      </c>
      <c r="FD1594" s="1" t="s">
        <v>246</v>
      </c>
      <c r="FE1594" s="1" t="s">
        <v>975</v>
      </c>
      <c r="FF1594" s="1" t="s">
        <v>248</v>
      </c>
      <c r="FG1594" s="1" t="s">
        <v>1204</v>
      </c>
      <c r="FH1594" s="1" t="s">
        <v>550</v>
      </c>
      <c r="FI1594" s="1" t="s">
        <v>473</v>
      </c>
      <c r="FL1594" s="1" t="s">
        <v>358</v>
      </c>
      <c r="FM1594" s="1" t="s">
        <v>252</v>
      </c>
      <c r="FN1594" s="1" t="s">
        <v>213</v>
      </c>
      <c r="FO1594" s="1" t="s">
        <v>213</v>
      </c>
      <c r="FQ1594" s="1" t="s">
        <v>673</v>
      </c>
      <c r="FR1594" s="1" t="s">
        <v>210</v>
      </c>
      <c r="FS1594" s="1" t="s">
        <v>15386</v>
      </c>
      <c r="FT1594" s="1" t="s">
        <v>15387</v>
      </c>
      <c r="FU1594" s="1" t="s">
        <v>204</v>
      </c>
      <c r="FW1594" s="1" t="s">
        <v>7776</v>
      </c>
      <c r="FX1594" s="1">
        <v>20132</v>
      </c>
      <c r="FY1594" s="1" t="s">
        <v>7777</v>
      </c>
      <c r="FZ1594" s="1" t="s">
        <v>15388</v>
      </c>
      <c r="GA1594" s="1">
        <v>223210</v>
      </c>
      <c r="GB1594" s="1" t="s">
        <v>7777</v>
      </c>
      <c r="GC1594" s="1">
        <v>213203</v>
      </c>
      <c r="GE1594" s="1" t="s">
        <v>335</v>
      </c>
      <c r="GI1594" s="1" t="s">
        <v>213</v>
      </c>
      <c r="GJ1594" s="1" t="s">
        <v>260</v>
      </c>
      <c r="GK1594" s="1" t="s">
        <v>210</v>
      </c>
      <c r="GL1594" s="2">
        <v>42082</v>
      </c>
    </row>
    <row r="1595" spans="1:195">
      <c r="A1595" s="1">
        <v>19500</v>
      </c>
      <c r="B1595" s="1" t="s">
        <v>195</v>
      </c>
      <c r="C1595" s="1" t="str">
        <f>"08697601"</f>
        <v>08697601</v>
      </c>
      <c r="D1595" s="1" t="s">
        <v>196</v>
      </c>
      <c r="F1595" s="1" t="str">
        <f>"8043"</f>
        <v>8043</v>
      </c>
      <c r="G1595" s="2">
        <v>41860</v>
      </c>
      <c r="H1595" s="1">
        <v>33000</v>
      </c>
      <c r="I1595" s="1">
        <v>19900</v>
      </c>
      <c r="J1595" s="1">
        <v>19500</v>
      </c>
      <c r="K1595" s="2">
        <v>41859</v>
      </c>
      <c r="L1595" s="1">
        <v>110</v>
      </c>
      <c r="M1595" s="2">
        <v>41968</v>
      </c>
      <c r="N1595" s="1">
        <v>110</v>
      </c>
      <c r="O1595" s="2">
        <v>41968</v>
      </c>
      <c r="P1595" s="1">
        <v>18426</v>
      </c>
      <c r="Q1595" s="1" t="s">
        <v>302</v>
      </c>
      <c r="R1595" s="2">
        <v>42034</v>
      </c>
      <c r="S1595" s="1">
        <v>874659</v>
      </c>
      <c r="U1595" s="1">
        <v>7206</v>
      </c>
      <c r="V1595" s="1" t="s">
        <v>5290</v>
      </c>
      <c r="W1595" s="1" t="s">
        <v>199</v>
      </c>
      <c r="X1595" s="1">
        <v>1</v>
      </c>
      <c r="Y1595" s="1">
        <v>6</v>
      </c>
      <c r="Z1595" s="1" t="s">
        <v>200</v>
      </c>
      <c r="AA1595" s="1" t="s">
        <v>400</v>
      </c>
      <c r="AB1595" s="1">
        <v>60649</v>
      </c>
      <c r="AE1595" s="1" t="s">
        <v>15389</v>
      </c>
      <c r="AF1595" s="1">
        <v>1917</v>
      </c>
      <c r="AG1595" s="1" t="s">
        <v>213</v>
      </c>
      <c r="AH1595" s="1" t="s">
        <v>403</v>
      </c>
      <c r="AI1595" s="1" t="s">
        <v>310</v>
      </c>
      <c r="AJ1595" s="1" t="s">
        <v>562</v>
      </c>
      <c r="AL1595" s="1">
        <v>5</v>
      </c>
      <c r="AM1595" s="1">
        <v>2</v>
      </c>
      <c r="AN1595" s="1">
        <v>2</v>
      </c>
      <c r="AO1595" s="1">
        <v>0</v>
      </c>
      <c r="AP1595" s="1" t="s">
        <v>667</v>
      </c>
      <c r="AR1595" s="1" t="s">
        <v>210</v>
      </c>
      <c r="AS1595" s="1" t="s">
        <v>204</v>
      </c>
      <c r="AT1595" s="1" t="s">
        <v>271</v>
      </c>
      <c r="AV1595" s="1">
        <v>1</v>
      </c>
      <c r="AW1595" s="1" t="s">
        <v>204</v>
      </c>
      <c r="AX1595" s="1" t="s">
        <v>270</v>
      </c>
      <c r="AZ1595" s="1">
        <v>521</v>
      </c>
      <c r="BA1595" s="1">
        <v>2012</v>
      </c>
      <c r="BE1595" s="1">
        <v>1100</v>
      </c>
      <c r="BF1595" s="1">
        <v>1</v>
      </c>
      <c r="BG1595" s="1">
        <v>0</v>
      </c>
      <c r="BL1595" s="1">
        <v>400</v>
      </c>
      <c r="BM1595" s="1" t="s">
        <v>413</v>
      </c>
      <c r="BN1595" s="1" t="s">
        <v>204</v>
      </c>
      <c r="BP1595" s="1" t="s">
        <v>204</v>
      </c>
      <c r="BR1595" s="1" t="str">
        <f>"20252130261001"</f>
        <v>20252130261001</v>
      </c>
      <c r="BT1595" s="1" t="s">
        <v>15390</v>
      </c>
      <c r="BX1595" s="1">
        <v>299</v>
      </c>
      <c r="BY1595" s="1">
        <v>299</v>
      </c>
      <c r="BZ1595" s="1">
        <v>299</v>
      </c>
      <c r="CB1595" s="1" t="str">
        <f>"0"</f>
        <v>0</v>
      </c>
      <c r="CC1595" s="1" t="str">
        <f>"2400"</f>
        <v>2400</v>
      </c>
      <c r="CD1595" s="1">
        <v>0</v>
      </c>
      <c r="CE1595" s="1">
        <v>7206</v>
      </c>
      <c r="CG1595" s="1" t="s">
        <v>628</v>
      </c>
      <c r="CH1595" s="1" t="s">
        <v>219</v>
      </c>
      <c r="CI1595" s="1" t="s">
        <v>220</v>
      </c>
      <c r="CK1595" s="1" t="s">
        <v>1788</v>
      </c>
      <c r="CL1595" s="1" t="s">
        <v>219</v>
      </c>
      <c r="CO1595" s="1" t="s">
        <v>437</v>
      </c>
      <c r="CP1595" s="1" t="s">
        <v>219</v>
      </c>
      <c r="CS1595" s="1" t="s">
        <v>378</v>
      </c>
      <c r="CT1595" s="1" t="s">
        <v>219</v>
      </c>
      <c r="CX1595" s="1" t="s">
        <v>224</v>
      </c>
      <c r="DB1595" s="1" t="s">
        <v>224</v>
      </c>
      <c r="DE1595" s="1" t="s">
        <v>3316</v>
      </c>
      <c r="DF1595" s="1" t="s">
        <v>219</v>
      </c>
      <c r="DJ1595" s="1" t="s">
        <v>224</v>
      </c>
      <c r="DS1595" s="1" t="s">
        <v>230</v>
      </c>
      <c r="DW1595" s="1" t="s">
        <v>230</v>
      </c>
      <c r="EA1595" s="1" t="s">
        <v>230</v>
      </c>
      <c r="EE1595" s="1" t="s">
        <v>230</v>
      </c>
      <c r="EI1595" s="1" t="s">
        <v>230</v>
      </c>
      <c r="EL1595" s="1" t="s">
        <v>2521</v>
      </c>
      <c r="EM1595" s="1" t="s">
        <v>319</v>
      </c>
      <c r="EN1595" s="1" t="s">
        <v>210</v>
      </c>
      <c r="EO1595" s="1" t="s">
        <v>234</v>
      </c>
      <c r="EP1595" s="1" t="s">
        <v>650</v>
      </c>
      <c r="ER1595" s="1" t="s">
        <v>210</v>
      </c>
      <c r="EU1595" s="1" t="s">
        <v>546</v>
      </c>
      <c r="EW1595" s="1" t="s">
        <v>384</v>
      </c>
      <c r="EZ1595" s="1" t="s">
        <v>287</v>
      </c>
      <c r="FB1595" s="1" t="s">
        <v>289</v>
      </c>
      <c r="FD1595" s="1" t="s">
        <v>1112</v>
      </c>
      <c r="FE1595" s="1" t="s">
        <v>247</v>
      </c>
      <c r="FF1595" s="1" t="s">
        <v>248</v>
      </c>
      <c r="FH1595" s="1" t="s">
        <v>249</v>
      </c>
      <c r="FK1595" s="1" t="s">
        <v>891</v>
      </c>
      <c r="FL1595" s="1" t="s">
        <v>358</v>
      </c>
      <c r="FM1595" s="1" t="s">
        <v>252</v>
      </c>
      <c r="FN1595" s="1" t="s">
        <v>213</v>
      </c>
      <c r="FO1595" s="1" t="s">
        <v>213</v>
      </c>
      <c r="FQ1595" s="1" t="s">
        <v>689</v>
      </c>
      <c r="FR1595" s="1" t="s">
        <v>210</v>
      </c>
      <c r="FS1595" s="1" t="s">
        <v>15391</v>
      </c>
      <c r="FT1595" s="1" t="s">
        <v>1828</v>
      </c>
      <c r="FU1595" s="1" t="s">
        <v>204</v>
      </c>
      <c r="FW1595" s="1" t="s">
        <v>7498</v>
      </c>
      <c r="FX1595" s="1">
        <v>22994</v>
      </c>
      <c r="FY1595" s="1" t="s">
        <v>7499</v>
      </c>
      <c r="FZ1595" s="1" t="s">
        <v>7580</v>
      </c>
      <c r="GA1595" s="1">
        <v>235814</v>
      </c>
      <c r="GB1595" s="1" t="s">
        <v>7581</v>
      </c>
      <c r="GE1595" s="1" t="s">
        <v>2504</v>
      </c>
      <c r="GH1595" s="1" t="s">
        <v>421</v>
      </c>
      <c r="GI1595" s="1" t="s">
        <v>213</v>
      </c>
      <c r="GJ1595" s="1" t="s">
        <v>260</v>
      </c>
      <c r="GK1595" s="1" t="s">
        <v>210</v>
      </c>
      <c r="GL1595" s="2">
        <v>42034</v>
      </c>
      <c r="GM1595" s="1" t="s">
        <v>7582</v>
      </c>
    </row>
    <row r="1596" spans="1:195">
      <c r="A1596" s="1">
        <v>415000</v>
      </c>
      <c r="B1596" s="1" t="s">
        <v>195</v>
      </c>
      <c r="C1596" s="1" t="str">
        <f>"08689799"</f>
        <v>08689799</v>
      </c>
      <c r="D1596" s="1" t="s">
        <v>196</v>
      </c>
      <c r="F1596" s="1" t="str">
        <f>"521"</f>
        <v>521</v>
      </c>
      <c r="G1596" s="2">
        <v>41852</v>
      </c>
      <c r="H1596" s="1">
        <v>409000</v>
      </c>
      <c r="I1596" s="1">
        <v>415000</v>
      </c>
      <c r="J1596" s="1">
        <v>415000</v>
      </c>
      <c r="K1596" s="2">
        <v>41852</v>
      </c>
      <c r="L1596" s="1">
        <v>294</v>
      </c>
      <c r="M1596" s="2">
        <v>41914</v>
      </c>
      <c r="N1596" s="1">
        <v>63</v>
      </c>
      <c r="O1596" s="2">
        <v>41914</v>
      </c>
      <c r="P1596" s="1">
        <v>23076</v>
      </c>
      <c r="Q1596" s="1" t="s">
        <v>197</v>
      </c>
      <c r="R1596" s="2">
        <v>41990</v>
      </c>
      <c r="S1596" s="1">
        <v>240336</v>
      </c>
      <c r="U1596" s="1">
        <v>7</v>
      </c>
      <c r="V1596" s="1" t="s">
        <v>1537</v>
      </c>
      <c r="W1596" s="1" t="s">
        <v>504</v>
      </c>
      <c r="X1596" s="1">
        <v>303</v>
      </c>
      <c r="Y1596" s="1">
        <v>23</v>
      </c>
      <c r="Z1596" s="1" t="s">
        <v>249</v>
      </c>
      <c r="AA1596" s="1" t="s">
        <v>1538</v>
      </c>
      <c r="AB1596" s="1">
        <v>60521</v>
      </c>
      <c r="AD1596" s="1" t="s">
        <v>1539</v>
      </c>
      <c r="AE1596" s="1" t="s">
        <v>1540</v>
      </c>
      <c r="AF1596" s="1">
        <v>2013</v>
      </c>
      <c r="AG1596" s="1" t="s">
        <v>204</v>
      </c>
      <c r="AH1596" s="1" t="s">
        <v>1541</v>
      </c>
      <c r="AI1596" s="1" t="s">
        <v>206</v>
      </c>
      <c r="AJ1596" s="1" t="s">
        <v>903</v>
      </c>
      <c r="AK1596" s="1" t="s">
        <v>15392</v>
      </c>
      <c r="AL1596" s="1">
        <v>6</v>
      </c>
      <c r="AM1596" s="1">
        <v>2</v>
      </c>
      <c r="AN1596" s="1">
        <v>2</v>
      </c>
      <c r="AO1596" s="1">
        <v>0</v>
      </c>
      <c r="AP1596" s="1" t="s">
        <v>209</v>
      </c>
      <c r="AQ1596" s="1">
        <v>1</v>
      </c>
      <c r="AR1596" s="1" t="s">
        <v>210</v>
      </c>
      <c r="AS1596" s="1" t="s">
        <v>204</v>
      </c>
      <c r="AT1596" s="1" t="s">
        <v>211</v>
      </c>
      <c r="AU1596" s="1">
        <v>1</v>
      </c>
      <c r="AW1596" s="1" t="s">
        <v>204</v>
      </c>
      <c r="AX1596" s="1" t="s">
        <v>212</v>
      </c>
      <c r="AZ1596" s="1" t="s">
        <v>751</v>
      </c>
      <c r="BA1596" s="1">
        <v>2012</v>
      </c>
      <c r="BE1596" s="1">
        <v>1702</v>
      </c>
      <c r="BF1596" s="1">
        <v>3</v>
      </c>
      <c r="BG1596" s="1">
        <v>0</v>
      </c>
      <c r="BL1596" s="1">
        <v>396</v>
      </c>
      <c r="BM1596" s="1" t="s">
        <v>204</v>
      </c>
      <c r="BN1596" s="1" t="s">
        <v>213</v>
      </c>
      <c r="BO1596" s="1">
        <v>999</v>
      </c>
      <c r="BP1596" s="1" t="s">
        <v>213</v>
      </c>
      <c r="BQ1596" s="2">
        <v>41866</v>
      </c>
      <c r="BR1596" s="1" t="str">
        <f>"0913104021"</f>
        <v>0913104021</v>
      </c>
      <c r="BT1596" s="1" t="s">
        <v>15393</v>
      </c>
      <c r="BU1596" s="1" t="s">
        <v>1544</v>
      </c>
      <c r="BV1596" s="1" t="s">
        <v>1545</v>
      </c>
      <c r="BW1596" s="1" t="s">
        <v>1546</v>
      </c>
      <c r="BX1596" s="1">
        <v>181</v>
      </c>
      <c r="BY1596" s="1">
        <v>181</v>
      </c>
      <c r="BZ1596" s="1">
        <v>86</v>
      </c>
      <c r="CB1596" s="1" t="str">
        <f t="shared" ref="CB1596:CC1596" si="1213">""</f>
        <v/>
      </c>
      <c r="CC1596" s="1" t="str">
        <f t="shared" si="1213"/>
        <v/>
      </c>
      <c r="CG1596" s="1" t="s">
        <v>7600</v>
      </c>
      <c r="CH1596" s="1" t="s">
        <v>219</v>
      </c>
      <c r="CK1596" s="1" t="s">
        <v>377</v>
      </c>
      <c r="CL1596" s="1" t="s">
        <v>219</v>
      </c>
      <c r="CM1596" s="1" t="s">
        <v>220</v>
      </c>
      <c r="CO1596" s="1" t="s">
        <v>629</v>
      </c>
      <c r="CP1596" s="1" t="s">
        <v>219</v>
      </c>
      <c r="CS1596" s="1" t="s">
        <v>757</v>
      </c>
      <c r="CT1596" s="1" t="s">
        <v>219</v>
      </c>
      <c r="CU1596" s="1" t="s">
        <v>220</v>
      </c>
      <c r="CX1596" s="1" t="s">
        <v>224</v>
      </c>
      <c r="DB1596" s="1" t="s">
        <v>224</v>
      </c>
      <c r="DE1596" s="1" t="s">
        <v>602</v>
      </c>
      <c r="DF1596" s="1" t="s">
        <v>219</v>
      </c>
      <c r="DG1596" s="1" t="s">
        <v>438</v>
      </c>
      <c r="DJ1596" s="1" t="s">
        <v>224</v>
      </c>
      <c r="DM1596" s="1" t="s">
        <v>1005</v>
      </c>
      <c r="DR1596" s="1" t="s">
        <v>1358</v>
      </c>
      <c r="DS1596" s="1" t="s">
        <v>219</v>
      </c>
      <c r="DT1596" s="1" t="s">
        <v>438</v>
      </c>
      <c r="DW1596" s="1" t="s">
        <v>230</v>
      </c>
      <c r="EA1596" s="1" t="s">
        <v>230</v>
      </c>
      <c r="EE1596" s="1" t="s">
        <v>230</v>
      </c>
      <c r="EI1596" s="1" t="s">
        <v>230</v>
      </c>
      <c r="EL1596" s="1" t="s">
        <v>760</v>
      </c>
      <c r="EM1596" s="1" t="s">
        <v>232</v>
      </c>
      <c r="EN1596" s="1" t="s">
        <v>282</v>
      </c>
      <c r="EO1596" s="1" t="s">
        <v>234</v>
      </c>
      <c r="EP1596" s="1" t="s">
        <v>1550</v>
      </c>
      <c r="EQ1596" s="1" t="s">
        <v>1551</v>
      </c>
      <c r="ER1596" s="1" t="s">
        <v>210</v>
      </c>
      <c r="ES1596" s="1" t="s">
        <v>1552</v>
      </c>
      <c r="ET1596" s="1" t="s">
        <v>866</v>
      </c>
      <c r="EU1596" s="1" t="s">
        <v>712</v>
      </c>
      <c r="EV1596" s="1" t="s">
        <v>1553</v>
      </c>
      <c r="EW1596" s="1" t="s">
        <v>937</v>
      </c>
      <c r="EY1596" s="1" t="s">
        <v>242</v>
      </c>
      <c r="EZ1596" s="1" t="s">
        <v>1005</v>
      </c>
      <c r="FA1596" s="1" t="s">
        <v>1554</v>
      </c>
      <c r="FB1596" s="1" t="s">
        <v>289</v>
      </c>
      <c r="FC1596" s="1" t="s">
        <v>326</v>
      </c>
      <c r="FD1596" s="1" t="s">
        <v>246</v>
      </c>
      <c r="FE1596" s="1" t="s">
        <v>1556</v>
      </c>
      <c r="FF1596" s="1" t="s">
        <v>248</v>
      </c>
      <c r="FH1596" s="1" t="s">
        <v>716</v>
      </c>
      <c r="FI1596" s="1" t="s">
        <v>250</v>
      </c>
      <c r="FL1596" s="1" t="s">
        <v>358</v>
      </c>
      <c r="FM1596" s="1" t="s">
        <v>252</v>
      </c>
      <c r="FN1596" s="1" t="s">
        <v>213</v>
      </c>
      <c r="FO1596" s="1" t="s">
        <v>213</v>
      </c>
      <c r="FQ1596" s="1" t="s">
        <v>15394</v>
      </c>
      <c r="FR1596" s="1" t="s">
        <v>210</v>
      </c>
      <c r="FS1596" s="1" t="s">
        <v>15395</v>
      </c>
      <c r="FT1596" s="1" t="s">
        <v>255</v>
      </c>
      <c r="FU1596" s="1" t="s">
        <v>204</v>
      </c>
      <c r="FW1596" s="1" t="s">
        <v>1559</v>
      </c>
      <c r="FX1596" s="1">
        <v>10900</v>
      </c>
      <c r="FY1596" s="1" t="s">
        <v>1560</v>
      </c>
      <c r="FZ1596" s="1" t="s">
        <v>1561</v>
      </c>
      <c r="GA1596" s="1">
        <v>116598</v>
      </c>
      <c r="GB1596" s="1" t="s">
        <v>1562</v>
      </c>
      <c r="GE1596" s="1" t="s">
        <v>658</v>
      </c>
      <c r="GH1596" s="1" t="s">
        <v>800</v>
      </c>
      <c r="GI1596" s="1" t="s">
        <v>213</v>
      </c>
      <c r="GJ1596" s="1" t="s">
        <v>260</v>
      </c>
      <c r="GK1596" s="1" t="s">
        <v>210</v>
      </c>
      <c r="GL1596" s="2">
        <v>41992</v>
      </c>
      <c r="GM1596" s="1" t="s">
        <v>15396</v>
      </c>
    </row>
    <row r="1597" spans="1:195">
      <c r="A1597" s="1">
        <v>269990</v>
      </c>
      <c r="B1597" s="1" t="s">
        <v>195</v>
      </c>
      <c r="C1597" s="1" t="str">
        <f>"08691180"</f>
        <v>08691180</v>
      </c>
      <c r="D1597" s="1" t="s">
        <v>196</v>
      </c>
      <c r="F1597" s="1" t="str">
        <f>"188"</f>
        <v>188</v>
      </c>
      <c r="G1597" s="2">
        <v>41854</v>
      </c>
      <c r="H1597" s="1">
        <v>290160</v>
      </c>
      <c r="I1597" s="1">
        <v>269990</v>
      </c>
      <c r="J1597" s="1">
        <v>269990</v>
      </c>
      <c r="K1597" s="2">
        <v>41854</v>
      </c>
      <c r="L1597" s="1">
        <v>98</v>
      </c>
      <c r="M1597" s="2">
        <v>41951</v>
      </c>
      <c r="N1597" s="1">
        <v>98</v>
      </c>
      <c r="O1597" s="2">
        <v>41951</v>
      </c>
      <c r="P1597" s="1" t="s">
        <v>1039</v>
      </c>
      <c r="Q1597" s="1" t="s">
        <v>197</v>
      </c>
      <c r="R1597" s="2">
        <v>41995</v>
      </c>
      <c r="S1597" s="1">
        <v>99999</v>
      </c>
      <c r="U1597" s="1">
        <v>289</v>
      </c>
      <c r="V1597" s="1" t="s">
        <v>15397</v>
      </c>
      <c r="W1597" s="1" t="s">
        <v>264</v>
      </c>
      <c r="Y1597" s="1">
        <v>5</v>
      </c>
      <c r="Z1597" s="1" t="s">
        <v>370</v>
      </c>
      <c r="AA1597" s="1" t="s">
        <v>1084</v>
      </c>
      <c r="AB1597" s="1">
        <v>60188</v>
      </c>
      <c r="AD1597" s="1" t="s">
        <v>5169</v>
      </c>
      <c r="AE1597" s="1" t="s">
        <v>5170</v>
      </c>
      <c r="AF1597" s="1">
        <v>2014</v>
      </c>
      <c r="AG1597" s="1" t="s">
        <v>204</v>
      </c>
      <c r="AH1597" s="1" t="s">
        <v>1087</v>
      </c>
      <c r="AI1597" s="1" t="s">
        <v>206</v>
      </c>
      <c r="AJ1597" s="1" t="s">
        <v>269</v>
      </c>
      <c r="AK1597" s="1" t="s">
        <v>5171</v>
      </c>
      <c r="AL1597" s="1">
        <v>6</v>
      </c>
      <c r="AM1597" s="1">
        <v>2</v>
      </c>
      <c r="AN1597" s="1">
        <v>2</v>
      </c>
      <c r="AO1597" s="1">
        <v>1</v>
      </c>
      <c r="AP1597" s="1" t="s">
        <v>209</v>
      </c>
      <c r="AR1597" s="1" t="s">
        <v>210</v>
      </c>
      <c r="AS1597" s="1" t="s">
        <v>204</v>
      </c>
      <c r="AT1597" s="1" t="s">
        <v>211</v>
      </c>
      <c r="AU1597" s="1">
        <v>2</v>
      </c>
      <c r="AW1597" s="1" t="s">
        <v>204</v>
      </c>
      <c r="AX1597" s="1" t="s">
        <v>212</v>
      </c>
      <c r="AZ1597" s="1" t="s">
        <v>751</v>
      </c>
      <c r="BA1597" s="1">
        <v>2013</v>
      </c>
      <c r="BB1597" s="1" t="s">
        <v>210</v>
      </c>
      <c r="BE1597" s="1">
        <v>1865</v>
      </c>
      <c r="BF1597" s="1">
        <v>1</v>
      </c>
      <c r="BG1597" s="1">
        <v>0</v>
      </c>
      <c r="BL1597" s="1">
        <v>130</v>
      </c>
      <c r="BM1597" s="1" t="s">
        <v>204</v>
      </c>
      <c r="BN1597" s="1" t="s">
        <v>213</v>
      </c>
      <c r="BO1597" s="1">
        <v>0</v>
      </c>
      <c r="BP1597" s="1" t="s">
        <v>213</v>
      </c>
      <c r="BQ1597" s="2">
        <v>41964</v>
      </c>
      <c r="BR1597" s="1" t="str">
        <f>"0232307084"</f>
        <v>0232307084</v>
      </c>
      <c r="BT1597" s="1" t="s">
        <v>15398</v>
      </c>
      <c r="BU1597" s="1" t="s">
        <v>4776</v>
      </c>
      <c r="BV1597" s="1" t="s">
        <v>1502</v>
      </c>
      <c r="BW1597" s="1" t="s">
        <v>1092</v>
      </c>
      <c r="BX1597" s="1">
        <v>93</v>
      </c>
      <c r="BY1597" s="1">
        <v>93</v>
      </c>
      <c r="BZ1597" s="1">
        <v>87</v>
      </c>
      <c r="CB1597" s="1" t="str">
        <f>"2"</f>
        <v>2</v>
      </c>
      <c r="CC1597" s="1" t="str">
        <f>"0"</f>
        <v>0</v>
      </c>
      <c r="CD1597" s="1">
        <v>25</v>
      </c>
      <c r="CE1597" s="1">
        <v>0</v>
      </c>
      <c r="CH1597" s="1" t="s">
        <v>224</v>
      </c>
      <c r="CK1597" s="1" t="s">
        <v>377</v>
      </c>
      <c r="CL1597" s="1" t="s">
        <v>277</v>
      </c>
      <c r="CM1597" s="1" t="s">
        <v>220</v>
      </c>
      <c r="CP1597" s="1" t="s">
        <v>224</v>
      </c>
      <c r="CS1597" s="1" t="s">
        <v>2170</v>
      </c>
      <c r="CT1597" s="1" t="s">
        <v>277</v>
      </c>
      <c r="CU1597" s="1" t="s">
        <v>220</v>
      </c>
      <c r="CX1597" s="1" t="s">
        <v>224</v>
      </c>
      <c r="DB1597" s="1" t="s">
        <v>224</v>
      </c>
      <c r="DE1597" s="1" t="s">
        <v>1297</v>
      </c>
      <c r="DF1597" s="1" t="s">
        <v>219</v>
      </c>
      <c r="DG1597" s="1" t="s">
        <v>438</v>
      </c>
      <c r="DJ1597" s="1" t="s">
        <v>224</v>
      </c>
      <c r="DM1597" s="1" t="s">
        <v>381</v>
      </c>
      <c r="DO1597" s="1" t="s">
        <v>1676</v>
      </c>
      <c r="DP1597" s="1" t="s">
        <v>464</v>
      </c>
      <c r="DR1597" s="1" t="s">
        <v>1297</v>
      </c>
      <c r="DS1597" s="1" t="s">
        <v>219</v>
      </c>
      <c r="DT1597" s="1" t="s">
        <v>438</v>
      </c>
      <c r="DW1597" s="1" t="s">
        <v>230</v>
      </c>
      <c r="DZ1597" s="1" t="s">
        <v>377</v>
      </c>
      <c r="EA1597" s="1" t="s">
        <v>219</v>
      </c>
      <c r="EB1597" s="1" t="s">
        <v>438</v>
      </c>
      <c r="ED1597" s="1" t="s">
        <v>2031</v>
      </c>
      <c r="EE1597" s="1" t="s">
        <v>277</v>
      </c>
      <c r="EF1597" s="1" t="s">
        <v>220</v>
      </c>
      <c r="EI1597" s="1" t="s">
        <v>230</v>
      </c>
      <c r="EL1597" s="1" t="s">
        <v>760</v>
      </c>
      <c r="EM1597" s="1" t="s">
        <v>319</v>
      </c>
      <c r="EN1597" s="1" t="s">
        <v>282</v>
      </c>
      <c r="EO1597" s="1" t="s">
        <v>234</v>
      </c>
      <c r="EQ1597" s="1" t="s">
        <v>3849</v>
      </c>
      <c r="ER1597" s="1" t="s">
        <v>210</v>
      </c>
      <c r="ES1597" s="1" t="s">
        <v>322</v>
      </c>
      <c r="ET1597" s="1" t="s">
        <v>866</v>
      </c>
      <c r="EU1597" s="1" t="s">
        <v>239</v>
      </c>
      <c r="EW1597" s="1" t="s">
        <v>867</v>
      </c>
      <c r="EY1597" s="1" t="s">
        <v>790</v>
      </c>
      <c r="EZ1597" s="1" t="s">
        <v>6994</v>
      </c>
      <c r="FA1597" s="1" t="s">
        <v>1270</v>
      </c>
      <c r="FD1597" s="1" t="s">
        <v>246</v>
      </c>
      <c r="FE1597" s="1" t="s">
        <v>355</v>
      </c>
      <c r="FF1597" s="1" t="s">
        <v>248</v>
      </c>
      <c r="FH1597" s="1" t="s">
        <v>550</v>
      </c>
      <c r="FJ1597" s="1" t="s">
        <v>518</v>
      </c>
      <c r="FL1597" s="1" t="s">
        <v>358</v>
      </c>
      <c r="FM1597" s="1" t="s">
        <v>252</v>
      </c>
      <c r="FN1597" s="1" t="s">
        <v>213</v>
      </c>
      <c r="FO1597" s="1" t="s">
        <v>213</v>
      </c>
      <c r="FQ1597" s="1" t="s">
        <v>3853</v>
      </c>
      <c r="FR1597" s="1" t="s">
        <v>210</v>
      </c>
      <c r="FS1597" s="1" t="s">
        <v>15399</v>
      </c>
      <c r="FT1597" s="1" t="s">
        <v>3855</v>
      </c>
      <c r="FU1597" s="1" t="s">
        <v>204</v>
      </c>
      <c r="FV1597" s="1" t="s">
        <v>5175</v>
      </c>
      <c r="FW1597" s="1" t="s">
        <v>3857</v>
      </c>
      <c r="FX1597" s="1">
        <v>23223</v>
      </c>
      <c r="FY1597" s="1" t="s">
        <v>3858</v>
      </c>
      <c r="FZ1597" s="1" t="s">
        <v>3859</v>
      </c>
      <c r="GA1597" s="1">
        <v>236300</v>
      </c>
      <c r="GC1597" s="1">
        <v>210778</v>
      </c>
      <c r="GE1597" s="1" t="s">
        <v>480</v>
      </c>
      <c r="GI1597" s="1" t="s">
        <v>204</v>
      </c>
      <c r="GJ1597" s="1" t="s">
        <v>300</v>
      </c>
      <c r="GK1597" s="1" t="s">
        <v>210</v>
      </c>
      <c r="GL1597" s="2">
        <v>41996</v>
      </c>
      <c r="GM1597" s="1" t="s">
        <v>15400</v>
      </c>
    </row>
    <row r="1598" spans="1:195">
      <c r="A1598" s="1">
        <v>104000</v>
      </c>
      <c r="B1598" s="1" t="s">
        <v>195</v>
      </c>
      <c r="C1598" s="1" t="str">
        <f>"08694615"</f>
        <v>08694615</v>
      </c>
      <c r="D1598" s="1" t="s">
        <v>196</v>
      </c>
      <c r="F1598" s="1" t="str">
        <f>"41"</f>
        <v>41</v>
      </c>
      <c r="G1598" s="2">
        <v>41857</v>
      </c>
      <c r="H1598" s="1">
        <v>117900</v>
      </c>
      <c r="I1598" s="1">
        <v>99900</v>
      </c>
      <c r="J1598" s="1">
        <v>104000</v>
      </c>
      <c r="K1598" s="2">
        <v>41856</v>
      </c>
      <c r="L1598" s="1">
        <v>77</v>
      </c>
      <c r="M1598" s="2">
        <v>41932</v>
      </c>
      <c r="N1598" s="1">
        <v>77</v>
      </c>
      <c r="O1598" s="2">
        <v>41932</v>
      </c>
      <c r="P1598" s="1">
        <v>1835</v>
      </c>
      <c r="Q1598" s="1" t="s">
        <v>1393</v>
      </c>
      <c r="R1598" s="2">
        <v>42002</v>
      </c>
      <c r="S1598" s="1">
        <v>16179</v>
      </c>
      <c r="T1598" s="1">
        <v>3550</v>
      </c>
      <c r="U1598" s="1">
        <v>26175</v>
      </c>
      <c r="V1598" s="1" t="s">
        <v>13019</v>
      </c>
      <c r="W1598" s="1" t="s">
        <v>304</v>
      </c>
      <c r="Y1598" s="1">
        <v>5</v>
      </c>
      <c r="Z1598" s="1" t="s">
        <v>249</v>
      </c>
      <c r="AA1598" s="1" t="s">
        <v>10000</v>
      </c>
      <c r="AB1598" s="1">
        <v>60041</v>
      </c>
      <c r="AE1598" s="1" t="s">
        <v>15401</v>
      </c>
      <c r="AF1598" s="1">
        <v>1997</v>
      </c>
      <c r="AG1598" s="1" t="s">
        <v>204</v>
      </c>
      <c r="AH1598" s="1" t="s">
        <v>13021</v>
      </c>
      <c r="AI1598" s="1" t="s">
        <v>509</v>
      </c>
      <c r="AJ1598" s="1" t="s">
        <v>1016</v>
      </c>
      <c r="AL1598" s="1">
        <v>5</v>
      </c>
      <c r="AM1598" s="1">
        <v>2</v>
      </c>
      <c r="AN1598" s="1">
        <v>1</v>
      </c>
      <c r="AO1598" s="1">
        <v>1</v>
      </c>
      <c r="AP1598" s="1" t="s">
        <v>210</v>
      </c>
      <c r="AR1598" s="1" t="s">
        <v>210</v>
      </c>
      <c r="AS1598" s="1" t="s">
        <v>204</v>
      </c>
      <c r="AT1598" s="1" t="s">
        <v>211</v>
      </c>
      <c r="AU1598" s="1">
        <v>2</v>
      </c>
      <c r="AW1598" s="1" t="s">
        <v>204</v>
      </c>
      <c r="AX1598" s="1" t="s">
        <v>212</v>
      </c>
      <c r="AZ1598" s="1">
        <v>2007</v>
      </c>
      <c r="BA1598" s="1">
        <v>2012</v>
      </c>
      <c r="BE1598" s="1">
        <v>0</v>
      </c>
      <c r="BF1598" s="1">
        <v>1</v>
      </c>
      <c r="BG1598" s="1">
        <v>30</v>
      </c>
      <c r="BL1598" s="1">
        <v>150</v>
      </c>
      <c r="BM1598" s="1" t="s">
        <v>413</v>
      </c>
      <c r="BN1598" s="1" t="s">
        <v>213</v>
      </c>
      <c r="BO1598" s="1">
        <v>999</v>
      </c>
      <c r="BP1598" s="1" t="s">
        <v>204</v>
      </c>
      <c r="BR1598" s="1" t="str">
        <f>"05232070230000"</f>
        <v>05232070230000</v>
      </c>
      <c r="BT1598" s="1" t="s">
        <v>15402</v>
      </c>
      <c r="BX1598" s="1">
        <v>38</v>
      </c>
      <c r="BY1598" s="1">
        <v>38</v>
      </c>
      <c r="BZ1598" s="1">
        <v>124</v>
      </c>
      <c r="CB1598" s="1" t="str">
        <f t="shared" ref="CB1598:CC1598" si="1214">""</f>
        <v/>
      </c>
      <c r="CC1598" s="1" t="str">
        <f t="shared" si="1214"/>
        <v/>
      </c>
      <c r="CG1598" s="1" t="s">
        <v>3100</v>
      </c>
      <c r="CH1598" s="1" t="s">
        <v>219</v>
      </c>
      <c r="CK1598" s="1" t="s">
        <v>437</v>
      </c>
      <c r="CL1598" s="1" t="s">
        <v>277</v>
      </c>
      <c r="CO1598" s="1" t="s">
        <v>687</v>
      </c>
      <c r="CP1598" s="1" t="s">
        <v>219</v>
      </c>
      <c r="CS1598" s="1" t="s">
        <v>346</v>
      </c>
      <c r="CT1598" s="1" t="s">
        <v>277</v>
      </c>
      <c r="CX1598" s="1" t="s">
        <v>224</v>
      </c>
      <c r="DB1598" s="1" t="s">
        <v>224</v>
      </c>
      <c r="DE1598" s="1" t="s">
        <v>1297</v>
      </c>
      <c r="DF1598" s="1" t="s">
        <v>219</v>
      </c>
      <c r="DJ1598" s="1" t="s">
        <v>224</v>
      </c>
      <c r="DS1598" s="1" t="s">
        <v>230</v>
      </c>
      <c r="DW1598" s="1" t="s">
        <v>230</v>
      </c>
      <c r="EA1598" s="1" t="s">
        <v>230</v>
      </c>
      <c r="EE1598" s="1" t="s">
        <v>230</v>
      </c>
      <c r="EI1598" s="1" t="s">
        <v>230</v>
      </c>
      <c r="EL1598" s="1" t="s">
        <v>670</v>
      </c>
      <c r="EM1598" s="1" t="s">
        <v>319</v>
      </c>
      <c r="EN1598" s="1" t="s">
        <v>210</v>
      </c>
      <c r="EO1598" s="1" t="s">
        <v>234</v>
      </c>
      <c r="ER1598" s="1" t="s">
        <v>210</v>
      </c>
      <c r="EW1598" s="1" t="s">
        <v>353</v>
      </c>
      <c r="EZ1598" s="1" t="s">
        <v>287</v>
      </c>
      <c r="FD1598" s="1" t="s">
        <v>246</v>
      </c>
      <c r="FE1598" s="1" t="s">
        <v>1031</v>
      </c>
      <c r="FF1598" s="1" t="s">
        <v>248</v>
      </c>
      <c r="FH1598" s="1" t="s">
        <v>550</v>
      </c>
      <c r="FL1598" s="1" t="s">
        <v>358</v>
      </c>
      <c r="FM1598" s="1" t="s">
        <v>252</v>
      </c>
      <c r="FN1598" s="1" t="s">
        <v>213</v>
      </c>
      <c r="FO1598" s="1" t="s">
        <v>204</v>
      </c>
      <c r="FQ1598" s="1" t="s">
        <v>689</v>
      </c>
      <c r="FR1598" s="1" t="s">
        <v>210</v>
      </c>
      <c r="FS1598" s="1" t="s">
        <v>690</v>
      </c>
      <c r="FT1598" s="1" t="s">
        <v>362</v>
      </c>
      <c r="FU1598" s="1" t="s">
        <v>204</v>
      </c>
      <c r="FW1598" s="1" t="s">
        <v>14459</v>
      </c>
      <c r="FX1598" s="1">
        <v>10687</v>
      </c>
      <c r="FY1598" s="1" t="s">
        <v>693</v>
      </c>
      <c r="FZ1598" s="1" t="s">
        <v>14460</v>
      </c>
      <c r="GA1598" s="1">
        <v>133158</v>
      </c>
      <c r="GE1598" s="1" t="s">
        <v>210</v>
      </c>
      <c r="GH1598" s="1" t="s">
        <v>589</v>
      </c>
      <c r="GI1598" s="1" t="s">
        <v>213</v>
      </c>
      <c r="GJ1598" s="1" t="s">
        <v>260</v>
      </c>
      <c r="GK1598" s="1" t="s">
        <v>210</v>
      </c>
      <c r="GL1598" s="2">
        <v>42002</v>
      </c>
      <c r="GM1598" s="1" t="s">
        <v>15403</v>
      </c>
    </row>
    <row r="1599" spans="1:195">
      <c r="A1599" s="1">
        <v>73500</v>
      </c>
      <c r="B1599" s="1" t="s">
        <v>195</v>
      </c>
      <c r="C1599" s="1" t="str">
        <f>"08683703"</f>
        <v>08683703</v>
      </c>
      <c r="D1599" s="1" t="s">
        <v>196</v>
      </c>
      <c r="F1599" s="1" t="str">
        <f>"560"</f>
        <v>560</v>
      </c>
      <c r="G1599" s="2">
        <v>41845</v>
      </c>
      <c r="H1599" s="1">
        <v>142000</v>
      </c>
      <c r="I1599" s="1">
        <v>0</v>
      </c>
      <c r="J1599" s="1">
        <v>73500</v>
      </c>
      <c r="K1599" s="2">
        <v>41845</v>
      </c>
      <c r="L1599" s="1">
        <v>169</v>
      </c>
      <c r="M1599" s="2">
        <v>42013</v>
      </c>
      <c r="N1599" s="1">
        <v>169</v>
      </c>
      <c r="O1599" s="2">
        <v>42013</v>
      </c>
      <c r="P1599" s="1">
        <v>25088</v>
      </c>
      <c r="Q1599" s="1" t="s">
        <v>302</v>
      </c>
      <c r="R1599" s="2">
        <v>42044</v>
      </c>
      <c r="S1599" s="1">
        <v>259214</v>
      </c>
      <c r="U1599" s="1">
        <v>1069</v>
      </c>
      <c r="V1599" s="1" t="s">
        <v>15404</v>
      </c>
      <c r="W1599" s="1" t="s">
        <v>425</v>
      </c>
      <c r="Y1599" s="1">
        <v>4</v>
      </c>
      <c r="Z1599" s="1" t="s">
        <v>249</v>
      </c>
      <c r="AA1599" s="1" t="s">
        <v>484</v>
      </c>
      <c r="AB1599" s="1">
        <v>60560</v>
      </c>
      <c r="AE1599" s="1" t="s">
        <v>15405</v>
      </c>
      <c r="AF1599" s="1">
        <v>2004</v>
      </c>
      <c r="AG1599" s="1" t="s">
        <v>204</v>
      </c>
      <c r="AH1599" s="1" t="s">
        <v>487</v>
      </c>
      <c r="AI1599" s="1" t="s">
        <v>453</v>
      </c>
      <c r="AJ1599" s="1" t="s">
        <v>454</v>
      </c>
      <c r="AL1599" s="1">
        <v>5</v>
      </c>
      <c r="AM1599" s="1">
        <v>2</v>
      </c>
      <c r="AN1599" s="1">
        <v>1</v>
      </c>
      <c r="AO1599" s="1">
        <v>1</v>
      </c>
      <c r="AP1599" s="1" t="s">
        <v>210</v>
      </c>
      <c r="AR1599" s="1" t="s">
        <v>210</v>
      </c>
      <c r="AS1599" s="1" t="s">
        <v>204</v>
      </c>
      <c r="AT1599" s="1" t="s">
        <v>211</v>
      </c>
      <c r="AU1599" s="1">
        <v>2</v>
      </c>
      <c r="AW1599" s="1" t="s">
        <v>204</v>
      </c>
      <c r="AX1599" s="1" t="s">
        <v>212</v>
      </c>
      <c r="AZ1599" s="1">
        <v>3339.72</v>
      </c>
      <c r="BA1599" s="1">
        <v>2013</v>
      </c>
      <c r="BE1599" s="1">
        <v>1449</v>
      </c>
      <c r="BF1599" s="1">
        <v>1</v>
      </c>
      <c r="BG1599" s="1">
        <v>0</v>
      </c>
      <c r="BL1599" s="1">
        <v>166</v>
      </c>
      <c r="BM1599" s="1" t="s">
        <v>204</v>
      </c>
      <c r="BN1599" s="1" t="s">
        <v>213</v>
      </c>
      <c r="BO1599" s="1">
        <v>999</v>
      </c>
      <c r="BP1599" s="1" t="s">
        <v>204</v>
      </c>
      <c r="BR1599" s="1" t="str">
        <f>"0228329042"</f>
        <v>0228329042</v>
      </c>
      <c r="BT1599" s="1" t="s">
        <v>15406</v>
      </c>
      <c r="BX1599" s="1">
        <v>115</v>
      </c>
      <c r="BY1599" s="1">
        <v>115</v>
      </c>
      <c r="BZ1599" s="1">
        <v>115</v>
      </c>
      <c r="CB1599" s="1" t="str">
        <f t="shared" ref="CB1599:CC1599" si="1215">""</f>
        <v/>
      </c>
      <c r="CC1599" s="1" t="str">
        <f t="shared" si="1215"/>
        <v/>
      </c>
      <c r="CG1599" s="1" t="s">
        <v>377</v>
      </c>
      <c r="CH1599" s="1" t="s">
        <v>219</v>
      </c>
      <c r="CK1599" s="1" t="s">
        <v>3656</v>
      </c>
      <c r="CL1599" s="1" t="s">
        <v>277</v>
      </c>
      <c r="CO1599" s="1" t="s">
        <v>318</v>
      </c>
      <c r="CP1599" s="1" t="s">
        <v>219</v>
      </c>
      <c r="CS1599" s="1" t="s">
        <v>1854</v>
      </c>
      <c r="CT1599" s="1" t="s">
        <v>277</v>
      </c>
      <c r="CX1599" s="1" t="s">
        <v>224</v>
      </c>
      <c r="DB1599" s="1" t="s">
        <v>224</v>
      </c>
      <c r="DE1599" s="1" t="s">
        <v>377</v>
      </c>
      <c r="DF1599" s="1" t="s">
        <v>219</v>
      </c>
      <c r="DJ1599" s="1" t="s">
        <v>224</v>
      </c>
      <c r="DS1599" s="1" t="s">
        <v>230</v>
      </c>
      <c r="DW1599" s="1" t="s">
        <v>230</v>
      </c>
      <c r="EA1599" s="1" t="s">
        <v>230</v>
      </c>
      <c r="EE1599" s="1" t="s">
        <v>230</v>
      </c>
      <c r="EI1599" s="1" t="s">
        <v>230</v>
      </c>
      <c r="EL1599" s="1" t="s">
        <v>491</v>
      </c>
      <c r="EM1599" s="1" t="s">
        <v>319</v>
      </c>
      <c r="EN1599" s="1" t="s">
        <v>282</v>
      </c>
      <c r="EO1599" s="1" t="s">
        <v>234</v>
      </c>
      <c r="ER1599" s="1" t="s">
        <v>210</v>
      </c>
      <c r="EV1599" s="1" t="s">
        <v>324</v>
      </c>
      <c r="EW1599" s="1" t="s">
        <v>547</v>
      </c>
      <c r="EZ1599" s="1" t="s">
        <v>287</v>
      </c>
      <c r="FD1599" s="1" t="s">
        <v>246</v>
      </c>
      <c r="FE1599" s="1" t="s">
        <v>870</v>
      </c>
      <c r="FF1599" s="1" t="s">
        <v>248</v>
      </c>
      <c r="FH1599" s="1" t="s">
        <v>249</v>
      </c>
      <c r="FL1599" s="1" t="s">
        <v>358</v>
      </c>
      <c r="FM1599" s="1" t="s">
        <v>252</v>
      </c>
      <c r="FN1599" s="1" t="s">
        <v>213</v>
      </c>
      <c r="FO1599" s="1" t="s">
        <v>213</v>
      </c>
      <c r="FQ1599" s="1" t="s">
        <v>15407</v>
      </c>
      <c r="FR1599" s="1" t="s">
        <v>210</v>
      </c>
      <c r="FS1599" s="1" t="s">
        <v>15408</v>
      </c>
      <c r="FT1599" s="1" t="s">
        <v>584</v>
      </c>
      <c r="FU1599" s="1" t="s">
        <v>204</v>
      </c>
      <c r="FW1599" s="1" t="s">
        <v>2577</v>
      </c>
      <c r="FX1599" s="1">
        <v>31982</v>
      </c>
      <c r="FY1599" s="1" t="s">
        <v>2578</v>
      </c>
      <c r="FZ1599" s="1" t="s">
        <v>2579</v>
      </c>
      <c r="GA1599" s="1">
        <v>319888</v>
      </c>
      <c r="GB1599" s="1" t="s">
        <v>2580</v>
      </c>
      <c r="GE1599" s="1" t="s">
        <v>210</v>
      </c>
      <c r="GI1599" s="1" t="s">
        <v>204</v>
      </c>
      <c r="GJ1599" s="1" t="s">
        <v>260</v>
      </c>
      <c r="GK1599" s="1" t="s">
        <v>210</v>
      </c>
      <c r="GL1599" s="2">
        <v>42044</v>
      </c>
      <c r="GM1599" s="1" t="s">
        <v>15409</v>
      </c>
    </row>
    <row r="1600" spans="1:195">
      <c r="A1600" s="1">
        <v>117000</v>
      </c>
      <c r="B1600" s="1" t="s">
        <v>195</v>
      </c>
      <c r="C1600" s="1" t="str">
        <f>"08687114"</f>
        <v>08687114</v>
      </c>
      <c r="D1600" s="1" t="s">
        <v>196</v>
      </c>
      <c r="F1600" s="1" t="str">
        <f>"543"</f>
        <v>543</v>
      </c>
      <c r="G1600" s="2">
        <v>41850</v>
      </c>
      <c r="H1600" s="1">
        <v>129900</v>
      </c>
      <c r="I1600" s="1">
        <v>129900</v>
      </c>
      <c r="J1600" s="1">
        <v>117000</v>
      </c>
      <c r="K1600" s="2">
        <v>41849</v>
      </c>
      <c r="L1600" s="1">
        <v>59</v>
      </c>
      <c r="M1600" s="2">
        <v>41907</v>
      </c>
      <c r="N1600" s="1">
        <v>59</v>
      </c>
      <c r="O1600" s="2">
        <v>41907</v>
      </c>
      <c r="P1600" s="1">
        <v>21517</v>
      </c>
      <c r="Q1600" s="1" t="s">
        <v>1393</v>
      </c>
      <c r="R1600" s="2">
        <v>41969</v>
      </c>
      <c r="S1600" s="1">
        <v>221157</v>
      </c>
      <c r="U1600" s="1">
        <v>509</v>
      </c>
      <c r="V1600" s="1" t="s">
        <v>4106</v>
      </c>
      <c r="W1600" s="1" t="s">
        <v>304</v>
      </c>
      <c r="X1600" s="1">
        <v>509</v>
      </c>
      <c r="Y1600" s="1">
        <v>6</v>
      </c>
      <c r="Z1600" s="1" t="s">
        <v>249</v>
      </c>
      <c r="AA1600" s="1" t="s">
        <v>2639</v>
      </c>
      <c r="AB1600" s="1">
        <v>60543</v>
      </c>
      <c r="AD1600" s="1" t="s">
        <v>3398</v>
      </c>
      <c r="AE1600" s="1" t="s">
        <v>15410</v>
      </c>
      <c r="AF1600" s="1">
        <v>1996</v>
      </c>
      <c r="AG1600" s="1" t="s">
        <v>204</v>
      </c>
      <c r="AH1600" s="1" t="s">
        <v>1397</v>
      </c>
      <c r="AI1600" s="1" t="s">
        <v>453</v>
      </c>
      <c r="AJ1600" s="1" t="s">
        <v>1397</v>
      </c>
      <c r="AK1600" s="1" t="s">
        <v>3400</v>
      </c>
      <c r="AL1600" s="1">
        <v>5</v>
      </c>
      <c r="AM1600" s="1">
        <v>2</v>
      </c>
      <c r="AN1600" s="1">
        <v>2</v>
      </c>
      <c r="AO1600" s="1">
        <v>1</v>
      </c>
      <c r="AP1600" s="1" t="s">
        <v>209</v>
      </c>
      <c r="AQ1600" s="1">
        <v>1</v>
      </c>
      <c r="AR1600" s="1" t="s">
        <v>210</v>
      </c>
      <c r="AS1600" s="1" t="s">
        <v>204</v>
      </c>
      <c r="AT1600" s="1" t="s">
        <v>211</v>
      </c>
      <c r="AU1600" s="1">
        <v>1</v>
      </c>
      <c r="AW1600" s="1" t="s">
        <v>204</v>
      </c>
      <c r="AX1600" s="1" t="s">
        <v>212</v>
      </c>
      <c r="AZ1600" s="1">
        <v>4003.4</v>
      </c>
      <c r="BA1600" s="1">
        <v>2013</v>
      </c>
      <c r="BB1600" s="1" t="s">
        <v>405</v>
      </c>
      <c r="BE1600" s="1">
        <v>1300</v>
      </c>
      <c r="BF1600" s="1">
        <v>1</v>
      </c>
      <c r="BG1600" s="1">
        <v>0</v>
      </c>
      <c r="BL1600" s="1">
        <v>142</v>
      </c>
      <c r="BM1600" s="1" t="s">
        <v>204</v>
      </c>
      <c r="BN1600" s="1" t="s">
        <v>213</v>
      </c>
      <c r="BO1600" s="1">
        <v>999</v>
      </c>
      <c r="BP1600" s="1" t="s">
        <v>204</v>
      </c>
      <c r="BR1600" s="1" t="str">
        <f>"0303153030"</f>
        <v>0303153030</v>
      </c>
      <c r="BT1600" s="1" t="s">
        <v>15411</v>
      </c>
      <c r="BX1600" s="1">
        <v>308</v>
      </c>
      <c r="BY1600" s="1">
        <v>308</v>
      </c>
      <c r="BZ1600" s="1">
        <v>308</v>
      </c>
      <c r="CB1600" s="1" t="str">
        <f t="shared" ref="CB1600:CC1600" si="1216">"0"</f>
        <v>0</v>
      </c>
      <c r="CC1600" s="1" t="str">
        <f t="shared" si="1216"/>
        <v>0</v>
      </c>
      <c r="CD1600" s="1">
        <v>35</v>
      </c>
      <c r="CE1600" s="1">
        <v>10</v>
      </c>
      <c r="CG1600" s="1" t="s">
        <v>2992</v>
      </c>
      <c r="CH1600" s="1" t="s">
        <v>219</v>
      </c>
      <c r="CI1600" s="1" t="s">
        <v>229</v>
      </c>
      <c r="CJ1600" s="1" t="s">
        <v>463</v>
      </c>
      <c r="CK1600" s="1" t="s">
        <v>221</v>
      </c>
      <c r="CL1600" s="1" t="s">
        <v>277</v>
      </c>
      <c r="CM1600" s="1" t="s">
        <v>220</v>
      </c>
      <c r="CN1600" s="1" t="s">
        <v>909</v>
      </c>
      <c r="CO1600" s="1" t="s">
        <v>629</v>
      </c>
      <c r="CP1600" s="1" t="s">
        <v>219</v>
      </c>
      <c r="CQ1600" s="1" t="s">
        <v>229</v>
      </c>
      <c r="CS1600" s="1" t="s">
        <v>465</v>
      </c>
      <c r="CT1600" s="1" t="s">
        <v>277</v>
      </c>
      <c r="CU1600" s="1" t="s">
        <v>220</v>
      </c>
      <c r="CV1600" s="1" t="s">
        <v>343</v>
      </c>
      <c r="CX1600" s="1" t="s">
        <v>224</v>
      </c>
      <c r="DB1600" s="1" t="s">
        <v>224</v>
      </c>
      <c r="DE1600" s="1" t="s">
        <v>837</v>
      </c>
      <c r="DF1600" s="1" t="s">
        <v>219</v>
      </c>
      <c r="DG1600" s="1" t="s">
        <v>226</v>
      </c>
      <c r="DH1600" s="1" t="s">
        <v>210</v>
      </c>
      <c r="DJ1600" s="1" t="s">
        <v>224</v>
      </c>
      <c r="DM1600" s="1" t="s">
        <v>709</v>
      </c>
      <c r="DN1600" s="1" t="s">
        <v>1770</v>
      </c>
      <c r="DR1600" s="1" t="s">
        <v>11368</v>
      </c>
      <c r="DS1600" s="1" t="s">
        <v>219</v>
      </c>
      <c r="DT1600" s="1" t="s">
        <v>229</v>
      </c>
      <c r="DU1600" s="1" t="s">
        <v>210</v>
      </c>
      <c r="DV1600" s="1" t="s">
        <v>4829</v>
      </c>
      <c r="DW1600" s="1" t="s">
        <v>277</v>
      </c>
      <c r="EA1600" s="1" t="s">
        <v>230</v>
      </c>
      <c r="EE1600" s="1" t="s">
        <v>230</v>
      </c>
      <c r="EI1600" s="1" t="s">
        <v>230</v>
      </c>
      <c r="EL1600" s="1" t="s">
        <v>670</v>
      </c>
      <c r="EM1600" s="1" t="s">
        <v>319</v>
      </c>
      <c r="EN1600" s="1" t="s">
        <v>282</v>
      </c>
      <c r="EO1600" s="1" t="s">
        <v>234</v>
      </c>
      <c r="EP1600" s="1" t="s">
        <v>9216</v>
      </c>
      <c r="EQ1600" s="1" t="s">
        <v>236</v>
      </c>
      <c r="ER1600" s="1" t="s">
        <v>383</v>
      </c>
      <c r="EU1600" s="1" t="s">
        <v>1110</v>
      </c>
      <c r="EV1600" s="1" t="s">
        <v>240</v>
      </c>
      <c r="EW1600" s="1" t="s">
        <v>353</v>
      </c>
      <c r="EZ1600" s="1" t="s">
        <v>5976</v>
      </c>
      <c r="FA1600" s="1" t="s">
        <v>15412</v>
      </c>
      <c r="FB1600" s="1" t="s">
        <v>289</v>
      </c>
      <c r="FD1600" s="1" t="s">
        <v>246</v>
      </c>
      <c r="FE1600" s="1" t="s">
        <v>472</v>
      </c>
      <c r="FF1600" s="1" t="s">
        <v>248</v>
      </c>
      <c r="FG1600" s="1" t="s">
        <v>1682</v>
      </c>
      <c r="FH1600" s="1" t="s">
        <v>550</v>
      </c>
      <c r="FI1600" s="1" t="s">
        <v>473</v>
      </c>
      <c r="FL1600" s="1" t="s">
        <v>358</v>
      </c>
      <c r="FM1600" s="1" t="s">
        <v>252</v>
      </c>
      <c r="FN1600" s="1" t="s">
        <v>213</v>
      </c>
      <c r="FO1600" s="1" t="s">
        <v>213</v>
      </c>
      <c r="FQ1600" s="1" t="s">
        <v>5657</v>
      </c>
      <c r="FR1600" s="1" t="s">
        <v>210</v>
      </c>
      <c r="FS1600" s="1" t="s">
        <v>15413</v>
      </c>
      <c r="FT1600" s="1" t="s">
        <v>2589</v>
      </c>
      <c r="FU1600" s="1" t="s">
        <v>204</v>
      </c>
      <c r="FW1600" s="1" t="s">
        <v>1348</v>
      </c>
      <c r="FX1600" s="1">
        <v>87</v>
      </c>
      <c r="FY1600" s="1" t="s">
        <v>15414</v>
      </c>
      <c r="FZ1600" s="1" t="s">
        <v>15415</v>
      </c>
      <c r="GA1600" s="1">
        <v>8822</v>
      </c>
      <c r="GB1600" s="1" t="s">
        <v>15416</v>
      </c>
      <c r="GE1600" s="1" t="s">
        <v>480</v>
      </c>
      <c r="GI1600" s="1" t="s">
        <v>213</v>
      </c>
      <c r="GJ1600" s="1" t="s">
        <v>260</v>
      </c>
      <c r="GK1600" s="1" t="s">
        <v>261</v>
      </c>
      <c r="GL1600" s="2">
        <v>41969</v>
      </c>
    </row>
    <row r="1601" spans="1:195">
      <c r="A1601" s="1">
        <v>12500</v>
      </c>
      <c r="B1601" s="1" t="s">
        <v>195</v>
      </c>
      <c r="C1601" s="1" t="str">
        <f>"08687581"</f>
        <v>08687581</v>
      </c>
      <c r="D1601" s="1" t="s">
        <v>196</v>
      </c>
      <c r="F1601" s="1" t="str">
        <f>"8044"</f>
        <v>8044</v>
      </c>
      <c r="G1601" s="2">
        <v>41850</v>
      </c>
      <c r="H1601" s="1">
        <v>22500</v>
      </c>
      <c r="I1601" s="1">
        <v>12500</v>
      </c>
      <c r="J1601" s="1">
        <v>12500</v>
      </c>
      <c r="K1601" s="2">
        <v>41849</v>
      </c>
      <c r="L1601" s="1">
        <v>50</v>
      </c>
      <c r="M1601" s="2">
        <v>41898</v>
      </c>
      <c r="N1601" s="1">
        <v>50</v>
      </c>
      <c r="O1601" s="2">
        <v>41898</v>
      </c>
      <c r="P1601" s="1">
        <v>85244</v>
      </c>
      <c r="Q1601" s="1" t="s">
        <v>302</v>
      </c>
      <c r="R1601" s="2">
        <v>41978</v>
      </c>
      <c r="S1601" s="1">
        <v>112372</v>
      </c>
      <c r="U1601" s="1">
        <v>8148</v>
      </c>
      <c r="V1601" s="1" t="s">
        <v>9897</v>
      </c>
      <c r="W1601" s="1" t="s">
        <v>425</v>
      </c>
      <c r="X1601" s="1">
        <v>1</v>
      </c>
      <c r="Y1601" s="1">
        <v>28</v>
      </c>
      <c r="Z1601" s="1" t="s">
        <v>249</v>
      </c>
      <c r="AA1601" s="1" t="s">
        <v>400</v>
      </c>
      <c r="AB1601" s="1">
        <v>60619</v>
      </c>
      <c r="AE1601" s="1" t="s">
        <v>15417</v>
      </c>
      <c r="AF1601" s="1" t="s">
        <v>402</v>
      </c>
      <c r="AG1601" s="1" t="s">
        <v>213</v>
      </c>
      <c r="AH1601" s="1" t="s">
        <v>403</v>
      </c>
      <c r="AI1601" s="1" t="s">
        <v>310</v>
      </c>
      <c r="AJ1601" s="1" t="s">
        <v>562</v>
      </c>
      <c r="AL1601" s="1">
        <v>4</v>
      </c>
      <c r="AM1601" s="1">
        <v>2</v>
      </c>
      <c r="AN1601" s="1">
        <v>1</v>
      </c>
      <c r="AO1601" s="1">
        <v>0</v>
      </c>
      <c r="AP1601" s="1" t="s">
        <v>210</v>
      </c>
      <c r="AR1601" s="1" t="s">
        <v>210</v>
      </c>
      <c r="AS1601" s="1" t="s">
        <v>204</v>
      </c>
      <c r="AT1601" s="1" t="s">
        <v>210</v>
      </c>
      <c r="AW1601" s="1" t="s">
        <v>204</v>
      </c>
      <c r="AX1601" s="1" t="s">
        <v>212</v>
      </c>
      <c r="AZ1601" s="1">
        <v>1425.16</v>
      </c>
      <c r="BA1601" s="1">
        <v>2012</v>
      </c>
      <c r="BB1601" s="1" t="s">
        <v>210</v>
      </c>
      <c r="BE1601" s="1">
        <v>900</v>
      </c>
      <c r="BF1601" s="1">
        <v>1</v>
      </c>
      <c r="BG1601" s="1">
        <v>30</v>
      </c>
      <c r="BL1601" s="1">
        <v>152</v>
      </c>
      <c r="BM1601" s="1" t="s">
        <v>213</v>
      </c>
      <c r="BN1601" s="1" t="s">
        <v>204</v>
      </c>
      <c r="BP1601" s="1" t="s">
        <v>204</v>
      </c>
      <c r="BR1601" s="1" t="str">
        <f>"20351150231002"</f>
        <v>20351150231002</v>
      </c>
      <c r="BT1601" s="1" t="s">
        <v>15418</v>
      </c>
      <c r="BX1601" s="1">
        <v>299</v>
      </c>
      <c r="BY1601" s="1">
        <v>299</v>
      </c>
      <c r="BZ1601" s="1">
        <v>299</v>
      </c>
      <c r="CB1601" s="1" t="str">
        <f>"0"</f>
        <v>0</v>
      </c>
      <c r="CC1601" s="1" t="str">
        <f>"900"</f>
        <v>900</v>
      </c>
      <c r="CD1601" s="1">
        <v>0</v>
      </c>
      <c r="CE1601" s="1">
        <v>8148</v>
      </c>
      <c r="CG1601" s="1" t="s">
        <v>861</v>
      </c>
      <c r="CH1601" s="1" t="s">
        <v>219</v>
      </c>
      <c r="CK1601" s="1" t="s">
        <v>379</v>
      </c>
      <c r="CL1601" s="1" t="s">
        <v>219</v>
      </c>
      <c r="CP1601" s="1" t="s">
        <v>224</v>
      </c>
      <c r="CS1601" s="1" t="s">
        <v>1046</v>
      </c>
      <c r="CT1601" s="1" t="s">
        <v>219</v>
      </c>
      <c r="CX1601" s="1" t="s">
        <v>224</v>
      </c>
      <c r="DB1601" s="1" t="s">
        <v>224</v>
      </c>
      <c r="DE1601" s="1" t="s">
        <v>346</v>
      </c>
      <c r="DF1601" s="1" t="s">
        <v>219</v>
      </c>
      <c r="DJ1601" s="1" t="s">
        <v>224</v>
      </c>
      <c r="DS1601" s="1" t="s">
        <v>230</v>
      </c>
      <c r="DW1601" s="1" t="s">
        <v>230</v>
      </c>
      <c r="EA1601" s="1" t="s">
        <v>230</v>
      </c>
      <c r="EE1601" s="1" t="s">
        <v>230</v>
      </c>
      <c r="EI1601" s="1" t="s">
        <v>230</v>
      </c>
      <c r="EL1601" s="1" t="s">
        <v>413</v>
      </c>
      <c r="EM1601" s="1" t="s">
        <v>730</v>
      </c>
      <c r="EN1601" s="1" t="s">
        <v>282</v>
      </c>
      <c r="EO1601" s="1" t="s">
        <v>234</v>
      </c>
      <c r="EQ1601" s="1" t="s">
        <v>350</v>
      </c>
      <c r="ER1601" s="1" t="s">
        <v>210</v>
      </c>
      <c r="EW1601" s="1" t="s">
        <v>210</v>
      </c>
      <c r="EY1601" s="1" t="s">
        <v>242</v>
      </c>
      <c r="EZ1601" s="1" t="s">
        <v>287</v>
      </c>
      <c r="FA1601" s="1" t="s">
        <v>1048</v>
      </c>
      <c r="FD1601" s="1" t="s">
        <v>1112</v>
      </c>
      <c r="FE1601" s="1" t="s">
        <v>247</v>
      </c>
      <c r="FF1601" s="1" t="s">
        <v>248</v>
      </c>
      <c r="FH1601" s="1" t="s">
        <v>249</v>
      </c>
      <c r="FL1601" s="1" t="s">
        <v>810</v>
      </c>
      <c r="FM1601" s="1" t="s">
        <v>252</v>
      </c>
      <c r="FN1601" s="1" t="s">
        <v>213</v>
      </c>
      <c r="FO1601" s="1" t="s">
        <v>213</v>
      </c>
      <c r="FQ1601" s="1" t="s">
        <v>689</v>
      </c>
      <c r="FR1601" s="1" t="s">
        <v>360</v>
      </c>
      <c r="FS1601" s="1" t="s">
        <v>15419</v>
      </c>
      <c r="FT1601" s="1" t="s">
        <v>362</v>
      </c>
      <c r="FU1601" s="1" t="s">
        <v>204</v>
      </c>
      <c r="FW1601" s="1" t="s">
        <v>15420</v>
      </c>
      <c r="FX1601" s="1">
        <v>24649</v>
      </c>
      <c r="FY1601" s="1" t="s">
        <v>15421</v>
      </c>
      <c r="FZ1601" s="1" t="s">
        <v>15422</v>
      </c>
      <c r="GA1601" s="1">
        <v>606410</v>
      </c>
      <c r="GC1601" s="1">
        <v>601324</v>
      </c>
      <c r="GE1601" s="1" t="s">
        <v>210</v>
      </c>
      <c r="GH1601" s="1" t="s">
        <v>421</v>
      </c>
      <c r="GI1601" s="1" t="s">
        <v>213</v>
      </c>
      <c r="GJ1601" s="1" t="s">
        <v>260</v>
      </c>
      <c r="GK1601" s="1" t="s">
        <v>210</v>
      </c>
      <c r="GL1601" s="2">
        <v>41981</v>
      </c>
      <c r="GM1601" s="2" t="s">
        <v>15423</v>
      </c>
    </row>
    <row r="1602" spans="1:195">
      <c r="A1602" s="1">
        <v>123000</v>
      </c>
      <c r="B1602" s="1" t="s">
        <v>195</v>
      </c>
      <c r="C1602" s="1" t="str">
        <f>"08691338"</f>
        <v>08691338</v>
      </c>
      <c r="D1602" s="1" t="s">
        <v>196</v>
      </c>
      <c r="F1602" s="1" t="str">
        <f>"560"</f>
        <v>560</v>
      </c>
      <c r="G1602" s="2">
        <v>41854</v>
      </c>
      <c r="H1602" s="1">
        <v>139500</v>
      </c>
      <c r="I1602" s="1">
        <v>129900</v>
      </c>
      <c r="J1602" s="1">
        <v>123000</v>
      </c>
      <c r="K1602" s="2">
        <v>41854</v>
      </c>
      <c r="L1602" s="1">
        <v>170</v>
      </c>
      <c r="M1602" s="2">
        <v>41966</v>
      </c>
      <c r="N1602" s="1">
        <v>113</v>
      </c>
      <c r="O1602" s="2">
        <v>41966</v>
      </c>
      <c r="P1602" s="1">
        <v>24215</v>
      </c>
      <c r="Q1602" s="1" t="s">
        <v>302</v>
      </c>
      <c r="R1602" s="2">
        <v>41990</v>
      </c>
      <c r="S1602" s="1">
        <v>233378</v>
      </c>
      <c r="U1602" s="1">
        <v>1518</v>
      </c>
      <c r="V1602" s="1" t="s">
        <v>2677</v>
      </c>
      <c r="W1602" s="1" t="s">
        <v>526</v>
      </c>
      <c r="Y1602" s="1">
        <v>4</v>
      </c>
      <c r="Z1602" s="1" t="s">
        <v>370</v>
      </c>
      <c r="AA1602" s="1" t="s">
        <v>484</v>
      </c>
      <c r="AB1602" s="1">
        <v>60560</v>
      </c>
      <c r="AD1602" s="1" t="s">
        <v>2678</v>
      </c>
      <c r="AE1602" s="1" t="s">
        <v>15424</v>
      </c>
      <c r="AF1602" s="1">
        <v>1998</v>
      </c>
      <c r="AG1602" s="1" t="s">
        <v>204</v>
      </c>
      <c r="AH1602" s="1" t="s">
        <v>487</v>
      </c>
      <c r="AI1602" s="1" t="s">
        <v>453</v>
      </c>
      <c r="AJ1602" s="1" t="s">
        <v>454</v>
      </c>
      <c r="AL1602" s="1">
        <v>6</v>
      </c>
      <c r="AM1602" s="1">
        <v>2</v>
      </c>
      <c r="AN1602" s="1">
        <v>2</v>
      </c>
      <c r="AO1602" s="1">
        <v>1</v>
      </c>
      <c r="AP1602" s="1" t="s">
        <v>209</v>
      </c>
      <c r="AQ1602" s="1">
        <v>1</v>
      </c>
      <c r="AR1602" s="1" t="s">
        <v>210</v>
      </c>
      <c r="AS1602" s="1" t="s">
        <v>204</v>
      </c>
      <c r="AT1602" s="1" t="s">
        <v>211</v>
      </c>
      <c r="AU1602" s="1">
        <v>2</v>
      </c>
      <c r="AW1602" s="1" t="s">
        <v>204</v>
      </c>
      <c r="AX1602" s="1" t="s">
        <v>212</v>
      </c>
      <c r="AZ1602" s="1">
        <v>3655</v>
      </c>
      <c r="BA1602" s="1">
        <v>2012</v>
      </c>
      <c r="BE1602" s="1">
        <v>1600</v>
      </c>
      <c r="BF1602" s="1">
        <v>1</v>
      </c>
      <c r="BG1602" s="1">
        <v>0</v>
      </c>
      <c r="BL1602" s="1">
        <v>110</v>
      </c>
      <c r="BM1602" s="1" t="s">
        <v>204</v>
      </c>
      <c r="BN1602" s="1" t="s">
        <v>213</v>
      </c>
      <c r="BO1602" s="1" t="s">
        <v>6360</v>
      </c>
      <c r="BP1602" s="1" t="s">
        <v>204</v>
      </c>
      <c r="BR1602" s="1" t="str">
        <f>"0230104017"</f>
        <v>0230104017</v>
      </c>
      <c r="BT1602" s="1" t="s">
        <v>15425</v>
      </c>
      <c r="BX1602" s="1">
        <v>115</v>
      </c>
      <c r="BY1602" s="1">
        <v>115</v>
      </c>
      <c r="BZ1602" s="1">
        <v>115</v>
      </c>
      <c r="CB1602" s="1" t="str">
        <f t="shared" ref="CB1602:CC1602" si="1217">""</f>
        <v/>
      </c>
      <c r="CC1602" s="1" t="str">
        <f t="shared" si="1217"/>
        <v/>
      </c>
      <c r="CG1602" s="1" t="s">
        <v>437</v>
      </c>
      <c r="CH1602" s="1" t="s">
        <v>219</v>
      </c>
      <c r="CI1602" s="1" t="s">
        <v>229</v>
      </c>
      <c r="CJ1602" s="1" t="s">
        <v>210</v>
      </c>
      <c r="CK1602" s="1" t="s">
        <v>708</v>
      </c>
      <c r="CL1602" s="1" t="s">
        <v>277</v>
      </c>
      <c r="CM1602" s="1" t="s">
        <v>220</v>
      </c>
      <c r="CN1602" s="1" t="s">
        <v>343</v>
      </c>
      <c r="CO1602" s="1" t="s">
        <v>346</v>
      </c>
      <c r="CP1602" s="1" t="s">
        <v>219</v>
      </c>
      <c r="CQ1602" s="1" t="s">
        <v>229</v>
      </c>
      <c r="CR1602" s="1" t="s">
        <v>210</v>
      </c>
      <c r="CS1602" s="1" t="s">
        <v>1046</v>
      </c>
      <c r="CT1602" s="1" t="s">
        <v>277</v>
      </c>
      <c r="CU1602" s="1" t="s">
        <v>220</v>
      </c>
      <c r="CV1602" s="1" t="s">
        <v>439</v>
      </c>
      <c r="CX1602" s="1" t="s">
        <v>224</v>
      </c>
      <c r="DB1602" s="1" t="s">
        <v>224</v>
      </c>
      <c r="DE1602" s="1" t="s">
        <v>972</v>
      </c>
      <c r="DF1602" s="1" t="s">
        <v>219</v>
      </c>
      <c r="DG1602" s="1" t="s">
        <v>229</v>
      </c>
      <c r="DJ1602" s="1" t="s">
        <v>224</v>
      </c>
      <c r="DM1602" s="1" t="s">
        <v>464</v>
      </c>
      <c r="DR1602" s="1" t="s">
        <v>757</v>
      </c>
      <c r="DS1602" s="1" t="s">
        <v>277</v>
      </c>
      <c r="DT1602" s="1" t="s">
        <v>220</v>
      </c>
      <c r="DU1602" s="1" t="s">
        <v>343</v>
      </c>
      <c r="DW1602" s="1" t="s">
        <v>230</v>
      </c>
      <c r="EA1602" s="1" t="s">
        <v>230</v>
      </c>
      <c r="EE1602" s="1" t="s">
        <v>230</v>
      </c>
      <c r="EI1602" s="1" t="s">
        <v>230</v>
      </c>
      <c r="EL1602" s="1" t="s">
        <v>670</v>
      </c>
      <c r="EM1602" s="1" t="s">
        <v>319</v>
      </c>
      <c r="EN1602" s="1" t="s">
        <v>282</v>
      </c>
      <c r="EO1602" s="1" t="s">
        <v>234</v>
      </c>
      <c r="EQ1602" s="1" t="s">
        <v>1109</v>
      </c>
      <c r="ER1602" s="1" t="s">
        <v>210</v>
      </c>
      <c r="ES1602" s="1" t="s">
        <v>322</v>
      </c>
      <c r="ET1602" s="1" t="s">
        <v>323</v>
      </c>
      <c r="EU1602" s="1" t="s">
        <v>712</v>
      </c>
      <c r="EV1602" s="1" t="s">
        <v>240</v>
      </c>
      <c r="EW1602" s="1" t="s">
        <v>887</v>
      </c>
      <c r="EY1602" s="1" t="s">
        <v>1315</v>
      </c>
      <c r="EZ1602" s="1" t="s">
        <v>464</v>
      </c>
      <c r="FA1602" s="1" t="s">
        <v>471</v>
      </c>
      <c r="FD1602" s="1" t="s">
        <v>246</v>
      </c>
      <c r="FE1602" s="1" t="s">
        <v>975</v>
      </c>
      <c r="FF1602" s="1" t="s">
        <v>248</v>
      </c>
      <c r="FG1602" s="1" t="s">
        <v>912</v>
      </c>
      <c r="FH1602" s="1" t="s">
        <v>550</v>
      </c>
      <c r="FL1602" s="1" t="s">
        <v>358</v>
      </c>
      <c r="FM1602" s="1" t="s">
        <v>252</v>
      </c>
      <c r="FN1602" s="1" t="s">
        <v>213</v>
      </c>
      <c r="FO1602" s="1" t="s">
        <v>204</v>
      </c>
      <c r="FQ1602" s="1" t="s">
        <v>673</v>
      </c>
      <c r="FR1602" s="1" t="s">
        <v>210</v>
      </c>
      <c r="FS1602" s="1" t="s">
        <v>15426</v>
      </c>
      <c r="FT1602" s="1" t="s">
        <v>15427</v>
      </c>
      <c r="FU1602" s="1" t="s">
        <v>204</v>
      </c>
      <c r="FW1602" s="1" t="s">
        <v>15428</v>
      </c>
      <c r="FX1602" s="1">
        <v>23905</v>
      </c>
      <c r="FY1602" s="1" t="s">
        <v>15429</v>
      </c>
      <c r="FZ1602" s="1" t="s">
        <v>15430</v>
      </c>
      <c r="GA1602" s="1">
        <v>238584</v>
      </c>
      <c r="GE1602" s="1" t="s">
        <v>480</v>
      </c>
      <c r="GI1602" s="1" t="s">
        <v>204</v>
      </c>
      <c r="GJ1602" s="1" t="s">
        <v>260</v>
      </c>
      <c r="GK1602" s="1" t="s">
        <v>210</v>
      </c>
      <c r="GL1602" s="2">
        <v>41994</v>
      </c>
      <c r="GM1602" s="1" t="s">
        <v>15431</v>
      </c>
    </row>
    <row r="1603" spans="1:195">
      <c r="A1603" s="1">
        <v>180000</v>
      </c>
      <c r="B1603" s="1" t="s">
        <v>195</v>
      </c>
      <c r="C1603" s="1" t="str">
        <f>"08718863"</f>
        <v>08718863</v>
      </c>
      <c r="D1603" s="1" t="s">
        <v>196</v>
      </c>
      <c r="F1603" s="1" t="str">
        <f>"540"</f>
        <v>540</v>
      </c>
      <c r="G1603" s="2">
        <v>41886</v>
      </c>
      <c r="H1603" s="1">
        <v>195000</v>
      </c>
      <c r="I1603" s="1">
        <v>184900</v>
      </c>
      <c r="J1603" s="1">
        <v>180000</v>
      </c>
      <c r="K1603" s="2">
        <v>41886</v>
      </c>
      <c r="L1603" s="1">
        <v>64</v>
      </c>
      <c r="M1603" s="2">
        <v>41949</v>
      </c>
      <c r="N1603" s="1">
        <v>64</v>
      </c>
      <c r="O1603" s="2">
        <v>41949</v>
      </c>
      <c r="P1603" s="1">
        <v>8012</v>
      </c>
      <c r="Q1603" s="1" t="s">
        <v>197</v>
      </c>
      <c r="R1603" s="2">
        <v>41990</v>
      </c>
      <c r="S1603" s="1">
        <v>81371</v>
      </c>
      <c r="U1603" s="1">
        <v>2926</v>
      </c>
      <c r="V1603" s="1" t="s">
        <v>15432</v>
      </c>
      <c r="W1603" s="1" t="s">
        <v>449</v>
      </c>
      <c r="Y1603" s="1">
        <v>4</v>
      </c>
      <c r="Z1603" s="1" t="s">
        <v>370</v>
      </c>
      <c r="AA1603" s="1" t="s">
        <v>921</v>
      </c>
      <c r="AB1603" s="1">
        <v>60564</v>
      </c>
      <c r="AD1603" s="1" t="s">
        <v>5178</v>
      </c>
      <c r="AE1603" s="1" t="s">
        <v>15433</v>
      </c>
      <c r="AF1603" s="1">
        <v>1998</v>
      </c>
      <c r="AG1603" s="1" t="s">
        <v>204</v>
      </c>
      <c r="AH1603" s="1" t="s">
        <v>924</v>
      </c>
      <c r="AI1603" s="1" t="s">
        <v>1800</v>
      </c>
      <c r="AJ1603" s="1" t="s">
        <v>1801</v>
      </c>
      <c r="AK1603" s="1" t="s">
        <v>6729</v>
      </c>
      <c r="AL1603" s="1">
        <v>5</v>
      </c>
      <c r="AM1603" s="1">
        <v>2</v>
      </c>
      <c r="AN1603" s="1">
        <v>2</v>
      </c>
      <c r="AO1603" s="1">
        <v>1</v>
      </c>
      <c r="AP1603" s="1" t="s">
        <v>209</v>
      </c>
      <c r="AR1603" s="1" t="s">
        <v>210</v>
      </c>
      <c r="AS1603" s="1" t="s">
        <v>204</v>
      </c>
      <c r="AT1603" s="1" t="s">
        <v>211</v>
      </c>
      <c r="AU1603" s="1">
        <v>2</v>
      </c>
      <c r="AW1603" s="1" t="s">
        <v>204</v>
      </c>
      <c r="AX1603" s="1" t="s">
        <v>212</v>
      </c>
      <c r="AZ1603" s="1">
        <v>3201.26</v>
      </c>
      <c r="BA1603" s="1">
        <v>2012</v>
      </c>
      <c r="BB1603" s="1" t="s">
        <v>405</v>
      </c>
      <c r="BE1603" s="1">
        <v>1271</v>
      </c>
      <c r="BF1603" s="1">
        <v>1</v>
      </c>
      <c r="BG1603" s="1">
        <v>30</v>
      </c>
      <c r="BL1603" s="1">
        <v>234</v>
      </c>
      <c r="BM1603" s="1" t="s">
        <v>204</v>
      </c>
      <c r="BN1603" s="1" t="s">
        <v>213</v>
      </c>
      <c r="BO1603" s="1">
        <v>999</v>
      </c>
      <c r="BP1603" s="1" t="s">
        <v>204</v>
      </c>
      <c r="BR1603" s="1" t="str">
        <f>"01031030051004"</f>
        <v>01031030051004</v>
      </c>
      <c r="BT1603" s="1" t="s">
        <v>15434</v>
      </c>
      <c r="BU1603" s="1" t="s">
        <v>2216</v>
      </c>
      <c r="BV1603" s="1" t="s">
        <v>2217</v>
      </c>
      <c r="BW1603" s="1" t="s">
        <v>2218</v>
      </c>
      <c r="BX1603" s="1">
        <v>204</v>
      </c>
      <c r="BY1603" s="1">
        <v>204</v>
      </c>
      <c r="BZ1603" s="1">
        <v>204</v>
      </c>
      <c r="CB1603" s="1" t="str">
        <f t="shared" ref="CB1603:CC1603" si="1218">"0"</f>
        <v>0</v>
      </c>
      <c r="CC1603" s="1" t="str">
        <f t="shared" si="1218"/>
        <v>0</v>
      </c>
      <c r="CD1603" s="1">
        <v>29</v>
      </c>
      <c r="CE1603" s="1">
        <v>10</v>
      </c>
      <c r="CG1603" s="1" t="s">
        <v>602</v>
      </c>
      <c r="CH1603" s="1" t="s">
        <v>219</v>
      </c>
      <c r="CI1603" s="1" t="s">
        <v>220</v>
      </c>
      <c r="CJ1603" s="1" t="s">
        <v>252</v>
      </c>
      <c r="CK1603" s="1" t="s">
        <v>461</v>
      </c>
      <c r="CL1603" s="1" t="s">
        <v>277</v>
      </c>
      <c r="CM1603" s="1" t="s">
        <v>220</v>
      </c>
      <c r="CN1603" s="1" t="s">
        <v>252</v>
      </c>
      <c r="CO1603" s="1" t="s">
        <v>318</v>
      </c>
      <c r="CP1603" s="1" t="s">
        <v>219</v>
      </c>
      <c r="CQ1603" s="1" t="s">
        <v>220</v>
      </c>
      <c r="CR1603" s="1" t="s">
        <v>252</v>
      </c>
      <c r="CS1603" s="1" t="s">
        <v>318</v>
      </c>
      <c r="CT1603" s="1" t="s">
        <v>277</v>
      </c>
      <c r="CU1603" s="1" t="s">
        <v>220</v>
      </c>
      <c r="CV1603" s="1" t="s">
        <v>252</v>
      </c>
      <c r="CX1603" s="1" t="s">
        <v>224</v>
      </c>
      <c r="DB1603" s="1" t="s">
        <v>224</v>
      </c>
      <c r="DE1603" s="1" t="s">
        <v>2138</v>
      </c>
      <c r="DF1603" s="1" t="s">
        <v>219</v>
      </c>
      <c r="DG1603" s="1" t="s">
        <v>438</v>
      </c>
      <c r="DH1603" s="1" t="s">
        <v>210</v>
      </c>
      <c r="DJ1603" s="1" t="s">
        <v>224</v>
      </c>
      <c r="DL1603" s="1" t="s">
        <v>210</v>
      </c>
      <c r="DS1603" s="1" t="s">
        <v>230</v>
      </c>
      <c r="DW1603" s="1" t="s">
        <v>230</v>
      </c>
      <c r="EA1603" s="1" t="s">
        <v>230</v>
      </c>
      <c r="EE1603" s="1" t="s">
        <v>230</v>
      </c>
      <c r="EI1603" s="1" t="s">
        <v>230</v>
      </c>
      <c r="EL1603" s="1" t="s">
        <v>670</v>
      </c>
      <c r="EM1603" s="1" t="s">
        <v>232</v>
      </c>
      <c r="EN1603" s="1" t="s">
        <v>282</v>
      </c>
      <c r="EO1603" s="1" t="s">
        <v>234</v>
      </c>
      <c r="EP1603" s="1" t="s">
        <v>650</v>
      </c>
      <c r="EQ1603" s="1" t="s">
        <v>2188</v>
      </c>
      <c r="ER1603" s="1" t="s">
        <v>210</v>
      </c>
      <c r="ES1603" s="1" t="s">
        <v>322</v>
      </c>
      <c r="EU1603" s="1" t="s">
        <v>239</v>
      </c>
      <c r="EV1603" s="1" t="s">
        <v>240</v>
      </c>
      <c r="EW1603" s="1" t="s">
        <v>1804</v>
      </c>
      <c r="EY1603" s="1" t="s">
        <v>242</v>
      </c>
      <c r="EZ1603" s="1" t="s">
        <v>287</v>
      </c>
      <c r="FA1603" s="1" t="s">
        <v>4285</v>
      </c>
      <c r="FC1603" s="1" t="s">
        <v>548</v>
      </c>
      <c r="FD1603" s="1" t="s">
        <v>495</v>
      </c>
      <c r="FE1603" s="1" t="s">
        <v>472</v>
      </c>
      <c r="FF1603" s="1" t="s">
        <v>248</v>
      </c>
      <c r="FH1603" s="1" t="s">
        <v>550</v>
      </c>
      <c r="FI1603" s="1" t="s">
        <v>357</v>
      </c>
      <c r="FL1603" s="1" t="s">
        <v>358</v>
      </c>
      <c r="FM1603" s="1" t="s">
        <v>252</v>
      </c>
      <c r="FN1603" s="1" t="s">
        <v>213</v>
      </c>
      <c r="FO1603" s="1" t="s">
        <v>213</v>
      </c>
      <c r="FQ1603" s="1" t="s">
        <v>615</v>
      </c>
      <c r="FR1603" s="1" t="s">
        <v>210</v>
      </c>
      <c r="FS1603" s="1" t="s">
        <v>15435</v>
      </c>
      <c r="FT1603" s="1" t="s">
        <v>15436</v>
      </c>
      <c r="FU1603" s="1" t="s">
        <v>204</v>
      </c>
      <c r="FW1603" s="1" t="s">
        <v>943</v>
      </c>
      <c r="FX1603" s="1">
        <v>23120</v>
      </c>
      <c r="FY1603" s="1" t="s">
        <v>944</v>
      </c>
      <c r="FZ1603" s="1" t="s">
        <v>15437</v>
      </c>
      <c r="GA1603" s="1">
        <v>233957</v>
      </c>
      <c r="GB1603" s="1" t="s">
        <v>15438</v>
      </c>
      <c r="GE1603" s="1" t="s">
        <v>210</v>
      </c>
      <c r="GI1603" s="1" t="s">
        <v>213</v>
      </c>
      <c r="GJ1603" s="1" t="s">
        <v>260</v>
      </c>
      <c r="GK1603" s="1" t="s">
        <v>210</v>
      </c>
      <c r="GL1603" s="2">
        <v>41991</v>
      </c>
    </row>
    <row r="1604" spans="1:195">
      <c r="A1604" s="1">
        <v>140000</v>
      </c>
      <c r="B1604" s="1" t="s">
        <v>195</v>
      </c>
      <c r="C1604" s="1" t="str">
        <f>"08689198"</f>
        <v>08689198</v>
      </c>
      <c r="D1604" s="1" t="s">
        <v>196</v>
      </c>
      <c r="F1604" s="1" t="str">
        <f>"171"</f>
        <v>171</v>
      </c>
      <c r="G1604" s="2">
        <v>41851</v>
      </c>
      <c r="H1604" s="1">
        <v>149000</v>
      </c>
      <c r="I1604" s="1">
        <v>145000</v>
      </c>
      <c r="J1604" s="1">
        <v>140000</v>
      </c>
      <c r="K1604" s="2">
        <v>41850</v>
      </c>
      <c r="L1604" s="1">
        <v>22</v>
      </c>
      <c r="M1604" s="2">
        <v>41871</v>
      </c>
      <c r="N1604" s="1">
        <v>22</v>
      </c>
      <c r="O1604" s="2">
        <v>41871</v>
      </c>
      <c r="P1604" s="1">
        <v>18970</v>
      </c>
      <c r="Q1604" s="1" t="s">
        <v>197</v>
      </c>
      <c r="R1604" s="2">
        <v>42024</v>
      </c>
      <c r="S1604" s="1">
        <v>862804</v>
      </c>
      <c r="U1604" s="1">
        <v>8550</v>
      </c>
      <c r="V1604" s="1" t="s">
        <v>6871</v>
      </c>
      <c r="W1604" s="1" t="s">
        <v>425</v>
      </c>
      <c r="X1604" s="1">
        <v>202</v>
      </c>
      <c r="Y1604" s="1">
        <v>24</v>
      </c>
      <c r="Z1604" s="1" t="s">
        <v>249</v>
      </c>
      <c r="AA1604" s="1" t="s">
        <v>2365</v>
      </c>
      <c r="AB1604" s="1">
        <v>60171</v>
      </c>
      <c r="AD1604" s="1" t="s">
        <v>15439</v>
      </c>
      <c r="AE1604" s="1" t="s">
        <v>15440</v>
      </c>
      <c r="AF1604" s="1">
        <v>2005</v>
      </c>
      <c r="AG1604" s="1" t="s">
        <v>204</v>
      </c>
      <c r="AH1604" s="1" t="s">
        <v>2367</v>
      </c>
      <c r="AI1604" s="1" t="s">
        <v>310</v>
      </c>
      <c r="AJ1604" s="1" t="s">
        <v>311</v>
      </c>
      <c r="AL1604" s="1">
        <v>5</v>
      </c>
      <c r="AM1604" s="1">
        <v>2</v>
      </c>
      <c r="AN1604" s="1">
        <v>2</v>
      </c>
      <c r="AO1604" s="1">
        <v>0</v>
      </c>
      <c r="AP1604" s="1" t="s">
        <v>209</v>
      </c>
      <c r="AQ1604" s="1">
        <v>0</v>
      </c>
      <c r="AR1604" s="1" t="s">
        <v>210</v>
      </c>
      <c r="AS1604" s="1" t="s">
        <v>204</v>
      </c>
      <c r="AT1604" s="1" t="s">
        <v>211</v>
      </c>
      <c r="AU1604" s="1">
        <v>1</v>
      </c>
      <c r="AW1604" s="1" t="s">
        <v>204</v>
      </c>
      <c r="AX1604" s="1" t="s">
        <v>212</v>
      </c>
      <c r="AZ1604" s="1">
        <v>3829</v>
      </c>
      <c r="BA1604" s="1">
        <v>2012</v>
      </c>
      <c r="BC1604" s="1">
        <v>0</v>
      </c>
      <c r="BE1604" s="1">
        <v>0</v>
      </c>
      <c r="BF1604" s="1">
        <v>2</v>
      </c>
      <c r="BG1604" s="1">
        <v>10</v>
      </c>
      <c r="BK1604" s="1">
        <v>100</v>
      </c>
      <c r="BL1604" s="1">
        <v>260</v>
      </c>
      <c r="BM1604" s="1" t="s">
        <v>204</v>
      </c>
      <c r="BN1604" s="1" t="s">
        <v>213</v>
      </c>
      <c r="BO1604" s="1">
        <v>0</v>
      </c>
      <c r="BP1604" s="1" t="s">
        <v>204</v>
      </c>
      <c r="BR1604" s="1" t="str">
        <f>"12263020151002"</f>
        <v>12263020151002</v>
      </c>
      <c r="BT1604" s="1" t="s">
        <v>15441</v>
      </c>
      <c r="BX1604" s="1">
        <v>84.5</v>
      </c>
      <c r="BY1604" s="1">
        <v>84.5</v>
      </c>
      <c r="BZ1604" s="1">
        <v>212</v>
      </c>
      <c r="CB1604" s="1" t="str">
        <f>"2500"</f>
        <v>2500</v>
      </c>
      <c r="CC1604" s="1" t="str">
        <f>"0"</f>
        <v>0</v>
      </c>
      <c r="CD1604" s="1">
        <v>8550</v>
      </c>
      <c r="CE1604" s="1">
        <v>0</v>
      </c>
      <c r="CG1604" s="1" t="s">
        <v>3035</v>
      </c>
      <c r="CH1604" s="1" t="s">
        <v>277</v>
      </c>
      <c r="CI1604" s="1" t="s">
        <v>220</v>
      </c>
      <c r="CJ1604" s="1" t="s">
        <v>210</v>
      </c>
      <c r="CK1604" s="1" t="s">
        <v>932</v>
      </c>
      <c r="CL1604" s="1" t="s">
        <v>277</v>
      </c>
      <c r="CM1604" s="1" t="s">
        <v>220</v>
      </c>
      <c r="CN1604" s="1" t="s">
        <v>210</v>
      </c>
      <c r="CO1604" s="1" t="s">
        <v>629</v>
      </c>
      <c r="CP1604" s="1" t="s">
        <v>277</v>
      </c>
      <c r="CQ1604" s="1" t="s">
        <v>220</v>
      </c>
      <c r="CR1604" s="1" t="s">
        <v>210</v>
      </c>
      <c r="CS1604" s="1" t="s">
        <v>1046</v>
      </c>
      <c r="CT1604" s="1" t="s">
        <v>277</v>
      </c>
      <c r="CU1604" s="1" t="s">
        <v>220</v>
      </c>
      <c r="CV1604" s="1" t="s">
        <v>210</v>
      </c>
      <c r="CX1604" s="1" t="s">
        <v>224</v>
      </c>
      <c r="DB1604" s="1" t="s">
        <v>224</v>
      </c>
      <c r="DE1604" s="1" t="s">
        <v>1534</v>
      </c>
      <c r="DF1604" s="1" t="s">
        <v>277</v>
      </c>
      <c r="DG1604" s="1" t="s">
        <v>226</v>
      </c>
      <c r="DH1604" s="1" t="s">
        <v>210</v>
      </c>
      <c r="DJ1604" s="1" t="s">
        <v>224</v>
      </c>
      <c r="DL1604" s="1" t="s">
        <v>210</v>
      </c>
      <c r="DS1604" s="1" t="s">
        <v>230</v>
      </c>
      <c r="DW1604" s="1" t="s">
        <v>230</v>
      </c>
      <c r="EA1604" s="1" t="s">
        <v>230</v>
      </c>
      <c r="EE1604" s="1" t="s">
        <v>230</v>
      </c>
      <c r="EI1604" s="1" t="s">
        <v>230</v>
      </c>
      <c r="EL1604" s="1" t="s">
        <v>491</v>
      </c>
      <c r="EM1604" s="1" t="s">
        <v>319</v>
      </c>
      <c r="EN1604" s="1" t="s">
        <v>282</v>
      </c>
      <c r="EO1604" s="1" t="s">
        <v>234</v>
      </c>
      <c r="EP1604" s="1" t="s">
        <v>10476</v>
      </c>
      <c r="EQ1604" s="1" t="s">
        <v>492</v>
      </c>
      <c r="ER1604" s="1" t="s">
        <v>210</v>
      </c>
      <c r="ES1604" s="1" t="s">
        <v>322</v>
      </c>
      <c r="EV1604" s="1" t="s">
        <v>240</v>
      </c>
      <c r="EW1604" s="1" t="s">
        <v>2344</v>
      </c>
      <c r="EY1604" s="1" t="s">
        <v>242</v>
      </c>
      <c r="EZ1604" s="1" t="s">
        <v>287</v>
      </c>
      <c r="FA1604" s="1" t="s">
        <v>15442</v>
      </c>
      <c r="FD1604" s="1" t="s">
        <v>1649</v>
      </c>
      <c r="FE1604" s="1" t="s">
        <v>247</v>
      </c>
      <c r="FF1604" s="1" t="s">
        <v>248</v>
      </c>
      <c r="FH1604" s="1" t="s">
        <v>249</v>
      </c>
      <c r="FI1604" s="1" t="s">
        <v>357</v>
      </c>
      <c r="FL1604" s="1" t="s">
        <v>414</v>
      </c>
      <c r="FM1604" s="1" t="s">
        <v>252</v>
      </c>
      <c r="FN1604" s="1" t="s">
        <v>213</v>
      </c>
      <c r="FO1604" s="1" t="s">
        <v>204</v>
      </c>
      <c r="FQ1604" s="1" t="s">
        <v>4743</v>
      </c>
      <c r="FR1604" s="1" t="s">
        <v>360</v>
      </c>
      <c r="FS1604" s="1" t="s">
        <v>15443</v>
      </c>
      <c r="FT1604" s="1" t="s">
        <v>295</v>
      </c>
      <c r="FU1604" s="1" t="s">
        <v>204</v>
      </c>
      <c r="FW1604" s="1" t="s">
        <v>1702</v>
      </c>
      <c r="FX1604" s="1">
        <v>17299</v>
      </c>
      <c r="FY1604" s="1" t="s">
        <v>1703</v>
      </c>
      <c r="FZ1604" s="1" t="s">
        <v>15444</v>
      </c>
      <c r="GA1604" s="1">
        <v>114854</v>
      </c>
      <c r="GB1604" s="1" t="s">
        <v>15445</v>
      </c>
      <c r="GE1604" s="1" t="s">
        <v>1333</v>
      </c>
      <c r="GH1604" s="1" t="s">
        <v>589</v>
      </c>
      <c r="GI1604" s="1" t="s">
        <v>213</v>
      </c>
      <c r="GJ1604" s="1" t="s">
        <v>260</v>
      </c>
      <c r="GK1604" s="1" t="s">
        <v>210</v>
      </c>
      <c r="GL1604" s="2">
        <v>42028</v>
      </c>
      <c r="GM1604" s="1" t="s">
        <v>15446</v>
      </c>
    </row>
    <row r="1605" spans="1:195">
      <c r="A1605" s="1">
        <v>110000</v>
      </c>
      <c r="B1605" s="1" t="s">
        <v>195</v>
      </c>
      <c r="C1605" s="1" t="str">
        <f>"08715011"</f>
        <v>08715011</v>
      </c>
      <c r="D1605" s="1" t="s">
        <v>196</v>
      </c>
      <c r="F1605" s="1" t="str">
        <f>"73"</f>
        <v>73</v>
      </c>
      <c r="G1605" s="2">
        <v>41880</v>
      </c>
      <c r="H1605" s="1">
        <v>100000</v>
      </c>
      <c r="I1605" s="1">
        <v>100000</v>
      </c>
      <c r="J1605" s="1">
        <v>110000</v>
      </c>
      <c r="K1605" s="2">
        <v>41880</v>
      </c>
      <c r="L1605" s="1">
        <v>100</v>
      </c>
      <c r="M1605" s="2">
        <v>41979</v>
      </c>
      <c r="N1605" s="1">
        <v>100</v>
      </c>
      <c r="O1605" s="2">
        <v>41979</v>
      </c>
      <c r="P1605" s="1">
        <v>2626</v>
      </c>
      <c r="Q1605" s="1" t="s">
        <v>197</v>
      </c>
      <c r="R1605" s="2">
        <v>42061</v>
      </c>
      <c r="S1605" s="1">
        <v>18760</v>
      </c>
      <c r="U1605" s="1">
        <v>292</v>
      </c>
      <c r="V1605" s="1" t="s">
        <v>15447</v>
      </c>
      <c r="W1605" s="1" t="s">
        <v>504</v>
      </c>
      <c r="Y1605" s="1">
        <v>2</v>
      </c>
      <c r="Z1605" s="1" t="s">
        <v>200</v>
      </c>
      <c r="AA1605" s="1" t="s">
        <v>1259</v>
      </c>
      <c r="AB1605" s="1">
        <v>60073</v>
      </c>
      <c r="AE1605" s="1" t="s">
        <v>15448</v>
      </c>
      <c r="AF1605" s="1">
        <v>2004</v>
      </c>
      <c r="AG1605" s="1" t="s">
        <v>204</v>
      </c>
      <c r="AH1605" s="1" t="s">
        <v>1262</v>
      </c>
      <c r="AI1605" s="1" t="s">
        <v>509</v>
      </c>
      <c r="AJ1605" s="1" t="s">
        <v>9736</v>
      </c>
      <c r="AL1605" s="1">
        <v>5</v>
      </c>
      <c r="AM1605" s="1">
        <v>2</v>
      </c>
      <c r="AN1605" s="1">
        <v>2</v>
      </c>
      <c r="AO1605" s="1">
        <v>1</v>
      </c>
      <c r="AP1605" s="1" t="s">
        <v>209</v>
      </c>
      <c r="AR1605" s="1" t="s">
        <v>210</v>
      </c>
      <c r="AS1605" s="1" t="s">
        <v>204</v>
      </c>
      <c r="AT1605" s="1" t="s">
        <v>211</v>
      </c>
      <c r="AU1605" s="1">
        <v>2</v>
      </c>
      <c r="AW1605" s="1" t="s">
        <v>204</v>
      </c>
      <c r="AX1605" s="1" t="s">
        <v>15449</v>
      </c>
      <c r="AZ1605" s="1">
        <v>5121</v>
      </c>
      <c r="BA1605" s="1">
        <v>2013</v>
      </c>
      <c r="BB1605" s="1" t="s">
        <v>405</v>
      </c>
      <c r="BE1605" s="1">
        <v>1288</v>
      </c>
      <c r="BF1605" s="1">
        <v>1</v>
      </c>
      <c r="BG1605" s="1">
        <v>0</v>
      </c>
      <c r="BL1605" s="1">
        <v>418</v>
      </c>
      <c r="BM1605" s="1" t="s">
        <v>204</v>
      </c>
      <c r="BN1605" s="1" t="s">
        <v>213</v>
      </c>
      <c r="BO1605" s="1">
        <v>100</v>
      </c>
      <c r="BP1605" s="1" t="s">
        <v>204</v>
      </c>
      <c r="BR1605" s="1" t="str">
        <f>"10082030330000"</f>
        <v>10082030330000</v>
      </c>
      <c r="BT1605" s="1" t="s">
        <v>15450</v>
      </c>
      <c r="BX1605" s="1">
        <v>79</v>
      </c>
      <c r="BY1605" s="1">
        <v>79</v>
      </c>
      <c r="BZ1605" s="1">
        <v>120</v>
      </c>
      <c r="CB1605" s="1" t="str">
        <f t="shared" ref="CB1605:CC1605" si="1219">""</f>
        <v/>
      </c>
      <c r="CC1605" s="1" t="str">
        <f t="shared" si="1219"/>
        <v/>
      </c>
      <c r="CG1605" s="1" t="s">
        <v>228</v>
      </c>
      <c r="CH1605" s="1" t="s">
        <v>219</v>
      </c>
      <c r="CK1605" s="1" t="s">
        <v>932</v>
      </c>
      <c r="CL1605" s="1" t="s">
        <v>277</v>
      </c>
      <c r="CO1605" s="1" t="s">
        <v>630</v>
      </c>
      <c r="CP1605" s="1" t="s">
        <v>219</v>
      </c>
      <c r="CS1605" s="1" t="s">
        <v>346</v>
      </c>
      <c r="CT1605" s="1" t="s">
        <v>277</v>
      </c>
      <c r="CX1605" s="1" t="s">
        <v>224</v>
      </c>
      <c r="DB1605" s="1" t="s">
        <v>224</v>
      </c>
      <c r="DE1605" s="1" t="s">
        <v>378</v>
      </c>
      <c r="DF1605" s="1" t="s">
        <v>219</v>
      </c>
      <c r="DJ1605" s="1" t="s">
        <v>224</v>
      </c>
      <c r="DS1605" s="1" t="s">
        <v>230</v>
      </c>
      <c r="DW1605" s="1" t="s">
        <v>230</v>
      </c>
      <c r="EA1605" s="1" t="s">
        <v>230</v>
      </c>
      <c r="EE1605" s="1" t="s">
        <v>230</v>
      </c>
      <c r="EI1605" s="1" t="s">
        <v>230</v>
      </c>
      <c r="EL1605" s="1" t="s">
        <v>491</v>
      </c>
      <c r="EM1605" s="1" t="s">
        <v>319</v>
      </c>
      <c r="EN1605" s="1" t="s">
        <v>282</v>
      </c>
      <c r="EO1605" s="1" t="s">
        <v>234</v>
      </c>
      <c r="ER1605" s="1" t="s">
        <v>210</v>
      </c>
      <c r="EU1605" s="1" t="s">
        <v>546</v>
      </c>
      <c r="EW1605" s="1" t="s">
        <v>3471</v>
      </c>
      <c r="EZ1605" s="1" t="s">
        <v>287</v>
      </c>
      <c r="FD1605" s="1" t="s">
        <v>246</v>
      </c>
      <c r="FE1605" s="1" t="s">
        <v>1031</v>
      </c>
      <c r="FF1605" s="1" t="s">
        <v>248</v>
      </c>
      <c r="FH1605" s="1" t="s">
        <v>550</v>
      </c>
      <c r="FL1605" s="1" t="s">
        <v>358</v>
      </c>
      <c r="FM1605" s="1" t="s">
        <v>252</v>
      </c>
      <c r="FN1605" s="1" t="s">
        <v>213</v>
      </c>
      <c r="FO1605" s="1" t="s">
        <v>213</v>
      </c>
      <c r="FQ1605" s="1" t="s">
        <v>15451</v>
      </c>
      <c r="FR1605" s="1" t="s">
        <v>360</v>
      </c>
      <c r="FS1605" s="1" t="s">
        <v>15452</v>
      </c>
      <c r="FT1605" s="1" t="s">
        <v>295</v>
      </c>
      <c r="FU1605" s="1" t="s">
        <v>204</v>
      </c>
      <c r="FW1605" s="1" t="s">
        <v>1637</v>
      </c>
      <c r="FX1605" s="1">
        <v>2626</v>
      </c>
      <c r="FY1605" s="1" t="s">
        <v>1638</v>
      </c>
      <c r="FZ1605" s="1" t="s">
        <v>1639</v>
      </c>
      <c r="GA1605" s="1">
        <v>20160</v>
      </c>
      <c r="GB1605" s="1" t="s">
        <v>1640</v>
      </c>
      <c r="GE1605" s="1" t="s">
        <v>480</v>
      </c>
      <c r="GI1605" s="1" t="s">
        <v>213</v>
      </c>
      <c r="GJ1605" s="1" t="s">
        <v>260</v>
      </c>
      <c r="GK1605" s="1" t="s">
        <v>210</v>
      </c>
      <c r="GL1605" s="2">
        <v>42065</v>
      </c>
      <c r="GM1605" s="1" t="s">
        <v>15453</v>
      </c>
    </row>
    <row r="1606" spans="1:195">
      <c r="A1606" s="1">
        <v>143425</v>
      </c>
      <c r="B1606" s="1" t="s">
        <v>195</v>
      </c>
      <c r="C1606" s="1" t="str">
        <f>"08687741"</f>
        <v>08687741</v>
      </c>
      <c r="D1606" s="1" t="s">
        <v>196</v>
      </c>
      <c r="F1606" s="1" t="str">
        <f>"30"</f>
        <v>30</v>
      </c>
      <c r="G1606" s="2">
        <v>41850</v>
      </c>
      <c r="H1606" s="1">
        <v>159000</v>
      </c>
      <c r="I1606" s="1">
        <v>149000</v>
      </c>
      <c r="J1606" s="1">
        <v>143425</v>
      </c>
      <c r="K1606" s="2">
        <v>41850</v>
      </c>
      <c r="L1606" s="1">
        <v>126</v>
      </c>
      <c r="M1606" s="2">
        <v>41975</v>
      </c>
      <c r="N1606" s="1">
        <v>126</v>
      </c>
      <c r="O1606" s="2">
        <v>41975</v>
      </c>
      <c r="P1606" s="1">
        <v>2700</v>
      </c>
      <c r="Q1606" s="1" t="s">
        <v>423</v>
      </c>
      <c r="R1606" s="2">
        <v>42020</v>
      </c>
      <c r="S1606" s="1">
        <v>20001</v>
      </c>
      <c r="T1606" s="1">
        <v>1500</v>
      </c>
      <c r="U1606" s="1">
        <v>596</v>
      </c>
      <c r="V1606" s="1" t="s">
        <v>15454</v>
      </c>
      <c r="W1606" s="1" t="s">
        <v>264</v>
      </c>
      <c r="Y1606" s="1">
        <v>4</v>
      </c>
      <c r="Z1606" s="1" t="s">
        <v>370</v>
      </c>
      <c r="AA1606" s="1" t="s">
        <v>1834</v>
      </c>
      <c r="AB1606" s="1">
        <v>60030</v>
      </c>
      <c r="AD1606" s="1" t="s">
        <v>14222</v>
      </c>
      <c r="AE1606" s="1" t="s">
        <v>15455</v>
      </c>
      <c r="AF1606" s="1">
        <v>2001</v>
      </c>
      <c r="AG1606" s="1" t="s">
        <v>204</v>
      </c>
      <c r="AH1606" s="1" t="s">
        <v>1837</v>
      </c>
      <c r="AI1606" s="1" t="s">
        <v>509</v>
      </c>
      <c r="AJ1606" s="1" t="s">
        <v>1263</v>
      </c>
      <c r="AK1606" s="1" t="s">
        <v>12427</v>
      </c>
      <c r="AL1606" s="1">
        <v>7</v>
      </c>
      <c r="AM1606" s="1">
        <v>2</v>
      </c>
      <c r="AN1606" s="1">
        <v>2</v>
      </c>
      <c r="AO1606" s="1">
        <v>1</v>
      </c>
      <c r="AP1606" s="1" t="s">
        <v>209</v>
      </c>
      <c r="AR1606" s="1" t="s">
        <v>210</v>
      </c>
      <c r="AT1606" s="1" t="s">
        <v>211</v>
      </c>
      <c r="AU1606" s="1">
        <v>2</v>
      </c>
      <c r="AW1606" s="1" t="s">
        <v>204</v>
      </c>
      <c r="AX1606" s="1" t="s">
        <v>15456</v>
      </c>
      <c r="AZ1606" s="1">
        <v>6362</v>
      </c>
      <c r="BA1606" s="1">
        <v>2013</v>
      </c>
      <c r="BB1606" s="1" t="s">
        <v>405</v>
      </c>
      <c r="BE1606" s="1">
        <v>1880</v>
      </c>
      <c r="BF1606" s="1">
        <v>1</v>
      </c>
      <c r="BG1606" s="1">
        <v>0</v>
      </c>
      <c r="BL1606" s="1">
        <v>211</v>
      </c>
      <c r="BM1606" s="1" t="s">
        <v>204</v>
      </c>
      <c r="BN1606" s="1" t="s">
        <v>213</v>
      </c>
      <c r="BO1606" s="1">
        <v>999</v>
      </c>
      <c r="BP1606" s="1" t="s">
        <v>204</v>
      </c>
      <c r="BR1606" s="1" t="str">
        <f>"06262190440000"</f>
        <v>06262190440000</v>
      </c>
      <c r="BT1606" s="1" t="s">
        <v>15457</v>
      </c>
      <c r="BU1606" s="1" t="s">
        <v>14227</v>
      </c>
      <c r="BV1606" s="1" t="s">
        <v>1842</v>
      </c>
      <c r="BW1606" s="1" t="s">
        <v>2737</v>
      </c>
      <c r="BX1606" s="1">
        <v>46</v>
      </c>
      <c r="BY1606" s="1">
        <v>46</v>
      </c>
      <c r="BZ1606" s="1">
        <v>127</v>
      </c>
      <c r="CB1606" s="1" t="str">
        <f t="shared" ref="CB1606:CC1606" si="1220">""</f>
        <v/>
      </c>
      <c r="CC1606" s="1" t="str">
        <f t="shared" si="1220"/>
        <v/>
      </c>
      <c r="CG1606" s="1" t="s">
        <v>221</v>
      </c>
      <c r="CH1606" s="1" t="s">
        <v>219</v>
      </c>
      <c r="CI1606" s="1" t="s">
        <v>220</v>
      </c>
      <c r="CJ1606" s="1" t="s">
        <v>252</v>
      </c>
      <c r="CK1606" s="1" t="s">
        <v>1155</v>
      </c>
      <c r="CL1606" s="1" t="s">
        <v>277</v>
      </c>
      <c r="CM1606" s="1" t="s">
        <v>220</v>
      </c>
      <c r="CN1606" s="1" t="s">
        <v>252</v>
      </c>
      <c r="CO1606" s="1" t="s">
        <v>317</v>
      </c>
      <c r="CP1606" s="1" t="s">
        <v>219</v>
      </c>
      <c r="CQ1606" s="1" t="s">
        <v>220</v>
      </c>
      <c r="CR1606" s="1" t="s">
        <v>252</v>
      </c>
      <c r="CS1606" s="1" t="s">
        <v>317</v>
      </c>
      <c r="CT1606" s="1" t="s">
        <v>277</v>
      </c>
      <c r="CU1606" s="1" t="s">
        <v>220</v>
      </c>
      <c r="CV1606" s="1" t="s">
        <v>252</v>
      </c>
      <c r="CX1606" s="1" t="s">
        <v>224</v>
      </c>
      <c r="DB1606" s="1" t="s">
        <v>224</v>
      </c>
      <c r="DE1606" s="1" t="s">
        <v>465</v>
      </c>
      <c r="DF1606" s="1" t="s">
        <v>219</v>
      </c>
      <c r="DG1606" s="1" t="s">
        <v>342</v>
      </c>
      <c r="DI1606" s="1" t="s">
        <v>315</v>
      </c>
      <c r="DJ1606" s="1" t="s">
        <v>219</v>
      </c>
      <c r="DK1606" s="1" t="s">
        <v>220</v>
      </c>
      <c r="DL1606" s="1" t="s">
        <v>252</v>
      </c>
      <c r="DM1606" s="1" t="s">
        <v>464</v>
      </c>
      <c r="DR1606" s="1" t="s">
        <v>1297</v>
      </c>
      <c r="DS1606" s="1" t="s">
        <v>277</v>
      </c>
      <c r="DT1606" s="1" t="s">
        <v>220</v>
      </c>
      <c r="DU1606" s="1" t="s">
        <v>252</v>
      </c>
      <c r="DW1606" s="1" t="s">
        <v>230</v>
      </c>
      <c r="EA1606" s="1" t="s">
        <v>230</v>
      </c>
      <c r="EE1606" s="1" t="s">
        <v>230</v>
      </c>
      <c r="EI1606" s="1" t="s">
        <v>230</v>
      </c>
      <c r="EL1606" s="1" t="s">
        <v>466</v>
      </c>
      <c r="EM1606" s="1" t="s">
        <v>319</v>
      </c>
      <c r="EN1606" s="1" t="s">
        <v>282</v>
      </c>
      <c r="EO1606" s="1" t="s">
        <v>234</v>
      </c>
      <c r="EP1606" s="1" t="s">
        <v>15458</v>
      </c>
      <c r="EQ1606" s="1" t="s">
        <v>1094</v>
      </c>
      <c r="ER1606" s="1" t="s">
        <v>210</v>
      </c>
      <c r="ES1606" s="1" t="s">
        <v>608</v>
      </c>
      <c r="ET1606" s="1" t="s">
        <v>1404</v>
      </c>
      <c r="EU1606" s="1" t="s">
        <v>712</v>
      </c>
      <c r="EV1606" s="1" t="s">
        <v>324</v>
      </c>
      <c r="EW1606" s="1" t="s">
        <v>8863</v>
      </c>
      <c r="EY1606" s="1" t="s">
        <v>242</v>
      </c>
      <c r="EZ1606" s="1" t="s">
        <v>464</v>
      </c>
      <c r="FA1606" s="1" t="s">
        <v>714</v>
      </c>
      <c r="FB1606" s="1" t="s">
        <v>289</v>
      </c>
      <c r="FD1606" s="1" t="s">
        <v>246</v>
      </c>
      <c r="FE1606" s="1" t="s">
        <v>765</v>
      </c>
      <c r="FF1606" s="1" t="s">
        <v>248</v>
      </c>
      <c r="FH1606" s="1" t="s">
        <v>550</v>
      </c>
      <c r="FI1606" s="1" t="s">
        <v>473</v>
      </c>
      <c r="FL1606" s="1" t="s">
        <v>358</v>
      </c>
      <c r="FM1606" s="1" t="s">
        <v>252</v>
      </c>
      <c r="FN1606" s="1" t="s">
        <v>213</v>
      </c>
      <c r="FO1606" s="1" t="s">
        <v>213</v>
      </c>
      <c r="FQ1606" s="1" t="s">
        <v>15459</v>
      </c>
      <c r="FR1606" s="1" t="s">
        <v>210</v>
      </c>
      <c r="FS1606" s="1" t="s">
        <v>443</v>
      </c>
      <c r="FT1606" s="1" t="s">
        <v>1139</v>
      </c>
      <c r="FU1606" s="1" t="s">
        <v>204</v>
      </c>
      <c r="FW1606" s="1" t="s">
        <v>1275</v>
      </c>
      <c r="FX1606" s="1">
        <v>2700</v>
      </c>
      <c r="FY1606" s="1" t="s">
        <v>1276</v>
      </c>
      <c r="FZ1606" s="1" t="s">
        <v>14230</v>
      </c>
      <c r="GA1606" s="1">
        <v>19245</v>
      </c>
      <c r="GB1606" s="1" t="s">
        <v>14231</v>
      </c>
      <c r="GE1606" s="1" t="s">
        <v>1256</v>
      </c>
      <c r="GI1606" s="1" t="s">
        <v>213</v>
      </c>
      <c r="GJ1606" s="1" t="s">
        <v>260</v>
      </c>
      <c r="GK1606" s="1" t="s">
        <v>1413</v>
      </c>
      <c r="GL1606" s="2">
        <v>42020</v>
      </c>
    </row>
    <row r="1607" spans="1:195">
      <c r="A1607" s="1">
        <v>240000</v>
      </c>
      <c r="B1607" s="1" t="s">
        <v>195</v>
      </c>
      <c r="C1607" s="1" t="str">
        <f>"08697068"</f>
        <v>08697068</v>
      </c>
      <c r="D1607" s="1" t="s">
        <v>196</v>
      </c>
      <c r="F1607" s="1" t="str">
        <f t="shared" ref="F1607:F1608" si="1221">"187"</f>
        <v>187</v>
      </c>
      <c r="G1607" s="2">
        <v>41859</v>
      </c>
      <c r="H1607" s="1">
        <v>312900</v>
      </c>
      <c r="I1607" s="1">
        <v>252000</v>
      </c>
      <c r="J1607" s="1">
        <v>240000</v>
      </c>
      <c r="K1607" s="2">
        <v>41859</v>
      </c>
      <c r="L1607" s="1">
        <v>172</v>
      </c>
      <c r="M1607" s="2">
        <v>42030</v>
      </c>
      <c r="N1607" s="1">
        <v>172</v>
      </c>
      <c r="O1607" s="2">
        <v>42030</v>
      </c>
      <c r="P1607" s="1">
        <v>25279</v>
      </c>
      <c r="Q1607" s="1" t="s">
        <v>302</v>
      </c>
      <c r="R1607" s="2">
        <v>42062</v>
      </c>
      <c r="S1607" s="1">
        <v>253689</v>
      </c>
      <c r="U1607" s="1">
        <v>910</v>
      </c>
      <c r="V1607" s="1" t="s">
        <v>1323</v>
      </c>
      <c r="W1607" s="1" t="s">
        <v>264</v>
      </c>
      <c r="Y1607" s="1">
        <v>6</v>
      </c>
      <c r="Z1607" s="1" t="s">
        <v>370</v>
      </c>
      <c r="AA1607" s="1" t="s">
        <v>964</v>
      </c>
      <c r="AB1607" s="1">
        <v>60189</v>
      </c>
      <c r="AD1607" s="1" t="s">
        <v>1354</v>
      </c>
      <c r="AE1607" s="1" t="s">
        <v>15460</v>
      </c>
      <c r="AF1607" s="1">
        <v>1985</v>
      </c>
      <c r="AG1607" s="1" t="s">
        <v>204</v>
      </c>
      <c r="AH1607" s="1" t="s">
        <v>967</v>
      </c>
      <c r="AI1607" s="1" t="s">
        <v>206</v>
      </c>
      <c r="AJ1607" s="1" t="s">
        <v>207</v>
      </c>
      <c r="AK1607" s="1" t="s">
        <v>15461</v>
      </c>
      <c r="AL1607" s="1">
        <v>6</v>
      </c>
      <c r="AM1607" s="1">
        <v>2</v>
      </c>
      <c r="AN1607" s="1">
        <v>2</v>
      </c>
      <c r="AO1607" s="1">
        <v>0</v>
      </c>
      <c r="AP1607" s="1" t="s">
        <v>209</v>
      </c>
      <c r="AQ1607" s="1">
        <v>1</v>
      </c>
      <c r="AR1607" s="1" t="s">
        <v>209</v>
      </c>
      <c r="AS1607" s="1" t="s">
        <v>204</v>
      </c>
      <c r="AT1607" s="1" t="s">
        <v>211</v>
      </c>
      <c r="AU1607" s="1">
        <v>2</v>
      </c>
      <c r="AW1607" s="1" t="s">
        <v>204</v>
      </c>
      <c r="AX1607" s="1" t="s">
        <v>212</v>
      </c>
      <c r="AZ1607" s="1">
        <v>6590</v>
      </c>
      <c r="BA1607" s="1">
        <v>2013</v>
      </c>
      <c r="BE1607" s="1">
        <v>1613</v>
      </c>
      <c r="BF1607" s="1">
        <v>1</v>
      </c>
      <c r="BG1607" s="1">
        <v>0</v>
      </c>
      <c r="BJ1607" s="1">
        <v>100</v>
      </c>
      <c r="BL1607" s="1">
        <v>782</v>
      </c>
      <c r="BM1607" s="1" t="s">
        <v>204</v>
      </c>
      <c r="BN1607" s="1" t="s">
        <v>213</v>
      </c>
      <c r="BO1607" s="1">
        <v>99</v>
      </c>
      <c r="BP1607" s="1" t="s">
        <v>204</v>
      </c>
      <c r="BR1607" s="1" t="str">
        <f>"0519210081"</f>
        <v>0519210081</v>
      </c>
      <c r="BT1607" s="1" t="s">
        <v>15462</v>
      </c>
      <c r="BU1607" s="1" t="s">
        <v>1327</v>
      </c>
      <c r="BV1607" s="1" t="s">
        <v>990</v>
      </c>
      <c r="BW1607" s="1" t="s">
        <v>971</v>
      </c>
      <c r="BX1607" s="1">
        <v>200</v>
      </c>
      <c r="BY1607" s="1">
        <v>200</v>
      </c>
      <c r="BZ1607" s="1">
        <v>200</v>
      </c>
      <c r="CB1607" s="1" t="str">
        <f t="shared" ref="CB1607:CC1607" si="1222">"0"</f>
        <v>0</v>
      </c>
      <c r="CC1607" s="1" t="str">
        <f t="shared" si="1222"/>
        <v>0</v>
      </c>
      <c r="CD1607" s="1">
        <v>26</v>
      </c>
      <c r="CE1607" s="1">
        <v>1</v>
      </c>
      <c r="CG1607" s="1" t="s">
        <v>1155</v>
      </c>
      <c r="CH1607" s="1" t="s">
        <v>219</v>
      </c>
      <c r="CK1607" s="1" t="s">
        <v>932</v>
      </c>
      <c r="CL1607" s="1" t="s">
        <v>219</v>
      </c>
      <c r="CO1607" s="1" t="s">
        <v>465</v>
      </c>
      <c r="CP1607" s="1" t="s">
        <v>219</v>
      </c>
      <c r="CS1607" s="1" t="s">
        <v>461</v>
      </c>
      <c r="CT1607" s="1" t="s">
        <v>219</v>
      </c>
      <c r="CX1607" s="1" t="s">
        <v>224</v>
      </c>
      <c r="DB1607" s="1" t="s">
        <v>224</v>
      </c>
      <c r="DE1607" s="1" t="s">
        <v>280</v>
      </c>
      <c r="DF1607" s="1" t="s">
        <v>219</v>
      </c>
      <c r="DI1607" s="1" t="s">
        <v>1155</v>
      </c>
      <c r="DJ1607" s="1" t="s">
        <v>219</v>
      </c>
      <c r="DM1607" s="1" t="s">
        <v>709</v>
      </c>
      <c r="DR1607" s="1" t="s">
        <v>3888</v>
      </c>
      <c r="DS1607" s="1" t="s">
        <v>219</v>
      </c>
      <c r="DW1607" s="1" t="s">
        <v>230</v>
      </c>
      <c r="EA1607" s="1" t="s">
        <v>230</v>
      </c>
      <c r="EE1607" s="1" t="s">
        <v>230</v>
      </c>
      <c r="EI1607" s="1" t="s">
        <v>230</v>
      </c>
      <c r="EL1607" s="1" t="s">
        <v>542</v>
      </c>
      <c r="EM1607" s="1" t="s">
        <v>232</v>
      </c>
      <c r="EN1607" s="1" t="s">
        <v>282</v>
      </c>
      <c r="EO1607" s="1" t="s">
        <v>234</v>
      </c>
      <c r="EP1607" s="1" t="s">
        <v>2289</v>
      </c>
      <c r="ER1607" s="1" t="s">
        <v>1249</v>
      </c>
      <c r="ES1607" s="1" t="s">
        <v>608</v>
      </c>
      <c r="ET1607" s="1" t="s">
        <v>323</v>
      </c>
      <c r="EU1607" s="1" t="s">
        <v>712</v>
      </c>
      <c r="EV1607" s="1" t="s">
        <v>324</v>
      </c>
      <c r="EW1607" s="1" t="s">
        <v>353</v>
      </c>
      <c r="EY1607" s="1" t="s">
        <v>4650</v>
      </c>
      <c r="EZ1607" s="1" t="s">
        <v>709</v>
      </c>
      <c r="FB1607" s="1" t="s">
        <v>734</v>
      </c>
      <c r="FC1607" s="1" t="s">
        <v>326</v>
      </c>
      <c r="FD1607" s="1" t="s">
        <v>246</v>
      </c>
      <c r="FE1607" s="1" t="s">
        <v>247</v>
      </c>
      <c r="FF1607" s="1" t="s">
        <v>248</v>
      </c>
      <c r="FH1607" s="1" t="s">
        <v>825</v>
      </c>
      <c r="FL1607" s="1" t="s">
        <v>358</v>
      </c>
      <c r="FM1607" s="1" t="s">
        <v>252</v>
      </c>
      <c r="FN1607" s="1" t="s">
        <v>213</v>
      </c>
      <c r="FO1607" s="1" t="s">
        <v>213</v>
      </c>
      <c r="FQ1607" s="1" t="s">
        <v>582</v>
      </c>
      <c r="FR1607" s="1" t="s">
        <v>210</v>
      </c>
      <c r="FS1607" s="1" t="s">
        <v>5145</v>
      </c>
      <c r="FT1607" s="1" t="s">
        <v>362</v>
      </c>
      <c r="FU1607" s="1" t="s">
        <v>204</v>
      </c>
      <c r="FW1607" s="1" t="s">
        <v>1050</v>
      </c>
      <c r="FX1607" s="1">
        <v>23025</v>
      </c>
      <c r="FY1607" s="1" t="s">
        <v>1051</v>
      </c>
      <c r="FZ1607" s="1" t="s">
        <v>1052</v>
      </c>
      <c r="GA1607" s="1">
        <v>233762</v>
      </c>
      <c r="GB1607" s="1" t="s">
        <v>1053</v>
      </c>
      <c r="GE1607" s="1" t="s">
        <v>1576</v>
      </c>
      <c r="GI1607" s="1" t="s">
        <v>213</v>
      </c>
      <c r="GJ1607" s="1" t="s">
        <v>260</v>
      </c>
      <c r="GK1607" s="1" t="s">
        <v>210</v>
      </c>
      <c r="GL1607" s="2">
        <v>42062</v>
      </c>
      <c r="GM1607" s="1" t="s">
        <v>15463</v>
      </c>
    </row>
    <row r="1608" spans="1:195">
      <c r="A1608" s="1">
        <v>315000</v>
      </c>
      <c r="B1608" s="1" t="s">
        <v>195</v>
      </c>
      <c r="C1608" s="1" t="str">
        <f>"08706372"</f>
        <v>08706372</v>
      </c>
      <c r="D1608" s="1" t="s">
        <v>196</v>
      </c>
      <c r="F1608" s="1" t="str">
        <f t="shared" si="1221"/>
        <v>187</v>
      </c>
      <c r="G1608" s="2">
        <v>41871</v>
      </c>
      <c r="H1608" s="1">
        <v>339900</v>
      </c>
      <c r="I1608" s="1">
        <v>329900</v>
      </c>
      <c r="J1608" s="1">
        <v>315000</v>
      </c>
      <c r="K1608" s="2">
        <v>41871</v>
      </c>
      <c r="L1608" s="1">
        <v>121</v>
      </c>
      <c r="M1608" s="2">
        <v>41991</v>
      </c>
      <c r="N1608" s="1">
        <v>121</v>
      </c>
      <c r="O1608" s="2">
        <v>41991</v>
      </c>
      <c r="P1608" s="1">
        <v>8073</v>
      </c>
      <c r="Q1608" s="1" t="s">
        <v>197</v>
      </c>
      <c r="R1608" s="2">
        <v>42030</v>
      </c>
      <c r="S1608" s="1">
        <v>253586</v>
      </c>
      <c r="U1608" s="1">
        <v>235</v>
      </c>
      <c r="V1608" s="1" t="s">
        <v>15464</v>
      </c>
      <c r="W1608" s="1" t="s">
        <v>725</v>
      </c>
      <c r="X1608" s="1">
        <v>304</v>
      </c>
      <c r="Y1608" s="1">
        <v>7</v>
      </c>
      <c r="Z1608" s="1" t="s">
        <v>249</v>
      </c>
      <c r="AA1608" s="1" t="s">
        <v>964</v>
      </c>
      <c r="AB1608" s="1">
        <v>60187</v>
      </c>
      <c r="AD1608" s="1" t="s">
        <v>15465</v>
      </c>
      <c r="AE1608" s="1" t="s">
        <v>15466</v>
      </c>
      <c r="AF1608" s="1">
        <v>2002</v>
      </c>
      <c r="AG1608" s="1" t="s">
        <v>204</v>
      </c>
      <c r="AH1608" s="1" t="s">
        <v>967</v>
      </c>
      <c r="AI1608" s="1" t="s">
        <v>206</v>
      </c>
      <c r="AJ1608" s="1" t="s">
        <v>207</v>
      </c>
      <c r="AL1608" s="1">
        <v>6</v>
      </c>
      <c r="AM1608" s="1">
        <v>2</v>
      </c>
      <c r="AN1608" s="1">
        <v>2</v>
      </c>
      <c r="AO1608" s="1">
        <v>1</v>
      </c>
      <c r="AP1608" s="1" t="s">
        <v>209</v>
      </c>
      <c r="AQ1608" s="1">
        <v>1</v>
      </c>
      <c r="AR1608" s="1" t="s">
        <v>1631</v>
      </c>
      <c r="AS1608" s="1" t="s">
        <v>204</v>
      </c>
      <c r="AT1608" s="1" t="s">
        <v>211</v>
      </c>
      <c r="AU1608" s="1">
        <v>2</v>
      </c>
      <c r="AW1608" s="1" t="s">
        <v>204</v>
      </c>
      <c r="AX1608" s="1" t="s">
        <v>212</v>
      </c>
      <c r="AZ1608" s="1">
        <v>7390</v>
      </c>
      <c r="BA1608" s="1">
        <v>2013</v>
      </c>
      <c r="BB1608" s="1" t="s">
        <v>405</v>
      </c>
      <c r="BE1608" s="1">
        <v>1860</v>
      </c>
      <c r="BF1608" s="1">
        <v>1</v>
      </c>
      <c r="BG1608" s="1">
        <v>15</v>
      </c>
      <c r="BL1608" s="1">
        <v>299</v>
      </c>
      <c r="BM1608" s="1" t="s">
        <v>204</v>
      </c>
      <c r="BN1608" s="1" t="s">
        <v>213</v>
      </c>
      <c r="BO1608" s="1">
        <v>100</v>
      </c>
      <c r="BP1608" s="1" t="s">
        <v>204</v>
      </c>
      <c r="BR1608" s="1" t="str">
        <f>"0516137018"</f>
        <v>0516137018</v>
      </c>
      <c r="BT1608" s="1" t="s">
        <v>15467</v>
      </c>
      <c r="BU1608" s="1" t="s">
        <v>6454</v>
      </c>
      <c r="BV1608" s="1" t="s">
        <v>6455</v>
      </c>
      <c r="BW1608" s="1" t="s">
        <v>6456</v>
      </c>
      <c r="BX1608" s="1">
        <v>200</v>
      </c>
      <c r="BY1608" s="1">
        <v>200</v>
      </c>
      <c r="BZ1608" s="1">
        <v>200</v>
      </c>
      <c r="CB1608" s="1" t="str">
        <f t="shared" ref="CB1608:CC1608" si="1223">"0"</f>
        <v>0</v>
      </c>
      <c r="CC1608" s="1" t="str">
        <f t="shared" si="1223"/>
        <v>0</v>
      </c>
      <c r="CD1608" s="1">
        <v>24</v>
      </c>
      <c r="CE1608" s="1">
        <v>0</v>
      </c>
      <c r="CG1608" s="1" t="s">
        <v>932</v>
      </c>
      <c r="CH1608" s="1" t="s">
        <v>277</v>
      </c>
      <c r="CI1608" s="1" t="s">
        <v>438</v>
      </c>
      <c r="CK1608" s="1" t="s">
        <v>932</v>
      </c>
      <c r="CL1608" s="1" t="s">
        <v>784</v>
      </c>
      <c r="CM1608" s="1" t="s">
        <v>220</v>
      </c>
      <c r="CO1608" s="1" t="s">
        <v>461</v>
      </c>
      <c r="CP1608" s="1" t="s">
        <v>277</v>
      </c>
      <c r="CQ1608" s="1" t="s">
        <v>438</v>
      </c>
      <c r="CR1608" s="1" t="s">
        <v>210</v>
      </c>
      <c r="CS1608" s="1" t="s">
        <v>539</v>
      </c>
      <c r="CT1608" s="1" t="s">
        <v>784</v>
      </c>
      <c r="CU1608" s="1" t="s">
        <v>220</v>
      </c>
      <c r="CX1608" s="1" t="s">
        <v>224</v>
      </c>
      <c r="DB1608" s="1" t="s">
        <v>224</v>
      </c>
      <c r="DE1608" s="1" t="s">
        <v>1533</v>
      </c>
      <c r="DF1608" s="1" t="s">
        <v>277</v>
      </c>
      <c r="DG1608" s="1" t="s">
        <v>438</v>
      </c>
      <c r="DI1608" s="1" t="s">
        <v>932</v>
      </c>
      <c r="DJ1608" s="1" t="s">
        <v>219</v>
      </c>
      <c r="DK1608" s="1" t="s">
        <v>438</v>
      </c>
      <c r="DS1608" s="1" t="s">
        <v>230</v>
      </c>
      <c r="DW1608" s="1" t="s">
        <v>230</v>
      </c>
      <c r="EA1608" s="1" t="s">
        <v>230</v>
      </c>
      <c r="EE1608" s="1" t="s">
        <v>230</v>
      </c>
      <c r="EI1608" s="1" t="s">
        <v>230</v>
      </c>
      <c r="EL1608" s="1" t="s">
        <v>466</v>
      </c>
      <c r="EM1608" s="1" t="s">
        <v>232</v>
      </c>
      <c r="EN1608" s="1" t="s">
        <v>282</v>
      </c>
      <c r="EO1608" s="1" t="s">
        <v>234</v>
      </c>
      <c r="EP1608" s="1" t="s">
        <v>788</v>
      </c>
      <c r="EQ1608" s="1" t="s">
        <v>2188</v>
      </c>
      <c r="ER1608" s="1" t="s">
        <v>1249</v>
      </c>
      <c r="ES1608" s="1" t="s">
        <v>1791</v>
      </c>
      <c r="ET1608" s="1" t="s">
        <v>866</v>
      </c>
      <c r="EU1608" s="1" t="s">
        <v>5387</v>
      </c>
      <c r="EV1608" s="1" t="s">
        <v>240</v>
      </c>
      <c r="EW1608" s="1" t="s">
        <v>286</v>
      </c>
      <c r="EY1608" s="1" t="s">
        <v>790</v>
      </c>
      <c r="EZ1608" s="1" t="s">
        <v>287</v>
      </c>
      <c r="FA1608" s="1" t="s">
        <v>2358</v>
      </c>
      <c r="FB1608" s="1" t="s">
        <v>289</v>
      </c>
      <c r="FC1608" s="1" t="s">
        <v>1405</v>
      </c>
      <c r="FD1608" s="1" t="s">
        <v>495</v>
      </c>
      <c r="FE1608" s="1" t="s">
        <v>247</v>
      </c>
      <c r="FF1608" s="1" t="s">
        <v>248</v>
      </c>
      <c r="FG1608" s="1" t="s">
        <v>912</v>
      </c>
      <c r="FH1608" s="1" t="s">
        <v>1428</v>
      </c>
      <c r="FI1608" s="1" t="s">
        <v>473</v>
      </c>
      <c r="FL1608" s="1" t="s">
        <v>358</v>
      </c>
      <c r="FM1608" s="1" t="s">
        <v>252</v>
      </c>
      <c r="FN1608" s="1" t="s">
        <v>213</v>
      </c>
      <c r="FO1608" s="1" t="s">
        <v>213</v>
      </c>
      <c r="FQ1608" s="1" t="s">
        <v>2142</v>
      </c>
      <c r="FR1608" s="1" t="s">
        <v>210</v>
      </c>
      <c r="FS1608" s="1" t="s">
        <v>7223</v>
      </c>
      <c r="FT1608" s="1" t="s">
        <v>1182</v>
      </c>
      <c r="FU1608" s="1" t="s">
        <v>204</v>
      </c>
      <c r="FW1608" s="1" t="s">
        <v>585</v>
      </c>
      <c r="FX1608" s="1">
        <v>25003</v>
      </c>
      <c r="FY1608" s="1" t="s">
        <v>1330</v>
      </c>
      <c r="FZ1608" s="1" t="s">
        <v>15468</v>
      </c>
      <c r="GA1608" s="1">
        <v>259543</v>
      </c>
      <c r="GB1608" s="1" t="s">
        <v>15469</v>
      </c>
      <c r="GE1608" s="1" t="s">
        <v>1333</v>
      </c>
      <c r="GH1608" s="1" t="s">
        <v>230</v>
      </c>
      <c r="GI1608" s="1" t="s">
        <v>213</v>
      </c>
      <c r="GJ1608" s="1" t="s">
        <v>260</v>
      </c>
      <c r="GK1608" s="1" t="s">
        <v>210</v>
      </c>
      <c r="GL1608" s="2">
        <v>42030</v>
      </c>
    </row>
    <row r="1609" spans="1:195">
      <c r="A1609" s="1">
        <v>125000</v>
      </c>
      <c r="B1609" s="1" t="s">
        <v>195</v>
      </c>
      <c r="C1609" s="1" t="str">
        <f>"08743655"</f>
        <v>08743655</v>
      </c>
      <c r="D1609" s="1" t="s">
        <v>196</v>
      </c>
      <c r="F1609" s="1" t="str">
        <f>"510"</f>
        <v>510</v>
      </c>
      <c r="G1609" s="2">
        <v>41914</v>
      </c>
      <c r="H1609" s="1">
        <v>149900</v>
      </c>
      <c r="I1609" s="1">
        <v>135000</v>
      </c>
      <c r="J1609" s="1">
        <v>125000</v>
      </c>
      <c r="K1609" s="2">
        <v>41914</v>
      </c>
      <c r="L1609" s="1">
        <v>63</v>
      </c>
      <c r="M1609" s="2">
        <v>41976</v>
      </c>
      <c r="N1609" s="1">
        <v>63</v>
      </c>
      <c r="O1609" s="2">
        <v>41976</v>
      </c>
      <c r="P1609" s="1">
        <v>49</v>
      </c>
      <c r="Q1609" s="1" t="s">
        <v>302</v>
      </c>
      <c r="R1609" s="2">
        <v>42083</v>
      </c>
      <c r="S1609" s="1">
        <v>8371</v>
      </c>
      <c r="T1609" s="1">
        <v>0</v>
      </c>
      <c r="U1609" s="1">
        <v>528</v>
      </c>
      <c r="V1609" s="1" t="s">
        <v>15354</v>
      </c>
      <c r="W1609" s="1" t="s">
        <v>725</v>
      </c>
      <c r="Y1609" s="1">
        <v>2</v>
      </c>
      <c r="Z1609" s="1" t="s">
        <v>200</v>
      </c>
      <c r="AA1609" s="1" t="s">
        <v>947</v>
      </c>
      <c r="AB1609" s="1">
        <v>60510</v>
      </c>
      <c r="AE1609" s="1" t="s">
        <v>15470</v>
      </c>
      <c r="AF1609" s="1">
        <v>1970</v>
      </c>
      <c r="AG1609" s="1" t="s">
        <v>213</v>
      </c>
      <c r="AH1609" s="1" t="s">
        <v>949</v>
      </c>
      <c r="AI1609" s="1" t="s">
        <v>665</v>
      </c>
      <c r="AJ1609" s="1" t="s">
        <v>949</v>
      </c>
      <c r="AL1609" s="1">
        <v>4</v>
      </c>
      <c r="AM1609" s="1">
        <v>2</v>
      </c>
      <c r="AN1609" s="1">
        <v>1</v>
      </c>
      <c r="AO1609" s="1">
        <v>1</v>
      </c>
      <c r="AP1609" s="1" t="s">
        <v>210</v>
      </c>
      <c r="AQ1609" s="1">
        <v>0</v>
      </c>
      <c r="AR1609" s="1" t="s">
        <v>210</v>
      </c>
      <c r="AS1609" s="1" t="s">
        <v>204</v>
      </c>
      <c r="AT1609" s="1" t="s">
        <v>211</v>
      </c>
      <c r="AU1609" s="1">
        <v>1</v>
      </c>
      <c r="AW1609" s="1" t="s">
        <v>204</v>
      </c>
      <c r="AX1609" s="1" t="s">
        <v>15356</v>
      </c>
      <c r="AZ1609" s="1">
        <v>4571.12</v>
      </c>
      <c r="BA1609" s="1">
        <v>2013</v>
      </c>
      <c r="BB1609" s="1" t="s">
        <v>210</v>
      </c>
      <c r="BE1609" s="1">
        <v>1058</v>
      </c>
      <c r="BF1609" s="1">
        <v>1</v>
      </c>
      <c r="BG1609" s="1">
        <v>0</v>
      </c>
      <c r="BL1609" s="1">
        <v>0</v>
      </c>
      <c r="BM1609" s="1" t="s">
        <v>204</v>
      </c>
      <c r="BN1609" s="1" t="s">
        <v>213</v>
      </c>
      <c r="BO1609" s="1">
        <v>999</v>
      </c>
      <c r="BP1609" s="1" t="s">
        <v>204</v>
      </c>
      <c r="BR1609" s="1" t="str">
        <f>"1222306105"</f>
        <v>1222306105</v>
      </c>
      <c r="BT1609" s="1" t="s">
        <v>15471</v>
      </c>
      <c r="BU1609" s="1" t="s">
        <v>11447</v>
      </c>
      <c r="BV1609" s="1" t="s">
        <v>6404</v>
      </c>
      <c r="BW1609" s="1" t="s">
        <v>6405</v>
      </c>
      <c r="BX1609" s="1">
        <v>101</v>
      </c>
      <c r="BY1609" s="1">
        <v>101</v>
      </c>
      <c r="BZ1609" s="1">
        <v>101</v>
      </c>
      <c r="CB1609" s="1" t="str">
        <f t="shared" ref="CB1609:CC1609" si="1224">""</f>
        <v/>
      </c>
      <c r="CC1609" s="1" t="str">
        <f t="shared" si="1224"/>
        <v/>
      </c>
      <c r="CG1609" s="1" t="s">
        <v>515</v>
      </c>
      <c r="CH1609" s="1" t="s">
        <v>219</v>
      </c>
      <c r="CI1609" s="1" t="s">
        <v>220</v>
      </c>
      <c r="CJ1609" s="1" t="s">
        <v>252</v>
      </c>
      <c r="CK1609" s="1" t="s">
        <v>539</v>
      </c>
      <c r="CL1609" s="1" t="s">
        <v>219</v>
      </c>
      <c r="CM1609" s="1" t="s">
        <v>220</v>
      </c>
      <c r="CN1609" s="1" t="s">
        <v>252</v>
      </c>
      <c r="CP1609" s="1" t="s">
        <v>224</v>
      </c>
      <c r="CS1609" s="1" t="s">
        <v>378</v>
      </c>
      <c r="CT1609" s="1" t="s">
        <v>219</v>
      </c>
      <c r="CU1609" s="1" t="s">
        <v>220</v>
      </c>
      <c r="CV1609" s="1" t="s">
        <v>252</v>
      </c>
      <c r="CX1609" s="1" t="s">
        <v>224</v>
      </c>
      <c r="DB1609" s="1" t="s">
        <v>224</v>
      </c>
      <c r="DE1609" s="1" t="s">
        <v>1178</v>
      </c>
      <c r="DF1609" s="1" t="s">
        <v>219</v>
      </c>
      <c r="DG1609" s="1" t="s">
        <v>229</v>
      </c>
      <c r="DH1609" s="1" t="s">
        <v>252</v>
      </c>
      <c r="DJ1609" s="1" t="s">
        <v>224</v>
      </c>
      <c r="DS1609" s="1" t="s">
        <v>230</v>
      </c>
      <c r="DW1609" s="1" t="s">
        <v>230</v>
      </c>
      <c r="EA1609" s="1" t="s">
        <v>230</v>
      </c>
      <c r="EE1609" s="1" t="s">
        <v>230</v>
      </c>
      <c r="EI1609" s="1" t="s">
        <v>230</v>
      </c>
      <c r="EL1609" s="1" t="s">
        <v>605</v>
      </c>
      <c r="EM1609" s="1" t="s">
        <v>319</v>
      </c>
      <c r="EN1609" s="1" t="s">
        <v>282</v>
      </c>
      <c r="EO1609" s="1" t="s">
        <v>234</v>
      </c>
      <c r="EP1609" s="1" t="s">
        <v>15472</v>
      </c>
      <c r="ER1609" s="1" t="s">
        <v>383</v>
      </c>
      <c r="EU1609" s="1" t="s">
        <v>546</v>
      </c>
      <c r="EW1609" s="1" t="s">
        <v>210</v>
      </c>
      <c r="EZ1609" s="1" t="s">
        <v>287</v>
      </c>
      <c r="FA1609" s="1" t="s">
        <v>1072</v>
      </c>
      <c r="FB1609" s="1" t="s">
        <v>734</v>
      </c>
      <c r="FC1609" s="1" t="s">
        <v>326</v>
      </c>
      <c r="FD1609" s="1" t="s">
        <v>246</v>
      </c>
      <c r="FE1609" s="1" t="s">
        <v>549</v>
      </c>
      <c r="FF1609" s="1" t="s">
        <v>248</v>
      </c>
      <c r="FH1609" s="1" t="s">
        <v>442</v>
      </c>
      <c r="FL1609" s="1" t="s">
        <v>414</v>
      </c>
      <c r="FM1609" s="1" t="s">
        <v>252</v>
      </c>
      <c r="FN1609" s="1" t="s">
        <v>213</v>
      </c>
      <c r="FO1609" s="1" t="s">
        <v>213</v>
      </c>
      <c r="FQ1609" s="1" t="s">
        <v>2091</v>
      </c>
      <c r="FR1609" s="1" t="s">
        <v>210</v>
      </c>
      <c r="FS1609" s="1" t="s">
        <v>15473</v>
      </c>
      <c r="FT1609" s="1" t="s">
        <v>295</v>
      </c>
      <c r="FU1609" s="1" t="s">
        <v>204</v>
      </c>
      <c r="FW1609" s="1" t="s">
        <v>13153</v>
      </c>
      <c r="FX1609" s="1">
        <v>280</v>
      </c>
      <c r="FY1609" s="1" t="s">
        <v>13154</v>
      </c>
      <c r="FZ1609" s="1" t="s">
        <v>13155</v>
      </c>
      <c r="GA1609" s="1">
        <v>1127</v>
      </c>
      <c r="GB1609" s="1" t="s">
        <v>13156</v>
      </c>
      <c r="GC1609" s="1">
        <v>2089</v>
      </c>
      <c r="GD1609" s="1" t="s">
        <v>15474</v>
      </c>
      <c r="GE1609" s="1" t="s">
        <v>480</v>
      </c>
      <c r="GI1609" s="1" t="s">
        <v>213</v>
      </c>
      <c r="GJ1609" s="1" t="s">
        <v>260</v>
      </c>
      <c r="GK1609" s="1" t="s">
        <v>210</v>
      </c>
      <c r="GL1609" s="2">
        <v>42083</v>
      </c>
      <c r="GM1609" s="1" t="s">
        <v>15360</v>
      </c>
    </row>
    <row r="1610" spans="1:195">
      <c r="A1610" s="1">
        <v>60000</v>
      </c>
      <c r="B1610" s="1" t="s">
        <v>195</v>
      </c>
      <c r="C1610" s="1" t="str">
        <f>"08689081"</f>
        <v>08689081</v>
      </c>
      <c r="D1610" s="1" t="s">
        <v>196</v>
      </c>
      <c r="F1610" s="1" t="str">
        <f>"118"</f>
        <v>118</v>
      </c>
      <c r="G1610" s="2">
        <v>41851</v>
      </c>
      <c r="H1610" s="1">
        <v>85000</v>
      </c>
      <c r="I1610" s="1">
        <v>85000</v>
      </c>
      <c r="J1610" s="1">
        <v>60000</v>
      </c>
      <c r="K1610" s="2">
        <v>41851</v>
      </c>
      <c r="L1610" s="1">
        <v>103</v>
      </c>
      <c r="M1610" s="2">
        <v>41953</v>
      </c>
      <c r="N1610" s="1">
        <v>103</v>
      </c>
      <c r="O1610" s="2">
        <v>41953</v>
      </c>
      <c r="P1610" s="1">
        <v>5153</v>
      </c>
      <c r="Q1610" s="1" t="s">
        <v>302</v>
      </c>
      <c r="R1610" s="2">
        <v>41969</v>
      </c>
      <c r="S1610" s="1">
        <v>55327</v>
      </c>
      <c r="U1610" s="1">
        <v>605</v>
      </c>
      <c r="V1610" s="1" t="s">
        <v>6729</v>
      </c>
      <c r="W1610" s="1" t="s">
        <v>425</v>
      </c>
      <c r="X1610" s="1">
        <v>154</v>
      </c>
      <c r="Y1610" s="1">
        <v>90</v>
      </c>
      <c r="Z1610" s="1" t="s">
        <v>249</v>
      </c>
      <c r="AA1610" s="1" t="s">
        <v>4079</v>
      </c>
      <c r="AB1610" s="1">
        <v>60118</v>
      </c>
      <c r="AC1610" s="1">
        <v>1433</v>
      </c>
      <c r="AE1610" s="1" t="s">
        <v>15475</v>
      </c>
      <c r="AF1610" s="1">
        <v>2000</v>
      </c>
      <c r="AG1610" s="1" t="s">
        <v>204</v>
      </c>
      <c r="AH1610" s="1" t="s">
        <v>7861</v>
      </c>
      <c r="AI1610" s="1" t="s">
        <v>665</v>
      </c>
      <c r="AJ1610" s="1" t="s">
        <v>805</v>
      </c>
      <c r="AL1610" s="1">
        <v>4</v>
      </c>
      <c r="AM1610" s="1">
        <v>2</v>
      </c>
      <c r="AN1610" s="1">
        <v>1</v>
      </c>
      <c r="AO1610" s="1">
        <v>1</v>
      </c>
      <c r="AP1610" s="1" t="s">
        <v>209</v>
      </c>
      <c r="AQ1610" s="1">
        <v>0</v>
      </c>
      <c r="AR1610" s="1" t="s">
        <v>209</v>
      </c>
      <c r="AS1610" s="1" t="s">
        <v>204</v>
      </c>
      <c r="AT1610" s="1" t="s">
        <v>210</v>
      </c>
      <c r="AW1610" s="1" t="s">
        <v>204</v>
      </c>
      <c r="AX1610" s="1" t="s">
        <v>1581</v>
      </c>
      <c r="AZ1610" s="1">
        <v>1576</v>
      </c>
      <c r="BA1610" s="1">
        <v>2013</v>
      </c>
      <c r="BB1610" s="1" t="s">
        <v>599</v>
      </c>
      <c r="BE1610" s="1">
        <v>975</v>
      </c>
      <c r="BF1610" s="1">
        <v>1</v>
      </c>
      <c r="BG1610" s="1">
        <v>0</v>
      </c>
      <c r="BL1610" s="1">
        <v>1104</v>
      </c>
      <c r="BM1610" s="1" t="s">
        <v>204</v>
      </c>
      <c r="BN1610" s="1" t="s">
        <v>213</v>
      </c>
      <c r="BO1610" s="1">
        <v>20</v>
      </c>
      <c r="BP1610" s="1" t="s">
        <v>204</v>
      </c>
      <c r="BR1610" s="1" t="str">
        <f>"0323251025"</f>
        <v>0323251025</v>
      </c>
      <c r="BT1610" s="1" t="s">
        <v>15476</v>
      </c>
      <c r="BX1610" s="1">
        <v>300</v>
      </c>
      <c r="BY1610" s="1">
        <v>300</v>
      </c>
      <c r="BZ1610" s="1">
        <v>300</v>
      </c>
      <c r="CB1610" s="1" t="str">
        <f>"16"</f>
        <v>16</v>
      </c>
      <c r="CC1610" s="1" t="str">
        <f>"0"</f>
        <v>0</v>
      </c>
      <c r="CD1610" s="1">
        <v>33</v>
      </c>
      <c r="CE1610" s="1">
        <v>0</v>
      </c>
      <c r="CG1610" s="1" t="s">
        <v>669</v>
      </c>
      <c r="CH1610" s="1" t="s">
        <v>219</v>
      </c>
      <c r="CI1610" s="1" t="s">
        <v>220</v>
      </c>
      <c r="CJ1610" s="1" t="s">
        <v>252</v>
      </c>
      <c r="CK1610" s="1" t="s">
        <v>344</v>
      </c>
      <c r="CL1610" s="1" t="s">
        <v>219</v>
      </c>
      <c r="CM1610" s="1" t="s">
        <v>220</v>
      </c>
      <c r="CN1610" s="1" t="s">
        <v>252</v>
      </c>
      <c r="CP1610" s="1" t="s">
        <v>224</v>
      </c>
      <c r="CS1610" s="1" t="s">
        <v>317</v>
      </c>
      <c r="CT1610" s="1" t="s">
        <v>219</v>
      </c>
      <c r="CU1610" s="1" t="s">
        <v>220</v>
      </c>
      <c r="CV1610" s="1" t="s">
        <v>252</v>
      </c>
      <c r="CX1610" s="1" t="s">
        <v>224</v>
      </c>
      <c r="DB1610" s="1" t="s">
        <v>224</v>
      </c>
      <c r="DE1610" s="1" t="s">
        <v>346</v>
      </c>
      <c r="DF1610" s="1" t="s">
        <v>219</v>
      </c>
      <c r="DG1610" s="1" t="s">
        <v>229</v>
      </c>
      <c r="DJ1610" s="1" t="s">
        <v>224</v>
      </c>
      <c r="DS1610" s="1" t="s">
        <v>230</v>
      </c>
      <c r="DW1610" s="1" t="s">
        <v>230</v>
      </c>
      <c r="EA1610" s="1" t="s">
        <v>230</v>
      </c>
      <c r="EE1610" s="1" t="s">
        <v>230</v>
      </c>
      <c r="EI1610" s="1" t="s">
        <v>230</v>
      </c>
      <c r="EL1610" s="1" t="s">
        <v>466</v>
      </c>
      <c r="EM1610" s="1" t="s">
        <v>319</v>
      </c>
      <c r="EN1610" s="1" t="s">
        <v>282</v>
      </c>
      <c r="EO1610" s="1" t="s">
        <v>840</v>
      </c>
      <c r="EP1610" s="1" t="s">
        <v>15477</v>
      </c>
      <c r="EQ1610" s="1" t="s">
        <v>492</v>
      </c>
      <c r="ER1610" s="1" t="s">
        <v>1249</v>
      </c>
      <c r="ES1610" s="1" t="s">
        <v>322</v>
      </c>
      <c r="ET1610" s="1" t="s">
        <v>15478</v>
      </c>
      <c r="EU1610" s="1" t="s">
        <v>712</v>
      </c>
      <c r="EW1610" s="1" t="s">
        <v>15479</v>
      </c>
      <c r="EY1610" s="1" t="s">
        <v>242</v>
      </c>
      <c r="EZ1610" s="1" t="s">
        <v>287</v>
      </c>
      <c r="FA1610" s="1" t="s">
        <v>10364</v>
      </c>
      <c r="FB1610" s="1" t="s">
        <v>244</v>
      </c>
      <c r="FC1610" s="1" t="s">
        <v>1739</v>
      </c>
      <c r="FD1610" s="1" t="s">
        <v>290</v>
      </c>
      <c r="FE1610" s="1" t="s">
        <v>247</v>
      </c>
      <c r="FF1610" s="1" t="s">
        <v>248</v>
      </c>
      <c r="FH1610" s="1" t="s">
        <v>249</v>
      </c>
      <c r="FJ1610" s="1" t="s">
        <v>197</v>
      </c>
      <c r="FL1610" s="1" t="s">
        <v>1826</v>
      </c>
      <c r="FM1610" s="1" t="s">
        <v>252</v>
      </c>
      <c r="FN1610" s="1" t="s">
        <v>213</v>
      </c>
      <c r="FO1610" s="1" t="s">
        <v>213</v>
      </c>
      <c r="FQ1610" s="1" t="s">
        <v>956</v>
      </c>
      <c r="FR1610" s="1" t="s">
        <v>210</v>
      </c>
      <c r="FS1610" s="1" t="s">
        <v>4452</v>
      </c>
      <c r="FT1610" s="1" t="s">
        <v>1588</v>
      </c>
      <c r="FU1610" s="1" t="s">
        <v>204</v>
      </c>
      <c r="FV1610" s="1" t="s">
        <v>1589</v>
      </c>
      <c r="FW1610" s="1" t="s">
        <v>1097</v>
      </c>
      <c r="FX1610" s="1">
        <v>5153</v>
      </c>
      <c r="FY1610" s="1" t="s">
        <v>1590</v>
      </c>
      <c r="FZ1610" s="1" t="s">
        <v>1591</v>
      </c>
      <c r="GA1610" s="1">
        <v>55327</v>
      </c>
      <c r="GB1610" s="1" t="s">
        <v>1592</v>
      </c>
      <c r="GD1610" s="1" t="s">
        <v>1593</v>
      </c>
      <c r="GE1610" s="1" t="s">
        <v>623</v>
      </c>
      <c r="GI1610" s="1" t="s">
        <v>213</v>
      </c>
      <c r="GJ1610" s="1" t="s">
        <v>260</v>
      </c>
      <c r="GK1610" s="1" t="s">
        <v>210</v>
      </c>
      <c r="GL1610" s="2">
        <v>41975</v>
      </c>
      <c r="GM1610" s="1" t="s">
        <v>15480</v>
      </c>
    </row>
    <row r="1611" spans="1:195">
      <c r="A1611" s="1">
        <v>113000</v>
      </c>
      <c r="B1611" s="1" t="s">
        <v>195</v>
      </c>
      <c r="C1611" s="1" t="str">
        <f>"08701647"</f>
        <v>08701647</v>
      </c>
      <c r="D1611" s="1" t="s">
        <v>196</v>
      </c>
      <c r="F1611" s="1" t="str">
        <f>"103"</f>
        <v>103</v>
      </c>
      <c r="G1611" s="2">
        <v>41865</v>
      </c>
      <c r="H1611" s="1">
        <v>130000</v>
      </c>
      <c r="I1611" s="1">
        <v>118000</v>
      </c>
      <c r="J1611" s="1">
        <v>113000</v>
      </c>
      <c r="K1611" s="2">
        <v>41865</v>
      </c>
      <c r="L1611" s="1">
        <v>217</v>
      </c>
      <c r="M1611" s="2">
        <v>42081</v>
      </c>
      <c r="N1611" s="1">
        <v>217</v>
      </c>
      <c r="O1611" s="2">
        <v>42081</v>
      </c>
      <c r="P1611" s="1">
        <v>890</v>
      </c>
      <c r="Q1611" s="1" t="s">
        <v>423</v>
      </c>
      <c r="R1611" s="2">
        <v>42124</v>
      </c>
      <c r="S1611" s="1">
        <v>8770</v>
      </c>
      <c r="U1611" s="1">
        <v>7665</v>
      </c>
      <c r="V1611" s="1" t="s">
        <v>15481</v>
      </c>
      <c r="W1611" s="1" t="s">
        <v>449</v>
      </c>
      <c r="Y1611" s="1">
        <v>6</v>
      </c>
      <c r="Z1611" s="1" t="s">
        <v>370</v>
      </c>
      <c r="AA1611" s="1" t="s">
        <v>337</v>
      </c>
      <c r="AB1611" s="1">
        <v>60133</v>
      </c>
      <c r="AD1611" s="1" t="s">
        <v>15482</v>
      </c>
      <c r="AE1611" s="1" t="s">
        <v>15483</v>
      </c>
      <c r="AF1611" s="1">
        <v>1979</v>
      </c>
      <c r="AG1611" s="1" t="s">
        <v>204</v>
      </c>
      <c r="AH1611" s="1" t="s">
        <v>339</v>
      </c>
      <c r="AI1611" s="1" t="s">
        <v>310</v>
      </c>
      <c r="AJ1611" s="1" t="s">
        <v>1717</v>
      </c>
      <c r="AL1611" s="1">
        <v>5</v>
      </c>
      <c r="AM1611" s="1">
        <v>2</v>
      </c>
      <c r="AN1611" s="1">
        <v>1</v>
      </c>
      <c r="AO1611" s="1">
        <v>1</v>
      </c>
      <c r="AP1611" s="1" t="s">
        <v>210</v>
      </c>
      <c r="AR1611" s="1" t="s">
        <v>210</v>
      </c>
      <c r="AS1611" s="1" t="s">
        <v>204</v>
      </c>
      <c r="AT1611" s="1" t="s">
        <v>211</v>
      </c>
      <c r="AU1611" s="1">
        <v>1</v>
      </c>
      <c r="AW1611" s="1" t="s">
        <v>204</v>
      </c>
      <c r="AX1611" s="1" t="s">
        <v>15484</v>
      </c>
      <c r="AZ1611" s="1">
        <v>2353</v>
      </c>
      <c r="BA1611" s="1">
        <v>2013</v>
      </c>
      <c r="BE1611" s="1">
        <v>1070</v>
      </c>
      <c r="BF1611" s="1">
        <v>1</v>
      </c>
      <c r="BG1611" s="1">
        <v>10</v>
      </c>
      <c r="BJ1611" s="1">
        <v>100</v>
      </c>
      <c r="BL1611" s="1">
        <v>202</v>
      </c>
      <c r="BM1611" s="1" t="s">
        <v>204</v>
      </c>
      <c r="BN1611" s="1" t="s">
        <v>213</v>
      </c>
      <c r="BO1611" s="1">
        <v>0</v>
      </c>
      <c r="BP1611" s="1" t="s">
        <v>204</v>
      </c>
      <c r="BR1611" s="1" t="str">
        <f>"07293100240000"</f>
        <v>07293100240000</v>
      </c>
      <c r="BT1611" s="1" t="s">
        <v>15485</v>
      </c>
      <c r="BU1611" s="1" t="s">
        <v>1720</v>
      </c>
      <c r="BV1611" s="1" t="s">
        <v>1721</v>
      </c>
      <c r="BW1611" s="1" t="s">
        <v>1722</v>
      </c>
      <c r="BX1611" s="1">
        <v>54</v>
      </c>
      <c r="BY1611" s="1">
        <v>54</v>
      </c>
      <c r="BZ1611" s="1">
        <v>211</v>
      </c>
      <c r="CB1611" s="1" t="str">
        <f>"9"</f>
        <v>9</v>
      </c>
      <c r="CC1611" s="1" t="str">
        <f>""</f>
        <v/>
      </c>
      <c r="CD1611" s="1">
        <v>26</v>
      </c>
      <c r="CG1611" s="1" t="s">
        <v>5899</v>
      </c>
      <c r="CH1611" s="1" t="s">
        <v>219</v>
      </c>
      <c r="CI1611" s="1" t="s">
        <v>220</v>
      </c>
      <c r="CJ1611" s="1" t="s">
        <v>343</v>
      </c>
      <c r="CK1611" s="1" t="s">
        <v>932</v>
      </c>
      <c r="CL1611" s="1" t="s">
        <v>277</v>
      </c>
      <c r="CM1611" s="1" t="s">
        <v>220</v>
      </c>
      <c r="CO1611" s="1" t="s">
        <v>629</v>
      </c>
      <c r="CP1611" s="1" t="s">
        <v>219</v>
      </c>
      <c r="CQ1611" s="1" t="s">
        <v>220</v>
      </c>
      <c r="CS1611" s="1" t="s">
        <v>1297</v>
      </c>
      <c r="CT1611" s="1" t="s">
        <v>277</v>
      </c>
      <c r="CU1611" s="1" t="s">
        <v>220</v>
      </c>
      <c r="CX1611" s="1" t="s">
        <v>224</v>
      </c>
      <c r="DB1611" s="1" t="s">
        <v>224</v>
      </c>
      <c r="DE1611" s="1" t="s">
        <v>223</v>
      </c>
      <c r="DF1611" s="1" t="s">
        <v>219</v>
      </c>
      <c r="DG1611" s="1" t="s">
        <v>229</v>
      </c>
      <c r="DJ1611" s="1" t="s">
        <v>224</v>
      </c>
      <c r="DS1611" s="1" t="s">
        <v>230</v>
      </c>
      <c r="DW1611" s="1" t="s">
        <v>230</v>
      </c>
      <c r="EA1611" s="1" t="s">
        <v>230</v>
      </c>
      <c r="EE1611" s="1" t="s">
        <v>230</v>
      </c>
      <c r="EI1611" s="1" t="s">
        <v>230</v>
      </c>
      <c r="EL1611" s="1" t="s">
        <v>231</v>
      </c>
      <c r="EM1611" s="1" t="s">
        <v>232</v>
      </c>
      <c r="EN1611" s="1" t="s">
        <v>282</v>
      </c>
      <c r="EO1611" s="1" t="s">
        <v>234</v>
      </c>
      <c r="ER1611" s="1" t="s">
        <v>210</v>
      </c>
      <c r="EU1611" s="1" t="s">
        <v>9178</v>
      </c>
      <c r="EW1611" s="1" t="s">
        <v>15486</v>
      </c>
      <c r="EZ1611" s="1" t="s">
        <v>287</v>
      </c>
      <c r="FD1611" s="1" t="s">
        <v>246</v>
      </c>
      <c r="FE1611" s="1" t="s">
        <v>355</v>
      </c>
      <c r="FF1611" s="1" t="s">
        <v>387</v>
      </c>
      <c r="FH1611" s="1" t="s">
        <v>550</v>
      </c>
      <c r="FL1611" s="1" t="s">
        <v>358</v>
      </c>
      <c r="FM1611" s="1" t="s">
        <v>252</v>
      </c>
      <c r="FN1611" s="1" t="s">
        <v>213</v>
      </c>
      <c r="FO1611" s="1" t="s">
        <v>213</v>
      </c>
      <c r="FQ1611" s="1" t="s">
        <v>8700</v>
      </c>
      <c r="FR1611" s="1" t="s">
        <v>652</v>
      </c>
      <c r="FS1611" s="1" t="s">
        <v>15487</v>
      </c>
      <c r="FT1611" s="1" t="s">
        <v>255</v>
      </c>
      <c r="FU1611" s="1" t="s">
        <v>204</v>
      </c>
      <c r="FW1611" s="1" t="s">
        <v>15488</v>
      </c>
      <c r="FX1611" s="1">
        <v>24269</v>
      </c>
      <c r="FY1611" s="1" t="s">
        <v>15489</v>
      </c>
      <c r="FZ1611" s="1" t="s">
        <v>15490</v>
      </c>
      <c r="GA1611" s="1">
        <v>245458</v>
      </c>
      <c r="GB1611" s="1" t="s">
        <v>15491</v>
      </c>
      <c r="GE1611" s="1" t="s">
        <v>1120</v>
      </c>
      <c r="GI1611" s="1" t="s">
        <v>213</v>
      </c>
      <c r="GJ1611" s="1" t="s">
        <v>260</v>
      </c>
      <c r="GK1611" s="1" t="s">
        <v>210</v>
      </c>
      <c r="GL1611" s="2">
        <v>42125</v>
      </c>
      <c r="GM1611" s="1" t="s">
        <v>15492</v>
      </c>
    </row>
    <row r="1612" spans="1:195">
      <c r="A1612" s="1">
        <v>79000</v>
      </c>
      <c r="B1612" s="1" t="s">
        <v>195</v>
      </c>
      <c r="C1612" s="1" t="str">
        <f>"08691971"</f>
        <v>08691971</v>
      </c>
      <c r="D1612" s="1" t="s">
        <v>196</v>
      </c>
      <c r="F1612" s="1" t="str">
        <f>"513"</f>
        <v>513</v>
      </c>
      <c r="G1612" s="2">
        <v>41855</v>
      </c>
      <c r="H1612" s="1">
        <v>99000</v>
      </c>
      <c r="I1612" s="1">
        <v>79000</v>
      </c>
      <c r="J1612" s="1">
        <v>79000</v>
      </c>
      <c r="K1612" s="2">
        <v>41855</v>
      </c>
      <c r="L1612" s="1">
        <v>257</v>
      </c>
      <c r="M1612" s="2">
        <v>41901</v>
      </c>
      <c r="N1612" s="1">
        <v>47</v>
      </c>
      <c r="O1612" s="2">
        <v>41901</v>
      </c>
      <c r="P1612" s="1">
        <v>22165</v>
      </c>
      <c r="Q1612" s="1" t="s">
        <v>302</v>
      </c>
      <c r="R1612" s="2">
        <v>42068</v>
      </c>
      <c r="S1612" s="1">
        <v>222291</v>
      </c>
      <c r="U1612" s="1">
        <v>9116</v>
      </c>
      <c r="V1612" s="1" t="s">
        <v>644</v>
      </c>
      <c r="W1612" s="1" t="s">
        <v>425</v>
      </c>
      <c r="Y1612" s="1">
        <v>4</v>
      </c>
      <c r="Z1612" s="1" t="s">
        <v>200</v>
      </c>
      <c r="AA1612" s="1" t="s">
        <v>644</v>
      </c>
      <c r="AB1612" s="1">
        <v>60513</v>
      </c>
      <c r="AD1612" s="1" t="s">
        <v>15493</v>
      </c>
      <c r="AE1612" s="1" t="s">
        <v>15494</v>
      </c>
      <c r="AF1612" s="1">
        <v>1955</v>
      </c>
      <c r="AG1612" s="1" t="s">
        <v>213</v>
      </c>
      <c r="AH1612" s="1" t="s">
        <v>646</v>
      </c>
      <c r="AI1612" s="1" t="s">
        <v>310</v>
      </c>
      <c r="AJ1612" s="1" t="s">
        <v>429</v>
      </c>
      <c r="AK1612" s="1" t="s">
        <v>8087</v>
      </c>
      <c r="AL1612" s="1">
        <v>5</v>
      </c>
      <c r="AM1612" s="1">
        <v>2</v>
      </c>
      <c r="AN1612" s="1">
        <v>1</v>
      </c>
      <c r="AO1612" s="1">
        <v>0</v>
      </c>
      <c r="AP1612" s="1" t="s">
        <v>210</v>
      </c>
      <c r="AR1612" s="1" t="s">
        <v>210</v>
      </c>
      <c r="AS1612" s="1" t="s">
        <v>204</v>
      </c>
      <c r="AT1612" s="1" t="s">
        <v>271</v>
      </c>
      <c r="AV1612" s="1">
        <v>1</v>
      </c>
      <c r="AW1612" s="1" t="s">
        <v>204</v>
      </c>
      <c r="AX1612" s="1" t="s">
        <v>15495</v>
      </c>
      <c r="AZ1612" s="1">
        <v>3926</v>
      </c>
      <c r="BA1612" s="1">
        <v>2013</v>
      </c>
      <c r="BB1612" s="1" t="s">
        <v>405</v>
      </c>
      <c r="BE1612" s="1">
        <v>1053</v>
      </c>
      <c r="BF1612" s="1">
        <v>1</v>
      </c>
      <c r="BG1612" s="1">
        <v>0</v>
      </c>
      <c r="BL1612" s="1">
        <v>0</v>
      </c>
      <c r="BM1612" s="1" t="s">
        <v>204</v>
      </c>
      <c r="BN1612" s="1" t="s">
        <v>213</v>
      </c>
      <c r="BO1612" s="1">
        <v>999</v>
      </c>
      <c r="BP1612" s="1" t="s">
        <v>204</v>
      </c>
      <c r="BR1612" s="1" t="str">
        <f>"15344240320000"</f>
        <v>15344240320000</v>
      </c>
      <c r="BT1612" s="1" t="s">
        <v>15496</v>
      </c>
      <c r="BX1612" s="1">
        <v>95</v>
      </c>
      <c r="BY1612" s="1">
        <v>95</v>
      </c>
      <c r="BZ1612" s="1">
        <v>208</v>
      </c>
      <c r="CB1612" s="1" t="str">
        <f t="shared" ref="CB1612:CC1612" si="1225">""</f>
        <v/>
      </c>
      <c r="CC1612" s="1" t="str">
        <f t="shared" si="1225"/>
        <v/>
      </c>
      <c r="CD1612" s="1">
        <v>11</v>
      </c>
      <c r="CE1612" s="1">
        <v>3</v>
      </c>
      <c r="CG1612" s="1" t="s">
        <v>377</v>
      </c>
      <c r="CH1612" s="1" t="s">
        <v>219</v>
      </c>
      <c r="CI1612" s="1" t="s">
        <v>229</v>
      </c>
      <c r="CK1612" s="1" t="s">
        <v>2138</v>
      </c>
      <c r="CL1612" s="1" t="s">
        <v>277</v>
      </c>
      <c r="CM1612" s="1" t="s">
        <v>438</v>
      </c>
      <c r="CO1612" s="1" t="s">
        <v>629</v>
      </c>
      <c r="CP1612" s="1" t="s">
        <v>219</v>
      </c>
      <c r="CQ1612" s="1" t="s">
        <v>229</v>
      </c>
      <c r="CS1612" s="1" t="s">
        <v>409</v>
      </c>
      <c r="CT1612" s="1" t="s">
        <v>277</v>
      </c>
      <c r="CU1612" s="1" t="s">
        <v>438</v>
      </c>
      <c r="CX1612" s="1" t="s">
        <v>224</v>
      </c>
      <c r="DB1612" s="1" t="s">
        <v>224</v>
      </c>
      <c r="DE1612" s="1" t="s">
        <v>318</v>
      </c>
      <c r="DF1612" s="1" t="s">
        <v>219</v>
      </c>
      <c r="DG1612" s="1" t="s">
        <v>4958</v>
      </c>
      <c r="DJ1612" s="1" t="s">
        <v>224</v>
      </c>
      <c r="DS1612" s="1" t="s">
        <v>230</v>
      </c>
      <c r="DW1612" s="1" t="s">
        <v>230</v>
      </c>
      <c r="EA1612" s="1" t="s">
        <v>230</v>
      </c>
      <c r="EE1612" s="1" t="s">
        <v>230</v>
      </c>
      <c r="EI1612" s="1" t="s">
        <v>230</v>
      </c>
      <c r="EL1612" s="1" t="s">
        <v>649</v>
      </c>
      <c r="EM1612" s="1" t="s">
        <v>730</v>
      </c>
      <c r="EN1612" s="1" t="s">
        <v>233</v>
      </c>
      <c r="EO1612" s="1" t="s">
        <v>234</v>
      </c>
      <c r="EQ1612" s="1" t="s">
        <v>15497</v>
      </c>
      <c r="ER1612" s="1" t="s">
        <v>210</v>
      </c>
      <c r="ES1612" s="1" t="s">
        <v>322</v>
      </c>
      <c r="EU1612" s="1" t="s">
        <v>610</v>
      </c>
      <c r="EW1612" s="1" t="s">
        <v>210</v>
      </c>
      <c r="EY1612" s="1" t="s">
        <v>242</v>
      </c>
      <c r="EZ1612" s="1" t="s">
        <v>287</v>
      </c>
      <c r="FC1612" s="1" t="s">
        <v>548</v>
      </c>
      <c r="FD1612" s="1" t="s">
        <v>246</v>
      </c>
      <c r="FE1612" s="1" t="s">
        <v>1006</v>
      </c>
      <c r="FF1612" s="1" t="s">
        <v>248</v>
      </c>
      <c r="FH1612" s="1" t="s">
        <v>550</v>
      </c>
      <c r="FK1612" s="1" t="s">
        <v>2522</v>
      </c>
      <c r="FL1612" s="1" t="s">
        <v>358</v>
      </c>
      <c r="FM1612" s="1" t="s">
        <v>252</v>
      </c>
      <c r="FN1612" s="1" t="s">
        <v>213</v>
      </c>
      <c r="FO1612" s="1" t="s">
        <v>213</v>
      </c>
      <c r="FQ1612" s="1" t="s">
        <v>1032</v>
      </c>
      <c r="FR1612" s="1" t="s">
        <v>360</v>
      </c>
      <c r="FS1612" s="1" t="s">
        <v>1709</v>
      </c>
      <c r="FT1612" s="1" t="s">
        <v>295</v>
      </c>
      <c r="FU1612" s="1" t="s">
        <v>204</v>
      </c>
      <c r="FW1612" s="1" t="s">
        <v>15498</v>
      </c>
      <c r="FX1612" s="1">
        <v>15904</v>
      </c>
      <c r="FY1612" s="1" t="s">
        <v>15499</v>
      </c>
      <c r="FZ1612" s="1" t="s">
        <v>15500</v>
      </c>
      <c r="GA1612" s="1">
        <v>133219</v>
      </c>
      <c r="GB1612" s="1" t="s">
        <v>15501</v>
      </c>
      <c r="GE1612" s="1" t="s">
        <v>1333</v>
      </c>
      <c r="GI1612" s="1" t="s">
        <v>213</v>
      </c>
      <c r="GJ1612" s="1" t="s">
        <v>260</v>
      </c>
      <c r="GK1612" s="1" t="s">
        <v>210</v>
      </c>
      <c r="GL1612" s="2">
        <v>42071</v>
      </c>
      <c r="GM1612" s="1" t="s">
        <v>15502</v>
      </c>
    </row>
    <row r="1613" spans="1:195">
      <c r="A1613" s="1">
        <v>158000</v>
      </c>
      <c r="B1613" s="1" t="s">
        <v>195</v>
      </c>
      <c r="C1613" s="1" t="str">
        <f>"08698309"</f>
        <v>08698309</v>
      </c>
      <c r="D1613" s="1" t="s">
        <v>196</v>
      </c>
      <c r="F1613" s="1" t="str">
        <f>"538"</f>
        <v>538</v>
      </c>
      <c r="G1613" s="2">
        <v>41862</v>
      </c>
      <c r="H1613" s="1">
        <v>160000</v>
      </c>
      <c r="I1613" s="1">
        <v>158000</v>
      </c>
      <c r="J1613" s="1">
        <v>158000</v>
      </c>
      <c r="K1613" s="2">
        <v>41862</v>
      </c>
      <c r="L1613" s="1">
        <v>93</v>
      </c>
      <c r="M1613" s="2">
        <v>41954</v>
      </c>
      <c r="N1613" s="1">
        <v>93</v>
      </c>
      <c r="O1613" s="2">
        <v>41954</v>
      </c>
      <c r="P1613" s="1">
        <v>31500</v>
      </c>
      <c r="Q1613" s="1" t="s">
        <v>423</v>
      </c>
      <c r="R1613" s="2">
        <v>42004</v>
      </c>
      <c r="S1613" s="1">
        <v>310699</v>
      </c>
      <c r="U1613" s="1">
        <v>1408</v>
      </c>
      <c r="V1613" s="1" t="s">
        <v>12502</v>
      </c>
      <c r="W1613" s="1" t="s">
        <v>425</v>
      </c>
      <c r="X1613" s="1">
        <v>1408</v>
      </c>
      <c r="Y1613" s="1">
        <v>4</v>
      </c>
      <c r="Z1613" s="1" t="s">
        <v>370</v>
      </c>
      <c r="AA1613" s="1" t="s">
        <v>450</v>
      </c>
      <c r="AB1613" s="1">
        <v>60538</v>
      </c>
      <c r="AD1613" s="1" t="s">
        <v>15503</v>
      </c>
      <c r="AE1613" s="1" t="s">
        <v>15504</v>
      </c>
      <c r="AF1613" s="1">
        <v>2007</v>
      </c>
      <c r="AG1613" s="1" t="s">
        <v>204</v>
      </c>
      <c r="AH1613" s="1" t="s">
        <v>452</v>
      </c>
      <c r="AI1613" s="1" t="s">
        <v>665</v>
      </c>
      <c r="AJ1613" s="1" t="s">
        <v>1126</v>
      </c>
      <c r="AL1613" s="1">
        <v>7</v>
      </c>
      <c r="AM1613" s="1">
        <v>2</v>
      </c>
      <c r="AN1613" s="1">
        <v>2</v>
      </c>
      <c r="AO1613" s="1">
        <v>1</v>
      </c>
      <c r="AP1613" s="1" t="s">
        <v>209</v>
      </c>
      <c r="AR1613" s="1" t="s">
        <v>210</v>
      </c>
      <c r="AS1613" s="1" t="s">
        <v>204</v>
      </c>
      <c r="AT1613" s="1" t="s">
        <v>211</v>
      </c>
      <c r="AU1613" s="1">
        <v>2</v>
      </c>
      <c r="AW1613" s="1" t="s">
        <v>204</v>
      </c>
      <c r="AX1613" s="1" t="s">
        <v>15505</v>
      </c>
      <c r="AZ1613" s="1">
        <v>3822</v>
      </c>
      <c r="BA1613" s="1">
        <v>2013</v>
      </c>
      <c r="BB1613" s="1" t="s">
        <v>405</v>
      </c>
      <c r="BE1613" s="1">
        <v>1590</v>
      </c>
      <c r="BF1613" s="1">
        <v>1</v>
      </c>
      <c r="BG1613" s="1">
        <v>0</v>
      </c>
      <c r="BL1613" s="1">
        <v>150</v>
      </c>
      <c r="BM1613" s="1" t="s">
        <v>204</v>
      </c>
      <c r="BN1613" s="1" t="s">
        <v>213</v>
      </c>
      <c r="BO1613" s="1">
        <v>999</v>
      </c>
      <c r="BP1613" s="1" t="s">
        <v>204</v>
      </c>
      <c r="BR1613" s="1" t="str">
        <f>"1533477056"</f>
        <v>1533477056</v>
      </c>
      <c r="BT1613" s="1" t="s">
        <v>15506</v>
      </c>
      <c r="BU1613" s="1" t="s">
        <v>12506</v>
      </c>
      <c r="BV1613" s="1" t="s">
        <v>12507</v>
      </c>
      <c r="BW1613" s="1" t="s">
        <v>3930</v>
      </c>
      <c r="BX1613" s="1">
        <v>129</v>
      </c>
      <c r="BY1613" s="1">
        <v>129</v>
      </c>
      <c r="BZ1613" s="1">
        <v>129</v>
      </c>
      <c r="CB1613" s="1" t="str">
        <f t="shared" ref="CB1613:CC1613" si="1226">"0"</f>
        <v>0</v>
      </c>
      <c r="CC1613" s="1" t="str">
        <f t="shared" si="1226"/>
        <v>0</v>
      </c>
      <c r="CD1613" s="1">
        <v>36</v>
      </c>
      <c r="CE1613" s="1">
        <v>10</v>
      </c>
      <c r="CG1613" s="1" t="s">
        <v>729</v>
      </c>
      <c r="CH1613" s="1" t="s">
        <v>219</v>
      </c>
      <c r="CI1613" s="1" t="s">
        <v>220</v>
      </c>
      <c r="CK1613" s="1" t="s">
        <v>729</v>
      </c>
      <c r="CL1613" s="1" t="s">
        <v>277</v>
      </c>
      <c r="CM1613" s="1" t="s">
        <v>220</v>
      </c>
      <c r="CO1613" s="1" t="s">
        <v>344</v>
      </c>
      <c r="CP1613" s="1" t="s">
        <v>219</v>
      </c>
      <c r="CQ1613" s="1" t="s">
        <v>220</v>
      </c>
      <c r="CS1613" s="1" t="s">
        <v>221</v>
      </c>
      <c r="CT1613" s="1" t="s">
        <v>277</v>
      </c>
      <c r="CU1613" s="1" t="s">
        <v>220</v>
      </c>
      <c r="CX1613" s="1" t="s">
        <v>224</v>
      </c>
      <c r="DB1613" s="1" t="s">
        <v>224</v>
      </c>
      <c r="DE1613" s="1" t="s">
        <v>465</v>
      </c>
      <c r="DF1613" s="1" t="s">
        <v>219</v>
      </c>
      <c r="DG1613" s="1" t="s">
        <v>438</v>
      </c>
      <c r="DI1613" s="1" t="s">
        <v>931</v>
      </c>
      <c r="DJ1613" s="1" t="s">
        <v>822</v>
      </c>
      <c r="DK1613" s="1" t="s">
        <v>438</v>
      </c>
      <c r="DM1613" s="1" t="s">
        <v>1359</v>
      </c>
      <c r="DN1613" s="1" t="s">
        <v>381</v>
      </c>
      <c r="DR1613" s="1" t="s">
        <v>318</v>
      </c>
      <c r="DS1613" s="1" t="s">
        <v>219</v>
      </c>
      <c r="DT1613" s="1" t="s">
        <v>347</v>
      </c>
      <c r="DV1613" s="1" t="s">
        <v>489</v>
      </c>
      <c r="DW1613" s="1" t="s">
        <v>219</v>
      </c>
      <c r="DX1613" s="1" t="s">
        <v>438</v>
      </c>
      <c r="EA1613" s="1" t="s">
        <v>230</v>
      </c>
      <c r="EE1613" s="1" t="s">
        <v>230</v>
      </c>
      <c r="EI1613" s="1" t="s">
        <v>230</v>
      </c>
      <c r="EL1613" s="1" t="s">
        <v>491</v>
      </c>
      <c r="EM1613" s="1" t="s">
        <v>319</v>
      </c>
      <c r="EN1613" s="1" t="s">
        <v>282</v>
      </c>
      <c r="EO1613" s="1" t="s">
        <v>234</v>
      </c>
      <c r="EP1613" s="1" t="s">
        <v>650</v>
      </c>
      <c r="EQ1613" s="1" t="s">
        <v>953</v>
      </c>
      <c r="ER1613" s="1" t="s">
        <v>210</v>
      </c>
      <c r="ES1613" s="1" t="s">
        <v>3850</v>
      </c>
      <c r="ET1613" s="1" t="s">
        <v>866</v>
      </c>
      <c r="EU1613" s="1" t="s">
        <v>712</v>
      </c>
      <c r="EV1613" s="1" t="s">
        <v>324</v>
      </c>
      <c r="EW1613" s="1" t="s">
        <v>887</v>
      </c>
      <c r="EY1613" s="1" t="s">
        <v>790</v>
      </c>
      <c r="EZ1613" s="1" t="s">
        <v>15507</v>
      </c>
      <c r="FA1613" s="1" t="s">
        <v>4980</v>
      </c>
      <c r="FB1613" s="1" t="s">
        <v>289</v>
      </c>
      <c r="FC1613" s="1" t="s">
        <v>1362</v>
      </c>
      <c r="FD1613" s="1" t="s">
        <v>246</v>
      </c>
      <c r="FE1613" s="1" t="s">
        <v>549</v>
      </c>
      <c r="FF1613" s="1" t="s">
        <v>248</v>
      </c>
      <c r="FH1613" s="1" t="s">
        <v>1428</v>
      </c>
      <c r="FI1613" s="1" t="s">
        <v>3300</v>
      </c>
      <c r="FL1613" s="1" t="s">
        <v>358</v>
      </c>
      <c r="FM1613" s="1" t="s">
        <v>252</v>
      </c>
      <c r="FN1613" s="1" t="s">
        <v>213</v>
      </c>
      <c r="FO1613" s="1" t="s">
        <v>213</v>
      </c>
      <c r="FQ1613" s="1" t="s">
        <v>15508</v>
      </c>
      <c r="FR1613" s="1" t="s">
        <v>210</v>
      </c>
      <c r="FS1613" s="1" t="s">
        <v>15509</v>
      </c>
      <c r="FT1613" s="1" t="s">
        <v>15510</v>
      </c>
      <c r="FU1613" s="1" t="s">
        <v>204</v>
      </c>
      <c r="FW1613" s="1" t="s">
        <v>2420</v>
      </c>
      <c r="FX1613" s="1">
        <v>41</v>
      </c>
      <c r="FY1613" s="1" t="s">
        <v>2421</v>
      </c>
      <c r="FZ1613" s="1" t="s">
        <v>15511</v>
      </c>
      <c r="GA1613" s="1">
        <v>7755</v>
      </c>
      <c r="GD1613" s="1" t="s">
        <v>15512</v>
      </c>
      <c r="GE1613" s="1" t="s">
        <v>480</v>
      </c>
      <c r="GI1613" s="1" t="s">
        <v>213</v>
      </c>
      <c r="GJ1613" s="1" t="s">
        <v>260</v>
      </c>
      <c r="GK1613" s="1" t="s">
        <v>210</v>
      </c>
      <c r="GL1613" s="2">
        <v>42007</v>
      </c>
      <c r="GM1613" s="1" t="s">
        <v>15513</v>
      </c>
    </row>
    <row r="1614" spans="1:195">
      <c r="A1614" s="1">
        <v>125000</v>
      </c>
      <c r="B1614" s="1" t="s">
        <v>195</v>
      </c>
      <c r="C1614" s="1" t="str">
        <f>"08695702"</f>
        <v>08695702</v>
      </c>
      <c r="D1614" s="1" t="s">
        <v>196</v>
      </c>
      <c r="F1614" s="1" t="str">
        <f>"515"</f>
        <v>515</v>
      </c>
      <c r="G1614" s="2">
        <v>41858</v>
      </c>
      <c r="H1614" s="1">
        <v>149900</v>
      </c>
      <c r="I1614" s="1">
        <v>135000</v>
      </c>
      <c r="J1614" s="1">
        <v>125000</v>
      </c>
      <c r="K1614" s="2">
        <v>41858</v>
      </c>
      <c r="L1614" s="1">
        <v>160</v>
      </c>
      <c r="M1614" s="2">
        <v>42017</v>
      </c>
      <c r="N1614" s="1">
        <v>160</v>
      </c>
      <c r="O1614" s="2">
        <v>42017</v>
      </c>
      <c r="P1614" s="1">
        <v>20001</v>
      </c>
      <c r="Q1614" s="1" t="s">
        <v>197</v>
      </c>
      <c r="R1614" s="2">
        <v>42048</v>
      </c>
      <c r="S1614" s="1">
        <v>213522</v>
      </c>
      <c r="U1614" s="1">
        <v>6565</v>
      </c>
      <c r="V1614" s="1" t="s">
        <v>4253</v>
      </c>
      <c r="W1614" s="1" t="s">
        <v>725</v>
      </c>
      <c r="X1614" s="1">
        <v>202</v>
      </c>
      <c r="Y1614" s="1">
        <v>24</v>
      </c>
      <c r="Z1614" s="1" t="s">
        <v>249</v>
      </c>
      <c r="AA1614" s="1" t="s">
        <v>1294</v>
      </c>
      <c r="AB1614" s="1">
        <v>60516</v>
      </c>
      <c r="AD1614" s="1" t="s">
        <v>4254</v>
      </c>
      <c r="AE1614" s="1" t="s">
        <v>15514</v>
      </c>
      <c r="AF1614" s="1">
        <v>1973</v>
      </c>
      <c r="AG1614" s="1" t="s">
        <v>213</v>
      </c>
      <c r="AH1614" s="1" t="s">
        <v>903</v>
      </c>
      <c r="AI1614" s="1" t="s">
        <v>206</v>
      </c>
      <c r="AJ1614" s="1" t="s">
        <v>903</v>
      </c>
      <c r="AL1614" s="1">
        <v>5</v>
      </c>
      <c r="AM1614" s="1">
        <v>2</v>
      </c>
      <c r="AN1614" s="1">
        <v>2</v>
      </c>
      <c r="AO1614" s="1">
        <v>0</v>
      </c>
      <c r="AP1614" s="1" t="s">
        <v>209</v>
      </c>
      <c r="AR1614" s="1" t="s">
        <v>210</v>
      </c>
      <c r="AS1614" s="1" t="s">
        <v>204</v>
      </c>
      <c r="AT1614" s="1" t="s">
        <v>271</v>
      </c>
      <c r="AV1614" s="1">
        <v>1</v>
      </c>
      <c r="AW1614" s="1" t="s">
        <v>204</v>
      </c>
      <c r="AX1614" s="1" t="s">
        <v>212</v>
      </c>
      <c r="AZ1614" s="1">
        <v>1680</v>
      </c>
      <c r="BA1614" s="1">
        <v>2013</v>
      </c>
      <c r="BE1614" s="1">
        <v>1131</v>
      </c>
      <c r="BF1614" s="1">
        <v>2</v>
      </c>
      <c r="BG1614" s="1">
        <v>0</v>
      </c>
      <c r="BJ1614" s="1">
        <v>100</v>
      </c>
      <c r="BL1614" s="1">
        <v>300</v>
      </c>
      <c r="BM1614" s="1" t="s">
        <v>204</v>
      </c>
      <c r="BN1614" s="1" t="s">
        <v>213</v>
      </c>
      <c r="BO1614" s="1">
        <v>30</v>
      </c>
      <c r="BP1614" s="1" t="s">
        <v>204</v>
      </c>
      <c r="BR1614" s="1" t="str">
        <f>"0920123050"</f>
        <v>0920123050</v>
      </c>
      <c r="BT1614" s="1" t="s">
        <v>15515</v>
      </c>
      <c r="BU1614" s="1" t="s">
        <v>4257</v>
      </c>
      <c r="BV1614" s="1" t="s">
        <v>4258</v>
      </c>
      <c r="BW1614" s="1" t="s">
        <v>3099</v>
      </c>
      <c r="BX1614" s="1">
        <v>58</v>
      </c>
      <c r="BY1614" s="1">
        <v>58</v>
      </c>
      <c r="BZ1614" s="1">
        <v>99</v>
      </c>
      <c r="CB1614" s="1" t="str">
        <f t="shared" ref="CB1614:CC1614" si="1227">""</f>
        <v/>
      </c>
      <c r="CC1614" s="1" t="str">
        <f t="shared" si="1227"/>
        <v/>
      </c>
      <c r="CG1614" s="1" t="s">
        <v>2992</v>
      </c>
      <c r="CH1614" s="1" t="s">
        <v>219</v>
      </c>
      <c r="CK1614" s="1" t="s">
        <v>1045</v>
      </c>
      <c r="CL1614" s="1" t="s">
        <v>219</v>
      </c>
      <c r="CO1614" s="1" t="s">
        <v>346</v>
      </c>
      <c r="CP1614" s="1" t="s">
        <v>219</v>
      </c>
      <c r="CS1614" s="1" t="s">
        <v>346</v>
      </c>
      <c r="CT1614" s="1" t="s">
        <v>219</v>
      </c>
      <c r="CX1614" s="1" t="s">
        <v>224</v>
      </c>
      <c r="DB1614" s="1" t="s">
        <v>224</v>
      </c>
      <c r="DE1614" s="1" t="s">
        <v>951</v>
      </c>
      <c r="DF1614" s="1" t="s">
        <v>219</v>
      </c>
      <c r="DJ1614" s="1" t="s">
        <v>224</v>
      </c>
      <c r="DM1614" s="1" t="s">
        <v>709</v>
      </c>
      <c r="DN1614" s="1" t="s">
        <v>838</v>
      </c>
      <c r="DR1614" s="1" t="s">
        <v>4176</v>
      </c>
      <c r="DS1614" s="1" t="s">
        <v>219</v>
      </c>
      <c r="DV1614" s="1" t="s">
        <v>4259</v>
      </c>
      <c r="DW1614" s="1" t="s">
        <v>219</v>
      </c>
      <c r="EA1614" s="1" t="s">
        <v>230</v>
      </c>
      <c r="EE1614" s="1" t="s">
        <v>230</v>
      </c>
      <c r="EI1614" s="1" t="s">
        <v>230</v>
      </c>
      <c r="EL1614" s="1" t="s">
        <v>605</v>
      </c>
      <c r="EM1614" s="1" t="s">
        <v>232</v>
      </c>
      <c r="EN1614" s="1" t="s">
        <v>282</v>
      </c>
      <c r="EO1614" s="1" t="s">
        <v>234</v>
      </c>
      <c r="EQ1614" s="1" t="s">
        <v>468</v>
      </c>
      <c r="ER1614" s="1" t="s">
        <v>210</v>
      </c>
      <c r="ES1614" s="1" t="s">
        <v>3285</v>
      </c>
      <c r="EU1614" s="1" t="s">
        <v>610</v>
      </c>
      <c r="EV1614" s="1" t="s">
        <v>352</v>
      </c>
      <c r="EW1614" s="1" t="s">
        <v>15516</v>
      </c>
      <c r="EZ1614" s="1" t="s">
        <v>3826</v>
      </c>
      <c r="FD1614" s="1" t="s">
        <v>888</v>
      </c>
      <c r="FE1614" s="1" t="s">
        <v>247</v>
      </c>
      <c r="FF1614" s="1" t="s">
        <v>248</v>
      </c>
      <c r="FH1614" s="1" t="s">
        <v>249</v>
      </c>
      <c r="FL1614" s="1" t="s">
        <v>1073</v>
      </c>
      <c r="FM1614" s="1" t="s">
        <v>252</v>
      </c>
      <c r="FN1614" s="1" t="s">
        <v>213</v>
      </c>
      <c r="FO1614" s="1" t="s">
        <v>213</v>
      </c>
      <c r="FQ1614" s="1" t="s">
        <v>10964</v>
      </c>
      <c r="FR1614" s="1" t="s">
        <v>210</v>
      </c>
      <c r="FS1614" s="1" t="s">
        <v>15517</v>
      </c>
      <c r="FT1614" s="1" t="s">
        <v>295</v>
      </c>
      <c r="FU1614" s="1" t="s">
        <v>204</v>
      </c>
      <c r="FW1614" s="1" t="s">
        <v>10191</v>
      </c>
      <c r="FX1614" s="1">
        <v>23830</v>
      </c>
      <c r="FY1614" s="1" t="s">
        <v>10192</v>
      </c>
      <c r="FZ1614" s="1" t="s">
        <v>10193</v>
      </c>
      <c r="GA1614" s="1">
        <v>218461</v>
      </c>
      <c r="GB1614" s="1" t="s">
        <v>10194</v>
      </c>
      <c r="GE1614" s="1" t="s">
        <v>210</v>
      </c>
      <c r="GI1614" s="1" t="s">
        <v>213</v>
      </c>
      <c r="GJ1614" s="1" t="s">
        <v>260</v>
      </c>
      <c r="GK1614" s="1" t="s">
        <v>210</v>
      </c>
      <c r="GL1614" s="2">
        <v>42048</v>
      </c>
    </row>
    <row r="1615" spans="1:195">
      <c r="A1615" s="1">
        <v>50500</v>
      </c>
      <c r="B1615" s="1" t="s">
        <v>195</v>
      </c>
      <c r="C1615" s="1" t="str">
        <f>"08698651"</f>
        <v>08698651</v>
      </c>
      <c r="D1615" s="1" t="s">
        <v>196</v>
      </c>
      <c r="F1615" s="1" t="str">
        <f>"560"</f>
        <v>560</v>
      </c>
      <c r="G1615" s="2">
        <v>41862</v>
      </c>
      <c r="H1615" s="1">
        <v>82900</v>
      </c>
      <c r="I1615" s="1">
        <v>69900</v>
      </c>
      <c r="J1615" s="1">
        <v>50500</v>
      </c>
      <c r="K1615" s="2">
        <v>41862</v>
      </c>
      <c r="L1615" s="1">
        <v>105</v>
      </c>
      <c r="M1615" s="2">
        <v>41966</v>
      </c>
      <c r="N1615" s="1">
        <v>105</v>
      </c>
      <c r="O1615" s="2">
        <v>41966</v>
      </c>
      <c r="P1615" s="1">
        <v>23076</v>
      </c>
      <c r="Q1615" s="1" t="s">
        <v>302</v>
      </c>
      <c r="R1615" s="2">
        <v>41985</v>
      </c>
      <c r="S1615" s="1">
        <v>229884</v>
      </c>
      <c r="U1615" s="1">
        <v>148</v>
      </c>
      <c r="V1615" s="1" t="s">
        <v>482</v>
      </c>
      <c r="W1615" s="1" t="s">
        <v>264</v>
      </c>
      <c r="X1615" s="1" t="s">
        <v>483</v>
      </c>
      <c r="Y1615" s="1">
        <v>16</v>
      </c>
      <c r="Z1615" s="1" t="s">
        <v>249</v>
      </c>
      <c r="AA1615" s="1" t="s">
        <v>484</v>
      </c>
      <c r="AB1615" s="1">
        <v>60560</v>
      </c>
      <c r="AE1615" s="1" t="s">
        <v>15518</v>
      </c>
      <c r="AF1615" s="1">
        <v>2006</v>
      </c>
      <c r="AG1615" s="1" t="s">
        <v>204</v>
      </c>
      <c r="AH1615" s="1" t="s">
        <v>487</v>
      </c>
      <c r="AI1615" s="1" t="s">
        <v>453</v>
      </c>
      <c r="AJ1615" s="1" t="s">
        <v>454</v>
      </c>
      <c r="AL1615" s="1">
        <v>5</v>
      </c>
      <c r="AM1615" s="1">
        <v>2</v>
      </c>
      <c r="AN1615" s="1">
        <v>2</v>
      </c>
      <c r="AO1615" s="1">
        <v>0</v>
      </c>
      <c r="AP1615" s="1" t="s">
        <v>210</v>
      </c>
      <c r="AR1615" s="1" t="s">
        <v>210</v>
      </c>
      <c r="AS1615" s="1" t="s">
        <v>204</v>
      </c>
      <c r="AT1615" s="1" t="s">
        <v>211</v>
      </c>
      <c r="AU1615" s="1">
        <v>1</v>
      </c>
      <c r="AW1615" s="1" t="s">
        <v>204</v>
      </c>
      <c r="AX1615" s="1" t="s">
        <v>212</v>
      </c>
      <c r="AZ1615" s="1">
        <v>3690.08</v>
      </c>
      <c r="BA1615" s="1">
        <v>2012</v>
      </c>
      <c r="BE1615" s="1">
        <v>1049</v>
      </c>
      <c r="BF1615" s="1">
        <v>1</v>
      </c>
      <c r="BG1615" s="1">
        <v>0</v>
      </c>
      <c r="BL1615" s="1">
        <v>224</v>
      </c>
      <c r="BM1615" s="1" t="s">
        <v>413</v>
      </c>
      <c r="BN1615" s="1" t="s">
        <v>204</v>
      </c>
      <c r="BP1615" s="1" t="s">
        <v>204</v>
      </c>
      <c r="BR1615" s="1" t="str">
        <f>"0204390513"</f>
        <v>0204390513</v>
      </c>
      <c r="BT1615" s="1" t="s">
        <v>15519</v>
      </c>
      <c r="BX1615" s="1">
        <v>115</v>
      </c>
      <c r="BY1615" s="1">
        <v>115</v>
      </c>
      <c r="BZ1615" s="1">
        <v>115</v>
      </c>
      <c r="CB1615" s="1" t="str">
        <f t="shared" ref="CB1615:CC1615" si="1228">""</f>
        <v/>
      </c>
      <c r="CC1615" s="1" t="str">
        <f t="shared" si="1228"/>
        <v/>
      </c>
      <c r="CG1615" s="1" t="s">
        <v>344</v>
      </c>
      <c r="CH1615" s="1" t="s">
        <v>219</v>
      </c>
      <c r="CI1615" s="1" t="s">
        <v>220</v>
      </c>
      <c r="CK1615" s="1" t="s">
        <v>437</v>
      </c>
      <c r="CL1615" s="1" t="s">
        <v>219</v>
      </c>
      <c r="CM1615" s="1" t="s">
        <v>220</v>
      </c>
      <c r="CO1615" s="1" t="s">
        <v>489</v>
      </c>
      <c r="CP1615" s="1" t="s">
        <v>219</v>
      </c>
      <c r="CS1615" s="1" t="s">
        <v>490</v>
      </c>
      <c r="CT1615" s="1" t="s">
        <v>219</v>
      </c>
      <c r="CU1615" s="1" t="s">
        <v>220</v>
      </c>
      <c r="CX1615" s="1" t="s">
        <v>224</v>
      </c>
      <c r="DB1615" s="1" t="s">
        <v>224</v>
      </c>
      <c r="DE1615" s="1" t="s">
        <v>379</v>
      </c>
      <c r="DF1615" s="1" t="s">
        <v>219</v>
      </c>
      <c r="DJ1615" s="1" t="s">
        <v>224</v>
      </c>
      <c r="DS1615" s="1" t="s">
        <v>230</v>
      </c>
      <c r="DW1615" s="1" t="s">
        <v>230</v>
      </c>
      <c r="EA1615" s="1" t="s">
        <v>230</v>
      </c>
      <c r="EE1615" s="1" t="s">
        <v>230</v>
      </c>
      <c r="EI1615" s="1" t="s">
        <v>230</v>
      </c>
      <c r="EL1615" s="1" t="s">
        <v>491</v>
      </c>
      <c r="EM1615" s="1" t="s">
        <v>319</v>
      </c>
      <c r="EN1615" s="1" t="s">
        <v>1158</v>
      </c>
      <c r="EO1615" s="1" t="s">
        <v>234</v>
      </c>
      <c r="EQ1615" s="1" t="s">
        <v>5020</v>
      </c>
      <c r="ER1615" s="1" t="s">
        <v>210</v>
      </c>
      <c r="ES1615" s="1" t="s">
        <v>493</v>
      </c>
      <c r="EV1615" s="1" t="s">
        <v>240</v>
      </c>
      <c r="EW1615" s="1" t="s">
        <v>15520</v>
      </c>
      <c r="EZ1615" s="1" t="s">
        <v>287</v>
      </c>
      <c r="FD1615" s="1" t="s">
        <v>1112</v>
      </c>
      <c r="FE1615" s="1" t="s">
        <v>496</v>
      </c>
      <c r="FF1615" s="1" t="s">
        <v>248</v>
      </c>
      <c r="FH1615" s="1" t="s">
        <v>249</v>
      </c>
      <c r="FL1615" s="1" t="s">
        <v>292</v>
      </c>
      <c r="FM1615" s="1" t="s">
        <v>252</v>
      </c>
      <c r="FN1615" s="1" t="s">
        <v>213</v>
      </c>
      <c r="FO1615" s="1" t="s">
        <v>213</v>
      </c>
      <c r="FQ1615" s="1" t="s">
        <v>689</v>
      </c>
      <c r="FR1615" s="1" t="s">
        <v>210</v>
      </c>
      <c r="FS1615" s="1" t="s">
        <v>15521</v>
      </c>
      <c r="FT1615" s="1" t="s">
        <v>1828</v>
      </c>
      <c r="FU1615" s="1" t="s">
        <v>204</v>
      </c>
      <c r="FW1615" s="1" t="s">
        <v>1097</v>
      </c>
      <c r="FX1615" s="1">
        <v>8094</v>
      </c>
      <c r="FY1615" s="1" t="s">
        <v>1829</v>
      </c>
      <c r="FZ1615" s="1" t="s">
        <v>15522</v>
      </c>
      <c r="GA1615" s="1">
        <v>232535</v>
      </c>
      <c r="GB1615" s="1" t="s">
        <v>15523</v>
      </c>
      <c r="GE1615" s="1" t="s">
        <v>210</v>
      </c>
      <c r="GI1615" s="1" t="s">
        <v>204</v>
      </c>
      <c r="GJ1615" s="1" t="s">
        <v>260</v>
      </c>
      <c r="GK1615" s="1" t="s">
        <v>210</v>
      </c>
      <c r="GL1615" s="2">
        <v>41985</v>
      </c>
      <c r="GM1615" s="1" t="s">
        <v>15524</v>
      </c>
    </row>
    <row r="1616" spans="1:195">
      <c r="A1616" s="1">
        <v>350000</v>
      </c>
      <c r="B1616" s="1" t="s">
        <v>195</v>
      </c>
      <c r="C1616" s="1" t="str">
        <f>"08695613"</f>
        <v>08695613</v>
      </c>
      <c r="D1616" s="1" t="s">
        <v>196</v>
      </c>
      <c r="F1616" s="1" t="str">
        <f>"134"</f>
        <v>134</v>
      </c>
      <c r="G1616" s="2">
        <v>41858</v>
      </c>
      <c r="H1616" s="1">
        <v>374900</v>
      </c>
      <c r="I1616" s="1">
        <v>367500</v>
      </c>
      <c r="J1616" s="1">
        <v>350000</v>
      </c>
      <c r="K1616" s="2">
        <v>41858</v>
      </c>
      <c r="L1616" s="1">
        <v>116</v>
      </c>
      <c r="M1616" s="2">
        <v>41938</v>
      </c>
      <c r="N1616" s="1">
        <v>81</v>
      </c>
      <c r="O1616" s="2">
        <v>41938</v>
      </c>
      <c r="P1616" s="1">
        <v>280</v>
      </c>
      <c r="Q1616" s="1" t="s">
        <v>302</v>
      </c>
      <c r="R1616" s="2">
        <v>42016</v>
      </c>
      <c r="S1616" s="1">
        <v>7810</v>
      </c>
      <c r="U1616" s="1">
        <v>100</v>
      </c>
      <c r="V1616" s="1" t="s">
        <v>5295</v>
      </c>
      <c r="W1616" s="1" t="s">
        <v>504</v>
      </c>
      <c r="X1616" s="1">
        <v>210</v>
      </c>
      <c r="Y1616" s="1">
        <v>40</v>
      </c>
      <c r="Z1616" s="1" t="s">
        <v>200</v>
      </c>
      <c r="AA1616" s="1" t="s">
        <v>661</v>
      </c>
      <c r="AB1616" s="1">
        <v>60134</v>
      </c>
      <c r="AD1616" s="1" t="s">
        <v>10856</v>
      </c>
      <c r="AE1616" s="1" t="s">
        <v>15525</v>
      </c>
      <c r="AF1616" s="1">
        <v>2003</v>
      </c>
      <c r="AG1616" s="1" t="s">
        <v>204</v>
      </c>
      <c r="AH1616" s="1" t="s">
        <v>664</v>
      </c>
      <c r="AI1616" s="1" t="s">
        <v>665</v>
      </c>
      <c r="AJ1616" s="1" t="s">
        <v>664</v>
      </c>
      <c r="AK1616" s="1" t="s">
        <v>11734</v>
      </c>
      <c r="AL1616" s="1">
        <v>6</v>
      </c>
      <c r="AM1616" s="1">
        <v>2</v>
      </c>
      <c r="AN1616" s="1">
        <v>2</v>
      </c>
      <c r="AO1616" s="1">
        <v>0</v>
      </c>
      <c r="AP1616" s="1" t="s">
        <v>209</v>
      </c>
      <c r="AQ1616" s="1">
        <v>1</v>
      </c>
      <c r="AR1616" s="1" t="s">
        <v>210</v>
      </c>
      <c r="AS1616" s="1" t="s">
        <v>204</v>
      </c>
      <c r="AT1616" s="1" t="s">
        <v>375</v>
      </c>
      <c r="AU1616" s="1">
        <v>1</v>
      </c>
      <c r="AV1616" s="1">
        <v>2</v>
      </c>
      <c r="AW1616" s="1" t="s">
        <v>213</v>
      </c>
      <c r="AX1616" s="1" t="s">
        <v>212</v>
      </c>
      <c r="AZ1616" s="1">
        <v>7567.66</v>
      </c>
      <c r="BA1616" s="1">
        <v>2013</v>
      </c>
      <c r="BB1616" s="1" t="s">
        <v>405</v>
      </c>
      <c r="BE1616" s="1">
        <v>1900</v>
      </c>
      <c r="BF1616" s="1">
        <v>2</v>
      </c>
      <c r="BG1616" s="1">
        <v>0</v>
      </c>
      <c r="BJ1616" s="1">
        <v>95</v>
      </c>
      <c r="BL1616" s="1">
        <v>420</v>
      </c>
      <c r="BM1616" s="1" t="s">
        <v>204</v>
      </c>
      <c r="BN1616" s="1" t="s">
        <v>213</v>
      </c>
      <c r="BO1616" s="1">
        <v>50</v>
      </c>
      <c r="BP1616" s="1" t="s">
        <v>204</v>
      </c>
      <c r="BR1616" s="1" t="str">
        <f>"1203429045"</f>
        <v>1203429045</v>
      </c>
      <c r="BT1616" s="1" t="s">
        <v>15526</v>
      </c>
      <c r="BV1616" s="1" t="s">
        <v>2447</v>
      </c>
      <c r="BW1616" s="1" t="s">
        <v>2448</v>
      </c>
      <c r="BX1616" s="1">
        <v>304</v>
      </c>
      <c r="BY1616" s="1">
        <v>304</v>
      </c>
      <c r="BZ1616" s="1">
        <v>304</v>
      </c>
      <c r="CB1616" s="1" t="str">
        <f>"1"</f>
        <v>1</v>
      </c>
      <c r="CC1616" s="1" t="str">
        <f>"0"</f>
        <v>0</v>
      </c>
      <c r="CD1616" s="1">
        <v>35</v>
      </c>
      <c r="CE1616" s="1">
        <v>0</v>
      </c>
      <c r="CG1616" s="1" t="s">
        <v>15527</v>
      </c>
      <c r="CH1616" s="1" t="s">
        <v>277</v>
      </c>
      <c r="CI1616" s="1" t="s">
        <v>438</v>
      </c>
      <c r="CJ1616" s="1" t="s">
        <v>343</v>
      </c>
      <c r="CK1616" s="1" t="s">
        <v>861</v>
      </c>
      <c r="CL1616" s="1" t="s">
        <v>277</v>
      </c>
      <c r="CM1616" s="1" t="s">
        <v>438</v>
      </c>
      <c r="CN1616" s="1" t="s">
        <v>343</v>
      </c>
      <c r="CO1616" s="1" t="s">
        <v>629</v>
      </c>
      <c r="CP1616" s="1" t="s">
        <v>277</v>
      </c>
      <c r="CQ1616" s="1" t="s">
        <v>438</v>
      </c>
      <c r="CR1616" s="1" t="s">
        <v>343</v>
      </c>
      <c r="CS1616" s="1" t="s">
        <v>669</v>
      </c>
      <c r="CT1616" s="1" t="s">
        <v>277</v>
      </c>
      <c r="CU1616" s="1" t="s">
        <v>438</v>
      </c>
      <c r="CV1616" s="1" t="s">
        <v>343</v>
      </c>
      <c r="CX1616" s="1" t="s">
        <v>224</v>
      </c>
      <c r="DB1616" s="1" t="s">
        <v>224</v>
      </c>
      <c r="DE1616" s="1" t="s">
        <v>378</v>
      </c>
      <c r="DF1616" s="1" t="s">
        <v>277</v>
      </c>
      <c r="DG1616" s="1" t="s">
        <v>226</v>
      </c>
      <c r="DH1616" s="1" t="s">
        <v>343</v>
      </c>
      <c r="DI1616" s="1" t="s">
        <v>757</v>
      </c>
      <c r="DJ1616" s="1" t="s">
        <v>277</v>
      </c>
      <c r="DK1616" s="1" t="s">
        <v>438</v>
      </c>
      <c r="DL1616" s="1" t="s">
        <v>343</v>
      </c>
      <c r="DM1616" s="1" t="s">
        <v>8453</v>
      </c>
      <c r="DR1616" s="1" t="s">
        <v>2138</v>
      </c>
      <c r="DS1616" s="1" t="s">
        <v>277</v>
      </c>
      <c r="DT1616" s="1" t="s">
        <v>226</v>
      </c>
      <c r="DU1616" s="1" t="s">
        <v>439</v>
      </c>
      <c r="DW1616" s="1" t="s">
        <v>230</v>
      </c>
      <c r="EA1616" s="1" t="s">
        <v>230</v>
      </c>
      <c r="EE1616" s="1" t="s">
        <v>230</v>
      </c>
      <c r="EI1616" s="1" t="s">
        <v>230</v>
      </c>
      <c r="EL1616" s="1" t="s">
        <v>466</v>
      </c>
      <c r="EM1616" s="1" t="s">
        <v>319</v>
      </c>
      <c r="EN1616" s="1" t="s">
        <v>282</v>
      </c>
      <c r="EO1616" s="1" t="s">
        <v>234</v>
      </c>
      <c r="EP1616" s="1" t="s">
        <v>15528</v>
      </c>
      <c r="EQ1616" s="1" t="s">
        <v>236</v>
      </c>
      <c r="ER1616" s="1" t="s">
        <v>210</v>
      </c>
      <c r="ES1616" s="1" t="s">
        <v>493</v>
      </c>
      <c r="ET1616" s="1" t="s">
        <v>238</v>
      </c>
      <c r="EU1616" s="1" t="s">
        <v>15529</v>
      </c>
      <c r="EV1616" s="1" t="s">
        <v>1553</v>
      </c>
      <c r="EW1616" s="1" t="s">
        <v>15530</v>
      </c>
      <c r="EY1616" s="1" t="s">
        <v>242</v>
      </c>
      <c r="EZ1616" s="1" t="s">
        <v>8453</v>
      </c>
      <c r="FA1616" s="1" t="s">
        <v>1163</v>
      </c>
      <c r="FB1616" s="1" t="s">
        <v>289</v>
      </c>
      <c r="FC1616" s="1" t="s">
        <v>15531</v>
      </c>
      <c r="FD1616" s="1" t="s">
        <v>246</v>
      </c>
      <c r="FE1616" s="1" t="s">
        <v>15532</v>
      </c>
      <c r="FF1616" s="1" t="s">
        <v>2998</v>
      </c>
      <c r="FG1616" s="1" t="s">
        <v>292</v>
      </c>
      <c r="FH1616" s="1" t="s">
        <v>249</v>
      </c>
      <c r="FI1616" s="1" t="s">
        <v>250</v>
      </c>
      <c r="FK1616" s="1" t="s">
        <v>15533</v>
      </c>
      <c r="FL1616" s="1" t="s">
        <v>15534</v>
      </c>
      <c r="FM1616" s="1" t="s">
        <v>252</v>
      </c>
      <c r="FN1616" s="1" t="s">
        <v>213</v>
      </c>
      <c r="FO1616" s="1" t="s">
        <v>213</v>
      </c>
      <c r="FQ1616" s="1" t="s">
        <v>15535</v>
      </c>
      <c r="FR1616" s="1" t="s">
        <v>210</v>
      </c>
      <c r="FS1616" s="1" t="s">
        <v>15536</v>
      </c>
      <c r="FT1616" s="1" t="s">
        <v>2589</v>
      </c>
      <c r="FU1616" s="1" t="s">
        <v>204</v>
      </c>
      <c r="FW1616" s="1" t="s">
        <v>15537</v>
      </c>
      <c r="FX1616" s="1">
        <v>23803</v>
      </c>
      <c r="FY1616" s="1" t="s">
        <v>4482</v>
      </c>
      <c r="FZ1616" s="1" t="s">
        <v>15538</v>
      </c>
      <c r="GA1616" s="1">
        <v>221083</v>
      </c>
      <c r="GB1616" s="1" t="s">
        <v>15539</v>
      </c>
      <c r="GE1616" s="1" t="s">
        <v>2504</v>
      </c>
      <c r="GH1616" s="1" t="s">
        <v>230</v>
      </c>
      <c r="GI1616" s="1" t="s">
        <v>213</v>
      </c>
      <c r="GJ1616" s="1" t="s">
        <v>260</v>
      </c>
      <c r="GK1616" s="1" t="s">
        <v>261</v>
      </c>
      <c r="GL1616" s="2">
        <v>42016</v>
      </c>
      <c r="GM1616" s="1" t="s">
        <v>15540</v>
      </c>
    </row>
    <row r="1617" spans="1:195">
      <c r="A1617" s="1">
        <v>162000</v>
      </c>
      <c r="B1617" s="1" t="s">
        <v>195</v>
      </c>
      <c r="C1617" s="1" t="str">
        <f>"08684281"</f>
        <v>08684281</v>
      </c>
      <c r="D1617" s="1" t="s">
        <v>196</v>
      </c>
      <c r="F1617" s="1" t="str">
        <f t="shared" ref="F1617:F1618" si="1229">"507"</f>
        <v>507</v>
      </c>
      <c r="G1617" s="2">
        <v>41846</v>
      </c>
      <c r="H1617" s="1">
        <v>185000</v>
      </c>
      <c r="I1617" s="1">
        <v>174900</v>
      </c>
      <c r="J1617" s="1">
        <v>162000</v>
      </c>
      <c r="K1617" s="2">
        <v>41845</v>
      </c>
      <c r="L1617" s="1">
        <v>248</v>
      </c>
      <c r="M1617" s="2">
        <v>42092</v>
      </c>
      <c r="N1617" s="1">
        <v>248</v>
      </c>
      <c r="O1617" s="2">
        <v>42092</v>
      </c>
      <c r="P1617" s="1">
        <v>23030</v>
      </c>
      <c r="Q1617" s="1" t="s">
        <v>302</v>
      </c>
      <c r="R1617" s="2">
        <v>42146</v>
      </c>
      <c r="S1617" s="1">
        <v>232857</v>
      </c>
      <c r="U1617" s="1">
        <v>3232</v>
      </c>
      <c r="V1617" s="1" t="s">
        <v>3759</v>
      </c>
      <c r="W1617" s="1" t="s">
        <v>504</v>
      </c>
      <c r="Y1617" s="1">
        <v>4</v>
      </c>
      <c r="Z1617" s="1" t="s">
        <v>370</v>
      </c>
      <c r="AA1617" s="1" t="s">
        <v>1123</v>
      </c>
      <c r="AB1617" s="1">
        <v>60502</v>
      </c>
      <c r="AD1617" s="1" t="s">
        <v>3760</v>
      </c>
      <c r="AE1617" s="1" t="s">
        <v>15541</v>
      </c>
      <c r="AF1617" s="1">
        <v>2002</v>
      </c>
      <c r="AG1617" s="1" t="s">
        <v>204</v>
      </c>
      <c r="AH1617" s="1" t="s">
        <v>1126</v>
      </c>
      <c r="AI1617" s="1" t="s">
        <v>206</v>
      </c>
      <c r="AJ1617" s="1" t="s">
        <v>924</v>
      </c>
      <c r="AL1617" s="1">
        <v>5</v>
      </c>
      <c r="AM1617" s="1">
        <v>2</v>
      </c>
      <c r="AN1617" s="1">
        <v>2</v>
      </c>
      <c r="AO1617" s="1">
        <v>1</v>
      </c>
      <c r="AP1617" s="1" t="s">
        <v>209</v>
      </c>
      <c r="AQ1617" s="1">
        <v>0</v>
      </c>
      <c r="AR1617" s="1" t="s">
        <v>210</v>
      </c>
      <c r="AS1617" s="1" t="s">
        <v>204</v>
      </c>
      <c r="AT1617" s="1" t="s">
        <v>211</v>
      </c>
      <c r="AU1617" s="1">
        <v>2</v>
      </c>
      <c r="AW1617" s="1" t="s">
        <v>204</v>
      </c>
      <c r="AX1617" s="1" t="s">
        <v>212</v>
      </c>
      <c r="AZ1617" s="1">
        <v>4428</v>
      </c>
      <c r="BA1617" s="1">
        <v>2013</v>
      </c>
      <c r="BE1617" s="1">
        <v>1438</v>
      </c>
      <c r="BF1617" s="1">
        <v>1</v>
      </c>
      <c r="BG1617" s="1">
        <v>0</v>
      </c>
      <c r="BL1617" s="1">
        <v>134</v>
      </c>
      <c r="BM1617" s="1" t="s">
        <v>204</v>
      </c>
      <c r="BN1617" s="1" t="s">
        <v>213</v>
      </c>
      <c r="BO1617" s="1">
        <v>999</v>
      </c>
      <c r="BP1617" s="1" t="s">
        <v>204</v>
      </c>
      <c r="BR1617" s="1" t="str">
        <f>"0717121088"</f>
        <v>0717121088</v>
      </c>
      <c r="BT1617" s="1" t="s">
        <v>15542</v>
      </c>
      <c r="BU1617" s="1" t="s">
        <v>5816</v>
      </c>
      <c r="BV1617" s="1" t="s">
        <v>1130</v>
      </c>
      <c r="BW1617" s="1" t="s">
        <v>1131</v>
      </c>
      <c r="BX1617" s="1">
        <v>204</v>
      </c>
      <c r="BY1617" s="1">
        <v>204</v>
      </c>
      <c r="BZ1617" s="1">
        <v>204</v>
      </c>
      <c r="CB1617" s="1" t="str">
        <f t="shared" ref="CB1617:CC1617" si="1230">""</f>
        <v/>
      </c>
      <c r="CC1617" s="1" t="str">
        <f t="shared" si="1230"/>
        <v/>
      </c>
      <c r="CG1617" s="1" t="s">
        <v>2042</v>
      </c>
      <c r="CH1617" s="1" t="s">
        <v>219</v>
      </c>
      <c r="CI1617" s="1" t="s">
        <v>229</v>
      </c>
      <c r="CJ1617" s="1" t="s">
        <v>343</v>
      </c>
      <c r="CK1617" s="1" t="s">
        <v>538</v>
      </c>
      <c r="CL1617" s="1" t="s">
        <v>277</v>
      </c>
      <c r="CM1617" s="1" t="s">
        <v>220</v>
      </c>
      <c r="CN1617" s="1" t="s">
        <v>343</v>
      </c>
      <c r="CO1617" s="1" t="s">
        <v>837</v>
      </c>
      <c r="CP1617" s="1" t="s">
        <v>219</v>
      </c>
      <c r="CQ1617" s="1" t="s">
        <v>229</v>
      </c>
      <c r="CR1617" s="1" t="s">
        <v>210</v>
      </c>
      <c r="CS1617" s="1" t="s">
        <v>1046</v>
      </c>
      <c r="CT1617" s="1" t="s">
        <v>277</v>
      </c>
      <c r="CU1617" s="1" t="s">
        <v>220</v>
      </c>
      <c r="CV1617" s="1" t="s">
        <v>343</v>
      </c>
      <c r="CX1617" s="1" t="s">
        <v>224</v>
      </c>
      <c r="DB1617" s="1" t="s">
        <v>224</v>
      </c>
      <c r="DE1617" s="1" t="s">
        <v>281</v>
      </c>
      <c r="DF1617" s="1" t="s">
        <v>219</v>
      </c>
      <c r="DG1617" s="1" t="s">
        <v>229</v>
      </c>
      <c r="DH1617" s="1" t="s">
        <v>210</v>
      </c>
      <c r="DJ1617" s="1" t="s">
        <v>224</v>
      </c>
      <c r="DS1617" s="1" t="s">
        <v>230</v>
      </c>
      <c r="DW1617" s="1" t="s">
        <v>230</v>
      </c>
      <c r="EA1617" s="1" t="s">
        <v>230</v>
      </c>
      <c r="EE1617" s="1" t="s">
        <v>230</v>
      </c>
      <c r="EI1617" s="1" t="s">
        <v>230</v>
      </c>
      <c r="EL1617" s="1" t="s">
        <v>466</v>
      </c>
      <c r="EM1617" s="1" t="s">
        <v>232</v>
      </c>
      <c r="EN1617" s="1" t="s">
        <v>282</v>
      </c>
      <c r="EO1617" s="1" t="s">
        <v>234</v>
      </c>
      <c r="EQ1617" s="1" t="s">
        <v>1094</v>
      </c>
      <c r="ER1617" s="1" t="s">
        <v>210</v>
      </c>
      <c r="ES1617" s="1" t="s">
        <v>322</v>
      </c>
      <c r="ET1617" s="1" t="s">
        <v>842</v>
      </c>
      <c r="EV1617" s="1" t="s">
        <v>240</v>
      </c>
      <c r="EW1617" s="1" t="s">
        <v>353</v>
      </c>
      <c r="EZ1617" s="1" t="s">
        <v>287</v>
      </c>
      <c r="FD1617" s="1" t="s">
        <v>246</v>
      </c>
      <c r="FE1617" s="1" t="s">
        <v>870</v>
      </c>
      <c r="FF1617" s="1" t="s">
        <v>387</v>
      </c>
      <c r="FH1617" s="1" t="s">
        <v>550</v>
      </c>
      <c r="FJ1617" s="1" t="s">
        <v>518</v>
      </c>
      <c r="FL1617" s="1" t="s">
        <v>358</v>
      </c>
      <c r="FM1617" s="1" t="s">
        <v>252</v>
      </c>
      <c r="FN1617" s="1" t="s">
        <v>213</v>
      </c>
      <c r="FO1617" s="1" t="s">
        <v>213</v>
      </c>
      <c r="FQ1617" s="1" t="s">
        <v>1473</v>
      </c>
      <c r="FR1617" s="1" t="s">
        <v>210</v>
      </c>
      <c r="FS1617" s="1" t="s">
        <v>15543</v>
      </c>
      <c r="FT1617" s="1" t="s">
        <v>362</v>
      </c>
      <c r="FU1617" s="1" t="s">
        <v>204</v>
      </c>
      <c r="FW1617" s="1" t="s">
        <v>521</v>
      </c>
      <c r="FX1617" s="1">
        <v>25042</v>
      </c>
      <c r="FY1617" s="1" t="s">
        <v>522</v>
      </c>
      <c r="FZ1617" s="1" t="s">
        <v>15544</v>
      </c>
      <c r="GA1617" s="1">
        <v>259490</v>
      </c>
      <c r="GB1617" s="1" t="s">
        <v>15545</v>
      </c>
      <c r="GE1617" s="1" t="s">
        <v>658</v>
      </c>
      <c r="GI1617" s="1" t="s">
        <v>204</v>
      </c>
      <c r="GJ1617" s="1" t="s">
        <v>260</v>
      </c>
      <c r="GK1617" s="1" t="s">
        <v>210</v>
      </c>
      <c r="GL1617" s="2">
        <v>42147</v>
      </c>
      <c r="GM1617" s="1" t="s">
        <v>15546</v>
      </c>
    </row>
    <row r="1618" spans="1:195">
      <c r="A1618" s="1">
        <v>215000</v>
      </c>
      <c r="B1618" s="1" t="s">
        <v>195</v>
      </c>
      <c r="C1618" s="1" t="str">
        <f>"08688767"</f>
        <v>08688767</v>
      </c>
      <c r="D1618" s="1" t="s">
        <v>196</v>
      </c>
      <c r="F1618" s="1" t="str">
        <f t="shared" si="1229"/>
        <v>507</v>
      </c>
      <c r="G1618" s="2">
        <v>41851</v>
      </c>
      <c r="H1618" s="1">
        <v>249900</v>
      </c>
      <c r="I1618" s="1">
        <v>219900</v>
      </c>
      <c r="J1618" s="1">
        <v>215000</v>
      </c>
      <c r="K1618" s="2">
        <v>41851</v>
      </c>
      <c r="L1618" s="1">
        <v>198</v>
      </c>
      <c r="M1618" s="2">
        <v>42048</v>
      </c>
      <c r="N1618" s="1">
        <v>198</v>
      </c>
      <c r="O1618" s="2">
        <v>42048</v>
      </c>
      <c r="P1618" s="1">
        <v>70303</v>
      </c>
      <c r="Q1618" s="1" t="s">
        <v>1393</v>
      </c>
      <c r="R1618" s="2">
        <v>42086</v>
      </c>
      <c r="S1618" s="1">
        <v>701574</v>
      </c>
      <c r="U1618" s="1">
        <v>1276</v>
      </c>
      <c r="V1618" s="1" t="s">
        <v>10323</v>
      </c>
      <c r="W1618" s="1" t="s">
        <v>304</v>
      </c>
      <c r="Y1618" s="1">
        <v>4</v>
      </c>
      <c r="Z1618" s="1" t="s">
        <v>370</v>
      </c>
      <c r="AA1618" s="1" t="s">
        <v>1123</v>
      </c>
      <c r="AB1618" s="1">
        <v>60502</v>
      </c>
      <c r="AD1618" s="1" t="s">
        <v>6399</v>
      </c>
      <c r="AE1618" s="1" t="s">
        <v>15547</v>
      </c>
      <c r="AF1618" s="1">
        <v>2010</v>
      </c>
      <c r="AG1618" s="1" t="s">
        <v>204</v>
      </c>
      <c r="AH1618" s="1" t="s">
        <v>949</v>
      </c>
      <c r="AI1618" s="1" t="s">
        <v>665</v>
      </c>
      <c r="AJ1618" s="1" t="s">
        <v>949</v>
      </c>
      <c r="AK1618" s="1" t="s">
        <v>15548</v>
      </c>
      <c r="AL1618" s="1">
        <v>5</v>
      </c>
      <c r="AM1618" s="1">
        <v>2</v>
      </c>
      <c r="AN1618" s="1">
        <v>2</v>
      </c>
      <c r="AO1618" s="1">
        <v>1</v>
      </c>
      <c r="AP1618" s="1" t="s">
        <v>209</v>
      </c>
      <c r="AR1618" s="1" t="s">
        <v>209</v>
      </c>
      <c r="AS1618" s="1" t="s">
        <v>204</v>
      </c>
      <c r="AT1618" s="1" t="s">
        <v>211</v>
      </c>
      <c r="AU1618" s="1">
        <v>2</v>
      </c>
      <c r="AW1618" s="1" t="s">
        <v>204</v>
      </c>
      <c r="AX1618" s="1" t="s">
        <v>212</v>
      </c>
      <c r="AZ1618" s="1">
        <v>6026</v>
      </c>
      <c r="BA1618" s="1">
        <v>2013</v>
      </c>
      <c r="BB1618" s="1" t="s">
        <v>405</v>
      </c>
      <c r="BE1618" s="1">
        <v>1560</v>
      </c>
      <c r="BF1618" s="1">
        <v>1</v>
      </c>
      <c r="BG1618" s="1">
        <v>15</v>
      </c>
      <c r="BL1618" s="1">
        <v>170</v>
      </c>
      <c r="BM1618" s="1" t="s">
        <v>204</v>
      </c>
      <c r="BN1618" s="1" t="s">
        <v>213</v>
      </c>
      <c r="BO1618" s="1">
        <v>40</v>
      </c>
      <c r="BP1618" s="1" t="s">
        <v>204</v>
      </c>
      <c r="BR1618" s="1" t="str">
        <f>"1235448003"</f>
        <v>1235448003</v>
      </c>
      <c r="BT1618" s="1" t="s">
        <v>15549</v>
      </c>
      <c r="BU1618" s="1" t="s">
        <v>15550</v>
      </c>
      <c r="BV1618" s="1" t="s">
        <v>6404</v>
      </c>
      <c r="BW1618" s="1" t="s">
        <v>6405</v>
      </c>
      <c r="BX1618" s="1">
        <v>101</v>
      </c>
      <c r="BY1618" s="1">
        <v>101</v>
      </c>
      <c r="BZ1618" s="1">
        <v>101</v>
      </c>
      <c r="CB1618" s="1" t="str">
        <f t="shared" ref="CB1618:CC1618" si="1231">"0"</f>
        <v>0</v>
      </c>
      <c r="CC1618" s="1" t="str">
        <f t="shared" si="1231"/>
        <v>0</v>
      </c>
      <c r="CD1618" s="1">
        <v>34</v>
      </c>
      <c r="CE1618" s="1">
        <v>3</v>
      </c>
      <c r="CG1618" s="1" t="s">
        <v>314</v>
      </c>
      <c r="CH1618" s="1" t="s">
        <v>219</v>
      </c>
      <c r="CI1618" s="1" t="s">
        <v>438</v>
      </c>
      <c r="CJ1618" s="1" t="s">
        <v>343</v>
      </c>
      <c r="CK1618" s="1" t="s">
        <v>280</v>
      </c>
      <c r="CL1618" s="1" t="s">
        <v>277</v>
      </c>
      <c r="CM1618" s="1" t="s">
        <v>220</v>
      </c>
      <c r="CN1618" s="1" t="s">
        <v>343</v>
      </c>
      <c r="CO1618" s="1" t="s">
        <v>1297</v>
      </c>
      <c r="CP1618" s="1" t="s">
        <v>219</v>
      </c>
      <c r="CQ1618" s="1" t="s">
        <v>438</v>
      </c>
      <c r="CR1618" s="1" t="s">
        <v>343</v>
      </c>
      <c r="CS1618" s="1" t="s">
        <v>408</v>
      </c>
      <c r="CT1618" s="1" t="s">
        <v>277</v>
      </c>
      <c r="CU1618" s="1" t="s">
        <v>220</v>
      </c>
      <c r="CV1618" s="1" t="s">
        <v>343</v>
      </c>
      <c r="CX1618" s="1" t="s">
        <v>224</v>
      </c>
      <c r="DB1618" s="1" t="s">
        <v>224</v>
      </c>
      <c r="DE1618" s="1" t="s">
        <v>1297</v>
      </c>
      <c r="DF1618" s="1" t="s">
        <v>219</v>
      </c>
      <c r="DG1618" s="1" t="s">
        <v>438</v>
      </c>
      <c r="DH1618" s="1" t="s">
        <v>210</v>
      </c>
      <c r="DJ1618" s="1" t="s">
        <v>224</v>
      </c>
      <c r="DS1618" s="1" t="s">
        <v>230</v>
      </c>
      <c r="DW1618" s="1" t="s">
        <v>230</v>
      </c>
      <c r="EA1618" s="1" t="s">
        <v>230</v>
      </c>
      <c r="EE1618" s="1" t="s">
        <v>230</v>
      </c>
      <c r="EI1618" s="1" t="s">
        <v>230</v>
      </c>
      <c r="EL1618" s="1" t="s">
        <v>1549</v>
      </c>
      <c r="EM1618" s="1" t="s">
        <v>319</v>
      </c>
      <c r="EN1618" s="1" t="s">
        <v>282</v>
      </c>
      <c r="EO1618" s="1" t="s">
        <v>840</v>
      </c>
      <c r="EQ1618" s="1" t="s">
        <v>10544</v>
      </c>
      <c r="ER1618" s="1" t="s">
        <v>1249</v>
      </c>
      <c r="ES1618" s="1" t="s">
        <v>824</v>
      </c>
      <c r="EU1618" s="1" t="s">
        <v>1894</v>
      </c>
      <c r="EV1618" s="1" t="s">
        <v>352</v>
      </c>
      <c r="EW1618" s="1" t="s">
        <v>353</v>
      </c>
      <c r="EY1618" s="1" t="s">
        <v>2455</v>
      </c>
      <c r="EZ1618" s="1" t="s">
        <v>287</v>
      </c>
      <c r="FA1618" s="1" t="s">
        <v>5044</v>
      </c>
      <c r="FD1618" s="1" t="s">
        <v>4676</v>
      </c>
      <c r="FE1618" s="1" t="s">
        <v>247</v>
      </c>
      <c r="FF1618" s="1" t="s">
        <v>248</v>
      </c>
      <c r="FH1618" s="1" t="s">
        <v>550</v>
      </c>
      <c r="FI1618" s="1" t="s">
        <v>473</v>
      </c>
      <c r="FJ1618" s="1" t="s">
        <v>518</v>
      </c>
      <c r="FL1618" s="1" t="s">
        <v>358</v>
      </c>
      <c r="FM1618" s="1" t="s">
        <v>252</v>
      </c>
      <c r="FN1618" s="1" t="s">
        <v>213</v>
      </c>
      <c r="FO1618" s="1" t="s">
        <v>213</v>
      </c>
      <c r="FQ1618" s="1" t="s">
        <v>15551</v>
      </c>
      <c r="FR1618" s="1" t="s">
        <v>210</v>
      </c>
      <c r="FS1618" s="1" t="s">
        <v>15552</v>
      </c>
      <c r="FT1618" s="1" t="s">
        <v>295</v>
      </c>
      <c r="FU1618" s="1" t="s">
        <v>204</v>
      </c>
      <c r="FV1618" s="1" t="s">
        <v>15553</v>
      </c>
      <c r="FW1618" s="1" t="s">
        <v>915</v>
      </c>
      <c r="FX1618" s="1">
        <v>23076</v>
      </c>
      <c r="FY1618" s="1" t="s">
        <v>1909</v>
      </c>
      <c r="FZ1618" s="1" t="s">
        <v>15554</v>
      </c>
      <c r="GA1618" s="1">
        <v>233450</v>
      </c>
      <c r="GB1618" s="1" t="s">
        <v>15555</v>
      </c>
      <c r="GC1618" s="1">
        <v>227368</v>
      </c>
      <c r="GE1618" s="1" t="s">
        <v>210</v>
      </c>
      <c r="GI1618" s="1" t="s">
        <v>213</v>
      </c>
      <c r="GJ1618" s="1" t="s">
        <v>260</v>
      </c>
      <c r="GK1618" s="1" t="s">
        <v>210</v>
      </c>
      <c r="GL1618" s="2">
        <v>42086</v>
      </c>
      <c r="GM1618" s="1" t="s">
        <v>15556</v>
      </c>
    </row>
    <row r="1619" spans="1:195">
      <c r="A1619" s="1">
        <v>245000</v>
      </c>
      <c r="B1619" s="1" t="s">
        <v>195</v>
      </c>
      <c r="C1619" s="1" t="str">
        <f>"08696592"</f>
        <v>08696592</v>
      </c>
      <c r="D1619" s="1" t="s">
        <v>196</v>
      </c>
      <c r="F1619" s="1" t="str">
        <f>"190"</f>
        <v>190</v>
      </c>
      <c r="G1619" s="2">
        <v>41859</v>
      </c>
      <c r="H1619" s="1">
        <v>252066</v>
      </c>
      <c r="I1619" s="1">
        <v>249066</v>
      </c>
      <c r="J1619" s="1">
        <v>245000</v>
      </c>
      <c r="K1619" s="2">
        <v>41859</v>
      </c>
      <c r="L1619" s="1">
        <v>178</v>
      </c>
      <c r="M1619" s="2">
        <v>41928</v>
      </c>
      <c r="N1619" s="1">
        <v>70</v>
      </c>
      <c r="O1619" s="2">
        <v>41928</v>
      </c>
      <c r="P1619" s="1">
        <v>25373</v>
      </c>
      <c r="Q1619" s="1" t="s">
        <v>197</v>
      </c>
      <c r="R1619" s="2">
        <v>41988</v>
      </c>
      <c r="S1619" s="1">
        <v>251924</v>
      </c>
      <c r="U1619" s="1" t="s">
        <v>15557</v>
      </c>
      <c r="V1619" s="1" t="s">
        <v>15558</v>
      </c>
      <c r="W1619" s="1" t="s">
        <v>304</v>
      </c>
      <c r="Y1619" s="1">
        <v>6</v>
      </c>
      <c r="Z1619" s="1" t="s">
        <v>370</v>
      </c>
      <c r="AA1619" s="1" t="s">
        <v>1915</v>
      </c>
      <c r="AB1619" s="1">
        <v>60190</v>
      </c>
      <c r="AD1619" s="1" t="s">
        <v>15559</v>
      </c>
      <c r="AE1619" s="1" t="s">
        <v>15560</v>
      </c>
      <c r="AF1619" s="1">
        <v>2010</v>
      </c>
      <c r="AG1619" s="1" t="s">
        <v>204</v>
      </c>
      <c r="AH1619" s="1" t="s">
        <v>987</v>
      </c>
      <c r="AI1619" s="1" t="s">
        <v>206</v>
      </c>
      <c r="AJ1619" s="1" t="s">
        <v>987</v>
      </c>
      <c r="AK1619" s="1" t="s">
        <v>9907</v>
      </c>
      <c r="AL1619" s="1">
        <v>7</v>
      </c>
      <c r="AM1619" s="1">
        <v>2</v>
      </c>
      <c r="AN1619" s="1">
        <v>2</v>
      </c>
      <c r="AO1619" s="1">
        <v>1</v>
      </c>
      <c r="AP1619" s="1" t="s">
        <v>209</v>
      </c>
      <c r="AR1619" s="1" t="s">
        <v>1421</v>
      </c>
      <c r="AS1619" s="1" t="s">
        <v>204</v>
      </c>
      <c r="AT1619" s="1" t="s">
        <v>211</v>
      </c>
      <c r="AU1619" s="1">
        <v>2</v>
      </c>
      <c r="AW1619" s="1" t="s">
        <v>204</v>
      </c>
      <c r="AX1619" s="1" t="s">
        <v>15561</v>
      </c>
      <c r="AZ1619" s="1">
        <v>4355.58</v>
      </c>
      <c r="BA1619" s="1">
        <v>2013</v>
      </c>
      <c r="BB1619" s="1" t="s">
        <v>405</v>
      </c>
      <c r="BE1619" s="1">
        <v>1813</v>
      </c>
      <c r="BF1619" s="1">
        <v>1</v>
      </c>
      <c r="BG1619" s="1">
        <v>0</v>
      </c>
      <c r="BL1619" s="1">
        <v>165</v>
      </c>
      <c r="BM1619" s="1" t="s">
        <v>204</v>
      </c>
      <c r="BN1619" s="1" t="s">
        <v>213</v>
      </c>
      <c r="BO1619" s="1">
        <v>999</v>
      </c>
      <c r="BP1619" s="1" t="s">
        <v>204</v>
      </c>
      <c r="BR1619" s="1" t="str">
        <f>"0411400043"</f>
        <v>0411400043</v>
      </c>
      <c r="BT1619" s="1" t="s">
        <v>15562</v>
      </c>
      <c r="BU1619" s="1" t="s">
        <v>3162</v>
      </c>
      <c r="BV1619" s="1" t="s">
        <v>3163</v>
      </c>
      <c r="BW1619" s="1" t="s">
        <v>1675</v>
      </c>
      <c r="BX1619" s="1">
        <v>34</v>
      </c>
      <c r="BY1619" s="1">
        <v>34</v>
      </c>
      <c r="BZ1619" s="1">
        <v>94</v>
      </c>
      <c r="CB1619" s="1" t="str">
        <f>"0"</f>
        <v>0</v>
      </c>
      <c r="CC1619" s="1" t="str">
        <f>""</f>
        <v/>
      </c>
      <c r="CD1619" s="1">
        <v>27</v>
      </c>
      <c r="CG1619" s="1" t="s">
        <v>315</v>
      </c>
      <c r="CH1619" s="1" t="s">
        <v>219</v>
      </c>
      <c r="CI1619" s="1" t="s">
        <v>438</v>
      </c>
      <c r="CJ1619" s="1" t="s">
        <v>343</v>
      </c>
      <c r="CK1619" s="1" t="s">
        <v>221</v>
      </c>
      <c r="CL1619" s="1" t="s">
        <v>277</v>
      </c>
      <c r="CM1619" s="1" t="s">
        <v>220</v>
      </c>
      <c r="CN1619" s="1" t="s">
        <v>343</v>
      </c>
      <c r="CP1619" s="1" t="s">
        <v>224</v>
      </c>
      <c r="CS1619" s="1" t="s">
        <v>757</v>
      </c>
      <c r="CT1619" s="1" t="s">
        <v>277</v>
      </c>
      <c r="CU1619" s="1" t="s">
        <v>220</v>
      </c>
      <c r="CV1619" s="1" t="s">
        <v>343</v>
      </c>
      <c r="CX1619" s="1" t="s">
        <v>224</v>
      </c>
      <c r="DB1619" s="1" t="s">
        <v>224</v>
      </c>
      <c r="DE1619" s="1" t="s">
        <v>1358</v>
      </c>
      <c r="DF1619" s="1" t="s">
        <v>219</v>
      </c>
      <c r="DG1619" s="1" t="s">
        <v>438</v>
      </c>
      <c r="DI1619" s="1" t="s">
        <v>437</v>
      </c>
      <c r="DJ1619" s="1" t="s">
        <v>822</v>
      </c>
      <c r="DK1619" s="1" t="s">
        <v>220</v>
      </c>
      <c r="DL1619" s="1" t="s">
        <v>343</v>
      </c>
      <c r="DM1619" s="1" t="s">
        <v>381</v>
      </c>
      <c r="DN1619" s="1" t="s">
        <v>464</v>
      </c>
      <c r="DR1619" s="1" t="s">
        <v>2231</v>
      </c>
      <c r="DS1619" s="1" t="s">
        <v>219</v>
      </c>
      <c r="DT1619" s="1" t="s">
        <v>438</v>
      </c>
      <c r="DV1619" s="1" t="s">
        <v>318</v>
      </c>
      <c r="DW1619" s="1" t="s">
        <v>277</v>
      </c>
      <c r="DX1619" s="1" t="s">
        <v>220</v>
      </c>
      <c r="EA1619" s="1" t="s">
        <v>230</v>
      </c>
      <c r="EE1619" s="1" t="s">
        <v>230</v>
      </c>
      <c r="EI1619" s="1" t="s">
        <v>230</v>
      </c>
      <c r="EL1619" s="1" t="s">
        <v>1549</v>
      </c>
      <c r="EM1619" s="1" t="s">
        <v>232</v>
      </c>
      <c r="EN1619" s="1" t="s">
        <v>282</v>
      </c>
      <c r="EO1619" s="1" t="s">
        <v>234</v>
      </c>
      <c r="EP1619" s="1" t="s">
        <v>2738</v>
      </c>
      <c r="EQ1619" s="1" t="s">
        <v>2188</v>
      </c>
      <c r="ER1619" s="1" t="s">
        <v>544</v>
      </c>
      <c r="ES1619" s="1" t="s">
        <v>4840</v>
      </c>
      <c r="ET1619" s="1" t="s">
        <v>238</v>
      </c>
      <c r="EU1619" s="1" t="s">
        <v>15563</v>
      </c>
      <c r="EW1619" s="1" t="s">
        <v>353</v>
      </c>
      <c r="EY1619" s="1" t="s">
        <v>790</v>
      </c>
      <c r="EZ1619" s="1" t="s">
        <v>4284</v>
      </c>
      <c r="FA1619" s="1" t="s">
        <v>714</v>
      </c>
      <c r="FB1619" s="1" t="s">
        <v>846</v>
      </c>
      <c r="FC1619" s="1" t="s">
        <v>1386</v>
      </c>
      <c r="FD1619" s="1" t="s">
        <v>246</v>
      </c>
      <c r="FE1619" s="1" t="s">
        <v>975</v>
      </c>
      <c r="FF1619" s="1" t="s">
        <v>248</v>
      </c>
      <c r="FH1619" s="1" t="s">
        <v>15564</v>
      </c>
      <c r="FI1619" s="1" t="s">
        <v>473</v>
      </c>
      <c r="FJ1619" s="1" t="s">
        <v>518</v>
      </c>
      <c r="FL1619" s="1" t="s">
        <v>358</v>
      </c>
      <c r="FM1619" s="1" t="s">
        <v>252</v>
      </c>
      <c r="FN1619" s="1" t="s">
        <v>213</v>
      </c>
      <c r="FO1619" s="1" t="s">
        <v>213</v>
      </c>
      <c r="FQ1619" s="1" t="s">
        <v>7184</v>
      </c>
      <c r="FR1619" s="1" t="s">
        <v>210</v>
      </c>
      <c r="FS1619" s="1" t="s">
        <v>15565</v>
      </c>
      <c r="FT1619" s="1" t="s">
        <v>295</v>
      </c>
      <c r="FU1619" s="1" t="s">
        <v>204</v>
      </c>
      <c r="FW1619" s="1" t="s">
        <v>2144</v>
      </c>
      <c r="FX1619" s="1">
        <v>23163</v>
      </c>
      <c r="FY1619" s="1" t="s">
        <v>2145</v>
      </c>
      <c r="FZ1619" s="1" t="s">
        <v>7186</v>
      </c>
      <c r="GA1619" s="1">
        <v>215425</v>
      </c>
      <c r="GB1619" s="1" t="s">
        <v>7187</v>
      </c>
      <c r="GE1619" s="1" t="s">
        <v>1256</v>
      </c>
      <c r="GI1619" s="1" t="s">
        <v>213</v>
      </c>
      <c r="GJ1619" s="1" t="s">
        <v>260</v>
      </c>
      <c r="GK1619" s="1" t="s">
        <v>210</v>
      </c>
      <c r="GL1619" s="2">
        <v>41989</v>
      </c>
      <c r="GM1619" s="1" t="s">
        <v>15566</v>
      </c>
    </row>
    <row r="1620" spans="1:195">
      <c r="A1620" s="1">
        <v>143000</v>
      </c>
      <c r="B1620" s="1" t="s">
        <v>195</v>
      </c>
      <c r="C1620" s="1" t="str">
        <f>"08689416"</f>
        <v>08689416</v>
      </c>
      <c r="D1620" s="1" t="s">
        <v>196</v>
      </c>
      <c r="F1620" s="1" t="str">
        <f>"118"</f>
        <v>118</v>
      </c>
      <c r="G1620" s="2">
        <v>41852</v>
      </c>
      <c r="H1620" s="1">
        <v>148800</v>
      </c>
      <c r="I1620" s="1">
        <v>148000</v>
      </c>
      <c r="J1620" s="1">
        <v>143000</v>
      </c>
      <c r="K1620" s="2">
        <v>41851</v>
      </c>
      <c r="L1620" s="1">
        <v>248</v>
      </c>
      <c r="M1620" s="2">
        <v>42048</v>
      </c>
      <c r="N1620" s="1">
        <v>198</v>
      </c>
      <c r="O1620" s="2">
        <v>42048</v>
      </c>
      <c r="P1620" s="1">
        <v>21682</v>
      </c>
      <c r="Q1620" s="1" t="s">
        <v>423</v>
      </c>
      <c r="R1620" s="2">
        <v>42090</v>
      </c>
      <c r="S1620" s="1">
        <v>232332</v>
      </c>
      <c r="T1620" s="1">
        <v>2000</v>
      </c>
      <c r="U1620" s="1">
        <v>575</v>
      </c>
      <c r="V1620" s="1" t="s">
        <v>15567</v>
      </c>
      <c r="W1620" s="1" t="s">
        <v>304</v>
      </c>
      <c r="Y1620" s="1">
        <v>4</v>
      </c>
      <c r="Z1620" s="1" t="s">
        <v>370</v>
      </c>
      <c r="AA1620" s="1" t="s">
        <v>15568</v>
      </c>
      <c r="AB1620" s="1">
        <v>60118</v>
      </c>
      <c r="AE1620" s="1" t="s">
        <v>15569</v>
      </c>
      <c r="AF1620" s="1">
        <v>1996</v>
      </c>
      <c r="AG1620" s="1" t="s">
        <v>204</v>
      </c>
      <c r="AH1620" s="1" t="s">
        <v>7861</v>
      </c>
      <c r="AI1620" s="1" t="s">
        <v>665</v>
      </c>
      <c r="AJ1620" s="1" t="s">
        <v>805</v>
      </c>
      <c r="AL1620" s="1">
        <v>6</v>
      </c>
      <c r="AM1620" s="1">
        <v>2</v>
      </c>
      <c r="AN1620" s="1">
        <v>2</v>
      </c>
      <c r="AO1620" s="1">
        <v>1</v>
      </c>
      <c r="AP1620" s="1" t="s">
        <v>209</v>
      </c>
      <c r="AQ1620" s="1">
        <v>1</v>
      </c>
      <c r="AR1620" s="1" t="s">
        <v>210</v>
      </c>
      <c r="AS1620" s="1" t="s">
        <v>204</v>
      </c>
      <c r="AT1620" s="1" t="s">
        <v>211</v>
      </c>
      <c r="AU1620" s="1">
        <v>2</v>
      </c>
      <c r="AW1620" s="1" t="s">
        <v>204</v>
      </c>
      <c r="AX1620" s="1" t="s">
        <v>212</v>
      </c>
      <c r="AZ1620" s="1">
        <v>4114.84</v>
      </c>
      <c r="BA1620" s="1">
        <v>2013</v>
      </c>
      <c r="BB1620" s="1" t="s">
        <v>405</v>
      </c>
      <c r="BE1620" s="1">
        <v>1551</v>
      </c>
      <c r="BF1620" s="1">
        <v>1</v>
      </c>
      <c r="BG1620" s="1">
        <v>30</v>
      </c>
      <c r="BL1620" s="1">
        <v>175</v>
      </c>
      <c r="BM1620" s="1" t="s">
        <v>204</v>
      </c>
      <c r="BN1620" s="1" t="s">
        <v>213</v>
      </c>
      <c r="BO1620" s="1">
        <v>50</v>
      </c>
      <c r="BP1620" s="1" t="s">
        <v>204</v>
      </c>
      <c r="BR1620" s="1" t="str">
        <f>"0326203005"</f>
        <v>0326203005</v>
      </c>
      <c r="BT1620" s="1" t="s">
        <v>15570</v>
      </c>
      <c r="BU1620" s="1" t="s">
        <v>12716</v>
      </c>
      <c r="BV1620" s="1" t="s">
        <v>8986</v>
      </c>
      <c r="BW1620" s="1" t="s">
        <v>809</v>
      </c>
      <c r="BX1620" s="1">
        <v>300</v>
      </c>
      <c r="BY1620" s="1">
        <v>300</v>
      </c>
      <c r="BZ1620" s="1">
        <v>300</v>
      </c>
      <c r="CB1620" s="1" t="str">
        <f t="shared" ref="CB1620:CC1620" si="1232">""</f>
        <v/>
      </c>
      <c r="CC1620" s="1" t="str">
        <f t="shared" si="1232"/>
        <v/>
      </c>
      <c r="CG1620" s="1" t="s">
        <v>344</v>
      </c>
      <c r="CH1620" s="1" t="s">
        <v>219</v>
      </c>
      <c r="CI1620" s="1" t="s">
        <v>220</v>
      </c>
      <c r="CJ1620" s="1" t="s">
        <v>343</v>
      </c>
      <c r="CK1620" s="1" t="s">
        <v>1402</v>
      </c>
      <c r="CL1620" s="1" t="s">
        <v>277</v>
      </c>
      <c r="CM1620" s="1" t="s">
        <v>220</v>
      </c>
      <c r="CN1620" s="1" t="s">
        <v>343</v>
      </c>
      <c r="CO1620" s="1" t="s">
        <v>346</v>
      </c>
      <c r="CP1620" s="1" t="s">
        <v>219</v>
      </c>
      <c r="CQ1620" s="1" t="s">
        <v>220</v>
      </c>
      <c r="CR1620" s="1" t="s">
        <v>463</v>
      </c>
      <c r="CS1620" s="1" t="s">
        <v>346</v>
      </c>
      <c r="CT1620" s="1" t="s">
        <v>277</v>
      </c>
      <c r="CU1620" s="1" t="s">
        <v>220</v>
      </c>
      <c r="CV1620" s="1" t="s">
        <v>343</v>
      </c>
      <c r="CX1620" s="1" t="s">
        <v>224</v>
      </c>
      <c r="DB1620" s="1" t="s">
        <v>224</v>
      </c>
      <c r="DE1620" s="1" t="s">
        <v>346</v>
      </c>
      <c r="DF1620" s="1" t="s">
        <v>219</v>
      </c>
      <c r="DG1620" s="1" t="s">
        <v>226</v>
      </c>
      <c r="DH1620" s="1" t="s">
        <v>210</v>
      </c>
      <c r="DJ1620" s="1" t="s">
        <v>224</v>
      </c>
      <c r="DM1620" s="1" t="s">
        <v>464</v>
      </c>
      <c r="DN1620" s="1" t="s">
        <v>709</v>
      </c>
      <c r="DR1620" s="1" t="s">
        <v>318</v>
      </c>
      <c r="DS1620" s="1" t="s">
        <v>277</v>
      </c>
      <c r="DT1620" s="1" t="s">
        <v>220</v>
      </c>
      <c r="DU1620" s="1" t="s">
        <v>343</v>
      </c>
      <c r="DV1620" s="1" t="s">
        <v>11957</v>
      </c>
      <c r="DW1620" s="1" t="s">
        <v>219</v>
      </c>
      <c r="DX1620" s="1" t="s">
        <v>438</v>
      </c>
      <c r="DY1620" s="1" t="s">
        <v>210</v>
      </c>
      <c r="EA1620" s="1" t="s">
        <v>230</v>
      </c>
      <c r="EE1620" s="1" t="s">
        <v>230</v>
      </c>
      <c r="EI1620" s="1" t="s">
        <v>230</v>
      </c>
      <c r="EL1620" s="1" t="s">
        <v>670</v>
      </c>
      <c r="EM1620" s="1" t="s">
        <v>319</v>
      </c>
      <c r="EN1620" s="1" t="s">
        <v>282</v>
      </c>
      <c r="EO1620" s="1" t="s">
        <v>234</v>
      </c>
      <c r="EP1620" s="1" t="s">
        <v>210</v>
      </c>
      <c r="EQ1620" s="1" t="s">
        <v>236</v>
      </c>
      <c r="ER1620" s="1" t="s">
        <v>210</v>
      </c>
      <c r="ES1620" s="1" t="s">
        <v>5117</v>
      </c>
      <c r="EV1620" s="1" t="s">
        <v>352</v>
      </c>
      <c r="EW1620" s="1" t="s">
        <v>353</v>
      </c>
      <c r="EY1620" s="1" t="s">
        <v>242</v>
      </c>
      <c r="EZ1620" s="1" t="s">
        <v>2549</v>
      </c>
      <c r="FA1620" s="1" t="s">
        <v>6559</v>
      </c>
      <c r="FB1620" s="1" t="s">
        <v>289</v>
      </c>
      <c r="FC1620" s="1" t="s">
        <v>633</v>
      </c>
      <c r="FD1620" s="1" t="s">
        <v>290</v>
      </c>
      <c r="FE1620" s="1" t="s">
        <v>1006</v>
      </c>
      <c r="FF1620" s="1" t="s">
        <v>248</v>
      </c>
      <c r="FG1620" s="1" t="s">
        <v>871</v>
      </c>
      <c r="FH1620" s="1" t="s">
        <v>550</v>
      </c>
      <c r="FI1620" s="1" t="s">
        <v>473</v>
      </c>
      <c r="FJ1620" s="1" t="s">
        <v>518</v>
      </c>
      <c r="FL1620" s="1" t="s">
        <v>358</v>
      </c>
      <c r="FM1620" s="1" t="s">
        <v>252</v>
      </c>
      <c r="FN1620" s="1" t="s">
        <v>213</v>
      </c>
      <c r="FO1620" s="1" t="s">
        <v>213</v>
      </c>
      <c r="FQ1620" s="1" t="s">
        <v>4216</v>
      </c>
      <c r="FR1620" s="1" t="s">
        <v>210</v>
      </c>
      <c r="FS1620" s="1" t="s">
        <v>15571</v>
      </c>
      <c r="FT1620" s="1" t="s">
        <v>1408</v>
      </c>
      <c r="FU1620" s="1" t="s">
        <v>204</v>
      </c>
      <c r="FW1620" s="1" t="s">
        <v>1097</v>
      </c>
      <c r="FX1620" s="1">
        <v>7661</v>
      </c>
      <c r="FY1620" s="1" t="s">
        <v>7072</v>
      </c>
      <c r="FZ1620" s="1" t="s">
        <v>15572</v>
      </c>
      <c r="GA1620" s="1">
        <v>77025</v>
      </c>
      <c r="GB1620" s="1" t="s">
        <v>15573</v>
      </c>
      <c r="GD1620" s="1" t="s">
        <v>15574</v>
      </c>
      <c r="GE1620" s="1" t="s">
        <v>210</v>
      </c>
      <c r="GI1620" s="1" t="s">
        <v>213</v>
      </c>
      <c r="GJ1620" s="1" t="s">
        <v>260</v>
      </c>
      <c r="GK1620" s="1" t="s">
        <v>210</v>
      </c>
      <c r="GL1620" s="2">
        <v>42090</v>
      </c>
    </row>
    <row r="1621" spans="1:195">
      <c r="A1621" s="1">
        <v>107000</v>
      </c>
      <c r="B1621" s="1" t="s">
        <v>195</v>
      </c>
      <c r="C1621" s="1" t="str">
        <f>"08702803"</f>
        <v>08702803</v>
      </c>
      <c r="D1621" s="1" t="s">
        <v>196</v>
      </c>
      <c r="F1621" s="1" t="str">
        <f>"85"</f>
        <v>85</v>
      </c>
      <c r="G1621" s="2">
        <v>41866</v>
      </c>
      <c r="H1621" s="1">
        <v>119900</v>
      </c>
      <c r="I1621" s="1">
        <v>107900</v>
      </c>
      <c r="J1621" s="1">
        <v>107000</v>
      </c>
      <c r="K1621" s="2">
        <v>41866</v>
      </c>
      <c r="L1621" s="1">
        <v>62</v>
      </c>
      <c r="M1621" s="2">
        <v>41927</v>
      </c>
      <c r="N1621" s="1">
        <v>62</v>
      </c>
      <c r="O1621" s="2">
        <v>41927</v>
      </c>
      <c r="P1621" s="1">
        <v>2689</v>
      </c>
      <c r="Q1621" s="1" t="s">
        <v>197</v>
      </c>
      <c r="R1621" s="2">
        <v>41978</v>
      </c>
      <c r="S1621" s="1">
        <v>28229</v>
      </c>
      <c r="T1621" s="1">
        <v>2240</v>
      </c>
      <c r="U1621" s="1">
        <v>4403</v>
      </c>
      <c r="V1621" s="1" t="s">
        <v>15575</v>
      </c>
      <c r="W1621" s="1" t="s">
        <v>3006</v>
      </c>
      <c r="X1621" s="1">
        <v>4403</v>
      </c>
      <c r="Y1621" s="1">
        <v>4</v>
      </c>
      <c r="Z1621" s="1" t="s">
        <v>370</v>
      </c>
      <c r="AA1621" s="1" t="s">
        <v>2507</v>
      </c>
      <c r="AB1621" s="1">
        <v>60085</v>
      </c>
      <c r="AE1621" s="1" t="s">
        <v>15576</v>
      </c>
      <c r="AF1621" s="1">
        <v>1995</v>
      </c>
      <c r="AG1621" s="1" t="s">
        <v>204</v>
      </c>
      <c r="AH1621" s="1" t="s">
        <v>2509</v>
      </c>
      <c r="AI1621" s="1" t="s">
        <v>509</v>
      </c>
      <c r="AJ1621" s="1" t="s">
        <v>1061</v>
      </c>
      <c r="AL1621" s="1">
        <v>5</v>
      </c>
      <c r="AM1621" s="1">
        <v>2</v>
      </c>
      <c r="AN1621" s="1">
        <v>2</v>
      </c>
      <c r="AO1621" s="1">
        <v>1</v>
      </c>
      <c r="AP1621" s="1" t="s">
        <v>209</v>
      </c>
      <c r="AQ1621" s="1">
        <v>1</v>
      </c>
      <c r="AR1621" s="1" t="s">
        <v>210</v>
      </c>
      <c r="AT1621" s="1" t="s">
        <v>211</v>
      </c>
      <c r="AU1621" s="1">
        <v>1</v>
      </c>
      <c r="AW1621" s="1" t="s">
        <v>204</v>
      </c>
      <c r="AX1621" s="1" t="s">
        <v>1265</v>
      </c>
      <c r="AZ1621" s="1">
        <v>2217.09</v>
      </c>
      <c r="BA1621" s="1">
        <v>2013</v>
      </c>
      <c r="BB1621" s="1" t="s">
        <v>405</v>
      </c>
      <c r="BE1621" s="1">
        <v>1205</v>
      </c>
      <c r="BF1621" s="1">
        <v>1</v>
      </c>
      <c r="BG1621" s="1">
        <v>0</v>
      </c>
      <c r="BL1621" s="1">
        <v>167</v>
      </c>
      <c r="BM1621" s="1" t="s">
        <v>204</v>
      </c>
      <c r="BN1621" s="1" t="s">
        <v>213</v>
      </c>
      <c r="BO1621" s="1">
        <v>0</v>
      </c>
      <c r="BP1621" s="1" t="s">
        <v>204</v>
      </c>
      <c r="BR1621" s="1" t="str">
        <f>"07352070910000"</f>
        <v>07352070910000</v>
      </c>
      <c r="BT1621" s="1" t="s">
        <v>15577</v>
      </c>
      <c r="BX1621" s="1">
        <v>50</v>
      </c>
      <c r="BY1621" s="1">
        <v>50</v>
      </c>
      <c r="BZ1621" s="1">
        <v>121</v>
      </c>
      <c r="CB1621" s="1" t="str">
        <f t="shared" ref="CB1621:CC1621" si="1233">""</f>
        <v/>
      </c>
      <c r="CC1621" s="1" t="str">
        <f t="shared" si="1233"/>
        <v/>
      </c>
      <c r="CG1621" s="1" t="s">
        <v>2402</v>
      </c>
      <c r="CH1621" s="1" t="s">
        <v>219</v>
      </c>
      <c r="CI1621" s="1" t="s">
        <v>229</v>
      </c>
      <c r="CJ1621" s="1" t="s">
        <v>210</v>
      </c>
      <c r="CK1621" s="1" t="s">
        <v>1403</v>
      </c>
      <c r="CL1621" s="1" t="s">
        <v>277</v>
      </c>
      <c r="CM1621" s="1" t="s">
        <v>220</v>
      </c>
      <c r="CN1621" s="1" t="s">
        <v>343</v>
      </c>
      <c r="CO1621" s="1" t="s">
        <v>629</v>
      </c>
      <c r="CP1621" s="1" t="s">
        <v>219</v>
      </c>
      <c r="CS1621" s="1" t="s">
        <v>465</v>
      </c>
      <c r="CT1621" s="1" t="s">
        <v>277</v>
      </c>
      <c r="CU1621" s="1" t="s">
        <v>220</v>
      </c>
      <c r="CV1621" s="1" t="s">
        <v>343</v>
      </c>
      <c r="CX1621" s="1" t="s">
        <v>224</v>
      </c>
      <c r="DB1621" s="1" t="s">
        <v>224</v>
      </c>
      <c r="DE1621" s="1" t="s">
        <v>2982</v>
      </c>
      <c r="DF1621" s="1" t="s">
        <v>219</v>
      </c>
      <c r="DG1621" s="1" t="s">
        <v>229</v>
      </c>
      <c r="DJ1621" s="1" t="s">
        <v>224</v>
      </c>
      <c r="DS1621" s="1" t="s">
        <v>230</v>
      </c>
      <c r="DW1621" s="1" t="s">
        <v>230</v>
      </c>
      <c r="EA1621" s="1" t="s">
        <v>230</v>
      </c>
      <c r="EE1621" s="1" t="s">
        <v>230</v>
      </c>
      <c r="EI1621" s="1" t="s">
        <v>230</v>
      </c>
      <c r="EL1621" s="1" t="s">
        <v>670</v>
      </c>
      <c r="EM1621" s="1" t="s">
        <v>319</v>
      </c>
      <c r="EN1621" s="1" t="s">
        <v>282</v>
      </c>
      <c r="EO1621" s="1" t="s">
        <v>1020</v>
      </c>
      <c r="EQ1621" s="1" t="s">
        <v>236</v>
      </c>
      <c r="ER1621" s="1" t="s">
        <v>383</v>
      </c>
      <c r="ES1621" s="1" t="s">
        <v>493</v>
      </c>
      <c r="EV1621" s="1" t="s">
        <v>240</v>
      </c>
      <c r="EW1621" s="1" t="s">
        <v>353</v>
      </c>
      <c r="EY1621" s="1" t="s">
        <v>242</v>
      </c>
      <c r="EZ1621" s="1" t="s">
        <v>287</v>
      </c>
      <c r="FD1621" s="1" t="s">
        <v>246</v>
      </c>
      <c r="FE1621" s="1" t="s">
        <v>472</v>
      </c>
      <c r="FF1621" s="1" t="s">
        <v>248</v>
      </c>
      <c r="FG1621" s="1" t="s">
        <v>1204</v>
      </c>
      <c r="FH1621" s="1" t="s">
        <v>249</v>
      </c>
      <c r="FI1621" s="1" t="s">
        <v>473</v>
      </c>
      <c r="FJ1621" s="1" t="s">
        <v>1472</v>
      </c>
      <c r="FL1621" s="1" t="s">
        <v>358</v>
      </c>
      <c r="FM1621" s="1" t="s">
        <v>252</v>
      </c>
      <c r="FN1621" s="1" t="s">
        <v>213</v>
      </c>
      <c r="FO1621" s="1" t="s">
        <v>213</v>
      </c>
      <c r="FQ1621" s="1" t="s">
        <v>1884</v>
      </c>
      <c r="FR1621" s="1" t="s">
        <v>210</v>
      </c>
      <c r="FS1621" s="1" t="s">
        <v>15578</v>
      </c>
      <c r="FT1621" s="1" t="s">
        <v>362</v>
      </c>
      <c r="FU1621" s="1" t="s">
        <v>204</v>
      </c>
      <c r="FW1621" s="1" t="s">
        <v>585</v>
      </c>
      <c r="FX1621" s="1">
        <v>2050</v>
      </c>
      <c r="FY1621" s="1" t="s">
        <v>4207</v>
      </c>
      <c r="FZ1621" s="1" t="s">
        <v>15579</v>
      </c>
      <c r="GA1621" s="1">
        <v>18066</v>
      </c>
      <c r="GB1621" s="1" t="s">
        <v>4207</v>
      </c>
      <c r="GE1621" s="1" t="s">
        <v>480</v>
      </c>
      <c r="GH1621" s="1" t="s">
        <v>589</v>
      </c>
      <c r="GI1621" s="1" t="s">
        <v>213</v>
      </c>
      <c r="GJ1621" s="1" t="s">
        <v>260</v>
      </c>
      <c r="GK1621" s="1" t="s">
        <v>210</v>
      </c>
      <c r="GL1621" s="2">
        <v>41981</v>
      </c>
      <c r="GM1621" s="1" t="s">
        <v>15580</v>
      </c>
    </row>
    <row r="1622" spans="1:195">
      <c r="A1622" s="1">
        <v>143000</v>
      </c>
      <c r="B1622" s="1" t="s">
        <v>195</v>
      </c>
      <c r="C1622" s="1" t="str">
        <f>"08693117"</f>
        <v>08693117</v>
      </c>
      <c r="D1622" s="1" t="s">
        <v>196</v>
      </c>
      <c r="F1622" s="1" t="str">
        <f>"554"</f>
        <v>554</v>
      </c>
      <c r="G1622" s="2">
        <v>41856</v>
      </c>
      <c r="H1622" s="1">
        <v>164900</v>
      </c>
      <c r="I1622" s="1">
        <v>149900</v>
      </c>
      <c r="J1622" s="1">
        <v>143000</v>
      </c>
      <c r="K1622" s="2">
        <v>41854</v>
      </c>
      <c r="L1622" s="1">
        <v>235</v>
      </c>
      <c r="M1622" s="2">
        <v>42088</v>
      </c>
      <c r="N1622" s="1">
        <v>235</v>
      </c>
      <c r="O1622" s="2">
        <v>42088</v>
      </c>
      <c r="P1622" s="1">
        <v>24504</v>
      </c>
      <c r="Q1622" s="1" t="s">
        <v>197</v>
      </c>
      <c r="R1622" s="2">
        <v>42150</v>
      </c>
      <c r="S1622" s="1">
        <v>236067</v>
      </c>
      <c r="U1622" s="1">
        <v>203</v>
      </c>
      <c r="V1622" s="1" t="s">
        <v>2690</v>
      </c>
      <c r="W1622" s="1" t="s">
        <v>425</v>
      </c>
      <c r="X1622" s="1" t="s">
        <v>1688</v>
      </c>
      <c r="Y1622" s="1">
        <v>4</v>
      </c>
      <c r="Z1622" s="1" t="s">
        <v>370</v>
      </c>
      <c r="AA1622" s="1" t="s">
        <v>3443</v>
      </c>
      <c r="AB1622" s="1">
        <v>60554</v>
      </c>
      <c r="AD1622" s="1" t="s">
        <v>15581</v>
      </c>
      <c r="AE1622" s="1" t="s">
        <v>15582</v>
      </c>
      <c r="AF1622" s="1">
        <v>2005</v>
      </c>
      <c r="AG1622" s="1" t="s">
        <v>204</v>
      </c>
      <c r="AH1622" s="1" t="s">
        <v>3240</v>
      </c>
      <c r="AI1622" s="1" t="s">
        <v>665</v>
      </c>
      <c r="AJ1622" s="1" t="s">
        <v>3240</v>
      </c>
      <c r="AK1622" s="1" t="s">
        <v>6001</v>
      </c>
      <c r="AL1622" s="1">
        <v>5</v>
      </c>
      <c r="AM1622" s="1">
        <v>2</v>
      </c>
      <c r="AN1622" s="1">
        <v>2</v>
      </c>
      <c r="AO1622" s="1">
        <v>1</v>
      </c>
      <c r="AP1622" s="1" t="s">
        <v>209</v>
      </c>
      <c r="AQ1622" s="1">
        <v>1</v>
      </c>
      <c r="AR1622" s="1" t="s">
        <v>210</v>
      </c>
      <c r="AS1622" s="1" t="s">
        <v>204</v>
      </c>
      <c r="AT1622" s="1" t="s">
        <v>211</v>
      </c>
      <c r="AU1622" s="1">
        <v>2</v>
      </c>
      <c r="AW1622" s="1" t="s">
        <v>204</v>
      </c>
      <c r="AX1622" s="1" t="s">
        <v>212</v>
      </c>
      <c r="AZ1622" s="1">
        <v>5205</v>
      </c>
      <c r="BA1622" s="1">
        <v>2013</v>
      </c>
      <c r="BB1622" s="1" t="s">
        <v>405</v>
      </c>
      <c r="BE1622" s="1">
        <v>1615</v>
      </c>
      <c r="BF1622" s="1">
        <v>1</v>
      </c>
      <c r="BG1622" s="1">
        <v>0</v>
      </c>
      <c r="BL1622" s="1">
        <v>121</v>
      </c>
      <c r="BM1622" s="1" t="s">
        <v>204</v>
      </c>
      <c r="BN1622" s="1" t="s">
        <v>213</v>
      </c>
      <c r="BO1622" s="1">
        <v>0</v>
      </c>
      <c r="BP1622" s="1" t="s">
        <v>204</v>
      </c>
      <c r="BR1622" s="1" t="str">
        <f>"1416151024"</f>
        <v>1416151024</v>
      </c>
      <c r="BT1622" s="1" t="s">
        <v>15583</v>
      </c>
      <c r="BX1622" s="1">
        <v>302</v>
      </c>
      <c r="BY1622" s="1">
        <v>302</v>
      </c>
      <c r="BZ1622" s="1">
        <v>302</v>
      </c>
      <c r="CB1622" s="1" t="str">
        <f t="shared" ref="CB1622:CC1622" si="1234">""</f>
        <v/>
      </c>
      <c r="CC1622" s="1" t="str">
        <f t="shared" si="1234"/>
        <v/>
      </c>
      <c r="CG1622" s="1" t="s">
        <v>1105</v>
      </c>
      <c r="CH1622" s="1" t="s">
        <v>219</v>
      </c>
      <c r="CI1622" s="1" t="s">
        <v>229</v>
      </c>
      <c r="CJ1622" s="1" t="s">
        <v>343</v>
      </c>
      <c r="CK1622" s="1" t="s">
        <v>462</v>
      </c>
      <c r="CL1622" s="1" t="s">
        <v>277</v>
      </c>
      <c r="CM1622" s="1" t="s">
        <v>220</v>
      </c>
      <c r="CN1622" s="1" t="s">
        <v>343</v>
      </c>
      <c r="CP1622" s="1" t="s">
        <v>224</v>
      </c>
      <c r="CS1622" s="1" t="s">
        <v>3591</v>
      </c>
      <c r="CT1622" s="1" t="s">
        <v>277</v>
      </c>
      <c r="CU1622" s="1" t="s">
        <v>220</v>
      </c>
      <c r="CV1622" s="1" t="s">
        <v>343</v>
      </c>
      <c r="CX1622" s="1" t="s">
        <v>224</v>
      </c>
      <c r="DB1622" s="1" t="s">
        <v>224</v>
      </c>
      <c r="DE1622" s="1" t="s">
        <v>346</v>
      </c>
      <c r="DF1622" s="1" t="s">
        <v>219</v>
      </c>
      <c r="DG1622" s="1" t="s">
        <v>226</v>
      </c>
      <c r="DH1622" s="1" t="s">
        <v>343</v>
      </c>
      <c r="DJ1622" s="1" t="s">
        <v>224</v>
      </c>
      <c r="DM1622" s="1" t="s">
        <v>1548</v>
      </c>
      <c r="DR1622" s="1" t="s">
        <v>951</v>
      </c>
      <c r="DS1622" s="1" t="s">
        <v>219</v>
      </c>
      <c r="DT1622" s="1" t="s">
        <v>226</v>
      </c>
      <c r="DU1622" s="1" t="s">
        <v>343</v>
      </c>
      <c r="DW1622" s="1" t="s">
        <v>230</v>
      </c>
      <c r="EA1622" s="1" t="s">
        <v>230</v>
      </c>
      <c r="EE1622" s="1" t="s">
        <v>230</v>
      </c>
      <c r="EI1622" s="1" t="s">
        <v>230</v>
      </c>
      <c r="EL1622" s="1" t="s">
        <v>491</v>
      </c>
      <c r="EM1622" s="1" t="s">
        <v>319</v>
      </c>
      <c r="EN1622" s="1" t="s">
        <v>282</v>
      </c>
      <c r="EO1622" s="1" t="s">
        <v>234</v>
      </c>
      <c r="EP1622" s="1" t="s">
        <v>2682</v>
      </c>
      <c r="EQ1622" s="1" t="s">
        <v>671</v>
      </c>
      <c r="ER1622" s="1" t="s">
        <v>210</v>
      </c>
      <c r="ES1622" s="1" t="s">
        <v>824</v>
      </c>
      <c r="ET1622" s="1" t="s">
        <v>1201</v>
      </c>
      <c r="EU1622" s="1" t="s">
        <v>239</v>
      </c>
      <c r="EV1622" s="1" t="s">
        <v>240</v>
      </c>
      <c r="EW1622" s="1" t="s">
        <v>347</v>
      </c>
      <c r="EY1622" s="1" t="s">
        <v>441</v>
      </c>
      <c r="EZ1622" s="1" t="s">
        <v>1548</v>
      </c>
      <c r="FA1622" s="1" t="s">
        <v>6896</v>
      </c>
      <c r="FD1622" s="1" t="s">
        <v>246</v>
      </c>
      <c r="FE1622" s="1" t="s">
        <v>472</v>
      </c>
      <c r="FF1622" s="1" t="s">
        <v>248</v>
      </c>
      <c r="FG1622" s="1" t="s">
        <v>912</v>
      </c>
      <c r="FH1622" s="1" t="s">
        <v>550</v>
      </c>
      <c r="FL1622" s="1" t="s">
        <v>414</v>
      </c>
      <c r="FM1622" s="1" t="s">
        <v>252</v>
      </c>
      <c r="FN1622" s="1" t="s">
        <v>213</v>
      </c>
      <c r="FO1622" s="1" t="s">
        <v>204</v>
      </c>
      <c r="FQ1622" s="1" t="s">
        <v>2091</v>
      </c>
      <c r="FR1622" s="1" t="s">
        <v>210</v>
      </c>
      <c r="FS1622" s="1" t="s">
        <v>15584</v>
      </c>
      <c r="FT1622" s="1" t="s">
        <v>295</v>
      </c>
      <c r="FU1622" s="1" t="s">
        <v>204</v>
      </c>
      <c r="FW1622" s="1" t="s">
        <v>585</v>
      </c>
      <c r="FX1622" s="1">
        <v>23156</v>
      </c>
      <c r="FY1622" s="1" t="s">
        <v>1253</v>
      </c>
      <c r="FZ1622" s="1" t="s">
        <v>14703</v>
      </c>
      <c r="GA1622" s="1">
        <v>232863</v>
      </c>
      <c r="GB1622" s="1" t="s">
        <v>14704</v>
      </c>
      <c r="GE1622" s="1" t="s">
        <v>776</v>
      </c>
      <c r="GH1622" s="1" t="s">
        <v>589</v>
      </c>
      <c r="GI1622" s="1" t="s">
        <v>213</v>
      </c>
      <c r="GJ1622" s="1" t="s">
        <v>260</v>
      </c>
      <c r="GK1622" s="1" t="s">
        <v>210</v>
      </c>
      <c r="GL1622" s="2">
        <v>42150</v>
      </c>
      <c r="GM1622" s="1" t="s">
        <v>15585</v>
      </c>
    </row>
    <row r="1623" spans="1:195">
      <c r="A1623" s="1">
        <v>165000</v>
      </c>
      <c r="B1623" s="1" t="s">
        <v>195</v>
      </c>
      <c r="C1623" s="1" t="str">
        <f>"08690990"</f>
        <v>08690990</v>
      </c>
      <c r="D1623" s="1" t="s">
        <v>196</v>
      </c>
      <c r="F1623" s="1" t="str">
        <f>"562"</f>
        <v>562</v>
      </c>
      <c r="G1623" s="2">
        <v>41853</v>
      </c>
      <c r="H1623" s="1">
        <v>229900</v>
      </c>
      <c r="I1623" s="1">
        <v>179900</v>
      </c>
      <c r="J1623" s="1">
        <v>165000</v>
      </c>
      <c r="K1623" s="2">
        <v>41852</v>
      </c>
      <c r="L1623" s="1">
        <v>111</v>
      </c>
      <c r="M1623" s="2">
        <v>41962</v>
      </c>
      <c r="N1623" s="1">
        <v>111</v>
      </c>
      <c r="O1623" s="2">
        <v>41962</v>
      </c>
      <c r="P1623" s="1">
        <v>22039</v>
      </c>
      <c r="Q1623" s="1" t="s">
        <v>197</v>
      </c>
      <c r="R1623" s="2">
        <v>42002</v>
      </c>
      <c r="S1623" s="1">
        <v>239022</v>
      </c>
      <c r="U1623" s="1">
        <v>8309</v>
      </c>
      <c r="V1623" s="1" t="s">
        <v>15586</v>
      </c>
      <c r="W1623" s="1" t="s">
        <v>449</v>
      </c>
      <c r="X1623" s="1" t="s">
        <v>4806</v>
      </c>
      <c r="Y1623" s="1">
        <v>6</v>
      </c>
      <c r="Z1623" s="1" t="s">
        <v>370</v>
      </c>
      <c r="AA1623" s="1" t="s">
        <v>899</v>
      </c>
      <c r="AB1623" s="1">
        <v>60561</v>
      </c>
      <c r="AE1623" s="1" t="s">
        <v>15587</v>
      </c>
      <c r="AF1623" s="1">
        <v>1989</v>
      </c>
      <c r="AG1623" s="1" t="s">
        <v>204</v>
      </c>
      <c r="AH1623" s="1" t="s">
        <v>902</v>
      </c>
      <c r="AI1623" s="1" t="s">
        <v>206</v>
      </c>
      <c r="AJ1623" s="1" t="s">
        <v>903</v>
      </c>
      <c r="AL1623" s="1">
        <v>6</v>
      </c>
      <c r="AM1623" s="1">
        <v>2</v>
      </c>
      <c r="AN1623" s="1">
        <v>2</v>
      </c>
      <c r="AO1623" s="1">
        <v>1</v>
      </c>
      <c r="AP1623" s="1" t="s">
        <v>209</v>
      </c>
      <c r="AR1623" s="1" t="s">
        <v>210</v>
      </c>
      <c r="AS1623" s="1" t="s">
        <v>204</v>
      </c>
      <c r="AT1623" s="1" t="s">
        <v>211</v>
      </c>
      <c r="AU1623" s="1">
        <v>2</v>
      </c>
      <c r="AW1623" s="1" t="s">
        <v>204</v>
      </c>
      <c r="AX1623" s="1" t="s">
        <v>15588</v>
      </c>
      <c r="AZ1623" s="1">
        <v>2503</v>
      </c>
      <c r="BA1623" s="1">
        <v>2013</v>
      </c>
      <c r="BE1623" s="1">
        <v>1524</v>
      </c>
      <c r="BF1623" s="1">
        <v>1</v>
      </c>
      <c r="BG1623" s="1">
        <v>0</v>
      </c>
      <c r="BL1623" s="1">
        <v>216</v>
      </c>
      <c r="BM1623" s="1" t="s">
        <v>204</v>
      </c>
      <c r="BN1623" s="1" t="s">
        <v>213</v>
      </c>
      <c r="BO1623" s="1">
        <v>25</v>
      </c>
      <c r="BP1623" s="1" t="s">
        <v>204</v>
      </c>
      <c r="BR1623" s="1" t="str">
        <f>"0934412012"</f>
        <v>0934412012</v>
      </c>
      <c r="BT1623" s="1" t="s">
        <v>15589</v>
      </c>
      <c r="BW1623" s="1" t="s">
        <v>907</v>
      </c>
      <c r="BX1623" s="1">
        <v>63</v>
      </c>
      <c r="BY1623" s="1">
        <v>63</v>
      </c>
      <c r="BZ1623" s="1">
        <v>86</v>
      </c>
      <c r="CB1623" s="1" t="str">
        <f t="shared" ref="CB1623:CC1623" si="1235">""</f>
        <v/>
      </c>
      <c r="CC1623" s="1" t="str">
        <f t="shared" si="1235"/>
        <v/>
      </c>
      <c r="CG1623" s="1" t="s">
        <v>1788</v>
      </c>
      <c r="CH1623" s="1" t="s">
        <v>219</v>
      </c>
      <c r="CI1623" s="1" t="s">
        <v>220</v>
      </c>
      <c r="CK1623" s="1" t="s">
        <v>729</v>
      </c>
      <c r="CL1623" s="1" t="s">
        <v>277</v>
      </c>
      <c r="CO1623" s="1" t="s">
        <v>348</v>
      </c>
      <c r="CP1623" s="1" t="s">
        <v>219</v>
      </c>
      <c r="CS1623" s="1" t="s">
        <v>317</v>
      </c>
      <c r="CT1623" s="1" t="s">
        <v>277</v>
      </c>
      <c r="CX1623" s="1" t="s">
        <v>224</v>
      </c>
      <c r="DB1623" s="1" t="s">
        <v>224</v>
      </c>
      <c r="DE1623" s="1" t="s">
        <v>15264</v>
      </c>
      <c r="DF1623" s="1" t="s">
        <v>219</v>
      </c>
      <c r="DJ1623" s="1" t="s">
        <v>224</v>
      </c>
      <c r="DM1623" s="1" t="s">
        <v>464</v>
      </c>
      <c r="DR1623" s="1" t="s">
        <v>346</v>
      </c>
      <c r="DS1623" s="1" t="s">
        <v>277</v>
      </c>
      <c r="DW1623" s="1" t="s">
        <v>230</v>
      </c>
      <c r="EA1623" s="1" t="s">
        <v>230</v>
      </c>
      <c r="EE1623" s="1" t="s">
        <v>230</v>
      </c>
      <c r="EI1623" s="1" t="s">
        <v>230</v>
      </c>
      <c r="EL1623" s="1" t="s">
        <v>382</v>
      </c>
      <c r="EM1623" s="1" t="s">
        <v>319</v>
      </c>
      <c r="EN1623" s="1" t="s">
        <v>282</v>
      </c>
      <c r="EO1623" s="1" t="s">
        <v>234</v>
      </c>
      <c r="ER1623" s="1" t="s">
        <v>383</v>
      </c>
      <c r="EW1623" s="1" t="s">
        <v>15590</v>
      </c>
      <c r="EZ1623" s="1" t="s">
        <v>464</v>
      </c>
      <c r="FB1623" s="1" t="s">
        <v>289</v>
      </c>
      <c r="FD1623" s="1" t="s">
        <v>246</v>
      </c>
      <c r="FE1623" s="1" t="s">
        <v>1006</v>
      </c>
      <c r="FF1623" s="1" t="s">
        <v>248</v>
      </c>
      <c r="FH1623" s="1" t="s">
        <v>550</v>
      </c>
      <c r="FL1623" s="1" t="s">
        <v>414</v>
      </c>
      <c r="FM1623" s="1" t="s">
        <v>252</v>
      </c>
      <c r="FN1623" s="1" t="s">
        <v>213</v>
      </c>
      <c r="FO1623" s="1" t="s">
        <v>213</v>
      </c>
      <c r="FQ1623" s="1" t="s">
        <v>582</v>
      </c>
      <c r="FR1623" s="1" t="s">
        <v>210</v>
      </c>
      <c r="FS1623" s="1" t="s">
        <v>4720</v>
      </c>
      <c r="FT1623" s="1" t="s">
        <v>362</v>
      </c>
      <c r="FU1623" s="1" t="s">
        <v>204</v>
      </c>
      <c r="FW1623" s="1" t="s">
        <v>4512</v>
      </c>
      <c r="FX1623" s="1">
        <v>84804</v>
      </c>
      <c r="FY1623" s="1" t="s">
        <v>4513</v>
      </c>
      <c r="FZ1623" s="1" t="s">
        <v>4514</v>
      </c>
      <c r="GA1623" s="1">
        <v>141005</v>
      </c>
      <c r="GB1623" s="1" t="s">
        <v>4513</v>
      </c>
      <c r="GE1623" s="1" t="s">
        <v>480</v>
      </c>
      <c r="GI1623" s="1" t="s">
        <v>204</v>
      </c>
      <c r="GJ1623" s="1" t="s">
        <v>260</v>
      </c>
      <c r="GK1623" s="1" t="s">
        <v>210</v>
      </c>
      <c r="GL1623" s="2">
        <v>42004</v>
      </c>
      <c r="GM1623" s="1" t="s">
        <v>15591</v>
      </c>
    </row>
    <row r="1624" spans="1:195">
      <c r="A1624" s="1">
        <v>20000</v>
      </c>
      <c r="B1624" s="1" t="s">
        <v>195</v>
      </c>
      <c r="C1624" s="1" t="str">
        <f>"08690497"</f>
        <v>08690497</v>
      </c>
      <c r="D1624" s="1" t="s">
        <v>196</v>
      </c>
      <c r="F1624" s="1" t="str">
        <f>"8042"</f>
        <v>8042</v>
      </c>
      <c r="G1624" s="2">
        <v>41852</v>
      </c>
      <c r="H1624" s="1">
        <v>20000</v>
      </c>
      <c r="I1624" s="1">
        <v>20000</v>
      </c>
      <c r="J1624" s="1">
        <v>20000</v>
      </c>
      <c r="K1624" s="2">
        <v>41852</v>
      </c>
      <c r="L1624" s="1">
        <v>2</v>
      </c>
      <c r="M1624" s="2">
        <v>41853</v>
      </c>
      <c r="N1624" s="1">
        <v>2</v>
      </c>
      <c r="O1624" s="2">
        <v>41853</v>
      </c>
      <c r="P1624" s="1">
        <v>18454</v>
      </c>
      <c r="Q1624" s="1" t="s">
        <v>302</v>
      </c>
      <c r="R1624" s="2">
        <v>42055</v>
      </c>
      <c r="S1624" s="1">
        <v>134403</v>
      </c>
      <c r="U1624" s="1">
        <v>1509</v>
      </c>
      <c r="V1624" s="1" t="s">
        <v>778</v>
      </c>
      <c r="W1624" s="1" t="s">
        <v>725</v>
      </c>
      <c r="X1624" s="1">
        <v>2</v>
      </c>
      <c r="Y1624" s="1">
        <v>18</v>
      </c>
      <c r="Z1624" s="1" t="s">
        <v>249</v>
      </c>
      <c r="AA1624" s="1" t="s">
        <v>400</v>
      </c>
      <c r="AB1624" s="1">
        <v>60619</v>
      </c>
      <c r="AE1624" s="1" t="s">
        <v>15592</v>
      </c>
      <c r="AF1624" s="1" t="s">
        <v>402</v>
      </c>
      <c r="AG1624" s="1" t="s">
        <v>213</v>
      </c>
      <c r="AH1624" s="1" t="s">
        <v>403</v>
      </c>
      <c r="AI1624" s="1" t="s">
        <v>310</v>
      </c>
      <c r="AJ1624" s="1" t="s">
        <v>404</v>
      </c>
      <c r="AL1624" s="1">
        <v>5</v>
      </c>
      <c r="AM1624" s="1">
        <v>2</v>
      </c>
      <c r="AN1624" s="1">
        <v>1</v>
      </c>
      <c r="AO1624" s="1">
        <v>0</v>
      </c>
      <c r="AP1624" s="1" t="s">
        <v>210</v>
      </c>
      <c r="AR1624" s="1" t="s">
        <v>209</v>
      </c>
      <c r="AS1624" s="1" t="s">
        <v>204</v>
      </c>
      <c r="AT1624" s="1" t="s">
        <v>210</v>
      </c>
      <c r="AW1624" s="1" t="s">
        <v>204</v>
      </c>
      <c r="AX1624" s="1" t="s">
        <v>212</v>
      </c>
      <c r="AZ1624" s="1">
        <v>1258.8</v>
      </c>
      <c r="BA1624" s="1">
        <v>2012</v>
      </c>
      <c r="BE1624" s="1">
        <v>0</v>
      </c>
      <c r="BF1624" s="1">
        <v>2</v>
      </c>
      <c r="BG1624" s="1">
        <v>0</v>
      </c>
      <c r="BL1624" s="1">
        <v>218</v>
      </c>
      <c r="BM1624" s="1" t="s">
        <v>204</v>
      </c>
      <c r="BN1624" s="1" t="s">
        <v>204</v>
      </c>
      <c r="BP1624" s="1" t="s">
        <v>204</v>
      </c>
      <c r="BR1624" s="1" t="str">
        <f>"20232190301011"</f>
        <v>20232190301011</v>
      </c>
      <c r="BT1624" s="1" t="s">
        <v>15593</v>
      </c>
      <c r="BX1624" s="1">
        <v>299</v>
      </c>
      <c r="BY1624" s="1">
        <v>299</v>
      </c>
      <c r="BZ1624" s="1">
        <v>299</v>
      </c>
      <c r="CB1624" s="1" t="str">
        <f t="shared" ref="CB1624:CB1625" si="1236">"0"</f>
        <v>0</v>
      </c>
      <c r="CC1624" s="1" t="str">
        <f>"1509"</f>
        <v>1509</v>
      </c>
      <c r="CD1624" s="1">
        <v>0</v>
      </c>
      <c r="CE1624" s="1">
        <v>6500</v>
      </c>
      <c r="CG1624" s="1" t="s">
        <v>669</v>
      </c>
      <c r="CH1624" s="1" t="s">
        <v>277</v>
      </c>
      <c r="CI1624" s="1" t="s">
        <v>438</v>
      </c>
      <c r="CK1624" s="1" t="s">
        <v>757</v>
      </c>
      <c r="CL1624" s="1" t="s">
        <v>277</v>
      </c>
      <c r="CM1624" s="1" t="s">
        <v>438</v>
      </c>
      <c r="CO1624" s="1" t="s">
        <v>437</v>
      </c>
      <c r="CP1624" s="1" t="s">
        <v>277</v>
      </c>
      <c r="CQ1624" s="1" t="s">
        <v>438</v>
      </c>
      <c r="CS1624" s="1" t="s">
        <v>317</v>
      </c>
      <c r="CT1624" s="1" t="s">
        <v>277</v>
      </c>
      <c r="CU1624" s="1" t="s">
        <v>438</v>
      </c>
      <c r="CX1624" s="1" t="s">
        <v>224</v>
      </c>
      <c r="DB1624" s="1" t="s">
        <v>224</v>
      </c>
      <c r="DE1624" s="1" t="s">
        <v>378</v>
      </c>
      <c r="DF1624" s="1" t="s">
        <v>277</v>
      </c>
      <c r="DG1624" s="1" t="s">
        <v>438</v>
      </c>
      <c r="DJ1624" s="1" t="s">
        <v>224</v>
      </c>
      <c r="DS1624" s="1" t="s">
        <v>230</v>
      </c>
      <c r="DW1624" s="1" t="s">
        <v>230</v>
      </c>
      <c r="EA1624" s="1" t="s">
        <v>230</v>
      </c>
      <c r="EE1624" s="1" t="s">
        <v>230</v>
      </c>
      <c r="EI1624" s="1" t="s">
        <v>230</v>
      </c>
      <c r="EL1624" s="1" t="s">
        <v>2521</v>
      </c>
      <c r="EM1624" s="1" t="s">
        <v>730</v>
      </c>
      <c r="EN1624" s="1" t="s">
        <v>282</v>
      </c>
      <c r="EO1624" s="1" t="s">
        <v>234</v>
      </c>
      <c r="ER1624" s="1" t="s">
        <v>1249</v>
      </c>
      <c r="EW1624" s="1" t="s">
        <v>15594</v>
      </c>
      <c r="EZ1624" s="1" t="s">
        <v>287</v>
      </c>
      <c r="FD1624" s="1" t="s">
        <v>1112</v>
      </c>
      <c r="FE1624" s="1" t="s">
        <v>247</v>
      </c>
      <c r="FF1624" s="1" t="s">
        <v>248</v>
      </c>
      <c r="FH1624" s="1" t="s">
        <v>249</v>
      </c>
      <c r="FJ1624" s="1" t="s">
        <v>2046</v>
      </c>
      <c r="FL1624" s="1" t="s">
        <v>810</v>
      </c>
      <c r="FM1624" s="1" t="s">
        <v>210</v>
      </c>
      <c r="FN1624" s="1" t="s">
        <v>204</v>
      </c>
      <c r="FO1624" s="1" t="s">
        <v>204</v>
      </c>
      <c r="FQ1624" s="1" t="s">
        <v>13352</v>
      </c>
      <c r="FR1624" s="1" t="s">
        <v>360</v>
      </c>
      <c r="FS1624" s="1" t="s">
        <v>15595</v>
      </c>
      <c r="FT1624" s="1" t="s">
        <v>295</v>
      </c>
      <c r="FU1624" s="1" t="s">
        <v>204</v>
      </c>
      <c r="FW1624" s="1" t="s">
        <v>15596</v>
      </c>
      <c r="FX1624" s="1">
        <v>18454</v>
      </c>
      <c r="FY1624" s="1" t="s">
        <v>15597</v>
      </c>
      <c r="FZ1624" s="1" t="s">
        <v>15598</v>
      </c>
      <c r="GA1624" s="1">
        <v>134403</v>
      </c>
      <c r="GB1624" s="1" t="s">
        <v>15599</v>
      </c>
      <c r="GE1624" s="1" t="s">
        <v>210</v>
      </c>
      <c r="GH1624" s="1" t="s">
        <v>800</v>
      </c>
      <c r="GI1624" s="1" t="s">
        <v>204</v>
      </c>
      <c r="GJ1624" s="1" t="s">
        <v>260</v>
      </c>
      <c r="GK1624" s="1" t="s">
        <v>210</v>
      </c>
      <c r="GL1624" s="2">
        <v>42056</v>
      </c>
      <c r="GM1624" s="1" t="s">
        <v>15600</v>
      </c>
    </row>
    <row r="1625" spans="1:195">
      <c r="A1625" s="1">
        <v>145000</v>
      </c>
      <c r="B1625" s="1" t="s">
        <v>195</v>
      </c>
      <c r="C1625" s="1" t="str">
        <f>"08698174"</f>
        <v>08698174</v>
      </c>
      <c r="D1625" s="1" t="s">
        <v>196</v>
      </c>
      <c r="F1625" s="1" t="str">
        <f>"8039"</f>
        <v>8039</v>
      </c>
      <c r="G1625" s="2">
        <v>41862</v>
      </c>
      <c r="H1625" s="1">
        <v>155000</v>
      </c>
      <c r="I1625" s="1">
        <v>150000</v>
      </c>
      <c r="J1625" s="1">
        <v>145000</v>
      </c>
      <c r="K1625" s="2">
        <v>41860</v>
      </c>
      <c r="L1625" s="1">
        <v>108</v>
      </c>
      <c r="M1625" s="2">
        <v>41967</v>
      </c>
      <c r="N1625" s="1">
        <v>108</v>
      </c>
      <c r="O1625" s="2">
        <v>41967</v>
      </c>
      <c r="P1625" s="1">
        <v>12937</v>
      </c>
      <c r="Q1625" s="1" t="s">
        <v>1393</v>
      </c>
      <c r="R1625" s="2">
        <v>42062</v>
      </c>
      <c r="S1625" s="1">
        <v>119804</v>
      </c>
      <c r="U1625" s="1">
        <v>4800</v>
      </c>
      <c r="V1625" s="1" t="s">
        <v>15601</v>
      </c>
      <c r="W1625" s="1" t="s">
        <v>264</v>
      </c>
      <c r="X1625" s="1" t="s">
        <v>15602</v>
      </c>
      <c r="Y1625" s="1">
        <v>728</v>
      </c>
      <c r="Z1625" s="1" t="s">
        <v>249</v>
      </c>
      <c r="AA1625" s="1" t="s">
        <v>400</v>
      </c>
      <c r="AB1625" s="1">
        <v>60615</v>
      </c>
      <c r="AD1625" s="1" t="s">
        <v>15603</v>
      </c>
      <c r="AE1625" s="1" t="s">
        <v>15604</v>
      </c>
      <c r="AF1625" s="1">
        <v>1962</v>
      </c>
      <c r="AG1625" s="1" t="s">
        <v>213</v>
      </c>
      <c r="AH1625" s="1" t="s">
        <v>403</v>
      </c>
      <c r="AI1625" s="1" t="s">
        <v>310</v>
      </c>
      <c r="AJ1625" s="1" t="s">
        <v>562</v>
      </c>
      <c r="AL1625" s="1">
        <v>5</v>
      </c>
      <c r="AM1625" s="1">
        <v>2</v>
      </c>
      <c r="AN1625" s="1">
        <v>2</v>
      </c>
      <c r="AO1625" s="1">
        <v>0</v>
      </c>
      <c r="AP1625" s="1" t="s">
        <v>209</v>
      </c>
      <c r="AR1625" s="1" t="s">
        <v>210</v>
      </c>
      <c r="AS1625" s="1" t="s">
        <v>204</v>
      </c>
      <c r="AT1625" s="1" t="s">
        <v>211</v>
      </c>
      <c r="AU1625" s="1">
        <v>1</v>
      </c>
      <c r="AW1625" s="1" t="s">
        <v>213</v>
      </c>
      <c r="AX1625" s="1" t="s">
        <v>212</v>
      </c>
      <c r="AZ1625" s="1">
        <v>1920.75</v>
      </c>
      <c r="BA1625" s="1">
        <v>2013</v>
      </c>
      <c r="BB1625" s="1" t="s">
        <v>210</v>
      </c>
      <c r="BE1625" s="1">
        <v>1100</v>
      </c>
      <c r="BF1625" s="1">
        <v>5</v>
      </c>
      <c r="BG1625" s="1">
        <v>30</v>
      </c>
      <c r="BJ1625" s="1">
        <v>80</v>
      </c>
      <c r="BL1625" s="1">
        <v>815</v>
      </c>
      <c r="BM1625" s="1" t="s">
        <v>204</v>
      </c>
      <c r="BN1625" s="1" t="s">
        <v>213</v>
      </c>
      <c r="BP1625" s="1" t="s">
        <v>204</v>
      </c>
      <c r="BR1625" s="1" t="str">
        <f>"20121000031524"</f>
        <v>20121000031524</v>
      </c>
      <c r="BT1625" s="1" t="s">
        <v>15605</v>
      </c>
      <c r="BX1625" s="1">
        <v>299</v>
      </c>
      <c r="BY1625" s="1">
        <v>299</v>
      </c>
      <c r="BZ1625" s="1">
        <v>299</v>
      </c>
      <c r="CB1625" s="1" t="str">
        <f t="shared" si="1236"/>
        <v>0</v>
      </c>
      <c r="CC1625" s="1" t="str">
        <f>"1650"</f>
        <v>1650</v>
      </c>
      <c r="CD1625" s="1">
        <v>0</v>
      </c>
      <c r="CE1625" s="1">
        <v>4800</v>
      </c>
      <c r="CG1625" s="1" t="s">
        <v>5353</v>
      </c>
      <c r="CH1625" s="1" t="s">
        <v>219</v>
      </c>
      <c r="CI1625" s="1" t="s">
        <v>438</v>
      </c>
      <c r="CJ1625" s="1" t="s">
        <v>343</v>
      </c>
      <c r="CK1625" s="1" t="s">
        <v>1788</v>
      </c>
      <c r="CL1625" s="1" t="s">
        <v>219</v>
      </c>
      <c r="CM1625" s="1" t="s">
        <v>220</v>
      </c>
      <c r="CN1625" s="1" t="s">
        <v>343</v>
      </c>
      <c r="CO1625" s="1" t="s">
        <v>3657</v>
      </c>
      <c r="CP1625" s="1" t="s">
        <v>219</v>
      </c>
      <c r="CQ1625" s="1" t="s">
        <v>438</v>
      </c>
      <c r="CR1625" s="1" t="s">
        <v>343</v>
      </c>
      <c r="CS1625" s="1" t="s">
        <v>1469</v>
      </c>
      <c r="CT1625" s="1" t="s">
        <v>219</v>
      </c>
      <c r="CU1625" s="1" t="s">
        <v>220</v>
      </c>
      <c r="CV1625" s="1" t="s">
        <v>343</v>
      </c>
      <c r="CX1625" s="1" t="s">
        <v>224</v>
      </c>
      <c r="DB1625" s="1" t="s">
        <v>224</v>
      </c>
      <c r="DE1625" s="1" t="s">
        <v>3657</v>
      </c>
      <c r="DF1625" s="1" t="s">
        <v>219</v>
      </c>
      <c r="DG1625" s="1" t="s">
        <v>226</v>
      </c>
      <c r="DJ1625" s="1" t="s">
        <v>224</v>
      </c>
      <c r="DS1625" s="1" t="s">
        <v>230</v>
      </c>
      <c r="DW1625" s="1" t="s">
        <v>230</v>
      </c>
      <c r="EA1625" s="1" t="s">
        <v>230</v>
      </c>
      <c r="EE1625" s="1" t="s">
        <v>230</v>
      </c>
      <c r="EI1625" s="1" t="s">
        <v>230</v>
      </c>
      <c r="EL1625" s="1" t="s">
        <v>649</v>
      </c>
      <c r="EM1625" s="1" t="s">
        <v>319</v>
      </c>
      <c r="EN1625" s="1" t="s">
        <v>15606</v>
      </c>
      <c r="EO1625" s="1" t="s">
        <v>234</v>
      </c>
      <c r="EP1625" s="1" t="s">
        <v>15607</v>
      </c>
      <c r="EQ1625" s="1" t="s">
        <v>1109</v>
      </c>
      <c r="ER1625" s="1" t="s">
        <v>210</v>
      </c>
      <c r="ES1625" s="1" t="s">
        <v>545</v>
      </c>
      <c r="EU1625" s="1" t="s">
        <v>239</v>
      </c>
      <c r="EV1625" s="1" t="s">
        <v>240</v>
      </c>
      <c r="EW1625" s="1" t="s">
        <v>15608</v>
      </c>
      <c r="EZ1625" s="1" t="s">
        <v>287</v>
      </c>
      <c r="FA1625" s="1" t="s">
        <v>1427</v>
      </c>
      <c r="FB1625" s="1" t="s">
        <v>244</v>
      </c>
      <c r="FC1625" s="1" t="s">
        <v>15609</v>
      </c>
      <c r="FD1625" s="1" t="s">
        <v>736</v>
      </c>
      <c r="FE1625" s="1" t="s">
        <v>6051</v>
      </c>
      <c r="FF1625" s="1" t="s">
        <v>3103</v>
      </c>
      <c r="FH1625" s="1" t="s">
        <v>2432</v>
      </c>
      <c r="FI1625" s="1" t="s">
        <v>1114</v>
      </c>
      <c r="FJ1625" s="1" t="s">
        <v>197</v>
      </c>
      <c r="FL1625" s="1" t="s">
        <v>15610</v>
      </c>
      <c r="FM1625" s="1" t="s">
        <v>252</v>
      </c>
      <c r="FN1625" s="1" t="s">
        <v>213</v>
      </c>
      <c r="FO1625" s="1" t="s">
        <v>213</v>
      </c>
      <c r="FQ1625" s="1" t="s">
        <v>15611</v>
      </c>
      <c r="FR1625" s="1" t="s">
        <v>210</v>
      </c>
      <c r="FS1625" s="1" t="s">
        <v>15612</v>
      </c>
      <c r="FT1625" s="1" t="s">
        <v>15613</v>
      </c>
      <c r="FU1625" s="1" t="s">
        <v>204</v>
      </c>
      <c r="FW1625" s="1" t="s">
        <v>795</v>
      </c>
      <c r="FX1625" s="1">
        <v>85175</v>
      </c>
      <c r="FY1625" s="1" t="s">
        <v>796</v>
      </c>
      <c r="FZ1625" s="1" t="s">
        <v>15614</v>
      </c>
      <c r="GA1625" s="1">
        <v>129185</v>
      </c>
      <c r="GE1625" s="1" t="s">
        <v>1379</v>
      </c>
      <c r="GH1625" s="1" t="s">
        <v>421</v>
      </c>
      <c r="GI1625" s="1" t="s">
        <v>213</v>
      </c>
      <c r="GJ1625" s="1" t="s">
        <v>300</v>
      </c>
      <c r="GK1625" s="1" t="s">
        <v>210</v>
      </c>
      <c r="GL1625" s="2">
        <v>42063</v>
      </c>
      <c r="GM1625" s="1" t="s">
        <v>15615</v>
      </c>
    </row>
    <row r="1626" spans="1:195">
      <c r="A1626" s="1">
        <v>110000</v>
      </c>
      <c r="B1626" s="1" t="s">
        <v>195</v>
      </c>
      <c r="C1626" s="1" t="str">
        <f>"08709742"</f>
        <v>08709742</v>
      </c>
      <c r="D1626" s="1" t="s">
        <v>196</v>
      </c>
      <c r="F1626" s="1" t="str">
        <f>"188"</f>
        <v>188</v>
      </c>
      <c r="G1626" s="2">
        <v>41874</v>
      </c>
      <c r="H1626" s="1">
        <v>139000</v>
      </c>
      <c r="I1626" s="1">
        <v>134000</v>
      </c>
      <c r="J1626" s="1">
        <v>110000</v>
      </c>
      <c r="K1626" s="2">
        <v>41874</v>
      </c>
      <c r="L1626" s="1">
        <v>34</v>
      </c>
      <c r="M1626" s="2">
        <v>41907</v>
      </c>
      <c r="N1626" s="1">
        <v>34</v>
      </c>
      <c r="O1626" s="2">
        <v>41907</v>
      </c>
      <c r="P1626" s="1">
        <v>23757</v>
      </c>
      <c r="Q1626" s="1" t="s">
        <v>197</v>
      </c>
      <c r="R1626" s="2">
        <v>41969</v>
      </c>
      <c r="S1626" s="1">
        <v>231691</v>
      </c>
      <c r="U1626" s="1">
        <v>1282</v>
      </c>
      <c r="V1626" s="1" t="s">
        <v>15616</v>
      </c>
      <c r="W1626" s="1" t="s">
        <v>304</v>
      </c>
      <c r="X1626" s="1">
        <v>1282</v>
      </c>
      <c r="Y1626" s="1">
        <v>4</v>
      </c>
      <c r="Z1626" s="1" t="s">
        <v>249</v>
      </c>
      <c r="AA1626" s="1" t="s">
        <v>1084</v>
      </c>
      <c r="AB1626" s="1">
        <v>60188</v>
      </c>
      <c r="AC1626" s="1">
        <v>6012</v>
      </c>
      <c r="AD1626" s="1" t="s">
        <v>1085</v>
      </c>
      <c r="AE1626" s="1" t="s">
        <v>15617</v>
      </c>
      <c r="AF1626" s="1">
        <v>1989</v>
      </c>
      <c r="AG1626" s="1" t="s">
        <v>204</v>
      </c>
      <c r="AH1626" s="1" t="s">
        <v>1087</v>
      </c>
      <c r="AI1626" s="1" t="s">
        <v>206</v>
      </c>
      <c r="AJ1626" s="1" t="s">
        <v>269</v>
      </c>
      <c r="AK1626" s="1" t="s">
        <v>9907</v>
      </c>
      <c r="AL1626" s="1">
        <v>5</v>
      </c>
      <c r="AM1626" s="1">
        <v>2</v>
      </c>
      <c r="AN1626" s="1">
        <v>2</v>
      </c>
      <c r="AO1626" s="1">
        <v>0</v>
      </c>
      <c r="AP1626" s="1" t="s">
        <v>209</v>
      </c>
      <c r="AQ1626" s="1">
        <v>1</v>
      </c>
      <c r="AR1626" s="1" t="s">
        <v>210</v>
      </c>
      <c r="AS1626" s="1" t="s">
        <v>204</v>
      </c>
      <c r="AT1626" s="1" t="s">
        <v>211</v>
      </c>
      <c r="AU1626" s="1">
        <v>1</v>
      </c>
      <c r="AW1626" s="1" t="s">
        <v>204</v>
      </c>
      <c r="AX1626" s="1" t="s">
        <v>212</v>
      </c>
      <c r="AZ1626" s="1">
        <v>2616.1</v>
      </c>
      <c r="BA1626" s="1">
        <v>2013</v>
      </c>
      <c r="BB1626" s="1" t="s">
        <v>405</v>
      </c>
      <c r="BE1626" s="1">
        <v>1232</v>
      </c>
      <c r="BF1626" s="1">
        <v>2</v>
      </c>
      <c r="BG1626" s="1">
        <v>999</v>
      </c>
      <c r="BL1626" s="1">
        <v>236</v>
      </c>
      <c r="BM1626" s="1" t="s">
        <v>204</v>
      </c>
      <c r="BN1626" s="1" t="s">
        <v>213</v>
      </c>
      <c r="BO1626" s="1">
        <v>999</v>
      </c>
      <c r="BP1626" s="1" t="s">
        <v>204</v>
      </c>
      <c r="BR1626" s="1" t="str">
        <f>"0219400115"</f>
        <v>0219400115</v>
      </c>
      <c r="BT1626" s="1" t="s">
        <v>15618</v>
      </c>
      <c r="BU1626" s="1" t="s">
        <v>1090</v>
      </c>
      <c r="BV1626" s="1" t="s">
        <v>1091</v>
      </c>
      <c r="BW1626" s="1" t="s">
        <v>1092</v>
      </c>
      <c r="BX1626" s="1">
        <v>93</v>
      </c>
      <c r="BY1626" s="1">
        <v>93</v>
      </c>
      <c r="BZ1626" s="1">
        <v>87</v>
      </c>
      <c r="CB1626" s="1" t="str">
        <f>"4"</f>
        <v>4</v>
      </c>
      <c r="CC1626" s="1" t="str">
        <f t="shared" ref="CC1626:CC1627" si="1237">"0"</f>
        <v>0</v>
      </c>
      <c r="CD1626" s="1">
        <v>26</v>
      </c>
      <c r="CE1626" s="1">
        <v>0</v>
      </c>
      <c r="CG1626" s="1" t="s">
        <v>228</v>
      </c>
      <c r="CH1626" s="1" t="s">
        <v>277</v>
      </c>
      <c r="CI1626" s="1" t="s">
        <v>220</v>
      </c>
      <c r="CJ1626" s="1" t="s">
        <v>210</v>
      </c>
      <c r="CK1626" s="1" t="s">
        <v>862</v>
      </c>
      <c r="CL1626" s="1" t="s">
        <v>277</v>
      </c>
      <c r="CM1626" s="1" t="s">
        <v>220</v>
      </c>
      <c r="CN1626" s="1" t="s">
        <v>210</v>
      </c>
      <c r="CO1626" s="1" t="s">
        <v>1358</v>
      </c>
      <c r="CP1626" s="1" t="s">
        <v>277</v>
      </c>
      <c r="CQ1626" s="1" t="s">
        <v>220</v>
      </c>
      <c r="CR1626" s="1" t="s">
        <v>210</v>
      </c>
      <c r="CS1626" s="1" t="s">
        <v>1046</v>
      </c>
      <c r="CT1626" s="1" t="s">
        <v>277</v>
      </c>
      <c r="CU1626" s="1" t="s">
        <v>220</v>
      </c>
      <c r="CV1626" s="1" t="s">
        <v>210</v>
      </c>
      <c r="CX1626" s="1" t="s">
        <v>224</v>
      </c>
      <c r="DB1626" s="1" t="s">
        <v>224</v>
      </c>
      <c r="DE1626" s="1" t="s">
        <v>602</v>
      </c>
      <c r="DF1626" s="1" t="s">
        <v>277</v>
      </c>
      <c r="DG1626" s="1" t="s">
        <v>226</v>
      </c>
      <c r="DH1626" s="1" t="s">
        <v>210</v>
      </c>
      <c r="DJ1626" s="1" t="s">
        <v>224</v>
      </c>
      <c r="DS1626" s="1" t="s">
        <v>230</v>
      </c>
      <c r="DW1626" s="1" t="s">
        <v>230</v>
      </c>
      <c r="EA1626" s="1" t="s">
        <v>230</v>
      </c>
      <c r="EE1626" s="1" t="s">
        <v>230</v>
      </c>
      <c r="EI1626" s="1" t="s">
        <v>230</v>
      </c>
      <c r="EL1626" s="1" t="s">
        <v>382</v>
      </c>
      <c r="EM1626" s="1" t="s">
        <v>232</v>
      </c>
      <c r="EN1626" s="1" t="s">
        <v>282</v>
      </c>
      <c r="EO1626" s="1" t="s">
        <v>840</v>
      </c>
      <c r="EP1626" s="1" t="s">
        <v>1614</v>
      </c>
      <c r="EQ1626" s="1" t="s">
        <v>1094</v>
      </c>
      <c r="ER1626" s="1" t="s">
        <v>210</v>
      </c>
      <c r="ES1626" s="1" t="s">
        <v>322</v>
      </c>
      <c r="EU1626" s="1" t="s">
        <v>1110</v>
      </c>
      <c r="EV1626" s="1" t="s">
        <v>240</v>
      </c>
      <c r="EW1626" s="1" t="s">
        <v>911</v>
      </c>
      <c r="EY1626" s="1" t="s">
        <v>242</v>
      </c>
      <c r="EZ1626" s="1" t="s">
        <v>287</v>
      </c>
      <c r="FA1626" s="1" t="s">
        <v>9804</v>
      </c>
      <c r="FB1626" s="1" t="s">
        <v>289</v>
      </c>
      <c r="FD1626" s="1" t="s">
        <v>495</v>
      </c>
      <c r="FE1626" s="1" t="s">
        <v>6121</v>
      </c>
      <c r="FF1626" s="1" t="s">
        <v>248</v>
      </c>
      <c r="FG1626" s="1" t="s">
        <v>2739</v>
      </c>
      <c r="FH1626" s="1" t="s">
        <v>940</v>
      </c>
      <c r="FI1626" s="1" t="s">
        <v>473</v>
      </c>
      <c r="FJ1626" s="1" t="s">
        <v>197</v>
      </c>
      <c r="FL1626" s="1" t="s">
        <v>358</v>
      </c>
      <c r="FM1626" s="1" t="s">
        <v>252</v>
      </c>
      <c r="FN1626" s="1" t="s">
        <v>213</v>
      </c>
      <c r="FO1626" s="1" t="s">
        <v>213</v>
      </c>
      <c r="FQ1626" s="1" t="s">
        <v>359</v>
      </c>
      <c r="FR1626" s="1" t="s">
        <v>360</v>
      </c>
      <c r="FS1626" s="1" t="s">
        <v>15619</v>
      </c>
      <c r="FT1626" s="1" t="s">
        <v>15620</v>
      </c>
      <c r="FU1626" s="1" t="s">
        <v>213</v>
      </c>
      <c r="FW1626" s="1" t="s">
        <v>1637</v>
      </c>
      <c r="FX1626" s="1">
        <v>8059</v>
      </c>
      <c r="FY1626" s="1" t="s">
        <v>2034</v>
      </c>
      <c r="FZ1626" s="1" t="s">
        <v>15621</v>
      </c>
      <c r="GA1626" s="1">
        <v>89212</v>
      </c>
      <c r="GB1626" s="1" t="s">
        <v>15622</v>
      </c>
      <c r="GD1626" s="1" t="s">
        <v>15623</v>
      </c>
      <c r="GE1626" s="1" t="s">
        <v>210</v>
      </c>
      <c r="GI1626" s="1" t="s">
        <v>213</v>
      </c>
      <c r="GJ1626" s="1" t="s">
        <v>260</v>
      </c>
      <c r="GK1626" s="1" t="s">
        <v>210</v>
      </c>
      <c r="GL1626" s="2">
        <v>41969</v>
      </c>
      <c r="GM1626" s="1" t="s">
        <v>15624</v>
      </c>
    </row>
    <row r="1627" spans="1:195">
      <c r="A1627" s="1">
        <v>87000</v>
      </c>
      <c r="B1627" s="1" t="s">
        <v>195</v>
      </c>
      <c r="C1627" s="1" t="str">
        <f>"08709798"</f>
        <v>08709798</v>
      </c>
      <c r="D1627" s="1" t="s">
        <v>196</v>
      </c>
      <c r="F1627" s="1" t="str">
        <f>"20"</f>
        <v>20</v>
      </c>
      <c r="G1627" s="2">
        <v>41874</v>
      </c>
      <c r="H1627" s="1">
        <v>100000</v>
      </c>
      <c r="I1627" s="1">
        <v>97000</v>
      </c>
      <c r="J1627" s="1">
        <v>87000</v>
      </c>
      <c r="K1627" s="2">
        <v>41873</v>
      </c>
      <c r="L1627" s="1">
        <v>152</v>
      </c>
      <c r="M1627" s="2">
        <v>42024</v>
      </c>
      <c r="N1627" s="1">
        <v>152</v>
      </c>
      <c r="O1627" s="2">
        <v>42024</v>
      </c>
      <c r="P1627" s="1">
        <v>2280</v>
      </c>
      <c r="Q1627" s="1" t="s">
        <v>197</v>
      </c>
      <c r="R1627" s="2">
        <v>42068</v>
      </c>
      <c r="S1627" s="1">
        <v>85534</v>
      </c>
      <c r="T1627" s="1">
        <v>2000</v>
      </c>
      <c r="U1627" s="1">
        <v>7122</v>
      </c>
      <c r="V1627" s="1" t="s">
        <v>5371</v>
      </c>
      <c r="W1627" s="1" t="s">
        <v>304</v>
      </c>
      <c r="Y1627" s="1">
        <v>2</v>
      </c>
      <c r="Z1627" s="1" t="s">
        <v>370</v>
      </c>
      <c r="AA1627" s="1" t="s">
        <v>592</v>
      </c>
      <c r="AB1627" s="1">
        <v>60020</v>
      </c>
      <c r="AD1627" s="1" t="s">
        <v>5372</v>
      </c>
      <c r="AE1627" s="1" t="s">
        <v>15625</v>
      </c>
      <c r="AF1627" s="1">
        <v>1978</v>
      </c>
      <c r="AG1627" s="1" t="s">
        <v>204</v>
      </c>
      <c r="AH1627" s="1" t="s">
        <v>595</v>
      </c>
      <c r="AI1627" s="1" t="s">
        <v>509</v>
      </c>
      <c r="AJ1627" s="1" t="s">
        <v>1016</v>
      </c>
      <c r="AK1627" s="1" t="s">
        <v>15626</v>
      </c>
      <c r="AL1627" s="1">
        <v>5</v>
      </c>
      <c r="AM1627" s="1">
        <v>2</v>
      </c>
      <c r="AN1627" s="1">
        <v>2</v>
      </c>
      <c r="AO1627" s="1">
        <v>0</v>
      </c>
      <c r="AP1627" s="1" t="s">
        <v>209</v>
      </c>
      <c r="AR1627" s="1" t="s">
        <v>210</v>
      </c>
      <c r="AS1627" s="1" t="s">
        <v>204</v>
      </c>
      <c r="AT1627" s="1" t="s">
        <v>211</v>
      </c>
      <c r="AU1627" s="1">
        <v>1</v>
      </c>
      <c r="AW1627" s="1" t="s">
        <v>204</v>
      </c>
      <c r="AX1627" s="1" t="s">
        <v>212</v>
      </c>
      <c r="AZ1627" s="1">
        <v>2538.13</v>
      </c>
      <c r="BA1627" s="1">
        <v>2013</v>
      </c>
      <c r="BB1627" s="1" t="s">
        <v>210</v>
      </c>
      <c r="BE1627" s="1">
        <v>1137</v>
      </c>
      <c r="BF1627" s="1">
        <v>1</v>
      </c>
      <c r="BG1627" s="1">
        <v>30</v>
      </c>
      <c r="BL1627" s="1">
        <v>299</v>
      </c>
      <c r="BM1627" s="1" t="s">
        <v>204</v>
      </c>
      <c r="BN1627" s="1" t="s">
        <v>213</v>
      </c>
      <c r="BO1627" s="1">
        <v>25</v>
      </c>
      <c r="BP1627" s="1" t="s">
        <v>204</v>
      </c>
      <c r="BR1627" s="1" t="str">
        <f>"01284011060000"</f>
        <v>01284011060000</v>
      </c>
      <c r="BT1627" s="1" t="s">
        <v>15627</v>
      </c>
      <c r="BW1627" s="1" t="s">
        <v>2264</v>
      </c>
      <c r="BX1627" s="1">
        <v>114</v>
      </c>
      <c r="BY1627" s="1">
        <v>114</v>
      </c>
      <c r="BZ1627" s="1">
        <v>124</v>
      </c>
      <c r="CB1627" s="1" t="str">
        <f>"39"</f>
        <v>39</v>
      </c>
      <c r="CC1627" s="1" t="str">
        <f t="shared" si="1237"/>
        <v>0</v>
      </c>
      <c r="CD1627" s="1">
        <v>28</v>
      </c>
      <c r="CE1627" s="1">
        <v>0</v>
      </c>
      <c r="CG1627" s="1" t="s">
        <v>932</v>
      </c>
      <c r="CH1627" s="1" t="s">
        <v>219</v>
      </c>
      <c r="CI1627" s="1" t="s">
        <v>220</v>
      </c>
      <c r="CK1627" s="1" t="s">
        <v>437</v>
      </c>
      <c r="CL1627" s="1" t="s">
        <v>219</v>
      </c>
      <c r="CM1627" s="1" t="s">
        <v>220</v>
      </c>
      <c r="CO1627" s="1" t="s">
        <v>786</v>
      </c>
      <c r="CP1627" s="1" t="s">
        <v>219</v>
      </c>
      <c r="CQ1627" s="1" t="s">
        <v>220</v>
      </c>
      <c r="CS1627" s="1" t="s">
        <v>318</v>
      </c>
      <c r="CT1627" s="1" t="s">
        <v>219</v>
      </c>
      <c r="CU1627" s="1" t="s">
        <v>220</v>
      </c>
      <c r="CX1627" s="1" t="s">
        <v>224</v>
      </c>
      <c r="DB1627" s="1" t="s">
        <v>224</v>
      </c>
      <c r="DE1627" s="1" t="s">
        <v>1598</v>
      </c>
      <c r="DF1627" s="1" t="s">
        <v>219</v>
      </c>
      <c r="DG1627" s="1" t="s">
        <v>342</v>
      </c>
      <c r="DJ1627" s="1" t="s">
        <v>224</v>
      </c>
      <c r="DM1627" s="1" t="s">
        <v>3011</v>
      </c>
      <c r="DR1627" s="1" t="s">
        <v>2031</v>
      </c>
      <c r="DS1627" s="1" t="s">
        <v>219</v>
      </c>
      <c r="DT1627" s="1" t="s">
        <v>342</v>
      </c>
      <c r="DW1627" s="1" t="s">
        <v>230</v>
      </c>
      <c r="EA1627" s="1" t="s">
        <v>230</v>
      </c>
      <c r="EE1627" s="1" t="s">
        <v>230</v>
      </c>
      <c r="EI1627" s="1" t="s">
        <v>230</v>
      </c>
      <c r="EL1627" s="1" t="s">
        <v>231</v>
      </c>
      <c r="EM1627" s="1" t="s">
        <v>319</v>
      </c>
      <c r="EN1627" s="1" t="s">
        <v>282</v>
      </c>
      <c r="EO1627" s="1" t="s">
        <v>234</v>
      </c>
      <c r="EP1627" s="1" t="s">
        <v>15628</v>
      </c>
      <c r="EQ1627" s="1" t="s">
        <v>236</v>
      </c>
      <c r="ER1627" s="1" t="s">
        <v>210</v>
      </c>
      <c r="ES1627" s="1" t="s">
        <v>322</v>
      </c>
      <c r="EV1627" s="1" t="s">
        <v>240</v>
      </c>
      <c r="EW1627" s="1" t="s">
        <v>15629</v>
      </c>
      <c r="EY1627" s="1" t="s">
        <v>242</v>
      </c>
      <c r="EZ1627" s="1" t="s">
        <v>3011</v>
      </c>
      <c r="FA1627" s="1" t="s">
        <v>714</v>
      </c>
      <c r="FB1627" s="1" t="s">
        <v>1755</v>
      </c>
      <c r="FC1627" s="1" t="s">
        <v>1386</v>
      </c>
      <c r="FD1627" s="1" t="s">
        <v>5377</v>
      </c>
      <c r="FE1627" s="1" t="s">
        <v>355</v>
      </c>
      <c r="FF1627" s="1" t="s">
        <v>248</v>
      </c>
      <c r="FH1627" s="1" t="s">
        <v>6867</v>
      </c>
      <c r="FI1627" s="1" t="s">
        <v>473</v>
      </c>
      <c r="FL1627" s="1" t="s">
        <v>358</v>
      </c>
      <c r="FM1627" s="1" t="s">
        <v>252</v>
      </c>
      <c r="FN1627" s="1" t="s">
        <v>213</v>
      </c>
      <c r="FO1627" s="1" t="s">
        <v>213</v>
      </c>
      <c r="FQ1627" s="1" t="s">
        <v>329</v>
      </c>
      <c r="FR1627" s="1" t="s">
        <v>210</v>
      </c>
      <c r="FS1627" s="1" t="s">
        <v>4138</v>
      </c>
      <c r="FT1627" s="1" t="s">
        <v>15630</v>
      </c>
      <c r="FU1627" s="1" t="s">
        <v>204</v>
      </c>
      <c r="FW1627" s="1" t="s">
        <v>5379</v>
      </c>
      <c r="FX1627" s="1">
        <v>2472</v>
      </c>
      <c r="FY1627" s="1" t="s">
        <v>5380</v>
      </c>
      <c r="FZ1627" s="1" t="s">
        <v>15631</v>
      </c>
      <c r="GA1627" s="1">
        <v>18915</v>
      </c>
      <c r="GB1627" s="1" t="s">
        <v>15632</v>
      </c>
      <c r="GD1627" s="1" t="s">
        <v>15633</v>
      </c>
      <c r="GE1627" s="1" t="s">
        <v>623</v>
      </c>
      <c r="GI1627" s="1" t="s">
        <v>213</v>
      </c>
      <c r="GJ1627" s="1" t="s">
        <v>260</v>
      </c>
      <c r="GK1627" s="1" t="s">
        <v>210</v>
      </c>
      <c r="GL1627" s="2">
        <v>42068</v>
      </c>
    </row>
    <row r="1628" spans="1:195">
      <c r="A1628" s="1">
        <v>127500</v>
      </c>
      <c r="B1628" s="1" t="s">
        <v>195</v>
      </c>
      <c r="C1628" s="1" t="str">
        <f>"08699990"</f>
        <v>08699990</v>
      </c>
      <c r="D1628" s="1" t="s">
        <v>196</v>
      </c>
      <c r="F1628" s="1" t="str">
        <f>"8056"</f>
        <v>8056</v>
      </c>
      <c r="G1628" s="2">
        <v>41863</v>
      </c>
      <c r="H1628" s="1">
        <v>125000</v>
      </c>
      <c r="I1628" s="1">
        <v>125000</v>
      </c>
      <c r="J1628" s="1">
        <v>127500</v>
      </c>
      <c r="K1628" s="2">
        <v>41863</v>
      </c>
      <c r="L1628" s="1">
        <v>14</v>
      </c>
      <c r="M1628" s="2">
        <v>41876</v>
      </c>
      <c r="N1628" s="1">
        <v>14</v>
      </c>
      <c r="O1628" s="2">
        <v>41876</v>
      </c>
      <c r="P1628" s="1">
        <v>16734</v>
      </c>
      <c r="Q1628" s="1" t="s">
        <v>197</v>
      </c>
      <c r="R1628" s="2">
        <v>41969</v>
      </c>
      <c r="S1628" s="1">
        <v>111924</v>
      </c>
      <c r="U1628" s="1">
        <v>5133</v>
      </c>
      <c r="V1628" s="1" t="s">
        <v>15634</v>
      </c>
      <c r="W1628" s="1" t="s">
        <v>425</v>
      </c>
      <c r="X1628" s="1">
        <v>5133</v>
      </c>
      <c r="Y1628" s="1">
        <v>2</v>
      </c>
      <c r="Z1628" s="1" t="s">
        <v>200</v>
      </c>
      <c r="AA1628" s="1" t="s">
        <v>400</v>
      </c>
      <c r="AB1628" s="1">
        <v>60638</v>
      </c>
      <c r="AE1628" s="1" t="s">
        <v>15635</v>
      </c>
      <c r="AF1628" s="1">
        <v>1950</v>
      </c>
      <c r="AG1628" s="1" t="s">
        <v>213</v>
      </c>
      <c r="AH1628" s="1" t="s">
        <v>403</v>
      </c>
      <c r="AI1628" s="1" t="s">
        <v>310</v>
      </c>
      <c r="AJ1628" s="1" t="s">
        <v>683</v>
      </c>
      <c r="AL1628" s="1">
        <v>5</v>
      </c>
      <c r="AM1628" s="1">
        <v>2</v>
      </c>
      <c r="AN1628" s="1">
        <v>1</v>
      </c>
      <c r="AO1628" s="1">
        <v>0</v>
      </c>
      <c r="AP1628" s="1" t="s">
        <v>210</v>
      </c>
      <c r="AR1628" s="1" t="s">
        <v>209</v>
      </c>
      <c r="AS1628" s="1" t="s">
        <v>204</v>
      </c>
      <c r="AT1628" s="1" t="s">
        <v>211</v>
      </c>
      <c r="AU1628" s="1">
        <v>2</v>
      </c>
      <c r="AW1628" s="1" t="s">
        <v>204</v>
      </c>
      <c r="AX1628" s="1" t="s">
        <v>2379</v>
      </c>
      <c r="AZ1628" s="1">
        <v>1625.67</v>
      </c>
      <c r="BA1628" s="1">
        <v>2013</v>
      </c>
      <c r="BB1628" s="1" t="s">
        <v>210</v>
      </c>
      <c r="BE1628" s="1">
        <v>0</v>
      </c>
      <c r="BF1628" s="1">
        <v>1</v>
      </c>
      <c r="BG1628" s="1">
        <v>0</v>
      </c>
      <c r="BL1628" s="1">
        <v>0</v>
      </c>
      <c r="BM1628" s="1" t="s">
        <v>204</v>
      </c>
      <c r="BN1628" s="1" t="s">
        <v>213</v>
      </c>
      <c r="BO1628" s="1">
        <v>0</v>
      </c>
      <c r="BP1628" s="1" t="s">
        <v>204</v>
      </c>
      <c r="BR1628" s="1" t="str">
        <f>"19084040710000"</f>
        <v>19084040710000</v>
      </c>
      <c r="BT1628" s="1" t="s">
        <v>15636</v>
      </c>
      <c r="BX1628" s="1">
        <v>299</v>
      </c>
      <c r="BY1628" s="1">
        <v>299</v>
      </c>
      <c r="BZ1628" s="1">
        <v>299</v>
      </c>
      <c r="CB1628" s="1" t="str">
        <f t="shared" ref="CB1628:CC1628" si="1238">"0"</f>
        <v>0</v>
      </c>
      <c r="CC1628" s="1" t="str">
        <f t="shared" si="1238"/>
        <v>0</v>
      </c>
      <c r="CD1628" s="1">
        <v>5800</v>
      </c>
      <c r="CE1628" s="1">
        <v>5133</v>
      </c>
      <c r="CG1628" s="1" t="s">
        <v>564</v>
      </c>
      <c r="CH1628" s="1" t="s">
        <v>219</v>
      </c>
      <c r="CI1628" s="1" t="s">
        <v>438</v>
      </c>
      <c r="CK1628" s="1" t="s">
        <v>1454</v>
      </c>
      <c r="CL1628" s="1" t="s">
        <v>277</v>
      </c>
      <c r="CM1628" s="1" t="s">
        <v>220</v>
      </c>
      <c r="CO1628" s="1" t="s">
        <v>2231</v>
      </c>
      <c r="CP1628" s="1" t="s">
        <v>219</v>
      </c>
      <c r="CQ1628" s="1" t="s">
        <v>438</v>
      </c>
      <c r="CS1628" s="1" t="s">
        <v>2231</v>
      </c>
      <c r="CT1628" s="1" t="s">
        <v>277</v>
      </c>
      <c r="CU1628" s="1" t="s">
        <v>438</v>
      </c>
      <c r="CX1628" s="1" t="s">
        <v>224</v>
      </c>
      <c r="DB1628" s="1" t="s">
        <v>224</v>
      </c>
      <c r="DE1628" s="1" t="s">
        <v>2231</v>
      </c>
      <c r="DF1628" s="1" t="s">
        <v>219</v>
      </c>
      <c r="DG1628" s="1" t="s">
        <v>226</v>
      </c>
      <c r="DJ1628" s="1" t="s">
        <v>224</v>
      </c>
      <c r="DS1628" s="1" t="s">
        <v>230</v>
      </c>
      <c r="DW1628" s="1" t="s">
        <v>230</v>
      </c>
      <c r="EA1628" s="1" t="s">
        <v>230</v>
      </c>
      <c r="EE1628" s="1" t="s">
        <v>230</v>
      </c>
      <c r="EI1628" s="1" t="s">
        <v>230</v>
      </c>
      <c r="EL1628" s="1" t="s">
        <v>3717</v>
      </c>
      <c r="EM1628" s="1" t="s">
        <v>730</v>
      </c>
      <c r="EN1628" s="1" t="s">
        <v>282</v>
      </c>
      <c r="EO1628" s="1" t="s">
        <v>234</v>
      </c>
      <c r="EP1628" s="1" t="s">
        <v>3782</v>
      </c>
      <c r="EQ1628" s="1" t="s">
        <v>15637</v>
      </c>
      <c r="ER1628" s="1" t="s">
        <v>1249</v>
      </c>
      <c r="EU1628" s="1" t="s">
        <v>546</v>
      </c>
      <c r="EV1628" s="1" t="s">
        <v>324</v>
      </c>
      <c r="EW1628" s="1" t="s">
        <v>210</v>
      </c>
      <c r="EY1628" s="1" t="s">
        <v>242</v>
      </c>
      <c r="EZ1628" s="1" t="s">
        <v>287</v>
      </c>
      <c r="FA1628" s="1" t="s">
        <v>354</v>
      </c>
      <c r="FD1628" s="1" t="s">
        <v>246</v>
      </c>
      <c r="FE1628" s="1" t="s">
        <v>247</v>
      </c>
      <c r="FF1628" s="1" t="s">
        <v>248</v>
      </c>
      <c r="FH1628" s="1" t="s">
        <v>442</v>
      </c>
      <c r="FI1628" s="1" t="s">
        <v>473</v>
      </c>
      <c r="FL1628" s="1" t="s">
        <v>358</v>
      </c>
      <c r="FM1628" s="1" t="s">
        <v>252</v>
      </c>
      <c r="FN1628" s="1" t="s">
        <v>213</v>
      </c>
      <c r="FO1628" s="1" t="s">
        <v>213</v>
      </c>
      <c r="FQ1628" s="1" t="s">
        <v>3545</v>
      </c>
      <c r="FR1628" s="1" t="s">
        <v>360</v>
      </c>
      <c r="FS1628" s="1" t="s">
        <v>15638</v>
      </c>
      <c r="FT1628" s="1" t="s">
        <v>255</v>
      </c>
      <c r="FU1628" s="1" t="s">
        <v>204</v>
      </c>
      <c r="FW1628" s="1" t="s">
        <v>3416</v>
      </c>
      <c r="FX1628" s="1">
        <v>8815</v>
      </c>
      <c r="FY1628" s="1" t="s">
        <v>3417</v>
      </c>
      <c r="FZ1628" s="1" t="s">
        <v>7387</v>
      </c>
      <c r="GA1628" s="1">
        <v>82946</v>
      </c>
      <c r="GB1628" s="1" t="s">
        <v>7388</v>
      </c>
      <c r="GE1628" s="1" t="s">
        <v>210</v>
      </c>
      <c r="GH1628" s="1" t="s">
        <v>421</v>
      </c>
      <c r="GI1628" s="1" t="s">
        <v>213</v>
      </c>
      <c r="GJ1628" s="1" t="s">
        <v>260</v>
      </c>
      <c r="GK1628" s="1" t="s">
        <v>210</v>
      </c>
      <c r="GL1628" s="2">
        <v>41969</v>
      </c>
      <c r="GM1628" s="1" t="s">
        <v>15639</v>
      </c>
    </row>
    <row r="1629" spans="1:195">
      <c r="A1629" s="1">
        <v>143400</v>
      </c>
      <c r="B1629" s="1" t="s">
        <v>195</v>
      </c>
      <c r="C1629" s="1" t="str">
        <f>"08712541"</f>
        <v>08712541</v>
      </c>
      <c r="D1629" s="1" t="s">
        <v>196</v>
      </c>
      <c r="F1629" s="1" t="str">
        <f>"190"</f>
        <v>190</v>
      </c>
      <c r="G1629" s="2">
        <v>41878</v>
      </c>
      <c r="H1629" s="1">
        <v>159000</v>
      </c>
      <c r="I1629" s="1">
        <v>149900</v>
      </c>
      <c r="J1629" s="1">
        <v>143400</v>
      </c>
      <c r="K1629" s="2">
        <v>41878</v>
      </c>
      <c r="L1629" s="1">
        <v>155</v>
      </c>
      <c r="M1629" s="2">
        <v>42032</v>
      </c>
      <c r="N1629" s="1">
        <v>155</v>
      </c>
      <c r="O1629" s="2">
        <v>42032</v>
      </c>
      <c r="P1629" s="1">
        <v>25088</v>
      </c>
      <c r="Q1629" s="1" t="s">
        <v>197</v>
      </c>
      <c r="R1629" s="2">
        <v>42096</v>
      </c>
      <c r="S1629" s="1">
        <v>255038</v>
      </c>
      <c r="U1629" s="1" t="s">
        <v>15640</v>
      </c>
      <c r="V1629" s="1" t="s">
        <v>15641</v>
      </c>
      <c r="W1629" s="1" t="s">
        <v>1056</v>
      </c>
      <c r="X1629" s="1">
        <v>1006</v>
      </c>
      <c r="Y1629" s="1">
        <v>4</v>
      </c>
      <c r="Z1629" s="1" t="s">
        <v>249</v>
      </c>
      <c r="AA1629" s="1" t="s">
        <v>1915</v>
      </c>
      <c r="AB1629" s="1">
        <v>60190</v>
      </c>
      <c r="AD1629" s="1" t="s">
        <v>1916</v>
      </c>
      <c r="AE1629" s="1" t="s">
        <v>15642</v>
      </c>
      <c r="AF1629" s="1">
        <v>1988</v>
      </c>
      <c r="AG1629" s="1" t="s">
        <v>204</v>
      </c>
      <c r="AH1629" s="1" t="s">
        <v>987</v>
      </c>
      <c r="AI1629" s="1" t="s">
        <v>206</v>
      </c>
      <c r="AJ1629" s="1" t="s">
        <v>987</v>
      </c>
      <c r="AL1629" s="1">
        <v>5</v>
      </c>
      <c r="AM1629" s="1">
        <v>2</v>
      </c>
      <c r="AN1629" s="1">
        <v>2</v>
      </c>
      <c r="AO1629" s="1">
        <v>0</v>
      </c>
      <c r="AP1629" s="1" t="s">
        <v>209</v>
      </c>
      <c r="AQ1629" s="1">
        <v>1</v>
      </c>
      <c r="AR1629" s="1" t="s">
        <v>210</v>
      </c>
      <c r="AS1629" s="1" t="s">
        <v>204</v>
      </c>
      <c r="AT1629" s="1" t="s">
        <v>211</v>
      </c>
      <c r="AU1629" s="1">
        <v>1</v>
      </c>
      <c r="AW1629" s="1" t="s">
        <v>204</v>
      </c>
      <c r="AX1629" s="1" t="s">
        <v>212</v>
      </c>
      <c r="AZ1629" s="1">
        <v>2582.8200000000002</v>
      </c>
      <c r="BA1629" s="1">
        <v>2013</v>
      </c>
      <c r="BB1629" s="1" t="s">
        <v>3996</v>
      </c>
      <c r="BE1629" s="1">
        <v>1088</v>
      </c>
      <c r="BF1629" s="1">
        <v>2</v>
      </c>
      <c r="BG1629" s="1">
        <v>0</v>
      </c>
      <c r="BL1629" s="1">
        <v>243</v>
      </c>
      <c r="BM1629" s="1" t="s">
        <v>213</v>
      </c>
      <c r="BN1629" s="1" t="s">
        <v>213</v>
      </c>
      <c r="BO1629" s="1">
        <v>30</v>
      </c>
      <c r="BP1629" s="1" t="s">
        <v>204</v>
      </c>
      <c r="BR1629" s="1" t="str">
        <f>"0412307150"</f>
        <v>0412307150</v>
      </c>
      <c r="BT1629" s="1" t="s">
        <v>15643</v>
      </c>
      <c r="BU1629" s="1" t="s">
        <v>3162</v>
      </c>
      <c r="BV1629" s="1" t="s">
        <v>3163</v>
      </c>
      <c r="BW1629" s="1" t="s">
        <v>1675</v>
      </c>
      <c r="BX1629" s="1">
        <v>34</v>
      </c>
      <c r="BY1629" s="1">
        <v>34</v>
      </c>
      <c r="BZ1629" s="1">
        <v>94</v>
      </c>
      <c r="CB1629" s="1" t="str">
        <f t="shared" ref="CB1629:CC1629" si="1239">""</f>
        <v/>
      </c>
      <c r="CC1629" s="1" t="str">
        <f t="shared" si="1239"/>
        <v/>
      </c>
      <c r="CD1629" s="1">
        <v>28</v>
      </c>
      <c r="CG1629" s="1" t="s">
        <v>538</v>
      </c>
      <c r="CH1629" s="1" t="s">
        <v>277</v>
      </c>
      <c r="CI1629" s="1" t="s">
        <v>229</v>
      </c>
      <c r="CK1629" s="1" t="s">
        <v>223</v>
      </c>
      <c r="CL1629" s="1" t="s">
        <v>277</v>
      </c>
      <c r="CM1629" s="1" t="s">
        <v>220</v>
      </c>
      <c r="CN1629" s="1" t="s">
        <v>252</v>
      </c>
      <c r="CO1629" s="1" t="s">
        <v>348</v>
      </c>
      <c r="CP1629" s="1" t="s">
        <v>277</v>
      </c>
      <c r="CQ1629" s="1" t="s">
        <v>229</v>
      </c>
      <c r="CR1629" s="1" t="s">
        <v>252</v>
      </c>
      <c r="CS1629" s="1" t="s">
        <v>317</v>
      </c>
      <c r="CT1629" s="1" t="s">
        <v>277</v>
      </c>
      <c r="CU1629" s="1" t="s">
        <v>220</v>
      </c>
      <c r="CX1629" s="1" t="s">
        <v>224</v>
      </c>
      <c r="DB1629" s="1" t="s">
        <v>224</v>
      </c>
      <c r="DE1629" s="1" t="s">
        <v>15644</v>
      </c>
      <c r="DF1629" s="1" t="s">
        <v>277</v>
      </c>
      <c r="DG1629" s="1" t="s">
        <v>229</v>
      </c>
      <c r="DJ1629" s="1" t="s">
        <v>224</v>
      </c>
      <c r="DS1629" s="1" t="s">
        <v>230</v>
      </c>
      <c r="DW1629" s="1" t="s">
        <v>230</v>
      </c>
      <c r="EA1629" s="1" t="s">
        <v>230</v>
      </c>
      <c r="EE1629" s="1" t="s">
        <v>230</v>
      </c>
      <c r="EI1629" s="1" t="s">
        <v>230</v>
      </c>
      <c r="EL1629" s="1" t="s">
        <v>542</v>
      </c>
      <c r="EM1629" s="1" t="s">
        <v>232</v>
      </c>
      <c r="EN1629" s="1" t="s">
        <v>282</v>
      </c>
      <c r="EO1629" s="1" t="s">
        <v>234</v>
      </c>
      <c r="EP1629" s="1" t="s">
        <v>15645</v>
      </c>
      <c r="EQ1629" s="1" t="s">
        <v>4462</v>
      </c>
      <c r="ER1629" s="1" t="s">
        <v>210</v>
      </c>
      <c r="ES1629" s="1" t="s">
        <v>1552</v>
      </c>
      <c r="EU1629" s="1" t="s">
        <v>1573</v>
      </c>
      <c r="EV1629" s="1" t="s">
        <v>352</v>
      </c>
      <c r="EW1629" s="1" t="s">
        <v>911</v>
      </c>
      <c r="EY1629" s="1" t="s">
        <v>242</v>
      </c>
      <c r="EZ1629" s="1" t="s">
        <v>287</v>
      </c>
      <c r="FB1629" s="1" t="s">
        <v>289</v>
      </c>
      <c r="FC1629" s="1" t="s">
        <v>1405</v>
      </c>
      <c r="FD1629" s="1" t="s">
        <v>888</v>
      </c>
      <c r="FE1629" s="1" t="s">
        <v>386</v>
      </c>
      <c r="FF1629" s="1" t="s">
        <v>248</v>
      </c>
      <c r="FG1629" s="1" t="s">
        <v>2292</v>
      </c>
      <c r="FH1629" s="1" t="s">
        <v>249</v>
      </c>
      <c r="FL1629" s="1" t="s">
        <v>358</v>
      </c>
      <c r="FM1629" s="1" t="s">
        <v>252</v>
      </c>
      <c r="FN1629" s="1" t="s">
        <v>213</v>
      </c>
      <c r="FO1629" s="1" t="s">
        <v>213</v>
      </c>
      <c r="FQ1629" s="1" t="s">
        <v>15646</v>
      </c>
      <c r="FR1629" s="1" t="s">
        <v>210</v>
      </c>
      <c r="FS1629" s="1" t="s">
        <v>15647</v>
      </c>
      <c r="FT1629" s="1" t="s">
        <v>15648</v>
      </c>
      <c r="FU1629" s="1" t="s">
        <v>204</v>
      </c>
      <c r="FW1629" s="1" t="s">
        <v>915</v>
      </c>
      <c r="FX1629" s="1">
        <v>25088</v>
      </c>
      <c r="FY1629" s="1" t="s">
        <v>1761</v>
      </c>
      <c r="FZ1629" s="1" t="s">
        <v>15649</v>
      </c>
      <c r="GA1629" s="1">
        <v>216080</v>
      </c>
      <c r="GB1629" s="1" t="s">
        <v>15650</v>
      </c>
      <c r="GE1629" s="1" t="s">
        <v>1333</v>
      </c>
      <c r="GI1629" s="1" t="s">
        <v>213</v>
      </c>
      <c r="GJ1629" s="1" t="s">
        <v>260</v>
      </c>
      <c r="GK1629" s="1" t="s">
        <v>261</v>
      </c>
      <c r="GL1629" s="2">
        <v>42097</v>
      </c>
      <c r="GM1629" s="1" t="s">
        <v>15651</v>
      </c>
    </row>
    <row r="1630" spans="1:195">
      <c r="A1630" s="1">
        <v>106000</v>
      </c>
      <c r="B1630" s="1" t="s">
        <v>195</v>
      </c>
      <c r="C1630" s="1" t="str">
        <f>"08701675"</f>
        <v>08701675</v>
      </c>
      <c r="D1630" s="1" t="s">
        <v>196</v>
      </c>
      <c r="F1630" s="1" t="str">
        <f>"8064"</f>
        <v>8064</v>
      </c>
      <c r="G1630" s="2">
        <v>41865</v>
      </c>
      <c r="H1630" s="1">
        <v>125900</v>
      </c>
      <c r="I1630" s="1">
        <v>108900</v>
      </c>
      <c r="J1630" s="1">
        <v>106000</v>
      </c>
      <c r="K1630" s="2">
        <v>41865</v>
      </c>
      <c r="L1630" s="1">
        <v>146</v>
      </c>
      <c r="M1630" s="2">
        <v>41964</v>
      </c>
      <c r="N1630" s="1">
        <v>100</v>
      </c>
      <c r="O1630" s="2">
        <v>41964</v>
      </c>
      <c r="P1630" s="1">
        <v>23967</v>
      </c>
      <c r="Q1630" s="1" t="s">
        <v>302</v>
      </c>
      <c r="R1630" s="2">
        <v>41992</v>
      </c>
      <c r="S1630" s="1">
        <v>230213</v>
      </c>
      <c r="U1630" s="1">
        <v>6252</v>
      </c>
      <c r="V1630" s="1" t="s">
        <v>7885</v>
      </c>
      <c r="W1630" s="1" t="s">
        <v>1056</v>
      </c>
      <c r="X1630" s="1" t="s">
        <v>4849</v>
      </c>
      <c r="Y1630" s="1">
        <v>6</v>
      </c>
      <c r="Z1630" s="1" t="s">
        <v>249</v>
      </c>
      <c r="AA1630" s="1" t="s">
        <v>400</v>
      </c>
      <c r="AB1630" s="1">
        <v>60638</v>
      </c>
      <c r="AE1630" s="1" t="s">
        <v>15652</v>
      </c>
      <c r="AF1630" s="1">
        <v>1990</v>
      </c>
      <c r="AG1630" s="1" t="s">
        <v>204</v>
      </c>
      <c r="AH1630" s="1" t="s">
        <v>403</v>
      </c>
      <c r="AI1630" s="1" t="s">
        <v>310</v>
      </c>
      <c r="AJ1630" s="1" t="s">
        <v>7637</v>
      </c>
      <c r="AL1630" s="1">
        <v>5</v>
      </c>
      <c r="AM1630" s="1">
        <v>2</v>
      </c>
      <c r="AN1630" s="1">
        <v>2</v>
      </c>
      <c r="AO1630" s="1">
        <v>0</v>
      </c>
      <c r="AP1630" s="1" t="s">
        <v>209</v>
      </c>
      <c r="AQ1630" s="1">
        <v>1</v>
      </c>
      <c r="AR1630" s="1" t="s">
        <v>210</v>
      </c>
      <c r="AS1630" s="1" t="s">
        <v>204</v>
      </c>
      <c r="AT1630" s="1" t="s">
        <v>211</v>
      </c>
      <c r="AU1630" s="1">
        <v>1</v>
      </c>
      <c r="AW1630" s="1" t="s">
        <v>204</v>
      </c>
      <c r="AX1630" s="1" t="s">
        <v>212</v>
      </c>
      <c r="AZ1630" s="1">
        <v>1691</v>
      </c>
      <c r="BA1630" s="1">
        <v>2012</v>
      </c>
      <c r="BE1630" s="1">
        <v>1100</v>
      </c>
      <c r="BF1630" s="1">
        <v>2</v>
      </c>
      <c r="BG1630" s="1">
        <v>10</v>
      </c>
      <c r="BL1630" s="1">
        <v>160</v>
      </c>
      <c r="BM1630" s="1" t="s">
        <v>204</v>
      </c>
      <c r="BN1630" s="1" t="s">
        <v>213</v>
      </c>
      <c r="BO1630" s="1" t="s">
        <v>432</v>
      </c>
      <c r="BP1630" s="1" t="s">
        <v>204</v>
      </c>
      <c r="BR1630" s="1" t="str">
        <f>"19183120481008"</f>
        <v>19183120481008</v>
      </c>
      <c r="BT1630" s="1" t="s">
        <v>15653</v>
      </c>
      <c r="BX1630" s="1">
        <v>299</v>
      </c>
      <c r="BY1630" s="1">
        <v>299</v>
      </c>
      <c r="BZ1630" s="1">
        <v>299</v>
      </c>
      <c r="CB1630" s="1" t="str">
        <f t="shared" ref="CB1630:CC1630" si="1240">"0"</f>
        <v>0</v>
      </c>
      <c r="CC1630" s="1" t="str">
        <f t="shared" si="1240"/>
        <v>0</v>
      </c>
      <c r="CD1630" s="1">
        <v>7100</v>
      </c>
      <c r="CE1630" s="1">
        <v>6252</v>
      </c>
      <c r="CG1630" s="1" t="s">
        <v>708</v>
      </c>
      <c r="CH1630" s="1" t="s">
        <v>219</v>
      </c>
      <c r="CI1630" s="1" t="s">
        <v>220</v>
      </c>
      <c r="CJ1630" s="1" t="s">
        <v>909</v>
      </c>
      <c r="CK1630" s="1" t="s">
        <v>315</v>
      </c>
      <c r="CL1630" s="1" t="s">
        <v>219</v>
      </c>
      <c r="CM1630" s="1" t="s">
        <v>220</v>
      </c>
      <c r="CO1630" s="1" t="s">
        <v>318</v>
      </c>
      <c r="CP1630" s="1" t="s">
        <v>219</v>
      </c>
      <c r="CQ1630" s="1" t="s">
        <v>220</v>
      </c>
      <c r="CS1630" s="1" t="s">
        <v>378</v>
      </c>
      <c r="CT1630" s="1" t="s">
        <v>219</v>
      </c>
      <c r="CU1630" s="1" t="s">
        <v>220</v>
      </c>
      <c r="CX1630" s="1" t="s">
        <v>224</v>
      </c>
      <c r="DB1630" s="1" t="s">
        <v>224</v>
      </c>
      <c r="DE1630" s="1" t="s">
        <v>346</v>
      </c>
      <c r="DF1630" s="1" t="s">
        <v>219</v>
      </c>
      <c r="DG1630" s="1" t="s">
        <v>226</v>
      </c>
      <c r="DJ1630" s="1" t="s">
        <v>224</v>
      </c>
      <c r="DS1630" s="1" t="s">
        <v>230</v>
      </c>
      <c r="DW1630" s="1" t="s">
        <v>230</v>
      </c>
      <c r="EA1630" s="1" t="s">
        <v>230</v>
      </c>
      <c r="EE1630" s="1" t="s">
        <v>230</v>
      </c>
      <c r="EI1630" s="1" t="s">
        <v>230</v>
      </c>
      <c r="EL1630" s="1" t="s">
        <v>382</v>
      </c>
      <c r="EM1630" s="1" t="s">
        <v>319</v>
      </c>
      <c r="EN1630" s="1" t="s">
        <v>282</v>
      </c>
      <c r="EO1630" s="1" t="s">
        <v>234</v>
      </c>
      <c r="ER1630" s="1" t="s">
        <v>210</v>
      </c>
      <c r="EW1630" s="1" t="s">
        <v>347</v>
      </c>
      <c r="EZ1630" s="1" t="s">
        <v>287</v>
      </c>
      <c r="FC1630" s="1" t="s">
        <v>1386</v>
      </c>
      <c r="FD1630" s="1" t="s">
        <v>246</v>
      </c>
      <c r="FE1630" s="1" t="s">
        <v>247</v>
      </c>
      <c r="FF1630" s="1" t="s">
        <v>248</v>
      </c>
      <c r="FH1630" s="1" t="s">
        <v>249</v>
      </c>
      <c r="FL1630" s="1" t="s">
        <v>414</v>
      </c>
      <c r="FM1630" s="1" t="s">
        <v>252</v>
      </c>
      <c r="FN1630" s="1" t="s">
        <v>213</v>
      </c>
      <c r="FO1630" s="1" t="s">
        <v>213</v>
      </c>
      <c r="FQ1630" s="1" t="s">
        <v>15654</v>
      </c>
      <c r="FR1630" s="1" t="s">
        <v>210</v>
      </c>
      <c r="FS1630" s="1" t="s">
        <v>1709</v>
      </c>
      <c r="FT1630" s="1" t="s">
        <v>295</v>
      </c>
      <c r="FU1630" s="1" t="s">
        <v>204</v>
      </c>
      <c r="FW1630" s="1" t="s">
        <v>15655</v>
      </c>
      <c r="FX1630" s="1">
        <v>25104</v>
      </c>
      <c r="FY1630" s="1" t="s">
        <v>15656</v>
      </c>
      <c r="FZ1630" s="1" t="s">
        <v>15657</v>
      </c>
      <c r="GA1630" s="1">
        <v>237310</v>
      </c>
      <c r="GE1630" s="1" t="s">
        <v>210</v>
      </c>
      <c r="GH1630" s="1" t="s">
        <v>421</v>
      </c>
      <c r="GI1630" s="1" t="s">
        <v>213</v>
      </c>
      <c r="GJ1630" s="1" t="s">
        <v>260</v>
      </c>
      <c r="GK1630" s="1" t="s">
        <v>210</v>
      </c>
      <c r="GL1630" s="2">
        <v>41995</v>
      </c>
      <c r="GM1630" s="1" t="s">
        <v>15658</v>
      </c>
    </row>
    <row r="1631" spans="1:195">
      <c r="A1631" s="1">
        <v>24334</v>
      </c>
      <c r="B1631" s="1" t="s">
        <v>195</v>
      </c>
      <c r="C1631" s="1" t="str">
        <f>"08699047"</f>
        <v>08699047</v>
      </c>
      <c r="D1631" s="1" t="s">
        <v>196</v>
      </c>
      <c r="F1631" s="1" t="str">
        <f>"8043"</f>
        <v>8043</v>
      </c>
      <c r="G1631" s="2">
        <v>41863</v>
      </c>
      <c r="H1631" s="1">
        <v>20000</v>
      </c>
      <c r="I1631" s="1">
        <v>13000</v>
      </c>
      <c r="J1631" s="1">
        <v>24334</v>
      </c>
      <c r="K1631" s="2">
        <v>41863</v>
      </c>
      <c r="L1631" s="1">
        <v>115</v>
      </c>
      <c r="M1631" s="2">
        <v>41977</v>
      </c>
      <c r="N1631" s="1">
        <v>115</v>
      </c>
      <c r="O1631" s="2">
        <v>41977</v>
      </c>
      <c r="P1631" s="1">
        <v>85430</v>
      </c>
      <c r="Q1631" s="1" t="s">
        <v>302</v>
      </c>
      <c r="R1631" s="2">
        <v>42004</v>
      </c>
      <c r="S1631" s="1">
        <v>156446</v>
      </c>
      <c r="U1631" s="1">
        <v>2040</v>
      </c>
      <c r="V1631" s="1" t="s">
        <v>5684</v>
      </c>
      <c r="W1631" s="1" t="s">
        <v>779</v>
      </c>
      <c r="X1631" s="1">
        <v>2</v>
      </c>
      <c r="Y1631" s="1">
        <v>18</v>
      </c>
      <c r="Z1631" s="1" t="s">
        <v>249</v>
      </c>
      <c r="AA1631" s="1" t="s">
        <v>400</v>
      </c>
      <c r="AB1631" s="1">
        <v>60649</v>
      </c>
      <c r="AE1631" s="1" t="s">
        <v>15659</v>
      </c>
      <c r="AF1631" s="1">
        <v>1949</v>
      </c>
      <c r="AG1631" s="1" t="s">
        <v>213</v>
      </c>
      <c r="AH1631" s="1" t="s">
        <v>403</v>
      </c>
      <c r="AI1631" s="1" t="s">
        <v>310</v>
      </c>
      <c r="AJ1631" s="1" t="s">
        <v>562</v>
      </c>
      <c r="AL1631" s="1">
        <v>4</v>
      </c>
      <c r="AM1631" s="1">
        <v>2</v>
      </c>
      <c r="AN1631" s="1">
        <v>1</v>
      </c>
      <c r="AO1631" s="1">
        <v>0</v>
      </c>
      <c r="AP1631" s="1" t="s">
        <v>210</v>
      </c>
      <c r="AR1631" s="1" t="s">
        <v>210</v>
      </c>
      <c r="AS1631" s="1" t="s">
        <v>204</v>
      </c>
      <c r="AT1631" s="1" t="s">
        <v>210</v>
      </c>
      <c r="AW1631" s="1" t="s">
        <v>204</v>
      </c>
      <c r="AX1631" s="1" t="s">
        <v>270</v>
      </c>
      <c r="AZ1631" s="1">
        <v>1249.8399999999999</v>
      </c>
      <c r="BA1631" s="1">
        <v>2012</v>
      </c>
      <c r="BE1631" s="1">
        <v>900</v>
      </c>
      <c r="BF1631" s="1">
        <v>1</v>
      </c>
      <c r="BG1631" s="1">
        <v>30</v>
      </c>
      <c r="BL1631" s="1">
        <v>309</v>
      </c>
      <c r="BM1631" s="1" t="s">
        <v>413</v>
      </c>
      <c r="BN1631" s="1" t="s">
        <v>204</v>
      </c>
      <c r="BP1631" s="1" t="s">
        <v>204</v>
      </c>
      <c r="BR1631" s="1" t="str">
        <f>"20252070481005"</f>
        <v>20252070481005</v>
      </c>
      <c r="BT1631" s="1" t="s">
        <v>15660</v>
      </c>
      <c r="BX1631" s="1">
        <v>299</v>
      </c>
      <c r="BY1631" s="1">
        <v>299</v>
      </c>
      <c r="BZ1631" s="1">
        <v>299</v>
      </c>
      <c r="CB1631" s="1" t="str">
        <f t="shared" ref="CB1631:CB1633" si="1241">"0"</f>
        <v>0</v>
      </c>
      <c r="CC1631" s="1" t="str">
        <f>"2040"</f>
        <v>2040</v>
      </c>
      <c r="CD1631" s="1">
        <v>0</v>
      </c>
      <c r="CE1631" s="1">
        <v>7200</v>
      </c>
      <c r="CG1631" s="1" t="s">
        <v>377</v>
      </c>
      <c r="CH1631" s="1" t="s">
        <v>219</v>
      </c>
      <c r="CK1631" s="1" t="s">
        <v>3100</v>
      </c>
      <c r="CL1631" s="1" t="s">
        <v>219</v>
      </c>
      <c r="CP1631" s="1" t="s">
        <v>224</v>
      </c>
      <c r="CS1631" s="1" t="s">
        <v>1533</v>
      </c>
      <c r="CT1631" s="1" t="s">
        <v>219</v>
      </c>
      <c r="CX1631" s="1" t="s">
        <v>224</v>
      </c>
      <c r="DB1631" s="1" t="s">
        <v>224</v>
      </c>
      <c r="DE1631" s="1" t="s">
        <v>379</v>
      </c>
      <c r="DF1631" s="1" t="s">
        <v>219</v>
      </c>
      <c r="DJ1631" s="1" t="s">
        <v>224</v>
      </c>
      <c r="DS1631" s="1" t="s">
        <v>230</v>
      </c>
      <c r="DW1631" s="1" t="s">
        <v>230</v>
      </c>
      <c r="EA1631" s="1" t="s">
        <v>230</v>
      </c>
      <c r="EE1631" s="1" t="s">
        <v>230</v>
      </c>
      <c r="EI1631" s="1" t="s">
        <v>230</v>
      </c>
      <c r="EL1631" s="1" t="s">
        <v>3717</v>
      </c>
      <c r="EM1631" s="1" t="s">
        <v>232</v>
      </c>
      <c r="EN1631" s="1" t="s">
        <v>731</v>
      </c>
      <c r="EO1631" s="1" t="s">
        <v>234</v>
      </c>
      <c r="ER1631" s="1" t="s">
        <v>210</v>
      </c>
      <c r="EW1631" s="1" t="s">
        <v>2344</v>
      </c>
      <c r="EZ1631" s="1" t="s">
        <v>287</v>
      </c>
      <c r="FD1631" s="1" t="s">
        <v>1112</v>
      </c>
      <c r="FE1631" s="1" t="s">
        <v>247</v>
      </c>
      <c r="FF1631" s="1" t="s">
        <v>248</v>
      </c>
      <c r="FH1631" s="1" t="s">
        <v>249</v>
      </c>
      <c r="FJ1631" s="1" t="s">
        <v>2046</v>
      </c>
      <c r="FL1631" s="1" t="s">
        <v>414</v>
      </c>
      <c r="FM1631" s="1" t="s">
        <v>252</v>
      </c>
      <c r="FN1631" s="1" t="s">
        <v>213</v>
      </c>
      <c r="FO1631" s="1" t="s">
        <v>213</v>
      </c>
      <c r="FQ1631" s="1" t="s">
        <v>5727</v>
      </c>
      <c r="FR1631" s="1" t="s">
        <v>210</v>
      </c>
      <c r="FS1631" s="1" t="s">
        <v>13482</v>
      </c>
      <c r="FT1631" s="1" t="s">
        <v>8607</v>
      </c>
      <c r="FU1631" s="1" t="s">
        <v>204</v>
      </c>
      <c r="FW1631" s="1" t="s">
        <v>3774</v>
      </c>
      <c r="FX1631" s="1">
        <v>1984</v>
      </c>
      <c r="FY1631" s="1" t="s">
        <v>3775</v>
      </c>
      <c r="FZ1631" s="1" t="s">
        <v>5728</v>
      </c>
      <c r="GA1631" s="1">
        <v>923546</v>
      </c>
      <c r="GB1631" s="1" t="s">
        <v>5729</v>
      </c>
      <c r="GE1631" s="1" t="s">
        <v>210</v>
      </c>
      <c r="GH1631" s="1" t="s">
        <v>800</v>
      </c>
      <c r="GI1631" s="1" t="s">
        <v>204</v>
      </c>
      <c r="GJ1631" s="1" t="s">
        <v>260</v>
      </c>
      <c r="GK1631" s="1" t="s">
        <v>210</v>
      </c>
      <c r="GL1631" s="2">
        <v>42004</v>
      </c>
      <c r="GM1631" s="1" t="s">
        <v>6038</v>
      </c>
    </row>
    <row r="1632" spans="1:195">
      <c r="A1632" s="1">
        <v>99000</v>
      </c>
      <c r="B1632" s="1" t="s">
        <v>195</v>
      </c>
      <c r="C1632" s="1" t="str">
        <f>"08703071"</f>
        <v>08703071</v>
      </c>
      <c r="D1632" s="1" t="s">
        <v>196</v>
      </c>
      <c r="F1632" s="1" t="str">
        <f>"137"</f>
        <v>137</v>
      </c>
      <c r="G1632" s="2">
        <v>41866</v>
      </c>
      <c r="H1632" s="1">
        <v>119000</v>
      </c>
      <c r="I1632" s="1">
        <v>99000</v>
      </c>
      <c r="J1632" s="1">
        <v>99000</v>
      </c>
      <c r="K1632" s="2">
        <v>41866</v>
      </c>
      <c r="L1632" s="1">
        <v>192</v>
      </c>
      <c r="M1632" s="2">
        <v>42057</v>
      </c>
      <c r="N1632" s="1">
        <v>192</v>
      </c>
      <c r="O1632" s="2">
        <v>42057</v>
      </c>
      <c r="P1632" s="1">
        <v>22039</v>
      </c>
      <c r="Q1632" s="1" t="s">
        <v>197</v>
      </c>
      <c r="R1632" s="2">
        <v>42136</v>
      </c>
      <c r="S1632" s="1">
        <v>215216</v>
      </c>
      <c r="U1632" s="1">
        <v>230</v>
      </c>
      <c r="V1632" s="1" t="s">
        <v>15661</v>
      </c>
      <c r="W1632" s="1" t="s">
        <v>725</v>
      </c>
      <c r="X1632" s="1" t="s">
        <v>7576</v>
      </c>
      <c r="Y1632" s="1">
        <v>21</v>
      </c>
      <c r="Z1632" s="1" t="s">
        <v>249</v>
      </c>
      <c r="AA1632" s="1" t="s">
        <v>201</v>
      </c>
      <c r="AB1632" s="1">
        <v>60137</v>
      </c>
      <c r="AD1632" s="1" t="s">
        <v>15662</v>
      </c>
      <c r="AE1632" s="1" t="s">
        <v>15663</v>
      </c>
      <c r="AF1632" s="1">
        <v>1968</v>
      </c>
      <c r="AG1632" s="1" t="s">
        <v>213</v>
      </c>
      <c r="AH1632" s="1" t="s">
        <v>205</v>
      </c>
      <c r="AI1632" s="1" t="s">
        <v>206</v>
      </c>
      <c r="AJ1632" s="1" t="s">
        <v>207</v>
      </c>
      <c r="AL1632" s="1">
        <v>5</v>
      </c>
      <c r="AM1632" s="1">
        <v>2</v>
      </c>
      <c r="AN1632" s="1">
        <v>1</v>
      </c>
      <c r="AO1632" s="1">
        <v>1</v>
      </c>
      <c r="AP1632" s="1" t="s">
        <v>1234</v>
      </c>
      <c r="AR1632" s="1" t="s">
        <v>210</v>
      </c>
      <c r="AS1632" s="1" t="s">
        <v>204</v>
      </c>
      <c r="AT1632" s="1" t="s">
        <v>271</v>
      </c>
      <c r="AV1632" s="1">
        <v>1</v>
      </c>
      <c r="AW1632" s="1" t="s">
        <v>204</v>
      </c>
      <c r="AX1632" s="1" t="s">
        <v>212</v>
      </c>
      <c r="AZ1632" s="1">
        <v>3128.56</v>
      </c>
      <c r="BA1632" s="1">
        <v>2013</v>
      </c>
      <c r="BB1632" s="1" t="s">
        <v>405</v>
      </c>
      <c r="BE1632" s="1">
        <v>1134</v>
      </c>
      <c r="BF1632" s="1">
        <v>3</v>
      </c>
      <c r="BG1632" s="1">
        <v>0</v>
      </c>
      <c r="BL1632" s="1">
        <v>340</v>
      </c>
      <c r="BM1632" s="1" t="s">
        <v>204</v>
      </c>
      <c r="BN1632" s="1" t="s">
        <v>213</v>
      </c>
      <c r="BO1632" s="1">
        <v>50</v>
      </c>
      <c r="BP1632" s="1" t="s">
        <v>204</v>
      </c>
      <c r="BR1632" s="1" t="str">
        <f>"0510422018"</f>
        <v>0510422018</v>
      </c>
      <c r="BT1632" s="1" t="s">
        <v>15664</v>
      </c>
      <c r="BU1632" s="1" t="s">
        <v>969</v>
      </c>
      <c r="BV1632" s="1" t="s">
        <v>2168</v>
      </c>
      <c r="BW1632" s="1" t="s">
        <v>2169</v>
      </c>
      <c r="BX1632" s="1">
        <v>41</v>
      </c>
      <c r="BY1632" s="1">
        <v>41</v>
      </c>
      <c r="BZ1632" s="1">
        <v>87</v>
      </c>
      <c r="CB1632" s="1" t="str">
        <f t="shared" si="1241"/>
        <v>0</v>
      </c>
      <c r="CC1632" s="1" t="str">
        <f t="shared" ref="CC1632:CC1634" si="1242">"0"</f>
        <v>0</v>
      </c>
      <c r="CD1632" s="1">
        <v>23</v>
      </c>
      <c r="CE1632" s="1">
        <v>0</v>
      </c>
      <c r="CG1632" s="1" t="s">
        <v>3035</v>
      </c>
      <c r="CH1632" s="1" t="s">
        <v>219</v>
      </c>
      <c r="CI1632" s="1" t="s">
        <v>220</v>
      </c>
      <c r="CK1632" s="1" t="s">
        <v>932</v>
      </c>
      <c r="CL1632" s="1" t="s">
        <v>219</v>
      </c>
      <c r="CM1632" s="1" t="s">
        <v>220</v>
      </c>
      <c r="CO1632" s="1" t="s">
        <v>687</v>
      </c>
      <c r="CP1632" s="1" t="s">
        <v>219</v>
      </c>
      <c r="CQ1632" s="1" t="s">
        <v>220</v>
      </c>
      <c r="CS1632" s="1" t="s">
        <v>317</v>
      </c>
      <c r="CT1632" s="1" t="s">
        <v>219</v>
      </c>
      <c r="CU1632" s="1" t="s">
        <v>220</v>
      </c>
      <c r="CX1632" s="1" t="s">
        <v>224</v>
      </c>
      <c r="DB1632" s="1" t="s">
        <v>224</v>
      </c>
      <c r="DE1632" s="1" t="s">
        <v>2842</v>
      </c>
      <c r="DF1632" s="1" t="s">
        <v>219</v>
      </c>
      <c r="DG1632" s="1" t="s">
        <v>342</v>
      </c>
      <c r="DJ1632" s="1" t="s">
        <v>224</v>
      </c>
      <c r="DM1632" s="1" t="s">
        <v>709</v>
      </c>
      <c r="DR1632" s="1" t="s">
        <v>4408</v>
      </c>
      <c r="DS1632" s="1" t="s">
        <v>219</v>
      </c>
      <c r="DT1632" s="1" t="s">
        <v>220</v>
      </c>
      <c r="DW1632" s="1" t="s">
        <v>230</v>
      </c>
      <c r="EA1632" s="1" t="s">
        <v>230</v>
      </c>
      <c r="EE1632" s="1" t="s">
        <v>230</v>
      </c>
      <c r="EI1632" s="1" t="s">
        <v>230</v>
      </c>
      <c r="EL1632" s="1" t="s">
        <v>605</v>
      </c>
      <c r="EM1632" s="1" t="s">
        <v>232</v>
      </c>
      <c r="EN1632" s="1" t="s">
        <v>1158</v>
      </c>
      <c r="EO1632" s="1" t="s">
        <v>234</v>
      </c>
      <c r="EP1632" s="1" t="s">
        <v>15665</v>
      </c>
      <c r="EQ1632" s="1" t="s">
        <v>492</v>
      </c>
      <c r="ER1632" s="1" t="s">
        <v>210</v>
      </c>
      <c r="ES1632" s="1" t="s">
        <v>322</v>
      </c>
      <c r="EV1632" s="1" t="s">
        <v>240</v>
      </c>
      <c r="EW1632" s="1" t="s">
        <v>2765</v>
      </c>
      <c r="EZ1632" s="1" t="s">
        <v>709</v>
      </c>
      <c r="FB1632" s="1" t="s">
        <v>289</v>
      </c>
      <c r="FD1632" s="1" t="s">
        <v>246</v>
      </c>
      <c r="FE1632" s="1" t="s">
        <v>247</v>
      </c>
      <c r="FF1632" s="1" t="s">
        <v>248</v>
      </c>
      <c r="FH1632" s="1" t="s">
        <v>249</v>
      </c>
      <c r="FL1632" s="1" t="s">
        <v>2370</v>
      </c>
      <c r="FM1632" s="1" t="s">
        <v>252</v>
      </c>
      <c r="FN1632" s="1" t="s">
        <v>213</v>
      </c>
      <c r="FO1632" s="1" t="s">
        <v>213</v>
      </c>
      <c r="FQ1632" s="1" t="s">
        <v>793</v>
      </c>
      <c r="FR1632" s="1" t="s">
        <v>360</v>
      </c>
      <c r="FS1632" s="1" t="s">
        <v>15666</v>
      </c>
      <c r="FT1632" s="1" t="s">
        <v>362</v>
      </c>
      <c r="FU1632" s="1" t="s">
        <v>204</v>
      </c>
      <c r="FW1632" s="1" t="s">
        <v>915</v>
      </c>
      <c r="FX1632" s="1">
        <v>24071</v>
      </c>
      <c r="FY1632" s="1" t="s">
        <v>2208</v>
      </c>
      <c r="FZ1632" s="1" t="s">
        <v>15667</v>
      </c>
      <c r="GA1632" s="1">
        <v>245679</v>
      </c>
      <c r="GB1632" s="1" t="s">
        <v>15668</v>
      </c>
      <c r="GE1632" s="1" t="s">
        <v>1256</v>
      </c>
      <c r="GI1632" s="1" t="s">
        <v>213</v>
      </c>
      <c r="GJ1632" s="1" t="s">
        <v>260</v>
      </c>
      <c r="GK1632" s="1" t="s">
        <v>210</v>
      </c>
      <c r="GL1632" s="2">
        <v>42137</v>
      </c>
      <c r="GM1632" s="2" t="s">
        <v>15669</v>
      </c>
    </row>
    <row r="1633" spans="1:195">
      <c r="A1633" s="1">
        <v>106000</v>
      </c>
      <c r="B1633" s="1" t="s">
        <v>195</v>
      </c>
      <c r="C1633" s="1" t="str">
        <f>"08708727"</f>
        <v>08708727</v>
      </c>
      <c r="D1633" s="1" t="s">
        <v>196</v>
      </c>
      <c r="F1633" s="1" t="str">
        <f>"560"</f>
        <v>560</v>
      </c>
      <c r="G1633" s="2">
        <v>41873</v>
      </c>
      <c r="H1633" s="1">
        <v>124900</v>
      </c>
      <c r="I1633" s="1">
        <v>109900</v>
      </c>
      <c r="J1633" s="1">
        <v>106000</v>
      </c>
      <c r="K1633" s="2">
        <v>41872</v>
      </c>
      <c r="L1633" s="1">
        <v>79</v>
      </c>
      <c r="M1633" s="2">
        <v>41950</v>
      </c>
      <c r="N1633" s="1">
        <v>79</v>
      </c>
      <c r="O1633" s="2">
        <v>41950</v>
      </c>
      <c r="P1633" s="1">
        <v>24504</v>
      </c>
      <c r="Q1633" s="1" t="s">
        <v>197</v>
      </c>
      <c r="R1633" s="2">
        <v>41997</v>
      </c>
      <c r="S1633" s="1">
        <v>236067</v>
      </c>
      <c r="T1633" s="1">
        <v>3180</v>
      </c>
      <c r="U1633" s="1">
        <v>1375</v>
      </c>
      <c r="V1633" s="1" t="s">
        <v>5115</v>
      </c>
      <c r="W1633" s="1" t="s">
        <v>504</v>
      </c>
      <c r="X1633" s="1">
        <v>1375</v>
      </c>
      <c r="Y1633" s="1">
        <v>6</v>
      </c>
      <c r="Z1633" s="1" t="s">
        <v>370</v>
      </c>
      <c r="AA1633" s="1" t="s">
        <v>484</v>
      </c>
      <c r="AB1633" s="1">
        <v>60560</v>
      </c>
      <c r="AC1633" s="1">
        <v>4549</v>
      </c>
      <c r="AD1633" s="1" t="s">
        <v>13966</v>
      </c>
      <c r="AE1633" s="1" t="s">
        <v>15670</v>
      </c>
      <c r="AF1633" s="1">
        <v>2001</v>
      </c>
      <c r="AG1633" s="1" t="s">
        <v>204</v>
      </c>
      <c r="AH1633" s="1" t="s">
        <v>487</v>
      </c>
      <c r="AI1633" s="1" t="s">
        <v>453</v>
      </c>
      <c r="AJ1633" s="1" t="s">
        <v>454</v>
      </c>
      <c r="AK1633" s="1" t="s">
        <v>1398</v>
      </c>
      <c r="AL1633" s="1">
        <v>6</v>
      </c>
      <c r="AM1633" s="1">
        <v>2</v>
      </c>
      <c r="AN1633" s="1">
        <v>2</v>
      </c>
      <c r="AO1633" s="1">
        <v>1</v>
      </c>
      <c r="AP1633" s="1" t="s">
        <v>209</v>
      </c>
      <c r="AR1633" s="1" t="s">
        <v>209</v>
      </c>
      <c r="AS1633" s="1" t="s">
        <v>204</v>
      </c>
      <c r="AT1633" s="1" t="s">
        <v>211</v>
      </c>
      <c r="AU1633" s="1">
        <v>2</v>
      </c>
      <c r="AW1633" s="1" t="s">
        <v>204</v>
      </c>
      <c r="AX1633" s="1" t="s">
        <v>15671</v>
      </c>
      <c r="AZ1633" s="1">
        <v>2407.6</v>
      </c>
      <c r="BA1633" s="1">
        <v>2013</v>
      </c>
      <c r="BB1633" s="1" t="s">
        <v>405</v>
      </c>
      <c r="BE1633" s="1">
        <v>1196</v>
      </c>
      <c r="BF1633" s="1">
        <v>1</v>
      </c>
      <c r="BG1633" s="1">
        <v>0</v>
      </c>
      <c r="BL1633" s="1">
        <v>125</v>
      </c>
      <c r="BM1633" s="1" t="s">
        <v>204</v>
      </c>
      <c r="BN1633" s="1" t="s">
        <v>213</v>
      </c>
      <c r="BO1633" s="1">
        <v>999</v>
      </c>
      <c r="BP1633" s="1" t="s">
        <v>204</v>
      </c>
      <c r="BR1633" s="1" t="str">
        <f>"0230216116"</f>
        <v>0230216116</v>
      </c>
      <c r="BT1633" s="1" t="s">
        <v>15672</v>
      </c>
      <c r="BW1633" s="1" t="s">
        <v>9633</v>
      </c>
      <c r="BX1633" s="1">
        <v>115</v>
      </c>
      <c r="BY1633" s="1">
        <v>115</v>
      </c>
      <c r="BZ1633" s="1">
        <v>115</v>
      </c>
      <c r="CB1633" s="1" t="str">
        <f t="shared" si="1241"/>
        <v>0</v>
      </c>
      <c r="CC1633" s="1" t="str">
        <f t="shared" si="1242"/>
        <v>0</v>
      </c>
      <c r="CD1633" s="1">
        <v>44</v>
      </c>
      <c r="CE1633" s="1">
        <v>14</v>
      </c>
      <c r="CG1633" s="1" t="s">
        <v>221</v>
      </c>
      <c r="CH1633" s="1" t="s">
        <v>219</v>
      </c>
      <c r="CK1633" s="1" t="s">
        <v>378</v>
      </c>
      <c r="CL1633" s="1" t="s">
        <v>277</v>
      </c>
      <c r="CP1633" s="1" t="s">
        <v>224</v>
      </c>
      <c r="CS1633" s="1" t="s">
        <v>346</v>
      </c>
      <c r="CT1633" s="1" t="s">
        <v>277</v>
      </c>
      <c r="CX1633" s="1" t="s">
        <v>224</v>
      </c>
      <c r="DB1633" s="1" t="s">
        <v>224</v>
      </c>
      <c r="DE1633" s="1" t="s">
        <v>951</v>
      </c>
      <c r="DF1633" s="1" t="s">
        <v>219</v>
      </c>
      <c r="DI1633" s="1" t="s">
        <v>346</v>
      </c>
      <c r="DJ1633" s="1" t="s">
        <v>822</v>
      </c>
      <c r="DM1633" s="1" t="s">
        <v>381</v>
      </c>
      <c r="DR1633" s="1" t="s">
        <v>1297</v>
      </c>
      <c r="DS1633" s="1" t="s">
        <v>219</v>
      </c>
      <c r="DW1633" s="1" t="s">
        <v>230</v>
      </c>
      <c r="EA1633" s="1" t="s">
        <v>230</v>
      </c>
      <c r="EE1633" s="1" t="s">
        <v>230</v>
      </c>
      <c r="EI1633" s="1" t="s">
        <v>230</v>
      </c>
      <c r="EL1633" s="1" t="s">
        <v>466</v>
      </c>
      <c r="EM1633" s="1" t="s">
        <v>319</v>
      </c>
      <c r="EN1633" s="1" t="s">
        <v>282</v>
      </c>
      <c r="EO1633" s="1" t="s">
        <v>234</v>
      </c>
      <c r="EP1633" s="1" t="s">
        <v>650</v>
      </c>
      <c r="ER1633" s="1" t="s">
        <v>544</v>
      </c>
      <c r="ES1633" s="1" t="s">
        <v>1552</v>
      </c>
      <c r="EW1633" s="1" t="s">
        <v>1250</v>
      </c>
      <c r="EY1633" s="1" t="s">
        <v>242</v>
      </c>
      <c r="EZ1633" s="1" t="s">
        <v>381</v>
      </c>
      <c r="FB1633" s="1" t="s">
        <v>289</v>
      </c>
      <c r="FD1633" s="1" t="s">
        <v>246</v>
      </c>
      <c r="FE1633" s="1" t="s">
        <v>1031</v>
      </c>
      <c r="FF1633" s="1" t="s">
        <v>248</v>
      </c>
      <c r="FH1633" s="1" t="s">
        <v>1428</v>
      </c>
      <c r="FL1633" s="1" t="s">
        <v>358</v>
      </c>
      <c r="FM1633" s="1" t="s">
        <v>252</v>
      </c>
      <c r="FN1633" s="1" t="s">
        <v>213</v>
      </c>
      <c r="FO1633" s="1" t="s">
        <v>213</v>
      </c>
      <c r="FQ1633" s="1" t="s">
        <v>673</v>
      </c>
      <c r="FR1633" s="1" t="s">
        <v>210</v>
      </c>
      <c r="FS1633" s="1" t="s">
        <v>2753</v>
      </c>
      <c r="FT1633" s="1" t="s">
        <v>8191</v>
      </c>
      <c r="FU1633" s="1" t="s">
        <v>204</v>
      </c>
      <c r="FW1633" s="1" t="s">
        <v>9811</v>
      </c>
      <c r="FX1633" s="1">
        <v>23187</v>
      </c>
      <c r="FY1633" s="1" t="s">
        <v>9812</v>
      </c>
      <c r="FZ1633" s="1" t="s">
        <v>9813</v>
      </c>
      <c r="GA1633" s="1">
        <v>233406</v>
      </c>
      <c r="GB1633" s="1" t="s">
        <v>9814</v>
      </c>
      <c r="GC1633" s="1">
        <v>232524</v>
      </c>
      <c r="GE1633" s="1" t="s">
        <v>210</v>
      </c>
      <c r="GI1633" s="1" t="s">
        <v>213</v>
      </c>
      <c r="GJ1633" s="1" t="s">
        <v>260</v>
      </c>
      <c r="GK1633" s="1" t="s">
        <v>210</v>
      </c>
      <c r="GL1633" s="2">
        <v>41997</v>
      </c>
      <c r="GM1633" s="1" t="s">
        <v>15673</v>
      </c>
    </row>
    <row r="1634" spans="1:195">
      <c r="A1634" s="1">
        <v>124000</v>
      </c>
      <c r="B1634" s="1" t="s">
        <v>195</v>
      </c>
      <c r="C1634" s="1" t="str">
        <f>"08708242"</f>
        <v>08708242</v>
      </c>
      <c r="D1634" s="1" t="s">
        <v>196</v>
      </c>
      <c r="F1634" s="1" t="str">
        <f>"123"</f>
        <v>123</v>
      </c>
      <c r="G1634" s="2">
        <v>41872</v>
      </c>
      <c r="H1634" s="1">
        <v>134900</v>
      </c>
      <c r="I1634" s="1">
        <v>129900</v>
      </c>
      <c r="J1634" s="1">
        <v>124000</v>
      </c>
      <c r="K1634" s="2">
        <v>41872</v>
      </c>
      <c r="L1634" s="1">
        <v>61</v>
      </c>
      <c r="M1634" s="2">
        <v>41932</v>
      </c>
      <c r="N1634" s="1">
        <v>61</v>
      </c>
      <c r="O1634" s="2">
        <v>41932</v>
      </c>
      <c r="P1634" s="1">
        <v>1833</v>
      </c>
      <c r="Q1634" s="1" t="s">
        <v>197</v>
      </c>
      <c r="R1634" s="2">
        <v>42012</v>
      </c>
      <c r="S1634" s="1">
        <v>28246</v>
      </c>
      <c r="U1634" s="1">
        <v>761</v>
      </c>
      <c r="V1634" s="1" t="s">
        <v>15674</v>
      </c>
      <c r="W1634" s="1" t="s">
        <v>264</v>
      </c>
      <c r="X1634" s="1">
        <v>761</v>
      </c>
      <c r="Y1634" s="1">
        <v>2</v>
      </c>
      <c r="Z1634" s="1" t="s">
        <v>249</v>
      </c>
      <c r="AA1634" s="1" t="s">
        <v>1173</v>
      </c>
      <c r="AB1634" s="1">
        <v>60120</v>
      </c>
      <c r="AC1634" s="1">
        <v>4377</v>
      </c>
      <c r="AD1634" s="1" t="s">
        <v>3601</v>
      </c>
      <c r="AE1634" s="1" t="s">
        <v>15675</v>
      </c>
      <c r="AF1634" s="1">
        <v>1990</v>
      </c>
      <c r="AG1634" s="1" t="s">
        <v>204</v>
      </c>
      <c r="AH1634" s="1" t="s">
        <v>1175</v>
      </c>
      <c r="AI1634" s="1" t="s">
        <v>310</v>
      </c>
      <c r="AJ1634" s="1" t="s">
        <v>374</v>
      </c>
      <c r="AK1634" s="1" t="s">
        <v>8772</v>
      </c>
      <c r="AL1634" s="1">
        <v>6</v>
      </c>
      <c r="AM1634" s="1">
        <v>2</v>
      </c>
      <c r="AN1634" s="1">
        <v>1</v>
      </c>
      <c r="AO1634" s="1">
        <v>1</v>
      </c>
      <c r="AP1634" s="1" t="s">
        <v>455</v>
      </c>
      <c r="AQ1634" s="1">
        <v>1</v>
      </c>
      <c r="AR1634" s="1" t="s">
        <v>210</v>
      </c>
      <c r="AS1634" s="1" t="s">
        <v>204</v>
      </c>
      <c r="AT1634" s="1" t="s">
        <v>211</v>
      </c>
      <c r="AU1634" s="1">
        <v>1</v>
      </c>
      <c r="AW1634" s="1" t="s">
        <v>204</v>
      </c>
      <c r="AX1634" s="1" t="s">
        <v>579</v>
      </c>
      <c r="AZ1634" s="1">
        <v>2388.2800000000002</v>
      </c>
      <c r="BA1634" s="1">
        <v>2013</v>
      </c>
      <c r="BB1634" s="1" t="s">
        <v>405</v>
      </c>
      <c r="BE1634" s="1">
        <v>1300</v>
      </c>
      <c r="BF1634" s="1">
        <v>1</v>
      </c>
      <c r="BG1634" s="1">
        <v>0</v>
      </c>
      <c r="BL1634" s="1">
        <v>187</v>
      </c>
      <c r="BM1634" s="1" t="s">
        <v>204</v>
      </c>
      <c r="BN1634" s="1" t="s">
        <v>213</v>
      </c>
      <c r="BO1634" s="1">
        <v>0</v>
      </c>
      <c r="BP1634" s="1" t="s">
        <v>204</v>
      </c>
      <c r="BR1634" s="1" t="str">
        <f>"06074000121093"</f>
        <v>06074000121093</v>
      </c>
      <c r="BT1634" s="1" t="s">
        <v>15676</v>
      </c>
      <c r="BU1634" s="1" t="s">
        <v>969</v>
      </c>
      <c r="BV1634" s="1" t="s">
        <v>3604</v>
      </c>
      <c r="BW1634" s="1" t="s">
        <v>2058</v>
      </c>
      <c r="BX1634" s="1">
        <v>46</v>
      </c>
      <c r="BY1634" s="1">
        <v>46</v>
      </c>
      <c r="BZ1634" s="1">
        <v>46</v>
      </c>
      <c r="CB1634" s="1" t="str">
        <f>"12"</f>
        <v>12</v>
      </c>
      <c r="CC1634" s="1" t="str">
        <f t="shared" si="1242"/>
        <v>0</v>
      </c>
      <c r="CD1634" s="1">
        <v>32</v>
      </c>
      <c r="CE1634" s="1">
        <v>0</v>
      </c>
      <c r="CG1634" s="1" t="s">
        <v>1045</v>
      </c>
      <c r="CH1634" s="1" t="s">
        <v>219</v>
      </c>
      <c r="CI1634" s="1" t="s">
        <v>220</v>
      </c>
      <c r="CJ1634" s="1" t="s">
        <v>252</v>
      </c>
      <c r="CK1634" s="1" t="s">
        <v>317</v>
      </c>
      <c r="CL1634" s="1" t="s">
        <v>277</v>
      </c>
      <c r="CM1634" s="1" t="s">
        <v>220</v>
      </c>
      <c r="CN1634" s="1" t="s">
        <v>252</v>
      </c>
      <c r="CO1634" s="1" t="s">
        <v>318</v>
      </c>
      <c r="CP1634" s="1" t="s">
        <v>219</v>
      </c>
      <c r="CQ1634" s="1" t="s">
        <v>220</v>
      </c>
      <c r="CR1634" s="1" t="s">
        <v>343</v>
      </c>
      <c r="CS1634" s="1" t="s">
        <v>346</v>
      </c>
      <c r="CT1634" s="1" t="s">
        <v>277</v>
      </c>
      <c r="CU1634" s="1" t="s">
        <v>220</v>
      </c>
      <c r="CV1634" s="1" t="s">
        <v>252</v>
      </c>
      <c r="CX1634" s="1" t="s">
        <v>224</v>
      </c>
      <c r="DB1634" s="1" t="s">
        <v>224</v>
      </c>
      <c r="DE1634" s="1" t="s">
        <v>379</v>
      </c>
      <c r="DF1634" s="1" t="s">
        <v>219</v>
      </c>
      <c r="DG1634" s="1" t="s">
        <v>342</v>
      </c>
      <c r="DH1634" s="1" t="s">
        <v>210</v>
      </c>
      <c r="DJ1634" s="1" t="s">
        <v>224</v>
      </c>
      <c r="DM1634" s="1" t="s">
        <v>464</v>
      </c>
      <c r="DN1634" s="1" t="s">
        <v>709</v>
      </c>
      <c r="DR1634" s="1" t="s">
        <v>318</v>
      </c>
      <c r="DS1634" s="1" t="s">
        <v>277</v>
      </c>
      <c r="DT1634" s="1" t="s">
        <v>220</v>
      </c>
      <c r="DU1634" s="1" t="s">
        <v>210</v>
      </c>
      <c r="DV1634" s="1" t="s">
        <v>7610</v>
      </c>
      <c r="DW1634" s="1" t="s">
        <v>219</v>
      </c>
      <c r="DX1634" s="1" t="s">
        <v>226</v>
      </c>
      <c r="DY1634" s="1" t="s">
        <v>463</v>
      </c>
      <c r="EA1634" s="1" t="s">
        <v>230</v>
      </c>
      <c r="EE1634" s="1" t="s">
        <v>230</v>
      </c>
      <c r="EI1634" s="1" t="s">
        <v>230</v>
      </c>
      <c r="EL1634" s="1" t="s">
        <v>382</v>
      </c>
      <c r="EM1634" s="1" t="s">
        <v>319</v>
      </c>
      <c r="EN1634" s="1" t="s">
        <v>282</v>
      </c>
      <c r="EO1634" s="1" t="s">
        <v>840</v>
      </c>
      <c r="EP1634" s="1" t="s">
        <v>650</v>
      </c>
      <c r="EQ1634" s="1" t="s">
        <v>236</v>
      </c>
      <c r="ER1634" s="1" t="s">
        <v>383</v>
      </c>
      <c r="ES1634" s="1" t="s">
        <v>824</v>
      </c>
      <c r="ET1634" s="1" t="s">
        <v>842</v>
      </c>
      <c r="EU1634" s="1" t="s">
        <v>1202</v>
      </c>
      <c r="EV1634" s="1" t="s">
        <v>240</v>
      </c>
      <c r="EW1634" s="1" t="s">
        <v>353</v>
      </c>
      <c r="EY1634" s="1" t="s">
        <v>790</v>
      </c>
      <c r="EZ1634" s="1" t="s">
        <v>2549</v>
      </c>
      <c r="FA1634" s="1" t="s">
        <v>3624</v>
      </c>
      <c r="FB1634" s="1" t="s">
        <v>289</v>
      </c>
      <c r="FC1634" s="1" t="s">
        <v>1362</v>
      </c>
      <c r="FD1634" s="1" t="s">
        <v>246</v>
      </c>
      <c r="FE1634" s="1" t="s">
        <v>386</v>
      </c>
      <c r="FF1634" s="1" t="s">
        <v>248</v>
      </c>
      <c r="FG1634" s="1" t="s">
        <v>5121</v>
      </c>
      <c r="FH1634" s="1" t="s">
        <v>388</v>
      </c>
      <c r="FI1634" s="1" t="s">
        <v>473</v>
      </c>
      <c r="FJ1634" s="1" t="s">
        <v>197</v>
      </c>
      <c r="FL1634" s="1" t="s">
        <v>358</v>
      </c>
      <c r="FM1634" s="1" t="s">
        <v>252</v>
      </c>
      <c r="FN1634" s="1" t="s">
        <v>213</v>
      </c>
      <c r="FO1634" s="1" t="s">
        <v>213</v>
      </c>
      <c r="FQ1634" s="1" t="s">
        <v>4594</v>
      </c>
      <c r="FR1634" s="1" t="s">
        <v>210</v>
      </c>
      <c r="FS1634" s="1" t="s">
        <v>10366</v>
      </c>
      <c r="FT1634" s="1" t="s">
        <v>362</v>
      </c>
      <c r="FU1634" s="1" t="s">
        <v>204</v>
      </c>
      <c r="FW1634" s="1" t="s">
        <v>3291</v>
      </c>
      <c r="FX1634" s="1">
        <v>7450</v>
      </c>
      <c r="FY1634" s="1" t="s">
        <v>3292</v>
      </c>
      <c r="FZ1634" s="1" t="s">
        <v>10367</v>
      </c>
      <c r="GA1634" s="1">
        <v>77092</v>
      </c>
      <c r="GB1634" s="1" t="s">
        <v>10368</v>
      </c>
      <c r="GD1634" s="1" t="s">
        <v>10369</v>
      </c>
      <c r="GE1634" s="1" t="s">
        <v>1187</v>
      </c>
      <c r="GH1634" s="1" t="s">
        <v>230</v>
      </c>
      <c r="GI1634" s="1" t="s">
        <v>213</v>
      </c>
      <c r="GJ1634" s="1" t="s">
        <v>260</v>
      </c>
      <c r="GK1634" s="1" t="s">
        <v>210</v>
      </c>
      <c r="GL1634" s="2">
        <v>42012</v>
      </c>
    </row>
    <row r="1635" spans="1:195">
      <c r="A1635" s="1">
        <v>179500</v>
      </c>
      <c r="B1635" s="1" t="s">
        <v>195</v>
      </c>
      <c r="C1635" s="1" t="str">
        <f>"08706827"</f>
        <v>08706827</v>
      </c>
      <c r="D1635" s="1" t="s">
        <v>196</v>
      </c>
      <c r="F1635" s="1" t="str">
        <f>"507"</f>
        <v>507</v>
      </c>
      <c r="G1635" s="2">
        <v>41871</v>
      </c>
      <c r="H1635" s="1">
        <v>194900</v>
      </c>
      <c r="I1635" s="1">
        <v>184900</v>
      </c>
      <c r="J1635" s="1">
        <v>179500</v>
      </c>
      <c r="K1635" s="2">
        <v>41871</v>
      </c>
      <c r="L1635" s="1">
        <v>181</v>
      </c>
      <c r="M1635" s="2">
        <v>42051</v>
      </c>
      <c r="N1635" s="1">
        <v>181</v>
      </c>
      <c r="O1635" s="2">
        <v>42051</v>
      </c>
      <c r="P1635" s="1">
        <v>23030</v>
      </c>
      <c r="Q1635" s="1" t="s">
        <v>197</v>
      </c>
      <c r="R1635" s="2">
        <v>42076</v>
      </c>
      <c r="S1635" s="1">
        <v>245396</v>
      </c>
      <c r="U1635" s="1">
        <v>2253</v>
      </c>
      <c r="V1635" s="1" t="s">
        <v>10309</v>
      </c>
      <c r="W1635" s="1" t="s">
        <v>449</v>
      </c>
      <c r="Y1635" s="1">
        <v>6</v>
      </c>
      <c r="Z1635" s="1" t="s">
        <v>370</v>
      </c>
      <c r="AA1635" s="1" t="s">
        <v>1123</v>
      </c>
      <c r="AB1635" s="1">
        <v>60502</v>
      </c>
      <c r="AD1635" s="1" t="s">
        <v>15677</v>
      </c>
      <c r="AE1635" s="1" t="s">
        <v>15678</v>
      </c>
      <c r="AF1635" s="1">
        <v>2003</v>
      </c>
      <c r="AG1635" s="1" t="s">
        <v>204</v>
      </c>
      <c r="AH1635" s="1" t="s">
        <v>1126</v>
      </c>
      <c r="AI1635" s="1" t="s">
        <v>206</v>
      </c>
      <c r="AJ1635" s="1" t="s">
        <v>924</v>
      </c>
      <c r="AL1635" s="1">
        <v>6</v>
      </c>
      <c r="AM1635" s="1">
        <v>2</v>
      </c>
      <c r="AN1635" s="1">
        <v>2</v>
      </c>
      <c r="AO1635" s="1">
        <v>1</v>
      </c>
      <c r="AP1635" s="1" t="s">
        <v>209</v>
      </c>
      <c r="AR1635" s="1" t="s">
        <v>1631</v>
      </c>
      <c r="AS1635" s="1" t="s">
        <v>204</v>
      </c>
      <c r="AT1635" s="1" t="s">
        <v>211</v>
      </c>
      <c r="AU1635" s="1">
        <v>2</v>
      </c>
      <c r="AW1635" s="1" t="s">
        <v>204</v>
      </c>
      <c r="AX1635" s="1" t="s">
        <v>212</v>
      </c>
      <c r="AZ1635" s="1">
        <v>4823</v>
      </c>
      <c r="BA1635" s="1">
        <v>2013</v>
      </c>
      <c r="BB1635" s="1" t="s">
        <v>405</v>
      </c>
      <c r="BE1635" s="1">
        <v>1886</v>
      </c>
      <c r="BF1635" s="1">
        <v>1</v>
      </c>
      <c r="BG1635" s="1">
        <v>0</v>
      </c>
      <c r="BL1635" s="1">
        <v>146</v>
      </c>
      <c r="BM1635" s="1" t="s">
        <v>204</v>
      </c>
      <c r="BN1635" s="1" t="s">
        <v>213</v>
      </c>
      <c r="BO1635" s="1">
        <v>100</v>
      </c>
      <c r="BP1635" s="1" t="s">
        <v>204</v>
      </c>
      <c r="BR1635" s="1" t="str">
        <f>"0719108137"</f>
        <v>0719108137</v>
      </c>
      <c r="BT1635" s="1" t="s">
        <v>15679</v>
      </c>
      <c r="BU1635" s="1" t="s">
        <v>6259</v>
      </c>
      <c r="BV1635" s="1" t="s">
        <v>1130</v>
      </c>
      <c r="BW1635" s="1" t="s">
        <v>1312</v>
      </c>
      <c r="BX1635" s="1">
        <v>204</v>
      </c>
      <c r="BY1635" s="1">
        <v>204</v>
      </c>
      <c r="BZ1635" s="1">
        <v>204</v>
      </c>
      <c r="CB1635" s="1" t="str">
        <f t="shared" ref="CB1635:CC1635" si="1243">"0"</f>
        <v>0</v>
      </c>
      <c r="CC1635" s="1" t="str">
        <f t="shared" si="1243"/>
        <v>0</v>
      </c>
      <c r="CD1635" s="1">
        <v>32</v>
      </c>
      <c r="CE1635" s="1">
        <v>7</v>
      </c>
      <c r="CG1635" s="1" t="s">
        <v>908</v>
      </c>
      <c r="CH1635" s="1" t="s">
        <v>219</v>
      </c>
      <c r="CI1635" s="1" t="s">
        <v>438</v>
      </c>
      <c r="CJ1635" s="1" t="s">
        <v>343</v>
      </c>
      <c r="CK1635" s="1" t="s">
        <v>11448</v>
      </c>
      <c r="CL1635" s="1" t="s">
        <v>277</v>
      </c>
      <c r="CM1635" s="1" t="s">
        <v>220</v>
      </c>
      <c r="CN1635" s="1" t="s">
        <v>343</v>
      </c>
      <c r="CP1635" s="1" t="s">
        <v>224</v>
      </c>
      <c r="CS1635" s="1" t="s">
        <v>757</v>
      </c>
      <c r="CT1635" s="1" t="s">
        <v>277</v>
      </c>
      <c r="CU1635" s="1" t="s">
        <v>220</v>
      </c>
      <c r="CV1635" s="1" t="s">
        <v>343</v>
      </c>
      <c r="CX1635" s="1" t="s">
        <v>224</v>
      </c>
      <c r="DB1635" s="1" t="s">
        <v>224</v>
      </c>
      <c r="DE1635" s="1" t="s">
        <v>15680</v>
      </c>
      <c r="DF1635" s="1" t="s">
        <v>219</v>
      </c>
      <c r="DG1635" s="1" t="s">
        <v>226</v>
      </c>
      <c r="DH1635" s="1" t="s">
        <v>343</v>
      </c>
      <c r="DJ1635" s="1" t="s">
        <v>224</v>
      </c>
      <c r="DM1635" s="1" t="s">
        <v>411</v>
      </c>
      <c r="DO1635" s="1" t="s">
        <v>464</v>
      </c>
      <c r="DR1635" s="1" t="s">
        <v>409</v>
      </c>
      <c r="DS1635" s="1" t="s">
        <v>43</v>
      </c>
      <c r="DT1635" s="1" t="s">
        <v>226</v>
      </c>
      <c r="DW1635" s="1" t="s">
        <v>230</v>
      </c>
      <c r="DZ1635" s="1" t="s">
        <v>317</v>
      </c>
      <c r="EA1635" s="1" t="s">
        <v>277</v>
      </c>
      <c r="EE1635" s="1" t="s">
        <v>230</v>
      </c>
      <c r="EI1635" s="1" t="s">
        <v>230</v>
      </c>
      <c r="EL1635" s="1" t="s">
        <v>466</v>
      </c>
      <c r="EM1635" s="1" t="s">
        <v>319</v>
      </c>
      <c r="EN1635" s="1" t="s">
        <v>282</v>
      </c>
      <c r="EO1635" s="1" t="s">
        <v>234</v>
      </c>
      <c r="EP1635" s="1" t="s">
        <v>210</v>
      </c>
      <c r="EQ1635" s="1" t="s">
        <v>236</v>
      </c>
      <c r="ER1635" s="1" t="s">
        <v>351</v>
      </c>
      <c r="ES1635" s="1" t="s">
        <v>322</v>
      </c>
      <c r="ET1635" s="1" t="s">
        <v>866</v>
      </c>
      <c r="EU1635" s="1" t="s">
        <v>239</v>
      </c>
      <c r="EW1635" s="1" t="s">
        <v>887</v>
      </c>
      <c r="EY1635" s="1" t="s">
        <v>242</v>
      </c>
      <c r="EZ1635" s="1" t="s">
        <v>13709</v>
      </c>
      <c r="FA1635" s="1" t="s">
        <v>1072</v>
      </c>
      <c r="FB1635" s="1" t="s">
        <v>289</v>
      </c>
      <c r="FD1635" s="1" t="s">
        <v>246</v>
      </c>
      <c r="FE1635" s="1" t="s">
        <v>472</v>
      </c>
      <c r="FF1635" s="1" t="s">
        <v>248</v>
      </c>
      <c r="FH1635" s="1" t="s">
        <v>1634</v>
      </c>
      <c r="FI1635" s="1" t="s">
        <v>473</v>
      </c>
      <c r="FL1635" s="1" t="s">
        <v>358</v>
      </c>
      <c r="FM1635" s="1" t="s">
        <v>252</v>
      </c>
      <c r="FN1635" s="1" t="s">
        <v>213</v>
      </c>
      <c r="FO1635" s="1" t="s">
        <v>213</v>
      </c>
      <c r="FQ1635" s="1" t="s">
        <v>15681</v>
      </c>
      <c r="FR1635" s="1" t="s">
        <v>210</v>
      </c>
      <c r="FS1635" s="1" t="s">
        <v>15682</v>
      </c>
      <c r="FT1635" s="1" t="s">
        <v>295</v>
      </c>
      <c r="FU1635" s="1" t="s">
        <v>204</v>
      </c>
      <c r="FW1635" s="1" t="s">
        <v>1652</v>
      </c>
      <c r="FX1635" s="1">
        <v>84783</v>
      </c>
      <c r="FY1635" s="1" t="s">
        <v>15683</v>
      </c>
      <c r="FZ1635" s="1" t="s">
        <v>15684</v>
      </c>
      <c r="GA1635" s="1">
        <v>120679</v>
      </c>
      <c r="GB1635" s="1" t="s">
        <v>15685</v>
      </c>
      <c r="GE1635" s="1" t="s">
        <v>480</v>
      </c>
      <c r="GI1635" s="1" t="s">
        <v>213</v>
      </c>
      <c r="GJ1635" s="1" t="s">
        <v>300</v>
      </c>
      <c r="GK1635" s="1" t="s">
        <v>210</v>
      </c>
      <c r="GL1635" s="2">
        <v>42132</v>
      </c>
    </row>
    <row r="1636" spans="1:195">
      <c r="A1636" s="1">
        <v>117500</v>
      </c>
      <c r="B1636" s="1" t="s">
        <v>195</v>
      </c>
      <c r="C1636" s="1" t="str">
        <f>"08709024"</f>
        <v>08709024</v>
      </c>
      <c r="D1636" s="1" t="s">
        <v>196</v>
      </c>
      <c r="F1636" s="1" t="str">
        <f>"543"</f>
        <v>543</v>
      </c>
      <c r="G1636" s="2">
        <v>41873</v>
      </c>
      <c r="H1636" s="1">
        <v>144500</v>
      </c>
      <c r="I1636" s="1">
        <v>119900</v>
      </c>
      <c r="J1636" s="1">
        <v>117500</v>
      </c>
      <c r="K1636" s="2">
        <v>41873</v>
      </c>
      <c r="L1636" s="1">
        <v>128</v>
      </c>
      <c r="M1636" s="2">
        <v>42000</v>
      </c>
      <c r="N1636" s="1">
        <v>128</v>
      </c>
      <c r="O1636" s="2">
        <v>42000</v>
      </c>
      <c r="P1636" s="1">
        <v>23290</v>
      </c>
      <c r="Q1636" s="1" t="s">
        <v>302</v>
      </c>
      <c r="R1636" s="2">
        <v>42017</v>
      </c>
      <c r="S1636" s="1">
        <v>235692</v>
      </c>
      <c r="U1636" s="1">
        <v>165</v>
      </c>
      <c r="V1636" s="1" t="s">
        <v>2638</v>
      </c>
      <c r="W1636" s="1" t="s">
        <v>449</v>
      </c>
      <c r="Y1636" s="1">
        <v>2</v>
      </c>
      <c r="Z1636" s="1" t="s">
        <v>370</v>
      </c>
      <c r="AA1636" s="1" t="s">
        <v>2639</v>
      </c>
      <c r="AB1636" s="1">
        <v>60543</v>
      </c>
      <c r="AE1636" s="1" t="s">
        <v>15686</v>
      </c>
      <c r="AF1636" s="1">
        <v>2005</v>
      </c>
      <c r="AG1636" s="1" t="s">
        <v>204</v>
      </c>
      <c r="AH1636" s="1" t="s">
        <v>882</v>
      </c>
      <c r="AI1636" s="1" t="s">
        <v>453</v>
      </c>
      <c r="AJ1636" s="1" t="s">
        <v>1397</v>
      </c>
      <c r="AL1636" s="1">
        <v>5</v>
      </c>
      <c r="AM1636" s="1">
        <v>2</v>
      </c>
      <c r="AN1636" s="1">
        <v>1</v>
      </c>
      <c r="AO1636" s="1">
        <v>1</v>
      </c>
      <c r="AP1636" s="1" t="s">
        <v>210</v>
      </c>
      <c r="AR1636" s="1" t="s">
        <v>210</v>
      </c>
      <c r="AS1636" s="1" t="s">
        <v>204</v>
      </c>
      <c r="AT1636" s="1" t="s">
        <v>211</v>
      </c>
      <c r="AU1636" s="1">
        <v>2</v>
      </c>
      <c r="AW1636" s="1" t="s">
        <v>204</v>
      </c>
      <c r="AX1636" s="1">
        <v>1316</v>
      </c>
      <c r="AZ1636" s="1">
        <v>4758.2</v>
      </c>
      <c r="BA1636" s="1">
        <v>2012</v>
      </c>
      <c r="BE1636" s="1">
        <v>0</v>
      </c>
      <c r="BF1636" s="1">
        <v>1</v>
      </c>
      <c r="BG1636" s="1">
        <v>180</v>
      </c>
      <c r="BL1636" s="1">
        <v>149</v>
      </c>
      <c r="BM1636" s="1" t="s">
        <v>413</v>
      </c>
      <c r="BN1636" s="1" t="s">
        <v>213</v>
      </c>
      <c r="BO1636" s="1">
        <v>99</v>
      </c>
      <c r="BP1636" s="1" t="s">
        <v>204</v>
      </c>
      <c r="BR1636" s="1" t="str">
        <f>"0302457091"</f>
        <v>0302457091</v>
      </c>
      <c r="BT1636" s="1" t="s">
        <v>15687</v>
      </c>
      <c r="BX1636" s="1">
        <v>308</v>
      </c>
      <c r="BY1636" s="1">
        <v>308</v>
      </c>
      <c r="BZ1636" s="1">
        <v>308</v>
      </c>
      <c r="CB1636" s="1" t="str">
        <f t="shared" ref="CB1636:CC1636" si="1244">""</f>
        <v/>
      </c>
      <c r="CC1636" s="1" t="str">
        <f t="shared" si="1244"/>
        <v/>
      </c>
      <c r="CG1636" s="1" t="s">
        <v>757</v>
      </c>
      <c r="CH1636" s="1" t="s">
        <v>219</v>
      </c>
      <c r="CK1636" s="1" t="s">
        <v>908</v>
      </c>
      <c r="CL1636" s="1" t="s">
        <v>277</v>
      </c>
      <c r="CP1636" s="1" t="s">
        <v>224</v>
      </c>
      <c r="CS1636" s="1" t="s">
        <v>1046</v>
      </c>
      <c r="CT1636" s="1" t="s">
        <v>277</v>
      </c>
      <c r="CX1636" s="1" t="s">
        <v>224</v>
      </c>
      <c r="DB1636" s="1" t="s">
        <v>224</v>
      </c>
      <c r="DE1636" s="1" t="s">
        <v>348</v>
      </c>
      <c r="DF1636" s="1" t="s">
        <v>219</v>
      </c>
      <c r="DI1636" s="1" t="s">
        <v>669</v>
      </c>
      <c r="DJ1636" s="1" t="s">
        <v>219</v>
      </c>
      <c r="DS1636" s="1" t="s">
        <v>230</v>
      </c>
      <c r="DW1636" s="1" t="s">
        <v>230</v>
      </c>
      <c r="EA1636" s="1" t="s">
        <v>230</v>
      </c>
      <c r="EE1636" s="1" t="s">
        <v>230</v>
      </c>
      <c r="EI1636" s="1" t="s">
        <v>230</v>
      </c>
      <c r="EL1636" s="1" t="s">
        <v>491</v>
      </c>
      <c r="EM1636" s="1" t="s">
        <v>347</v>
      </c>
      <c r="EN1636" s="1" t="s">
        <v>282</v>
      </c>
      <c r="EO1636" s="1" t="s">
        <v>347</v>
      </c>
      <c r="ER1636" s="1" t="s">
        <v>210</v>
      </c>
      <c r="EW1636" s="1" t="s">
        <v>347</v>
      </c>
      <c r="EZ1636" s="1" t="s">
        <v>287</v>
      </c>
      <c r="FD1636" s="1" t="s">
        <v>246</v>
      </c>
      <c r="FE1636" s="1" t="s">
        <v>347</v>
      </c>
      <c r="FF1636" s="1" t="s">
        <v>248</v>
      </c>
      <c r="FH1636" s="1" t="s">
        <v>550</v>
      </c>
      <c r="FL1636" s="1" t="s">
        <v>347</v>
      </c>
      <c r="FM1636" s="1" t="s">
        <v>252</v>
      </c>
      <c r="FN1636" s="1" t="s">
        <v>213</v>
      </c>
      <c r="FO1636" s="1" t="s">
        <v>213</v>
      </c>
      <c r="FQ1636" s="1" t="s">
        <v>582</v>
      </c>
      <c r="FR1636" s="1" t="s">
        <v>210</v>
      </c>
      <c r="FS1636" s="1" t="s">
        <v>15688</v>
      </c>
      <c r="FT1636" s="1" t="s">
        <v>362</v>
      </c>
      <c r="FU1636" s="1" t="s">
        <v>204</v>
      </c>
      <c r="FW1636" s="1" t="s">
        <v>5648</v>
      </c>
      <c r="FX1636" s="1">
        <v>23099</v>
      </c>
      <c r="FY1636" s="1" t="s">
        <v>5649</v>
      </c>
      <c r="FZ1636" s="1" t="s">
        <v>6313</v>
      </c>
      <c r="GA1636" s="1">
        <v>234775</v>
      </c>
      <c r="GB1636" s="1" t="s">
        <v>6314</v>
      </c>
      <c r="GE1636" s="1" t="s">
        <v>210</v>
      </c>
      <c r="GI1636" s="1" t="s">
        <v>213</v>
      </c>
      <c r="GJ1636" s="1" t="s">
        <v>260</v>
      </c>
      <c r="GK1636" s="1" t="s">
        <v>4920</v>
      </c>
      <c r="GL1636" s="2">
        <v>42018</v>
      </c>
      <c r="GM1636" s="1" t="s">
        <v>15689</v>
      </c>
    </row>
    <row r="1637" spans="1:195">
      <c r="A1637" s="1">
        <v>149900</v>
      </c>
      <c r="B1637" s="1" t="s">
        <v>195</v>
      </c>
      <c r="C1637" s="1" t="str">
        <f>"08709497"</f>
        <v>08709497</v>
      </c>
      <c r="D1637" s="1" t="s">
        <v>196</v>
      </c>
      <c r="F1637" s="1" t="str">
        <f>"540"</f>
        <v>540</v>
      </c>
      <c r="G1637" s="2">
        <v>41873</v>
      </c>
      <c r="H1637" s="1">
        <v>157900</v>
      </c>
      <c r="I1637" s="1">
        <v>157900</v>
      </c>
      <c r="J1637" s="1">
        <v>149900</v>
      </c>
      <c r="K1637" s="2">
        <v>41873</v>
      </c>
      <c r="L1637" s="1">
        <v>150</v>
      </c>
      <c r="M1637" s="2">
        <v>41954</v>
      </c>
      <c r="N1637" s="1">
        <v>82</v>
      </c>
      <c r="O1637" s="2">
        <v>41954</v>
      </c>
      <c r="P1637" s="1">
        <v>3970</v>
      </c>
      <c r="Q1637" s="1" t="s">
        <v>197</v>
      </c>
      <c r="R1637" s="2">
        <v>41985</v>
      </c>
      <c r="S1637" s="1">
        <v>32432</v>
      </c>
      <c r="U1637" s="1">
        <v>2511</v>
      </c>
      <c r="V1637" s="1" t="s">
        <v>4860</v>
      </c>
      <c r="W1637" s="1" t="s">
        <v>264</v>
      </c>
      <c r="X1637" s="1">
        <v>104</v>
      </c>
      <c r="Y1637" s="1">
        <v>8</v>
      </c>
      <c r="Z1637" s="1" t="s">
        <v>370</v>
      </c>
      <c r="AA1637" s="1" t="s">
        <v>921</v>
      </c>
      <c r="AB1637" s="1">
        <v>60564</v>
      </c>
      <c r="AD1637" s="1" t="s">
        <v>2213</v>
      </c>
      <c r="AE1637" s="1" t="s">
        <v>15690</v>
      </c>
      <c r="AF1637" s="1">
        <v>2000</v>
      </c>
      <c r="AG1637" s="1" t="s">
        <v>204</v>
      </c>
      <c r="AH1637" s="1" t="s">
        <v>924</v>
      </c>
      <c r="AI1637" s="1" t="s">
        <v>1800</v>
      </c>
      <c r="AJ1637" s="1" t="s">
        <v>1801</v>
      </c>
      <c r="AK1637" s="1" t="s">
        <v>15691</v>
      </c>
      <c r="AL1637" s="1">
        <v>5</v>
      </c>
      <c r="AM1637" s="1">
        <v>2</v>
      </c>
      <c r="AN1637" s="1">
        <v>2</v>
      </c>
      <c r="AO1637" s="1">
        <v>0</v>
      </c>
      <c r="AP1637" s="1" t="s">
        <v>209</v>
      </c>
      <c r="AQ1637" s="1">
        <v>1</v>
      </c>
      <c r="AR1637" s="1" t="s">
        <v>210</v>
      </c>
      <c r="AS1637" s="1" t="s">
        <v>204</v>
      </c>
      <c r="AT1637" s="1" t="s">
        <v>211</v>
      </c>
      <c r="AU1637" s="1">
        <v>1</v>
      </c>
      <c r="AW1637" s="1" t="s">
        <v>204</v>
      </c>
      <c r="AX1637" s="1" t="s">
        <v>212</v>
      </c>
      <c r="AZ1637" s="1">
        <v>3401</v>
      </c>
      <c r="BA1637" s="1">
        <v>2013</v>
      </c>
      <c r="BB1637" s="1" t="s">
        <v>405</v>
      </c>
      <c r="BE1637" s="1">
        <v>1139</v>
      </c>
      <c r="BF1637" s="1">
        <v>1</v>
      </c>
      <c r="BG1637" s="1">
        <v>30</v>
      </c>
      <c r="BL1637" s="1">
        <v>212</v>
      </c>
      <c r="BM1637" s="1" t="s">
        <v>204</v>
      </c>
      <c r="BN1637" s="1" t="s">
        <v>213</v>
      </c>
      <c r="BO1637" s="1">
        <v>0</v>
      </c>
      <c r="BP1637" s="1" t="s">
        <v>204</v>
      </c>
      <c r="BR1637" s="1" t="str">
        <f>"01031020361004"</f>
        <v>01031020361004</v>
      </c>
      <c r="BT1637" s="1" t="s">
        <v>15692</v>
      </c>
      <c r="BU1637" s="1" t="s">
        <v>2216</v>
      </c>
      <c r="BV1637" s="1" t="s">
        <v>2217</v>
      </c>
      <c r="BW1637" s="1" t="s">
        <v>2218</v>
      </c>
      <c r="BX1637" s="1">
        <v>204</v>
      </c>
      <c r="BY1637" s="1">
        <v>204</v>
      </c>
      <c r="BZ1637" s="1">
        <v>204</v>
      </c>
      <c r="CB1637" s="1" t="str">
        <f t="shared" ref="CB1637:CC1637" si="1245">""</f>
        <v/>
      </c>
      <c r="CC1637" s="1" t="str">
        <f t="shared" si="1245"/>
        <v/>
      </c>
      <c r="CG1637" s="1" t="s">
        <v>1957</v>
      </c>
      <c r="CH1637" s="1" t="s">
        <v>219</v>
      </c>
      <c r="CI1637" s="1" t="s">
        <v>229</v>
      </c>
      <c r="CJ1637" s="1" t="s">
        <v>343</v>
      </c>
      <c r="CK1637" s="1" t="s">
        <v>278</v>
      </c>
      <c r="CL1637" s="1" t="s">
        <v>219</v>
      </c>
      <c r="CM1637" s="1" t="s">
        <v>220</v>
      </c>
      <c r="CN1637" s="1" t="s">
        <v>343</v>
      </c>
      <c r="CO1637" s="1" t="s">
        <v>629</v>
      </c>
      <c r="CP1637" s="1" t="s">
        <v>219</v>
      </c>
      <c r="CQ1637" s="1" t="s">
        <v>229</v>
      </c>
      <c r="CR1637" s="1" t="s">
        <v>439</v>
      </c>
      <c r="CS1637" s="1" t="s">
        <v>318</v>
      </c>
      <c r="CT1637" s="1" t="s">
        <v>219</v>
      </c>
      <c r="CU1637" s="1" t="s">
        <v>220</v>
      </c>
      <c r="CV1637" s="1" t="s">
        <v>210</v>
      </c>
      <c r="CX1637" s="1" t="s">
        <v>224</v>
      </c>
      <c r="DB1637" s="1" t="s">
        <v>224</v>
      </c>
      <c r="DE1637" s="1" t="s">
        <v>318</v>
      </c>
      <c r="DF1637" s="1" t="s">
        <v>219</v>
      </c>
      <c r="DG1637" s="1" t="s">
        <v>226</v>
      </c>
      <c r="DH1637" s="1" t="s">
        <v>343</v>
      </c>
      <c r="DJ1637" s="1" t="s">
        <v>224</v>
      </c>
      <c r="DS1637" s="1" t="s">
        <v>230</v>
      </c>
      <c r="DW1637" s="1" t="s">
        <v>230</v>
      </c>
      <c r="EA1637" s="1" t="s">
        <v>230</v>
      </c>
      <c r="EE1637" s="1" t="s">
        <v>230</v>
      </c>
      <c r="EI1637" s="1" t="s">
        <v>230</v>
      </c>
      <c r="EL1637" s="1" t="s">
        <v>466</v>
      </c>
      <c r="EM1637" s="1" t="s">
        <v>232</v>
      </c>
      <c r="EN1637" s="1" t="s">
        <v>282</v>
      </c>
      <c r="EO1637" s="1" t="s">
        <v>234</v>
      </c>
      <c r="EP1637" s="1" t="s">
        <v>650</v>
      </c>
      <c r="EQ1637" s="1" t="s">
        <v>236</v>
      </c>
      <c r="ER1637" s="1" t="s">
        <v>210</v>
      </c>
      <c r="ES1637" s="1" t="s">
        <v>322</v>
      </c>
      <c r="EW1637" s="1" t="s">
        <v>937</v>
      </c>
      <c r="EY1637" s="1" t="s">
        <v>242</v>
      </c>
      <c r="EZ1637" s="1" t="s">
        <v>287</v>
      </c>
      <c r="FB1637" s="1" t="s">
        <v>289</v>
      </c>
      <c r="FD1637" s="1" t="s">
        <v>246</v>
      </c>
      <c r="FE1637" s="1" t="s">
        <v>472</v>
      </c>
      <c r="FF1637" s="1" t="s">
        <v>248</v>
      </c>
      <c r="FG1637" s="1" t="s">
        <v>912</v>
      </c>
      <c r="FH1637" s="1" t="s">
        <v>249</v>
      </c>
      <c r="FI1637" s="1" t="s">
        <v>473</v>
      </c>
      <c r="FL1637" s="1" t="s">
        <v>358</v>
      </c>
      <c r="FM1637" s="1" t="s">
        <v>252</v>
      </c>
      <c r="FN1637" s="1" t="s">
        <v>213</v>
      </c>
      <c r="FO1637" s="1" t="s">
        <v>213</v>
      </c>
      <c r="FQ1637" s="1" t="s">
        <v>689</v>
      </c>
      <c r="FR1637" s="1" t="s">
        <v>210</v>
      </c>
      <c r="FS1637" s="1" t="s">
        <v>15693</v>
      </c>
      <c r="FT1637" s="1" t="s">
        <v>15694</v>
      </c>
      <c r="FU1637" s="1" t="s">
        <v>204</v>
      </c>
      <c r="FW1637" s="1" t="s">
        <v>1898</v>
      </c>
      <c r="FX1637" s="1">
        <v>23030</v>
      </c>
      <c r="FY1637" s="1" t="s">
        <v>1899</v>
      </c>
      <c r="FZ1637" s="1" t="s">
        <v>15695</v>
      </c>
      <c r="GA1637" s="1">
        <v>232397</v>
      </c>
      <c r="GB1637" s="1" t="s">
        <v>15696</v>
      </c>
      <c r="GE1637" s="1" t="s">
        <v>1576</v>
      </c>
      <c r="GI1637" s="1" t="s">
        <v>213</v>
      </c>
      <c r="GJ1637" s="1" t="s">
        <v>260</v>
      </c>
      <c r="GK1637" s="1" t="s">
        <v>261</v>
      </c>
      <c r="GL1637" s="2">
        <v>41988</v>
      </c>
      <c r="GM1637" s="1" t="s">
        <v>15697</v>
      </c>
    </row>
    <row r="1638" spans="1:195">
      <c r="A1638" s="1">
        <v>94000</v>
      </c>
      <c r="B1638" s="1" t="s">
        <v>195</v>
      </c>
      <c r="C1638" s="1" t="str">
        <f>"08823614"</f>
        <v>08823614</v>
      </c>
      <c r="D1638" s="1" t="s">
        <v>196</v>
      </c>
      <c r="F1638" s="1" t="str">
        <f>"31"</f>
        <v>31</v>
      </c>
      <c r="G1638" s="2">
        <v>42029</v>
      </c>
      <c r="H1638" s="1">
        <v>94500</v>
      </c>
      <c r="I1638" s="1">
        <v>94500</v>
      </c>
      <c r="J1638" s="1">
        <v>94000</v>
      </c>
      <c r="K1638" s="2">
        <v>42029</v>
      </c>
      <c r="L1638" s="1">
        <v>16</v>
      </c>
      <c r="M1638" s="2">
        <v>42044</v>
      </c>
      <c r="N1638" s="1">
        <v>16</v>
      </c>
      <c r="O1638" s="2">
        <v>42044</v>
      </c>
      <c r="P1638" s="1">
        <v>2700</v>
      </c>
      <c r="Q1638" s="1" t="s">
        <v>197</v>
      </c>
      <c r="R1638" s="2">
        <v>42132</v>
      </c>
      <c r="S1638" s="1">
        <v>16852</v>
      </c>
      <c r="T1638" s="1">
        <v>2820</v>
      </c>
      <c r="U1638" s="1">
        <v>920</v>
      </c>
      <c r="V1638" s="1" t="s">
        <v>4457</v>
      </c>
      <c r="W1638" s="1" t="s">
        <v>264</v>
      </c>
      <c r="X1638" s="1">
        <v>511</v>
      </c>
      <c r="Y1638" s="1">
        <v>72</v>
      </c>
      <c r="Z1638" s="1" t="s">
        <v>249</v>
      </c>
      <c r="AA1638" s="1" t="s">
        <v>1057</v>
      </c>
      <c r="AB1638" s="1">
        <v>60031</v>
      </c>
      <c r="AE1638" s="1" t="s">
        <v>15698</v>
      </c>
      <c r="AF1638" s="1">
        <v>1978</v>
      </c>
      <c r="AG1638" s="1" t="s">
        <v>204</v>
      </c>
      <c r="AH1638" s="1" t="s">
        <v>1060</v>
      </c>
      <c r="AI1638" s="1" t="s">
        <v>509</v>
      </c>
      <c r="AJ1638" s="1" t="s">
        <v>1061</v>
      </c>
      <c r="AL1638" s="1">
        <v>5</v>
      </c>
      <c r="AM1638" s="1">
        <v>2</v>
      </c>
      <c r="AN1638" s="1">
        <v>2</v>
      </c>
      <c r="AO1638" s="1">
        <v>0</v>
      </c>
      <c r="AP1638" s="1" t="s">
        <v>209</v>
      </c>
      <c r="AQ1638" s="1">
        <v>1</v>
      </c>
      <c r="AR1638" s="1" t="s">
        <v>210</v>
      </c>
      <c r="AS1638" s="1" t="s">
        <v>204</v>
      </c>
      <c r="AT1638" s="1" t="s">
        <v>375</v>
      </c>
      <c r="AU1638" s="1">
        <v>1</v>
      </c>
      <c r="AV1638" s="1">
        <v>1</v>
      </c>
      <c r="AW1638" s="1" t="s">
        <v>204</v>
      </c>
      <c r="AX1638" s="1" t="s">
        <v>212</v>
      </c>
      <c r="AZ1638" s="1">
        <v>2253.44</v>
      </c>
      <c r="BA1638" s="1">
        <v>2013</v>
      </c>
      <c r="BB1638" s="1" t="s">
        <v>405</v>
      </c>
      <c r="BE1638" s="1">
        <v>1380</v>
      </c>
      <c r="BF1638" s="1">
        <v>5</v>
      </c>
      <c r="BG1638" s="1">
        <v>30</v>
      </c>
      <c r="BL1638" s="1">
        <v>220</v>
      </c>
      <c r="BM1638" s="1" t="s">
        <v>413</v>
      </c>
      <c r="BN1638" s="1" t="s">
        <v>204</v>
      </c>
      <c r="BP1638" s="1" t="s">
        <v>204</v>
      </c>
      <c r="BR1638" s="1" t="str">
        <f>"07284090600000"</f>
        <v>07284090600000</v>
      </c>
      <c r="BT1638" s="1" t="s">
        <v>15699</v>
      </c>
      <c r="BX1638" s="1">
        <v>50</v>
      </c>
      <c r="BY1638" s="1">
        <v>50</v>
      </c>
      <c r="BZ1638" s="1">
        <v>121</v>
      </c>
      <c r="CB1638" s="1" t="str">
        <f t="shared" ref="CB1638:CC1638" si="1246">""</f>
        <v/>
      </c>
      <c r="CC1638" s="1" t="str">
        <f t="shared" si="1246"/>
        <v/>
      </c>
      <c r="CG1638" s="1" t="s">
        <v>863</v>
      </c>
      <c r="CH1638" s="1" t="s">
        <v>219</v>
      </c>
      <c r="CK1638" s="1" t="s">
        <v>515</v>
      </c>
      <c r="CL1638" s="1" t="s">
        <v>219</v>
      </c>
      <c r="CO1638" s="1" t="s">
        <v>516</v>
      </c>
      <c r="CP1638" s="1" t="s">
        <v>219</v>
      </c>
      <c r="CS1638" s="1" t="s">
        <v>344</v>
      </c>
      <c r="CT1638" s="1" t="s">
        <v>219</v>
      </c>
      <c r="CX1638" s="1" t="s">
        <v>224</v>
      </c>
      <c r="DB1638" s="1" t="s">
        <v>224</v>
      </c>
      <c r="DE1638" s="1" t="s">
        <v>6342</v>
      </c>
      <c r="DF1638" s="1" t="s">
        <v>219</v>
      </c>
      <c r="DJ1638" s="1" t="s">
        <v>224</v>
      </c>
      <c r="DS1638" s="1" t="s">
        <v>230</v>
      </c>
      <c r="DW1638" s="1" t="s">
        <v>230</v>
      </c>
      <c r="EA1638" s="1" t="s">
        <v>230</v>
      </c>
      <c r="EE1638" s="1" t="s">
        <v>230</v>
      </c>
      <c r="EI1638" s="1" t="s">
        <v>230</v>
      </c>
      <c r="EL1638" s="1" t="s">
        <v>231</v>
      </c>
      <c r="EM1638" s="1" t="s">
        <v>319</v>
      </c>
      <c r="EN1638" s="1" t="s">
        <v>282</v>
      </c>
      <c r="EO1638" s="1" t="s">
        <v>234</v>
      </c>
      <c r="EP1638" s="1" t="s">
        <v>15700</v>
      </c>
      <c r="ER1638" s="1" t="s">
        <v>210</v>
      </c>
      <c r="EW1638" s="1" t="s">
        <v>15701</v>
      </c>
      <c r="EZ1638" s="1" t="s">
        <v>287</v>
      </c>
      <c r="FD1638" s="1" t="s">
        <v>1112</v>
      </c>
      <c r="FE1638" s="1" t="s">
        <v>247</v>
      </c>
      <c r="FF1638" s="1" t="s">
        <v>248</v>
      </c>
      <c r="FH1638" s="1" t="s">
        <v>249</v>
      </c>
      <c r="FK1638" s="1" t="s">
        <v>6240</v>
      </c>
      <c r="FL1638" s="1" t="s">
        <v>1073</v>
      </c>
      <c r="FM1638" s="1" t="s">
        <v>252</v>
      </c>
      <c r="FN1638" s="1" t="s">
        <v>213</v>
      </c>
      <c r="FO1638" s="1" t="s">
        <v>213</v>
      </c>
      <c r="FQ1638" s="1" t="s">
        <v>689</v>
      </c>
      <c r="FR1638" s="1" t="s">
        <v>210</v>
      </c>
      <c r="FS1638" s="1" t="s">
        <v>15702</v>
      </c>
      <c r="FT1638" s="1" t="s">
        <v>584</v>
      </c>
      <c r="FU1638" s="1" t="s">
        <v>204</v>
      </c>
      <c r="FW1638" s="1" t="s">
        <v>15703</v>
      </c>
      <c r="FX1638" s="1">
        <v>3319</v>
      </c>
      <c r="FY1638" s="1" t="s">
        <v>15704</v>
      </c>
      <c r="FZ1638" s="1" t="s">
        <v>15705</v>
      </c>
      <c r="GA1638" s="1">
        <v>35055</v>
      </c>
      <c r="GE1638" s="1" t="s">
        <v>210</v>
      </c>
      <c r="GI1638" s="1" t="s">
        <v>213</v>
      </c>
      <c r="GJ1638" s="1" t="s">
        <v>260</v>
      </c>
      <c r="GK1638" s="1" t="s">
        <v>210</v>
      </c>
      <c r="GL1638" s="2">
        <v>42143</v>
      </c>
      <c r="GM1638" s="1" t="s">
        <v>15706</v>
      </c>
    </row>
    <row r="1639" spans="1:195">
      <c r="A1639" s="1">
        <v>153000</v>
      </c>
      <c r="B1639" s="1" t="s">
        <v>195</v>
      </c>
      <c r="C1639" s="1" t="str">
        <f>"08707609"</f>
        <v>08707609</v>
      </c>
      <c r="D1639" s="1" t="s">
        <v>196</v>
      </c>
      <c r="F1639" s="1" t="str">
        <f>"554"</f>
        <v>554</v>
      </c>
      <c r="G1639" s="2">
        <v>41872</v>
      </c>
      <c r="H1639" s="1">
        <v>159000</v>
      </c>
      <c r="I1639" s="1">
        <v>155000</v>
      </c>
      <c r="J1639" s="1">
        <v>153000</v>
      </c>
      <c r="K1639" s="2">
        <v>41872</v>
      </c>
      <c r="L1639" s="1">
        <v>62</v>
      </c>
      <c r="M1639" s="2">
        <v>41933</v>
      </c>
      <c r="N1639" s="1">
        <v>62</v>
      </c>
      <c r="O1639" s="2">
        <v>41933</v>
      </c>
      <c r="P1639" s="1">
        <v>604</v>
      </c>
      <c r="Q1639" s="1" t="s">
        <v>197</v>
      </c>
      <c r="R1639" s="2">
        <v>41992</v>
      </c>
      <c r="S1639" s="1">
        <v>381</v>
      </c>
      <c r="T1639" s="1">
        <v>3000</v>
      </c>
      <c r="U1639" s="1">
        <v>280</v>
      </c>
      <c r="V1639" s="1" t="s">
        <v>15707</v>
      </c>
      <c r="W1639" s="1" t="s">
        <v>4046</v>
      </c>
      <c r="X1639" s="1" t="s">
        <v>527</v>
      </c>
      <c r="Y1639" s="1">
        <v>4</v>
      </c>
      <c r="Z1639" s="1" t="s">
        <v>370</v>
      </c>
      <c r="AA1639" s="1" t="s">
        <v>3443</v>
      </c>
      <c r="AB1639" s="1">
        <v>60554</v>
      </c>
      <c r="AD1639" s="1" t="s">
        <v>15708</v>
      </c>
      <c r="AE1639" s="1" t="s">
        <v>15709</v>
      </c>
      <c r="AF1639" s="1">
        <v>2002</v>
      </c>
      <c r="AG1639" s="1" t="s">
        <v>204</v>
      </c>
      <c r="AH1639" s="1" t="s">
        <v>3240</v>
      </c>
      <c r="AI1639" s="1" t="s">
        <v>665</v>
      </c>
      <c r="AJ1639" s="1" t="s">
        <v>3240</v>
      </c>
      <c r="AL1639" s="1">
        <v>5</v>
      </c>
      <c r="AM1639" s="1">
        <v>2</v>
      </c>
      <c r="AN1639" s="1">
        <v>2</v>
      </c>
      <c r="AO1639" s="1">
        <v>1</v>
      </c>
      <c r="AP1639" s="1" t="s">
        <v>209</v>
      </c>
      <c r="AR1639" s="1" t="s">
        <v>210</v>
      </c>
      <c r="AS1639" s="1" t="s">
        <v>204</v>
      </c>
      <c r="AT1639" s="1" t="s">
        <v>211</v>
      </c>
      <c r="AU1639" s="1">
        <v>2</v>
      </c>
      <c r="AW1639" s="1" t="s">
        <v>204</v>
      </c>
      <c r="AX1639" s="1" t="s">
        <v>212</v>
      </c>
      <c r="AZ1639" s="1">
        <v>4500</v>
      </c>
      <c r="BA1639" s="1">
        <v>2013</v>
      </c>
      <c r="BB1639" s="1" t="s">
        <v>405</v>
      </c>
      <c r="BE1639" s="1">
        <v>1463</v>
      </c>
      <c r="BF1639" s="1">
        <v>1</v>
      </c>
      <c r="BG1639" s="1">
        <v>0</v>
      </c>
      <c r="BL1639" s="1">
        <v>130</v>
      </c>
      <c r="BM1639" s="1" t="s">
        <v>204</v>
      </c>
      <c r="BN1639" s="1" t="s">
        <v>213</v>
      </c>
      <c r="BO1639" s="1">
        <v>999</v>
      </c>
      <c r="BP1639" s="1" t="s">
        <v>204</v>
      </c>
      <c r="BR1639" s="1" t="str">
        <f>"1416229010"</f>
        <v>1416229010</v>
      </c>
      <c r="BT1639" s="1" t="s">
        <v>15710</v>
      </c>
      <c r="BU1639" s="1" t="s">
        <v>15711</v>
      </c>
      <c r="BW1639" s="1" t="s">
        <v>13190</v>
      </c>
      <c r="BX1639" s="1">
        <v>302</v>
      </c>
      <c r="BY1639" s="1">
        <v>302</v>
      </c>
      <c r="BZ1639" s="1">
        <v>302</v>
      </c>
      <c r="CB1639" s="1" t="str">
        <f t="shared" ref="CB1639:CC1639" si="1247">""</f>
        <v/>
      </c>
      <c r="CC1639" s="1" t="str">
        <f t="shared" si="1247"/>
        <v/>
      </c>
      <c r="CD1639" s="1">
        <v>41</v>
      </c>
      <c r="CE1639" s="1">
        <v>6</v>
      </c>
      <c r="CG1639" s="1" t="s">
        <v>5427</v>
      </c>
      <c r="CH1639" s="1" t="s">
        <v>219</v>
      </c>
      <c r="CI1639" s="1" t="s">
        <v>220</v>
      </c>
      <c r="CK1639" s="1" t="s">
        <v>932</v>
      </c>
      <c r="CL1639" s="1" t="s">
        <v>277</v>
      </c>
      <c r="CM1639" s="1" t="s">
        <v>220</v>
      </c>
      <c r="CO1639" s="1" t="s">
        <v>1046</v>
      </c>
      <c r="CP1639" s="1" t="s">
        <v>219</v>
      </c>
      <c r="CQ1639" s="1" t="s">
        <v>220</v>
      </c>
      <c r="CS1639" s="1" t="s">
        <v>379</v>
      </c>
      <c r="CT1639" s="1" t="s">
        <v>277</v>
      </c>
      <c r="CU1639" s="1" t="s">
        <v>220</v>
      </c>
      <c r="CX1639" s="1" t="s">
        <v>224</v>
      </c>
      <c r="DB1639" s="1" t="s">
        <v>224</v>
      </c>
      <c r="DE1639" s="1" t="s">
        <v>378</v>
      </c>
      <c r="DF1639" s="1" t="s">
        <v>219</v>
      </c>
      <c r="DG1639" s="1" t="s">
        <v>342</v>
      </c>
      <c r="DJ1639" s="1" t="s">
        <v>224</v>
      </c>
      <c r="DS1639" s="1" t="s">
        <v>230</v>
      </c>
      <c r="DW1639" s="1" t="s">
        <v>230</v>
      </c>
      <c r="EA1639" s="1" t="s">
        <v>230</v>
      </c>
      <c r="EE1639" s="1" t="s">
        <v>230</v>
      </c>
      <c r="EI1639" s="1" t="s">
        <v>230</v>
      </c>
      <c r="EL1639" s="1" t="s">
        <v>466</v>
      </c>
      <c r="EM1639" s="1" t="s">
        <v>319</v>
      </c>
      <c r="EN1639" s="1" t="s">
        <v>282</v>
      </c>
      <c r="EO1639" s="1" t="s">
        <v>234</v>
      </c>
      <c r="EP1639" s="1" t="s">
        <v>936</v>
      </c>
      <c r="EQ1639" s="1" t="s">
        <v>1109</v>
      </c>
      <c r="ER1639" s="1" t="s">
        <v>383</v>
      </c>
      <c r="ES1639" s="1" t="s">
        <v>1552</v>
      </c>
      <c r="ET1639" s="1" t="s">
        <v>1869</v>
      </c>
      <c r="EV1639" s="1" t="s">
        <v>352</v>
      </c>
      <c r="EW1639" s="1" t="s">
        <v>2381</v>
      </c>
      <c r="EZ1639" s="1" t="s">
        <v>287</v>
      </c>
      <c r="FB1639" s="1" t="s">
        <v>289</v>
      </c>
      <c r="FD1639" s="1" t="s">
        <v>246</v>
      </c>
      <c r="FE1639" s="1" t="s">
        <v>386</v>
      </c>
      <c r="FF1639" s="1" t="s">
        <v>248</v>
      </c>
      <c r="FH1639" s="1" t="s">
        <v>15712</v>
      </c>
      <c r="FI1639" s="1" t="s">
        <v>473</v>
      </c>
      <c r="FL1639" s="1" t="s">
        <v>358</v>
      </c>
      <c r="FM1639" s="1" t="s">
        <v>252</v>
      </c>
      <c r="FN1639" s="1" t="s">
        <v>213</v>
      </c>
      <c r="FO1639" s="1" t="s">
        <v>213</v>
      </c>
      <c r="FQ1639" s="1" t="s">
        <v>849</v>
      </c>
      <c r="FR1639" s="1" t="s">
        <v>652</v>
      </c>
      <c r="FS1639" s="1" t="s">
        <v>2092</v>
      </c>
      <c r="FT1639" s="1" t="s">
        <v>15713</v>
      </c>
      <c r="FU1639" s="1" t="s">
        <v>204</v>
      </c>
      <c r="FW1639" s="1" t="s">
        <v>2093</v>
      </c>
      <c r="FX1639" s="1">
        <v>31580</v>
      </c>
      <c r="FY1639" s="1" t="s">
        <v>2094</v>
      </c>
      <c r="FZ1639" s="1" t="s">
        <v>15714</v>
      </c>
      <c r="GA1639" s="1">
        <v>312333</v>
      </c>
      <c r="GB1639" s="1" t="s">
        <v>15715</v>
      </c>
      <c r="GD1639" s="1" t="s">
        <v>15716</v>
      </c>
      <c r="GE1639" s="1" t="s">
        <v>210</v>
      </c>
      <c r="GI1639" s="1" t="s">
        <v>213</v>
      </c>
      <c r="GJ1639" s="1" t="s">
        <v>260</v>
      </c>
      <c r="GK1639" s="1" t="s">
        <v>210</v>
      </c>
      <c r="GL1639" s="2">
        <v>41992</v>
      </c>
      <c r="GM1639" s="1" t="s">
        <v>15717</v>
      </c>
    </row>
    <row r="1640" spans="1:195">
      <c r="A1640" s="1">
        <v>203000</v>
      </c>
      <c r="B1640" s="1" t="s">
        <v>195</v>
      </c>
      <c r="C1640" s="1" t="str">
        <f>"08710672"</f>
        <v>08710672</v>
      </c>
      <c r="D1640" s="1" t="s">
        <v>196</v>
      </c>
      <c r="F1640" s="1" t="str">
        <f>"540"</f>
        <v>540</v>
      </c>
      <c r="G1640" s="2">
        <v>41876</v>
      </c>
      <c r="H1640" s="1">
        <v>209000</v>
      </c>
      <c r="I1640" s="1">
        <v>209000</v>
      </c>
      <c r="J1640" s="1">
        <v>203000</v>
      </c>
      <c r="K1640" s="2">
        <v>41876</v>
      </c>
      <c r="L1640" s="1">
        <v>54</v>
      </c>
      <c r="M1640" s="2">
        <v>41929</v>
      </c>
      <c r="N1640" s="1">
        <v>54</v>
      </c>
      <c r="O1640" s="2">
        <v>41929</v>
      </c>
      <c r="P1640" s="1">
        <v>25976</v>
      </c>
      <c r="Q1640" s="1" t="s">
        <v>302</v>
      </c>
      <c r="R1640" s="2">
        <v>41983</v>
      </c>
      <c r="S1640" s="1">
        <v>603201</v>
      </c>
      <c r="U1640" s="1">
        <v>1805</v>
      </c>
      <c r="V1640" s="1" t="s">
        <v>15718</v>
      </c>
      <c r="W1640" s="1" t="s">
        <v>504</v>
      </c>
      <c r="X1640" s="1">
        <v>1805</v>
      </c>
      <c r="Y1640" s="1">
        <v>6</v>
      </c>
      <c r="Z1640" s="1" t="s">
        <v>249</v>
      </c>
      <c r="AA1640" s="1" t="s">
        <v>921</v>
      </c>
      <c r="AB1640" s="1">
        <v>60563</v>
      </c>
      <c r="AD1640" s="1" t="s">
        <v>1244</v>
      </c>
      <c r="AE1640" s="1" t="s">
        <v>15719</v>
      </c>
      <c r="AF1640" s="1">
        <v>2001</v>
      </c>
      <c r="AG1640" s="1" t="s">
        <v>204</v>
      </c>
      <c r="AH1640" s="1" t="s">
        <v>924</v>
      </c>
      <c r="AI1640" s="1" t="s">
        <v>206</v>
      </c>
      <c r="AJ1640" s="1" t="s">
        <v>924</v>
      </c>
      <c r="AL1640" s="1">
        <v>6</v>
      </c>
      <c r="AM1640" s="1">
        <v>2</v>
      </c>
      <c r="AN1640" s="1">
        <v>2</v>
      </c>
      <c r="AO1640" s="1">
        <v>1</v>
      </c>
      <c r="AP1640" s="1" t="s">
        <v>209</v>
      </c>
      <c r="AQ1640" s="1">
        <v>1</v>
      </c>
      <c r="AR1640" s="1" t="s">
        <v>210</v>
      </c>
      <c r="AT1640" s="1" t="s">
        <v>211</v>
      </c>
      <c r="AU1640" s="1">
        <v>2</v>
      </c>
      <c r="AW1640" s="1" t="s">
        <v>213</v>
      </c>
      <c r="AX1640" s="1" t="s">
        <v>212</v>
      </c>
      <c r="AZ1640" s="1">
        <v>3821</v>
      </c>
      <c r="BA1640" s="1">
        <v>2013</v>
      </c>
      <c r="BE1640" s="1">
        <v>1552</v>
      </c>
      <c r="BF1640" s="1">
        <v>1</v>
      </c>
      <c r="BG1640" s="1">
        <v>30</v>
      </c>
      <c r="BL1640" s="1">
        <v>194</v>
      </c>
      <c r="BM1640" s="1" t="s">
        <v>204</v>
      </c>
      <c r="BN1640" s="1" t="s">
        <v>213</v>
      </c>
      <c r="BO1640" s="1">
        <v>100</v>
      </c>
      <c r="BP1640" s="1" t="s">
        <v>204</v>
      </c>
      <c r="BR1640" s="1" t="str">
        <f>"0715107128"</f>
        <v>0715107128</v>
      </c>
      <c r="BT1640" s="1" t="s">
        <v>15720</v>
      </c>
      <c r="BU1640" s="1" t="s">
        <v>1247</v>
      </c>
      <c r="BV1640" s="1" t="s">
        <v>1248</v>
      </c>
      <c r="BW1640" s="1" t="s">
        <v>1131</v>
      </c>
      <c r="BX1640" s="1">
        <v>204</v>
      </c>
      <c r="BY1640" s="1">
        <v>204</v>
      </c>
      <c r="BZ1640" s="1">
        <v>204</v>
      </c>
      <c r="CB1640" s="1" t="str">
        <f t="shared" ref="CB1640:CC1640" si="1248">""</f>
        <v/>
      </c>
      <c r="CC1640" s="1" t="str">
        <f t="shared" si="1248"/>
        <v/>
      </c>
      <c r="CD1640" s="1">
        <v>29</v>
      </c>
      <c r="CE1640" s="1">
        <v>5</v>
      </c>
      <c r="CG1640" s="1" t="s">
        <v>437</v>
      </c>
      <c r="CH1640" s="1" t="s">
        <v>219</v>
      </c>
      <c r="CI1640" s="1" t="s">
        <v>438</v>
      </c>
      <c r="CK1640" s="1" t="s">
        <v>221</v>
      </c>
      <c r="CL1640" s="1" t="s">
        <v>277</v>
      </c>
      <c r="CM1640" s="1" t="s">
        <v>220</v>
      </c>
      <c r="CO1640" s="1" t="s">
        <v>346</v>
      </c>
      <c r="CP1640" s="1" t="s">
        <v>219</v>
      </c>
      <c r="CQ1640" s="1" t="s">
        <v>438</v>
      </c>
      <c r="CS1640" s="1" t="s">
        <v>437</v>
      </c>
      <c r="CT1640" s="1" t="s">
        <v>277</v>
      </c>
      <c r="CU1640" s="1" t="s">
        <v>220</v>
      </c>
      <c r="CX1640" s="1" t="s">
        <v>224</v>
      </c>
      <c r="DB1640" s="1" t="s">
        <v>224</v>
      </c>
      <c r="DE1640" s="1" t="s">
        <v>281</v>
      </c>
      <c r="DF1640" s="1" t="s">
        <v>219</v>
      </c>
      <c r="DG1640" s="1" t="s">
        <v>438</v>
      </c>
      <c r="DJ1640" s="1" t="s">
        <v>224</v>
      </c>
      <c r="DM1640" s="1" t="s">
        <v>464</v>
      </c>
      <c r="DR1640" s="1" t="s">
        <v>346</v>
      </c>
      <c r="DS1640" s="1" t="s">
        <v>277</v>
      </c>
      <c r="DT1640" s="1" t="s">
        <v>220</v>
      </c>
      <c r="DW1640" s="1" t="s">
        <v>230</v>
      </c>
      <c r="EA1640" s="1" t="s">
        <v>230</v>
      </c>
      <c r="EE1640" s="1" t="s">
        <v>230</v>
      </c>
      <c r="EI1640" s="1" t="s">
        <v>230</v>
      </c>
      <c r="EL1640" s="1" t="s">
        <v>466</v>
      </c>
      <c r="EM1640" s="1" t="s">
        <v>232</v>
      </c>
      <c r="EN1640" s="1" t="s">
        <v>282</v>
      </c>
      <c r="EO1640" s="1" t="s">
        <v>234</v>
      </c>
      <c r="EQ1640" s="1" t="s">
        <v>236</v>
      </c>
      <c r="ER1640" s="1" t="s">
        <v>210</v>
      </c>
      <c r="ET1640" s="1" t="s">
        <v>323</v>
      </c>
      <c r="EU1640" s="1" t="s">
        <v>12206</v>
      </c>
      <c r="EV1640" s="1" t="s">
        <v>352</v>
      </c>
      <c r="EW1640" s="1" t="s">
        <v>1250</v>
      </c>
      <c r="EZ1640" s="1" t="s">
        <v>464</v>
      </c>
      <c r="FD1640" s="1" t="s">
        <v>246</v>
      </c>
      <c r="FE1640" s="1" t="s">
        <v>975</v>
      </c>
      <c r="FF1640" s="1" t="s">
        <v>248</v>
      </c>
      <c r="FG1640" s="1" t="s">
        <v>871</v>
      </c>
      <c r="FH1640" s="1" t="s">
        <v>249</v>
      </c>
      <c r="FI1640" s="1" t="s">
        <v>473</v>
      </c>
      <c r="FL1640" s="1" t="s">
        <v>358</v>
      </c>
      <c r="FM1640" s="1" t="s">
        <v>252</v>
      </c>
      <c r="FN1640" s="1" t="s">
        <v>213</v>
      </c>
      <c r="FO1640" s="1" t="s">
        <v>213</v>
      </c>
      <c r="FQ1640" s="1" t="s">
        <v>1758</v>
      </c>
      <c r="FR1640" s="1" t="s">
        <v>210</v>
      </c>
      <c r="FS1640" s="1" t="s">
        <v>15721</v>
      </c>
      <c r="FT1640" s="1" t="s">
        <v>362</v>
      </c>
      <c r="FU1640" s="1" t="s">
        <v>204</v>
      </c>
      <c r="FW1640" s="1" t="s">
        <v>3546</v>
      </c>
      <c r="FX1640" s="1">
        <v>24695</v>
      </c>
      <c r="FY1640" s="1" t="s">
        <v>3547</v>
      </c>
      <c r="FZ1640" s="1" t="s">
        <v>8508</v>
      </c>
      <c r="GA1640" s="1">
        <v>234453</v>
      </c>
      <c r="GB1640" s="1" t="s">
        <v>3547</v>
      </c>
      <c r="GE1640" s="1" t="s">
        <v>1256</v>
      </c>
      <c r="GI1640" s="1" t="s">
        <v>213</v>
      </c>
      <c r="GJ1640" s="1" t="s">
        <v>260</v>
      </c>
      <c r="GK1640" s="1" t="s">
        <v>210</v>
      </c>
      <c r="GL1640" s="2">
        <v>41984</v>
      </c>
      <c r="GM1640" s="1" t="s">
        <v>15722</v>
      </c>
    </row>
    <row r="1641" spans="1:195">
      <c r="A1641" s="1">
        <v>45500</v>
      </c>
      <c r="B1641" s="1" t="s">
        <v>195</v>
      </c>
      <c r="C1641" s="1" t="str">
        <f>"08705112"</f>
        <v>08705112</v>
      </c>
      <c r="D1641" s="1" t="s">
        <v>196</v>
      </c>
      <c r="F1641" s="1" t="str">
        <f>"8043"</f>
        <v>8043</v>
      </c>
      <c r="G1641" s="2">
        <v>41869</v>
      </c>
      <c r="H1641" s="1">
        <v>55000</v>
      </c>
      <c r="I1641" s="1">
        <v>52000</v>
      </c>
      <c r="J1641" s="1">
        <v>45500</v>
      </c>
      <c r="K1641" s="2">
        <v>41869</v>
      </c>
      <c r="L1641" s="1">
        <v>194</v>
      </c>
      <c r="M1641" s="2">
        <v>42062</v>
      </c>
      <c r="N1641" s="1">
        <v>194</v>
      </c>
      <c r="O1641" s="2">
        <v>42062</v>
      </c>
      <c r="P1641" s="1">
        <v>18016</v>
      </c>
      <c r="Q1641" s="1" t="s">
        <v>302</v>
      </c>
      <c r="R1641" s="2">
        <v>42131</v>
      </c>
      <c r="S1641" s="1">
        <v>171437</v>
      </c>
      <c r="U1641" s="1">
        <v>2651</v>
      </c>
      <c r="V1641" s="1" t="s">
        <v>11177</v>
      </c>
      <c r="W1641" s="1" t="s">
        <v>725</v>
      </c>
      <c r="X1641" s="1">
        <v>101</v>
      </c>
      <c r="Y1641" s="1">
        <v>8</v>
      </c>
      <c r="Z1641" s="1" t="s">
        <v>249</v>
      </c>
      <c r="AA1641" s="1" t="s">
        <v>400</v>
      </c>
      <c r="AB1641" s="1">
        <v>60649</v>
      </c>
      <c r="AE1641" s="1" t="s">
        <v>15723</v>
      </c>
      <c r="AF1641" s="1">
        <v>2004</v>
      </c>
      <c r="AG1641" s="1" t="s">
        <v>204</v>
      </c>
      <c r="AH1641" s="1" t="s">
        <v>403</v>
      </c>
      <c r="AI1641" s="1" t="s">
        <v>310</v>
      </c>
      <c r="AJ1641" s="1" t="s">
        <v>562</v>
      </c>
      <c r="AL1641" s="1">
        <v>4</v>
      </c>
      <c r="AM1641" s="1">
        <v>2</v>
      </c>
      <c r="AN1641" s="1">
        <v>2</v>
      </c>
      <c r="AO1641" s="1">
        <v>0</v>
      </c>
      <c r="AP1641" s="1" t="s">
        <v>209</v>
      </c>
      <c r="AR1641" s="1" t="s">
        <v>210</v>
      </c>
      <c r="AS1641" s="1" t="s">
        <v>204</v>
      </c>
      <c r="AT1641" s="1" t="s">
        <v>271</v>
      </c>
      <c r="AV1641" s="1">
        <v>1</v>
      </c>
      <c r="AW1641" s="1" t="s">
        <v>204</v>
      </c>
      <c r="AX1641" s="1" t="s">
        <v>212</v>
      </c>
      <c r="AZ1641" s="1">
        <v>1576.76</v>
      </c>
      <c r="BA1641" s="1">
        <v>2013</v>
      </c>
      <c r="BE1641" s="1">
        <v>0</v>
      </c>
      <c r="BF1641" s="1">
        <v>1</v>
      </c>
      <c r="BG1641" s="1">
        <v>0</v>
      </c>
      <c r="BL1641" s="1">
        <v>250</v>
      </c>
      <c r="BM1641" s="1" t="s">
        <v>204</v>
      </c>
      <c r="BN1641" s="1" t="s">
        <v>213</v>
      </c>
      <c r="BO1641" s="1">
        <v>999</v>
      </c>
      <c r="BP1641" s="1" t="s">
        <v>204</v>
      </c>
      <c r="BR1641" s="1" t="str">
        <f>"21301220531003"</f>
        <v>21301220531003</v>
      </c>
      <c r="BT1641" s="1" t="s">
        <v>15724</v>
      </c>
      <c r="BX1641" s="1">
        <v>299</v>
      </c>
      <c r="BY1641" s="1">
        <v>299</v>
      </c>
      <c r="BZ1641" s="1">
        <v>299</v>
      </c>
      <c r="CB1641" s="1" t="str">
        <f t="shared" ref="CB1641:CB1642" si="1249">"0"</f>
        <v>0</v>
      </c>
      <c r="CC1641" s="1" t="str">
        <f>"2651"</f>
        <v>2651</v>
      </c>
      <c r="CD1641" s="1">
        <v>0</v>
      </c>
      <c r="CE1641" s="1">
        <v>7400</v>
      </c>
      <c r="CG1641" s="1" t="s">
        <v>9969</v>
      </c>
      <c r="CH1641" s="1" t="s">
        <v>219</v>
      </c>
      <c r="CK1641" s="1" t="s">
        <v>2121</v>
      </c>
      <c r="CL1641" s="1" t="s">
        <v>219</v>
      </c>
      <c r="CP1641" s="1" t="s">
        <v>224</v>
      </c>
      <c r="CS1641" s="1" t="s">
        <v>1854</v>
      </c>
      <c r="CT1641" s="1" t="s">
        <v>219</v>
      </c>
      <c r="CX1641" s="1" t="s">
        <v>224</v>
      </c>
      <c r="DB1641" s="1" t="s">
        <v>224</v>
      </c>
      <c r="DE1641" s="1" t="s">
        <v>1469</v>
      </c>
      <c r="DF1641" s="1" t="s">
        <v>219</v>
      </c>
      <c r="DJ1641" s="1" t="s">
        <v>224</v>
      </c>
      <c r="DS1641" s="1" t="s">
        <v>230</v>
      </c>
      <c r="DW1641" s="1" t="s">
        <v>230</v>
      </c>
      <c r="EA1641" s="1" t="s">
        <v>230</v>
      </c>
      <c r="EE1641" s="1" t="s">
        <v>230</v>
      </c>
      <c r="EI1641" s="1" t="s">
        <v>230</v>
      </c>
      <c r="EL1641" s="1" t="s">
        <v>466</v>
      </c>
      <c r="EM1641" s="1" t="s">
        <v>232</v>
      </c>
      <c r="EN1641" s="1" t="s">
        <v>282</v>
      </c>
      <c r="EO1641" s="1" t="s">
        <v>234</v>
      </c>
      <c r="EP1641" s="1" t="s">
        <v>788</v>
      </c>
      <c r="EQ1641" s="1" t="s">
        <v>492</v>
      </c>
      <c r="ER1641" s="1" t="s">
        <v>210</v>
      </c>
      <c r="EW1641" s="1" t="s">
        <v>10391</v>
      </c>
      <c r="EZ1641" s="1" t="s">
        <v>287</v>
      </c>
      <c r="FD1641" s="1" t="s">
        <v>495</v>
      </c>
      <c r="FE1641" s="1" t="s">
        <v>247</v>
      </c>
      <c r="FF1641" s="1" t="s">
        <v>248</v>
      </c>
      <c r="FH1641" s="1" t="s">
        <v>249</v>
      </c>
      <c r="FL1641" s="1" t="s">
        <v>810</v>
      </c>
      <c r="FM1641" s="1" t="s">
        <v>252</v>
      </c>
      <c r="FN1641" s="1" t="s">
        <v>213</v>
      </c>
      <c r="FO1641" s="1" t="s">
        <v>213</v>
      </c>
      <c r="FQ1641" s="1" t="s">
        <v>793</v>
      </c>
      <c r="FR1641" s="1" t="s">
        <v>210</v>
      </c>
      <c r="FS1641" s="1" t="s">
        <v>15725</v>
      </c>
      <c r="FT1641" s="1" t="s">
        <v>295</v>
      </c>
      <c r="FU1641" s="1" t="s">
        <v>204</v>
      </c>
      <c r="FW1641" s="1" t="s">
        <v>13590</v>
      </c>
      <c r="FX1641" s="1">
        <v>18016</v>
      </c>
      <c r="FY1641" s="1" t="s">
        <v>13591</v>
      </c>
      <c r="FZ1641" s="1" t="s">
        <v>15726</v>
      </c>
      <c r="GA1641" s="1">
        <v>171437</v>
      </c>
      <c r="GB1641" s="1" t="s">
        <v>15727</v>
      </c>
      <c r="GE1641" s="1" t="s">
        <v>1576</v>
      </c>
      <c r="GH1641" s="1" t="s">
        <v>800</v>
      </c>
      <c r="GI1641" s="1" t="s">
        <v>213</v>
      </c>
      <c r="GJ1641" s="1" t="s">
        <v>260</v>
      </c>
      <c r="GK1641" s="1" t="s">
        <v>210</v>
      </c>
      <c r="GL1641" s="2">
        <v>42137</v>
      </c>
      <c r="GM1641" s="1" t="s">
        <v>15728</v>
      </c>
    </row>
    <row r="1642" spans="1:195">
      <c r="A1642" s="1">
        <v>105000</v>
      </c>
      <c r="B1642" s="1" t="s">
        <v>195</v>
      </c>
      <c r="C1642" s="1" t="str">
        <f>"08709318"</f>
        <v>08709318</v>
      </c>
      <c r="D1642" s="1" t="s">
        <v>196</v>
      </c>
      <c r="F1642" s="1" t="str">
        <f>"515"</f>
        <v>515</v>
      </c>
      <c r="G1642" s="2">
        <v>41873</v>
      </c>
      <c r="H1642" s="1">
        <v>135000</v>
      </c>
      <c r="I1642" s="1">
        <v>110000</v>
      </c>
      <c r="J1642" s="1">
        <v>105000</v>
      </c>
      <c r="K1642" s="2">
        <v>41873</v>
      </c>
      <c r="L1642" s="1">
        <v>213</v>
      </c>
      <c r="M1642" s="2">
        <v>41982</v>
      </c>
      <c r="N1642" s="1">
        <v>110</v>
      </c>
      <c r="O1642" s="2">
        <v>41982</v>
      </c>
      <c r="P1642" s="1">
        <v>24587</v>
      </c>
      <c r="Q1642" s="1" t="s">
        <v>302</v>
      </c>
      <c r="R1642" s="2">
        <v>42019</v>
      </c>
      <c r="S1642" s="1">
        <v>242568</v>
      </c>
      <c r="U1642" s="1">
        <v>2110</v>
      </c>
      <c r="V1642" s="1" t="s">
        <v>1061</v>
      </c>
      <c r="W1642" s="1" t="s">
        <v>425</v>
      </c>
      <c r="X1642" s="1">
        <v>2110</v>
      </c>
      <c r="Y1642" s="1">
        <v>10</v>
      </c>
      <c r="Z1642" s="1" t="s">
        <v>249</v>
      </c>
      <c r="AA1642" s="1" t="s">
        <v>1294</v>
      </c>
      <c r="AB1642" s="1">
        <v>60515</v>
      </c>
      <c r="AE1642" s="1" t="s">
        <v>15729</v>
      </c>
      <c r="AF1642" s="1">
        <v>1959</v>
      </c>
      <c r="AG1642" s="1" t="s">
        <v>213</v>
      </c>
      <c r="AH1642" s="1" t="s">
        <v>903</v>
      </c>
      <c r="AI1642" s="1" t="s">
        <v>206</v>
      </c>
      <c r="AJ1642" s="1" t="s">
        <v>925</v>
      </c>
      <c r="AL1642" s="1">
        <v>6</v>
      </c>
      <c r="AM1642" s="1">
        <v>2</v>
      </c>
      <c r="AN1642" s="1">
        <v>1</v>
      </c>
      <c r="AO1642" s="1">
        <v>0</v>
      </c>
      <c r="AP1642" s="1" t="s">
        <v>210</v>
      </c>
      <c r="AR1642" s="1" t="s">
        <v>209</v>
      </c>
      <c r="AS1642" s="1" t="s">
        <v>204</v>
      </c>
      <c r="AT1642" s="1" t="s">
        <v>271</v>
      </c>
      <c r="AV1642" s="1">
        <v>1</v>
      </c>
      <c r="AW1642" s="1" t="s">
        <v>204</v>
      </c>
      <c r="AX1642" s="1" t="s">
        <v>212</v>
      </c>
      <c r="AZ1642" s="1">
        <v>1975.1</v>
      </c>
      <c r="BA1642" s="1">
        <v>2013</v>
      </c>
      <c r="BB1642" s="1" t="s">
        <v>405</v>
      </c>
      <c r="BE1642" s="1">
        <v>0</v>
      </c>
      <c r="BF1642" s="1">
        <v>1</v>
      </c>
      <c r="BG1642" s="1">
        <v>30</v>
      </c>
      <c r="BL1642" s="1">
        <v>160</v>
      </c>
      <c r="BM1642" s="1" t="s">
        <v>204</v>
      </c>
      <c r="BN1642" s="1" t="s">
        <v>213</v>
      </c>
      <c r="BO1642" s="1">
        <v>999</v>
      </c>
      <c r="BP1642" s="1" t="s">
        <v>204</v>
      </c>
      <c r="BR1642" s="1" t="str">
        <f>"0812216006"</f>
        <v>0812216006</v>
      </c>
      <c r="BT1642" s="1" t="s">
        <v>15730</v>
      </c>
      <c r="BX1642" s="1">
        <v>58</v>
      </c>
      <c r="BY1642" s="1">
        <v>58</v>
      </c>
      <c r="BZ1642" s="1">
        <v>99</v>
      </c>
      <c r="CB1642" s="1" t="str">
        <f t="shared" si="1249"/>
        <v>0</v>
      </c>
      <c r="CC1642" s="1" t="str">
        <f>"0"</f>
        <v>0</v>
      </c>
      <c r="CD1642" s="1">
        <v>20</v>
      </c>
      <c r="CE1642" s="1">
        <v>4</v>
      </c>
      <c r="CG1642" s="1" t="s">
        <v>221</v>
      </c>
      <c r="CH1642" s="1" t="s">
        <v>219</v>
      </c>
      <c r="CI1642" s="1" t="s">
        <v>438</v>
      </c>
      <c r="CJ1642" s="1" t="s">
        <v>210</v>
      </c>
      <c r="CK1642" s="1" t="s">
        <v>1297</v>
      </c>
      <c r="CL1642" s="1" t="s">
        <v>277</v>
      </c>
      <c r="CM1642" s="1" t="s">
        <v>438</v>
      </c>
      <c r="CN1642" s="1" t="s">
        <v>210</v>
      </c>
      <c r="CO1642" s="1" t="s">
        <v>629</v>
      </c>
      <c r="CP1642" s="1" t="s">
        <v>219</v>
      </c>
      <c r="CQ1642" s="1" t="s">
        <v>438</v>
      </c>
      <c r="CR1642" s="1" t="s">
        <v>210</v>
      </c>
      <c r="CS1642" s="1" t="s">
        <v>409</v>
      </c>
      <c r="CT1642" s="1" t="s">
        <v>277</v>
      </c>
      <c r="CU1642" s="1" t="s">
        <v>438</v>
      </c>
      <c r="CV1642" s="1" t="s">
        <v>210</v>
      </c>
      <c r="CX1642" s="1" t="s">
        <v>224</v>
      </c>
      <c r="DB1642" s="1" t="s">
        <v>224</v>
      </c>
      <c r="DE1642" s="1" t="s">
        <v>2899</v>
      </c>
      <c r="DF1642" s="1" t="s">
        <v>219</v>
      </c>
      <c r="DG1642" s="1" t="s">
        <v>226</v>
      </c>
      <c r="DH1642" s="1" t="s">
        <v>210</v>
      </c>
      <c r="DI1642" s="1" t="s">
        <v>228</v>
      </c>
      <c r="DJ1642" s="1" t="s">
        <v>822</v>
      </c>
      <c r="DK1642" s="1" t="s">
        <v>347</v>
      </c>
      <c r="DS1642" s="1" t="s">
        <v>230</v>
      </c>
      <c r="DW1642" s="1" t="s">
        <v>230</v>
      </c>
      <c r="EA1642" s="1" t="s">
        <v>230</v>
      </c>
      <c r="EE1642" s="1" t="s">
        <v>230</v>
      </c>
      <c r="EI1642" s="1" t="s">
        <v>230</v>
      </c>
      <c r="EL1642" s="1" t="s">
        <v>649</v>
      </c>
      <c r="EM1642" s="1" t="s">
        <v>232</v>
      </c>
      <c r="EN1642" s="1" t="s">
        <v>1158</v>
      </c>
      <c r="EO1642" s="1" t="s">
        <v>234</v>
      </c>
      <c r="EP1642" s="1" t="s">
        <v>12884</v>
      </c>
      <c r="EQ1642" s="1" t="s">
        <v>15731</v>
      </c>
      <c r="ER1642" s="1" t="s">
        <v>351</v>
      </c>
      <c r="ES1642" s="1" t="s">
        <v>545</v>
      </c>
      <c r="EU1642" s="1" t="s">
        <v>239</v>
      </c>
      <c r="EV1642" s="1" t="s">
        <v>240</v>
      </c>
      <c r="EW1642" s="1" t="s">
        <v>286</v>
      </c>
      <c r="EY1642" s="1" t="s">
        <v>790</v>
      </c>
      <c r="EZ1642" s="1" t="s">
        <v>287</v>
      </c>
      <c r="FA1642" s="1" t="s">
        <v>1072</v>
      </c>
      <c r="FB1642" s="1" t="s">
        <v>734</v>
      </c>
      <c r="FC1642" s="1" t="s">
        <v>1362</v>
      </c>
      <c r="FD1642" s="1" t="s">
        <v>246</v>
      </c>
      <c r="FE1642" s="1" t="s">
        <v>247</v>
      </c>
      <c r="FF1642" s="1" t="s">
        <v>248</v>
      </c>
      <c r="FH1642" s="1" t="s">
        <v>550</v>
      </c>
      <c r="FK1642" s="1" t="s">
        <v>2309</v>
      </c>
      <c r="FL1642" s="1" t="s">
        <v>414</v>
      </c>
      <c r="FM1642" s="1" t="s">
        <v>252</v>
      </c>
      <c r="FN1642" s="1" t="s">
        <v>213</v>
      </c>
      <c r="FO1642" s="1" t="s">
        <v>213</v>
      </c>
      <c r="FQ1642" s="1" t="s">
        <v>15732</v>
      </c>
      <c r="FR1642" s="1" t="s">
        <v>210</v>
      </c>
      <c r="FS1642" s="1" t="s">
        <v>15733</v>
      </c>
      <c r="FT1642" s="1" t="s">
        <v>295</v>
      </c>
      <c r="FU1642" s="1" t="s">
        <v>204</v>
      </c>
      <c r="FW1642" s="1" t="s">
        <v>1559</v>
      </c>
      <c r="FX1642" s="1">
        <v>24587</v>
      </c>
      <c r="FY1642" s="1" t="s">
        <v>6179</v>
      </c>
      <c r="FZ1642" s="1" t="s">
        <v>15734</v>
      </c>
      <c r="GA1642" s="1">
        <v>237201</v>
      </c>
      <c r="GB1642" s="1" t="s">
        <v>15735</v>
      </c>
      <c r="GC1642" s="1">
        <v>222546</v>
      </c>
      <c r="GE1642" s="1" t="s">
        <v>1256</v>
      </c>
      <c r="GI1642" s="1" t="s">
        <v>213</v>
      </c>
      <c r="GJ1642" s="1" t="s">
        <v>260</v>
      </c>
      <c r="GK1642" s="1" t="s">
        <v>210</v>
      </c>
      <c r="GL1642" s="2">
        <v>42022</v>
      </c>
    </row>
    <row r="1643" spans="1:195">
      <c r="A1643" s="1">
        <v>239990</v>
      </c>
      <c r="B1643" s="1" t="s">
        <v>195</v>
      </c>
      <c r="C1643" s="1" t="str">
        <f>"08710116"</f>
        <v>08710116</v>
      </c>
      <c r="D1643" s="1" t="s">
        <v>196</v>
      </c>
      <c r="F1643" s="1" t="str">
        <f>"540"</f>
        <v>540</v>
      </c>
      <c r="G1643" s="2">
        <v>41875</v>
      </c>
      <c r="H1643" s="1">
        <v>261990</v>
      </c>
      <c r="I1643" s="1">
        <v>239990</v>
      </c>
      <c r="J1643" s="1">
        <v>239990</v>
      </c>
      <c r="K1643" s="2">
        <v>41875</v>
      </c>
      <c r="L1643" s="1">
        <v>57</v>
      </c>
      <c r="M1643" s="2">
        <v>41931</v>
      </c>
      <c r="N1643" s="1">
        <v>57</v>
      </c>
      <c r="O1643" s="2">
        <v>41931</v>
      </c>
      <c r="P1643" s="1">
        <v>23265</v>
      </c>
      <c r="Q1643" s="1" t="s">
        <v>197</v>
      </c>
      <c r="R1643" s="2">
        <v>41977</v>
      </c>
      <c r="S1643" s="1">
        <v>225977</v>
      </c>
      <c r="U1643" s="1">
        <v>2614</v>
      </c>
      <c r="V1643" s="1" t="s">
        <v>6288</v>
      </c>
      <c r="W1643" s="1" t="s">
        <v>449</v>
      </c>
      <c r="Y1643" s="1">
        <v>4</v>
      </c>
      <c r="Z1643" s="1" t="s">
        <v>370</v>
      </c>
      <c r="AA1643" s="1" t="s">
        <v>921</v>
      </c>
      <c r="AB1643" s="1">
        <v>60564</v>
      </c>
      <c r="AD1643" s="1" t="s">
        <v>3249</v>
      </c>
      <c r="AE1643" s="1" t="s">
        <v>15736</v>
      </c>
      <c r="AF1643" s="1">
        <v>2014</v>
      </c>
      <c r="AG1643" s="1" t="s">
        <v>204</v>
      </c>
      <c r="AH1643" s="1" t="s">
        <v>924</v>
      </c>
      <c r="AI1643" s="1" t="s">
        <v>1800</v>
      </c>
      <c r="AJ1643" s="1" t="s">
        <v>1801</v>
      </c>
      <c r="AK1643" s="1" t="s">
        <v>9108</v>
      </c>
      <c r="AL1643" s="1">
        <v>5</v>
      </c>
      <c r="AM1643" s="1">
        <v>2</v>
      </c>
      <c r="AN1643" s="1">
        <v>2</v>
      </c>
      <c r="AO1643" s="1">
        <v>0</v>
      </c>
      <c r="AP1643" s="1" t="s">
        <v>209</v>
      </c>
      <c r="AR1643" s="1" t="s">
        <v>210</v>
      </c>
      <c r="AS1643" s="1" t="s">
        <v>204</v>
      </c>
      <c r="AT1643" s="1" t="s">
        <v>211</v>
      </c>
      <c r="AU1643" s="1">
        <v>2</v>
      </c>
      <c r="AW1643" s="1" t="s">
        <v>204</v>
      </c>
      <c r="AX1643" s="1" t="s">
        <v>15737</v>
      </c>
      <c r="AZ1643" s="1" t="s">
        <v>751</v>
      </c>
      <c r="BA1643" s="1">
        <v>2012</v>
      </c>
      <c r="BE1643" s="1">
        <v>1549</v>
      </c>
      <c r="BF1643" s="1">
        <v>1</v>
      </c>
      <c r="BG1643" s="1">
        <v>0</v>
      </c>
      <c r="BL1643" s="1">
        <v>238</v>
      </c>
      <c r="BM1643" s="1" t="s">
        <v>204</v>
      </c>
      <c r="BN1643" s="1" t="s">
        <v>213</v>
      </c>
      <c r="BO1643" s="1">
        <v>999</v>
      </c>
      <c r="BP1643" s="1" t="s">
        <v>213</v>
      </c>
      <c r="BQ1643" s="2">
        <v>41942</v>
      </c>
      <c r="BR1643" s="1" t="str">
        <f>"01054070030000"</f>
        <v>01054070030000</v>
      </c>
      <c r="BT1643" s="1" t="s">
        <v>15738</v>
      </c>
      <c r="BX1643" s="1">
        <v>204</v>
      </c>
      <c r="BY1643" s="1">
        <v>204</v>
      </c>
      <c r="BZ1643" s="1">
        <v>204</v>
      </c>
      <c r="CB1643" s="1" t="str">
        <f t="shared" ref="CB1643:CC1643" si="1250">""</f>
        <v/>
      </c>
      <c r="CC1643" s="1" t="str">
        <f t="shared" si="1250"/>
        <v/>
      </c>
      <c r="CH1643" s="1" t="s">
        <v>224</v>
      </c>
      <c r="CK1643" s="1" t="s">
        <v>462</v>
      </c>
      <c r="CL1643" s="1" t="s">
        <v>219</v>
      </c>
      <c r="CP1643" s="1" t="s">
        <v>224</v>
      </c>
      <c r="CS1643" s="1" t="s">
        <v>346</v>
      </c>
      <c r="CT1643" s="1" t="s">
        <v>219</v>
      </c>
      <c r="CX1643" s="1" t="s">
        <v>224</v>
      </c>
      <c r="DB1643" s="1" t="s">
        <v>224</v>
      </c>
      <c r="DE1643" s="1" t="s">
        <v>885</v>
      </c>
      <c r="DF1643" s="1" t="s">
        <v>219</v>
      </c>
      <c r="DI1643" s="1" t="s">
        <v>9111</v>
      </c>
      <c r="DJ1643" s="1" t="s">
        <v>219</v>
      </c>
      <c r="DM1643" s="1" t="s">
        <v>1548</v>
      </c>
      <c r="DR1643" s="1" t="s">
        <v>516</v>
      </c>
      <c r="DS1643" s="1" t="s">
        <v>219</v>
      </c>
      <c r="DW1643" s="1" t="s">
        <v>230</v>
      </c>
      <c r="EA1643" s="1" t="s">
        <v>230</v>
      </c>
      <c r="EE1643" s="1" t="s">
        <v>230</v>
      </c>
      <c r="EI1643" s="1" t="s">
        <v>230</v>
      </c>
      <c r="EL1643" s="1" t="s">
        <v>1455</v>
      </c>
      <c r="EM1643" s="1" t="s">
        <v>730</v>
      </c>
      <c r="EN1643" s="1" t="s">
        <v>282</v>
      </c>
      <c r="EO1643" s="1" t="s">
        <v>840</v>
      </c>
      <c r="ER1643" s="1" t="s">
        <v>383</v>
      </c>
      <c r="EW1643" s="1" t="s">
        <v>5021</v>
      </c>
      <c r="EZ1643" s="1" t="s">
        <v>1548</v>
      </c>
      <c r="FD1643" s="1" t="s">
        <v>246</v>
      </c>
      <c r="FE1643" s="1" t="s">
        <v>975</v>
      </c>
      <c r="FF1643" s="1" t="s">
        <v>248</v>
      </c>
      <c r="FH1643" s="1" t="s">
        <v>825</v>
      </c>
      <c r="FL1643" s="1" t="s">
        <v>358</v>
      </c>
      <c r="FM1643" s="1" t="s">
        <v>252</v>
      </c>
      <c r="FN1643" s="1" t="s">
        <v>213</v>
      </c>
      <c r="FO1643" s="1" t="s">
        <v>204</v>
      </c>
      <c r="FQ1643" s="1" t="s">
        <v>582</v>
      </c>
      <c r="FR1643" s="1" t="s">
        <v>210</v>
      </c>
      <c r="FS1643" s="1" t="s">
        <v>15739</v>
      </c>
      <c r="FT1643" s="1" t="s">
        <v>5166</v>
      </c>
      <c r="FU1643" s="1" t="s">
        <v>204</v>
      </c>
      <c r="FW1643" s="1" t="s">
        <v>772</v>
      </c>
      <c r="FX1643" s="1">
        <v>92038</v>
      </c>
      <c r="FY1643" s="1" t="s">
        <v>773</v>
      </c>
      <c r="FZ1643" s="1" t="s">
        <v>774</v>
      </c>
      <c r="GA1643" s="1">
        <v>21137</v>
      </c>
      <c r="GB1643" s="1" t="s">
        <v>775</v>
      </c>
      <c r="GE1643" s="1" t="s">
        <v>623</v>
      </c>
      <c r="GI1643" s="1" t="s">
        <v>204</v>
      </c>
      <c r="GJ1643" s="1" t="s">
        <v>260</v>
      </c>
      <c r="GK1643" s="1" t="s">
        <v>210</v>
      </c>
      <c r="GL1643" s="2">
        <v>41978</v>
      </c>
      <c r="GM1643" s="1" t="s">
        <v>15740</v>
      </c>
    </row>
    <row r="1644" spans="1:195">
      <c r="A1644" s="1">
        <v>14550</v>
      </c>
      <c r="B1644" s="1" t="s">
        <v>195</v>
      </c>
      <c r="C1644" s="1" t="str">
        <f>"08703911"</f>
        <v>08703911</v>
      </c>
      <c r="D1644" s="1" t="s">
        <v>196</v>
      </c>
      <c r="F1644" s="1" t="str">
        <f>"8065"</f>
        <v>8065</v>
      </c>
      <c r="G1644" s="2">
        <v>41868</v>
      </c>
      <c r="H1644" s="1">
        <v>18900</v>
      </c>
      <c r="I1644" s="1">
        <v>0</v>
      </c>
      <c r="J1644" s="1">
        <v>14550</v>
      </c>
      <c r="K1644" s="2">
        <v>41868</v>
      </c>
      <c r="L1644" s="1">
        <v>121</v>
      </c>
      <c r="M1644" s="2">
        <v>41988</v>
      </c>
      <c r="N1644" s="1">
        <v>121</v>
      </c>
      <c r="O1644" s="2">
        <v>41988</v>
      </c>
      <c r="P1644" s="1" t="s">
        <v>1039</v>
      </c>
      <c r="Q1644" s="1" t="s">
        <v>302</v>
      </c>
      <c r="R1644" s="2">
        <v>41989</v>
      </c>
      <c r="S1644" s="1">
        <v>99999</v>
      </c>
      <c r="U1644" s="1">
        <v>4280</v>
      </c>
      <c r="V1644" s="1" t="s">
        <v>15741</v>
      </c>
      <c r="W1644" s="1" t="s">
        <v>264</v>
      </c>
      <c r="X1644" s="1">
        <v>305</v>
      </c>
      <c r="Y1644" s="1">
        <v>36</v>
      </c>
      <c r="Z1644" s="1" t="s">
        <v>249</v>
      </c>
      <c r="AA1644" s="1" t="s">
        <v>400</v>
      </c>
      <c r="AB1644" s="1">
        <v>60652</v>
      </c>
      <c r="AE1644" s="1" t="s">
        <v>15742</v>
      </c>
      <c r="AF1644" s="1">
        <v>1968</v>
      </c>
      <c r="AG1644" s="1" t="s">
        <v>213</v>
      </c>
      <c r="AH1644" s="1" t="s">
        <v>403</v>
      </c>
      <c r="AI1644" s="1" t="s">
        <v>310</v>
      </c>
      <c r="AJ1644" s="1" t="s">
        <v>683</v>
      </c>
      <c r="AL1644" s="1">
        <v>5</v>
      </c>
      <c r="AM1644" s="1">
        <v>2</v>
      </c>
      <c r="AN1644" s="1">
        <v>2</v>
      </c>
      <c r="AO1644" s="1">
        <v>0</v>
      </c>
      <c r="AP1644" s="1" t="s">
        <v>209</v>
      </c>
      <c r="AR1644" s="1" t="s">
        <v>210</v>
      </c>
      <c r="AS1644" s="1" t="s">
        <v>204</v>
      </c>
      <c r="AT1644" s="1" t="s">
        <v>271</v>
      </c>
      <c r="AV1644" s="1">
        <v>2</v>
      </c>
      <c r="AW1644" s="1" t="s">
        <v>204</v>
      </c>
      <c r="AX1644" s="1" t="s">
        <v>212</v>
      </c>
      <c r="AZ1644" s="1">
        <v>944</v>
      </c>
      <c r="BA1644" s="1">
        <v>2012</v>
      </c>
      <c r="BB1644" s="1" t="s">
        <v>405</v>
      </c>
      <c r="BE1644" s="1">
        <v>0</v>
      </c>
      <c r="BF1644" s="1">
        <v>3</v>
      </c>
      <c r="BG1644" s="1">
        <v>7</v>
      </c>
      <c r="BL1644" s="1">
        <v>290</v>
      </c>
      <c r="BM1644" s="1" t="s">
        <v>204</v>
      </c>
      <c r="BN1644" s="1" t="s">
        <v>213</v>
      </c>
      <c r="BO1644" s="1">
        <v>0</v>
      </c>
      <c r="BP1644" s="1" t="s">
        <v>204</v>
      </c>
      <c r="BR1644" s="1" t="str">
        <f>"19274010381199"</f>
        <v>19274010381199</v>
      </c>
      <c r="BT1644" s="1" t="s">
        <v>15743</v>
      </c>
      <c r="BX1644" s="1">
        <v>299</v>
      </c>
      <c r="BY1644" s="1">
        <v>299</v>
      </c>
      <c r="BZ1644" s="1">
        <v>299</v>
      </c>
      <c r="CB1644" s="1" t="str">
        <f t="shared" ref="CB1644:CC1644" si="1251">"0"</f>
        <v>0</v>
      </c>
      <c r="CC1644" s="1" t="str">
        <f t="shared" si="1251"/>
        <v>0</v>
      </c>
      <c r="CD1644" s="1">
        <v>4280</v>
      </c>
      <c r="CE1644" s="1">
        <v>7600</v>
      </c>
      <c r="CG1644" s="1" t="s">
        <v>628</v>
      </c>
      <c r="CH1644" s="1" t="s">
        <v>219</v>
      </c>
      <c r="CK1644" s="1" t="s">
        <v>437</v>
      </c>
      <c r="CL1644" s="1" t="s">
        <v>219</v>
      </c>
      <c r="CO1644" s="1" t="s">
        <v>3034</v>
      </c>
      <c r="CP1644" s="1" t="s">
        <v>219</v>
      </c>
      <c r="CS1644" s="1" t="s">
        <v>379</v>
      </c>
      <c r="CT1644" s="1" t="s">
        <v>219</v>
      </c>
      <c r="CX1644" s="1" t="s">
        <v>224</v>
      </c>
      <c r="DB1644" s="1" t="s">
        <v>224</v>
      </c>
      <c r="DE1644" s="1" t="s">
        <v>489</v>
      </c>
      <c r="DF1644" s="1" t="s">
        <v>219</v>
      </c>
      <c r="DG1644" s="1" t="s">
        <v>342</v>
      </c>
      <c r="DJ1644" s="1" t="s">
        <v>224</v>
      </c>
      <c r="DS1644" s="1" t="s">
        <v>230</v>
      </c>
      <c r="DW1644" s="1" t="s">
        <v>230</v>
      </c>
      <c r="EA1644" s="1" t="s">
        <v>230</v>
      </c>
      <c r="EE1644" s="1" t="s">
        <v>230</v>
      </c>
      <c r="EI1644" s="1" t="s">
        <v>230</v>
      </c>
      <c r="EL1644" s="1" t="s">
        <v>605</v>
      </c>
      <c r="EM1644" s="1" t="s">
        <v>232</v>
      </c>
      <c r="EN1644" s="1" t="s">
        <v>233</v>
      </c>
      <c r="EO1644" s="1" t="s">
        <v>234</v>
      </c>
      <c r="EP1644" s="1" t="s">
        <v>15744</v>
      </c>
      <c r="ER1644" s="1" t="s">
        <v>210</v>
      </c>
      <c r="ES1644" s="1" t="s">
        <v>322</v>
      </c>
      <c r="EV1644" s="1" t="s">
        <v>240</v>
      </c>
      <c r="EW1644" s="1" t="s">
        <v>15745</v>
      </c>
      <c r="EY1644" s="1" t="s">
        <v>242</v>
      </c>
      <c r="EZ1644" s="1" t="s">
        <v>287</v>
      </c>
      <c r="FB1644" s="1" t="s">
        <v>244</v>
      </c>
      <c r="FD1644" s="1" t="s">
        <v>246</v>
      </c>
      <c r="FE1644" s="1" t="s">
        <v>247</v>
      </c>
      <c r="FF1644" s="1" t="s">
        <v>248</v>
      </c>
      <c r="FH1644" s="1" t="s">
        <v>1942</v>
      </c>
      <c r="FK1644" s="1" t="s">
        <v>891</v>
      </c>
      <c r="FL1644" s="1" t="s">
        <v>292</v>
      </c>
      <c r="FM1644" s="1" t="s">
        <v>252</v>
      </c>
      <c r="FN1644" s="1" t="s">
        <v>213</v>
      </c>
      <c r="FO1644" s="1" t="s">
        <v>213</v>
      </c>
      <c r="FQ1644" s="1" t="s">
        <v>3794</v>
      </c>
      <c r="FR1644" s="1" t="s">
        <v>210</v>
      </c>
      <c r="FS1644" s="1" t="s">
        <v>13276</v>
      </c>
      <c r="FT1644" s="1" t="s">
        <v>8191</v>
      </c>
      <c r="FU1644" s="1" t="s">
        <v>204</v>
      </c>
      <c r="FW1644" s="1" t="s">
        <v>13170</v>
      </c>
      <c r="FX1644" s="1">
        <v>12511</v>
      </c>
      <c r="FY1644" s="1" t="s">
        <v>13171</v>
      </c>
      <c r="FZ1644" s="1" t="s">
        <v>13172</v>
      </c>
      <c r="GA1644" s="1">
        <v>121408</v>
      </c>
      <c r="GB1644" s="1" t="s">
        <v>13173</v>
      </c>
      <c r="GE1644" s="1" t="s">
        <v>210</v>
      </c>
      <c r="GH1644" s="1" t="s">
        <v>589</v>
      </c>
      <c r="GI1644" s="1" t="s">
        <v>213</v>
      </c>
      <c r="GJ1644" s="1" t="s">
        <v>260</v>
      </c>
      <c r="GK1644" s="1" t="s">
        <v>210</v>
      </c>
      <c r="GL1644" s="2">
        <v>41989</v>
      </c>
      <c r="GM1644" s="1" t="s">
        <v>15746</v>
      </c>
    </row>
    <row r="1645" spans="1:195">
      <c r="A1645" s="1">
        <v>38964</v>
      </c>
      <c r="B1645" s="1" t="s">
        <v>195</v>
      </c>
      <c r="C1645" s="1" t="str">
        <f>"08705035"</f>
        <v>08705035</v>
      </c>
      <c r="D1645" s="1" t="s">
        <v>196</v>
      </c>
      <c r="F1645" s="1" t="str">
        <f>"73"</f>
        <v>73</v>
      </c>
      <c r="G1645" s="2">
        <v>41869</v>
      </c>
      <c r="H1645" s="1">
        <v>47700</v>
      </c>
      <c r="I1645" s="1">
        <v>41900</v>
      </c>
      <c r="J1645" s="1">
        <v>38964</v>
      </c>
      <c r="K1645" s="2">
        <v>41869</v>
      </c>
      <c r="L1645" s="1">
        <v>101</v>
      </c>
      <c r="M1645" s="2">
        <v>41969</v>
      </c>
      <c r="N1645" s="1">
        <v>101</v>
      </c>
      <c r="O1645" s="2">
        <v>41969</v>
      </c>
      <c r="P1645" s="1">
        <v>2626</v>
      </c>
      <c r="Q1645" s="1" t="s">
        <v>302</v>
      </c>
      <c r="R1645" s="2">
        <v>41990</v>
      </c>
      <c r="S1645" s="1">
        <v>20160</v>
      </c>
      <c r="U1645" s="1">
        <v>2057</v>
      </c>
      <c r="V1645" s="1" t="s">
        <v>15747</v>
      </c>
      <c r="W1645" s="1" t="s">
        <v>504</v>
      </c>
      <c r="X1645" s="1">
        <v>2057</v>
      </c>
      <c r="Y1645" s="1">
        <v>2</v>
      </c>
      <c r="Z1645" s="1" t="s">
        <v>370</v>
      </c>
      <c r="AA1645" s="1" t="s">
        <v>1027</v>
      </c>
      <c r="AB1645" s="1">
        <v>60073</v>
      </c>
      <c r="AD1645" s="1" t="s">
        <v>15748</v>
      </c>
      <c r="AE1645" s="1" t="s">
        <v>15749</v>
      </c>
      <c r="AF1645" s="1">
        <v>1988</v>
      </c>
      <c r="AG1645" s="1" t="s">
        <v>204</v>
      </c>
      <c r="AH1645" s="1" t="s">
        <v>1029</v>
      </c>
      <c r="AI1645" s="1" t="s">
        <v>509</v>
      </c>
      <c r="AJ1645" s="1" t="s">
        <v>1263</v>
      </c>
      <c r="AL1645" s="1">
        <v>5</v>
      </c>
      <c r="AM1645" s="1">
        <v>2</v>
      </c>
      <c r="AN1645" s="1">
        <v>1</v>
      </c>
      <c r="AO1645" s="1">
        <v>1</v>
      </c>
      <c r="AP1645" s="1" t="s">
        <v>210</v>
      </c>
      <c r="AQ1645" s="1">
        <v>0</v>
      </c>
      <c r="AR1645" s="1" t="s">
        <v>210</v>
      </c>
      <c r="AS1645" s="1" t="s">
        <v>204</v>
      </c>
      <c r="AT1645" s="1" t="s">
        <v>211</v>
      </c>
      <c r="AU1645" s="1">
        <v>1</v>
      </c>
      <c r="AW1645" s="1" t="s">
        <v>204</v>
      </c>
      <c r="AX1645" s="1" t="s">
        <v>212</v>
      </c>
      <c r="AZ1645" s="1">
        <v>2315.25</v>
      </c>
      <c r="BA1645" s="1">
        <v>2013</v>
      </c>
      <c r="BE1645" s="1">
        <v>990</v>
      </c>
      <c r="BF1645" s="1">
        <v>1</v>
      </c>
      <c r="BG1645" s="1">
        <v>30</v>
      </c>
      <c r="BL1645" s="1">
        <v>118</v>
      </c>
      <c r="BM1645" s="1" t="s">
        <v>413</v>
      </c>
      <c r="BN1645" s="1" t="s">
        <v>213</v>
      </c>
      <c r="BO1645" s="1">
        <v>999</v>
      </c>
      <c r="BP1645" s="1" t="s">
        <v>204</v>
      </c>
      <c r="BR1645" s="1" t="str">
        <f>"06171260720000"</f>
        <v>06171260720000</v>
      </c>
      <c r="BT1645" s="1" t="s">
        <v>15750</v>
      </c>
      <c r="BU1645" s="1" t="s">
        <v>7672</v>
      </c>
      <c r="BV1645" s="1" t="s">
        <v>4025</v>
      </c>
      <c r="BW1645" s="1" t="s">
        <v>4026</v>
      </c>
      <c r="BX1645" s="1">
        <v>116</v>
      </c>
      <c r="BY1645" s="1">
        <v>116</v>
      </c>
      <c r="BZ1645" s="1">
        <v>116</v>
      </c>
      <c r="CB1645" s="1" t="str">
        <f>"35"</f>
        <v>35</v>
      </c>
      <c r="CC1645" s="1" t="str">
        <f>"0"</f>
        <v>0</v>
      </c>
      <c r="CD1645" s="1">
        <v>23</v>
      </c>
      <c r="CE1645" s="1">
        <v>0</v>
      </c>
      <c r="CF1645" s="1" t="s">
        <v>4203</v>
      </c>
      <c r="CG1645" s="1" t="s">
        <v>908</v>
      </c>
      <c r="CH1645" s="1" t="s">
        <v>219</v>
      </c>
      <c r="CK1645" s="1" t="s">
        <v>461</v>
      </c>
      <c r="CL1645" s="1" t="s">
        <v>277</v>
      </c>
      <c r="CO1645" s="1" t="s">
        <v>629</v>
      </c>
      <c r="CP1645" s="1" t="s">
        <v>219</v>
      </c>
      <c r="CS1645" s="1" t="s">
        <v>1297</v>
      </c>
      <c r="CT1645" s="1" t="s">
        <v>277</v>
      </c>
      <c r="CX1645" s="1" t="s">
        <v>224</v>
      </c>
      <c r="DB1645" s="1" t="s">
        <v>224</v>
      </c>
      <c r="DE1645" s="1" t="s">
        <v>223</v>
      </c>
      <c r="DF1645" s="1" t="s">
        <v>219</v>
      </c>
      <c r="DJ1645" s="1" t="s">
        <v>224</v>
      </c>
      <c r="DS1645" s="1" t="s">
        <v>230</v>
      </c>
      <c r="DW1645" s="1" t="s">
        <v>230</v>
      </c>
      <c r="EA1645" s="1" t="s">
        <v>230</v>
      </c>
      <c r="EE1645" s="1" t="s">
        <v>230</v>
      </c>
      <c r="EI1645" s="1" t="s">
        <v>230</v>
      </c>
      <c r="EL1645" s="1" t="s">
        <v>542</v>
      </c>
      <c r="EM1645" s="1" t="s">
        <v>232</v>
      </c>
      <c r="EN1645" s="1" t="s">
        <v>282</v>
      </c>
      <c r="EO1645" s="1" t="s">
        <v>234</v>
      </c>
      <c r="EP1645" s="1" t="s">
        <v>15751</v>
      </c>
      <c r="ER1645" s="1" t="s">
        <v>210</v>
      </c>
      <c r="ES1645" s="1" t="s">
        <v>954</v>
      </c>
      <c r="EU1645" s="1" t="s">
        <v>546</v>
      </c>
      <c r="EV1645" s="1" t="s">
        <v>240</v>
      </c>
      <c r="EW1645" s="1" t="s">
        <v>2381</v>
      </c>
      <c r="EY1645" s="1" t="s">
        <v>242</v>
      </c>
      <c r="EZ1645" s="1" t="s">
        <v>287</v>
      </c>
      <c r="FB1645" s="1" t="s">
        <v>289</v>
      </c>
      <c r="FC1645" s="1" t="s">
        <v>548</v>
      </c>
      <c r="FD1645" s="1" t="s">
        <v>246</v>
      </c>
      <c r="FE1645" s="1" t="s">
        <v>870</v>
      </c>
      <c r="FF1645" s="1" t="s">
        <v>248</v>
      </c>
      <c r="FH1645" s="1" t="s">
        <v>550</v>
      </c>
      <c r="FL1645" s="1" t="s">
        <v>358</v>
      </c>
      <c r="FM1645" s="1" t="s">
        <v>252</v>
      </c>
      <c r="FN1645" s="1" t="s">
        <v>213</v>
      </c>
      <c r="FO1645" s="1" t="s">
        <v>213</v>
      </c>
      <c r="FQ1645" s="1" t="s">
        <v>849</v>
      </c>
      <c r="FR1645" s="1" t="s">
        <v>210</v>
      </c>
      <c r="FS1645" s="1" t="s">
        <v>15752</v>
      </c>
      <c r="FT1645" s="1" t="s">
        <v>295</v>
      </c>
      <c r="FU1645" s="1" t="s">
        <v>204</v>
      </c>
      <c r="FW1645" s="1" t="s">
        <v>2563</v>
      </c>
      <c r="FX1645" s="1">
        <v>24093</v>
      </c>
      <c r="FY1645" s="1" t="s">
        <v>2564</v>
      </c>
      <c r="FZ1645" s="1" t="s">
        <v>15753</v>
      </c>
      <c r="GA1645" s="1">
        <v>19154</v>
      </c>
      <c r="GB1645" s="1" t="s">
        <v>15754</v>
      </c>
      <c r="GE1645" s="1" t="s">
        <v>480</v>
      </c>
      <c r="GI1645" s="1" t="s">
        <v>213</v>
      </c>
      <c r="GJ1645" s="1" t="s">
        <v>260</v>
      </c>
      <c r="GK1645" s="1" t="s">
        <v>210</v>
      </c>
      <c r="GL1645" s="2">
        <v>41990</v>
      </c>
      <c r="GM1645" s="1" t="s">
        <v>15755</v>
      </c>
    </row>
    <row r="1646" spans="1:195">
      <c r="A1646" s="1">
        <v>107000</v>
      </c>
      <c r="B1646" s="1" t="s">
        <v>195</v>
      </c>
      <c r="C1646" s="1" t="str">
        <f>"08703626"</f>
        <v>08703626</v>
      </c>
      <c r="D1646" s="1" t="s">
        <v>196</v>
      </c>
      <c r="F1646" s="1" t="str">
        <f>"542"</f>
        <v>542</v>
      </c>
      <c r="G1646" s="2">
        <v>41867</v>
      </c>
      <c r="H1646" s="1">
        <v>129900</v>
      </c>
      <c r="I1646" s="1">
        <v>114900</v>
      </c>
      <c r="J1646" s="1">
        <v>107000</v>
      </c>
      <c r="K1646" s="2">
        <v>41867</v>
      </c>
      <c r="L1646" s="1">
        <v>127</v>
      </c>
      <c r="M1646" s="2">
        <v>41993</v>
      </c>
      <c r="N1646" s="1">
        <v>127</v>
      </c>
      <c r="O1646" s="2">
        <v>41993</v>
      </c>
      <c r="P1646" s="1">
        <v>30</v>
      </c>
      <c r="Q1646" s="1" t="s">
        <v>197</v>
      </c>
      <c r="R1646" s="2">
        <v>42059</v>
      </c>
      <c r="S1646" s="1">
        <v>185</v>
      </c>
      <c r="U1646" s="1">
        <v>194</v>
      </c>
      <c r="V1646" s="1" t="s">
        <v>4519</v>
      </c>
      <c r="W1646" s="1" t="s">
        <v>304</v>
      </c>
      <c r="X1646" s="1">
        <v>194</v>
      </c>
      <c r="Y1646" s="1">
        <v>4</v>
      </c>
      <c r="Z1646" s="1" t="s">
        <v>249</v>
      </c>
      <c r="AA1646" s="1" t="s">
        <v>6071</v>
      </c>
      <c r="AB1646" s="1">
        <v>60542</v>
      </c>
      <c r="AC1646" s="1">
        <v>3319</v>
      </c>
      <c r="AD1646" s="1" t="s">
        <v>15756</v>
      </c>
      <c r="AE1646" s="1" t="s">
        <v>15757</v>
      </c>
      <c r="AF1646" s="1">
        <v>1997</v>
      </c>
      <c r="AG1646" s="1" t="s">
        <v>204</v>
      </c>
      <c r="AH1646" s="1" t="s">
        <v>6074</v>
      </c>
      <c r="AI1646" s="1" t="s">
        <v>665</v>
      </c>
      <c r="AJ1646" s="1" t="s">
        <v>1126</v>
      </c>
      <c r="AL1646" s="1">
        <v>5</v>
      </c>
      <c r="AM1646" s="1">
        <v>2</v>
      </c>
      <c r="AN1646" s="1">
        <v>2</v>
      </c>
      <c r="AO1646" s="1">
        <v>0</v>
      </c>
      <c r="AP1646" s="1" t="s">
        <v>209</v>
      </c>
      <c r="AQ1646" s="1">
        <v>1</v>
      </c>
      <c r="AR1646" s="1" t="s">
        <v>210</v>
      </c>
      <c r="AS1646" s="1" t="s">
        <v>204</v>
      </c>
      <c r="AT1646" s="1" t="s">
        <v>211</v>
      </c>
      <c r="AU1646" s="1">
        <v>2</v>
      </c>
      <c r="AW1646" s="1" t="s">
        <v>213</v>
      </c>
      <c r="AX1646" s="1" t="s">
        <v>212</v>
      </c>
      <c r="AZ1646" s="1">
        <v>3704</v>
      </c>
      <c r="BA1646" s="1">
        <v>2013</v>
      </c>
      <c r="BB1646" s="1" t="s">
        <v>405</v>
      </c>
      <c r="BE1646" s="1">
        <v>1062</v>
      </c>
      <c r="BF1646" s="1">
        <v>1</v>
      </c>
      <c r="BG1646" s="1">
        <v>0</v>
      </c>
      <c r="BL1646" s="1">
        <v>150</v>
      </c>
      <c r="BM1646" s="1" t="s">
        <v>204</v>
      </c>
      <c r="BN1646" s="1" t="s">
        <v>213</v>
      </c>
      <c r="BO1646" s="1">
        <v>999</v>
      </c>
      <c r="BP1646" s="1" t="s">
        <v>204</v>
      </c>
      <c r="BR1646" s="1" t="str">
        <f>"1503104002"</f>
        <v>1503104002</v>
      </c>
      <c r="BT1646" s="1" t="s">
        <v>15758</v>
      </c>
      <c r="BU1646" s="1" t="s">
        <v>9727</v>
      </c>
      <c r="BV1646" s="1" t="s">
        <v>15759</v>
      </c>
      <c r="BW1646" s="1" t="s">
        <v>3930</v>
      </c>
      <c r="BX1646" s="1">
        <v>129</v>
      </c>
      <c r="BY1646" s="1">
        <v>129</v>
      </c>
      <c r="BZ1646" s="1">
        <v>129</v>
      </c>
      <c r="CB1646" s="1" t="str">
        <f t="shared" ref="CB1646:CC1646" si="1252">"0"</f>
        <v>0</v>
      </c>
      <c r="CC1646" s="1" t="str">
        <f t="shared" si="1252"/>
        <v>0</v>
      </c>
      <c r="CD1646" s="1">
        <v>35</v>
      </c>
      <c r="CE1646" s="1">
        <v>3</v>
      </c>
      <c r="CG1646" s="1" t="s">
        <v>278</v>
      </c>
      <c r="CH1646" s="1" t="s">
        <v>219</v>
      </c>
      <c r="CI1646" s="1" t="s">
        <v>220</v>
      </c>
      <c r="CK1646" s="1" t="s">
        <v>317</v>
      </c>
      <c r="CL1646" s="1" t="s">
        <v>219</v>
      </c>
      <c r="CM1646" s="1" t="s">
        <v>220</v>
      </c>
      <c r="CO1646" s="1" t="s">
        <v>378</v>
      </c>
      <c r="CP1646" s="1" t="s">
        <v>219</v>
      </c>
      <c r="CQ1646" s="1" t="s">
        <v>220</v>
      </c>
      <c r="CS1646" s="1" t="s">
        <v>409</v>
      </c>
      <c r="CT1646" s="1" t="s">
        <v>219</v>
      </c>
      <c r="CU1646" s="1" t="s">
        <v>220</v>
      </c>
      <c r="CX1646" s="1" t="s">
        <v>224</v>
      </c>
      <c r="DB1646" s="1" t="s">
        <v>224</v>
      </c>
      <c r="DE1646" s="1" t="s">
        <v>348</v>
      </c>
      <c r="DF1646" s="1" t="s">
        <v>219</v>
      </c>
      <c r="DG1646" s="1" t="s">
        <v>342</v>
      </c>
      <c r="DJ1646" s="1" t="s">
        <v>224</v>
      </c>
      <c r="DS1646" s="1" t="s">
        <v>230</v>
      </c>
      <c r="DW1646" s="1" t="s">
        <v>230</v>
      </c>
      <c r="EA1646" s="1" t="s">
        <v>230</v>
      </c>
      <c r="EE1646" s="1" t="s">
        <v>230</v>
      </c>
      <c r="EI1646" s="1" t="s">
        <v>230</v>
      </c>
      <c r="EL1646" s="1" t="s">
        <v>670</v>
      </c>
      <c r="EM1646" s="1" t="s">
        <v>319</v>
      </c>
      <c r="EN1646" s="1" t="s">
        <v>282</v>
      </c>
      <c r="EO1646" s="1" t="s">
        <v>234</v>
      </c>
      <c r="EP1646" s="1" t="s">
        <v>283</v>
      </c>
      <c r="ER1646" s="1" t="s">
        <v>210</v>
      </c>
      <c r="EV1646" s="1" t="s">
        <v>324</v>
      </c>
      <c r="EW1646" s="1" t="s">
        <v>353</v>
      </c>
      <c r="EY1646" s="1" t="s">
        <v>242</v>
      </c>
      <c r="EZ1646" s="1" t="s">
        <v>287</v>
      </c>
      <c r="FA1646" s="1" t="s">
        <v>2843</v>
      </c>
      <c r="FB1646" s="1" t="s">
        <v>289</v>
      </c>
      <c r="FC1646" s="1" t="s">
        <v>3976</v>
      </c>
      <c r="FD1646" s="1" t="s">
        <v>246</v>
      </c>
      <c r="FE1646" s="1" t="s">
        <v>355</v>
      </c>
      <c r="FF1646" s="1" t="s">
        <v>248</v>
      </c>
      <c r="FH1646" s="1" t="s">
        <v>249</v>
      </c>
      <c r="FI1646" s="1" t="s">
        <v>357</v>
      </c>
      <c r="FL1646" s="1" t="s">
        <v>358</v>
      </c>
      <c r="FM1646" s="1" t="s">
        <v>252</v>
      </c>
      <c r="FN1646" s="1" t="s">
        <v>213</v>
      </c>
      <c r="FO1646" s="1" t="s">
        <v>213</v>
      </c>
      <c r="FQ1646" s="1" t="s">
        <v>2740</v>
      </c>
      <c r="FR1646" s="1" t="s">
        <v>210</v>
      </c>
      <c r="FS1646" s="1" t="s">
        <v>1805</v>
      </c>
      <c r="FT1646" s="1" t="s">
        <v>520</v>
      </c>
      <c r="FU1646" s="1" t="s">
        <v>204</v>
      </c>
      <c r="FW1646" s="1" t="s">
        <v>3243</v>
      </c>
      <c r="FX1646" s="1">
        <v>604</v>
      </c>
      <c r="FY1646" s="1" t="s">
        <v>3244</v>
      </c>
      <c r="FZ1646" s="1" t="s">
        <v>15760</v>
      </c>
      <c r="GA1646" s="1">
        <v>1497</v>
      </c>
      <c r="GB1646" s="1" t="s">
        <v>15761</v>
      </c>
      <c r="GE1646" s="1" t="s">
        <v>480</v>
      </c>
      <c r="GI1646" s="1" t="s">
        <v>213</v>
      </c>
      <c r="GJ1646" s="1" t="s">
        <v>260</v>
      </c>
      <c r="GK1646" s="1" t="s">
        <v>261</v>
      </c>
      <c r="GL1646" s="2">
        <v>42059</v>
      </c>
      <c r="GM1646" s="1" t="s">
        <v>15762</v>
      </c>
    </row>
    <row r="1647" spans="1:195">
      <c r="A1647" s="1">
        <v>76000</v>
      </c>
      <c r="B1647" s="1" t="s">
        <v>195</v>
      </c>
      <c r="C1647" s="1" t="str">
        <f>"08705748"</f>
        <v>08705748</v>
      </c>
      <c r="D1647" s="1" t="s">
        <v>196</v>
      </c>
      <c r="F1647" s="1" t="str">
        <f>"84"</f>
        <v>84</v>
      </c>
      <c r="G1647" s="2">
        <v>41870</v>
      </c>
      <c r="H1647" s="1">
        <v>89900</v>
      </c>
      <c r="I1647" s="1">
        <v>84900</v>
      </c>
      <c r="J1647" s="1">
        <v>76000</v>
      </c>
      <c r="K1647" s="2">
        <v>41870</v>
      </c>
      <c r="L1647" s="1">
        <v>85</v>
      </c>
      <c r="M1647" s="2">
        <v>41954</v>
      </c>
      <c r="N1647" s="1">
        <v>85</v>
      </c>
      <c r="O1647" s="2">
        <v>41954</v>
      </c>
      <c r="P1647" s="1">
        <v>4534</v>
      </c>
      <c r="Q1647" s="1" t="s">
        <v>302</v>
      </c>
      <c r="R1647" s="2">
        <v>42061</v>
      </c>
      <c r="S1647" s="1">
        <v>62746</v>
      </c>
      <c r="U1647" s="1">
        <v>225</v>
      </c>
      <c r="V1647" s="1" t="s">
        <v>14102</v>
      </c>
      <c r="W1647" s="1" t="s">
        <v>449</v>
      </c>
      <c r="X1647" s="1" t="s">
        <v>1000</v>
      </c>
      <c r="Y1647" s="1">
        <v>4</v>
      </c>
      <c r="Z1647" s="1" t="s">
        <v>370</v>
      </c>
      <c r="AA1647" s="1" t="s">
        <v>5871</v>
      </c>
      <c r="AB1647" s="1">
        <v>60084</v>
      </c>
      <c r="AE1647" s="1" t="s">
        <v>15763</v>
      </c>
      <c r="AF1647" s="1">
        <v>1991</v>
      </c>
      <c r="AG1647" s="1" t="s">
        <v>204</v>
      </c>
      <c r="AH1647" s="1" t="s">
        <v>2599</v>
      </c>
      <c r="AI1647" s="1" t="s">
        <v>509</v>
      </c>
      <c r="AJ1647" s="1" t="s">
        <v>2599</v>
      </c>
      <c r="AL1647" s="1">
        <v>5</v>
      </c>
      <c r="AM1647" s="1">
        <v>2</v>
      </c>
      <c r="AN1647" s="1">
        <v>2</v>
      </c>
      <c r="AO1647" s="1">
        <v>0</v>
      </c>
      <c r="AP1647" s="1" t="s">
        <v>209</v>
      </c>
      <c r="AR1647" s="1" t="s">
        <v>210</v>
      </c>
      <c r="AS1647" s="1" t="s">
        <v>204</v>
      </c>
      <c r="AT1647" s="1" t="s">
        <v>211</v>
      </c>
      <c r="AU1647" s="1">
        <v>1</v>
      </c>
      <c r="AW1647" s="1" t="s">
        <v>204</v>
      </c>
      <c r="AX1647" s="1" t="s">
        <v>212</v>
      </c>
      <c r="AZ1647" s="4">
        <v>2583.6999999999998</v>
      </c>
      <c r="BA1647" s="1">
        <v>2013</v>
      </c>
      <c r="BE1647" s="1">
        <v>920</v>
      </c>
      <c r="BF1647" s="1">
        <v>2</v>
      </c>
      <c r="BG1647" s="1">
        <v>2</v>
      </c>
      <c r="BL1647" s="1">
        <v>183</v>
      </c>
      <c r="BM1647" s="1" t="s">
        <v>413</v>
      </c>
      <c r="BN1647" s="1" t="s">
        <v>213</v>
      </c>
      <c r="BO1647" s="1">
        <v>65</v>
      </c>
      <c r="BP1647" s="1" t="s">
        <v>204</v>
      </c>
      <c r="BR1647" s="1" t="str">
        <f>"09254060550000"</f>
        <v>09254060550000</v>
      </c>
      <c r="BT1647" s="1" t="s">
        <v>15764</v>
      </c>
      <c r="BX1647" s="1">
        <v>118</v>
      </c>
      <c r="BY1647" s="1">
        <v>118</v>
      </c>
      <c r="BZ1647" s="1">
        <v>118</v>
      </c>
      <c r="CB1647" s="1" t="str">
        <f>"27"</f>
        <v>27</v>
      </c>
      <c r="CC1647" s="1" t="str">
        <f>""</f>
        <v/>
      </c>
      <c r="CD1647" s="1">
        <v>25</v>
      </c>
      <c r="CG1647" s="1" t="s">
        <v>315</v>
      </c>
      <c r="CH1647" s="1" t="s">
        <v>277</v>
      </c>
      <c r="CK1647" s="1" t="s">
        <v>539</v>
      </c>
      <c r="CL1647" s="1" t="s">
        <v>277</v>
      </c>
      <c r="CO1647" s="1" t="s">
        <v>3284</v>
      </c>
      <c r="CP1647" s="1" t="s">
        <v>277</v>
      </c>
      <c r="CS1647" s="1" t="s">
        <v>346</v>
      </c>
      <c r="CT1647" s="1" t="s">
        <v>277</v>
      </c>
      <c r="CX1647" s="1" t="s">
        <v>224</v>
      </c>
      <c r="DB1647" s="1" t="s">
        <v>224</v>
      </c>
      <c r="DE1647" s="1" t="s">
        <v>3284</v>
      </c>
      <c r="DF1647" s="1" t="s">
        <v>277</v>
      </c>
      <c r="DJ1647" s="1" t="s">
        <v>224</v>
      </c>
      <c r="DS1647" s="1" t="s">
        <v>230</v>
      </c>
      <c r="DW1647" s="1" t="s">
        <v>230</v>
      </c>
      <c r="EA1647" s="1" t="s">
        <v>230</v>
      </c>
      <c r="EE1647" s="1" t="s">
        <v>230</v>
      </c>
      <c r="EI1647" s="1" t="s">
        <v>230</v>
      </c>
      <c r="EL1647" s="1" t="s">
        <v>382</v>
      </c>
      <c r="EM1647" s="1" t="s">
        <v>319</v>
      </c>
      <c r="EN1647" s="1" t="s">
        <v>282</v>
      </c>
      <c r="EO1647" s="1" t="s">
        <v>234</v>
      </c>
      <c r="ER1647" s="1" t="s">
        <v>210</v>
      </c>
      <c r="EW1647" s="1" t="s">
        <v>867</v>
      </c>
      <c r="EZ1647" s="1" t="s">
        <v>287</v>
      </c>
      <c r="FD1647" s="1" t="s">
        <v>246</v>
      </c>
      <c r="FE1647" s="1" t="s">
        <v>1006</v>
      </c>
      <c r="FF1647" s="1" t="s">
        <v>248</v>
      </c>
      <c r="FH1647" s="1" t="s">
        <v>249</v>
      </c>
      <c r="FL1647" s="1" t="s">
        <v>358</v>
      </c>
      <c r="FM1647" s="1" t="s">
        <v>252</v>
      </c>
      <c r="FN1647" s="1" t="s">
        <v>213</v>
      </c>
      <c r="FO1647" s="1" t="s">
        <v>213</v>
      </c>
      <c r="FQ1647" s="1" t="s">
        <v>3616</v>
      </c>
      <c r="FR1647" s="1" t="s">
        <v>360</v>
      </c>
      <c r="FS1647" s="1" t="s">
        <v>15765</v>
      </c>
      <c r="FT1647" s="1" t="s">
        <v>520</v>
      </c>
      <c r="FU1647" s="1" t="s">
        <v>204</v>
      </c>
      <c r="FW1647" s="1" t="s">
        <v>15766</v>
      </c>
      <c r="FX1647" s="1">
        <v>2236</v>
      </c>
      <c r="FY1647" s="1" t="s">
        <v>15767</v>
      </c>
      <c r="FZ1647" s="1" t="s">
        <v>15768</v>
      </c>
      <c r="GA1647" s="1">
        <v>18941</v>
      </c>
      <c r="GB1647" s="1" t="s">
        <v>15769</v>
      </c>
      <c r="GE1647" s="1" t="s">
        <v>210</v>
      </c>
      <c r="GI1647" s="1" t="s">
        <v>204</v>
      </c>
      <c r="GJ1647" s="1" t="s">
        <v>260</v>
      </c>
      <c r="GK1647" s="1" t="s">
        <v>210</v>
      </c>
      <c r="GL1647" s="2">
        <v>42061</v>
      </c>
      <c r="GM1647" s="1" t="s">
        <v>15770</v>
      </c>
    </row>
    <row r="1648" spans="1:195">
      <c r="A1648" s="1">
        <v>105000</v>
      </c>
      <c r="B1648" s="1" t="s">
        <v>195</v>
      </c>
      <c r="C1648" s="1" t="str">
        <f>"08702072"</f>
        <v>08702072</v>
      </c>
      <c r="D1648" s="1" t="s">
        <v>196</v>
      </c>
      <c r="F1648" s="1" t="str">
        <f>"515"</f>
        <v>515</v>
      </c>
      <c r="G1648" s="2">
        <v>41865</v>
      </c>
      <c r="H1648" s="1">
        <v>114900</v>
      </c>
      <c r="I1648" s="1">
        <v>109500</v>
      </c>
      <c r="J1648" s="1">
        <v>105000</v>
      </c>
      <c r="K1648" s="2">
        <v>41865</v>
      </c>
      <c r="L1648" s="1">
        <v>165</v>
      </c>
      <c r="M1648" s="2">
        <v>42029</v>
      </c>
      <c r="N1648" s="1">
        <v>165</v>
      </c>
      <c r="O1648" s="2">
        <v>42029</v>
      </c>
      <c r="P1648" s="1">
        <v>61080</v>
      </c>
      <c r="Q1648" s="1" t="s">
        <v>302</v>
      </c>
      <c r="R1648" s="2">
        <v>42055</v>
      </c>
      <c r="S1648" s="1">
        <v>232902</v>
      </c>
      <c r="U1648" s="1">
        <v>4225</v>
      </c>
      <c r="V1648" s="1" t="s">
        <v>14999</v>
      </c>
      <c r="W1648" s="1" t="s">
        <v>425</v>
      </c>
      <c r="X1648" s="1">
        <v>208</v>
      </c>
      <c r="Y1648" s="1">
        <v>48</v>
      </c>
      <c r="Z1648" s="1" t="s">
        <v>249</v>
      </c>
      <c r="AA1648" s="1" t="s">
        <v>1294</v>
      </c>
      <c r="AB1648" s="1">
        <v>60515</v>
      </c>
      <c r="AD1648" s="1" t="s">
        <v>5753</v>
      </c>
      <c r="AE1648" s="1" t="s">
        <v>15771</v>
      </c>
      <c r="AF1648" s="1">
        <v>1971</v>
      </c>
      <c r="AG1648" s="1" t="s">
        <v>213</v>
      </c>
      <c r="AH1648" s="1" t="s">
        <v>903</v>
      </c>
      <c r="AI1648" s="1" t="s">
        <v>206</v>
      </c>
      <c r="AJ1648" s="1" t="s">
        <v>903</v>
      </c>
      <c r="AL1648" s="1">
        <v>5</v>
      </c>
      <c r="AM1648" s="1">
        <v>2</v>
      </c>
      <c r="AN1648" s="1">
        <v>2</v>
      </c>
      <c r="AO1648" s="1">
        <v>0</v>
      </c>
      <c r="AP1648" s="1" t="s">
        <v>209</v>
      </c>
      <c r="AR1648" s="1" t="s">
        <v>210</v>
      </c>
      <c r="AS1648" s="1" t="s">
        <v>204</v>
      </c>
      <c r="AT1648" s="1" t="s">
        <v>211</v>
      </c>
      <c r="AU1648" s="1">
        <v>1</v>
      </c>
      <c r="AW1648" s="1" t="s">
        <v>204</v>
      </c>
      <c r="AX1648" s="1" t="s">
        <v>212</v>
      </c>
      <c r="AZ1648" s="1">
        <v>1091.56</v>
      </c>
      <c r="BA1648" s="1">
        <v>2013</v>
      </c>
      <c r="BB1648" s="1" t="s">
        <v>405</v>
      </c>
      <c r="BE1648" s="1">
        <v>1045</v>
      </c>
      <c r="BF1648" s="1">
        <v>2</v>
      </c>
      <c r="BG1648" s="1">
        <v>30</v>
      </c>
      <c r="BL1648" s="1">
        <v>444</v>
      </c>
      <c r="BM1648" s="1" t="s">
        <v>204</v>
      </c>
      <c r="BN1648" s="1" t="s">
        <v>213</v>
      </c>
      <c r="BO1648" s="1">
        <v>30</v>
      </c>
      <c r="BP1648" s="1" t="s">
        <v>204</v>
      </c>
      <c r="BR1648" s="1" t="str">
        <f>"0905122073"</f>
        <v>0905122073</v>
      </c>
      <c r="BT1648" s="1" t="s">
        <v>15772</v>
      </c>
      <c r="BU1648" s="1" t="s">
        <v>5757</v>
      </c>
      <c r="BV1648" s="1" t="s">
        <v>2761</v>
      </c>
      <c r="BW1648" s="1" t="s">
        <v>2762</v>
      </c>
      <c r="BX1648" s="1">
        <v>58</v>
      </c>
      <c r="BY1648" s="1">
        <v>58</v>
      </c>
      <c r="BZ1648" s="1">
        <v>99</v>
      </c>
      <c r="CB1648" s="1" t="str">
        <f t="shared" ref="CB1648:CC1648" si="1253">""</f>
        <v/>
      </c>
      <c r="CC1648" s="1" t="str">
        <f t="shared" si="1253"/>
        <v/>
      </c>
      <c r="CG1648" s="1" t="s">
        <v>1200</v>
      </c>
      <c r="CH1648" s="1" t="s">
        <v>219</v>
      </c>
      <c r="CK1648" s="1" t="s">
        <v>564</v>
      </c>
      <c r="CL1648" s="1" t="s">
        <v>219</v>
      </c>
      <c r="CO1648" s="1" t="s">
        <v>346</v>
      </c>
      <c r="CP1648" s="1" t="s">
        <v>219</v>
      </c>
      <c r="CS1648" s="1" t="s">
        <v>317</v>
      </c>
      <c r="CT1648" s="1" t="s">
        <v>219</v>
      </c>
      <c r="CX1648" s="1" t="s">
        <v>224</v>
      </c>
      <c r="DB1648" s="1" t="s">
        <v>224</v>
      </c>
      <c r="DE1648" s="1" t="s">
        <v>972</v>
      </c>
      <c r="DF1648" s="1" t="s">
        <v>219</v>
      </c>
      <c r="DJ1648" s="1" t="s">
        <v>224</v>
      </c>
      <c r="DM1648" s="1" t="s">
        <v>709</v>
      </c>
      <c r="DN1648" s="1" t="s">
        <v>838</v>
      </c>
      <c r="DR1648" s="1" t="s">
        <v>2451</v>
      </c>
      <c r="DS1648" s="1" t="s">
        <v>219</v>
      </c>
      <c r="DV1648" s="1" t="s">
        <v>1773</v>
      </c>
      <c r="DW1648" s="1" t="s">
        <v>219</v>
      </c>
      <c r="EA1648" s="1" t="s">
        <v>230</v>
      </c>
      <c r="EE1648" s="1" t="s">
        <v>230</v>
      </c>
      <c r="EI1648" s="1" t="s">
        <v>230</v>
      </c>
      <c r="EL1648" s="1" t="s">
        <v>605</v>
      </c>
      <c r="EM1648" s="1" t="s">
        <v>232</v>
      </c>
      <c r="EN1648" s="1" t="s">
        <v>1158</v>
      </c>
      <c r="EO1648" s="1" t="s">
        <v>234</v>
      </c>
      <c r="EP1648" s="1" t="s">
        <v>15773</v>
      </c>
      <c r="EQ1648" s="1" t="s">
        <v>1109</v>
      </c>
      <c r="ER1648" s="1" t="s">
        <v>210</v>
      </c>
      <c r="ES1648" s="1" t="s">
        <v>824</v>
      </c>
      <c r="EU1648" s="1" t="s">
        <v>1517</v>
      </c>
      <c r="EV1648" s="1" t="s">
        <v>240</v>
      </c>
      <c r="EW1648" s="1" t="s">
        <v>15774</v>
      </c>
      <c r="EZ1648" s="1" t="s">
        <v>3826</v>
      </c>
      <c r="FB1648" s="1" t="s">
        <v>289</v>
      </c>
      <c r="FD1648" s="1" t="s">
        <v>290</v>
      </c>
      <c r="FE1648" s="1" t="s">
        <v>247</v>
      </c>
      <c r="FF1648" s="1" t="s">
        <v>248</v>
      </c>
      <c r="FH1648" s="1" t="s">
        <v>1942</v>
      </c>
      <c r="FI1648" s="1" t="s">
        <v>250</v>
      </c>
      <c r="FJ1648" s="1" t="s">
        <v>197</v>
      </c>
      <c r="FL1648" s="1" t="s">
        <v>6699</v>
      </c>
      <c r="FM1648" s="1" t="s">
        <v>252</v>
      </c>
      <c r="FN1648" s="1" t="s">
        <v>213</v>
      </c>
      <c r="FO1648" s="1" t="s">
        <v>213</v>
      </c>
      <c r="FQ1648" s="1" t="s">
        <v>3616</v>
      </c>
      <c r="FR1648" s="1" t="s">
        <v>210</v>
      </c>
      <c r="FS1648" s="1" t="s">
        <v>2483</v>
      </c>
      <c r="FT1648" s="1" t="s">
        <v>295</v>
      </c>
      <c r="FU1648" s="1" t="s">
        <v>204</v>
      </c>
      <c r="FW1648" s="1" t="s">
        <v>3116</v>
      </c>
      <c r="FX1648" s="1">
        <v>21823</v>
      </c>
      <c r="FY1648" s="1" t="s">
        <v>3117</v>
      </c>
      <c r="FZ1648" s="1" t="s">
        <v>15775</v>
      </c>
      <c r="GA1648" s="1">
        <v>225187</v>
      </c>
      <c r="GB1648" s="1" t="s">
        <v>15776</v>
      </c>
      <c r="GE1648" s="1" t="s">
        <v>1379</v>
      </c>
      <c r="GI1648" s="1" t="s">
        <v>213</v>
      </c>
      <c r="GJ1648" s="1" t="s">
        <v>260</v>
      </c>
      <c r="GK1648" s="1" t="s">
        <v>210</v>
      </c>
      <c r="GL1648" s="2">
        <v>42056</v>
      </c>
      <c r="GM1648" s="1" t="s">
        <v>15777</v>
      </c>
    </row>
    <row r="1649" spans="1:195">
      <c r="A1649" s="1">
        <v>178500</v>
      </c>
      <c r="B1649" s="1" t="s">
        <v>195</v>
      </c>
      <c r="C1649" s="1" t="str">
        <f>"08700647"</f>
        <v>08700647</v>
      </c>
      <c r="D1649" s="1" t="s">
        <v>196</v>
      </c>
      <c r="F1649" s="1" t="str">
        <f>"562"</f>
        <v>562</v>
      </c>
      <c r="G1649" s="2">
        <v>41864</v>
      </c>
      <c r="H1649" s="1">
        <v>195000</v>
      </c>
      <c r="I1649" s="1">
        <v>179900</v>
      </c>
      <c r="J1649" s="1">
        <v>178500</v>
      </c>
      <c r="K1649" s="2">
        <v>41864</v>
      </c>
      <c r="L1649" s="1">
        <v>124</v>
      </c>
      <c r="M1649" s="2">
        <v>41987</v>
      </c>
      <c r="N1649" s="1">
        <v>124</v>
      </c>
      <c r="O1649" s="2">
        <v>41987</v>
      </c>
      <c r="P1649" s="1">
        <v>20001</v>
      </c>
      <c r="Q1649" s="1" t="s">
        <v>197</v>
      </c>
      <c r="R1649" s="2">
        <v>42041</v>
      </c>
      <c r="S1649" s="1">
        <v>242366</v>
      </c>
      <c r="T1649" s="1">
        <v>2300</v>
      </c>
      <c r="U1649" s="1">
        <v>8316</v>
      </c>
      <c r="V1649" s="1" t="s">
        <v>15586</v>
      </c>
      <c r="W1649" s="1" t="s">
        <v>449</v>
      </c>
      <c r="X1649" s="1" t="s">
        <v>1688</v>
      </c>
      <c r="Y1649" s="1">
        <v>7</v>
      </c>
      <c r="Z1649" s="1" t="s">
        <v>370</v>
      </c>
      <c r="AA1649" s="1" t="s">
        <v>899</v>
      </c>
      <c r="AB1649" s="1">
        <v>60561</v>
      </c>
      <c r="AD1649" s="1" t="s">
        <v>15778</v>
      </c>
      <c r="AE1649" s="1" t="s">
        <v>15779</v>
      </c>
      <c r="AF1649" s="1">
        <v>1989</v>
      </c>
      <c r="AG1649" s="1" t="s">
        <v>204</v>
      </c>
      <c r="AH1649" s="1" t="s">
        <v>902</v>
      </c>
      <c r="AI1649" s="1" t="s">
        <v>206</v>
      </c>
      <c r="AJ1649" s="1" t="s">
        <v>903</v>
      </c>
      <c r="AK1649" s="1" t="s">
        <v>15780</v>
      </c>
      <c r="AL1649" s="1">
        <v>7</v>
      </c>
      <c r="AM1649" s="1">
        <v>2</v>
      </c>
      <c r="AN1649" s="1">
        <v>2</v>
      </c>
      <c r="AO1649" s="1">
        <v>1</v>
      </c>
      <c r="AP1649" s="1" t="s">
        <v>209</v>
      </c>
      <c r="AQ1649" s="1">
        <v>1</v>
      </c>
      <c r="AR1649" s="1" t="s">
        <v>210</v>
      </c>
      <c r="AT1649" s="1" t="s">
        <v>211</v>
      </c>
      <c r="AU1649" s="1">
        <v>2</v>
      </c>
      <c r="AW1649" s="1" t="s">
        <v>204</v>
      </c>
      <c r="AX1649" s="1" t="s">
        <v>15781</v>
      </c>
      <c r="AZ1649" s="1">
        <v>2169</v>
      </c>
      <c r="BA1649" s="1">
        <v>2013</v>
      </c>
      <c r="BE1649" s="1">
        <v>1524</v>
      </c>
      <c r="BF1649" s="1">
        <v>1</v>
      </c>
      <c r="BG1649" s="1">
        <v>0</v>
      </c>
      <c r="BL1649" s="1">
        <v>216</v>
      </c>
      <c r="BM1649" s="1" t="s">
        <v>204</v>
      </c>
      <c r="BN1649" s="1" t="s">
        <v>213</v>
      </c>
      <c r="BO1649" s="1">
        <v>30</v>
      </c>
      <c r="BP1649" s="1" t="s">
        <v>204</v>
      </c>
      <c r="BR1649" s="1" t="str">
        <f>"0934410010"</f>
        <v>0934410010</v>
      </c>
      <c r="BT1649" s="1" t="s">
        <v>15782</v>
      </c>
      <c r="BU1649" s="1" t="s">
        <v>2882</v>
      </c>
      <c r="BV1649" s="1" t="s">
        <v>2883</v>
      </c>
      <c r="BW1649" s="1" t="s">
        <v>907</v>
      </c>
      <c r="BX1649" s="1">
        <v>63</v>
      </c>
      <c r="BY1649" s="1">
        <v>63</v>
      </c>
      <c r="BZ1649" s="1">
        <v>86</v>
      </c>
      <c r="CB1649" s="1" t="str">
        <f t="shared" ref="CB1649:CC1649" si="1254">""</f>
        <v/>
      </c>
      <c r="CC1649" s="1" t="str">
        <f t="shared" si="1254"/>
        <v/>
      </c>
      <c r="CG1649" s="1" t="s">
        <v>315</v>
      </c>
      <c r="CH1649" s="1" t="s">
        <v>219</v>
      </c>
      <c r="CI1649" s="1" t="s">
        <v>220</v>
      </c>
      <c r="CJ1649" s="1" t="s">
        <v>343</v>
      </c>
      <c r="CK1649" s="1" t="s">
        <v>729</v>
      </c>
      <c r="CL1649" s="1" t="s">
        <v>277</v>
      </c>
      <c r="CM1649" s="1" t="s">
        <v>220</v>
      </c>
      <c r="CN1649" s="1" t="s">
        <v>343</v>
      </c>
      <c r="CO1649" s="1" t="s">
        <v>348</v>
      </c>
      <c r="CP1649" s="1" t="s">
        <v>219</v>
      </c>
      <c r="CQ1649" s="1" t="s">
        <v>220</v>
      </c>
      <c r="CR1649" s="1" t="s">
        <v>343</v>
      </c>
      <c r="CS1649" s="1" t="s">
        <v>317</v>
      </c>
      <c r="CT1649" s="1" t="s">
        <v>277</v>
      </c>
      <c r="CU1649" s="1" t="s">
        <v>220</v>
      </c>
      <c r="CX1649" s="1" t="s">
        <v>224</v>
      </c>
      <c r="DB1649" s="1" t="s">
        <v>224</v>
      </c>
      <c r="DE1649" s="1" t="s">
        <v>6174</v>
      </c>
      <c r="DF1649" s="1" t="s">
        <v>219</v>
      </c>
      <c r="DG1649" s="1" t="s">
        <v>438</v>
      </c>
      <c r="DJ1649" s="1" t="s">
        <v>224</v>
      </c>
      <c r="DM1649" s="1" t="s">
        <v>1548</v>
      </c>
      <c r="DN1649" s="1" t="s">
        <v>464</v>
      </c>
      <c r="DR1649" s="1" t="s">
        <v>6174</v>
      </c>
      <c r="DS1649" s="1" t="s">
        <v>219</v>
      </c>
      <c r="DT1649" s="1" t="s">
        <v>438</v>
      </c>
      <c r="DU1649" s="1" t="s">
        <v>343</v>
      </c>
      <c r="DV1649" s="1" t="s">
        <v>1046</v>
      </c>
      <c r="DW1649" s="1" t="s">
        <v>277</v>
      </c>
      <c r="DX1649" s="1" t="s">
        <v>220</v>
      </c>
      <c r="EA1649" s="1" t="s">
        <v>230</v>
      </c>
      <c r="EE1649" s="1" t="s">
        <v>230</v>
      </c>
      <c r="EI1649" s="1" t="s">
        <v>230</v>
      </c>
      <c r="EL1649" s="1" t="s">
        <v>382</v>
      </c>
      <c r="EM1649" s="1" t="s">
        <v>232</v>
      </c>
      <c r="EN1649" s="1" t="s">
        <v>282</v>
      </c>
      <c r="EO1649" s="1" t="s">
        <v>234</v>
      </c>
      <c r="EQ1649" s="1" t="s">
        <v>1094</v>
      </c>
      <c r="ER1649" s="1" t="s">
        <v>210</v>
      </c>
      <c r="ET1649" s="1" t="s">
        <v>1404</v>
      </c>
      <c r="EV1649" s="1" t="s">
        <v>352</v>
      </c>
      <c r="EW1649" s="1" t="s">
        <v>1250</v>
      </c>
      <c r="EZ1649" s="1" t="s">
        <v>3544</v>
      </c>
      <c r="FB1649" s="1" t="s">
        <v>289</v>
      </c>
      <c r="FD1649" s="1" t="s">
        <v>246</v>
      </c>
      <c r="FE1649" s="1" t="s">
        <v>355</v>
      </c>
      <c r="FF1649" s="1" t="s">
        <v>248</v>
      </c>
      <c r="FH1649" s="1" t="s">
        <v>550</v>
      </c>
      <c r="FI1649" s="1" t="s">
        <v>473</v>
      </c>
      <c r="FJ1649" s="1" t="s">
        <v>197</v>
      </c>
      <c r="FL1649" s="1" t="s">
        <v>358</v>
      </c>
      <c r="FM1649" s="1" t="s">
        <v>252</v>
      </c>
      <c r="FN1649" s="1" t="s">
        <v>213</v>
      </c>
      <c r="FO1649" s="1" t="s">
        <v>213</v>
      </c>
      <c r="FQ1649" s="1" t="s">
        <v>2253</v>
      </c>
      <c r="FR1649" s="1" t="s">
        <v>210</v>
      </c>
      <c r="FS1649" s="1" t="s">
        <v>15783</v>
      </c>
      <c r="FT1649" s="1" t="s">
        <v>691</v>
      </c>
      <c r="FU1649" s="1" t="s">
        <v>204</v>
      </c>
      <c r="FW1649" s="1" t="s">
        <v>2144</v>
      </c>
      <c r="FX1649" s="1">
        <v>23163</v>
      </c>
      <c r="FY1649" s="1" t="s">
        <v>2145</v>
      </c>
      <c r="FZ1649" s="1" t="s">
        <v>15784</v>
      </c>
      <c r="GA1649" s="1">
        <v>222060</v>
      </c>
      <c r="GB1649" s="1" t="s">
        <v>15785</v>
      </c>
      <c r="GE1649" s="1" t="s">
        <v>480</v>
      </c>
      <c r="GI1649" s="1" t="s">
        <v>213</v>
      </c>
      <c r="GJ1649" s="1" t="s">
        <v>260</v>
      </c>
      <c r="GK1649" s="1" t="s">
        <v>210</v>
      </c>
      <c r="GL1649" s="2">
        <v>42041</v>
      </c>
      <c r="GM1649" s="1" t="s">
        <v>15786</v>
      </c>
    </row>
    <row r="1650" spans="1:195">
      <c r="A1650" s="1">
        <v>33000</v>
      </c>
      <c r="B1650" s="1" t="s">
        <v>195</v>
      </c>
      <c r="C1650" s="1" t="str">
        <f>"08699999"</f>
        <v>08699999</v>
      </c>
      <c r="D1650" s="1" t="s">
        <v>196</v>
      </c>
      <c r="F1650" s="1" t="str">
        <f>"2104"</f>
        <v>2104</v>
      </c>
      <c r="G1650" s="2">
        <v>41863</v>
      </c>
      <c r="H1650" s="1">
        <v>49900</v>
      </c>
      <c r="I1650" s="1">
        <v>44900</v>
      </c>
      <c r="J1650" s="1">
        <v>33000</v>
      </c>
      <c r="K1650" s="2">
        <v>41862</v>
      </c>
      <c r="L1650" s="1">
        <v>116</v>
      </c>
      <c r="M1650" s="2">
        <v>41977</v>
      </c>
      <c r="N1650" s="1">
        <v>116</v>
      </c>
      <c r="O1650" s="2">
        <v>41977</v>
      </c>
      <c r="P1650" s="1">
        <v>84770</v>
      </c>
      <c r="Q1650" s="1" t="s">
        <v>302</v>
      </c>
      <c r="R1650" s="2">
        <v>42002</v>
      </c>
      <c r="S1650" s="1">
        <v>124729</v>
      </c>
      <c r="U1650" s="1">
        <v>1105</v>
      </c>
      <c r="V1650" s="1" t="s">
        <v>3029</v>
      </c>
      <c r="W1650" s="1" t="s">
        <v>425</v>
      </c>
      <c r="X1650" s="1" t="s">
        <v>800</v>
      </c>
      <c r="Y1650" s="1">
        <v>6</v>
      </c>
      <c r="Z1650" s="1" t="s">
        <v>249</v>
      </c>
      <c r="AA1650" s="1" t="s">
        <v>3029</v>
      </c>
      <c r="AB1650" s="1">
        <v>60104</v>
      </c>
      <c r="AE1650" s="1" t="s">
        <v>10285</v>
      </c>
      <c r="AF1650" s="1">
        <v>1954</v>
      </c>
      <c r="AG1650" s="1" t="s">
        <v>213</v>
      </c>
      <c r="AH1650" s="1" t="s">
        <v>3031</v>
      </c>
      <c r="AI1650" s="1" t="s">
        <v>310</v>
      </c>
      <c r="AJ1650" s="1" t="s">
        <v>429</v>
      </c>
      <c r="AL1650" s="1">
        <v>6</v>
      </c>
      <c r="AM1650" s="1">
        <v>2</v>
      </c>
      <c r="AN1650" s="1">
        <v>1</v>
      </c>
      <c r="AO1650" s="1">
        <v>0</v>
      </c>
      <c r="AP1650" s="1" t="s">
        <v>210</v>
      </c>
      <c r="AR1650" s="1" t="s">
        <v>209</v>
      </c>
      <c r="AS1650" s="1" t="s">
        <v>204</v>
      </c>
      <c r="AT1650" s="1" t="s">
        <v>210</v>
      </c>
      <c r="AW1650" s="1" t="s">
        <v>204</v>
      </c>
      <c r="AX1650" s="1" t="s">
        <v>212</v>
      </c>
      <c r="AZ1650" s="1">
        <v>2749</v>
      </c>
      <c r="BA1650" s="1">
        <v>2012</v>
      </c>
      <c r="BE1650" s="1">
        <v>0</v>
      </c>
      <c r="BF1650" s="1">
        <v>1</v>
      </c>
      <c r="BG1650" s="1">
        <v>0</v>
      </c>
      <c r="BL1650" s="1">
        <v>0</v>
      </c>
      <c r="BM1650" s="1" t="s">
        <v>413</v>
      </c>
      <c r="BN1650" s="1" t="s">
        <v>213</v>
      </c>
      <c r="BO1650" s="1">
        <v>0</v>
      </c>
      <c r="BP1650" s="1" t="s">
        <v>204</v>
      </c>
      <c r="BR1650" s="1" t="str">
        <f>"15161240610000"</f>
        <v>15161240610000</v>
      </c>
      <c r="BT1650" s="1" t="s">
        <v>15787</v>
      </c>
      <c r="BX1650" s="1">
        <v>88</v>
      </c>
      <c r="BY1650" s="1">
        <v>88</v>
      </c>
      <c r="BZ1650" s="1">
        <v>209</v>
      </c>
      <c r="CB1650" s="1" t="str">
        <f t="shared" ref="CB1650:CC1650" si="1255">"0"</f>
        <v>0</v>
      </c>
      <c r="CC1650" s="1" t="str">
        <f t="shared" si="1255"/>
        <v>0</v>
      </c>
      <c r="CD1650" s="1">
        <v>0</v>
      </c>
      <c r="CE1650" s="1">
        <v>0</v>
      </c>
      <c r="CG1650" s="1" t="s">
        <v>437</v>
      </c>
      <c r="CH1650" s="1" t="s">
        <v>219</v>
      </c>
      <c r="CI1650" s="1" t="s">
        <v>438</v>
      </c>
      <c r="CK1650" s="1" t="s">
        <v>461</v>
      </c>
      <c r="CL1650" s="1" t="s">
        <v>277</v>
      </c>
      <c r="CM1650" s="1" t="s">
        <v>438</v>
      </c>
      <c r="CO1650" s="1" t="s">
        <v>951</v>
      </c>
      <c r="CP1650" s="1" t="s">
        <v>219</v>
      </c>
      <c r="CQ1650" s="1" t="s">
        <v>342</v>
      </c>
      <c r="CS1650" s="1" t="s">
        <v>837</v>
      </c>
      <c r="CT1650" s="1" t="s">
        <v>277</v>
      </c>
      <c r="CU1650" s="1" t="s">
        <v>438</v>
      </c>
      <c r="CX1650" s="1" t="s">
        <v>224</v>
      </c>
      <c r="DB1650" s="1" t="s">
        <v>224</v>
      </c>
      <c r="DE1650" s="1" t="s">
        <v>951</v>
      </c>
      <c r="DF1650" s="1" t="s">
        <v>219</v>
      </c>
      <c r="DG1650" s="1" t="s">
        <v>342</v>
      </c>
      <c r="DI1650" s="1" t="s">
        <v>2170</v>
      </c>
      <c r="DJ1650" s="1" t="s">
        <v>822</v>
      </c>
      <c r="DM1650" s="1" t="s">
        <v>2278</v>
      </c>
      <c r="DR1650" s="1" t="s">
        <v>3083</v>
      </c>
      <c r="DS1650" s="1" t="s">
        <v>822</v>
      </c>
      <c r="DW1650" s="1" t="s">
        <v>230</v>
      </c>
      <c r="EA1650" s="1" t="s">
        <v>230</v>
      </c>
      <c r="EE1650" s="1" t="s">
        <v>230</v>
      </c>
      <c r="EI1650" s="1" t="s">
        <v>230</v>
      </c>
      <c r="EL1650" s="1" t="s">
        <v>649</v>
      </c>
      <c r="EM1650" s="1" t="s">
        <v>761</v>
      </c>
      <c r="EN1650" s="1" t="s">
        <v>282</v>
      </c>
      <c r="EO1650" s="1" t="s">
        <v>234</v>
      </c>
      <c r="ER1650" s="1" t="s">
        <v>351</v>
      </c>
      <c r="EV1650" s="1" t="s">
        <v>324</v>
      </c>
      <c r="EW1650" s="1" t="s">
        <v>210</v>
      </c>
      <c r="EZ1650" s="1" t="s">
        <v>2278</v>
      </c>
      <c r="FD1650" s="1" t="s">
        <v>246</v>
      </c>
      <c r="FE1650" s="1" t="s">
        <v>247</v>
      </c>
      <c r="FF1650" s="1" t="s">
        <v>248</v>
      </c>
      <c r="FH1650" s="1" t="s">
        <v>550</v>
      </c>
      <c r="FL1650" s="1" t="s">
        <v>358</v>
      </c>
      <c r="FM1650" s="1" t="s">
        <v>252</v>
      </c>
      <c r="FN1650" s="1" t="s">
        <v>213</v>
      </c>
      <c r="FO1650" s="1" t="s">
        <v>213</v>
      </c>
      <c r="FQ1650" s="1" t="s">
        <v>849</v>
      </c>
      <c r="FR1650" s="1" t="s">
        <v>210</v>
      </c>
      <c r="FS1650" s="1" t="s">
        <v>653</v>
      </c>
      <c r="FT1650" s="1" t="s">
        <v>295</v>
      </c>
      <c r="FU1650" s="1" t="s">
        <v>204</v>
      </c>
      <c r="FW1650" s="1" t="s">
        <v>655</v>
      </c>
      <c r="FX1650" s="1">
        <v>10841</v>
      </c>
      <c r="FY1650" s="1" t="s">
        <v>656</v>
      </c>
      <c r="FZ1650" s="1" t="s">
        <v>657</v>
      </c>
      <c r="GA1650" s="1">
        <v>109860</v>
      </c>
      <c r="GB1650" s="1" t="s">
        <v>656</v>
      </c>
      <c r="GE1650" s="1" t="s">
        <v>210</v>
      </c>
      <c r="GI1650" s="1" t="s">
        <v>213</v>
      </c>
      <c r="GJ1650" s="1" t="s">
        <v>260</v>
      </c>
      <c r="GK1650" s="1" t="s">
        <v>210</v>
      </c>
      <c r="GL1650" s="2">
        <v>42003</v>
      </c>
      <c r="GM1650" s="1" t="s">
        <v>15788</v>
      </c>
    </row>
    <row r="1651" spans="1:195">
      <c r="A1651" s="1">
        <v>77500</v>
      </c>
      <c r="B1651" s="1" t="s">
        <v>195</v>
      </c>
      <c r="C1651" s="1" t="str">
        <f>"08700541"</f>
        <v>08700541</v>
      </c>
      <c r="D1651" s="1" t="s">
        <v>196</v>
      </c>
      <c r="F1651" s="1" t="str">
        <f>"60"</f>
        <v>60</v>
      </c>
      <c r="G1651" s="2">
        <v>41864</v>
      </c>
      <c r="H1651" s="1">
        <v>78900</v>
      </c>
      <c r="I1651" s="1">
        <v>78900</v>
      </c>
      <c r="J1651" s="1">
        <v>77500</v>
      </c>
      <c r="K1651" s="2">
        <v>41864</v>
      </c>
      <c r="L1651" s="1">
        <v>51</v>
      </c>
      <c r="M1651" s="2">
        <v>41914</v>
      </c>
      <c r="N1651" s="1">
        <v>51</v>
      </c>
      <c r="O1651" s="2">
        <v>41914</v>
      </c>
      <c r="P1651" s="1">
        <v>2512</v>
      </c>
      <c r="Q1651" s="1" t="s">
        <v>197</v>
      </c>
      <c r="R1651" s="2">
        <v>41969</v>
      </c>
      <c r="S1651" s="1">
        <v>20337</v>
      </c>
      <c r="T1651" s="1">
        <v>2325</v>
      </c>
      <c r="U1651" s="1">
        <v>40</v>
      </c>
      <c r="V1651" s="1" t="s">
        <v>3963</v>
      </c>
      <c r="W1651" s="1" t="s">
        <v>425</v>
      </c>
      <c r="X1651" s="1">
        <v>40</v>
      </c>
      <c r="Y1651" s="1">
        <v>8</v>
      </c>
      <c r="Z1651" s="1" t="s">
        <v>370</v>
      </c>
      <c r="AA1651" s="1" t="s">
        <v>1689</v>
      </c>
      <c r="AB1651" s="1">
        <v>60060</v>
      </c>
      <c r="AE1651" s="1" t="s">
        <v>15789</v>
      </c>
      <c r="AF1651" s="1">
        <v>1978</v>
      </c>
      <c r="AG1651" s="1" t="s">
        <v>204</v>
      </c>
      <c r="AH1651" s="1" t="s">
        <v>1692</v>
      </c>
      <c r="AI1651" s="1" t="s">
        <v>509</v>
      </c>
      <c r="AJ1651" s="1" t="s">
        <v>9736</v>
      </c>
      <c r="AL1651" s="1">
        <v>5</v>
      </c>
      <c r="AM1651" s="1">
        <v>2</v>
      </c>
      <c r="AN1651" s="1">
        <v>2</v>
      </c>
      <c r="AO1651" s="1">
        <v>0</v>
      </c>
      <c r="AP1651" s="1" t="s">
        <v>209</v>
      </c>
      <c r="AQ1651" s="1">
        <v>1</v>
      </c>
      <c r="AR1651" s="1" t="s">
        <v>210</v>
      </c>
      <c r="AS1651" s="1" t="s">
        <v>204</v>
      </c>
      <c r="AT1651" s="1" t="s">
        <v>211</v>
      </c>
      <c r="AU1651" s="1">
        <v>1</v>
      </c>
      <c r="AW1651" s="1" t="s">
        <v>204</v>
      </c>
      <c r="AX1651" s="1" t="s">
        <v>212</v>
      </c>
      <c r="AZ1651" s="1">
        <v>3588</v>
      </c>
      <c r="BA1651" s="1">
        <v>2012</v>
      </c>
      <c r="BE1651" s="1">
        <v>1025</v>
      </c>
      <c r="BF1651" s="1">
        <v>2</v>
      </c>
      <c r="BG1651" s="1">
        <v>0</v>
      </c>
      <c r="BL1651" s="1">
        <v>135</v>
      </c>
      <c r="BM1651" s="1" t="s">
        <v>204</v>
      </c>
      <c r="BN1651" s="1" t="s">
        <v>213</v>
      </c>
      <c r="BO1651" s="1">
        <v>999</v>
      </c>
      <c r="BP1651" s="1" t="s">
        <v>204</v>
      </c>
      <c r="BR1651" s="1" t="str">
        <f>"10244050590000"</f>
        <v>10244050590000</v>
      </c>
      <c r="BT1651" s="1" t="s">
        <v>15790</v>
      </c>
      <c r="BX1651" s="1">
        <v>75</v>
      </c>
      <c r="BY1651" s="1">
        <v>75</v>
      </c>
      <c r="BZ1651" s="1">
        <v>120</v>
      </c>
      <c r="CB1651" s="1" t="str">
        <f t="shared" ref="CB1651:CC1651" si="1256">""</f>
        <v/>
      </c>
      <c r="CC1651" s="1" t="str">
        <f t="shared" si="1256"/>
        <v/>
      </c>
      <c r="CG1651" s="1" t="s">
        <v>862</v>
      </c>
      <c r="CH1651" s="1" t="s">
        <v>277</v>
      </c>
      <c r="CK1651" s="1" t="s">
        <v>437</v>
      </c>
      <c r="CL1651" s="1" t="s">
        <v>277</v>
      </c>
      <c r="CO1651" s="1" t="s">
        <v>346</v>
      </c>
      <c r="CP1651" s="1" t="s">
        <v>277</v>
      </c>
      <c r="CS1651" s="1" t="s">
        <v>317</v>
      </c>
      <c r="CT1651" s="1" t="s">
        <v>277</v>
      </c>
      <c r="CX1651" s="1" t="s">
        <v>224</v>
      </c>
      <c r="DB1651" s="1" t="s">
        <v>224</v>
      </c>
      <c r="DE1651" s="1" t="s">
        <v>346</v>
      </c>
      <c r="DF1651" s="1" t="s">
        <v>277</v>
      </c>
      <c r="DJ1651" s="1" t="s">
        <v>224</v>
      </c>
      <c r="DS1651" s="1" t="s">
        <v>230</v>
      </c>
      <c r="DW1651" s="1" t="s">
        <v>230</v>
      </c>
      <c r="EA1651" s="1" t="s">
        <v>230</v>
      </c>
      <c r="EE1651" s="1" t="s">
        <v>230</v>
      </c>
      <c r="EI1651" s="1" t="s">
        <v>230</v>
      </c>
      <c r="EL1651" s="1" t="s">
        <v>231</v>
      </c>
      <c r="EM1651" s="1" t="s">
        <v>232</v>
      </c>
      <c r="EN1651" s="1" t="s">
        <v>282</v>
      </c>
      <c r="EO1651" s="1" t="s">
        <v>234</v>
      </c>
      <c r="ER1651" s="1" t="s">
        <v>210</v>
      </c>
      <c r="EU1651" s="1" t="s">
        <v>239</v>
      </c>
      <c r="EW1651" s="1" t="s">
        <v>937</v>
      </c>
      <c r="EZ1651" s="1" t="s">
        <v>287</v>
      </c>
      <c r="FB1651" s="1" t="s">
        <v>289</v>
      </c>
      <c r="FD1651" s="1" t="s">
        <v>246</v>
      </c>
      <c r="FE1651" s="1" t="s">
        <v>247</v>
      </c>
      <c r="FF1651" s="1" t="s">
        <v>248</v>
      </c>
      <c r="FH1651" s="1" t="s">
        <v>249</v>
      </c>
      <c r="FL1651" s="1" t="s">
        <v>358</v>
      </c>
      <c r="FM1651" s="1" t="s">
        <v>252</v>
      </c>
      <c r="FN1651" s="1" t="s">
        <v>213</v>
      </c>
      <c r="FO1651" s="1" t="s">
        <v>213</v>
      </c>
      <c r="FQ1651" s="1" t="s">
        <v>582</v>
      </c>
      <c r="FR1651" s="1" t="s">
        <v>210</v>
      </c>
      <c r="FS1651" s="1" t="s">
        <v>1805</v>
      </c>
      <c r="FT1651" s="1" t="s">
        <v>584</v>
      </c>
      <c r="FU1651" s="1" t="s">
        <v>204</v>
      </c>
      <c r="FW1651" s="1" t="s">
        <v>1806</v>
      </c>
      <c r="FX1651" s="1">
        <v>25196</v>
      </c>
      <c r="FY1651" s="1" t="s">
        <v>1807</v>
      </c>
      <c r="FZ1651" s="1" t="s">
        <v>1808</v>
      </c>
      <c r="GA1651" s="1">
        <v>214545</v>
      </c>
      <c r="GB1651" s="1" t="s">
        <v>1807</v>
      </c>
      <c r="GC1651" s="1">
        <v>240114</v>
      </c>
      <c r="GE1651" s="1" t="s">
        <v>480</v>
      </c>
      <c r="GH1651" s="1" t="s">
        <v>589</v>
      </c>
      <c r="GI1651" s="1" t="s">
        <v>213</v>
      </c>
      <c r="GJ1651" s="1" t="s">
        <v>260</v>
      </c>
      <c r="GK1651" s="1" t="s">
        <v>210</v>
      </c>
      <c r="GL1651" s="2">
        <v>41969</v>
      </c>
      <c r="GM1651" s="1" t="s">
        <v>15791</v>
      </c>
    </row>
    <row r="1652" spans="1:195">
      <c r="A1652" s="1">
        <v>215000</v>
      </c>
      <c r="B1652" s="1" t="s">
        <v>195</v>
      </c>
      <c r="C1652" s="1" t="str">
        <f>"08701233"</f>
        <v>08701233</v>
      </c>
      <c r="D1652" s="1" t="s">
        <v>196</v>
      </c>
      <c r="F1652" s="1" t="str">
        <f>"61"</f>
        <v>61</v>
      </c>
      <c r="G1652" s="2">
        <v>41865</v>
      </c>
      <c r="H1652" s="1">
        <v>229000</v>
      </c>
      <c r="I1652" s="1">
        <v>229000</v>
      </c>
      <c r="J1652" s="1">
        <v>215000</v>
      </c>
      <c r="K1652" s="2">
        <v>41865</v>
      </c>
      <c r="L1652" s="1">
        <v>95</v>
      </c>
      <c r="M1652" s="2">
        <v>41959</v>
      </c>
      <c r="N1652" s="1">
        <v>95</v>
      </c>
      <c r="O1652" s="2">
        <v>41959</v>
      </c>
      <c r="P1652" s="1">
        <v>25040</v>
      </c>
      <c r="Q1652" s="1" t="s">
        <v>302</v>
      </c>
      <c r="R1652" s="2">
        <v>41989</v>
      </c>
      <c r="S1652" s="1">
        <v>922670</v>
      </c>
      <c r="U1652" s="1">
        <v>334</v>
      </c>
      <c r="V1652" s="1" t="s">
        <v>15792</v>
      </c>
      <c r="W1652" s="1" t="s">
        <v>304</v>
      </c>
      <c r="X1652" s="1">
        <v>334</v>
      </c>
      <c r="Y1652" s="1">
        <v>5</v>
      </c>
      <c r="Z1652" s="1" t="s">
        <v>249</v>
      </c>
      <c r="AA1652" s="1" t="s">
        <v>505</v>
      </c>
      <c r="AB1652" s="1">
        <v>60061</v>
      </c>
      <c r="AD1652" s="1" t="s">
        <v>15793</v>
      </c>
      <c r="AE1652" s="1" t="s">
        <v>15794</v>
      </c>
      <c r="AF1652" s="1">
        <v>1996</v>
      </c>
      <c r="AG1652" s="1" t="s">
        <v>204</v>
      </c>
      <c r="AH1652" s="1" t="s">
        <v>508</v>
      </c>
      <c r="AI1652" s="1" t="s">
        <v>509</v>
      </c>
      <c r="AJ1652" s="1" t="s">
        <v>510</v>
      </c>
      <c r="AK1652" s="1" t="s">
        <v>4714</v>
      </c>
      <c r="AL1652" s="1">
        <v>7</v>
      </c>
      <c r="AM1652" s="1">
        <v>2</v>
      </c>
      <c r="AN1652" s="1">
        <v>2</v>
      </c>
      <c r="AO1652" s="1">
        <v>1</v>
      </c>
      <c r="AP1652" s="1" t="s">
        <v>209</v>
      </c>
      <c r="AQ1652" s="1">
        <v>0</v>
      </c>
      <c r="AR1652" s="1" t="s">
        <v>209</v>
      </c>
      <c r="AS1652" s="1" t="s">
        <v>204</v>
      </c>
      <c r="AT1652" s="1" t="s">
        <v>211</v>
      </c>
      <c r="AU1652" s="1">
        <v>2</v>
      </c>
      <c r="AW1652" s="1" t="s">
        <v>204</v>
      </c>
      <c r="AX1652" s="1" t="s">
        <v>212</v>
      </c>
      <c r="AZ1652" s="1">
        <v>8946</v>
      </c>
      <c r="BA1652" s="1">
        <v>2013</v>
      </c>
      <c r="BE1652" s="1">
        <v>1598</v>
      </c>
      <c r="BF1652" s="1">
        <v>1</v>
      </c>
      <c r="BG1652" s="1">
        <v>0</v>
      </c>
      <c r="BL1652" s="1">
        <v>215</v>
      </c>
      <c r="BM1652" s="1" t="s">
        <v>204</v>
      </c>
      <c r="BN1652" s="1" t="s">
        <v>213</v>
      </c>
      <c r="BO1652" s="1">
        <v>0</v>
      </c>
      <c r="BP1652" s="1" t="s">
        <v>204</v>
      </c>
      <c r="BR1652" s="1" t="str">
        <f>"15064180460000"</f>
        <v>15064180460000</v>
      </c>
      <c r="BT1652" s="1" t="s">
        <v>15795</v>
      </c>
      <c r="BU1652" s="1" t="s">
        <v>1530</v>
      </c>
      <c r="BV1652" s="1" t="s">
        <v>1531</v>
      </c>
      <c r="BW1652" s="1" t="s">
        <v>1532</v>
      </c>
      <c r="BX1652" s="1">
        <v>76</v>
      </c>
      <c r="BY1652" s="1">
        <v>76</v>
      </c>
      <c r="BZ1652" s="1">
        <v>125</v>
      </c>
      <c r="CB1652" s="1" t="str">
        <f>"25"</f>
        <v>25</v>
      </c>
      <c r="CC1652" s="1" t="str">
        <f>"0"</f>
        <v>0</v>
      </c>
      <c r="CD1652" s="1">
        <v>18</v>
      </c>
      <c r="CE1652" s="1">
        <v>0</v>
      </c>
      <c r="CG1652" s="1" t="s">
        <v>6499</v>
      </c>
      <c r="CH1652" s="1" t="s">
        <v>219</v>
      </c>
      <c r="CI1652" s="1" t="s">
        <v>438</v>
      </c>
      <c r="CJ1652" s="1" t="s">
        <v>252</v>
      </c>
      <c r="CK1652" s="1" t="s">
        <v>885</v>
      </c>
      <c r="CL1652" s="1" t="s">
        <v>277</v>
      </c>
      <c r="CM1652" s="1" t="s">
        <v>220</v>
      </c>
      <c r="CN1652" s="1" t="s">
        <v>252</v>
      </c>
      <c r="CO1652" s="1" t="s">
        <v>629</v>
      </c>
      <c r="CP1652" s="1" t="s">
        <v>219</v>
      </c>
      <c r="CQ1652" s="1" t="s">
        <v>438</v>
      </c>
      <c r="CS1652" s="1" t="s">
        <v>757</v>
      </c>
      <c r="CT1652" s="1" t="s">
        <v>277</v>
      </c>
      <c r="CU1652" s="1" t="s">
        <v>220</v>
      </c>
      <c r="CV1652" s="1" t="s">
        <v>252</v>
      </c>
      <c r="CX1652" s="1" t="s">
        <v>224</v>
      </c>
      <c r="DB1652" s="1" t="s">
        <v>224</v>
      </c>
      <c r="DE1652" s="1" t="s">
        <v>315</v>
      </c>
      <c r="DF1652" s="1" t="s">
        <v>219</v>
      </c>
      <c r="DG1652" s="1" t="s">
        <v>226</v>
      </c>
      <c r="DH1652" s="1" t="s">
        <v>252</v>
      </c>
      <c r="DJ1652" s="1" t="s">
        <v>224</v>
      </c>
      <c r="DM1652" s="1" t="s">
        <v>709</v>
      </c>
      <c r="DN1652" s="1" t="s">
        <v>464</v>
      </c>
      <c r="DO1652" s="1" t="s">
        <v>934</v>
      </c>
      <c r="DR1652" s="1" t="s">
        <v>6174</v>
      </c>
      <c r="DS1652" s="1" t="s">
        <v>219</v>
      </c>
      <c r="DT1652" s="1" t="s">
        <v>226</v>
      </c>
      <c r="DV1652" s="1" t="s">
        <v>378</v>
      </c>
      <c r="DW1652" s="1" t="s">
        <v>277</v>
      </c>
      <c r="DX1652" s="1" t="s">
        <v>220</v>
      </c>
      <c r="DY1652" s="1" t="s">
        <v>252</v>
      </c>
      <c r="DZ1652" s="1" t="s">
        <v>15796</v>
      </c>
      <c r="EA1652" s="1" t="s">
        <v>43</v>
      </c>
      <c r="EB1652" s="1" t="s">
        <v>220</v>
      </c>
      <c r="EE1652" s="1" t="s">
        <v>230</v>
      </c>
      <c r="EI1652" s="1" t="s">
        <v>230</v>
      </c>
      <c r="EL1652" s="1" t="s">
        <v>670</v>
      </c>
      <c r="EM1652" s="1" t="s">
        <v>232</v>
      </c>
      <c r="EN1652" s="1" t="s">
        <v>282</v>
      </c>
      <c r="EO1652" s="1" t="s">
        <v>840</v>
      </c>
      <c r="EP1652" s="1" t="s">
        <v>1268</v>
      </c>
      <c r="EQ1652" s="1" t="s">
        <v>236</v>
      </c>
      <c r="ER1652" s="1" t="s">
        <v>544</v>
      </c>
      <c r="ES1652" s="1" t="s">
        <v>608</v>
      </c>
      <c r="ET1652" s="1" t="s">
        <v>323</v>
      </c>
      <c r="EV1652" s="1" t="s">
        <v>240</v>
      </c>
      <c r="EW1652" s="1" t="s">
        <v>1426</v>
      </c>
      <c r="EY1652" s="1" t="s">
        <v>242</v>
      </c>
      <c r="EZ1652" s="1" t="s">
        <v>14514</v>
      </c>
      <c r="FA1652" s="1" t="s">
        <v>471</v>
      </c>
      <c r="FB1652" s="1" t="s">
        <v>1505</v>
      </c>
      <c r="FC1652" s="1" t="s">
        <v>326</v>
      </c>
      <c r="FD1652" s="1" t="s">
        <v>246</v>
      </c>
      <c r="FE1652" s="1" t="s">
        <v>549</v>
      </c>
      <c r="FF1652" s="1" t="s">
        <v>248</v>
      </c>
      <c r="FH1652" s="1" t="s">
        <v>550</v>
      </c>
      <c r="FI1652" s="1" t="s">
        <v>473</v>
      </c>
      <c r="FL1652" s="1" t="s">
        <v>358</v>
      </c>
      <c r="FM1652" s="1" t="s">
        <v>252</v>
      </c>
      <c r="FN1652" s="1" t="s">
        <v>213</v>
      </c>
      <c r="FO1652" s="1" t="s">
        <v>213</v>
      </c>
      <c r="FQ1652" s="1" t="s">
        <v>15797</v>
      </c>
      <c r="FR1652" s="1" t="s">
        <v>210</v>
      </c>
      <c r="FS1652" s="1" t="s">
        <v>15798</v>
      </c>
      <c r="FT1652" s="1" t="s">
        <v>295</v>
      </c>
      <c r="FU1652" s="1" t="s">
        <v>204</v>
      </c>
      <c r="FW1652" s="1" t="s">
        <v>1275</v>
      </c>
      <c r="FX1652" s="1">
        <v>2700</v>
      </c>
      <c r="FY1652" s="1" t="s">
        <v>1276</v>
      </c>
      <c r="FZ1652" s="1" t="s">
        <v>15799</v>
      </c>
      <c r="GA1652" s="1">
        <v>81000</v>
      </c>
      <c r="GB1652" s="1" t="s">
        <v>15800</v>
      </c>
      <c r="GE1652" s="1" t="s">
        <v>1256</v>
      </c>
      <c r="GI1652" s="1" t="s">
        <v>213</v>
      </c>
      <c r="GJ1652" s="1" t="s">
        <v>260</v>
      </c>
      <c r="GK1652" s="1" t="s">
        <v>210</v>
      </c>
      <c r="GL1652" s="2">
        <v>41989</v>
      </c>
    </row>
    <row r="1653" spans="1:195">
      <c r="A1653" s="1">
        <v>60000</v>
      </c>
      <c r="B1653" s="1" t="s">
        <v>195</v>
      </c>
      <c r="C1653" s="1" t="str">
        <f>"08702891"</f>
        <v>08702891</v>
      </c>
      <c r="D1653" s="1" t="s">
        <v>196</v>
      </c>
      <c r="F1653" s="1" t="str">
        <f>"73"</f>
        <v>73</v>
      </c>
      <c r="G1653" s="2">
        <v>41866</v>
      </c>
      <c r="H1653" s="1">
        <v>76900</v>
      </c>
      <c r="I1653" s="1">
        <v>64900</v>
      </c>
      <c r="J1653" s="1">
        <v>60000</v>
      </c>
      <c r="K1653" s="2">
        <v>41865</v>
      </c>
      <c r="L1653" s="1">
        <v>84</v>
      </c>
      <c r="M1653" s="2">
        <v>41948</v>
      </c>
      <c r="N1653" s="1">
        <v>84</v>
      </c>
      <c r="O1653" s="2">
        <v>41948</v>
      </c>
      <c r="P1653" s="1">
        <v>1837</v>
      </c>
      <c r="Q1653" s="1" t="s">
        <v>302</v>
      </c>
      <c r="R1653" s="2">
        <v>41977</v>
      </c>
      <c r="S1653" s="1">
        <v>923160</v>
      </c>
      <c r="U1653" s="1">
        <v>1147</v>
      </c>
      <c r="V1653" s="1" t="s">
        <v>15801</v>
      </c>
      <c r="W1653" s="1" t="s">
        <v>449</v>
      </c>
      <c r="X1653" s="1">
        <v>3</v>
      </c>
      <c r="Y1653" s="1">
        <v>4</v>
      </c>
      <c r="Z1653" s="1" t="s">
        <v>249</v>
      </c>
      <c r="AA1653" s="1" t="s">
        <v>1027</v>
      </c>
      <c r="AB1653" s="1">
        <v>60073</v>
      </c>
      <c r="AE1653" s="1" t="s">
        <v>15802</v>
      </c>
      <c r="AF1653" s="1">
        <v>2000</v>
      </c>
      <c r="AG1653" s="1" t="s">
        <v>204</v>
      </c>
      <c r="AH1653" s="1" t="s">
        <v>1029</v>
      </c>
      <c r="AI1653" s="1" t="s">
        <v>509</v>
      </c>
      <c r="AJ1653" s="1" t="s">
        <v>1263</v>
      </c>
      <c r="AL1653" s="1">
        <v>5</v>
      </c>
      <c r="AM1653" s="1">
        <v>2</v>
      </c>
      <c r="AN1653" s="1">
        <v>2</v>
      </c>
      <c r="AO1653" s="1">
        <v>0</v>
      </c>
      <c r="AP1653" s="1" t="s">
        <v>209</v>
      </c>
      <c r="AR1653" s="1" t="s">
        <v>210</v>
      </c>
      <c r="AS1653" s="1" t="s">
        <v>204</v>
      </c>
      <c r="AT1653" s="1" t="s">
        <v>211</v>
      </c>
      <c r="AU1653" s="1">
        <v>1</v>
      </c>
      <c r="AW1653" s="1" t="s">
        <v>204</v>
      </c>
      <c r="AX1653" s="1" t="s">
        <v>212</v>
      </c>
      <c r="AZ1653" s="1">
        <v>2983</v>
      </c>
      <c r="BA1653" s="1">
        <v>2012</v>
      </c>
      <c r="BE1653" s="1">
        <v>0</v>
      </c>
      <c r="BF1653" s="1">
        <v>2</v>
      </c>
      <c r="BG1653" s="1">
        <v>30</v>
      </c>
      <c r="BL1653" s="1">
        <v>190</v>
      </c>
      <c r="BM1653" s="1" t="s">
        <v>413</v>
      </c>
      <c r="BN1653" s="1" t="s">
        <v>204</v>
      </c>
      <c r="BP1653" s="1" t="s">
        <v>204</v>
      </c>
      <c r="BR1653" s="1" t="str">
        <f>"06191030270000"</f>
        <v>06191030270000</v>
      </c>
      <c r="BT1653" s="1" t="s">
        <v>15803</v>
      </c>
      <c r="BX1653" s="1">
        <v>116</v>
      </c>
      <c r="BY1653" s="1">
        <v>116</v>
      </c>
      <c r="BZ1653" s="1">
        <v>116</v>
      </c>
      <c r="CB1653" s="1" t="str">
        <f t="shared" ref="CB1653:CC1653" si="1257">""</f>
        <v/>
      </c>
      <c r="CC1653" s="1" t="str">
        <f t="shared" si="1257"/>
        <v/>
      </c>
      <c r="CG1653" s="1" t="s">
        <v>729</v>
      </c>
      <c r="CH1653" s="1" t="s">
        <v>277</v>
      </c>
      <c r="CK1653" s="1" t="s">
        <v>729</v>
      </c>
      <c r="CL1653" s="1" t="s">
        <v>277</v>
      </c>
      <c r="CO1653" s="1" t="s">
        <v>630</v>
      </c>
      <c r="CP1653" s="1" t="s">
        <v>277</v>
      </c>
      <c r="CS1653" s="1" t="s">
        <v>318</v>
      </c>
      <c r="CT1653" s="1" t="s">
        <v>277</v>
      </c>
      <c r="CX1653" s="1" t="s">
        <v>224</v>
      </c>
      <c r="DB1653" s="1" t="s">
        <v>224</v>
      </c>
      <c r="DE1653" s="1" t="s">
        <v>2277</v>
      </c>
      <c r="DF1653" s="1" t="s">
        <v>277</v>
      </c>
      <c r="DJ1653" s="1" t="s">
        <v>224</v>
      </c>
      <c r="DS1653" s="1" t="s">
        <v>230</v>
      </c>
      <c r="DW1653" s="1" t="s">
        <v>230</v>
      </c>
      <c r="EA1653" s="1" t="s">
        <v>230</v>
      </c>
      <c r="EE1653" s="1" t="s">
        <v>230</v>
      </c>
      <c r="EI1653" s="1" t="s">
        <v>230</v>
      </c>
      <c r="EL1653" s="1" t="s">
        <v>466</v>
      </c>
      <c r="EM1653" s="1" t="s">
        <v>319</v>
      </c>
      <c r="EN1653" s="1" t="s">
        <v>210</v>
      </c>
      <c r="EO1653" s="1" t="s">
        <v>234</v>
      </c>
      <c r="ER1653" s="1" t="s">
        <v>210</v>
      </c>
      <c r="EW1653" s="1" t="s">
        <v>887</v>
      </c>
      <c r="EZ1653" s="1" t="s">
        <v>287</v>
      </c>
      <c r="FD1653" s="1" t="s">
        <v>1112</v>
      </c>
      <c r="FE1653" s="1" t="s">
        <v>1031</v>
      </c>
      <c r="FF1653" s="1" t="s">
        <v>248</v>
      </c>
      <c r="FH1653" s="1" t="s">
        <v>249</v>
      </c>
      <c r="FL1653" s="1" t="s">
        <v>358</v>
      </c>
      <c r="FM1653" s="1" t="s">
        <v>252</v>
      </c>
      <c r="FN1653" s="1" t="s">
        <v>213</v>
      </c>
      <c r="FO1653" s="1" t="s">
        <v>204</v>
      </c>
      <c r="FQ1653" s="1" t="s">
        <v>689</v>
      </c>
      <c r="FR1653" s="1" t="s">
        <v>210</v>
      </c>
      <c r="FS1653" s="1" t="s">
        <v>690</v>
      </c>
      <c r="FT1653" s="1" t="s">
        <v>362</v>
      </c>
      <c r="FU1653" s="1" t="s">
        <v>204</v>
      </c>
      <c r="FW1653" s="1" t="s">
        <v>14459</v>
      </c>
      <c r="FX1653" s="1">
        <v>10687</v>
      </c>
      <c r="FY1653" s="1" t="s">
        <v>693</v>
      </c>
      <c r="FZ1653" s="1" t="s">
        <v>14460</v>
      </c>
      <c r="GA1653" s="1">
        <v>133158</v>
      </c>
      <c r="GE1653" s="1" t="s">
        <v>210</v>
      </c>
      <c r="GH1653" s="1" t="s">
        <v>230</v>
      </c>
      <c r="GI1653" s="1" t="s">
        <v>213</v>
      </c>
      <c r="GJ1653" s="1" t="s">
        <v>260</v>
      </c>
      <c r="GK1653" s="1" t="s">
        <v>210</v>
      </c>
      <c r="GL1653" s="2">
        <v>41977</v>
      </c>
      <c r="GM1653" s="1" t="s">
        <v>15804</v>
      </c>
    </row>
    <row r="1654" spans="1:195">
      <c r="A1654" s="1">
        <v>72000</v>
      </c>
      <c r="B1654" s="1" t="s">
        <v>195</v>
      </c>
      <c r="C1654" s="1" t="str">
        <f>"08700820"</f>
        <v>08700820</v>
      </c>
      <c r="D1654" s="1" t="s">
        <v>196</v>
      </c>
      <c r="F1654" s="1" t="str">
        <f>"635"</f>
        <v>635</v>
      </c>
      <c r="G1654" s="2">
        <v>41864</v>
      </c>
      <c r="H1654" s="1">
        <v>82900</v>
      </c>
      <c r="I1654" s="1">
        <v>71000</v>
      </c>
      <c r="J1654" s="1">
        <v>72000</v>
      </c>
      <c r="K1654" s="2">
        <v>41864</v>
      </c>
      <c r="L1654" s="1">
        <v>205</v>
      </c>
      <c r="M1654" s="2">
        <v>42068</v>
      </c>
      <c r="N1654" s="1">
        <v>205</v>
      </c>
      <c r="O1654" s="2">
        <v>42068</v>
      </c>
      <c r="P1654" s="1">
        <v>1109</v>
      </c>
      <c r="Q1654" s="1" t="s">
        <v>197</v>
      </c>
      <c r="R1654" s="2">
        <v>42135</v>
      </c>
      <c r="S1654" s="1">
        <v>26680</v>
      </c>
      <c r="U1654" s="1">
        <v>30</v>
      </c>
      <c r="V1654" s="1" t="s">
        <v>11456</v>
      </c>
      <c r="W1654" s="1" t="s">
        <v>4046</v>
      </c>
      <c r="X1654" s="1" t="s">
        <v>9641</v>
      </c>
      <c r="Y1654" s="1">
        <v>9</v>
      </c>
      <c r="Z1654" s="1" t="s">
        <v>249</v>
      </c>
      <c r="AA1654" s="1" t="s">
        <v>2377</v>
      </c>
      <c r="AB1654" s="1">
        <v>60707</v>
      </c>
      <c r="AE1654" s="1" t="s">
        <v>15805</v>
      </c>
      <c r="AF1654" s="1">
        <v>1964</v>
      </c>
      <c r="AG1654" s="1" t="s">
        <v>213</v>
      </c>
      <c r="AH1654" s="1" t="s">
        <v>5686</v>
      </c>
      <c r="AI1654" s="1" t="s">
        <v>310</v>
      </c>
      <c r="AJ1654" s="1" t="s">
        <v>311</v>
      </c>
      <c r="AK1654" s="1" t="s">
        <v>270</v>
      </c>
      <c r="AL1654" s="1">
        <v>4</v>
      </c>
      <c r="AM1654" s="1">
        <v>2</v>
      </c>
      <c r="AN1654" s="1">
        <v>1</v>
      </c>
      <c r="AO1654" s="1">
        <v>0</v>
      </c>
      <c r="AP1654" s="1" t="s">
        <v>210</v>
      </c>
      <c r="AR1654" s="1" t="s">
        <v>210</v>
      </c>
      <c r="AS1654" s="1" t="s">
        <v>204</v>
      </c>
      <c r="AT1654" s="1" t="s">
        <v>271</v>
      </c>
      <c r="AV1654" s="1">
        <v>1</v>
      </c>
      <c r="AW1654" s="1" t="s">
        <v>204</v>
      </c>
      <c r="AX1654" s="1" t="s">
        <v>212</v>
      </c>
      <c r="AZ1654" s="1">
        <v>913</v>
      </c>
      <c r="BA1654" s="1">
        <v>2012</v>
      </c>
      <c r="BE1654" s="1">
        <v>0</v>
      </c>
      <c r="BF1654" s="1">
        <v>1</v>
      </c>
      <c r="BG1654" s="1">
        <v>15</v>
      </c>
      <c r="BL1654" s="1">
        <v>165</v>
      </c>
      <c r="BM1654" s="1" t="s">
        <v>204</v>
      </c>
      <c r="BN1654" s="1" t="s">
        <v>213</v>
      </c>
      <c r="BO1654" s="1">
        <v>30</v>
      </c>
      <c r="BP1654" s="1" t="s">
        <v>204</v>
      </c>
      <c r="BR1654" s="1" t="str">
        <f>"12253130221008"</f>
        <v>12253130221008</v>
      </c>
      <c r="BT1654" s="1" t="s">
        <v>15806</v>
      </c>
      <c r="BX1654" s="1">
        <v>401</v>
      </c>
      <c r="BY1654" s="1">
        <v>401</v>
      </c>
      <c r="BZ1654" s="1">
        <v>401</v>
      </c>
      <c r="CB1654" s="1" t="str">
        <f>"2600"</f>
        <v>2600</v>
      </c>
      <c r="CC1654" s="1" t="str">
        <f t="shared" ref="CC1654:CC1655" si="1258">"0"</f>
        <v>0</v>
      </c>
      <c r="CD1654" s="1">
        <v>7600</v>
      </c>
      <c r="CE1654" s="1">
        <v>0</v>
      </c>
      <c r="CG1654" s="1" t="s">
        <v>377</v>
      </c>
      <c r="CH1654" s="1" t="s">
        <v>219</v>
      </c>
      <c r="CI1654" s="1" t="s">
        <v>438</v>
      </c>
      <c r="CK1654" s="1" t="s">
        <v>539</v>
      </c>
      <c r="CL1654" s="1" t="s">
        <v>219</v>
      </c>
      <c r="CM1654" s="1" t="s">
        <v>438</v>
      </c>
      <c r="CP1654" s="1" t="s">
        <v>224</v>
      </c>
      <c r="CS1654" s="1" t="s">
        <v>317</v>
      </c>
      <c r="CT1654" s="1" t="s">
        <v>219</v>
      </c>
      <c r="CU1654" s="1" t="s">
        <v>226</v>
      </c>
      <c r="CX1654" s="1" t="s">
        <v>224</v>
      </c>
      <c r="DB1654" s="1" t="s">
        <v>224</v>
      </c>
      <c r="DE1654" s="1" t="s">
        <v>378</v>
      </c>
      <c r="DF1654" s="1" t="s">
        <v>219</v>
      </c>
      <c r="DG1654" s="1" t="s">
        <v>226</v>
      </c>
      <c r="DJ1654" s="1" t="s">
        <v>224</v>
      </c>
      <c r="DS1654" s="1" t="s">
        <v>230</v>
      </c>
      <c r="DW1654" s="1" t="s">
        <v>230</v>
      </c>
      <c r="EA1654" s="1" t="s">
        <v>230</v>
      </c>
      <c r="EE1654" s="1" t="s">
        <v>230</v>
      </c>
      <c r="EI1654" s="1" t="s">
        <v>230</v>
      </c>
      <c r="EL1654" s="1" t="s">
        <v>649</v>
      </c>
      <c r="EM1654" s="1" t="s">
        <v>232</v>
      </c>
      <c r="EN1654" s="1" t="s">
        <v>731</v>
      </c>
      <c r="EO1654" s="1" t="s">
        <v>234</v>
      </c>
      <c r="EQ1654" s="1" t="s">
        <v>2994</v>
      </c>
      <c r="ER1654" s="1" t="s">
        <v>210</v>
      </c>
      <c r="EW1654" s="1" t="s">
        <v>15807</v>
      </c>
      <c r="EZ1654" s="1" t="s">
        <v>287</v>
      </c>
      <c r="FD1654" s="1" t="s">
        <v>246</v>
      </c>
      <c r="FE1654" s="1" t="s">
        <v>247</v>
      </c>
      <c r="FF1654" s="1" t="s">
        <v>248</v>
      </c>
      <c r="FH1654" s="1" t="s">
        <v>249</v>
      </c>
      <c r="FL1654" s="1" t="s">
        <v>614</v>
      </c>
      <c r="FM1654" s="1" t="s">
        <v>252</v>
      </c>
      <c r="FN1654" s="1" t="s">
        <v>213</v>
      </c>
      <c r="FO1654" s="1" t="s">
        <v>213</v>
      </c>
      <c r="FQ1654" s="1" t="s">
        <v>582</v>
      </c>
      <c r="FR1654" s="1" t="s">
        <v>210</v>
      </c>
      <c r="FS1654" s="1" t="s">
        <v>15808</v>
      </c>
      <c r="FT1654" s="1" t="s">
        <v>295</v>
      </c>
      <c r="FU1654" s="1" t="s">
        <v>204</v>
      </c>
      <c r="FW1654" s="1" t="s">
        <v>15809</v>
      </c>
      <c r="FX1654" s="1">
        <v>1693</v>
      </c>
      <c r="FY1654" s="1" t="s">
        <v>15810</v>
      </c>
      <c r="FZ1654" s="1" t="s">
        <v>15811</v>
      </c>
      <c r="GA1654" s="1">
        <v>88121</v>
      </c>
      <c r="GB1654" s="1" t="s">
        <v>15810</v>
      </c>
      <c r="GC1654" s="1">
        <v>240694</v>
      </c>
      <c r="GD1654" s="1" t="s">
        <v>15812</v>
      </c>
      <c r="GE1654" s="1" t="s">
        <v>210</v>
      </c>
      <c r="GH1654" s="1" t="s">
        <v>589</v>
      </c>
      <c r="GI1654" s="1" t="s">
        <v>204</v>
      </c>
      <c r="GJ1654" s="1" t="s">
        <v>260</v>
      </c>
      <c r="GK1654" s="1" t="s">
        <v>210</v>
      </c>
      <c r="GL1654" s="2">
        <v>42137</v>
      </c>
      <c r="GM1654" s="1" t="s">
        <v>15813</v>
      </c>
    </row>
    <row r="1655" spans="1:195">
      <c r="A1655" s="1">
        <v>145000</v>
      </c>
      <c r="B1655" s="1" t="s">
        <v>195</v>
      </c>
      <c r="C1655" s="1" t="str">
        <f>"08709945"</f>
        <v>08709945</v>
      </c>
      <c r="D1655" s="1" t="s">
        <v>196</v>
      </c>
      <c r="F1655" s="1" t="str">
        <f>"188"</f>
        <v>188</v>
      </c>
      <c r="G1655" s="2">
        <v>41875</v>
      </c>
      <c r="H1655" s="1">
        <v>160000</v>
      </c>
      <c r="I1655" s="1">
        <v>155000</v>
      </c>
      <c r="J1655" s="1">
        <v>145000</v>
      </c>
      <c r="K1655" s="2">
        <v>41875</v>
      </c>
      <c r="L1655" s="1">
        <v>80</v>
      </c>
      <c r="M1655" s="2">
        <v>41954</v>
      </c>
      <c r="N1655" s="1">
        <v>80</v>
      </c>
      <c r="O1655" s="2">
        <v>41954</v>
      </c>
      <c r="P1655" s="1">
        <v>16446</v>
      </c>
      <c r="Q1655" s="1" t="s">
        <v>1393</v>
      </c>
      <c r="R1655" s="2">
        <v>42003</v>
      </c>
      <c r="S1655" s="1">
        <v>148005</v>
      </c>
      <c r="U1655" s="1">
        <v>697</v>
      </c>
      <c r="V1655" s="1" t="s">
        <v>12449</v>
      </c>
      <c r="W1655" s="1" t="s">
        <v>264</v>
      </c>
      <c r="Y1655" s="1">
        <v>4</v>
      </c>
      <c r="Z1655" s="1" t="s">
        <v>370</v>
      </c>
      <c r="AA1655" s="1" t="s">
        <v>1084</v>
      </c>
      <c r="AB1655" s="1">
        <v>60188</v>
      </c>
      <c r="AD1655" s="1" t="s">
        <v>2922</v>
      </c>
      <c r="AE1655" s="1" t="s">
        <v>15814</v>
      </c>
      <c r="AF1655" s="1">
        <v>1991</v>
      </c>
      <c r="AG1655" s="1" t="s">
        <v>204</v>
      </c>
      <c r="AH1655" s="1" t="s">
        <v>269</v>
      </c>
      <c r="AI1655" s="1" t="s">
        <v>206</v>
      </c>
      <c r="AJ1655" s="1" t="s">
        <v>269</v>
      </c>
      <c r="AK1655" s="1" t="s">
        <v>1642</v>
      </c>
      <c r="AL1655" s="1">
        <v>6</v>
      </c>
      <c r="AM1655" s="1">
        <v>2</v>
      </c>
      <c r="AN1655" s="1">
        <v>1</v>
      </c>
      <c r="AO1655" s="1">
        <v>1</v>
      </c>
      <c r="AP1655" s="1" t="s">
        <v>667</v>
      </c>
      <c r="AQ1655" s="1">
        <v>1</v>
      </c>
      <c r="AR1655" s="1" t="s">
        <v>209</v>
      </c>
      <c r="AS1655" s="1" t="s">
        <v>204</v>
      </c>
      <c r="AT1655" s="1" t="s">
        <v>211</v>
      </c>
      <c r="AU1655" s="1">
        <v>1</v>
      </c>
      <c r="AW1655" s="1" t="s">
        <v>204</v>
      </c>
      <c r="AX1655" s="1" t="s">
        <v>212</v>
      </c>
      <c r="AZ1655" s="1">
        <v>4591</v>
      </c>
      <c r="BA1655" s="1">
        <v>2013</v>
      </c>
      <c r="BB1655" s="1" t="s">
        <v>405</v>
      </c>
      <c r="BE1655" s="1">
        <v>1366</v>
      </c>
      <c r="BF1655" s="1">
        <v>1</v>
      </c>
      <c r="BG1655" s="1">
        <v>30</v>
      </c>
      <c r="BL1655" s="1">
        <v>208</v>
      </c>
      <c r="BM1655" s="1" t="s">
        <v>204</v>
      </c>
      <c r="BN1655" s="1" t="s">
        <v>213</v>
      </c>
      <c r="BO1655" s="1">
        <v>75</v>
      </c>
      <c r="BP1655" s="1" t="s">
        <v>204</v>
      </c>
      <c r="BR1655" s="1" t="str">
        <f>"0219306021"</f>
        <v>0219306021</v>
      </c>
      <c r="BT1655" s="1" t="s">
        <v>15815</v>
      </c>
      <c r="BU1655" s="1" t="s">
        <v>1090</v>
      </c>
      <c r="BV1655" s="1" t="s">
        <v>1091</v>
      </c>
      <c r="BW1655" s="1" t="s">
        <v>1092</v>
      </c>
      <c r="BX1655" s="1">
        <v>93</v>
      </c>
      <c r="BY1655" s="1">
        <v>93</v>
      </c>
      <c r="BZ1655" s="1">
        <v>87</v>
      </c>
      <c r="CB1655" s="1" t="str">
        <f>"4"</f>
        <v>4</v>
      </c>
      <c r="CC1655" s="1" t="str">
        <f t="shared" si="1258"/>
        <v>0</v>
      </c>
      <c r="CD1655" s="1">
        <v>26</v>
      </c>
      <c r="CE1655" s="1">
        <v>0</v>
      </c>
      <c r="CG1655" s="1" t="s">
        <v>757</v>
      </c>
      <c r="CH1655" s="1" t="s">
        <v>219</v>
      </c>
      <c r="CI1655" s="1" t="s">
        <v>220</v>
      </c>
      <c r="CJ1655" s="1" t="s">
        <v>343</v>
      </c>
      <c r="CK1655" s="1" t="s">
        <v>3057</v>
      </c>
      <c r="CL1655" s="1" t="s">
        <v>277</v>
      </c>
      <c r="CM1655" s="1" t="s">
        <v>220</v>
      </c>
      <c r="CO1655" s="1" t="s">
        <v>318</v>
      </c>
      <c r="CP1655" s="1" t="s">
        <v>219</v>
      </c>
      <c r="CQ1655" s="1" t="s">
        <v>220</v>
      </c>
      <c r="CR1655" s="1" t="s">
        <v>343</v>
      </c>
      <c r="CS1655" s="1" t="s">
        <v>465</v>
      </c>
      <c r="CT1655" s="1" t="s">
        <v>277</v>
      </c>
      <c r="CU1655" s="1" t="s">
        <v>220</v>
      </c>
      <c r="CX1655" s="1" t="s">
        <v>224</v>
      </c>
      <c r="DB1655" s="1" t="s">
        <v>224</v>
      </c>
      <c r="DE1655" s="1" t="s">
        <v>346</v>
      </c>
      <c r="DF1655" s="1" t="s">
        <v>219</v>
      </c>
      <c r="DG1655" s="1" t="s">
        <v>342</v>
      </c>
      <c r="DH1655" s="1" t="s">
        <v>210</v>
      </c>
      <c r="DJ1655" s="1" t="s">
        <v>224</v>
      </c>
      <c r="DM1655" s="1" t="s">
        <v>934</v>
      </c>
      <c r="DR1655" s="1" t="s">
        <v>2635</v>
      </c>
      <c r="DS1655" s="1" t="s">
        <v>43</v>
      </c>
      <c r="DT1655" s="1" t="s">
        <v>220</v>
      </c>
      <c r="DU1655" s="1" t="s">
        <v>210</v>
      </c>
      <c r="DW1655" s="1" t="s">
        <v>230</v>
      </c>
      <c r="EA1655" s="1" t="s">
        <v>230</v>
      </c>
      <c r="EE1655" s="1" t="s">
        <v>230</v>
      </c>
      <c r="EI1655" s="1" t="s">
        <v>230</v>
      </c>
      <c r="EL1655" s="1" t="s">
        <v>382</v>
      </c>
      <c r="EM1655" s="1" t="s">
        <v>232</v>
      </c>
      <c r="EN1655" s="1" t="s">
        <v>282</v>
      </c>
      <c r="EO1655" s="1" t="s">
        <v>234</v>
      </c>
      <c r="EP1655" s="1" t="s">
        <v>1268</v>
      </c>
      <c r="EQ1655" s="1" t="s">
        <v>468</v>
      </c>
      <c r="ER1655" s="1" t="s">
        <v>544</v>
      </c>
      <c r="ES1655" s="1" t="s">
        <v>493</v>
      </c>
      <c r="EV1655" s="1" t="s">
        <v>352</v>
      </c>
      <c r="EW1655" s="1" t="s">
        <v>353</v>
      </c>
      <c r="EY1655" s="1" t="s">
        <v>441</v>
      </c>
      <c r="EZ1655" s="1" t="s">
        <v>934</v>
      </c>
      <c r="FB1655" s="1" t="s">
        <v>289</v>
      </c>
      <c r="FC1655" s="1" t="s">
        <v>1405</v>
      </c>
      <c r="FD1655" s="1" t="s">
        <v>246</v>
      </c>
      <c r="FE1655" s="1" t="s">
        <v>472</v>
      </c>
      <c r="FF1655" s="1" t="s">
        <v>248</v>
      </c>
      <c r="FH1655" s="1" t="s">
        <v>550</v>
      </c>
      <c r="FL1655" s="1" t="s">
        <v>358</v>
      </c>
      <c r="FM1655" s="1" t="s">
        <v>252</v>
      </c>
      <c r="FN1655" s="1" t="s">
        <v>213</v>
      </c>
      <c r="FO1655" s="1" t="s">
        <v>213</v>
      </c>
      <c r="FQ1655" s="1" t="s">
        <v>15816</v>
      </c>
      <c r="FR1655" s="1" t="s">
        <v>8300</v>
      </c>
      <c r="FS1655" s="1" t="s">
        <v>15817</v>
      </c>
      <c r="FT1655" s="1" t="s">
        <v>295</v>
      </c>
      <c r="FU1655" s="1" t="s">
        <v>204</v>
      </c>
      <c r="FW1655" s="1" t="s">
        <v>585</v>
      </c>
      <c r="FX1655" s="1">
        <v>6026</v>
      </c>
      <c r="FY1655" s="1" t="s">
        <v>1223</v>
      </c>
      <c r="FZ1655" s="1" t="s">
        <v>15818</v>
      </c>
      <c r="GA1655" s="1">
        <v>63085</v>
      </c>
      <c r="GB1655" s="1" t="s">
        <v>15819</v>
      </c>
      <c r="GE1655" s="1" t="s">
        <v>210</v>
      </c>
      <c r="GI1655" s="1" t="s">
        <v>213</v>
      </c>
      <c r="GJ1655" s="1" t="s">
        <v>260</v>
      </c>
      <c r="GK1655" s="1" t="s">
        <v>4920</v>
      </c>
      <c r="GL1655" s="2">
        <v>42004</v>
      </c>
      <c r="GM1655" s="1" t="s">
        <v>15820</v>
      </c>
    </row>
    <row r="1656" spans="1:195">
      <c r="A1656" s="1">
        <v>60000</v>
      </c>
      <c r="B1656" s="1" t="s">
        <v>195</v>
      </c>
      <c r="C1656" s="1" t="str">
        <f>"08707209"</f>
        <v>08707209</v>
      </c>
      <c r="D1656" s="1" t="s">
        <v>196</v>
      </c>
      <c r="F1656" s="1" t="str">
        <f>"8039"</f>
        <v>8039</v>
      </c>
      <c r="G1656" s="2">
        <v>41871</v>
      </c>
      <c r="H1656" s="1">
        <v>130000</v>
      </c>
      <c r="I1656" s="1">
        <v>130000</v>
      </c>
      <c r="J1656" s="1">
        <v>60000</v>
      </c>
      <c r="K1656" s="2">
        <v>41869</v>
      </c>
      <c r="L1656" s="1">
        <v>43</v>
      </c>
      <c r="M1656" s="2">
        <v>41911</v>
      </c>
      <c r="N1656" s="1">
        <v>43</v>
      </c>
      <c r="O1656" s="2">
        <v>41911</v>
      </c>
      <c r="P1656" s="1">
        <v>90823</v>
      </c>
      <c r="Q1656" s="1" t="s">
        <v>197</v>
      </c>
      <c r="R1656" s="2">
        <v>42031</v>
      </c>
      <c r="S1656" s="1">
        <v>900805</v>
      </c>
      <c r="U1656" s="1">
        <v>5000</v>
      </c>
      <c r="V1656" s="1" t="s">
        <v>8176</v>
      </c>
      <c r="W1656" s="1" t="s">
        <v>425</v>
      </c>
      <c r="X1656" s="1" t="s">
        <v>15821</v>
      </c>
      <c r="Y1656" s="1">
        <v>77</v>
      </c>
      <c r="Z1656" s="1" t="s">
        <v>249</v>
      </c>
      <c r="AA1656" s="1" t="s">
        <v>400</v>
      </c>
      <c r="AB1656" s="1">
        <v>60615</v>
      </c>
      <c r="AE1656" s="1" t="s">
        <v>15822</v>
      </c>
      <c r="AF1656" s="1">
        <v>1929</v>
      </c>
      <c r="AG1656" s="1" t="s">
        <v>213</v>
      </c>
      <c r="AH1656" s="1" t="s">
        <v>403</v>
      </c>
      <c r="AI1656" s="1" t="s">
        <v>310</v>
      </c>
      <c r="AJ1656" s="1" t="s">
        <v>562</v>
      </c>
      <c r="AL1656" s="1">
        <v>5</v>
      </c>
      <c r="AM1656" s="1">
        <v>2</v>
      </c>
      <c r="AN1656" s="1">
        <v>2</v>
      </c>
      <c r="AO1656" s="1">
        <v>0</v>
      </c>
      <c r="AP1656" s="1" t="s">
        <v>209</v>
      </c>
      <c r="AQ1656" s="1">
        <v>1</v>
      </c>
      <c r="AR1656" s="1" t="s">
        <v>210</v>
      </c>
      <c r="AS1656" s="1" t="s">
        <v>204</v>
      </c>
      <c r="AT1656" s="1" t="s">
        <v>271</v>
      </c>
      <c r="AV1656" s="1">
        <v>1</v>
      </c>
      <c r="AW1656" s="1" t="s">
        <v>204</v>
      </c>
      <c r="AX1656" s="1" t="s">
        <v>212</v>
      </c>
      <c r="AZ1656" s="1">
        <v>1129.47</v>
      </c>
      <c r="BA1656" s="1">
        <v>2013</v>
      </c>
      <c r="BB1656" s="1" t="s">
        <v>405</v>
      </c>
      <c r="BE1656" s="1">
        <v>1700</v>
      </c>
      <c r="BF1656" s="1">
        <v>10</v>
      </c>
      <c r="BG1656" s="1">
        <v>0</v>
      </c>
      <c r="BL1656" s="1">
        <v>958</v>
      </c>
      <c r="BM1656" s="1" t="s">
        <v>204</v>
      </c>
      <c r="BN1656" s="1" t="s">
        <v>213</v>
      </c>
      <c r="BO1656" s="1">
        <v>999</v>
      </c>
      <c r="BP1656" s="1" t="s">
        <v>204</v>
      </c>
      <c r="BR1656" s="1" t="str">
        <f>"20121010241066"</f>
        <v>20121010241066</v>
      </c>
      <c r="BT1656" s="1" t="s">
        <v>15823</v>
      </c>
      <c r="BX1656" s="1">
        <v>299</v>
      </c>
      <c r="BY1656" s="1">
        <v>299</v>
      </c>
      <c r="BZ1656" s="1">
        <v>299</v>
      </c>
      <c r="CB1656" s="1" t="str">
        <f>"0"</f>
        <v>0</v>
      </c>
      <c r="CC1656" s="1" t="str">
        <f>"1600"</f>
        <v>1600</v>
      </c>
      <c r="CD1656" s="1">
        <v>0</v>
      </c>
      <c r="CE1656" s="1">
        <v>5000</v>
      </c>
      <c r="CG1656" s="1" t="s">
        <v>908</v>
      </c>
      <c r="CH1656" s="1" t="s">
        <v>219</v>
      </c>
      <c r="CI1656" s="1" t="s">
        <v>438</v>
      </c>
      <c r="CK1656" s="1" t="s">
        <v>1045</v>
      </c>
      <c r="CL1656" s="1" t="s">
        <v>219</v>
      </c>
      <c r="CM1656" s="1" t="s">
        <v>438</v>
      </c>
      <c r="CO1656" s="1" t="s">
        <v>221</v>
      </c>
      <c r="CP1656" s="1" t="s">
        <v>219</v>
      </c>
      <c r="CQ1656" s="1" t="s">
        <v>438</v>
      </c>
      <c r="CS1656" s="1" t="s">
        <v>461</v>
      </c>
      <c r="CT1656" s="1" t="s">
        <v>219</v>
      </c>
      <c r="CU1656" s="1" t="s">
        <v>220</v>
      </c>
      <c r="DB1656" s="1" t="s">
        <v>224</v>
      </c>
      <c r="DE1656" s="1" t="s">
        <v>951</v>
      </c>
      <c r="DF1656" s="1" t="s">
        <v>219</v>
      </c>
      <c r="DG1656" s="1" t="s">
        <v>342</v>
      </c>
      <c r="DJ1656" s="1" t="s">
        <v>224</v>
      </c>
      <c r="DS1656" s="1" t="s">
        <v>230</v>
      </c>
      <c r="DW1656" s="1" t="s">
        <v>230</v>
      </c>
      <c r="EA1656" s="1" t="s">
        <v>230</v>
      </c>
      <c r="EE1656" s="1" t="s">
        <v>230</v>
      </c>
      <c r="EI1656" s="1" t="s">
        <v>230</v>
      </c>
      <c r="EL1656" s="1" t="s">
        <v>2154</v>
      </c>
      <c r="EM1656" s="1" t="s">
        <v>232</v>
      </c>
      <c r="EN1656" s="1" t="s">
        <v>233</v>
      </c>
      <c r="EO1656" s="1" t="s">
        <v>234</v>
      </c>
      <c r="EP1656" s="1" t="s">
        <v>15824</v>
      </c>
      <c r="EQ1656" s="1" t="s">
        <v>2994</v>
      </c>
      <c r="ER1656" s="1" t="s">
        <v>210</v>
      </c>
      <c r="ES1656" s="1" t="s">
        <v>15825</v>
      </c>
      <c r="EU1656" s="1" t="s">
        <v>1314</v>
      </c>
      <c r="EV1656" s="1" t="s">
        <v>324</v>
      </c>
      <c r="EW1656" s="1" t="s">
        <v>15826</v>
      </c>
      <c r="EZ1656" s="1" t="s">
        <v>287</v>
      </c>
      <c r="FB1656" s="1" t="s">
        <v>289</v>
      </c>
      <c r="FC1656" s="1" t="s">
        <v>15827</v>
      </c>
      <c r="FD1656" s="1" t="s">
        <v>246</v>
      </c>
      <c r="FE1656" s="1" t="s">
        <v>247</v>
      </c>
      <c r="FF1656" s="1" t="s">
        <v>248</v>
      </c>
      <c r="FG1656" s="1" t="s">
        <v>10878</v>
      </c>
      <c r="FH1656" s="1" t="s">
        <v>249</v>
      </c>
      <c r="FJ1656" s="1" t="s">
        <v>197</v>
      </c>
      <c r="FL1656" s="1" t="s">
        <v>3793</v>
      </c>
      <c r="FM1656" s="1" t="s">
        <v>252</v>
      </c>
      <c r="FN1656" s="1" t="s">
        <v>213</v>
      </c>
      <c r="FO1656" s="1" t="s">
        <v>213</v>
      </c>
      <c r="FQ1656" s="1" t="s">
        <v>1032</v>
      </c>
      <c r="FR1656" s="1" t="s">
        <v>360</v>
      </c>
      <c r="FS1656" s="1" t="s">
        <v>15828</v>
      </c>
      <c r="FT1656" s="1" t="s">
        <v>295</v>
      </c>
      <c r="FU1656" s="1" t="s">
        <v>204</v>
      </c>
      <c r="FW1656" s="1" t="s">
        <v>585</v>
      </c>
      <c r="FX1656" s="1">
        <v>10274</v>
      </c>
      <c r="FY1656" s="1" t="s">
        <v>15829</v>
      </c>
      <c r="FZ1656" s="1" t="s">
        <v>15830</v>
      </c>
      <c r="GA1656" s="1">
        <v>141867</v>
      </c>
      <c r="GB1656" s="1" t="s">
        <v>15831</v>
      </c>
      <c r="GD1656" s="1" t="s">
        <v>15832</v>
      </c>
      <c r="GE1656" s="1" t="s">
        <v>210</v>
      </c>
      <c r="GH1656" s="1" t="s">
        <v>421</v>
      </c>
      <c r="GI1656" s="1" t="s">
        <v>213</v>
      </c>
      <c r="GJ1656" s="1" t="s">
        <v>260</v>
      </c>
      <c r="GK1656" s="1" t="s">
        <v>210</v>
      </c>
      <c r="GL1656" s="2">
        <v>42034</v>
      </c>
      <c r="GM1656" s="1" t="s">
        <v>15833</v>
      </c>
    </row>
    <row r="1657" spans="1:195">
      <c r="A1657" s="1">
        <v>80000</v>
      </c>
      <c r="B1657" s="1" t="s">
        <v>195</v>
      </c>
      <c r="C1657" s="1" t="str">
        <f>"08712485"</f>
        <v>08712485</v>
      </c>
      <c r="D1657" s="1" t="s">
        <v>196</v>
      </c>
      <c r="F1657" s="1" t="str">
        <f>"31"</f>
        <v>31</v>
      </c>
      <c r="G1657" s="2">
        <v>41878</v>
      </c>
      <c r="H1657" s="1">
        <v>120000</v>
      </c>
      <c r="I1657" s="1">
        <v>95000</v>
      </c>
      <c r="J1657" s="1">
        <v>80000</v>
      </c>
      <c r="K1657" s="2">
        <v>41878</v>
      </c>
      <c r="L1657" s="1">
        <v>94</v>
      </c>
      <c r="M1657" s="2">
        <v>41971</v>
      </c>
      <c r="N1657" s="1">
        <v>94</v>
      </c>
      <c r="O1657" s="2">
        <v>41971</v>
      </c>
      <c r="P1657" s="1">
        <v>4594</v>
      </c>
      <c r="Q1657" s="1" t="s">
        <v>197</v>
      </c>
      <c r="R1657" s="2">
        <v>42006</v>
      </c>
      <c r="S1657" s="1">
        <v>35933</v>
      </c>
      <c r="U1657" s="1">
        <v>691</v>
      </c>
      <c r="V1657" s="1" t="s">
        <v>15834</v>
      </c>
      <c r="W1657" s="1" t="s">
        <v>1056</v>
      </c>
      <c r="X1657" s="1">
        <v>691</v>
      </c>
      <c r="Y1657" s="1">
        <v>4</v>
      </c>
      <c r="Z1657" s="1" t="s">
        <v>370</v>
      </c>
      <c r="AA1657" s="1" t="s">
        <v>1057</v>
      </c>
      <c r="AB1657" s="1">
        <v>60031</v>
      </c>
      <c r="AD1657" s="1" t="s">
        <v>4200</v>
      </c>
      <c r="AE1657" s="1" t="s">
        <v>15835</v>
      </c>
      <c r="AF1657" s="1">
        <v>1976</v>
      </c>
      <c r="AG1657" s="1" t="s">
        <v>213</v>
      </c>
      <c r="AH1657" s="1" t="s">
        <v>1060</v>
      </c>
      <c r="AI1657" s="1" t="s">
        <v>509</v>
      </c>
      <c r="AJ1657" s="1" t="s">
        <v>1061</v>
      </c>
      <c r="AK1657" s="1" t="s">
        <v>15836</v>
      </c>
      <c r="AL1657" s="1">
        <v>6</v>
      </c>
      <c r="AM1657" s="1">
        <v>2</v>
      </c>
      <c r="AN1657" s="1">
        <v>2</v>
      </c>
      <c r="AO1657" s="1">
        <v>0</v>
      </c>
      <c r="AP1657" s="1" t="s">
        <v>209</v>
      </c>
      <c r="AQ1657" s="1">
        <v>1</v>
      </c>
      <c r="AR1657" s="1" t="s">
        <v>210</v>
      </c>
      <c r="AS1657" s="1" t="s">
        <v>204</v>
      </c>
      <c r="AT1657" s="1" t="s">
        <v>211</v>
      </c>
      <c r="AU1657" s="1">
        <v>1</v>
      </c>
      <c r="AW1657" s="1" t="s">
        <v>204</v>
      </c>
      <c r="AX1657" s="1" t="s">
        <v>212</v>
      </c>
      <c r="AZ1657" s="1">
        <v>3074.55</v>
      </c>
      <c r="BA1657" s="1">
        <v>2012</v>
      </c>
      <c r="BB1657" s="1" t="s">
        <v>405</v>
      </c>
      <c r="BE1657" s="1">
        <v>1162</v>
      </c>
      <c r="BF1657" s="1">
        <v>1</v>
      </c>
      <c r="BG1657" s="1">
        <v>5</v>
      </c>
      <c r="BL1657" s="1">
        <v>351</v>
      </c>
      <c r="BM1657" s="1" t="s">
        <v>204</v>
      </c>
      <c r="BN1657" s="1" t="s">
        <v>213</v>
      </c>
      <c r="BO1657" s="1">
        <v>90</v>
      </c>
      <c r="BP1657" s="1" t="s">
        <v>204</v>
      </c>
      <c r="BR1657" s="1" t="str">
        <f>"07282010370000"</f>
        <v>07282010370000</v>
      </c>
      <c r="BT1657" s="1" t="s">
        <v>15837</v>
      </c>
      <c r="BU1657" s="1" t="s">
        <v>1064</v>
      </c>
      <c r="BV1657" s="1" t="s">
        <v>1065</v>
      </c>
      <c r="BW1657" s="1" t="s">
        <v>1066</v>
      </c>
      <c r="BX1657" s="1">
        <v>50</v>
      </c>
      <c r="BY1657" s="1">
        <v>50</v>
      </c>
      <c r="BZ1657" s="1">
        <v>121</v>
      </c>
      <c r="CB1657" s="1" t="str">
        <f>"33"</f>
        <v>33</v>
      </c>
      <c r="CC1657" s="1" t="str">
        <f>"0"</f>
        <v>0</v>
      </c>
      <c r="CD1657" s="1">
        <v>15</v>
      </c>
      <c r="CE1657" s="1">
        <v>0</v>
      </c>
      <c r="CG1657" s="1" t="s">
        <v>628</v>
      </c>
      <c r="CH1657" s="1" t="s">
        <v>219</v>
      </c>
      <c r="CI1657" s="1" t="s">
        <v>229</v>
      </c>
      <c r="CJ1657" s="1" t="s">
        <v>252</v>
      </c>
      <c r="CK1657" s="1" t="s">
        <v>378</v>
      </c>
      <c r="CL1657" s="1" t="s">
        <v>219</v>
      </c>
      <c r="CM1657" s="1" t="s">
        <v>229</v>
      </c>
      <c r="CN1657" s="1" t="s">
        <v>252</v>
      </c>
      <c r="CO1657" s="1" t="s">
        <v>629</v>
      </c>
      <c r="CP1657" s="1" t="s">
        <v>219</v>
      </c>
      <c r="CS1657" s="1" t="s">
        <v>490</v>
      </c>
      <c r="CT1657" s="1" t="s">
        <v>277</v>
      </c>
      <c r="CU1657" s="1" t="s">
        <v>229</v>
      </c>
      <c r="CV1657" s="1" t="s">
        <v>252</v>
      </c>
      <c r="CX1657" s="1" t="s">
        <v>224</v>
      </c>
      <c r="DB1657" s="1" t="s">
        <v>224</v>
      </c>
      <c r="DE1657" s="1" t="s">
        <v>465</v>
      </c>
      <c r="DF1657" s="1" t="s">
        <v>219</v>
      </c>
      <c r="DG1657" s="1" t="s">
        <v>226</v>
      </c>
      <c r="DH1657" s="1" t="s">
        <v>252</v>
      </c>
      <c r="DJ1657" s="1" t="s">
        <v>224</v>
      </c>
      <c r="DM1657" s="1" t="s">
        <v>464</v>
      </c>
      <c r="DR1657" s="1" t="s">
        <v>1046</v>
      </c>
      <c r="DS1657" s="1" t="s">
        <v>277</v>
      </c>
      <c r="DT1657" s="1" t="s">
        <v>229</v>
      </c>
      <c r="DU1657" s="1" t="s">
        <v>252</v>
      </c>
      <c r="DW1657" s="1" t="s">
        <v>230</v>
      </c>
      <c r="EA1657" s="1" t="s">
        <v>230</v>
      </c>
      <c r="EE1657" s="1" t="s">
        <v>230</v>
      </c>
      <c r="EI1657" s="1" t="s">
        <v>230</v>
      </c>
      <c r="EL1657" s="1" t="s">
        <v>231</v>
      </c>
      <c r="EM1657" s="1" t="s">
        <v>319</v>
      </c>
      <c r="EN1657" s="1" t="s">
        <v>282</v>
      </c>
      <c r="EO1657" s="1" t="s">
        <v>234</v>
      </c>
      <c r="EP1657" s="1" t="s">
        <v>15838</v>
      </c>
      <c r="EQ1657" s="1" t="s">
        <v>468</v>
      </c>
      <c r="ER1657" s="1" t="s">
        <v>210</v>
      </c>
      <c r="EU1657" s="1" t="s">
        <v>239</v>
      </c>
      <c r="EV1657" s="1" t="s">
        <v>1553</v>
      </c>
      <c r="EW1657" s="1" t="s">
        <v>15839</v>
      </c>
      <c r="EY1657" s="1" t="s">
        <v>242</v>
      </c>
      <c r="EZ1657" s="1" t="s">
        <v>464</v>
      </c>
      <c r="FC1657" s="1" t="s">
        <v>326</v>
      </c>
      <c r="FD1657" s="1" t="s">
        <v>246</v>
      </c>
      <c r="FE1657" s="1" t="s">
        <v>889</v>
      </c>
      <c r="FF1657" s="1" t="s">
        <v>387</v>
      </c>
      <c r="FG1657" s="1" t="s">
        <v>939</v>
      </c>
      <c r="FH1657" s="1" t="s">
        <v>550</v>
      </c>
      <c r="FI1657" s="1" t="s">
        <v>473</v>
      </c>
      <c r="FJ1657" s="1" t="s">
        <v>197</v>
      </c>
      <c r="FL1657" s="1" t="s">
        <v>358</v>
      </c>
      <c r="FM1657" s="1" t="s">
        <v>252</v>
      </c>
      <c r="FN1657" s="1" t="s">
        <v>213</v>
      </c>
      <c r="FO1657" s="1" t="s">
        <v>213</v>
      </c>
      <c r="FQ1657" s="1" t="s">
        <v>14348</v>
      </c>
      <c r="FR1657" s="1" t="s">
        <v>210</v>
      </c>
      <c r="FS1657" s="1" t="s">
        <v>15840</v>
      </c>
      <c r="FT1657" s="1" t="s">
        <v>255</v>
      </c>
      <c r="FU1657" s="1" t="s">
        <v>204</v>
      </c>
      <c r="FW1657" s="1" t="s">
        <v>585</v>
      </c>
      <c r="FX1657" s="1">
        <v>2050</v>
      </c>
      <c r="FY1657" s="1" t="s">
        <v>4207</v>
      </c>
      <c r="FZ1657" s="1" t="s">
        <v>14350</v>
      </c>
      <c r="GA1657" s="1">
        <v>18821</v>
      </c>
      <c r="GB1657" s="1" t="s">
        <v>14351</v>
      </c>
      <c r="GE1657" s="1" t="s">
        <v>480</v>
      </c>
      <c r="GI1657" s="1" t="s">
        <v>213</v>
      </c>
      <c r="GJ1657" s="1" t="s">
        <v>260</v>
      </c>
      <c r="GK1657" s="1" t="s">
        <v>210</v>
      </c>
      <c r="GL1657" s="2">
        <v>42009</v>
      </c>
      <c r="GM1657" s="1" t="s">
        <v>15841</v>
      </c>
    </row>
    <row r="1658" spans="1:195">
      <c r="A1658" s="1">
        <v>95000</v>
      </c>
      <c r="B1658" s="1" t="s">
        <v>195</v>
      </c>
      <c r="C1658" s="1" t="str">
        <f>"08709795"</f>
        <v>08709795</v>
      </c>
      <c r="D1658" s="1" t="s">
        <v>196</v>
      </c>
      <c r="F1658" s="1" t="str">
        <f>"514"</f>
        <v>514</v>
      </c>
      <c r="G1658" s="2">
        <v>41874</v>
      </c>
      <c r="H1658" s="1">
        <v>114900</v>
      </c>
      <c r="I1658" s="1">
        <v>99000</v>
      </c>
      <c r="J1658" s="1">
        <v>95000</v>
      </c>
      <c r="K1658" s="2">
        <v>41874</v>
      </c>
      <c r="L1658" s="1">
        <v>47</v>
      </c>
      <c r="M1658" s="2">
        <v>41920</v>
      </c>
      <c r="N1658" s="1">
        <v>47</v>
      </c>
      <c r="O1658" s="2">
        <v>41920</v>
      </c>
      <c r="P1658" s="1">
        <v>22375</v>
      </c>
      <c r="Q1658" s="1" t="s">
        <v>197</v>
      </c>
      <c r="R1658" s="2">
        <v>41969</v>
      </c>
      <c r="S1658" s="1">
        <v>240257</v>
      </c>
      <c r="U1658" s="1">
        <v>530</v>
      </c>
      <c r="V1658" s="1" t="s">
        <v>15842</v>
      </c>
      <c r="W1658" s="1" t="s">
        <v>264</v>
      </c>
      <c r="X1658" s="1">
        <v>12</v>
      </c>
      <c r="Y1658" s="1">
        <v>17</v>
      </c>
      <c r="Z1658" s="1" t="s">
        <v>249</v>
      </c>
      <c r="AA1658" s="1" t="s">
        <v>2691</v>
      </c>
      <c r="AB1658" s="1">
        <v>60514</v>
      </c>
      <c r="AE1658" s="1" t="s">
        <v>15843</v>
      </c>
      <c r="AF1658" s="1">
        <v>1965</v>
      </c>
      <c r="AG1658" s="1" t="s">
        <v>213</v>
      </c>
      <c r="AH1658" s="1" t="s">
        <v>2693</v>
      </c>
      <c r="AI1658" s="1" t="s">
        <v>206</v>
      </c>
      <c r="AJ1658" s="1" t="s">
        <v>903</v>
      </c>
      <c r="AL1658" s="1">
        <v>5</v>
      </c>
      <c r="AM1658" s="1">
        <v>2</v>
      </c>
      <c r="AN1658" s="1">
        <v>1</v>
      </c>
      <c r="AO1658" s="1">
        <v>1</v>
      </c>
      <c r="AP1658" s="1" t="s">
        <v>1234</v>
      </c>
      <c r="AR1658" s="1" t="s">
        <v>210</v>
      </c>
      <c r="AT1658" s="1" t="s">
        <v>271</v>
      </c>
      <c r="AV1658" s="1">
        <v>2</v>
      </c>
      <c r="AW1658" s="1" t="s">
        <v>204</v>
      </c>
      <c r="AX1658" s="1">
        <v>0</v>
      </c>
      <c r="AZ1658" s="1">
        <v>1218</v>
      </c>
      <c r="BA1658" s="1">
        <v>2013</v>
      </c>
      <c r="BE1658" s="1">
        <v>1100</v>
      </c>
      <c r="BF1658" s="1">
        <v>2</v>
      </c>
      <c r="BG1658" s="1">
        <v>0</v>
      </c>
      <c r="BL1658" s="1">
        <v>254</v>
      </c>
      <c r="BM1658" s="1" t="s">
        <v>204</v>
      </c>
      <c r="BN1658" s="1" t="s">
        <v>213</v>
      </c>
      <c r="BO1658" s="1">
        <v>35</v>
      </c>
      <c r="BP1658" s="1" t="s">
        <v>204</v>
      </c>
      <c r="BR1658" s="1" t="str">
        <f>"0914122053"</f>
        <v>0914122053</v>
      </c>
      <c r="BT1658" s="1" t="s">
        <v>15844</v>
      </c>
      <c r="BU1658" s="1" t="s">
        <v>2980</v>
      </c>
      <c r="BV1658" s="1" t="s">
        <v>2981</v>
      </c>
      <c r="BW1658" s="1" t="s">
        <v>1546</v>
      </c>
      <c r="BX1658" s="1">
        <v>60</v>
      </c>
      <c r="BY1658" s="1">
        <v>60</v>
      </c>
      <c r="BZ1658" s="1">
        <v>86</v>
      </c>
      <c r="CB1658" s="1" t="str">
        <f t="shared" ref="CB1658:CC1658" si="1259">""</f>
        <v/>
      </c>
      <c r="CC1658" s="1" t="str">
        <f t="shared" si="1259"/>
        <v/>
      </c>
      <c r="CG1658" s="1" t="s">
        <v>7600</v>
      </c>
      <c r="CH1658" s="1" t="s">
        <v>219</v>
      </c>
      <c r="CI1658" s="1" t="s">
        <v>229</v>
      </c>
      <c r="CK1658" s="1" t="s">
        <v>344</v>
      </c>
      <c r="CL1658" s="1" t="s">
        <v>219</v>
      </c>
      <c r="CM1658" s="1" t="s">
        <v>229</v>
      </c>
      <c r="CO1658" s="1" t="s">
        <v>629</v>
      </c>
      <c r="CP1658" s="1" t="s">
        <v>219</v>
      </c>
      <c r="CQ1658" s="1" t="s">
        <v>229</v>
      </c>
      <c r="CS1658" s="1" t="s">
        <v>346</v>
      </c>
      <c r="CT1658" s="1" t="s">
        <v>219</v>
      </c>
      <c r="CX1658" s="1" t="s">
        <v>224</v>
      </c>
      <c r="DB1658" s="1" t="s">
        <v>224</v>
      </c>
      <c r="DE1658" s="1" t="s">
        <v>281</v>
      </c>
      <c r="DF1658" s="1" t="s">
        <v>219</v>
      </c>
      <c r="DG1658" s="1" t="s">
        <v>15003</v>
      </c>
      <c r="DJ1658" s="1" t="s">
        <v>224</v>
      </c>
      <c r="DS1658" s="1" t="s">
        <v>230</v>
      </c>
      <c r="DW1658" s="1" t="s">
        <v>230</v>
      </c>
      <c r="EA1658" s="1" t="s">
        <v>230</v>
      </c>
      <c r="EE1658" s="1" t="s">
        <v>230</v>
      </c>
      <c r="EI1658" s="1" t="s">
        <v>230</v>
      </c>
      <c r="EL1658" s="1" t="s">
        <v>605</v>
      </c>
      <c r="EM1658" s="1" t="s">
        <v>232</v>
      </c>
      <c r="EN1658" s="1" t="s">
        <v>1158</v>
      </c>
      <c r="EO1658" s="1" t="s">
        <v>234</v>
      </c>
      <c r="ER1658" s="1" t="s">
        <v>210</v>
      </c>
      <c r="EW1658" s="1" t="s">
        <v>2765</v>
      </c>
      <c r="EZ1658" s="1" t="s">
        <v>287</v>
      </c>
      <c r="FD1658" s="1" t="s">
        <v>290</v>
      </c>
      <c r="FE1658" s="1" t="s">
        <v>247</v>
      </c>
      <c r="FF1658" s="1" t="s">
        <v>248</v>
      </c>
      <c r="FH1658" s="1" t="s">
        <v>249</v>
      </c>
      <c r="FL1658" s="1" t="s">
        <v>1164</v>
      </c>
      <c r="FM1658" s="1" t="s">
        <v>252</v>
      </c>
      <c r="FN1658" s="1" t="s">
        <v>213</v>
      </c>
      <c r="FO1658" s="1" t="s">
        <v>213</v>
      </c>
      <c r="FQ1658" s="1" t="s">
        <v>3545</v>
      </c>
      <c r="FR1658" s="1" t="s">
        <v>210</v>
      </c>
      <c r="FS1658" s="1" t="s">
        <v>15845</v>
      </c>
      <c r="FT1658" s="1" t="s">
        <v>295</v>
      </c>
      <c r="FU1658" s="1" t="s">
        <v>204</v>
      </c>
      <c r="FW1658" s="1" t="s">
        <v>6907</v>
      </c>
      <c r="FX1658" s="1">
        <v>22010</v>
      </c>
      <c r="FY1658" s="1" t="s">
        <v>6908</v>
      </c>
      <c r="FZ1658" s="1" t="s">
        <v>15846</v>
      </c>
      <c r="GA1658" s="1">
        <v>922973</v>
      </c>
      <c r="GD1658" s="1" t="s">
        <v>15847</v>
      </c>
      <c r="GE1658" s="1" t="s">
        <v>210</v>
      </c>
      <c r="GI1658" s="1" t="s">
        <v>213</v>
      </c>
      <c r="GJ1658" s="1" t="s">
        <v>260</v>
      </c>
      <c r="GK1658" s="1" t="s">
        <v>210</v>
      </c>
      <c r="GL1658" s="2">
        <v>41989</v>
      </c>
    </row>
    <row r="1659" spans="1:195">
      <c r="A1659" s="1">
        <v>133000</v>
      </c>
      <c r="B1659" s="1" t="s">
        <v>195</v>
      </c>
      <c r="C1659" s="1" t="str">
        <f>"08816547"</f>
        <v>08816547</v>
      </c>
      <c r="D1659" s="1" t="s">
        <v>196</v>
      </c>
      <c r="F1659" s="1" t="str">
        <f>"73"</f>
        <v>73</v>
      </c>
      <c r="G1659" s="2">
        <v>42018</v>
      </c>
      <c r="H1659" s="1">
        <v>131900</v>
      </c>
      <c r="I1659" s="1">
        <v>131900</v>
      </c>
      <c r="J1659" s="1">
        <v>133000</v>
      </c>
      <c r="K1659" s="2">
        <v>42018</v>
      </c>
      <c r="L1659" s="1">
        <v>24</v>
      </c>
      <c r="M1659" s="2">
        <v>42041</v>
      </c>
      <c r="N1659" s="1">
        <v>24</v>
      </c>
      <c r="O1659" s="2">
        <v>42041</v>
      </c>
      <c r="P1659" s="1">
        <v>2411</v>
      </c>
      <c r="Q1659" s="1" t="s">
        <v>1393</v>
      </c>
      <c r="R1659" s="2">
        <v>42081</v>
      </c>
      <c r="S1659" s="1">
        <v>15497</v>
      </c>
      <c r="U1659" s="1">
        <v>1448</v>
      </c>
      <c r="V1659" s="1" t="s">
        <v>8323</v>
      </c>
      <c r="W1659" s="1" t="s">
        <v>504</v>
      </c>
      <c r="Y1659" s="1">
        <v>4</v>
      </c>
      <c r="Z1659" s="1" t="s">
        <v>370</v>
      </c>
      <c r="AA1659" s="1" t="s">
        <v>1259</v>
      </c>
      <c r="AB1659" s="1">
        <v>60073</v>
      </c>
      <c r="AE1659" s="1" t="s">
        <v>15848</v>
      </c>
      <c r="AF1659" s="1">
        <v>2005</v>
      </c>
      <c r="AG1659" s="1" t="s">
        <v>204</v>
      </c>
      <c r="AH1659" s="1" t="s">
        <v>1262</v>
      </c>
      <c r="AI1659" s="1" t="s">
        <v>509</v>
      </c>
      <c r="AJ1659" s="1" t="s">
        <v>1263</v>
      </c>
      <c r="AL1659" s="1">
        <v>5</v>
      </c>
      <c r="AM1659" s="1">
        <v>2</v>
      </c>
      <c r="AN1659" s="1">
        <v>2</v>
      </c>
      <c r="AO1659" s="1">
        <v>1</v>
      </c>
      <c r="AP1659" s="1" t="s">
        <v>209</v>
      </c>
      <c r="AQ1659" s="1">
        <v>1</v>
      </c>
      <c r="AR1659" s="1" t="s">
        <v>4448</v>
      </c>
      <c r="AS1659" s="1" t="s">
        <v>204</v>
      </c>
      <c r="AT1659" s="1" t="s">
        <v>211</v>
      </c>
      <c r="AU1659" s="1">
        <v>2</v>
      </c>
      <c r="AW1659" s="1" t="s">
        <v>204</v>
      </c>
      <c r="AX1659" s="1" t="s">
        <v>212</v>
      </c>
      <c r="AZ1659" s="1">
        <v>5281.42</v>
      </c>
      <c r="BA1659" s="1">
        <v>2013</v>
      </c>
      <c r="BE1659" s="1">
        <v>1649</v>
      </c>
      <c r="BF1659" s="1">
        <v>1</v>
      </c>
      <c r="BG1659" s="1">
        <v>0</v>
      </c>
      <c r="BL1659" s="1">
        <v>210</v>
      </c>
      <c r="BM1659" s="1" t="s">
        <v>204</v>
      </c>
      <c r="BN1659" s="1" t="s">
        <v>213</v>
      </c>
      <c r="BO1659" s="1">
        <v>0</v>
      </c>
      <c r="BP1659" s="1" t="s">
        <v>204</v>
      </c>
      <c r="BR1659" s="1" t="str">
        <f>"06193041190000"</f>
        <v>06193041190000</v>
      </c>
      <c r="BT1659" s="1" t="s">
        <v>15849</v>
      </c>
      <c r="BX1659" s="1">
        <v>116</v>
      </c>
      <c r="BY1659" s="1">
        <v>116</v>
      </c>
      <c r="BZ1659" s="1">
        <v>116</v>
      </c>
      <c r="CB1659" s="1" t="str">
        <f t="shared" ref="CB1659:CC1659" si="1260">""</f>
        <v/>
      </c>
      <c r="CC1659" s="1" t="str">
        <f t="shared" si="1260"/>
        <v/>
      </c>
      <c r="CG1659" s="1" t="s">
        <v>757</v>
      </c>
      <c r="CH1659" s="1" t="s">
        <v>219</v>
      </c>
      <c r="CK1659" s="1" t="s">
        <v>932</v>
      </c>
      <c r="CL1659" s="1" t="s">
        <v>277</v>
      </c>
      <c r="CO1659" s="1" t="s">
        <v>461</v>
      </c>
      <c r="CP1659" s="1" t="s">
        <v>219</v>
      </c>
      <c r="CS1659" s="1" t="s">
        <v>379</v>
      </c>
      <c r="CT1659" s="1" t="s">
        <v>277</v>
      </c>
      <c r="CX1659" s="1" t="s">
        <v>224</v>
      </c>
      <c r="DB1659" s="1" t="s">
        <v>224</v>
      </c>
      <c r="DE1659" s="1" t="s">
        <v>317</v>
      </c>
      <c r="DF1659" s="1" t="s">
        <v>219</v>
      </c>
      <c r="DJ1659" s="1" t="s">
        <v>224</v>
      </c>
      <c r="DS1659" s="1" t="s">
        <v>230</v>
      </c>
      <c r="DW1659" s="1" t="s">
        <v>230</v>
      </c>
      <c r="EA1659" s="1" t="s">
        <v>230</v>
      </c>
      <c r="EE1659" s="1" t="s">
        <v>230</v>
      </c>
      <c r="EI1659" s="1" t="s">
        <v>230</v>
      </c>
      <c r="EL1659" s="1" t="s">
        <v>491</v>
      </c>
      <c r="EM1659" s="1" t="s">
        <v>319</v>
      </c>
      <c r="EN1659" s="1" t="s">
        <v>282</v>
      </c>
      <c r="EO1659" s="1" t="s">
        <v>234</v>
      </c>
      <c r="ER1659" s="1" t="s">
        <v>1249</v>
      </c>
      <c r="ET1659" s="1" t="s">
        <v>1404</v>
      </c>
      <c r="EW1659" s="1" t="s">
        <v>353</v>
      </c>
      <c r="EZ1659" s="1" t="s">
        <v>287</v>
      </c>
      <c r="FD1659" s="1" t="s">
        <v>246</v>
      </c>
      <c r="FE1659" s="1" t="s">
        <v>1031</v>
      </c>
      <c r="FF1659" s="1" t="s">
        <v>248</v>
      </c>
      <c r="FH1659" s="1" t="s">
        <v>550</v>
      </c>
      <c r="FL1659" s="1" t="s">
        <v>358</v>
      </c>
      <c r="FM1659" s="1" t="s">
        <v>252</v>
      </c>
      <c r="FN1659" s="1" t="s">
        <v>213</v>
      </c>
      <c r="FO1659" s="1" t="s">
        <v>213</v>
      </c>
      <c r="FQ1659" s="1" t="s">
        <v>689</v>
      </c>
      <c r="FR1659" s="1" t="s">
        <v>210</v>
      </c>
      <c r="FS1659" s="1" t="s">
        <v>15850</v>
      </c>
      <c r="FT1659" s="1" t="s">
        <v>584</v>
      </c>
      <c r="FU1659" s="1" t="s">
        <v>204</v>
      </c>
      <c r="FW1659" s="1" t="s">
        <v>15703</v>
      </c>
      <c r="FX1659" s="1">
        <v>3319</v>
      </c>
      <c r="FY1659" s="1" t="s">
        <v>15704</v>
      </c>
      <c r="FZ1659" s="1" t="s">
        <v>15705</v>
      </c>
      <c r="GA1659" s="1">
        <v>35055</v>
      </c>
      <c r="GE1659" s="1" t="s">
        <v>210</v>
      </c>
      <c r="GI1659" s="1" t="s">
        <v>213</v>
      </c>
      <c r="GJ1659" s="1" t="s">
        <v>260</v>
      </c>
      <c r="GK1659" s="1" t="s">
        <v>210</v>
      </c>
      <c r="GL1659" s="2">
        <v>42085</v>
      </c>
      <c r="GM1659" s="1" t="s">
        <v>15706</v>
      </c>
    </row>
    <row r="1660" spans="1:195">
      <c r="A1660" s="1">
        <v>165000</v>
      </c>
      <c r="B1660" s="1" t="s">
        <v>195</v>
      </c>
      <c r="C1660" s="1" t="str">
        <f>"08704550"</f>
        <v>08704550</v>
      </c>
      <c r="D1660" s="1" t="s">
        <v>196</v>
      </c>
      <c r="F1660" s="1" t="str">
        <f>"104"</f>
        <v>104</v>
      </c>
      <c r="G1660" s="2">
        <v>41869</v>
      </c>
      <c r="H1660" s="1">
        <v>174500</v>
      </c>
      <c r="I1660" s="1">
        <v>174500</v>
      </c>
      <c r="J1660" s="1">
        <v>165000</v>
      </c>
      <c r="K1660" s="2">
        <v>41869</v>
      </c>
      <c r="L1660" s="1">
        <v>71</v>
      </c>
      <c r="M1660" s="2">
        <v>41939</v>
      </c>
      <c r="N1660" s="1">
        <v>71</v>
      </c>
      <c r="O1660" s="2">
        <v>41939</v>
      </c>
      <c r="P1660" s="1">
        <v>22205</v>
      </c>
      <c r="Q1660" s="1" t="s">
        <v>423</v>
      </c>
      <c r="R1660" s="2">
        <v>41983</v>
      </c>
      <c r="S1660" s="1">
        <v>239144</v>
      </c>
      <c r="U1660" s="1">
        <v>1102</v>
      </c>
      <c r="V1660" s="1" t="s">
        <v>15851</v>
      </c>
      <c r="W1660" s="1" t="s">
        <v>1056</v>
      </c>
      <c r="Y1660" s="1">
        <v>4</v>
      </c>
      <c r="Z1660" s="1" t="s">
        <v>370</v>
      </c>
      <c r="AA1660" s="1" t="s">
        <v>371</v>
      </c>
      <c r="AB1660" s="1">
        <v>60103</v>
      </c>
      <c r="AD1660" s="1" t="s">
        <v>14274</v>
      </c>
      <c r="AE1660" s="1" t="s">
        <v>15852</v>
      </c>
      <c r="AF1660" s="1">
        <v>1991</v>
      </c>
      <c r="AG1660" s="1" t="s">
        <v>204</v>
      </c>
      <c r="AH1660" s="1" t="s">
        <v>373</v>
      </c>
      <c r="AI1660" s="1" t="s">
        <v>206</v>
      </c>
      <c r="AJ1660" s="1" t="s">
        <v>2654</v>
      </c>
      <c r="AK1660" s="1" t="s">
        <v>7041</v>
      </c>
      <c r="AL1660" s="1">
        <v>6</v>
      </c>
      <c r="AM1660" s="1">
        <v>2</v>
      </c>
      <c r="AN1660" s="1">
        <v>2</v>
      </c>
      <c r="AO1660" s="1">
        <v>1</v>
      </c>
      <c r="AP1660" s="1" t="s">
        <v>209</v>
      </c>
      <c r="AQ1660" s="1">
        <v>1</v>
      </c>
      <c r="AR1660" s="1" t="s">
        <v>210</v>
      </c>
      <c r="AS1660" s="1" t="s">
        <v>204</v>
      </c>
      <c r="AT1660" s="1" t="s">
        <v>211</v>
      </c>
      <c r="AU1660" s="1">
        <v>2</v>
      </c>
      <c r="AW1660" s="1" t="s">
        <v>204</v>
      </c>
      <c r="AX1660" s="1" t="s">
        <v>15853</v>
      </c>
      <c r="AZ1660" s="1">
        <v>5028</v>
      </c>
      <c r="BA1660" s="1">
        <v>2013</v>
      </c>
      <c r="BB1660" s="1" t="s">
        <v>405</v>
      </c>
      <c r="BE1660" s="1">
        <v>1452</v>
      </c>
      <c r="BF1660" s="1">
        <v>1</v>
      </c>
      <c r="BG1660" s="1">
        <v>1</v>
      </c>
      <c r="BL1660" s="1">
        <v>262</v>
      </c>
      <c r="BM1660" s="1" t="s">
        <v>204</v>
      </c>
      <c r="BN1660" s="1" t="s">
        <v>213</v>
      </c>
      <c r="BO1660" s="1">
        <v>0</v>
      </c>
      <c r="BP1660" s="1" t="s">
        <v>204</v>
      </c>
      <c r="BR1660" s="1" t="str">
        <f>"0101309049"</f>
        <v>0101309049</v>
      </c>
      <c r="BT1660" s="1" t="s">
        <v>15854</v>
      </c>
      <c r="BU1660" s="1" t="s">
        <v>15855</v>
      </c>
      <c r="BV1660" s="1" t="s">
        <v>3623</v>
      </c>
      <c r="BW1660" s="1" t="s">
        <v>4121</v>
      </c>
      <c r="BX1660" s="1">
        <v>46</v>
      </c>
      <c r="BY1660" s="1">
        <v>46</v>
      </c>
      <c r="BZ1660" s="1">
        <v>46</v>
      </c>
      <c r="CB1660" s="1" t="str">
        <f>"7"</f>
        <v>7</v>
      </c>
      <c r="CC1660" s="1" t="str">
        <f>"0"</f>
        <v>0</v>
      </c>
      <c r="CD1660" s="1">
        <v>27</v>
      </c>
      <c r="CE1660" s="1">
        <v>0</v>
      </c>
      <c r="CG1660" s="1" t="s">
        <v>315</v>
      </c>
      <c r="CH1660" s="1" t="s">
        <v>219</v>
      </c>
      <c r="CI1660" s="1" t="s">
        <v>438</v>
      </c>
      <c r="CK1660" s="1" t="s">
        <v>1267</v>
      </c>
      <c r="CL1660" s="1" t="s">
        <v>277</v>
      </c>
      <c r="CM1660" s="1" t="s">
        <v>438</v>
      </c>
      <c r="CO1660" s="1" t="s">
        <v>951</v>
      </c>
      <c r="CP1660" s="1" t="s">
        <v>219</v>
      </c>
      <c r="CQ1660" s="1" t="s">
        <v>438</v>
      </c>
      <c r="CR1660" s="1" t="s">
        <v>210</v>
      </c>
      <c r="CS1660" s="1" t="s">
        <v>461</v>
      </c>
      <c r="CT1660" s="1" t="s">
        <v>277</v>
      </c>
      <c r="CU1660" s="1" t="s">
        <v>438</v>
      </c>
      <c r="CX1660" s="1" t="s">
        <v>224</v>
      </c>
      <c r="DB1660" s="1" t="s">
        <v>224</v>
      </c>
      <c r="DE1660" s="1" t="s">
        <v>378</v>
      </c>
      <c r="DF1660" s="1" t="s">
        <v>219</v>
      </c>
      <c r="DG1660" s="1" t="s">
        <v>438</v>
      </c>
      <c r="DH1660" s="1" t="s">
        <v>210</v>
      </c>
      <c r="DJ1660" s="1" t="s">
        <v>224</v>
      </c>
      <c r="DM1660" s="1" t="s">
        <v>1548</v>
      </c>
      <c r="DR1660" s="1" t="s">
        <v>409</v>
      </c>
      <c r="DS1660" s="1" t="s">
        <v>219</v>
      </c>
      <c r="DT1660" s="1" t="s">
        <v>438</v>
      </c>
      <c r="DU1660" s="1" t="s">
        <v>210</v>
      </c>
      <c r="DW1660" s="1" t="s">
        <v>230</v>
      </c>
      <c r="EA1660" s="1" t="s">
        <v>230</v>
      </c>
      <c r="EE1660" s="1" t="s">
        <v>230</v>
      </c>
      <c r="EI1660" s="1" t="s">
        <v>230</v>
      </c>
      <c r="EL1660" s="1" t="s">
        <v>382</v>
      </c>
      <c r="EM1660" s="1" t="s">
        <v>319</v>
      </c>
      <c r="EN1660" s="1" t="s">
        <v>282</v>
      </c>
      <c r="EO1660" s="1" t="s">
        <v>234</v>
      </c>
      <c r="EP1660" s="1" t="s">
        <v>650</v>
      </c>
      <c r="EQ1660" s="1" t="s">
        <v>8369</v>
      </c>
      <c r="ER1660" s="1" t="s">
        <v>383</v>
      </c>
      <c r="ES1660" s="1" t="s">
        <v>824</v>
      </c>
      <c r="ET1660" s="1" t="s">
        <v>238</v>
      </c>
      <c r="EV1660" s="1" t="s">
        <v>352</v>
      </c>
      <c r="EW1660" s="1" t="s">
        <v>353</v>
      </c>
      <c r="EY1660" s="1" t="s">
        <v>1315</v>
      </c>
      <c r="EZ1660" s="1" t="s">
        <v>1548</v>
      </c>
      <c r="FA1660" s="1" t="s">
        <v>672</v>
      </c>
      <c r="FB1660" s="1" t="s">
        <v>289</v>
      </c>
      <c r="FD1660" s="1" t="s">
        <v>246</v>
      </c>
      <c r="FE1660" s="1" t="s">
        <v>975</v>
      </c>
      <c r="FF1660" s="1" t="s">
        <v>248</v>
      </c>
      <c r="FG1660" s="1" t="s">
        <v>1682</v>
      </c>
      <c r="FH1660" s="1" t="s">
        <v>550</v>
      </c>
      <c r="FL1660" s="1" t="s">
        <v>358</v>
      </c>
      <c r="FM1660" s="1" t="s">
        <v>252</v>
      </c>
      <c r="FN1660" s="1" t="s">
        <v>213</v>
      </c>
      <c r="FO1660" s="1" t="s">
        <v>204</v>
      </c>
      <c r="FQ1660" s="1" t="s">
        <v>12192</v>
      </c>
      <c r="FR1660" s="1" t="s">
        <v>210</v>
      </c>
      <c r="FS1660" s="1" t="s">
        <v>15856</v>
      </c>
      <c r="FT1660" s="1" t="s">
        <v>1139</v>
      </c>
      <c r="FU1660" s="1" t="s">
        <v>204</v>
      </c>
      <c r="FW1660" s="1" t="s">
        <v>15857</v>
      </c>
      <c r="FX1660" s="1">
        <v>24426</v>
      </c>
      <c r="FY1660" s="1" t="s">
        <v>15858</v>
      </c>
      <c r="FZ1660" s="1" t="s">
        <v>15859</v>
      </c>
      <c r="GA1660" s="1">
        <v>244868</v>
      </c>
      <c r="GB1660" s="1" t="s">
        <v>15860</v>
      </c>
      <c r="GE1660" s="1" t="s">
        <v>480</v>
      </c>
      <c r="GI1660" s="1" t="s">
        <v>213</v>
      </c>
      <c r="GJ1660" s="1" t="s">
        <v>260</v>
      </c>
      <c r="GK1660" s="1" t="s">
        <v>210</v>
      </c>
      <c r="GL1660" s="2">
        <v>42017</v>
      </c>
    </row>
    <row r="1661" spans="1:195">
      <c r="A1661" s="1">
        <v>185000</v>
      </c>
      <c r="B1661" s="1" t="s">
        <v>195</v>
      </c>
      <c r="C1661" s="1" t="str">
        <f>"08707574"</f>
        <v>08707574</v>
      </c>
      <c r="D1661" s="1" t="s">
        <v>196</v>
      </c>
      <c r="F1661" s="1" t="str">
        <f>"540"</f>
        <v>540</v>
      </c>
      <c r="G1661" s="2">
        <v>41872</v>
      </c>
      <c r="H1661" s="1">
        <v>250900</v>
      </c>
      <c r="I1661" s="1">
        <v>179900</v>
      </c>
      <c r="J1661" s="1">
        <v>185000</v>
      </c>
      <c r="K1661" s="2">
        <v>41872</v>
      </c>
      <c r="L1661" s="1">
        <v>160</v>
      </c>
      <c r="M1661" s="2">
        <v>42031</v>
      </c>
      <c r="N1661" s="1">
        <v>160</v>
      </c>
      <c r="O1661" s="2">
        <v>42031</v>
      </c>
      <c r="P1661" s="1">
        <v>23196</v>
      </c>
      <c r="Q1661" s="1" t="s">
        <v>197</v>
      </c>
      <c r="R1661" s="2">
        <v>42069</v>
      </c>
      <c r="S1661" s="1">
        <v>233870</v>
      </c>
      <c r="U1661" s="1">
        <v>3220</v>
      </c>
      <c r="V1661" s="1" t="s">
        <v>7594</v>
      </c>
      <c r="W1661" s="1" t="s">
        <v>304</v>
      </c>
      <c r="Y1661" s="1">
        <v>4</v>
      </c>
      <c r="Z1661" s="1" t="s">
        <v>370</v>
      </c>
      <c r="AA1661" s="1" t="s">
        <v>921</v>
      </c>
      <c r="AB1661" s="1">
        <v>60564</v>
      </c>
      <c r="AE1661" s="1" t="s">
        <v>15861</v>
      </c>
      <c r="AF1661" s="1">
        <v>2001</v>
      </c>
      <c r="AG1661" s="1" t="s">
        <v>204</v>
      </c>
      <c r="AH1661" s="1" t="s">
        <v>924</v>
      </c>
      <c r="AI1661" s="1" t="s">
        <v>1800</v>
      </c>
      <c r="AJ1661" s="1" t="s">
        <v>1801</v>
      </c>
      <c r="AL1661" s="1">
        <v>6</v>
      </c>
      <c r="AM1661" s="1">
        <v>2</v>
      </c>
      <c r="AN1661" s="1">
        <v>2</v>
      </c>
      <c r="AO1661" s="1">
        <v>1</v>
      </c>
      <c r="AP1661" s="1" t="s">
        <v>209</v>
      </c>
      <c r="AR1661" s="1" t="s">
        <v>210</v>
      </c>
      <c r="AS1661" s="1" t="s">
        <v>204</v>
      </c>
      <c r="AT1661" s="1" t="s">
        <v>211</v>
      </c>
      <c r="AU1661" s="1">
        <v>2</v>
      </c>
      <c r="AW1661" s="1" t="s">
        <v>204</v>
      </c>
      <c r="AX1661" s="1" t="s">
        <v>212</v>
      </c>
      <c r="AZ1661" s="1">
        <v>5344.32</v>
      </c>
      <c r="BA1661" s="1">
        <v>2012</v>
      </c>
      <c r="BE1661" s="1">
        <v>0</v>
      </c>
      <c r="BF1661" s="1">
        <v>0</v>
      </c>
      <c r="BG1661" s="1">
        <v>0</v>
      </c>
      <c r="BL1661" s="1">
        <v>185</v>
      </c>
      <c r="BM1661" s="1" t="s">
        <v>204</v>
      </c>
      <c r="BN1661" s="1" t="s">
        <v>213</v>
      </c>
      <c r="BO1661" s="1">
        <v>50</v>
      </c>
      <c r="BP1661" s="1" t="s">
        <v>204</v>
      </c>
      <c r="BR1661" s="1" t="str">
        <f>"01092050190000"</f>
        <v>01092050190000</v>
      </c>
      <c r="BT1661" s="1" t="s">
        <v>15862</v>
      </c>
      <c r="BX1661" s="1">
        <v>204</v>
      </c>
      <c r="BY1661" s="1">
        <v>204</v>
      </c>
      <c r="BZ1661" s="1">
        <v>204</v>
      </c>
      <c r="CB1661" s="1" t="str">
        <f t="shared" ref="CB1661:CC1661" si="1261">""</f>
        <v/>
      </c>
      <c r="CC1661" s="1" t="str">
        <f t="shared" si="1261"/>
        <v/>
      </c>
      <c r="CG1661" s="1" t="s">
        <v>6531</v>
      </c>
      <c r="CH1661" s="1" t="s">
        <v>219</v>
      </c>
      <c r="CK1661" s="1" t="s">
        <v>4546</v>
      </c>
      <c r="CL1661" s="1" t="s">
        <v>277</v>
      </c>
      <c r="CO1661" s="1" t="s">
        <v>629</v>
      </c>
      <c r="CP1661" s="1" t="s">
        <v>219</v>
      </c>
      <c r="CS1661" s="1" t="s">
        <v>2121</v>
      </c>
      <c r="CT1661" s="1" t="s">
        <v>277</v>
      </c>
      <c r="CX1661" s="1" t="s">
        <v>224</v>
      </c>
      <c r="DB1661" s="1" t="s">
        <v>224</v>
      </c>
      <c r="DE1661" s="1" t="s">
        <v>344</v>
      </c>
      <c r="DF1661" s="1" t="s">
        <v>219</v>
      </c>
      <c r="DJ1661" s="1" t="s">
        <v>224</v>
      </c>
      <c r="DM1661" s="1" t="s">
        <v>411</v>
      </c>
      <c r="DR1661" s="1" t="s">
        <v>490</v>
      </c>
      <c r="DS1661" s="1" t="s">
        <v>277</v>
      </c>
      <c r="DW1661" s="1" t="s">
        <v>230</v>
      </c>
      <c r="EA1661" s="1" t="s">
        <v>230</v>
      </c>
      <c r="EE1661" s="1" t="s">
        <v>230</v>
      </c>
      <c r="EI1661" s="1" t="s">
        <v>230</v>
      </c>
      <c r="EL1661" s="1" t="s">
        <v>466</v>
      </c>
      <c r="EM1661" s="1" t="s">
        <v>730</v>
      </c>
      <c r="EN1661" s="1" t="s">
        <v>282</v>
      </c>
      <c r="EO1661" s="1" t="s">
        <v>234</v>
      </c>
      <c r="ER1661" s="1" t="s">
        <v>210</v>
      </c>
      <c r="EW1661" s="1" t="s">
        <v>15863</v>
      </c>
      <c r="EZ1661" s="1" t="s">
        <v>411</v>
      </c>
      <c r="FD1661" s="1" t="s">
        <v>246</v>
      </c>
      <c r="FE1661" s="1" t="s">
        <v>386</v>
      </c>
      <c r="FF1661" s="1" t="s">
        <v>248</v>
      </c>
      <c r="FH1661" s="1" t="s">
        <v>550</v>
      </c>
      <c r="FL1661" s="1" t="s">
        <v>358</v>
      </c>
      <c r="FM1661" s="1" t="s">
        <v>252</v>
      </c>
      <c r="FN1661" s="1" t="s">
        <v>213</v>
      </c>
      <c r="FO1661" s="1" t="s">
        <v>213</v>
      </c>
      <c r="FQ1661" s="1" t="s">
        <v>1300</v>
      </c>
      <c r="FR1661" s="1" t="s">
        <v>1301</v>
      </c>
      <c r="FS1661" s="1" t="s">
        <v>15864</v>
      </c>
      <c r="FT1661" s="1" t="s">
        <v>295</v>
      </c>
      <c r="FU1661" s="1" t="s">
        <v>204</v>
      </c>
      <c r="FW1661" s="1" t="s">
        <v>1303</v>
      </c>
      <c r="FX1661" s="1">
        <v>24072</v>
      </c>
      <c r="FY1661" s="1" t="s">
        <v>1304</v>
      </c>
      <c r="FZ1661" s="1" t="s">
        <v>5472</v>
      </c>
      <c r="GA1661" s="1">
        <v>235600</v>
      </c>
      <c r="GB1661" s="1" t="s">
        <v>1304</v>
      </c>
      <c r="GC1661" s="1">
        <v>871164</v>
      </c>
      <c r="GE1661" s="1" t="s">
        <v>210</v>
      </c>
      <c r="GI1661" s="1" t="s">
        <v>213</v>
      </c>
      <c r="GJ1661" s="1" t="s">
        <v>260</v>
      </c>
      <c r="GK1661" s="1" t="s">
        <v>210</v>
      </c>
      <c r="GL1661" s="2">
        <v>42072</v>
      </c>
      <c r="GM1661" s="1" t="s">
        <v>15865</v>
      </c>
    </row>
    <row r="1662" spans="1:195">
      <c r="A1662" s="1">
        <v>205000</v>
      </c>
      <c r="B1662" s="1" t="s">
        <v>195</v>
      </c>
      <c r="C1662" s="1" t="str">
        <f>"08708554"</f>
        <v>08708554</v>
      </c>
      <c r="D1662" s="1" t="s">
        <v>196</v>
      </c>
      <c r="F1662" s="1" t="str">
        <f>"510"</f>
        <v>510</v>
      </c>
      <c r="G1662" s="2">
        <v>41873</v>
      </c>
      <c r="H1662" s="1">
        <v>209900</v>
      </c>
      <c r="I1662" s="1">
        <v>209900</v>
      </c>
      <c r="J1662" s="1">
        <v>205000</v>
      </c>
      <c r="K1662" s="2">
        <v>41873</v>
      </c>
      <c r="L1662" s="1">
        <v>64</v>
      </c>
      <c r="M1662" s="2">
        <v>41936</v>
      </c>
      <c r="N1662" s="1">
        <v>64</v>
      </c>
      <c r="O1662" s="2">
        <v>41936</v>
      </c>
      <c r="P1662" s="1">
        <v>107</v>
      </c>
      <c r="Q1662" s="1" t="s">
        <v>302</v>
      </c>
      <c r="R1662" s="2">
        <v>41991</v>
      </c>
      <c r="S1662" s="1">
        <v>1193</v>
      </c>
      <c r="U1662" s="1">
        <v>1090</v>
      </c>
      <c r="V1662" s="1" t="s">
        <v>11443</v>
      </c>
      <c r="W1662" s="1" t="s">
        <v>725</v>
      </c>
      <c r="X1662" s="1">
        <v>1090</v>
      </c>
      <c r="Y1662" s="1">
        <v>2</v>
      </c>
      <c r="Z1662" s="1" t="s">
        <v>200</v>
      </c>
      <c r="AA1662" s="1" t="s">
        <v>947</v>
      </c>
      <c r="AB1662" s="1">
        <v>60510</v>
      </c>
      <c r="AE1662" s="1" t="s">
        <v>15866</v>
      </c>
      <c r="AF1662" s="1">
        <v>1990</v>
      </c>
      <c r="AG1662" s="1" t="s">
        <v>204</v>
      </c>
      <c r="AH1662" s="1" t="s">
        <v>949</v>
      </c>
      <c r="AI1662" s="1" t="s">
        <v>665</v>
      </c>
      <c r="AJ1662" s="1" t="s">
        <v>949</v>
      </c>
      <c r="AL1662" s="1">
        <v>5</v>
      </c>
      <c r="AM1662" s="1">
        <v>2</v>
      </c>
      <c r="AN1662" s="1">
        <v>2</v>
      </c>
      <c r="AO1662" s="1">
        <v>0</v>
      </c>
      <c r="AP1662" s="1" t="s">
        <v>209</v>
      </c>
      <c r="AR1662" s="1" t="s">
        <v>209</v>
      </c>
      <c r="AS1662" s="1" t="s">
        <v>204</v>
      </c>
      <c r="AT1662" s="1" t="s">
        <v>211</v>
      </c>
      <c r="AU1662" s="1">
        <v>1</v>
      </c>
      <c r="AW1662" s="1" t="s">
        <v>204</v>
      </c>
      <c r="AX1662" s="1" t="s">
        <v>15867</v>
      </c>
      <c r="AZ1662" s="1">
        <v>4636.72</v>
      </c>
      <c r="BA1662" s="1">
        <v>2013</v>
      </c>
      <c r="BB1662" s="1" t="s">
        <v>599</v>
      </c>
      <c r="BE1662" s="1">
        <v>1239</v>
      </c>
      <c r="BF1662" s="1">
        <v>1</v>
      </c>
      <c r="BG1662" s="1">
        <v>0</v>
      </c>
      <c r="BL1662" s="1">
        <v>0</v>
      </c>
      <c r="BM1662" s="1" t="s">
        <v>204</v>
      </c>
      <c r="BN1662" s="1" t="s">
        <v>213</v>
      </c>
      <c r="BO1662" s="1">
        <v>999</v>
      </c>
      <c r="BP1662" s="1" t="s">
        <v>204</v>
      </c>
      <c r="BR1662" s="1" t="str">
        <f>"1221252003"</f>
        <v>1221252003</v>
      </c>
      <c r="BT1662" s="1" t="s">
        <v>15868</v>
      </c>
      <c r="BV1662" s="1" t="s">
        <v>6404</v>
      </c>
      <c r="BW1662" s="1" t="s">
        <v>6405</v>
      </c>
      <c r="BX1662" s="1">
        <v>101</v>
      </c>
      <c r="BY1662" s="1">
        <v>101</v>
      </c>
      <c r="BZ1662" s="1">
        <v>101</v>
      </c>
      <c r="CB1662" s="1" t="str">
        <f t="shared" ref="CB1662:CC1662" si="1262">"0"</f>
        <v>0</v>
      </c>
      <c r="CC1662" s="1" t="str">
        <f t="shared" si="1262"/>
        <v>0</v>
      </c>
      <c r="CD1662" s="1">
        <v>36</v>
      </c>
      <c r="CE1662" s="1">
        <v>1</v>
      </c>
      <c r="CG1662" s="1" t="s">
        <v>861</v>
      </c>
      <c r="CH1662" s="1" t="s">
        <v>219</v>
      </c>
      <c r="CI1662" s="1" t="s">
        <v>438</v>
      </c>
      <c r="CJ1662" s="1" t="s">
        <v>909</v>
      </c>
      <c r="CK1662" s="1" t="s">
        <v>278</v>
      </c>
      <c r="CL1662" s="1" t="s">
        <v>219</v>
      </c>
      <c r="CM1662" s="1" t="s">
        <v>438</v>
      </c>
      <c r="CN1662" s="1" t="s">
        <v>343</v>
      </c>
      <c r="CO1662" s="1" t="s">
        <v>4999</v>
      </c>
      <c r="CP1662" s="1" t="s">
        <v>219</v>
      </c>
      <c r="CQ1662" s="1" t="s">
        <v>438</v>
      </c>
      <c r="CR1662" s="1" t="s">
        <v>343</v>
      </c>
      <c r="CS1662" s="1" t="s">
        <v>2138</v>
      </c>
      <c r="CT1662" s="1" t="s">
        <v>219</v>
      </c>
      <c r="CU1662" s="1" t="s">
        <v>438</v>
      </c>
      <c r="CX1662" s="1" t="s">
        <v>224</v>
      </c>
      <c r="DB1662" s="1" t="s">
        <v>224</v>
      </c>
      <c r="DE1662" s="1" t="s">
        <v>3318</v>
      </c>
      <c r="DF1662" s="1" t="s">
        <v>219</v>
      </c>
      <c r="DG1662" s="1" t="s">
        <v>438</v>
      </c>
      <c r="DJ1662" s="1" t="s">
        <v>224</v>
      </c>
      <c r="DM1662" s="1" t="s">
        <v>603</v>
      </c>
      <c r="DN1662" s="1" t="s">
        <v>709</v>
      </c>
      <c r="DR1662" s="1" t="s">
        <v>223</v>
      </c>
      <c r="DS1662" s="1" t="s">
        <v>219</v>
      </c>
      <c r="DT1662" s="1" t="s">
        <v>220</v>
      </c>
      <c r="DU1662" s="1" t="s">
        <v>343</v>
      </c>
      <c r="DV1662" s="1" t="s">
        <v>2468</v>
      </c>
      <c r="DW1662" s="1" t="s">
        <v>219</v>
      </c>
      <c r="DX1662" s="1" t="s">
        <v>226</v>
      </c>
      <c r="EA1662" s="1" t="s">
        <v>230</v>
      </c>
      <c r="EE1662" s="1" t="s">
        <v>230</v>
      </c>
      <c r="EI1662" s="1" t="s">
        <v>230</v>
      </c>
      <c r="EL1662" s="1" t="s">
        <v>382</v>
      </c>
      <c r="EM1662" s="1" t="s">
        <v>319</v>
      </c>
      <c r="EN1662" s="1" t="s">
        <v>282</v>
      </c>
      <c r="EO1662" s="1" t="s">
        <v>840</v>
      </c>
      <c r="EP1662" s="1" t="s">
        <v>3782</v>
      </c>
      <c r="EQ1662" s="1" t="s">
        <v>953</v>
      </c>
      <c r="ER1662" s="1" t="s">
        <v>1249</v>
      </c>
      <c r="ES1662" s="1" t="s">
        <v>545</v>
      </c>
      <c r="EV1662" s="1" t="s">
        <v>324</v>
      </c>
      <c r="EW1662" s="1" t="s">
        <v>210</v>
      </c>
      <c r="EY1662" s="1" t="s">
        <v>2455</v>
      </c>
      <c r="EZ1662" s="1" t="s">
        <v>15869</v>
      </c>
      <c r="FA1662" s="1" t="s">
        <v>15870</v>
      </c>
      <c r="FD1662" s="1" t="s">
        <v>246</v>
      </c>
      <c r="FE1662" s="1" t="s">
        <v>247</v>
      </c>
      <c r="FF1662" s="1" t="s">
        <v>248</v>
      </c>
      <c r="FH1662" s="1" t="s">
        <v>442</v>
      </c>
      <c r="FL1662" s="1" t="s">
        <v>358</v>
      </c>
      <c r="FM1662" s="1" t="s">
        <v>252</v>
      </c>
      <c r="FN1662" s="1" t="s">
        <v>213</v>
      </c>
      <c r="FO1662" s="1" t="s">
        <v>213</v>
      </c>
      <c r="FQ1662" s="1" t="s">
        <v>849</v>
      </c>
      <c r="FR1662" s="1" t="s">
        <v>652</v>
      </c>
      <c r="FS1662" s="1" t="s">
        <v>1709</v>
      </c>
      <c r="FT1662" s="1" t="s">
        <v>362</v>
      </c>
      <c r="FU1662" s="1" t="s">
        <v>204</v>
      </c>
      <c r="FW1662" s="1" t="s">
        <v>2972</v>
      </c>
      <c r="FX1662" s="1">
        <v>28</v>
      </c>
      <c r="FY1662" s="1" t="s">
        <v>2973</v>
      </c>
      <c r="FZ1662" s="1" t="s">
        <v>2974</v>
      </c>
      <c r="GA1662" s="1">
        <v>1040</v>
      </c>
      <c r="GC1662" s="1">
        <v>7816</v>
      </c>
      <c r="GE1662" s="1" t="s">
        <v>210</v>
      </c>
      <c r="GI1662" s="1" t="s">
        <v>204</v>
      </c>
      <c r="GJ1662" s="1" t="s">
        <v>260</v>
      </c>
      <c r="GK1662" s="1" t="s">
        <v>261</v>
      </c>
      <c r="GL1662" s="2">
        <v>41992</v>
      </c>
      <c r="GM1662" s="1" t="s">
        <v>15871</v>
      </c>
    </row>
    <row r="1663" spans="1:195">
      <c r="A1663" s="1">
        <v>110000</v>
      </c>
      <c r="B1663" s="1" t="s">
        <v>195</v>
      </c>
      <c r="C1663" s="1" t="str">
        <f>"08720762"</f>
        <v>08720762</v>
      </c>
      <c r="D1663" s="1" t="s">
        <v>196</v>
      </c>
      <c r="F1663" s="1" t="str">
        <f>"187"</f>
        <v>187</v>
      </c>
      <c r="G1663" s="2">
        <v>41887</v>
      </c>
      <c r="H1663" s="1">
        <v>114500</v>
      </c>
      <c r="I1663" s="1">
        <v>115900</v>
      </c>
      <c r="J1663" s="1">
        <v>110000</v>
      </c>
      <c r="K1663" s="2">
        <v>41887</v>
      </c>
      <c r="L1663" s="1">
        <v>262</v>
      </c>
      <c r="M1663" s="2">
        <v>42009</v>
      </c>
      <c r="N1663" s="1">
        <v>123</v>
      </c>
      <c r="O1663" s="2">
        <v>42009</v>
      </c>
      <c r="P1663" s="1">
        <v>3552</v>
      </c>
      <c r="Q1663" s="1" t="s">
        <v>197</v>
      </c>
      <c r="R1663" s="2">
        <v>42048</v>
      </c>
      <c r="S1663" s="1">
        <v>32680</v>
      </c>
      <c r="U1663" s="1">
        <v>1656</v>
      </c>
      <c r="V1663" s="1" t="s">
        <v>7730</v>
      </c>
      <c r="W1663" s="1" t="s">
        <v>304</v>
      </c>
      <c r="X1663" s="1" t="s">
        <v>1000</v>
      </c>
      <c r="Y1663" s="1">
        <v>4</v>
      </c>
      <c r="Z1663" s="1" t="s">
        <v>249</v>
      </c>
      <c r="AA1663" s="1" t="s">
        <v>964</v>
      </c>
      <c r="AB1663" s="1">
        <v>60187</v>
      </c>
      <c r="AD1663" s="1" t="s">
        <v>7731</v>
      </c>
      <c r="AE1663" s="1" t="s">
        <v>15872</v>
      </c>
      <c r="AF1663" s="1">
        <v>1978</v>
      </c>
      <c r="AG1663" s="1" t="s">
        <v>204</v>
      </c>
      <c r="AH1663" s="1" t="s">
        <v>967</v>
      </c>
      <c r="AI1663" s="1" t="s">
        <v>206</v>
      </c>
      <c r="AJ1663" s="1" t="s">
        <v>207</v>
      </c>
      <c r="AL1663" s="1">
        <v>5</v>
      </c>
      <c r="AM1663" s="1">
        <v>2</v>
      </c>
      <c r="AN1663" s="1">
        <v>1</v>
      </c>
      <c r="AO1663" s="1">
        <v>0</v>
      </c>
      <c r="AP1663" s="1" t="s">
        <v>667</v>
      </c>
      <c r="AQ1663" s="1">
        <v>1</v>
      </c>
      <c r="AR1663" s="1" t="s">
        <v>210</v>
      </c>
      <c r="AS1663" s="1" t="s">
        <v>204</v>
      </c>
      <c r="AT1663" s="1" t="s">
        <v>211</v>
      </c>
      <c r="AU1663" s="1">
        <v>1</v>
      </c>
      <c r="AW1663" s="1" t="s">
        <v>204</v>
      </c>
      <c r="AX1663" s="1" t="s">
        <v>212</v>
      </c>
      <c r="AZ1663" s="1">
        <v>2645</v>
      </c>
      <c r="BA1663" s="1">
        <v>2013</v>
      </c>
      <c r="BE1663" s="1">
        <v>1056</v>
      </c>
      <c r="BF1663" s="1">
        <v>2</v>
      </c>
      <c r="BG1663" s="1">
        <v>0</v>
      </c>
      <c r="BL1663" s="1">
        <v>306</v>
      </c>
      <c r="BM1663" s="1" t="s">
        <v>204</v>
      </c>
      <c r="BN1663" s="1" t="s">
        <v>213</v>
      </c>
      <c r="BO1663" s="1">
        <v>0</v>
      </c>
      <c r="BP1663" s="1" t="s">
        <v>204</v>
      </c>
      <c r="BR1663" s="1" t="str">
        <f>"0527107291"</f>
        <v>0527107291</v>
      </c>
      <c r="BT1663" s="1" t="s">
        <v>15873</v>
      </c>
      <c r="BU1663" s="1" t="s">
        <v>7734</v>
      </c>
      <c r="BV1663" s="1" t="s">
        <v>216</v>
      </c>
      <c r="BW1663" s="1" t="s">
        <v>217</v>
      </c>
      <c r="BX1663" s="1">
        <v>89</v>
      </c>
      <c r="BY1663" s="1">
        <v>89</v>
      </c>
      <c r="BZ1663" s="1">
        <v>87</v>
      </c>
      <c r="CB1663" s="1" t="str">
        <f t="shared" ref="CB1663:CC1663" si="1263">""</f>
        <v/>
      </c>
      <c r="CC1663" s="1" t="str">
        <f t="shared" si="1263"/>
        <v/>
      </c>
      <c r="CG1663" s="1" t="s">
        <v>1425</v>
      </c>
      <c r="CH1663" s="1" t="s">
        <v>277</v>
      </c>
      <c r="CI1663" s="1" t="s">
        <v>220</v>
      </c>
      <c r="CJ1663" s="1" t="s">
        <v>343</v>
      </c>
      <c r="CK1663" s="1" t="s">
        <v>602</v>
      </c>
      <c r="CL1663" s="1" t="s">
        <v>277</v>
      </c>
      <c r="CM1663" s="1" t="s">
        <v>220</v>
      </c>
      <c r="CN1663" s="1" t="s">
        <v>343</v>
      </c>
      <c r="CO1663" s="1" t="s">
        <v>318</v>
      </c>
      <c r="CP1663" s="1" t="s">
        <v>277</v>
      </c>
      <c r="CQ1663" s="1" t="s">
        <v>220</v>
      </c>
      <c r="CR1663" s="1" t="s">
        <v>343</v>
      </c>
      <c r="CS1663" s="1" t="s">
        <v>1469</v>
      </c>
      <c r="CT1663" s="1" t="s">
        <v>277</v>
      </c>
      <c r="CU1663" s="1" t="s">
        <v>220</v>
      </c>
      <c r="CV1663" s="1" t="s">
        <v>343</v>
      </c>
      <c r="CX1663" s="1" t="s">
        <v>224</v>
      </c>
      <c r="DB1663" s="1" t="s">
        <v>224</v>
      </c>
      <c r="DE1663" s="1" t="s">
        <v>409</v>
      </c>
      <c r="DF1663" s="1" t="s">
        <v>277</v>
      </c>
      <c r="DJ1663" s="1" t="s">
        <v>224</v>
      </c>
      <c r="DM1663" s="1" t="s">
        <v>838</v>
      </c>
      <c r="DR1663" s="1" t="s">
        <v>7812</v>
      </c>
      <c r="DS1663" s="1" t="s">
        <v>277</v>
      </c>
      <c r="DW1663" s="1" t="s">
        <v>230</v>
      </c>
      <c r="EA1663" s="1" t="s">
        <v>230</v>
      </c>
      <c r="EE1663" s="1" t="s">
        <v>230</v>
      </c>
      <c r="EI1663" s="1" t="s">
        <v>230</v>
      </c>
      <c r="EL1663" s="1" t="s">
        <v>231</v>
      </c>
      <c r="EM1663" s="1" t="s">
        <v>319</v>
      </c>
      <c r="EN1663" s="1" t="s">
        <v>282</v>
      </c>
      <c r="EO1663" s="1" t="s">
        <v>234</v>
      </c>
      <c r="EQ1663" s="1" t="s">
        <v>1094</v>
      </c>
      <c r="ER1663" s="1" t="s">
        <v>210</v>
      </c>
      <c r="ES1663" s="1" t="s">
        <v>322</v>
      </c>
      <c r="ET1663" s="1" t="s">
        <v>842</v>
      </c>
      <c r="EW1663" s="1" t="s">
        <v>12460</v>
      </c>
      <c r="EZ1663" s="1" t="s">
        <v>838</v>
      </c>
      <c r="FD1663" s="1" t="s">
        <v>495</v>
      </c>
      <c r="FE1663" s="1" t="s">
        <v>549</v>
      </c>
      <c r="FF1663" s="1" t="s">
        <v>248</v>
      </c>
      <c r="FG1663" s="1" t="s">
        <v>10878</v>
      </c>
      <c r="FH1663" s="1" t="s">
        <v>388</v>
      </c>
      <c r="FL1663" s="1" t="s">
        <v>414</v>
      </c>
      <c r="FM1663" s="1" t="s">
        <v>252</v>
      </c>
      <c r="FN1663" s="1" t="s">
        <v>213</v>
      </c>
      <c r="FO1663" s="1" t="s">
        <v>213</v>
      </c>
      <c r="FQ1663" s="1" t="s">
        <v>1758</v>
      </c>
      <c r="FR1663" s="1" t="s">
        <v>210</v>
      </c>
      <c r="FS1663" s="1" t="s">
        <v>15721</v>
      </c>
      <c r="FT1663" s="1" t="s">
        <v>362</v>
      </c>
      <c r="FU1663" s="1" t="s">
        <v>204</v>
      </c>
      <c r="FW1663" s="1" t="s">
        <v>3546</v>
      </c>
      <c r="FX1663" s="1">
        <v>24695</v>
      </c>
      <c r="FY1663" s="1" t="s">
        <v>3547</v>
      </c>
      <c r="FZ1663" s="1" t="s">
        <v>8508</v>
      </c>
      <c r="GA1663" s="1">
        <v>234453</v>
      </c>
      <c r="GB1663" s="1" t="s">
        <v>3547</v>
      </c>
      <c r="GD1663" s="1" t="s">
        <v>8509</v>
      </c>
      <c r="GE1663" s="1" t="s">
        <v>210</v>
      </c>
      <c r="GI1663" s="1" t="s">
        <v>213</v>
      </c>
      <c r="GJ1663" s="1" t="s">
        <v>260</v>
      </c>
      <c r="GK1663" s="1" t="s">
        <v>210</v>
      </c>
      <c r="GL1663" s="2">
        <v>42052</v>
      </c>
      <c r="GM1663" s="1" t="s">
        <v>15874</v>
      </c>
    </row>
    <row r="1664" spans="1:195">
      <c r="A1664" s="1">
        <v>65000</v>
      </c>
      <c r="B1664" s="1" t="s">
        <v>195</v>
      </c>
      <c r="C1664" s="1" t="str">
        <f>"08709135"</f>
        <v>08709135</v>
      </c>
      <c r="D1664" s="1" t="s">
        <v>196</v>
      </c>
      <c r="F1664" s="1" t="str">
        <f>"8038"</f>
        <v>8038</v>
      </c>
      <c r="G1664" s="2">
        <v>41873</v>
      </c>
      <c r="H1664" s="1">
        <v>89900</v>
      </c>
      <c r="I1664" s="1">
        <v>59900</v>
      </c>
      <c r="J1664" s="1">
        <v>65000</v>
      </c>
      <c r="K1664" s="2">
        <v>41872</v>
      </c>
      <c r="L1664" s="1">
        <v>148</v>
      </c>
      <c r="M1664" s="2">
        <v>42019</v>
      </c>
      <c r="N1664" s="1">
        <v>148</v>
      </c>
      <c r="O1664" s="2">
        <v>42019</v>
      </c>
      <c r="P1664" s="1">
        <v>61026</v>
      </c>
      <c r="Q1664" s="1" t="s">
        <v>302</v>
      </c>
      <c r="R1664" s="2">
        <v>42036</v>
      </c>
      <c r="S1664" s="1">
        <v>501114</v>
      </c>
      <c r="U1664" s="1">
        <v>5016</v>
      </c>
      <c r="V1664" s="1" t="s">
        <v>4078</v>
      </c>
      <c r="W1664" s="1" t="s">
        <v>264</v>
      </c>
      <c r="X1664" s="1" t="s">
        <v>726</v>
      </c>
      <c r="Y1664" s="1">
        <v>14</v>
      </c>
      <c r="Z1664" s="1" t="s">
        <v>249</v>
      </c>
      <c r="AA1664" s="1" t="s">
        <v>400</v>
      </c>
      <c r="AB1664" s="1">
        <v>60615</v>
      </c>
      <c r="AE1664" s="1" t="s">
        <v>15875</v>
      </c>
      <c r="AF1664" s="1" t="s">
        <v>402</v>
      </c>
      <c r="AG1664" s="1" t="s">
        <v>204</v>
      </c>
      <c r="AH1664" s="1" t="s">
        <v>403</v>
      </c>
      <c r="AI1664" s="1" t="s">
        <v>310</v>
      </c>
      <c r="AJ1664" s="1" t="s">
        <v>562</v>
      </c>
      <c r="AL1664" s="1">
        <v>5</v>
      </c>
      <c r="AM1664" s="1">
        <v>2</v>
      </c>
      <c r="AN1664" s="1">
        <v>2</v>
      </c>
      <c r="AO1664" s="1">
        <v>0</v>
      </c>
      <c r="AP1664" s="1" t="s">
        <v>209</v>
      </c>
      <c r="AR1664" s="1" t="s">
        <v>210</v>
      </c>
      <c r="AS1664" s="1" t="s">
        <v>204</v>
      </c>
      <c r="AT1664" s="1" t="s">
        <v>271</v>
      </c>
      <c r="AV1664" s="1">
        <v>1</v>
      </c>
      <c r="AW1664" s="1" t="s">
        <v>204</v>
      </c>
      <c r="AX1664" s="1" t="s">
        <v>15876</v>
      </c>
      <c r="AZ1664" s="1">
        <v>3029.1</v>
      </c>
      <c r="BA1664" s="1">
        <v>2013</v>
      </c>
      <c r="BB1664" s="1" t="s">
        <v>210</v>
      </c>
      <c r="BE1664" s="1">
        <v>1100</v>
      </c>
      <c r="BF1664" s="1">
        <v>2</v>
      </c>
      <c r="BG1664" s="1">
        <v>0</v>
      </c>
      <c r="BL1664" s="1">
        <v>236</v>
      </c>
      <c r="BM1664" s="1" t="s">
        <v>204</v>
      </c>
      <c r="BN1664" s="1" t="s">
        <v>213</v>
      </c>
      <c r="BO1664" s="1">
        <v>50</v>
      </c>
      <c r="BP1664" s="1" t="s">
        <v>204</v>
      </c>
      <c r="BR1664" s="1" t="str">
        <f>"20101230291005"</f>
        <v>20101230291005</v>
      </c>
      <c r="BT1664" s="1" t="s">
        <v>15877</v>
      </c>
      <c r="BX1664" s="1">
        <v>299</v>
      </c>
      <c r="BY1664" s="1">
        <v>299</v>
      </c>
      <c r="BZ1664" s="1">
        <v>299</v>
      </c>
      <c r="CB1664" s="1" t="str">
        <f>"0"</f>
        <v>0</v>
      </c>
      <c r="CC1664" s="1" t="str">
        <f>"350"</f>
        <v>350</v>
      </c>
      <c r="CD1664" s="1">
        <v>0</v>
      </c>
      <c r="CE1664" s="1">
        <v>5016</v>
      </c>
      <c r="CG1664" s="1" t="s">
        <v>1155</v>
      </c>
      <c r="CH1664" s="1" t="s">
        <v>219</v>
      </c>
      <c r="CI1664" s="1" t="s">
        <v>438</v>
      </c>
      <c r="CK1664" s="1" t="s">
        <v>228</v>
      </c>
      <c r="CL1664" s="1" t="s">
        <v>219</v>
      </c>
      <c r="CM1664" s="1" t="s">
        <v>220</v>
      </c>
      <c r="CO1664" s="1" t="s">
        <v>629</v>
      </c>
      <c r="CP1664" s="1" t="s">
        <v>219</v>
      </c>
      <c r="CS1664" s="1" t="s">
        <v>346</v>
      </c>
      <c r="CT1664" s="1" t="s">
        <v>219</v>
      </c>
      <c r="CX1664" s="1" t="s">
        <v>224</v>
      </c>
      <c r="DB1664" s="1" t="s">
        <v>224</v>
      </c>
      <c r="DE1664" s="1" t="s">
        <v>1045</v>
      </c>
      <c r="DF1664" s="1" t="s">
        <v>219</v>
      </c>
      <c r="DG1664" s="1" t="s">
        <v>438</v>
      </c>
      <c r="DJ1664" s="1" t="s">
        <v>224</v>
      </c>
      <c r="DS1664" s="1" t="s">
        <v>230</v>
      </c>
      <c r="DW1664" s="1" t="s">
        <v>230</v>
      </c>
      <c r="EA1664" s="1" t="s">
        <v>230</v>
      </c>
      <c r="EE1664" s="1" t="s">
        <v>230</v>
      </c>
      <c r="EI1664" s="1" t="s">
        <v>230</v>
      </c>
      <c r="EL1664" s="1" t="s">
        <v>413</v>
      </c>
      <c r="EM1664" s="1" t="s">
        <v>319</v>
      </c>
      <c r="EN1664" s="1" t="s">
        <v>282</v>
      </c>
      <c r="EO1664" s="1" t="s">
        <v>234</v>
      </c>
      <c r="ER1664" s="1" t="s">
        <v>210</v>
      </c>
      <c r="EU1664" s="1" t="s">
        <v>239</v>
      </c>
      <c r="EW1664" s="1" t="s">
        <v>286</v>
      </c>
      <c r="EZ1664" s="1" t="s">
        <v>287</v>
      </c>
      <c r="FD1664" s="1" t="s">
        <v>246</v>
      </c>
      <c r="FE1664" s="1" t="s">
        <v>247</v>
      </c>
      <c r="FF1664" s="1" t="s">
        <v>248</v>
      </c>
      <c r="FH1664" s="1" t="s">
        <v>249</v>
      </c>
      <c r="FK1664" s="1" t="s">
        <v>291</v>
      </c>
      <c r="FL1664" s="1" t="s">
        <v>414</v>
      </c>
      <c r="FM1664" s="1" t="s">
        <v>252</v>
      </c>
      <c r="FN1664" s="1" t="s">
        <v>213</v>
      </c>
      <c r="FO1664" s="1" t="s">
        <v>213</v>
      </c>
      <c r="FQ1664" s="1" t="s">
        <v>15878</v>
      </c>
      <c r="FR1664" s="1" t="s">
        <v>210</v>
      </c>
      <c r="FS1664" s="1" t="s">
        <v>1429</v>
      </c>
      <c r="FT1664" s="1" t="s">
        <v>295</v>
      </c>
      <c r="FU1664" s="1" t="s">
        <v>204</v>
      </c>
      <c r="FW1664" s="1" t="s">
        <v>5605</v>
      </c>
      <c r="FX1664" s="1">
        <v>12555</v>
      </c>
      <c r="FY1664" s="1" t="s">
        <v>5606</v>
      </c>
      <c r="FZ1664" s="1" t="s">
        <v>6579</v>
      </c>
      <c r="GA1664" s="1">
        <v>130892</v>
      </c>
      <c r="GB1664" s="1" t="s">
        <v>5606</v>
      </c>
      <c r="GC1664" s="1">
        <v>126892</v>
      </c>
      <c r="GE1664" s="1" t="s">
        <v>210</v>
      </c>
      <c r="GH1664" s="1" t="s">
        <v>421</v>
      </c>
      <c r="GI1664" s="1" t="s">
        <v>213</v>
      </c>
      <c r="GJ1664" s="1" t="s">
        <v>260</v>
      </c>
      <c r="GK1664" s="1" t="s">
        <v>210</v>
      </c>
      <c r="GL1664" s="2">
        <v>42038</v>
      </c>
      <c r="GM1664" s="1" t="s">
        <v>15879</v>
      </c>
    </row>
    <row r="1665" spans="1:195">
      <c r="A1665" s="1">
        <v>85000</v>
      </c>
      <c r="B1665" s="1" t="s">
        <v>195</v>
      </c>
      <c r="C1665" s="1" t="str">
        <f>"08708817"</f>
        <v>08708817</v>
      </c>
      <c r="D1665" s="1" t="s">
        <v>196</v>
      </c>
      <c r="F1665" s="1" t="str">
        <f>"104"</f>
        <v>104</v>
      </c>
      <c r="G1665" s="2">
        <v>41873</v>
      </c>
      <c r="H1665" s="1">
        <v>86500</v>
      </c>
      <c r="I1665" s="1">
        <v>86500</v>
      </c>
      <c r="J1665" s="1">
        <v>85000</v>
      </c>
      <c r="K1665" s="2">
        <v>41873</v>
      </c>
      <c r="L1665" s="1">
        <v>5</v>
      </c>
      <c r="M1665" s="2">
        <v>41877</v>
      </c>
      <c r="N1665" s="1">
        <v>5</v>
      </c>
      <c r="O1665" s="2">
        <v>41877</v>
      </c>
      <c r="P1665" s="1">
        <v>23742</v>
      </c>
      <c r="Q1665" s="1" t="s">
        <v>302</v>
      </c>
      <c r="R1665" s="2">
        <v>42018</v>
      </c>
      <c r="S1665" s="1">
        <v>922281</v>
      </c>
      <c r="U1665" s="1">
        <v>738</v>
      </c>
      <c r="V1665" s="1" t="s">
        <v>15880</v>
      </c>
      <c r="W1665" s="1" t="s">
        <v>304</v>
      </c>
      <c r="X1665" s="1" t="s">
        <v>15881</v>
      </c>
      <c r="Y1665" s="1">
        <v>4</v>
      </c>
      <c r="Z1665" s="1" t="s">
        <v>249</v>
      </c>
      <c r="AA1665" s="1" t="s">
        <v>371</v>
      </c>
      <c r="AB1665" s="1">
        <v>60103</v>
      </c>
      <c r="AD1665" s="1" t="s">
        <v>5971</v>
      </c>
      <c r="AE1665" s="1" t="s">
        <v>15882</v>
      </c>
      <c r="AF1665" s="1">
        <v>1988</v>
      </c>
      <c r="AG1665" s="1" t="s">
        <v>204</v>
      </c>
      <c r="AH1665" s="1" t="s">
        <v>373</v>
      </c>
      <c r="AI1665" s="1" t="s">
        <v>310</v>
      </c>
      <c r="AJ1665" s="1" t="s">
        <v>374</v>
      </c>
      <c r="AL1665" s="1">
        <v>5</v>
      </c>
      <c r="AM1665" s="1">
        <v>2</v>
      </c>
      <c r="AN1665" s="1">
        <v>1</v>
      </c>
      <c r="AO1665" s="1">
        <v>0</v>
      </c>
      <c r="AP1665" s="1" t="s">
        <v>210</v>
      </c>
      <c r="AQ1665" s="1">
        <v>1</v>
      </c>
      <c r="AR1665" s="1" t="s">
        <v>210</v>
      </c>
      <c r="AS1665" s="1" t="s">
        <v>204</v>
      </c>
      <c r="AT1665" s="1" t="s">
        <v>211</v>
      </c>
      <c r="AU1665" s="1">
        <v>1</v>
      </c>
      <c r="AW1665" s="1" t="s">
        <v>204</v>
      </c>
      <c r="AX1665" s="1" t="s">
        <v>212</v>
      </c>
      <c r="AZ1665" s="1">
        <v>2151</v>
      </c>
      <c r="BA1665" s="1">
        <v>2012</v>
      </c>
      <c r="BE1665" s="1">
        <v>1141</v>
      </c>
      <c r="BF1665" s="1">
        <v>2</v>
      </c>
      <c r="BG1665" s="1">
        <v>0</v>
      </c>
      <c r="BL1665" s="1">
        <v>274</v>
      </c>
      <c r="BM1665" s="1" t="s">
        <v>204</v>
      </c>
      <c r="BN1665" s="1" t="s">
        <v>213</v>
      </c>
      <c r="BO1665" s="1">
        <v>99</v>
      </c>
      <c r="BP1665" s="1" t="s">
        <v>204</v>
      </c>
      <c r="BR1665" s="1" t="str">
        <f>"06354001171117"</f>
        <v>06354001171117</v>
      </c>
      <c r="BT1665" s="1" t="s">
        <v>15883</v>
      </c>
      <c r="BU1665" s="1" t="s">
        <v>1815</v>
      </c>
      <c r="BV1665" s="1" t="s">
        <v>1816</v>
      </c>
      <c r="BW1665" s="1" t="s">
        <v>1468</v>
      </c>
      <c r="BX1665" s="1">
        <v>46</v>
      </c>
      <c r="BY1665" s="1">
        <v>46</v>
      </c>
      <c r="BZ1665" s="1">
        <v>46</v>
      </c>
      <c r="CB1665" s="1" t="str">
        <f>"8"</f>
        <v>8</v>
      </c>
      <c r="CC1665" s="1" t="str">
        <f>"0"</f>
        <v>0</v>
      </c>
      <c r="CD1665" s="1">
        <v>28</v>
      </c>
      <c r="CE1665" s="1">
        <v>0</v>
      </c>
      <c r="CG1665" s="1" t="s">
        <v>6197</v>
      </c>
      <c r="CH1665" s="1" t="s">
        <v>277</v>
      </c>
      <c r="CI1665" s="1" t="s">
        <v>220</v>
      </c>
      <c r="CK1665" s="1" t="s">
        <v>437</v>
      </c>
      <c r="CL1665" s="1" t="s">
        <v>277</v>
      </c>
      <c r="CM1665" s="1" t="s">
        <v>220</v>
      </c>
      <c r="CO1665" s="1" t="s">
        <v>316</v>
      </c>
      <c r="CP1665" s="1" t="s">
        <v>277</v>
      </c>
      <c r="CQ1665" s="1" t="s">
        <v>342</v>
      </c>
      <c r="CS1665" s="1" t="s">
        <v>465</v>
      </c>
      <c r="CT1665" s="1" t="s">
        <v>277</v>
      </c>
      <c r="CU1665" s="1" t="s">
        <v>220</v>
      </c>
      <c r="CX1665" s="1" t="s">
        <v>224</v>
      </c>
      <c r="DB1665" s="1" t="s">
        <v>224</v>
      </c>
      <c r="DE1665" s="1" t="s">
        <v>2031</v>
      </c>
      <c r="DF1665" s="1" t="s">
        <v>277</v>
      </c>
      <c r="DG1665" s="1" t="s">
        <v>342</v>
      </c>
      <c r="DJ1665" s="1" t="s">
        <v>224</v>
      </c>
      <c r="DS1665" s="1" t="s">
        <v>230</v>
      </c>
      <c r="DW1665" s="1" t="s">
        <v>230</v>
      </c>
      <c r="EA1665" s="1" t="s">
        <v>230</v>
      </c>
      <c r="EE1665" s="1" t="s">
        <v>230</v>
      </c>
      <c r="EI1665" s="1" t="s">
        <v>230</v>
      </c>
      <c r="EL1665" s="1" t="s">
        <v>542</v>
      </c>
      <c r="EM1665" s="1" t="s">
        <v>319</v>
      </c>
      <c r="EN1665" s="1" t="s">
        <v>282</v>
      </c>
      <c r="EO1665" s="1" t="s">
        <v>234</v>
      </c>
      <c r="EP1665" s="1" t="s">
        <v>4938</v>
      </c>
      <c r="EQ1665" s="1" t="s">
        <v>1094</v>
      </c>
      <c r="ER1665" s="1" t="s">
        <v>210</v>
      </c>
      <c r="ES1665" s="1" t="s">
        <v>322</v>
      </c>
      <c r="EU1665" s="1" t="s">
        <v>1110</v>
      </c>
      <c r="EV1665" s="1" t="s">
        <v>324</v>
      </c>
      <c r="EW1665" s="1" t="s">
        <v>517</v>
      </c>
      <c r="EY1665" s="1" t="s">
        <v>790</v>
      </c>
      <c r="EZ1665" s="1" t="s">
        <v>287</v>
      </c>
      <c r="FA1665" s="1" t="s">
        <v>5547</v>
      </c>
      <c r="FB1665" s="1" t="s">
        <v>289</v>
      </c>
      <c r="FD1665" s="1" t="s">
        <v>15884</v>
      </c>
      <c r="FE1665" s="1" t="s">
        <v>472</v>
      </c>
      <c r="FF1665" s="1" t="s">
        <v>248</v>
      </c>
      <c r="FG1665" s="1" t="s">
        <v>939</v>
      </c>
      <c r="FH1665" s="1" t="s">
        <v>388</v>
      </c>
      <c r="FI1665" s="1" t="s">
        <v>473</v>
      </c>
      <c r="FL1665" s="1" t="s">
        <v>358</v>
      </c>
      <c r="FM1665" s="1" t="s">
        <v>252</v>
      </c>
      <c r="FN1665" s="1" t="s">
        <v>213</v>
      </c>
      <c r="FO1665" s="1" t="s">
        <v>213</v>
      </c>
      <c r="FQ1665" s="1" t="s">
        <v>10987</v>
      </c>
      <c r="FR1665" s="1" t="s">
        <v>360</v>
      </c>
      <c r="FS1665" s="1" t="s">
        <v>4124</v>
      </c>
      <c r="FT1665" s="1" t="s">
        <v>295</v>
      </c>
      <c r="FU1665" s="1" t="s">
        <v>204</v>
      </c>
      <c r="FW1665" s="1" t="s">
        <v>554</v>
      </c>
      <c r="FX1665" s="1">
        <v>25215</v>
      </c>
      <c r="FY1665" s="1" t="s">
        <v>1508</v>
      </c>
      <c r="FZ1665" s="1" t="s">
        <v>15885</v>
      </c>
      <c r="GA1665" s="1">
        <v>252268</v>
      </c>
      <c r="GB1665" s="1" t="s">
        <v>1508</v>
      </c>
      <c r="GC1665" s="1">
        <v>242601</v>
      </c>
      <c r="GE1665" s="1" t="s">
        <v>1256</v>
      </c>
      <c r="GI1665" s="1" t="s">
        <v>213</v>
      </c>
      <c r="GJ1665" s="1" t="s">
        <v>260</v>
      </c>
      <c r="GK1665" s="1" t="s">
        <v>210</v>
      </c>
      <c r="GL1665" s="2">
        <v>42018</v>
      </c>
      <c r="GM1665" s="1" t="s">
        <v>15886</v>
      </c>
    </row>
    <row r="1666" spans="1:195">
      <c r="A1666" s="1">
        <v>190000</v>
      </c>
      <c r="B1666" s="1" t="s">
        <v>195</v>
      </c>
      <c r="C1666" s="1" t="str">
        <f>"08700307"</f>
        <v>08700307</v>
      </c>
      <c r="D1666" s="1" t="s">
        <v>196</v>
      </c>
      <c r="F1666" s="1" t="str">
        <f>"507"</f>
        <v>507</v>
      </c>
      <c r="G1666" s="2">
        <v>41864</v>
      </c>
      <c r="H1666" s="1">
        <v>249600</v>
      </c>
      <c r="I1666" s="1">
        <v>199900</v>
      </c>
      <c r="J1666" s="1">
        <v>190000</v>
      </c>
      <c r="K1666" s="2">
        <v>41863</v>
      </c>
      <c r="L1666" s="1">
        <v>176</v>
      </c>
      <c r="M1666" s="2">
        <v>42038</v>
      </c>
      <c r="N1666" s="1">
        <v>176</v>
      </c>
      <c r="O1666" s="2">
        <v>42038</v>
      </c>
      <c r="P1666" s="1">
        <v>25143</v>
      </c>
      <c r="Q1666" s="1" t="s">
        <v>302</v>
      </c>
      <c r="R1666" s="2">
        <v>42053</v>
      </c>
      <c r="S1666" s="1">
        <v>229003</v>
      </c>
      <c r="U1666" s="1">
        <v>4115</v>
      </c>
      <c r="V1666" s="1" t="s">
        <v>1862</v>
      </c>
      <c r="W1666" s="1" t="s">
        <v>504</v>
      </c>
      <c r="X1666" s="1">
        <v>1</v>
      </c>
      <c r="Y1666" s="1">
        <v>4</v>
      </c>
      <c r="Z1666" s="1" t="s">
        <v>249</v>
      </c>
      <c r="AA1666" s="1" t="s">
        <v>1123</v>
      </c>
      <c r="AB1666" s="1">
        <v>60504</v>
      </c>
      <c r="AE1666" s="1" t="s">
        <v>15887</v>
      </c>
      <c r="AF1666" s="1">
        <v>2006</v>
      </c>
      <c r="AG1666" s="1" t="s">
        <v>204</v>
      </c>
      <c r="AH1666" s="1" t="s">
        <v>1126</v>
      </c>
      <c r="AI1666" s="1" t="s">
        <v>206</v>
      </c>
      <c r="AJ1666" s="1" t="s">
        <v>924</v>
      </c>
      <c r="AL1666" s="1">
        <v>4</v>
      </c>
      <c r="AM1666" s="1">
        <v>2</v>
      </c>
      <c r="AN1666" s="1">
        <v>2</v>
      </c>
      <c r="AO1666" s="1">
        <v>1</v>
      </c>
      <c r="AP1666" s="1" t="s">
        <v>210</v>
      </c>
      <c r="AR1666" s="1" t="s">
        <v>1631</v>
      </c>
      <c r="AS1666" s="1" t="s">
        <v>204</v>
      </c>
      <c r="AT1666" s="1" t="s">
        <v>211</v>
      </c>
      <c r="AU1666" s="1">
        <v>2</v>
      </c>
      <c r="AW1666" s="1" t="s">
        <v>204</v>
      </c>
      <c r="AX1666" s="1" t="s">
        <v>212</v>
      </c>
      <c r="AZ1666" s="1">
        <v>6684</v>
      </c>
      <c r="BA1666" s="1">
        <v>2013</v>
      </c>
      <c r="BE1666" s="1">
        <v>2424</v>
      </c>
      <c r="BF1666" s="1">
        <v>1</v>
      </c>
      <c r="BG1666" s="1">
        <v>30</v>
      </c>
      <c r="BL1666" s="1">
        <v>174</v>
      </c>
      <c r="BM1666" s="1" t="s">
        <v>204</v>
      </c>
      <c r="BN1666" s="1" t="s">
        <v>213</v>
      </c>
      <c r="BO1666" s="1">
        <v>20</v>
      </c>
      <c r="BP1666" s="1" t="s">
        <v>204</v>
      </c>
      <c r="BR1666" s="1" t="str">
        <f>"0721211175"</f>
        <v>0721211175</v>
      </c>
      <c r="BT1666" s="1" t="s">
        <v>15888</v>
      </c>
      <c r="BX1666" s="1">
        <v>204</v>
      </c>
      <c r="BY1666" s="1">
        <v>204</v>
      </c>
      <c r="BZ1666" s="1">
        <v>204</v>
      </c>
      <c r="CB1666" s="1" t="str">
        <f t="shared" ref="CB1666:CC1666" si="1264">""</f>
        <v/>
      </c>
      <c r="CC1666" s="1" t="str">
        <f t="shared" si="1264"/>
        <v/>
      </c>
      <c r="CG1666" s="1" t="s">
        <v>3684</v>
      </c>
      <c r="CH1666" s="1" t="s">
        <v>219</v>
      </c>
      <c r="CK1666" s="1" t="s">
        <v>3100</v>
      </c>
      <c r="CL1666" s="1" t="s">
        <v>277</v>
      </c>
      <c r="CP1666" s="1" t="s">
        <v>224</v>
      </c>
      <c r="CS1666" s="1" t="s">
        <v>317</v>
      </c>
      <c r="CT1666" s="1" t="s">
        <v>277</v>
      </c>
      <c r="CX1666" s="1" t="s">
        <v>224</v>
      </c>
      <c r="DB1666" s="1" t="s">
        <v>224</v>
      </c>
      <c r="DE1666" s="1" t="s">
        <v>344</v>
      </c>
      <c r="DF1666" s="1" t="s">
        <v>219</v>
      </c>
      <c r="DJ1666" s="1" t="s">
        <v>224</v>
      </c>
      <c r="DS1666" s="1" t="s">
        <v>230</v>
      </c>
      <c r="DW1666" s="1" t="s">
        <v>230</v>
      </c>
      <c r="EA1666" s="1" t="s">
        <v>230</v>
      </c>
      <c r="EE1666" s="1" t="s">
        <v>230</v>
      </c>
      <c r="EI1666" s="1" t="s">
        <v>230</v>
      </c>
      <c r="EL1666" s="1" t="s">
        <v>491</v>
      </c>
      <c r="EM1666" s="1" t="s">
        <v>319</v>
      </c>
      <c r="EN1666" s="1" t="s">
        <v>282</v>
      </c>
      <c r="EO1666" s="1" t="s">
        <v>234</v>
      </c>
      <c r="ER1666" s="1" t="s">
        <v>544</v>
      </c>
      <c r="EW1666" s="1" t="s">
        <v>210</v>
      </c>
      <c r="EZ1666" s="1" t="s">
        <v>287</v>
      </c>
      <c r="FD1666" s="1" t="s">
        <v>246</v>
      </c>
      <c r="FE1666" s="1" t="s">
        <v>1006</v>
      </c>
      <c r="FF1666" s="1" t="s">
        <v>248</v>
      </c>
      <c r="FH1666" s="1" t="s">
        <v>249</v>
      </c>
      <c r="FL1666" s="1" t="s">
        <v>358</v>
      </c>
      <c r="FM1666" s="1" t="s">
        <v>252</v>
      </c>
      <c r="FN1666" s="1" t="s">
        <v>213</v>
      </c>
      <c r="FO1666" s="1" t="s">
        <v>213</v>
      </c>
      <c r="FQ1666" s="1" t="s">
        <v>582</v>
      </c>
      <c r="FR1666" s="1" t="s">
        <v>210</v>
      </c>
      <c r="FS1666" s="1" t="s">
        <v>1429</v>
      </c>
      <c r="FT1666" s="1" t="s">
        <v>295</v>
      </c>
      <c r="FU1666" s="1" t="s">
        <v>204</v>
      </c>
      <c r="FW1666" s="1" t="s">
        <v>3353</v>
      </c>
      <c r="FX1666" s="1">
        <v>8658</v>
      </c>
      <c r="FY1666" s="1" t="s">
        <v>3354</v>
      </c>
      <c r="FZ1666" s="1" t="s">
        <v>3355</v>
      </c>
      <c r="GA1666" s="1">
        <v>84760</v>
      </c>
      <c r="GB1666" s="1" t="s">
        <v>3354</v>
      </c>
      <c r="GD1666" s="1" t="s">
        <v>9655</v>
      </c>
      <c r="GE1666" s="1" t="s">
        <v>210</v>
      </c>
      <c r="GI1666" s="1" t="s">
        <v>213</v>
      </c>
      <c r="GJ1666" s="1" t="s">
        <v>260</v>
      </c>
      <c r="GK1666" s="1" t="s">
        <v>210</v>
      </c>
      <c r="GL1666" s="2">
        <v>42058</v>
      </c>
      <c r="GM1666" s="1" t="s">
        <v>15889</v>
      </c>
    </row>
    <row r="1667" spans="1:195">
      <c r="A1667" s="1">
        <v>63500</v>
      </c>
      <c r="B1667" s="1" t="s">
        <v>195</v>
      </c>
      <c r="C1667" s="1" t="str">
        <f>"08698667"</f>
        <v>08698667</v>
      </c>
      <c r="D1667" s="1" t="s">
        <v>196</v>
      </c>
      <c r="F1667" s="1" t="str">
        <f>"101"</f>
        <v>101</v>
      </c>
      <c r="G1667" s="2">
        <v>41862</v>
      </c>
      <c r="H1667" s="1">
        <v>74900</v>
      </c>
      <c r="I1667" s="1">
        <v>57500</v>
      </c>
      <c r="J1667" s="1">
        <v>63500</v>
      </c>
      <c r="K1667" s="2">
        <v>41862</v>
      </c>
      <c r="L1667" s="1">
        <v>159</v>
      </c>
      <c r="M1667" s="2">
        <v>42020</v>
      </c>
      <c r="N1667" s="1">
        <v>159</v>
      </c>
      <c r="O1667" s="2">
        <v>42020</v>
      </c>
      <c r="P1667" s="1">
        <v>8965</v>
      </c>
      <c r="Q1667" s="1" t="s">
        <v>302</v>
      </c>
      <c r="R1667" s="2">
        <v>42034</v>
      </c>
      <c r="S1667" s="1">
        <v>88087</v>
      </c>
      <c r="T1667" s="1">
        <v>3675.5</v>
      </c>
      <c r="U1667" s="1">
        <v>300</v>
      </c>
      <c r="V1667" s="1" t="s">
        <v>10245</v>
      </c>
      <c r="W1667" s="1" t="s">
        <v>425</v>
      </c>
      <c r="X1667" s="1">
        <v>130</v>
      </c>
      <c r="Y1667" s="1">
        <v>89</v>
      </c>
      <c r="Z1667" s="1" t="s">
        <v>249</v>
      </c>
      <c r="AA1667" s="1" t="s">
        <v>2631</v>
      </c>
      <c r="AB1667" s="1">
        <v>60101</v>
      </c>
      <c r="AD1667" s="1" t="s">
        <v>15890</v>
      </c>
      <c r="AE1667" s="1" t="s">
        <v>15891</v>
      </c>
      <c r="AF1667" s="1" t="s">
        <v>402</v>
      </c>
      <c r="AG1667" s="1" t="s">
        <v>213</v>
      </c>
      <c r="AH1667" s="1" t="s">
        <v>1233</v>
      </c>
      <c r="AI1667" s="1" t="s">
        <v>206</v>
      </c>
      <c r="AJ1667" s="1" t="s">
        <v>1233</v>
      </c>
      <c r="AL1667" s="1">
        <v>5</v>
      </c>
      <c r="AM1667" s="1">
        <v>2</v>
      </c>
      <c r="AN1667" s="1">
        <v>2</v>
      </c>
      <c r="AO1667" s="1">
        <v>0</v>
      </c>
      <c r="AP1667" s="1" t="s">
        <v>209</v>
      </c>
      <c r="AQ1667" s="1">
        <v>0</v>
      </c>
      <c r="AR1667" s="1" t="s">
        <v>210</v>
      </c>
      <c r="AS1667" s="1" t="s">
        <v>204</v>
      </c>
      <c r="AT1667" s="1" t="s">
        <v>271</v>
      </c>
      <c r="AV1667" s="1">
        <v>2</v>
      </c>
      <c r="AW1667" s="1" t="s">
        <v>204</v>
      </c>
      <c r="AX1667" s="1" t="s">
        <v>212</v>
      </c>
      <c r="AZ1667" s="1">
        <v>1230.94</v>
      </c>
      <c r="BA1667" s="1">
        <v>2013</v>
      </c>
      <c r="BC1667" s="1">
        <v>0</v>
      </c>
      <c r="BE1667" s="1">
        <v>1000</v>
      </c>
      <c r="BF1667" s="1">
        <v>1</v>
      </c>
      <c r="BG1667" s="1">
        <v>0</v>
      </c>
      <c r="BL1667" s="1">
        <v>403</v>
      </c>
      <c r="BM1667" s="1" t="s">
        <v>413</v>
      </c>
      <c r="BN1667" s="1" t="s">
        <v>204</v>
      </c>
      <c r="BP1667" s="1" t="s">
        <v>204</v>
      </c>
      <c r="BR1667" s="1" t="str">
        <f>"0328318029"</f>
        <v>0328318029</v>
      </c>
      <c r="BT1667" s="1" t="s">
        <v>15892</v>
      </c>
      <c r="BX1667" s="1">
        <v>4</v>
      </c>
      <c r="BY1667" s="1">
        <v>4</v>
      </c>
      <c r="BZ1667" s="1">
        <v>88</v>
      </c>
      <c r="CB1667" s="1" t="str">
        <f>"3"</f>
        <v>3</v>
      </c>
      <c r="CC1667" s="1" t="str">
        <f>"0"</f>
        <v>0</v>
      </c>
      <c r="CD1667" s="1">
        <v>18</v>
      </c>
      <c r="CE1667" s="1">
        <v>0</v>
      </c>
      <c r="CG1667" s="1" t="s">
        <v>885</v>
      </c>
      <c r="CH1667" s="1" t="s">
        <v>219</v>
      </c>
      <c r="CK1667" s="1" t="s">
        <v>315</v>
      </c>
      <c r="CL1667" s="1" t="s">
        <v>219</v>
      </c>
      <c r="CM1667" s="1" t="s">
        <v>220</v>
      </c>
      <c r="CO1667" s="1" t="s">
        <v>2231</v>
      </c>
      <c r="CP1667" s="1" t="s">
        <v>219</v>
      </c>
      <c r="CS1667" s="1" t="s">
        <v>379</v>
      </c>
      <c r="CT1667" s="1" t="s">
        <v>219</v>
      </c>
      <c r="CU1667" s="1" t="s">
        <v>220</v>
      </c>
      <c r="CX1667" s="1" t="s">
        <v>224</v>
      </c>
      <c r="DB1667" s="1" t="s">
        <v>224</v>
      </c>
      <c r="DE1667" s="1" t="s">
        <v>2031</v>
      </c>
      <c r="DF1667" s="1" t="s">
        <v>219</v>
      </c>
      <c r="DJ1667" s="1" t="s">
        <v>224</v>
      </c>
      <c r="DS1667" s="1" t="s">
        <v>230</v>
      </c>
      <c r="DW1667" s="1" t="s">
        <v>230</v>
      </c>
      <c r="EA1667" s="1" t="s">
        <v>230</v>
      </c>
      <c r="EE1667" s="1" t="s">
        <v>230</v>
      </c>
      <c r="EI1667" s="1" t="s">
        <v>230</v>
      </c>
      <c r="EL1667" s="1" t="s">
        <v>413</v>
      </c>
      <c r="EM1667" s="1" t="s">
        <v>319</v>
      </c>
      <c r="EN1667" s="1" t="s">
        <v>1158</v>
      </c>
      <c r="EO1667" s="1" t="s">
        <v>234</v>
      </c>
      <c r="ER1667" s="1" t="s">
        <v>210</v>
      </c>
      <c r="EU1667" s="1" t="s">
        <v>239</v>
      </c>
      <c r="EV1667" s="1" t="s">
        <v>4622</v>
      </c>
      <c r="EW1667" s="1" t="s">
        <v>15893</v>
      </c>
      <c r="EY1667" s="1" t="s">
        <v>1315</v>
      </c>
      <c r="EZ1667" s="1" t="s">
        <v>287</v>
      </c>
      <c r="FD1667" s="1" t="s">
        <v>1112</v>
      </c>
      <c r="FE1667" s="1" t="s">
        <v>247</v>
      </c>
      <c r="FF1667" s="1" t="s">
        <v>248</v>
      </c>
      <c r="FH1667" s="1" t="s">
        <v>249</v>
      </c>
      <c r="FK1667" s="1" t="s">
        <v>891</v>
      </c>
      <c r="FL1667" s="1" t="s">
        <v>2370</v>
      </c>
      <c r="FM1667" s="1" t="s">
        <v>252</v>
      </c>
      <c r="FN1667" s="1" t="s">
        <v>213</v>
      </c>
      <c r="FO1667" s="1" t="s">
        <v>213</v>
      </c>
      <c r="FQ1667" s="1" t="s">
        <v>582</v>
      </c>
      <c r="FR1667" s="1" t="s">
        <v>210</v>
      </c>
      <c r="FS1667" s="1" t="s">
        <v>15894</v>
      </c>
      <c r="FT1667" s="1" t="s">
        <v>584</v>
      </c>
      <c r="FU1667" s="1" t="s">
        <v>204</v>
      </c>
      <c r="FW1667" s="1" t="s">
        <v>2577</v>
      </c>
      <c r="FX1667" s="1">
        <v>31982</v>
      </c>
      <c r="FY1667" s="1" t="s">
        <v>2578</v>
      </c>
      <c r="FZ1667" s="1" t="s">
        <v>2579</v>
      </c>
      <c r="GA1667" s="1">
        <v>319888</v>
      </c>
      <c r="GB1667" s="1" t="s">
        <v>2580</v>
      </c>
      <c r="GE1667" s="1" t="s">
        <v>210</v>
      </c>
      <c r="GH1667" s="1" t="s">
        <v>589</v>
      </c>
      <c r="GI1667" s="1" t="s">
        <v>204</v>
      </c>
      <c r="GJ1667" s="1" t="s">
        <v>260</v>
      </c>
      <c r="GK1667" s="1" t="s">
        <v>210</v>
      </c>
      <c r="GL1667" s="2">
        <v>42034</v>
      </c>
      <c r="GM1667" s="1" t="s">
        <v>15895</v>
      </c>
    </row>
    <row r="1668" spans="1:195">
      <c r="A1668" s="1">
        <v>117000</v>
      </c>
      <c r="B1668" s="1" t="s">
        <v>195</v>
      </c>
      <c r="C1668" s="1" t="str">
        <f>"08698273"</f>
        <v>08698273</v>
      </c>
      <c r="D1668" s="1" t="s">
        <v>196</v>
      </c>
      <c r="F1668" s="1" t="str">
        <f>"148"</f>
        <v>148</v>
      </c>
      <c r="G1668" s="2">
        <v>41862</v>
      </c>
      <c r="H1668" s="1">
        <v>129900</v>
      </c>
      <c r="I1668" s="1">
        <v>129900</v>
      </c>
      <c r="J1668" s="1">
        <v>117000</v>
      </c>
      <c r="K1668" s="2">
        <v>41862</v>
      </c>
      <c r="L1668" s="1">
        <v>85</v>
      </c>
      <c r="M1668" s="2">
        <v>41946</v>
      </c>
      <c r="N1668" s="1">
        <v>85</v>
      </c>
      <c r="O1668" s="2">
        <v>41946</v>
      </c>
      <c r="P1668" s="1">
        <v>90812</v>
      </c>
      <c r="Q1668" s="1" t="s">
        <v>197</v>
      </c>
      <c r="R1668" s="2">
        <v>41989</v>
      </c>
      <c r="S1668" s="1">
        <v>900148</v>
      </c>
      <c r="T1668" s="1">
        <v>2000</v>
      </c>
      <c r="U1668" s="1">
        <v>2211</v>
      </c>
      <c r="V1668" s="1" t="s">
        <v>15896</v>
      </c>
      <c r="W1668" s="1" t="s">
        <v>425</v>
      </c>
      <c r="X1668" s="1" t="s">
        <v>15897</v>
      </c>
      <c r="Y1668" s="1">
        <v>72</v>
      </c>
      <c r="Z1668" s="1" t="s">
        <v>249</v>
      </c>
      <c r="AA1668" s="1" t="s">
        <v>1927</v>
      </c>
      <c r="AB1668" s="1">
        <v>60148</v>
      </c>
      <c r="AE1668" s="1" t="s">
        <v>15898</v>
      </c>
      <c r="AF1668" s="1">
        <v>1969</v>
      </c>
      <c r="AG1668" s="1" t="s">
        <v>213</v>
      </c>
      <c r="AH1668" s="1" t="s">
        <v>882</v>
      </c>
      <c r="AI1668" s="1" t="s">
        <v>206</v>
      </c>
      <c r="AJ1668" s="1" t="s">
        <v>1608</v>
      </c>
      <c r="AL1668" s="1">
        <v>5</v>
      </c>
      <c r="AM1668" s="1">
        <v>2</v>
      </c>
      <c r="AN1668" s="1">
        <v>2</v>
      </c>
      <c r="AO1668" s="1">
        <v>0</v>
      </c>
      <c r="AP1668" s="1" t="s">
        <v>209</v>
      </c>
      <c r="AQ1668" s="1">
        <v>0</v>
      </c>
      <c r="AR1668" s="1" t="s">
        <v>210</v>
      </c>
      <c r="AS1668" s="1" t="s">
        <v>204</v>
      </c>
      <c r="AT1668" s="1" t="s">
        <v>211</v>
      </c>
      <c r="AU1668" s="1">
        <v>1</v>
      </c>
      <c r="AW1668" s="1" t="s">
        <v>204</v>
      </c>
      <c r="AX1668" s="1" t="s">
        <v>212</v>
      </c>
      <c r="AZ1668" s="1">
        <v>2613</v>
      </c>
      <c r="BA1668" s="1">
        <v>2013</v>
      </c>
      <c r="BB1668" s="1" t="s">
        <v>210</v>
      </c>
      <c r="BE1668" s="1">
        <v>1235</v>
      </c>
      <c r="BF1668" s="1">
        <v>4</v>
      </c>
      <c r="BG1668" s="1">
        <v>30</v>
      </c>
      <c r="BJ1668" s="1">
        <v>90</v>
      </c>
      <c r="BL1668" s="1">
        <v>363</v>
      </c>
      <c r="BM1668" s="1" t="s">
        <v>204</v>
      </c>
      <c r="BN1668" s="1" t="s">
        <v>213</v>
      </c>
      <c r="BO1668" s="1">
        <v>30</v>
      </c>
      <c r="BP1668" s="1" t="s">
        <v>204</v>
      </c>
      <c r="BR1668" s="1" t="str">
        <f>"0629107232"</f>
        <v>0629107232</v>
      </c>
      <c r="BT1668" s="1" t="s">
        <v>15899</v>
      </c>
      <c r="BU1668" s="1" t="s">
        <v>1933</v>
      </c>
      <c r="BV1668" s="1" t="s">
        <v>1934</v>
      </c>
      <c r="BW1668" s="1" t="s">
        <v>1935</v>
      </c>
      <c r="BX1668" s="1">
        <v>44</v>
      </c>
      <c r="BY1668" s="1">
        <v>44</v>
      </c>
      <c r="BZ1668" s="1">
        <v>87</v>
      </c>
      <c r="CB1668" s="1" t="str">
        <f t="shared" ref="CB1668:CC1668" si="1265">"0"</f>
        <v>0</v>
      </c>
      <c r="CC1668" s="1" t="str">
        <f t="shared" si="1265"/>
        <v>0</v>
      </c>
      <c r="CD1668" s="1">
        <v>19</v>
      </c>
      <c r="CE1668" s="1">
        <v>2</v>
      </c>
      <c r="CG1668" s="1" t="s">
        <v>669</v>
      </c>
      <c r="CH1668" s="1" t="s">
        <v>219</v>
      </c>
      <c r="CI1668" s="1" t="s">
        <v>438</v>
      </c>
      <c r="CK1668" s="1" t="s">
        <v>861</v>
      </c>
      <c r="CL1668" s="1" t="s">
        <v>219</v>
      </c>
      <c r="CM1668" s="1" t="s">
        <v>220</v>
      </c>
      <c r="CO1668" s="1" t="s">
        <v>786</v>
      </c>
      <c r="CP1668" s="1" t="s">
        <v>219</v>
      </c>
      <c r="CQ1668" s="1" t="s">
        <v>438</v>
      </c>
      <c r="CS1668" s="1" t="s">
        <v>757</v>
      </c>
      <c r="CT1668" s="1" t="s">
        <v>219</v>
      </c>
      <c r="CU1668" s="1" t="s">
        <v>220</v>
      </c>
      <c r="CX1668" s="1" t="s">
        <v>224</v>
      </c>
      <c r="DB1668" s="1" t="s">
        <v>224</v>
      </c>
      <c r="DE1668" s="1" t="s">
        <v>318</v>
      </c>
      <c r="DF1668" s="1" t="s">
        <v>219</v>
      </c>
      <c r="DG1668" s="1" t="s">
        <v>438</v>
      </c>
      <c r="DJ1668" s="1" t="s">
        <v>224</v>
      </c>
      <c r="DS1668" s="1" t="s">
        <v>230</v>
      </c>
      <c r="DW1668" s="1" t="s">
        <v>230</v>
      </c>
      <c r="EA1668" s="1" t="s">
        <v>230</v>
      </c>
      <c r="EE1668" s="1" t="s">
        <v>230</v>
      </c>
      <c r="EI1668" s="1" t="s">
        <v>230</v>
      </c>
      <c r="EL1668" s="1" t="s">
        <v>605</v>
      </c>
      <c r="EM1668" s="1" t="s">
        <v>232</v>
      </c>
      <c r="EN1668" s="1" t="s">
        <v>233</v>
      </c>
      <c r="EO1668" s="1" t="s">
        <v>234</v>
      </c>
      <c r="EP1668" s="1" t="s">
        <v>15900</v>
      </c>
      <c r="EQ1668" s="1" t="s">
        <v>4356</v>
      </c>
      <c r="ER1668" s="1" t="s">
        <v>210</v>
      </c>
      <c r="ES1668" s="1" t="s">
        <v>322</v>
      </c>
      <c r="EU1668" s="1" t="s">
        <v>9178</v>
      </c>
      <c r="EV1668" s="1" t="s">
        <v>324</v>
      </c>
      <c r="EW1668" s="1" t="s">
        <v>15901</v>
      </c>
      <c r="EY1668" s="1" t="s">
        <v>242</v>
      </c>
      <c r="EZ1668" s="1" t="s">
        <v>287</v>
      </c>
      <c r="FB1668" s="1" t="s">
        <v>289</v>
      </c>
      <c r="FC1668" s="1" t="s">
        <v>26</v>
      </c>
      <c r="FD1668" s="1" t="s">
        <v>15902</v>
      </c>
      <c r="FE1668" s="1" t="s">
        <v>247</v>
      </c>
      <c r="FF1668" s="1" t="s">
        <v>248</v>
      </c>
      <c r="FH1668" s="1" t="s">
        <v>249</v>
      </c>
      <c r="FJ1668" s="1" t="s">
        <v>1472</v>
      </c>
      <c r="FL1668" s="1" t="s">
        <v>414</v>
      </c>
      <c r="FM1668" s="1" t="s">
        <v>252</v>
      </c>
      <c r="FN1668" s="1" t="s">
        <v>213</v>
      </c>
      <c r="FO1668" s="1" t="s">
        <v>213</v>
      </c>
      <c r="FQ1668" s="1" t="s">
        <v>689</v>
      </c>
      <c r="FR1668" s="1" t="s">
        <v>652</v>
      </c>
      <c r="FS1668" s="1" t="s">
        <v>15903</v>
      </c>
      <c r="FT1668" s="1" t="s">
        <v>15904</v>
      </c>
      <c r="FU1668" s="1" t="s">
        <v>204</v>
      </c>
      <c r="FV1668" s="1" t="s">
        <v>15905</v>
      </c>
      <c r="FW1668" s="1" t="s">
        <v>15906</v>
      </c>
      <c r="FX1668" s="1">
        <v>92081</v>
      </c>
      <c r="FY1668" s="1" t="s">
        <v>15907</v>
      </c>
      <c r="FZ1668" s="1" t="s">
        <v>15908</v>
      </c>
      <c r="GA1668" s="1">
        <v>923494</v>
      </c>
      <c r="GE1668" s="1" t="s">
        <v>210</v>
      </c>
      <c r="GH1668" s="1" t="s">
        <v>421</v>
      </c>
      <c r="GI1668" s="1" t="s">
        <v>204</v>
      </c>
      <c r="GJ1668" s="1" t="s">
        <v>300</v>
      </c>
      <c r="GK1668" s="1" t="s">
        <v>210</v>
      </c>
      <c r="GL1668" s="2">
        <v>41990</v>
      </c>
      <c r="GM1668" s="1" t="s">
        <v>15909</v>
      </c>
    </row>
    <row r="1669" spans="1:195">
      <c r="A1669" s="1">
        <v>115000</v>
      </c>
      <c r="B1669" s="1" t="s">
        <v>195</v>
      </c>
      <c r="C1669" s="1" t="str">
        <f>"08699540"</f>
        <v>08699540</v>
      </c>
      <c r="D1669" s="1" t="s">
        <v>196</v>
      </c>
      <c r="F1669" s="1" t="str">
        <f>"8039"</f>
        <v>8039</v>
      </c>
      <c r="G1669" s="2">
        <v>41863</v>
      </c>
      <c r="H1669" s="1">
        <v>129000</v>
      </c>
      <c r="I1669" s="1">
        <v>115000</v>
      </c>
      <c r="J1669" s="1">
        <v>115000</v>
      </c>
      <c r="K1669" s="2">
        <v>41863</v>
      </c>
      <c r="L1669" s="1">
        <v>189</v>
      </c>
      <c r="M1669" s="2">
        <v>42051</v>
      </c>
      <c r="N1669" s="1">
        <v>189</v>
      </c>
      <c r="O1669" s="2">
        <v>42051</v>
      </c>
      <c r="P1669" s="1">
        <v>12293</v>
      </c>
      <c r="Q1669" s="1" t="s">
        <v>197</v>
      </c>
      <c r="R1669" s="2">
        <v>42079</v>
      </c>
      <c r="S1669" s="1">
        <v>107531</v>
      </c>
      <c r="U1669" s="1">
        <v>4552</v>
      </c>
      <c r="V1669" s="1" t="s">
        <v>15910</v>
      </c>
      <c r="W1669" s="1" t="s">
        <v>425</v>
      </c>
      <c r="X1669" s="1" t="s">
        <v>3468</v>
      </c>
      <c r="Y1669" s="1">
        <v>6</v>
      </c>
      <c r="Z1669" s="1" t="s">
        <v>249</v>
      </c>
      <c r="AA1669" s="1" t="s">
        <v>400</v>
      </c>
      <c r="AB1669" s="1">
        <v>60653</v>
      </c>
      <c r="AC1669" s="1">
        <v>4514</v>
      </c>
      <c r="AE1669" s="1" t="s">
        <v>15911</v>
      </c>
      <c r="AF1669" s="1" t="s">
        <v>402</v>
      </c>
      <c r="AG1669" s="1" t="s">
        <v>213</v>
      </c>
      <c r="AH1669" s="1" t="s">
        <v>403</v>
      </c>
      <c r="AI1669" s="1" t="s">
        <v>310</v>
      </c>
      <c r="AJ1669" s="1" t="s">
        <v>562</v>
      </c>
      <c r="AL1669" s="1">
        <v>6</v>
      </c>
      <c r="AM1669" s="1">
        <v>2</v>
      </c>
      <c r="AN1669" s="1">
        <v>1</v>
      </c>
      <c r="AO1669" s="1">
        <v>1</v>
      </c>
      <c r="AP1669" s="1" t="s">
        <v>210</v>
      </c>
      <c r="AQ1669" s="1">
        <v>1</v>
      </c>
      <c r="AR1669" s="1" t="s">
        <v>210</v>
      </c>
      <c r="AS1669" s="1" t="s">
        <v>204</v>
      </c>
      <c r="AT1669" s="1" t="s">
        <v>271</v>
      </c>
      <c r="AV1669" s="1">
        <v>1</v>
      </c>
      <c r="AW1669" s="1" t="s">
        <v>204</v>
      </c>
      <c r="AX1669" s="1" t="s">
        <v>782</v>
      </c>
      <c r="AZ1669" s="1">
        <v>3472</v>
      </c>
      <c r="BA1669" s="1">
        <v>2012</v>
      </c>
      <c r="BB1669" s="1" t="s">
        <v>405</v>
      </c>
      <c r="BE1669" s="1">
        <v>1600</v>
      </c>
      <c r="BF1669" s="1">
        <v>3</v>
      </c>
      <c r="BG1669" s="1">
        <v>0</v>
      </c>
      <c r="BJ1669" s="1">
        <v>80</v>
      </c>
      <c r="BL1669" s="1">
        <v>245</v>
      </c>
      <c r="BM1669" s="1" t="s">
        <v>204</v>
      </c>
      <c r="BN1669" s="1" t="s">
        <v>213</v>
      </c>
      <c r="BO1669" s="1">
        <v>40</v>
      </c>
      <c r="BP1669" s="1" t="s">
        <v>204</v>
      </c>
      <c r="BR1669" s="1" t="str">
        <f>"20024040791005"</f>
        <v>20024040791005</v>
      </c>
      <c r="BT1669" s="1" t="s">
        <v>15912</v>
      </c>
      <c r="BX1669" s="1">
        <v>299</v>
      </c>
      <c r="BY1669" s="1">
        <v>299</v>
      </c>
      <c r="BZ1669" s="1">
        <v>299</v>
      </c>
      <c r="CB1669" s="1" t="str">
        <f>"0"</f>
        <v>0</v>
      </c>
      <c r="CC1669" s="1" t="str">
        <f>"1400"</f>
        <v>1400</v>
      </c>
      <c r="CD1669" s="1">
        <v>0</v>
      </c>
      <c r="CE1669" s="1">
        <v>4554</v>
      </c>
      <c r="CG1669" s="1" t="s">
        <v>1723</v>
      </c>
      <c r="CH1669" s="1" t="s">
        <v>784</v>
      </c>
      <c r="CI1669" s="1" t="s">
        <v>438</v>
      </c>
      <c r="CJ1669" s="1" t="s">
        <v>210</v>
      </c>
      <c r="CK1669" s="1" t="s">
        <v>437</v>
      </c>
      <c r="CL1669" s="1" t="s">
        <v>784</v>
      </c>
      <c r="CM1669" s="1" t="s">
        <v>438</v>
      </c>
      <c r="CN1669" s="1" t="s">
        <v>210</v>
      </c>
      <c r="CO1669" s="1" t="s">
        <v>379</v>
      </c>
      <c r="CP1669" s="1" t="s">
        <v>784</v>
      </c>
      <c r="CQ1669" s="1" t="s">
        <v>438</v>
      </c>
      <c r="CR1669" s="1" t="s">
        <v>210</v>
      </c>
      <c r="CS1669" s="1" t="s">
        <v>1403</v>
      </c>
      <c r="CT1669" s="1" t="s">
        <v>784</v>
      </c>
      <c r="CU1669" s="1" t="s">
        <v>438</v>
      </c>
      <c r="CV1669" s="1" t="s">
        <v>210</v>
      </c>
      <c r="CX1669" s="1" t="s">
        <v>224</v>
      </c>
      <c r="DB1669" s="1" t="s">
        <v>224</v>
      </c>
      <c r="DE1669" s="1" t="s">
        <v>379</v>
      </c>
      <c r="DF1669" s="1" t="s">
        <v>784</v>
      </c>
      <c r="DG1669" s="1" t="s">
        <v>226</v>
      </c>
      <c r="DH1669" s="1" t="s">
        <v>210</v>
      </c>
      <c r="DI1669" s="1" t="s">
        <v>757</v>
      </c>
      <c r="DJ1669" s="1" t="s">
        <v>784</v>
      </c>
      <c r="DK1669" s="1" t="s">
        <v>438</v>
      </c>
      <c r="DL1669" s="1" t="s">
        <v>210</v>
      </c>
      <c r="DM1669" s="1" t="s">
        <v>1359</v>
      </c>
      <c r="DR1669" s="1" t="s">
        <v>489</v>
      </c>
      <c r="DS1669" s="1" t="s">
        <v>784</v>
      </c>
      <c r="DT1669" s="1" t="s">
        <v>347</v>
      </c>
      <c r="DU1669" s="1" t="s">
        <v>210</v>
      </c>
      <c r="DW1669" s="1" t="s">
        <v>230</v>
      </c>
      <c r="EA1669" s="1" t="s">
        <v>230</v>
      </c>
      <c r="EE1669" s="1" t="s">
        <v>230</v>
      </c>
      <c r="EI1669" s="1" t="s">
        <v>230</v>
      </c>
      <c r="EL1669" s="1" t="s">
        <v>413</v>
      </c>
      <c r="EM1669" s="1" t="s">
        <v>319</v>
      </c>
      <c r="EN1669" s="1" t="s">
        <v>282</v>
      </c>
      <c r="EO1669" s="1" t="s">
        <v>234</v>
      </c>
      <c r="EP1669" s="1" t="s">
        <v>15913</v>
      </c>
      <c r="EQ1669" s="1" t="s">
        <v>492</v>
      </c>
      <c r="ER1669" s="1" t="s">
        <v>210</v>
      </c>
      <c r="ES1669" s="1" t="s">
        <v>322</v>
      </c>
      <c r="EU1669" s="1" t="s">
        <v>546</v>
      </c>
      <c r="EV1669" s="1" t="s">
        <v>1553</v>
      </c>
      <c r="EW1669" s="1" t="s">
        <v>286</v>
      </c>
      <c r="EY1669" s="1" t="s">
        <v>242</v>
      </c>
      <c r="EZ1669" s="1" t="s">
        <v>1359</v>
      </c>
      <c r="FA1669" s="1" t="s">
        <v>3462</v>
      </c>
      <c r="FB1669" s="1" t="s">
        <v>289</v>
      </c>
      <c r="FC1669" s="1" t="s">
        <v>15914</v>
      </c>
      <c r="FD1669" s="1" t="s">
        <v>3287</v>
      </c>
      <c r="FE1669" s="1" t="s">
        <v>566</v>
      </c>
      <c r="FF1669" s="1" t="s">
        <v>248</v>
      </c>
      <c r="FH1669" s="1" t="s">
        <v>249</v>
      </c>
      <c r="FK1669" s="1" t="s">
        <v>2076</v>
      </c>
      <c r="FL1669" s="1" t="s">
        <v>358</v>
      </c>
      <c r="FM1669" s="1" t="s">
        <v>252</v>
      </c>
      <c r="FN1669" s="1" t="s">
        <v>213</v>
      </c>
      <c r="FO1669" s="1" t="s">
        <v>213</v>
      </c>
      <c r="FQ1669" s="1" t="s">
        <v>1599</v>
      </c>
      <c r="FR1669" s="1" t="s">
        <v>360</v>
      </c>
      <c r="FS1669" s="1" t="s">
        <v>15915</v>
      </c>
      <c r="FT1669" s="1" t="s">
        <v>15916</v>
      </c>
      <c r="FU1669" s="1" t="s">
        <v>204</v>
      </c>
      <c r="FV1669" s="1" t="s">
        <v>15917</v>
      </c>
      <c r="FW1669" s="1" t="s">
        <v>1637</v>
      </c>
      <c r="FX1669" s="1">
        <v>12293</v>
      </c>
      <c r="FY1669" s="1" t="s">
        <v>10402</v>
      </c>
      <c r="FZ1669" s="1" t="s">
        <v>15918</v>
      </c>
      <c r="GA1669" s="1">
        <v>117948</v>
      </c>
      <c r="GB1669" s="1" t="s">
        <v>15919</v>
      </c>
      <c r="GC1669" s="1">
        <v>107531</v>
      </c>
      <c r="GE1669" s="1" t="s">
        <v>2504</v>
      </c>
      <c r="GH1669" s="1" t="s">
        <v>421</v>
      </c>
      <c r="GI1669" s="1" t="s">
        <v>213</v>
      </c>
      <c r="GJ1669" s="1" t="s">
        <v>260</v>
      </c>
      <c r="GK1669" s="1" t="s">
        <v>210</v>
      </c>
      <c r="GL1669" s="2">
        <v>42080</v>
      </c>
      <c r="GM1669" s="1" t="s">
        <v>15920</v>
      </c>
    </row>
    <row r="1670" spans="1:195">
      <c r="A1670" s="1">
        <v>105000</v>
      </c>
      <c r="B1670" s="1" t="s">
        <v>195</v>
      </c>
      <c r="C1670" s="1" t="str">
        <f>"08700857"</f>
        <v>08700857</v>
      </c>
      <c r="D1670" s="1" t="s">
        <v>196</v>
      </c>
      <c r="F1670" s="1" t="str">
        <f>"140"</f>
        <v>140</v>
      </c>
      <c r="G1670" s="2">
        <v>41864</v>
      </c>
      <c r="H1670" s="1">
        <v>117500</v>
      </c>
      <c r="I1670" s="1">
        <v>117500</v>
      </c>
      <c r="J1670" s="1">
        <v>105000</v>
      </c>
      <c r="K1670" s="2">
        <v>41864</v>
      </c>
      <c r="L1670" s="1">
        <v>164</v>
      </c>
      <c r="M1670" s="2">
        <v>42027</v>
      </c>
      <c r="N1670" s="1">
        <v>164</v>
      </c>
      <c r="O1670" s="2">
        <v>42027</v>
      </c>
      <c r="P1670" s="1">
        <v>5115</v>
      </c>
      <c r="Q1670" s="1" t="s">
        <v>197</v>
      </c>
      <c r="R1670" s="2">
        <v>42069</v>
      </c>
      <c r="S1670" s="1">
        <v>53605</v>
      </c>
      <c r="U1670" s="1">
        <v>1013</v>
      </c>
      <c r="V1670" s="1" t="s">
        <v>7570</v>
      </c>
      <c r="W1670" s="1" t="s">
        <v>264</v>
      </c>
      <c r="Y1670" s="1">
        <v>6</v>
      </c>
      <c r="Z1670" s="1" t="s">
        <v>200</v>
      </c>
      <c r="AA1670" s="1" t="s">
        <v>1658</v>
      </c>
      <c r="AB1670" s="1">
        <v>60140</v>
      </c>
      <c r="AD1670" s="1" t="s">
        <v>15921</v>
      </c>
      <c r="AE1670" s="1" t="s">
        <v>15922</v>
      </c>
      <c r="AF1670" s="1">
        <v>2007</v>
      </c>
      <c r="AG1670" s="1" t="s">
        <v>204</v>
      </c>
      <c r="AH1670" s="1" t="s">
        <v>1660</v>
      </c>
      <c r="AI1670" s="1" t="s">
        <v>665</v>
      </c>
      <c r="AJ1670" s="1" t="s">
        <v>1660</v>
      </c>
      <c r="AL1670" s="1">
        <v>6</v>
      </c>
      <c r="AM1670" s="1">
        <v>2</v>
      </c>
      <c r="AN1670" s="1">
        <v>2</v>
      </c>
      <c r="AO1670" s="1">
        <v>1</v>
      </c>
      <c r="AP1670" s="1" t="s">
        <v>209</v>
      </c>
      <c r="AR1670" s="1" t="s">
        <v>210</v>
      </c>
      <c r="AS1670" s="1" t="s">
        <v>204</v>
      </c>
      <c r="AT1670" s="1" t="s">
        <v>211</v>
      </c>
      <c r="AU1670" s="1">
        <v>2</v>
      </c>
      <c r="AW1670" s="1" t="s">
        <v>204</v>
      </c>
      <c r="AX1670" s="1" t="s">
        <v>212</v>
      </c>
      <c r="AZ1670" s="1">
        <v>3951.04</v>
      </c>
      <c r="BA1670" s="1">
        <v>2013</v>
      </c>
      <c r="BB1670" s="1" t="s">
        <v>599</v>
      </c>
      <c r="BE1670" s="1">
        <v>1374</v>
      </c>
      <c r="BF1670" s="1">
        <v>1</v>
      </c>
      <c r="BG1670" s="1">
        <v>0</v>
      </c>
      <c r="BL1670" s="1">
        <v>138</v>
      </c>
      <c r="BM1670" s="1" t="s">
        <v>204</v>
      </c>
      <c r="BN1670" s="1" t="s">
        <v>213</v>
      </c>
      <c r="BO1670" s="1">
        <v>0</v>
      </c>
      <c r="BP1670" s="1" t="s">
        <v>204</v>
      </c>
      <c r="BR1670" s="1" t="str">
        <f>"0126152031"</f>
        <v>0126152031</v>
      </c>
      <c r="BT1670" s="1" t="s">
        <v>15923</v>
      </c>
      <c r="BU1670" s="1" t="s">
        <v>5057</v>
      </c>
      <c r="BV1670" s="1" t="s">
        <v>754</v>
      </c>
      <c r="BW1670" s="1" t="s">
        <v>755</v>
      </c>
      <c r="BX1670" s="1">
        <v>300</v>
      </c>
      <c r="BY1670" s="1">
        <v>300</v>
      </c>
      <c r="BZ1670" s="1">
        <v>300</v>
      </c>
      <c r="CB1670" s="1" t="str">
        <f t="shared" ref="CB1670:CC1670" si="1266">""</f>
        <v/>
      </c>
      <c r="CC1670" s="1" t="str">
        <f t="shared" si="1266"/>
        <v/>
      </c>
      <c r="CG1670" s="1" t="s">
        <v>1533</v>
      </c>
      <c r="CH1670" s="1" t="s">
        <v>219</v>
      </c>
      <c r="CI1670" s="1" t="s">
        <v>438</v>
      </c>
      <c r="CJ1670" s="1" t="s">
        <v>252</v>
      </c>
      <c r="CK1670" s="1" t="s">
        <v>757</v>
      </c>
      <c r="CL1670" s="1" t="s">
        <v>277</v>
      </c>
      <c r="CM1670" s="1" t="s">
        <v>220</v>
      </c>
      <c r="CN1670" s="1" t="s">
        <v>252</v>
      </c>
      <c r="CO1670" s="1" t="s">
        <v>786</v>
      </c>
      <c r="CP1670" s="1" t="s">
        <v>219</v>
      </c>
      <c r="CQ1670" s="1" t="s">
        <v>438</v>
      </c>
      <c r="CR1670" s="1" t="s">
        <v>252</v>
      </c>
      <c r="CS1670" s="1" t="s">
        <v>318</v>
      </c>
      <c r="CT1670" s="1" t="s">
        <v>277</v>
      </c>
      <c r="CU1670" s="1" t="s">
        <v>220</v>
      </c>
      <c r="CV1670" s="1" t="s">
        <v>252</v>
      </c>
      <c r="CX1670" s="1" t="s">
        <v>224</v>
      </c>
      <c r="DB1670" s="1" t="s">
        <v>224</v>
      </c>
      <c r="DE1670" s="1" t="s">
        <v>602</v>
      </c>
      <c r="DF1670" s="1" t="s">
        <v>219</v>
      </c>
      <c r="DG1670" s="1" t="s">
        <v>438</v>
      </c>
      <c r="DH1670" s="1" t="s">
        <v>210</v>
      </c>
      <c r="DJ1670" s="1" t="s">
        <v>224</v>
      </c>
      <c r="DM1670" s="1" t="s">
        <v>464</v>
      </c>
      <c r="DR1670" s="1" t="s">
        <v>1612</v>
      </c>
      <c r="DS1670" s="1" t="s">
        <v>277</v>
      </c>
      <c r="DT1670" s="1" t="s">
        <v>220</v>
      </c>
      <c r="DU1670" s="1" t="s">
        <v>210</v>
      </c>
      <c r="DW1670" s="1" t="s">
        <v>230</v>
      </c>
      <c r="EA1670" s="1" t="s">
        <v>230</v>
      </c>
      <c r="EE1670" s="1" t="s">
        <v>230</v>
      </c>
      <c r="EI1670" s="1" t="s">
        <v>230</v>
      </c>
      <c r="EL1670" s="1" t="s">
        <v>491</v>
      </c>
      <c r="EM1670" s="1" t="s">
        <v>319</v>
      </c>
      <c r="EN1670" s="1" t="s">
        <v>282</v>
      </c>
      <c r="EO1670" s="1" t="s">
        <v>234</v>
      </c>
      <c r="EQ1670" s="1" t="s">
        <v>236</v>
      </c>
      <c r="ER1670" s="1" t="s">
        <v>383</v>
      </c>
      <c r="ES1670" s="1" t="s">
        <v>237</v>
      </c>
      <c r="EV1670" s="1" t="s">
        <v>324</v>
      </c>
      <c r="EW1670" s="1" t="s">
        <v>353</v>
      </c>
      <c r="EY1670" s="1" t="s">
        <v>4650</v>
      </c>
      <c r="EZ1670" s="1" t="s">
        <v>464</v>
      </c>
      <c r="FA1670" s="1" t="s">
        <v>14378</v>
      </c>
      <c r="FB1670" s="1" t="s">
        <v>289</v>
      </c>
      <c r="FC1670" s="1" t="s">
        <v>548</v>
      </c>
      <c r="FD1670" s="1" t="s">
        <v>246</v>
      </c>
      <c r="FE1670" s="1" t="s">
        <v>386</v>
      </c>
      <c r="FF1670" s="1" t="s">
        <v>248</v>
      </c>
      <c r="FH1670" s="1" t="s">
        <v>550</v>
      </c>
      <c r="FI1670" s="1" t="s">
        <v>357</v>
      </c>
      <c r="FJ1670" s="1" t="s">
        <v>1472</v>
      </c>
      <c r="FL1670" s="1" t="s">
        <v>358</v>
      </c>
      <c r="FM1670" s="1" t="s">
        <v>252</v>
      </c>
      <c r="FN1670" s="1" t="s">
        <v>213</v>
      </c>
      <c r="FO1670" s="1" t="s">
        <v>213</v>
      </c>
      <c r="FQ1670" s="1" t="s">
        <v>7805</v>
      </c>
      <c r="FR1670" s="1" t="s">
        <v>210</v>
      </c>
      <c r="FS1670" s="1" t="s">
        <v>1575</v>
      </c>
      <c r="FT1670" s="1" t="s">
        <v>1139</v>
      </c>
      <c r="FU1670" s="1" t="s">
        <v>204</v>
      </c>
      <c r="FW1670" s="1" t="s">
        <v>10007</v>
      </c>
      <c r="FX1670" s="1">
        <v>5115</v>
      </c>
      <c r="FY1670" s="1" t="s">
        <v>10008</v>
      </c>
      <c r="FZ1670" s="1" t="s">
        <v>10009</v>
      </c>
      <c r="GA1670" s="1">
        <v>53605</v>
      </c>
      <c r="GB1670" s="1" t="s">
        <v>10010</v>
      </c>
      <c r="GD1670" s="1" t="s">
        <v>10011</v>
      </c>
      <c r="GE1670" s="1" t="s">
        <v>480</v>
      </c>
      <c r="GI1670" s="1" t="s">
        <v>213</v>
      </c>
      <c r="GJ1670" s="1" t="s">
        <v>260</v>
      </c>
      <c r="GK1670" s="1" t="s">
        <v>210</v>
      </c>
      <c r="GL1670" s="2">
        <v>42069</v>
      </c>
    </row>
    <row r="1671" spans="1:195">
      <c r="A1671" s="1">
        <v>232500</v>
      </c>
      <c r="B1671" s="1" t="s">
        <v>195</v>
      </c>
      <c r="C1671" s="1" t="str">
        <f>"08701713"</f>
        <v>08701713</v>
      </c>
      <c r="D1671" s="1" t="s">
        <v>196</v>
      </c>
      <c r="F1671" s="1" t="str">
        <f>"480"</f>
        <v>480</v>
      </c>
      <c r="G1671" s="2">
        <v>41865</v>
      </c>
      <c r="H1671" s="1">
        <v>259900</v>
      </c>
      <c r="I1671" s="1">
        <v>259900</v>
      </c>
      <c r="J1671" s="1">
        <v>232500</v>
      </c>
      <c r="K1671" s="2">
        <v>41865</v>
      </c>
      <c r="L1671" s="1">
        <v>92</v>
      </c>
      <c r="M1671" s="2">
        <v>41956</v>
      </c>
      <c r="N1671" s="1">
        <v>92</v>
      </c>
      <c r="O1671" s="2">
        <v>41956</v>
      </c>
      <c r="P1671" s="1">
        <v>60830</v>
      </c>
      <c r="Q1671" s="1" t="s">
        <v>197</v>
      </c>
      <c r="R1671" s="2">
        <v>41992</v>
      </c>
      <c r="S1671" s="1">
        <v>230375</v>
      </c>
      <c r="U1671" s="1">
        <v>400</v>
      </c>
      <c r="V1671" s="1" t="s">
        <v>4022</v>
      </c>
      <c r="W1671" s="1" t="s">
        <v>449</v>
      </c>
      <c r="X1671" s="1" t="s">
        <v>15924</v>
      </c>
      <c r="Y1671" s="1">
        <v>60</v>
      </c>
      <c r="Z1671" s="1" t="s">
        <v>249</v>
      </c>
      <c r="AA1671" s="1" t="s">
        <v>3145</v>
      </c>
      <c r="AB1671" s="1">
        <v>60480</v>
      </c>
      <c r="AE1671" s="1" t="s">
        <v>15925</v>
      </c>
      <c r="AF1671" s="1">
        <v>2003</v>
      </c>
      <c r="AG1671" s="1" t="s">
        <v>204</v>
      </c>
      <c r="AH1671" s="1" t="s">
        <v>3147</v>
      </c>
      <c r="AI1671" s="1" t="s">
        <v>310</v>
      </c>
      <c r="AJ1671" s="1" t="s">
        <v>702</v>
      </c>
      <c r="AL1671" s="1">
        <v>7</v>
      </c>
      <c r="AM1671" s="1">
        <v>2</v>
      </c>
      <c r="AN1671" s="1">
        <v>2</v>
      </c>
      <c r="AO1671" s="1">
        <v>1</v>
      </c>
      <c r="AP1671" s="1" t="s">
        <v>209</v>
      </c>
      <c r="AQ1671" s="1">
        <v>1</v>
      </c>
      <c r="AR1671" s="1" t="s">
        <v>210</v>
      </c>
      <c r="AT1671" s="1" t="s">
        <v>211</v>
      </c>
      <c r="AU1671" s="1">
        <v>2</v>
      </c>
      <c r="AW1671" s="1" t="s">
        <v>204</v>
      </c>
      <c r="AX1671" s="1" t="s">
        <v>212</v>
      </c>
      <c r="AZ1671" s="1">
        <v>3383.43</v>
      </c>
      <c r="BA1671" s="1">
        <v>2012</v>
      </c>
      <c r="BE1671" s="1">
        <v>0</v>
      </c>
      <c r="BF1671" s="1">
        <v>4</v>
      </c>
      <c r="BG1671" s="1">
        <v>30</v>
      </c>
      <c r="BL1671" s="1">
        <v>425</v>
      </c>
      <c r="BM1671" s="1" t="s">
        <v>204</v>
      </c>
      <c r="BN1671" s="1" t="s">
        <v>213</v>
      </c>
      <c r="BO1671" s="1">
        <v>25</v>
      </c>
      <c r="BP1671" s="1" t="s">
        <v>204</v>
      </c>
      <c r="BR1671" s="1" t="str">
        <f>"18333300031055"</f>
        <v>18333300031055</v>
      </c>
      <c r="BT1671" s="1" t="s">
        <v>15926</v>
      </c>
      <c r="BX1671" s="1">
        <v>108</v>
      </c>
      <c r="BY1671" s="1">
        <v>108</v>
      </c>
      <c r="BZ1671" s="1">
        <v>217</v>
      </c>
      <c r="CB1671" s="1" t="str">
        <f t="shared" ref="CB1671:CC1671" si="1267">""</f>
        <v/>
      </c>
      <c r="CC1671" s="1" t="str">
        <f t="shared" si="1267"/>
        <v/>
      </c>
      <c r="CG1671" s="1" t="s">
        <v>2042</v>
      </c>
      <c r="CH1671" s="1" t="s">
        <v>219</v>
      </c>
      <c r="CI1671" s="1" t="s">
        <v>438</v>
      </c>
      <c r="CJ1671" s="1" t="s">
        <v>463</v>
      </c>
      <c r="CK1671" s="1" t="s">
        <v>221</v>
      </c>
      <c r="CL1671" s="1" t="s">
        <v>219</v>
      </c>
      <c r="CM1671" s="1" t="s">
        <v>220</v>
      </c>
      <c r="CO1671" s="1" t="s">
        <v>465</v>
      </c>
      <c r="CP1671" s="1" t="s">
        <v>219</v>
      </c>
      <c r="CQ1671" s="1" t="s">
        <v>438</v>
      </c>
      <c r="CS1671" s="1" t="s">
        <v>1297</v>
      </c>
      <c r="CT1671" s="1" t="s">
        <v>219</v>
      </c>
      <c r="CU1671" s="1" t="s">
        <v>220</v>
      </c>
      <c r="CX1671" s="1" t="s">
        <v>224</v>
      </c>
      <c r="DB1671" s="1" t="s">
        <v>224</v>
      </c>
      <c r="DE1671" s="1" t="s">
        <v>1157</v>
      </c>
      <c r="DF1671" s="1" t="s">
        <v>219</v>
      </c>
      <c r="DG1671" s="1" t="s">
        <v>226</v>
      </c>
      <c r="DJ1671" s="1" t="s">
        <v>224</v>
      </c>
      <c r="DM1671" s="1" t="s">
        <v>227</v>
      </c>
      <c r="DN1671" s="1" t="s">
        <v>3592</v>
      </c>
      <c r="DR1671" s="1" t="s">
        <v>344</v>
      </c>
      <c r="DS1671" s="1" t="s">
        <v>219</v>
      </c>
      <c r="DT1671" s="1" t="s">
        <v>220</v>
      </c>
      <c r="DV1671" s="1" t="s">
        <v>3034</v>
      </c>
      <c r="DW1671" s="1" t="s">
        <v>219</v>
      </c>
      <c r="DX1671" s="1" t="s">
        <v>438</v>
      </c>
      <c r="EA1671" s="1" t="s">
        <v>230</v>
      </c>
      <c r="EE1671" s="1" t="s">
        <v>230</v>
      </c>
      <c r="EI1671" s="1" t="s">
        <v>230</v>
      </c>
      <c r="EL1671" s="1" t="s">
        <v>466</v>
      </c>
      <c r="EM1671" s="1" t="s">
        <v>232</v>
      </c>
      <c r="EN1671" s="1" t="s">
        <v>282</v>
      </c>
      <c r="EO1671" s="1" t="s">
        <v>234</v>
      </c>
      <c r="ER1671" s="1" t="s">
        <v>210</v>
      </c>
      <c r="ES1671" s="1" t="s">
        <v>3719</v>
      </c>
      <c r="EU1671" s="1" t="s">
        <v>239</v>
      </c>
      <c r="EV1671" s="1" t="s">
        <v>240</v>
      </c>
      <c r="EW1671" s="1" t="s">
        <v>15927</v>
      </c>
      <c r="EZ1671" s="1" t="s">
        <v>15928</v>
      </c>
      <c r="FB1671" s="1" t="s">
        <v>289</v>
      </c>
      <c r="FD1671" s="1" t="s">
        <v>246</v>
      </c>
      <c r="FE1671" s="1" t="s">
        <v>247</v>
      </c>
      <c r="FF1671" s="1" t="s">
        <v>248</v>
      </c>
      <c r="FG1671" s="1" t="s">
        <v>912</v>
      </c>
      <c r="FH1671" s="1" t="s">
        <v>249</v>
      </c>
      <c r="FI1671" s="1" t="s">
        <v>357</v>
      </c>
      <c r="FL1671" s="1" t="s">
        <v>358</v>
      </c>
      <c r="FM1671" s="1" t="s">
        <v>252</v>
      </c>
      <c r="FN1671" s="1" t="s">
        <v>213</v>
      </c>
      <c r="FO1671" s="1" t="s">
        <v>213</v>
      </c>
      <c r="FQ1671" s="1" t="s">
        <v>11194</v>
      </c>
      <c r="FR1671" s="1" t="s">
        <v>210</v>
      </c>
      <c r="FS1671" s="1" t="s">
        <v>1709</v>
      </c>
      <c r="FT1671" s="1" t="s">
        <v>295</v>
      </c>
      <c r="FU1671" s="1" t="s">
        <v>204</v>
      </c>
      <c r="FW1671" s="1" t="s">
        <v>915</v>
      </c>
      <c r="FX1671" s="1">
        <v>22049</v>
      </c>
      <c r="FY1671" s="1" t="s">
        <v>4731</v>
      </c>
      <c r="FZ1671" s="1" t="s">
        <v>11485</v>
      </c>
      <c r="GA1671" s="1">
        <v>223474</v>
      </c>
      <c r="GB1671" s="1" t="s">
        <v>11486</v>
      </c>
      <c r="GE1671" s="1" t="s">
        <v>1764</v>
      </c>
      <c r="GI1671" s="1" t="s">
        <v>213</v>
      </c>
      <c r="GJ1671" s="1" t="s">
        <v>260</v>
      </c>
      <c r="GK1671" s="1" t="s">
        <v>210</v>
      </c>
      <c r="GL1671" s="2">
        <v>42016</v>
      </c>
    </row>
    <row r="1672" spans="1:195">
      <c r="A1672" s="1">
        <v>122600</v>
      </c>
      <c r="B1672" s="1" t="s">
        <v>195</v>
      </c>
      <c r="C1672" s="1" t="str">
        <f>"08701002"</f>
        <v>08701002</v>
      </c>
      <c r="D1672" s="1" t="s">
        <v>196</v>
      </c>
      <c r="F1672" s="1" t="str">
        <f>"110"</f>
        <v>110</v>
      </c>
      <c r="G1672" s="2">
        <v>41864</v>
      </c>
      <c r="H1672" s="1">
        <v>134000</v>
      </c>
      <c r="I1672" s="1">
        <v>124900</v>
      </c>
      <c r="J1672" s="1">
        <v>122600</v>
      </c>
      <c r="K1672" s="2">
        <v>41864</v>
      </c>
      <c r="L1672" s="1">
        <v>97</v>
      </c>
      <c r="M1672" s="2">
        <v>41960</v>
      </c>
      <c r="N1672" s="1">
        <v>97</v>
      </c>
      <c r="O1672" s="2">
        <v>41960</v>
      </c>
      <c r="P1672" s="1">
        <v>432</v>
      </c>
      <c r="Q1672" s="1" t="s">
        <v>197</v>
      </c>
      <c r="R1672" s="2">
        <v>42019</v>
      </c>
      <c r="S1672" s="1">
        <v>77389</v>
      </c>
      <c r="T1672" s="1">
        <v>2600</v>
      </c>
      <c r="U1672" s="1">
        <v>3354</v>
      </c>
      <c r="V1672" s="1" t="s">
        <v>15929</v>
      </c>
      <c r="W1672" s="1" t="s">
        <v>264</v>
      </c>
      <c r="Y1672" s="1">
        <v>4</v>
      </c>
      <c r="Z1672" s="1" t="s">
        <v>370</v>
      </c>
      <c r="AA1672" s="1" t="s">
        <v>803</v>
      </c>
      <c r="AB1672" s="1">
        <v>60110</v>
      </c>
      <c r="AD1672" s="1" t="s">
        <v>15930</v>
      </c>
      <c r="AE1672" s="1" t="s">
        <v>15931</v>
      </c>
      <c r="AF1672" s="1">
        <v>2000</v>
      </c>
      <c r="AG1672" s="1" t="s">
        <v>204</v>
      </c>
      <c r="AH1672" s="1" t="s">
        <v>2557</v>
      </c>
      <c r="AI1672" s="1" t="s">
        <v>665</v>
      </c>
      <c r="AJ1672" s="1" t="s">
        <v>805</v>
      </c>
      <c r="AK1672" s="1" t="s">
        <v>9888</v>
      </c>
      <c r="AL1672" s="1">
        <v>6</v>
      </c>
      <c r="AM1672" s="1">
        <v>2</v>
      </c>
      <c r="AN1672" s="1">
        <v>1</v>
      </c>
      <c r="AO1672" s="1">
        <v>1</v>
      </c>
      <c r="AP1672" s="1" t="s">
        <v>667</v>
      </c>
      <c r="AQ1672" s="1">
        <v>1</v>
      </c>
      <c r="AR1672" s="1" t="s">
        <v>210</v>
      </c>
      <c r="AS1672" s="1" t="s">
        <v>204</v>
      </c>
      <c r="AT1672" s="1" t="s">
        <v>211</v>
      </c>
      <c r="AU1672" s="1">
        <v>2</v>
      </c>
      <c r="AW1672" s="1" t="s">
        <v>204</v>
      </c>
      <c r="AX1672" s="1" t="s">
        <v>212</v>
      </c>
      <c r="AZ1672" s="1">
        <v>4451</v>
      </c>
      <c r="BA1672" s="1">
        <v>2013</v>
      </c>
      <c r="BB1672" s="1" t="s">
        <v>405</v>
      </c>
      <c r="BE1672" s="1">
        <v>0</v>
      </c>
      <c r="BF1672" s="1">
        <v>1</v>
      </c>
      <c r="BG1672" s="1">
        <v>0</v>
      </c>
      <c r="BL1672" s="1">
        <v>138</v>
      </c>
      <c r="BM1672" s="1" t="s">
        <v>204</v>
      </c>
      <c r="BN1672" s="1" t="s">
        <v>213</v>
      </c>
      <c r="BO1672" s="1">
        <v>0</v>
      </c>
      <c r="BP1672" s="1" t="s">
        <v>204</v>
      </c>
      <c r="BR1672" s="1" t="str">
        <f>"0308425013"</f>
        <v>0308425013</v>
      </c>
      <c r="BT1672" s="1" t="s">
        <v>15932</v>
      </c>
      <c r="BU1672" s="1" t="s">
        <v>6711</v>
      </c>
      <c r="BV1672" s="1" t="s">
        <v>2667</v>
      </c>
      <c r="BW1672" s="1" t="s">
        <v>2668</v>
      </c>
      <c r="BX1672" s="1">
        <v>300</v>
      </c>
      <c r="BY1672" s="1">
        <v>300</v>
      </c>
      <c r="BZ1672" s="1">
        <v>300</v>
      </c>
      <c r="CB1672" s="1" t="str">
        <f>"18"</f>
        <v>18</v>
      </c>
      <c r="CC1672" s="1" t="str">
        <f>"0"</f>
        <v>0</v>
      </c>
      <c r="CD1672" s="1">
        <v>36</v>
      </c>
      <c r="CE1672" s="1">
        <v>0</v>
      </c>
      <c r="CG1672" s="1" t="s">
        <v>2307</v>
      </c>
      <c r="CH1672" s="1" t="s">
        <v>219</v>
      </c>
      <c r="CI1672" s="1" t="s">
        <v>220</v>
      </c>
      <c r="CK1672" s="1" t="s">
        <v>1403</v>
      </c>
      <c r="CL1672" s="1" t="s">
        <v>277</v>
      </c>
      <c r="CM1672" s="1" t="s">
        <v>220</v>
      </c>
      <c r="CO1672" s="1" t="s">
        <v>951</v>
      </c>
      <c r="CP1672" s="1" t="s">
        <v>219</v>
      </c>
      <c r="CQ1672" s="1" t="s">
        <v>220</v>
      </c>
      <c r="CS1672" s="1" t="s">
        <v>346</v>
      </c>
      <c r="CT1672" s="1" t="s">
        <v>277</v>
      </c>
      <c r="CU1672" s="1" t="s">
        <v>220</v>
      </c>
      <c r="CX1672" s="1" t="s">
        <v>224</v>
      </c>
      <c r="DB1672" s="1" t="s">
        <v>224</v>
      </c>
      <c r="DE1672" s="1" t="s">
        <v>2138</v>
      </c>
      <c r="DF1672" s="1" t="s">
        <v>219</v>
      </c>
      <c r="DG1672" s="1" t="s">
        <v>226</v>
      </c>
      <c r="DJ1672" s="1" t="s">
        <v>224</v>
      </c>
      <c r="DM1672" s="1" t="s">
        <v>464</v>
      </c>
      <c r="DR1672" s="1" t="s">
        <v>1297</v>
      </c>
      <c r="DS1672" s="1" t="s">
        <v>277</v>
      </c>
      <c r="DT1672" s="1" t="s">
        <v>220</v>
      </c>
      <c r="DW1672" s="1" t="s">
        <v>230</v>
      </c>
      <c r="EA1672" s="1" t="s">
        <v>230</v>
      </c>
      <c r="EE1672" s="1" t="s">
        <v>230</v>
      </c>
      <c r="EI1672" s="1" t="s">
        <v>230</v>
      </c>
      <c r="EL1672" s="1" t="s">
        <v>466</v>
      </c>
      <c r="EM1672" s="1" t="s">
        <v>232</v>
      </c>
      <c r="EN1672" s="1" t="s">
        <v>282</v>
      </c>
      <c r="EO1672" s="1" t="s">
        <v>234</v>
      </c>
      <c r="EP1672" s="1" t="s">
        <v>12276</v>
      </c>
      <c r="EQ1672" s="1" t="s">
        <v>236</v>
      </c>
      <c r="ER1672" s="1" t="s">
        <v>210</v>
      </c>
      <c r="ES1672" s="1" t="s">
        <v>1552</v>
      </c>
      <c r="ET1672" s="1" t="s">
        <v>1404</v>
      </c>
      <c r="EU1672" s="1" t="s">
        <v>712</v>
      </c>
      <c r="EV1672" s="1" t="s">
        <v>352</v>
      </c>
      <c r="EW1672" s="1" t="s">
        <v>867</v>
      </c>
      <c r="EY1672" s="1" t="s">
        <v>242</v>
      </c>
      <c r="EZ1672" s="1" t="s">
        <v>464</v>
      </c>
      <c r="FA1672" s="1" t="s">
        <v>714</v>
      </c>
      <c r="FB1672" s="1" t="s">
        <v>289</v>
      </c>
      <c r="FD1672" s="1" t="s">
        <v>246</v>
      </c>
      <c r="FE1672" s="1" t="s">
        <v>247</v>
      </c>
      <c r="FF1672" s="1" t="s">
        <v>248</v>
      </c>
      <c r="FG1672" s="1" t="s">
        <v>2739</v>
      </c>
      <c r="FH1672" s="1" t="s">
        <v>550</v>
      </c>
      <c r="FI1672" s="1" t="s">
        <v>473</v>
      </c>
      <c r="FJ1672" s="1" t="s">
        <v>197</v>
      </c>
      <c r="FL1672" s="1" t="s">
        <v>358</v>
      </c>
      <c r="FM1672" s="1" t="s">
        <v>252</v>
      </c>
      <c r="FN1672" s="1" t="s">
        <v>213</v>
      </c>
      <c r="FO1672" s="1" t="s">
        <v>213</v>
      </c>
      <c r="FQ1672" s="1" t="s">
        <v>1473</v>
      </c>
      <c r="FR1672" s="1" t="s">
        <v>210</v>
      </c>
      <c r="FS1672" s="1" t="s">
        <v>15933</v>
      </c>
      <c r="FT1672" s="1" t="s">
        <v>675</v>
      </c>
      <c r="FU1672" s="1" t="s">
        <v>204</v>
      </c>
      <c r="FW1672" s="1" t="s">
        <v>8484</v>
      </c>
      <c r="FX1672" s="1">
        <v>8965</v>
      </c>
      <c r="FY1672" s="1" t="s">
        <v>8485</v>
      </c>
      <c r="FZ1672" s="1" t="s">
        <v>15934</v>
      </c>
      <c r="GA1672" s="1">
        <v>89128</v>
      </c>
      <c r="GB1672" s="1" t="s">
        <v>15935</v>
      </c>
      <c r="GD1672" s="1" t="s">
        <v>15936</v>
      </c>
      <c r="GE1672" s="1" t="s">
        <v>480</v>
      </c>
      <c r="GI1672" s="1" t="s">
        <v>213</v>
      </c>
      <c r="GJ1672" s="1" t="s">
        <v>260</v>
      </c>
      <c r="GK1672" s="1" t="s">
        <v>210</v>
      </c>
      <c r="GL1672" s="2">
        <v>42019</v>
      </c>
      <c r="GM1672" s="1" t="s">
        <v>15937</v>
      </c>
    </row>
    <row r="1673" spans="1:195">
      <c r="A1673" s="1">
        <v>97000</v>
      </c>
      <c r="B1673" s="1" t="s">
        <v>195</v>
      </c>
      <c r="C1673" s="1" t="str">
        <f>"08702220"</f>
        <v>08702220</v>
      </c>
      <c r="D1673" s="1" t="s">
        <v>196</v>
      </c>
      <c r="F1673" s="1" t="str">
        <f>"191"</f>
        <v>191</v>
      </c>
      <c r="G1673" s="2">
        <v>41865</v>
      </c>
      <c r="H1673" s="1">
        <v>158900</v>
      </c>
      <c r="I1673" s="1">
        <v>108500</v>
      </c>
      <c r="J1673" s="1">
        <v>97000</v>
      </c>
      <c r="K1673" s="2">
        <v>41865</v>
      </c>
      <c r="L1673" s="1">
        <v>167</v>
      </c>
      <c r="M1673" s="2">
        <v>42031</v>
      </c>
      <c r="N1673" s="1">
        <v>167</v>
      </c>
      <c r="O1673" s="2">
        <v>42031</v>
      </c>
      <c r="P1673" s="1">
        <v>25619</v>
      </c>
      <c r="Q1673" s="1" t="s">
        <v>197</v>
      </c>
      <c r="R1673" s="2">
        <v>42083</v>
      </c>
      <c r="S1673" s="1">
        <v>235640</v>
      </c>
      <c r="U1673" s="1">
        <v>219</v>
      </c>
      <c r="V1673" s="1" t="s">
        <v>15938</v>
      </c>
      <c r="W1673" s="1" t="s">
        <v>779</v>
      </c>
      <c r="Y1673" s="1">
        <v>4</v>
      </c>
      <c r="Z1673" s="1" t="s">
        <v>200</v>
      </c>
      <c r="AA1673" s="1" t="s">
        <v>1966</v>
      </c>
      <c r="AB1673" s="1">
        <v>60191</v>
      </c>
      <c r="AE1673" s="1" t="s">
        <v>15939</v>
      </c>
      <c r="AF1673" s="1">
        <v>1968</v>
      </c>
      <c r="AG1673" s="1" t="s">
        <v>213</v>
      </c>
      <c r="AH1673" s="1" t="s">
        <v>1969</v>
      </c>
      <c r="AI1673" s="1" t="s">
        <v>206</v>
      </c>
      <c r="AJ1673" s="1" t="s">
        <v>1233</v>
      </c>
      <c r="AL1673" s="1">
        <v>6</v>
      </c>
      <c r="AM1673" s="1">
        <v>2</v>
      </c>
      <c r="AN1673" s="1">
        <v>1</v>
      </c>
      <c r="AO1673" s="1">
        <v>1</v>
      </c>
      <c r="AP1673" s="1" t="s">
        <v>667</v>
      </c>
      <c r="AR1673" s="1" t="s">
        <v>209</v>
      </c>
      <c r="AS1673" s="1" t="s">
        <v>204</v>
      </c>
      <c r="AT1673" s="1" t="s">
        <v>271</v>
      </c>
      <c r="AV1673" s="1">
        <v>1</v>
      </c>
      <c r="AW1673" s="1" t="s">
        <v>204</v>
      </c>
      <c r="AX1673" s="1" t="s">
        <v>212</v>
      </c>
      <c r="AZ1673" s="1">
        <v>2261</v>
      </c>
      <c r="BA1673" s="1">
        <v>2013</v>
      </c>
      <c r="BE1673" s="1">
        <v>1260</v>
      </c>
      <c r="BF1673" s="1">
        <v>1</v>
      </c>
      <c r="BG1673" s="1">
        <v>0</v>
      </c>
      <c r="BL1673" s="1">
        <v>200</v>
      </c>
      <c r="BM1673" s="1" t="s">
        <v>204</v>
      </c>
      <c r="BN1673" s="1" t="s">
        <v>213</v>
      </c>
      <c r="BO1673" s="1">
        <v>100</v>
      </c>
      <c r="BP1673" s="1" t="s">
        <v>204</v>
      </c>
      <c r="BR1673" s="1" t="str">
        <f>"0316113014"</f>
        <v>0316113014</v>
      </c>
      <c r="BT1673" s="1" t="s">
        <v>15940</v>
      </c>
      <c r="BX1673" s="1">
        <v>7</v>
      </c>
      <c r="BY1673" s="1">
        <v>7</v>
      </c>
      <c r="BZ1673" s="1">
        <v>100</v>
      </c>
      <c r="CB1673" s="1" t="str">
        <f t="shared" ref="CB1673:CC1673" si="1268">""</f>
        <v/>
      </c>
      <c r="CC1673" s="1" t="str">
        <f t="shared" si="1268"/>
        <v/>
      </c>
      <c r="CG1673" s="1" t="s">
        <v>908</v>
      </c>
      <c r="CH1673" s="1" t="s">
        <v>219</v>
      </c>
      <c r="CK1673" s="1" t="s">
        <v>885</v>
      </c>
      <c r="CL1673" s="1" t="s">
        <v>277</v>
      </c>
      <c r="CO1673" s="1" t="s">
        <v>318</v>
      </c>
      <c r="CP1673" s="1" t="s">
        <v>219</v>
      </c>
      <c r="CS1673" s="1" t="s">
        <v>317</v>
      </c>
      <c r="CT1673" s="1" t="s">
        <v>277</v>
      </c>
      <c r="CX1673" s="1" t="s">
        <v>224</v>
      </c>
      <c r="DB1673" s="1" t="s">
        <v>224</v>
      </c>
      <c r="DE1673" s="1" t="s">
        <v>972</v>
      </c>
      <c r="DF1673" s="1" t="s">
        <v>219</v>
      </c>
      <c r="DI1673" s="1" t="s">
        <v>1132</v>
      </c>
      <c r="DJ1673" s="1" t="s">
        <v>43</v>
      </c>
      <c r="DS1673" s="1" t="s">
        <v>230</v>
      </c>
      <c r="DW1673" s="1" t="s">
        <v>230</v>
      </c>
      <c r="EA1673" s="1" t="s">
        <v>230</v>
      </c>
      <c r="EE1673" s="1" t="s">
        <v>230</v>
      </c>
      <c r="EI1673" s="1" t="s">
        <v>230</v>
      </c>
      <c r="EL1673" s="1" t="s">
        <v>605</v>
      </c>
      <c r="EM1673" s="1" t="s">
        <v>232</v>
      </c>
      <c r="EN1673" s="1" t="s">
        <v>282</v>
      </c>
      <c r="EO1673" s="1" t="s">
        <v>234</v>
      </c>
      <c r="ER1673" s="1" t="s">
        <v>544</v>
      </c>
      <c r="EW1673" s="1" t="s">
        <v>1679</v>
      </c>
      <c r="EZ1673" s="1" t="s">
        <v>287</v>
      </c>
      <c r="FD1673" s="1" t="s">
        <v>246</v>
      </c>
      <c r="FE1673" s="1" t="s">
        <v>247</v>
      </c>
      <c r="FF1673" s="1" t="s">
        <v>248</v>
      </c>
      <c r="FH1673" s="1" t="s">
        <v>550</v>
      </c>
      <c r="FK1673" s="1" t="s">
        <v>291</v>
      </c>
      <c r="FL1673" s="1" t="s">
        <v>358</v>
      </c>
      <c r="FM1673" s="1" t="s">
        <v>252</v>
      </c>
      <c r="FN1673" s="1" t="s">
        <v>213</v>
      </c>
      <c r="FO1673" s="1" t="s">
        <v>213</v>
      </c>
      <c r="FQ1673" s="1" t="s">
        <v>15941</v>
      </c>
      <c r="FR1673" s="1" t="s">
        <v>210</v>
      </c>
      <c r="FS1673" s="1" t="s">
        <v>15942</v>
      </c>
      <c r="FT1673" s="1" t="s">
        <v>584</v>
      </c>
      <c r="FU1673" s="1" t="s">
        <v>204</v>
      </c>
      <c r="FW1673" s="1" t="s">
        <v>11108</v>
      </c>
      <c r="FX1673" s="1">
        <v>17497</v>
      </c>
      <c r="FY1673" s="1" t="s">
        <v>11109</v>
      </c>
      <c r="FZ1673" s="1" t="s">
        <v>11110</v>
      </c>
      <c r="GA1673" s="1">
        <v>131652</v>
      </c>
      <c r="GB1673" s="1" t="s">
        <v>11111</v>
      </c>
      <c r="GE1673" s="1" t="s">
        <v>210</v>
      </c>
      <c r="GI1673" s="1" t="s">
        <v>213</v>
      </c>
      <c r="GJ1673" s="1" t="s">
        <v>260</v>
      </c>
      <c r="GK1673" s="1" t="s">
        <v>210</v>
      </c>
      <c r="GL1673" s="2">
        <v>42085</v>
      </c>
      <c r="GM1673" s="1" t="s">
        <v>15943</v>
      </c>
    </row>
    <row r="1674" spans="1:195">
      <c r="A1674" s="1">
        <v>227500</v>
      </c>
      <c r="B1674" s="1" t="s">
        <v>195</v>
      </c>
      <c r="C1674" s="1" t="str">
        <f>"08702087"</f>
        <v>08702087</v>
      </c>
      <c r="D1674" s="1" t="s">
        <v>196</v>
      </c>
      <c r="F1674" s="1" t="str">
        <f>"540"</f>
        <v>540</v>
      </c>
      <c r="G1674" s="2">
        <v>41865</v>
      </c>
      <c r="H1674" s="1">
        <v>249900</v>
      </c>
      <c r="I1674" s="1">
        <v>239900</v>
      </c>
      <c r="J1674" s="1">
        <v>227500</v>
      </c>
      <c r="K1674" s="2">
        <v>41865</v>
      </c>
      <c r="L1674" s="1">
        <v>75</v>
      </c>
      <c r="M1674" s="2">
        <v>41939</v>
      </c>
      <c r="N1674" s="1">
        <v>75</v>
      </c>
      <c r="O1674" s="2">
        <v>41939</v>
      </c>
      <c r="P1674" s="1">
        <v>60120</v>
      </c>
      <c r="Q1674" s="1" t="s">
        <v>197</v>
      </c>
      <c r="R1674" s="2">
        <v>41989</v>
      </c>
      <c r="S1674" s="1">
        <v>607275</v>
      </c>
      <c r="U1674" s="1">
        <v>1124</v>
      </c>
      <c r="V1674" s="1" t="s">
        <v>8143</v>
      </c>
      <c r="W1674" s="1" t="s">
        <v>504</v>
      </c>
      <c r="X1674" s="1">
        <v>1124</v>
      </c>
      <c r="Y1674" s="1">
        <v>4</v>
      </c>
      <c r="Z1674" s="1" t="s">
        <v>370</v>
      </c>
      <c r="AA1674" s="1" t="s">
        <v>921</v>
      </c>
      <c r="AB1674" s="1">
        <v>60540</v>
      </c>
      <c r="AD1674" s="1" t="s">
        <v>3984</v>
      </c>
      <c r="AE1674" s="1" t="s">
        <v>15944</v>
      </c>
      <c r="AF1674" s="1">
        <v>1991</v>
      </c>
      <c r="AG1674" s="1" t="s">
        <v>204</v>
      </c>
      <c r="AH1674" s="1" t="s">
        <v>924</v>
      </c>
      <c r="AI1674" s="1" t="s">
        <v>206</v>
      </c>
      <c r="AJ1674" s="1" t="s">
        <v>924</v>
      </c>
      <c r="AL1674" s="1">
        <v>6</v>
      </c>
      <c r="AM1674" s="1">
        <v>2</v>
      </c>
      <c r="AN1674" s="1">
        <v>2</v>
      </c>
      <c r="AO1674" s="1">
        <v>1</v>
      </c>
      <c r="AP1674" s="1" t="s">
        <v>209</v>
      </c>
      <c r="AQ1674" s="1">
        <v>1</v>
      </c>
      <c r="AR1674" s="1" t="s">
        <v>209</v>
      </c>
      <c r="AS1674" s="1" t="s">
        <v>204</v>
      </c>
      <c r="AT1674" s="1" t="s">
        <v>211</v>
      </c>
      <c r="AU1674" s="1">
        <v>2</v>
      </c>
      <c r="AW1674" s="1" t="s">
        <v>204</v>
      </c>
      <c r="AX1674" s="1" t="s">
        <v>15945</v>
      </c>
      <c r="AZ1674" s="1">
        <v>4794</v>
      </c>
      <c r="BA1674" s="1">
        <v>2013</v>
      </c>
      <c r="BB1674" s="1" t="s">
        <v>405</v>
      </c>
      <c r="BE1674" s="1">
        <v>1665</v>
      </c>
      <c r="BF1674" s="1">
        <v>1</v>
      </c>
      <c r="BG1674" s="1">
        <v>0</v>
      </c>
      <c r="BL1674" s="1">
        <v>230</v>
      </c>
      <c r="BM1674" s="1" t="s">
        <v>204</v>
      </c>
      <c r="BN1674" s="1" t="s">
        <v>213</v>
      </c>
      <c r="BO1674" s="1">
        <v>999</v>
      </c>
      <c r="BP1674" s="1" t="s">
        <v>204</v>
      </c>
      <c r="BR1674" s="1" t="str">
        <f>"0726211009"</f>
        <v>0726211009</v>
      </c>
      <c r="BT1674" s="1" t="s">
        <v>15946</v>
      </c>
      <c r="BU1674" s="1" t="s">
        <v>3988</v>
      </c>
      <c r="BV1674" s="1" t="s">
        <v>1248</v>
      </c>
      <c r="BW1674" s="1" t="s">
        <v>1312</v>
      </c>
      <c r="BX1674" s="1">
        <v>204</v>
      </c>
      <c r="BY1674" s="1">
        <v>204</v>
      </c>
      <c r="BZ1674" s="1">
        <v>204</v>
      </c>
      <c r="CB1674" s="1" t="str">
        <f t="shared" ref="CB1674:CC1674" si="1269">""</f>
        <v/>
      </c>
      <c r="CC1674" s="1" t="str">
        <f t="shared" si="1269"/>
        <v/>
      </c>
      <c r="CG1674" s="1" t="s">
        <v>9969</v>
      </c>
      <c r="CH1674" s="1" t="s">
        <v>219</v>
      </c>
      <c r="CI1674" s="1" t="s">
        <v>220</v>
      </c>
      <c r="CK1674" s="1" t="s">
        <v>2121</v>
      </c>
      <c r="CL1674" s="1" t="s">
        <v>277</v>
      </c>
      <c r="CM1674" s="1" t="s">
        <v>220</v>
      </c>
      <c r="CO1674" s="1" t="s">
        <v>1469</v>
      </c>
      <c r="CP1674" s="1" t="s">
        <v>219</v>
      </c>
      <c r="CQ1674" s="1" t="s">
        <v>220</v>
      </c>
      <c r="CS1674" s="1" t="s">
        <v>836</v>
      </c>
      <c r="CT1674" s="1" t="s">
        <v>277</v>
      </c>
      <c r="CX1674" s="1" t="s">
        <v>224</v>
      </c>
      <c r="DB1674" s="1" t="s">
        <v>224</v>
      </c>
      <c r="DE1674" s="1" t="s">
        <v>462</v>
      </c>
      <c r="DF1674" s="1" t="s">
        <v>219</v>
      </c>
      <c r="DG1674" s="1" t="s">
        <v>226</v>
      </c>
      <c r="DJ1674" s="1" t="s">
        <v>224</v>
      </c>
      <c r="DM1674" s="1" t="s">
        <v>1005</v>
      </c>
      <c r="DR1674" s="1" t="s">
        <v>318</v>
      </c>
      <c r="DS1674" s="1" t="s">
        <v>219</v>
      </c>
      <c r="DT1674" s="1" t="s">
        <v>220</v>
      </c>
      <c r="DW1674" s="1" t="s">
        <v>230</v>
      </c>
      <c r="EA1674" s="1" t="s">
        <v>230</v>
      </c>
      <c r="EE1674" s="1" t="s">
        <v>230</v>
      </c>
      <c r="EI1674" s="1" t="s">
        <v>230</v>
      </c>
      <c r="EL1674" s="1" t="s">
        <v>382</v>
      </c>
      <c r="EM1674" s="1" t="s">
        <v>232</v>
      </c>
      <c r="EN1674" s="1" t="s">
        <v>282</v>
      </c>
      <c r="EO1674" s="1" t="s">
        <v>234</v>
      </c>
      <c r="EP1674" s="1" t="s">
        <v>650</v>
      </c>
      <c r="EQ1674" s="1" t="s">
        <v>1109</v>
      </c>
      <c r="ER1674" s="1" t="s">
        <v>1249</v>
      </c>
      <c r="ES1674" s="1" t="s">
        <v>322</v>
      </c>
      <c r="ET1674" s="1" t="s">
        <v>238</v>
      </c>
      <c r="EV1674" s="1" t="s">
        <v>324</v>
      </c>
      <c r="EW1674" s="1" t="s">
        <v>353</v>
      </c>
      <c r="EZ1674" s="1" t="s">
        <v>1005</v>
      </c>
      <c r="FA1674" s="1" t="s">
        <v>354</v>
      </c>
      <c r="FD1674" s="1" t="s">
        <v>246</v>
      </c>
      <c r="FE1674" s="1" t="s">
        <v>975</v>
      </c>
      <c r="FF1674" s="1" t="s">
        <v>248</v>
      </c>
      <c r="FG1674" s="1" t="s">
        <v>912</v>
      </c>
      <c r="FH1674" s="1" t="s">
        <v>550</v>
      </c>
      <c r="FI1674" s="1" t="s">
        <v>3300</v>
      </c>
      <c r="FL1674" s="1" t="s">
        <v>358</v>
      </c>
      <c r="FM1674" s="1" t="s">
        <v>252</v>
      </c>
      <c r="FN1674" s="1" t="s">
        <v>213</v>
      </c>
      <c r="FO1674" s="1" t="s">
        <v>213</v>
      </c>
      <c r="FQ1674" s="1" t="s">
        <v>2700</v>
      </c>
      <c r="FR1674" s="1" t="s">
        <v>210</v>
      </c>
      <c r="FS1674" s="1" t="s">
        <v>15947</v>
      </c>
      <c r="FT1674" s="1" t="s">
        <v>362</v>
      </c>
      <c r="FU1674" s="1" t="s">
        <v>204</v>
      </c>
      <c r="FW1674" s="1" t="s">
        <v>915</v>
      </c>
      <c r="FX1674" s="1">
        <v>23076</v>
      </c>
      <c r="FY1674" s="1" t="s">
        <v>1909</v>
      </c>
      <c r="FZ1674" s="1" t="s">
        <v>15948</v>
      </c>
      <c r="GA1674" s="1">
        <v>231767</v>
      </c>
      <c r="GB1674" s="1" t="s">
        <v>15949</v>
      </c>
      <c r="GD1674" s="1" t="s">
        <v>15950</v>
      </c>
      <c r="GE1674" s="1" t="s">
        <v>658</v>
      </c>
      <c r="GI1674" s="1" t="s">
        <v>213</v>
      </c>
      <c r="GJ1674" s="1" t="s">
        <v>260</v>
      </c>
      <c r="GK1674" s="1" t="s">
        <v>210</v>
      </c>
      <c r="GL1674" s="2">
        <v>41989</v>
      </c>
      <c r="GM1674" s="1" t="s">
        <v>15951</v>
      </c>
    </row>
    <row r="1675" spans="1:195">
      <c r="A1675" s="1">
        <v>231000</v>
      </c>
      <c r="B1675" s="1" t="s">
        <v>195</v>
      </c>
      <c r="C1675" s="1" t="str">
        <f>"08720921"</f>
        <v>08720921</v>
      </c>
      <c r="D1675" s="1" t="s">
        <v>196</v>
      </c>
      <c r="F1675" s="1" t="str">
        <f>"514"</f>
        <v>514</v>
      </c>
      <c r="G1675" s="2">
        <v>41887</v>
      </c>
      <c r="H1675" s="1">
        <v>253000</v>
      </c>
      <c r="I1675" s="1">
        <v>243000</v>
      </c>
      <c r="J1675" s="1">
        <v>231000</v>
      </c>
      <c r="K1675" s="2">
        <v>41887</v>
      </c>
      <c r="L1675" s="1">
        <v>155</v>
      </c>
      <c r="M1675" s="2">
        <v>42041</v>
      </c>
      <c r="N1675" s="1">
        <v>155</v>
      </c>
      <c r="O1675" s="2">
        <v>42041</v>
      </c>
      <c r="P1675" s="1">
        <v>3310</v>
      </c>
      <c r="Q1675" s="1" t="s">
        <v>197</v>
      </c>
      <c r="R1675" s="2">
        <v>42094</v>
      </c>
      <c r="S1675" s="1">
        <v>33947</v>
      </c>
      <c r="U1675" s="1">
        <v>402</v>
      </c>
      <c r="V1675" s="1" t="s">
        <v>15952</v>
      </c>
      <c r="W1675" s="1" t="s">
        <v>304</v>
      </c>
      <c r="Y1675" s="1">
        <v>4</v>
      </c>
      <c r="Z1675" s="1" t="s">
        <v>249</v>
      </c>
      <c r="AA1675" s="1" t="s">
        <v>2691</v>
      </c>
      <c r="AB1675" s="1">
        <v>60514</v>
      </c>
      <c r="AD1675" s="1" t="s">
        <v>15953</v>
      </c>
      <c r="AE1675" s="1" t="s">
        <v>15954</v>
      </c>
      <c r="AF1675" s="1">
        <v>1992</v>
      </c>
      <c r="AG1675" s="1" t="s">
        <v>204</v>
      </c>
      <c r="AH1675" s="1" t="s">
        <v>2693</v>
      </c>
      <c r="AI1675" s="1" t="s">
        <v>206</v>
      </c>
      <c r="AJ1675" s="1" t="s">
        <v>903</v>
      </c>
      <c r="AK1675" s="1" t="s">
        <v>2247</v>
      </c>
      <c r="AL1675" s="1">
        <v>6</v>
      </c>
      <c r="AM1675" s="1">
        <v>2</v>
      </c>
      <c r="AN1675" s="1">
        <v>2</v>
      </c>
      <c r="AO1675" s="1">
        <v>1</v>
      </c>
      <c r="AP1675" s="1" t="s">
        <v>210</v>
      </c>
      <c r="AQ1675" s="1">
        <v>1</v>
      </c>
      <c r="AR1675" s="1" t="s">
        <v>209</v>
      </c>
      <c r="AS1675" s="1" t="s">
        <v>213</v>
      </c>
      <c r="AT1675" s="1" t="s">
        <v>211</v>
      </c>
      <c r="AU1675" s="1">
        <v>1</v>
      </c>
      <c r="AW1675" s="1" t="s">
        <v>204</v>
      </c>
      <c r="AX1675" s="1" t="s">
        <v>212</v>
      </c>
      <c r="AZ1675" s="1">
        <v>3557.3</v>
      </c>
      <c r="BA1675" s="1">
        <v>2013</v>
      </c>
      <c r="BB1675" s="1" t="s">
        <v>8691</v>
      </c>
      <c r="BE1675" s="1">
        <v>1250</v>
      </c>
      <c r="BF1675" s="1">
        <v>1</v>
      </c>
      <c r="BG1675" s="1">
        <v>30</v>
      </c>
      <c r="BJ1675" s="1">
        <v>100</v>
      </c>
      <c r="BL1675" s="1">
        <v>255</v>
      </c>
      <c r="BM1675" s="1" t="s">
        <v>204</v>
      </c>
      <c r="BN1675" s="1" t="s">
        <v>213</v>
      </c>
      <c r="BO1675" s="1" t="s">
        <v>6360</v>
      </c>
      <c r="BP1675" s="1" t="s">
        <v>204</v>
      </c>
      <c r="BR1675" s="1" t="str">
        <f>"0914121002"</f>
        <v>0914121002</v>
      </c>
      <c r="BT1675" s="1" t="s">
        <v>15955</v>
      </c>
      <c r="BU1675" s="1" t="s">
        <v>10088</v>
      </c>
      <c r="BV1675" s="1" t="s">
        <v>2981</v>
      </c>
      <c r="BW1675" s="1" t="s">
        <v>1546</v>
      </c>
      <c r="BX1675" s="1">
        <v>60</v>
      </c>
      <c r="BY1675" s="1">
        <v>60</v>
      </c>
      <c r="BZ1675" s="1">
        <v>86</v>
      </c>
      <c r="CB1675" s="1" t="str">
        <f t="shared" ref="CB1675:CC1675" si="1270">"0"</f>
        <v>0</v>
      </c>
      <c r="CC1675" s="1" t="str">
        <f t="shared" si="1270"/>
        <v>0</v>
      </c>
      <c r="CD1675" s="1">
        <v>16</v>
      </c>
      <c r="CE1675" s="1">
        <v>6</v>
      </c>
      <c r="CG1675" s="1" t="s">
        <v>2042</v>
      </c>
      <c r="CH1675" s="1" t="s">
        <v>219</v>
      </c>
      <c r="CI1675" s="1" t="s">
        <v>438</v>
      </c>
      <c r="CJ1675" s="1" t="s">
        <v>343</v>
      </c>
      <c r="CK1675" s="1" t="s">
        <v>885</v>
      </c>
      <c r="CL1675" s="1" t="s">
        <v>277</v>
      </c>
      <c r="CM1675" s="1" t="s">
        <v>220</v>
      </c>
      <c r="CN1675" s="1" t="s">
        <v>343</v>
      </c>
      <c r="CO1675" s="1" t="s">
        <v>346</v>
      </c>
      <c r="CP1675" s="1" t="s">
        <v>219</v>
      </c>
      <c r="CQ1675" s="1" t="s">
        <v>438</v>
      </c>
      <c r="CR1675" s="1" t="s">
        <v>210</v>
      </c>
      <c r="CS1675" s="1" t="s">
        <v>1155</v>
      </c>
      <c r="CT1675" s="1" t="s">
        <v>277</v>
      </c>
      <c r="CU1675" s="1" t="s">
        <v>220</v>
      </c>
      <c r="CV1675" s="1" t="s">
        <v>343</v>
      </c>
      <c r="CX1675" s="1" t="s">
        <v>224</v>
      </c>
      <c r="DB1675" s="1" t="s">
        <v>224</v>
      </c>
      <c r="DE1675" s="1" t="s">
        <v>346</v>
      </c>
      <c r="DF1675" s="1" t="s">
        <v>219</v>
      </c>
      <c r="DG1675" s="1" t="s">
        <v>438</v>
      </c>
      <c r="DH1675" s="1" t="s">
        <v>210</v>
      </c>
      <c r="DI1675" s="1" t="s">
        <v>1200</v>
      </c>
      <c r="DJ1675" s="1" t="s">
        <v>43</v>
      </c>
      <c r="DK1675" s="1" t="s">
        <v>220</v>
      </c>
      <c r="DL1675" s="1" t="s">
        <v>210</v>
      </c>
      <c r="DS1675" s="1" t="s">
        <v>230</v>
      </c>
      <c r="DW1675" s="1" t="s">
        <v>230</v>
      </c>
      <c r="EA1675" s="1" t="s">
        <v>230</v>
      </c>
      <c r="EE1675" s="1" t="s">
        <v>230</v>
      </c>
      <c r="EI1675" s="1" t="s">
        <v>230</v>
      </c>
      <c r="EL1675" s="1" t="s">
        <v>382</v>
      </c>
      <c r="EM1675" s="1" t="s">
        <v>232</v>
      </c>
      <c r="EN1675" s="1" t="s">
        <v>282</v>
      </c>
      <c r="EO1675" s="1" t="s">
        <v>234</v>
      </c>
      <c r="EP1675" s="1" t="s">
        <v>650</v>
      </c>
      <c r="EQ1675" s="1" t="s">
        <v>236</v>
      </c>
      <c r="ER1675" s="1" t="s">
        <v>544</v>
      </c>
      <c r="ES1675" s="1" t="s">
        <v>493</v>
      </c>
      <c r="EU1675" s="1" t="s">
        <v>1110</v>
      </c>
      <c r="EV1675" s="1" t="s">
        <v>240</v>
      </c>
      <c r="EW1675" s="1" t="s">
        <v>353</v>
      </c>
      <c r="EY1675" s="1" t="s">
        <v>242</v>
      </c>
      <c r="EZ1675" s="1" t="s">
        <v>287</v>
      </c>
      <c r="FA1675" s="1" t="s">
        <v>7047</v>
      </c>
      <c r="FB1675" s="1" t="s">
        <v>289</v>
      </c>
      <c r="FC1675" s="1" t="s">
        <v>548</v>
      </c>
      <c r="FD1675" s="1" t="s">
        <v>246</v>
      </c>
      <c r="FE1675" s="1" t="s">
        <v>549</v>
      </c>
      <c r="FF1675" s="1" t="s">
        <v>248</v>
      </c>
      <c r="FG1675" s="1" t="s">
        <v>871</v>
      </c>
      <c r="FH1675" s="1" t="s">
        <v>550</v>
      </c>
      <c r="FI1675" s="1" t="s">
        <v>473</v>
      </c>
      <c r="FL1675" s="1" t="s">
        <v>358</v>
      </c>
      <c r="FM1675" s="1" t="s">
        <v>252</v>
      </c>
      <c r="FN1675" s="1" t="s">
        <v>213</v>
      </c>
      <c r="FO1675" s="1" t="s">
        <v>213</v>
      </c>
      <c r="FQ1675" s="1" t="s">
        <v>3545</v>
      </c>
      <c r="FR1675" s="1" t="s">
        <v>210</v>
      </c>
      <c r="FS1675" s="1" t="s">
        <v>15956</v>
      </c>
      <c r="FT1675" s="1" t="s">
        <v>362</v>
      </c>
      <c r="FU1675" s="1" t="s">
        <v>204</v>
      </c>
      <c r="FW1675" s="1" t="s">
        <v>2702</v>
      </c>
      <c r="FX1675" s="1">
        <v>22025</v>
      </c>
      <c r="FY1675" s="1" t="s">
        <v>2703</v>
      </c>
      <c r="FZ1675" s="1" t="s">
        <v>14691</v>
      </c>
      <c r="GA1675" s="1">
        <v>224850</v>
      </c>
      <c r="GB1675" s="1" t="s">
        <v>14692</v>
      </c>
      <c r="GE1675" s="1" t="s">
        <v>1764</v>
      </c>
      <c r="GI1675" s="1" t="s">
        <v>213</v>
      </c>
      <c r="GJ1675" s="1" t="s">
        <v>260</v>
      </c>
      <c r="GK1675" s="1" t="s">
        <v>210</v>
      </c>
      <c r="GL1675" s="2">
        <v>42094</v>
      </c>
      <c r="GM1675" s="1" t="s">
        <v>15957</v>
      </c>
    </row>
    <row r="1676" spans="1:195">
      <c r="A1676" s="1">
        <v>137000</v>
      </c>
      <c r="B1676" s="1" t="s">
        <v>195</v>
      </c>
      <c r="C1676" s="1" t="str">
        <f>"08705119"</f>
        <v>08705119</v>
      </c>
      <c r="D1676" s="1" t="s">
        <v>196</v>
      </c>
      <c r="F1676" s="1" t="str">
        <f>"139"</f>
        <v>139</v>
      </c>
      <c r="G1676" s="2">
        <v>41869</v>
      </c>
      <c r="H1676" s="1">
        <v>144900</v>
      </c>
      <c r="I1676" s="1">
        <v>138900</v>
      </c>
      <c r="J1676" s="1">
        <v>137000</v>
      </c>
      <c r="K1676" s="2">
        <v>41869</v>
      </c>
      <c r="L1676" s="1">
        <v>71</v>
      </c>
      <c r="M1676" s="2">
        <v>41939</v>
      </c>
      <c r="N1676" s="1">
        <v>71</v>
      </c>
      <c r="O1676" s="2">
        <v>41939</v>
      </c>
      <c r="P1676" s="1">
        <v>10841</v>
      </c>
      <c r="Q1676" s="1" t="s">
        <v>423</v>
      </c>
      <c r="R1676" s="2">
        <v>41988</v>
      </c>
      <c r="S1676" s="1">
        <v>159718</v>
      </c>
      <c r="U1676" s="1">
        <v>127</v>
      </c>
      <c r="V1676" s="1" t="s">
        <v>6460</v>
      </c>
      <c r="W1676" s="1" t="s">
        <v>264</v>
      </c>
      <c r="Y1676" s="1">
        <v>6</v>
      </c>
      <c r="Z1676" s="1" t="s">
        <v>370</v>
      </c>
      <c r="AA1676" s="1" t="s">
        <v>1732</v>
      </c>
      <c r="AB1676" s="1">
        <v>60139</v>
      </c>
      <c r="AD1676" s="1" t="s">
        <v>6461</v>
      </c>
      <c r="AE1676" s="1" t="s">
        <v>15958</v>
      </c>
      <c r="AF1676" s="1">
        <v>1989</v>
      </c>
      <c r="AG1676" s="1" t="s">
        <v>204</v>
      </c>
      <c r="AH1676" s="1" t="s">
        <v>1735</v>
      </c>
      <c r="AI1676" s="1" t="s">
        <v>206</v>
      </c>
      <c r="AJ1676" s="1" t="s">
        <v>269</v>
      </c>
      <c r="AL1676" s="1">
        <v>5</v>
      </c>
      <c r="AM1676" s="1">
        <v>2</v>
      </c>
      <c r="AN1676" s="1">
        <v>2</v>
      </c>
      <c r="AO1676" s="1">
        <v>1</v>
      </c>
      <c r="AP1676" s="1" t="s">
        <v>209</v>
      </c>
      <c r="AR1676" s="1" t="s">
        <v>210</v>
      </c>
      <c r="AS1676" s="1" t="s">
        <v>204</v>
      </c>
      <c r="AT1676" s="1" t="s">
        <v>211</v>
      </c>
      <c r="AU1676" s="1">
        <v>1</v>
      </c>
      <c r="AW1676" s="1" t="s">
        <v>204</v>
      </c>
      <c r="AX1676" s="1" t="s">
        <v>212</v>
      </c>
      <c r="AZ1676" s="1">
        <v>4041</v>
      </c>
      <c r="BA1676" s="1">
        <v>2013</v>
      </c>
      <c r="BE1676" s="1">
        <v>1010</v>
      </c>
      <c r="BF1676" s="1">
        <v>1</v>
      </c>
      <c r="BG1676" s="1">
        <v>0</v>
      </c>
      <c r="BL1676" s="1">
        <v>196</v>
      </c>
      <c r="BM1676" s="1" t="s">
        <v>204</v>
      </c>
      <c r="BN1676" s="1" t="s">
        <v>213</v>
      </c>
      <c r="BO1676" s="1">
        <v>60</v>
      </c>
      <c r="BP1676" s="1" t="s">
        <v>204</v>
      </c>
      <c r="BR1676" s="1" t="str">
        <f>"0233206154"</f>
        <v>0233206154</v>
      </c>
      <c r="BT1676" s="1" t="s">
        <v>15959</v>
      </c>
      <c r="BX1676" s="1">
        <v>16</v>
      </c>
      <c r="BY1676" s="1">
        <v>16</v>
      </c>
      <c r="BZ1676" s="1">
        <v>87</v>
      </c>
      <c r="CB1676" s="1" t="str">
        <f t="shared" ref="CB1676:CC1676" si="1271">""</f>
        <v/>
      </c>
      <c r="CC1676" s="1" t="str">
        <f t="shared" si="1271"/>
        <v/>
      </c>
      <c r="CG1676" s="1" t="s">
        <v>1200</v>
      </c>
      <c r="CH1676" s="1" t="s">
        <v>219</v>
      </c>
      <c r="CI1676" s="1" t="s">
        <v>229</v>
      </c>
      <c r="CK1676" s="1" t="s">
        <v>757</v>
      </c>
      <c r="CL1676" s="1" t="s">
        <v>277</v>
      </c>
      <c r="CM1676" s="1" t="s">
        <v>220</v>
      </c>
      <c r="CO1676" s="1" t="s">
        <v>629</v>
      </c>
      <c r="CP1676" s="1" t="s">
        <v>219</v>
      </c>
      <c r="CQ1676" s="1" t="s">
        <v>229</v>
      </c>
      <c r="CS1676" s="1" t="s">
        <v>1297</v>
      </c>
      <c r="CT1676" s="1" t="s">
        <v>277</v>
      </c>
      <c r="CU1676" s="1" t="s">
        <v>220</v>
      </c>
      <c r="CX1676" s="1" t="s">
        <v>224</v>
      </c>
      <c r="DB1676" s="1" t="s">
        <v>224</v>
      </c>
      <c r="DE1676" s="1" t="s">
        <v>516</v>
      </c>
      <c r="DF1676" s="1" t="s">
        <v>219</v>
      </c>
      <c r="DG1676" s="1" t="s">
        <v>229</v>
      </c>
      <c r="DJ1676" s="1" t="s">
        <v>224</v>
      </c>
      <c r="DS1676" s="1" t="s">
        <v>230</v>
      </c>
      <c r="DW1676" s="1" t="s">
        <v>230</v>
      </c>
      <c r="EA1676" s="1" t="s">
        <v>230</v>
      </c>
      <c r="EE1676" s="1" t="s">
        <v>230</v>
      </c>
      <c r="EI1676" s="1" t="s">
        <v>230</v>
      </c>
      <c r="EL1676" s="1" t="s">
        <v>382</v>
      </c>
      <c r="EM1676" s="1" t="s">
        <v>232</v>
      </c>
      <c r="EN1676" s="1" t="s">
        <v>282</v>
      </c>
      <c r="EO1676" s="1" t="s">
        <v>234</v>
      </c>
      <c r="EQ1676" s="1" t="s">
        <v>236</v>
      </c>
      <c r="ER1676" s="1" t="s">
        <v>383</v>
      </c>
      <c r="ES1676" s="1" t="s">
        <v>545</v>
      </c>
      <c r="EV1676" s="1" t="s">
        <v>240</v>
      </c>
      <c r="EW1676" s="1" t="s">
        <v>1679</v>
      </c>
      <c r="EZ1676" s="1" t="s">
        <v>287</v>
      </c>
      <c r="FD1676" s="1" t="s">
        <v>246</v>
      </c>
      <c r="FE1676" s="1" t="s">
        <v>975</v>
      </c>
      <c r="FF1676" s="1" t="s">
        <v>248</v>
      </c>
      <c r="FH1676" s="1" t="s">
        <v>550</v>
      </c>
      <c r="FL1676" s="1" t="s">
        <v>414</v>
      </c>
      <c r="FM1676" s="1" t="s">
        <v>252</v>
      </c>
      <c r="FN1676" s="1" t="s">
        <v>213</v>
      </c>
      <c r="FO1676" s="1" t="s">
        <v>213</v>
      </c>
      <c r="FQ1676" s="1" t="s">
        <v>1473</v>
      </c>
      <c r="FR1676" s="1" t="s">
        <v>210</v>
      </c>
      <c r="FS1676" s="1" t="s">
        <v>8701</v>
      </c>
      <c r="FT1676" s="1" t="s">
        <v>675</v>
      </c>
      <c r="FU1676" s="1" t="s">
        <v>204</v>
      </c>
      <c r="FW1676" s="1" t="s">
        <v>5648</v>
      </c>
      <c r="FX1676" s="1">
        <v>23099</v>
      </c>
      <c r="FY1676" s="1" t="s">
        <v>5649</v>
      </c>
      <c r="FZ1676" s="1" t="s">
        <v>8702</v>
      </c>
      <c r="GA1676" s="1">
        <v>256407</v>
      </c>
      <c r="GB1676" s="1" t="s">
        <v>8703</v>
      </c>
      <c r="GE1676" s="1" t="s">
        <v>480</v>
      </c>
      <c r="GI1676" s="1" t="s">
        <v>213</v>
      </c>
      <c r="GJ1676" s="1" t="s">
        <v>260</v>
      </c>
      <c r="GK1676" s="1" t="s">
        <v>261</v>
      </c>
      <c r="GL1676" s="2">
        <v>41988</v>
      </c>
    </row>
    <row r="1677" spans="1:195">
      <c r="A1677" s="1">
        <v>117000</v>
      </c>
      <c r="B1677" s="1" t="s">
        <v>195</v>
      </c>
      <c r="C1677" s="1" t="str">
        <f>"08701138"</f>
        <v>08701138</v>
      </c>
      <c r="D1677" s="1" t="s">
        <v>196</v>
      </c>
      <c r="F1677" s="1" t="str">
        <f>"20"</f>
        <v>20</v>
      </c>
      <c r="G1677" s="2">
        <v>41864</v>
      </c>
      <c r="H1677" s="1">
        <v>134900</v>
      </c>
      <c r="I1677" s="1">
        <v>134900</v>
      </c>
      <c r="J1677" s="1">
        <v>117000</v>
      </c>
      <c r="K1677" s="2">
        <v>41864</v>
      </c>
      <c r="L1677" s="1">
        <v>233</v>
      </c>
      <c r="M1677" s="2">
        <v>41918</v>
      </c>
      <c r="N1677" s="1">
        <v>55</v>
      </c>
      <c r="O1677" s="2">
        <v>41918</v>
      </c>
      <c r="P1677" s="1">
        <v>2750</v>
      </c>
      <c r="Q1677" s="1" t="s">
        <v>423</v>
      </c>
      <c r="R1677" s="2">
        <v>42002</v>
      </c>
      <c r="S1677" s="1">
        <v>18740</v>
      </c>
      <c r="U1677" s="1">
        <v>1016</v>
      </c>
      <c r="V1677" s="1" t="s">
        <v>6611</v>
      </c>
      <c r="W1677" s="1" t="s">
        <v>264</v>
      </c>
      <c r="Y1677" s="1">
        <v>3</v>
      </c>
      <c r="Z1677" s="1" t="s">
        <v>370</v>
      </c>
      <c r="AA1677" s="1" t="s">
        <v>592</v>
      </c>
      <c r="AB1677" s="1">
        <v>60020</v>
      </c>
      <c r="AD1677" s="1" t="s">
        <v>15960</v>
      </c>
      <c r="AE1677" s="1" t="s">
        <v>15961</v>
      </c>
      <c r="AF1677" s="1">
        <v>2005</v>
      </c>
      <c r="AG1677" s="1" t="s">
        <v>204</v>
      </c>
      <c r="AH1677" s="1" t="s">
        <v>595</v>
      </c>
      <c r="AI1677" s="1" t="s">
        <v>509</v>
      </c>
      <c r="AJ1677" s="1" t="s">
        <v>596</v>
      </c>
      <c r="AL1677" s="1">
        <v>7</v>
      </c>
      <c r="AM1677" s="1">
        <v>2</v>
      </c>
      <c r="AN1677" s="1">
        <v>2</v>
      </c>
      <c r="AO1677" s="1">
        <v>1</v>
      </c>
      <c r="AP1677" s="1" t="s">
        <v>209</v>
      </c>
      <c r="AQ1677" s="1">
        <v>2</v>
      </c>
      <c r="AR1677" s="1" t="s">
        <v>2275</v>
      </c>
      <c r="AS1677" s="1" t="s">
        <v>213</v>
      </c>
      <c r="AT1677" s="1" t="s">
        <v>211</v>
      </c>
      <c r="AU1677" s="1">
        <v>2</v>
      </c>
      <c r="AW1677" s="1" t="s">
        <v>204</v>
      </c>
      <c r="AX1677" s="1" t="s">
        <v>15962</v>
      </c>
      <c r="AZ1677" s="1">
        <v>3922.26</v>
      </c>
      <c r="BA1677" s="1">
        <v>2013</v>
      </c>
      <c r="BB1677" s="1" t="s">
        <v>347</v>
      </c>
      <c r="BE1677" s="1">
        <v>1300</v>
      </c>
      <c r="BF1677" s="1">
        <v>1</v>
      </c>
      <c r="BG1677" s="1">
        <v>0</v>
      </c>
      <c r="BL1677" s="1">
        <v>200</v>
      </c>
      <c r="BM1677" s="1" t="s">
        <v>413</v>
      </c>
      <c r="BN1677" s="1" t="s">
        <v>213</v>
      </c>
      <c r="BO1677" s="1">
        <v>0</v>
      </c>
      <c r="BP1677" s="1" t="s">
        <v>204</v>
      </c>
      <c r="BR1677" s="1" t="str">
        <f>"01283011750000"</f>
        <v>01283011750000</v>
      </c>
      <c r="BT1677" s="1" t="s">
        <v>15963</v>
      </c>
      <c r="BX1677" s="1">
        <v>114</v>
      </c>
      <c r="BY1677" s="1">
        <v>114</v>
      </c>
      <c r="BZ1677" s="1">
        <v>124</v>
      </c>
      <c r="CB1677" s="1" t="str">
        <f>"39"</f>
        <v>39</v>
      </c>
      <c r="CC1677" s="1" t="str">
        <f>"0"</f>
        <v>0</v>
      </c>
      <c r="CD1677" s="1">
        <v>28</v>
      </c>
      <c r="CE1677" s="1">
        <v>0</v>
      </c>
      <c r="CG1677" s="1" t="s">
        <v>377</v>
      </c>
      <c r="CH1677" s="1" t="s">
        <v>219</v>
      </c>
      <c r="CI1677" s="1" t="s">
        <v>438</v>
      </c>
      <c r="CK1677" s="1" t="s">
        <v>437</v>
      </c>
      <c r="CL1677" s="1" t="s">
        <v>219</v>
      </c>
      <c r="CM1677" s="1" t="s">
        <v>220</v>
      </c>
      <c r="CO1677" s="1" t="s">
        <v>378</v>
      </c>
      <c r="CP1677" s="1" t="s">
        <v>219</v>
      </c>
      <c r="CQ1677" s="1" t="s">
        <v>438</v>
      </c>
      <c r="CS1677" s="1" t="s">
        <v>465</v>
      </c>
      <c r="CT1677" s="1" t="s">
        <v>277</v>
      </c>
      <c r="CU1677" s="1" t="s">
        <v>220</v>
      </c>
      <c r="CX1677" s="1" t="s">
        <v>224</v>
      </c>
      <c r="DB1677" s="1" t="s">
        <v>224</v>
      </c>
      <c r="DE1677" s="1" t="s">
        <v>539</v>
      </c>
      <c r="DF1677" s="1" t="s">
        <v>219</v>
      </c>
      <c r="DG1677" s="1" t="s">
        <v>438</v>
      </c>
      <c r="DI1677" s="1" t="s">
        <v>1267</v>
      </c>
      <c r="DJ1677" s="1" t="s">
        <v>822</v>
      </c>
      <c r="DK1677" s="1" t="s">
        <v>220</v>
      </c>
      <c r="DM1677" s="1" t="s">
        <v>381</v>
      </c>
      <c r="DR1677" s="1" t="s">
        <v>379</v>
      </c>
      <c r="DS1677" s="1" t="s">
        <v>219</v>
      </c>
      <c r="DW1677" s="1" t="s">
        <v>230</v>
      </c>
      <c r="EA1677" s="1" t="s">
        <v>230</v>
      </c>
      <c r="EE1677" s="1" t="s">
        <v>230</v>
      </c>
      <c r="EI1677" s="1" t="s">
        <v>230</v>
      </c>
      <c r="EL1677" s="1" t="s">
        <v>491</v>
      </c>
      <c r="EM1677" s="1" t="s">
        <v>319</v>
      </c>
      <c r="EN1677" s="1" t="s">
        <v>282</v>
      </c>
      <c r="EO1677" s="1" t="s">
        <v>234</v>
      </c>
      <c r="ER1677" s="1" t="s">
        <v>544</v>
      </c>
      <c r="EU1677" s="1" t="s">
        <v>3377</v>
      </c>
      <c r="EV1677" s="1" t="s">
        <v>324</v>
      </c>
      <c r="EW1677" s="1" t="s">
        <v>1250</v>
      </c>
      <c r="EZ1677" s="1" t="s">
        <v>381</v>
      </c>
      <c r="FD1677" s="1" t="s">
        <v>246</v>
      </c>
      <c r="FE1677" s="1" t="s">
        <v>975</v>
      </c>
      <c r="FF1677" s="1" t="s">
        <v>248</v>
      </c>
      <c r="FH1677" s="1" t="s">
        <v>550</v>
      </c>
      <c r="FL1677" s="1" t="s">
        <v>358</v>
      </c>
      <c r="FM1677" s="1" t="s">
        <v>252</v>
      </c>
      <c r="FN1677" s="1" t="s">
        <v>213</v>
      </c>
      <c r="FO1677" s="1" t="s">
        <v>213</v>
      </c>
      <c r="FQ1677" s="1" t="s">
        <v>849</v>
      </c>
      <c r="FR1677" s="1" t="s">
        <v>210</v>
      </c>
      <c r="FS1677" s="1" t="s">
        <v>15964</v>
      </c>
      <c r="FT1677" s="1" t="s">
        <v>15965</v>
      </c>
      <c r="FU1677" s="1" t="s">
        <v>204</v>
      </c>
      <c r="FW1677" s="1" t="s">
        <v>1097</v>
      </c>
      <c r="FX1677" s="1">
        <v>5338</v>
      </c>
      <c r="FY1677" s="1" t="s">
        <v>13934</v>
      </c>
      <c r="FZ1677" s="1" t="s">
        <v>15966</v>
      </c>
      <c r="GA1677" s="1">
        <v>53207</v>
      </c>
      <c r="GB1677" s="1" t="s">
        <v>15967</v>
      </c>
      <c r="GE1677" s="1" t="s">
        <v>210</v>
      </c>
      <c r="GI1677" s="1" t="s">
        <v>204</v>
      </c>
      <c r="GJ1677" s="1" t="s">
        <v>260</v>
      </c>
      <c r="GK1677" s="1" t="s">
        <v>210</v>
      </c>
      <c r="GL1677" s="2">
        <v>42002</v>
      </c>
      <c r="GM1677" s="1" t="s">
        <v>15968</v>
      </c>
    </row>
    <row r="1678" spans="1:195">
      <c r="A1678" s="1">
        <v>110000</v>
      </c>
      <c r="B1678" s="1" t="s">
        <v>195</v>
      </c>
      <c r="C1678" s="1" t="str">
        <f>"08705927"</f>
        <v>08705927</v>
      </c>
      <c r="D1678" s="1" t="s">
        <v>196</v>
      </c>
      <c r="F1678" s="1" t="str">
        <f>"540"</f>
        <v>540</v>
      </c>
      <c r="G1678" s="2">
        <v>41870</v>
      </c>
      <c r="H1678" s="1">
        <v>121900</v>
      </c>
      <c r="I1678" s="1">
        <v>121900</v>
      </c>
      <c r="J1678" s="1">
        <v>110000</v>
      </c>
      <c r="K1678" s="2">
        <v>41870</v>
      </c>
      <c r="L1678" s="1">
        <v>177</v>
      </c>
      <c r="M1678" s="2">
        <v>42046</v>
      </c>
      <c r="N1678" s="1">
        <v>177</v>
      </c>
      <c r="O1678" s="2">
        <v>42046</v>
      </c>
      <c r="P1678" s="1">
        <v>22029</v>
      </c>
      <c r="Q1678" s="1" t="s">
        <v>197</v>
      </c>
      <c r="R1678" s="2">
        <v>42083</v>
      </c>
      <c r="S1678" s="1">
        <v>226871</v>
      </c>
      <c r="U1678" s="1">
        <v>1348</v>
      </c>
      <c r="V1678" s="1" t="s">
        <v>12100</v>
      </c>
      <c r="W1678" s="1" t="s">
        <v>1056</v>
      </c>
      <c r="X1678" s="1">
        <v>103</v>
      </c>
      <c r="Y1678" s="1">
        <v>8</v>
      </c>
      <c r="Z1678" s="1" t="s">
        <v>370</v>
      </c>
      <c r="AA1678" s="1" t="s">
        <v>921</v>
      </c>
      <c r="AB1678" s="1">
        <v>60563</v>
      </c>
      <c r="AD1678" s="1" t="s">
        <v>7152</v>
      </c>
      <c r="AE1678" s="1" t="s">
        <v>15969</v>
      </c>
      <c r="AF1678" s="1">
        <v>1985</v>
      </c>
      <c r="AG1678" s="1" t="s">
        <v>204</v>
      </c>
      <c r="AH1678" s="1" t="s">
        <v>924</v>
      </c>
      <c r="AI1678" s="1" t="s">
        <v>206</v>
      </c>
      <c r="AJ1678" s="1" t="s">
        <v>924</v>
      </c>
      <c r="AL1678" s="1">
        <v>5</v>
      </c>
      <c r="AM1678" s="1">
        <v>2</v>
      </c>
      <c r="AN1678" s="1">
        <v>2</v>
      </c>
      <c r="AO1678" s="1">
        <v>0</v>
      </c>
      <c r="AP1678" s="1" t="s">
        <v>209</v>
      </c>
      <c r="AQ1678" s="1">
        <v>0</v>
      </c>
      <c r="AR1678" s="1" t="s">
        <v>210</v>
      </c>
      <c r="AS1678" s="1" t="s">
        <v>204</v>
      </c>
      <c r="AT1678" s="1" t="s">
        <v>271</v>
      </c>
      <c r="AV1678" s="1">
        <v>1</v>
      </c>
      <c r="AW1678" s="1" t="s">
        <v>204</v>
      </c>
      <c r="AX1678" s="1" t="s">
        <v>212</v>
      </c>
      <c r="AZ1678" s="1">
        <v>2370</v>
      </c>
      <c r="BA1678" s="1">
        <v>2013</v>
      </c>
      <c r="BB1678" s="1" t="s">
        <v>210</v>
      </c>
      <c r="BE1678" s="1">
        <v>0</v>
      </c>
      <c r="BF1678" s="1">
        <v>1</v>
      </c>
      <c r="BG1678" s="1">
        <v>0</v>
      </c>
      <c r="BL1678" s="1">
        <v>277</v>
      </c>
      <c r="BM1678" s="1" t="s">
        <v>204</v>
      </c>
      <c r="BN1678" s="1" t="s">
        <v>213</v>
      </c>
      <c r="BO1678" s="1">
        <v>50</v>
      </c>
      <c r="BP1678" s="1" t="s">
        <v>204</v>
      </c>
      <c r="BR1678" s="1" t="str">
        <f>"0710213123"</f>
        <v>0710213123</v>
      </c>
      <c r="BT1678" s="1" t="s">
        <v>15970</v>
      </c>
      <c r="BU1678" s="1" t="s">
        <v>1247</v>
      </c>
      <c r="BV1678" s="1" t="s">
        <v>1248</v>
      </c>
      <c r="BW1678" s="1" t="s">
        <v>1312</v>
      </c>
      <c r="BX1678" s="1">
        <v>204</v>
      </c>
      <c r="BY1678" s="1">
        <v>204</v>
      </c>
      <c r="BZ1678" s="1">
        <v>204</v>
      </c>
      <c r="CB1678" s="1" t="str">
        <f t="shared" ref="CB1678:CC1678" si="1272">"0"</f>
        <v>0</v>
      </c>
      <c r="CC1678" s="1" t="str">
        <f t="shared" si="1272"/>
        <v>0</v>
      </c>
      <c r="CD1678" s="1">
        <v>29</v>
      </c>
      <c r="CE1678" s="1">
        <v>5</v>
      </c>
      <c r="CG1678" s="1" t="s">
        <v>1045</v>
      </c>
      <c r="CH1678" s="1" t="s">
        <v>219</v>
      </c>
      <c r="CI1678" s="1" t="s">
        <v>220</v>
      </c>
      <c r="CK1678" s="1" t="s">
        <v>437</v>
      </c>
      <c r="CL1678" s="1" t="s">
        <v>219</v>
      </c>
      <c r="CM1678" s="1" t="s">
        <v>220</v>
      </c>
      <c r="CO1678" s="1" t="s">
        <v>2231</v>
      </c>
      <c r="CP1678" s="1" t="s">
        <v>219</v>
      </c>
      <c r="CQ1678" s="1" t="s">
        <v>220</v>
      </c>
      <c r="CS1678" s="1" t="s">
        <v>465</v>
      </c>
      <c r="CT1678" s="1" t="s">
        <v>219</v>
      </c>
      <c r="CU1678" s="1" t="s">
        <v>220</v>
      </c>
      <c r="CX1678" s="1" t="s">
        <v>224</v>
      </c>
      <c r="DB1678" s="1" t="s">
        <v>224</v>
      </c>
      <c r="DE1678" s="1" t="s">
        <v>2842</v>
      </c>
      <c r="DF1678" s="1" t="s">
        <v>219</v>
      </c>
      <c r="DG1678" s="1" t="s">
        <v>226</v>
      </c>
      <c r="DJ1678" s="1" t="s">
        <v>224</v>
      </c>
      <c r="DS1678" s="1" t="s">
        <v>230</v>
      </c>
      <c r="DW1678" s="1" t="s">
        <v>230</v>
      </c>
      <c r="EA1678" s="1" t="s">
        <v>230</v>
      </c>
      <c r="EE1678" s="1" t="s">
        <v>230</v>
      </c>
      <c r="EI1678" s="1" t="s">
        <v>230</v>
      </c>
      <c r="EL1678" s="1" t="s">
        <v>542</v>
      </c>
      <c r="EM1678" s="1" t="s">
        <v>232</v>
      </c>
      <c r="EN1678" s="1" t="s">
        <v>282</v>
      </c>
      <c r="EO1678" s="1" t="s">
        <v>234</v>
      </c>
      <c r="EP1678" s="1" t="s">
        <v>15971</v>
      </c>
      <c r="EQ1678" s="1" t="s">
        <v>236</v>
      </c>
      <c r="ER1678" s="1" t="s">
        <v>210</v>
      </c>
      <c r="ES1678" s="1" t="s">
        <v>322</v>
      </c>
      <c r="EU1678" s="1" t="s">
        <v>239</v>
      </c>
      <c r="EV1678" s="1" t="s">
        <v>1999</v>
      </c>
      <c r="EW1678" s="1" t="s">
        <v>12104</v>
      </c>
      <c r="EY1678" s="1" t="s">
        <v>242</v>
      </c>
      <c r="EZ1678" s="1" t="s">
        <v>287</v>
      </c>
      <c r="FA1678" s="1" t="s">
        <v>1754</v>
      </c>
      <c r="FD1678" s="1" t="s">
        <v>246</v>
      </c>
      <c r="FE1678" s="1" t="s">
        <v>247</v>
      </c>
      <c r="FF1678" s="1" t="s">
        <v>6618</v>
      </c>
      <c r="FH1678" s="1" t="s">
        <v>249</v>
      </c>
      <c r="FK1678" s="1" t="s">
        <v>389</v>
      </c>
      <c r="FL1678" s="1" t="s">
        <v>358</v>
      </c>
      <c r="FM1678" s="1" t="s">
        <v>252</v>
      </c>
      <c r="FN1678" s="1" t="s">
        <v>213</v>
      </c>
      <c r="FO1678" s="1" t="s">
        <v>213</v>
      </c>
      <c r="FQ1678" s="1" t="s">
        <v>10964</v>
      </c>
      <c r="FR1678" s="1" t="s">
        <v>652</v>
      </c>
      <c r="FS1678" s="1" t="s">
        <v>15972</v>
      </c>
      <c r="FT1678" s="1" t="s">
        <v>295</v>
      </c>
      <c r="FU1678" s="1" t="s">
        <v>204</v>
      </c>
      <c r="FW1678" s="1" t="s">
        <v>5648</v>
      </c>
      <c r="FX1678" s="1">
        <v>23099</v>
      </c>
      <c r="FY1678" s="1" t="s">
        <v>5649</v>
      </c>
      <c r="FZ1678" s="1" t="s">
        <v>15973</v>
      </c>
      <c r="GA1678" s="1">
        <v>231688</v>
      </c>
      <c r="GB1678" s="1" t="s">
        <v>15974</v>
      </c>
      <c r="GE1678" s="1" t="s">
        <v>210</v>
      </c>
      <c r="GI1678" s="1" t="s">
        <v>213</v>
      </c>
      <c r="GJ1678" s="1" t="s">
        <v>260</v>
      </c>
      <c r="GK1678" s="1" t="s">
        <v>210</v>
      </c>
      <c r="GL1678" s="2">
        <v>42084</v>
      </c>
    </row>
    <row r="1679" spans="1:195">
      <c r="A1679" s="1">
        <v>113300</v>
      </c>
      <c r="B1679" s="1" t="s">
        <v>195</v>
      </c>
      <c r="C1679" s="1" t="str">
        <f>"08711087"</f>
        <v>08711087</v>
      </c>
      <c r="D1679" s="1" t="s">
        <v>196</v>
      </c>
      <c r="F1679" s="1" t="str">
        <f>"543"</f>
        <v>543</v>
      </c>
      <c r="G1679" s="2">
        <v>41876</v>
      </c>
      <c r="H1679" s="1">
        <v>114811</v>
      </c>
      <c r="I1679" s="1">
        <v>109811</v>
      </c>
      <c r="J1679" s="1">
        <v>113300</v>
      </c>
      <c r="K1679" s="2">
        <v>41875</v>
      </c>
      <c r="L1679" s="1">
        <v>68</v>
      </c>
      <c r="M1679" s="2">
        <v>41942</v>
      </c>
      <c r="N1679" s="1">
        <v>68</v>
      </c>
      <c r="O1679" s="2">
        <v>41942</v>
      </c>
      <c r="P1679" s="1">
        <v>2280</v>
      </c>
      <c r="Q1679" s="1" t="s">
        <v>423</v>
      </c>
      <c r="R1679" s="2">
        <v>41985</v>
      </c>
      <c r="S1679" s="1">
        <v>233876</v>
      </c>
      <c r="T1679" s="1">
        <v>6300</v>
      </c>
      <c r="U1679" s="1">
        <v>303</v>
      </c>
      <c r="V1679" s="1" t="s">
        <v>15975</v>
      </c>
      <c r="W1679" s="1" t="s">
        <v>304</v>
      </c>
      <c r="Y1679" s="1">
        <v>6</v>
      </c>
      <c r="Z1679" s="1" t="s">
        <v>370</v>
      </c>
      <c r="AA1679" s="1" t="s">
        <v>2639</v>
      </c>
      <c r="AB1679" s="1">
        <v>60543</v>
      </c>
      <c r="AD1679" s="1" t="s">
        <v>3398</v>
      </c>
      <c r="AE1679" s="1" t="s">
        <v>15976</v>
      </c>
      <c r="AF1679" s="1">
        <v>1996</v>
      </c>
      <c r="AG1679" s="1" t="s">
        <v>204</v>
      </c>
      <c r="AH1679" s="1" t="s">
        <v>1397</v>
      </c>
      <c r="AI1679" s="1" t="s">
        <v>453</v>
      </c>
      <c r="AJ1679" s="1" t="s">
        <v>1397</v>
      </c>
      <c r="AL1679" s="1">
        <v>5</v>
      </c>
      <c r="AM1679" s="1">
        <v>2</v>
      </c>
      <c r="AN1679" s="1">
        <v>2</v>
      </c>
      <c r="AO1679" s="1">
        <v>1</v>
      </c>
      <c r="AP1679" s="1" t="s">
        <v>209</v>
      </c>
      <c r="AQ1679" s="1">
        <v>1</v>
      </c>
      <c r="AR1679" s="1" t="s">
        <v>210</v>
      </c>
      <c r="AS1679" s="1" t="s">
        <v>204</v>
      </c>
      <c r="AT1679" s="1" t="s">
        <v>211</v>
      </c>
      <c r="AU1679" s="1">
        <v>1</v>
      </c>
      <c r="AW1679" s="1" t="s">
        <v>204</v>
      </c>
      <c r="AX1679" s="1" t="s">
        <v>212</v>
      </c>
      <c r="AZ1679" s="1">
        <v>3455.88</v>
      </c>
      <c r="BA1679" s="1">
        <v>2012</v>
      </c>
      <c r="BB1679" s="1" t="s">
        <v>210</v>
      </c>
      <c r="BE1679" s="1">
        <v>1392</v>
      </c>
      <c r="BF1679" s="1">
        <v>1</v>
      </c>
      <c r="BG1679" s="1">
        <v>0</v>
      </c>
      <c r="BL1679" s="1">
        <v>142</v>
      </c>
      <c r="BM1679" s="1" t="s">
        <v>413</v>
      </c>
      <c r="BN1679" s="1" t="s">
        <v>213</v>
      </c>
      <c r="BO1679" s="1">
        <v>999</v>
      </c>
      <c r="BP1679" s="1" t="s">
        <v>204</v>
      </c>
      <c r="BR1679" s="1" t="str">
        <f>"0303154052"</f>
        <v>0303154052</v>
      </c>
      <c r="BT1679" s="1" t="s">
        <v>15977</v>
      </c>
      <c r="BX1679" s="1">
        <v>308</v>
      </c>
      <c r="BY1679" s="1">
        <v>308</v>
      </c>
      <c r="BZ1679" s="1">
        <v>308</v>
      </c>
      <c r="CB1679" s="1" t="str">
        <f t="shared" ref="CB1679:CC1679" si="1273">"0"</f>
        <v>0</v>
      </c>
      <c r="CC1679" s="1" t="str">
        <f t="shared" si="1273"/>
        <v>0</v>
      </c>
      <c r="CD1679" s="1">
        <v>0</v>
      </c>
      <c r="CE1679" s="1">
        <v>0</v>
      </c>
      <c r="CG1679" s="1" t="s">
        <v>7380</v>
      </c>
      <c r="CH1679" s="1" t="s">
        <v>219</v>
      </c>
      <c r="CI1679" s="1" t="s">
        <v>229</v>
      </c>
      <c r="CK1679" s="1" t="s">
        <v>221</v>
      </c>
      <c r="CL1679" s="1" t="s">
        <v>277</v>
      </c>
      <c r="CM1679" s="1" t="s">
        <v>220</v>
      </c>
      <c r="CO1679" s="1" t="s">
        <v>629</v>
      </c>
      <c r="CP1679" s="1" t="s">
        <v>219</v>
      </c>
      <c r="CS1679" s="1" t="s">
        <v>465</v>
      </c>
      <c r="CT1679" s="1" t="s">
        <v>277</v>
      </c>
      <c r="CU1679" s="1" t="s">
        <v>220</v>
      </c>
      <c r="CX1679" s="1" t="s">
        <v>224</v>
      </c>
      <c r="DB1679" s="1" t="s">
        <v>224</v>
      </c>
      <c r="DE1679" s="1" t="s">
        <v>837</v>
      </c>
      <c r="DF1679" s="1" t="s">
        <v>219</v>
      </c>
      <c r="DJ1679" s="1" t="s">
        <v>224</v>
      </c>
      <c r="DM1679" s="1" t="s">
        <v>709</v>
      </c>
      <c r="DR1679" s="1" t="s">
        <v>11368</v>
      </c>
      <c r="DS1679" s="1" t="s">
        <v>219</v>
      </c>
      <c r="DW1679" s="1" t="s">
        <v>230</v>
      </c>
      <c r="EA1679" s="1" t="s">
        <v>230</v>
      </c>
      <c r="EE1679" s="1" t="s">
        <v>230</v>
      </c>
      <c r="EI1679" s="1" t="s">
        <v>230</v>
      </c>
      <c r="EL1679" s="1" t="s">
        <v>670</v>
      </c>
      <c r="EM1679" s="1" t="s">
        <v>319</v>
      </c>
      <c r="EN1679" s="1" t="s">
        <v>282</v>
      </c>
      <c r="EO1679" s="1" t="s">
        <v>234</v>
      </c>
      <c r="ER1679" s="1" t="s">
        <v>210</v>
      </c>
      <c r="ES1679" s="1" t="s">
        <v>608</v>
      </c>
      <c r="EU1679" s="1" t="s">
        <v>239</v>
      </c>
      <c r="EV1679" s="1" t="s">
        <v>240</v>
      </c>
      <c r="EW1679" s="1" t="s">
        <v>3471</v>
      </c>
      <c r="EY1679" s="1" t="s">
        <v>441</v>
      </c>
      <c r="EZ1679" s="1" t="s">
        <v>709</v>
      </c>
      <c r="FD1679" s="1" t="s">
        <v>246</v>
      </c>
      <c r="FE1679" s="1" t="s">
        <v>472</v>
      </c>
      <c r="FF1679" s="1" t="s">
        <v>248</v>
      </c>
      <c r="FG1679" s="1" t="s">
        <v>1682</v>
      </c>
      <c r="FH1679" s="1" t="s">
        <v>550</v>
      </c>
      <c r="FI1679" s="1" t="s">
        <v>357</v>
      </c>
      <c r="FL1679" s="1" t="s">
        <v>358</v>
      </c>
      <c r="FM1679" s="1" t="s">
        <v>252</v>
      </c>
      <c r="FN1679" s="1" t="s">
        <v>213</v>
      </c>
      <c r="FO1679" s="1" t="s">
        <v>213</v>
      </c>
      <c r="FQ1679" s="1" t="s">
        <v>10964</v>
      </c>
      <c r="FR1679" s="1" t="s">
        <v>210</v>
      </c>
      <c r="FS1679" s="1" t="s">
        <v>15978</v>
      </c>
      <c r="FT1679" s="1" t="s">
        <v>15979</v>
      </c>
      <c r="FU1679" s="1" t="s">
        <v>204</v>
      </c>
      <c r="FW1679" s="1" t="s">
        <v>15980</v>
      </c>
      <c r="FX1679" s="1">
        <v>25329</v>
      </c>
      <c r="FY1679" s="1" t="s">
        <v>15981</v>
      </c>
      <c r="FZ1679" s="1" t="s">
        <v>15982</v>
      </c>
      <c r="GA1679" s="1">
        <v>236042</v>
      </c>
      <c r="GB1679" s="1" t="s">
        <v>15983</v>
      </c>
      <c r="GE1679" s="1" t="s">
        <v>480</v>
      </c>
      <c r="GI1679" s="1" t="s">
        <v>213</v>
      </c>
      <c r="GJ1679" s="1" t="s">
        <v>260</v>
      </c>
      <c r="GK1679" s="1" t="s">
        <v>210</v>
      </c>
      <c r="GL1679" s="2">
        <v>41986</v>
      </c>
      <c r="GM1679" s="1" t="s">
        <v>15984</v>
      </c>
    </row>
    <row r="1680" spans="1:195">
      <c r="A1680" s="1">
        <v>242990</v>
      </c>
      <c r="B1680" s="1" t="s">
        <v>195</v>
      </c>
      <c r="C1680" s="1" t="str">
        <f>"08710042"</f>
        <v>08710042</v>
      </c>
      <c r="D1680" s="1" t="s">
        <v>196</v>
      </c>
      <c r="F1680" s="1" t="str">
        <f t="shared" ref="F1680:F1681" si="1274">"540"</f>
        <v>540</v>
      </c>
      <c r="G1680" s="2">
        <v>41875</v>
      </c>
      <c r="H1680" s="1">
        <v>262990</v>
      </c>
      <c r="I1680" s="1">
        <v>242990</v>
      </c>
      <c r="J1680" s="1">
        <v>242990</v>
      </c>
      <c r="K1680" s="2">
        <v>41874</v>
      </c>
      <c r="L1680" s="1">
        <v>187</v>
      </c>
      <c r="M1680" s="2">
        <v>42060</v>
      </c>
      <c r="N1680" s="1">
        <v>187</v>
      </c>
      <c r="O1680" s="2">
        <v>42060</v>
      </c>
      <c r="P1680" s="1" t="s">
        <v>1039</v>
      </c>
      <c r="Q1680" s="1" t="s">
        <v>197</v>
      </c>
      <c r="R1680" s="2">
        <v>42094</v>
      </c>
      <c r="S1680" s="1">
        <v>99999</v>
      </c>
      <c r="U1680" s="1">
        <v>2658</v>
      </c>
      <c r="V1680" s="1" t="s">
        <v>6288</v>
      </c>
      <c r="W1680" s="1" t="s">
        <v>449</v>
      </c>
      <c r="Y1680" s="1">
        <v>4</v>
      </c>
      <c r="Z1680" s="1" t="s">
        <v>370</v>
      </c>
      <c r="AA1680" s="1" t="s">
        <v>921</v>
      </c>
      <c r="AB1680" s="1">
        <v>60564</v>
      </c>
      <c r="AD1680" s="1" t="s">
        <v>15985</v>
      </c>
      <c r="AE1680" s="1" t="s">
        <v>15986</v>
      </c>
      <c r="AF1680" s="1">
        <v>2014</v>
      </c>
      <c r="AG1680" s="1" t="s">
        <v>204</v>
      </c>
      <c r="AH1680" s="1" t="s">
        <v>924</v>
      </c>
      <c r="AI1680" s="1" t="s">
        <v>1800</v>
      </c>
      <c r="AJ1680" s="1" t="s">
        <v>1801</v>
      </c>
      <c r="AK1680" s="1" t="s">
        <v>9108</v>
      </c>
      <c r="AL1680" s="1">
        <v>5</v>
      </c>
      <c r="AM1680" s="1">
        <v>2</v>
      </c>
      <c r="AN1680" s="1">
        <v>2</v>
      </c>
      <c r="AO1680" s="1">
        <v>0</v>
      </c>
      <c r="AP1680" s="1" t="s">
        <v>209</v>
      </c>
      <c r="AR1680" s="1" t="s">
        <v>210</v>
      </c>
      <c r="AS1680" s="1" t="s">
        <v>204</v>
      </c>
      <c r="AT1680" s="1" t="s">
        <v>211</v>
      </c>
      <c r="AU1680" s="1">
        <v>2</v>
      </c>
      <c r="AW1680" s="1" t="s">
        <v>204</v>
      </c>
      <c r="AX1680" s="1" t="s">
        <v>9109</v>
      </c>
      <c r="AZ1680" s="1" t="s">
        <v>751</v>
      </c>
      <c r="BA1680" s="1">
        <v>2012</v>
      </c>
      <c r="BE1680" s="1">
        <v>1549</v>
      </c>
      <c r="BF1680" s="1">
        <v>1</v>
      </c>
      <c r="BG1680" s="1">
        <v>0</v>
      </c>
      <c r="BL1680" s="1">
        <v>244</v>
      </c>
      <c r="BM1680" s="1" t="s">
        <v>204</v>
      </c>
      <c r="BN1680" s="1" t="s">
        <v>213</v>
      </c>
      <c r="BO1680" s="1">
        <v>999</v>
      </c>
      <c r="BP1680" s="1" t="s">
        <v>213</v>
      </c>
      <c r="BQ1680" s="2">
        <v>42062</v>
      </c>
      <c r="BR1680" s="1" t="str">
        <f>"01054070010000"</f>
        <v>01054070010000</v>
      </c>
      <c r="BT1680" s="1" t="s">
        <v>15987</v>
      </c>
      <c r="BX1680" s="1">
        <v>204</v>
      </c>
      <c r="BY1680" s="1">
        <v>204</v>
      </c>
      <c r="BZ1680" s="1">
        <v>204</v>
      </c>
      <c r="CB1680" s="1" t="str">
        <f t="shared" ref="CB1680:CC1680" si="1275">""</f>
        <v/>
      </c>
      <c r="CC1680" s="1" t="str">
        <f t="shared" si="1275"/>
        <v/>
      </c>
      <c r="CH1680" s="1" t="s">
        <v>224</v>
      </c>
      <c r="CK1680" s="1" t="s">
        <v>462</v>
      </c>
      <c r="CL1680" s="1" t="s">
        <v>219</v>
      </c>
      <c r="CP1680" s="1" t="s">
        <v>224</v>
      </c>
      <c r="CS1680" s="1" t="s">
        <v>346</v>
      </c>
      <c r="CT1680" s="1" t="s">
        <v>219</v>
      </c>
      <c r="CX1680" s="1" t="s">
        <v>224</v>
      </c>
      <c r="DB1680" s="1" t="s">
        <v>224</v>
      </c>
      <c r="DE1680" s="1" t="s">
        <v>885</v>
      </c>
      <c r="DF1680" s="1" t="s">
        <v>219</v>
      </c>
      <c r="DI1680" s="1" t="s">
        <v>9111</v>
      </c>
      <c r="DJ1680" s="1" t="s">
        <v>219</v>
      </c>
      <c r="DM1680" s="1" t="s">
        <v>1548</v>
      </c>
      <c r="DR1680" s="1" t="s">
        <v>516</v>
      </c>
      <c r="DS1680" s="1" t="s">
        <v>219</v>
      </c>
      <c r="DW1680" s="1" t="s">
        <v>230</v>
      </c>
      <c r="EA1680" s="1" t="s">
        <v>230</v>
      </c>
      <c r="EE1680" s="1" t="s">
        <v>230</v>
      </c>
      <c r="EI1680" s="1" t="s">
        <v>230</v>
      </c>
      <c r="EL1680" s="1" t="s">
        <v>1455</v>
      </c>
      <c r="EM1680" s="1" t="s">
        <v>730</v>
      </c>
      <c r="EN1680" s="1" t="s">
        <v>282</v>
      </c>
      <c r="EO1680" s="1" t="s">
        <v>840</v>
      </c>
      <c r="ER1680" s="1" t="s">
        <v>383</v>
      </c>
      <c r="EW1680" s="1" t="s">
        <v>3255</v>
      </c>
      <c r="EZ1680" s="1" t="s">
        <v>1548</v>
      </c>
      <c r="FD1680" s="1" t="s">
        <v>246</v>
      </c>
      <c r="FE1680" s="1" t="s">
        <v>975</v>
      </c>
      <c r="FF1680" s="1" t="s">
        <v>248</v>
      </c>
      <c r="FH1680" s="1" t="s">
        <v>825</v>
      </c>
      <c r="FL1680" s="1" t="s">
        <v>358</v>
      </c>
      <c r="FM1680" s="1" t="s">
        <v>252</v>
      </c>
      <c r="FN1680" s="1" t="s">
        <v>213</v>
      </c>
      <c r="FO1680" s="1" t="s">
        <v>204</v>
      </c>
      <c r="FQ1680" s="1" t="s">
        <v>582</v>
      </c>
      <c r="FR1680" s="1" t="s">
        <v>210</v>
      </c>
      <c r="FS1680" s="1" t="s">
        <v>15988</v>
      </c>
      <c r="FT1680" s="1" t="s">
        <v>5166</v>
      </c>
      <c r="FU1680" s="1" t="s">
        <v>204</v>
      </c>
      <c r="FW1680" s="1" t="s">
        <v>772</v>
      </c>
      <c r="FX1680" s="1">
        <v>92038</v>
      </c>
      <c r="FY1680" s="1" t="s">
        <v>773</v>
      </c>
      <c r="FZ1680" s="1" t="s">
        <v>774</v>
      </c>
      <c r="GA1680" s="1">
        <v>21137</v>
      </c>
      <c r="GB1680" s="1" t="s">
        <v>775</v>
      </c>
      <c r="GE1680" s="1" t="s">
        <v>623</v>
      </c>
      <c r="GI1680" s="1" t="s">
        <v>204</v>
      </c>
      <c r="GJ1680" s="1" t="s">
        <v>260</v>
      </c>
      <c r="GK1680" s="1" t="s">
        <v>210</v>
      </c>
      <c r="GL1680" s="2">
        <v>42096</v>
      </c>
      <c r="GM1680" s="1" t="s">
        <v>15989</v>
      </c>
    </row>
    <row r="1681" spans="1:195">
      <c r="A1681" s="1">
        <v>74000</v>
      </c>
      <c r="B1681" s="1" t="s">
        <v>195</v>
      </c>
      <c r="C1681" s="1" t="str">
        <f>"08710292"</f>
        <v>08710292</v>
      </c>
      <c r="D1681" s="1" t="s">
        <v>196</v>
      </c>
      <c r="F1681" s="1" t="str">
        <f t="shared" si="1274"/>
        <v>540</v>
      </c>
      <c r="G1681" s="2">
        <v>41876</v>
      </c>
      <c r="H1681" s="1">
        <v>89900</v>
      </c>
      <c r="I1681" s="1">
        <v>74000</v>
      </c>
      <c r="J1681" s="1">
        <v>74000</v>
      </c>
      <c r="K1681" s="2">
        <v>41876</v>
      </c>
      <c r="L1681" s="1">
        <v>88</v>
      </c>
      <c r="M1681" s="2">
        <v>41963</v>
      </c>
      <c r="N1681" s="1">
        <v>88</v>
      </c>
      <c r="O1681" s="2">
        <v>41963</v>
      </c>
      <c r="P1681" s="1">
        <v>25309</v>
      </c>
      <c r="Q1681" s="1" t="s">
        <v>302</v>
      </c>
      <c r="R1681" s="2">
        <v>41992</v>
      </c>
      <c r="S1681" s="1">
        <v>256580</v>
      </c>
      <c r="U1681" s="1">
        <v>1228</v>
      </c>
      <c r="V1681" s="1" t="s">
        <v>15990</v>
      </c>
      <c r="W1681" s="1" t="s">
        <v>304</v>
      </c>
      <c r="X1681" s="1" t="s">
        <v>2010</v>
      </c>
      <c r="Y1681" s="1">
        <v>6</v>
      </c>
      <c r="Z1681" s="1" t="s">
        <v>370</v>
      </c>
      <c r="AA1681" s="1" t="s">
        <v>921</v>
      </c>
      <c r="AB1681" s="1">
        <v>60540</v>
      </c>
      <c r="AE1681" s="1" t="s">
        <v>15991</v>
      </c>
      <c r="AF1681" s="1">
        <v>1979</v>
      </c>
      <c r="AG1681" s="1" t="s">
        <v>204</v>
      </c>
      <c r="AH1681" s="1" t="s">
        <v>924</v>
      </c>
      <c r="AI1681" s="1" t="s">
        <v>206</v>
      </c>
      <c r="AJ1681" s="1" t="s">
        <v>924</v>
      </c>
      <c r="AL1681" s="1">
        <v>5</v>
      </c>
      <c r="AM1681" s="1">
        <v>2</v>
      </c>
      <c r="AN1681" s="1">
        <v>1</v>
      </c>
      <c r="AO1681" s="1">
        <v>0</v>
      </c>
      <c r="AP1681" s="1" t="s">
        <v>210</v>
      </c>
      <c r="AR1681" s="1" t="s">
        <v>210</v>
      </c>
      <c r="AS1681" s="1" t="s">
        <v>204</v>
      </c>
      <c r="AT1681" s="1" t="s">
        <v>271</v>
      </c>
      <c r="AV1681" s="1">
        <v>2</v>
      </c>
      <c r="AW1681" s="1" t="s">
        <v>204</v>
      </c>
      <c r="AX1681" s="1" t="s">
        <v>212</v>
      </c>
      <c r="AZ1681" s="1">
        <v>1297</v>
      </c>
      <c r="BA1681" s="1">
        <v>2013</v>
      </c>
      <c r="BE1681" s="1">
        <v>895</v>
      </c>
      <c r="BF1681" s="1">
        <v>3</v>
      </c>
      <c r="BG1681" s="1">
        <v>0</v>
      </c>
      <c r="BL1681" s="1">
        <v>250</v>
      </c>
      <c r="BM1681" s="1" t="s">
        <v>204</v>
      </c>
      <c r="BN1681" s="1" t="s">
        <v>213</v>
      </c>
      <c r="BO1681" s="1">
        <v>20</v>
      </c>
      <c r="BP1681" s="1" t="s">
        <v>204</v>
      </c>
      <c r="BR1681" s="1" t="str">
        <f>"0714210001"</f>
        <v>0714210001</v>
      </c>
      <c r="BT1681" s="1" t="s">
        <v>15992</v>
      </c>
      <c r="BX1681" s="1">
        <v>203</v>
      </c>
      <c r="BY1681" s="1">
        <v>203</v>
      </c>
      <c r="BZ1681" s="1">
        <v>203</v>
      </c>
      <c r="CB1681" s="1" t="str">
        <f t="shared" ref="CB1681:CC1681" si="1276">""</f>
        <v/>
      </c>
      <c r="CC1681" s="1" t="str">
        <f t="shared" si="1276"/>
        <v/>
      </c>
      <c r="CG1681" s="1" t="s">
        <v>729</v>
      </c>
      <c r="CH1681" s="1" t="s">
        <v>219</v>
      </c>
      <c r="CK1681" s="1" t="s">
        <v>757</v>
      </c>
      <c r="CL1681" s="1" t="s">
        <v>219</v>
      </c>
      <c r="CO1681" s="1" t="s">
        <v>379</v>
      </c>
      <c r="CP1681" s="1" t="s">
        <v>219</v>
      </c>
      <c r="CS1681" s="1" t="s">
        <v>378</v>
      </c>
      <c r="CT1681" s="1" t="s">
        <v>219</v>
      </c>
      <c r="CX1681" s="1" t="s">
        <v>224</v>
      </c>
      <c r="DB1681" s="1" t="s">
        <v>224</v>
      </c>
      <c r="DE1681" s="1" t="s">
        <v>465</v>
      </c>
      <c r="DF1681" s="1" t="s">
        <v>219</v>
      </c>
      <c r="DJ1681" s="1" t="s">
        <v>224</v>
      </c>
      <c r="DS1681" s="1" t="s">
        <v>230</v>
      </c>
      <c r="DW1681" s="1" t="s">
        <v>230</v>
      </c>
      <c r="EA1681" s="1" t="s">
        <v>230</v>
      </c>
      <c r="EE1681" s="1" t="s">
        <v>230</v>
      </c>
      <c r="EI1681" s="1" t="s">
        <v>230</v>
      </c>
      <c r="EL1681" s="1" t="s">
        <v>231</v>
      </c>
      <c r="EM1681" s="1" t="s">
        <v>319</v>
      </c>
      <c r="EN1681" s="1" t="s">
        <v>210</v>
      </c>
      <c r="EO1681" s="1" t="s">
        <v>234</v>
      </c>
      <c r="ER1681" s="1" t="s">
        <v>210</v>
      </c>
      <c r="EW1681" s="1" t="s">
        <v>347</v>
      </c>
      <c r="EZ1681" s="1" t="s">
        <v>287</v>
      </c>
      <c r="FD1681" s="1" t="s">
        <v>246</v>
      </c>
      <c r="FE1681" s="1" t="s">
        <v>247</v>
      </c>
      <c r="FF1681" s="1" t="s">
        <v>248</v>
      </c>
      <c r="FH1681" s="1" t="s">
        <v>249</v>
      </c>
      <c r="FL1681" s="1" t="s">
        <v>328</v>
      </c>
      <c r="FM1681" s="1" t="s">
        <v>252</v>
      </c>
      <c r="FN1681" s="1" t="s">
        <v>213</v>
      </c>
      <c r="FO1681" s="1" t="s">
        <v>213</v>
      </c>
      <c r="FQ1681" s="1" t="s">
        <v>582</v>
      </c>
      <c r="FR1681" s="1" t="s">
        <v>210</v>
      </c>
      <c r="FS1681" s="1" t="s">
        <v>15993</v>
      </c>
      <c r="FT1681" s="1" t="s">
        <v>295</v>
      </c>
      <c r="FU1681" s="1" t="s">
        <v>204</v>
      </c>
      <c r="FW1681" s="1" t="s">
        <v>1652</v>
      </c>
      <c r="FX1681" s="1">
        <v>25618</v>
      </c>
      <c r="FY1681" s="1" t="s">
        <v>1653</v>
      </c>
      <c r="FZ1681" s="1" t="s">
        <v>15994</v>
      </c>
      <c r="GA1681" s="1">
        <v>229319</v>
      </c>
      <c r="GB1681" s="1" t="s">
        <v>15995</v>
      </c>
      <c r="GC1681" s="1">
        <v>238046</v>
      </c>
      <c r="GE1681" s="1" t="s">
        <v>210</v>
      </c>
      <c r="GI1681" s="1" t="s">
        <v>213</v>
      </c>
      <c r="GJ1681" s="1" t="s">
        <v>260</v>
      </c>
      <c r="GK1681" s="1" t="s">
        <v>210</v>
      </c>
      <c r="GL1681" s="2">
        <v>41992</v>
      </c>
      <c r="GM1681" s="1" t="s">
        <v>15996</v>
      </c>
    </row>
    <row r="1682" spans="1:195">
      <c r="A1682" s="1">
        <v>95000</v>
      </c>
      <c r="B1682" s="1" t="s">
        <v>195</v>
      </c>
      <c r="C1682" s="1" t="str">
        <f>"08707758"</f>
        <v>08707758</v>
      </c>
      <c r="D1682" s="1" t="s">
        <v>196</v>
      </c>
      <c r="F1682" s="1" t="str">
        <f>"119"</f>
        <v>119</v>
      </c>
      <c r="G1682" s="2">
        <v>41872</v>
      </c>
      <c r="H1682" s="1">
        <v>109900</v>
      </c>
      <c r="I1682" s="1">
        <v>99900</v>
      </c>
      <c r="J1682" s="1">
        <v>95000</v>
      </c>
      <c r="K1682" s="2">
        <v>41872</v>
      </c>
      <c r="L1682" s="1">
        <v>179</v>
      </c>
      <c r="M1682" s="2">
        <v>41990</v>
      </c>
      <c r="N1682" s="1">
        <v>119</v>
      </c>
      <c r="O1682" s="2">
        <v>41990</v>
      </c>
      <c r="P1682" s="1">
        <v>771</v>
      </c>
      <c r="Q1682" s="1" t="s">
        <v>302</v>
      </c>
      <c r="R1682" s="2">
        <v>42013</v>
      </c>
      <c r="S1682" s="1">
        <v>766</v>
      </c>
      <c r="U1682" s="1">
        <v>200</v>
      </c>
      <c r="V1682" s="1" t="s">
        <v>82</v>
      </c>
      <c r="W1682" s="1" t="s">
        <v>725</v>
      </c>
      <c r="X1682" s="1" t="s">
        <v>9400</v>
      </c>
      <c r="Y1682" s="1">
        <v>12</v>
      </c>
      <c r="Z1682" s="1" t="s">
        <v>370</v>
      </c>
      <c r="AA1682" s="1" t="s">
        <v>9117</v>
      </c>
      <c r="AB1682" s="1">
        <v>60119</v>
      </c>
      <c r="AD1682" s="1" t="s">
        <v>15997</v>
      </c>
      <c r="AE1682" s="1" t="s">
        <v>15998</v>
      </c>
      <c r="AF1682" s="1">
        <v>1999</v>
      </c>
      <c r="AG1682" s="1" t="s">
        <v>204</v>
      </c>
      <c r="AH1682" s="1" t="s">
        <v>9119</v>
      </c>
      <c r="AI1682" s="1" t="s">
        <v>665</v>
      </c>
      <c r="AJ1682" s="1" t="s">
        <v>2443</v>
      </c>
      <c r="AL1682" s="1">
        <v>5</v>
      </c>
      <c r="AM1682" s="1">
        <v>2</v>
      </c>
      <c r="AN1682" s="1">
        <v>2</v>
      </c>
      <c r="AO1682" s="1">
        <v>0</v>
      </c>
      <c r="AP1682" s="1" t="s">
        <v>209</v>
      </c>
      <c r="AQ1682" s="1">
        <v>0</v>
      </c>
      <c r="AR1682" s="1" t="s">
        <v>210</v>
      </c>
      <c r="AS1682" s="1" t="s">
        <v>204</v>
      </c>
      <c r="AT1682" s="1" t="s">
        <v>211</v>
      </c>
      <c r="AU1682" s="1">
        <v>1</v>
      </c>
      <c r="AW1682" s="1" t="s">
        <v>204</v>
      </c>
      <c r="AX1682" s="1" t="s">
        <v>15999</v>
      </c>
      <c r="AZ1682" s="1">
        <v>2895.28</v>
      </c>
      <c r="BA1682" s="1">
        <v>2013</v>
      </c>
      <c r="BB1682" s="1" t="s">
        <v>3996</v>
      </c>
      <c r="BE1682" s="1">
        <v>1484</v>
      </c>
      <c r="BF1682" s="1">
        <v>1</v>
      </c>
      <c r="BG1682" s="1">
        <v>0</v>
      </c>
      <c r="BL1682" s="1">
        <v>95</v>
      </c>
      <c r="BM1682" s="1" t="s">
        <v>413</v>
      </c>
      <c r="BN1682" s="1" t="s">
        <v>213</v>
      </c>
      <c r="BO1682" s="1">
        <v>150</v>
      </c>
      <c r="BP1682" s="1" t="s">
        <v>204</v>
      </c>
      <c r="BR1682" s="1" t="str">
        <f>"1106284032"</f>
        <v>1106284032</v>
      </c>
      <c r="BT1682" s="1" t="s">
        <v>16000</v>
      </c>
      <c r="BX1682" s="1">
        <v>302</v>
      </c>
      <c r="BY1682" s="1">
        <v>302</v>
      </c>
      <c r="BZ1682" s="1">
        <v>302</v>
      </c>
      <c r="CB1682" s="1" t="str">
        <f t="shared" ref="CB1682:CC1682" si="1277">""</f>
        <v/>
      </c>
      <c r="CC1682" s="1" t="str">
        <f t="shared" si="1277"/>
        <v/>
      </c>
      <c r="CG1682" s="1" t="s">
        <v>6248</v>
      </c>
      <c r="CH1682" s="1" t="s">
        <v>219</v>
      </c>
      <c r="CI1682" s="1" t="s">
        <v>220</v>
      </c>
      <c r="CK1682" s="1" t="s">
        <v>669</v>
      </c>
      <c r="CL1682" s="1" t="s">
        <v>219</v>
      </c>
      <c r="CM1682" s="1" t="s">
        <v>220</v>
      </c>
      <c r="CO1682" s="1" t="s">
        <v>1297</v>
      </c>
      <c r="CP1682" s="1" t="s">
        <v>219</v>
      </c>
      <c r="CQ1682" s="1" t="s">
        <v>229</v>
      </c>
      <c r="CS1682" s="1" t="s">
        <v>932</v>
      </c>
      <c r="CT1682" s="1" t="s">
        <v>277</v>
      </c>
      <c r="CU1682" s="1" t="s">
        <v>220</v>
      </c>
      <c r="CX1682" s="1" t="s">
        <v>224</v>
      </c>
      <c r="DB1682" s="1" t="s">
        <v>224</v>
      </c>
      <c r="DE1682" s="1" t="s">
        <v>1046</v>
      </c>
      <c r="DF1682" s="1" t="s">
        <v>219</v>
      </c>
      <c r="DG1682" s="1" t="s">
        <v>229</v>
      </c>
      <c r="DJ1682" s="1" t="s">
        <v>224</v>
      </c>
      <c r="DS1682" s="1" t="s">
        <v>230</v>
      </c>
      <c r="DW1682" s="1" t="s">
        <v>230</v>
      </c>
      <c r="EA1682" s="1" t="s">
        <v>230</v>
      </c>
      <c r="EE1682" s="1" t="s">
        <v>230</v>
      </c>
      <c r="EI1682" s="1" t="s">
        <v>230</v>
      </c>
      <c r="EL1682" s="1" t="s">
        <v>466</v>
      </c>
      <c r="EM1682" s="1" t="s">
        <v>319</v>
      </c>
      <c r="EN1682" s="1" t="s">
        <v>282</v>
      </c>
      <c r="EO1682" s="1" t="s">
        <v>234</v>
      </c>
      <c r="ER1682" s="1" t="s">
        <v>210</v>
      </c>
      <c r="EW1682" s="1" t="s">
        <v>547</v>
      </c>
      <c r="EZ1682" s="1" t="s">
        <v>287</v>
      </c>
      <c r="FD1682" s="1" t="s">
        <v>246</v>
      </c>
      <c r="FE1682" s="1" t="s">
        <v>870</v>
      </c>
      <c r="FF1682" s="1" t="s">
        <v>248</v>
      </c>
      <c r="FH1682" s="1" t="s">
        <v>249</v>
      </c>
      <c r="FL1682" s="1" t="s">
        <v>358</v>
      </c>
      <c r="FM1682" s="1" t="s">
        <v>252</v>
      </c>
      <c r="FN1682" s="1" t="s">
        <v>213</v>
      </c>
      <c r="FO1682" s="1" t="s">
        <v>213</v>
      </c>
      <c r="FQ1682" s="1" t="s">
        <v>4425</v>
      </c>
      <c r="FR1682" s="1" t="s">
        <v>210</v>
      </c>
      <c r="FS1682" s="1" t="s">
        <v>16001</v>
      </c>
      <c r="FT1682" s="1" t="s">
        <v>362</v>
      </c>
      <c r="FU1682" s="1" t="s">
        <v>204</v>
      </c>
      <c r="FW1682" s="1" t="s">
        <v>585</v>
      </c>
      <c r="FX1682" s="1">
        <v>49</v>
      </c>
      <c r="FY1682" s="1" t="s">
        <v>2408</v>
      </c>
      <c r="FZ1682" s="1" t="s">
        <v>16002</v>
      </c>
      <c r="GA1682" s="1">
        <v>974</v>
      </c>
      <c r="GB1682" s="1" t="s">
        <v>16003</v>
      </c>
      <c r="GC1682" s="1">
        <v>1091</v>
      </c>
      <c r="GD1682" s="1" t="s">
        <v>16004</v>
      </c>
      <c r="GE1682" s="1" t="s">
        <v>210</v>
      </c>
      <c r="GH1682" s="1" t="s">
        <v>589</v>
      </c>
      <c r="GI1682" s="1" t="s">
        <v>213</v>
      </c>
      <c r="GJ1682" s="1" t="s">
        <v>260</v>
      </c>
      <c r="GK1682" s="1" t="s">
        <v>210</v>
      </c>
      <c r="GL1682" s="2">
        <v>42013</v>
      </c>
      <c r="GM1682" s="1" t="s">
        <v>16005</v>
      </c>
    </row>
    <row r="1683" spans="1:195">
      <c r="A1683" s="1">
        <v>24000</v>
      </c>
      <c r="B1683" s="1" t="s">
        <v>195</v>
      </c>
      <c r="C1683" s="1" t="str">
        <f>"08706435"</f>
        <v>08706435</v>
      </c>
      <c r="D1683" s="1" t="s">
        <v>196</v>
      </c>
      <c r="F1683" s="1" t="str">
        <f>"8040"</f>
        <v>8040</v>
      </c>
      <c r="G1683" s="2">
        <v>41871</v>
      </c>
      <c r="H1683" s="1">
        <v>20000</v>
      </c>
      <c r="I1683" s="1">
        <v>20000</v>
      </c>
      <c r="J1683" s="1">
        <v>24000</v>
      </c>
      <c r="K1683" s="2">
        <v>41870</v>
      </c>
      <c r="L1683" s="1">
        <v>31</v>
      </c>
      <c r="M1683" s="2">
        <v>41900</v>
      </c>
      <c r="N1683" s="1">
        <v>31</v>
      </c>
      <c r="O1683" s="2">
        <v>41900</v>
      </c>
      <c r="P1683" s="1">
        <v>84624</v>
      </c>
      <c r="Q1683" s="1" t="s">
        <v>302</v>
      </c>
      <c r="R1683" s="2">
        <v>42135</v>
      </c>
      <c r="S1683" s="1">
        <v>123582</v>
      </c>
      <c r="U1683" s="1">
        <v>5730</v>
      </c>
      <c r="V1683" s="1" t="s">
        <v>398</v>
      </c>
      <c r="W1683" s="1" t="s">
        <v>264</v>
      </c>
      <c r="X1683" s="1" t="s">
        <v>5413</v>
      </c>
      <c r="Y1683" s="1">
        <v>40</v>
      </c>
      <c r="Z1683" s="1" t="s">
        <v>249</v>
      </c>
      <c r="AA1683" s="1" t="s">
        <v>400</v>
      </c>
      <c r="AB1683" s="1">
        <v>60637</v>
      </c>
      <c r="AE1683" s="1" t="s">
        <v>16006</v>
      </c>
      <c r="AF1683" s="1" t="s">
        <v>402</v>
      </c>
      <c r="AG1683" s="1" t="s">
        <v>213</v>
      </c>
      <c r="AH1683" s="1" t="s">
        <v>403</v>
      </c>
      <c r="AI1683" s="1" t="s">
        <v>310</v>
      </c>
      <c r="AJ1683" s="1" t="s">
        <v>562</v>
      </c>
      <c r="AL1683" s="1">
        <v>5</v>
      </c>
      <c r="AM1683" s="1">
        <v>2</v>
      </c>
      <c r="AN1683" s="1">
        <v>1</v>
      </c>
      <c r="AO1683" s="1">
        <v>0</v>
      </c>
      <c r="AP1683" s="1" t="s">
        <v>210</v>
      </c>
      <c r="AQ1683" s="1">
        <v>1</v>
      </c>
      <c r="AR1683" s="1" t="s">
        <v>210</v>
      </c>
      <c r="AS1683" s="1" t="s">
        <v>204</v>
      </c>
      <c r="AT1683" s="1" t="s">
        <v>271</v>
      </c>
      <c r="AV1683" s="1">
        <v>1</v>
      </c>
      <c r="AW1683" s="1" t="s">
        <v>204</v>
      </c>
      <c r="AX1683" s="1" t="s">
        <v>212</v>
      </c>
      <c r="AZ1683" s="1">
        <v>1857.89</v>
      </c>
      <c r="BA1683" s="1">
        <v>2013</v>
      </c>
      <c r="BB1683" s="1" t="s">
        <v>210</v>
      </c>
      <c r="BE1683" s="1">
        <v>0</v>
      </c>
      <c r="BF1683" s="1">
        <v>2</v>
      </c>
      <c r="BG1683" s="1">
        <v>0</v>
      </c>
      <c r="BL1683" s="1">
        <v>398</v>
      </c>
      <c r="BM1683" s="1" t="s">
        <v>213</v>
      </c>
      <c r="BN1683" s="1" t="s">
        <v>213</v>
      </c>
      <c r="BO1683" s="1">
        <v>20</v>
      </c>
      <c r="BP1683" s="1" t="s">
        <v>204</v>
      </c>
      <c r="BR1683" s="1" t="str">
        <f>"20151180221010"</f>
        <v>20151180221010</v>
      </c>
      <c r="BT1683" s="1" t="s">
        <v>16007</v>
      </c>
      <c r="BX1683" s="1">
        <v>299</v>
      </c>
      <c r="BY1683" s="1">
        <v>299</v>
      </c>
      <c r="BZ1683" s="1">
        <v>299</v>
      </c>
      <c r="CB1683" s="1" t="str">
        <f>"0"</f>
        <v>0</v>
      </c>
      <c r="CC1683" s="1" t="str">
        <f>"400"</f>
        <v>400</v>
      </c>
      <c r="CD1683" s="1">
        <v>0</v>
      </c>
      <c r="CE1683" s="1">
        <v>5730</v>
      </c>
      <c r="CG1683" s="1" t="s">
        <v>1106</v>
      </c>
      <c r="CH1683" s="1" t="s">
        <v>219</v>
      </c>
      <c r="CI1683" s="1" t="s">
        <v>438</v>
      </c>
      <c r="CK1683" s="1" t="s">
        <v>378</v>
      </c>
      <c r="CL1683" s="1" t="s">
        <v>219</v>
      </c>
      <c r="CM1683" s="1" t="s">
        <v>220</v>
      </c>
      <c r="CO1683" s="1" t="s">
        <v>629</v>
      </c>
      <c r="CP1683" s="1" t="s">
        <v>219</v>
      </c>
      <c r="CQ1683" s="1" t="s">
        <v>438</v>
      </c>
      <c r="CS1683" s="1" t="s">
        <v>1107</v>
      </c>
      <c r="CT1683" s="1" t="s">
        <v>219</v>
      </c>
      <c r="CU1683" s="1" t="s">
        <v>220</v>
      </c>
      <c r="CX1683" s="1" t="s">
        <v>224</v>
      </c>
      <c r="DB1683" s="1" t="s">
        <v>224</v>
      </c>
      <c r="DE1683" s="1" t="s">
        <v>1107</v>
      </c>
      <c r="DF1683" s="1" t="s">
        <v>219</v>
      </c>
      <c r="DG1683" s="1" t="s">
        <v>438</v>
      </c>
      <c r="DJ1683" s="1" t="s">
        <v>224</v>
      </c>
      <c r="DS1683" s="1" t="s">
        <v>230</v>
      </c>
      <c r="DW1683" s="1" t="s">
        <v>230</v>
      </c>
      <c r="EA1683" s="1" t="s">
        <v>230</v>
      </c>
      <c r="EE1683" s="1" t="s">
        <v>230</v>
      </c>
      <c r="EI1683" s="1" t="s">
        <v>230</v>
      </c>
      <c r="EL1683" s="1" t="s">
        <v>413</v>
      </c>
      <c r="EM1683" s="1" t="s">
        <v>319</v>
      </c>
      <c r="EN1683" s="1" t="s">
        <v>282</v>
      </c>
      <c r="EO1683" s="1" t="s">
        <v>234</v>
      </c>
      <c r="ER1683" s="1" t="s">
        <v>210</v>
      </c>
      <c r="EW1683" s="1" t="s">
        <v>286</v>
      </c>
      <c r="EZ1683" s="1" t="s">
        <v>287</v>
      </c>
      <c r="FD1683" s="1" t="s">
        <v>888</v>
      </c>
      <c r="FE1683" s="1" t="s">
        <v>247</v>
      </c>
      <c r="FF1683" s="1" t="s">
        <v>248</v>
      </c>
      <c r="FG1683" s="1" t="s">
        <v>912</v>
      </c>
      <c r="FH1683" s="1" t="s">
        <v>249</v>
      </c>
      <c r="FJ1683" s="1" t="s">
        <v>2046</v>
      </c>
      <c r="FK1683" s="1" t="s">
        <v>2522</v>
      </c>
      <c r="FL1683" s="1" t="s">
        <v>358</v>
      </c>
      <c r="FM1683" s="1" t="s">
        <v>252</v>
      </c>
      <c r="FN1683" s="1" t="s">
        <v>213</v>
      </c>
      <c r="FO1683" s="1" t="s">
        <v>213</v>
      </c>
      <c r="FQ1683" s="1" t="s">
        <v>5727</v>
      </c>
      <c r="FR1683" s="1" t="s">
        <v>360</v>
      </c>
      <c r="FS1683" s="1" t="s">
        <v>16008</v>
      </c>
      <c r="FT1683" s="1" t="s">
        <v>362</v>
      </c>
      <c r="FU1683" s="1" t="s">
        <v>204</v>
      </c>
      <c r="FW1683" s="1" t="s">
        <v>16009</v>
      </c>
      <c r="FX1683" s="1">
        <v>17776</v>
      </c>
      <c r="FY1683" s="1" t="s">
        <v>16010</v>
      </c>
      <c r="FZ1683" s="1" t="s">
        <v>16011</v>
      </c>
      <c r="GA1683" s="1">
        <v>150115</v>
      </c>
      <c r="GB1683" s="1" t="s">
        <v>16012</v>
      </c>
      <c r="GE1683" s="1" t="s">
        <v>210</v>
      </c>
      <c r="GH1683" s="1" t="s">
        <v>421</v>
      </c>
      <c r="GI1683" s="1" t="s">
        <v>213</v>
      </c>
      <c r="GJ1683" s="1" t="s">
        <v>260</v>
      </c>
      <c r="GK1683" s="1" t="s">
        <v>210</v>
      </c>
      <c r="GL1683" s="2">
        <v>42138</v>
      </c>
      <c r="GM1683" s="2" t="s">
        <v>16013</v>
      </c>
    </row>
    <row r="1684" spans="1:195">
      <c r="A1684" s="1">
        <v>199990</v>
      </c>
      <c r="B1684" s="1" t="s">
        <v>195</v>
      </c>
      <c r="C1684" s="1" t="str">
        <f>"08711382"</f>
        <v>08711382</v>
      </c>
      <c r="D1684" s="1" t="s">
        <v>196</v>
      </c>
      <c r="F1684" s="1" t="str">
        <f>"140"</f>
        <v>140</v>
      </c>
      <c r="G1684" s="2">
        <v>41877</v>
      </c>
      <c r="H1684" s="1">
        <v>229990</v>
      </c>
      <c r="I1684" s="1">
        <v>199990</v>
      </c>
      <c r="J1684" s="1">
        <v>199990</v>
      </c>
      <c r="K1684" s="2">
        <v>41877</v>
      </c>
      <c r="L1684" s="1">
        <v>103</v>
      </c>
      <c r="M1684" s="2">
        <v>41979</v>
      </c>
      <c r="N1684" s="1">
        <v>103</v>
      </c>
      <c r="O1684" s="2">
        <v>41979</v>
      </c>
      <c r="P1684" s="1" t="s">
        <v>1039</v>
      </c>
      <c r="Q1684" s="1" t="s">
        <v>302</v>
      </c>
      <c r="R1684" s="2">
        <v>42018</v>
      </c>
      <c r="S1684" s="1">
        <v>99995</v>
      </c>
      <c r="U1684" s="1">
        <v>1621</v>
      </c>
      <c r="V1684" s="1" t="s">
        <v>16014</v>
      </c>
      <c r="W1684" s="1" t="s">
        <v>264</v>
      </c>
      <c r="Y1684" s="1">
        <v>2</v>
      </c>
      <c r="Z1684" s="1" t="s">
        <v>370</v>
      </c>
      <c r="AA1684" s="1" t="s">
        <v>744</v>
      </c>
      <c r="AB1684" s="1">
        <v>60140</v>
      </c>
      <c r="AD1684" s="1" t="s">
        <v>16015</v>
      </c>
      <c r="AE1684" s="1" t="s">
        <v>16016</v>
      </c>
      <c r="AF1684" s="1">
        <v>2014</v>
      </c>
      <c r="AG1684" s="1" t="s">
        <v>204</v>
      </c>
      <c r="AH1684" s="1" t="s">
        <v>747</v>
      </c>
      <c r="AI1684" s="1" t="s">
        <v>665</v>
      </c>
      <c r="AJ1684" s="1" t="s">
        <v>748</v>
      </c>
      <c r="AK1684" s="1" t="s">
        <v>16017</v>
      </c>
      <c r="AL1684" s="1">
        <v>7</v>
      </c>
      <c r="AM1684" s="1">
        <v>2</v>
      </c>
      <c r="AN1684" s="1">
        <v>2</v>
      </c>
      <c r="AO1684" s="1">
        <v>0</v>
      </c>
      <c r="AP1684" s="1" t="s">
        <v>209</v>
      </c>
      <c r="AR1684" s="1" t="s">
        <v>210</v>
      </c>
      <c r="AS1684" s="1" t="s">
        <v>204</v>
      </c>
      <c r="AT1684" s="1" t="s">
        <v>211</v>
      </c>
      <c r="AU1684" s="1">
        <v>2</v>
      </c>
      <c r="AW1684" s="1" t="s">
        <v>213</v>
      </c>
      <c r="AX1684" s="1" t="s">
        <v>16018</v>
      </c>
      <c r="AZ1684" s="1" t="s">
        <v>751</v>
      </c>
      <c r="BA1684" s="1">
        <v>2013</v>
      </c>
      <c r="BE1684" s="1">
        <v>1770</v>
      </c>
      <c r="BF1684" s="1">
        <v>1</v>
      </c>
      <c r="BG1684" s="1">
        <v>0</v>
      </c>
      <c r="BL1684" s="1">
        <v>186</v>
      </c>
      <c r="BM1684" s="1" t="s">
        <v>204</v>
      </c>
      <c r="BN1684" s="1" t="s">
        <v>213</v>
      </c>
      <c r="BO1684" s="1">
        <v>999</v>
      </c>
      <c r="BP1684" s="1" t="s">
        <v>213</v>
      </c>
      <c r="BQ1684" s="2">
        <v>41877</v>
      </c>
      <c r="BR1684" s="1" t="str">
        <f>"0228180023"</f>
        <v>0228180023</v>
      </c>
      <c r="BT1684" s="1" t="s">
        <v>16019</v>
      </c>
      <c r="BX1684" s="1">
        <v>300</v>
      </c>
      <c r="BY1684" s="1">
        <v>300</v>
      </c>
      <c r="BZ1684" s="1">
        <v>300</v>
      </c>
      <c r="CB1684" s="1" t="str">
        <f t="shared" ref="CB1684:CC1684" si="1278">""</f>
        <v/>
      </c>
      <c r="CC1684" s="1" t="str">
        <f t="shared" si="1278"/>
        <v/>
      </c>
      <c r="CG1684" s="1" t="s">
        <v>344</v>
      </c>
      <c r="CH1684" s="1" t="s">
        <v>219</v>
      </c>
      <c r="CI1684" s="1" t="s">
        <v>438</v>
      </c>
      <c r="CJ1684" s="1" t="s">
        <v>210</v>
      </c>
      <c r="CK1684" s="1" t="s">
        <v>2934</v>
      </c>
      <c r="CL1684" s="1" t="s">
        <v>219</v>
      </c>
      <c r="CM1684" s="1" t="s">
        <v>220</v>
      </c>
      <c r="CN1684" s="1" t="s">
        <v>210</v>
      </c>
      <c r="CO1684" s="1" t="s">
        <v>344</v>
      </c>
      <c r="CP1684" s="1" t="s">
        <v>219</v>
      </c>
      <c r="CQ1684" s="1" t="s">
        <v>438</v>
      </c>
      <c r="CR1684" s="1" t="s">
        <v>210</v>
      </c>
      <c r="CS1684" s="1" t="s">
        <v>1107</v>
      </c>
      <c r="CT1684" s="1" t="s">
        <v>219</v>
      </c>
      <c r="CU1684" s="1" t="s">
        <v>220</v>
      </c>
      <c r="CV1684" s="1" t="s">
        <v>210</v>
      </c>
      <c r="CX1684" s="1" t="s">
        <v>224</v>
      </c>
      <c r="DB1684" s="1" t="s">
        <v>224</v>
      </c>
      <c r="DE1684" s="1" t="s">
        <v>2547</v>
      </c>
      <c r="DF1684" s="1" t="s">
        <v>219</v>
      </c>
      <c r="DG1684" s="1" t="s">
        <v>438</v>
      </c>
      <c r="DH1684" s="1" t="s">
        <v>210</v>
      </c>
      <c r="DJ1684" s="1" t="s">
        <v>224</v>
      </c>
      <c r="DM1684" s="1" t="s">
        <v>1005</v>
      </c>
      <c r="DN1684" s="1" t="s">
        <v>381</v>
      </c>
      <c r="DO1684" s="1" t="s">
        <v>603</v>
      </c>
      <c r="DR1684" s="1" t="s">
        <v>318</v>
      </c>
      <c r="DS1684" s="1" t="s">
        <v>219</v>
      </c>
      <c r="DT1684" s="1" t="s">
        <v>220</v>
      </c>
      <c r="DU1684" s="1" t="s">
        <v>210</v>
      </c>
      <c r="DV1684" s="1" t="s">
        <v>345</v>
      </c>
      <c r="DW1684" s="1" t="s">
        <v>219</v>
      </c>
      <c r="DX1684" s="1" t="s">
        <v>438</v>
      </c>
      <c r="DY1684" s="1" t="s">
        <v>210</v>
      </c>
      <c r="DZ1684" s="1" t="s">
        <v>281</v>
      </c>
      <c r="EA1684" s="1" t="s">
        <v>219</v>
      </c>
      <c r="EB1684" s="1" t="s">
        <v>438</v>
      </c>
      <c r="EC1684" s="1" t="s">
        <v>210</v>
      </c>
      <c r="EE1684" s="1" t="s">
        <v>230</v>
      </c>
      <c r="EI1684" s="1" t="s">
        <v>230</v>
      </c>
      <c r="EL1684" s="1" t="s">
        <v>1455</v>
      </c>
      <c r="EM1684" s="1" t="s">
        <v>319</v>
      </c>
      <c r="EN1684" s="1" t="s">
        <v>282</v>
      </c>
      <c r="EO1684" s="1" t="s">
        <v>234</v>
      </c>
      <c r="EQ1684" s="1" t="s">
        <v>953</v>
      </c>
      <c r="ER1684" s="1" t="s">
        <v>383</v>
      </c>
      <c r="ES1684" s="1" t="s">
        <v>954</v>
      </c>
      <c r="ET1684" s="1" t="s">
        <v>238</v>
      </c>
      <c r="EV1684" s="1" t="s">
        <v>240</v>
      </c>
      <c r="EW1684" s="1" t="s">
        <v>5021</v>
      </c>
      <c r="EY1684" s="1" t="s">
        <v>441</v>
      </c>
      <c r="EZ1684" s="1" t="s">
        <v>16020</v>
      </c>
      <c r="FD1684" s="1" t="s">
        <v>246</v>
      </c>
      <c r="FE1684" s="1" t="s">
        <v>975</v>
      </c>
      <c r="FF1684" s="1" t="s">
        <v>248</v>
      </c>
      <c r="FH1684" s="1" t="s">
        <v>442</v>
      </c>
      <c r="FL1684" s="1" t="s">
        <v>358</v>
      </c>
      <c r="FM1684" s="1" t="s">
        <v>252</v>
      </c>
      <c r="FN1684" s="1" t="s">
        <v>213</v>
      </c>
      <c r="FO1684" s="1" t="s">
        <v>213</v>
      </c>
      <c r="FQ1684" s="1" t="s">
        <v>582</v>
      </c>
      <c r="FR1684" s="1" t="s">
        <v>210</v>
      </c>
      <c r="FS1684" s="1" t="s">
        <v>16021</v>
      </c>
      <c r="FT1684" s="1" t="s">
        <v>7685</v>
      </c>
      <c r="FU1684" s="1" t="s">
        <v>204</v>
      </c>
      <c r="FW1684" s="1" t="s">
        <v>772</v>
      </c>
      <c r="FX1684" s="1">
        <v>92038</v>
      </c>
      <c r="FY1684" s="1" t="s">
        <v>773</v>
      </c>
      <c r="FZ1684" s="1" t="s">
        <v>774</v>
      </c>
      <c r="GA1684" s="1">
        <v>21137</v>
      </c>
      <c r="GB1684" s="1" t="s">
        <v>775</v>
      </c>
      <c r="GE1684" s="1" t="s">
        <v>1796</v>
      </c>
      <c r="GI1684" s="1" t="s">
        <v>204</v>
      </c>
      <c r="GJ1684" s="1" t="s">
        <v>260</v>
      </c>
      <c r="GK1684" s="1" t="s">
        <v>210</v>
      </c>
      <c r="GL1684" s="2">
        <v>42032</v>
      </c>
      <c r="GM1684" s="1" t="s">
        <v>16022</v>
      </c>
    </row>
    <row r="1685" spans="1:195">
      <c r="A1685" s="1">
        <v>140000</v>
      </c>
      <c r="B1685" s="1" t="s">
        <v>195</v>
      </c>
      <c r="C1685" s="1" t="str">
        <f>"08709256"</f>
        <v>08709256</v>
      </c>
      <c r="D1685" s="1" t="s">
        <v>196</v>
      </c>
      <c r="F1685" s="1" t="str">
        <f>"540"</f>
        <v>540</v>
      </c>
      <c r="G1685" s="2">
        <v>41873</v>
      </c>
      <c r="H1685" s="1">
        <v>147000</v>
      </c>
      <c r="I1685" s="1">
        <v>144900</v>
      </c>
      <c r="J1685" s="1">
        <v>140000</v>
      </c>
      <c r="K1685" s="2">
        <v>41873</v>
      </c>
      <c r="L1685" s="1">
        <v>89</v>
      </c>
      <c r="M1685" s="2">
        <v>41961</v>
      </c>
      <c r="N1685" s="1">
        <v>89</v>
      </c>
      <c r="O1685" s="2">
        <v>41961</v>
      </c>
      <c r="P1685" s="1">
        <v>23068</v>
      </c>
      <c r="Q1685" s="1" t="s">
        <v>197</v>
      </c>
      <c r="R1685" s="2">
        <v>41995</v>
      </c>
      <c r="S1685" s="1">
        <v>224152</v>
      </c>
      <c r="U1685" s="1">
        <v>1833</v>
      </c>
      <c r="V1685" s="1" t="s">
        <v>16023</v>
      </c>
      <c r="W1685" s="1" t="s">
        <v>264</v>
      </c>
      <c r="X1685" s="1">
        <v>1833</v>
      </c>
      <c r="Y1685" s="1">
        <v>4</v>
      </c>
      <c r="Z1685" s="1" t="s">
        <v>249</v>
      </c>
      <c r="AA1685" s="1" t="s">
        <v>921</v>
      </c>
      <c r="AB1685" s="1">
        <v>60565</v>
      </c>
      <c r="AD1685" s="1" t="s">
        <v>14606</v>
      </c>
      <c r="AE1685" s="1" t="s">
        <v>16024</v>
      </c>
      <c r="AF1685" s="1">
        <v>1988</v>
      </c>
      <c r="AG1685" s="1" t="s">
        <v>204</v>
      </c>
      <c r="AH1685" s="1" t="s">
        <v>924</v>
      </c>
      <c r="AI1685" s="1" t="s">
        <v>206</v>
      </c>
      <c r="AJ1685" s="1" t="s">
        <v>925</v>
      </c>
      <c r="AL1685" s="1">
        <v>5</v>
      </c>
      <c r="AM1685" s="1">
        <v>2</v>
      </c>
      <c r="AN1685" s="1">
        <v>1</v>
      </c>
      <c r="AO1685" s="1">
        <v>0</v>
      </c>
      <c r="AP1685" s="1" t="s">
        <v>210</v>
      </c>
      <c r="AR1685" s="1" t="s">
        <v>210</v>
      </c>
      <c r="AS1685" s="1" t="s">
        <v>204</v>
      </c>
      <c r="AT1685" s="1" t="s">
        <v>211</v>
      </c>
      <c r="AU1685" s="1">
        <v>1</v>
      </c>
      <c r="AW1685" s="1" t="s">
        <v>204</v>
      </c>
      <c r="AX1685" s="1" t="s">
        <v>212</v>
      </c>
      <c r="AZ1685" s="1">
        <v>3143</v>
      </c>
      <c r="BA1685" s="1">
        <v>2013</v>
      </c>
      <c r="BB1685" s="1" t="s">
        <v>405</v>
      </c>
      <c r="BE1685" s="1">
        <v>1009</v>
      </c>
      <c r="BF1685" s="1">
        <v>1</v>
      </c>
      <c r="BG1685" s="1">
        <v>0</v>
      </c>
      <c r="BJ1685" s="1">
        <v>100</v>
      </c>
      <c r="BL1685" s="1">
        <v>115</v>
      </c>
      <c r="BM1685" s="1" t="s">
        <v>204</v>
      </c>
      <c r="BN1685" s="1" t="s">
        <v>213</v>
      </c>
      <c r="BO1685" s="1">
        <v>25</v>
      </c>
      <c r="BP1685" s="1" t="s">
        <v>204</v>
      </c>
      <c r="BR1685" s="1" t="str">
        <f>"0828409034"</f>
        <v>0828409034</v>
      </c>
      <c r="BT1685" s="1" t="s">
        <v>16025</v>
      </c>
      <c r="BU1685" s="1" t="s">
        <v>14610</v>
      </c>
      <c r="BV1685" s="1" t="s">
        <v>4937</v>
      </c>
      <c r="BW1685" s="1" t="s">
        <v>930</v>
      </c>
      <c r="BX1685" s="1">
        <v>203</v>
      </c>
      <c r="BY1685" s="1">
        <v>203</v>
      </c>
      <c r="BZ1685" s="1">
        <v>203</v>
      </c>
      <c r="CB1685" s="1" t="str">
        <f t="shared" ref="CB1685:CC1685" si="1279">"0"</f>
        <v>0</v>
      </c>
      <c r="CC1685" s="1" t="str">
        <f t="shared" si="1279"/>
        <v>0</v>
      </c>
      <c r="CD1685" s="1">
        <v>24</v>
      </c>
      <c r="CE1685" s="1">
        <v>8</v>
      </c>
      <c r="CG1685" s="1" t="s">
        <v>314</v>
      </c>
      <c r="CH1685" s="1" t="s">
        <v>219</v>
      </c>
      <c r="CI1685" s="1" t="s">
        <v>229</v>
      </c>
      <c r="CJ1685" s="1" t="s">
        <v>343</v>
      </c>
      <c r="CK1685" s="1" t="s">
        <v>932</v>
      </c>
      <c r="CL1685" s="1" t="s">
        <v>219</v>
      </c>
      <c r="CM1685" s="1" t="s">
        <v>220</v>
      </c>
      <c r="CN1685" s="1" t="s">
        <v>343</v>
      </c>
      <c r="CO1685" s="1" t="s">
        <v>6342</v>
      </c>
      <c r="CP1685" s="1" t="s">
        <v>219</v>
      </c>
      <c r="CQ1685" s="1" t="s">
        <v>229</v>
      </c>
      <c r="CS1685" s="1" t="s">
        <v>409</v>
      </c>
      <c r="CT1685" s="1" t="s">
        <v>219</v>
      </c>
      <c r="CU1685" s="1" t="s">
        <v>220</v>
      </c>
      <c r="CV1685" s="1" t="s">
        <v>343</v>
      </c>
      <c r="CX1685" s="1" t="s">
        <v>224</v>
      </c>
      <c r="DB1685" s="1" t="s">
        <v>224</v>
      </c>
      <c r="DE1685" s="1" t="s">
        <v>316</v>
      </c>
      <c r="DF1685" s="1" t="s">
        <v>219</v>
      </c>
      <c r="DG1685" s="1" t="s">
        <v>229</v>
      </c>
      <c r="DH1685" s="1" t="s">
        <v>210</v>
      </c>
      <c r="DJ1685" s="1" t="s">
        <v>224</v>
      </c>
      <c r="DS1685" s="1" t="s">
        <v>230</v>
      </c>
      <c r="DW1685" s="1" t="s">
        <v>230</v>
      </c>
      <c r="EA1685" s="1" t="s">
        <v>230</v>
      </c>
      <c r="EE1685" s="1" t="s">
        <v>230</v>
      </c>
      <c r="EI1685" s="1" t="s">
        <v>230</v>
      </c>
      <c r="EL1685" s="1" t="s">
        <v>542</v>
      </c>
      <c r="EM1685" s="1" t="s">
        <v>232</v>
      </c>
      <c r="EN1685" s="1" t="s">
        <v>282</v>
      </c>
      <c r="EO1685" s="1" t="s">
        <v>234</v>
      </c>
      <c r="EP1685" s="1" t="s">
        <v>283</v>
      </c>
      <c r="EQ1685" s="1" t="s">
        <v>607</v>
      </c>
      <c r="ER1685" s="1" t="s">
        <v>210</v>
      </c>
      <c r="ES1685" s="1" t="s">
        <v>1552</v>
      </c>
      <c r="ET1685" s="1" t="s">
        <v>842</v>
      </c>
      <c r="EU1685" s="1" t="s">
        <v>5503</v>
      </c>
      <c r="EV1685" s="1" t="s">
        <v>240</v>
      </c>
      <c r="EW1685" s="1" t="s">
        <v>353</v>
      </c>
      <c r="EZ1685" s="1" t="s">
        <v>287</v>
      </c>
      <c r="FA1685" s="1" t="s">
        <v>471</v>
      </c>
      <c r="FB1685" s="1" t="s">
        <v>734</v>
      </c>
      <c r="FC1685" s="1" t="s">
        <v>1386</v>
      </c>
      <c r="FD1685" s="1" t="s">
        <v>246</v>
      </c>
      <c r="FE1685" s="1" t="s">
        <v>1031</v>
      </c>
      <c r="FF1685" s="1" t="s">
        <v>387</v>
      </c>
      <c r="FH1685" s="1" t="s">
        <v>6378</v>
      </c>
      <c r="FI1685" s="1" t="s">
        <v>473</v>
      </c>
      <c r="FL1685" s="1" t="s">
        <v>358</v>
      </c>
      <c r="FM1685" s="1" t="s">
        <v>252</v>
      </c>
      <c r="FN1685" s="1" t="s">
        <v>213</v>
      </c>
      <c r="FO1685" s="1" t="s">
        <v>213</v>
      </c>
      <c r="FQ1685" s="1" t="s">
        <v>2091</v>
      </c>
      <c r="FR1685" s="1" t="s">
        <v>210</v>
      </c>
      <c r="FS1685" s="1" t="s">
        <v>16026</v>
      </c>
      <c r="FT1685" s="1" t="s">
        <v>255</v>
      </c>
      <c r="FU1685" s="1" t="s">
        <v>204</v>
      </c>
      <c r="FW1685" s="1" t="s">
        <v>5648</v>
      </c>
      <c r="FX1685" s="1">
        <v>23099</v>
      </c>
      <c r="FY1685" s="1" t="s">
        <v>5649</v>
      </c>
      <c r="FZ1685" s="1" t="s">
        <v>16027</v>
      </c>
      <c r="GA1685" s="1">
        <v>231797</v>
      </c>
      <c r="GB1685" s="1" t="s">
        <v>16028</v>
      </c>
      <c r="GC1685" s="1">
        <v>215684</v>
      </c>
      <c r="GE1685" s="1" t="s">
        <v>210</v>
      </c>
      <c r="GI1685" s="1" t="s">
        <v>213</v>
      </c>
      <c r="GJ1685" s="1" t="s">
        <v>260</v>
      </c>
      <c r="GK1685" s="1" t="s">
        <v>210</v>
      </c>
      <c r="GL1685" s="2">
        <v>41996</v>
      </c>
      <c r="GM1685" s="1" t="s">
        <v>16029</v>
      </c>
    </row>
    <row r="1686" spans="1:195">
      <c r="A1686" s="1">
        <v>30323</v>
      </c>
      <c r="B1686" s="1" t="s">
        <v>195</v>
      </c>
      <c r="C1686" s="1" t="str">
        <f>"08706247"</f>
        <v>08706247</v>
      </c>
      <c r="D1686" s="1" t="s">
        <v>196</v>
      </c>
      <c r="F1686" s="1" t="str">
        <f>"8048"</f>
        <v>8048</v>
      </c>
      <c r="G1686" s="2">
        <v>41870</v>
      </c>
      <c r="H1686" s="1">
        <v>33830</v>
      </c>
      <c r="I1686" s="1">
        <v>33830</v>
      </c>
      <c r="J1686" s="1">
        <v>30323</v>
      </c>
      <c r="K1686" s="2">
        <v>41869</v>
      </c>
      <c r="L1686" s="1">
        <v>27</v>
      </c>
      <c r="M1686" s="2">
        <v>41895</v>
      </c>
      <c r="N1686" s="1">
        <v>27</v>
      </c>
      <c r="O1686" s="2">
        <v>41895</v>
      </c>
      <c r="P1686" s="1">
        <v>61153</v>
      </c>
      <c r="Q1686" s="1" t="s">
        <v>302</v>
      </c>
      <c r="R1686" s="2">
        <v>41985</v>
      </c>
      <c r="S1686" s="1">
        <v>506226</v>
      </c>
      <c r="U1686" s="1">
        <v>2033</v>
      </c>
      <c r="V1686" s="1" t="s">
        <v>16030</v>
      </c>
      <c r="W1686" s="1" t="s">
        <v>725</v>
      </c>
      <c r="Y1686" s="1">
        <v>2</v>
      </c>
      <c r="Z1686" s="1" t="s">
        <v>200</v>
      </c>
      <c r="AA1686" s="1" t="s">
        <v>400</v>
      </c>
      <c r="AB1686" s="1">
        <v>60617</v>
      </c>
      <c r="AE1686" s="1" t="s">
        <v>16031</v>
      </c>
      <c r="AF1686" s="1">
        <v>1948</v>
      </c>
      <c r="AG1686" s="1" t="s">
        <v>213</v>
      </c>
      <c r="AH1686" s="1" t="s">
        <v>403</v>
      </c>
      <c r="AI1686" s="1" t="s">
        <v>310</v>
      </c>
      <c r="AJ1686" s="1" t="s">
        <v>562</v>
      </c>
      <c r="AL1686" s="1">
        <v>5</v>
      </c>
      <c r="AM1686" s="1">
        <v>2</v>
      </c>
      <c r="AN1686" s="1">
        <v>1</v>
      </c>
      <c r="AO1686" s="1">
        <v>0</v>
      </c>
      <c r="AP1686" s="1" t="s">
        <v>210</v>
      </c>
      <c r="AR1686" s="1" t="s">
        <v>1631</v>
      </c>
      <c r="AS1686" s="1" t="s">
        <v>204</v>
      </c>
      <c r="AT1686" s="1" t="s">
        <v>210</v>
      </c>
      <c r="AW1686" s="1" t="s">
        <v>204</v>
      </c>
      <c r="AX1686" s="1" t="s">
        <v>14598</v>
      </c>
      <c r="AZ1686" s="1">
        <v>1300</v>
      </c>
      <c r="BA1686" s="1">
        <v>2013</v>
      </c>
      <c r="BB1686" s="1" t="s">
        <v>405</v>
      </c>
      <c r="BE1686" s="1">
        <v>936</v>
      </c>
      <c r="BF1686" s="1">
        <v>1</v>
      </c>
      <c r="BG1686" s="1">
        <v>0</v>
      </c>
      <c r="BJ1686" s="1">
        <v>2</v>
      </c>
      <c r="BL1686" s="1">
        <v>0</v>
      </c>
      <c r="BM1686" s="1" t="s">
        <v>204</v>
      </c>
      <c r="BN1686" s="1" t="s">
        <v>213</v>
      </c>
      <c r="BO1686" s="1">
        <v>999</v>
      </c>
      <c r="BP1686" s="1" t="s">
        <v>204</v>
      </c>
      <c r="BR1686" s="1" t="str">
        <f>"25014180450000"</f>
        <v>25014180450000</v>
      </c>
      <c r="BT1686" s="1" t="s">
        <v>16032</v>
      </c>
      <c r="BX1686" s="1">
        <v>299</v>
      </c>
      <c r="BY1686" s="1">
        <v>299</v>
      </c>
      <c r="BZ1686" s="1">
        <v>299</v>
      </c>
      <c r="CB1686" s="1" t="str">
        <f t="shared" ref="CB1686:CB1688" si="1280">"0"</f>
        <v>0</v>
      </c>
      <c r="CC1686" s="1" t="str">
        <f>"2300"</f>
        <v>2300</v>
      </c>
      <c r="CD1686" s="1">
        <v>0</v>
      </c>
      <c r="CE1686" s="1">
        <v>9300</v>
      </c>
      <c r="CG1686" s="1" t="s">
        <v>1533</v>
      </c>
      <c r="CH1686" s="1" t="s">
        <v>219</v>
      </c>
      <c r="CI1686" s="1" t="s">
        <v>438</v>
      </c>
      <c r="CK1686" s="1" t="s">
        <v>1403</v>
      </c>
      <c r="CL1686" s="1" t="s">
        <v>277</v>
      </c>
      <c r="CM1686" s="1" t="s">
        <v>438</v>
      </c>
      <c r="CN1686" s="1" t="s">
        <v>343</v>
      </c>
      <c r="CO1686" s="1" t="s">
        <v>3657</v>
      </c>
      <c r="CP1686" s="1" t="s">
        <v>219</v>
      </c>
      <c r="CQ1686" s="1" t="s">
        <v>438</v>
      </c>
      <c r="CR1686" s="1" t="s">
        <v>343</v>
      </c>
      <c r="CS1686" s="1" t="s">
        <v>318</v>
      </c>
      <c r="CT1686" s="1" t="s">
        <v>277</v>
      </c>
      <c r="CU1686" s="1" t="s">
        <v>438</v>
      </c>
      <c r="CV1686" s="1" t="s">
        <v>343</v>
      </c>
      <c r="CX1686" s="1" t="s">
        <v>224</v>
      </c>
      <c r="DB1686" s="1" t="s">
        <v>224</v>
      </c>
      <c r="DE1686" s="1" t="s">
        <v>3657</v>
      </c>
      <c r="DF1686" s="1" t="s">
        <v>219</v>
      </c>
      <c r="DG1686" s="1" t="s">
        <v>342</v>
      </c>
      <c r="DH1686" s="1" t="s">
        <v>343</v>
      </c>
      <c r="DJ1686" s="1" t="s">
        <v>224</v>
      </c>
      <c r="DS1686" s="1" t="s">
        <v>230</v>
      </c>
      <c r="DW1686" s="1" t="s">
        <v>230</v>
      </c>
      <c r="EA1686" s="1" t="s">
        <v>230</v>
      </c>
      <c r="EE1686" s="1" t="s">
        <v>230</v>
      </c>
      <c r="EI1686" s="1" t="s">
        <v>230</v>
      </c>
      <c r="EL1686" s="1" t="s">
        <v>3717</v>
      </c>
      <c r="EM1686" s="1" t="s">
        <v>232</v>
      </c>
      <c r="EN1686" s="1" t="s">
        <v>1158</v>
      </c>
      <c r="EO1686" s="1" t="s">
        <v>234</v>
      </c>
      <c r="EQ1686" s="1" t="s">
        <v>2994</v>
      </c>
      <c r="ER1686" s="1" t="s">
        <v>1249</v>
      </c>
      <c r="ES1686" s="1" t="s">
        <v>545</v>
      </c>
      <c r="EW1686" s="1" t="s">
        <v>210</v>
      </c>
      <c r="EY1686" s="1" t="s">
        <v>790</v>
      </c>
      <c r="EZ1686" s="1" t="s">
        <v>287</v>
      </c>
      <c r="FD1686" s="1" t="s">
        <v>246</v>
      </c>
      <c r="FE1686" s="1" t="s">
        <v>975</v>
      </c>
      <c r="FF1686" s="1" t="s">
        <v>248</v>
      </c>
      <c r="FH1686" s="1" t="s">
        <v>550</v>
      </c>
      <c r="FL1686" s="1" t="s">
        <v>414</v>
      </c>
      <c r="FM1686" s="1" t="s">
        <v>252</v>
      </c>
      <c r="FN1686" s="1" t="s">
        <v>213</v>
      </c>
      <c r="FO1686" s="1" t="s">
        <v>213</v>
      </c>
      <c r="FQ1686" s="1" t="s">
        <v>16033</v>
      </c>
      <c r="FR1686" s="1" t="s">
        <v>360</v>
      </c>
      <c r="FS1686" s="1" t="s">
        <v>3507</v>
      </c>
      <c r="FT1686" s="1" t="s">
        <v>295</v>
      </c>
      <c r="FU1686" s="1" t="s">
        <v>204</v>
      </c>
      <c r="FW1686" s="1" t="s">
        <v>4639</v>
      </c>
      <c r="FX1686" s="1">
        <v>61153</v>
      </c>
      <c r="FY1686" s="1" t="s">
        <v>4640</v>
      </c>
      <c r="FZ1686" s="1" t="s">
        <v>16034</v>
      </c>
      <c r="GA1686" s="1">
        <v>506226</v>
      </c>
      <c r="GB1686" s="1" t="s">
        <v>16035</v>
      </c>
      <c r="GE1686" s="1" t="s">
        <v>335</v>
      </c>
      <c r="GH1686" s="1" t="s">
        <v>800</v>
      </c>
      <c r="GI1686" s="1" t="s">
        <v>204</v>
      </c>
      <c r="GJ1686" s="1" t="s">
        <v>260</v>
      </c>
      <c r="GK1686" s="1" t="s">
        <v>210</v>
      </c>
      <c r="GL1686" s="2">
        <v>41985</v>
      </c>
      <c r="GM1686" s="1" t="s">
        <v>16036</v>
      </c>
    </row>
    <row r="1687" spans="1:195">
      <c r="A1687" s="1">
        <v>50000</v>
      </c>
      <c r="B1687" s="1" t="s">
        <v>195</v>
      </c>
      <c r="C1687" s="1" t="str">
        <f>"08711098"</f>
        <v>08711098</v>
      </c>
      <c r="D1687" s="1" t="s">
        <v>196</v>
      </c>
      <c r="F1687" s="1" t="str">
        <f>"8064"</f>
        <v>8064</v>
      </c>
      <c r="G1687" s="2">
        <v>41876</v>
      </c>
      <c r="H1687" s="1">
        <v>59900</v>
      </c>
      <c r="I1687" s="1">
        <v>54900</v>
      </c>
      <c r="J1687" s="1">
        <v>50000</v>
      </c>
      <c r="K1687" s="2">
        <v>41876</v>
      </c>
      <c r="L1687" s="1">
        <v>103</v>
      </c>
      <c r="M1687" s="2">
        <v>41978</v>
      </c>
      <c r="N1687" s="1">
        <v>103</v>
      </c>
      <c r="O1687" s="2">
        <v>41978</v>
      </c>
      <c r="P1687" s="1">
        <v>16260</v>
      </c>
      <c r="Q1687" s="1" t="s">
        <v>302</v>
      </c>
      <c r="R1687" s="2">
        <v>41992</v>
      </c>
      <c r="S1687" s="1">
        <v>167505</v>
      </c>
      <c r="U1687" s="1">
        <v>6718</v>
      </c>
      <c r="V1687" s="1" t="s">
        <v>4474</v>
      </c>
      <c r="W1687" s="1" t="s">
        <v>779</v>
      </c>
      <c r="X1687" s="1" t="s">
        <v>2010</v>
      </c>
      <c r="Y1687" s="1">
        <v>6</v>
      </c>
      <c r="Z1687" s="1" t="s">
        <v>249</v>
      </c>
      <c r="AA1687" s="1" t="s">
        <v>400</v>
      </c>
      <c r="AB1687" s="1">
        <v>60638</v>
      </c>
      <c r="AE1687" s="1" t="s">
        <v>16037</v>
      </c>
      <c r="AF1687" s="1">
        <v>1975</v>
      </c>
      <c r="AG1687" s="1" t="s">
        <v>213</v>
      </c>
      <c r="AH1687" s="1" t="s">
        <v>403</v>
      </c>
      <c r="AI1687" s="1" t="s">
        <v>310</v>
      </c>
      <c r="AJ1687" s="1" t="s">
        <v>683</v>
      </c>
      <c r="AL1687" s="1">
        <v>5</v>
      </c>
      <c r="AM1687" s="1">
        <v>2</v>
      </c>
      <c r="AN1687" s="1">
        <v>1</v>
      </c>
      <c r="AO1687" s="1">
        <v>0</v>
      </c>
      <c r="AP1687" s="1" t="s">
        <v>210</v>
      </c>
      <c r="AR1687" s="1" t="s">
        <v>209</v>
      </c>
      <c r="AS1687" s="1" t="s">
        <v>204</v>
      </c>
      <c r="AT1687" s="1" t="s">
        <v>271</v>
      </c>
      <c r="AV1687" s="1">
        <v>1</v>
      </c>
      <c r="AW1687" s="1" t="s">
        <v>204</v>
      </c>
      <c r="AX1687" s="1" t="s">
        <v>212</v>
      </c>
      <c r="AZ1687" s="1">
        <v>509.46</v>
      </c>
      <c r="BA1687" s="1">
        <v>2012</v>
      </c>
      <c r="BE1687" s="1">
        <v>0</v>
      </c>
      <c r="BF1687" s="1">
        <v>1</v>
      </c>
      <c r="BG1687" s="1">
        <v>15</v>
      </c>
      <c r="BL1687" s="1">
        <v>125</v>
      </c>
      <c r="BM1687" s="1" t="s">
        <v>204</v>
      </c>
      <c r="BN1687" s="1" t="s">
        <v>213</v>
      </c>
      <c r="BO1687" s="1">
        <v>15</v>
      </c>
      <c r="BP1687" s="1" t="s">
        <v>204</v>
      </c>
      <c r="BR1687" s="1" t="str">
        <f>"19192080481001"</f>
        <v>19192080481001</v>
      </c>
      <c r="BT1687" s="1" t="s">
        <v>16038</v>
      </c>
      <c r="BX1687" s="1">
        <v>299</v>
      </c>
      <c r="BY1687" s="1">
        <v>299</v>
      </c>
      <c r="BZ1687" s="1">
        <v>299</v>
      </c>
      <c r="CB1687" s="1" t="str">
        <f t="shared" si="1280"/>
        <v>0</v>
      </c>
      <c r="CC1687" s="1" t="str">
        <f t="shared" ref="CC1687:CC1689" si="1281">"0"</f>
        <v>0</v>
      </c>
      <c r="CD1687" s="1">
        <v>6718</v>
      </c>
      <c r="CE1687" s="1">
        <v>6400</v>
      </c>
      <c r="CG1687" s="1" t="s">
        <v>490</v>
      </c>
      <c r="CH1687" s="1" t="s">
        <v>219</v>
      </c>
      <c r="CK1687" s="1" t="s">
        <v>836</v>
      </c>
      <c r="CL1687" s="1" t="s">
        <v>219</v>
      </c>
      <c r="CO1687" s="1" t="s">
        <v>516</v>
      </c>
      <c r="CP1687" s="1" t="s">
        <v>219</v>
      </c>
      <c r="CS1687" s="1" t="s">
        <v>1046</v>
      </c>
      <c r="CT1687" s="1" t="s">
        <v>219</v>
      </c>
      <c r="CX1687" s="1" t="s">
        <v>224</v>
      </c>
      <c r="DB1687" s="1" t="s">
        <v>224</v>
      </c>
      <c r="DE1687" s="1" t="s">
        <v>345</v>
      </c>
      <c r="DF1687" s="1" t="s">
        <v>219</v>
      </c>
      <c r="DJ1687" s="1" t="s">
        <v>224</v>
      </c>
      <c r="DS1687" s="1" t="s">
        <v>230</v>
      </c>
      <c r="DW1687" s="1" t="s">
        <v>230</v>
      </c>
      <c r="EA1687" s="1" t="s">
        <v>230</v>
      </c>
      <c r="EE1687" s="1" t="s">
        <v>230</v>
      </c>
      <c r="EI1687" s="1" t="s">
        <v>230</v>
      </c>
      <c r="EL1687" s="1" t="s">
        <v>231</v>
      </c>
      <c r="EM1687" s="1" t="s">
        <v>319</v>
      </c>
      <c r="EN1687" s="1" t="s">
        <v>210</v>
      </c>
      <c r="EO1687" s="1" t="s">
        <v>234</v>
      </c>
      <c r="ER1687" s="1" t="s">
        <v>1249</v>
      </c>
      <c r="EW1687" s="1" t="s">
        <v>887</v>
      </c>
      <c r="EZ1687" s="1" t="s">
        <v>287</v>
      </c>
      <c r="FD1687" s="1" t="s">
        <v>246</v>
      </c>
      <c r="FE1687" s="1" t="s">
        <v>247</v>
      </c>
      <c r="FF1687" s="1" t="s">
        <v>248</v>
      </c>
      <c r="FH1687" s="1" t="s">
        <v>249</v>
      </c>
      <c r="FL1687" s="1" t="s">
        <v>614</v>
      </c>
      <c r="FM1687" s="1" t="s">
        <v>252</v>
      </c>
      <c r="FN1687" s="1" t="s">
        <v>213</v>
      </c>
      <c r="FO1687" s="1" t="s">
        <v>213</v>
      </c>
      <c r="FQ1687" s="1" t="s">
        <v>1115</v>
      </c>
      <c r="FR1687" s="1" t="s">
        <v>210</v>
      </c>
      <c r="FS1687" s="1" t="s">
        <v>16039</v>
      </c>
      <c r="FT1687" s="1" t="s">
        <v>4855</v>
      </c>
      <c r="FU1687" s="1" t="s">
        <v>204</v>
      </c>
      <c r="FW1687" s="1" t="s">
        <v>4856</v>
      </c>
      <c r="FX1687" s="1">
        <v>84818</v>
      </c>
      <c r="FY1687" s="1" t="s">
        <v>4857</v>
      </c>
      <c r="FZ1687" s="1" t="s">
        <v>4858</v>
      </c>
      <c r="GA1687" s="1">
        <v>110478</v>
      </c>
      <c r="GB1687" s="1" t="s">
        <v>4857</v>
      </c>
      <c r="GE1687" s="1" t="s">
        <v>210</v>
      </c>
      <c r="GH1687" s="1" t="s">
        <v>589</v>
      </c>
      <c r="GI1687" s="1" t="s">
        <v>213</v>
      </c>
      <c r="GJ1687" s="1" t="s">
        <v>260</v>
      </c>
      <c r="GK1687" s="1" t="s">
        <v>210</v>
      </c>
      <c r="GL1687" s="2">
        <v>41992</v>
      </c>
      <c r="GM1687" s="1" t="s">
        <v>16040</v>
      </c>
    </row>
    <row r="1688" spans="1:195">
      <c r="A1688" s="1">
        <v>230000</v>
      </c>
      <c r="B1688" s="1" t="s">
        <v>195</v>
      </c>
      <c r="C1688" s="1" t="str">
        <f>"08711525"</f>
        <v>08711525</v>
      </c>
      <c r="D1688" s="1" t="s">
        <v>196</v>
      </c>
      <c r="F1688" s="1" t="str">
        <f>"562"</f>
        <v>562</v>
      </c>
      <c r="G1688" s="2">
        <v>41877</v>
      </c>
      <c r="H1688" s="1">
        <v>264900</v>
      </c>
      <c r="I1688" s="1">
        <v>249900</v>
      </c>
      <c r="J1688" s="1">
        <v>230000</v>
      </c>
      <c r="K1688" s="2">
        <v>41876</v>
      </c>
      <c r="L1688" s="1">
        <v>65</v>
      </c>
      <c r="M1688" s="2">
        <v>41940</v>
      </c>
      <c r="N1688" s="1">
        <v>65</v>
      </c>
      <c r="O1688" s="2">
        <v>41940</v>
      </c>
      <c r="P1688" s="1">
        <v>20150</v>
      </c>
      <c r="Q1688" s="1" t="s">
        <v>197</v>
      </c>
      <c r="R1688" s="2">
        <v>41978</v>
      </c>
      <c r="S1688" s="1">
        <v>224462</v>
      </c>
      <c r="U1688" s="1">
        <v>1512</v>
      </c>
      <c r="V1688" s="1" t="s">
        <v>16041</v>
      </c>
      <c r="W1688" s="1" t="s">
        <v>264</v>
      </c>
      <c r="X1688" s="1">
        <v>1512</v>
      </c>
      <c r="Y1688" s="1">
        <v>4</v>
      </c>
      <c r="Z1688" s="1" t="s">
        <v>370</v>
      </c>
      <c r="AA1688" s="1" t="s">
        <v>899</v>
      </c>
      <c r="AB1688" s="1">
        <v>60561</v>
      </c>
      <c r="AD1688" s="1" t="s">
        <v>16042</v>
      </c>
      <c r="AE1688" s="1" t="s">
        <v>16043</v>
      </c>
      <c r="AF1688" s="1">
        <v>1990</v>
      </c>
      <c r="AG1688" s="1" t="s">
        <v>204</v>
      </c>
      <c r="AH1688" s="1" t="s">
        <v>902</v>
      </c>
      <c r="AI1688" s="1" t="s">
        <v>206</v>
      </c>
      <c r="AJ1688" s="1" t="s">
        <v>903</v>
      </c>
      <c r="AL1688" s="1">
        <v>7</v>
      </c>
      <c r="AM1688" s="1">
        <v>2</v>
      </c>
      <c r="AN1688" s="1">
        <v>3</v>
      </c>
      <c r="AO1688" s="1">
        <v>1</v>
      </c>
      <c r="AP1688" s="1" t="s">
        <v>209</v>
      </c>
      <c r="AQ1688" s="1">
        <v>1</v>
      </c>
      <c r="AR1688" s="1" t="s">
        <v>209</v>
      </c>
      <c r="AS1688" s="1" t="s">
        <v>213</v>
      </c>
      <c r="AT1688" s="1" t="s">
        <v>211</v>
      </c>
      <c r="AU1688" s="1">
        <v>2</v>
      </c>
      <c r="AW1688" s="1" t="s">
        <v>204</v>
      </c>
      <c r="AX1688" s="1" t="s">
        <v>212</v>
      </c>
      <c r="AZ1688" s="1">
        <v>4433</v>
      </c>
      <c r="BA1688" s="1">
        <v>2013</v>
      </c>
      <c r="BE1688" s="1">
        <v>1500</v>
      </c>
      <c r="BF1688" s="1">
        <v>1</v>
      </c>
      <c r="BG1688" s="1">
        <v>14</v>
      </c>
      <c r="BJ1688" s="1">
        <v>100</v>
      </c>
      <c r="BL1688" s="1">
        <v>193</v>
      </c>
      <c r="BM1688" s="1" t="s">
        <v>204</v>
      </c>
      <c r="BN1688" s="1" t="s">
        <v>213</v>
      </c>
      <c r="BO1688" s="1">
        <v>999</v>
      </c>
      <c r="BP1688" s="1" t="s">
        <v>204</v>
      </c>
      <c r="BR1688" s="1" t="str">
        <f>"0933209123"</f>
        <v>0933209123</v>
      </c>
      <c r="BT1688" s="1" t="s">
        <v>16044</v>
      </c>
      <c r="BX1688" s="1">
        <v>63</v>
      </c>
      <c r="BY1688" s="1">
        <v>63</v>
      </c>
      <c r="BZ1688" s="1">
        <v>86</v>
      </c>
      <c r="CB1688" s="1" t="str">
        <f t="shared" si="1280"/>
        <v>0</v>
      </c>
      <c r="CC1688" s="1" t="str">
        <f t="shared" si="1281"/>
        <v>0</v>
      </c>
      <c r="CD1688" s="1">
        <v>18</v>
      </c>
      <c r="CE1688" s="1">
        <v>9</v>
      </c>
      <c r="CG1688" s="1" t="s">
        <v>931</v>
      </c>
      <c r="CH1688" s="1" t="s">
        <v>219</v>
      </c>
      <c r="CI1688" s="1" t="s">
        <v>438</v>
      </c>
      <c r="CK1688" s="1" t="s">
        <v>315</v>
      </c>
      <c r="CL1688" s="1" t="s">
        <v>277</v>
      </c>
      <c r="CM1688" s="1" t="s">
        <v>220</v>
      </c>
      <c r="CO1688" s="1" t="s">
        <v>281</v>
      </c>
      <c r="CP1688" s="1" t="s">
        <v>219</v>
      </c>
      <c r="CQ1688" s="1" t="s">
        <v>438</v>
      </c>
      <c r="CS1688" s="1" t="s">
        <v>757</v>
      </c>
      <c r="CT1688" s="1" t="s">
        <v>277</v>
      </c>
      <c r="CU1688" s="1" t="s">
        <v>220</v>
      </c>
      <c r="CX1688" s="1" t="s">
        <v>224</v>
      </c>
      <c r="DB1688" s="1" t="s">
        <v>224</v>
      </c>
      <c r="DE1688" s="1" t="s">
        <v>10027</v>
      </c>
      <c r="DF1688" s="1" t="s">
        <v>219</v>
      </c>
      <c r="DG1688" s="1" t="s">
        <v>438</v>
      </c>
      <c r="DI1688" s="1" t="s">
        <v>863</v>
      </c>
      <c r="DJ1688" s="1" t="s">
        <v>822</v>
      </c>
      <c r="DK1688" s="1" t="s">
        <v>220</v>
      </c>
      <c r="DM1688" s="1" t="s">
        <v>464</v>
      </c>
      <c r="DR1688" s="1" t="s">
        <v>223</v>
      </c>
      <c r="DS1688" s="1" t="s">
        <v>277</v>
      </c>
      <c r="DT1688" s="1" t="s">
        <v>220</v>
      </c>
      <c r="DW1688" s="1" t="s">
        <v>230</v>
      </c>
      <c r="EA1688" s="1" t="s">
        <v>230</v>
      </c>
      <c r="EE1688" s="1" t="s">
        <v>230</v>
      </c>
      <c r="EI1688" s="1" t="s">
        <v>230</v>
      </c>
      <c r="EL1688" s="1" t="s">
        <v>382</v>
      </c>
      <c r="EM1688" s="1" t="s">
        <v>232</v>
      </c>
      <c r="EN1688" s="1" t="s">
        <v>282</v>
      </c>
      <c r="EO1688" s="1" t="s">
        <v>234</v>
      </c>
      <c r="EP1688" s="1" t="s">
        <v>283</v>
      </c>
      <c r="ER1688" s="1" t="s">
        <v>544</v>
      </c>
      <c r="ES1688" s="1" t="s">
        <v>545</v>
      </c>
      <c r="EV1688" s="1" t="s">
        <v>352</v>
      </c>
      <c r="EW1688" s="1" t="s">
        <v>353</v>
      </c>
      <c r="EZ1688" s="1" t="s">
        <v>464</v>
      </c>
      <c r="FB1688" s="1" t="s">
        <v>289</v>
      </c>
      <c r="FD1688" s="1" t="s">
        <v>246</v>
      </c>
      <c r="FE1688" s="1" t="s">
        <v>549</v>
      </c>
      <c r="FF1688" s="1" t="s">
        <v>248</v>
      </c>
      <c r="FH1688" s="1" t="s">
        <v>550</v>
      </c>
      <c r="FL1688" s="1" t="s">
        <v>414</v>
      </c>
      <c r="FM1688" s="1" t="s">
        <v>252</v>
      </c>
      <c r="FN1688" s="1" t="s">
        <v>213</v>
      </c>
      <c r="FO1688" s="1" t="s">
        <v>213</v>
      </c>
      <c r="FQ1688" s="1" t="s">
        <v>16045</v>
      </c>
      <c r="FR1688" s="1" t="s">
        <v>210</v>
      </c>
      <c r="FS1688" s="1" t="s">
        <v>16046</v>
      </c>
      <c r="FT1688" s="1" t="s">
        <v>584</v>
      </c>
      <c r="FU1688" s="1" t="s">
        <v>204</v>
      </c>
      <c r="FW1688" s="1" t="s">
        <v>5202</v>
      </c>
      <c r="FX1688" s="1">
        <v>22067</v>
      </c>
      <c r="FY1688" s="1" t="s">
        <v>5203</v>
      </c>
      <c r="FZ1688" s="1" t="s">
        <v>5204</v>
      </c>
      <c r="GA1688" s="1">
        <v>213895</v>
      </c>
      <c r="GB1688" s="1" t="s">
        <v>5203</v>
      </c>
      <c r="GE1688" s="1" t="s">
        <v>480</v>
      </c>
      <c r="GI1688" s="1" t="s">
        <v>213</v>
      </c>
      <c r="GJ1688" s="1" t="s">
        <v>260</v>
      </c>
      <c r="GK1688" s="1" t="s">
        <v>210</v>
      </c>
      <c r="GL1688" s="2">
        <v>41978</v>
      </c>
      <c r="GM1688" s="1" t="s">
        <v>16047</v>
      </c>
    </row>
    <row r="1689" spans="1:195">
      <c r="A1689" s="1">
        <v>140000</v>
      </c>
      <c r="B1689" s="1" t="s">
        <v>195</v>
      </c>
      <c r="C1689" s="1" t="str">
        <f>"08711332"</f>
        <v>08711332</v>
      </c>
      <c r="D1689" s="1" t="s">
        <v>196</v>
      </c>
      <c r="F1689" s="1" t="str">
        <f>"104"</f>
        <v>104</v>
      </c>
      <c r="G1689" s="2">
        <v>41877</v>
      </c>
      <c r="H1689" s="1">
        <v>239900</v>
      </c>
      <c r="I1689" s="1">
        <v>139900</v>
      </c>
      <c r="J1689" s="1">
        <v>140000</v>
      </c>
      <c r="K1689" s="2">
        <v>41876</v>
      </c>
      <c r="L1689" s="1">
        <v>233</v>
      </c>
      <c r="M1689" s="2">
        <v>42108</v>
      </c>
      <c r="N1689" s="1">
        <v>233</v>
      </c>
      <c r="O1689" s="2">
        <v>42108</v>
      </c>
      <c r="P1689" s="1">
        <v>8079</v>
      </c>
      <c r="Q1689" s="1" t="s">
        <v>197</v>
      </c>
      <c r="R1689" s="2">
        <v>42144</v>
      </c>
      <c r="S1689" s="1">
        <v>920858</v>
      </c>
      <c r="U1689" s="1">
        <v>1341</v>
      </c>
      <c r="V1689" s="1" t="s">
        <v>8227</v>
      </c>
      <c r="W1689" s="1" t="s">
        <v>504</v>
      </c>
      <c r="Y1689" s="1">
        <v>4</v>
      </c>
      <c r="Z1689" s="1" t="s">
        <v>370</v>
      </c>
      <c r="AA1689" s="1" t="s">
        <v>371</v>
      </c>
      <c r="AB1689" s="1">
        <v>60103</v>
      </c>
      <c r="AD1689" s="1" t="s">
        <v>6932</v>
      </c>
      <c r="AE1689" s="1" t="s">
        <v>16048</v>
      </c>
      <c r="AF1689" s="1">
        <v>1997</v>
      </c>
      <c r="AG1689" s="1" t="s">
        <v>204</v>
      </c>
      <c r="AH1689" s="1" t="s">
        <v>373</v>
      </c>
      <c r="AI1689" s="1" t="s">
        <v>206</v>
      </c>
      <c r="AJ1689" s="1" t="s">
        <v>2654</v>
      </c>
      <c r="AK1689" s="1" t="s">
        <v>16049</v>
      </c>
      <c r="AL1689" s="1">
        <v>6</v>
      </c>
      <c r="AM1689" s="1">
        <v>2</v>
      </c>
      <c r="AN1689" s="1">
        <v>2</v>
      </c>
      <c r="AO1689" s="1">
        <v>1</v>
      </c>
      <c r="AP1689" s="1" t="s">
        <v>209</v>
      </c>
      <c r="AR1689" s="1" t="s">
        <v>209</v>
      </c>
      <c r="AS1689" s="1" t="s">
        <v>204</v>
      </c>
      <c r="AT1689" s="1" t="s">
        <v>211</v>
      </c>
      <c r="AU1689" s="1">
        <v>2</v>
      </c>
      <c r="AW1689" s="1" t="s">
        <v>204</v>
      </c>
      <c r="AX1689" s="1" t="s">
        <v>212</v>
      </c>
      <c r="AZ1689" s="1">
        <v>7104</v>
      </c>
      <c r="BA1689" s="1">
        <v>2013</v>
      </c>
      <c r="BB1689" s="1" t="s">
        <v>405</v>
      </c>
      <c r="BE1689" s="1">
        <v>1690</v>
      </c>
      <c r="BF1689" s="1">
        <v>1</v>
      </c>
      <c r="BG1689" s="1">
        <v>5</v>
      </c>
      <c r="BL1689" s="1">
        <v>253</v>
      </c>
      <c r="BM1689" s="1" t="s">
        <v>204</v>
      </c>
      <c r="BN1689" s="1" t="s">
        <v>213</v>
      </c>
      <c r="BO1689" s="1">
        <v>40</v>
      </c>
      <c r="BP1689" s="1" t="s">
        <v>204</v>
      </c>
      <c r="BR1689" s="1" t="str">
        <f>"0116218016"</f>
        <v>0116218016</v>
      </c>
      <c r="BT1689" s="1" t="s">
        <v>16050</v>
      </c>
      <c r="BU1689" s="1" t="s">
        <v>8231</v>
      </c>
      <c r="BV1689" s="1" t="s">
        <v>1467</v>
      </c>
      <c r="BW1689" s="1" t="s">
        <v>1468</v>
      </c>
      <c r="BX1689" s="1">
        <v>46</v>
      </c>
      <c r="BY1689" s="1">
        <v>46</v>
      </c>
      <c r="BZ1689" s="1">
        <v>46</v>
      </c>
      <c r="CB1689" s="1" t="str">
        <f>"5"</f>
        <v>5</v>
      </c>
      <c r="CC1689" s="1" t="str">
        <f t="shared" si="1281"/>
        <v>0</v>
      </c>
      <c r="CD1689" s="1">
        <v>30</v>
      </c>
      <c r="CE1689" s="1">
        <v>0</v>
      </c>
      <c r="CG1689" s="1" t="s">
        <v>539</v>
      </c>
      <c r="CH1689" s="1" t="s">
        <v>219</v>
      </c>
      <c r="CI1689" s="1" t="s">
        <v>220</v>
      </c>
      <c r="CJ1689" s="1" t="s">
        <v>343</v>
      </c>
      <c r="CK1689" s="1" t="s">
        <v>757</v>
      </c>
      <c r="CL1689" s="1" t="s">
        <v>277</v>
      </c>
      <c r="CM1689" s="1" t="s">
        <v>220</v>
      </c>
      <c r="CN1689" s="1" t="s">
        <v>463</v>
      </c>
      <c r="CO1689" s="1" t="s">
        <v>317</v>
      </c>
      <c r="CP1689" s="1" t="s">
        <v>219</v>
      </c>
      <c r="CQ1689" s="1" t="s">
        <v>220</v>
      </c>
      <c r="CR1689" s="1" t="s">
        <v>343</v>
      </c>
      <c r="CS1689" s="1" t="s">
        <v>379</v>
      </c>
      <c r="CT1689" s="1" t="s">
        <v>277</v>
      </c>
      <c r="CU1689" s="1" t="s">
        <v>220</v>
      </c>
      <c r="CV1689" s="1" t="s">
        <v>343</v>
      </c>
      <c r="CX1689" s="1" t="s">
        <v>224</v>
      </c>
      <c r="DB1689" s="1" t="s">
        <v>224</v>
      </c>
      <c r="DE1689" s="1" t="s">
        <v>1297</v>
      </c>
      <c r="DF1689" s="1" t="s">
        <v>219</v>
      </c>
      <c r="DG1689" s="1" t="s">
        <v>342</v>
      </c>
      <c r="DH1689" s="1" t="s">
        <v>210</v>
      </c>
      <c r="DI1689" s="1" t="s">
        <v>228</v>
      </c>
      <c r="DJ1689" s="1" t="s">
        <v>219</v>
      </c>
      <c r="DK1689" s="1" t="s">
        <v>220</v>
      </c>
      <c r="DL1689" s="1" t="s">
        <v>343</v>
      </c>
      <c r="DS1689" s="1" t="s">
        <v>230</v>
      </c>
      <c r="DW1689" s="1" t="s">
        <v>230</v>
      </c>
      <c r="EA1689" s="1" t="s">
        <v>230</v>
      </c>
      <c r="EE1689" s="1" t="s">
        <v>230</v>
      </c>
      <c r="EI1689" s="1" t="s">
        <v>230</v>
      </c>
      <c r="EL1689" s="1" t="s">
        <v>670</v>
      </c>
      <c r="EM1689" s="1" t="s">
        <v>232</v>
      </c>
      <c r="EN1689" s="1" t="s">
        <v>282</v>
      </c>
      <c r="EO1689" s="1" t="s">
        <v>234</v>
      </c>
      <c r="EP1689" s="1" t="s">
        <v>1268</v>
      </c>
      <c r="EQ1689" s="1" t="s">
        <v>236</v>
      </c>
      <c r="ER1689" s="1" t="s">
        <v>1249</v>
      </c>
      <c r="ES1689" s="1" t="s">
        <v>322</v>
      </c>
      <c r="ET1689" s="1" t="s">
        <v>238</v>
      </c>
      <c r="EU1689" s="1" t="s">
        <v>712</v>
      </c>
      <c r="EW1689" s="1" t="s">
        <v>1219</v>
      </c>
      <c r="EZ1689" s="1" t="s">
        <v>287</v>
      </c>
      <c r="FA1689" s="1" t="s">
        <v>5059</v>
      </c>
      <c r="FD1689" s="1" t="s">
        <v>246</v>
      </c>
      <c r="FE1689" s="1" t="s">
        <v>870</v>
      </c>
      <c r="FF1689" s="1" t="s">
        <v>248</v>
      </c>
      <c r="FH1689" s="1" t="s">
        <v>550</v>
      </c>
      <c r="FI1689" s="1" t="s">
        <v>473</v>
      </c>
      <c r="FL1689" s="1" t="s">
        <v>358</v>
      </c>
      <c r="FM1689" s="1" t="s">
        <v>252</v>
      </c>
      <c r="FN1689" s="1" t="s">
        <v>213</v>
      </c>
      <c r="FO1689" s="1" t="s">
        <v>213</v>
      </c>
      <c r="FQ1689" s="1" t="s">
        <v>1300</v>
      </c>
      <c r="FR1689" s="1" t="s">
        <v>210</v>
      </c>
      <c r="FS1689" s="1" t="s">
        <v>16051</v>
      </c>
      <c r="FT1689" s="1" t="s">
        <v>1828</v>
      </c>
      <c r="FU1689" s="1" t="s">
        <v>204</v>
      </c>
      <c r="FW1689" s="1" t="s">
        <v>1097</v>
      </c>
      <c r="FX1689" s="1">
        <v>8094</v>
      </c>
      <c r="FY1689" s="1" t="s">
        <v>1829</v>
      </c>
      <c r="FZ1689" s="1" t="s">
        <v>1830</v>
      </c>
      <c r="GA1689" s="1">
        <v>28736</v>
      </c>
      <c r="GB1689" s="1" t="s">
        <v>1831</v>
      </c>
      <c r="GE1689" s="1" t="s">
        <v>480</v>
      </c>
      <c r="GI1689" s="1" t="s">
        <v>213</v>
      </c>
      <c r="GJ1689" s="1" t="s">
        <v>260</v>
      </c>
      <c r="GK1689" s="1" t="s">
        <v>210</v>
      </c>
      <c r="GL1689" s="2">
        <v>42144</v>
      </c>
      <c r="GM1689" s="1" t="s">
        <v>16052</v>
      </c>
    </row>
    <row r="1690" spans="1:195">
      <c r="A1690" s="1">
        <v>157000</v>
      </c>
      <c r="B1690" s="1" t="s">
        <v>195</v>
      </c>
      <c r="C1690" s="1" t="str">
        <f>"08708090"</f>
        <v>08708090</v>
      </c>
      <c r="D1690" s="1" t="s">
        <v>196</v>
      </c>
      <c r="F1690" s="1" t="str">
        <f>"540"</f>
        <v>540</v>
      </c>
      <c r="G1690" s="2">
        <v>41872</v>
      </c>
      <c r="H1690" s="1">
        <v>168900</v>
      </c>
      <c r="I1690" s="1">
        <v>163900</v>
      </c>
      <c r="J1690" s="1">
        <v>157000</v>
      </c>
      <c r="K1690" s="2">
        <v>41872</v>
      </c>
      <c r="L1690" s="1">
        <v>114</v>
      </c>
      <c r="M1690" s="2">
        <v>41985</v>
      </c>
      <c r="N1690" s="1">
        <v>114</v>
      </c>
      <c r="O1690" s="2">
        <v>41985</v>
      </c>
      <c r="P1690" s="1">
        <v>23265</v>
      </c>
      <c r="Q1690" s="1" t="s">
        <v>197</v>
      </c>
      <c r="R1690" s="2">
        <v>42016</v>
      </c>
      <c r="S1690" s="1">
        <v>234125</v>
      </c>
      <c r="U1690" s="1">
        <v>2919</v>
      </c>
      <c r="V1690" s="1" t="s">
        <v>16053</v>
      </c>
      <c r="W1690" s="1" t="s">
        <v>304</v>
      </c>
      <c r="X1690" s="1">
        <v>2919</v>
      </c>
      <c r="Y1690" s="1">
        <v>4</v>
      </c>
      <c r="Z1690" s="1" t="s">
        <v>249</v>
      </c>
      <c r="AA1690" s="1" t="s">
        <v>921</v>
      </c>
      <c r="AB1690" s="1">
        <v>60564</v>
      </c>
      <c r="AD1690" s="1" t="s">
        <v>7504</v>
      </c>
      <c r="AE1690" s="1" t="s">
        <v>16054</v>
      </c>
      <c r="AF1690" s="1">
        <v>1997</v>
      </c>
      <c r="AG1690" s="1" t="s">
        <v>204</v>
      </c>
      <c r="AH1690" s="1" t="s">
        <v>924</v>
      </c>
      <c r="AI1690" s="1" t="s">
        <v>206</v>
      </c>
      <c r="AJ1690" s="1" t="s">
        <v>924</v>
      </c>
      <c r="AL1690" s="1">
        <v>5</v>
      </c>
      <c r="AM1690" s="1">
        <v>2</v>
      </c>
      <c r="AN1690" s="1">
        <v>2</v>
      </c>
      <c r="AO1690" s="1">
        <v>0</v>
      </c>
      <c r="AP1690" s="1" t="s">
        <v>209</v>
      </c>
      <c r="AR1690" s="1" t="s">
        <v>210</v>
      </c>
      <c r="AS1690" s="1" t="s">
        <v>204</v>
      </c>
      <c r="AT1690" s="1" t="s">
        <v>211</v>
      </c>
      <c r="AU1690" s="1">
        <v>1</v>
      </c>
      <c r="AW1690" s="1" t="s">
        <v>204</v>
      </c>
      <c r="AX1690" s="1" t="s">
        <v>212</v>
      </c>
      <c r="AZ1690" s="1">
        <v>3874.88</v>
      </c>
      <c r="BA1690" s="1">
        <v>2013</v>
      </c>
      <c r="BB1690" s="1" t="s">
        <v>405</v>
      </c>
      <c r="BE1690" s="1">
        <v>1414</v>
      </c>
      <c r="BF1690" s="1">
        <v>2</v>
      </c>
      <c r="BG1690" s="1">
        <v>0</v>
      </c>
      <c r="BL1690" s="1">
        <v>171</v>
      </c>
      <c r="BM1690" s="1" t="s">
        <v>204</v>
      </c>
      <c r="BN1690" s="1" t="s">
        <v>213</v>
      </c>
      <c r="BO1690" s="1">
        <v>0</v>
      </c>
      <c r="BP1690" s="1" t="s">
        <v>204</v>
      </c>
      <c r="BR1690" s="1" t="str">
        <f>"0734314124"</f>
        <v>0734314124</v>
      </c>
      <c r="BT1690" s="1" t="s">
        <v>16055</v>
      </c>
      <c r="BU1690" s="1" t="s">
        <v>2216</v>
      </c>
      <c r="BV1690" s="1" t="s">
        <v>2217</v>
      </c>
      <c r="BW1690" s="1" t="s">
        <v>2218</v>
      </c>
      <c r="BX1690" s="1">
        <v>204</v>
      </c>
      <c r="BY1690" s="1">
        <v>204</v>
      </c>
      <c r="BZ1690" s="1">
        <v>204</v>
      </c>
      <c r="CB1690" s="1" t="str">
        <f t="shared" ref="CB1690:CC1690" si="1282">"0"</f>
        <v>0</v>
      </c>
      <c r="CC1690" s="1" t="str">
        <f t="shared" si="1282"/>
        <v>0</v>
      </c>
      <c r="CD1690" s="1">
        <v>29</v>
      </c>
      <c r="CE1690" s="1">
        <v>9</v>
      </c>
      <c r="CG1690" s="1" t="s">
        <v>9164</v>
      </c>
      <c r="CH1690" s="1" t="s">
        <v>277</v>
      </c>
      <c r="CI1690" s="1" t="s">
        <v>220</v>
      </c>
      <c r="CK1690" s="1" t="s">
        <v>669</v>
      </c>
      <c r="CL1690" s="1" t="s">
        <v>277</v>
      </c>
      <c r="CM1690" s="1" t="s">
        <v>220</v>
      </c>
      <c r="CO1690" s="1" t="s">
        <v>932</v>
      </c>
      <c r="CP1690" s="1" t="s">
        <v>277</v>
      </c>
      <c r="CQ1690" s="1" t="s">
        <v>220</v>
      </c>
      <c r="CS1690" s="1" t="s">
        <v>379</v>
      </c>
      <c r="CT1690" s="1" t="s">
        <v>277</v>
      </c>
      <c r="CU1690" s="1" t="s">
        <v>220</v>
      </c>
      <c r="CX1690" s="1" t="s">
        <v>224</v>
      </c>
      <c r="DB1690" s="1" t="s">
        <v>224</v>
      </c>
      <c r="DE1690" s="1" t="s">
        <v>344</v>
      </c>
      <c r="DF1690" s="1" t="s">
        <v>277</v>
      </c>
      <c r="DJ1690" s="1" t="s">
        <v>224</v>
      </c>
      <c r="DS1690" s="1" t="s">
        <v>230</v>
      </c>
      <c r="DW1690" s="1" t="s">
        <v>230</v>
      </c>
      <c r="EA1690" s="1" t="s">
        <v>230</v>
      </c>
      <c r="EE1690" s="1" t="s">
        <v>230</v>
      </c>
      <c r="EI1690" s="1" t="s">
        <v>230</v>
      </c>
      <c r="EL1690" s="1" t="s">
        <v>670</v>
      </c>
      <c r="EM1690" s="1" t="s">
        <v>730</v>
      </c>
      <c r="EN1690" s="1" t="s">
        <v>282</v>
      </c>
      <c r="EO1690" s="1" t="s">
        <v>234</v>
      </c>
      <c r="EQ1690" s="1" t="s">
        <v>492</v>
      </c>
      <c r="ER1690" s="1" t="s">
        <v>210</v>
      </c>
      <c r="ES1690" s="1" t="s">
        <v>493</v>
      </c>
      <c r="EU1690" s="1" t="s">
        <v>239</v>
      </c>
      <c r="EV1690" s="1" t="s">
        <v>240</v>
      </c>
      <c r="EW1690" s="1" t="s">
        <v>1426</v>
      </c>
      <c r="EY1690" s="1" t="s">
        <v>242</v>
      </c>
      <c r="EZ1690" s="1" t="s">
        <v>287</v>
      </c>
      <c r="FB1690" s="1" t="s">
        <v>1505</v>
      </c>
      <c r="FC1690" s="1" t="s">
        <v>548</v>
      </c>
      <c r="FD1690" s="1" t="s">
        <v>246</v>
      </c>
      <c r="FE1690" s="1" t="s">
        <v>975</v>
      </c>
      <c r="FF1690" s="1" t="s">
        <v>248</v>
      </c>
      <c r="FH1690" s="1" t="s">
        <v>550</v>
      </c>
      <c r="FI1690" s="1" t="s">
        <v>357</v>
      </c>
      <c r="FL1690" s="1" t="s">
        <v>358</v>
      </c>
      <c r="FM1690" s="1" t="s">
        <v>252</v>
      </c>
      <c r="FN1690" s="1" t="s">
        <v>213</v>
      </c>
      <c r="FO1690" s="1" t="s">
        <v>213</v>
      </c>
      <c r="FQ1690" s="1" t="s">
        <v>849</v>
      </c>
      <c r="FR1690" s="1" t="s">
        <v>210</v>
      </c>
      <c r="FS1690" s="1" t="s">
        <v>16056</v>
      </c>
      <c r="FT1690" s="1" t="s">
        <v>295</v>
      </c>
      <c r="FU1690" s="1" t="s">
        <v>204</v>
      </c>
      <c r="FW1690" s="1" t="s">
        <v>8579</v>
      </c>
      <c r="FX1690" s="1">
        <v>3592</v>
      </c>
      <c r="FY1690" s="1" t="s">
        <v>10479</v>
      </c>
      <c r="FZ1690" s="1" t="s">
        <v>10480</v>
      </c>
      <c r="GA1690" s="1">
        <v>35051</v>
      </c>
      <c r="GB1690" s="1" t="s">
        <v>10481</v>
      </c>
      <c r="GE1690" s="1" t="s">
        <v>210</v>
      </c>
      <c r="GI1690" s="1" t="s">
        <v>204</v>
      </c>
      <c r="GJ1690" s="1" t="s">
        <v>260</v>
      </c>
      <c r="GK1690" s="1" t="s">
        <v>210</v>
      </c>
      <c r="GL1690" s="2">
        <v>42024</v>
      </c>
      <c r="GM1690" s="1" t="s">
        <v>16057</v>
      </c>
    </row>
    <row r="1691" spans="1:195">
      <c r="A1691" s="1">
        <v>40100</v>
      </c>
      <c r="B1691" s="1" t="s">
        <v>195</v>
      </c>
      <c r="C1691" s="1" t="str">
        <f>"08711298"</f>
        <v>08711298</v>
      </c>
      <c r="D1691" s="1" t="s">
        <v>196</v>
      </c>
      <c r="F1691" s="1" t="str">
        <f>"8044"</f>
        <v>8044</v>
      </c>
      <c r="G1691" s="2">
        <v>41877</v>
      </c>
      <c r="H1691" s="1">
        <v>31000</v>
      </c>
      <c r="I1691" s="1">
        <v>31000</v>
      </c>
      <c r="J1691" s="1">
        <v>40100</v>
      </c>
      <c r="K1691" s="2">
        <v>41876</v>
      </c>
      <c r="L1691" s="1">
        <v>54</v>
      </c>
      <c r="M1691" s="2">
        <v>41929</v>
      </c>
      <c r="N1691" s="1">
        <v>54</v>
      </c>
      <c r="O1691" s="2">
        <v>41929</v>
      </c>
      <c r="P1691" s="1">
        <v>14703</v>
      </c>
      <c r="Q1691" s="1" t="s">
        <v>14233</v>
      </c>
      <c r="R1691" s="2">
        <v>41969</v>
      </c>
      <c r="S1691" s="1">
        <v>148971</v>
      </c>
      <c r="T1691" s="1">
        <v>1203</v>
      </c>
      <c r="U1691" s="1">
        <v>8547</v>
      </c>
      <c r="V1691" s="1" t="s">
        <v>16058</v>
      </c>
      <c r="W1691" s="1" t="s">
        <v>425</v>
      </c>
      <c r="Y1691" s="1">
        <v>2</v>
      </c>
      <c r="Z1691" s="1" t="s">
        <v>200</v>
      </c>
      <c r="AA1691" s="1" t="s">
        <v>400</v>
      </c>
      <c r="AB1691" s="1">
        <v>60619</v>
      </c>
      <c r="AE1691" s="1" t="s">
        <v>16059</v>
      </c>
      <c r="AF1691" s="1">
        <v>1939</v>
      </c>
      <c r="AG1691" s="1" t="s">
        <v>213</v>
      </c>
      <c r="AH1691" s="1" t="s">
        <v>403</v>
      </c>
      <c r="AI1691" s="1" t="s">
        <v>310</v>
      </c>
      <c r="AJ1691" s="1" t="s">
        <v>562</v>
      </c>
      <c r="AL1691" s="1">
        <v>6</v>
      </c>
      <c r="AM1691" s="1">
        <v>2</v>
      </c>
      <c r="AN1691" s="1">
        <v>2</v>
      </c>
      <c r="AO1691" s="1">
        <v>1</v>
      </c>
      <c r="AP1691" s="1" t="s">
        <v>210</v>
      </c>
      <c r="AR1691" s="1" t="s">
        <v>2275</v>
      </c>
      <c r="AS1691" s="1" t="s">
        <v>213</v>
      </c>
      <c r="AT1691" s="1" t="s">
        <v>211</v>
      </c>
      <c r="AU1691" s="1">
        <v>2</v>
      </c>
      <c r="AW1691" s="1" t="s">
        <v>204</v>
      </c>
      <c r="AX1691" s="1">
        <v>3125</v>
      </c>
      <c r="AZ1691" s="1">
        <v>1583</v>
      </c>
      <c r="BA1691" s="1">
        <v>2012</v>
      </c>
      <c r="BB1691" s="1" t="s">
        <v>210</v>
      </c>
      <c r="BE1691" s="1">
        <v>912</v>
      </c>
      <c r="BF1691" s="1">
        <v>1</v>
      </c>
      <c r="BG1691" s="1">
        <v>0</v>
      </c>
      <c r="BL1691" s="1">
        <v>0</v>
      </c>
      <c r="BM1691" s="1" t="s">
        <v>413</v>
      </c>
      <c r="BN1691" s="1" t="s">
        <v>213</v>
      </c>
      <c r="BO1691" s="1">
        <v>0</v>
      </c>
      <c r="BP1691" s="1" t="s">
        <v>204</v>
      </c>
      <c r="BR1691" s="1" t="str">
        <f>"20344140150000"</f>
        <v>20344140150000</v>
      </c>
      <c r="BT1691" s="1" t="s">
        <v>16060</v>
      </c>
      <c r="BX1691" s="1">
        <v>299</v>
      </c>
      <c r="BY1691" s="1">
        <v>299</v>
      </c>
      <c r="BZ1691" s="1">
        <v>299</v>
      </c>
      <c r="CB1691" s="1" t="str">
        <f>"0"</f>
        <v>0</v>
      </c>
      <c r="CC1691" s="1" t="str">
        <f>"600"</f>
        <v>600</v>
      </c>
      <c r="CD1691" s="1">
        <v>0</v>
      </c>
      <c r="CE1691" s="1">
        <v>8500</v>
      </c>
      <c r="CG1691" s="1" t="s">
        <v>280</v>
      </c>
      <c r="CH1691" s="1" t="s">
        <v>219</v>
      </c>
      <c r="CI1691" s="1" t="s">
        <v>438</v>
      </c>
      <c r="CK1691" s="1" t="s">
        <v>1469</v>
      </c>
      <c r="CL1691" s="1" t="s">
        <v>219</v>
      </c>
      <c r="CM1691" s="1" t="s">
        <v>438</v>
      </c>
      <c r="CO1691" s="1" t="s">
        <v>1046</v>
      </c>
      <c r="CP1691" s="1" t="s">
        <v>219</v>
      </c>
      <c r="CQ1691" s="1" t="s">
        <v>438</v>
      </c>
      <c r="CS1691" s="1" t="s">
        <v>836</v>
      </c>
      <c r="CT1691" s="1" t="s">
        <v>219</v>
      </c>
      <c r="CU1691" s="1" t="s">
        <v>438</v>
      </c>
      <c r="CX1691" s="1" t="s">
        <v>224</v>
      </c>
      <c r="DB1691" s="1" t="s">
        <v>224</v>
      </c>
      <c r="DE1691" s="1" t="s">
        <v>16061</v>
      </c>
      <c r="DF1691" s="1" t="s">
        <v>219</v>
      </c>
      <c r="DG1691" s="1" t="s">
        <v>342</v>
      </c>
      <c r="DI1691" s="1" t="s">
        <v>2122</v>
      </c>
      <c r="DJ1691" s="1" t="s">
        <v>822</v>
      </c>
      <c r="DM1691" s="1" t="s">
        <v>8767</v>
      </c>
      <c r="DR1691" s="1" t="s">
        <v>786</v>
      </c>
      <c r="DS1691" s="1" t="s">
        <v>219</v>
      </c>
      <c r="DW1691" s="1" t="s">
        <v>230</v>
      </c>
      <c r="EA1691" s="1" t="s">
        <v>230</v>
      </c>
      <c r="EE1691" s="1" t="s">
        <v>230</v>
      </c>
      <c r="EI1691" s="1" t="s">
        <v>230</v>
      </c>
      <c r="EL1691" s="1" t="s">
        <v>440</v>
      </c>
      <c r="EM1691" s="1" t="s">
        <v>730</v>
      </c>
      <c r="EN1691" s="1" t="s">
        <v>210</v>
      </c>
      <c r="EO1691" s="1" t="s">
        <v>234</v>
      </c>
      <c r="EP1691" s="1" t="s">
        <v>650</v>
      </c>
      <c r="ER1691" s="1" t="s">
        <v>544</v>
      </c>
      <c r="EU1691" s="1" t="s">
        <v>546</v>
      </c>
      <c r="EV1691" s="1" t="s">
        <v>324</v>
      </c>
      <c r="EW1691" s="1" t="s">
        <v>210</v>
      </c>
      <c r="EZ1691" s="1" t="s">
        <v>8767</v>
      </c>
      <c r="FD1691" s="1" t="s">
        <v>246</v>
      </c>
      <c r="FE1691" s="1" t="s">
        <v>247</v>
      </c>
      <c r="FF1691" s="1" t="s">
        <v>248</v>
      </c>
      <c r="FH1691" s="1" t="s">
        <v>550</v>
      </c>
      <c r="FJ1691" s="1" t="s">
        <v>2046</v>
      </c>
      <c r="FL1691" s="1" t="s">
        <v>358</v>
      </c>
      <c r="FM1691" s="1" t="s">
        <v>252</v>
      </c>
      <c r="FN1691" s="1" t="s">
        <v>213</v>
      </c>
      <c r="FO1691" s="1" t="s">
        <v>213</v>
      </c>
      <c r="FQ1691" s="1" t="s">
        <v>689</v>
      </c>
      <c r="FR1691" s="1" t="s">
        <v>210</v>
      </c>
      <c r="FS1691" s="1" t="s">
        <v>15391</v>
      </c>
      <c r="FT1691" s="1" t="s">
        <v>1828</v>
      </c>
      <c r="FU1691" s="1" t="s">
        <v>204</v>
      </c>
      <c r="FW1691" s="1" t="s">
        <v>7498</v>
      </c>
      <c r="FX1691" s="1">
        <v>22994</v>
      </c>
      <c r="FY1691" s="1" t="s">
        <v>7499</v>
      </c>
      <c r="FZ1691" s="1" t="s">
        <v>7580</v>
      </c>
      <c r="GA1691" s="1">
        <v>235814</v>
      </c>
      <c r="GB1691" s="1" t="s">
        <v>7581</v>
      </c>
      <c r="GE1691" s="1" t="s">
        <v>2504</v>
      </c>
      <c r="GH1691" s="1" t="s">
        <v>421</v>
      </c>
      <c r="GI1691" s="1" t="s">
        <v>213</v>
      </c>
      <c r="GJ1691" s="1" t="s">
        <v>260</v>
      </c>
      <c r="GK1691" s="1" t="s">
        <v>210</v>
      </c>
      <c r="GL1691" s="2">
        <v>41969</v>
      </c>
      <c r="GM1691" s="1" t="s">
        <v>7582</v>
      </c>
    </row>
    <row r="1692" spans="1:195">
      <c r="A1692" s="1">
        <v>109900</v>
      </c>
      <c r="B1692" s="1" t="s">
        <v>195</v>
      </c>
      <c r="C1692" s="1" t="str">
        <f>"08745450"</f>
        <v>08745450</v>
      </c>
      <c r="D1692" s="1" t="s">
        <v>196</v>
      </c>
      <c r="F1692" s="1" t="str">
        <f>"2"</f>
        <v>2</v>
      </c>
      <c r="G1692" s="2">
        <v>41917</v>
      </c>
      <c r="H1692" s="1">
        <v>154900</v>
      </c>
      <c r="I1692" s="1">
        <v>119900</v>
      </c>
      <c r="J1692" s="1">
        <v>109900</v>
      </c>
      <c r="K1692" s="2">
        <v>41917</v>
      </c>
      <c r="L1692" s="1">
        <v>65</v>
      </c>
      <c r="M1692" s="2">
        <v>41981</v>
      </c>
      <c r="N1692" s="1">
        <v>65</v>
      </c>
      <c r="O1692" s="2">
        <v>41981</v>
      </c>
      <c r="P1692" s="1">
        <v>2411</v>
      </c>
      <c r="Q1692" s="1" t="s">
        <v>302</v>
      </c>
      <c r="R1692" s="2">
        <v>42009</v>
      </c>
      <c r="S1692" s="1">
        <v>20626</v>
      </c>
      <c r="U1692" s="1">
        <v>1069</v>
      </c>
      <c r="V1692" s="1" t="s">
        <v>6677</v>
      </c>
      <c r="W1692" s="1" t="s">
        <v>264</v>
      </c>
      <c r="Y1692" s="1">
        <v>4</v>
      </c>
      <c r="Z1692" s="1" t="s">
        <v>370</v>
      </c>
      <c r="AA1692" s="1" t="s">
        <v>5713</v>
      </c>
      <c r="AB1692" s="1">
        <v>60002</v>
      </c>
      <c r="AD1692" s="1" t="s">
        <v>16062</v>
      </c>
      <c r="AE1692" s="1" t="s">
        <v>16063</v>
      </c>
      <c r="AF1692" s="1">
        <v>2005</v>
      </c>
      <c r="AG1692" s="1" t="s">
        <v>204</v>
      </c>
      <c r="AH1692" s="1" t="s">
        <v>596</v>
      </c>
      <c r="AI1692" s="1" t="s">
        <v>509</v>
      </c>
      <c r="AJ1692" s="1" t="s">
        <v>596</v>
      </c>
      <c r="AL1692" s="1">
        <v>6</v>
      </c>
      <c r="AM1692" s="1">
        <v>2</v>
      </c>
      <c r="AN1692" s="1">
        <v>2</v>
      </c>
      <c r="AO1692" s="1">
        <v>1</v>
      </c>
      <c r="AP1692" s="1" t="s">
        <v>209</v>
      </c>
      <c r="AQ1692" s="1">
        <v>1</v>
      </c>
      <c r="AR1692" s="1" t="s">
        <v>209</v>
      </c>
      <c r="AS1692" s="1" t="s">
        <v>204</v>
      </c>
      <c r="AT1692" s="1" t="s">
        <v>211</v>
      </c>
      <c r="AU1692" s="1">
        <v>2</v>
      </c>
      <c r="AW1692" s="1" t="s">
        <v>204</v>
      </c>
      <c r="AX1692" s="1" t="s">
        <v>212</v>
      </c>
      <c r="AZ1692" s="1">
        <v>6616.04</v>
      </c>
      <c r="BA1692" s="1">
        <v>2013</v>
      </c>
      <c r="BE1692" s="1">
        <v>1599</v>
      </c>
      <c r="BF1692" s="1">
        <v>1</v>
      </c>
      <c r="BG1692" s="1">
        <v>0</v>
      </c>
      <c r="BL1692" s="1">
        <v>268</v>
      </c>
      <c r="BM1692" s="1" t="s">
        <v>204</v>
      </c>
      <c r="BN1692" s="1" t="s">
        <v>213</v>
      </c>
      <c r="BO1692" s="1">
        <v>999</v>
      </c>
      <c r="BP1692" s="1" t="s">
        <v>204</v>
      </c>
      <c r="BR1692" s="1" t="str">
        <f>"01132050050000"</f>
        <v>01132050050000</v>
      </c>
      <c r="BT1692" s="1" t="s">
        <v>16064</v>
      </c>
      <c r="BU1692" s="1" t="s">
        <v>16065</v>
      </c>
      <c r="BV1692" s="1" t="s">
        <v>16065</v>
      </c>
      <c r="BW1692" s="1" t="s">
        <v>13118</v>
      </c>
      <c r="BX1692" s="1">
        <v>33</v>
      </c>
      <c r="BY1692" s="1">
        <v>33</v>
      </c>
      <c r="BZ1692" s="1">
        <v>117</v>
      </c>
      <c r="CB1692" s="1" t="str">
        <f>"41"</f>
        <v>41</v>
      </c>
      <c r="CC1692" s="1" t="str">
        <f>"0"</f>
        <v>0</v>
      </c>
      <c r="CD1692" s="1">
        <v>24</v>
      </c>
      <c r="CE1692" s="1">
        <v>0</v>
      </c>
      <c r="CG1692" s="1" t="s">
        <v>315</v>
      </c>
      <c r="CH1692" s="1" t="s">
        <v>219</v>
      </c>
      <c r="CI1692" s="1" t="s">
        <v>220</v>
      </c>
      <c r="CK1692" s="1" t="s">
        <v>729</v>
      </c>
      <c r="CL1692" s="1" t="s">
        <v>277</v>
      </c>
      <c r="CM1692" s="1" t="s">
        <v>220</v>
      </c>
      <c r="CO1692" s="1" t="s">
        <v>461</v>
      </c>
      <c r="CP1692" s="1" t="s">
        <v>219</v>
      </c>
      <c r="CQ1692" s="1" t="s">
        <v>220</v>
      </c>
      <c r="CS1692" s="1" t="s">
        <v>465</v>
      </c>
      <c r="CT1692" s="1" t="s">
        <v>277</v>
      </c>
      <c r="CU1692" s="1" t="s">
        <v>220</v>
      </c>
      <c r="CX1692" s="1" t="s">
        <v>224</v>
      </c>
      <c r="DB1692" s="1" t="s">
        <v>224</v>
      </c>
      <c r="DE1692" s="1" t="s">
        <v>461</v>
      </c>
      <c r="DF1692" s="1" t="s">
        <v>219</v>
      </c>
      <c r="DG1692" s="1" t="s">
        <v>342</v>
      </c>
      <c r="DH1692" s="1" t="s">
        <v>210</v>
      </c>
      <c r="DJ1692" s="1" t="s">
        <v>224</v>
      </c>
      <c r="DM1692" s="1" t="s">
        <v>464</v>
      </c>
      <c r="DR1692" s="1" t="s">
        <v>1938</v>
      </c>
      <c r="DS1692" s="1" t="s">
        <v>277</v>
      </c>
      <c r="DT1692" s="1" t="s">
        <v>220</v>
      </c>
      <c r="DW1692" s="1" t="s">
        <v>230</v>
      </c>
      <c r="EA1692" s="1" t="s">
        <v>230</v>
      </c>
      <c r="EE1692" s="1" t="s">
        <v>230</v>
      </c>
      <c r="EI1692" s="1" t="s">
        <v>230</v>
      </c>
      <c r="EL1692" s="1" t="s">
        <v>491</v>
      </c>
      <c r="EM1692" s="1" t="s">
        <v>319</v>
      </c>
      <c r="EN1692" s="1" t="s">
        <v>282</v>
      </c>
      <c r="EO1692" s="1" t="s">
        <v>234</v>
      </c>
      <c r="EP1692" s="1" t="s">
        <v>2643</v>
      </c>
      <c r="EQ1692" s="1" t="s">
        <v>2416</v>
      </c>
      <c r="ER1692" s="1" t="s">
        <v>1249</v>
      </c>
      <c r="ES1692" s="1" t="s">
        <v>1552</v>
      </c>
      <c r="ET1692" s="1" t="s">
        <v>1201</v>
      </c>
      <c r="EU1692" s="1" t="s">
        <v>712</v>
      </c>
      <c r="EV1692" s="1" t="s">
        <v>240</v>
      </c>
      <c r="EW1692" s="1" t="s">
        <v>353</v>
      </c>
      <c r="EY1692" s="1" t="s">
        <v>242</v>
      </c>
      <c r="EZ1692" s="1" t="s">
        <v>464</v>
      </c>
      <c r="FA1692" s="1" t="s">
        <v>5059</v>
      </c>
      <c r="FB1692" s="1" t="s">
        <v>289</v>
      </c>
      <c r="FD1692" s="1" t="s">
        <v>495</v>
      </c>
      <c r="FE1692" s="1" t="s">
        <v>247</v>
      </c>
      <c r="FF1692" s="1" t="s">
        <v>248</v>
      </c>
      <c r="FG1692" s="1" t="s">
        <v>2292</v>
      </c>
      <c r="FH1692" s="1" t="s">
        <v>550</v>
      </c>
      <c r="FI1692" s="1" t="s">
        <v>357</v>
      </c>
      <c r="FL1692" s="1" t="s">
        <v>358</v>
      </c>
      <c r="FM1692" s="1" t="s">
        <v>252</v>
      </c>
      <c r="FN1692" s="1" t="s">
        <v>213</v>
      </c>
      <c r="FO1692" s="1" t="s">
        <v>213</v>
      </c>
      <c r="FQ1692" s="1" t="s">
        <v>673</v>
      </c>
      <c r="FR1692" s="1" t="s">
        <v>210</v>
      </c>
      <c r="FS1692" s="1" t="s">
        <v>16066</v>
      </c>
      <c r="FT1692" s="1" t="s">
        <v>3729</v>
      </c>
      <c r="FU1692" s="1" t="s">
        <v>204</v>
      </c>
      <c r="FW1692" s="1" t="s">
        <v>1275</v>
      </c>
      <c r="FX1692" s="1">
        <v>1196</v>
      </c>
      <c r="FY1692" s="1" t="s">
        <v>1276</v>
      </c>
      <c r="FZ1692" s="1" t="s">
        <v>16067</v>
      </c>
      <c r="GA1692" s="1">
        <v>18115</v>
      </c>
      <c r="GB1692" s="1" t="s">
        <v>16068</v>
      </c>
      <c r="GE1692" s="1" t="s">
        <v>776</v>
      </c>
      <c r="GI1692" s="1" t="s">
        <v>213</v>
      </c>
      <c r="GJ1692" s="1" t="s">
        <v>260</v>
      </c>
      <c r="GK1692" s="1" t="s">
        <v>210</v>
      </c>
      <c r="GL1692" s="2">
        <v>42009</v>
      </c>
      <c r="GM1692" s="1" t="s">
        <v>16069</v>
      </c>
    </row>
    <row r="1693" spans="1:195">
      <c r="A1693" s="1">
        <v>205000</v>
      </c>
      <c r="B1693" s="1" t="s">
        <v>195</v>
      </c>
      <c r="C1693" s="1" t="str">
        <f>"08698888"</f>
        <v>08698888</v>
      </c>
      <c r="D1693" s="1" t="s">
        <v>196</v>
      </c>
      <c r="F1693" s="1" t="str">
        <f>"108"</f>
        <v>108</v>
      </c>
      <c r="G1693" s="2">
        <v>41862</v>
      </c>
      <c r="H1693" s="1">
        <v>249900</v>
      </c>
      <c r="I1693" s="1">
        <v>229900</v>
      </c>
      <c r="J1693" s="1">
        <v>205000</v>
      </c>
      <c r="K1693" s="2">
        <v>41862</v>
      </c>
      <c r="L1693" s="1">
        <v>103</v>
      </c>
      <c r="M1693" s="2">
        <v>41964</v>
      </c>
      <c r="N1693" s="1">
        <v>103</v>
      </c>
      <c r="O1693" s="2">
        <v>41964</v>
      </c>
      <c r="P1693" s="1">
        <v>25309</v>
      </c>
      <c r="Q1693" s="1" t="s">
        <v>197</v>
      </c>
      <c r="R1693" s="2">
        <v>41995</v>
      </c>
      <c r="S1693" s="1">
        <v>222292</v>
      </c>
      <c r="T1693" s="1">
        <v>3000</v>
      </c>
      <c r="U1693" s="1">
        <v>87</v>
      </c>
      <c r="V1693" s="1" t="s">
        <v>12230</v>
      </c>
      <c r="W1693" s="1" t="s">
        <v>504</v>
      </c>
      <c r="Y1693" s="1">
        <v>2</v>
      </c>
      <c r="Z1693" s="1" t="s">
        <v>200</v>
      </c>
      <c r="AA1693" s="1" t="s">
        <v>829</v>
      </c>
      <c r="AB1693" s="1">
        <v>60108</v>
      </c>
      <c r="AD1693" s="1" t="s">
        <v>5496</v>
      </c>
      <c r="AE1693" s="1" t="s">
        <v>16070</v>
      </c>
      <c r="AF1693" s="1">
        <v>1986</v>
      </c>
      <c r="AG1693" s="1" t="s">
        <v>204</v>
      </c>
      <c r="AH1693" s="1" t="s">
        <v>269</v>
      </c>
      <c r="AI1693" s="1" t="s">
        <v>206</v>
      </c>
      <c r="AJ1693" s="1" t="s">
        <v>269</v>
      </c>
      <c r="AK1693" s="1" t="s">
        <v>16071</v>
      </c>
      <c r="AL1693" s="1">
        <v>6</v>
      </c>
      <c r="AM1693" s="1">
        <v>2</v>
      </c>
      <c r="AN1693" s="1">
        <v>2</v>
      </c>
      <c r="AO1693" s="1">
        <v>0</v>
      </c>
      <c r="AP1693" s="1" t="s">
        <v>209</v>
      </c>
      <c r="AQ1693" s="1">
        <v>1</v>
      </c>
      <c r="AR1693" s="1" t="s">
        <v>210</v>
      </c>
      <c r="AS1693" s="1" t="s">
        <v>204</v>
      </c>
      <c r="AT1693" s="1" t="s">
        <v>211</v>
      </c>
      <c r="AU1693" s="1">
        <v>2</v>
      </c>
      <c r="AW1693" s="1" t="s">
        <v>204</v>
      </c>
      <c r="AX1693" s="3">
        <v>2520</v>
      </c>
      <c r="AZ1693" s="1">
        <v>4939</v>
      </c>
      <c r="BA1693" s="1">
        <v>2013</v>
      </c>
      <c r="BB1693" s="1" t="s">
        <v>405</v>
      </c>
      <c r="BE1693" s="1">
        <v>1906</v>
      </c>
      <c r="BF1693" s="1">
        <v>1</v>
      </c>
      <c r="BG1693" s="1">
        <v>0</v>
      </c>
      <c r="BL1693" s="1">
        <v>240</v>
      </c>
      <c r="BM1693" s="1" t="s">
        <v>204</v>
      </c>
      <c r="BN1693" s="1" t="s">
        <v>213</v>
      </c>
      <c r="BO1693" s="1">
        <v>999</v>
      </c>
      <c r="BP1693" s="1" t="s">
        <v>204</v>
      </c>
      <c r="BR1693" s="1" t="str">
        <f>"0216209012"</f>
        <v>0216209012</v>
      </c>
      <c r="BT1693" s="1" t="s">
        <v>16072</v>
      </c>
      <c r="BU1693" s="1" t="s">
        <v>1611</v>
      </c>
      <c r="BV1693" s="1" t="s">
        <v>834</v>
      </c>
      <c r="BW1693" s="1" t="s">
        <v>275</v>
      </c>
      <c r="BX1693" s="1">
        <v>13</v>
      </c>
      <c r="BY1693" s="1">
        <v>13</v>
      </c>
      <c r="BZ1693" s="1">
        <v>108</v>
      </c>
      <c r="CB1693" s="1" t="str">
        <f t="shared" ref="CB1693:CC1693" si="1283">""</f>
        <v/>
      </c>
      <c r="CC1693" s="1" t="str">
        <f t="shared" si="1283"/>
        <v/>
      </c>
      <c r="CG1693" s="1" t="s">
        <v>218</v>
      </c>
      <c r="CH1693" s="1" t="s">
        <v>219</v>
      </c>
      <c r="CI1693" s="1" t="s">
        <v>220</v>
      </c>
      <c r="CJ1693" s="1" t="s">
        <v>463</v>
      </c>
      <c r="CK1693" s="1" t="s">
        <v>581</v>
      </c>
      <c r="CL1693" s="1" t="s">
        <v>219</v>
      </c>
      <c r="CM1693" s="1" t="s">
        <v>220</v>
      </c>
      <c r="CN1693" s="1" t="s">
        <v>463</v>
      </c>
      <c r="CO1693" s="1" t="s">
        <v>317</v>
      </c>
      <c r="CP1693" s="1" t="s">
        <v>219</v>
      </c>
      <c r="CQ1693" s="1" t="s">
        <v>220</v>
      </c>
      <c r="CR1693" s="1" t="s">
        <v>463</v>
      </c>
      <c r="CS1693" s="1" t="s">
        <v>317</v>
      </c>
      <c r="CT1693" s="1" t="s">
        <v>219</v>
      </c>
      <c r="CU1693" s="1" t="s">
        <v>220</v>
      </c>
      <c r="CV1693" s="1" t="s">
        <v>343</v>
      </c>
      <c r="CX1693" s="1" t="s">
        <v>224</v>
      </c>
      <c r="DB1693" s="1" t="s">
        <v>224</v>
      </c>
      <c r="DE1693" s="1" t="s">
        <v>861</v>
      </c>
      <c r="DF1693" s="1" t="s">
        <v>219</v>
      </c>
      <c r="DG1693" s="1" t="s">
        <v>342</v>
      </c>
      <c r="DH1693" s="1" t="s">
        <v>343</v>
      </c>
      <c r="DI1693" s="1" t="s">
        <v>602</v>
      </c>
      <c r="DJ1693" s="1" t="s">
        <v>219</v>
      </c>
      <c r="DK1693" s="1" t="s">
        <v>220</v>
      </c>
      <c r="DL1693" s="1" t="s">
        <v>343</v>
      </c>
      <c r="DS1693" s="1" t="s">
        <v>230</v>
      </c>
      <c r="DW1693" s="1" t="s">
        <v>230</v>
      </c>
      <c r="EA1693" s="1" t="s">
        <v>230</v>
      </c>
      <c r="EE1693" s="1" t="s">
        <v>230</v>
      </c>
      <c r="EI1693" s="1" t="s">
        <v>230</v>
      </c>
      <c r="EL1693" s="1" t="s">
        <v>542</v>
      </c>
      <c r="EM1693" s="1" t="s">
        <v>232</v>
      </c>
      <c r="EN1693" s="1" t="s">
        <v>282</v>
      </c>
      <c r="EO1693" s="1" t="s">
        <v>234</v>
      </c>
      <c r="EQ1693" s="1" t="s">
        <v>236</v>
      </c>
      <c r="ER1693" s="1" t="s">
        <v>1069</v>
      </c>
      <c r="ES1693" s="1" t="s">
        <v>322</v>
      </c>
      <c r="ET1693" s="1" t="s">
        <v>2404</v>
      </c>
      <c r="EU1693" s="1" t="s">
        <v>1820</v>
      </c>
      <c r="EV1693" s="1" t="s">
        <v>240</v>
      </c>
      <c r="EW1693" s="1" t="s">
        <v>353</v>
      </c>
      <c r="EZ1693" s="1" t="s">
        <v>287</v>
      </c>
      <c r="FB1693" s="1" t="s">
        <v>289</v>
      </c>
      <c r="FC1693" s="1" t="s">
        <v>326</v>
      </c>
      <c r="FD1693" s="1" t="s">
        <v>246</v>
      </c>
      <c r="FE1693" s="1" t="s">
        <v>651</v>
      </c>
      <c r="FF1693" s="1" t="s">
        <v>248</v>
      </c>
      <c r="FG1693" s="1" t="s">
        <v>912</v>
      </c>
      <c r="FH1693" s="1" t="s">
        <v>825</v>
      </c>
      <c r="FI1693" s="1" t="s">
        <v>473</v>
      </c>
      <c r="FL1693" s="1" t="s">
        <v>414</v>
      </c>
      <c r="FM1693" s="1" t="s">
        <v>252</v>
      </c>
      <c r="FN1693" s="1" t="s">
        <v>213</v>
      </c>
      <c r="FO1693" s="1" t="s">
        <v>213</v>
      </c>
      <c r="FQ1693" s="1" t="s">
        <v>913</v>
      </c>
      <c r="FR1693" s="1" t="s">
        <v>210</v>
      </c>
      <c r="FS1693" s="1" t="s">
        <v>16073</v>
      </c>
      <c r="FT1693" s="1" t="s">
        <v>295</v>
      </c>
      <c r="FU1693" s="1" t="s">
        <v>204</v>
      </c>
      <c r="FW1693" s="1" t="s">
        <v>873</v>
      </c>
      <c r="FX1693" s="1">
        <v>25309</v>
      </c>
      <c r="FY1693" s="1" t="s">
        <v>874</v>
      </c>
      <c r="FZ1693" s="1" t="s">
        <v>16074</v>
      </c>
      <c r="GA1693" s="1">
        <v>256756</v>
      </c>
      <c r="GB1693" s="1" t="s">
        <v>16075</v>
      </c>
      <c r="GD1693" s="1" t="s">
        <v>16076</v>
      </c>
      <c r="GE1693" s="1" t="s">
        <v>210</v>
      </c>
      <c r="GI1693" s="1" t="s">
        <v>213</v>
      </c>
      <c r="GJ1693" s="1" t="s">
        <v>260</v>
      </c>
      <c r="GK1693" s="1" t="s">
        <v>261</v>
      </c>
      <c r="GL1693" s="2">
        <v>41995</v>
      </c>
      <c r="GM1693" s="1" t="s">
        <v>16077</v>
      </c>
    </row>
    <row r="1694" spans="1:195">
      <c r="A1694" s="1">
        <v>89000</v>
      </c>
      <c r="B1694" s="1" t="s">
        <v>195</v>
      </c>
      <c r="C1694" s="1" t="str">
        <f>"08701462"</f>
        <v>08701462</v>
      </c>
      <c r="D1694" s="1" t="s">
        <v>196</v>
      </c>
      <c r="F1694" s="1" t="str">
        <f>"137"</f>
        <v>137</v>
      </c>
      <c r="G1694" s="2">
        <v>41865</v>
      </c>
      <c r="H1694" s="1">
        <v>99900</v>
      </c>
      <c r="I1694" s="1">
        <v>97900</v>
      </c>
      <c r="J1694" s="1">
        <v>89000</v>
      </c>
      <c r="K1694" s="2">
        <v>41864</v>
      </c>
      <c r="L1694" s="1">
        <v>104</v>
      </c>
      <c r="M1694" s="2">
        <v>41967</v>
      </c>
      <c r="N1694" s="1">
        <v>104</v>
      </c>
      <c r="O1694" s="2">
        <v>41967</v>
      </c>
      <c r="P1694" s="1">
        <v>25088</v>
      </c>
      <c r="Q1694" s="1" t="s">
        <v>302</v>
      </c>
      <c r="R1694" s="2">
        <v>41988</v>
      </c>
      <c r="S1694" s="1">
        <v>215097</v>
      </c>
      <c r="U1694" s="1">
        <v>320</v>
      </c>
      <c r="V1694" s="1" t="s">
        <v>6803</v>
      </c>
      <c r="W1694" s="1" t="s">
        <v>1056</v>
      </c>
      <c r="X1694" s="1" t="s">
        <v>5413</v>
      </c>
      <c r="Y1694" s="1">
        <v>8</v>
      </c>
      <c r="Z1694" s="1" t="s">
        <v>249</v>
      </c>
      <c r="AA1694" s="1" t="s">
        <v>201</v>
      </c>
      <c r="AB1694" s="1">
        <v>60137</v>
      </c>
      <c r="AD1694" s="1" t="s">
        <v>16078</v>
      </c>
      <c r="AE1694" s="1" t="s">
        <v>16079</v>
      </c>
      <c r="AF1694" s="1">
        <v>1969</v>
      </c>
      <c r="AG1694" s="1" t="s">
        <v>213</v>
      </c>
      <c r="AH1694" s="1" t="s">
        <v>205</v>
      </c>
      <c r="AI1694" s="1" t="s">
        <v>206</v>
      </c>
      <c r="AJ1694" s="1" t="s">
        <v>207</v>
      </c>
      <c r="AK1694" s="1" t="s">
        <v>270</v>
      </c>
      <c r="AL1694" s="1">
        <v>5</v>
      </c>
      <c r="AM1694" s="1">
        <v>2</v>
      </c>
      <c r="AN1694" s="1">
        <v>2</v>
      </c>
      <c r="AO1694" s="1">
        <v>0</v>
      </c>
      <c r="AP1694" s="1" t="s">
        <v>209</v>
      </c>
      <c r="AR1694" s="1" t="s">
        <v>210</v>
      </c>
      <c r="AS1694" s="1" t="s">
        <v>204</v>
      </c>
      <c r="AT1694" s="1" t="s">
        <v>271</v>
      </c>
      <c r="AV1694" s="1">
        <v>2</v>
      </c>
      <c r="AW1694" s="1" t="s">
        <v>204</v>
      </c>
      <c r="AX1694" s="1" t="s">
        <v>212</v>
      </c>
      <c r="AZ1694" s="1">
        <v>2481</v>
      </c>
      <c r="BA1694" s="1">
        <v>2013</v>
      </c>
      <c r="BB1694" s="1" t="s">
        <v>405</v>
      </c>
      <c r="BE1694" s="1">
        <v>1198</v>
      </c>
      <c r="BF1694" s="1">
        <v>2</v>
      </c>
      <c r="BG1694" s="1">
        <v>0</v>
      </c>
      <c r="BJ1694" s="1">
        <v>100</v>
      </c>
      <c r="BL1694" s="1">
        <v>293</v>
      </c>
      <c r="BM1694" s="1" t="s">
        <v>204</v>
      </c>
      <c r="BN1694" s="1" t="s">
        <v>204</v>
      </c>
      <c r="BP1694" s="1" t="s">
        <v>204</v>
      </c>
      <c r="BR1694" s="1" t="str">
        <f>"0523321015"</f>
        <v>0523321015</v>
      </c>
      <c r="BT1694" s="1" t="s">
        <v>16080</v>
      </c>
      <c r="BU1694" s="1" t="s">
        <v>215</v>
      </c>
      <c r="BV1694" s="1" t="s">
        <v>216</v>
      </c>
      <c r="BW1694" s="1" t="s">
        <v>217</v>
      </c>
      <c r="BX1694" s="1">
        <v>89</v>
      </c>
      <c r="BY1694" s="1">
        <v>89</v>
      </c>
      <c r="BZ1694" s="1">
        <v>87</v>
      </c>
      <c r="CB1694" s="1" t="str">
        <f t="shared" ref="CB1694:CC1694" si="1284">""</f>
        <v/>
      </c>
      <c r="CC1694" s="1" t="str">
        <f t="shared" si="1284"/>
        <v/>
      </c>
      <c r="CD1694" s="1">
        <v>22</v>
      </c>
      <c r="CE1694" s="1">
        <v>1</v>
      </c>
      <c r="CG1694" s="1" t="s">
        <v>6197</v>
      </c>
      <c r="CH1694" s="1" t="s">
        <v>277</v>
      </c>
      <c r="CI1694" s="1" t="s">
        <v>220</v>
      </c>
      <c r="CK1694" s="1" t="s">
        <v>278</v>
      </c>
      <c r="CL1694" s="1" t="s">
        <v>277</v>
      </c>
      <c r="CM1694" s="1" t="s">
        <v>220</v>
      </c>
      <c r="CO1694" s="1" t="s">
        <v>837</v>
      </c>
      <c r="CP1694" s="1" t="s">
        <v>277</v>
      </c>
      <c r="CQ1694" s="1" t="s">
        <v>226</v>
      </c>
      <c r="CS1694" s="1" t="s">
        <v>1297</v>
      </c>
      <c r="CT1694" s="1" t="s">
        <v>277</v>
      </c>
      <c r="CU1694" s="1" t="s">
        <v>220</v>
      </c>
      <c r="CX1694" s="1" t="s">
        <v>224</v>
      </c>
      <c r="DB1694" s="1" t="s">
        <v>224</v>
      </c>
      <c r="DE1694" s="1" t="s">
        <v>278</v>
      </c>
      <c r="DF1694" s="1" t="s">
        <v>277</v>
      </c>
      <c r="DG1694" s="1" t="s">
        <v>226</v>
      </c>
      <c r="DJ1694" s="1" t="s">
        <v>224</v>
      </c>
      <c r="DS1694" s="1" t="s">
        <v>230</v>
      </c>
      <c r="DW1694" s="1" t="s">
        <v>230</v>
      </c>
      <c r="EA1694" s="1" t="s">
        <v>230</v>
      </c>
      <c r="EE1694" s="1" t="s">
        <v>230</v>
      </c>
      <c r="EI1694" s="1" t="s">
        <v>230</v>
      </c>
      <c r="EL1694" s="1" t="s">
        <v>605</v>
      </c>
      <c r="EM1694" s="1" t="s">
        <v>232</v>
      </c>
      <c r="EN1694" s="1" t="s">
        <v>282</v>
      </c>
      <c r="EO1694" s="1" t="s">
        <v>234</v>
      </c>
      <c r="EP1694" s="1" t="s">
        <v>16081</v>
      </c>
      <c r="EQ1694" s="1" t="s">
        <v>284</v>
      </c>
      <c r="ER1694" s="1" t="s">
        <v>210</v>
      </c>
      <c r="ES1694" s="1" t="s">
        <v>322</v>
      </c>
      <c r="EU1694" s="1" t="s">
        <v>239</v>
      </c>
      <c r="EV1694" s="1" t="s">
        <v>324</v>
      </c>
      <c r="EW1694" s="1" t="s">
        <v>15839</v>
      </c>
      <c r="EY1694" s="1" t="s">
        <v>242</v>
      </c>
      <c r="EZ1694" s="1" t="s">
        <v>287</v>
      </c>
      <c r="FA1694" s="1" t="s">
        <v>16082</v>
      </c>
      <c r="FB1694" s="1" t="s">
        <v>1755</v>
      </c>
      <c r="FD1694" s="1" t="s">
        <v>1112</v>
      </c>
      <c r="FE1694" s="1" t="s">
        <v>247</v>
      </c>
      <c r="FF1694" s="1" t="s">
        <v>248</v>
      </c>
      <c r="FH1694" s="1" t="s">
        <v>249</v>
      </c>
      <c r="FJ1694" s="1" t="s">
        <v>197</v>
      </c>
      <c r="FK1694" s="1" t="s">
        <v>891</v>
      </c>
      <c r="FL1694" s="1" t="s">
        <v>292</v>
      </c>
      <c r="FM1694" s="1" t="s">
        <v>252</v>
      </c>
      <c r="FN1694" s="1" t="s">
        <v>213</v>
      </c>
      <c r="FO1694" s="1" t="s">
        <v>213</v>
      </c>
      <c r="FQ1694" s="1" t="s">
        <v>16083</v>
      </c>
      <c r="FR1694" s="1" t="s">
        <v>210</v>
      </c>
      <c r="FS1694" s="1" t="s">
        <v>1575</v>
      </c>
      <c r="FT1694" s="1" t="s">
        <v>16084</v>
      </c>
      <c r="FU1694" s="1" t="s">
        <v>204</v>
      </c>
      <c r="FW1694" s="1" t="s">
        <v>2144</v>
      </c>
      <c r="FX1694" s="1">
        <v>23163</v>
      </c>
      <c r="FY1694" s="1" t="s">
        <v>2145</v>
      </c>
      <c r="FZ1694" s="1" t="s">
        <v>16085</v>
      </c>
      <c r="GA1694" s="1">
        <v>254375</v>
      </c>
      <c r="GB1694" s="1" t="s">
        <v>16086</v>
      </c>
      <c r="GE1694" s="1" t="s">
        <v>210</v>
      </c>
      <c r="GI1694" s="1" t="s">
        <v>213</v>
      </c>
      <c r="GJ1694" s="1" t="s">
        <v>260</v>
      </c>
      <c r="GK1694" s="1" t="s">
        <v>210</v>
      </c>
      <c r="GL1694" s="2">
        <v>41988</v>
      </c>
      <c r="GM1694" s="1" t="s">
        <v>16087</v>
      </c>
    </row>
    <row r="1695" spans="1:195">
      <c r="A1695" s="1">
        <v>110000</v>
      </c>
      <c r="B1695" s="1" t="s">
        <v>195</v>
      </c>
      <c r="C1695" s="1" t="str">
        <f>"08700824"</f>
        <v>08700824</v>
      </c>
      <c r="D1695" s="1" t="s">
        <v>196</v>
      </c>
      <c r="F1695" s="1" t="str">
        <f>"101"</f>
        <v>101</v>
      </c>
      <c r="G1695" s="2">
        <v>41864</v>
      </c>
      <c r="H1695" s="1">
        <v>129900</v>
      </c>
      <c r="I1695" s="1">
        <v>119000</v>
      </c>
      <c r="J1695" s="1">
        <v>110000</v>
      </c>
      <c r="K1695" s="2">
        <v>41863</v>
      </c>
      <c r="L1695" s="1">
        <v>65</v>
      </c>
      <c r="M1695" s="2">
        <v>41927</v>
      </c>
      <c r="N1695" s="1">
        <v>65</v>
      </c>
      <c r="O1695" s="2">
        <v>41927</v>
      </c>
      <c r="P1695" s="1">
        <v>24007</v>
      </c>
      <c r="Q1695" s="1" t="s">
        <v>197</v>
      </c>
      <c r="R1695" s="2">
        <v>41999</v>
      </c>
      <c r="S1695" s="1">
        <v>215475</v>
      </c>
      <c r="U1695" s="1">
        <v>704</v>
      </c>
      <c r="V1695" s="1" t="s">
        <v>12887</v>
      </c>
      <c r="W1695" s="1" t="s">
        <v>425</v>
      </c>
      <c r="X1695" s="1" t="s">
        <v>1000</v>
      </c>
      <c r="Y1695" s="1">
        <v>4</v>
      </c>
      <c r="Z1695" s="1" t="s">
        <v>200</v>
      </c>
      <c r="AA1695" s="1" t="s">
        <v>2631</v>
      </c>
      <c r="AB1695" s="1">
        <v>60101</v>
      </c>
      <c r="AE1695" s="1" t="s">
        <v>16088</v>
      </c>
      <c r="AF1695" s="1">
        <v>1982</v>
      </c>
      <c r="AG1695" s="1" t="s">
        <v>204</v>
      </c>
      <c r="AH1695" s="1" t="s">
        <v>1233</v>
      </c>
      <c r="AI1695" s="1" t="s">
        <v>206</v>
      </c>
      <c r="AJ1695" s="1" t="s">
        <v>1233</v>
      </c>
      <c r="AL1695" s="1">
        <v>4</v>
      </c>
      <c r="AM1695" s="1">
        <v>2</v>
      </c>
      <c r="AN1695" s="1">
        <v>1</v>
      </c>
      <c r="AO1695" s="1">
        <v>1</v>
      </c>
      <c r="AP1695" s="1" t="s">
        <v>210</v>
      </c>
      <c r="AR1695" s="1" t="s">
        <v>209</v>
      </c>
      <c r="AS1695" s="1" t="s">
        <v>204</v>
      </c>
      <c r="AT1695" s="1" t="s">
        <v>271</v>
      </c>
      <c r="AV1695" s="1">
        <v>2</v>
      </c>
      <c r="AW1695" s="1" t="s">
        <v>204</v>
      </c>
      <c r="AX1695" s="1" t="s">
        <v>212</v>
      </c>
      <c r="AZ1695" s="1">
        <v>1786</v>
      </c>
      <c r="BA1695" s="1">
        <v>2013</v>
      </c>
      <c r="BB1695" s="1" t="s">
        <v>405</v>
      </c>
      <c r="BE1695" s="1">
        <v>0</v>
      </c>
      <c r="BF1695" s="1">
        <v>1</v>
      </c>
      <c r="BG1695" s="1">
        <v>0</v>
      </c>
      <c r="BL1695" s="1">
        <v>120</v>
      </c>
      <c r="BM1695" s="1" t="s">
        <v>204</v>
      </c>
      <c r="BN1695" s="1" t="s">
        <v>213</v>
      </c>
      <c r="BO1695" s="1">
        <v>999</v>
      </c>
      <c r="BP1695" s="1" t="s">
        <v>204</v>
      </c>
      <c r="BR1695" s="1" t="str">
        <f>"0329422002"</f>
        <v>0329422002</v>
      </c>
      <c r="BT1695" s="1" t="s">
        <v>16089</v>
      </c>
      <c r="BV1695" s="1" t="s">
        <v>2720</v>
      </c>
      <c r="BW1695" s="1" t="s">
        <v>2721</v>
      </c>
      <c r="BX1695" s="1">
        <v>4</v>
      </c>
      <c r="BY1695" s="1">
        <v>4</v>
      </c>
      <c r="BZ1695" s="1">
        <v>88</v>
      </c>
      <c r="CB1695" s="1" t="str">
        <f>"3"</f>
        <v>3</v>
      </c>
      <c r="CC1695" s="1" t="str">
        <f>"0"</f>
        <v>0</v>
      </c>
      <c r="CD1695" s="1">
        <v>19</v>
      </c>
      <c r="CE1695" s="1">
        <v>0</v>
      </c>
      <c r="CG1695" s="1" t="s">
        <v>1045</v>
      </c>
      <c r="CH1695" s="1" t="s">
        <v>219</v>
      </c>
      <c r="CI1695" s="1" t="s">
        <v>226</v>
      </c>
      <c r="CK1695" s="1" t="s">
        <v>223</v>
      </c>
      <c r="CL1695" s="1" t="s">
        <v>277</v>
      </c>
      <c r="CM1695" s="1" t="s">
        <v>220</v>
      </c>
      <c r="CP1695" s="1" t="s">
        <v>224</v>
      </c>
      <c r="CS1695" s="1" t="s">
        <v>318</v>
      </c>
      <c r="CT1695" s="1" t="s">
        <v>277</v>
      </c>
      <c r="CU1695" s="1" t="s">
        <v>220</v>
      </c>
      <c r="CX1695" s="1" t="s">
        <v>224</v>
      </c>
      <c r="DB1695" s="1" t="s">
        <v>224</v>
      </c>
      <c r="DE1695" s="1" t="s">
        <v>758</v>
      </c>
      <c r="DF1695" s="1" t="s">
        <v>219</v>
      </c>
      <c r="DG1695" s="1" t="s">
        <v>226</v>
      </c>
      <c r="DJ1695" s="1" t="s">
        <v>224</v>
      </c>
      <c r="DS1695" s="1" t="s">
        <v>230</v>
      </c>
      <c r="DW1695" s="1" t="s">
        <v>230</v>
      </c>
      <c r="EA1695" s="1" t="s">
        <v>230</v>
      </c>
      <c r="EE1695" s="1" t="s">
        <v>230</v>
      </c>
      <c r="EI1695" s="1" t="s">
        <v>230</v>
      </c>
      <c r="EL1695" s="1" t="s">
        <v>231</v>
      </c>
      <c r="EM1695" s="1" t="s">
        <v>232</v>
      </c>
      <c r="EN1695" s="1" t="s">
        <v>1158</v>
      </c>
      <c r="EO1695" s="1" t="s">
        <v>234</v>
      </c>
      <c r="EP1695" s="1" t="s">
        <v>16090</v>
      </c>
      <c r="EQ1695" s="1" t="s">
        <v>3718</v>
      </c>
      <c r="ER1695" s="1" t="s">
        <v>544</v>
      </c>
      <c r="ES1695" s="1" t="s">
        <v>322</v>
      </c>
      <c r="EW1695" s="1" t="s">
        <v>937</v>
      </c>
      <c r="EY1695" s="1" t="s">
        <v>790</v>
      </c>
      <c r="EZ1695" s="1" t="s">
        <v>287</v>
      </c>
      <c r="FB1695" s="1" t="s">
        <v>734</v>
      </c>
      <c r="FC1695" s="1" t="s">
        <v>633</v>
      </c>
      <c r="FD1695" s="1" t="s">
        <v>246</v>
      </c>
      <c r="FE1695" s="1" t="s">
        <v>247</v>
      </c>
      <c r="FF1695" s="1" t="s">
        <v>248</v>
      </c>
      <c r="FH1695" s="1" t="s">
        <v>550</v>
      </c>
      <c r="FK1695" s="1" t="s">
        <v>2076</v>
      </c>
      <c r="FL1695" s="1" t="s">
        <v>16091</v>
      </c>
      <c r="FM1695" s="1" t="s">
        <v>252</v>
      </c>
      <c r="FN1695" s="1" t="s">
        <v>213</v>
      </c>
      <c r="FO1695" s="1" t="s">
        <v>213</v>
      </c>
      <c r="FQ1695" s="1" t="s">
        <v>2017</v>
      </c>
      <c r="FR1695" s="1" t="s">
        <v>210</v>
      </c>
      <c r="FS1695" s="1" t="s">
        <v>16092</v>
      </c>
      <c r="FT1695" s="1" t="s">
        <v>295</v>
      </c>
      <c r="FU1695" s="1" t="s">
        <v>204</v>
      </c>
      <c r="FW1695" s="1" t="s">
        <v>2019</v>
      </c>
      <c r="FX1695" s="1">
        <v>24007</v>
      </c>
      <c r="FY1695" s="1" t="s">
        <v>2020</v>
      </c>
      <c r="FZ1695" s="1" t="s">
        <v>16093</v>
      </c>
      <c r="GA1695" s="1">
        <v>215475</v>
      </c>
      <c r="GB1695" s="1" t="s">
        <v>2020</v>
      </c>
      <c r="GD1695" s="1" t="s">
        <v>16094</v>
      </c>
      <c r="GE1695" s="1" t="s">
        <v>480</v>
      </c>
      <c r="GH1695" s="1" t="s">
        <v>589</v>
      </c>
      <c r="GI1695" s="1" t="s">
        <v>213</v>
      </c>
      <c r="GJ1695" s="1" t="s">
        <v>260</v>
      </c>
      <c r="GK1695" s="1" t="s">
        <v>210</v>
      </c>
      <c r="GL1695" s="2">
        <v>41999</v>
      </c>
      <c r="GM1695" s="1" t="s">
        <v>16095</v>
      </c>
    </row>
    <row r="1696" spans="1:195">
      <c r="A1696" s="1">
        <v>60000</v>
      </c>
      <c r="B1696" s="1" t="s">
        <v>195</v>
      </c>
      <c r="C1696" s="1" t="str">
        <f>"08700453"</f>
        <v>08700453</v>
      </c>
      <c r="D1696" s="1" t="s">
        <v>196</v>
      </c>
      <c r="F1696" s="1" t="str">
        <f>"517"</f>
        <v>517</v>
      </c>
      <c r="G1696" s="2">
        <v>41864</v>
      </c>
      <c r="H1696" s="1">
        <v>89900</v>
      </c>
      <c r="I1696" s="1">
        <v>67000</v>
      </c>
      <c r="J1696" s="1">
        <v>60000</v>
      </c>
      <c r="K1696" s="2">
        <v>41864</v>
      </c>
      <c r="L1696" s="1">
        <v>174</v>
      </c>
      <c r="M1696" s="2">
        <v>42037</v>
      </c>
      <c r="N1696" s="1">
        <v>174</v>
      </c>
      <c r="O1696" s="2">
        <v>42037</v>
      </c>
      <c r="P1696" s="1">
        <v>23156</v>
      </c>
      <c r="Q1696" s="1" t="s">
        <v>197</v>
      </c>
      <c r="R1696" s="2">
        <v>42128</v>
      </c>
      <c r="S1696" s="1">
        <v>216147</v>
      </c>
      <c r="U1696" s="1">
        <v>2405</v>
      </c>
      <c r="V1696" s="1" t="s">
        <v>3308</v>
      </c>
      <c r="W1696" s="1" t="s">
        <v>725</v>
      </c>
      <c r="X1696" s="1">
        <v>4903</v>
      </c>
      <c r="Y1696" s="1">
        <v>6</v>
      </c>
      <c r="Z1696" s="1" t="s">
        <v>249</v>
      </c>
      <c r="AA1696" s="1" t="s">
        <v>2850</v>
      </c>
      <c r="AB1696" s="1">
        <v>60517</v>
      </c>
      <c r="AD1696" s="1" t="s">
        <v>2638</v>
      </c>
      <c r="AE1696" s="1" t="s">
        <v>16096</v>
      </c>
      <c r="AF1696" s="1">
        <v>1980</v>
      </c>
      <c r="AG1696" s="1" t="s">
        <v>204</v>
      </c>
      <c r="AH1696" s="1" t="s">
        <v>2853</v>
      </c>
      <c r="AI1696" s="1" t="s">
        <v>206</v>
      </c>
      <c r="AJ1696" s="1" t="s">
        <v>925</v>
      </c>
      <c r="AL1696" s="1">
        <v>5</v>
      </c>
      <c r="AM1696" s="1">
        <v>2</v>
      </c>
      <c r="AN1696" s="1">
        <v>1</v>
      </c>
      <c r="AO1696" s="1">
        <v>0</v>
      </c>
      <c r="AP1696" s="1" t="s">
        <v>210</v>
      </c>
      <c r="AR1696" s="1" t="s">
        <v>210</v>
      </c>
      <c r="AS1696" s="1" t="s">
        <v>204</v>
      </c>
      <c r="AT1696" s="1" t="s">
        <v>271</v>
      </c>
      <c r="AV1696" s="1">
        <v>2</v>
      </c>
      <c r="AW1696" s="1" t="s">
        <v>204</v>
      </c>
      <c r="AX1696" s="1" t="s">
        <v>212</v>
      </c>
      <c r="AZ1696" s="1">
        <v>1077</v>
      </c>
      <c r="BA1696" s="1">
        <v>2013</v>
      </c>
      <c r="BB1696" s="1" t="s">
        <v>405</v>
      </c>
      <c r="BE1696" s="1">
        <v>877</v>
      </c>
      <c r="BF1696" s="1">
        <v>2</v>
      </c>
      <c r="BG1696" s="1">
        <v>0</v>
      </c>
      <c r="BL1696" s="1">
        <v>333</v>
      </c>
      <c r="BM1696" s="1" t="s">
        <v>204</v>
      </c>
      <c r="BN1696" s="1" t="s">
        <v>213</v>
      </c>
      <c r="BO1696" s="1">
        <v>999</v>
      </c>
      <c r="BP1696" s="1" t="s">
        <v>204</v>
      </c>
      <c r="BR1696" s="1" t="str">
        <f>"0836109153"</f>
        <v>0836109153</v>
      </c>
      <c r="BT1696" s="1" t="s">
        <v>16097</v>
      </c>
      <c r="BX1696" s="1">
        <v>68</v>
      </c>
      <c r="BY1696" s="1">
        <v>68</v>
      </c>
      <c r="BZ1696" s="1">
        <v>99</v>
      </c>
      <c r="CB1696" s="1" t="str">
        <f t="shared" ref="CB1696:CC1696" si="1285">"0"</f>
        <v>0</v>
      </c>
      <c r="CC1696" s="1" t="str">
        <f t="shared" si="1285"/>
        <v>0</v>
      </c>
      <c r="CD1696" s="1">
        <v>21</v>
      </c>
      <c r="CE1696" s="1">
        <v>9</v>
      </c>
      <c r="CG1696" s="1" t="s">
        <v>2511</v>
      </c>
      <c r="CH1696" s="1" t="s">
        <v>219</v>
      </c>
      <c r="CI1696" s="1" t="s">
        <v>220</v>
      </c>
      <c r="CJ1696" s="1" t="s">
        <v>252</v>
      </c>
      <c r="CK1696" s="1" t="s">
        <v>465</v>
      </c>
      <c r="CL1696" s="1" t="s">
        <v>219</v>
      </c>
      <c r="CM1696" s="1" t="s">
        <v>220</v>
      </c>
      <c r="CO1696" s="1" t="s">
        <v>629</v>
      </c>
      <c r="CP1696" s="1" t="s">
        <v>219</v>
      </c>
      <c r="CS1696" s="1" t="s">
        <v>465</v>
      </c>
      <c r="CT1696" s="1" t="s">
        <v>219</v>
      </c>
      <c r="CU1696" s="1" t="s">
        <v>220</v>
      </c>
      <c r="CX1696" s="1" t="s">
        <v>224</v>
      </c>
      <c r="DB1696" s="1" t="s">
        <v>224</v>
      </c>
      <c r="DE1696" s="1" t="s">
        <v>346</v>
      </c>
      <c r="DF1696" s="1" t="s">
        <v>219</v>
      </c>
      <c r="DG1696" s="1" t="s">
        <v>342</v>
      </c>
      <c r="DH1696" s="1" t="s">
        <v>210</v>
      </c>
      <c r="DJ1696" s="1" t="s">
        <v>224</v>
      </c>
      <c r="DS1696" s="1" t="s">
        <v>230</v>
      </c>
      <c r="DW1696" s="1" t="s">
        <v>230</v>
      </c>
      <c r="EA1696" s="1" t="s">
        <v>230</v>
      </c>
      <c r="EE1696" s="1" t="s">
        <v>230</v>
      </c>
      <c r="EI1696" s="1" t="s">
        <v>230</v>
      </c>
      <c r="EL1696" s="1" t="s">
        <v>231</v>
      </c>
      <c r="EM1696" s="1" t="s">
        <v>232</v>
      </c>
      <c r="EN1696" s="1" t="s">
        <v>731</v>
      </c>
      <c r="EO1696" s="1" t="s">
        <v>1020</v>
      </c>
      <c r="EQ1696" s="1" t="s">
        <v>350</v>
      </c>
      <c r="ER1696" s="1" t="s">
        <v>210</v>
      </c>
      <c r="ET1696" s="1" t="s">
        <v>1752</v>
      </c>
      <c r="EW1696" s="1" t="s">
        <v>7092</v>
      </c>
      <c r="EY1696" s="1" t="s">
        <v>242</v>
      </c>
      <c r="EZ1696" s="1" t="s">
        <v>287</v>
      </c>
      <c r="FA1696" s="1" t="s">
        <v>1754</v>
      </c>
      <c r="FB1696" s="1" t="s">
        <v>1755</v>
      </c>
      <c r="FD1696" s="1" t="s">
        <v>736</v>
      </c>
      <c r="FE1696" s="1" t="s">
        <v>247</v>
      </c>
      <c r="FF1696" s="1" t="s">
        <v>387</v>
      </c>
      <c r="FH1696" s="1" t="s">
        <v>249</v>
      </c>
      <c r="FJ1696" s="1" t="s">
        <v>518</v>
      </c>
      <c r="FK1696" s="1" t="s">
        <v>891</v>
      </c>
      <c r="FL1696" s="1" t="s">
        <v>614</v>
      </c>
      <c r="FM1696" s="1" t="s">
        <v>252</v>
      </c>
      <c r="FN1696" s="1" t="s">
        <v>213</v>
      </c>
      <c r="FO1696" s="1" t="s">
        <v>213</v>
      </c>
      <c r="FQ1696" s="1" t="s">
        <v>1032</v>
      </c>
      <c r="FR1696" s="1" t="s">
        <v>210</v>
      </c>
      <c r="FS1696" s="1" t="s">
        <v>16098</v>
      </c>
      <c r="FT1696" s="1" t="s">
        <v>1408</v>
      </c>
      <c r="FU1696" s="1" t="s">
        <v>204</v>
      </c>
      <c r="FW1696" s="1" t="s">
        <v>8542</v>
      </c>
      <c r="FX1696" s="1">
        <v>61075</v>
      </c>
      <c r="FY1696" s="1" t="s">
        <v>8543</v>
      </c>
      <c r="FZ1696" s="1" t="s">
        <v>8544</v>
      </c>
      <c r="GA1696" s="1">
        <v>601905</v>
      </c>
      <c r="GB1696" s="1" t="s">
        <v>8545</v>
      </c>
      <c r="GC1696" s="1">
        <v>238123</v>
      </c>
      <c r="GD1696" s="1" t="s">
        <v>16099</v>
      </c>
      <c r="GE1696" s="1" t="s">
        <v>480</v>
      </c>
      <c r="GI1696" s="1" t="s">
        <v>213</v>
      </c>
      <c r="GJ1696" s="1" t="s">
        <v>260</v>
      </c>
      <c r="GK1696" s="1" t="s">
        <v>210</v>
      </c>
      <c r="GL1696" s="2">
        <v>42128</v>
      </c>
      <c r="GM1696" s="1" t="s">
        <v>16100</v>
      </c>
    </row>
    <row r="1697" spans="1:195">
      <c r="A1697" s="1">
        <v>106000</v>
      </c>
      <c r="B1697" s="1" t="s">
        <v>195</v>
      </c>
      <c r="C1697" s="1" t="str">
        <f>"08703560"</f>
        <v>08703560</v>
      </c>
      <c r="D1697" s="1" t="s">
        <v>196</v>
      </c>
      <c r="F1697" s="1" t="str">
        <f>"19"</f>
        <v>19</v>
      </c>
      <c r="G1697" s="2">
        <v>41867</v>
      </c>
      <c r="H1697" s="1">
        <v>109900</v>
      </c>
      <c r="I1697" s="1">
        <v>109900</v>
      </c>
      <c r="J1697" s="1">
        <v>106000</v>
      </c>
      <c r="K1697" s="2">
        <v>41867</v>
      </c>
      <c r="L1697" s="1">
        <v>55</v>
      </c>
      <c r="M1697" s="2">
        <v>41921</v>
      </c>
      <c r="N1697" s="1">
        <v>55</v>
      </c>
      <c r="O1697" s="2">
        <v>41921</v>
      </c>
      <c r="P1697" s="1">
        <v>2414</v>
      </c>
      <c r="Q1697" s="1" t="s">
        <v>423</v>
      </c>
      <c r="R1697" s="2">
        <v>41969</v>
      </c>
      <c r="S1697" s="1">
        <v>16030</v>
      </c>
      <c r="U1697" s="1">
        <v>210</v>
      </c>
      <c r="V1697" s="1" t="s">
        <v>12638</v>
      </c>
      <c r="W1697" s="1" t="s">
        <v>504</v>
      </c>
      <c r="Y1697" s="1">
        <v>4</v>
      </c>
      <c r="Z1697" s="1" t="s">
        <v>200</v>
      </c>
      <c r="AA1697" s="1" t="s">
        <v>1013</v>
      </c>
      <c r="AB1697" s="1">
        <v>60020</v>
      </c>
      <c r="AE1697" s="1" t="s">
        <v>16101</v>
      </c>
      <c r="AF1697" s="1">
        <v>2005</v>
      </c>
      <c r="AG1697" s="1" t="s">
        <v>204</v>
      </c>
      <c r="AH1697" s="1" t="s">
        <v>1015</v>
      </c>
      <c r="AI1697" s="1" t="s">
        <v>509</v>
      </c>
      <c r="AJ1697" s="1" t="s">
        <v>1016</v>
      </c>
      <c r="AL1697" s="1">
        <v>5</v>
      </c>
      <c r="AM1697" s="1">
        <v>2</v>
      </c>
      <c r="AN1697" s="1">
        <v>1</v>
      </c>
      <c r="AO1697" s="1">
        <v>1</v>
      </c>
      <c r="AP1697" s="1" t="s">
        <v>667</v>
      </c>
      <c r="AR1697" s="1" t="s">
        <v>210</v>
      </c>
      <c r="AS1697" s="1" t="s">
        <v>204</v>
      </c>
      <c r="AT1697" s="1" t="s">
        <v>211</v>
      </c>
      <c r="AU1697" s="1">
        <v>2</v>
      </c>
      <c r="AW1697" s="1" t="s">
        <v>204</v>
      </c>
      <c r="AX1697" s="1" t="s">
        <v>212</v>
      </c>
      <c r="AZ1697" s="1">
        <v>4375.82</v>
      </c>
      <c r="BA1697" s="1">
        <v>2013</v>
      </c>
      <c r="BB1697" s="1" t="s">
        <v>405</v>
      </c>
      <c r="BE1697" s="1">
        <v>1154</v>
      </c>
      <c r="BF1697" s="1">
        <v>0</v>
      </c>
      <c r="BG1697" s="1">
        <v>30</v>
      </c>
      <c r="BL1697" s="1">
        <v>107</v>
      </c>
      <c r="BM1697" s="1" t="s">
        <v>204</v>
      </c>
      <c r="BN1697" s="1" t="s">
        <v>213</v>
      </c>
      <c r="BO1697" s="1">
        <v>50</v>
      </c>
      <c r="BP1697" s="1" t="s">
        <v>204</v>
      </c>
      <c r="BR1697" s="1" t="str">
        <f>"05224040790000"</f>
        <v>05224040790000</v>
      </c>
      <c r="BT1697" s="1" t="s">
        <v>16102</v>
      </c>
      <c r="BX1697" s="1">
        <v>38</v>
      </c>
      <c r="BY1697" s="1">
        <v>38</v>
      </c>
      <c r="BZ1697" s="1">
        <v>124</v>
      </c>
      <c r="CB1697" s="1" t="str">
        <f t="shared" ref="CB1697:CC1697" si="1286">""</f>
        <v/>
      </c>
      <c r="CC1697" s="1" t="str">
        <f t="shared" si="1286"/>
        <v/>
      </c>
      <c r="CG1697" s="1" t="s">
        <v>315</v>
      </c>
      <c r="CH1697" s="1" t="s">
        <v>219</v>
      </c>
      <c r="CI1697" s="1" t="s">
        <v>220</v>
      </c>
      <c r="CK1697" s="1" t="s">
        <v>461</v>
      </c>
      <c r="CL1697" s="1" t="s">
        <v>277</v>
      </c>
      <c r="CM1697" s="1" t="s">
        <v>220</v>
      </c>
      <c r="CO1697" s="1" t="s">
        <v>346</v>
      </c>
      <c r="CP1697" s="1" t="s">
        <v>219</v>
      </c>
      <c r="CQ1697" s="1" t="s">
        <v>220</v>
      </c>
      <c r="CS1697" s="1" t="s">
        <v>1046</v>
      </c>
      <c r="CT1697" s="1" t="s">
        <v>277</v>
      </c>
      <c r="CU1697" s="1" t="s">
        <v>220</v>
      </c>
      <c r="CX1697" s="1" t="s">
        <v>224</v>
      </c>
      <c r="DB1697" s="1" t="s">
        <v>224</v>
      </c>
      <c r="DE1697" s="1" t="s">
        <v>2231</v>
      </c>
      <c r="DF1697" s="1" t="s">
        <v>219</v>
      </c>
      <c r="DG1697" s="1" t="s">
        <v>342</v>
      </c>
      <c r="DJ1697" s="1" t="s">
        <v>224</v>
      </c>
      <c r="DS1697" s="1" t="s">
        <v>230</v>
      </c>
      <c r="DW1697" s="1" t="s">
        <v>230</v>
      </c>
      <c r="EA1697" s="1" t="s">
        <v>230</v>
      </c>
      <c r="EE1697" s="1" t="s">
        <v>230</v>
      </c>
      <c r="EI1697" s="1" t="s">
        <v>230</v>
      </c>
      <c r="EL1697" s="1" t="s">
        <v>491</v>
      </c>
      <c r="EM1697" s="1" t="s">
        <v>319</v>
      </c>
      <c r="EN1697" s="1" t="s">
        <v>282</v>
      </c>
      <c r="EO1697" s="1" t="s">
        <v>234</v>
      </c>
      <c r="EQ1697" s="1" t="s">
        <v>468</v>
      </c>
      <c r="ER1697" s="1" t="s">
        <v>210</v>
      </c>
      <c r="EW1697" s="1" t="s">
        <v>7327</v>
      </c>
      <c r="EZ1697" s="1" t="s">
        <v>287</v>
      </c>
      <c r="FD1697" s="1" t="s">
        <v>246</v>
      </c>
      <c r="FE1697" s="1" t="s">
        <v>8709</v>
      </c>
      <c r="FF1697" s="1" t="s">
        <v>3103</v>
      </c>
      <c r="FH1697" s="1" t="s">
        <v>550</v>
      </c>
      <c r="FL1697" s="1" t="s">
        <v>358</v>
      </c>
      <c r="FM1697" s="1" t="s">
        <v>252</v>
      </c>
      <c r="FN1697" s="1" t="s">
        <v>213</v>
      </c>
      <c r="FO1697" s="1" t="s">
        <v>213</v>
      </c>
      <c r="FQ1697" s="1" t="s">
        <v>6294</v>
      </c>
      <c r="FR1697" s="1" t="s">
        <v>210</v>
      </c>
      <c r="FS1697" s="1" t="s">
        <v>16103</v>
      </c>
      <c r="FT1697" s="1" t="s">
        <v>295</v>
      </c>
      <c r="FU1697" s="1" t="s">
        <v>204</v>
      </c>
      <c r="FW1697" s="1" t="s">
        <v>16104</v>
      </c>
      <c r="FX1697" s="1">
        <v>15391</v>
      </c>
      <c r="FY1697" s="1" t="s">
        <v>10225</v>
      </c>
      <c r="FZ1697" s="1" t="s">
        <v>16105</v>
      </c>
      <c r="GA1697" s="1">
        <v>107272</v>
      </c>
      <c r="GB1697" s="1" t="s">
        <v>16106</v>
      </c>
      <c r="GE1697" s="1" t="s">
        <v>210</v>
      </c>
      <c r="GI1697" s="1" t="s">
        <v>213</v>
      </c>
      <c r="GJ1697" s="1" t="s">
        <v>300</v>
      </c>
      <c r="GK1697" s="1" t="s">
        <v>210</v>
      </c>
      <c r="GL1697" s="2">
        <v>41974</v>
      </c>
    </row>
    <row r="1698" spans="1:195">
      <c r="A1698" s="1">
        <v>96100</v>
      </c>
      <c r="B1698" s="1" t="s">
        <v>195</v>
      </c>
      <c r="C1698" s="1" t="str">
        <f>"08735528"</f>
        <v>08735528</v>
      </c>
      <c r="D1698" s="1" t="s">
        <v>196</v>
      </c>
      <c r="F1698" s="1" t="str">
        <f>"73"</f>
        <v>73</v>
      </c>
      <c r="G1698" s="2">
        <v>41905</v>
      </c>
      <c r="H1698" s="1">
        <v>109900</v>
      </c>
      <c r="I1698" s="1">
        <v>99900</v>
      </c>
      <c r="J1698" s="1">
        <v>96100</v>
      </c>
      <c r="K1698" s="2">
        <v>41905</v>
      </c>
      <c r="L1698" s="1">
        <v>50</v>
      </c>
      <c r="M1698" s="2">
        <v>41954</v>
      </c>
      <c r="N1698" s="1">
        <v>50</v>
      </c>
      <c r="O1698" s="2">
        <v>41954</v>
      </c>
      <c r="P1698" s="1">
        <v>8808</v>
      </c>
      <c r="Q1698" s="1" t="s">
        <v>197</v>
      </c>
      <c r="R1698" s="2">
        <v>42004</v>
      </c>
      <c r="S1698" s="1">
        <v>21166</v>
      </c>
      <c r="T1698" s="1">
        <v>2880</v>
      </c>
      <c r="U1698" s="1">
        <v>488</v>
      </c>
      <c r="V1698" s="1" t="s">
        <v>16107</v>
      </c>
      <c r="W1698" s="1" t="s">
        <v>264</v>
      </c>
      <c r="Y1698" s="1">
        <v>4</v>
      </c>
      <c r="Z1698" s="1" t="s">
        <v>370</v>
      </c>
      <c r="AA1698" s="1" t="s">
        <v>1259</v>
      </c>
      <c r="AB1698" s="1">
        <v>60073</v>
      </c>
      <c r="AE1698" s="1" t="s">
        <v>16108</v>
      </c>
      <c r="AF1698" s="1">
        <v>2004</v>
      </c>
      <c r="AG1698" s="1" t="s">
        <v>204</v>
      </c>
      <c r="AH1698" s="1" t="s">
        <v>1262</v>
      </c>
      <c r="AI1698" s="1" t="s">
        <v>509</v>
      </c>
      <c r="AJ1698" s="1" t="s">
        <v>1016</v>
      </c>
      <c r="AL1698" s="1">
        <v>6</v>
      </c>
      <c r="AM1698" s="1">
        <v>2</v>
      </c>
      <c r="AN1698" s="1">
        <v>1</v>
      </c>
      <c r="AO1698" s="1">
        <v>1</v>
      </c>
      <c r="AP1698" s="1" t="s">
        <v>455</v>
      </c>
      <c r="AR1698" s="1" t="s">
        <v>210</v>
      </c>
      <c r="AS1698" s="1" t="s">
        <v>204</v>
      </c>
      <c r="AT1698" s="1" t="s">
        <v>211</v>
      </c>
      <c r="AU1698" s="1">
        <v>2</v>
      </c>
      <c r="AW1698" s="1" t="s">
        <v>204</v>
      </c>
      <c r="AX1698" s="1" t="s">
        <v>212</v>
      </c>
      <c r="AZ1698" s="1">
        <v>3092.45</v>
      </c>
      <c r="BA1698" s="1">
        <v>2012</v>
      </c>
      <c r="BE1698" s="1">
        <v>1155</v>
      </c>
      <c r="BF1698" s="1">
        <v>1</v>
      </c>
      <c r="BG1698" s="1">
        <v>0</v>
      </c>
      <c r="BL1698" s="1">
        <v>147</v>
      </c>
      <c r="BM1698" s="1" t="s">
        <v>204</v>
      </c>
      <c r="BN1698" s="1" t="s">
        <v>213</v>
      </c>
      <c r="BO1698" s="1">
        <v>100</v>
      </c>
      <c r="BP1698" s="1" t="s">
        <v>204</v>
      </c>
      <c r="BR1698" s="1" t="str">
        <f>"05361010660000"</f>
        <v>05361010660000</v>
      </c>
      <c r="BT1698" s="1" t="s">
        <v>16109</v>
      </c>
      <c r="BX1698" s="1">
        <v>38</v>
      </c>
      <c r="BY1698" s="1">
        <v>38</v>
      </c>
      <c r="BZ1698" s="1">
        <v>124</v>
      </c>
      <c r="CB1698" s="1" t="str">
        <f t="shared" ref="CB1698:CC1698" si="1287">""</f>
        <v/>
      </c>
      <c r="CC1698" s="1" t="str">
        <f t="shared" si="1287"/>
        <v/>
      </c>
      <c r="CG1698" s="1" t="s">
        <v>1155</v>
      </c>
      <c r="CH1698" s="1" t="s">
        <v>219</v>
      </c>
      <c r="CK1698" s="1" t="s">
        <v>3151</v>
      </c>
      <c r="CL1698" s="1" t="s">
        <v>277</v>
      </c>
      <c r="CO1698" s="1" t="s">
        <v>409</v>
      </c>
      <c r="CP1698" s="1" t="s">
        <v>219</v>
      </c>
      <c r="CS1698" s="1" t="s">
        <v>836</v>
      </c>
      <c r="CT1698" s="1" t="s">
        <v>277</v>
      </c>
      <c r="CX1698" s="1" t="s">
        <v>224</v>
      </c>
      <c r="DB1698" s="1" t="s">
        <v>224</v>
      </c>
      <c r="DE1698" s="1" t="s">
        <v>465</v>
      </c>
      <c r="DF1698" s="1" t="s">
        <v>219</v>
      </c>
      <c r="DJ1698" s="1" t="s">
        <v>224</v>
      </c>
      <c r="DM1698" s="1" t="s">
        <v>464</v>
      </c>
      <c r="DR1698" s="1" t="s">
        <v>408</v>
      </c>
      <c r="DS1698" s="1" t="s">
        <v>277</v>
      </c>
      <c r="DW1698" s="1" t="s">
        <v>230</v>
      </c>
      <c r="EA1698" s="1" t="s">
        <v>230</v>
      </c>
      <c r="EE1698" s="1" t="s">
        <v>230</v>
      </c>
      <c r="EI1698" s="1" t="s">
        <v>230</v>
      </c>
      <c r="EL1698" s="1" t="s">
        <v>491</v>
      </c>
      <c r="EM1698" s="1" t="s">
        <v>319</v>
      </c>
      <c r="EN1698" s="1" t="s">
        <v>282</v>
      </c>
      <c r="EO1698" s="1" t="s">
        <v>234</v>
      </c>
      <c r="ER1698" s="1" t="s">
        <v>210</v>
      </c>
      <c r="EW1698" s="1" t="s">
        <v>1250</v>
      </c>
      <c r="EZ1698" s="1" t="s">
        <v>464</v>
      </c>
      <c r="FB1698" s="1" t="s">
        <v>289</v>
      </c>
      <c r="FD1698" s="1" t="s">
        <v>246</v>
      </c>
      <c r="FE1698" s="1" t="s">
        <v>1006</v>
      </c>
      <c r="FF1698" s="1" t="s">
        <v>248</v>
      </c>
      <c r="FH1698" s="1" t="s">
        <v>940</v>
      </c>
      <c r="FL1698" s="1" t="s">
        <v>358</v>
      </c>
      <c r="FM1698" s="1" t="s">
        <v>252</v>
      </c>
      <c r="FN1698" s="1" t="s">
        <v>213</v>
      </c>
      <c r="FO1698" s="1" t="s">
        <v>213</v>
      </c>
      <c r="FQ1698" s="1" t="s">
        <v>689</v>
      </c>
      <c r="FR1698" s="1" t="s">
        <v>210</v>
      </c>
      <c r="FS1698" s="1" t="s">
        <v>16110</v>
      </c>
      <c r="FT1698" s="1" t="s">
        <v>584</v>
      </c>
      <c r="FU1698" s="1" t="s">
        <v>204</v>
      </c>
      <c r="FW1698" s="1" t="s">
        <v>15703</v>
      </c>
      <c r="FX1698" s="1">
        <v>3319</v>
      </c>
      <c r="FY1698" s="1" t="s">
        <v>15704</v>
      </c>
      <c r="FZ1698" s="1" t="s">
        <v>15705</v>
      </c>
      <c r="GA1698" s="1">
        <v>35055</v>
      </c>
      <c r="GE1698" s="1" t="s">
        <v>210</v>
      </c>
      <c r="GH1698" s="1" t="s">
        <v>421</v>
      </c>
      <c r="GI1698" s="1" t="s">
        <v>213</v>
      </c>
      <c r="GJ1698" s="1" t="s">
        <v>260</v>
      </c>
      <c r="GK1698" s="1" t="s">
        <v>210</v>
      </c>
      <c r="GL1698" s="2">
        <v>42009</v>
      </c>
      <c r="GM1698" s="1" t="s">
        <v>16111</v>
      </c>
    </row>
    <row r="1699" spans="1:195">
      <c r="A1699" s="1">
        <v>213490</v>
      </c>
      <c r="B1699" s="1" t="s">
        <v>195</v>
      </c>
      <c r="C1699" s="1" t="str">
        <f>"08704891"</f>
        <v>08704891</v>
      </c>
      <c r="D1699" s="1" t="s">
        <v>196</v>
      </c>
      <c r="F1699" s="1" t="str">
        <f>"140"</f>
        <v>140</v>
      </c>
      <c r="G1699" s="2">
        <v>41869</v>
      </c>
      <c r="H1699" s="1">
        <v>239990</v>
      </c>
      <c r="I1699" s="1">
        <v>214990</v>
      </c>
      <c r="J1699" s="1">
        <v>213490</v>
      </c>
      <c r="K1699" s="2">
        <v>41869</v>
      </c>
      <c r="L1699" s="1">
        <v>83</v>
      </c>
      <c r="M1699" s="2">
        <v>41951</v>
      </c>
      <c r="N1699" s="1">
        <v>83</v>
      </c>
      <c r="O1699" s="2">
        <v>41951</v>
      </c>
      <c r="P1699" s="1" t="s">
        <v>1039</v>
      </c>
      <c r="Q1699" s="1" t="s">
        <v>197</v>
      </c>
      <c r="R1699" s="2">
        <v>41984</v>
      </c>
      <c r="S1699" s="1">
        <v>99995</v>
      </c>
      <c r="U1699" s="1">
        <v>1633</v>
      </c>
      <c r="V1699" s="1" t="s">
        <v>16014</v>
      </c>
      <c r="W1699" s="1" t="s">
        <v>264</v>
      </c>
      <c r="X1699" s="1">
        <v>2021</v>
      </c>
      <c r="Y1699" s="1">
        <v>2</v>
      </c>
      <c r="Z1699" s="1" t="s">
        <v>370</v>
      </c>
      <c r="AA1699" s="1" t="s">
        <v>744</v>
      </c>
      <c r="AB1699" s="1">
        <v>60140</v>
      </c>
      <c r="AD1699" s="1" t="s">
        <v>1449</v>
      </c>
      <c r="AE1699" s="1" t="s">
        <v>1785</v>
      </c>
      <c r="AF1699" s="1">
        <v>2014</v>
      </c>
      <c r="AG1699" s="1" t="s">
        <v>204</v>
      </c>
      <c r="AH1699" s="1" t="s">
        <v>747</v>
      </c>
      <c r="AI1699" s="1" t="s">
        <v>665</v>
      </c>
      <c r="AJ1699" s="1" t="s">
        <v>748</v>
      </c>
      <c r="AK1699" s="1" t="s">
        <v>1786</v>
      </c>
      <c r="AL1699" s="1">
        <v>7</v>
      </c>
      <c r="AM1699" s="1">
        <v>2</v>
      </c>
      <c r="AN1699" s="1">
        <v>2</v>
      </c>
      <c r="AO1699" s="1">
        <v>0</v>
      </c>
      <c r="AP1699" s="1" t="s">
        <v>209</v>
      </c>
      <c r="AR1699" s="1" t="s">
        <v>210</v>
      </c>
      <c r="AS1699" s="1" t="s">
        <v>204</v>
      </c>
      <c r="AT1699" s="1" t="s">
        <v>211</v>
      </c>
      <c r="AU1699" s="1">
        <v>2</v>
      </c>
      <c r="AW1699" s="1" t="s">
        <v>213</v>
      </c>
      <c r="AX1699" s="1" t="s">
        <v>1452</v>
      </c>
      <c r="AZ1699" s="1" t="s">
        <v>751</v>
      </c>
      <c r="BA1699" s="1">
        <v>2013</v>
      </c>
      <c r="BE1699" s="1">
        <v>1800</v>
      </c>
      <c r="BF1699" s="1">
        <v>1</v>
      </c>
      <c r="BG1699" s="1">
        <v>0</v>
      </c>
      <c r="BL1699" s="1">
        <v>186</v>
      </c>
      <c r="BM1699" s="1" t="s">
        <v>204</v>
      </c>
      <c r="BN1699" s="1" t="s">
        <v>213</v>
      </c>
      <c r="BO1699" s="1">
        <v>999</v>
      </c>
      <c r="BP1699" s="1" t="s">
        <v>213</v>
      </c>
      <c r="BQ1699" s="2">
        <v>41869</v>
      </c>
      <c r="BR1699" s="1" t="str">
        <f>"0228180022"</f>
        <v>0228180022</v>
      </c>
      <c r="BT1699" s="1" t="s">
        <v>16112</v>
      </c>
      <c r="BX1699" s="1">
        <v>300</v>
      </c>
      <c r="BY1699" s="1">
        <v>300</v>
      </c>
      <c r="BZ1699" s="1">
        <v>300</v>
      </c>
      <c r="CB1699" s="1" t="str">
        <f t="shared" ref="CB1699:CC1699" si="1288">""</f>
        <v/>
      </c>
      <c r="CC1699" s="1" t="str">
        <f t="shared" si="1288"/>
        <v/>
      </c>
      <c r="CG1699" s="1" t="s">
        <v>602</v>
      </c>
      <c r="CH1699" s="1" t="s">
        <v>219</v>
      </c>
      <c r="CI1699" s="1" t="s">
        <v>438</v>
      </c>
      <c r="CK1699" s="1" t="s">
        <v>1788</v>
      </c>
      <c r="CL1699" s="1" t="s">
        <v>219</v>
      </c>
      <c r="CM1699" s="1" t="s">
        <v>220</v>
      </c>
      <c r="CO1699" s="1" t="s">
        <v>602</v>
      </c>
      <c r="CP1699" s="1" t="s">
        <v>219</v>
      </c>
      <c r="CQ1699" s="1" t="s">
        <v>438</v>
      </c>
      <c r="CS1699" s="1" t="s">
        <v>1107</v>
      </c>
      <c r="CT1699" s="1" t="s">
        <v>219</v>
      </c>
      <c r="CU1699" s="1" t="s">
        <v>220</v>
      </c>
      <c r="CX1699" s="1" t="s">
        <v>224</v>
      </c>
      <c r="DB1699" s="1" t="s">
        <v>224</v>
      </c>
      <c r="DE1699" s="1" t="s">
        <v>1107</v>
      </c>
      <c r="DF1699" s="1" t="s">
        <v>219</v>
      </c>
      <c r="DG1699" s="1" t="s">
        <v>438</v>
      </c>
      <c r="DJ1699" s="1" t="s">
        <v>224</v>
      </c>
      <c r="DM1699" s="1" t="s">
        <v>1005</v>
      </c>
      <c r="DN1699" s="1" t="s">
        <v>1789</v>
      </c>
      <c r="DR1699" s="1" t="s">
        <v>348</v>
      </c>
      <c r="DS1699" s="1" t="s">
        <v>219</v>
      </c>
      <c r="DT1699" s="1" t="s">
        <v>220</v>
      </c>
      <c r="DV1699" s="1" t="s">
        <v>837</v>
      </c>
      <c r="DW1699" s="1" t="s">
        <v>219</v>
      </c>
      <c r="DX1699" s="1" t="s">
        <v>438</v>
      </c>
      <c r="EA1699" s="1" t="s">
        <v>230</v>
      </c>
      <c r="EE1699" s="1" t="s">
        <v>230</v>
      </c>
      <c r="EI1699" s="1" t="s">
        <v>230</v>
      </c>
      <c r="EL1699" s="1" t="s">
        <v>1455</v>
      </c>
      <c r="EM1699" s="1" t="s">
        <v>319</v>
      </c>
      <c r="EN1699" s="1" t="s">
        <v>282</v>
      </c>
      <c r="EO1699" s="1" t="s">
        <v>234</v>
      </c>
      <c r="EP1699" s="1" t="s">
        <v>16113</v>
      </c>
      <c r="ER1699" s="1" t="s">
        <v>383</v>
      </c>
      <c r="ES1699" s="1" t="s">
        <v>1791</v>
      </c>
      <c r="ET1699" s="1" t="s">
        <v>238</v>
      </c>
      <c r="EU1699" s="1" t="s">
        <v>610</v>
      </c>
      <c r="EV1699" s="1" t="s">
        <v>240</v>
      </c>
      <c r="EW1699" s="1" t="s">
        <v>1792</v>
      </c>
      <c r="EX1699" s="1" t="s">
        <v>16114</v>
      </c>
      <c r="EY1699" s="1" t="s">
        <v>790</v>
      </c>
      <c r="EZ1699" s="1" t="s">
        <v>1794</v>
      </c>
      <c r="FD1699" s="1" t="s">
        <v>246</v>
      </c>
      <c r="FE1699" s="1" t="s">
        <v>975</v>
      </c>
      <c r="FF1699" s="1" t="s">
        <v>248</v>
      </c>
      <c r="FH1699" s="1" t="s">
        <v>442</v>
      </c>
      <c r="FI1699" s="1" t="s">
        <v>357</v>
      </c>
      <c r="FL1699" s="1" t="s">
        <v>358</v>
      </c>
      <c r="FM1699" s="1" t="s">
        <v>252</v>
      </c>
      <c r="FN1699" s="1" t="s">
        <v>213</v>
      </c>
      <c r="FO1699" s="1" t="s">
        <v>213</v>
      </c>
      <c r="FQ1699" s="1" t="s">
        <v>582</v>
      </c>
      <c r="FR1699" s="1" t="s">
        <v>210</v>
      </c>
      <c r="FS1699" s="1" t="s">
        <v>16115</v>
      </c>
      <c r="FT1699" s="1" t="s">
        <v>771</v>
      </c>
      <c r="FU1699" s="1" t="s">
        <v>204</v>
      </c>
      <c r="FW1699" s="1" t="s">
        <v>772</v>
      </c>
      <c r="FX1699" s="1">
        <v>92038</v>
      </c>
      <c r="FY1699" s="1" t="s">
        <v>773</v>
      </c>
      <c r="FZ1699" s="1" t="s">
        <v>774</v>
      </c>
      <c r="GA1699" s="1">
        <v>21137</v>
      </c>
      <c r="GB1699" s="1" t="s">
        <v>775</v>
      </c>
      <c r="GE1699" s="1" t="s">
        <v>623</v>
      </c>
      <c r="GI1699" s="1" t="s">
        <v>204</v>
      </c>
      <c r="GJ1699" s="1" t="s">
        <v>260</v>
      </c>
      <c r="GK1699" s="1" t="s">
        <v>210</v>
      </c>
      <c r="GL1699" s="2">
        <v>41989</v>
      </c>
      <c r="GM1699" s="1" t="s">
        <v>16116</v>
      </c>
    </row>
    <row r="1700" spans="1:195">
      <c r="A1700" s="1">
        <v>143500</v>
      </c>
      <c r="B1700" s="1" t="s">
        <v>195</v>
      </c>
      <c r="C1700" s="1" t="str">
        <f>"08710442"</f>
        <v>08710442</v>
      </c>
      <c r="D1700" s="1" t="s">
        <v>196</v>
      </c>
      <c r="F1700" s="1" t="str">
        <f>"188"</f>
        <v>188</v>
      </c>
      <c r="G1700" s="2">
        <v>41876</v>
      </c>
      <c r="H1700" s="1">
        <v>155000</v>
      </c>
      <c r="I1700" s="1">
        <v>149900</v>
      </c>
      <c r="J1700" s="1">
        <v>143500</v>
      </c>
      <c r="K1700" s="2">
        <v>41876</v>
      </c>
      <c r="L1700" s="1">
        <v>46</v>
      </c>
      <c r="M1700" s="2">
        <v>41921</v>
      </c>
      <c r="N1700" s="1">
        <v>46</v>
      </c>
      <c r="O1700" s="2">
        <v>41921</v>
      </c>
      <c r="P1700" s="1">
        <v>8073</v>
      </c>
      <c r="Q1700" s="1" t="s">
        <v>197</v>
      </c>
      <c r="R1700" s="2">
        <v>42041</v>
      </c>
      <c r="S1700" s="1">
        <v>253331</v>
      </c>
      <c r="U1700" s="1">
        <v>1073</v>
      </c>
      <c r="V1700" s="1" t="s">
        <v>16117</v>
      </c>
      <c r="W1700" s="1" t="s">
        <v>264</v>
      </c>
      <c r="Y1700" s="1">
        <v>6</v>
      </c>
      <c r="Z1700" s="1" t="s">
        <v>249</v>
      </c>
      <c r="AA1700" s="1" t="s">
        <v>1084</v>
      </c>
      <c r="AB1700" s="1">
        <v>60188</v>
      </c>
      <c r="AD1700" s="1" t="s">
        <v>16118</v>
      </c>
      <c r="AE1700" s="1" t="s">
        <v>16119</v>
      </c>
      <c r="AF1700" s="1">
        <v>1989</v>
      </c>
      <c r="AG1700" s="1" t="s">
        <v>204</v>
      </c>
      <c r="AH1700" s="1" t="s">
        <v>1087</v>
      </c>
      <c r="AI1700" s="1" t="s">
        <v>206</v>
      </c>
      <c r="AJ1700" s="1" t="s">
        <v>2654</v>
      </c>
      <c r="AK1700" s="1" t="s">
        <v>8772</v>
      </c>
      <c r="AL1700" s="1">
        <v>6</v>
      </c>
      <c r="AM1700" s="1">
        <v>2</v>
      </c>
      <c r="AN1700" s="1">
        <v>2</v>
      </c>
      <c r="AO1700" s="1">
        <v>1</v>
      </c>
      <c r="AP1700" s="1" t="s">
        <v>209</v>
      </c>
      <c r="AQ1700" s="1">
        <v>1</v>
      </c>
      <c r="AR1700" s="1" t="s">
        <v>210</v>
      </c>
      <c r="AS1700" s="1" t="s">
        <v>204</v>
      </c>
      <c r="AT1700" s="1" t="s">
        <v>211</v>
      </c>
      <c r="AU1700" s="1">
        <v>1</v>
      </c>
      <c r="AW1700" s="1" t="s">
        <v>204</v>
      </c>
      <c r="AX1700" s="1" t="s">
        <v>212</v>
      </c>
      <c r="AZ1700" s="1">
        <v>4425.6000000000004</v>
      </c>
      <c r="BA1700" s="1">
        <v>2013</v>
      </c>
      <c r="BB1700" s="1" t="s">
        <v>405</v>
      </c>
      <c r="BE1700" s="1">
        <v>1336</v>
      </c>
      <c r="BF1700" s="1">
        <v>1</v>
      </c>
      <c r="BG1700" s="1">
        <v>0</v>
      </c>
      <c r="BL1700" s="1">
        <v>259</v>
      </c>
      <c r="BM1700" s="1" t="s">
        <v>204</v>
      </c>
      <c r="BN1700" s="1" t="s">
        <v>213</v>
      </c>
      <c r="BO1700" s="1">
        <v>50</v>
      </c>
      <c r="BP1700" s="1" t="s">
        <v>204</v>
      </c>
      <c r="BR1700" s="1" t="str">
        <f>"0124114069"</f>
        <v>0124114069</v>
      </c>
      <c r="BT1700" s="1" t="s">
        <v>16120</v>
      </c>
      <c r="BU1700" s="1" t="s">
        <v>3438</v>
      </c>
      <c r="BV1700" s="1" t="s">
        <v>1502</v>
      </c>
      <c r="BW1700" s="1" t="s">
        <v>1092</v>
      </c>
      <c r="BX1700" s="1">
        <v>93</v>
      </c>
      <c r="BY1700" s="1">
        <v>93</v>
      </c>
      <c r="BZ1700" s="1">
        <v>87</v>
      </c>
      <c r="CB1700" s="1" t="str">
        <f t="shared" ref="CB1700:CC1700" si="1289">""</f>
        <v/>
      </c>
      <c r="CC1700" s="1" t="str">
        <f t="shared" si="1289"/>
        <v/>
      </c>
      <c r="CG1700" s="1" t="s">
        <v>2935</v>
      </c>
      <c r="CH1700" s="1" t="s">
        <v>219</v>
      </c>
      <c r="CI1700" s="1" t="s">
        <v>438</v>
      </c>
      <c r="CJ1700" s="1" t="s">
        <v>343</v>
      </c>
      <c r="CK1700" s="1" t="s">
        <v>3083</v>
      </c>
      <c r="CL1700" s="1" t="s">
        <v>277</v>
      </c>
      <c r="CM1700" s="1" t="s">
        <v>220</v>
      </c>
      <c r="CN1700" s="1" t="s">
        <v>343</v>
      </c>
      <c r="CO1700" s="1" t="s">
        <v>318</v>
      </c>
      <c r="CP1700" s="1" t="s">
        <v>219</v>
      </c>
      <c r="CQ1700" s="1" t="s">
        <v>438</v>
      </c>
      <c r="CR1700" s="1" t="s">
        <v>343</v>
      </c>
      <c r="CS1700" s="1" t="s">
        <v>346</v>
      </c>
      <c r="CT1700" s="1" t="s">
        <v>277</v>
      </c>
      <c r="CU1700" s="1" t="s">
        <v>220</v>
      </c>
      <c r="CV1700" s="1" t="s">
        <v>343</v>
      </c>
      <c r="CX1700" s="1" t="s">
        <v>224</v>
      </c>
      <c r="DB1700" s="1" t="s">
        <v>224</v>
      </c>
      <c r="DE1700" s="1" t="s">
        <v>836</v>
      </c>
      <c r="DF1700" s="1" t="s">
        <v>219</v>
      </c>
      <c r="DG1700" s="1" t="s">
        <v>438</v>
      </c>
      <c r="DJ1700" s="1" t="s">
        <v>224</v>
      </c>
      <c r="DM1700" s="1" t="s">
        <v>464</v>
      </c>
      <c r="DR1700" s="1" t="s">
        <v>318</v>
      </c>
      <c r="DS1700" s="1" t="s">
        <v>277</v>
      </c>
      <c r="DT1700" s="1" t="s">
        <v>438</v>
      </c>
      <c r="DW1700" s="1" t="s">
        <v>230</v>
      </c>
      <c r="EA1700" s="1" t="s">
        <v>230</v>
      </c>
      <c r="EE1700" s="1" t="s">
        <v>230</v>
      </c>
      <c r="EI1700" s="1" t="s">
        <v>230</v>
      </c>
      <c r="EL1700" s="1" t="s">
        <v>382</v>
      </c>
      <c r="EM1700" s="1" t="s">
        <v>232</v>
      </c>
      <c r="EN1700" s="1" t="s">
        <v>282</v>
      </c>
      <c r="EO1700" s="1" t="s">
        <v>234</v>
      </c>
      <c r="EP1700" s="1" t="s">
        <v>1268</v>
      </c>
      <c r="EQ1700" s="1" t="s">
        <v>236</v>
      </c>
      <c r="ER1700" s="1" t="s">
        <v>210</v>
      </c>
      <c r="ES1700" s="1" t="s">
        <v>322</v>
      </c>
      <c r="EV1700" s="1" t="s">
        <v>352</v>
      </c>
      <c r="EW1700" s="1" t="s">
        <v>887</v>
      </c>
      <c r="EZ1700" s="1" t="s">
        <v>464</v>
      </c>
      <c r="FA1700" s="1" t="s">
        <v>714</v>
      </c>
      <c r="FB1700" s="1" t="s">
        <v>289</v>
      </c>
      <c r="FD1700" s="1" t="s">
        <v>246</v>
      </c>
      <c r="FE1700" s="1" t="s">
        <v>472</v>
      </c>
      <c r="FF1700" s="1" t="s">
        <v>387</v>
      </c>
      <c r="FG1700" s="1" t="s">
        <v>1682</v>
      </c>
      <c r="FH1700" s="1" t="s">
        <v>550</v>
      </c>
      <c r="FI1700" s="1" t="s">
        <v>473</v>
      </c>
      <c r="FJ1700" s="1" t="s">
        <v>197</v>
      </c>
      <c r="FL1700" s="1" t="s">
        <v>358</v>
      </c>
      <c r="FM1700" s="1" t="s">
        <v>252</v>
      </c>
      <c r="FN1700" s="1" t="s">
        <v>213</v>
      </c>
      <c r="FO1700" s="1" t="s">
        <v>213</v>
      </c>
      <c r="FQ1700" s="1" t="s">
        <v>1473</v>
      </c>
      <c r="FR1700" s="1" t="s">
        <v>210</v>
      </c>
      <c r="FS1700" s="1" t="s">
        <v>16121</v>
      </c>
      <c r="FT1700" s="1" t="s">
        <v>16122</v>
      </c>
      <c r="FU1700" s="1" t="s">
        <v>204</v>
      </c>
      <c r="FW1700" s="1" t="s">
        <v>1097</v>
      </c>
      <c r="FX1700" s="1">
        <v>25005</v>
      </c>
      <c r="FY1700" s="1" t="s">
        <v>1098</v>
      </c>
      <c r="FZ1700" s="1" t="s">
        <v>16123</v>
      </c>
      <c r="GA1700" s="1">
        <v>255966</v>
      </c>
      <c r="GB1700" s="1" t="s">
        <v>16124</v>
      </c>
      <c r="GE1700" s="1" t="s">
        <v>480</v>
      </c>
      <c r="GI1700" s="1" t="s">
        <v>213</v>
      </c>
      <c r="GJ1700" s="1" t="s">
        <v>260</v>
      </c>
      <c r="GK1700" s="1" t="s">
        <v>210</v>
      </c>
      <c r="GL1700" s="2">
        <v>42041</v>
      </c>
      <c r="GM1700" s="1" t="s">
        <v>16125</v>
      </c>
    </row>
    <row r="1701" spans="1:195">
      <c r="A1701" s="1">
        <v>109900</v>
      </c>
      <c r="B1701" s="1" t="s">
        <v>195</v>
      </c>
      <c r="C1701" s="1" t="str">
        <f>"08712359"</f>
        <v>08712359</v>
      </c>
      <c r="D1701" s="1" t="s">
        <v>196</v>
      </c>
      <c r="F1701" s="1" t="str">
        <f>"73"</f>
        <v>73</v>
      </c>
      <c r="G1701" s="2">
        <v>41878</v>
      </c>
      <c r="H1701" s="1">
        <v>114900</v>
      </c>
      <c r="I1701" s="1">
        <v>109900</v>
      </c>
      <c r="J1701" s="1">
        <v>109900</v>
      </c>
      <c r="K1701" s="2">
        <v>41878</v>
      </c>
      <c r="L1701" s="1">
        <v>71</v>
      </c>
      <c r="M1701" s="2">
        <v>41948</v>
      </c>
      <c r="N1701" s="1">
        <v>71</v>
      </c>
      <c r="O1701" s="2">
        <v>41948</v>
      </c>
      <c r="P1701" s="1">
        <v>2648</v>
      </c>
      <c r="Q1701" s="1" t="s">
        <v>197</v>
      </c>
      <c r="R1701" s="2">
        <v>42109</v>
      </c>
      <c r="S1701" s="1">
        <v>10152</v>
      </c>
      <c r="U1701" s="1">
        <v>751</v>
      </c>
      <c r="V1701" s="1" t="s">
        <v>2731</v>
      </c>
      <c r="W1701" s="1" t="s">
        <v>504</v>
      </c>
      <c r="Y1701" s="1">
        <v>2</v>
      </c>
      <c r="Z1701" s="1" t="s">
        <v>200</v>
      </c>
      <c r="AA1701" s="1" t="s">
        <v>1259</v>
      </c>
      <c r="AB1701" s="1">
        <v>60073</v>
      </c>
      <c r="AE1701" s="1" t="s">
        <v>16126</v>
      </c>
      <c r="AF1701" s="1">
        <v>2002</v>
      </c>
      <c r="AG1701" s="1" t="s">
        <v>204</v>
      </c>
      <c r="AH1701" s="1" t="s">
        <v>1262</v>
      </c>
      <c r="AI1701" s="1" t="s">
        <v>509</v>
      </c>
      <c r="AJ1701" s="1" t="s">
        <v>1263</v>
      </c>
      <c r="AL1701" s="1">
        <v>5</v>
      </c>
      <c r="AM1701" s="1">
        <v>2</v>
      </c>
      <c r="AN1701" s="1">
        <v>1</v>
      </c>
      <c r="AO1701" s="1">
        <v>1</v>
      </c>
      <c r="AP1701" s="1" t="s">
        <v>667</v>
      </c>
      <c r="AR1701" s="1" t="s">
        <v>210</v>
      </c>
      <c r="AS1701" s="1" t="s">
        <v>204</v>
      </c>
      <c r="AT1701" s="1" t="s">
        <v>211</v>
      </c>
      <c r="AU1701" s="1">
        <v>2</v>
      </c>
      <c r="AW1701" s="1" t="s">
        <v>204</v>
      </c>
      <c r="AX1701" s="1" t="s">
        <v>16127</v>
      </c>
      <c r="AZ1701" s="1">
        <v>5086.58</v>
      </c>
      <c r="BA1701" s="1">
        <v>2013</v>
      </c>
      <c r="BB1701" s="1" t="s">
        <v>405</v>
      </c>
      <c r="BE1701" s="1">
        <v>1312</v>
      </c>
      <c r="BF1701" s="1">
        <v>1</v>
      </c>
      <c r="BG1701" s="1">
        <v>0</v>
      </c>
      <c r="BL1701" s="1">
        <v>67</v>
      </c>
      <c r="BM1701" s="1" t="s">
        <v>204</v>
      </c>
      <c r="BN1701" s="1" t="s">
        <v>213</v>
      </c>
      <c r="BO1701" s="1">
        <v>999</v>
      </c>
      <c r="BP1701" s="1" t="s">
        <v>204</v>
      </c>
      <c r="BR1701" s="1" t="str">
        <f>"06324060950000"</f>
        <v>06324060950000</v>
      </c>
      <c r="BT1701" s="1" t="s">
        <v>16128</v>
      </c>
      <c r="BU1701" s="1" t="s">
        <v>5332</v>
      </c>
      <c r="BV1701" s="1" t="s">
        <v>1842</v>
      </c>
      <c r="BW1701" s="1" t="s">
        <v>1843</v>
      </c>
      <c r="BX1701" s="1">
        <v>46</v>
      </c>
      <c r="BY1701" s="1">
        <v>46</v>
      </c>
      <c r="BZ1701" s="1">
        <v>127</v>
      </c>
      <c r="CB1701" s="1" t="str">
        <f t="shared" ref="CB1701:CC1701" si="1290">""</f>
        <v/>
      </c>
      <c r="CC1701" s="1" t="str">
        <f t="shared" si="1290"/>
        <v/>
      </c>
      <c r="CG1701" s="1" t="s">
        <v>2122</v>
      </c>
      <c r="CH1701" s="1" t="s">
        <v>219</v>
      </c>
      <c r="CI1701" s="1" t="s">
        <v>220</v>
      </c>
      <c r="CJ1701" s="1" t="s">
        <v>343</v>
      </c>
      <c r="CK1701" s="1" t="s">
        <v>757</v>
      </c>
      <c r="CL1701" s="1" t="s">
        <v>277</v>
      </c>
      <c r="CM1701" s="1" t="s">
        <v>229</v>
      </c>
      <c r="CN1701" s="1" t="s">
        <v>343</v>
      </c>
      <c r="CO1701" s="1" t="s">
        <v>1046</v>
      </c>
      <c r="CP1701" s="1" t="s">
        <v>219</v>
      </c>
      <c r="CQ1701" s="1" t="s">
        <v>229</v>
      </c>
      <c r="CR1701" s="1" t="s">
        <v>343</v>
      </c>
      <c r="CS1701" s="1" t="s">
        <v>461</v>
      </c>
      <c r="CT1701" s="1" t="s">
        <v>277</v>
      </c>
      <c r="CU1701" s="1" t="s">
        <v>220</v>
      </c>
      <c r="CV1701" s="1" t="s">
        <v>343</v>
      </c>
      <c r="CX1701" s="1" t="s">
        <v>224</v>
      </c>
      <c r="DB1701" s="1" t="s">
        <v>224</v>
      </c>
      <c r="DE1701" s="1" t="s">
        <v>1358</v>
      </c>
      <c r="DF1701" s="1" t="s">
        <v>219</v>
      </c>
      <c r="DG1701" s="1" t="s">
        <v>229</v>
      </c>
      <c r="DJ1701" s="1" t="s">
        <v>224</v>
      </c>
      <c r="DS1701" s="1" t="s">
        <v>230</v>
      </c>
      <c r="DW1701" s="1" t="s">
        <v>230</v>
      </c>
      <c r="EA1701" s="1" t="s">
        <v>230</v>
      </c>
      <c r="EE1701" s="1" t="s">
        <v>230</v>
      </c>
      <c r="EI1701" s="1" t="s">
        <v>230</v>
      </c>
      <c r="EL1701" s="1" t="s">
        <v>466</v>
      </c>
      <c r="EM1701" s="1" t="s">
        <v>319</v>
      </c>
      <c r="EN1701" s="1" t="s">
        <v>282</v>
      </c>
      <c r="EO1701" s="1" t="s">
        <v>234</v>
      </c>
      <c r="EQ1701" s="1" t="s">
        <v>492</v>
      </c>
      <c r="ER1701" s="1" t="s">
        <v>210</v>
      </c>
      <c r="EW1701" s="1" t="s">
        <v>347</v>
      </c>
      <c r="EZ1701" s="1" t="s">
        <v>287</v>
      </c>
      <c r="FD1701" s="1" t="s">
        <v>246</v>
      </c>
      <c r="FE1701" s="1" t="s">
        <v>472</v>
      </c>
      <c r="FF1701" s="1" t="s">
        <v>248</v>
      </c>
      <c r="FH1701" s="1" t="s">
        <v>442</v>
      </c>
      <c r="FI1701" s="1" t="s">
        <v>5459</v>
      </c>
      <c r="FL1701" s="1" t="s">
        <v>358</v>
      </c>
      <c r="FM1701" s="1" t="s">
        <v>252</v>
      </c>
      <c r="FN1701" s="1" t="s">
        <v>213</v>
      </c>
      <c r="FO1701" s="1" t="s">
        <v>213</v>
      </c>
      <c r="FQ1701" s="1" t="s">
        <v>12835</v>
      </c>
      <c r="FR1701" s="1" t="s">
        <v>360</v>
      </c>
      <c r="FS1701" s="1" t="s">
        <v>4138</v>
      </c>
      <c r="FT1701" s="1" t="s">
        <v>1182</v>
      </c>
      <c r="FU1701" s="1" t="s">
        <v>204</v>
      </c>
      <c r="FW1701" s="1" t="s">
        <v>5379</v>
      </c>
      <c r="FX1701" s="1">
        <v>2472</v>
      </c>
      <c r="FY1701" s="1" t="s">
        <v>5380</v>
      </c>
      <c r="FZ1701" s="1" t="s">
        <v>16129</v>
      </c>
      <c r="GA1701" s="1">
        <v>13091</v>
      </c>
      <c r="GB1701" s="1" t="s">
        <v>16130</v>
      </c>
      <c r="GE1701" s="1" t="s">
        <v>1256</v>
      </c>
      <c r="GH1701" s="1" t="s">
        <v>421</v>
      </c>
      <c r="GI1701" s="1" t="s">
        <v>213</v>
      </c>
      <c r="GJ1701" s="1" t="s">
        <v>260</v>
      </c>
      <c r="GK1701" s="1" t="s">
        <v>210</v>
      </c>
      <c r="GL1701" s="2">
        <v>42109</v>
      </c>
      <c r="GM1701" s="1" t="s">
        <v>16131</v>
      </c>
    </row>
    <row r="1702" spans="1:195">
      <c r="A1702" s="1">
        <v>139000</v>
      </c>
      <c r="B1702" s="1" t="s">
        <v>195</v>
      </c>
      <c r="C1702" s="1" t="str">
        <f>"08708660"</f>
        <v>08708660</v>
      </c>
      <c r="D1702" s="1" t="s">
        <v>196</v>
      </c>
      <c r="F1702" s="1" t="str">
        <f>"540"</f>
        <v>540</v>
      </c>
      <c r="G1702" s="2">
        <v>41873</v>
      </c>
      <c r="H1702" s="1">
        <v>159900</v>
      </c>
      <c r="I1702" s="1">
        <v>154500</v>
      </c>
      <c r="J1702" s="1">
        <v>139000</v>
      </c>
      <c r="K1702" s="2">
        <v>41871</v>
      </c>
      <c r="L1702" s="1">
        <v>93</v>
      </c>
      <c r="M1702" s="2">
        <v>41963</v>
      </c>
      <c r="N1702" s="1">
        <v>93</v>
      </c>
      <c r="O1702" s="2">
        <v>41963</v>
      </c>
      <c r="P1702" s="1">
        <v>25163</v>
      </c>
      <c r="Q1702" s="1" t="s">
        <v>197</v>
      </c>
      <c r="R1702" s="2">
        <v>42020</v>
      </c>
      <c r="S1702" s="1">
        <v>259363</v>
      </c>
      <c r="U1702" s="1">
        <v>2843</v>
      </c>
      <c r="V1702" s="1" t="s">
        <v>2212</v>
      </c>
      <c r="W1702" s="1" t="s">
        <v>449</v>
      </c>
      <c r="X1702" s="1">
        <v>202</v>
      </c>
      <c r="Y1702" s="1">
        <v>2</v>
      </c>
      <c r="Z1702" s="1" t="s">
        <v>249</v>
      </c>
      <c r="AA1702" s="1" t="s">
        <v>921</v>
      </c>
      <c r="AB1702" s="1">
        <v>60564</v>
      </c>
      <c r="AE1702" s="1" t="s">
        <v>16132</v>
      </c>
      <c r="AF1702" s="1">
        <v>2002</v>
      </c>
      <c r="AG1702" s="1" t="s">
        <v>204</v>
      </c>
      <c r="AH1702" s="1" t="s">
        <v>924</v>
      </c>
      <c r="AI1702" s="1" t="s">
        <v>1800</v>
      </c>
      <c r="AJ1702" s="1" t="s">
        <v>1801</v>
      </c>
      <c r="AL1702" s="1">
        <v>5</v>
      </c>
      <c r="AM1702" s="1">
        <v>2</v>
      </c>
      <c r="AN1702" s="1">
        <v>2</v>
      </c>
      <c r="AO1702" s="1">
        <v>0</v>
      </c>
      <c r="AP1702" s="1" t="s">
        <v>209</v>
      </c>
      <c r="AQ1702" s="1">
        <v>1</v>
      </c>
      <c r="AR1702" s="1" t="s">
        <v>210</v>
      </c>
      <c r="AS1702" s="1" t="s">
        <v>204</v>
      </c>
      <c r="AT1702" s="1" t="s">
        <v>211</v>
      </c>
      <c r="AU1702" s="1">
        <v>1</v>
      </c>
      <c r="AW1702" s="1" t="s">
        <v>204</v>
      </c>
      <c r="AX1702" s="1" t="s">
        <v>212</v>
      </c>
      <c r="AZ1702" s="1">
        <v>3554.06</v>
      </c>
      <c r="BA1702" s="1">
        <v>2013</v>
      </c>
      <c r="BB1702" s="1" t="s">
        <v>405</v>
      </c>
      <c r="BE1702" s="1">
        <v>1304</v>
      </c>
      <c r="BF1702" s="1">
        <v>2</v>
      </c>
      <c r="BG1702" s="1">
        <v>30</v>
      </c>
      <c r="BJ1702" s="1">
        <v>100</v>
      </c>
      <c r="BK1702" s="1">
        <v>100</v>
      </c>
      <c r="BL1702" s="1">
        <v>254</v>
      </c>
      <c r="BM1702" s="1" t="s">
        <v>204</v>
      </c>
      <c r="BN1702" s="1" t="s">
        <v>213</v>
      </c>
      <c r="BO1702" s="1">
        <v>999</v>
      </c>
      <c r="BP1702" s="1" t="s">
        <v>204</v>
      </c>
      <c r="BR1702" s="1" t="str">
        <f>"01031130190000"</f>
        <v>01031130190000</v>
      </c>
      <c r="BT1702" s="1" t="s">
        <v>16133</v>
      </c>
      <c r="BX1702" s="1">
        <v>204</v>
      </c>
      <c r="BY1702" s="1">
        <v>204</v>
      </c>
      <c r="BZ1702" s="1">
        <v>204</v>
      </c>
      <c r="CB1702" s="1" t="str">
        <f t="shared" ref="CB1702:CC1702" si="1291">""</f>
        <v/>
      </c>
      <c r="CC1702" s="1" t="str">
        <f t="shared" si="1291"/>
        <v/>
      </c>
      <c r="CG1702" s="1" t="s">
        <v>669</v>
      </c>
      <c r="CH1702" s="1" t="s">
        <v>219</v>
      </c>
      <c r="CI1702" s="1" t="s">
        <v>220</v>
      </c>
      <c r="CK1702" s="1" t="s">
        <v>278</v>
      </c>
      <c r="CL1702" s="1" t="s">
        <v>219</v>
      </c>
      <c r="CM1702" s="1" t="s">
        <v>220</v>
      </c>
      <c r="CO1702" s="1" t="s">
        <v>379</v>
      </c>
      <c r="CP1702" s="1" t="s">
        <v>219</v>
      </c>
      <c r="CQ1702" s="1" t="s">
        <v>220</v>
      </c>
      <c r="CS1702" s="1" t="s">
        <v>539</v>
      </c>
      <c r="CT1702" s="1" t="s">
        <v>219</v>
      </c>
      <c r="CU1702" s="1" t="s">
        <v>220</v>
      </c>
      <c r="CX1702" s="1" t="s">
        <v>224</v>
      </c>
      <c r="DB1702" s="1" t="s">
        <v>224</v>
      </c>
      <c r="DE1702" s="1" t="s">
        <v>344</v>
      </c>
      <c r="DF1702" s="1" t="s">
        <v>219</v>
      </c>
      <c r="DJ1702" s="1" t="s">
        <v>224</v>
      </c>
      <c r="DS1702" s="1" t="s">
        <v>230</v>
      </c>
      <c r="DW1702" s="1" t="s">
        <v>230</v>
      </c>
      <c r="EA1702" s="1" t="s">
        <v>230</v>
      </c>
      <c r="EE1702" s="1" t="s">
        <v>230</v>
      </c>
      <c r="EI1702" s="1" t="s">
        <v>230</v>
      </c>
      <c r="EL1702" s="1" t="s">
        <v>466</v>
      </c>
      <c r="EM1702" s="1" t="s">
        <v>232</v>
      </c>
      <c r="EN1702" s="1" t="s">
        <v>282</v>
      </c>
      <c r="EO1702" s="1" t="s">
        <v>234</v>
      </c>
      <c r="ER1702" s="1" t="s">
        <v>210</v>
      </c>
      <c r="ES1702" s="1" t="s">
        <v>954</v>
      </c>
      <c r="EV1702" s="1" t="s">
        <v>240</v>
      </c>
      <c r="EW1702" s="1" t="s">
        <v>16134</v>
      </c>
      <c r="EY1702" s="1" t="s">
        <v>242</v>
      </c>
      <c r="EZ1702" s="1" t="s">
        <v>287</v>
      </c>
      <c r="FB1702" s="1" t="s">
        <v>289</v>
      </c>
      <c r="FD1702" s="1" t="s">
        <v>495</v>
      </c>
      <c r="FE1702" s="1" t="s">
        <v>472</v>
      </c>
      <c r="FF1702" s="1" t="s">
        <v>1113</v>
      </c>
      <c r="FG1702" s="1" t="s">
        <v>10878</v>
      </c>
      <c r="FH1702" s="1" t="s">
        <v>249</v>
      </c>
      <c r="FL1702" s="1" t="s">
        <v>358</v>
      </c>
      <c r="FM1702" s="1" t="s">
        <v>252</v>
      </c>
      <c r="FN1702" s="1" t="s">
        <v>213</v>
      </c>
      <c r="FO1702" s="1" t="s">
        <v>213</v>
      </c>
      <c r="FQ1702" s="1" t="s">
        <v>793</v>
      </c>
      <c r="FR1702" s="1" t="s">
        <v>210</v>
      </c>
      <c r="FS1702" s="1" t="s">
        <v>16135</v>
      </c>
      <c r="FT1702" s="1" t="s">
        <v>16136</v>
      </c>
      <c r="FU1702" s="1" t="s">
        <v>204</v>
      </c>
      <c r="FW1702" s="1" t="s">
        <v>1288</v>
      </c>
      <c r="FX1702" s="1">
        <v>22097</v>
      </c>
      <c r="FY1702" s="1" t="s">
        <v>1289</v>
      </c>
      <c r="FZ1702" s="1" t="s">
        <v>16137</v>
      </c>
      <c r="GA1702" s="1">
        <v>222572</v>
      </c>
      <c r="GB1702" s="1" t="s">
        <v>16138</v>
      </c>
      <c r="GE1702" s="1" t="s">
        <v>210</v>
      </c>
      <c r="GI1702" s="1" t="s">
        <v>213</v>
      </c>
      <c r="GJ1702" s="1" t="s">
        <v>260</v>
      </c>
      <c r="GK1702" s="1" t="s">
        <v>210</v>
      </c>
      <c r="GL1702" s="2">
        <v>42022</v>
      </c>
      <c r="GM1702" s="1" t="s">
        <v>16139</v>
      </c>
    </row>
    <row r="1703" spans="1:195">
      <c r="A1703" s="1">
        <v>100500</v>
      </c>
      <c r="B1703" s="1" t="s">
        <v>195</v>
      </c>
      <c r="C1703" s="1" t="str">
        <f>"08707466"</f>
        <v>08707466</v>
      </c>
      <c r="D1703" s="1" t="s">
        <v>196</v>
      </c>
      <c r="F1703" s="1" t="str">
        <f>"139"</f>
        <v>139</v>
      </c>
      <c r="G1703" s="2">
        <v>41872</v>
      </c>
      <c r="H1703" s="1">
        <v>141900</v>
      </c>
      <c r="I1703" s="1">
        <v>99900</v>
      </c>
      <c r="J1703" s="1">
        <v>100500</v>
      </c>
      <c r="K1703" s="2">
        <v>41871</v>
      </c>
      <c r="L1703" s="1">
        <v>170</v>
      </c>
      <c r="M1703" s="2">
        <v>42040</v>
      </c>
      <c r="N1703" s="1">
        <v>170</v>
      </c>
      <c r="O1703" s="2">
        <v>42040</v>
      </c>
      <c r="P1703" s="1">
        <v>85813</v>
      </c>
      <c r="Q1703" s="1" t="s">
        <v>302</v>
      </c>
      <c r="R1703" s="2">
        <v>42060</v>
      </c>
      <c r="S1703" s="1">
        <v>878649</v>
      </c>
      <c r="U1703" s="1">
        <v>1431</v>
      </c>
      <c r="V1703" s="1" t="s">
        <v>6460</v>
      </c>
      <c r="W1703" s="1" t="s">
        <v>264</v>
      </c>
      <c r="Y1703" s="1">
        <v>4</v>
      </c>
      <c r="Z1703" s="1" t="s">
        <v>370</v>
      </c>
      <c r="AA1703" s="1" t="s">
        <v>1732</v>
      </c>
      <c r="AB1703" s="1">
        <v>60139</v>
      </c>
      <c r="AE1703" s="1" t="s">
        <v>6462</v>
      </c>
      <c r="AF1703" s="1">
        <v>1987</v>
      </c>
      <c r="AG1703" s="1" t="s">
        <v>204</v>
      </c>
      <c r="AH1703" s="1" t="s">
        <v>1735</v>
      </c>
      <c r="AI1703" s="1" t="s">
        <v>206</v>
      </c>
      <c r="AJ1703" s="1" t="s">
        <v>269</v>
      </c>
      <c r="AL1703" s="1">
        <v>4</v>
      </c>
      <c r="AM1703" s="1">
        <v>2</v>
      </c>
      <c r="AN1703" s="1">
        <v>2</v>
      </c>
      <c r="AO1703" s="1">
        <v>1</v>
      </c>
      <c r="AP1703" s="1" t="s">
        <v>209</v>
      </c>
      <c r="AR1703" s="1" t="s">
        <v>210</v>
      </c>
      <c r="AS1703" s="1" t="s">
        <v>204</v>
      </c>
      <c r="AT1703" s="1" t="s">
        <v>211</v>
      </c>
      <c r="AU1703" s="1">
        <v>1</v>
      </c>
      <c r="AW1703" s="1" t="s">
        <v>204</v>
      </c>
      <c r="AX1703" s="1">
        <v>2277</v>
      </c>
      <c r="AZ1703" s="1">
        <v>4339</v>
      </c>
      <c r="BA1703" s="1">
        <v>2013</v>
      </c>
      <c r="BE1703" s="1">
        <v>1248</v>
      </c>
      <c r="BF1703" s="1">
        <v>1</v>
      </c>
      <c r="BG1703" s="1">
        <v>1</v>
      </c>
      <c r="BL1703" s="1">
        <v>185</v>
      </c>
      <c r="BM1703" s="1" t="s">
        <v>204</v>
      </c>
      <c r="BN1703" s="1" t="s">
        <v>213</v>
      </c>
      <c r="BO1703" s="1">
        <v>0</v>
      </c>
      <c r="BP1703" s="1" t="s">
        <v>204</v>
      </c>
      <c r="BR1703" s="1" t="str">
        <f>"0233205041"</f>
        <v>0233205041</v>
      </c>
      <c r="BT1703" s="1" t="s">
        <v>16140</v>
      </c>
      <c r="BX1703" s="1">
        <v>16</v>
      </c>
      <c r="BY1703" s="1">
        <v>16</v>
      </c>
      <c r="BZ1703" s="1">
        <v>16</v>
      </c>
      <c r="CB1703" s="1" t="str">
        <f t="shared" ref="CB1703:CC1703" si="1292">""</f>
        <v/>
      </c>
      <c r="CC1703" s="1" t="str">
        <f t="shared" si="1292"/>
        <v/>
      </c>
      <c r="CG1703" s="1" t="s">
        <v>2042</v>
      </c>
      <c r="CH1703" s="1" t="s">
        <v>219</v>
      </c>
      <c r="CK1703" s="1" t="s">
        <v>757</v>
      </c>
      <c r="CL1703" s="1" t="s">
        <v>277</v>
      </c>
      <c r="CP1703" s="1" t="s">
        <v>224</v>
      </c>
      <c r="CS1703" s="1" t="s">
        <v>465</v>
      </c>
      <c r="CT1703" s="1" t="s">
        <v>219</v>
      </c>
      <c r="CX1703" s="1" t="s">
        <v>224</v>
      </c>
      <c r="DB1703" s="1" t="s">
        <v>224</v>
      </c>
      <c r="DE1703" s="1" t="s">
        <v>281</v>
      </c>
      <c r="DF1703" s="1" t="s">
        <v>219</v>
      </c>
      <c r="DJ1703" s="1" t="s">
        <v>224</v>
      </c>
      <c r="DS1703" s="1" t="s">
        <v>230</v>
      </c>
      <c r="DW1703" s="1" t="s">
        <v>230</v>
      </c>
      <c r="EA1703" s="1" t="s">
        <v>230</v>
      </c>
      <c r="EE1703" s="1" t="s">
        <v>230</v>
      </c>
      <c r="EI1703" s="1" t="s">
        <v>230</v>
      </c>
      <c r="EL1703" s="1" t="s">
        <v>542</v>
      </c>
      <c r="EM1703" s="1" t="s">
        <v>730</v>
      </c>
      <c r="EN1703" s="1" t="s">
        <v>282</v>
      </c>
      <c r="EO1703" s="1" t="s">
        <v>234</v>
      </c>
      <c r="ER1703" s="1" t="s">
        <v>383</v>
      </c>
      <c r="EW1703" s="1" t="s">
        <v>6464</v>
      </c>
      <c r="EZ1703" s="1" t="s">
        <v>287</v>
      </c>
      <c r="FD1703" s="1" t="s">
        <v>246</v>
      </c>
      <c r="FE1703" s="1" t="s">
        <v>386</v>
      </c>
      <c r="FF1703" s="1" t="s">
        <v>248</v>
      </c>
      <c r="FH1703" s="1" t="s">
        <v>550</v>
      </c>
      <c r="FL1703" s="1" t="s">
        <v>358</v>
      </c>
      <c r="FM1703" s="1" t="s">
        <v>252</v>
      </c>
      <c r="FN1703" s="1" t="s">
        <v>213</v>
      </c>
      <c r="FO1703" s="1" t="s">
        <v>213</v>
      </c>
      <c r="FQ1703" s="1" t="s">
        <v>673</v>
      </c>
      <c r="FR1703" s="1" t="s">
        <v>210</v>
      </c>
      <c r="FS1703" s="1" t="s">
        <v>2106</v>
      </c>
      <c r="FT1703" s="1" t="s">
        <v>16141</v>
      </c>
      <c r="FU1703" s="1" t="s">
        <v>204</v>
      </c>
      <c r="FW1703" s="1" t="s">
        <v>2108</v>
      </c>
      <c r="FX1703" s="1">
        <v>5085</v>
      </c>
      <c r="FY1703" s="1" t="s">
        <v>2109</v>
      </c>
      <c r="FZ1703" s="1" t="s">
        <v>2110</v>
      </c>
      <c r="GA1703" s="1">
        <v>55549</v>
      </c>
      <c r="GE1703" s="1" t="s">
        <v>480</v>
      </c>
      <c r="GI1703" s="1" t="s">
        <v>213</v>
      </c>
      <c r="GJ1703" s="1" t="s">
        <v>260</v>
      </c>
      <c r="GK1703" s="1" t="s">
        <v>210</v>
      </c>
      <c r="GL1703" s="2">
        <v>42062</v>
      </c>
      <c r="GM1703" s="1" t="s">
        <v>2111</v>
      </c>
    </row>
    <row r="1704" spans="1:195">
      <c r="A1704" s="1">
        <v>14000</v>
      </c>
      <c r="B1704" s="1" t="s">
        <v>195</v>
      </c>
      <c r="C1704" s="1" t="str">
        <f>"08709520"</f>
        <v>08709520</v>
      </c>
      <c r="D1704" s="1" t="s">
        <v>196</v>
      </c>
      <c r="F1704" s="1" t="str">
        <f>"8039"</f>
        <v>8039</v>
      </c>
      <c r="G1704" s="2">
        <v>41873</v>
      </c>
      <c r="H1704" s="1">
        <v>18500</v>
      </c>
      <c r="I1704" s="1">
        <v>14000</v>
      </c>
      <c r="J1704" s="1">
        <v>14000</v>
      </c>
      <c r="K1704" s="2">
        <v>41873</v>
      </c>
      <c r="L1704" s="1">
        <v>136</v>
      </c>
      <c r="M1704" s="2">
        <v>41916</v>
      </c>
      <c r="N1704" s="1">
        <v>44</v>
      </c>
      <c r="O1704" s="2">
        <v>41916</v>
      </c>
      <c r="P1704" s="1">
        <v>12293</v>
      </c>
      <c r="Q1704" s="1" t="s">
        <v>302</v>
      </c>
      <c r="R1704" s="2">
        <v>41972</v>
      </c>
      <c r="S1704" s="1">
        <v>152468</v>
      </c>
      <c r="U1704" s="1">
        <v>4850</v>
      </c>
      <c r="V1704" s="1" t="s">
        <v>2989</v>
      </c>
      <c r="W1704" s="1" t="s">
        <v>425</v>
      </c>
      <c r="X1704" s="1">
        <v>1805</v>
      </c>
      <c r="Y1704" s="1">
        <v>270</v>
      </c>
      <c r="Z1704" s="1" t="s">
        <v>2811</v>
      </c>
      <c r="AA1704" s="1" t="s">
        <v>400</v>
      </c>
      <c r="AB1704" s="1">
        <v>60615</v>
      </c>
      <c r="AE1704" s="1" t="s">
        <v>16142</v>
      </c>
      <c r="AF1704" s="1">
        <v>1970</v>
      </c>
      <c r="AG1704" s="1" t="s">
        <v>213</v>
      </c>
      <c r="AH1704" s="1" t="s">
        <v>403</v>
      </c>
      <c r="AI1704" s="1" t="s">
        <v>310</v>
      </c>
      <c r="AJ1704" s="1" t="s">
        <v>562</v>
      </c>
      <c r="AK1704" s="1" t="s">
        <v>16143</v>
      </c>
      <c r="AL1704" s="1">
        <v>5</v>
      </c>
      <c r="AM1704" s="1">
        <v>2</v>
      </c>
      <c r="AN1704" s="1">
        <v>1</v>
      </c>
      <c r="AO1704" s="1">
        <v>0</v>
      </c>
      <c r="AP1704" s="1" t="s">
        <v>210</v>
      </c>
      <c r="AQ1704" s="1">
        <v>0</v>
      </c>
      <c r="AR1704" s="1" t="s">
        <v>210</v>
      </c>
      <c r="AS1704" s="1" t="s">
        <v>204</v>
      </c>
      <c r="AT1704" s="1" t="s">
        <v>211</v>
      </c>
      <c r="AU1704" s="1">
        <v>1</v>
      </c>
      <c r="AW1704" s="1" t="s">
        <v>204</v>
      </c>
      <c r="AX1704" s="1" t="s">
        <v>212</v>
      </c>
      <c r="AZ1704" s="1">
        <v>0</v>
      </c>
      <c r="BA1704" s="1">
        <v>2012</v>
      </c>
      <c r="BB1704" s="1" t="s">
        <v>210</v>
      </c>
      <c r="BE1704" s="1">
        <v>1200</v>
      </c>
      <c r="BF1704" s="1">
        <v>18</v>
      </c>
      <c r="BG1704" s="1">
        <v>30</v>
      </c>
      <c r="BH1704" s="1">
        <v>50</v>
      </c>
      <c r="BI1704" s="1">
        <v>75</v>
      </c>
      <c r="BL1704" s="1">
        <v>1019</v>
      </c>
      <c r="BM1704" s="1" t="s">
        <v>204</v>
      </c>
      <c r="BN1704" s="1" t="s">
        <v>213</v>
      </c>
      <c r="BO1704" s="1">
        <v>20</v>
      </c>
      <c r="BP1704" s="1" t="s">
        <v>204</v>
      </c>
      <c r="BR1704" s="1" t="str">
        <f>"20112060580000"</f>
        <v>20112060580000</v>
      </c>
      <c r="BT1704" s="1" t="s">
        <v>16144</v>
      </c>
      <c r="BX1704" s="1">
        <v>299</v>
      </c>
      <c r="BY1704" s="1">
        <v>299</v>
      </c>
      <c r="BZ1704" s="1">
        <v>299</v>
      </c>
      <c r="CB1704" s="1" t="str">
        <f>"0"</f>
        <v>0</v>
      </c>
      <c r="CC1704" s="1" t="str">
        <f>"1700"</f>
        <v>1700</v>
      </c>
      <c r="CD1704" s="1">
        <v>0</v>
      </c>
      <c r="CE1704" s="1">
        <v>4800</v>
      </c>
      <c r="CG1704" s="1" t="s">
        <v>3316</v>
      </c>
      <c r="CH1704" s="1" t="s">
        <v>219</v>
      </c>
      <c r="CI1704" s="1" t="s">
        <v>220</v>
      </c>
      <c r="CJ1704" s="1" t="s">
        <v>210</v>
      </c>
      <c r="CK1704" s="1" t="s">
        <v>3083</v>
      </c>
      <c r="CL1704" s="1" t="s">
        <v>219</v>
      </c>
      <c r="CM1704" s="1" t="s">
        <v>220</v>
      </c>
      <c r="CN1704" s="1" t="s">
        <v>343</v>
      </c>
      <c r="CO1704" s="1" t="s">
        <v>465</v>
      </c>
      <c r="CP1704" s="1" t="s">
        <v>219</v>
      </c>
      <c r="CQ1704" s="1" t="s">
        <v>229</v>
      </c>
      <c r="CR1704" s="1" t="s">
        <v>210</v>
      </c>
      <c r="CS1704" s="1" t="s">
        <v>1046</v>
      </c>
      <c r="CT1704" s="1" t="s">
        <v>219</v>
      </c>
      <c r="CU1704" s="1" t="s">
        <v>220</v>
      </c>
      <c r="CV1704" s="1" t="s">
        <v>343</v>
      </c>
      <c r="CX1704" s="1" t="s">
        <v>224</v>
      </c>
      <c r="DB1704" s="1" t="s">
        <v>224</v>
      </c>
      <c r="DE1704" s="1" t="s">
        <v>346</v>
      </c>
      <c r="DF1704" s="1" t="s">
        <v>219</v>
      </c>
      <c r="DG1704" s="1" t="s">
        <v>229</v>
      </c>
      <c r="DH1704" s="1" t="s">
        <v>210</v>
      </c>
      <c r="DJ1704" s="1" t="s">
        <v>224</v>
      </c>
      <c r="DS1704" s="1" t="s">
        <v>230</v>
      </c>
      <c r="DW1704" s="1" t="s">
        <v>230</v>
      </c>
      <c r="EA1704" s="1" t="s">
        <v>230</v>
      </c>
      <c r="EE1704" s="1" t="s">
        <v>230</v>
      </c>
      <c r="EI1704" s="1" t="s">
        <v>230</v>
      </c>
      <c r="EL1704" s="1" t="s">
        <v>605</v>
      </c>
      <c r="EM1704" s="1" t="s">
        <v>232</v>
      </c>
      <c r="EN1704" s="1" t="s">
        <v>282</v>
      </c>
      <c r="EO1704" s="1" t="s">
        <v>840</v>
      </c>
      <c r="EP1704" s="1" t="s">
        <v>16145</v>
      </c>
      <c r="ER1704" s="1" t="s">
        <v>210</v>
      </c>
      <c r="EW1704" s="1" t="s">
        <v>16146</v>
      </c>
      <c r="EY1704" s="1" t="s">
        <v>242</v>
      </c>
      <c r="EZ1704" s="1" t="s">
        <v>287</v>
      </c>
      <c r="FB1704" s="1" t="s">
        <v>1755</v>
      </c>
      <c r="FC1704" s="1" t="s">
        <v>548</v>
      </c>
      <c r="FD1704" s="1" t="s">
        <v>246</v>
      </c>
      <c r="FE1704" s="1" t="s">
        <v>6051</v>
      </c>
      <c r="FF1704" s="1" t="s">
        <v>248</v>
      </c>
      <c r="FH1704" s="1" t="s">
        <v>8075</v>
      </c>
      <c r="FI1704" s="1" t="s">
        <v>2827</v>
      </c>
      <c r="FJ1704" s="1" t="s">
        <v>2046</v>
      </c>
      <c r="FL1704" s="1" t="s">
        <v>16147</v>
      </c>
      <c r="FM1704" s="1" t="s">
        <v>252</v>
      </c>
      <c r="FN1704" s="1" t="s">
        <v>213</v>
      </c>
      <c r="FO1704" s="1" t="s">
        <v>213</v>
      </c>
      <c r="FQ1704" s="1" t="s">
        <v>16148</v>
      </c>
      <c r="FR1704" s="1" t="s">
        <v>210</v>
      </c>
      <c r="FS1704" s="1" t="s">
        <v>16149</v>
      </c>
      <c r="FT1704" s="1" t="s">
        <v>255</v>
      </c>
      <c r="FU1704" s="1" t="s">
        <v>204</v>
      </c>
      <c r="FV1704" s="1" t="s">
        <v>15235</v>
      </c>
      <c r="FW1704" s="1" t="s">
        <v>2563</v>
      </c>
      <c r="FX1704" s="1">
        <v>25558</v>
      </c>
      <c r="FY1704" s="1" t="s">
        <v>4051</v>
      </c>
      <c r="FZ1704" s="1" t="s">
        <v>16150</v>
      </c>
      <c r="GA1704" s="1">
        <v>217359</v>
      </c>
      <c r="GD1704" s="1" t="s">
        <v>16151</v>
      </c>
      <c r="GE1704" s="1" t="s">
        <v>1333</v>
      </c>
      <c r="GH1704" s="1" t="s">
        <v>421</v>
      </c>
      <c r="GI1704" s="1" t="s">
        <v>213</v>
      </c>
      <c r="GJ1704" s="1" t="s">
        <v>260</v>
      </c>
      <c r="GK1704" s="1" t="s">
        <v>210</v>
      </c>
      <c r="GL1704" s="2">
        <v>41972</v>
      </c>
      <c r="GM1704" s="1" t="s">
        <v>16152</v>
      </c>
    </row>
    <row r="1705" spans="1:195">
      <c r="A1705" s="1">
        <v>93000</v>
      </c>
      <c r="B1705" s="1" t="s">
        <v>195</v>
      </c>
      <c r="C1705" s="1" t="str">
        <f>"08710702"</f>
        <v>08710702</v>
      </c>
      <c r="D1705" s="1" t="s">
        <v>196</v>
      </c>
      <c r="F1705" s="1" t="str">
        <f>"186"</f>
        <v>186</v>
      </c>
      <c r="G1705" s="2">
        <v>41876</v>
      </c>
      <c r="H1705" s="1">
        <v>99900</v>
      </c>
      <c r="I1705" s="1">
        <v>90000</v>
      </c>
      <c r="J1705" s="1">
        <v>93000</v>
      </c>
      <c r="K1705" s="2">
        <v>41876</v>
      </c>
      <c r="L1705" s="1">
        <v>111</v>
      </c>
      <c r="M1705" s="2">
        <v>41929</v>
      </c>
      <c r="N1705" s="1">
        <v>54</v>
      </c>
      <c r="O1705" s="2">
        <v>41929</v>
      </c>
      <c r="P1705" s="1">
        <v>85382</v>
      </c>
      <c r="Q1705" s="1" t="s">
        <v>197</v>
      </c>
      <c r="R1705" s="2">
        <v>42109</v>
      </c>
      <c r="S1705" s="1">
        <v>876800</v>
      </c>
      <c r="U1705" s="1" t="s">
        <v>16153</v>
      </c>
      <c r="V1705" s="1" t="s">
        <v>16154</v>
      </c>
      <c r="W1705" s="1" t="s">
        <v>725</v>
      </c>
      <c r="Y1705" s="1">
        <v>6</v>
      </c>
      <c r="Z1705" s="1" t="s">
        <v>370</v>
      </c>
      <c r="AA1705" s="1" t="s">
        <v>2099</v>
      </c>
      <c r="AB1705" s="1">
        <v>60181</v>
      </c>
      <c r="AC1705" s="1">
        <v>3827</v>
      </c>
      <c r="AD1705" s="1" t="s">
        <v>2195</v>
      </c>
      <c r="AE1705" s="1" t="s">
        <v>16155</v>
      </c>
      <c r="AF1705" s="1">
        <v>1969</v>
      </c>
      <c r="AG1705" s="1" t="s">
        <v>213</v>
      </c>
      <c r="AH1705" s="1" t="s">
        <v>882</v>
      </c>
      <c r="AI1705" s="1" t="s">
        <v>206</v>
      </c>
      <c r="AJ1705" s="1" t="s">
        <v>1608</v>
      </c>
      <c r="AL1705" s="1">
        <v>4</v>
      </c>
      <c r="AM1705" s="1">
        <v>2</v>
      </c>
      <c r="AN1705" s="1">
        <v>1</v>
      </c>
      <c r="AO1705" s="1">
        <v>0</v>
      </c>
      <c r="AP1705" s="1" t="s">
        <v>210</v>
      </c>
      <c r="AR1705" s="1" t="s">
        <v>209</v>
      </c>
      <c r="AS1705" s="1" t="s">
        <v>204</v>
      </c>
      <c r="AT1705" s="1" t="s">
        <v>271</v>
      </c>
      <c r="AV1705" s="1">
        <v>1</v>
      </c>
      <c r="AW1705" s="1" t="s">
        <v>204</v>
      </c>
      <c r="AX1705" s="1" t="s">
        <v>16156</v>
      </c>
      <c r="AZ1705" s="1">
        <v>1298</v>
      </c>
      <c r="BA1705" s="1">
        <v>2013</v>
      </c>
      <c r="BE1705" s="1">
        <v>850</v>
      </c>
      <c r="BF1705" s="1">
        <v>1</v>
      </c>
      <c r="BG1705" s="1">
        <v>0</v>
      </c>
      <c r="BL1705" s="1">
        <v>189</v>
      </c>
      <c r="BM1705" s="1" t="s">
        <v>204</v>
      </c>
      <c r="BN1705" s="1" t="s">
        <v>213</v>
      </c>
      <c r="BO1705" s="1">
        <v>50</v>
      </c>
      <c r="BP1705" s="1" t="s">
        <v>204</v>
      </c>
      <c r="BR1705" s="1" t="str">
        <f>"0621214105"</f>
        <v>0621214105</v>
      </c>
      <c r="BT1705" s="1" t="s">
        <v>16157</v>
      </c>
      <c r="BU1705" s="1" t="s">
        <v>16158</v>
      </c>
      <c r="BV1705" s="1" t="s">
        <v>2200</v>
      </c>
      <c r="BW1705" s="1" t="s">
        <v>2201</v>
      </c>
      <c r="BX1705" s="1">
        <v>45</v>
      </c>
      <c r="BY1705" s="1">
        <v>45</v>
      </c>
      <c r="BZ1705" s="1">
        <v>88</v>
      </c>
      <c r="CB1705" s="1" t="str">
        <f t="shared" ref="CB1705:CC1705" si="1293">""</f>
        <v/>
      </c>
      <c r="CC1705" s="1" t="str">
        <f t="shared" si="1293"/>
        <v/>
      </c>
      <c r="CG1705" s="1" t="s">
        <v>885</v>
      </c>
      <c r="CH1705" s="1" t="s">
        <v>219</v>
      </c>
      <c r="CI1705" s="1" t="s">
        <v>220</v>
      </c>
      <c r="CJ1705" s="1" t="s">
        <v>463</v>
      </c>
      <c r="CK1705" s="1" t="s">
        <v>1358</v>
      </c>
      <c r="CL1705" s="1" t="s">
        <v>219</v>
      </c>
      <c r="CM1705" s="1" t="s">
        <v>220</v>
      </c>
      <c r="CP1705" s="1" t="s">
        <v>224</v>
      </c>
      <c r="CS1705" s="1" t="s">
        <v>1297</v>
      </c>
      <c r="CT1705" s="1" t="s">
        <v>219</v>
      </c>
      <c r="CU1705" s="1" t="s">
        <v>220</v>
      </c>
      <c r="CX1705" s="1" t="s">
        <v>224</v>
      </c>
      <c r="DB1705" s="1" t="s">
        <v>224</v>
      </c>
      <c r="DE1705" s="1" t="s">
        <v>1297</v>
      </c>
      <c r="DF1705" s="1" t="s">
        <v>219</v>
      </c>
      <c r="DG1705" s="1" t="s">
        <v>229</v>
      </c>
      <c r="DH1705" s="1" t="s">
        <v>343</v>
      </c>
      <c r="DJ1705" s="1" t="s">
        <v>224</v>
      </c>
      <c r="DM1705" s="1" t="s">
        <v>347</v>
      </c>
      <c r="DR1705" s="1" t="s">
        <v>16159</v>
      </c>
      <c r="DS1705" s="1" t="s">
        <v>43</v>
      </c>
      <c r="DW1705" s="1" t="s">
        <v>230</v>
      </c>
      <c r="EA1705" s="1" t="s">
        <v>230</v>
      </c>
      <c r="EE1705" s="1" t="s">
        <v>230</v>
      </c>
      <c r="EI1705" s="1" t="s">
        <v>230</v>
      </c>
      <c r="EL1705" s="1" t="s">
        <v>605</v>
      </c>
      <c r="EM1705" s="1" t="s">
        <v>232</v>
      </c>
      <c r="EN1705" s="1" t="s">
        <v>282</v>
      </c>
      <c r="EO1705" s="1" t="s">
        <v>234</v>
      </c>
      <c r="ER1705" s="1" t="s">
        <v>351</v>
      </c>
      <c r="ES1705" s="1" t="s">
        <v>322</v>
      </c>
      <c r="EU1705" s="1" t="s">
        <v>546</v>
      </c>
      <c r="EW1705" s="1" t="s">
        <v>16160</v>
      </c>
      <c r="EZ1705" s="1" t="s">
        <v>347</v>
      </c>
      <c r="FD1705" s="1" t="s">
        <v>246</v>
      </c>
      <c r="FE1705" s="1" t="s">
        <v>247</v>
      </c>
      <c r="FF1705" s="1" t="s">
        <v>248</v>
      </c>
      <c r="FH1705" s="1" t="s">
        <v>825</v>
      </c>
      <c r="FK1705" s="1" t="s">
        <v>291</v>
      </c>
      <c r="FL1705" s="1" t="s">
        <v>1073</v>
      </c>
      <c r="FM1705" s="1" t="s">
        <v>252</v>
      </c>
      <c r="FN1705" s="1" t="s">
        <v>213</v>
      </c>
      <c r="FO1705" s="1" t="s">
        <v>213</v>
      </c>
      <c r="FQ1705" s="1" t="s">
        <v>3342</v>
      </c>
      <c r="FR1705" s="1" t="s">
        <v>360</v>
      </c>
      <c r="FS1705" s="1" t="s">
        <v>8897</v>
      </c>
      <c r="FT1705" s="1" t="s">
        <v>16161</v>
      </c>
      <c r="FU1705" s="1" t="s">
        <v>204</v>
      </c>
      <c r="FW1705" s="1" t="s">
        <v>8712</v>
      </c>
      <c r="FX1705" s="1">
        <v>24213</v>
      </c>
      <c r="FY1705" s="1" t="s">
        <v>8713</v>
      </c>
      <c r="FZ1705" s="1" t="s">
        <v>16162</v>
      </c>
      <c r="GA1705" s="1">
        <v>245381</v>
      </c>
      <c r="GB1705" s="1" t="s">
        <v>16163</v>
      </c>
      <c r="GD1705" s="1" t="s">
        <v>16164</v>
      </c>
      <c r="GE1705" s="1" t="s">
        <v>480</v>
      </c>
      <c r="GI1705" s="1" t="s">
        <v>213</v>
      </c>
      <c r="GJ1705" s="1" t="s">
        <v>260</v>
      </c>
      <c r="GK1705" s="1" t="s">
        <v>210</v>
      </c>
      <c r="GL1705" s="2">
        <v>42110</v>
      </c>
      <c r="GM1705" s="1" t="s">
        <v>397</v>
      </c>
    </row>
    <row r="1706" spans="1:195">
      <c r="A1706" s="1">
        <v>130000</v>
      </c>
      <c r="B1706" s="1" t="s">
        <v>195</v>
      </c>
      <c r="C1706" s="1" t="str">
        <f>"08713820"</f>
        <v>08713820</v>
      </c>
      <c r="D1706" s="1" t="s">
        <v>196</v>
      </c>
      <c r="F1706" s="1" t="str">
        <f>"108"</f>
        <v>108</v>
      </c>
      <c r="G1706" s="2">
        <v>41879</v>
      </c>
      <c r="H1706" s="1">
        <v>135000</v>
      </c>
      <c r="I1706" s="1">
        <v>135000</v>
      </c>
      <c r="J1706" s="1">
        <v>130000</v>
      </c>
      <c r="K1706" s="2">
        <v>41879</v>
      </c>
      <c r="L1706" s="1">
        <v>16</v>
      </c>
      <c r="M1706" s="2">
        <v>41894</v>
      </c>
      <c r="N1706" s="1">
        <v>16</v>
      </c>
      <c r="O1706" s="2">
        <v>41894</v>
      </c>
      <c r="P1706" s="1">
        <v>1246</v>
      </c>
      <c r="Q1706" s="1" t="s">
        <v>423</v>
      </c>
      <c r="R1706" s="2">
        <v>41971</v>
      </c>
      <c r="S1706" s="1">
        <v>83308</v>
      </c>
      <c r="U1706" s="1">
        <v>289</v>
      </c>
      <c r="V1706" s="1" t="s">
        <v>16165</v>
      </c>
      <c r="W1706" s="1" t="s">
        <v>264</v>
      </c>
      <c r="X1706" s="1">
        <v>289</v>
      </c>
      <c r="Y1706" s="1">
        <v>4</v>
      </c>
      <c r="Z1706" s="1" t="s">
        <v>370</v>
      </c>
      <c r="AA1706" s="1" t="s">
        <v>829</v>
      </c>
      <c r="AB1706" s="1">
        <v>60108</v>
      </c>
      <c r="AD1706" s="1" t="s">
        <v>16166</v>
      </c>
      <c r="AE1706" s="1" t="s">
        <v>16167</v>
      </c>
      <c r="AF1706" s="1">
        <v>1975</v>
      </c>
      <c r="AG1706" s="1" t="s">
        <v>213</v>
      </c>
      <c r="AH1706" s="1" t="s">
        <v>269</v>
      </c>
      <c r="AI1706" s="1" t="s">
        <v>206</v>
      </c>
      <c r="AJ1706" s="1" t="s">
        <v>269</v>
      </c>
      <c r="AK1706" s="1" t="s">
        <v>16168</v>
      </c>
      <c r="AL1706" s="1">
        <v>6</v>
      </c>
      <c r="AM1706" s="1">
        <v>2</v>
      </c>
      <c r="AN1706" s="1">
        <v>1</v>
      </c>
      <c r="AO1706" s="1">
        <v>0</v>
      </c>
      <c r="AP1706" s="1" t="s">
        <v>210</v>
      </c>
      <c r="AQ1706" s="1">
        <v>0</v>
      </c>
      <c r="AR1706" s="1" t="s">
        <v>209</v>
      </c>
      <c r="AS1706" s="1" t="s">
        <v>204</v>
      </c>
      <c r="AT1706" s="1" t="s">
        <v>211</v>
      </c>
      <c r="AU1706" s="1">
        <v>1</v>
      </c>
      <c r="AW1706" s="1" t="s">
        <v>204</v>
      </c>
      <c r="AX1706" s="1" t="s">
        <v>212</v>
      </c>
      <c r="AZ1706" s="1">
        <v>3699</v>
      </c>
      <c r="BA1706" s="1">
        <v>2013</v>
      </c>
      <c r="BB1706" s="1" t="s">
        <v>405</v>
      </c>
      <c r="BE1706" s="1">
        <v>1007</v>
      </c>
      <c r="BF1706" s="1">
        <v>1</v>
      </c>
      <c r="BG1706" s="1">
        <v>0</v>
      </c>
      <c r="BK1706" s="1" t="s">
        <v>16169</v>
      </c>
      <c r="BL1706" s="1">
        <v>180</v>
      </c>
      <c r="BM1706" s="1" t="s">
        <v>204</v>
      </c>
      <c r="BN1706" s="1" t="s">
        <v>213</v>
      </c>
      <c r="BO1706" s="1">
        <v>999</v>
      </c>
      <c r="BP1706" s="1" t="s">
        <v>204</v>
      </c>
      <c r="BR1706" s="1" t="str">
        <f>"0223112014"</f>
        <v>0223112014</v>
      </c>
      <c r="BT1706" s="1" t="s">
        <v>16170</v>
      </c>
      <c r="BU1706" s="1" t="s">
        <v>2014</v>
      </c>
      <c r="BV1706" s="1" t="s">
        <v>2015</v>
      </c>
      <c r="BW1706" s="1" t="s">
        <v>1935</v>
      </c>
      <c r="BX1706" s="1">
        <v>15</v>
      </c>
      <c r="BY1706" s="1">
        <v>15</v>
      </c>
      <c r="BZ1706" s="1">
        <v>87</v>
      </c>
      <c r="CB1706" s="1" t="str">
        <f>"4"</f>
        <v>4</v>
      </c>
      <c r="CC1706" s="1" t="str">
        <f>"0"</f>
        <v>0</v>
      </c>
      <c r="CD1706" s="1">
        <v>22</v>
      </c>
      <c r="CE1706" s="1">
        <v>0</v>
      </c>
      <c r="CG1706" s="1" t="s">
        <v>581</v>
      </c>
      <c r="CH1706" s="1" t="s">
        <v>219</v>
      </c>
      <c r="CI1706" s="1" t="s">
        <v>438</v>
      </c>
      <c r="CJ1706" s="1" t="s">
        <v>252</v>
      </c>
      <c r="CK1706" s="1" t="s">
        <v>344</v>
      </c>
      <c r="CL1706" s="1" t="s">
        <v>219</v>
      </c>
      <c r="CM1706" s="1" t="s">
        <v>438</v>
      </c>
      <c r="CN1706" s="1" t="s">
        <v>252</v>
      </c>
      <c r="CO1706" s="1" t="s">
        <v>409</v>
      </c>
      <c r="CP1706" s="1" t="s">
        <v>219</v>
      </c>
      <c r="CQ1706" s="1" t="s">
        <v>438</v>
      </c>
      <c r="CR1706" s="1" t="s">
        <v>252</v>
      </c>
      <c r="CS1706" s="1" t="s">
        <v>317</v>
      </c>
      <c r="CT1706" s="1" t="s">
        <v>219</v>
      </c>
      <c r="CU1706" s="1" t="s">
        <v>220</v>
      </c>
      <c r="CV1706" s="1" t="s">
        <v>252</v>
      </c>
      <c r="CW1706" s="1" t="s">
        <v>465</v>
      </c>
      <c r="CX1706" s="1" t="s">
        <v>43</v>
      </c>
      <c r="CY1706" s="1" t="s">
        <v>347</v>
      </c>
      <c r="CZ1706" s="1" t="s">
        <v>210</v>
      </c>
      <c r="DB1706" s="1" t="s">
        <v>224</v>
      </c>
      <c r="DE1706" s="1" t="s">
        <v>786</v>
      </c>
      <c r="DF1706" s="1" t="s">
        <v>219</v>
      </c>
      <c r="DG1706" s="1" t="s">
        <v>226</v>
      </c>
      <c r="DH1706" s="1" t="s">
        <v>252</v>
      </c>
      <c r="DJ1706" s="1" t="s">
        <v>224</v>
      </c>
      <c r="DM1706" s="1" t="s">
        <v>1614</v>
      </c>
      <c r="DR1706" s="1" t="s">
        <v>951</v>
      </c>
      <c r="DS1706" s="1" t="s">
        <v>43</v>
      </c>
      <c r="DT1706" s="1" t="s">
        <v>347</v>
      </c>
      <c r="DW1706" s="1" t="s">
        <v>230</v>
      </c>
      <c r="EA1706" s="1" t="s">
        <v>230</v>
      </c>
      <c r="EE1706" s="1" t="s">
        <v>230</v>
      </c>
      <c r="EI1706" s="1" t="s">
        <v>230</v>
      </c>
      <c r="EL1706" s="1" t="s">
        <v>231</v>
      </c>
      <c r="EM1706" s="1" t="s">
        <v>232</v>
      </c>
      <c r="EN1706" s="1" t="s">
        <v>282</v>
      </c>
      <c r="EO1706" s="1" t="s">
        <v>1020</v>
      </c>
      <c r="EP1706" s="1" t="s">
        <v>16171</v>
      </c>
      <c r="EQ1706" s="1" t="s">
        <v>1551</v>
      </c>
      <c r="ER1706" s="1" t="s">
        <v>16172</v>
      </c>
      <c r="ES1706" s="1" t="s">
        <v>322</v>
      </c>
      <c r="EU1706" s="1" t="s">
        <v>16173</v>
      </c>
      <c r="EW1706" s="1" t="s">
        <v>16174</v>
      </c>
      <c r="EZ1706" s="1" t="s">
        <v>1614</v>
      </c>
      <c r="FA1706" s="1" t="s">
        <v>5405</v>
      </c>
      <c r="FB1706" s="1" t="s">
        <v>289</v>
      </c>
      <c r="FC1706" s="1" t="s">
        <v>326</v>
      </c>
      <c r="FD1706" s="1" t="s">
        <v>246</v>
      </c>
      <c r="FE1706" s="1" t="s">
        <v>889</v>
      </c>
      <c r="FF1706" s="1" t="s">
        <v>248</v>
      </c>
      <c r="FH1706" s="1" t="s">
        <v>3013</v>
      </c>
      <c r="FI1706" s="1" t="s">
        <v>357</v>
      </c>
      <c r="FJ1706" s="1" t="s">
        <v>518</v>
      </c>
      <c r="FL1706" s="1" t="s">
        <v>358</v>
      </c>
      <c r="FM1706" s="1" t="s">
        <v>252</v>
      </c>
      <c r="FN1706" s="1" t="s">
        <v>213</v>
      </c>
      <c r="FO1706" s="1" t="s">
        <v>213</v>
      </c>
      <c r="FQ1706" s="1" t="s">
        <v>793</v>
      </c>
      <c r="FR1706" s="1" t="s">
        <v>652</v>
      </c>
      <c r="FS1706" s="1" t="s">
        <v>16175</v>
      </c>
      <c r="FT1706" s="1" t="s">
        <v>295</v>
      </c>
      <c r="FU1706" s="1" t="s">
        <v>204</v>
      </c>
      <c r="FW1706" s="1" t="s">
        <v>4125</v>
      </c>
      <c r="FX1706" s="1">
        <v>8073</v>
      </c>
      <c r="FY1706" s="1" t="s">
        <v>4126</v>
      </c>
      <c r="FZ1706" s="1" t="s">
        <v>11555</v>
      </c>
      <c r="GA1706" s="1">
        <v>253331</v>
      </c>
      <c r="GB1706" s="1" t="s">
        <v>11556</v>
      </c>
      <c r="GD1706" s="1" t="s">
        <v>11557</v>
      </c>
      <c r="GE1706" s="1" t="s">
        <v>210</v>
      </c>
      <c r="GI1706" s="1" t="s">
        <v>213</v>
      </c>
      <c r="GJ1706" s="1" t="s">
        <v>260</v>
      </c>
      <c r="GK1706" s="1" t="s">
        <v>210</v>
      </c>
      <c r="GL1706" s="2">
        <v>41974</v>
      </c>
      <c r="GM1706" s="1" t="s">
        <v>16176</v>
      </c>
    </row>
    <row r="1707" spans="1:195">
      <c r="A1707" s="1">
        <v>128500</v>
      </c>
      <c r="B1707" s="1" t="s">
        <v>195</v>
      </c>
      <c r="C1707" s="1" t="str">
        <f>"08706533"</f>
        <v>08706533</v>
      </c>
      <c r="D1707" s="1" t="s">
        <v>196</v>
      </c>
      <c r="F1707" s="1" t="str">
        <f>"507"</f>
        <v>507</v>
      </c>
      <c r="G1707" s="2">
        <v>41871</v>
      </c>
      <c r="H1707" s="1">
        <v>139900</v>
      </c>
      <c r="I1707" s="1">
        <v>139900</v>
      </c>
      <c r="J1707" s="1">
        <v>128500</v>
      </c>
      <c r="K1707" s="2">
        <v>41871</v>
      </c>
      <c r="L1707" s="1">
        <v>46</v>
      </c>
      <c r="M1707" s="2">
        <v>41916</v>
      </c>
      <c r="N1707" s="1">
        <v>46</v>
      </c>
      <c r="O1707" s="2">
        <v>41916</v>
      </c>
      <c r="P1707" s="1">
        <v>23163</v>
      </c>
      <c r="Q1707" s="1" t="s">
        <v>197</v>
      </c>
      <c r="R1707" s="2">
        <v>41985</v>
      </c>
      <c r="S1707" s="1">
        <v>230346</v>
      </c>
      <c r="T1707" s="1">
        <v>2000</v>
      </c>
      <c r="U1707" s="1">
        <v>2240</v>
      </c>
      <c r="V1707" s="1" t="s">
        <v>16177</v>
      </c>
      <c r="W1707" s="1" t="s">
        <v>264</v>
      </c>
      <c r="Y1707" s="1">
        <v>6</v>
      </c>
      <c r="Z1707" s="1" t="s">
        <v>249</v>
      </c>
      <c r="AA1707" s="1" t="s">
        <v>1123</v>
      </c>
      <c r="AB1707" s="1">
        <v>60503</v>
      </c>
      <c r="AC1707" s="1">
        <v>8204</v>
      </c>
      <c r="AD1707" s="1" t="s">
        <v>16178</v>
      </c>
      <c r="AE1707" s="1" t="s">
        <v>16179</v>
      </c>
      <c r="AF1707" s="1">
        <v>2006</v>
      </c>
      <c r="AG1707" s="1" t="s">
        <v>204</v>
      </c>
      <c r="AH1707" s="1" t="s">
        <v>1126</v>
      </c>
      <c r="AI1707" s="1" t="s">
        <v>453</v>
      </c>
      <c r="AJ1707" s="1" t="s">
        <v>1397</v>
      </c>
      <c r="AK1707" s="1" t="s">
        <v>16180</v>
      </c>
      <c r="AL1707" s="1">
        <v>5</v>
      </c>
      <c r="AM1707" s="1">
        <v>2</v>
      </c>
      <c r="AN1707" s="1">
        <v>2</v>
      </c>
      <c r="AO1707" s="1">
        <v>0</v>
      </c>
      <c r="AP1707" s="1" t="s">
        <v>209</v>
      </c>
      <c r="AQ1707" s="1">
        <v>0</v>
      </c>
      <c r="AR1707" s="1" t="s">
        <v>210</v>
      </c>
      <c r="AS1707" s="1" t="s">
        <v>204</v>
      </c>
      <c r="AT1707" s="1" t="s">
        <v>211</v>
      </c>
      <c r="AU1707" s="1">
        <v>2</v>
      </c>
      <c r="AW1707" s="1" t="s">
        <v>204</v>
      </c>
      <c r="AX1707" s="1" t="s">
        <v>212</v>
      </c>
      <c r="AZ1707" s="1">
        <v>4453</v>
      </c>
      <c r="BA1707" s="1">
        <v>2012</v>
      </c>
      <c r="BB1707" s="1" t="s">
        <v>405</v>
      </c>
      <c r="BE1707" s="1">
        <v>1572</v>
      </c>
      <c r="BF1707" s="1">
        <v>2</v>
      </c>
      <c r="BG1707" s="1">
        <v>0</v>
      </c>
      <c r="BL1707" s="1">
        <v>124</v>
      </c>
      <c r="BM1707" s="1" t="s">
        <v>204</v>
      </c>
      <c r="BN1707" s="1" t="s">
        <v>213</v>
      </c>
      <c r="BO1707" s="1">
        <v>100</v>
      </c>
      <c r="BP1707" s="1" t="s">
        <v>204</v>
      </c>
      <c r="BR1707" s="1" t="str">
        <f>"0301328070"</f>
        <v>0301328070</v>
      </c>
      <c r="BT1707" s="1" t="s">
        <v>16181</v>
      </c>
      <c r="BU1707" s="1" t="s">
        <v>1400</v>
      </c>
      <c r="BV1707" s="1" t="s">
        <v>7954</v>
      </c>
      <c r="BW1707" s="1" t="s">
        <v>1401</v>
      </c>
      <c r="BX1707" s="1">
        <v>308</v>
      </c>
      <c r="BY1707" s="1">
        <v>308</v>
      </c>
      <c r="BZ1707" s="1">
        <v>308</v>
      </c>
      <c r="CB1707" s="1" t="str">
        <f t="shared" ref="CB1707:CC1707" si="1294">"0"</f>
        <v>0</v>
      </c>
      <c r="CC1707" s="1" t="str">
        <f t="shared" si="1294"/>
        <v>0</v>
      </c>
      <c r="CD1707" s="1">
        <v>33</v>
      </c>
      <c r="CE1707" s="1">
        <v>10</v>
      </c>
      <c r="CG1707" s="1" t="s">
        <v>10786</v>
      </c>
      <c r="CH1707" s="1" t="s">
        <v>219</v>
      </c>
      <c r="CI1707" s="1" t="s">
        <v>229</v>
      </c>
      <c r="CJ1707" s="1" t="s">
        <v>252</v>
      </c>
      <c r="CK1707" s="1" t="s">
        <v>6499</v>
      </c>
      <c r="CL1707" s="1" t="s">
        <v>219</v>
      </c>
      <c r="CM1707" s="1" t="s">
        <v>220</v>
      </c>
      <c r="CN1707" s="1" t="s">
        <v>252</v>
      </c>
      <c r="CO1707" s="1" t="s">
        <v>461</v>
      </c>
      <c r="CP1707" s="1" t="s">
        <v>219</v>
      </c>
      <c r="CQ1707" s="1" t="s">
        <v>229</v>
      </c>
      <c r="CR1707" s="1" t="s">
        <v>252</v>
      </c>
      <c r="CS1707" s="1" t="s">
        <v>465</v>
      </c>
      <c r="CT1707" s="1" t="s">
        <v>219</v>
      </c>
      <c r="CU1707" s="1" t="s">
        <v>220</v>
      </c>
      <c r="CV1707" s="1" t="s">
        <v>210</v>
      </c>
      <c r="CX1707" s="1" t="s">
        <v>224</v>
      </c>
      <c r="DB1707" s="1" t="s">
        <v>224</v>
      </c>
      <c r="DE1707" s="1" t="s">
        <v>377</v>
      </c>
      <c r="DF1707" s="1" t="s">
        <v>219</v>
      </c>
      <c r="DG1707" s="1" t="s">
        <v>342</v>
      </c>
      <c r="DH1707" s="1" t="s">
        <v>210</v>
      </c>
      <c r="DJ1707" s="1" t="s">
        <v>224</v>
      </c>
      <c r="DS1707" s="1" t="s">
        <v>230</v>
      </c>
      <c r="DW1707" s="1" t="s">
        <v>230</v>
      </c>
      <c r="EA1707" s="1" t="s">
        <v>230</v>
      </c>
      <c r="EE1707" s="1" t="s">
        <v>230</v>
      </c>
      <c r="EI1707" s="1" t="s">
        <v>230</v>
      </c>
      <c r="EL1707" s="1" t="s">
        <v>491</v>
      </c>
      <c r="EM1707" s="1" t="s">
        <v>319</v>
      </c>
      <c r="EN1707" s="1" t="s">
        <v>282</v>
      </c>
      <c r="EO1707" s="1" t="s">
        <v>234</v>
      </c>
      <c r="EP1707" s="1" t="s">
        <v>1489</v>
      </c>
      <c r="EQ1707" s="1" t="s">
        <v>607</v>
      </c>
      <c r="ER1707" s="1" t="s">
        <v>210</v>
      </c>
      <c r="ES1707" s="1" t="s">
        <v>16182</v>
      </c>
      <c r="ET1707" s="1" t="s">
        <v>842</v>
      </c>
      <c r="EU1707" s="1" t="s">
        <v>16183</v>
      </c>
      <c r="EV1707" s="1" t="s">
        <v>352</v>
      </c>
      <c r="EW1707" s="1" t="s">
        <v>353</v>
      </c>
      <c r="EZ1707" s="1" t="s">
        <v>287</v>
      </c>
      <c r="FA1707" s="1" t="s">
        <v>471</v>
      </c>
      <c r="FB1707" s="1" t="s">
        <v>289</v>
      </c>
      <c r="FD1707" s="1" t="s">
        <v>246</v>
      </c>
      <c r="FE1707" s="1" t="s">
        <v>765</v>
      </c>
      <c r="FF1707" s="1" t="s">
        <v>248</v>
      </c>
      <c r="FH1707" s="1" t="s">
        <v>2221</v>
      </c>
      <c r="FI1707" s="1" t="s">
        <v>473</v>
      </c>
      <c r="FL1707" s="1" t="s">
        <v>358</v>
      </c>
      <c r="FM1707" s="1" t="s">
        <v>252</v>
      </c>
      <c r="FN1707" s="1" t="s">
        <v>213</v>
      </c>
      <c r="FO1707" s="1" t="s">
        <v>213</v>
      </c>
      <c r="FQ1707" s="1" t="s">
        <v>293</v>
      </c>
      <c r="FR1707" s="1" t="s">
        <v>210</v>
      </c>
      <c r="FS1707" s="1" t="s">
        <v>1709</v>
      </c>
      <c r="FT1707" s="1" t="s">
        <v>16184</v>
      </c>
      <c r="FU1707" s="1" t="s">
        <v>204</v>
      </c>
      <c r="FW1707" s="1" t="s">
        <v>5481</v>
      </c>
      <c r="FX1707" s="1">
        <v>23842</v>
      </c>
      <c r="FY1707" s="1" t="s">
        <v>5482</v>
      </c>
      <c r="FZ1707" s="1" t="s">
        <v>5483</v>
      </c>
      <c r="GA1707" s="1">
        <v>217273</v>
      </c>
      <c r="GB1707" s="1" t="s">
        <v>5484</v>
      </c>
      <c r="GE1707" s="1" t="s">
        <v>210</v>
      </c>
      <c r="GI1707" s="1" t="s">
        <v>213</v>
      </c>
      <c r="GJ1707" s="1" t="s">
        <v>260</v>
      </c>
      <c r="GK1707" s="1" t="s">
        <v>210</v>
      </c>
      <c r="GL1707" s="2">
        <v>41986</v>
      </c>
      <c r="GM1707" s="1" t="s">
        <v>16185</v>
      </c>
    </row>
    <row r="1708" spans="1:195">
      <c r="A1708" s="1">
        <v>121500</v>
      </c>
      <c r="B1708" s="1" t="s">
        <v>195</v>
      </c>
      <c r="C1708" s="1" t="str">
        <f>"08711744"</f>
        <v>08711744</v>
      </c>
      <c r="D1708" s="1" t="s">
        <v>196</v>
      </c>
      <c r="F1708" s="1" t="str">
        <f>"110"</f>
        <v>110</v>
      </c>
      <c r="G1708" s="2">
        <v>41877</v>
      </c>
      <c r="H1708" s="1">
        <v>129900</v>
      </c>
      <c r="I1708" s="1">
        <v>124900</v>
      </c>
      <c r="J1708" s="1">
        <v>121500</v>
      </c>
      <c r="K1708" s="2">
        <v>41877</v>
      </c>
      <c r="L1708" s="1">
        <v>125</v>
      </c>
      <c r="M1708" s="2">
        <v>42001</v>
      </c>
      <c r="N1708" s="1">
        <v>125</v>
      </c>
      <c r="O1708" s="2">
        <v>42001</v>
      </c>
      <c r="P1708" s="1">
        <v>5136</v>
      </c>
      <c r="Q1708" s="1" t="s">
        <v>197</v>
      </c>
      <c r="R1708" s="2">
        <v>42046</v>
      </c>
      <c r="S1708" s="1">
        <v>53762</v>
      </c>
      <c r="U1708" s="1">
        <v>5509</v>
      </c>
      <c r="V1708" s="1" t="s">
        <v>3653</v>
      </c>
      <c r="W1708" s="1" t="s">
        <v>304</v>
      </c>
      <c r="Y1708" s="1">
        <v>6</v>
      </c>
      <c r="Z1708" s="1" t="s">
        <v>370</v>
      </c>
      <c r="AA1708" s="1" t="s">
        <v>803</v>
      </c>
      <c r="AB1708" s="1">
        <v>60110</v>
      </c>
      <c r="AD1708" s="1" t="s">
        <v>2555</v>
      </c>
      <c r="AE1708" s="1" t="s">
        <v>16186</v>
      </c>
      <c r="AF1708" s="1">
        <v>1999</v>
      </c>
      <c r="AG1708" s="1" t="s">
        <v>204</v>
      </c>
      <c r="AH1708" s="1" t="s">
        <v>2557</v>
      </c>
      <c r="AI1708" s="1" t="s">
        <v>665</v>
      </c>
      <c r="AJ1708" s="1" t="s">
        <v>805</v>
      </c>
      <c r="AL1708" s="1">
        <v>6</v>
      </c>
      <c r="AM1708" s="1">
        <v>2</v>
      </c>
      <c r="AN1708" s="1">
        <v>1</v>
      </c>
      <c r="AO1708" s="1">
        <v>1</v>
      </c>
      <c r="AP1708" s="1" t="s">
        <v>667</v>
      </c>
      <c r="AQ1708" s="1">
        <v>0</v>
      </c>
      <c r="AR1708" s="1" t="s">
        <v>209</v>
      </c>
      <c r="AS1708" s="1" t="s">
        <v>204</v>
      </c>
      <c r="AT1708" s="1" t="s">
        <v>211</v>
      </c>
      <c r="AU1708" s="1">
        <v>1</v>
      </c>
      <c r="AW1708" s="1" t="s">
        <v>204</v>
      </c>
      <c r="AX1708" s="1" t="s">
        <v>212</v>
      </c>
      <c r="AZ1708" s="1">
        <v>4273</v>
      </c>
      <c r="BA1708" s="1">
        <v>2013</v>
      </c>
      <c r="BB1708" s="1" t="s">
        <v>405</v>
      </c>
      <c r="BE1708" s="1">
        <v>1200</v>
      </c>
      <c r="BF1708" s="1">
        <v>1</v>
      </c>
      <c r="BG1708" s="1">
        <v>0</v>
      </c>
      <c r="BJ1708" s="1">
        <v>100</v>
      </c>
      <c r="BL1708" s="1">
        <v>129</v>
      </c>
      <c r="BM1708" s="1" t="s">
        <v>204</v>
      </c>
      <c r="BN1708" s="1" t="s">
        <v>213</v>
      </c>
      <c r="BO1708" s="1">
        <v>35</v>
      </c>
      <c r="BP1708" s="1" t="s">
        <v>204</v>
      </c>
      <c r="BR1708" s="1" t="str">
        <f>"0308177044"</f>
        <v>0308177044</v>
      </c>
      <c r="BT1708" s="1" t="s">
        <v>16187</v>
      </c>
      <c r="BU1708" s="1" t="s">
        <v>6711</v>
      </c>
      <c r="BV1708" s="1" t="s">
        <v>11901</v>
      </c>
      <c r="BW1708" s="1" t="s">
        <v>2668</v>
      </c>
      <c r="BX1708" s="1">
        <v>300</v>
      </c>
      <c r="BY1708" s="1">
        <v>300</v>
      </c>
      <c r="BZ1708" s="1">
        <v>300</v>
      </c>
      <c r="CB1708" s="1" t="str">
        <f>"18"</f>
        <v>18</v>
      </c>
      <c r="CC1708" s="1" t="str">
        <f>"0"</f>
        <v>0</v>
      </c>
      <c r="CD1708" s="1">
        <v>36</v>
      </c>
      <c r="CE1708" s="1">
        <v>0</v>
      </c>
      <c r="CG1708" s="1" t="s">
        <v>3656</v>
      </c>
      <c r="CH1708" s="1" t="s">
        <v>219</v>
      </c>
      <c r="CI1708" s="1" t="s">
        <v>438</v>
      </c>
      <c r="CJ1708" s="1" t="s">
        <v>343</v>
      </c>
      <c r="CK1708" s="1" t="s">
        <v>757</v>
      </c>
      <c r="CL1708" s="1" t="s">
        <v>277</v>
      </c>
      <c r="CM1708" s="1" t="s">
        <v>220</v>
      </c>
      <c r="CN1708" s="1" t="s">
        <v>343</v>
      </c>
      <c r="CO1708" s="1" t="s">
        <v>3657</v>
      </c>
      <c r="CP1708" s="1" t="s">
        <v>219</v>
      </c>
      <c r="CQ1708" s="1" t="s">
        <v>438</v>
      </c>
      <c r="CR1708" s="1" t="s">
        <v>210</v>
      </c>
      <c r="CS1708" s="1" t="s">
        <v>378</v>
      </c>
      <c r="CT1708" s="1" t="s">
        <v>277</v>
      </c>
      <c r="CU1708" s="1" t="s">
        <v>220</v>
      </c>
      <c r="CV1708" s="1" t="s">
        <v>343</v>
      </c>
      <c r="CX1708" s="1" t="s">
        <v>224</v>
      </c>
      <c r="DB1708" s="1" t="s">
        <v>224</v>
      </c>
      <c r="DE1708" s="1" t="s">
        <v>2982</v>
      </c>
      <c r="DF1708" s="1" t="s">
        <v>219</v>
      </c>
      <c r="DG1708" s="1" t="s">
        <v>438</v>
      </c>
      <c r="DH1708" s="1" t="s">
        <v>343</v>
      </c>
      <c r="DI1708" s="1" t="s">
        <v>2935</v>
      </c>
      <c r="DJ1708" s="1" t="s">
        <v>43</v>
      </c>
      <c r="DK1708" s="1" t="s">
        <v>342</v>
      </c>
      <c r="DL1708" s="1" t="s">
        <v>210</v>
      </c>
      <c r="DS1708" s="1" t="s">
        <v>230</v>
      </c>
      <c r="DW1708" s="1" t="s">
        <v>230</v>
      </c>
      <c r="EA1708" s="1" t="s">
        <v>230</v>
      </c>
      <c r="EE1708" s="1" t="s">
        <v>230</v>
      </c>
      <c r="EI1708" s="1" t="s">
        <v>230</v>
      </c>
      <c r="EL1708" s="1" t="s">
        <v>466</v>
      </c>
      <c r="EM1708" s="1" t="s">
        <v>319</v>
      </c>
      <c r="EN1708" s="1" t="s">
        <v>282</v>
      </c>
      <c r="EO1708" s="1" t="s">
        <v>234</v>
      </c>
      <c r="EP1708" s="1" t="s">
        <v>1268</v>
      </c>
      <c r="EQ1708" s="1" t="s">
        <v>236</v>
      </c>
      <c r="ER1708" s="1" t="s">
        <v>1249</v>
      </c>
      <c r="ES1708" s="1" t="s">
        <v>322</v>
      </c>
      <c r="EU1708" s="1" t="s">
        <v>1110</v>
      </c>
      <c r="EV1708" s="1" t="s">
        <v>240</v>
      </c>
      <c r="EW1708" s="1" t="s">
        <v>887</v>
      </c>
      <c r="EY1708" s="1" t="s">
        <v>242</v>
      </c>
      <c r="EZ1708" s="1" t="s">
        <v>287</v>
      </c>
      <c r="FB1708" s="1" t="s">
        <v>289</v>
      </c>
      <c r="FD1708" s="1" t="s">
        <v>246</v>
      </c>
      <c r="FE1708" s="1" t="s">
        <v>975</v>
      </c>
      <c r="FF1708" s="1" t="s">
        <v>387</v>
      </c>
      <c r="FH1708" s="1" t="s">
        <v>550</v>
      </c>
      <c r="FI1708" s="1" t="s">
        <v>473</v>
      </c>
      <c r="FJ1708" s="1" t="s">
        <v>1472</v>
      </c>
      <c r="FL1708" s="1" t="s">
        <v>358</v>
      </c>
      <c r="FM1708" s="1" t="s">
        <v>252</v>
      </c>
      <c r="FN1708" s="1" t="s">
        <v>213</v>
      </c>
      <c r="FO1708" s="1" t="s">
        <v>213</v>
      </c>
      <c r="FQ1708" s="1" t="s">
        <v>329</v>
      </c>
      <c r="FR1708" s="1" t="s">
        <v>652</v>
      </c>
      <c r="FS1708" s="1" t="s">
        <v>12520</v>
      </c>
      <c r="FT1708" s="1" t="s">
        <v>295</v>
      </c>
      <c r="FU1708" s="1" t="s">
        <v>204</v>
      </c>
      <c r="FW1708" s="1" t="s">
        <v>1097</v>
      </c>
      <c r="FX1708" s="1">
        <v>7661</v>
      </c>
      <c r="FY1708" s="1" t="s">
        <v>7072</v>
      </c>
      <c r="FZ1708" s="1" t="s">
        <v>10128</v>
      </c>
      <c r="GA1708" s="1">
        <v>676</v>
      </c>
      <c r="GE1708" s="1" t="s">
        <v>480</v>
      </c>
      <c r="GI1708" s="1" t="s">
        <v>213</v>
      </c>
      <c r="GJ1708" s="1" t="s">
        <v>260</v>
      </c>
      <c r="GK1708" s="1" t="s">
        <v>261</v>
      </c>
      <c r="GL1708" s="2">
        <v>42046</v>
      </c>
      <c r="GM1708" s="1" t="s">
        <v>16188</v>
      </c>
    </row>
    <row r="1709" spans="1:195">
      <c r="A1709" s="1">
        <v>115000</v>
      </c>
      <c r="B1709" s="1" t="s">
        <v>195</v>
      </c>
      <c r="C1709" s="1" t="str">
        <f>"08708788"</f>
        <v>08708788</v>
      </c>
      <c r="D1709" s="1" t="s">
        <v>196</v>
      </c>
      <c r="F1709" s="1" t="str">
        <f>"543"</f>
        <v>543</v>
      </c>
      <c r="G1709" s="2">
        <v>41873</v>
      </c>
      <c r="H1709" s="1">
        <v>149900</v>
      </c>
      <c r="I1709" s="1">
        <v>119900</v>
      </c>
      <c r="J1709" s="1">
        <v>115000</v>
      </c>
      <c r="K1709" s="2">
        <v>41872</v>
      </c>
      <c r="L1709" s="1">
        <v>85</v>
      </c>
      <c r="M1709" s="2">
        <v>41956</v>
      </c>
      <c r="N1709" s="1">
        <v>85</v>
      </c>
      <c r="O1709" s="2">
        <v>41956</v>
      </c>
      <c r="P1709" s="1">
        <v>23196</v>
      </c>
      <c r="Q1709" s="1" t="s">
        <v>197</v>
      </c>
      <c r="R1709" s="2">
        <v>42030</v>
      </c>
      <c r="S1709" s="1">
        <v>242014</v>
      </c>
      <c r="U1709" s="1">
        <v>506</v>
      </c>
      <c r="V1709" s="1" t="s">
        <v>16189</v>
      </c>
      <c r="W1709" s="1" t="s">
        <v>504</v>
      </c>
      <c r="Y1709" s="1">
        <v>6</v>
      </c>
      <c r="Z1709" s="1" t="s">
        <v>249</v>
      </c>
      <c r="AA1709" s="1" t="s">
        <v>2639</v>
      </c>
      <c r="AB1709" s="1">
        <v>60543</v>
      </c>
      <c r="AD1709" s="1" t="s">
        <v>16190</v>
      </c>
      <c r="AE1709" s="1" t="s">
        <v>16191</v>
      </c>
      <c r="AF1709" s="1">
        <v>2006</v>
      </c>
      <c r="AG1709" s="1" t="s">
        <v>204</v>
      </c>
      <c r="AH1709" s="1" t="s">
        <v>1397</v>
      </c>
      <c r="AI1709" s="1" t="s">
        <v>453</v>
      </c>
      <c r="AJ1709" s="1" t="s">
        <v>1397</v>
      </c>
      <c r="AK1709" s="1" t="s">
        <v>16192</v>
      </c>
      <c r="AL1709" s="1">
        <v>6</v>
      </c>
      <c r="AM1709" s="1">
        <v>2</v>
      </c>
      <c r="AN1709" s="1">
        <v>1</v>
      </c>
      <c r="AO1709" s="1">
        <v>1</v>
      </c>
      <c r="AP1709" s="1" t="s">
        <v>667</v>
      </c>
      <c r="AQ1709" s="1">
        <v>0</v>
      </c>
      <c r="AR1709" s="1" t="s">
        <v>210</v>
      </c>
      <c r="AT1709" s="1" t="s">
        <v>211</v>
      </c>
      <c r="AU1709" s="1">
        <v>2</v>
      </c>
      <c r="AW1709" s="1" t="s">
        <v>204</v>
      </c>
      <c r="AX1709" s="1" t="s">
        <v>212</v>
      </c>
      <c r="AZ1709" s="1">
        <v>4500.8500000000004</v>
      </c>
      <c r="BA1709" s="1">
        <v>2013</v>
      </c>
      <c r="BE1709" s="1">
        <v>1471</v>
      </c>
      <c r="BF1709" s="1">
        <v>1</v>
      </c>
      <c r="BG1709" s="1">
        <v>0</v>
      </c>
      <c r="BL1709" s="1">
        <v>166</v>
      </c>
      <c r="BM1709" s="1" t="s">
        <v>204</v>
      </c>
      <c r="BN1709" s="1" t="s">
        <v>213</v>
      </c>
      <c r="BO1709" s="1">
        <v>0</v>
      </c>
      <c r="BP1709" s="1" t="s">
        <v>204</v>
      </c>
      <c r="BR1709" s="1" t="str">
        <f>"0311379023"</f>
        <v>0311379023</v>
      </c>
      <c r="BT1709" s="1" t="s">
        <v>16193</v>
      </c>
      <c r="BU1709" s="1" t="s">
        <v>2167</v>
      </c>
      <c r="BV1709" s="1" t="s">
        <v>3010</v>
      </c>
      <c r="BW1709" s="1" t="s">
        <v>1401</v>
      </c>
      <c r="BX1709" s="1">
        <v>308</v>
      </c>
      <c r="BY1709" s="1">
        <v>308</v>
      </c>
      <c r="BZ1709" s="1">
        <v>308</v>
      </c>
      <c r="CB1709" s="1" t="str">
        <f t="shared" ref="CB1709:CC1709" si="1295">""</f>
        <v/>
      </c>
      <c r="CC1709" s="1" t="str">
        <f t="shared" si="1295"/>
        <v/>
      </c>
      <c r="CG1709" s="1" t="s">
        <v>1788</v>
      </c>
      <c r="CH1709" s="1" t="s">
        <v>219</v>
      </c>
      <c r="CI1709" s="1" t="s">
        <v>220</v>
      </c>
      <c r="CK1709" s="1" t="s">
        <v>2934</v>
      </c>
      <c r="CL1709" s="1" t="s">
        <v>277</v>
      </c>
      <c r="CM1709" s="1" t="s">
        <v>220</v>
      </c>
      <c r="CO1709" s="1" t="s">
        <v>1046</v>
      </c>
      <c r="CP1709" s="1" t="s">
        <v>219</v>
      </c>
      <c r="CQ1709" s="1" t="s">
        <v>220</v>
      </c>
      <c r="CS1709" s="1" t="s">
        <v>465</v>
      </c>
      <c r="CT1709" s="1" t="s">
        <v>277</v>
      </c>
      <c r="CU1709" s="1" t="s">
        <v>220</v>
      </c>
      <c r="CX1709" s="1" t="s">
        <v>224</v>
      </c>
      <c r="DB1709" s="1" t="s">
        <v>224</v>
      </c>
      <c r="DE1709" s="1" t="s">
        <v>1046</v>
      </c>
      <c r="DF1709" s="1" t="s">
        <v>219</v>
      </c>
      <c r="DG1709" s="1" t="s">
        <v>438</v>
      </c>
      <c r="DJ1709" s="1" t="s">
        <v>224</v>
      </c>
      <c r="DM1709" s="1" t="s">
        <v>464</v>
      </c>
      <c r="DN1709" s="1" t="s">
        <v>3011</v>
      </c>
      <c r="DR1709" s="1" t="s">
        <v>12732</v>
      </c>
      <c r="DS1709" s="1" t="s">
        <v>277</v>
      </c>
      <c r="DT1709" s="1" t="s">
        <v>220</v>
      </c>
      <c r="DV1709" s="1" t="s">
        <v>5233</v>
      </c>
      <c r="DW1709" s="1" t="s">
        <v>219</v>
      </c>
      <c r="EA1709" s="1" t="s">
        <v>230</v>
      </c>
      <c r="EE1709" s="1" t="s">
        <v>230</v>
      </c>
      <c r="EI1709" s="1" t="s">
        <v>230</v>
      </c>
      <c r="EL1709" s="1" t="s">
        <v>491</v>
      </c>
      <c r="EM1709" s="1" t="s">
        <v>319</v>
      </c>
      <c r="EN1709" s="1" t="s">
        <v>282</v>
      </c>
      <c r="EO1709" s="1" t="s">
        <v>840</v>
      </c>
      <c r="EP1709" s="1" t="s">
        <v>16194</v>
      </c>
      <c r="EQ1709" s="1" t="s">
        <v>607</v>
      </c>
      <c r="ER1709" s="1" t="s">
        <v>383</v>
      </c>
      <c r="EU1709" s="1" t="s">
        <v>239</v>
      </c>
      <c r="EV1709" s="1" t="s">
        <v>240</v>
      </c>
      <c r="EW1709" s="1" t="s">
        <v>16195</v>
      </c>
      <c r="EY1709" s="1" t="s">
        <v>242</v>
      </c>
      <c r="EZ1709" s="1" t="s">
        <v>7165</v>
      </c>
      <c r="FD1709" s="1" t="s">
        <v>1649</v>
      </c>
      <c r="FE1709" s="1" t="s">
        <v>247</v>
      </c>
      <c r="FF1709" s="1" t="s">
        <v>248</v>
      </c>
      <c r="FH1709" s="1" t="s">
        <v>550</v>
      </c>
      <c r="FL1709" s="1" t="s">
        <v>358</v>
      </c>
      <c r="FM1709" s="1" t="s">
        <v>252</v>
      </c>
      <c r="FN1709" s="1" t="s">
        <v>213</v>
      </c>
      <c r="FO1709" s="1" t="s">
        <v>213</v>
      </c>
      <c r="FQ1709" s="1" t="s">
        <v>3560</v>
      </c>
      <c r="FR1709" s="1" t="s">
        <v>360</v>
      </c>
      <c r="FS1709" s="1" t="s">
        <v>16196</v>
      </c>
      <c r="FT1709" s="1" t="s">
        <v>295</v>
      </c>
      <c r="FU1709" s="1" t="s">
        <v>204</v>
      </c>
      <c r="FW1709" s="1" t="s">
        <v>1475</v>
      </c>
      <c r="FX1709" s="1">
        <v>23265</v>
      </c>
      <c r="FY1709" s="1" t="s">
        <v>1476</v>
      </c>
      <c r="FZ1709" s="1" t="s">
        <v>5419</v>
      </c>
      <c r="GA1709" s="1">
        <v>218055</v>
      </c>
      <c r="GB1709" s="1" t="s">
        <v>5420</v>
      </c>
      <c r="GD1709" s="1" t="s">
        <v>5421</v>
      </c>
      <c r="GE1709" s="1" t="s">
        <v>210</v>
      </c>
      <c r="GI1709" s="1" t="s">
        <v>213</v>
      </c>
      <c r="GJ1709" s="1" t="s">
        <v>260</v>
      </c>
      <c r="GK1709" s="1" t="s">
        <v>210</v>
      </c>
      <c r="GL1709" s="2">
        <v>42030</v>
      </c>
      <c r="GM1709" s="2" t="s">
        <v>5422</v>
      </c>
    </row>
    <row r="1710" spans="1:195">
      <c r="A1710" s="1">
        <v>254990</v>
      </c>
      <c r="B1710" s="1" t="s">
        <v>195</v>
      </c>
      <c r="C1710" s="1" t="str">
        <f>"08711066"</f>
        <v>08711066</v>
      </c>
      <c r="D1710" s="1" t="s">
        <v>196</v>
      </c>
      <c r="F1710" s="1" t="str">
        <f>"540"</f>
        <v>540</v>
      </c>
      <c r="G1710" s="2">
        <v>41876</v>
      </c>
      <c r="H1710" s="1">
        <v>272990</v>
      </c>
      <c r="I1710" s="1">
        <v>259990</v>
      </c>
      <c r="J1710" s="1">
        <v>254990</v>
      </c>
      <c r="K1710" s="2">
        <v>41876</v>
      </c>
      <c r="L1710" s="1">
        <v>129</v>
      </c>
      <c r="M1710" s="2">
        <v>42004</v>
      </c>
      <c r="N1710" s="1">
        <v>129</v>
      </c>
      <c r="O1710" s="2">
        <v>42004</v>
      </c>
      <c r="P1710" s="1" t="s">
        <v>1039</v>
      </c>
      <c r="Q1710" s="1" t="s">
        <v>197</v>
      </c>
      <c r="R1710" s="2">
        <v>42044</v>
      </c>
      <c r="S1710" s="1">
        <v>99995</v>
      </c>
      <c r="U1710" s="1">
        <v>2616</v>
      </c>
      <c r="V1710" s="1" t="s">
        <v>6288</v>
      </c>
      <c r="W1710" s="1" t="s">
        <v>449</v>
      </c>
      <c r="Y1710" s="1">
        <v>4</v>
      </c>
      <c r="Z1710" s="1" t="s">
        <v>370</v>
      </c>
      <c r="AA1710" s="1" t="s">
        <v>921</v>
      </c>
      <c r="AB1710" s="1">
        <v>60564</v>
      </c>
      <c r="AD1710" s="1" t="s">
        <v>3249</v>
      </c>
      <c r="AE1710" s="1" t="s">
        <v>16197</v>
      </c>
      <c r="AF1710" s="1">
        <v>2014</v>
      </c>
      <c r="AG1710" s="1" t="s">
        <v>204</v>
      </c>
      <c r="AH1710" s="1" t="s">
        <v>924</v>
      </c>
      <c r="AI1710" s="1" t="s">
        <v>1800</v>
      </c>
      <c r="AJ1710" s="1" t="s">
        <v>1801</v>
      </c>
      <c r="AK1710" s="1" t="s">
        <v>16198</v>
      </c>
      <c r="AL1710" s="1">
        <v>5</v>
      </c>
      <c r="AM1710" s="1">
        <v>2</v>
      </c>
      <c r="AN1710" s="1">
        <v>2</v>
      </c>
      <c r="AO1710" s="1">
        <v>0</v>
      </c>
      <c r="AP1710" s="1" t="s">
        <v>209</v>
      </c>
      <c r="AR1710" s="1" t="s">
        <v>210</v>
      </c>
      <c r="AS1710" s="1" t="s">
        <v>204</v>
      </c>
      <c r="AT1710" s="1" t="s">
        <v>211</v>
      </c>
      <c r="AU1710" s="1">
        <v>2</v>
      </c>
      <c r="AW1710" s="1" t="s">
        <v>204</v>
      </c>
      <c r="AX1710" s="1" t="s">
        <v>9109</v>
      </c>
      <c r="AZ1710" s="1" t="s">
        <v>751</v>
      </c>
      <c r="BA1710" s="1">
        <v>2012</v>
      </c>
      <c r="BE1710" s="1">
        <v>1717</v>
      </c>
      <c r="BF1710" s="1">
        <v>1</v>
      </c>
      <c r="BG1710" s="1">
        <v>0</v>
      </c>
      <c r="BL1710" s="1">
        <v>238</v>
      </c>
      <c r="BM1710" s="1" t="s">
        <v>204</v>
      </c>
      <c r="BN1710" s="1" t="s">
        <v>213</v>
      </c>
      <c r="BO1710" s="1">
        <v>999</v>
      </c>
      <c r="BP1710" s="1" t="s">
        <v>213</v>
      </c>
      <c r="BQ1710" s="2">
        <v>41942</v>
      </c>
      <c r="BR1710" s="1" t="str">
        <f>"05407003000000"</f>
        <v>05407003000000</v>
      </c>
      <c r="BT1710" s="1" t="s">
        <v>16199</v>
      </c>
      <c r="BX1710" s="1">
        <v>204</v>
      </c>
      <c r="BY1710" s="1">
        <v>204</v>
      </c>
      <c r="BZ1710" s="1">
        <v>204</v>
      </c>
      <c r="CB1710" s="1" t="str">
        <f t="shared" ref="CB1710:CC1710" si="1296">""</f>
        <v/>
      </c>
      <c r="CC1710" s="1" t="str">
        <f t="shared" si="1296"/>
        <v/>
      </c>
      <c r="CG1710" s="1" t="s">
        <v>1132</v>
      </c>
      <c r="CH1710" s="1" t="s">
        <v>219</v>
      </c>
      <c r="CK1710" s="1" t="s">
        <v>1403</v>
      </c>
      <c r="CL1710" s="1" t="s">
        <v>219</v>
      </c>
      <c r="CO1710" s="1" t="s">
        <v>629</v>
      </c>
      <c r="CP1710" s="1" t="s">
        <v>219</v>
      </c>
      <c r="CS1710" s="1" t="s">
        <v>318</v>
      </c>
      <c r="CT1710" s="1" t="s">
        <v>219</v>
      </c>
      <c r="CX1710" s="1" t="s">
        <v>224</v>
      </c>
      <c r="DB1710" s="1" t="s">
        <v>224</v>
      </c>
      <c r="DE1710" s="1" t="s">
        <v>228</v>
      </c>
      <c r="DF1710" s="1" t="s">
        <v>219</v>
      </c>
      <c r="DJ1710" s="1" t="s">
        <v>224</v>
      </c>
      <c r="DM1710" s="1" t="s">
        <v>603</v>
      </c>
      <c r="DR1710" s="1" t="s">
        <v>1612</v>
      </c>
      <c r="DS1710" s="1" t="s">
        <v>219</v>
      </c>
      <c r="DW1710" s="1" t="s">
        <v>230</v>
      </c>
      <c r="EA1710" s="1" t="s">
        <v>230</v>
      </c>
      <c r="EE1710" s="1" t="s">
        <v>230</v>
      </c>
      <c r="EI1710" s="1" t="s">
        <v>230</v>
      </c>
      <c r="EL1710" s="1" t="s">
        <v>1455</v>
      </c>
      <c r="EM1710" s="1" t="s">
        <v>730</v>
      </c>
      <c r="EN1710" s="1" t="s">
        <v>282</v>
      </c>
      <c r="EO1710" s="1" t="s">
        <v>840</v>
      </c>
      <c r="EP1710" s="1" t="s">
        <v>5912</v>
      </c>
      <c r="ER1710" s="1" t="s">
        <v>383</v>
      </c>
      <c r="EW1710" s="1" t="s">
        <v>9113</v>
      </c>
      <c r="EZ1710" s="1" t="s">
        <v>603</v>
      </c>
      <c r="FD1710" s="1" t="s">
        <v>246</v>
      </c>
      <c r="FE1710" s="1" t="s">
        <v>975</v>
      </c>
      <c r="FF1710" s="1" t="s">
        <v>248</v>
      </c>
      <c r="FH1710" s="1" t="s">
        <v>825</v>
      </c>
      <c r="FL1710" s="1" t="s">
        <v>358</v>
      </c>
      <c r="FM1710" s="1" t="s">
        <v>252</v>
      </c>
      <c r="FN1710" s="1" t="s">
        <v>213</v>
      </c>
      <c r="FO1710" s="1" t="s">
        <v>204</v>
      </c>
      <c r="FQ1710" s="1" t="s">
        <v>582</v>
      </c>
      <c r="FR1710" s="1" t="s">
        <v>210</v>
      </c>
      <c r="FS1710" s="1" t="s">
        <v>16200</v>
      </c>
      <c r="FT1710" s="1" t="s">
        <v>5166</v>
      </c>
      <c r="FU1710" s="1" t="s">
        <v>204</v>
      </c>
      <c r="FW1710" s="1" t="s">
        <v>772</v>
      </c>
      <c r="FX1710" s="1">
        <v>92038</v>
      </c>
      <c r="FY1710" s="1" t="s">
        <v>773</v>
      </c>
      <c r="FZ1710" s="1" t="s">
        <v>774</v>
      </c>
      <c r="GA1710" s="1">
        <v>21137</v>
      </c>
      <c r="GB1710" s="1" t="s">
        <v>775</v>
      </c>
      <c r="GE1710" s="1" t="s">
        <v>623</v>
      </c>
      <c r="GI1710" s="1" t="s">
        <v>204</v>
      </c>
      <c r="GJ1710" s="1" t="s">
        <v>260</v>
      </c>
      <c r="GK1710" s="1" t="s">
        <v>210</v>
      </c>
      <c r="GL1710" s="2">
        <v>42046</v>
      </c>
      <c r="GM1710" s="1" t="s">
        <v>16201</v>
      </c>
    </row>
    <row r="1711" spans="1:195">
      <c r="A1711" s="1">
        <v>72000</v>
      </c>
      <c r="B1711" s="1" t="s">
        <v>195</v>
      </c>
      <c r="C1711" s="1" t="str">
        <f>"08721479"</f>
        <v>08721479</v>
      </c>
      <c r="D1711" s="1" t="s">
        <v>196</v>
      </c>
      <c r="F1711" s="1" t="str">
        <f>"42"</f>
        <v>42</v>
      </c>
      <c r="G1711" s="2">
        <v>41889</v>
      </c>
      <c r="H1711" s="1">
        <v>79900</v>
      </c>
      <c r="I1711" s="1">
        <v>69900</v>
      </c>
      <c r="J1711" s="1">
        <v>72000</v>
      </c>
      <c r="K1711" s="2">
        <v>41889</v>
      </c>
      <c r="L1711" s="1">
        <v>49</v>
      </c>
      <c r="M1711" s="2">
        <v>41937</v>
      </c>
      <c r="N1711" s="1">
        <v>49</v>
      </c>
      <c r="O1711" s="2">
        <v>41937</v>
      </c>
      <c r="P1711" s="1">
        <v>6022</v>
      </c>
      <c r="Q1711" s="1" t="s">
        <v>197</v>
      </c>
      <c r="R1711" s="2">
        <v>42082</v>
      </c>
      <c r="S1711" s="1">
        <v>35704</v>
      </c>
      <c r="U1711" s="1">
        <v>3325</v>
      </c>
      <c r="V1711" s="1" t="s">
        <v>16202</v>
      </c>
      <c r="W1711" s="1" t="s">
        <v>504</v>
      </c>
      <c r="Y1711" s="1">
        <v>6</v>
      </c>
      <c r="Z1711" s="1" t="s">
        <v>370</v>
      </c>
      <c r="AA1711" s="1" t="s">
        <v>13365</v>
      </c>
      <c r="AB1711" s="1">
        <v>60042</v>
      </c>
      <c r="AD1711" s="1" t="s">
        <v>16203</v>
      </c>
      <c r="AE1711" s="1" t="s">
        <v>16204</v>
      </c>
      <c r="AF1711" s="1">
        <v>1989</v>
      </c>
      <c r="AG1711" s="1" t="s">
        <v>204</v>
      </c>
      <c r="AH1711" s="1" t="s">
        <v>13368</v>
      </c>
      <c r="AI1711" s="1" t="s">
        <v>13369</v>
      </c>
      <c r="AJ1711" s="1" t="s">
        <v>13370</v>
      </c>
      <c r="AL1711" s="1">
        <v>6</v>
      </c>
      <c r="AM1711" s="1">
        <v>2</v>
      </c>
      <c r="AN1711" s="1">
        <v>2</v>
      </c>
      <c r="AO1711" s="1">
        <v>0</v>
      </c>
      <c r="AP1711" s="1" t="s">
        <v>667</v>
      </c>
      <c r="AR1711" s="1" t="s">
        <v>210</v>
      </c>
      <c r="AS1711" s="1" t="s">
        <v>204</v>
      </c>
      <c r="AT1711" s="1" t="s">
        <v>211</v>
      </c>
      <c r="AU1711" s="1">
        <v>1</v>
      </c>
      <c r="AW1711" s="1" t="s">
        <v>204</v>
      </c>
      <c r="AX1711" s="1" t="s">
        <v>16205</v>
      </c>
      <c r="AZ1711" s="1">
        <v>3081.44</v>
      </c>
      <c r="BA1711" s="1">
        <v>2013</v>
      </c>
      <c r="BB1711" s="1" t="s">
        <v>405</v>
      </c>
      <c r="BE1711" s="1">
        <v>1268</v>
      </c>
      <c r="BF1711" s="1">
        <v>1</v>
      </c>
      <c r="BG1711" s="1">
        <v>0</v>
      </c>
      <c r="BL1711" s="1">
        <v>60</v>
      </c>
      <c r="BM1711" s="1" t="s">
        <v>204</v>
      </c>
      <c r="BN1711" s="1" t="s">
        <v>213</v>
      </c>
      <c r="BO1711" s="1">
        <v>0</v>
      </c>
      <c r="BP1711" s="1" t="s">
        <v>204</v>
      </c>
      <c r="BR1711" s="1" t="str">
        <f>"1519254005"</f>
        <v>1519254005</v>
      </c>
      <c r="BT1711" s="1" t="s">
        <v>16206</v>
      </c>
      <c r="BX1711" s="1">
        <v>118</v>
      </c>
      <c r="BY1711" s="1">
        <v>118</v>
      </c>
      <c r="BZ1711" s="1">
        <v>118</v>
      </c>
      <c r="CB1711" s="1" t="str">
        <f t="shared" ref="CB1711:CC1711" si="1297">""</f>
        <v/>
      </c>
      <c r="CC1711" s="1" t="str">
        <f t="shared" si="1297"/>
        <v/>
      </c>
      <c r="CG1711" s="1" t="s">
        <v>2122</v>
      </c>
      <c r="CH1711" s="1" t="s">
        <v>219</v>
      </c>
      <c r="CI1711" s="1" t="s">
        <v>220</v>
      </c>
      <c r="CK1711" s="1" t="s">
        <v>757</v>
      </c>
      <c r="CL1711" s="1" t="s">
        <v>277</v>
      </c>
      <c r="CM1711" s="1" t="s">
        <v>220</v>
      </c>
      <c r="CO1711" s="1" t="s">
        <v>2982</v>
      </c>
      <c r="CP1711" s="1" t="s">
        <v>219</v>
      </c>
      <c r="CQ1711" s="1" t="s">
        <v>220</v>
      </c>
      <c r="CS1711" s="1" t="s">
        <v>461</v>
      </c>
      <c r="CT1711" s="1" t="s">
        <v>277</v>
      </c>
      <c r="CU1711" s="1" t="s">
        <v>220</v>
      </c>
      <c r="CX1711" s="1" t="s">
        <v>224</v>
      </c>
      <c r="DB1711" s="1" t="s">
        <v>224</v>
      </c>
      <c r="DE1711" s="1" t="s">
        <v>16207</v>
      </c>
      <c r="DF1711" s="1" t="s">
        <v>219</v>
      </c>
      <c r="DG1711" s="1" t="s">
        <v>342</v>
      </c>
      <c r="DI1711" s="1" t="s">
        <v>1469</v>
      </c>
      <c r="DJ1711" s="1" t="s">
        <v>219</v>
      </c>
      <c r="DK1711" s="1" t="s">
        <v>220</v>
      </c>
      <c r="DS1711" s="1" t="s">
        <v>230</v>
      </c>
      <c r="DW1711" s="1" t="s">
        <v>230</v>
      </c>
      <c r="EA1711" s="1" t="s">
        <v>230</v>
      </c>
      <c r="EE1711" s="1" t="s">
        <v>230</v>
      </c>
      <c r="EI1711" s="1" t="s">
        <v>230</v>
      </c>
      <c r="EL1711" s="1" t="s">
        <v>382</v>
      </c>
      <c r="EM1711" s="1" t="s">
        <v>319</v>
      </c>
      <c r="EN1711" s="1" t="s">
        <v>282</v>
      </c>
      <c r="EO1711" s="1" t="s">
        <v>234</v>
      </c>
      <c r="EQ1711" s="1" t="s">
        <v>1094</v>
      </c>
      <c r="ER1711" s="1" t="s">
        <v>210</v>
      </c>
      <c r="EU1711" s="1" t="s">
        <v>239</v>
      </c>
      <c r="EV1711" s="1" t="s">
        <v>1553</v>
      </c>
      <c r="EW1711" s="1" t="s">
        <v>1440</v>
      </c>
      <c r="EZ1711" s="1" t="s">
        <v>287</v>
      </c>
      <c r="FA1711" s="1" t="s">
        <v>1427</v>
      </c>
      <c r="FB1711" s="1" t="s">
        <v>1505</v>
      </c>
      <c r="FD1711" s="1" t="s">
        <v>246</v>
      </c>
      <c r="FE1711" s="1" t="s">
        <v>472</v>
      </c>
      <c r="FF1711" s="1" t="s">
        <v>248</v>
      </c>
      <c r="FH1711" s="1" t="s">
        <v>550</v>
      </c>
      <c r="FI1711" s="1" t="s">
        <v>357</v>
      </c>
      <c r="FL1711" s="1" t="s">
        <v>358</v>
      </c>
      <c r="FM1711" s="1" t="s">
        <v>252</v>
      </c>
      <c r="FN1711" s="1" t="s">
        <v>213</v>
      </c>
      <c r="FO1711" s="1" t="s">
        <v>213</v>
      </c>
      <c r="FQ1711" s="1" t="s">
        <v>2004</v>
      </c>
      <c r="FR1711" s="1" t="s">
        <v>360</v>
      </c>
      <c r="FS1711" s="1" t="s">
        <v>16208</v>
      </c>
      <c r="FT1711" s="1" t="s">
        <v>1778</v>
      </c>
      <c r="FU1711" s="1" t="s">
        <v>204</v>
      </c>
      <c r="FW1711" s="1" t="s">
        <v>585</v>
      </c>
      <c r="FX1711" s="1">
        <v>8002</v>
      </c>
      <c r="FY1711" s="1" t="s">
        <v>586</v>
      </c>
      <c r="FZ1711" s="1" t="s">
        <v>16209</v>
      </c>
      <c r="GA1711" s="1">
        <v>29821</v>
      </c>
      <c r="GB1711" s="1" t="s">
        <v>16210</v>
      </c>
      <c r="GC1711" s="1">
        <v>84922</v>
      </c>
      <c r="GD1711" s="1" t="s">
        <v>16211</v>
      </c>
      <c r="GE1711" s="1" t="s">
        <v>480</v>
      </c>
      <c r="GI1711" s="1" t="s">
        <v>213</v>
      </c>
      <c r="GJ1711" s="1" t="s">
        <v>260</v>
      </c>
      <c r="GK1711" s="1" t="s">
        <v>210</v>
      </c>
      <c r="GL1711" s="2">
        <v>42082</v>
      </c>
      <c r="GM1711" s="1" t="s">
        <v>16212</v>
      </c>
    </row>
    <row r="1712" spans="1:195">
      <c r="A1712" s="1">
        <v>72000</v>
      </c>
      <c r="B1712" s="1" t="s">
        <v>195</v>
      </c>
      <c r="C1712" s="1" t="str">
        <f>"08705793"</f>
        <v>08705793</v>
      </c>
      <c r="D1712" s="1" t="s">
        <v>196</v>
      </c>
      <c r="F1712" s="1" t="str">
        <f>"176"</f>
        <v>176</v>
      </c>
      <c r="G1712" s="2">
        <v>41870</v>
      </c>
      <c r="H1712" s="1">
        <v>80850</v>
      </c>
      <c r="I1712" s="1">
        <v>72900</v>
      </c>
      <c r="J1712" s="1">
        <v>72000</v>
      </c>
      <c r="K1712" s="2">
        <v>41869</v>
      </c>
      <c r="L1712" s="1">
        <v>117</v>
      </c>
      <c r="M1712" s="2">
        <v>41985</v>
      </c>
      <c r="N1712" s="1">
        <v>117</v>
      </c>
      <c r="O1712" s="2">
        <v>41985</v>
      </c>
      <c r="P1712" s="1">
        <v>10267</v>
      </c>
      <c r="Q1712" s="1" t="s">
        <v>302</v>
      </c>
      <c r="R1712" s="2">
        <v>42011</v>
      </c>
      <c r="S1712" s="1">
        <v>149158</v>
      </c>
      <c r="U1712" s="1">
        <v>3822</v>
      </c>
      <c r="V1712" s="1" t="s">
        <v>724</v>
      </c>
      <c r="W1712" s="1" t="s">
        <v>725</v>
      </c>
      <c r="X1712" s="1" t="s">
        <v>5917</v>
      </c>
      <c r="Y1712" s="1">
        <v>18</v>
      </c>
      <c r="Z1712" s="1" t="s">
        <v>249</v>
      </c>
      <c r="AA1712" s="1" t="s">
        <v>306</v>
      </c>
      <c r="AB1712" s="1">
        <v>60176</v>
      </c>
      <c r="AE1712" s="1" t="s">
        <v>16213</v>
      </c>
      <c r="AF1712" s="1">
        <v>1970</v>
      </c>
      <c r="AG1712" s="1" t="s">
        <v>213</v>
      </c>
      <c r="AH1712" s="1" t="s">
        <v>309</v>
      </c>
      <c r="AI1712" s="1" t="s">
        <v>310</v>
      </c>
      <c r="AJ1712" s="1" t="s">
        <v>311</v>
      </c>
      <c r="AL1712" s="1">
        <v>4</v>
      </c>
      <c r="AM1712" s="1">
        <v>2</v>
      </c>
      <c r="AN1712" s="1">
        <v>1</v>
      </c>
      <c r="AO1712" s="1">
        <v>0</v>
      </c>
      <c r="AP1712" s="1" t="s">
        <v>210</v>
      </c>
      <c r="AR1712" s="1" t="s">
        <v>210</v>
      </c>
      <c r="AS1712" s="1" t="s">
        <v>204</v>
      </c>
      <c r="AT1712" s="1" t="s">
        <v>271</v>
      </c>
      <c r="AV1712" s="1">
        <v>1</v>
      </c>
      <c r="AW1712" s="1" t="s">
        <v>204</v>
      </c>
      <c r="AX1712" s="1" t="s">
        <v>212</v>
      </c>
      <c r="AZ1712" s="1">
        <v>2334.84</v>
      </c>
      <c r="BA1712" s="1">
        <v>2012</v>
      </c>
      <c r="BB1712" s="1" t="s">
        <v>210</v>
      </c>
      <c r="BE1712" s="1">
        <v>900</v>
      </c>
      <c r="BF1712" s="1">
        <v>1</v>
      </c>
      <c r="BG1712" s="1">
        <v>30</v>
      </c>
      <c r="BL1712" s="1">
        <v>220</v>
      </c>
      <c r="BM1712" s="1" t="s">
        <v>204</v>
      </c>
      <c r="BN1712" s="1" t="s">
        <v>213</v>
      </c>
      <c r="BO1712" s="1">
        <v>999</v>
      </c>
      <c r="BP1712" s="1" t="s">
        <v>204</v>
      </c>
      <c r="BR1712" s="1" t="str">
        <f>"12212210751005"</f>
        <v>12212210751005</v>
      </c>
      <c r="BT1712" s="1" t="s">
        <v>16214</v>
      </c>
      <c r="BX1712" s="1">
        <v>81</v>
      </c>
      <c r="BY1712" s="1">
        <v>81</v>
      </c>
      <c r="BZ1712" s="1">
        <v>212</v>
      </c>
      <c r="CB1712" s="1" t="str">
        <f>"3822"</f>
        <v>3822</v>
      </c>
      <c r="CC1712" s="1" t="str">
        <f>"0"</f>
        <v>0</v>
      </c>
      <c r="CD1712" s="1">
        <v>9800</v>
      </c>
      <c r="CE1712" s="1">
        <v>0</v>
      </c>
      <c r="CG1712" s="1" t="s">
        <v>280</v>
      </c>
      <c r="CH1712" s="1" t="s">
        <v>219</v>
      </c>
      <c r="CI1712" s="1" t="s">
        <v>438</v>
      </c>
      <c r="CK1712" s="1" t="s">
        <v>408</v>
      </c>
      <c r="CL1712" s="1" t="s">
        <v>219</v>
      </c>
      <c r="CM1712" s="1" t="s">
        <v>438</v>
      </c>
      <c r="CP1712" s="1" t="s">
        <v>224</v>
      </c>
      <c r="CS1712" s="1" t="s">
        <v>4098</v>
      </c>
      <c r="CT1712" s="1" t="s">
        <v>219</v>
      </c>
      <c r="CU1712" s="1" t="s">
        <v>438</v>
      </c>
      <c r="CX1712" s="1" t="s">
        <v>224</v>
      </c>
      <c r="DB1712" s="1" t="s">
        <v>224</v>
      </c>
      <c r="DE1712" s="1" t="s">
        <v>2982</v>
      </c>
      <c r="DF1712" s="1" t="s">
        <v>219</v>
      </c>
      <c r="DG1712" s="1" t="s">
        <v>226</v>
      </c>
      <c r="DJ1712" s="1" t="s">
        <v>224</v>
      </c>
      <c r="DS1712" s="1" t="s">
        <v>230</v>
      </c>
      <c r="DW1712" s="1" t="s">
        <v>230</v>
      </c>
      <c r="EA1712" s="1" t="s">
        <v>230</v>
      </c>
      <c r="EE1712" s="1" t="s">
        <v>230</v>
      </c>
      <c r="EI1712" s="1" t="s">
        <v>230</v>
      </c>
      <c r="EL1712" s="1" t="s">
        <v>605</v>
      </c>
      <c r="EM1712" s="1" t="s">
        <v>730</v>
      </c>
      <c r="EN1712" s="1" t="s">
        <v>731</v>
      </c>
      <c r="EO1712" s="1" t="s">
        <v>234</v>
      </c>
      <c r="ER1712" s="1" t="s">
        <v>210</v>
      </c>
      <c r="ET1712" s="1" t="s">
        <v>1752</v>
      </c>
      <c r="EW1712" s="1" t="s">
        <v>16215</v>
      </c>
      <c r="EZ1712" s="1" t="s">
        <v>287</v>
      </c>
      <c r="FB1712" s="1" t="s">
        <v>289</v>
      </c>
      <c r="FD1712" s="1" t="s">
        <v>246</v>
      </c>
      <c r="FE1712" s="1" t="s">
        <v>247</v>
      </c>
      <c r="FF1712" s="1" t="s">
        <v>248</v>
      </c>
      <c r="FH1712" s="1" t="s">
        <v>249</v>
      </c>
      <c r="FK1712" s="1" t="s">
        <v>291</v>
      </c>
      <c r="FL1712" s="1" t="s">
        <v>328</v>
      </c>
      <c r="FM1712" s="1" t="s">
        <v>252</v>
      </c>
      <c r="FN1712" s="1" t="s">
        <v>213</v>
      </c>
      <c r="FO1712" s="1" t="s">
        <v>213</v>
      </c>
      <c r="FQ1712" s="1" t="s">
        <v>16216</v>
      </c>
      <c r="FR1712" s="1" t="s">
        <v>210</v>
      </c>
      <c r="FS1712" s="1" t="s">
        <v>16217</v>
      </c>
      <c r="FT1712" s="1" t="s">
        <v>295</v>
      </c>
      <c r="FU1712" s="1" t="s">
        <v>204</v>
      </c>
      <c r="FW1712" s="1" t="s">
        <v>16218</v>
      </c>
      <c r="FX1712" s="1">
        <v>84946</v>
      </c>
      <c r="FY1712" s="1" t="s">
        <v>16219</v>
      </c>
      <c r="FZ1712" s="1" t="s">
        <v>16220</v>
      </c>
      <c r="GA1712" s="1">
        <v>188464</v>
      </c>
      <c r="GB1712" s="1" t="s">
        <v>16221</v>
      </c>
      <c r="GE1712" s="1" t="s">
        <v>210</v>
      </c>
      <c r="GI1712" s="1" t="s">
        <v>204</v>
      </c>
      <c r="GJ1712" s="1" t="s">
        <v>260</v>
      </c>
      <c r="GK1712" s="1" t="s">
        <v>210</v>
      </c>
      <c r="GL1712" s="2">
        <v>42016</v>
      </c>
      <c r="GM1712" s="1" t="s">
        <v>16222</v>
      </c>
    </row>
    <row r="1713" spans="1:195">
      <c r="A1713" s="1">
        <v>38000</v>
      </c>
      <c r="B1713" s="1" t="s">
        <v>195</v>
      </c>
      <c r="C1713" s="1" t="str">
        <f>"08712424"</f>
        <v>08712424</v>
      </c>
      <c r="D1713" s="1" t="s">
        <v>196</v>
      </c>
      <c r="F1713" s="1" t="str">
        <f>"507"</f>
        <v>507</v>
      </c>
      <c r="G1713" s="2">
        <v>41878</v>
      </c>
      <c r="H1713" s="1">
        <v>49900</v>
      </c>
      <c r="I1713" s="1">
        <v>44999</v>
      </c>
      <c r="J1713" s="1">
        <v>38000</v>
      </c>
      <c r="K1713" s="2">
        <v>41876</v>
      </c>
      <c r="L1713" s="1">
        <v>80</v>
      </c>
      <c r="M1713" s="2">
        <v>41955</v>
      </c>
      <c r="N1713" s="1">
        <v>80</v>
      </c>
      <c r="O1713" s="2">
        <v>41955</v>
      </c>
      <c r="P1713" s="1">
        <v>23030</v>
      </c>
      <c r="Q1713" s="1" t="s">
        <v>302</v>
      </c>
      <c r="R1713" s="2">
        <v>41969</v>
      </c>
      <c r="S1713" s="1">
        <v>228755</v>
      </c>
      <c r="U1713" s="1">
        <v>1322</v>
      </c>
      <c r="V1713" s="1" t="s">
        <v>16223</v>
      </c>
      <c r="W1713" s="1" t="s">
        <v>449</v>
      </c>
      <c r="X1713" s="1" t="s">
        <v>1000</v>
      </c>
      <c r="Y1713" s="1">
        <v>4</v>
      </c>
      <c r="Z1713" s="1" t="s">
        <v>249</v>
      </c>
      <c r="AA1713" s="1" t="s">
        <v>1123</v>
      </c>
      <c r="AB1713" s="1">
        <v>60506</v>
      </c>
      <c r="AE1713" s="1" t="s">
        <v>16224</v>
      </c>
      <c r="AF1713" s="1" t="s">
        <v>402</v>
      </c>
      <c r="AG1713" s="1" t="s">
        <v>213</v>
      </c>
      <c r="AH1713" s="1" t="s">
        <v>1126</v>
      </c>
      <c r="AI1713" s="1" t="s">
        <v>665</v>
      </c>
      <c r="AJ1713" s="1" t="s">
        <v>1126</v>
      </c>
      <c r="AL1713" s="1">
        <v>4</v>
      </c>
      <c r="AM1713" s="1">
        <v>2</v>
      </c>
      <c r="AN1713" s="1">
        <v>1</v>
      </c>
      <c r="AO1713" s="1">
        <v>0</v>
      </c>
      <c r="AP1713" s="1" t="s">
        <v>210</v>
      </c>
      <c r="AR1713" s="1" t="s">
        <v>210</v>
      </c>
      <c r="AT1713" s="1" t="s">
        <v>211</v>
      </c>
      <c r="AU1713" s="1">
        <v>1</v>
      </c>
      <c r="AW1713" s="1" t="s">
        <v>204</v>
      </c>
      <c r="AX1713" s="1">
        <v>0</v>
      </c>
      <c r="AZ1713" s="1">
        <v>683.46</v>
      </c>
      <c r="BA1713" s="1">
        <v>2013</v>
      </c>
      <c r="BE1713" s="1">
        <v>968</v>
      </c>
      <c r="BF1713" s="1">
        <v>1</v>
      </c>
      <c r="BG1713" s="1">
        <v>5</v>
      </c>
      <c r="BL1713" s="1">
        <v>255</v>
      </c>
      <c r="BM1713" s="1" t="s">
        <v>204</v>
      </c>
      <c r="BN1713" s="1" t="s">
        <v>204</v>
      </c>
      <c r="BP1713" s="1" t="s">
        <v>204</v>
      </c>
      <c r="BR1713" s="1" t="str">
        <f>"1517256057"</f>
        <v>1517256057</v>
      </c>
      <c r="BT1713" s="1" t="s">
        <v>16225</v>
      </c>
      <c r="BX1713" s="1">
        <v>129</v>
      </c>
      <c r="BY1713" s="1">
        <v>129</v>
      </c>
      <c r="BZ1713" s="1">
        <v>129</v>
      </c>
      <c r="CB1713" s="1" t="str">
        <f t="shared" ref="CB1713:CC1713" si="1298">""</f>
        <v/>
      </c>
      <c r="CC1713" s="1" t="str">
        <f t="shared" si="1298"/>
        <v/>
      </c>
      <c r="CG1713" s="1" t="s">
        <v>1177</v>
      </c>
      <c r="CH1713" s="1" t="s">
        <v>219</v>
      </c>
      <c r="CK1713" s="1" t="s">
        <v>1403</v>
      </c>
      <c r="CL1713" s="1" t="s">
        <v>277</v>
      </c>
      <c r="CP1713" s="1" t="s">
        <v>224</v>
      </c>
      <c r="CS1713" s="1" t="s">
        <v>836</v>
      </c>
      <c r="CT1713" s="1" t="s">
        <v>277</v>
      </c>
      <c r="CX1713" s="1" t="s">
        <v>224</v>
      </c>
      <c r="DB1713" s="1" t="s">
        <v>224</v>
      </c>
      <c r="DE1713" s="1" t="s">
        <v>972</v>
      </c>
      <c r="DF1713" s="1" t="s">
        <v>219</v>
      </c>
      <c r="DJ1713" s="1" t="s">
        <v>224</v>
      </c>
      <c r="DS1713" s="1" t="s">
        <v>230</v>
      </c>
      <c r="DW1713" s="1" t="s">
        <v>230</v>
      </c>
      <c r="EA1713" s="1" t="s">
        <v>230</v>
      </c>
      <c r="EE1713" s="1" t="s">
        <v>230</v>
      </c>
      <c r="EI1713" s="1" t="s">
        <v>230</v>
      </c>
      <c r="EL1713" s="1" t="s">
        <v>605</v>
      </c>
      <c r="EM1713" s="1" t="s">
        <v>319</v>
      </c>
      <c r="EN1713" s="1" t="s">
        <v>210</v>
      </c>
      <c r="EO1713" s="1" t="s">
        <v>234</v>
      </c>
      <c r="ER1713" s="1" t="s">
        <v>383</v>
      </c>
      <c r="EW1713" s="1" t="s">
        <v>16226</v>
      </c>
      <c r="EZ1713" s="1" t="s">
        <v>287</v>
      </c>
      <c r="FD1713" s="1" t="s">
        <v>1112</v>
      </c>
      <c r="FE1713" s="1" t="s">
        <v>472</v>
      </c>
      <c r="FF1713" s="1" t="s">
        <v>248</v>
      </c>
      <c r="FH1713" s="1" t="s">
        <v>249</v>
      </c>
      <c r="FL1713" s="1" t="s">
        <v>414</v>
      </c>
      <c r="FM1713" s="1" t="s">
        <v>252</v>
      </c>
      <c r="FN1713" s="1" t="s">
        <v>213</v>
      </c>
      <c r="FO1713" s="1" t="s">
        <v>213</v>
      </c>
      <c r="FQ1713" s="1" t="s">
        <v>582</v>
      </c>
      <c r="FR1713" s="1" t="s">
        <v>210</v>
      </c>
      <c r="FS1713" s="1" t="s">
        <v>16227</v>
      </c>
      <c r="FT1713" s="1" t="s">
        <v>16228</v>
      </c>
      <c r="FU1713" s="1" t="s">
        <v>204</v>
      </c>
      <c r="FW1713" s="1" t="s">
        <v>4166</v>
      </c>
      <c r="FX1713" s="1">
        <v>31420</v>
      </c>
      <c r="FY1713" s="1" t="s">
        <v>4167</v>
      </c>
      <c r="FZ1713" s="1" t="s">
        <v>4168</v>
      </c>
      <c r="GA1713" s="1">
        <v>314232</v>
      </c>
      <c r="GB1713" s="1" t="s">
        <v>4169</v>
      </c>
      <c r="GE1713" s="1" t="s">
        <v>210</v>
      </c>
      <c r="GH1713" s="1" t="s">
        <v>421</v>
      </c>
      <c r="GI1713" s="1" t="s">
        <v>204</v>
      </c>
      <c r="GJ1713" s="1" t="s">
        <v>260</v>
      </c>
      <c r="GK1713" s="1" t="s">
        <v>210</v>
      </c>
      <c r="GL1713" s="2">
        <v>41974</v>
      </c>
      <c r="GM1713" s="1" t="s">
        <v>16229</v>
      </c>
    </row>
    <row r="1714" spans="1:195">
      <c r="A1714" s="1">
        <v>165000</v>
      </c>
      <c r="B1714" s="1" t="s">
        <v>195</v>
      </c>
      <c r="C1714" s="1" t="str">
        <f>"08716906"</f>
        <v>08716906</v>
      </c>
      <c r="D1714" s="1" t="s">
        <v>196</v>
      </c>
      <c r="F1714" s="1" t="str">
        <f>"10"</f>
        <v>10</v>
      </c>
      <c r="G1714" s="2">
        <v>41884</v>
      </c>
      <c r="H1714" s="1">
        <v>183900</v>
      </c>
      <c r="I1714" s="1">
        <v>178900</v>
      </c>
      <c r="J1714" s="1">
        <v>165000</v>
      </c>
      <c r="K1714" s="2">
        <v>41883</v>
      </c>
      <c r="L1714" s="1">
        <v>144</v>
      </c>
      <c r="M1714" s="2">
        <v>42026</v>
      </c>
      <c r="N1714" s="1">
        <v>144</v>
      </c>
      <c r="O1714" s="2">
        <v>42026</v>
      </c>
      <c r="P1714" s="1">
        <v>6484</v>
      </c>
      <c r="Q1714" s="1" t="s">
        <v>197</v>
      </c>
      <c r="R1714" s="2">
        <v>42083</v>
      </c>
      <c r="S1714" s="1">
        <v>63165</v>
      </c>
      <c r="U1714" s="1">
        <v>671</v>
      </c>
      <c r="V1714" s="1" t="s">
        <v>5712</v>
      </c>
      <c r="W1714" s="1" t="s">
        <v>504</v>
      </c>
      <c r="X1714" s="1">
        <v>954</v>
      </c>
      <c r="Y1714" s="1">
        <v>4</v>
      </c>
      <c r="Z1714" s="1" t="s">
        <v>249</v>
      </c>
      <c r="AA1714" s="1" t="s">
        <v>1985</v>
      </c>
      <c r="AB1714" s="1">
        <v>60010</v>
      </c>
      <c r="AD1714" s="1" t="s">
        <v>7204</v>
      </c>
      <c r="AE1714" s="1" t="s">
        <v>16230</v>
      </c>
      <c r="AF1714" s="1">
        <v>1988</v>
      </c>
      <c r="AG1714" s="1" t="s">
        <v>204</v>
      </c>
      <c r="AH1714" s="1" t="s">
        <v>1988</v>
      </c>
      <c r="AI1714" s="1" t="s">
        <v>509</v>
      </c>
      <c r="AJ1714" s="1" t="s">
        <v>1989</v>
      </c>
      <c r="AK1714" s="1" t="s">
        <v>16231</v>
      </c>
      <c r="AL1714" s="1">
        <v>5</v>
      </c>
      <c r="AM1714" s="1">
        <v>2</v>
      </c>
      <c r="AN1714" s="1">
        <v>2</v>
      </c>
      <c r="AO1714" s="1">
        <v>0</v>
      </c>
      <c r="AP1714" s="1" t="s">
        <v>209</v>
      </c>
      <c r="AQ1714" s="1">
        <v>1</v>
      </c>
      <c r="AR1714" s="1" t="s">
        <v>210</v>
      </c>
      <c r="AT1714" s="1" t="s">
        <v>211</v>
      </c>
      <c r="AU1714" s="1">
        <v>1</v>
      </c>
      <c r="AW1714" s="1" t="s">
        <v>204</v>
      </c>
      <c r="AX1714" s="1" t="s">
        <v>212</v>
      </c>
      <c r="AZ1714" s="1">
        <v>3161</v>
      </c>
      <c r="BA1714" s="1">
        <v>2013</v>
      </c>
      <c r="BB1714" s="1" t="s">
        <v>405</v>
      </c>
      <c r="BE1714" s="1">
        <v>1250</v>
      </c>
      <c r="BF1714" s="1">
        <v>1</v>
      </c>
      <c r="BG1714" s="1">
        <v>30</v>
      </c>
      <c r="BJ1714" s="1">
        <v>95</v>
      </c>
      <c r="BK1714" s="1">
        <v>0.89</v>
      </c>
      <c r="BL1714" s="1">
        <v>310</v>
      </c>
      <c r="BM1714" s="1" t="s">
        <v>204</v>
      </c>
      <c r="BN1714" s="1" t="s">
        <v>213</v>
      </c>
      <c r="BO1714" s="1">
        <v>25</v>
      </c>
      <c r="BP1714" s="1" t="s">
        <v>204</v>
      </c>
      <c r="BR1714" s="1" t="str">
        <f>"13111001200000"</f>
        <v>13111001200000</v>
      </c>
      <c r="BT1714" s="1" t="s">
        <v>16232</v>
      </c>
      <c r="BU1714" s="1" t="s">
        <v>1992</v>
      </c>
      <c r="BV1714" s="1" t="s">
        <v>1993</v>
      </c>
      <c r="BW1714" s="1" t="s">
        <v>1994</v>
      </c>
      <c r="BX1714" s="1">
        <v>220</v>
      </c>
      <c r="BY1714" s="1">
        <v>220</v>
      </c>
      <c r="BZ1714" s="1">
        <v>220</v>
      </c>
      <c r="CB1714" s="1" t="str">
        <f>"24"</f>
        <v>24</v>
      </c>
      <c r="CC1714" s="1" t="str">
        <f>"0"</f>
        <v>0</v>
      </c>
      <c r="CD1714" s="1">
        <v>26</v>
      </c>
      <c r="CE1714" s="1">
        <v>0</v>
      </c>
      <c r="CG1714" s="1" t="s">
        <v>581</v>
      </c>
      <c r="CH1714" s="1" t="s">
        <v>219</v>
      </c>
      <c r="CI1714" s="1" t="s">
        <v>220</v>
      </c>
      <c r="CJ1714" s="1" t="s">
        <v>343</v>
      </c>
      <c r="CK1714" s="1" t="s">
        <v>972</v>
      </c>
      <c r="CL1714" s="1" t="s">
        <v>219</v>
      </c>
      <c r="CM1714" s="1" t="s">
        <v>220</v>
      </c>
      <c r="CO1714" s="1" t="s">
        <v>837</v>
      </c>
      <c r="CP1714" s="1" t="s">
        <v>219</v>
      </c>
      <c r="CQ1714" s="1" t="s">
        <v>220</v>
      </c>
      <c r="CR1714" s="1" t="s">
        <v>343</v>
      </c>
      <c r="CS1714" s="1" t="s">
        <v>346</v>
      </c>
      <c r="CT1714" s="1" t="s">
        <v>219</v>
      </c>
      <c r="CU1714" s="1" t="s">
        <v>220</v>
      </c>
      <c r="CX1714" s="1" t="s">
        <v>224</v>
      </c>
      <c r="DB1714" s="1" t="s">
        <v>224</v>
      </c>
      <c r="DE1714" s="1" t="s">
        <v>1358</v>
      </c>
      <c r="DF1714" s="1" t="s">
        <v>219</v>
      </c>
      <c r="DG1714" s="1" t="s">
        <v>438</v>
      </c>
      <c r="DH1714" s="1" t="s">
        <v>343</v>
      </c>
      <c r="DJ1714" s="1" t="s">
        <v>224</v>
      </c>
      <c r="DM1714" s="1" t="s">
        <v>709</v>
      </c>
      <c r="DR1714" s="1" t="s">
        <v>1773</v>
      </c>
      <c r="DS1714" s="1" t="s">
        <v>219</v>
      </c>
      <c r="DT1714" s="1" t="s">
        <v>438</v>
      </c>
      <c r="DW1714" s="1" t="s">
        <v>230</v>
      </c>
      <c r="EA1714" s="1" t="s">
        <v>230</v>
      </c>
      <c r="EE1714" s="1" t="s">
        <v>230</v>
      </c>
      <c r="EI1714" s="1" t="s">
        <v>230</v>
      </c>
      <c r="EL1714" s="1" t="s">
        <v>542</v>
      </c>
      <c r="EM1714" s="1" t="s">
        <v>761</v>
      </c>
      <c r="EN1714" s="1" t="s">
        <v>282</v>
      </c>
      <c r="EO1714" s="1" t="s">
        <v>1020</v>
      </c>
      <c r="EP1714" s="1" t="s">
        <v>16233</v>
      </c>
      <c r="EQ1714" s="1" t="s">
        <v>236</v>
      </c>
      <c r="ER1714" s="1" t="s">
        <v>210</v>
      </c>
      <c r="ES1714" s="1" t="s">
        <v>4122</v>
      </c>
      <c r="ET1714" s="1" t="s">
        <v>2404</v>
      </c>
      <c r="EU1714" s="1" t="s">
        <v>1110</v>
      </c>
      <c r="EV1714" s="1" t="s">
        <v>6425</v>
      </c>
      <c r="EW1714" s="1" t="s">
        <v>16234</v>
      </c>
      <c r="EY1714" s="1" t="s">
        <v>242</v>
      </c>
      <c r="EZ1714" s="1" t="s">
        <v>709</v>
      </c>
      <c r="FA1714" s="1" t="s">
        <v>16235</v>
      </c>
      <c r="FB1714" s="1" t="s">
        <v>1755</v>
      </c>
      <c r="FC1714" s="1" t="s">
        <v>735</v>
      </c>
      <c r="FD1714" s="1" t="s">
        <v>246</v>
      </c>
      <c r="FE1714" s="1" t="s">
        <v>889</v>
      </c>
      <c r="FF1714" s="1" t="s">
        <v>248</v>
      </c>
      <c r="FG1714" s="1" t="s">
        <v>715</v>
      </c>
      <c r="FH1714" s="1" t="s">
        <v>249</v>
      </c>
      <c r="FI1714" s="1" t="s">
        <v>357</v>
      </c>
      <c r="FJ1714" s="1" t="s">
        <v>1251</v>
      </c>
      <c r="FL1714" s="1" t="s">
        <v>1073</v>
      </c>
      <c r="FM1714" s="1" t="s">
        <v>252</v>
      </c>
      <c r="FN1714" s="1" t="s">
        <v>213</v>
      </c>
      <c r="FO1714" s="1" t="s">
        <v>213</v>
      </c>
      <c r="FQ1714" s="1" t="s">
        <v>1007</v>
      </c>
      <c r="FR1714" s="1" t="s">
        <v>210</v>
      </c>
      <c r="FS1714" s="1" t="s">
        <v>16236</v>
      </c>
      <c r="FT1714" s="1" t="s">
        <v>362</v>
      </c>
      <c r="FU1714" s="1" t="s">
        <v>204</v>
      </c>
      <c r="FW1714" s="1" t="s">
        <v>4563</v>
      </c>
      <c r="FX1714" s="1">
        <v>6025</v>
      </c>
      <c r="FY1714" s="1" t="s">
        <v>4564</v>
      </c>
      <c r="FZ1714" s="1" t="s">
        <v>16237</v>
      </c>
      <c r="GA1714" s="1">
        <v>62452</v>
      </c>
      <c r="GB1714" s="1" t="s">
        <v>16238</v>
      </c>
      <c r="GE1714" s="1" t="s">
        <v>480</v>
      </c>
      <c r="GI1714" s="1" t="s">
        <v>213</v>
      </c>
      <c r="GJ1714" s="1" t="s">
        <v>260</v>
      </c>
      <c r="GK1714" s="1" t="s">
        <v>261</v>
      </c>
      <c r="GL1714" s="2">
        <v>42083</v>
      </c>
      <c r="GM1714" s="1" t="s">
        <v>16239</v>
      </c>
    </row>
    <row r="1715" spans="1:195">
      <c r="A1715" s="1">
        <v>119000</v>
      </c>
      <c r="B1715" s="1" t="s">
        <v>195</v>
      </c>
      <c r="C1715" s="1" t="str">
        <f>"08711761"</f>
        <v>08711761</v>
      </c>
      <c r="D1715" s="1" t="s">
        <v>196</v>
      </c>
      <c r="F1715" s="1" t="str">
        <f>"532"</f>
        <v>532</v>
      </c>
      <c r="G1715" s="2">
        <v>41877</v>
      </c>
      <c r="H1715" s="1">
        <v>122930</v>
      </c>
      <c r="I1715" s="1">
        <v>122930</v>
      </c>
      <c r="J1715" s="1">
        <v>119000</v>
      </c>
      <c r="K1715" s="2">
        <v>41877</v>
      </c>
      <c r="L1715" s="1">
        <v>123</v>
      </c>
      <c r="M1715" s="2">
        <v>41902</v>
      </c>
      <c r="N1715" s="1">
        <v>26</v>
      </c>
      <c r="O1715" s="2">
        <v>41902</v>
      </c>
      <c r="P1715" s="1">
        <v>23099</v>
      </c>
      <c r="Q1715" s="1" t="s">
        <v>197</v>
      </c>
      <c r="R1715" s="2">
        <v>42083</v>
      </c>
      <c r="S1715" s="1">
        <v>259341</v>
      </c>
      <c r="U1715" s="1">
        <v>5922</v>
      </c>
      <c r="V1715" s="1" t="s">
        <v>16240</v>
      </c>
      <c r="W1715" s="1" t="s">
        <v>264</v>
      </c>
      <c r="X1715" s="1">
        <v>5922</v>
      </c>
      <c r="Y1715" s="1">
        <v>6</v>
      </c>
      <c r="Z1715" s="1" t="s">
        <v>249</v>
      </c>
      <c r="AA1715" s="1" t="s">
        <v>1566</v>
      </c>
      <c r="AB1715" s="1">
        <v>60532</v>
      </c>
      <c r="AC1715" s="1">
        <v>2907</v>
      </c>
      <c r="AD1715" s="1" t="s">
        <v>2908</v>
      </c>
      <c r="AE1715" s="1" t="s">
        <v>16241</v>
      </c>
      <c r="AF1715" s="1">
        <v>1980</v>
      </c>
      <c r="AG1715" s="1" t="s">
        <v>204</v>
      </c>
      <c r="AH1715" s="1" t="s">
        <v>882</v>
      </c>
      <c r="AI1715" s="1" t="s">
        <v>206</v>
      </c>
      <c r="AJ1715" s="1" t="s">
        <v>925</v>
      </c>
      <c r="AK1715" s="1" t="s">
        <v>12541</v>
      </c>
      <c r="AL1715" s="1">
        <v>5</v>
      </c>
      <c r="AM1715" s="1">
        <v>2</v>
      </c>
      <c r="AN1715" s="1">
        <v>1</v>
      </c>
      <c r="AO1715" s="1">
        <v>1</v>
      </c>
      <c r="AP1715" s="1" t="s">
        <v>210</v>
      </c>
      <c r="AQ1715" s="1">
        <v>1</v>
      </c>
      <c r="AR1715" s="1" t="s">
        <v>210</v>
      </c>
      <c r="AS1715" s="1" t="s">
        <v>204</v>
      </c>
      <c r="AT1715" s="1" t="s">
        <v>271</v>
      </c>
      <c r="AV1715" s="1">
        <v>1</v>
      </c>
      <c r="AW1715" s="1" t="s">
        <v>204</v>
      </c>
      <c r="AX1715" s="1" t="s">
        <v>212</v>
      </c>
      <c r="AZ1715" s="1">
        <v>3026</v>
      </c>
      <c r="BA1715" s="1">
        <v>2013</v>
      </c>
      <c r="BB1715" s="1" t="s">
        <v>405</v>
      </c>
      <c r="BE1715" s="1">
        <v>0</v>
      </c>
      <c r="BF1715" s="1">
        <v>1</v>
      </c>
      <c r="BG1715" s="1">
        <v>30</v>
      </c>
      <c r="BH1715" s="6">
        <v>10</v>
      </c>
      <c r="BK1715" s="1">
        <v>1.4</v>
      </c>
      <c r="BL1715" s="1">
        <v>208</v>
      </c>
      <c r="BM1715" s="1" t="s">
        <v>204</v>
      </c>
      <c r="BN1715" s="1" t="s">
        <v>213</v>
      </c>
      <c r="BO1715" s="1">
        <v>65</v>
      </c>
      <c r="BP1715" s="1" t="s">
        <v>204</v>
      </c>
      <c r="BR1715" s="1" t="str">
        <f>"0815313044"</f>
        <v>0815313044</v>
      </c>
      <c r="BT1715" s="1" t="s">
        <v>16242</v>
      </c>
      <c r="BX1715" s="1">
        <v>68</v>
      </c>
      <c r="BY1715" s="1">
        <v>68</v>
      </c>
      <c r="BZ1715" s="1">
        <v>99</v>
      </c>
      <c r="CB1715" s="1" t="str">
        <f t="shared" ref="CB1715:CC1715" si="1299">"0"</f>
        <v>0</v>
      </c>
      <c r="CC1715" s="1" t="str">
        <f t="shared" si="1299"/>
        <v>0</v>
      </c>
      <c r="CD1715" s="1">
        <v>23</v>
      </c>
      <c r="CE1715" s="1">
        <v>6</v>
      </c>
      <c r="CG1715" s="1" t="s">
        <v>669</v>
      </c>
      <c r="CH1715" s="1" t="s">
        <v>219</v>
      </c>
      <c r="CI1715" s="1" t="s">
        <v>229</v>
      </c>
      <c r="CJ1715" s="1" t="s">
        <v>252</v>
      </c>
      <c r="CK1715" s="1" t="s">
        <v>465</v>
      </c>
      <c r="CL1715" s="1" t="s">
        <v>277</v>
      </c>
      <c r="CM1715" s="1" t="s">
        <v>220</v>
      </c>
      <c r="CN1715" s="1" t="s">
        <v>463</v>
      </c>
      <c r="CO1715" s="1" t="s">
        <v>14453</v>
      </c>
      <c r="CP1715" s="1" t="s">
        <v>219</v>
      </c>
      <c r="CQ1715" s="1" t="s">
        <v>229</v>
      </c>
      <c r="CR1715" s="1" t="s">
        <v>210</v>
      </c>
      <c r="CS1715" s="1" t="s">
        <v>317</v>
      </c>
      <c r="CT1715" s="1" t="s">
        <v>277</v>
      </c>
      <c r="CX1715" s="1" t="s">
        <v>224</v>
      </c>
      <c r="DB1715" s="1" t="s">
        <v>224</v>
      </c>
      <c r="DE1715" s="1" t="s">
        <v>2841</v>
      </c>
      <c r="DF1715" s="1" t="s">
        <v>219</v>
      </c>
      <c r="DG1715" s="1" t="s">
        <v>229</v>
      </c>
      <c r="DJ1715" s="1" t="s">
        <v>224</v>
      </c>
      <c r="DS1715" s="1" t="s">
        <v>230</v>
      </c>
      <c r="DW1715" s="1" t="s">
        <v>230</v>
      </c>
      <c r="EA1715" s="1" t="s">
        <v>230</v>
      </c>
      <c r="EE1715" s="1" t="s">
        <v>230</v>
      </c>
      <c r="EI1715" s="1" t="s">
        <v>230</v>
      </c>
      <c r="EL1715" s="1" t="s">
        <v>231</v>
      </c>
      <c r="EM1715" s="1" t="s">
        <v>232</v>
      </c>
      <c r="EN1715" s="1" t="s">
        <v>282</v>
      </c>
      <c r="EO1715" s="1" t="s">
        <v>234</v>
      </c>
      <c r="EP1715" s="1" t="s">
        <v>16243</v>
      </c>
      <c r="EQ1715" s="1" t="s">
        <v>1094</v>
      </c>
      <c r="ER1715" s="1" t="s">
        <v>383</v>
      </c>
      <c r="ES1715" s="1" t="s">
        <v>545</v>
      </c>
      <c r="EU1715" s="1" t="s">
        <v>1573</v>
      </c>
      <c r="EV1715" s="1" t="s">
        <v>240</v>
      </c>
      <c r="EW1715" s="1" t="s">
        <v>2947</v>
      </c>
      <c r="EY1715" s="1" t="s">
        <v>242</v>
      </c>
      <c r="EZ1715" s="1" t="s">
        <v>287</v>
      </c>
      <c r="FA1715" s="1" t="s">
        <v>6239</v>
      </c>
      <c r="FB1715" s="1" t="s">
        <v>289</v>
      </c>
      <c r="FC1715" s="1" t="s">
        <v>633</v>
      </c>
      <c r="FD1715" s="1" t="s">
        <v>246</v>
      </c>
      <c r="FE1715" s="1" t="s">
        <v>549</v>
      </c>
      <c r="FF1715" s="1" t="s">
        <v>248</v>
      </c>
      <c r="FG1715" s="1" t="s">
        <v>939</v>
      </c>
      <c r="FH1715" s="1" t="s">
        <v>550</v>
      </c>
      <c r="FJ1715" s="1" t="s">
        <v>197</v>
      </c>
      <c r="FK1715" s="1" t="s">
        <v>389</v>
      </c>
      <c r="FL1715" s="1" t="s">
        <v>292</v>
      </c>
      <c r="FM1715" s="1" t="s">
        <v>252</v>
      </c>
      <c r="FN1715" s="1" t="s">
        <v>213</v>
      </c>
      <c r="FO1715" s="1" t="s">
        <v>213</v>
      </c>
      <c r="FQ1715" s="1" t="s">
        <v>16244</v>
      </c>
      <c r="FR1715" s="1" t="s">
        <v>210</v>
      </c>
      <c r="FS1715" s="1" t="s">
        <v>16245</v>
      </c>
      <c r="FT1715" s="1" t="s">
        <v>675</v>
      </c>
      <c r="FU1715" s="1" t="s">
        <v>204</v>
      </c>
      <c r="FW1715" s="1" t="s">
        <v>5648</v>
      </c>
      <c r="FX1715" s="1">
        <v>23099</v>
      </c>
      <c r="FY1715" s="1" t="s">
        <v>5649</v>
      </c>
      <c r="FZ1715" s="1" t="s">
        <v>16246</v>
      </c>
      <c r="GA1715" s="1">
        <v>259341</v>
      </c>
      <c r="GB1715" s="1" t="s">
        <v>16247</v>
      </c>
      <c r="GE1715" s="1" t="s">
        <v>335</v>
      </c>
      <c r="GI1715" s="1" t="s">
        <v>213</v>
      </c>
      <c r="GJ1715" s="1" t="s">
        <v>260</v>
      </c>
      <c r="GK1715" s="1" t="s">
        <v>261</v>
      </c>
      <c r="GL1715" s="2">
        <v>42084</v>
      </c>
    </row>
    <row r="1716" spans="1:195">
      <c r="A1716" s="1">
        <v>249990</v>
      </c>
      <c r="B1716" s="1" t="s">
        <v>195</v>
      </c>
      <c r="C1716" s="1" t="str">
        <f>"08711094"</f>
        <v>08711094</v>
      </c>
      <c r="D1716" s="1" t="s">
        <v>196</v>
      </c>
      <c r="F1716" s="1" t="str">
        <f>"540"</f>
        <v>540</v>
      </c>
      <c r="G1716" s="2">
        <v>41876</v>
      </c>
      <c r="H1716" s="1">
        <v>273990</v>
      </c>
      <c r="I1716" s="1">
        <v>244990</v>
      </c>
      <c r="J1716" s="1">
        <v>249990</v>
      </c>
      <c r="K1716" s="2">
        <v>41875</v>
      </c>
      <c r="L1716" s="1">
        <v>105</v>
      </c>
      <c r="M1716" s="2">
        <v>41979</v>
      </c>
      <c r="N1716" s="1">
        <v>105</v>
      </c>
      <c r="O1716" s="2">
        <v>41979</v>
      </c>
      <c r="P1716" s="1" t="s">
        <v>1039</v>
      </c>
      <c r="Q1716" s="1" t="s">
        <v>423</v>
      </c>
      <c r="R1716" s="2">
        <v>42006</v>
      </c>
      <c r="S1716" s="1">
        <v>99995</v>
      </c>
      <c r="U1716" s="1">
        <v>2618</v>
      </c>
      <c r="V1716" s="1" t="s">
        <v>6288</v>
      </c>
      <c r="W1716" s="1" t="s">
        <v>449</v>
      </c>
      <c r="Y1716" s="1">
        <v>4</v>
      </c>
      <c r="Z1716" s="1" t="s">
        <v>370</v>
      </c>
      <c r="AA1716" s="1" t="s">
        <v>921</v>
      </c>
      <c r="AB1716" s="1">
        <v>60564</v>
      </c>
      <c r="AD1716" s="1" t="s">
        <v>3249</v>
      </c>
      <c r="AE1716" s="1" t="s">
        <v>16248</v>
      </c>
      <c r="AF1716" s="1">
        <v>2014</v>
      </c>
      <c r="AG1716" s="1" t="s">
        <v>204</v>
      </c>
      <c r="AH1716" s="1" t="s">
        <v>924</v>
      </c>
      <c r="AI1716" s="1" t="s">
        <v>1800</v>
      </c>
      <c r="AJ1716" s="1" t="s">
        <v>1801</v>
      </c>
      <c r="AK1716" s="1" t="s">
        <v>9108</v>
      </c>
      <c r="AL1716" s="1">
        <v>5</v>
      </c>
      <c r="AM1716" s="1">
        <v>2</v>
      </c>
      <c r="AN1716" s="1">
        <v>2</v>
      </c>
      <c r="AO1716" s="1">
        <v>0</v>
      </c>
      <c r="AP1716" s="1" t="s">
        <v>209</v>
      </c>
      <c r="AR1716" s="1" t="s">
        <v>210</v>
      </c>
      <c r="AS1716" s="1" t="s">
        <v>204</v>
      </c>
      <c r="AT1716" s="1" t="s">
        <v>211</v>
      </c>
      <c r="AU1716" s="1">
        <v>2</v>
      </c>
      <c r="AW1716" s="1" t="s">
        <v>204</v>
      </c>
      <c r="AX1716" s="1" t="s">
        <v>9109</v>
      </c>
      <c r="AZ1716" s="1" t="s">
        <v>751</v>
      </c>
      <c r="BA1716" s="1">
        <v>2012</v>
      </c>
      <c r="BE1716" s="1">
        <v>1549</v>
      </c>
      <c r="BF1716" s="1">
        <v>1</v>
      </c>
      <c r="BG1716" s="1">
        <v>0</v>
      </c>
      <c r="BL1716" s="1">
        <v>238</v>
      </c>
      <c r="BM1716" s="1" t="s">
        <v>204</v>
      </c>
      <c r="BN1716" s="1" t="s">
        <v>213</v>
      </c>
      <c r="BO1716" s="1">
        <v>999</v>
      </c>
      <c r="BP1716" s="1" t="s">
        <v>213</v>
      </c>
      <c r="BQ1716" s="2">
        <v>41942</v>
      </c>
      <c r="BR1716" s="1" t="str">
        <f>"05407003000000"</f>
        <v>05407003000000</v>
      </c>
      <c r="BT1716" s="1" t="s">
        <v>16249</v>
      </c>
      <c r="BX1716" s="1">
        <v>204</v>
      </c>
      <c r="BY1716" s="1">
        <v>204</v>
      </c>
      <c r="BZ1716" s="1">
        <v>204</v>
      </c>
      <c r="CB1716" s="1" t="str">
        <f t="shared" ref="CB1716:CC1716" si="1300">""</f>
        <v/>
      </c>
      <c r="CC1716" s="1" t="str">
        <f t="shared" si="1300"/>
        <v/>
      </c>
      <c r="CH1716" s="1" t="s">
        <v>224</v>
      </c>
      <c r="CK1716" s="1" t="s">
        <v>462</v>
      </c>
      <c r="CL1716" s="1" t="s">
        <v>219</v>
      </c>
      <c r="CP1716" s="1" t="s">
        <v>224</v>
      </c>
      <c r="CS1716" s="1" t="s">
        <v>346</v>
      </c>
      <c r="CT1716" s="1" t="s">
        <v>219</v>
      </c>
      <c r="CX1716" s="1" t="s">
        <v>224</v>
      </c>
      <c r="DB1716" s="1" t="s">
        <v>224</v>
      </c>
      <c r="DE1716" s="1" t="s">
        <v>885</v>
      </c>
      <c r="DF1716" s="1" t="s">
        <v>219</v>
      </c>
      <c r="DI1716" s="1" t="s">
        <v>9111</v>
      </c>
      <c r="DJ1716" s="1" t="s">
        <v>219</v>
      </c>
      <c r="DM1716" s="1" t="s">
        <v>1548</v>
      </c>
      <c r="DR1716" s="1" t="s">
        <v>516</v>
      </c>
      <c r="DS1716" s="1" t="s">
        <v>219</v>
      </c>
      <c r="DW1716" s="1" t="s">
        <v>230</v>
      </c>
      <c r="EA1716" s="1" t="s">
        <v>230</v>
      </c>
      <c r="EE1716" s="1" t="s">
        <v>230</v>
      </c>
      <c r="EI1716" s="1" t="s">
        <v>230</v>
      </c>
      <c r="EL1716" s="1" t="s">
        <v>1455</v>
      </c>
      <c r="EM1716" s="1" t="s">
        <v>730</v>
      </c>
      <c r="EN1716" s="1" t="s">
        <v>282</v>
      </c>
      <c r="EO1716" s="1" t="s">
        <v>840</v>
      </c>
      <c r="EP1716" s="1" t="s">
        <v>5912</v>
      </c>
      <c r="ER1716" s="1" t="s">
        <v>383</v>
      </c>
      <c r="EW1716" s="1" t="s">
        <v>5021</v>
      </c>
      <c r="EZ1716" s="1" t="s">
        <v>1548</v>
      </c>
      <c r="FD1716" s="1" t="s">
        <v>246</v>
      </c>
      <c r="FE1716" s="1" t="s">
        <v>975</v>
      </c>
      <c r="FF1716" s="1" t="s">
        <v>248</v>
      </c>
      <c r="FH1716" s="1" t="s">
        <v>825</v>
      </c>
      <c r="FL1716" s="1" t="s">
        <v>358</v>
      </c>
      <c r="FM1716" s="1" t="s">
        <v>252</v>
      </c>
      <c r="FN1716" s="1" t="s">
        <v>213</v>
      </c>
      <c r="FO1716" s="1" t="s">
        <v>204</v>
      </c>
      <c r="FQ1716" s="1" t="s">
        <v>582</v>
      </c>
      <c r="FR1716" s="1" t="s">
        <v>210</v>
      </c>
      <c r="FS1716" s="1" t="s">
        <v>16250</v>
      </c>
      <c r="FT1716" s="1" t="s">
        <v>5166</v>
      </c>
      <c r="FU1716" s="1" t="s">
        <v>204</v>
      </c>
      <c r="FW1716" s="1" t="s">
        <v>772</v>
      </c>
      <c r="FX1716" s="1">
        <v>92038</v>
      </c>
      <c r="FY1716" s="1" t="s">
        <v>773</v>
      </c>
      <c r="FZ1716" s="1" t="s">
        <v>774</v>
      </c>
      <c r="GA1716" s="1">
        <v>21137</v>
      </c>
      <c r="GB1716" s="1" t="s">
        <v>775</v>
      </c>
      <c r="GE1716" s="1" t="s">
        <v>623</v>
      </c>
      <c r="GI1716" s="1" t="s">
        <v>204</v>
      </c>
      <c r="GJ1716" s="1" t="s">
        <v>260</v>
      </c>
      <c r="GK1716" s="1" t="s">
        <v>210</v>
      </c>
      <c r="GL1716" s="2">
        <v>42007</v>
      </c>
      <c r="GM1716" s="1" t="s">
        <v>16251</v>
      </c>
    </row>
    <row r="1717" spans="1:195">
      <c r="A1717" s="1">
        <v>105000</v>
      </c>
      <c r="B1717" s="1" t="s">
        <v>195</v>
      </c>
      <c r="C1717" s="1" t="str">
        <f>"08707454"</f>
        <v>08707454</v>
      </c>
      <c r="D1717" s="1" t="s">
        <v>196</v>
      </c>
      <c r="F1717" s="1" t="str">
        <f>"123"</f>
        <v>123</v>
      </c>
      <c r="G1717" s="2">
        <v>41872</v>
      </c>
      <c r="H1717" s="1">
        <v>104825</v>
      </c>
      <c r="I1717" s="1">
        <v>105000</v>
      </c>
      <c r="J1717" s="1">
        <v>105000</v>
      </c>
      <c r="K1717" s="2">
        <v>41871</v>
      </c>
      <c r="L1717" s="1">
        <v>189</v>
      </c>
      <c r="M1717" s="2">
        <v>42059</v>
      </c>
      <c r="N1717" s="1">
        <v>189</v>
      </c>
      <c r="O1717" s="2">
        <v>42059</v>
      </c>
      <c r="P1717" s="1">
        <v>15391</v>
      </c>
      <c r="Q1717" s="1" t="s">
        <v>197</v>
      </c>
      <c r="R1717" s="2">
        <v>42123</v>
      </c>
      <c r="S1717" s="1">
        <v>174726</v>
      </c>
      <c r="U1717" s="1">
        <v>1121</v>
      </c>
      <c r="V1717" s="1" t="s">
        <v>16252</v>
      </c>
      <c r="W1717" s="1" t="s">
        <v>304</v>
      </c>
      <c r="Y1717" s="1">
        <v>4</v>
      </c>
      <c r="Z1717" s="1" t="s">
        <v>370</v>
      </c>
      <c r="AA1717" s="1" t="s">
        <v>1173</v>
      </c>
      <c r="AB1717" s="1">
        <v>60120</v>
      </c>
      <c r="AD1717" s="1" t="s">
        <v>5744</v>
      </c>
      <c r="AE1717" s="1" t="s">
        <v>16253</v>
      </c>
      <c r="AF1717" s="1">
        <v>1991</v>
      </c>
      <c r="AG1717" s="1" t="s">
        <v>204</v>
      </c>
      <c r="AH1717" s="1" t="s">
        <v>1175</v>
      </c>
      <c r="AI1717" s="1" t="s">
        <v>310</v>
      </c>
      <c r="AJ1717" s="1" t="s">
        <v>374</v>
      </c>
      <c r="AK1717" s="1" t="s">
        <v>2247</v>
      </c>
      <c r="AL1717" s="1">
        <v>6</v>
      </c>
      <c r="AM1717" s="1">
        <v>2</v>
      </c>
      <c r="AN1717" s="1">
        <v>1</v>
      </c>
      <c r="AO1717" s="1">
        <v>1</v>
      </c>
      <c r="AP1717" s="1" t="s">
        <v>667</v>
      </c>
      <c r="AR1717" s="1" t="s">
        <v>210</v>
      </c>
      <c r="AS1717" s="1" t="s">
        <v>204</v>
      </c>
      <c r="AT1717" s="1" t="s">
        <v>211</v>
      </c>
      <c r="AU1717" s="1">
        <v>1</v>
      </c>
      <c r="AW1717" s="1" t="s">
        <v>204</v>
      </c>
      <c r="AX1717" s="1" t="s">
        <v>212</v>
      </c>
      <c r="AZ1717" s="1">
        <v>2807.51</v>
      </c>
      <c r="BA1717" s="1">
        <v>2013</v>
      </c>
      <c r="BB1717" s="1" t="s">
        <v>405</v>
      </c>
      <c r="BE1717" s="1">
        <v>1400</v>
      </c>
      <c r="BF1717" s="1">
        <v>1</v>
      </c>
      <c r="BG1717" s="1">
        <v>0</v>
      </c>
      <c r="BL1717" s="1">
        <v>210</v>
      </c>
      <c r="BM1717" s="1" t="s">
        <v>413</v>
      </c>
      <c r="BN1717" s="1" t="s">
        <v>213</v>
      </c>
      <c r="BO1717" s="1">
        <v>999</v>
      </c>
      <c r="BP1717" s="1" t="s">
        <v>204</v>
      </c>
      <c r="BR1717" s="1" t="str">
        <f>"06074060391032"</f>
        <v>06074060391032</v>
      </c>
      <c r="BT1717" s="1" t="s">
        <v>16254</v>
      </c>
      <c r="BU1717" s="1" t="s">
        <v>969</v>
      </c>
      <c r="BV1717" s="1" t="s">
        <v>3604</v>
      </c>
      <c r="BW1717" s="1" t="s">
        <v>2058</v>
      </c>
      <c r="BX1717" s="1">
        <v>46</v>
      </c>
      <c r="BY1717" s="1">
        <v>46</v>
      </c>
      <c r="BZ1717" s="1">
        <v>46</v>
      </c>
      <c r="CB1717" s="1" t="str">
        <f>"12"</f>
        <v>12</v>
      </c>
      <c r="CC1717" s="1" t="str">
        <f>"0"</f>
        <v>0</v>
      </c>
      <c r="CD1717" s="1">
        <v>32</v>
      </c>
      <c r="CE1717" s="1">
        <v>0</v>
      </c>
      <c r="CG1717" s="1" t="s">
        <v>5898</v>
      </c>
      <c r="CH1717" s="1" t="s">
        <v>219</v>
      </c>
      <c r="CI1717" s="1" t="s">
        <v>1236</v>
      </c>
      <c r="CK1717" s="1" t="s">
        <v>437</v>
      </c>
      <c r="CL1717" s="1" t="s">
        <v>277</v>
      </c>
      <c r="CM1717" s="1" t="s">
        <v>1236</v>
      </c>
      <c r="CO1717" s="1" t="s">
        <v>465</v>
      </c>
      <c r="CP1717" s="1" t="s">
        <v>219</v>
      </c>
      <c r="CQ1717" s="1" t="s">
        <v>1236</v>
      </c>
      <c r="CS1717" s="1" t="s">
        <v>379</v>
      </c>
      <c r="CT1717" s="1" t="s">
        <v>277</v>
      </c>
      <c r="CU1717" s="1" t="s">
        <v>1236</v>
      </c>
      <c r="CX1717" s="1" t="s">
        <v>224</v>
      </c>
      <c r="DB1717" s="1" t="s">
        <v>224</v>
      </c>
      <c r="DE1717" s="1" t="s">
        <v>539</v>
      </c>
      <c r="DF1717" s="1" t="s">
        <v>219</v>
      </c>
      <c r="DG1717" s="1" t="s">
        <v>342</v>
      </c>
      <c r="DH1717" s="1" t="s">
        <v>210</v>
      </c>
      <c r="DJ1717" s="1" t="s">
        <v>224</v>
      </c>
      <c r="DM1717" s="1" t="s">
        <v>464</v>
      </c>
      <c r="DR1717" s="1" t="s">
        <v>757</v>
      </c>
      <c r="DS1717" s="1" t="s">
        <v>277</v>
      </c>
      <c r="DT1717" s="1" t="s">
        <v>1236</v>
      </c>
      <c r="DW1717" s="1" t="s">
        <v>230</v>
      </c>
      <c r="EA1717" s="1" t="s">
        <v>230</v>
      </c>
      <c r="EE1717" s="1" t="s">
        <v>230</v>
      </c>
      <c r="EI1717" s="1" t="s">
        <v>230</v>
      </c>
      <c r="EL1717" s="1" t="s">
        <v>382</v>
      </c>
      <c r="EM1717" s="1" t="s">
        <v>319</v>
      </c>
      <c r="EN1717" s="1" t="s">
        <v>210</v>
      </c>
      <c r="EO1717" s="1" t="s">
        <v>234</v>
      </c>
      <c r="EP1717" s="1" t="s">
        <v>650</v>
      </c>
      <c r="ER1717" s="1" t="s">
        <v>210</v>
      </c>
      <c r="EU1717" s="1" t="s">
        <v>1725</v>
      </c>
      <c r="EW1717" s="1" t="s">
        <v>1372</v>
      </c>
      <c r="EZ1717" s="1" t="s">
        <v>464</v>
      </c>
      <c r="FD1717" s="1" t="s">
        <v>246</v>
      </c>
      <c r="FE1717" s="1" t="s">
        <v>496</v>
      </c>
      <c r="FF1717" s="1" t="s">
        <v>387</v>
      </c>
      <c r="FH1717" s="1" t="s">
        <v>16255</v>
      </c>
      <c r="FJ1717" s="1" t="s">
        <v>3943</v>
      </c>
      <c r="FL1717" s="1" t="s">
        <v>358</v>
      </c>
      <c r="FM1717" s="1" t="s">
        <v>252</v>
      </c>
      <c r="FN1717" s="1" t="s">
        <v>213</v>
      </c>
      <c r="FO1717" s="1" t="s">
        <v>213</v>
      </c>
      <c r="FQ1717" s="1" t="s">
        <v>16256</v>
      </c>
      <c r="FR1717" s="1" t="s">
        <v>9166</v>
      </c>
      <c r="FS1717" s="1" t="s">
        <v>16257</v>
      </c>
      <c r="FT1717" s="1" t="s">
        <v>675</v>
      </c>
      <c r="FU1717" s="1" t="s">
        <v>204</v>
      </c>
      <c r="FV1717" s="1" t="s">
        <v>16258</v>
      </c>
      <c r="FW1717" s="1" t="s">
        <v>1097</v>
      </c>
      <c r="FX1717" s="1">
        <v>8094</v>
      </c>
      <c r="FY1717" s="1" t="s">
        <v>1829</v>
      </c>
      <c r="FZ1717" s="1" t="s">
        <v>16259</v>
      </c>
      <c r="GA1717" s="1">
        <v>28343</v>
      </c>
      <c r="GB1717" s="1" t="s">
        <v>16260</v>
      </c>
      <c r="GD1717" s="1" t="s">
        <v>16258</v>
      </c>
      <c r="GE1717" s="1" t="s">
        <v>210</v>
      </c>
      <c r="GI1717" s="1" t="s">
        <v>213</v>
      </c>
      <c r="GJ1717" s="1" t="s">
        <v>260</v>
      </c>
      <c r="GK1717" s="1" t="s">
        <v>261</v>
      </c>
      <c r="GL1717" s="2">
        <v>42134</v>
      </c>
      <c r="GM1717" s="2" t="s">
        <v>16261</v>
      </c>
    </row>
    <row r="1718" spans="1:195">
      <c r="A1718" s="1">
        <v>128000</v>
      </c>
      <c r="B1718" s="1" t="s">
        <v>195</v>
      </c>
      <c r="C1718" s="1" t="str">
        <f>"08707142"</f>
        <v>08707142</v>
      </c>
      <c r="D1718" s="1" t="s">
        <v>196</v>
      </c>
      <c r="F1718" s="1" t="str">
        <f>"507"</f>
        <v>507</v>
      </c>
      <c r="G1718" s="2">
        <v>41871</v>
      </c>
      <c r="H1718" s="1">
        <v>144900</v>
      </c>
      <c r="I1718" s="1">
        <v>134900</v>
      </c>
      <c r="J1718" s="1">
        <v>128000</v>
      </c>
      <c r="K1718" s="2">
        <v>41871</v>
      </c>
      <c r="L1718" s="1">
        <v>38</v>
      </c>
      <c r="M1718" s="2">
        <v>41908</v>
      </c>
      <c r="N1718" s="1">
        <v>38</v>
      </c>
      <c r="O1718" s="2">
        <v>41908</v>
      </c>
      <c r="P1718" s="1">
        <v>5093</v>
      </c>
      <c r="Q1718" s="1" t="s">
        <v>302</v>
      </c>
      <c r="R1718" s="2">
        <v>42003</v>
      </c>
      <c r="S1718" s="1">
        <v>55897</v>
      </c>
      <c r="U1718" s="1">
        <v>381</v>
      </c>
      <c r="V1718" s="1" t="s">
        <v>16262</v>
      </c>
      <c r="W1718" s="1" t="s">
        <v>264</v>
      </c>
      <c r="X1718" s="1">
        <v>381</v>
      </c>
      <c r="Y1718" s="1">
        <v>4</v>
      </c>
      <c r="Z1718" s="1" t="s">
        <v>370</v>
      </c>
      <c r="AA1718" s="1" t="s">
        <v>1123</v>
      </c>
      <c r="AB1718" s="1">
        <v>60502</v>
      </c>
      <c r="AD1718" s="1" t="s">
        <v>16262</v>
      </c>
      <c r="AE1718" s="1" t="s">
        <v>16263</v>
      </c>
      <c r="AF1718" s="1">
        <v>2001</v>
      </c>
      <c r="AG1718" s="1" t="s">
        <v>204</v>
      </c>
      <c r="AH1718" s="1" t="s">
        <v>1126</v>
      </c>
      <c r="AI1718" s="1" t="s">
        <v>206</v>
      </c>
      <c r="AJ1718" s="1" t="s">
        <v>924</v>
      </c>
      <c r="AK1718" s="1" t="s">
        <v>9888</v>
      </c>
      <c r="AL1718" s="1">
        <v>6</v>
      </c>
      <c r="AM1718" s="1">
        <v>2</v>
      </c>
      <c r="AN1718" s="1">
        <v>2</v>
      </c>
      <c r="AO1718" s="1">
        <v>1</v>
      </c>
      <c r="AP1718" s="1" t="s">
        <v>209</v>
      </c>
      <c r="AR1718" s="1" t="s">
        <v>210</v>
      </c>
      <c r="AS1718" s="1" t="s">
        <v>204</v>
      </c>
      <c r="AT1718" s="1" t="s">
        <v>211</v>
      </c>
      <c r="AU1718" s="1">
        <v>2</v>
      </c>
      <c r="AW1718" s="1" t="s">
        <v>204</v>
      </c>
      <c r="AX1718" s="1" t="s">
        <v>212</v>
      </c>
      <c r="AZ1718" s="1">
        <v>3794.78</v>
      </c>
      <c r="BA1718" s="1">
        <v>2013</v>
      </c>
      <c r="BB1718" s="1" t="s">
        <v>405</v>
      </c>
      <c r="BE1718" s="1">
        <v>1585</v>
      </c>
      <c r="BF1718" s="1">
        <v>1</v>
      </c>
      <c r="BG1718" s="1">
        <v>0</v>
      </c>
      <c r="BL1718" s="1">
        <v>151</v>
      </c>
      <c r="BM1718" s="1" t="s">
        <v>413</v>
      </c>
      <c r="BN1718" s="1" t="s">
        <v>213</v>
      </c>
      <c r="BO1718" s="1">
        <v>999</v>
      </c>
      <c r="BP1718" s="1" t="s">
        <v>204</v>
      </c>
      <c r="BR1718" s="1" t="str">
        <f>"0719312002"</f>
        <v>0719312002</v>
      </c>
      <c r="BT1718" s="1" t="s">
        <v>16264</v>
      </c>
      <c r="BX1718" s="1">
        <v>204</v>
      </c>
      <c r="BY1718" s="1">
        <v>204</v>
      </c>
      <c r="BZ1718" s="1">
        <v>204</v>
      </c>
      <c r="CB1718" s="1" t="str">
        <f t="shared" ref="CB1718:CC1718" si="1301">"0"</f>
        <v>0</v>
      </c>
      <c r="CC1718" s="1" t="str">
        <f t="shared" si="1301"/>
        <v>0</v>
      </c>
      <c r="CD1718" s="1">
        <v>32</v>
      </c>
      <c r="CE1718" s="1">
        <v>7</v>
      </c>
      <c r="CG1718" s="1" t="s">
        <v>2307</v>
      </c>
      <c r="CH1718" s="1" t="s">
        <v>219</v>
      </c>
      <c r="CI1718" s="1" t="s">
        <v>220</v>
      </c>
      <c r="CJ1718" s="1" t="s">
        <v>210</v>
      </c>
      <c r="CK1718" s="1" t="s">
        <v>602</v>
      </c>
      <c r="CL1718" s="1" t="s">
        <v>277</v>
      </c>
      <c r="CM1718" s="1" t="s">
        <v>220</v>
      </c>
      <c r="CO1718" s="1" t="s">
        <v>281</v>
      </c>
      <c r="CP1718" s="1" t="s">
        <v>219</v>
      </c>
      <c r="CQ1718" s="1" t="s">
        <v>220</v>
      </c>
      <c r="CS1718" s="1" t="s">
        <v>346</v>
      </c>
      <c r="CT1718" s="1" t="s">
        <v>277</v>
      </c>
      <c r="CU1718" s="1" t="s">
        <v>220</v>
      </c>
      <c r="CX1718" s="1" t="s">
        <v>224</v>
      </c>
      <c r="DB1718" s="1" t="s">
        <v>224</v>
      </c>
      <c r="DE1718" s="1" t="s">
        <v>315</v>
      </c>
      <c r="DF1718" s="1" t="s">
        <v>219</v>
      </c>
      <c r="DG1718" s="1" t="s">
        <v>342</v>
      </c>
      <c r="DH1718" s="1" t="s">
        <v>210</v>
      </c>
      <c r="DJ1718" s="1" t="s">
        <v>224</v>
      </c>
      <c r="DM1718" s="1" t="s">
        <v>464</v>
      </c>
      <c r="DR1718" s="1" t="s">
        <v>757</v>
      </c>
      <c r="DS1718" s="1" t="s">
        <v>277</v>
      </c>
      <c r="DT1718" s="1" t="s">
        <v>220</v>
      </c>
      <c r="DW1718" s="1" t="s">
        <v>230</v>
      </c>
      <c r="EA1718" s="1" t="s">
        <v>230</v>
      </c>
      <c r="EE1718" s="1" t="s">
        <v>230</v>
      </c>
      <c r="EI1718" s="1" t="s">
        <v>230</v>
      </c>
      <c r="EL1718" s="1" t="s">
        <v>466</v>
      </c>
      <c r="EM1718" s="1" t="s">
        <v>319</v>
      </c>
      <c r="EN1718" s="1" t="s">
        <v>282</v>
      </c>
      <c r="EO1718" s="1" t="s">
        <v>840</v>
      </c>
      <c r="EP1718" s="1" t="s">
        <v>2643</v>
      </c>
      <c r="EQ1718" s="1" t="s">
        <v>1094</v>
      </c>
      <c r="ER1718" s="1" t="s">
        <v>210</v>
      </c>
      <c r="ES1718" s="1" t="s">
        <v>1552</v>
      </c>
      <c r="ET1718" s="1" t="s">
        <v>323</v>
      </c>
      <c r="EU1718" s="1" t="s">
        <v>15563</v>
      </c>
      <c r="EV1718" s="1" t="s">
        <v>324</v>
      </c>
      <c r="EW1718" s="1" t="s">
        <v>1372</v>
      </c>
      <c r="EY1718" s="1" t="s">
        <v>790</v>
      </c>
      <c r="EZ1718" s="1" t="s">
        <v>464</v>
      </c>
      <c r="FA1718" s="1" t="s">
        <v>16265</v>
      </c>
      <c r="FB1718" s="1" t="s">
        <v>289</v>
      </c>
      <c r="FD1718" s="1" t="s">
        <v>246</v>
      </c>
      <c r="FE1718" s="1" t="s">
        <v>247</v>
      </c>
      <c r="FF1718" s="1" t="s">
        <v>248</v>
      </c>
      <c r="FH1718" s="1" t="s">
        <v>550</v>
      </c>
      <c r="FL1718" s="1" t="s">
        <v>358</v>
      </c>
      <c r="FM1718" s="1" t="s">
        <v>252</v>
      </c>
      <c r="FN1718" s="1" t="s">
        <v>213</v>
      </c>
      <c r="FO1718" s="1" t="s">
        <v>213</v>
      </c>
      <c r="FQ1718" s="1" t="s">
        <v>1884</v>
      </c>
      <c r="FR1718" s="1" t="s">
        <v>360</v>
      </c>
      <c r="FS1718" s="1" t="s">
        <v>16266</v>
      </c>
      <c r="FT1718" s="1" t="s">
        <v>295</v>
      </c>
      <c r="FU1718" s="1" t="s">
        <v>204</v>
      </c>
      <c r="FW1718" s="1" t="s">
        <v>915</v>
      </c>
      <c r="FX1718" s="1">
        <v>23076</v>
      </c>
      <c r="FY1718" s="1" t="s">
        <v>1909</v>
      </c>
      <c r="FZ1718" s="1" t="s">
        <v>16267</v>
      </c>
      <c r="GA1718" s="1">
        <v>219653</v>
      </c>
      <c r="GB1718" s="1" t="s">
        <v>16268</v>
      </c>
      <c r="GE1718" s="1" t="s">
        <v>480</v>
      </c>
      <c r="GI1718" s="1" t="s">
        <v>213</v>
      </c>
      <c r="GJ1718" s="1" t="s">
        <v>260</v>
      </c>
      <c r="GK1718" s="1" t="s">
        <v>210</v>
      </c>
      <c r="GL1718" s="2">
        <v>42003</v>
      </c>
      <c r="GM1718" s="1" t="s">
        <v>16269</v>
      </c>
    </row>
    <row r="1719" spans="1:195">
      <c r="A1719" s="1">
        <v>82000</v>
      </c>
      <c r="B1719" s="1" t="s">
        <v>195</v>
      </c>
      <c r="C1719" s="1" t="str">
        <f>"08708854"</f>
        <v>08708854</v>
      </c>
      <c r="D1719" s="1" t="s">
        <v>196</v>
      </c>
      <c r="F1719" s="1" t="str">
        <f>"106"</f>
        <v>106</v>
      </c>
      <c r="G1719" s="2">
        <v>41873</v>
      </c>
      <c r="H1719" s="1">
        <v>99500</v>
      </c>
      <c r="I1719" s="1">
        <v>94500</v>
      </c>
      <c r="J1719" s="1">
        <v>82000</v>
      </c>
      <c r="K1719" s="2">
        <v>41873</v>
      </c>
      <c r="L1719" s="1">
        <v>22</v>
      </c>
      <c r="M1719" s="2">
        <v>41894</v>
      </c>
      <c r="N1719" s="1">
        <v>22</v>
      </c>
      <c r="O1719" s="2">
        <v>41894</v>
      </c>
      <c r="P1719" s="1">
        <v>1760</v>
      </c>
      <c r="Q1719" s="1" t="s">
        <v>197</v>
      </c>
      <c r="R1719" s="2">
        <v>41999</v>
      </c>
      <c r="S1719" s="1">
        <v>26791</v>
      </c>
      <c r="U1719" s="1">
        <v>926</v>
      </c>
      <c r="V1719" s="1" t="s">
        <v>16270</v>
      </c>
      <c r="W1719" s="1" t="s">
        <v>1056</v>
      </c>
      <c r="X1719" s="1">
        <v>208</v>
      </c>
      <c r="Y1719" s="1">
        <v>6</v>
      </c>
      <c r="Z1719" s="1" t="s">
        <v>249</v>
      </c>
      <c r="AA1719" s="1" t="s">
        <v>1229</v>
      </c>
      <c r="AB1719" s="1">
        <v>60106</v>
      </c>
      <c r="AD1719" s="1" t="s">
        <v>1230</v>
      </c>
      <c r="AE1719" s="1" t="s">
        <v>16271</v>
      </c>
      <c r="AF1719" s="1">
        <v>1979</v>
      </c>
      <c r="AG1719" s="1" t="s">
        <v>204</v>
      </c>
      <c r="AH1719" s="1" t="s">
        <v>1232</v>
      </c>
      <c r="AI1719" s="1" t="s">
        <v>206</v>
      </c>
      <c r="AJ1719" s="1" t="s">
        <v>1233</v>
      </c>
      <c r="AK1719" s="1" t="s">
        <v>270</v>
      </c>
      <c r="AL1719" s="1">
        <v>5</v>
      </c>
      <c r="AM1719" s="1">
        <v>2</v>
      </c>
      <c r="AN1719" s="1">
        <v>1</v>
      </c>
      <c r="AO1719" s="1">
        <v>1</v>
      </c>
      <c r="AP1719" s="1" t="s">
        <v>210</v>
      </c>
      <c r="AR1719" s="1" t="s">
        <v>210</v>
      </c>
      <c r="AS1719" s="1" t="s">
        <v>204</v>
      </c>
      <c r="AT1719" s="1" t="s">
        <v>375</v>
      </c>
      <c r="AU1719" s="1">
        <v>1</v>
      </c>
      <c r="AV1719" s="1">
        <v>1</v>
      </c>
      <c r="AW1719" s="1" t="s">
        <v>204</v>
      </c>
      <c r="AX1719" s="1" t="s">
        <v>212</v>
      </c>
      <c r="AZ1719" s="1">
        <v>1800</v>
      </c>
      <c r="BA1719" s="1">
        <v>2012</v>
      </c>
      <c r="BC1719" s="1">
        <v>0</v>
      </c>
      <c r="BD1719" s="1">
        <v>2012</v>
      </c>
      <c r="BE1719" s="1">
        <v>900</v>
      </c>
      <c r="BF1719" s="1">
        <v>2</v>
      </c>
      <c r="BG1719" s="1">
        <v>30</v>
      </c>
      <c r="BL1719" s="1">
        <v>325</v>
      </c>
      <c r="BM1719" s="1" t="s">
        <v>204</v>
      </c>
      <c r="BN1719" s="1" t="s">
        <v>213</v>
      </c>
      <c r="BO1719" s="1">
        <v>90</v>
      </c>
      <c r="BP1719" s="1" t="s">
        <v>204</v>
      </c>
      <c r="BR1719" s="1" t="str">
        <f>"0314124046"</f>
        <v>0314124046</v>
      </c>
      <c r="BT1719" s="1" t="s">
        <v>16272</v>
      </c>
      <c r="BX1719" s="1">
        <v>2</v>
      </c>
      <c r="BY1719" s="1">
        <v>2</v>
      </c>
      <c r="BZ1719" s="1">
        <v>100</v>
      </c>
      <c r="CB1719" s="1" t="str">
        <f>"5"</f>
        <v>5</v>
      </c>
      <c r="CC1719" s="1" t="str">
        <f>"0"</f>
        <v>0</v>
      </c>
      <c r="CD1719" s="1">
        <v>5</v>
      </c>
      <c r="CE1719" s="1">
        <v>0</v>
      </c>
      <c r="CG1719" s="1" t="s">
        <v>729</v>
      </c>
      <c r="CH1719" s="1" t="s">
        <v>219</v>
      </c>
      <c r="CI1719" s="1" t="s">
        <v>438</v>
      </c>
      <c r="CK1719" s="1" t="s">
        <v>757</v>
      </c>
      <c r="CL1719" s="1" t="s">
        <v>219</v>
      </c>
      <c r="CO1719" s="1" t="s">
        <v>465</v>
      </c>
      <c r="CP1719" s="1" t="s">
        <v>219</v>
      </c>
      <c r="CQ1719" s="1" t="s">
        <v>438</v>
      </c>
      <c r="CS1719" s="1" t="s">
        <v>465</v>
      </c>
      <c r="CT1719" s="1" t="s">
        <v>219</v>
      </c>
      <c r="CU1719" s="1" t="s">
        <v>438</v>
      </c>
      <c r="CX1719" s="1" t="s">
        <v>224</v>
      </c>
      <c r="DB1719" s="1" t="s">
        <v>224</v>
      </c>
      <c r="DE1719" s="1" t="s">
        <v>465</v>
      </c>
      <c r="DF1719" s="1" t="s">
        <v>219</v>
      </c>
      <c r="DG1719" s="1" t="s">
        <v>438</v>
      </c>
      <c r="DJ1719" s="1" t="s">
        <v>224</v>
      </c>
      <c r="DK1719" s="1" t="s">
        <v>438</v>
      </c>
      <c r="DS1719" s="1" t="s">
        <v>230</v>
      </c>
      <c r="DW1719" s="1" t="s">
        <v>230</v>
      </c>
      <c r="EA1719" s="1" t="s">
        <v>230</v>
      </c>
      <c r="EE1719" s="1" t="s">
        <v>230</v>
      </c>
      <c r="EI1719" s="1" t="s">
        <v>230</v>
      </c>
      <c r="EL1719" s="1" t="s">
        <v>231</v>
      </c>
      <c r="EM1719" s="1" t="s">
        <v>232</v>
      </c>
      <c r="EN1719" s="1" t="s">
        <v>1158</v>
      </c>
      <c r="EO1719" s="1" t="s">
        <v>234</v>
      </c>
      <c r="ER1719" s="1" t="s">
        <v>210</v>
      </c>
      <c r="ES1719" s="1" t="s">
        <v>322</v>
      </c>
      <c r="EU1719" s="1" t="s">
        <v>239</v>
      </c>
      <c r="EV1719" s="1" t="s">
        <v>240</v>
      </c>
      <c r="EW1719" s="1" t="s">
        <v>7015</v>
      </c>
      <c r="EY1719" s="1" t="s">
        <v>242</v>
      </c>
      <c r="EZ1719" s="1" t="s">
        <v>287</v>
      </c>
      <c r="FD1719" s="1" t="s">
        <v>246</v>
      </c>
      <c r="FE1719" s="1" t="s">
        <v>247</v>
      </c>
      <c r="FF1719" s="1" t="s">
        <v>387</v>
      </c>
      <c r="FH1719" s="1" t="s">
        <v>249</v>
      </c>
      <c r="FI1719" s="1" t="s">
        <v>357</v>
      </c>
      <c r="FJ1719" s="1" t="s">
        <v>197</v>
      </c>
      <c r="FL1719" s="1" t="s">
        <v>358</v>
      </c>
      <c r="FM1719" s="1" t="s">
        <v>252</v>
      </c>
      <c r="FN1719" s="1" t="s">
        <v>213</v>
      </c>
      <c r="FO1719" s="1" t="s">
        <v>213</v>
      </c>
      <c r="FQ1719" s="1" t="s">
        <v>1441</v>
      </c>
      <c r="FR1719" s="1" t="s">
        <v>210</v>
      </c>
      <c r="FS1719" s="1" t="s">
        <v>16273</v>
      </c>
      <c r="FT1719" s="1" t="s">
        <v>295</v>
      </c>
      <c r="FU1719" s="1" t="s">
        <v>204</v>
      </c>
      <c r="FW1719" s="1" t="s">
        <v>16274</v>
      </c>
      <c r="FX1719" s="1">
        <v>16117</v>
      </c>
      <c r="FY1719" s="1" t="s">
        <v>16275</v>
      </c>
      <c r="FZ1719" s="1" t="s">
        <v>16276</v>
      </c>
      <c r="GA1719" s="1">
        <v>125465</v>
      </c>
      <c r="GB1719" s="1" t="s">
        <v>16277</v>
      </c>
      <c r="GD1719" s="1" t="s">
        <v>16278</v>
      </c>
      <c r="GE1719" s="1" t="s">
        <v>480</v>
      </c>
      <c r="GH1719" s="1" t="s">
        <v>589</v>
      </c>
      <c r="GI1719" s="1" t="s">
        <v>213</v>
      </c>
      <c r="GJ1719" s="1" t="s">
        <v>260</v>
      </c>
      <c r="GK1719" s="1" t="s">
        <v>4920</v>
      </c>
      <c r="GL1719" s="2">
        <v>42004</v>
      </c>
      <c r="GM1719" s="1" t="s">
        <v>16279</v>
      </c>
    </row>
    <row r="1720" spans="1:195">
      <c r="A1720" s="1">
        <v>60500</v>
      </c>
      <c r="B1720" s="1" t="s">
        <v>195</v>
      </c>
      <c r="C1720" s="1" t="str">
        <f>"08709483"</f>
        <v>08709483</v>
      </c>
      <c r="D1720" s="1" t="s">
        <v>196</v>
      </c>
      <c r="F1720" s="1" t="str">
        <f>"148"</f>
        <v>148</v>
      </c>
      <c r="G1720" s="2">
        <v>41873</v>
      </c>
      <c r="H1720" s="1">
        <v>69900</v>
      </c>
      <c r="I1720" s="1">
        <v>65000</v>
      </c>
      <c r="J1720" s="1">
        <v>60500</v>
      </c>
      <c r="K1720" s="2">
        <v>41873</v>
      </c>
      <c r="L1720" s="1">
        <v>41</v>
      </c>
      <c r="M1720" s="2">
        <v>41913</v>
      </c>
      <c r="N1720" s="1">
        <v>41</v>
      </c>
      <c r="O1720" s="2">
        <v>41913</v>
      </c>
      <c r="P1720" s="1">
        <v>5151</v>
      </c>
      <c r="Q1720" s="1" t="s">
        <v>302</v>
      </c>
      <c r="R1720" s="2">
        <v>42058</v>
      </c>
      <c r="S1720" s="1">
        <v>55977</v>
      </c>
      <c r="U1720" s="1">
        <v>2005</v>
      </c>
      <c r="V1720" s="1" t="s">
        <v>2226</v>
      </c>
      <c r="W1720" s="1" t="s">
        <v>1056</v>
      </c>
      <c r="X1720" s="1">
        <v>306</v>
      </c>
      <c r="Y1720" s="1">
        <v>141</v>
      </c>
      <c r="Z1720" s="1" t="s">
        <v>249</v>
      </c>
      <c r="AA1720" s="1" t="s">
        <v>1927</v>
      </c>
      <c r="AB1720" s="1">
        <v>60148</v>
      </c>
      <c r="AD1720" s="1" t="s">
        <v>16280</v>
      </c>
      <c r="AE1720" s="1" t="s">
        <v>16281</v>
      </c>
      <c r="AF1720" s="1">
        <v>1975</v>
      </c>
      <c r="AG1720" s="1" t="s">
        <v>213</v>
      </c>
      <c r="AH1720" s="1" t="s">
        <v>1930</v>
      </c>
      <c r="AI1720" s="1" t="s">
        <v>206</v>
      </c>
      <c r="AJ1720" s="1" t="s">
        <v>1608</v>
      </c>
      <c r="AL1720" s="1">
        <v>5</v>
      </c>
      <c r="AM1720" s="1">
        <v>2</v>
      </c>
      <c r="AN1720" s="1">
        <v>2</v>
      </c>
      <c r="AO1720" s="1">
        <v>0</v>
      </c>
      <c r="AP1720" s="1" t="s">
        <v>209</v>
      </c>
      <c r="AR1720" s="1" t="s">
        <v>210</v>
      </c>
      <c r="AT1720" s="1" t="s">
        <v>271</v>
      </c>
      <c r="AV1720" s="1">
        <v>2</v>
      </c>
      <c r="AW1720" s="1" t="s">
        <v>204</v>
      </c>
      <c r="AX1720" s="1" t="s">
        <v>212</v>
      </c>
      <c r="AZ1720" s="1">
        <v>2781.3</v>
      </c>
      <c r="BA1720" s="1">
        <v>2013</v>
      </c>
      <c r="BB1720" s="1" t="s">
        <v>405</v>
      </c>
      <c r="BE1720" s="1">
        <v>0</v>
      </c>
      <c r="BF1720" s="1">
        <v>3</v>
      </c>
      <c r="BG1720" s="1">
        <v>30</v>
      </c>
      <c r="BL1720" s="1">
        <v>396</v>
      </c>
      <c r="BM1720" s="1" t="s">
        <v>204</v>
      </c>
      <c r="BN1720" s="1" t="s">
        <v>213</v>
      </c>
      <c r="BP1720" s="1" t="s">
        <v>204</v>
      </c>
      <c r="BR1720" s="1" t="str">
        <f>"0619404030"</f>
        <v>0619404030</v>
      </c>
      <c r="BT1720" s="1" t="s">
        <v>16282</v>
      </c>
      <c r="BU1720" s="1" t="s">
        <v>1933</v>
      </c>
      <c r="BV1720" s="1" t="s">
        <v>1934</v>
      </c>
      <c r="BW1720" s="1" t="s">
        <v>1935</v>
      </c>
      <c r="BX1720" s="1">
        <v>44</v>
      </c>
      <c r="BY1720" s="1">
        <v>44</v>
      </c>
      <c r="BZ1720" s="1">
        <v>87</v>
      </c>
      <c r="CB1720" s="1" t="str">
        <f t="shared" ref="CB1720:CC1720" si="1302">"0"</f>
        <v>0</v>
      </c>
      <c r="CC1720" s="1" t="str">
        <f t="shared" si="1302"/>
        <v>0</v>
      </c>
      <c r="CD1720" s="1">
        <v>20</v>
      </c>
      <c r="CE1720" s="1">
        <v>1</v>
      </c>
      <c r="CG1720" s="1" t="s">
        <v>1267</v>
      </c>
      <c r="CH1720" s="1" t="s">
        <v>219</v>
      </c>
      <c r="CI1720" s="1" t="s">
        <v>229</v>
      </c>
      <c r="CK1720" s="1" t="s">
        <v>581</v>
      </c>
      <c r="CL1720" s="1" t="s">
        <v>219</v>
      </c>
      <c r="CM1720" s="1" t="s">
        <v>220</v>
      </c>
      <c r="CO1720" s="1" t="s">
        <v>2547</v>
      </c>
      <c r="CP1720" s="1" t="s">
        <v>219</v>
      </c>
      <c r="CQ1720" s="1" t="s">
        <v>229</v>
      </c>
      <c r="CS1720" s="1" t="s">
        <v>379</v>
      </c>
      <c r="CT1720" s="1" t="s">
        <v>219</v>
      </c>
      <c r="CU1720" s="1" t="s">
        <v>220</v>
      </c>
      <c r="CX1720" s="1" t="s">
        <v>224</v>
      </c>
      <c r="DB1720" s="1" t="s">
        <v>224</v>
      </c>
      <c r="DE1720" s="1" t="s">
        <v>409</v>
      </c>
      <c r="DF1720" s="1" t="s">
        <v>219</v>
      </c>
      <c r="DG1720" s="1" t="s">
        <v>1236</v>
      </c>
      <c r="DJ1720" s="1" t="s">
        <v>224</v>
      </c>
      <c r="DS1720" s="1" t="s">
        <v>230</v>
      </c>
      <c r="DW1720" s="1" t="s">
        <v>230</v>
      </c>
      <c r="EA1720" s="1" t="s">
        <v>230</v>
      </c>
      <c r="EE1720" s="1" t="s">
        <v>230</v>
      </c>
      <c r="EI1720" s="1" t="s">
        <v>230</v>
      </c>
      <c r="EL1720" s="1" t="s">
        <v>231</v>
      </c>
      <c r="EM1720" s="1" t="s">
        <v>232</v>
      </c>
      <c r="EN1720" s="1" t="s">
        <v>282</v>
      </c>
      <c r="EO1720" s="1" t="s">
        <v>234</v>
      </c>
      <c r="EP1720" s="1" t="s">
        <v>16283</v>
      </c>
      <c r="EQ1720" s="1" t="s">
        <v>350</v>
      </c>
      <c r="ER1720" s="1" t="s">
        <v>210</v>
      </c>
      <c r="ES1720" s="1" t="s">
        <v>493</v>
      </c>
      <c r="EU1720" s="1" t="s">
        <v>239</v>
      </c>
      <c r="EV1720" s="1" t="s">
        <v>324</v>
      </c>
      <c r="EW1720" s="1" t="s">
        <v>16284</v>
      </c>
      <c r="EY1720" s="1" t="s">
        <v>242</v>
      </c>
      <c r="EZ1720" s="1" t="s">
        <v>287</v>
      </c>
      <c r="FA1720" s="1" t="s">
        <v>243</v>
      </c>
      <c r="FB1720" s="1" t="s">
        <v>289</v>
      </c>
      <c r="FC1720" s="1" t="s">
        <v>1386</v>
      </c>
      <c r="FD1720" s="1" t="s">
        <v>736</v>
      </c>
      <c r="FE1720" s="1" t="s">
        <v>6104</v>
      </c>
      <c r="FF1720" s="1" t="s">
        <v>248</v>
      </c>
      <c r="FH1720" s="1" t="s">
        <v>249</v>
      </c>
      <c r="FK1720" s="1" t="s">
        <v>891</v>
      </c>
      <c r="FL1720" s="1" t="s">
        <v>292</v>
      </c>
      <c r="FM1720" s="1" t="s">
        <v>252</v>
      </c>
      <c r="FN1720" s="1" t="s">
        <v>213</v>
      </c>
      <c r="FO1720" s="1" t="s">
        <v>213</v>
      </c>
      <c r="FQ1720" s="1" t="s">
        <v>3616</v>
      </c>
      <c r="FR1720" s="1" t="s">
        <v>360</v>
      </c>
      <c r="FS1720" s="1" t="s">
        <v>16285</v>
      </c>
      <c r="FT1720" s="1" t="s">
        <v>1139</v>
      </c>
      <c r="FU1720" s="1" t="s">
        <v>204</v>
      </c>
      <c r="FW1720" s="1" t="s">
        <v>16286</v>
      </c>
      <c r="FX1720" s="1">
        <v>84114</v>
      </c>
      <c r="FY1720" s="1" t="s">
        <v>16287</v>
      </c>
      <c r="FZ1720" s="1" t="s">
        <v>16288</v>
      </c>
      <c r="GA1720" s="1">
        <v>187057</v>
      </c>
      <c r="GB1720" s="1" t="s">
        <v>16289</v>
      </c>
      <c r="GE1720" s="1" t="s">
        <v>335</v>
      </c>
      <c r="GH1720" s="1" t="s">
        <v>421</v>
      </c>
      <c r="GI1720" s="1" t="s">
        <v>204</v>
      </c>
      <c r="GJ1720" s="1" t="s">
        <v>260</v>
      </c>
      <c r="GK1720" s="1" t="s">
        <v>210</v>
      </c>
      <c r="GL1720" s="2">
        <v>42058</v>
      </c>
      <c r="GM1720" s="1" t="s">
        <v>16290</v>
      </c>
    </row>
    <row r="1721" spans="1:195">
      <c r="A1721" s="1">
        <v>155000</v>
      </c>
      <c r="B1721" s="1" t="s">
        <v>195</v>
      </c>
      <c r="C1721" s="1" t="str">
        <f>"08708123"</f>
        <v>08708123</v>
      </c>
      <c r="D1721" s="1" t="s">
        <v>196</v>
      </c>
      <c r="F1721" s="1" t="str">
        <f>"10"</f>
        <v>10</v>
      </c>
      <c r="G1721" s="2">
        <v>41872</v>
      </c>
      <c r="H1721" s="1">
        <v>160000</v>
      </c>
      <c r="I1721" s="1">
        <v>160000</v>
      </c>
      <c r="J1721" s="1">
        <v>155000</v>
      </c>
      <c r="K1721" s="2">
        <v>41872</v>
      </c>
      <c r="L1721" s="1">
        <v>1</v>
      </c>
      <c r="M1721" s="2">
        <v>41872</v>
      </c>
      <c r="N1721" s="1">
        <v>1</v>
      </c>
      <c r="O1721" s="2">
        <v>41872</v>
      </c>
      <c r="P1721" s="1">
        <v>10646</v>
      </c>
      <c r="Q1721" s="1" t="s">
        <v>302</v>
      </c>
      <c r="R1721" s="2">
        <v>41989</v>
      </c>
      <c r="S1721" s="1">
        <v>120575</v>
      </c>
      <c r="U1721" s="1">
        <v>438</v>
      </c>
      <c r="V1721" s="1" t="s">
        <v>16291</v>
      </c>
      <c r="W1721" s="1" t="s">
        <v>725</v>
      </c>
      <c r="X1721" s="1">
        <v>2</v>
      </c>
      <c r="Y1721" s="1">
        <v>12</v>
      </c>
      <c r="Z1721" s="1" t="s">
        <v>249</v>
      </c>
      <c r="AA1721" s="1" t="s">
        <v>6288</v>
      </c>
      <c r="AB1721" s="1">
        <v>60010</v>
      </c>
      <c r="AD1721" s="1" t="s">
        <v>6727</v>
      </c>
      <c r="AE1721" s="1" t="s">
        <v>12237</v>
      </c>
      <c r="AF1721" s="1">
        <v>1965</v>
      </c>
      <c r="AG1721" s="1" t="s">
        <v>213</v>
      </c>
      <c r="AH1721" s="1" t="s">
        <v>6729</v>
      </c>
      <c r="AI1721" s="1" t="s">
        <v>310</v>
      </c>
      <c r="AJ1721" s="1" t="s">
        <v>6729</v>
      </c>
      <c r="AL1721" s="1">
        <v>5</v>
      </c>
      <c r="AM1721" s="1">
        <v>2</v>
      </c>
      <c r="AN1721" s="1">
        <v>1</v>
      </c>
      <c r="AO1721" s="1">
        <v>0</v>
      </c>
      <c r="AP1721" s="1" t="s">
        <v>210</v>
      </c>
      <c r="AQ1721" s="1">
        <v>1</v>
      </c>
      <c r="AR1721" s="1" t="s">
        <v>210</v>
      </c>
      <c r="AT1721" s="1" t="s">
        <v>211</v>
      </c>
      <c r="AU1721" s="1">
        <v>2</v>
      </c>
      <c r="AW1721" s="1" t="s">
        <v>204</v>
      </c>
      <c r="AX1721" s="1" t="s">
        <v>212</v>
      </c>
      <c r="AZ1721" s="1">
        <v>1737.33</v>
      </c>
      <c r="BA1721" s="1">
        <v>2013</v>
      </c>
      <c r="BB1721" s="1" t="s">
        <v>405</v>
      </c>
      <c r="BE1721" s="1">
        <v>1038</v>
      </c>
      <c r="BF1721" s="1">
        <v>2</v>
      </c>
      <c r="BG1721" s="1">
        <v>30</v>
      </c>
      <c r="BL1721" s="1">
        <v>231</v>
      </c>
      <c r="BM1721" s="1" t="s">
        <v>204</v>
      </c>
      <c r="BN1721" s="1" t="s">
        <v>213</v>
      </c>
      <c r="BO1721" s="1">
        <v>85</v>
      </c>
      <c r="BP1721" s="1" t="s">
        <v>204</v>
      </c>
      <c r="BR1721" s="1" t="str">
        <f>"01022020501021"</f>
        <v>01022020501021</v>
      </c>
      <c r="BT1721" s="1" t="s">
        <v>16292</v>
      </c>
      <c r="BU1721" s="1" t="s">
        <v>6731</v>
      </c>
      <c r="BV1721" s="1" t="s">
        <v>6732</v>
      </c>
      <c r="BW1721" s="1" t="s">
        <v>1994</v>
      </c>
      <c r="BX1721" s="1">
        <v>220</v>
      </c>
      <c r="BY1721" s="1">
        <v>220</v>
      </c>
      <c r="BZ1721" s="1">
        <v>220</v>
      </c>
      <c r="CB1721" s="1" t="str">
        <f>"18"</f>
        <v>18</v>
      </c>
      <c r="CC1721" s="1" t="str">
        <f>"0"</f>
        <v>0</v>
      </c>
      <c r="CD1721" s="1">
        <v>26</v>
      </c>
      <c r="CE1721" s="1">
        <v>0</v>
      </c>
      <c r="CG1721" s="1" t="s">
        <v>3100</v>
      </c>
      <c r="CH1721" s="1" t="s">
        <v>219</v>
      </c>
      <c r="CI1721" s="1" t="s">
        <v>438</v>
      </c>
      <c r="CK1721" s="1" t="s">
        <v>378</v>
      </c>
      <c r="CL1721" s="1" t="s">
        <v>219</v>
      </c>
      <c r="CM1721" s="1" t="s">
        <v>438</v>
      </c>
      <c r="CO1721" s="1" t="s">
        <v>5519</v>
      </c>
      <c r="CP1721" s="1" t="s">
        <v>219</v>
      </c>
      <c r="CQ1721" s="1" t="s">
        <v>438</v>
      </c>
      <c r="CS1721" s="1" t="s">
        <v>378</v>
      </c>
      <c r="CT1721" s="1" t="s">
        <v>219</v>
      </c>
      <c r="CU1721" s="1" t="s">
        <v>438</v>
      </c>
      <c r="CX1721" s="1" t="s">
        <v>224</v>
      </c>
      <c r="DB1721" s="1" t="s">
        <v>224</v>
      </c>
      <c r="DE1721" s="1" t="s">
        <v>2231</v>
      </c>
      <c r="DF1721" s="1" t="s">
        <v>219</v>
      </c>
      <c r="DG1721" s="1" t="s">
        <v>438</v>
      </c>
      <c r="DJ1721" s="1" t="s">
        <v>224</v>
      </c>
      <c r="DM1721" s="1" t="s">
        <v>838</v>
      </c>
      <c r="DR1721" s="1" t="s">
        <v>3716</v>
      </c>
      <c r="DS1721" s="1" t="s">
        <v>219</v>
      </c>
      <c r="DW1721" s="1" t="s">
        <v>230</v>
      </c>
      <c r="EA1721" s="1" t="s">
        <v>230</v>
      </c>
      <c r="EE1721" s="1" t="s">
        <v>230</v>
      </c>
      <c r="EI1721" s="1" t="s">
        <v>230</v>
      </c>
      <c r="EL1721" s="1" t="s">
        <v>605</v>
      </c>
      <c r="EM1721" s="1" t="s">
        <v>319</v>
      </c>
      <c r="EN1721" s="1" t="s">
        <v>282</v>
      </c>
      <c r="EO1721" s="1" t="s">
        <v>234</v>
      </c>
      <c r="EP1721" s="1" t="s">
        <v>16293</v>
      </c>
      <c r="EQ1721" s="1" t="s">
        <v>236</v>
      </c>
      <c r="ER1721" s="1" t="s">
        <v>210</v>
      </c>
      <c r="EV1721" s="1" t="s">
        <v>240</v>
      </c>
      <c r="EW1721" s="1" t="s">
        <v>5806</v>
      </c>
      <c r="EZ1721" s="1" t="s">
        <v>838</v>
      </c>
      <c r="FB1721" s="1" t="s">
        <v>244</v>
      </c>
      <c r="FC1721" s="1" t="s">
        <v>4152</v>
      </c>
      <c r="FD1721" s="1" t="s">
        <v>290</v>
      </c>
      <c r="FE1721" s="1" t="s">
        <v>247</v>
      </c>
      <c r="FF1721" s="1" t="s">
        <v>248</v>
      </c>
      <c r="FG1721" s="1" t="s">
        <v>939</v>
      </c>
      <c r="FH1721" s="1" t="s">
        <v>716</v>
      </c>
      <c r="FL1721" s="1" t="s">
        <v>358</v>
      </c>
      <c r="FM1721" s="1" t="s">
        <v>252</v>
      </c>
      <c r="FN1721" s="1" t="s">
        <v>213</v>
      </c>
      <c r="FO1721" s="1" t="s">
        <v>213</v>
      </c>
      <c r="FQ1721" s="1" t="s">
        <v>6735</v>
      </c>
      <c r="FR1721" s="1" t="s">
        <v>210</v>
      </c>
      <c r="FS1721" s="1" t="s">
        <v>7104</v>
      </c>
      <c r="FT1721" s="1" t="s">
        <v>520</v>
      </c>
      <c r="FU1721" s="1" t="s">
        <v>204</v>
      </c>
      <c r="FW1721" s="1" t="s">
        <v>6737</v>
      </c>
      <c r="FX1721" s="1">
        <v>10646</v>
      </c>
      <c r="FY1721" s="1" t="s">
        <v>6738</v>
      </c>
      <c r="FZ1721" s="1" t="s">
        <v>6739</v>
      </c>
      <c r="GA1721" s="1">
        <v>120575</v>
      </c>
      <c r="GB1721" s="1" t="s">
        <v>6740</v>
      </c>
      <c r="GE1721" s="1" t="s">
        <v>210</v>
      </c>
      <c r="GI1721" s="1" t="s">
        <v>213</v>
      </c>
      <c r="GJ1721" s="1" t="s">
        <v>260</v>
      </c>
      <c r="GK1721" s="1" t="s">
        <v>210</v>
      </c>
      <c r="GL1721" s="2">
        <v>41989</v>
      </c>
    </row>
    <row r="1722" spans="1:195">
      <c r="A1722" s="1">
        <v>244990</v>
      </c>
      <c r="B1722" s="1" t="s">
        <v>195</v>
      </c>
      <c r="C1722" s="1" t="str">
        <f>"08710055"</f>
        <v>08710055</v>
      </c>
      <c r="D1722" s="1" t="s">
        <v>196</v>
      </c>
      <c r="F1722" s="1" t="str">
        <f>"540"</f>
        <v>540</v>
      </c>
      <c r="G1722" s="2">
        <v>41875</v>
      </c>
      <c r="H1722" s="1">
        <v>264990</v>
      </c>
      <c r="I1722" s="1">
        <v>244990</v>
      </c>
      <c r="J1722" s="1">
        <v>244990</v>
      </c>
      <c r="K1722" s="2">
        <v>41875</v>
      </c>
      <c r="L1722" s="1">
        <v>134</v>
      </c>
      <c r="M1722" s="2">
        <v>42008</v>
      </c>
      <c r="N1722" s="1">
        <v>134</v>
      </c>
      <c r="O1722" s="2">
        <v>42008</v>
      </c>
      <c r="P1722" s="1">
        <v>23030</v>
      </c>
      <c r="Q1722" s="1" t="s">
        <v>302</v>
      </c>
      <c r="R1722" s="2">
        <v>42048</v>
      </c>
      <c r="S1722" s="1">
        <v>233292</v>
      </c>
      <c r="U1722" s="1">
        <v>2660</v>
      </c>
      <c r="V1722" s="1" t="s">
        <v>6288</v>
      </c>
      <c r="W1722" s="1" t="s">
        <v>449</v>
      </c>
      <c r="Y1722" s="1">
        <v>4</v>
      </c>
      <c r="Z1722" s="1" t="s">
        <v>370</v>
      </c>
      <c r="AA1722" s="1" t="s">
        <v>921</v>
      </c>
      <c r="AB1722" s="1">
        <v>60564</v>
      </c>
      <c r="AD1722" s="1" t="s">
        <v>3249</v>
      </c>
      <c r="AE1722" s="1" t="s">
        <v>16294</v>
      </c>
      <c r="AF1722" s="1">
        <v>2014</v>
      </c>
      <c r="AG1722" s="1" t="s">
        <v>204</v>
      </c>
      <c r="AH1722" s="1" t="s">
        <v>924</v>
      </c>
      <c r="AI1722" s="1" t="s">
        <v>1800</v>
      </c>
      <c r="AJ1722" s="1" t="s">
        <v>1801</v>
      </c>
      <c r="AK1722" s="1" t="s">
        <v>9108</v>
      </c>
      <c r="AL1722" s="1">
        <v>5</v>
      </c>
      <c r="AM1722" s="1">
        <v>2</v>
      </c>
      <c r="AN1722" s="1">
        <v>2</v>
      </c>
      <c r="AO1722" s="1">
        <v>0</v>
      </c>
      <c r="AP1722" s="1" t="s">
        <v>209</v>
      </c>
      <c r="AR1722" s="1" t="s">
        <v>210</v>
      </c>
      <c r="AS1722" s="1" t="s">
        <v>204</v>
      </c>
      <c r="AT1722" s="1" t="s">
        <v>211</v>
      </c>
      <c r="AU1722" s="1">
        <v>2</v>
      </c>
      <c r="AW1722" s="1" t="s">
        <v>204</v>
      </c>
      <c r="AX1722" s="1" t="s">
        <v>9109</v>
      </c>
      <c r="AZ1722" s="1" t="s">
        <v>751</v>
      </c>
      <c r="BA1722" s="1">
        <v>2012</v>
      </c>
      <c r="BE1722" s="1">
        <v>1549</v>
      </c>
      <c r="BF1722" s="1">
        <v>1</v>
      </c>
      <c r="BG1722" s="1">
        <v>0</v>
      </c>
      <c r="BL1722" s="1">
        <v>238</v>
      </c>
      <c r="BM1722" s="1" t="s">
        <v>204</v>
      </c>
      <c r="BN1722" s="1" t="s">
        <v>213</v>
      </c>
      <c r="BO1722" s="1">
        <v>999</v>
      </c>
      <c r="BP1722" s="1" t="s">
        <v>213</v>
      </c>
      <c r="BQ1722" s="2">
        <v>41942</v>
      </c>
      <c r="BR1722" s="1" t="str">
        <f>"01054070010000"</f>
        <v>01054070010000</v>
      </c>
      <c r="BT1722" s="1" t="s">
        <v>16295</v>
      </c>
      <c r="BX1722" s="1">
        <v>204</v>
      </c>
      <c r="BY1722" s="1">
        <v>204</v>
      </c>
      <c r="BZ1722" s="1">
        <v>204</v>
      </c>
      <c r="CB1722" s="1" t="str">
        <f t="shared" ref="CB1722:CC1722" si="1303">""</f>
        <v/>
      </c>
      <c r="CC1722" s="1" t="str">
        <f t="shared" si="1303"/>
        <v/>
      </c>
      <c r="CH1722" s="1" t="s">
        <v>224</v>
      </c>
      <c r="CK1722" s="1" t="s">
        <v>462</v>
      </c>
      <c r="CL1722" s="1" t="s">
        <v>219</v>
      </c>
      <c r="CP1722" s="1" t="s">
        <v>224</v>
      </c>
      <c r="CS1722" s="1" t="s">
        <v>346</v>
      </c>
      <c r="CT1722" s="1" t="s">
        <v>219</v>
      </c>
      <c r="CX1722" s="1" t="s">
        <v>224</v>
      </c>
      <c r="DB1722" s="1" t="s">
        <v>224</v>
      </c>
      <c r="DE1722" s="1" t="s">
        <v>885</v>
      </c>
      <c r="DF1722" s="1" t="s">
        <v>219</v>
      </c>
      <c r="DI1722" s="1" t="s">
        <v>9111</v>
      </c>
      <c r="DJ1722" s="1" t="s">
        <v>219</v>
      </c>
      <c r="DM1722" s="1" t="s">
        <v>1548</v>
      </c>
      <c r="DR1722" s="1" t="s">
        <v>516</v>
      </c>
      <c r="DS1722" s="1" t="s">
        <v>219</v>
      </c>
      <c r="DW1722" s="1" t="s">
        <v>230</v>
      </c>
      <c r="EA1722" s="1" t="s">
        <v>230</v>
      </c>
      <c r="EE1722" s="1" t="s">
        <v>230</v>
      </c>
      <c r="EI1722" s="1" t="s">
        <v>230</v>
      </c>
      <c r="EL1722" s="1" t="s">
        <v>1455</v>
      </c>
      <c r="EM1722" s="1" t="s">
        <v>730</v>
      </c>
      <c r="EN1722" s="1" t="s">
        <v>282</v>
      </c>
      <c r="EO1722" s="1" t="s">
        <v>840</v>
      </c>
      <c r="ER1722" s="1" t="s">
        <v>210</v>
      </c>
      <c r="EW1722" s="1" t="s">
        <v>3255</v>
      </c>
      <c r="EZ1722" s="1" t="s">
        <v>1548</v>
      </c>
      <c r="FD1722" s="1" t="s">
        <v>246</v>
      </c>
      <c r="FE1722" s="1" t="s">
        <v>975</v>
      </c>
      <c r="FF1722" s="1" t="s">
        <v>248</v>
      </c>
      <c r="FH1722" s="1" t="s">
        <v>825</v>
      </c>
      <c r="FL1722" s="1" t="s">
        <v>358</v>
      </c>
      <c r="FM1722" s="1" t="s">
        <v>252</v>
      </c>
      <c r="FN1722" s="1" t="s">
        <v>213</v>
      </c>
      <c r="FO1722" s="1" t="s">
        <v>204</v>
      </c>
      <c r="FQ1722" s="1" t="s">
        <v>582</v>
      </c>
      <c r="FR1722" s="1" t="s">
        <v>210</v>
      </c>
      <c r="FS1722" s="1" t="s">
        <v>16296</v>
      </c>
      <c r="FT1722" s="1" t="s">
        <v>5166</v>
      </c>
      <c r="FU1722" s="1" t="s">
        <v>204</v>
      </c>
      <c r="FW1722" s="1" t="s">
        <v>772</v>
      </c>
      <c r="FX1722" s="1">
        <v>92038</v>
      </c>
      <c r="FY1722" s="1" t="s">
        <v>773</v>
      </c>
      <c r="FZ1722" s="1" t="s">
        <v>774</v>
      </c>
      <c r="GA1722" s="1">
        <v>21137</v>
      </c>
      <c r="GB1722" s="1" t="s">
        <v>775</v>
      </c>
      <c r="GE1722" s="1" t="s">
        <v>623</v>
      </c>
      <c r="GI1722" s="1" t="s">
        <v>204</v>
      </c>
      <c r="GJ1722" s="1" t="s">
        <v>260</v>
      </c>
      <c r="GK1722" s="1" t="s">
        <v>210</v>
      </c>
      <c r="GL1722" s="2">
        <v>42048</v>
      </c>
      <c r="GM1722" s="1" t="s">
        <v>16297</v>
      </c>
    </row>
    <row r="1723" spans="1:195">
      <c r="A1723" s="1">
        <v>155000</v>
      </c>
      <c r="B1723" s="1" t="s">
        <v>195</v>
      </c>
      <c r="C1723" s="1" t="str">
        <f>"08713408"</f>
        <v>08713408</v>
      </c>
      <c r="D1723" s="1" t="s">
        <v>196</v>
      </c>
      <c r="F1723" s="1" t="str">
        <f>"190"</f>
        <v>190</v>
      </c>
      <c r="G1723" s="2">
        <v>41879</v>
      </c>
      <c r="H1723" s="1">
        <v>164900</v>
      </c>
      <c r="I1723" s="1">
        <v>159900</v>
      </c>
      <c r="J1723" s="1">
        <v>155000</v>
      </c>
      <c r="K1723" s="2">
        <v>41879</v>
      </c>
      <c r="L1723" s="1">
        <v>64</v>
      </c>
      <c r="M1723" s="2">
        <v>41942</v>
      </c>
      <c r="N1723" s="1">
        <v>64</v>
      </c>
      <c r="O1723" s="2">
        <v>41942</v>
      </c>
      <c r="P1723" s="1">
        <v>22076</v>
      </c>
      <c r="Q1723" s="1" t="s">
        <v>197</v>
      </c>
      <c r="R1723" s="2">
        <v>41976</v>
      </c>
      <c r="S1723" s="1">
        <v>244844</v>
      </c>
      <c r="U1723" s="1" t="s">
        <v>16298</v>
      </c>
      <c r="V1723" s="1" t="s">
        <v>16299</v>
      </c>
      <c r="W1723" s="1" t="s">
        <v>504</v>
      </c>
      <c r="Y1723" s="1">
        <v>4</v>
      </c>
      <c r="Z1723" s="1" t="s">
        <v>370</v>
      </c>
      <c r="AA1723" s="1" t="s">
        <v>1915</v>
      </c>
      <c r="AB1723" s="1">
        <v>60190</v>
      </c>
      <c r="AD1723" s="1" t="s">
        <v>14390</v>
      </c>
      <c r="AE1723" s="1" t="s">
        <v>16300</v>
      </c>
      <c r="AF1723" s="1">
        <v>1982</v>
      </c>
      <c r="AG1723" s="1" t="s">
        <v>204</v>
      </c>
      <c r="AH1723" s="1" t="s">
        <v>987</v>
      </c>
      <c r="AI1723" s="1" t="s">
        <v>206</v>
      </c>
      <c r="AJ1723" s="1" t="s">
        <v>987</v>
      </c>
      <c r="AL1723" s="1">
        <v>6</v>
      </c>
      <c r="AM1723" s="1">
        <v>2</v>
      </c>
      <c r="AN1723" s="1">
        <v>2</v>
      </c>
      <c r="AO1723" s="1">
        <v>0</v>
      </c>
      <c r="AP1723" s="1" t="s">
        <v>667</v>
      </c>
      <c r="AQ1723" s="1">
        <v>1</v>
      </c>
      <c r="AR1723" s="1" t="s">
        <v>210</v>
      </c>
      <c r="AS1723" s="1" t="s">
        <v>204</v>
      </c>
      <c r="AT1723" s="1" t="s">
        <v>211</v>
      </c>
      <c r="AU1723" s="1">
        <v>1</v>
      </c>
      <c r="AW1723" s="1" t="s">
        <v>213</v>
      </c>
      <c r="AX1723" s="1" t="s">
        <v>16301</v>
      </c>
      <c r="AZ1723" s="1">
        <v>3913</v>
      </c>
      <c r="BA1723" s="1">
        <v>2013</v>
      </c>
      <c r="BB1723" s="1" t="s">
        <v>405</v>
      </c>
      <c r="BE1723" s="1">
        <v>1441</v>
      </c>
      <c r="BF1723" s="1">
        <v>1</v>
      </c>
      <c r="BG1723" s="1">
        <v>0</v>
      </c>
      <c r="BL1723" s="1">
        <v>194</v>
      </c>
      <c r="BM1723" s="1" t="s">
        <v>204</v>
      </c>
      <c r="BN1723" s="1" t="s">
        <v>213</v>
      </c>
      <c r="BO1723" s="1" t="s">
        <v>230</v>
      </c>
      <c r="BP1723" s="1" t="s">
        <v>204</v>
      </c>
      <c r="BR1723" s="1" t="str">
        <f>"0412212022"</f>
        <v>0412212022</v>
      </c>
      <c r="BT1723" s="1" t="s">
        <v>16302</v>
      </c>
      <c r="BU1723" s="1" t="s">
        <v>16303</v>
      </c>
      <c r="BW1723" s="1" t="s">
        <v>1675</v>
      </c>
      <c r="BX1723" s="1">
        <v>33</v>
      </c>
      <c r="BY1723" s="1">
        <v>33</v>
      </c>
      <c r="BZ1723" s="1">
        <v>94</v>
      </c>
      <c r="CB1723" s="1" t="str">
        <f>"1"</f>
        <v>1</v>
      </c>
      <c r="CC1723" s="1" t="str">
        <f>""</f>
        <v/>
      </c>
      <c r="CD1723" s="1">
        <v>27</v>
      </c>
      <c r="CG1723" s="1" t="s">
        <v>1004</v>
      </c>
      <c r="CH1723" s="1" t="s">
        <v>219</v>
      </c>
      <c r="CI1723" s="1" t="s">
        <v>220</v>
      </c>
      <c r="CJ1723" s="1" t="s">
        <v>343</v>
      </c>
      <c r="CK1723" s="1" t="s">
        <v>1533</v>
      </c>
      <c r="CL1723" s="1" t="s">
        <v>277</v>
      </c>
      <c r="CM1723" s="1" t="s">
        <v>220</v>
      </c>
      <c r="CN1723" s="1" t="s">
        <v>343</v>
      </c>
      <c r="CP1723" s="1" t="s">
        <v>224</v>
      </c>
      <c r="CS1723" s="1" t="s">
        <v>539</v>
      </c>
      <c r="CT1723" s="1" t="s">
        <v>277</v>
      </c>
      <c r="CU1723" s="1" t="s">
        <v>220</v>
      </c>
      <c r="CV1723" s="1" t="s">
        <v>343</v>
      </c>
      <c r="CX1723" s="1" t="s">
        <v>224</v>
      </c>
      <c r="DB1723" s="1" t="s">
        <v>224</v>
      </c>
      <c r="DE1723" s="1" t="s">
        <v>1046</v>
      </c>
      <c r="DF1723" s="1" t="s">
        <v>219</v>
      </c>
      <c r="DG1723" s="1" t="s">
        <v>229</v>
      </c>
      <c r="DH1723" s="1" t="s">
        <v>210</v>
      </c>
      <c r="DI1723" s="1" t="s">
        <v>221</v>
      </c>
      <c r="DJ1723" s="1" t="s">
        <v>219</v>
      </c>
      <c r="DK1723" s="1" t="s">
        <v>220</v>
      </c>
      <c r="DL1723" s="1" t="s">
        <v>343</v>
      </c>
      <c r="DM1723" s="1" t="s">
        <v>381</v>
      </c>
      <c r="DN1723" s="1" t="s">
        <v>709</v>
      </c>
      <c r="DO1723" s="1" t="s">
        <v>1614</v>
      </c>
      <c r="DR1723" s="1" t="s">
        <v>346</v>
      </c>
      <c r="DS1723" s="1" t="s">
        <v>219</v>
      </c>
      <c r="DT1723" s="1" t="s">
        <v>229</v>
      </c>
      <c r="DU1723" s="1" t="s">
        <v>343</v>
      </c>
      <c r="DV1723" s="1" t="s">
        <v>1313</v>
      </c>
      <c r="DW1723" s="1" t="s">
        <v>219</v>
      </c>
      <c r="DX1723" s="1" t="s">
        <v>229</v>
      </c>
      <c r="DY1723" s="1" t="s">
        <v>210</v>
      </c>
      <c r="DZ1723" s="1" t="s">
        <v>346</v>
      </c>
      <c r="EA1723" s="1" t="s">
        <v>277</v>
      </c>
      <c r="EB1723" s="1" t="s">
        <v>347</v>
      </c>
      <c r="EE1723" s="1" t="s">
        <v>230</v>
      </c>
      <c r="EI1723" s="1" t="s">
        <v>230</v>
      </c>
      <c r="EL1723" s="1" t="s">
        <v>231</v>
      </c>
      <c r="EM1723" s="1" t="s">
        <v>232</v>
      </c>
      <c r="EN1723" s="1" t="s">
        <v>282</v>
      </c>
      <c r="EO1723" s="1" t="s">
        <v>1020</v>
      </c>
      <c r="EQ1723" s="1" t="s">
        <v>350</v>
      </c>
      <c r="ER1723" s="1" t="s">
        <v>210</v>
      </c>
      <c r="ES1723" s="1" t="s">
        <v>322</v>
      </c>
      <c r="EU1723" s="1" t="s">
        <v>285</v>
      </c>
      <c r="EV1723" s="1" t="s">
        <v>324</v>
      </c>
      <c r="EW1723" s="1" t="s">
        <v>353</v>
      </c>
      <c r="EY1723" s="1" t="s">
        <v>441</v>
      </c>
      <c r="EZ1723" s="1" t="s">
        <v>16304</v>
      </c>
      <c r="FB1723" s="1" t="s">
        <v>289</v>
      </c>
      <c r="FD1723" s="1" t="s">
        <v>246</v>
      </c>
      <c r="FE1723" s="1" t="s">
        <v>3957</v>
      </c>
      <c r="FF1723" s="1" t="s">
        <v>1113</v>
      </c>
      <c r="FG1723" s="1" t="s">
        <v>14522</v>
      </c>
      <c r="FH1723" s="1" t="s">
        <v>550</v>
      </c>
      <c r="FI1723" s="1" t="s">
        <v>357</v>
      </c>
      <c r="FL1723" s="1" t="s">
        <v>358</v>
      </c>
      <c r="FM1723" s="1" t="s">
        <v>252</v>
      </c>
      <c r="FN1723" s="1" t="s">
        <v>213</v>
      </c>
      <c r="FO1723" s="1" t="s">
        <v>213</v>
      </c>
      <c r="FQ1723" s="1" t="s">
        <v>793</v>
      </c>
      <c r="FR1723" s="1" t="s">
        <v>210</v>
      </c>
      <c r="FS1723" s="1" t="s">
        <v>16305</v>
      </c>
      <c r="FT1723" s="1" t="s">
        <v>255</v>
      </c>
      <c r="FU1723" s="1" t="s">
        <v>204</v>
      </c>
      <c r="FW1723" s="1" t="s">
        <v>915</v>
      </c>
      <c r="FX1723" s="1">
        <v>22076</v>
      </c>
      <c r="FY1723" s="1" t="s">
        <v>916</v>
      </c>
      <c r="FZ1723" s="1" t="s">
        <v>16306</v>
      </c>
      <c r="GA1723" s="1">
        <v>244844</v>
      </c>
      <c r="GB1723" s="1" t="s">
        <v>16307</v>
      </c>
      <c r="GE1723" s="1" t="s">
        <v>1333</v>
      </c>
      <c r="GI1723" s="1" t="s">
        <v>213</v>
      </c>
      <c r="GJ1723" s="1" t="s">
        <v>260</v>
      </c>
      <c r="GK1723" s="1" t="s">
        <v>261</v>
      </c>
      <c r="GL1723" s="2">
        <v>41977</v>
      </c>
      <c r="GM1723" s="1" t="s">
        <v>16308</v>
      </c>
    </row>
    <row r="1724" spans="1:195">
      <c r="A1724" s="1">
        <v>178000</v>
      </c>
      <c r="B1724" s="1" t="s">
        <v>195</v>
      </c>
      <c r="C1724" s="1" t="str">
        <f>"08727171"</f>
        <v>08727171</v>
      </c>
      <c r="D1724" s="1" t="s">
        <v>196</v>
      </c>
      <c r="F1724" s="1" t="str">
        <f>"540"</f>
        <v>540</v>
      </c>
      <c r="G1724" s="2">
        <v>41894</v>
      </c>
      <c r="H1724" s="1">
        <v>187500</v>
      </c>
      <c r="I1724" s="1">
        <v>184500</v>
      </c>
      <c r="J1724" s="1">
        <v>178000</v>
      </c>
      <c r="K1724" s="2">
        <v>41894</v>
      </c>
      <c r="L1724" s="1">
        <v>28</v>
      </c>
      <c r="M1724" s="2">
        <v>41921</v>
      </c>
      <c r="N1724" s="1">
        <v>28</v>
      </c>
      <c r="O1724" s="2">
        <v>41921</v>
      </c>
      <c r="P1724" s="1">
        <v>349</v>
      </c>
      <c r="Q1724" s="1" t="s">
        <v>423</v>
      </c>
      <c r="R1724" s="2">
        <v>41969</v>
      </c>
      <c r="S1724" s="1">
        <v>8737</v>
      </c>
      <c r="U1724" s="1">
        <v>2912</v>
      </c>
      <c r="V1724" s="1" t="s">
        <v>748</v>
      </c>
      <c r="W1724" s="1" t="s">
        <v>449</v>
      </c>
      <c r="X1724" s="1">
        <v>2912</v>
      </c>
      <c r="Y1724" s="1">
        <v>4</v>
      </c>
      <c r="Z1724" s="1" t="s">
        <v>200</v>
      </c>
      <c r="AA1724" s="1" t="s">
        <v>921</v>
      </c>
      <c r="AB1724" s="1">
        <v>60564</v>
      </c>
      <c r="AC1724" s="1">
        <v>4967</v>
      </c>
      <c r="AD1724" s="1" t="s">
        <v>2213</v>
      </c>
      <c r="AE1724" s="1" t="s">
        <v>16309</v>
      </c>
      <c r="AF1724" s="1">
        <v>2004</v>
      </c>
      <c r="AG1724" s="1" t="s">
        <v>204</v>
      </c>
      <c r="AH1724" s="1" t="s">
        <v>924</v>
      </c>
      <c r="AI1724" s="1" t="s">
        <v>1800</v>
      </c>
      <c r="AJ1724" s="1" t="s">
        <v>1801</v>
      </c>
      <c r="AK1724" s="1" t="s">
        <v>6729</v>
      </c>
      <c r="AL1724" s="1">
        <v>5</v>
      </c>
      <c r="AM1724" s="1">
        <v>2</v>
      </c>
      <c r="AN1724" s="1">
        <v>1</v>
      </c>
      <c r="AO1724" s="1">
        <v>1</v>
      </c>
      <c r="AP1724" s="1" t="s">
        <v>667</v>
      </c>
      <c r="AQ1724" s="1">
        <v>0</v>
      </c>
      <c r="AR1724" s="1" t="s">
        <v>210</v>
      </c>
      <c r="AS1724" s="1" t="s">
        <v>204</v>
      </c>
      <c r="AT1724" s="1" t="s">
        <v>211</v>
      </c>
      <c r="AU1724" s="1">
        <v>2</v>
      </c>
      <c r="AW1724" s="1" t="s">
        <v>204</v>
      </c>
      <c r="AX1724" s="1" t="s">
        <v>579</v>
      </c>
      <c r="AZ1724" s="1">
        <v>3517</v>
      </c>
      <c r="BA1724" s="1">
        <v>2012</v>
      </c>
      <c r="BB1724" s="1" t="s">
        <v>405</v>
      </c>
      <c r="BC1724" s="1">
        <v>0</v>
      </c>
      <c r="BE1724" s="1">
        <v>1271</v>
      </c>
      <c r="BF1724" s="1">
        <v>1</v>
      </c>
      <c r="BG1724" s="1">
        <v>30</v>
      </c>
      <c r="BL1724" s="1">
        <v>234</v>
      </c>
      <c r="BM1724" s="1" t="s">
        <v>204</v>
      </c>
      <c r="BN1724" s="1" t="s">
        <v>213</v>
      </c>
      <c r="BO1724" s="1">
        <v>999</v>
      </c>
      <c r="BP1724" s="1" t="s">
        <v>204</v>
      </c>
      <c r="BR1724" s="1" t="str">
        <f>"01031150161005"</f>
        <v>01031150161005</v>
      </c>
      <c r="BT1724" s="1" t="s">
        <v>16310</v>
      </c>
      <c r="BU1724" s="1" t="s">
        <v>2216</v>
      </c>
      <c r="BV1724" s="1" t="s">
        <v>2217</v>
      </c>
      <c r="BW1724" s="1" t="s">
        <v>2218</v>
      </c>
      <c r="BX1724" s="1">
        <v>204</v>
      </c>
      <c r="BY1724" s="1">
        <v>204</v>
      </c>
      <c r="BZ1724" s="1">
        <v>204</v>
      </c>
      <c r="CB1724" s="1" t="str">
        <f t="shared" ref="CB1724:CC1724" si="1304">"0"</f>
        <v>0</v>
      </c>
      <c r="CC1724" s="1" t="str">
        <f t="shared" si="1304"/>
        <v>0</v>
      </c>
      <c r="CD1724" s="1">
        <v>29</v>
      </c>
      <c r="CE1724" s="1">
        <v>10</v>
      </c>
      <c r="CG1724" s="1" t="s">
        <v>461</v>
      </c>
      <c r="CH1724" s="1" t="s">
        <v>219</v>
      </c>
      <c r="CI1724" s="1" t="s">
        <v>438</v>
      </c>
      <c r="CJ1724" s="1" t="s">
        <v>343</v>
      </c>
      <c r="CK1724" s="1" t="s">
        <v>317</v>
      </c>
      <c r="CL1724" s="1" t="s">
        <v>277</v>
      </c>
      <c r="CM1724" s="1" t="s">
        <v>220</v>
      </c>
      <c r="CN1724" s="1" t="s">
        <v>343</v>
      </c>
      <c r="CO1724" s="1" t="s">
        <v>318</v>
      </c>
      <c r="CP1724" s="1" t="s">
        <v>219</v>
      </c>
      <c r="CQ1724" s="1" t="s">
        <v>438</v>
      </c>
      <c r="CR1724" s="1" t="s">
        <v>343</v>
      </c>
      <c r="CS1724" s="1" t="s">
        <v>318</v>
      </c>
      <c r="CT1724" s="1" t="s">
        <v>277</v>
      </c>
      <c r="CU1724" s="1" t="s">
        <v>220</v>
      </c>
      <c r="CV1724" s="1" t="s">
        <v>343</v>
      </c>
      <c r="CX1724" s="1" t="s">
        <v>224</v>
      </c>
      <c r="DB1724" s="1" t="s">
        <v>224</v>
      </c>
      <c r="DE1724" s="1" t="s">
        <v>1297</v>
      </c>
      <c r="DF1724" s="1" t="s">
        <v>219</v>
      </c>
      <c r="DG1724" s="1" t="s">
        <v>226</v>
      </c>
      <c r="DH1724" s="1" t="s">
        <v>210</v>
      </c>
      <c r="DJ1724" s="1" t="s">
        <v>224</v>
      </c>
      <c r="DN1724" s="1" t="s">
        <v>709</v>
      </c>
      <c r="DO1724" s="1" t="s">
        <v>3011</v>
      </c>
      <c r="DS1724" s="1" t="s">
        <v>230</v>
      </c>
      <c r="DV1724" s="1" t="s">
        <v>2468</v>
      </c>
      <c r="DW1724" s="1" t="s">
        <v>219</v>
      </c>
      <c r="DX1724" s="1" t="s">
        <v>229</v>
      </c>
      <c r="DY1724" s="1" t="s">
        <v>210</v>
      </c>
      <c r="DZ1724" s="1" t="s">
        <v>2468</v>
      </c>
      <c r="EA1724" s="1" t="s">
        <v>219</v>
      </c>
      <c r="EB1724" s="1" t="s">
        <v>229</v>
      </c>
      <c r="EC1724" s="1" t="s">
        <v>210</v>
      </c>
      <c r="EE1724" s="1" t="s">
        <v>230</v>
      </c>
      <c r="EI1724" s="1" t="s">
        <v>230</v>
      </c>
      <c r="EL1724" s="1" t="s">
        <v>491</v>
      </c>
      <c r="EM1724" s="1" t="s">
        <v>232</v>
      </c>
      <c r="EN1724" s="1" t="s">
        <v>282</v>
      </c>
      <c r="EO1724" s="1" t="s">
        <v>234</v>
      </c>
      <c r="EP1724" s="1" t="s">
        <v>650</v>
      </c>
      <c r="EQ1724" s="1" t="s">
        <v>5099</v>
      </c>
      <c r="ER1724" s="1" t="s">
        <v>210</v>
      </c>
      <c r="ES1724" s="1" t="s">
        <v>322</v>
      </c>
      <c r="EU1724" s="1" t="s">
        <v>239</v>
      </c>
      <c r="EV1724" s="1" t="s">
        <v>1553</v>
      </c>
      <c r="EW1724" s="1" t="s">
        <v>867</v>
      </c>
      <c r="EY1724" s="1" t="s">
        <v>242</v>
      </c>
      <c r="EZ1724" s="1" t="s">
        <v>11347</v>
      </c>
      <c r="FA1724" s="1" t="s">
        <v>1427</v>
      </c>
      <c r="FB1724" s="1" t="s">
        <v>289</v>
      </c>
      <c r="FD1724" s="1" t="s">
        <v>246</v>
      </c>
      <c r="FE1724" s="1" t="s">
        <v>355</v>
      </c>
      <c r="FF1724" s="1" t="s">
        <v>248</v>
      </c>
      <c r="FH1724" s="1" t="s">
        <v>550</v>
      </c>
      <c r="FI1724" s="1" t="s">
        <v>473</v>
      </c>
      <c r="FL1724" s="1" t="s">
        <v>358</v>
      </c>
      <c r="FM1724" s="1" t="s">
        <v>252</v>
      </c>
      <c r="FN1724" s="1" t="s">
        <v>213</v>
      </c>
      <c r="FO1724" s="1" t="s">
        <v>213</v>
      </c>
      <c r="FQ1724" s="1" t="s">
        <v>13065</v>
      </c>
      <c r="FR1724" s="1" t="s">
        <v>210</v>
      </c>
      <c r="FS1724" s="1" t="s">
        <v>16311</v>
      </c>
      <c r="FT1724" s="1" t="s">
        <v>16312</v>
      </c>
      <c r="FU1724" s="1" t="s">
        <v>204</v>
      </c>
      <c r="FW1724" s="1" t="s">
        <v>585</v>
      </c>
      <c r="FX1724" s="1">
        <v>23156</v>
      </c>
      <c r="FY1724" s="1" t="s">
        <v>1253</v>
      </c>
      <c r="FZ1724" s="1" t="s">
        <v>5821</v>
      </c>
      <c r="GA1724" s="1">
        <v>220294</v>
      </c>
      <c r="GB1724" s="1" t="s">
        <v>5822</v>
      </c>
      <c r="GD1724" s="1" t="s">
        <v>5823</v>
      </c>
      <c r="GE1724" s="1" t="s">
        <v>210</v>
      </c>
      <c r="GI1724" s="1" t="s">
        <v>213</v>
      </c>
      <c r="GJ1724" s="1" t="s">
        <v>260</v>
      </c>
      <c r="GK1724" s="1" t="s">
        <v>210</v>
      </c>
      <c r="GL1724" s="2">
        <v>41969</v>
      </c>
    </row>
    <row r="1725" spans="1:195">
      <c r="A1725" s="1">
        <v>75210</v>
      </c>
      <c r="B1725" s="1" t="s">
        <v>195</v>
      </c>
      <c r="C1725" s="1" t="str">
        <f>"08711392"</f>
        <v>08711392</v>
      </c>
      <c r="D1725" s="1" t="s">
        <v>196</v>
      </c>
      <c r="F1725" s="1" t="str">
        <f>"73"</f>
        <v>73</v>
      </c>
      <c r="G1725" s="2">
        <v>41877</v>
      </c>
      <c r="H1725" s="1">
        <v>69900</v>
      </c>
      <c r="I1725" s="1">
        <v>69900</v>
      </c>
      <c r="J1725" s="1">
        <v>75210</v>
      </c>
      <c r="K1725" s="2">
        <v>41877</v>
      </c>
      <c r="L1725" s="1">
        <v>22</v>
      </c>
      <c r="M1725" s="2">
        <v>41898</v>
      </c>
      <c r="N1725" s="1">
        <v>22</v>
      </c>
      <c r="O1725" s="2">
        <v>41898</v>
      </c>
      <c r="P1725" s="1">
        <v>1685</v>
      </c>
      <c r="Q1725" s="1" t="s">
        <v>302</v>
      </c>
      <c r="R1725" s="2">
        <v>41989</v>
      </c>
      <c r="S1725" s="1">
        <v>923353</v>
      </c>
      <c r="U1725" s="1">
        <v>1457</v>
      </c>
      <c r="V1725" s="1" t="s">
        <v>8323</v>
      </c>
      <c r="W1725" s="1" t="s">
        <v>504</v>
      </c>
      <c r="Y1725" s="1">
        <v>4</v>
      </c>
      <c r="Z1725" s="1" t="s">
        <v>370</v>
      </c>
      <c r="AA1725" s="1" t="s">
        <v>1259</v>
      </c>
      <c r="AB1725" s="1">
        <v>60073</v>
      </c>
      <c r="AE1725" s="1" t="s">
        <v>16313</v>
      </c>
      <c r="AF1725" s="1">
        <v>2004</v>
      </c>
      <c r="AG1725" s="1" t="s">
        <v>204</v>
      </c>
      <c r="AH1725" s="1" t="s">
        <v>1262</v>
      </c>
      <c r="AI1725" s="1" t="s">
        <v>509</v>
      </c>
      <c r="AJ1725" s="1" t="s">
        <v>1263</v>
      </c>
      <c r="AL1725" s="1">
        <v>5</v>
      </c>
      <c r="AM1725" s="1">
        <v>2</v>
      </c>
      <c r="AN1725" s="1">
        <v>2</v>
      </c>
      <c r="AO1725" s="1">
        <v>1</v>
      </c>
      <c r="AP1725" s="1" t="s">
        <v>209</v>
      </c>
      <c r="AR1725" s="1" t="s">
        <v>210</v>
      </c>
      <c r="AS1725" s="1" t="s">
        <v>204</v>
      </c>
      <c r="AT1725" s="1" t="s">
        <v>211</v>
      </c>
      <c r="AU1725" s="1">
        <v>2</v>
      </c>
      <c r="AW1725" s="1" t="s">
        <v>204</v>
      </c>
      <c r="AX1725" s="1" t="s">
        <v>212</v>
      </c>
      <c r="AZ1725" s="1">
        <v>4823.5</v>
      </c>
      <c r="BA1725" s="1">
        <v>2012</v>
      </c>
      <c r="BE1725" s="1">
        <v>1608</v>
      </c>
      <c r="BF1725" s="1">
        <v>1</v>
      </c>
      <c r="BG1725" s="1">
        <v>0</v>
      </c>
      <c r="BL1725" s="1">
        <v>160</v>
      </c>
      <c r="BM1725" s="1" t="s">
        <v>204</v>
      </c>
      <c r="BN1725" s="1" t="s">
        <v>213</v>
      </c>
      <c r="BO1725" s="1">
        <v>0</v>
      </c>
      <c r="BP1725" s="1" t="s">
        <v>204</v>
      </c>
      <c r="BR1725" s="1" t="str">
        <f>"06193050470000"</f>
        <v>06193050470000</v>
      </c>
      <c r="BT1725" s="1" t="s">
        <v>16314</v>
      </c>
      <c r="BX1725" s="1">
        <v>116</v>
      </c>
      <c r="BY1725" s="1">
        <v>116</v>
      </c>
      <c r="BZ1725" s="1">
        <v>116</v>
      </c>
      <c r="CB1725" s="1" t="str">
        <f t="shared" ref="CB1725:CC1725" si="1305">""</f>
        <v/>
      </c>
      <c r="CC1725" s="1" t="str">
        <f t="shared" si="1305"/>
        <v/>
      </c>
      <c r="CG1725" s="1" t="s">
        <v>862</v>
      </c>
      <c r="CH1725" s="1" t="s">
        <v>219</v>
      </c>
      <c r="CK1725" s="1" t="s">
        <v>1045</v>
      </c>
      <c r="CL1725" s="1" t="s">
        <v>277</v>
      </c>
      <c r="CO1725" s="1" t="s">
        <v>2231</v>
      </c>
      <c r="CP1725" s="1" t="s">
        <v>219</v>
      </c>
      <c r="CS1725" s="1" t="s">
        <v>461</v>
      </c>
      <c r="CT1725" s="1" t="s">
        <v>277</v>
      </c>
      <c r="CX1725" s="1" t="s">
        <v>224</v>
      </c>
      <c r="DB1725" s="1" t="s">
        <v>224</v>
      </c>
      <c r="DE1725" s="1" t="s">
        <v>1534</v>
      </c>
      <c r="DF1725" s="1" t="s">
        <v>219</v>
      </c>
      <c r="DJ1725" s="1" t="s">
        <v>224</v>
      </c>
      <c r="DS1725" s="1" t="s">
        <v>230</v>
      </c>
      <c r="DW1725" s="1" t="s">
        <v>230</v>
      </c>
      <c r="EA1725" s="1" t="s">
        <v>230</v>
      </c>
      <c r="EE1725" s="1" t="s">
        <v>230</v>
      </c>
      <c r="EI1725" s="1" t="s">
        <v>230</v>
      </c>
      <c r="EL1725" s="1" t="s">
        <v>491</v>
      </c>
      <c r="EM1725" s="1" t="s">
        <v>319</v>
      </c>
      <c r="EN1725" s="1" t="s">
        <v>282</v>
      </c>
      <c r="EO1725" s="1" t="s">
        <v>234</v>
      </c>
      <c r="ER1725" s="1" t="s">
        <v>210</v>
      </c>
      <c r="EW1725" s="1" t="s">
        <v>353</v>
      </c>
      <c r="EZ1725" s="1" t="s">
        <v>287</v>
      </c>
      <c r="FD1725" s="1" t="s">
        <v>246</v>
      </c>
      <c r="FE1725" s="1" t="s">
        <v>496</v>
      </c>
      <c r="FF1725" s="1" t="s">
        <v>248</v>
      </c>
      <c r="FH1725" s="1" t="s">
        <v>550</v>
      </c>
      <c r="FL1725" s="1" t="s">
        <v>414</v>
      </c>
      <c r="FM1725" s="1" t="s">
        <v>252</v>
      </c>
      <c r="FN1725" s="1" t="s">
        <v>213</v>
      </c>
      <c r="FO1725" s="1" t="s">
        <v>213</v>
      </c>
      <c r="FQ1725" s="1" t="s">
        <v>16315</v>
      </c>
      <c r="FR1725" s="1" t="s">
        <v>210</v>
      </c>
      <c r="FS1725" s="1" t="s">
        <v>16316</v>
      </c>
      <c r="FT1725" s="1" t="s">
        <v>520</v>
      </c>
      <c r="FU1725" s="1" t="s">
        <v>204</v>
      </c>
      <c r="FW1725" s="1" t="s">
        <v>3740</v>
      </c>
      <c r="FX1725" s="1">
        <v>16276</v>
      </c>
      <c r="FY1725" s="1" t="s">
        <v>3741</v>
      </c>
      <c r="FZ1725" s="1" t="s">
        <v>3742</v>
      </c>
      <c r="GA1725" s="1">
        <v>114173</v>
      </c>
      <c r="GB1725" s="1" t="s">
        <v>3741</v>
      </c>
      <c r="GE1725" s="1" t="s">
        <v>210</v>
      </c>
      <c r="GH1725" s="1" t="s">
        <v>589</v>
      </c>
      <c r="GI1725" s="1" t="s">
        <v>213</v>
      </c>
      <c r="GJ1725" s="1" t="s">
        <v>260</v>
      </c>
      <c r="GK1725" s="1" t="s">
        <v>210</v>
      </c>
      <c r="GL1725" s="2">
        <v>41991</v>
      </c>
      <c r="GM1725" s="1" t="s">
        <v>16317</v>
      </c>
    </row>
    <row r="1726" spans="1:195">
      <c r="A1726" s="1">
        <v>108500</v>
      </c>
      <c r="B1726" s="1" t="s">
        <v>195</v>
      </c>
      <c r="C1726" s="1" t="str">
        <f>"08709787"</f>
        <v>08709787</v>
      </c>
      <c r="D1726" s="1" t="s">
        <v>196</v>
      </c>
      <c r="F1726" s="1" t="str">
        <f>"555"</f>
        <v>555</v>
      </c>
      <c r="G1726" s="2">
        <v>41874</v>
      </c>
      <c r="H1726" s="1">
        <v>149000</v>
      </c>
      <c r="I1726" s="1">
        <v>112800</v>
      </c>
      <c r="J1726" s="1">
        <v>108500</v>
      </c>
      <c r="K1726" s="2">
        <v>41872</v>
      </c>
      <c r="L1726" s="1">
        <v>133</v>
      </c>
      <c r="M1726" s="2">
        <v>42004</v>
      </c>
      <c r="N1726" s="1">
        <v>133</v>
      </c>
      <c r="O1726" s="2">
        <v>42004</v>
      </c>
      <c r="P1726" s="1">
        <v>25163</v>
      </c>
      <c r="Q1726" s="1" t="s">
        <v>302</v>
      </c>
      <c r="R1726" s="2">
        <v>42030</v>
      </c>
      <c r="S1726" s="1">
        <v>250831</v>
      </c>
      <c r="U1726" s="1" t="s">
        <v>16318</v>
      </c>
      <c r="V1726" s="1" t="s">
        <v>4986</v>
      </c>
      <c r="W1726" s="1" t="s">
        <v>264</v>
      </c>
      <c r="Y1726" s="1">
        <v>4</v>
      </c>
      <c r="Z1726" s="1" t="s">
        <v>249</v>
      </c>
      <c r="AA1726" s="1" t="s">
        <v>984</v>
      </c>
      <c r="AB1726" s="1">
        <v>60555</v>
      </c>
      <c r="AD1726" s="1" t="s">
        <v>10231</v>
      </c>
      <c r="AE1726" s="1" t="s">
        <v>16319</v>
      </c>
      <c r="AF1726" s="1">
        <v>1990</v>
      </c>
      <c r="AG1726" s="1" t="s">
        <v>204</v>
      </c>
      <c r="AH1726" s="1" t="s">
        <v>986</v>
      </c>
      <c r="AI1726" s="1" t="s">
        <v>206</v>
      </c>
      <c r="AJ1726" s="1" t="s">
        <v>987</v>
      </c>
      <c r="AL1726" s="1">
        <v>6</v>
      </c>
      <c r="AM1726" s="1">
        <v>2</v>
      </c>
      <c r="AN1726" s="1">
        <v>1</v>
      </c>
      <c r="AO1726" s="1">
        <v>1</v>
      </c>
      <c r="AP1726" s="1" t="s">
        <v>210</v>
      </c>
      <c r="AR1726" s="1" t="s">
        <v>210</v>
      </c>
      <c r="AS1726" s="1" t="s">
        <v>204</v>
      </c>
      <c r="AT1726" s="1" t="s">
        <v>211</v>
      </c>
      <c r="AU1726" s="1">
        <v>2</v>
      </c>
      <c r="AW1726" s="1" t="s">
        <v>204</v>
      </c>
      <c r="AX1726" s="1" t="s">
        <v>212</v>
      </c>
      <c r="AZ1726" s="1">
        <v>3410.24</v>
      </c>
      <c r="BA1726" s="1">
        <v>2013</v>
      </c>
      <c r="BE1726" s="1">
        <v>1448</v>
      </c>
      <c r="BF1726" s="1">
        <v>1</v>
      </c>
      <c r="BG1726" s="1">
        <v>1</v>
      </c>
      <c r="BL1726" s="1">
        <v>206</v>
      </c>
      <c r="BM1726" s="1" t="s">
        <v>413</v>
      </c>
      <c r="BN1726" s="1" t="s">
        <v>213</v>
      </c>
      <c r="BO1726" s="1" t="s">
        <v>402</v>
      </c>
      <c r="BP1726" s="1" t="s">
        <v>204</v>
      </c>
      <c r="BR1726" s="1" t="str">
        <f>"0434124043"</f>
        <v>0434124043</v>
      </c>
      <c r="BT1726" s="1" t="s">
        <v>16320</v>
      </c>
      <c r="BU1726" s="1" t="s">
        <v>989</v>
      </c>
      <c r="BV1726" s="1" t="s">
        <v>990</v>
      </c>
      <c r="BW1726" s="1" t="s">
        <v>971</v>
      </c>
      <c r="BX1726" s="1">
        <v>200</v>
      </c>
      <c r="BY1726" s="1">
        <v>200</v>
      </c>
      <c r="BZ1726" s="1">
        <v>200</v>
      </c>
      <c r="CB1726" s="1" t="str">
        <f t="shared" ref="CB1726:CC1726" si="1306">""</f>
        <v/>
      </c>
      <c r="CC1726" s="1" t="str">
        <f t="shared" si="1306"/>
        <v/>
      </c>
      <c r="CG1726" s="1" t="s">
        <v>538</v>
      </c>
      <c r="CH1726" s="1" t="s">
        <v>219</v>
      </c>
      <c r="CK1726" s="1" t="s">
        <v>315</v>
      </c>
      <c r="CL1726" s="1" t="s">
        <v>277</v>
      </c>
      <c r="CO1726" s="1" t="s">
        <v>348</v>
      </c>
      <c r="CP1726" s="1" t="s">
        <v>219</v>
      </c>
      <c r="CS1726" s="1" t="s">
        <v>379</v>
      </c>
      <c r="CT1726" s="1" t="s">
        <v>277</v>
      </c>
      <c r="CX1726" s="1" t="s">
        <v>224</v>
      </c>
      <c r="DB1726" s="1" t="s">
        <v>224</v>
      </c>
      <c r="DE1726" s="1" t="s">
        <v>281</v>
      </c>
      <c r="DF1726" s="1" t="s">
        <v>219</v>
      </c>
      <c r="DI1726" s="1" t="s">
        <v>4522</v>
      </c>
      <c r="DJ1726" s="1" t="s">
        <v>277</v>
      </c>
      <c r="DS1726" s="1" t="s">
        <v>230</v>
      </c>
      <c r="DW1726" s="1" t="s">
        <v>230</v>
      </c>
      <c r="EA1726" s="1" t="s">
        <v>230</v>
      </c>
      <c r="EE1726" s="1" t="s">
        <v>230</v>
      </c>
      <c r="EI1726" s="1" t="s">
        <v>230</v>
      </c>
      <c r="EL1726" s="1" t="s">
        <v>382</v>
      </c>
      <c r="EM1726" s="1" t="s">
        <v>319</v>
      </c>
      <c r="EN1726" s="1" t="s">
        <v>282</v>
      </c>
      <c r="EO1726" s="1" t="s">
        <v>234</v>
      </c>
      <c r="EQ1726" s="1" t="s">
        <v>4462</v>
      </c>
      <c r="ER1726" s="1" t="s">
        <v>383</v>
      </c>
      <c r="ES1726" s="1" t="s">
        <v>545</v>
      </c>
      <c r="EU1726" s="1" t="s">
        <v>239</v>
      </c>
      <c r="EW1726" s="1" t="s">
        <v>353</v>
      </c>
      <c r="EZ1726" s="1" t="s">
        <v>287</v>
      </c>
      <c r="FD1726" s="1" t="s">
        <v>290</v>
      </c>
      <c r="FE1726" s="1" t="s">
        <v>355</v>
      </c>
      <c r="FF1726" s="1" t="s">
        <v>248</v>
      </c>
      <c r="FH1726" s="1" t="s">
        <v>249</v>
      </c>
      <c r="FL1726" s="1" t="s">
        <v>358</v>
      </c>
      <c r="FM1726" s="1" t="s">
        <v>252</v>
      </c>
      <c r="FN1726" s="1" t="s">
        <v>213</v>
      </c>
      <c r="FO1726" s="1" t="s">
        <v>213</v>
      </c>
      <c r="FQ1726" s="1" t="s">
        <v>689</v>
      </c>
      <c r="FR1726" s="1" t="s">
        <v>210</v>
      </c>
      <c r="FS1726" s="1" t="s">
        <v>16321</v>
      </c>
      <c r="FT1726" s="1" t="s">
        <v>16322</v>
      </c>
      <c r="FU1726" s="1" t="s">
        <v>204</v>
      </c>
      <c r="FV1726" s="1" t="s">
        <v>1960</v>
      </c>
      <c r="FW1726" s="1" t="s">
        <v>1961</v>
      </c>
      <c r="FX1726" s="1">
        <v>20150</v>
      </c>
      <c r="FY1726" s="1" t="s">
        <v>1962</v>
      </c>
      <c r="FZ1726" s="1" t="s">
        <v>1963</v>
      </c>
      <c r="GA1726" s="1">
        <v>211012</v>
      </c>
      <c r="GB1726" s="1" t="s">
        <v>1964</v>
      </c>
      <c r="GE1726" s="1" t="s">
        <v>210</v>
      </c>
      <c r="GI1726" s="1" t="s">
        <v>204</v>
      </c>
      <c r="GJ1726" s="1" t="s">
        <v>260</v>
      </c>
      <c r="GK1726" s="1" t="s">
        <v>261</v>
      </c>
      <c r="GL1726" s="2">
        <v>42031</v>
      </c>
      <c r="GM1726" s="1" t="s">
        <v>16323</v>
      </c>
    </row>
    <row r="1727" spans="1:195">
      <c r="A1727" s="1">
        <v>197500</v>
      </c>
      <c r="B1727" s="1" t="s">
        <v>195</v>
      </c>
      <c r="C1727" s="1" t="str">
        <f>"08741919"</f>
        <v>08741919</v>
      </c>
      <c r="D1727" s="1" t="s">
        <v>196</v>
      </c>
      <c r="F1727" s="1" t="str">
        <f>"10"</f>
        <v>10</v>
      </c>
      <c r="G1727" s="2">
        <v>41913</v>
      </c>
      <c r="H1727" s="1">
        <v>209500</v>
      </c>
      <c r="I1727" s="1">
        <v>209500</v>
      </c>
      <c r="J1727" s="1">
        <v>197500</v>
      </c>
      <c r="K1727" s="2">
        <v>41913</v>
      </c>
      <c r="L1727" s="1">
        <v>201</v>
      </c>
      <c r="M1727" s="2">
        <v>42113</v>
      </c>
      <c r="N1727" s="1">
        <v>201</v>
      </c>
      <c r="O1727" s="2">
        <v>42113</v>
      </c>
      <c r="P1727" s="1">
        <v>4575</v>
      </c>
      <c r="Q1727" s="1" t="s">
        <v>197</v>
      </c>
      <c r="R1727" s="2">
        <v>42143</v>
      </c>
      <c r="S1727" s="1">
        <v>30491</v>
      </c>
      <c r="U1727" s="1" t="s">
        <v>16324</v>
      </c>
      <c r="V1727" s="1" t="s">
        <v>10960</v>
      </c>
      <c r="W1727" s="1" t="s">
        <v>504</v>
      </c>
      <c r="X1727" s="1" t="s">
        <v>16325</v>
      </c>
      <c r="Y1727" s="1">
        <v>4</v>
      </c>
      <c r="Z1727" s="1" t="s">
        <v>200</v>
      </c>
      <c r="AA1727" s="1" t="s">
        <v>1985</v>
      </c>
      <c r="AB1727" s="1">
        <v>60010</v>
      </c>
      <c r="AD1727" s="1" t="s">
        <v>1986</v>
      </c>
      <c r="AE1727" s="1" t="s">
        <v>16326</v>
      </c>
      <c r="AF1727" s="1">
        <v>1981</v>
      </c>
      <c r="AG1727" s="1" t="s">
        <v>204</v>
      </c>
      <c r="AH1727" s="1" t="s">
        <v>1988</v>
      </c>
      <c r="AI1727" s="1" t="s">
        <v>509</v>
      </c>
      <c r="AJ1727" s="1" t="s">
        <v>1989</v>
      </c>
      <c r="AK1727" s="1" t="s">
        <v>16327</v>
      </c>
      <c r="AL1727" s="1">
        <v>7</v>
      </c>
      <c r="AM1727" s="1">
        <v>2</v>
      </c>
      <c r="AN1727" s="1">
        <v>2</v>
      </c>
      <c r="AO1727" s="1">
        <v>1</v>
      </c>
      <c r="AP1727" s="1" t="s">
        <v>209</v>
      </c>
      <c r="AQ1727" s="1">
        <v>2</v>
      </c>
      <c r="AR1727" s="1" t="s">
        <v>1631</v>
      </c>
      <c r="AS1727" s="1" t="s">
        <v>213</v>
      </c>
      <c r="AT1727" s="1" t="s">
        <v>211</v>
      </c>
      <c r="AU1727" s="1">
        <v>1</v>
      </c>
      <c r="AW1727" s="1" t="s">
        <v>204</v>
      </c>
      <c r="AX1727" s="1" t="s">
        <v>212</v>
      </c>
      <c r="AZ1727" s="1">
        <v>4004.34</v>
      </c>
      <c r="BA1727" s="1">
        <v>2013</v>
      </c>
      <c r="BB1727" s="1" t="s">
        <v>599</v>
      </c>
      <c r="BE1727" s="1">
        <v>1900</v>
      </c>
      <c r="BF1727" s="1">
        <v>1</v>
      </c>
      <c r="BG1727" s="1">
        <v>30</v>
      </c>
      <c r="BK1727" s="1">
        <v>0.8</v>
      </c>
      <c r="BL1727" s="1">
        <v>346</v>
      </c>
      <c r="BM1727" s="1" t="s">
        <v>204</v>
      </c>
      <c r="BN1727" s="1" t="s">
        <v>213</v>
      </c>
      <c r="BO1727" s="1">
        <v>25</v>
      </c>
      <c r="BP1727" s="1" t="s">
        <v>204</v>
      </c>
      <c r="BR1727" s="1" t="str">
        <f>"13113003010000"</f>
        <v>13113003010000</v>
      </c>
      <c r="BT1727" s="1" t="s">
        <v>16328</v>
      </c>
      <c r="BU1727" s="1" t="s">
        <v>1992</v>
      </c>
      <c r="BV1727" s="1" t="s">
        <v>1993</v>
      </c>
      <c r="BW1727" s="1" t="s">
        <v>1994</v>
      </c>
      <c r="BX1727" s="1">
        <v>220</v>
      </c>
      <c r="BY1727" s="1">
        <v>220</v>
      </c>
      <c r="BZ1727" s="1">
        <v>220</v>
      </c>
      <c r="CB1727" s="1" t="str">
        <f t="shared" ref="CB1727:CC1727" si="1307">""</f>
        <v/>
      </c>
      <c r="CC1727" s="1" t="str">
        <f t="shared" si="1307"/>
        <v/>
      </c>
      <c r="CG1727" s="1" t="s">
        <v>862</v>
      </c>
      <c r="CH1727" s="1" t="s">
        <v>219</v>
      </c>
      <c r="CI1727" s="1" t="s">
        <v>438</v>
      </c>
      <c r="CJ1727" s="1" t="s">
        <v>252</v>
      </c>
      <c r="CK1727" s="1" t="s">
        <v>1045</v>
      </c>
      <c r="CL1727" s="1" t="s">
        <v>219</v>
      </c>
      <c r="CM1727" s="1" t="s">
        <v>220</v>
      </c>
      <c r="CN1727" s="1" t="s">
        <v>252</v>
      </c>
      <c r="CO1727" s="1" t="s">
        <v>1046</v>
      </c>
      <c r="CP1727" s="1" t="s">
        <v>219</v>
      </c>
      <c r="CQ1727" s="1" t="s">
        <v>438</v>
      </c>
      <c r="CR1727" s="1" t="s">
        <v>252</v>
      </c>
      <c r="CS1727" s="1" t="s">
        <v>317</v>
      </c>
      <c r="CT1727" s="1" t="s">
        <v>219</v>
      </c>
      <c r="CU1727" s="1" t="s">
        <v>220</v>
      </c>
      <c r="CV1727" s="1" t="s">
        <v>252</v>
      </c>
      <c r="CX1727" s="1" t="s">
        <v>224</v>
      </c>
      <c r="DB1727" s="1" t="s">
        <v>224</v>
      </c>
      <c r="DE1727" s="1" t="s">
        <v>465</v>
      </c>
      <c r="DF1727" s="1" t="s">
        <v>219</v>
      </c>
      <c r="DG1727" s="1" t="s">
        <v>226</v>
      </c>
      <c r="DH1727" s="1" t="s">
        <v>252</v>
      </c>
      <c r="DI1727" s="1" t="s">
        <v>16329</v>
      </c>
      <c r="DJ1727" s="1" t="s">
        <v>822</v>
      </c>
      <c r="DK1727" s="1" t="s">
        <v>220</v>
      </c>
      <c r="DL1727" s="1" t="s">
        <v>252</v>
      </c>
      <c r="DM1727" s="1" t="s">
        <v>227</v>
      </c>
      <c r="DR1727" s="1" t="s">
        <v>465</v>
      </c>
      <c r="DS1727" s="1" t="s">
        <v>822</v>
      </c>
      <c r="DT1727" s="1" t="s">
        <v>220</v>
      </c>
      <c r="DU1727" s="1" t="s">
        <v>210</v>
      </c>
      <c r="DW1727" s="1" t="s">
        <v>230</v>
      </c>
      <c r="EA1727" s="1" t="s">
        <v>230</v>
      </c>
      <c r="EE1727" s="1" t="s">
        <v>230</v>
      </c>
      <c r="EI1727" s="1" t="s">
        <v>230</v>
      </c>
      <c r="EL1727" s="1" t="s">
        <v>231</v>
      </c>
      <c r="EM1727" s="1" t="s">
        <v>761</v>
      </c>
      <c r="EN1727" s="1" t="s">
        <v>282</v>
      </c>
      <c r="EO1727" s="1" t="s">
        <v>234</v>
      </c>
      <c r="EP1727" s="1" t="s">
        <v>16330</v>
      </c>
      <c r="EQ1727" s="1" t="s">
        <v>1094</v>
      </c>
      <c r="ER1727" s="1" t="s">
        <v>8320</v>
      </c>
      <c r="EU1727" s="1" t="s">
        <v>239</v>
      </c>
      <c r="EV1727" s="1" t="s">
        <v>352</v>
      </c>
      <c r="EW1727" s="1" t="s">
        <v>6667</v>
      </c>
      <c r="EY1727" s="1" t="s">
        <v>2455</v>
      </c>
      <c r="EZ1727" s="1" t="s">
        <v>227</v>
      </c>
      <c r="FA1727" s="1" t="s">
        <v>2220</v>
      </c>
      <c r="FB1727" s="1" t="s">
        <v>244</v>
      </c>
      <c r="FD1727" s="1" t="s">
        <v>290</v>
      </c>
      <c r="FE1727" s="1" t="s">
        <v>889</v>
      </c>
      <c r="FF1727" s="1" t="s">
        <v>248</v>
      </c>
      <c r="FG1727" s="1" t="s">
        <v>939</v>
      </c>
      <c r="FH1727" s="1" t="s">
        <v>249</v>
      </c>
      <c r="FI1727" s="1" t="s">
        <v>473</v>
      </c>
      <c r="FL1727" s="1" t="s">
        <v>1073</v>
      </c>
      <c r="FM1727" s="1" t="s">
        <v>252</v>
      </c>
      <c r="FN1727" s="1" t="s">
        <v>213</v>
      </c>
      <c r="FO1727" s="1" t="s">
        <v>213</v>
      </c>
      <c r="FQ1727" s="1" t="s">
        <v>3616</v>
      </c>
      <c r="FR1727" s="1" t="s">
        <v>210</v>
      </c>
      <c r="FS1727" s="1" t="s">
        <v>16331</v>
      </c>
      <c r="FT1727" s="1" t="s">
        <v>520</v>
      </c>
      <c r="FU1727" s="1" t="s">
        <v>204</v>
      </c>
      <c r="FW1727" s="1" t="s">
        <v>4563</v>
      </c>
      <c r="FX1727" s="1">
        <v>6025</v>
      </c>
      <c r="FY1727" s="1" t="s">
        <v>4564</v>
      </c>
      <c r="FZ1727" s="1" t="s">
        <v>16332</v>
      </c>
      <c r="GA1727" s="1">
        <v>62621</v>
      </c>
      <c r="GB1727" s="1" t="s">
        <v>16333</v>
      </c>
      <c r="GE1727" s="1" t="s">
        <v>1256</v>
      </c>
      <c r="GI1727" s="1" t="s">
        <v>213</v>
      </c>
      <c r="GJ1727" s="1" t="s">
        <v>260</v>
      </c>
      <c r="GK1727" s="1" t="s">
        <v>210</v>
      </c>
      <c r="GL1727" s="2">
        <v>42144</v>
      </c>
      <c r="GM1727" s="1" t="s">
        <v>16334</v>
      </c>
    </row>
    <row r="1728" spans="1:195">
      <c r="A1728" s="1">
        <v>129900</v>
      </c>
      <c r="B1728" s="1" t="s">
        <v>195</v>
      </c>
      <c r="C1728" s="1" t="str">
        <f>"08713617"</f>
        <v>08713617</v>
      </c>
      <c r="D1728" s="1" t="s">
        <v>196</v>
      </c>
      <c r="F1728" s="1" t="str">
        <f>"515"</f>
        <v>515</v>
      </c>
      <c r="G1728" s="2">
        <v>41879</v>
      </c>
      <c r="H1728" s="1">
        <v>149900</v>
      </c>
      <c r="I1728" s="1">
        <v>129900</v>
      </c>
      <c r="J1728" s="1">
        <v>129900</v>
      </c>
      <c r="K1728" s="2">
        <v>41879</v>
      </c>
      <c r="L1728" s="1">
        <v>68</v>
      </c>
      <c r="M1728" s="2">
        <v>41946</v>
      </c>
      <c r="N1728" s="1">
        <v>68</v>
      </c>
      <c r="O1728" s="2">
        <v>41946</v>
      </c>
      <c r="P1728" s="1">
        <v>20114</v>
      </c>
      <c r="Q1728" s="1" t="s">
        <v>197</v>
      </c>
      <c r="R1728" s="2">
        <v>41990</v>
      </c>
      <c r="S1728" s="1">
        <v>242938</v>
      </c>
      <c r="U1728" s="1">
        <v>444</v>
      </c>
      <c r="V1728" s="1" t="s">
        <v>6039</v>
      </c>
      <c r="W1728" s="1" t="s">
        <v>264</v>
      </c>
      <c r="X1728" s="1">
        <v>312</v>
      </c>
      <c r="Y1728" s="1">
        <v>36</v>
      </c>
      <c r="Z1728" s="1" t="s">
        <v>249</v>
      </c>
      <c r="AA1728" s="1" t="s">
        <v>1294</v>
      </c>
      <c r="AB1728" s="1">
        <v>60516</v>
      </c>
      <c r="AD1728" s="1" t="s">
        <v>6040</v>
      </c>
      <c r="AE1728" s="1" t="s">
        <v>16335</v>
      </c>
      <c r="AF1728" s="1">
        <v>1969</v>
      </c>
      <c r="AG1728" s="1" t="s">
        <v>213</v>
      </c>
      <c r="AH1728" s="1" t="s">
        <v>882</v>
      </c>
      <c r="AI1728" s="1" t="s">
        <v>206</v>
      </c>
      <c r="AJ1728" s="1" t="s">
        <v>903</v>
      </c>
      <c r="AL1728" s="1">
        <v>5</v>
      </c>
      <c r="AM1728" s="1">
        <v>2</v>
      </c>
      <c r="AN1728" s="1">
        <v>2</v>
      </c>
      <c r="AO1728" s="1">
        <v>0</v>
      </c>
      <c r="AP1728" s="1" t="s">
        <v>209</v>
      </c>
      <c r="AR1728" s="1" t="s">
        <v>210</v>
      </c>
      <c r="AS1728" s="1" t="s">
        <v>204</v>
      </c>
      <c r="AT1728" s="1" t="s">
        <v>211</v>
      </c>
      <c r="AU1728" s="1">
        <v>2</v>
      </c>
      <c r="AW1728" s="1" t="s">
        <v>213</v>
      </c>
      <c r="AX1728" s="1" t="s">
        <v>212</v>
      </c>
      <c r="AZ1728" s="1">
        <v>2470</v>
      </c>
      <c r="BA1728" s="1">
        <v>2013</v>
      </c>
      <c r="BB1728" s="1" t="s">
        <v>210</v>
      </c>
      <c r="BE1728" s="1">
        <v>1040</v>
      </c>
      <c r="BF1728" s="1">
        <v>3</v>
      </c>
      <c r="BG1728" s="1">
        <v>0</v>
      </c>
      <c r="BJ1728" s="1">
        <v>99</v>
      </c>
      <c r="BL1728" s="1">
        <v>336</v>
      </c>
      <c r="BM1728" s="1" t="s">
        <v>204</v>
      </c>
      <c r="BN1728" s="1" t="s">
        <v>204</v>
      </c>
      <c r="BP1728" s="1" t="s">
        <v>204</v>
      </c>
      <c r="BR1728" s="1" t="str">
        <f>"0933113036"</f>
        <v>0933113036</v>
      </c>
      <c r="BT1728" s="1" t="s">
        <v>16336</v>
      </c>
      <c r="BX1728" s="1">
        <v>66</v>
      </c>
      <c r="BY1728" s="1">
        <v>66</v>
      </c>
      <c r="BZ1728" s="1">
        <v>99</v>
      </c>
      <c r="CB1728" s="1" t="str">
        <f t="shared" ref="CB1728:CC1728" si="1308">""</f>
        <v/>
      </c>
      <c r="CC1728" s="1" t="str">
        <f t="shared" si="1308"/>
        <v/>
      </c>
      <c r="CG1728" s="1" t="s">
        <v>628</v>
      </c>
      <c r="CH1728" s="1" t="s">
        <v>219</v>
      </c>
      <c r="CI1728" s="1" t="s">
        <v>229</v>
      </c>
      <c r="CK1728" s="1" t="s">
        <v>757</v>
      </c>
      <c r="CL1728" s="1" t="s">
        <v>219</v>
      </c>
      <c r="CM1728" s="1" t="s">
        <v>220</v>
      </c>
      <c r="CO1728" s="1" t="s">
        <v>316</v>
      </c>
      <c r="CP1728" s="1" t="s">
        <v>219</v>
      </c>
      <c r="CQ1728" s="1" t="s">
        <v>229</v>
      </c>
      <c r="CS1728" s="1" t="s">
        <v>346</v>
      </c>
      <c r="CT1728" s="1" t="s">
        <v>219</v>
      </c>
      <c r="CU1728" s="1" t="s">
        <v>220</v>
      </c>
      <c r="CX1728" s="1" t="s">
        <v>224</v>
      </c>
      <c r="DB1728" s="1" t="s">
        <v>224</v>
      </c>
      <c r="DE1728" s="1" t="s">
        <v>516</v>
      </c>
      <c r="DF1728" s="1" t="s">
        <v>219</v>
      </c>
      <c r="DG1728" s="1" t="s">
        <v>229</v>
      </c>
      <c r="DJ1728" s="1" t="s">
        <v>224</v>
      </c>
      <c r="DM1728" s="1" t="s">
        <v>838</v>
      </c>
      <c r="DS1728" s="1" t="s">
        <v>230</v>
      </c>
      <c r="DW1728" s="1" t="s">
        <v>230</v>
      </c>
      <c r="EA1728" s="1" t="s">
        <v>230</v>
      </c>
      <c r="EE1728" s="1" t="s">
        <v>230</v>
      </c>
      <c r="EI1728" s="1" t="s">
        <v>230</v>
      </c>
      <c r="EL1728" s="1" t="s">
        <v>605</v>
      </c>
      <c r="EM1728" s="1" t="s">
        <v>730</v>
      </c>
      <c r="EN1728" s="1" t="s">
        <v>282</v>
      </c>
      <c r="EO1728" s="1" t="s">
        <v>2834</v>
      </c>
      <c r="EP1728" s="1" t="s">
        <v>7193</v>
      </c>
      <c r="EQ1728" s="1" t="s">
        <v>16337</v>
      </c>
      <c r="ER1728" s="1" t="s">
        <v>210</v>
      </c>
      <c r="EW1728" s="1" t="s">
        <v>16338</v>
      </c>
      <c r="EZ1728" s="1" t="s">
        <v>838</v>
      </c>
      <c r="FD1728" s="1" t="s">
        <v>1112</v>
      </c>
      <c r="FE1728" s="1" t="s">
        <v>247</v>
      </c>
      <c r="FF1728" s="1" t="s">
        <v>387</v>
      </c>
      <c r="FH1728" s="1" t="s">
        <v>716</v>
      </c>
      <c r="FI1728" s="1" t="s">
        <v>634</v>
      </c>
      <c r="FL1728" s="1" t="s">
        <v>358</v>
      </c>
      <c r="FM1728" s="1" t="s">
        <v>769</v>
      </c>
      <c r="FN1728" s="1" t="s">
        <v>213</v>
      </c>
      <c r="FO1728" s="1" t="s">
        <v>204</v>
      </c>
      <c r="FQ1728" s="1" t="s">
        <v>12192</v>
      </c>
      <c r="FR1728" s="1" t="s">
        <v>210</v>
      </c>
      <c r="FS1728" s="1" t="s">
        <v>16339</v>
      </c>
      <c r="FT1728" s="1" t="s">
        <v>295</v>
      </c>
      <c r="FU1728" s="1" t="s">
        <v>204</v>
      </c>
      <c r="FW1728" s="1" t="s">
        <v>813</v>
      </c>
      <c r="FX1728" s="1">
        <v>60219</v>
      </c>
      <c r="FY1728" s="1" t="s">
        <v>16340</v>
      </c>
      <c r="FZ1728" s="1" t="s">
        <v>16341</v>
      </c>
      <c r="GA1728" s="1">
        <v>238427</v>
      </c>
      <c r="GE1728" s="1" t="s">
        <v>210</v>
      </c>
      <c r="GI1728" s="1" t="s">
        <v>213</v>
      </c>
      <c r="GJ1728" s="1" t="s">
        <v>260</v>
      </c>
      <c r="GK1728" s="1" t="s">
        <v>210</v>
      </c>
      <c r="GL1728" s="2">
        <v>41991</v>
      </c>
      <c r="GM1728" s="1" t="s">
        <v>16342</v>
      </c>
    </row>
    <row r="1729" spans="1:195">
      <c r="A1729" s="1">
        <v>137000</v>
      </c>
      <c r="B1729" s="1" t="s">
        <v>195</v>
      </c>
      <c r="C1729" s="1" t="str">
        <f>"08709609"</f>
        <v>08709609</v>
      </c>
      <c r="D1729" s="1" t="s">
        <v>196</v>
      </c>
      <c r="F1729" s="1" t="str">
        <f>"507"</f>
        <v>507</v>
      </c>
      <c r="G1729" s="2">
        <v>41874</v>
      </c>
      <c r="H1729" s="1">
        <v>159000</v>
      </c>
      <c r="I1729" s="1">
        <v>137000</v>
      </c>
      <c r="J1729" s="1">
        <v>137000</v>
      </c>
      <c r="K1729" s="2">
        <v>41874</v>
      </c>
      <c r="L1729" s="1">
        <v>101</v>
      </c>
      <c r="M1729" s="2">
        <v>41974</v>
      </c>
      <c r="N1729" s="1">
        <v>101</v>
      </c>
      <c r="O1729" s="2">
        <v>41974</v>
      </c>
      <c r="P1729" s="1">
        <v>605</v>
      </c>
      <c r="Q1729" s="1" t="s">
        <v>423</v>
      </c>
      <c r="R1729" s="2">
        <v>42025</v>
      </c>
      <c r="S1729" s="1">
        <v>7561</v>
      </c>
      <c r="T1729" s="1">
        <v>4110</v>
      </c>
      <c r="U1729" s="1">
        <v>2255</v>
      </c>
      <c r="V1729" s="1" t="s">
        <v>1122</v>
      </c>
      <c r="W1729" s="1" t="s">
        <v>264</v>
      </c>
      <c r="Y1729" s="1">
        <v>6</v>
      </c>
      <c r="Z1729" s="1" t="s">
        <v>370</v>
      </c>
      <c r="AA1729" s="1" t="s">
        <v>1123</v>
      </c>
      <c r="AB1729" s="1">
        <v>60502</v>
      </c>
      <c r="AD1729" s="1" t="s">
        <v>1122</v>
      </c>
      <c r="AE1729" s="1" t="s">
        <v>16343</v>
      </c>
      <c r="AF1729" s="1">
        <v>1999</v>
      </c>
      <c r="AG1729" s="1" t="s">
        <v>204</v>
      </c>
      <c r="AH1729" s="1" t="s">
        <v>1126</v>
      </c>
      <c r="AI1729" s="1" t="s">
        <v>206</v>
      </c>
      <c r="AJ1729" s="1" t="s">
        <v>924</v>
      </c>
      <c r="AL1729" s="1">
        <v>5</v>
      </c>
      <c r="AM1729" s="1">
        <v>2</v>
      </c>
      <c r="AN1729" s="1">
        <v>2</v>
      </c>
      <c r="AO1729" s="1">
        <v>1</v>
      </c>
      <c r="AP1729" s="1" t="s">
        <v>209</v>
      </c>
      <c r="AR1729" s="1" t="s">
        <v>210</v>
      </c>
      <c r="AS1729" s="1" t="s">
        <v>204</v>
      </c>
      <c r="AT1729" s="1" t="s">
        <v>211</v>
      </c>
      <c r="AU1729" s="1">
        <v>2</v>
      </c>
      <c r="AW1729" s="1" t="s">
        <v>204</v>
      </c>
      <c r="AX1729" s="1" t="s">
        <v>212</v>
      </c>
      <c r="AZ1729" s="1">
        <v>3385</v>
      </c>
      <c r="BA1729" s="1">
        <v>2013</v>
      </c>
      <c r="BE1729" s="1">
        <v>1404</v>
      </c>
      <c r="BF1729" s="1">
        <v>1</v>
      </c>
      <c r="BG1729" s="1">
        <v>0</v>
      </c>
      <c r="BL1729" s="1">
        <v>184</v>
      </c>
      <c r="BM1729" s="1" t="s">
        <v>204</v>
      </c>
      <c r="BN1729" s="1" t="s">
        <v>213</v>
      </c>
      <c r="BO1729" s="1">
        <v>0</v>
      </c>
      <c r="BP1729" s="1" t="s">
        <v>204</v>
      </c>
      <c r="BR1729" s="1" t="str">
        <f>"0719104097"</f>
        <v>0719104097</v>
      </c>
      <c r="BT1729" s="1" t="s">
        <v>16344</v>
      </c>
      <c r="BX1729" s="1">
        <v>204</v>
      </c>
      <c r="BY1729" s="1">
        <v>204</v>
      </c>
      <c r="BZ1729" s="1">
        <v>204</v>
      </c>
      <c r="CB1729" s="1" t="str">
        <f t="shared" ref="CB1729:CC1729" si="1309">""</f>
        <v/>
      </c>
      <c r="CC1729" s="1" t="str">
        <f t="shared" si="1309"/>
        <v/>
      </c>
      <c r="CG1729" s="1" t="s">
        <v>669</v>
      </c>
      <c r="CH1729" s="1" t="s">
        <v>219</v>
      </c>
      <c r="CK1729" s="1" t="s">
        <v>1132</v>
      </c>
      <c r="CL1729" s="1" t="s">
        <v>277</v>
      </c>
      <c r="CO1729" s="1" t="s">
        <v>758</v>
      </c>
      <c r="CP1729" s="1" t="s">
        <v>219</v>
      </c>
      <c r="CS1729" s="1" t="s">
        <v>465</v>
      </c>
      <c r="CT1729" s="1" t="s">
        <v>277</v>
      </c>
      <c r="CX1729" s="1" t="s">
        <v>224</v>
      </c>
      <c r="DB1729" s="1" t="s">
        <v>224</v>
      </c>
      <c r="DE1729" s="1" t="s">
        <v>1133</v>
      </c>
      <c r="DF1729" s="1" t="s">
        <v>219</v>
      </c>
      <c r="DJ1729" s="1" t="s">
        <v>224</v>
      </c>
      <c r="DS1729" s="1" t="s">
        <v>230</v>
      </c>
      <c r="DW1729" s="1" t="s">
        <v>230</v>
      </c>
      <c r="EA1729" s="1" t="s">
        <v>230</v>
      </c>
      <c r="EE1729" s="1" t="s">
        <v>230</v>
      </c>
      <c r="EI1729" s="1" t="s">
        <v>230</v>
      </c>
      <c r="EL1729" s="1" t="s">
        <v>466</v>
      </c>
      <c r="EM1729" s="1" t="s">
        <v>319</v>
      </c>
      <c r="EN1729" s="1" t="s">
        <v>282</v>
      </c>
      <c r="EO1729" s="1" t="s">
        <v>234</v>
      </c>
      <c r="ER1729" s="1" t="s">
        <v>210</v>
      </c>
      <c r="EW1729" s="1" t="s">
        <v>9179</v>
      </c>
      <c r="EZ1729" s="1" t="s">
        <v>287</v>
      </c>
      <c r="FB1729" s="1" t="s">
        <v>289</v>
      </c>
      <c r="FD1729" s="1" t="s">
        <v>246</v>
      </c>
      <c r="FE1729" s="1" t="s">
        <v>870</v>
      </c>
      <c r="FF1729" s="1" t="s">
        <v>248</v>
      </c>
      <c r="FH1729" s="1" t="s">
        <v>550</v>
      </c>
      <c r="FL1729" s="1" t="s">
        <v>358</v>
      </c>
      <c r="FM1729" s="1" t="s">
        <v>252</v>
      </c>
      <c r="FN1729" s="1" t="s">
        <v>213</v>
      </c>
      <c r="FO1729" s="1" t="s">
        <v>213</v>
      </c>
      <c r="FQ1729" s="1" t="s">
        <v>689</v>
      </c>
      <c r="FR1729" s="1" t="s">
        <v>210</v>
      </c>
      <c r="FS1729" s="1" t="s">
        <v>2541</v>
      </c>
      <c r="FT1729" s="1" t="s">
        <v>584</v>
      </c>
      <c r="FU1729" s="1" t="s">
        <v>204</v>
      </c>
      <c r="FW1729" s="1" t="s">
        <v>813</v>
      </c>
      <c r="FX1729" s="1">
        <v>23286</v>
      </c>
      <c r="FY1729" s="1" t="s">
        <v>4315</v>
      </c>
      <c r="FZ1729" s="1" t="s">
        <v>4316</v>
      </c>
      <c r="GA1729" s="1">
        <v>223647</v>
      </c>
      <c r="GB1729" s="1" t="s">
        <v>4317</v>
      </c>
      <c r="GC1729" s="1">
        <v>230243</v>
      </c>
      <c r="GE1729" s="1" t="s">
        <v>210</v>
      </c>
      <c r="GI1729" s="1" t="s">
        <v>213</v>
      </c>
      <c r="GJ1729" s="1" t="s">
        <v>260</v>
      </c>
      <c r="GK1729" s="1" t="s">
        <v>210</v>
      </c>
      <c r="GL1729" s="2">
        <v>42025</v>
      </c>
      <c r="GM1729" s="1" t="s">
        <v>4847</v>
      </c>
    </row>
    <row r="1730" spans="1:195">
      <c r="A1730" s="1">
        <v>277000</v>
      </c>
      <c r="B1730" s="1" t="s">
        <v>195</v>
      </c>
      <c r="C1730" s="1" t="str">
        <f>"08717177"</f>
        <v>08717177</v>
      </c>
      <c r="D1730" s="1" t="s">
        <v>196</v>
      </c>
      <c r="F1730" s="1" t="str">
        <f>"540"</f>
        <v>540</v>
      </c>
      <c r="G1730" s="2">
        <v>41884</v>
      </c>
      <c r="H1730" s="1">
        <v>299900</v>
      </c>
      <c r="I1730" s="1">
        <v>279500</v>
      </c>
      <c r="J1730" s="1">
        <v>277000</v>
      </c>
      <c r="K1730" s="2">
        <v>41884</v>
      </c>
      <c r="L1730" s="1">
        <v>105</v>
      </c>
      <c r="M1730" s="2">
        <v>41988</v>
      </c>
      <c r="N1730" s="1">
        <v>105</v>
      </c>
      <c r="O1730" s="2">
        <v>41988</v>
      </c>
      <c r="P1730" s="1">
        <v>20099</v>
      </c>
      <c r="Q1730" s="1" t="s">
        <v>302</v>
      </c>
      <c r="R1730" s="2">
        <v>42024</v>
      </c>
      <c r="S1730" s="1">
        <v>214090</v>
      </c>
      <c r="U1730" s="1">
        <v>482</v>
      </c>
      <c r="V1730" s="1" t="s">
        <v>16345</v>
      </c>
      <c r="W1730" s="1" t="s">
        <v>1056</v>
      </c>
      <c r="Y1730" s="1">
        <v>6</v>
      </c>
      <c r="Z1730" s="1" t="s">
        <v>370</v>
      </c>
      <c r="AA1730" s="1" t="s">
        <v>921</v>
      </c>
      <c r="AB1730" s="1">
        <v>60540</v>
      </c>
      <c r="AD1730" s="1" t="s">
        <v>5263</v>
      </c>
      <c r="AE1730" s="1" t="s">
        <v>16346</v>
      </c>
      <c r="AF1730" s="1">
        <v>1987</v>
      </c>
      <c r="AG1730" s="1" t="s">
        <v>204</v>
      </c>
      <c r="AH1730" s="1" t="s">
        <v>924</v>
      </c>
      <c r="AI1730" s="1" t="s">
        <v>206</v>
      </c>
      <c r="AJ1730" s="1" t="s">
        <v>924</v>
      </c>
      <c r="AL1730" s="1">
        <v>7</v>
      </c>
      <c r="AM1730" s="1">
        <v>2</v>
      </c>
      <c r="AN1730" s="1">
        <v>2</v>
      </c>
      <c r="AO1730" s="1">
        <v>1</v>
      </c>
      <c r="AP1730" s="1" t="s">
        <v>209</v>
      </c>
      <c r="AQ1730" s="1">
        <v>1</v>
      </c>
      <c r="AR1730" s="1" t="s">
        <v>209</v>
      </c>
      <c r="AS1730" s="1" t="s">
        <v>204</v>
      </c>
      <c r="AT1730" s="1" t="s">
        <v>211</v>
      </c>
      <c r="AU1730" s="1">
        <v>2</v>
      </c>
      <c r="AW1730" s="1" t="s">
        <v>204</v>
      </c>
      <c r="AX1730" s="1" t="s">
        <v>16347</v>
      </c>
      <c r="AZ1730" s="1">
        <v>6004.28</v>
      </c>
      <c r="BA1730" s="1">
        <v>2013</v>
      </c>
      <c r="BB1730" s="1" t="s">
        <v>405</v>
      </c>
      <c r="BE1730" s="1">
        <v>1670</v>
      </c>
      <c r="BF1730" s="1">
        <v>1</v>
      </c>
      <c r="BG1730" s="1">
        <v>30</v>
      </c>
      <c r="BJ1730" s="1">
        <v>100</v>
      </c>
      <c r="BL1730" s="1">
        <v>180</v>
      </c>
      <c r="BM1730" s="1" t="s">
        <v>204</v>
      </c>
      <c r="BN1730" s="1" t="s">
        <v>213</v>
      </c>
      <c r="BO1730" s="1">
        <v>999</v>
      </c>
      <c r="BP1730" s="1" t="s">
        <v>204</v>
      </c>
      <c r="BR1730" s="1" t="str">
        <f>"0724115013"</f>
        <v>0724115013</v>
      </c>
      <c r="BT1730" s="1" t="s">
        <v>16348</v>
      </c>
      <c r="BU1730" s="1" t="s">
        <v>928</v>
      </c>
      <c r="BV1730" s="1" t="s">
        <v>929</v>
      </c>
      <c r="BW1730" s="1" t="s">
        <v>930</v>
      </c>
      <c r="BX1730" s="1">
        <v>203</v>
      </c>
      <c r="BY1730" s="1">
        <v>203</v>
      </c>
      <c r="BZ1730" s="1">
        <v>203</v>
      </c>
      <c r="CB1730" s="1" t="str">
        <f t="shared" ref="CB1730:CC1730" si="1310">"0"</f>
        <v>0</v>
      </c>
      <c r="CC1730" s="1" t="str">
        <f t="shared" si="1310"/>
        <v>0</v>
      </c>
      <c r="CD1730" s="1">
        <v>27</v>
      </c>
      <c r="CE1730" s="1">
        <v>7</v>
      </c>
      <c r="CG1730" s="1" t="s">
        <v>1132</v>
      </c>
      <c r="CH1730" s="1" t="s">
        <v>219</v>
      </c>
      <c r="CI1730" s="1" t="s">
        <v>438</v>
      </c>
      <c r="CK1730" s="1" t="s">
        <v>1737</v>
      </c>
      <c r="CL1730" s="1" t="s">
        <v>277</v>
      </c>
      <c r="CM1730" s="1" t="s">
        <v>220</v>
      </c>
      <c r="CO1730" s="1" t="s">
        <v>465</v>
      </c>
      <c r="CP1730" s="1" t="s">
        <v>219</v>
      </c>
      <c r="CQ1730" s="1" t="s">
        <v>438</v>
      </c>
      <c r="CS1730" s="1" t="s">
        <v>539</v>
      </c>
      <c r="CT1730" s="1" t="s">
        <v>277</v>
      </c>
      <c r="CU1730" s="1" t="s">
        <v>220</v>
      </c>
      <c r="CX1730" s="1" t="s">
        <v>224</v>
      </c>
      <c r="DB1730" s="1" t="s">
        <v>224</v>
      </c>
      <c r="DE1730" s="1" t="s">
        <v>465</v>
      </c>
      <c r="DF1730" s="1" t="s">
        <v>219</v>
      </c>
      <c r="DG1730" s="1" t="s">
        <v>226</v>
      </c>
      <c r="DH1730" s="1" t="s">
        <v>210</v>
      </c>
      <c r="DJ1730" s="1" t="s">
        <v>224</v>
      </c>
      <c r="DM1730" s="1" t="s">
        <v>464</v>
      </c>
      <c r="DN1730" s="1" t="s">
        <v>934</v>
      </c>
      <c r="DR1730" s="1" t="s">
        <v>317</v>
      </c>
      <c r="DS1730" s="1" t="s">
        <v>277</v>
      </c>
      <c r="DT1730" s="1" t="s">
        <v>220</v>
      </c>
      <c r="DU1730" s="1" t="s">
        <v>210</v>
      </c>
      <c r="DV1730" s="1" t="s">
        <v>7600</v>
      </c>
      <c r="DW1730" s="1" t="s">
        <v>43</v>
      </c>
      <c r="DX1730" s="1" t="s">
        <v>220</v>
      </c>
      <c r="EA1730" s="1" t="s">
        <v>230</v>
      </c>
      <c r="EE1730" s="1" t="s">
        <v>230</v>
      </c>
      <c r="EI1730" s="1" t="s">
        <v>230</v>
      </c>
      <c r="EL1730" s="1" t="s">
        <v>542</v>
      </c>
      <c r="EM1730" s="1" t="s">
        <v>232</v>
      </c>
      <c r="EN1730" s="1" t="s">
        <v>282</v>
      </c>
      <c r="EO1730" s="1" t="s">
        <v>1020</v>
      </c>
      <c r="EP1730" s="1" t="s">
        <v>650</v>
      </c>
      <c r="EQ1730" s="1" t="s">
        <v>236</v>
      </c>
      <c r="ER1730" s="1" t="s">
        <v>544</v>
      </c>
      <c r="ES1730" s="1" t="s">
        <v>493</v>
      </c>
      <c r="ET1730" s="1" t="s">
        <v>1869</v>
      </c>
      <c r="EU1730" s="1" t="s">
        <v>16349</v>
      </c>
      <c r="EV1730" s="1" t="s">
        <v>324</v>
      </c>
      <c r="EW1730" s="1" t="s">
        <v>547</v>
      </c>
      <c r="EY1730" s="1" t="s">
        <v>242</v>
      </c>
      <c r="EZ1730" s="1" t="s">
        <v>3875</v>
      </c>
      <c r="FA1730" s="1" t="s">
        <v>16350</v>
      </c>
      <c r="FB1730" s="1" t="s">
        <v>289</v>
      </c>
      <c r="FD1730" s="1" t="s">
        <v>246</v>
      </c>
      <c r="FE1730" s="1" t="s">
        <v>8709</v>
      </c>
      <c r="FF1730" s="1" t="s">
        <v>248</v>
      </c>
      <c r="FG1730" s="1" t="s">
        <v>1682</v>
      </c>
      <c r="FH1730" s="1" t="s">
        <v>550</v>
      </c>
      <c r="FI1730" s="1" t="s">
        <v>473</v>
      </c>
      <c r="FJ1730" s="1" t="s">
        <v>518</v>
      </c>
      <c r="FL1730" s="1" t="s">
        <v>358</v>
      </c>
      <c r="FM1730" s="1" t="s">
        <v>252</v>
      </c>
      <c r="FN1730" s="1" t="s">
        <v>213</v>
      </c>
      <c r="FO1730" s="1" t="s">
        <v>213</v>
      </c>
      <c r="FQ1730" s="1" t="s">
        <v>16351</v>
      </c>
      <c r="FR1730" s="1" t="s">
        <v>210</v>
      </c>
      <c r="FS1730" s="1" t="s">
        <v>16352</v>
      </c>
      <c r="FT1730" s="1" t="s">
        <v>16353</v>
      </c>
      <c r="FU1730" s="1" t="s">
        <v>204</v>
      </c>
      <c r="FW1730" s="1" t="s">
        <v>943</v>
      </c>
      <c r="FX1730" s="1">
        <v>23120</v>
      </c>
      <c r="FY1730" s="1" t="s">
        <v>944</v>
      </c>
      <c r="FZ1730" s="1" t="s">
        <v>11799</v>
      </c>
      <c r="GA1730" s="1">
        <v>217549</v>
      </c>
      <c r="GB1730" s="1" t="s">
        <v>11800</v>
      </c>
      <c r="GE1730" s="1" t="s">
        <v>658</v>
      </c>
      <c r="GI1730" s="1" t="s">
        <v>213</v>
      </c>
      <c r="GJ1730" s="1" t="s">
        <v>260</v>
      </c>
      <c r="GK1730" s="1" t="s">
        <v>210</v>
      </c>
      <c r="GL1730" s="2">
        <v>42025</v>
      </c>
      <c r="GM1730" s="1" t="s">
        <v>16354</v>
      </c>
    </row>
    <row r="1731" spans="1:195">
      <c r="A1731" s="1">
        <v>145000</v>
      </c>
      <c r="B1731" s="1" t="s">
        <v>195</v>
      </c>
      <c r="C1731" s="1" t="str">
        <f>"08711522"</f>
        <v>08711522</v>
      </c>
      <c r="D1731" s="1" t="s">
        <v>196</v>
      </c>
      <c r="F1731" s="1" t="str">
        <f>"115"</f>
        <v>115</v>
      </c>
      <c r="G1731" s="2">
        <v>41877</v>
      </c>
      <c r="H1731" s="1">
        <v>145000</v>
      </c>
      <c r="I1731" s="1">
        <v>145000</v>
      </c>
      <c r="J1731" s="1">
        <v>145000</v>
      </c>
      <c r="K1731" s="2">
        <v>41876</v>
      </c>
      <c r="L1731" s="1">
        <v>104</v>
      </c>
      <c r="M1731" s="2">
        <v>41979</v>
      </c>
      <c r="N1731" s="1">
        <v>104</v>
      </c>
      <c r="O1731" s="2">
        <v>41979</v>
      </c>
      <c r="P1731" s="1">
        <v>93067</v>
      </c>
      <c r="Q1731" s="1" t="s">
        <v>197</v>
      </c>
      <c r="R1731" s="2">
        <v>42019</v>
      </c>
      <c r="S1731" s="1">
        <v>930193</v>
      </c>
      <c r="U1731" s="1">
        <v>319</v>
      </c>
      <c r="V1731" s="1" t="s">
        <v>12502</v>
      </c>
      <c r="W1731" s="1" t="s">
        <v>264</v>
      </c>
      <c r="Y1731" s="1">
        <v>3</v>
      </c>
      <c r="Z1731" s="1" t="s">
        <v>370</v>
      </c>
      <c r="AA1731" s="1" t="s">
        <v>2242</v>
      </c>
      <c r="AB1731" s="1">
        <v>60115</v>
      </c>
      <c r="AE1731" s="1" t="s">
        <v>16355</v>
      </c>
      <c r="AF1731" s="1">
        <v>2003</v>
      </c>
      <c r="AG1731" s="1" t="s">
        <v>204</v>
      </c>
      <c r="AH1731" s="1" t="s">
        <v>2245</v>
      </c>
      <c r="AI1731" s="1" t="s">
        <v>2246</v>
      </c>
      <c r="AJ1731" s="1" t="s">
        <v>2245</v>
      </c>
      <c r="AL1731" s="1">
        <v>5</v>
      </c>
      <c r="AM1731" s="1">
        <v>2</v>
      </c>
      <c r="AN1731" s="1">
        <v>3</v>
      </c>
      <c r="AO1731" s="1">
        <v>0</v>
      </c>
      <c r="AP1731" s="1" t="s">
        <v>209</v>
      </c>
      <c r="AQ1731" s="1">
        <v>1</v>
      </c>
      <c r="AR1731" s="1" t="s">
        <v>209</v>
      </c>
      <c r="AS1731" s="1" t="s">
        <v>213</v>
      </c>
      <c r="AT1731" s="1" t="s">
        <v>211</v>
      </c>
      <c r="AU1731" s="1">
        <v>2</v>
      </c>
      <c r="AW1731" s="1" t="s">
        <v>204</v>
      </c>
      <c r="AX1731" s="1" t="s">
        <v>4190</v>
      </c>
      <c r="AZ1731" s="1">
        <v>4423</v>
      </c>
      <c r="BA1731" s="1">
        <v>2013</v>
      </c>
      <c r="BB1731" s="1" t="s">
        <v>599</v>
      </c>
      <c r="BE1731" s="1">
        <v>1360</v>
      </c>
      <c r="BF1731" s="1">
        <v>1</v>
      </c>
      <c r="BG1731" s="1">
        <v>15</v>
      </c>
      <c r="BL1731" s="1">
        <v>79</v>
      </c>
      <c r="BM1731" s="1" t="s">
        <v>204</v>
      </c>
      <c r="BN1731" s="1" t="s">
        <v>213</v>
      </c>
      <c r="BO1731" s="1">
        <v>1</v>
      </c>
      <c r="BP1731" s="1" t="s">
        <v>204</v>
      </c>
      <c r="BR1731" s="1" t="str">
        <f>"0834228034"</f>
        <v>0834228034</v>
      </c>
      <c r="BT1731" s="1" t="s">
        <v>16356</v>
      </c>
      <c r="BX1731" s="1">
        <v>428</v>
      </c>
      <c r="BY1731" s="1">
        <v>428</v>
      </c>
      <c r="BZ1731" s="1">
        <v>428</v>
      </c>
      <c r="CB1731" s="1" t="str">
        <f t="shared" ref="CB1731:CC1731" si="1311">""</f>
        <v/>
      </c>
      <c r="CC1731" s="1" t="str">
        <f t="shared" si="1311"/>
        <v/>
      </c>
      <c r="CG1731" s="1" t="s">
        <v>218</v>
      </c>
      <c r="CH1731" s="1" t="s">
        <v>219</v>
      </c>
      <c r="CI1731" s="1" t="s">
        <v>220</v>
      </c>
      <c r="CJ1731" s="1" t="s">
        <v>252</v>
      </c>
      <c r="CK1731" s="1" t="s">
        <v>729</v>
      </c>
      <c r="CL1731" s="1" t="s">
        <v>219</v>
      </c>
      <c r="CM1731" s="1" t="s">
        <v>220</v>
      </c>
      <c r="CP1731" s="1" t="s">
        <v>224</v>
      </c>
      <c r="CS1731" s="1" t="s">
        <v>317</v>
      </c>
      <c r="CT1731" s="1" t="s">
        <v>219</v>
      </c>
      <c r="CU1731" s="1" t="s">
        <v>220</v>
      </c>
      <c r="CX1731" s="1" t="s">
        <v>224</v>
      </c>
      <c r="DB1731" s="1" t="s">
        <v>224</v>
      </c>
      <c r="DE1731" s="1" t="s">
        <v>1737</v>
      </c>
      <c r="DF1731" s="1" t="s">
        <v>219</v>
      </c>
      <c r="DI1731" s="1" t="s">
        <v>16357</v>
      </c>
      <c r="DJ1731" s="1" t="s">
        <v>43</v>
      </c>
      <c r="DK1731" s="1" t="s">
        <v>220</v>
      </c>
      <c r="DS1731" s="1" t="s">
        <v>230</v>
      </c>
      <c r="DW1731" s="1" t="s">
        <v>230</v>
      </c>
      <c r="EA1731" s="1" t="s">
        <v>230</v>
      </c>
      <c r="EE1731" s="1" t="s">
        <v>230</v>
      </c>
      <c r="EI1731" s="1" t="s">
        <v>230</v>
      </c>
      <c r="EL1731" s="1" t="s">
        <v>466</v>
      </c>
      <c r="EM1731" s="1" t="s">
        <v>319</v>
      </c>
      <c r="EN1731" s="1" t="s">
        <v>282</v>
      </c>
      <c r="EO1731" s="1" t="s">
        <v>234</v>
      </c>
      <c r="EQ1731" s="1" t="s">
        <v>236</v>
      </c>
      <c r="ER1731" s="1" t="s">
        <v>544</v>
      </c>
      <c r="ES1731" s="1" t="s">
        <v>322</v>
      </c>
      <c r="EW1731" s="1" t="s">
        <v>547</v>
      </c>
      <c r="EY1731" s="1" t="s">
        <v>242</v>
      </c>
      <c r="EZ1731" s="1" t="s">
        <v>287</v>
      </c>
      <c r="FA1731" s="1" t="s">
        <v>2251</v>
      </c>
      <c r="FB1731" s="1" t="s">
        <v>289</v>
      </c>
      <c r="FD1731" s="1" t="s">
        <v>246</v>
      </c>
      <c r="FE1731" s="1" t="s">
        <v>975</v>
      </c>
      <c r="FF1731" s="1" t="s">
        <v>248</v>
      </c>
      <c r="FG1731" s="1" t="s">
        <v>13543</v>
      </c>
      <c r="FH1731" s="1" t="s">
        <v>825</v>
      </c>
      <c r="FI1731" s="1" t="s">
        <v>473</v>
      </c>
      <c r="FJ1731" s="1" t="s">
        <v>197</v>
      </c>
      <c r="FL1731" s="1" t="s">
        <v>358</v>
      </c>
      <c r="FM1731" s="1" t="s">
        <v>252</v>
      </c>
      <c r="FN1731" s="1" t="s">
        <v>213</v>
      </c>
      <c r="FO1731" s="1" t="s">
        <v>213</v>
      </c>
      <c r="FQ1731" s="1" t="s">
        <v>1683</v>
      </c>
      <c r="FR1731" s="1" t="s">
        <v>210</v>
      </c>
      <c r="FS1731" s="1" t="s">
        <v>1575</v>
      </c>
      <c r="FT1731" s="1" t="s">
        <v>16358</v>
      </c>
      <c r="FU1731" s="1" t="s">
        <v>204</v>
      </c>
      <c r="FW1731" s="1" t="s">
        <v>7825</v>
      </c>
      <c r="FX1731" s="1">
        <v>93067</v>
      </c>
      <c r="FY1731" s="1" t="s">
        <v>7826</v>
      </c>
      <c r="FZ1731" s="1" t="s">
        <v>16359</v>
      </c>
      <c r="GA1731" s="1">
        <v>930193</v>
      </c>
      <c r="GB1731" s="1" t="s">
        <v>16360</v>
      </c>
      <c r="GD1731" s="1" t="s">
        <v>16361</v>
      </c>
      <c r="GE1731" s="1" t="s">
        <v>776</v>
      </c>
      <c r="GI1731" s="1" t="s">
        <v>213</v>
      </c>
      <c r="GJ1731" s="1" t="s">
        <v>260</v>
      </c>
      <c r="GK1731" s="1" t="s">
        <v>210</v>
      </c>
      <c r="GL1731" s="2">
        <v>42020</v>
      </c>
      <c r="GM1731" s="1" t="s">
        <v>16362</v>
      </c>
    </row>
    <row r="1732" spans="1:195">
      <c r="A1732" s="1">
        <v>79500</v>
      </c>
      <c r="B1732" s="1" t="s">
        <v>195</v>
      </c>
      <c r="C1732" s="1" t="str">
        <f>"08714471"</f>
        <v>08714471</v>
      </c>
      <c r="D1732" s="1" t="s">
        <v>196</v>
      </c>
      <c r="F1732" s="1" t="str">
        <f>"30"</f>
        <v>30</v>
      </c>
      <c r="G1732" s="2">
        <v>41880</v>
      </c>
      <c r="H1732" s="1">
        <v>89000</v>
      </c>
      <c r="I1732" s="1">
        <v>79500</v>
      </c>
      <c r="J1732" s="1">
        <v>79500</v>
      </c>
      <c r="K1732" s="2">
        <v>41880</v>
      </c>
      <c r="L1732" s="1">
        <v>51</v>
      </c>
      <c r="M1732" s="2">
        <v>41930</v>
      </c>
      <c r="N1732" s="1">
        <v>51</v>
      </c>
      <c r="O1732" s="2">
        <v>41930</v>
      </c>
      <c r="P1732" s="1">
        <v>61080</v>
      </c>
      <c r="Q1732" s="1" t="s">
        <v>197</v>
      </c>
      <c r="R1732" s="2">
        <v>42033</v>
      </c>
      <c r="S1732" s="1">
        <v>215581</v>
      </c>
      <c r="U1732" s="1">
        <v>16</v>
      </c>
      <c r="V1732" s="1" t="s">
        <v>8470</v>
      </c>
      <c r="W1732" s="1" t="s">
        <v>264</v>
      </c>
      <c r="Y1732" s="1">
        <v>5</v>
      </c>
      <c r="Z1732" s="1" t="s">
        <v>249</v>
      </c>
      <c r="AA1732" s="1" t="s">
        <v>1628</v>
      </c>
      <c r="AB1732" s="1">
        <v>60073</v>
      </c>
      <c r="AD1732" s="1" t="s">
        <v>5610</v>
      </c>
      <c r="AE1732" s="1" t="s">
        <v>16363</v>
      </c>
      <c r="AF1732" s="1">
        <v>2003</v>
      </c>
      <c r="AG1732" s="1" t="s">
        <v>204</v>
      </c>
      <c r="AH1732" s="1" t="s">
        <v>1630</v>
      </c>
      <c r="AI1732" s="1" t="s">
        <v>509</v>
      </c>
      <c r="AJ1732" s="1" t="s">
        <v>1263</v>
      </c>
      <c r="AL1732" s="1">
        <v>5</v>
      </c>
      <c r="AM1732" s="1">
        <v>2</v>
      </c>
      <c r="AN1732" s="1">
        <v>1</v>
      </c>
      <c r="AO1732" s="1">
        <v>1</v>
      </c>
      <c r="AP1732" s="1" t="s">
        <v>667</v>
      </c>
      <c r="AQ1732" s="1">
        <v>0</v>
      </c>
      <c r="AR1732" s="1" t="s">
        <v>1421</v>
      </c>
      <c r="AS1732" s="1" t="s">
        <v>204</v>
      </c>
      <c r="AT1732" s="1" t="s">
        <v>211</v>
      </c>
      <c r="AU1732" s="1">
        <v>2</v>
      </c>
      <c r="AW1732" s="1" t="s">
        <v>204</v>
      </c>
      <c r="AX1732" s="1" t="s">
        <v>579</v>
      </c>
      <c r="AZ1732" s="1">
        <v>3229.81</v>
      </c>
      <c r="BA1732" s="1">
        <v>2013</v>
      </c>
      <c r="BB1732" s="1" t="s">
        <v>405</v>
      </c>
      <c r="BE1732" s="1">
        <v>1280</v>
      </c>
      <c r="BF1732" s="1">
        <v>1</v>
      </c>
      <c r="BG1732" s="1">
        <v>0</v>
      </c>
      <c r="BL1732" s="1">
        <v>201</v>
      </c>
      <c r="BM1732" s="1" t="s">
        <v>204</v>
      </c>
      <c r="BN1732" s="1" t="s">
        <v>213</v>
      </c>
      <c r="BO1732" s="1">
        <v>999</v>
      </c>
      <c r="BP1732" s="1" t="s">
        <v>204</v>
      </c>
      <c r="BR1732" s="1" t="str">
        <f>"06282080530000"</f>
        <v>06282080530000</v>
      </c>
      <c r="BT1732" s="1" t="s">
        <v>16364</v>
      </c>
      <c r="BX1732" s="1">
        <v>116</v>
      </c>
      <c r="BY1732" s="1">
        <v>116</v>
      </c>
      <c r="BZ1732" s="1">
        <v>116</v>
      </c>
      <c r="CB1732" s="1" t="str">
        <f t="shared" ref="CB1732:CC1732" si="1312">""</f>
        <v/>
      </c>
      <c r="CC1732" s="1" t="str">
        <f t="shared" si="1312"/>
        <v/>
      </c>
      <c r="CG1732" s="1" t="s">
        <v>16365</v>
      </c>
      <c r="CH1732" s="1" t="s">
        <v>219</v>
      </c>
      <c r="CI1732" s="1" t="s">
        <v>220</v>
      </c>
      <c r="CJ1732" s="1" t="s">
        <v>463</v>
      </c>
      <c r="CK1732" s="1" t="s">
        <v>490</v>
      </c>
      <c r="CL1732" s="1" t="s">
        <v>277</v>
      </c>
      <c r="CM1732" s="1" t="s">
        <v>220</v>
      </c>
      <c r="CN1732" s="1" t="s">
        <v>252</v>
      </c>
      <c r="CO1732" s="1" t="s">
        <v>629</v>
      </c>
      <c r="CP1732" s="1" t="s">
        <v>219</v>
      </c>
      <c r="CQ1732" s="1" t="s">
        <v>220</v>
      </c>
      <c r="CR1732" s="1" t="s">
        <v>210</v>
      </c>
      <c r="CS1732" s="1" t="s">
        <v>2122</v>
      </c>
      <c r="CT1732" s="1" t="s">
        <v>277</v>
      </c>
      <c r="CU1732" s="1" t="s">
        <v>220</v>
      </c>
      <c r="CV1732" s="1" t="s">
        <v>252</v>
      </c>
      <c r="CX1732" s="1" t="s">
        <v>224</v>
      </c>
      <c r="DB1732" s="1" t="s">
        <v>224</v>
      </c>
      <c r="DE1732" s="1" t="s">
        <v>3319</v>
      </c>
      <c r="DF1732" s="1" t="s">
        <v>219</v>
      </c>
      <c r="DG1732" s="1" t="s">
        <v>342</v>
      </c>
      <c r="DH1732" s="1" t="s">
        <v>463</v>
      </c>
      <c r="DJ1732" s="1" t="s">
        <v>224</v>
      </c>
      <c r="DL1732" s="1" t="s">
        <v>210</v>
      </c>
      <c r="DS1732" s="1" t="s">
        <v>230</v>
      </c>
      <c r="DW1732" s="1" t="s">
        <v>230</v>
      </c>
      <c r="EA1732" s="1" t="s">
        <v>230</v>
      </c>
      <c r="EE1732" s="1" t="s">
        <v>230</v>
      </c>
      <c r="EI1732" s="1" t="s">
        <v>230</v>
      </c>
      <c r="EL1732" s="1" t="s">
        <v>466</v>
      </c>
      <c r="EM1732" s="1" t="s">
        <v>319</v>
      </c>
      <c r="EN1732" s="1" t="s">
        <v>282</v>
      </c>
      <c r="EO1732" s="1" t="s">
        <v>234</v>
      </c>
      <c r="EP1732" s="1" t="s">
        <v>1489</v>
      </c>
      <c r="EQ1732" s="1" t="s">
        <v>2901</v>
      </c>
      <c r="ER1732" s="1" t="s">
        <v>544</v>
      </c>
      <c r="ES1732" s="1" t="s">
        <v>3763</v>
      </c>
      <c r="ET1732" s="1" t="s">
        <v>842</v>
      </c>
      <c r="EU1732" s="1" t="s">
        <v>239</v>
      </c>
      <c r="EV1732" s="1" t="s">
        <v>240</v>
      </c>
      <c r="EW1732" s="1" t="s">
        <v>937</v>
      </c>
      <c r="EY1732" s="1" t="s">
        <v>441</v>
      </c>
      <c r="EZ1732" s="1" t="s">
        <v>287</v>
      </c>
      <c r="FA1732" s="1" t="s">
        <v>1270</v>
      </c>
      <c r="FB1732" s="1" t="s">
        <v>289</v>
      </c>
      <c r="FD1732" s="1" t="s">
        <v>246</v>
      </c>
      <c r="FE1732" s="1" t="s">
        <v>472</v>
      </c>
      <c r="FF1732" s="1" t="s">
        <v>248</v>
      </c>
      <c r="FH1732" s="1" t="s">
        <v>1428</v>
      </c>
      <c r="FI1732" s="1" t="s">
        <v>473</v>
      </c>
      <c r="FL1732" s="1" t="s">
        <v>358</v>
      </c>
      <c r="FM1732" s="1" t="s">
        <v>252</v>
      </c>
      <c r="FN1732" s="1" t="s">
        <v>213</v>
      </c>
      <c r="FO1732" s="1" t="s">
        <v>213</v>
      </c>
      <c r="FQ1732" s="1" t="s">
        <v>293</v>
      </c>
      <c r="FR1732" s="1" t="s">
        <v>360</v>
      </c>
      <c r="FS1732" s="1" t="s">
        <v>16366</v>
      </c>
      <c r="FT1732" s="1" t="s">
        <v>16367</v>
      </c>
      <c r="FU1732" s="1" t="s">
        <v>204</v>
      </c>
      <c r="FW1732" s="1" t="s">
        <v>256</v>
      </c>
      <c r="FX1732" s="1">
        <v>2648</v>
      </c>
      <c r="FY1732" s="1" t="s">
        <v>1022</v>
      </c>
      <c r="FZ1732" s="1" t="s">
        <v>16368</v>
      </c>
      <c r="GA1732" s="1">
        <v>26686</v>
      </c>
      <c r="GB1732" s="1" t="s">
        <v>16369</v>
      </c>
      <c r="GC1732" s="1">
        <v>922462</v>
      </c>
      <c r="GD1732" s="1" t="s">
        <v>16370</v>
      </c>
      <c r="GE1732" s="1" t="s">
        <v>480</v>
      </c>
      <c r="GH1732" s="1" t="s">
        <v>589</v>
      </c>
      <c r="GI1732" s="1" t="s">
        <v>213</v>
      </c>
      <c r="GJ1732" s="1" t="s">
        <v>260</v>
      </c>
      <c r="GK1732" s="1" t="s">
        <v>261</v>
      </c>
      <c r="GL1732" s="2">
        <v>42035</v>
      </c>
      <c r="GM1732" s="1" t="s">
        <v>16371</v>
      </c>
    </row>
    <row r="1733" spans="1:195">
      <c r="A1733" s="1">
        <v>150000</v>
      </c>
      <c r="B1733" s="1" t="s">
        <v>195</v>
      </c>
      <c r="C1733" s="1" t="str">
        <f>"08714214"</f>
        <v>08714214</v>
      </c>
      <c r="D1733" s="1" t="s">
        <v>196</v>
      </c>
      <c r="F1733" s="1" t="str">
        <f>"10"</f>
        <v>10</v>
      </c>
      <c r="G1733" s="2">
        <v>41880</v>
      </c>
      <c r="H1733" s="1">
        <v>160000</v>
      </c>
      <c r="I1733" s="1">
        <v>160000</v>
      </c>
      <c r="J1733" s="1">
        <v>150000</v>
      </c>
      <c r="K1733" s="2">
        <v>41880</v>
      </c>
      <c r="L1733" s="1">
        <v>1</v>
      </c>
      <c r="M1733" s="2">
        <v>41880</v>
      </c>
      <c r="N1733" s="1">
        <v>1</v>
      </c>
      <c r="O1733" s="2">
        <v>41880</v>
      </c>
      <c r="P1733" s="1" t="s">
        <v>1039</v>
      </c>
      <c r="Q1733" s="1" t="s">
        <v>197</v>
      </c>
      <c r="R1733" s="2">
        <v>42034</v>
      </c>
      <c r="S1733" s="1">
        <v>99999</v>
      </c>
      <c r="U1733" s="1">
        <v>600</v>
      </c>
      <c r="V1733" s="1" t="s">
        <v>6726</v>
      </c>
      <c r="W1733" s="1" t="s">
        <v>725</v>
      </c>
      <c r="X1733" s="1">
        <v>211</v>
      </c>
      <c r="Y1733" s="1">
        <v>39</v>
      </c>
      <c r="Z1733" s="1" t="s">
        <v>249</v>
      </c>
      <c r="AA1733" s="1" t="s">
        <v>6288</v>
      </c>
      <c r="AB1733" s="1">
        <v>60010</v>
      </c>
      <c r="AD1733" s="1" t="s">
        <v>6727</v>
      </c>
      <c r="AE1733" s="1" t="s">
        <v>6728</v>
      </c>
      <c r="AF1733" s="1">
        <v>1965</v>
      </c>
      <c r="AG1733" s="1" t="s">
        <v>213</v>
      </c>
      <c r="AH1733" s="1" t="s">
        <v>6729</v>
      </c>
      <c r="AI1733" s="1" t="s">
        <v>310</v>
      </c>
      <c r="AJ1733" s="1" t="s">
        <v>6729</v>
      </c>
      <c r="AL1733" s="1">
        <v>5</v>
      </c>
      <c r="AM1733" s="1">
        <v>2</v>
      </c>
      <c r="AN1733" s="1">
        <v>1</v>
      </c>
      <c r="AO1733" s="1">
        <v>1</v>
      </c>
      <c r="AP1733" s="1" t="s">
        <v>209</v>
      </c>
      <c r="AR1733" s="1" t="s">
        <v>210</v>
      </c>
      <c r="AS1733" s="1" t="s">
        <v>204</v>
      </c>
      <c r="AT1733" s="1" t="s">
        <v>211</v>
      </c>
      <c r="AU1733" s="1">
        <v>1</v>
      </c>
      <c r="AW1733" s="1" t="s">
        <v>204</v>
      </c>
      <c r="AX1733" s="1" t="s">
        <v>212</v>
      </c>
      <c r="AZ1733" s="1">
        <v>2742.21</v>
      </c>
      <c r="BA1733" s="1">
        <v>2013</v>
      </c>
      <c r="BB1733" s="1" t="s">
        <v>210</v>
      </c>
      <c r="BE1733" s="1">
        <v>1014</v>
      </c>
      <c r="BF1733" s="1">
        <v>2</v>
      </c>
      <c r="BG1733" s="1">
        <v>0</v>
      </c>
      <c r="BL1733" s="1">
        <v>220</v>
      </c>
      <c r="BM1733" s="1" t="s">
        <v>204</v>
      </c>
      <c r="BN1733" s="1" t="s">
        <v>213</v>
      </c>
      <c r="BO1733" s="1">
        <v>85</v>
      </c>
      <c r="BP1733" s="1" t="s">
        <v>204</v>
      </c>
      <c r="BR1733" s="1" t="str">
        <f>"01022020501091"</f>
        <v>01022020501091</v>
      </c>
      <c r="BT1733" s="1" t="s">
        <v>16372</v>
      </c>
      <c r="BU1733" s="1" t="s">
        <v>6731</v>
      </c>
      <c r="BV1733" s="1" t="s">
        <v>6732</v>
      </c>
      <c r="BW1733" s="1" t="s">
        <v>1994</v>
      </c>
      <c r="BX1733" s="1">
        <v>220</v>
      </c>
      <c r="BY1733" s="1">
        <v>220</v>
      </c>
      <c r="BZ1733" s="1">
        <v>220</v>
      </c>
      <c r="CB1733" s="1" t="str">
        <f>"18"</f>
        <v>18</v>
      </c>
      <c r="CC1733" s="1" t="str">
        <f>"0"</f>
        <v>0</v>
      </c>
      <c r="CD1733" s="1">
        <v>26</v>
      </c>
      <c r="CE1733" s="1">
        <v>0</v>
      </c>
      <c r="CG1733" s="1" t="s">
        <v>278</v>
      </c>
      <c r="CH1733" s="1" t="s">
        <v>219</v>
      </c>
      <c r="CI1733" s="1" t="s">
        <v>438</v>
      </c>
      <c r="CK1733" s="1" t="s">
        <v>317</v>
      </c>
      <c r="CL1733" s="1" t="s">
        <v>219</v>
      </c>
      <c r="CM1733" s="1" t="s">
        <v>220</v>
      </c>
      <c r="CO1733" s="1" t="s">
        <v>821</v>
      </c>
      <c r="CP1733" s="1" t="s">
        <v>219</v>
      </c>
      <c r="CQ1733" s="1" t="s">
        <v>438</v>
      </c>
      <c r="CS1733" s="1" t="s">
        <v>539</v>
      </c>
      <c r="CT1733" s="1" t="s">
        <v>219</v>
      </c>
      <c r="CU1733" s="1" t="s">
        <v>220</v>
      </c>
      <c r="CX1733" s="1" t="s">
        <v>224</v>
      </c>
      <c r="DB1733" s="1" t="s">
        <v>224</v>
      </c>
      <c r="DE1733" s="1" t="s">
        <v>821</v>
      </c>
      <c r="DF1733" s="1" t="s">
        <v>219</v>
      </c>
      <c r="DG1733" s="1" t="s">
        <v>438</v>
      </c>
      <c r="DJ1733" s="1" t="s">
        <v>224</v>
      </c>
      <c r="DS1733" s="1" t="s">
        <v>230</v>
      </c>
      <c r="DW1733" s="1" t="s">
        <v>230</v>
      </c>
      <c r="EA1733" s="1" t="s">
        <v>230</v>
      </c>
      <c r="EE1733" s="1" t="s">
        <v>230</v>
      </c>
      <c r="EI1733" s="1" t="s">
        <v>230</v>
      </c>
      <c r="EL1733" s="1" t="s">
        <v>605</v>
      </c>
      <c r="EM1733" s="1" t="s">
        <v>319</v>
      </c>
      <c r="EN1733" s="1" t="s">
        <v>282</v>
      </c>
      <c r="EO1733" s="1" t="s">
        <v>234</v>
      </c>
      <c r="EP1733" s="1" t="s">
        <v>6733</v>
      </c>
      <c r="EQ1733" s="1" t="s">
        <v>2188</v>
      </c>
      <c r="ER1733" s="1" t="s">
        <v>210</v>
      </c>
      <c r="ES1733" s="1" t="s">
        <v>545</v>
      </c>
      <c r="EU1733" s="1" t="s">
        <v>6734</v>
      </c>
      <c r="EV1733" s="1" t="s">
        <v>240</v>
      </c>
      <c r="EW1733" s="1" t="s">
        <v>5806</v>
      </c>
      <c r="EZ1733" s="1" t="s">
        <v>287</v>
      </c>
      <c r="FA1733" s="1" t="s">
        <v>1048</v>
      </c>
      <c r="FB1733" s="1" t="s">
        <v>244</v>
      </c>
      <c r="FD1733" s="1" t="s">
        <v>290</v>
      </c>
      <c r="FE1733" s="1" t="s">
        <v>247</v>
      </c>
      <c r="FF1733" s="1" t="s">
        <v>248</v>
      </c>
      <c r="FH1733" s="1" t="s">
        <v>716</v>
      </c>
      <c r="FI1733" s="1" t="s">
        <v>1114</v>
      </c>
      <c r="FL1733" s="1" t="s">
        <v>292</v>
      </c>
      <c r="FM1733" s="1" t="s">
        <v>252</v>
      </c>
      <c r="FN1733" s="1" t="s">
        <v>213</v>
      </c>
      <c r="FO1733" s="1" t="s">
        <v>213</v>
      </c>
      <c r="FQ1733" s="1" t="s">
        <v>6735</v>
      </c>
      <c r="FR1733" s="1" t="s">
        <v>210</v>
      </c>
      <c r="FS1733" s="1" t="s">
        <v>6736</v>
      </c>
      <c r="FT1733" s="1" t="s">
        <v>520</v>
      </c>
      <c r="FU1733" s="1" t="s">
        <v>204</v>
      </c>
      <c r="FW1733" s="1" t="s">
        <v>6737</v>
      </c>
      <c r="FX1733" s="1">
        <v>10646</v>
      </c>
      <c r="FY1733" s="1" t="s">
        <v>6738</v>
      </c>
      <c r="FZ1733" s="1" t="s">
        <v>6739</v>
      </c>
      <c r="GA1733" s="1">
        <v>120575</v>
      </c>
      <c r="GB1733" s="1" t="s">
        <v>6740</v>
      </c>
      <c r="GE1733" s="1" t="s">
        <v>210</v>
      </c>
      <c r="GH1733" s="1" t="s">
        <v>589</v>
      </c>
      <c r="GI1733" s="1" t="s">
        <v>213</v>
      </c>
      <c r="GJ1733" s="1" t="s">
        <v>260</v>
      </c>
      <c r="GK1733" s="1" t="s">
        <v>210</v>
      </c>
      <c r="GL1733" s="2">
        <v>42039</v>
      </c>
    </row>
    <row r="1734" spans="1:195">
      <c r="A1734" s="1">
        <v>83000</v>
      </c>
      <c r="B1734" s="1" t="s">
        <v>195</v>
      </c>
      <c r="C1734" s="1" t="str">
        <f>"08719717"</f>
        <v>08719717</v>
      </c>
      <c r="D1734" s="1" t="s">
        <v>196</v>
      </c>
      <c r="F1734" s="1" t="str">
        <f>"187"</f>
        <v>187</v>
      </c>
      <c r="G1734" s="2">
        <v>41886</v>
      </c>
      <c r="H1734" s="1">
        <v>109900</v>
      </c>
      <c r="I1734" s="1">
        <v>92000</v>
      </c>
      <c r="J1734" s="1">
        <v>83000</v>
      </c>
      <c r="K1734" s="2">
        <v>41885</v>
      </c>
      <c r="L1734" s="1">
        <v>129</v>
      </c>
      <c r="M1734" s="2">
        <v>42013</v>
      </c>
      <c r="N1734" s="1">
        <v>129</v>
      </c>
      <c r="O1734" s="2">
        <v>42013</v>
      </c>
      <c r="P1734" s="1">
        <v>24695</v>
      </c>
      <c r="Q1734" s="1" t="s">
        <v>197</v>
      </c>
      <c r="R1734" s="2">
        <v>42075</v>
      </c>
      <c r="S1734" s="1">
        <v>231503</v>
      </c>
      <c r="U1734" s="1">
        <v>1694</v>
      </c>
      <c r="V1734" s="1" t="s">
        <v>12122</v>
      </c>
      <c r="W1734" s="1" t="s">
        <v>304</v>
      </c>
      <c r="X1734" s="1" t="s">
        <v>1688</v>
      </c>
      <c r="Y1734" s="1">
        <v>5</v>
      </c>
      <c r="Z1734" s="1" t="s">
        <v>249</v>
      </c>
      <c r="AA1734" s="1" t="s">
        <v>964</v>
      </c>
      <c r="AB1734" s="1">
        <v>60189</v>
      </c>
      <c r="AD1734" s="1" t="s">
        <v>12372</v>
      </c>
      <c r="AE1734" s="1" t="s">
        <v>16373</v>
      </c>
      <c r="AF1734" s="1">
        <v>1974</v>
      </c>
      <c r="AG1734" s="1" t="s">
        <v>213</v>
      </c>
      <c r="AH1734" s="1" t="s">
        <v>967</v>
      </c>
      <c r="AI1734" s="1" t="s">
        <v>206</v>
      </c>
      <c r="AJ1734" s="1" t="s">
        <v>207</v>
      </c>
      <c r="AL1734" s="1">
        <v>5</v>
      </c>
      <c r="AM1734" s="1">
        <v>2</v>
      </c>
      <c r="AN1734" s="1">
        <v>1</v>
      </c>
      <c r="AO1734" s="1">
        <v>0</v>
      </c>
      <c r="AP1734" s="1" t="s">
        <v>210</v>
      </c>
      <c r="AR1734" s="1" t="s">
        <v>210</v>
      </c>
      <c r="AS1734" s="1" t="s">
        <v>204</v>
      </c>
      <c r="AT1734" s="1" t="s">
        <v>375</v>
      </c>
      <c r="AU1734" s="1">
        <v>1</v>
      </c>
      <c r="AV1734" s="1">
        <v>1</v>
      </c>
      <c r="AW1734" s="1" t="s">
        <v>204</v>
      </c>
      <c r="AX1734" s="1" t="s">
        <v>212</v>
      </c>
      <c r="AZ1734" s="1">
        <v>2945</v>
      </c>
      <c r="BA1734" s="1">
        <v>2013</v>
      </c>
      <c r="BB1734" s="1" t="s">
        <v>405</v>
      </c>
      <c r="BE1734" s="1">
        <v>968</v>
      </c>
      <c r="BF1734" s="1">
        <v>1</v>
      </c>
      <c r="BG1734" s="1">
        <v>0</v>
      </c>
      <c r="BL1734" s="1">
        <v>180</v>
      </c>
      <c r="BM1734" s="1" t="s">
        <v>204</v>
      </c>
      <c r="BN1734" s="1" t="s">
        <v>213</v>
      </c>
      <c r="BO1734" s="1" t="s">
        <v>432</v>
      </c>
      <c r="BP1734" s="1" t="s">
        <v>204</v>
      </c>
      <c r="BR1734" s="1" t="str">
        <f>"0527106045"</f>
        <v>0527106045</v>
      </c>
      <c r="BT1734" s="1" t="s">
        <v>16374</v>
      </c>
      <c r="BU1734" s="1" t="s">
        <v>969</v>
      </c>
      <c r="BV1734" s="1" t="s">
        <v>970</v>
      </c>
      <c r="BW1734" s="1" t="s">
        <v>971</v>
      </c>
      <c r="BX1734" s="1">
        <v>200</v>
      </c>
      <c r="BY1734" s="1">
        <v>200</v>
      </c>
      <c r="BZ1734" s="1">
        <v>200</v>
      </c>
      <c r="CB1734" s="1" t="str">
        <f t="shared" ref="CB1734:CC1734" si="1313">"0"</f>
        <v>0</v>
      </c>
      <c r="CC1734" s="1" t="str">
        <f t="shared" si="1313"/>
        <v>0</v>
      </c>
      <c r="CD1734" s="1">
        <v>23</v>
      </c>
      <c r="CE1734" s="1">
        <v>2</v>
      </c>
      <c r="CG1734" s="1" t="s">
        <v>581</v>
      </c>
      <c r="CH1734" s="1" t="s">
        <v>219</v>
      </c>
      <c r="CI1734" s="1" t="s">
        <v>220</v>
      </c>
      <c r="CK1734" s="1" t="s">
        <v>223</v>
      </c>
      <c r="CL1734" s="1" t="s">
        <v>277</v>
      </c>
      <c r="CM1734" s="1" t="s">
        <v>220</v>
      </c>
      <c r="CO1734" s="1" t="s">
        <v>758</v>
      </c>
      <c r="CP1734" s="1" t="s">
        <v>219</v>
      </c>
      <c r="CS1734" s="1" t="s">
        <v>1046</v>
      </c>
      <c r="CT1734" s="1" t="s">
        <v>277</v>
      </c>
      <c r="CU1734" s="1" t="s">
        <v>220</v>
      </c>
      <c r="CX1734" s="1" t="s">
        <v>224</v>
      </c>
      <c r="DB1734" s="1" t="s">
        <v>224</v>
      </c>
      <c r="DE1734" s="1" t="s">
        <v>380</v>
      </c>
      <c r="DF1734" s="1" t="s">
        <v>219</v>
      </c>
      <c r="DJ1734" s="1" t="s">
        <v>224</v>
      </c>
      <c r="DS1734" s="1" t="s">
        <v>230</v>
      </c>
      <c r="DW1734" s="1" t="s">
        <v>230</v>
      </c>
      <c r="EA1734" s="1" t="s">
        <v>230</v>
      </c>
      <c r="EE1734" s="1" t="s">
        <v>230</v>
      </c>
      <c r="EI1734" s="1" t="s">
        <v>230</v>
      </c>
      <c r="EL1734" s="1" t="s">
        <v>605</v>
      </c>
      <c r="EM1734" s="1" t="s">
        <v>232</v>
      </c>
      <c r="EN1734" s="1" t="s">
        <v>282</v>
      </c>
      <c r="EO1734" s="1" t="s">
        <v>234</v>
      </c>
      <c r="ER1734" s="1" t="s">
        <v>383</v>
      </c>
      <c r="EV1734" s="1" t="s">
        <v>324</v>
      </c>
      <c r="EW1734" s="1" t="s">
        <v>1679</v>
      </c>
      <c r="EZ1734" s="1" t="s">
        <v>287</v>
      </c>
      <c r="FD1734" s="1" t="s">
        <v>246</v>
      </c>
      <c r="FE1734" s="1" t="s">
        <v>355</v>
      </c>
      <c r="FF1734" s="1" t="s">
        <v>248</v>
      </c>
      <c r="FH1734" s="1" t="s">
        <v>550</v>
      </c>
      <c r="FK1734" s="1" t="s">
        <v>768</v>
      </c>
      <c r="FL1734" s="1" t="s">
        <v>358</v>
      </c>
      <c r="FM1734" s="1" t="s">
        <v>252</v>
      </c>
      <c r="FN1734" s="1" t="s">
        <v>213</v>
      </c>
      <c r="FO1734" s="1" t="s">
        <v>213</v>
      </c>
      <c r="FQ1734" s="1" t="s">
        <v>689</v>
      </c>
      <c r="FR1734" s="1" t="s">
        <v>210</v>
      </c>
      <c r="FS1734" s="1" t="s">
        <v>1429</v>
      </c>
      <c r="FT1734" s="1" t="s">
        <v>1828</v>
      </c>
      <c r="FU1734" s="1" t="s">
        <v>204</v>
      </c>
      <c r="FW1734" s="1" t="s">
        <v>915</v>
      </c>
      <c r="FX1734" s="1">
        <v>23076</v>
      </c>
      <c r="FY1734" s="1" t="s">
        <v>1909</v>
      </c>
      <c r="FZ1734" s="1" t="s">
        <v>7957</v>
      </c>
      <c r="GA1734" s="1">
        <v>255553</v>
      </c>
      <c r="GB1734" s="1" t="s">
        <v>7958</v>
      </c>
      <c r="GE1734" s="1" t="s">
        <v>658</v>
      </c>
      <c r="GI1734" s="1" t="s">
        <v>213</v>
      </c>
      <c r="GJ1734" s="1" t="s">
        <v>260</v>
      </c>
      <c r="GK1734" s="1" t="s">
        <v>210</v>
      </c>
      <c r="GL1734" s="2">
        <v>42077</v>
      </c>
      <c r="GM1734" s="1" t="s">
        <v>16375</v>
      </c>
    </row>
    <row r="1735" spans="1:195">
      <c r="A1735" s="1">
        <v>58000</v>
      </c>
      <c r="B1735" s="1" t="s">
        <v>195</v>
      </c>
      <c r="C1735" s="1" t="str">
        <f>"08715766"</f>
        <v>08715766</v>
      </c>
      <c r="D1735" s="1" t="s">
        <v>196</v>
      </c>
      <c r="F1735" s="1" t="str">
        <f>"8064"</f>
        <v>8064</v>
      </c>
      <c r="G1735" s="2">
        <v>41883</v>
      </c>
      <c r="H1735" s="1">
        <v>79900</v>
      </c>
      <c r="I1735" s="1">
        <v>58900</v>
      </c>
      <c r="J1735" s="1">
        <v>58000</v>
      </c>
      <c r="K1735" s="2">
        <v>41883</v>
      </c>
      <c r="L1735" s="1">
        <v>115</v>
      </c>
      <c r="M1735" s="2">
        <v>41997</v>
      </c>
      <c r="N1735" s="1">
        <v>115</v>
      </c>
      <c r="O1735" s="2">
        <v>41997</v>
      </c>
      <c r="P1735" s="1">
        <v>18150</v>
      </c>
      <c r="Q1735" s="1" t="s">
        <v>197</v>
      </c>
      <c r="R1735" s="2">
        <v>42060</v>
      </c>
      <c r="S1735" s="1">
        <v>103359</v>
      </c>
      <c r="T1735" s="1">
        <v>2945</v>
      </c>
      <c r="U1735" s="1">
        <v>6632</v>
      </c>
      <c r="V1735" s="1" t="s">
        <v>4474</v>
      </c>
      <c r="W1735" s="1" t="s">
        <v>779</v>
      </c>
      <c r="X1735" s="1" t="s">
        <v>2010</v>
      </c>
      <c r="Y1735" s="1">
        <v>6</v>
      </c>
      <c r="Z1735" s="1" t="s">
        <v>249</v>
      </c>
      <c r="AA1735" s="1" t="s">
        <v>400</v>
      </c>
      <c r="AB1735" s="1">
        <v>60638</v>
      </c>
      <c r="AE1735" s="1" t="s">
        <v>16376</v>
      </c>
      <c r="AF1735" s="1" t="s">
        <v>402</v>
      </c>
      <c r="AG1735" s="1" t="s">
        <v>213</v>
      </c>
      <c r="AH1735" s="1" t="s">
        <v>403</v>
      </c>
      <c r="AI1735" s="1" t="s">
        <v>310</v>
      </c>
      <c r="AJ1735" s="1" t="s">
        <v>683</v>
      </c>
      <c r="AL1735" s="1">
        <v>5</v>
      </c>
      <c r="AM1735" s="1">
        <v>2</v>
      </c>
      <c r="AN1735" s="1">
        <v>1</v>
      </c>
      <c r="AO1735" s="1">
        <v>0</v>
      </c>
      <c r="AP1735" s="1" t="s">
        <v>1234</v>
      </c>
      <c r="AR1735" s="1" t="s">
        <v>210</v>
      </c>
      <c r="AS1735" s="1" t="s">
        <v>204</v>
      </c>
      <c r="AT1735" s="1" t="s">
        <v>271</v>
      </c>
      <c r="AV1735" s="1">
        <v>1</v>
      </c>
      <c r="AW1735" s="1" t="s">
        <v>204</v>
      </c>
      <c r="AX1735" s="1" t="s">
        <v>270</v>
      </c>
      <c r="AZ1735" s="1">
        <v>1881.08</v>
      </c>
      <c r="BA1735" s="1">
        <v>2012</v>
      </c>
      <c r="BE1735" s="1">
        <v>750</v>
      </c>
      <c r="BF1735" s="1" t="s">
        <v>6276</v>
      </c>
      <c r="BG1735" s="1">
        <v>0</v>
      </c>
      <c r="BL1735" s="1">
        <v>110</v>
      </c>
      <c r="BM1735" s="1" t="s">
        <v>413</v>
      </c>
      <c r="BN1735" s="1" t="s">
        <v>213</v>
      </c>
      <c r="BO1735" s="1">
        <v>20</v>
      </c>
      <c r="BP1735" s="1" t="s">
        <v>204</v>
      </c>
      <c r="BR1735" s="1" t="str">
        <f>"19192090431001"</f>
        <v>19192090431001</v>
      </c>
      <c r="BT1735" s="1" t="s">
        <v>16377</v>
      </c>
      <c r="BX1735" s="1">
        <v>299</v>
      </c>
      <c r="BY1735" s="1">
        <v>299</v>
      </c>
      <c r="BZ1735" s="1">
        <v>299</v>
      </c>
      <c r="CB1735" s="1" t="str">
        <f t="shared" ref="CB1735:CC1735" si="1314">"0"</f>
        <v>0</v>
      </c>
      <c r="CC1735" s="1" t="str">
        <f t="shared" si="1314"/>
        <v>0</v>
      </c>
      <c r="CD1735" s="1">
        <v>6632</v>
      </c>
      <c r="CE1735" s="1">
        <v>6400</v>
      </c>
      <c r="CG1735" s="1" t="s">
        <v>462</v>
      </c>
      <c r="CH1735" s="1" t="s">
        <v>219</v>
      </c>
      <c r="CK1735" s="1" t="s">
        <v>1046</v>
      </c>
      <c r="CL1735" s="1" t="s">
        <v>219</v>
      </c>
      <c r="CO1735" s="1" t="s">
        <v>348</v>
      </c>
      <c r="CP1735" s="1" t="s">
        <v>219</v>
      </c>
      <c r="CS1735" s="1" t="s">
        <v>281</v>
      </c>
      <c r="CT1735" s="1" t="s">
        <v>219</v>
      </c>
      <c r="CX1735" s="1" t="s">
        <v>224</v>
      </c>
      <c r="DB1735" s="1" t="s">
        <v>224</v>
      </c>
      <c r="DE1735" s="1" t="s">
        <v>837</v>
      </c>
      <c r="DF1735" s="1" t="s">
        <v>219</v>
      </c>
      <c r="DJ1735" s="1" t="s">
        <v>224</v>
      </c>
      <c r="DS1735" s="1" t="s">
        <v>230</v>
      </c>
      <c r="DW1735" s="1" t="s">
        <v>230</v>
      </c>
      <c r="EA1735" s="1" t="s">
        <v>230</v>
      </c>
      <c r="EE1735" s="1" t="s">
        <v>230</v>
      </c>
      <c r="EI1735" s="1" t="s">
        <v>230</v>
      </c>
      <c r="EL1735" s="1" t="s">
        <v>605</v>
      </c>
      <c r="EM1735" s="1" t="s">
        <v>232</v>
      </c>
      <c r="EN1735" s="1" t="s">
        <v>210</v>
      </c>
      <c r="EO1735" s="1" t="s">
        <v>234</v>
      </c>
      <c r="ER1735" s="1" t="s">
        <v>210</v>
      </c>
      <c r="EU1735" s="1" t="s">
        <v>239</v>
      </c>
      <c r="EW1735" s="1" t="s">
        <v>16378</v>
      </c>
      <c r="EY1735" s="1" t="s">
        <v>242</v>
      </c>
      <c r="EZ1735" s="1" t="s">
        <v>287</v>
      </c>
      <c r="FA1735" s="1" t="s">
        <v>471</v>
      </c>
      <c r="FD1735" s="1" t="s">
        <v>246</v>
      </c>
      <c r="FE1735" s="1" t="s">
        <v>247</v>
      </c>
      <c r="FF1735" s="1" t="s">
        <v>248</v>
      </c>
      <c r="FH1735" s="1" t="s">
        <v>249</v>
      </c>
      <c r="FK1735" s="1" t="s">
        <v>291</v>
      </c>
      <c r="FL1735" s="1" t="s">
        <v>414</v>
      </c>
      <c r="FM1735" s="1" t="s">
        <v>252</v>
      </c>
      <c r="FN1735" s="1" t="s">
        <v>213</v>
      </c>
      <c r="FO1735" s="1" t="s">
        <v>213</v>
      </c>
      <c r="FQ1735" s="1" t="s">
        <v>689</v>
      </c>
      <c r="FR1735" s="1" t="s">
        <v>210</v>
      </c>
      <c r="FS1735" s="1" t="s">
        <v>1318</v>
      </c>
      <c r="FT1735" s="1" t="s">
        <v>584</v>
      </c>
      <c r="FU1735" s="1" t="s">
        <v>204</v>
      </c>
      <c r="FW1735" s="1" t="s">
        <v>16379</v>
      </c>
      <c r="FX1735" s="1">
        <v>40290</v>
      </c>
      <c r="FY1735" s="1" t="s">
        <v>16380</v>
      </c>
      <c r="FZ1735" s="1" t="s">
        <v>16381</v>
      </c>
      <c r="GA1735" s="1">
        <v>406061</v>
      </c>
      <c r="GB1735" s="1" t="s">
        <v>16382</v>
      </c>
      <c r="GE1735" s="1" t="s">
        <v>210</v>
      </c>
      <c r="GH1735" s="1" t="s">
        <v>589</v>
      </c>
      <c r="GI1735" s="1" t="s">
        <v>213</v>
      </c>
      <c r="GJ1735" s="1" t="s">
        <v>260</v>
      </c>
      <c r="GK1735" s="1" t="s">
        <v>210</v>
      </c>
      <c r="GL1735" s="2">
        <v>42060</v>
      </c>
      <c r="GM1735" s="1" t="s">
        <v>16383</v>
      </c>
    </row>
    <row r="1736" spans="1:195">
      <c r="A1736" s="1">
        <v>125000</v>
      </c>
      <c r="B1736" s="1" t="s">
        <v>195</v>
      </c>
      <c r="C1736" s="1" t="str">
        <f>"08719646"</f>
        <v>08719646</v>
      </c>
      <c r="D1736" s="1" t="s">
        <v>196</v>
      </c>
      <c r="F1736" s="1" t="str">
        <f>"532"</f>
        <v>532</v>
      </c>
      <c r="G1736" s="2">
        <v>41886</v>
      </c>
      <c r="H1736" s="1">
        <v>142900</v>
      </c>
      <c r="I1736" s="1">
        <v>125999</v>
      </c>
      <c r="J1736" s="1">
        <v>125000</v>
      </c>
      <c r="K1736" s="2">
        <v>41886</v>
      </c>
      <c r="L1736" s="1">
        <v>145</v>
      </c>
      <c r="M1736" s="2">
        <v>42030</v>
      </c>
      <c r="N1736" s="1">
        <v>145</v>
      </c>
      <c r="O1736" s="2">
        <v>42030</v>
      </c>
      <c r="P1736" s="1">
        <v>24007</v>
      </c>
      <c r="Q1736" s="1" t="s">
        <v>197</v>
      </c>
      <c r="R1736" s="2">
        <v>42061</v>
      </c>
      <c r="S1736" s="1">
        <v>215475</v>
      </c>
      <c r="T1736" s="1">
        <v>3000</v>
      </c>
      <c r="U1736" s="1">
        <v>6230</v>
      </c>
      <c r="V1736" s="1" t="s">
        <v>4678</v>
      </c>
      <c r="W1736" s="1" t="s">
        <v>264</v>
      </c>
      <c r="X1736" s="1" t="s">
        <v>1382</v>
      </c>
      <c r="Y1736" s="1">
        <v>4</v>
      </c>
      <c r="Z1736" s="1" t="s">
        <v>249</v>
      </c>
      <c r="AA1736" s="1" t="s">
        <v>1566</v>
      </c>
      <c r="AB1736" s="1">
        <v>60532</v>
      </c>
      <c r="AD1736" s="1" t="s">
        <v>16384</v>
      </c>
      <c r="AE1736" s="1" t="s">
        <v>16385</v>
      </c>
      <c r="AF1736" s="1">
        <v>1979</v>
      </c>
      <c r="AG1736" s="1" t="s">
        <v>204</v>
      </c>
      <c r="AH1736" s="1" t="s">
        <v>925</v>
      </c>
      <c r="AI1736" s="1" t="s">
        <v>206</v>
      </c>
      <c r="AJ1736" s="1" t="s">
        <v>925</v>
      </c>
      <c r="AL1736" s="1">
        <v>5</v>
      </c>
      <c r="AM1736" s="1">
        <v>2</v>
      </c>
      <c r="AN1736" s="1">
        <v>1</v>
      </c>
      <c r="AO1736" s="1">
        <v>0</v>
      </c>
      <c r="AP1736" s="1" t="s">
        <v>667</v>
      </c>
      <c r="AQ1736" s="1">
        <v>1</v>
      </c>
      <c r="AR1736" s="1" t="s">
        <v>210</v>
      </c>
      <c r="AT1736" s="1" t="s">
        <v>211</v>
      </c>
      <c r="AU1736" s="1">
        <v>1</v>
      </c>
      <c r="AW1736" s="1" t="s">
        <v>204</v>
      </c>
      <c r="AX1736" s="1" t="s">
        <v>212</v>
      </c>
      <c r="AZ1736" s="1">
        <v>3341</v>
      </c>
      <c r="BA1736" s="1">
        <v>2013</v>
      </c>
      <c r="BB1736" s="1" t="s">
        <v>405</v>
      </c>
      <c r="BE1736" s="1">
        <v>1067</v>
      </c>
      <c r="BF1736" s="1">
        <v>1</v>
      </c>
      <c r="BG1736" s="1">
        <v>30</v>
      </c>
      <c r="BL1736" s="1">
        <v>194</v>
      </c>
      <c r="BM1736" s="1" t="s">
        <v>204</v>
      </c>
      <c r="BN1736" s="1" t="s">
        <v>213</v>
      </c>
      <c r="BO1736" s="1">
        <v>999</v>
      </c>
      <c r="BP1736" s="1" t="s">
        <v>204</v>
      </c>
      <c r="BR1736" s="1" t="str">
        <f>"0816415043"</f>
        <v>0816415043</v>
      </c>
      <c r="BT1736" s="1" t="s">
        <v>16386</v>
      </c>
      <c r="BU1736" s="1" t="s">
        <v>14610</v>
      </c>
      <c r="BV1736" s="1" t="s">
        <v>4937</v>
      </c>
      <c r="BW1736" s="1" t="s">
        <v>2825</v>
      </c>
      <c r="BX1736" s="1">
        <v>203</v>
      </c>
      <c r="BY1736" s="1">
        <v>203</v>
      </c>
      <c r="BZ1736" s="1">
        <v>203</v>
      </c>
      <c r="CB1736" s="1" t="str">
        <f t="shared" ref="CB1736:CC1736" si="1315">""</f>
        <v/>
      </c>
      <c r="CC1736" s="1" t="str">
        <f t="shared" si="1315"/>
        <v/>
      </c>
      <c r="CG1736" s="1" t="s">
        <v>7425</v>
      </c>
      <c r="CH1736" s="1" t="s">
        <v>219</v>
      </c>
      <c r="CI1736" s="1" t="s">
        <v>220</v>
      </c>
      <c r="CJ1736" s="1" t="s">
        <v>343</v>
      </c>
      <c r="CK1736" s="1" t="s">
        <v>315</v>
      </c>
      <c r="CL1736" s="1" t="s">
        <v>219</v>
      </c>
      <c r="CM1736" s="1" t="s">
        <v>220</v>
      </c>
      <c r="CN1736" s="1" t="s">
        <v>343</v>
      </c>
      <c r="CO1736" s="1" t="s">
        <v>318</v>
      </c>
      <c r="CP1736" s="1" t="s">
        <v>219</v>
      </c>
      <c r="CQ1736" s="1" t="s">
        <v>229</v>
      </c>
      <c r="CS1736" s="1" t="s">
        <v>346</v>
      </c>
      <c r="CT1736" s="1" t="s">
        <v>219</v>
      </c>
      <c r="CU1736" s="1" t="s">
        <v>220</v>
      </c>
      <c r="CV1736" s="1" t="s">
        <v>343</v>
      </c>
      <c r="CX1736" s="1" t="s">
        <v>224</v>
      </c>
      <c r="DB1736" s="1" t="s">
        <v>224</v>
      </c>
      <c r="DE1736" s="1" t="s">
        <v>318</v>
      </c>
      <c r="DF1736" s="1" t="s">
        <v>219</v>
      </c>
      <c r="DG1736" s="1" t="s">
        <v>229</v>
      </c>
      <c r="DJ1736" s="1" t="s">
        <v>224</v>
      </c>
      <c r="DS1736" s="1" t="s">
        <v>230</v>
      </c>
      <c r="DW1736" s="1" t="s">
        <v>230</v>
      </c>
      <c r="EA1736" s="1" t="s">
        <v>230</v>
      </c>
      <c r="EE1736" s="1" t="s">
        <v>230</v>
      </c>
      <c r="EI1736" s="1" t="s">
        <v>230</v>
      </c>
      <c r="EL1736" s="1" t="s">
        <v>231</v>
      </c>
      <c r="EM1736" s="1" t="s">
        <v>232</v>
      </c>
      <c r="EN1736" s="1" t="s">
        <v>282</v>
      </c>
      <c r="EO1736" s="1" t="s">
        <v>234</v>
      </c>
      <c r="EP1736" s="1" t="s">
        <v>16387</v>
      </c>
      <c r="EQ1736" s="1" t="s">
        <v>236</v>
      </c>
      <c r="ER1736" s="1" t="s">
        <v>210</v>
      </c>
      <c r="ES1736" s="1" t="s">
        <v>322</v>
      </c>
      <c r="EV1736" s="1" t="s">
        <v>324</v>
      </c>
      <c r="EW1736" s="1" t="s">
        <v>347</v>
      </c>
      <c r="EZ1736" s="1" t="s">
        <v>287</v>
      </c>
      <c r="FD1736" s="1" t="s">
        <v>246</v>
      </c>
      <c r="FE1736" s="1" t="s">
        <v>247</v>
      </c>
      <c r="FF1736" s="1" t="s">
        <v>248</v>
      </c>
      <c r="FG1736" s="1" t="s">
        <v>939</v>
      </c>
      <c r="FH1736" s="1" t="s">
        <v>1387</v>
      </c>
      <c r="FI1736" s="1" t="s">
        <v>357</v>
      </c>
      <c r="FJ1736" s="1" t="s">
        <v>518</v>
      </c>
      <c r="FL1736" s="1" t="s">
        <v>358</v>
      </c>
      <c r="FM1736" s="1" t="s">
        <v>252</v>
      </c>
      <c r="FN1736" s="1" t="s">
        <v>213</v>
      </c>
      <c r="FO1736" s="1" t="s">
        <v>213</v>
      </c>
      <c r="FQ1736" s="1" t="s">
        <v>5956</v>
      </c>
      <c r="FR1736" s="1" t="s">
        <v>210</v>
      </c>
      <c r="FS1736" s="1" t="s">
        <v>16388</v>
      </c>
      <c r="FT1736" s="1" t="s">
        <v>16389</v>
      </c>
      <c r="FU1736" s="1" t="s">
        <v>204</v>
      </c>
      <c r="FV1736" s="1" t="s">
        <v>16390</v>
      </c>
      <c r="FW1736" s="1" t="s">
        <v>719</v>
      </c>
      <c r="FX1736" s="1">
        <v>22029</v>
      </c>
      <c r="FY1736" s="1" t="s">
        <v>720</v>
      </c>
      <c r="FZ1736" s="1" t="s">
        <v>16391</v>
      </c>
      <c r="GA1736" s="1">
        <v>224232</v>
      </c>
      <c r="GB1736" s="1" t="s">
        <v>16392</v>
      </c>
      <c r="GE1736" s="1" t="s">
        <v>335</v>
      </c>
      <c r="GI1736" s="1" t="s">
        <v>204</v>
      </c>
      <c r="GJ1736" s="1" t="s">
        <v>260</v>
      </c>
      <c r="GK1736" s="1" t="s">
        <v>210</v>
      </c>
      <c r="GL1736" s="2">
        <v>42062</v>
      </c>
    </row>
    <row r="1737" spans="1:195">
      <c r="A1737" s="1">
        <v>111225</v>
      </c>
      <c r="B1737" s="1" t="s">
        <v>195</v>
      </c>
      <c r="C1737" s="1" t="str">
        <f>"08721819"</f>
        <v>08721819</v>
      </c>
      <c r="D1737" s="1" t="s">
        <v>196</v>
      </c>
      <c r="F1737" s="1" t="str">
        <f>"136"</f>
        <v>136</v>
      </c>
      <c r="G1737" s="2">
        <v>41890</v>
      </c>
      <c r="H1737" s="1">
        <v>123000</v>
      </c>
      <c r="I1737" s="1">
        <v>123000</v>
      </c>
      <c r="J1737" s="1">
        <v>111225</v>
      </c>
      <c r="K1737" s="2">
        <v>41887</v>
      </c>
      <c r="L1737" s="1">
        <v>88</v>
      </c>
      <c r="M1737" s="2">
        <v>41974</v>
      </c>
      <c r="N1737" s="1">
        <v>88</v>
      </c>
      <c r="O1737" s="2">
        <v>41974</v>
      </c>
      <c r="P1737" s="1">
        <v>22029</v>
      </c>
      <c r="Q1737" s="1" t="s">
        <v>302</v>
      </c>
      <c r="R1737" s="2">
        <v>42132</v>
      </c>
      <c r="S1737" s="1">
        <v>240200</v>
      </c>
      <c r="U1737" s="1">
        <v>138</v>
      </c>
      <c r="V1737" s="1" t="s">
        <v>11912</v>
      </c>
      <c r="W1737" s="1" t="s">
        <v>264</v>
      </c>
      <c r="Y1737" s="1">
        <v>6</v>
      </c>
      <c r="Z1737" s="1" t="s">
        <v>370</v>
      </c>
      <c r="AA1737" s="1" t="s">
        <v>3680</v>
      </c>
      <c r="AB1737" s="1">
        <v>60136</v>
      </c>
      <c r="AD1737" s="1" t="s">
        <v>12657</v>
      </c>
      <c r="AE1737" s="1" t="s">
        <v>16393</v>
      </c>
      <c r="AF1737" s="1">
        <v>2005</v>
      </c>
      <c r="AG1737" s="1" t="s">
        <v>204</v>
      </c>
      <c r="AH1737" s="1" t="s">
        <v>3682</v>
      </c>
      <c r="AI1737" s="1" t="s">
        <v>665</v>
      </c>
      <c r="AJ1737" s="1" t="s">
        <v>748</v>
      </c>
      <c r="AL1737" s="1">
        <v>6</v>
      </c>
      <c r="AM1737" s="1">
        <v>2</v>
      </c>
      <c r="AN1737" s="1">
        <v>2</v>
      </c>
      <c r="AO1737" s="1">
        <v>1</v>
      </c>
      <c r="AP1737" s="1" t="s">
        <v>209</v>
      </c>
      <c r="AR1737" s="1" t="s">
        <v>209</v>
      </c>
      <c r="AS1737" s="1" t="s">
        <v>204</v>
      </c>
      <c r="AT1737" s="1" t="s">
        <v>211</v>
      </c>
      <c r="AU1737" s="1">
        <v>2</v>
      </c>
      <c r="AW1737" s="1" t="s">
        <v>204</v>
      </c>
      <c r="AX1737" s="1" t="s">
        <v>212</v>
      </c>
      <c r="AZ1737" s="1">
        <v>4892.5</v>
      </c>
      <c r="BA1737" s="1">
        <v>2013</v>
      </c>
      <c r="BE1737" s="1">
        <v>1765</v>
      </c>
      <c r="BF1737" s="1">
        <v>1</v>
      </c>
      <c r="BG1737" s="1">
        <v>0</v>
      </c>
      <c r="BL1737" s="1">
        <v>214</v>
      </c>
      <c r="BM1737" s="1" t="s">
        <v>213</v>
      </c>
      <c r="BN1737" s="1" t="s">
        <v>213</v>
      </c>
      <c r="BO1737" s="1">
        <v>50</v>
      </c>
      <c r="BP1737" s="1" t="s">
        <v>204</v>
      </c>
      <c r="BR1737" s="1" t="str">
        <f>"0225307044"</f>
        <v>0225307044</v>
      </c>
      <c r="BT1737" s="1" t="s">
        <v>16394</v>
      </c>
      <c r="BX1737" s="1">
        <v>300</v>
      </c>
      <c r="BY1737" s="1">
        <v>300</v>
      </c>
      <c r="BZ1737" s="1">
        <v>300</v>
      </c>
      <c r="CB1737" s="1" t="str">
        <f t="shared" ref="CB1737:CC1737" si="1316">""</f>
        <v/>
      </c>
      <c r="CC1737" s="1" t="str">
        <f t="shared" si="1316"/>
        <v/>
      </c>
      <c r="CG1737" s="1" t="s">
        <v>461</v>
      </c>
      <c r="CH1737" s="1" t="s">
        <v>219</v>
      </c>
      <c r="CK1737" s="1" t="s">
        <v>932</v>
      </c>
      <c r="CL1737" s="1" t="s">
        <v>277</v>
      </c>
      <c r="CO1737" s="1" t="s">
        <v>378</v>
      </c>
      <c r="CP1737" s="1" t="s">
        <v>219</v>
      </c>
      <c r="CS1737" s="1" t="s">
        <v>465</v>
      </c>
      <c r="CT1737" s="1" t="s">
        <v>277</v>
      </c>
      <c r="CX1737" s="1" t="s">
        <v>224</v>
      </c>
      <c r="DB1737" s="1" t="s">
        <v>224</v>
      </c>
      <c r="DE1737" s="1" t="s">
        <v>378</v>
      </c>
      <c r="DF1737" s="1" t="s">
        <v>219</v>
      </c>
      <c r="DJ1737" s="1" t="s">
        <v>224</v>
      </c>
      <c r="DM1737" s="1" t="s">
        <v>464</v>
      </c>
      <c r="DR1737" s="1" t="s">
        <v>489</v>
      </c>
      <c r="DS1737" s="1" t="s">
        <v>277</v>
      </c>
      <c r="DW1737" s="1" t="s">
        <v>230</v>
      </c>
      <c r="EA1737" s="1" t="s">
        <v>230</v>
      </c>
      <c r="EE1737" s="1" t="s">
        <v>230</v>
      </c>
      <c r="EI1737" s="1" t="s">
        <v>230</v>
      </c>
      <c r="EL1737" s="1" t="s">
        <v>491</v>
      </c>
      <c r="EM1737" s="1" t="s">
        <v>319</v>
      </c>
      <c r="EN1737" s="1" t="s">
        <v>282</v>
      </c>
      <c r="EO1737" s="1" t="s">
        <v>234</v>
      </c>
      <c r="EP1737" s="1" t="s">
        <v>650</v>
      </c>
      <c r="ER1737" s="1" t="s">
        <v>1249</v>
      </c>
      <c r="ET1737" s="1" t="s">
        <v>4523</v>
      </c>
      <c r="EU1737" s="1" t="s">
        <v>239</v>
      </c>
      <c r="EV1737" s="1" t="s">
        <v>324</v>
      </c>
      <c r="EW1737" s="1" t="s">
        <v>353</v>
      </c>
      <c r="EZ1737" s="1" t="s">
        <v>464</v>
      </c>
      <c r="FD1737" s="1" t="s">
        <v>246</v>
      </c>
      <c r="FE1737" s="1" t="s">
        <v>1006</v>
      </c>
      <c r="FF1737" s="1" t="s">
        <v>248</v>
      </c>
      <c r="FH1737" s="1" t="s">
        <v>550</v>
      </c>
      <c r="FL1737" s="1" t="s">
        <v>358</v>
      </c>
      <c r="FM1737" s="1" t="s">
        <v>252</v>
      </c>
      <c r="FN1737" s="1" t="s">
        <v>213</v>
      </c>
      <c r="FO1737" s="1" t="s">
        <v>213</v>
      </c>
      <c r="FQ1737" s="1" t="s">
        <v>582</v>
      </c>
      <c r="FR1737" s="1" t="s">
        <v>210</v>
      </c>
      <c r="FS1737" s="1" t="s">
        <v>2844</v>
      </c>
      <c r="FT1737" s="1" t="s">
        <v>295</v>
      </c>
      <c r="FU1737" s="1" t="s">
        <v>204</v>
      </c>
      <c r="FW1737" s="1" t="s">
        <v>2845</v>
      </c>
      <c r="FX1737" s="1">
        <v>5293</v>
      </c>
      <c r="FY1737" s="1" t="s">
        <v>2846</v>
      </c>
      <c r="FZ1737" s="1" t="s">
        <v>2847</v>
      </c>
      <c r="GA1737" s="1">
        <v>53957</v>
      </c>
      <c r="GE1737" s="1" t="s">
        <v>210</v>
      </c>
      <c r="GI1737" s="1" t="s">
        <v>204</v>
      </c>
      <c r="GJ1737" s="1" t="s">
        <v>260</v>
      </c>
      <c r="GK1737" s="1" t="s">
        <v>210</v>
      </c>
      <c r="GL1737" s="2">
        <v>42137</v>
      </c>
      <c r="GM1737" s="1" t="s">
        <v>16395</v>
      </c>
    </row>
    <row r="1738" spans="1:195">
      <c r="A1738" s="1">
        <v>195000</v>
      </c>
      <c r="B1738" s="1" t="s">
        <v>195</v>
      </c>
      <c r="C1738" s="1" t="str">
        <f>"08720120"</f>
        <v>08720120</v>
      </c>
      <c r="D1738" s="1" t="s">
        <v>196</v>
      </c>
      <c r="F1738" s="1" t="str">
        <f>"559"</f>
        <v>559</v>
      </c>
      <c r="G1738" s="2">
        <v>41887</v>
      </c>
      <c r="H1738" s="1">
        <v>224900</v>
      </c>
      <c r="I1738" s="1">
        <v>199900</v>
      </c>
      <c r="J1738" s="1">
        <v>195000</v>
      </c>
      <c r="K1738" s="2">
        <v>41887</v>
      </c>
      <c r="L1738" s="1">
        <v>179</v>
      </c>
      <c r="M1738" s="2">
        <v>42065</v>
      </c>
      <c r="N1738" s="1">
        <v>179</v>
      </c>
      <c r="O1738" s="2">
        <v>42065</v>
      </c>
      <c r="P1738" s="1">
        <v>23076</v>
      </c>
      <c r="Q1738" s="1" t="s">
        <v>197</v>
      </c>
      <c r="R1738" s="2">
        <v>42109</v>
      </c>
      <c r="S1738" s="1">
        <v>210645</v>
      </c>
      <c r="U1738" s="1">
        <v>905</v>
      </c>
      <c r="V1738" s="1" t="s">
        <v>16396</v>
      </c>
      <c r="W1738" s="1" t="s">
        <v>304</v>
      </c>
      <c r="Y1738" s="1">
        <v>2</v>
      </c>
      <c r="Z1738" s="1" t="s">
        <v>200</v>
      </c>
      <c r="AA1738" s="1" t="s">
        <v>1950</v>
      </c>
      <c r="AB1738" s="1">
        <v>60559</v>
      </c>
      <c r="AD1738" s="1" t="s">
        <v>10084</v>
      </c>
      <c r="AE1738" s="1" t="s">
        <v>16397</v>
      </c>
      <c r="AF1738" s="1">
        <v>1993</v>
      </c>
      <c r="AG1738" s="1" t="s">
        <v>204</v>
      </c>
      <c r="AH1738" s="1" t="s">
        <v>1952</v>
      </c>
      <c r="AI1738" s="1" t="s">
        <v>206</v>
      </c>
      <c r="AJ1738" s="1" t="s">
        <v>903</v>
      </c>
      <c r="AL1738" s="1">
        <v>6</v>
      </c>
      <c r="AM1738" s="1">
        <v>2</v>
      </c>
      <c r="AN1738" s="1">
        <v>1</v>
      </c>
      <c r="AO1738" s="1">
        <v>1</v>
      </c>
      <c r="AP1738" s="1" t="s">
        <v>209</v>
      </c>
      <c r="AQ1738" s="1">
        <v>1</v>
      </c>
      <c r="AR1738" s="1" t="s">
        <v>210</v>
      </c>
      <c r="AT1738" s="1" t="s">
        <v>211</v>
      </c>
      <c r="AU1738" s="1">
        <v>2</v>
      </c>
      <c r="AW1738" s="1" t="s">
        <v>204</v>
      </c>
      <c r="AX1738" s="1" t="s">
        <v>16398</v>
      </c>
      <c r="AZ1738" s="1">
        <v>4390.8999999999996</v>
      </c>
      <c r="BA1738" s="1">
        <v>2013</v>
      </c>
      <c r="BB1738" s="1" t="s">
        <v>405</v>
      </c>
      <c r="BE1738" s="1">
        <v>1715</v>
      </c>
      <c r="BF1738" s="1">
        <v>1</v>
      </c>
      <c r="BG1738" s="1">
        <v>30</v>
      </c>
      <c r="BL1738" s="1">
        <v>140</v>
      </c>
      <c r="BM1738" s="1" t="s">
        <v>204</v>
      </c>
      <c r="BN1738" s="1" t="s">
        <v>213</v>
      </c>
      <c r="BO1738" s="1">
        <v>999</v>
      </c>
      <c r="BP1738" s="1" t="s">
        <v>204</v>
      </c>
      <c r="BR1738" s="1" t="str">
        <f>"0916412031"</f>
        <v>0916412031</v>
      </c>
      <c r="BT1738" s="1" t="s">
        <v>16399</v>
      </c>
      <c r="BU1738" s="1" t="s">
        <v>2980</v>
      </c>
      <c r="BW1738" s="1" t="s">
        <v>2762</v>
      </c>
      <c r="BX1738" s="1">
        <v>60</v>
      </c>
      <c r="BY1738" s="1">
        <v>60</v>
      </c>
      <c r="BZ1738" s="1">
        <v>99</v>
      </c>
      <c r="CB1738" s="1" t="str">
        <f t="shared" ref="CB1738:CC1738" si="1317">""</f>
        <v/>
      </c>
      <c r="CC1738" s="1" t="str">
        <f t="shared" si="1317"/>
        <v/>
      </c>
      <c r="CG1738" s="1" t="s">
        <v>462</v>
      </c>
      <c r="CH1738" s="1" t="s">
        <v>219</v>
      </c>
      <c r="CI1738" s="1" t="s">
        <v>229</v>
      </c>
      <c r="CJ1738" s="1" t="s">
        <v>252</v>
      </c>
      <c r="CK1738" s="1" t="s">
        <v>1402</v>
      </c>
      <c r="CL1738" s="1" t="s">
        <v>277</v>
      </c>
      <c r="CM1738" s="1" t="s">
        <v>220</v>
      </c>
      <c r="CN1738" s="1" t="s">
        <v>252</v>
      </c>
      <c r="CO1738" s="1" t="s">
        <v>408</v>
      </c>
      <c r="CP1738" s="1" t="s">
        <v>219</v>
      </c>
      <c r="CQ1738" s="1" t="s">
        <v>229</v>
      </c>
      <c r="CR1738" s="1" t="s">
        <v>252</v>
      </c>
      <c r="CS1738" s="1" t="s">
        <v>836</v>
      </c>
      <c r="CT1738" s="1" t="s">
        <v>277</v>
      </c>
      <c r="CU1738" s="1" t="s">
        <v>220</v>
      </c>
      <c r="CV1738" s="1" t="s">
        <v>252</v>
      </c>
      <c r="CX1738" s="1" t="s">
        <v>224</v>
      </c>
      <c r="DB1738" s="1" t="s">
        <v>224</v>
      </c>
      <c r="DE1738" s="1" t="s">
        <v>3591</v>
      </c>
      <c r="DF1738" s="1" t="s">
        <v>219</v>
      </c>
      <c r="DG1738" s="1" t="s">
        <v>229</v>
      </c>
      <c r="DJ1738" s="1" t="s">
        <v>224</v>
      </c>
      <c r="DM1738" s="1" t="s">
        <v>464</v>
      </c>
      <c r="DR1738" s="1" t="s">
        <v>1046</v>
      </c>
      <c r="DS1738" s="1" t="s">
        <v>277</v>
      </c>
      <c r="DT1738" s="1" t="s">
        <v>220</v>
      </c>
      <c r="DW1738" s="1" t="s">
        <v>230</v>
      </c>
      <c r="EA1738" s="1" t="s">
        <v>230</v>
      </c>
      <c r="EE1738" s="1" t="s">
        <v>230</v>
      </c>
      <c r="EI1738" s="1" t="s">
        <v>230</v>
      </c>
      <c r="EL1738" s="1" t="s">
        <v>382</v>
      </c>
      <c r="EM1738" s="1" t="s">
        <v>319</v>
      </c>
      <c r="EN1738" s="1" t="s">
        <v>282</v>
      </c>
      <c r="EO1738" s="1" t="s">
        <v>234</v>
      </c>
      <c r="EQ1738" s="1" t="s">
        <v>468</v>
      </c>
      <c r="ER1738" s="1" t="s">
        <v>210</v>
      </c>
      <c r="ES1738" s="1" t="s">
        <v>469</v>
      </c>
      <c r="ET1738" s="1" t="s">
        <v>323</v>
      </c>
      <c r="EV1738" s="1" t="s">
        <v>324</v>
      </c>
      <c r="EW1738" s="1" t="s">
        <v>1219</v>
      </c>
      <c r="EY1738" s="1" t="s">
        <v>242</v>
      </c>
      <c r="EZ1738" s="1" t="s">
        <v>464</v>
      </c>
      <c r="FB1738" s="1" t="s">
        <v>289</v>
      </c>
      <c r="FD1738" s="1" t="s">
        <v>246</v>
      </c>
      <c r="FE1738" s="1" t="s">
        <v>975</v>
      </c>
      <c r="FF1738" s="1" t="s">
        <v>248</v>
      </c>
      <c r="FG1738" s="1" t="s">
        <v>912</v>
      </c>
      <c r="FH1738" s="1" t="s">
        <v>550</v>
      </c>
      <c r="FI1738" s="1" t="s">
        <v>473</v>
      </c>
      <c r="FJ1738" s="1" t="s">
        <v>1251</v>
      </c>
      <c r="FL1738" s="1" t="s">
        <v>358</v>
      </c>
      <c r="FM1738" s="1" t="s">
        <v>252</v>
      </c>
      <c r="FN1738" s="1" t="s">
        <v>213</v>
      </c>
      <c r="FO1738" s="1" t="s">
        <v>213</v>
      </c>
      <c r="FQ1738" s="1" t="s">
        <v>4636</v>
      </c>
      <c r="FR1738" s="1" t="s">
        <v>210</v>
      </c>
      <c r="FS1738" s="1" t="s">
        <v>16400</v>
      </c>
      <c r="FT1738" s="1" t="s">
        <v>691</v>
      </c>
      <c r="FU1738" s="1" t="s">
        <v>204</v>
      </c>
      <c r="FV1738" s="1" t="s">
        <v>9477</v>
      </c>
      <c r="FW1738" s="1" t="s">
        <v>915</v>
      </c>
      <c r="FX1738" s="1">
        <v>22049</v>
      </c>
      <c r="FY1738" s="1" t="s">
        <v>4731</v>
      </c>
      <c r="FZ1738" s="1" t="s">
        <v>9478</v>
      </c>
      <c r="GA1738" s="1">
        <v>212552</v>
      </c>
      <c r="GB1738" s="1" t="s">
        <v>9479</v>
      </c>
      <c r="GE1738" s="1" t="s">
        <v>1764</v>
      </c>
      <c r="GI1738" s="1" t="s">
        <v>213</v>
      </c>
      <c r="GJ1738" s="1" t="s">
        <v>260</v>
      </c>
      <c r="GK1738" s="1" t="s">
        <v>210</v>
      </c>
      <c r="GL1738" s="2">
        <v>42109</v>
      </c>
      <c r="GM1738" s="1" t="s">
        <v>16401</v>
      </c>
    </row>
    <row r="1739" spans="1:195">
      <c r="A1739" s="1">
        <v>265000</v>
      </c>
      <c r="B1739" s="1" t="s">
        <v>195</v>
      </c>
      <c r="C1739" s="1" t="str">
        <f>"08724287"</f>
        <v>08724287</v>
      </c>
      <c r="D1739" s="1" t="s">
        <v>196</v>
      </c>
      <c r="F1739" s="1" t="str">
        <f>"516"</f>
        <v>516</v>
      </c>
      <c r="G1739" s="2">
        <v>41892</v>
      </c>
      <c r="H1739" s="1">
        <v>292500</v>
      </c>
      <c r="I1739" s="1">
        <v>277000</v>
      </c>
      <c r="J1739" s="1">
        <v>265000</v>
      </c>
      <c r="K1739" s="2">
        <v>41892</v>
      </c>
      <c r="L1739" s="1">
        <v>70</v>
      </c>
      <c r="M1739" s="2">
        <v>41961</v>
      </c>
      <c r="N1739" s="1">
        <v>70</v>
      </c>
      <c r="O1739" s="2">
        <v>41961</v>
      </c>
      <c r="P1739" s="1">
        <v>20199</v>
      </c>
      <c r="Q1739" s="1" t="s">
        <v>197</v>
      </c>
      <c r="R1739" s="2">
        <v>41988</v>
      </c>
      <c r="S1739" s="1">
        <v>215350</v>
      </c>
      <c r="U1739" s="1">
        <v>6626</v>
      </c>
      <c r="V1739" s="1" t="s">
        <v>12271</v>
      </c>
      <c r="W1739" s="1" t="s">
        <v>264</v>
      </c>
      <c r="Y1739" s="1">
        <v>4</v>
      </c>
      <c r="Z1739" s="1" t="s">
        <v>249</v>
      </c>
      <c r="AA1739" s="1" t="s">
        <v>1417</v>
      </c>
      <c r="AB1739" s="1">
        <v>60527</v>
      </c>
      <c r="AD1739" s="1" t="s">
        <v>12272</v>
      </c>
      <c r="AE1739" s="1" t="s">
        <v>16402</v>
      </c>
      <c r="AF1739" s="1">
        <v>1995</v>
      </c>
      <c r="AG1739" s="1" t="s">
        <v>204</v>
      </c>
      <c r="AH1739" s="1" t="s">
        <v>1419</v>
      </c>
      <c r="AI1739" s="1" t="s">
        <v>206</v>
      </c>
      <c r="AJ1739" s="1" t="s">
        <v>903</v>
      </c>
      <c r="AK1739" s="1" t="s">
        <v>16403</v>
      </c>
      <c r="AL1739" s="1">
        <v>6</v>
      </c>
      <c r="AM1739" s="1">
        <v>2</v>
      </c>
      <c r="AN1739" s="1">
        <v>2</v>
      </c>
      <c r="AO1739" s="1">
        <v>1</v>
      </c>
      <c r="AP1739" s="1" t="s">
        <v>209</v>
      </c>
      <c r="AQ1739" s="1">
        <v>1</v>
      </c>
      <c r="AR1739" s="1" t="s">
        <v>210</v>
      </c>
      <c r="AS1739" s="1" t="s">
        <v>204</v>
      </c>
      <c r="AT1739" s="1" t="s">
        <v>211</v>
      </c>
      <c r="AU1739" s="1">
        <v>2</v>
      </c>
      <c r="AW1739" s="1" t="s">
        <v>204</v>
      </c>
      <c r="AX1739" s="1" t="s">
        <v>212</v>
      </c>
      <c r="AZ1739" s="1">
        <v>4428</v>
      </c>
      <c r="BA1739" s="1">
        <v>2013</v>
      </c>
      <c r="BB1739" s="1" t="s">
        <v>599</v>
      </c>
      <c r="BE1739" s="1">
        <v>1850</v>
      </c>
      <c r="BF1739" s="1">
        <v>1</v>
      </c>
      <c r="BG1739" s="1">
        <v>0</v>
      </c>
      <c r="BJ1739" s="1">
        <v>100</v>
      </c>
      <c r="BL1739" s="1">
        <v>221</v>
      </c>
      <c r="BM1739" s="1" t="s">
        <v>213</v>
      </c>
      <c r="BN1739" s="1" t="s">
        <v>213</v>
      </c>
      <c r="BO1739" s="1">
        <v>999</v>
      </c>
      <c r="BP1739" s="1" t="s">
        <v>204</v>
      </c>
      <c r="BR1739" s="1" t="str">
        <f>"0923123032"</f>
        <v>0923123032</v>
      </c>
      <c r="BT1739" s="1" t="s">
        <v>16404</v>
      </c>
      <c r="BU1739" s="1" t="s">
        <v>2980</v>
      </c>
      <c r="BV1739" s="1" t="s">
        <v>2981</v>
      </c>
      <c r="BW1739" s="1" t="s">
        <v>1546</v>
      </c>
      <c r="BX1739" s="1">
        <v>60</v>
      </c>
      <c r="BY1739" s="1">
        <v>60</v>
      </c>
      <c r="BZ1739" s="1">
        <v>86</v>
      </c>
      <c r="CA1739" s="1" t="s">
        <v>13678</v>
      </c>
      <c r="CB1739" s="1" t="str">
        <f t="shared" ref="CB1739:CC1739" si="1318">"0"</f>
        <v>0</v>
      </c>
      <c r="CC1739" s="1" t="str">
        <f t="shared" si="1318"/>
        <v>0</v>
      </c>
      <c r="CD1739" s="1">
        <v>16</v>
      </c>
      <c r="CE1739" s="1">
        <v>7</v>
      </c>
      <c r="CF1739" s="1" t="s">
        <v>907</v>
      </c>
      <c r="CG1739" s="1" t="s">
        <v>1267</v>
      </c>
      <c r="CH1739" s="1" t="s">
        <v>277</v>
      </c>
      <c r="CI1739" s="1" t="s">
        <v>220</v>
      </c>
      <c r="CK1739" s="1" t="s">
        <v>669</v>
      </c>
      <c r="CL1739" s="1" t="s">
        <v>277</v>
      </c>
      <c r="CM1739" s="1" t="s">
        <v>220</v>
      </c>
      <c r="CN1739" s="1" t="s">
        <v>252</v>
      </c>
      <c r="CO1739" s="1" t="s">
        <v>564</v>
      </c>
      <c r="CP1739" s="1" t="s">
        <v>277</v>
      </c>
      <c r="CQ1739" s="1" t="s">
        <v>220</v>
      </c>
      <c r="CS1739" s="1" t="s">
        <v>932</v>
      </c>
      <c r="CT1739" s="1" t="s">
        <v>822</v>
      </c>
      <c r="CU1739" s="1" t="s">
        <v>220</v>
      </c>
      <c r="CV1739" s="1" t="s">
        <v>343</v>
      </c>
      <c r="CX1739" s="1" t="s">
        <v>224</v>
      </c>
      <c r="DB1739" s="1" t="s">
        <v>224</v>
      </c>
      <c r="DE1739" s="1" t="s">
        <v>602</v>
      </c>
      <c r="DF1739" s="1" t="s">
        <v>277</v>
      </c>
      <c r="DG1739" s="1" t="s">
        <v>438</v>
      </c>
      <c r="DI1739" s="1" t="s">
        <v>1267</v>
      </c>
      <c r="DJ1739" s="1" t="s">
        <v>822</v>
      </c>
      <c r="DK1739" s="1" t="s">
        <v>220</v>
      </c>
      <c r="DS1739" s="1" t="s">
        <v>230</v>
      </c>
      <c r="DW1739" s="1" t="s">
        <v>230</v>
      </c>
      <c r="EA1739" s="1" t="s">
        <v>230</v>
      </c>
      <c r="EE1739" s="1" t="s">
        <v>230</v>
      </c>
      <c r="EI1739" s="1" t="s">
        <v>230</v>
      </c>
      <c r="EL1739" s="1" t="s">
        <v>670</v>
      </c>
      <c r="EM1739" s="1" t="s">
        <v>232</v>
      </c>
      <c r="EN1739" s="1" t="s">
        <v>282</v>
      </c>
      <c r="EO1739" s="1" t="s">
        <v>234</v>
      </c>
      <c r="EP1739" s="1" t="s">
        <v>650</v>
      </c>
      <c r="EQ1739" s="1" t="s">
        <v>236</v>
      </c>
      <c r="ER1739" s="1" t="s">
        <v>210</v>
      </c>
      <c r="ES1739" s="1" t="s">
        <v>3932</v>
      </c>
      <c r="ET1739" s="1" t="s">
        <v>1752</v>
      </c>
      <c r="EU1739" s="1" t="s">
        <v>712</v>
      </c>
      <c r="EV1739" s="1" t="s">
        <v>352</v>
      </c>
      <c r="EW1739" s="1" t="s">
        <v>887</v>
      </c>
      <c r="EZ1739" s="1" t="s">
        <v>287</v>
      </c>
      <c r="FA1739" s="1" t="s">
        <v>4742</v>
      </c>
      <c r="FB1739" s="1" t="s">
        <v>289</v>
      </c>
      <c r="FC1739" s="1" t="s">
        <v>3646</v>
      </c>
      <c r="FD1739" s="1" t="s">
        <v>16405</v>
      </c>
      <c r="FE1739" s="1" t="s">
        <v>975</v>
      </c>
      <c r="FF1739" s="1" t="s">
        <v>248</v>
      </c>
      <c r="FG1739" s="1" t="s">
        <v>871</v>
      </c>
      <c r="FH1739" s="1" t="s">
        <v>550</v>
      </c>
      <c r="FI1739" s="1" t="s">
        <v>473</v>
      </c>
      <c r="FJ1739" s="1" t="s">
        <v>197</v>
      </c>
      <c r="FL1739" s="1" t="s">
        <v>358</v>
      </c>
      <c r="FM1739" s="1" t="s">
        <v>252</v>
      </c>
      <c r="FN1739" s="1" t="s">
        <v>213</v>
      </c>
      <c r="FO1739" s="1" t="s">
        <v>213</v>
      </c>
      <c r="FQ1739" s="1" t="s">
        <v>615</v>
      </c>
      <c r="FR1739" s="1" t="s">
        <v>210</v>
      </c>
      <c r="FS1739" s="1" t="s">
        <v>16406</v>
      </c>
      <c r="FT1739" s="1" t="s">
        <v>295</v>
      </c>
      <c r="FU1739" s="1" t="s">
        <v>204</v>
      </c>
      <c r="FW1739" s="1" t="s">
        <v>5648</v>
      </c>
      <c r="FX1739" s="1">
        <v>23099</v>
      </c>
      <c r="FY1739" s="1" t="s">
        <v>5649</v>
      </c>
      <c r="FZ1739" s="1" t="s">
        <v>16407</v>
      </c>
      <c r="GA1739" s="1">
        <v>220929</v>
      </c>
      <c r="GB1739" s="1" t="s">
        <v>16408</v>
      </c>
      <c r="GD1739" s="1" t="s">
        <v>16409</v>
      </c>
      <c r="GE1739" s="1" t="s">
        <v>210</v>
      </c>
      <c r="GI1739" s="1" t="s">
        <v>213</v>
      </c>
      <c r="GJ1739" s="1" t="s">
        <v>260</v>
      </c>
      <c r="GK1739" s="1" t="s">
        <v>261</v>
      </c>
      <c r="GL1739" s="2">
        <v>41988</v>
      </c>
      <c r="GM1739" s="1" t="s">
        <v>16410</v>
      </c>
    </row>
    <row r="1740" spans="1:195">
      <c r="A1740" s="1">
        <v>72000</v>
      </c>
      <c r="B1740" s="1" t="s">
        <v>195</v>
      </c>
      <c r="C1740" s="1" t="str">
        <f>"08714940"</f>
        <v>08714940</v>
      </c>
      <c r="D1740" s="1" t="s">
        <v>196</v>
      </c>
      <c r="F1740" s="1" t="str">
        <f>"517"</f>
        <v>517</v>
      </c>
      <c r="G1740" s="2">
        <v>41880</v>
      </c>
      <c r="H1740" s="1">
        <v>73900</v>
      </c>
      <c r="I1740" s="1">
        <v>73900</v>
      </c>
      <c r="J1740" s="1">
        <v>72000</v>
      </c>
      <c r="K1740" s="2">
        <v>41880</v>
      </c>
      <c r="L1740" s="1">
        <v>181</v>
      </c>
      <c r="M1740" s="2">
        <v>41880</v>
      </c>
      <c r="N1740" s="1">
        <v>1</v>
      </c>
      <c r="O1740" s="2">
        <v>41880</v>
      </c>
      <c r="P1740" s="1">
        <v>21523</v>
      </c>
      <c r="Q1740" s="1" t="s">
        <v>302</v>
      </c>
      <c r="R1740" s="2">
        <v>41989</v>
      </c>
      <c r="S1740" s="1">
        <v>234483</v>
      </c>
      <c r="U1740" s="1">
        <v>2835</v>
      </c>
      <c r="V1740" s="1" t="s">
        <v>16411</v>
      </c>
      <c r="W1740" s="1" t="s">
        <v>1056</v>
      </c>
      <c r="X1740" s="1">
        <v>1</v>
      </c>
      <c r="Y1740" s="1">
        <v>8</v>
      </c>
      <c r="Z1740" s="1" t="s">
        <v>249</v>
      </c>
      <c r="AA1740" s="1" t="s">
        <v>2850</v>
      </c>
      <c r="AB1740" s="1">
        <v>60517</v>
      </c>
      <c r="AD1740" s="1" t="s">
        <v>2851</v>
      </c>
      <c r="AE1740" s="1" t="s">
        <v>16412</v>
      </c>
      <c r="AF1740" s="1">
        <v>1972</v>
      </c>
      <c r="AG1740" s="1" t="s">
        <v>213</v>
      </c>
      <c r="AH1740" s="1" t="s">
        <v>2853</v>
      </c>
      <c r="AI1740" s="1" t="s">
        <v>206</v>
      </c>
      <c r="AJ1740" s="1" t="s">
        <v>925</v>
      </c>
      <c r="AL1740" s="1">
        <v>5</v>
      </c>
      <c r="AM1740" s="1">
        <v>2</v>
      </c>
      <c r="AN1740" s="1">
        <v>2</v>
      </c>
      <c r="AO1740" s="1">
        <v>0</v>
      </c>
      <c r="AP1740" s="1" t="s">
        <v>209</v>
      </c>
      <c r="AQ1740" s="1">
        <v>0</v>
      </c>
      <c r="AR1740" s="1" t="s">
        <v>210</v>
      </c>
      <c r="AS1740" s="1" t="s">
        <v>204</v>
      </c>
      <c r="AT1740" s="1" t="s">
        <v>271</v>
      </c>
      <c r="AV1740" s="1">
        <v>2</v>
      </c>
      <c r="AW1740" s="1" t="s">
        <v>204</v>
      </c>
      <c r="AX1740" s="1" t="s">
        <v>212</v>
      </c>
      <c r="AZ1740" s="1">
        <v>2045.58</v>
      </c>
      <c r="BA1740" s="1">
        <v>2013</v>
      </c>
      <c r="BB1740" s="1" t="s">
        <v>405</v>
      </c>
      <c r="BC1740" s="1">
        <v>0</v>
      </c>
      <c r="BD1740" s="1">
        <v>2012</v>
      </c>
      <c r="BE1740" s="1">
        <v>1150</v>
      </c>
      <c r="BF1740" s="1">
        <v>1</v>
      </c>
      <c r="BG1740" s="1">
        <v>15</v>
      </c>
      <c r="BL1740" s="1">
        <v>293</v>
      </c>
      <c r="BM1740" s="1" t="s">
        <v>204</v>
      </c>
      <c r="BN1740" s="1" t="s">
        <v>213</v>
      </c>
      <c r="BO1740" s="1">
        <v>999</v>
      </c>
      <c r="BP1740" s="1" t="s">
        <v>204</v>
      </c>
      <c r="BR1740" s="1" t="str">
        <f>"0823209028"</f>
        <v>0823209028</v>
      </c>
      <c r="BT1740" s="1" t="s">
        <v>16413</v>
      </c>
      <c r="BU1740" s="1" t="s">
        <v>2855</v>
      </c>
      <c r="BV1740" s="1" t="s">
        <v>2856</v>
      </c>
      <c r="BX1740" s="1">
        <v>68</v>
      </c>
      <c r="BY1740" s="1">
        <v>68</v>
      </c>
      <c r="BZ1740" s="1">
        <v>99</v>
      </c>
      <c r="CB1740" s="1" t="str">
        <f t="shared" ref="CB1740:CC1740" si="1319">"0"</f>
        <v>0</v>
      </c>
      <c r="CC1740" s="1" t="str">
        <f t="shared" si="1319"/>
        <v>0</v>
      </c>
      <c r="CD1740" s="1">
        <v>21</v>
      </c>
      <c r="CE1740" s="1">
        <v>7</v>
      </c>
      <c r="CG1740" s="1" t="s">
        <v>1570</v>
      </c>
      <c r="CH1740" s="1" t="s">
        <v>219</v>
      </c>
      <c r="CI1740" s="1" t="s">
        <v>229</v>
      </c>
      <c r="CK1740" s="1" t="s">
        <v>344</v>
      </c>
      <c r="CL1740" s="1" t="s">
        <v>219</v>
      </c>
      <c r="CM1740" s="1" t="s">
        <v>220</v>
      </c>
      <c r="CO1740" s="1" t="s">
        <v>630</v>
      </c>
      <c r="CP1740" s="1" t="s">
        <v>219</v>
      </c>
      <c r="CQ1740" s="1" t="s">
        <v>229</v>
      </c>
      <c r="CS1740" s="1" t="s">
        <v>1297</v>
      </c>
      <c r="CT1740" s="1" t="s">
        <v>219</v>
      </c>
      <c r="CU1740" s="1" t="s">
        <v>220</v>
      </c>
      <c r="CX1740" s="1" t="s">
        <v>224</v>
      </c>
      <c r="DB1740" s="1" t="s">
        <v>224</v>
      </c>
      <c r="DE1740" s="1" t="s">
        <v>821</v>
      </c>
      <c r="DF1740" s="1" t="s">
        <v>219</v>
      </c>
      <c r="DG1740" s="1" t="s">
        <v>229</v>
      </c>
      <c r="DJ1740" s="1" t="s">
        <v>224</v>
      </c>
      <c r="DS1740" s="1" t="s">
        <v>230</v>
      </c>
      <c r="DW1740" s="1" t="s">
        <v>230</v>
      </c>
      <c r="EA1740" s="1" t="s">
        <v>230</v>
      </c>
      <c r="EE1740" s="1" t="s">
        <v>230</v>
      </c>
      <c r="EI1740" s="1" t="s">
        <v>230</v>
      </c>
      <c r="EL1740" s="1" t="s">
        <v>605</v>
      </c>
      <c r="EM1740" s="1" t="s">
        <v>232</v>
      </c>
      <c r="EN1740" s="1" t="s">
        <v>282</v>
      </c>
      <c r="EO1740" s="1" t="s">
        <v>840</v>
      </c>
      <c r="EP1740" s="1" t="s">
        <v>1283</v>
      </c>
      <c r="EQ1740" s="1" t="s">
        <v>953</v>
      </c>
      <c r="ER1740" s="1" t="s">
        <v>210</v>
      </c>
      <c r="EV1740" s="1" t="s">
        <v>1999</v>
      </c>
      <c r="EW1740" s="1" t="s">
        <v>2765</v>
      </c>
      <c r="EY1740" s="1" t="s">
        <v>242</v>
      </c>
      <c r="EZ1740" s="1" t="s">
        <v>287</v>
      </c>
      <c r="FB1740" s="1" t="s">
        <v>289</v>
      </c>
      <c r="FD1740" s="1" t="s">
        <v>246</v>
      </c>
      <c r="FE1740" s="1" t="s">
        <v>386</v>
      </c>
      <c r="FF1740" s="1" t="s">
        <v>248</v>
      </c>
      <c r="FH1740" s="1" t="s">
        <v>716</v>
      </c>
      <c r="FJ1740" s="1" t="s">
        <v>197</v>
      </c>
      <c r="FK1740" s="1" t="s">
        <v>891</v>
      </c>
      <c r="FL1740" s="1" t="s">
        <v>358</v>
      </c>
      <c r="FM1740" s="1" t="s">
        <v>252</v>
      </c>
      <c r="FN1740" s="1" t="s">
        <v>213</v>
      </c>
      <c r="FO1740" s="1" t="s">
        <v>213</v>
      </c>
      <c r="FQ1740" s="1" t="s">
        <v>3977</v>
      </c>
      <c r="FR1740" s="1" t="s">
        <v>360</v>
      </c>
      <c r="FS1740" s="1" t="s">
        <v>16414</v>
      </c>
      <c r="FT1740" s="1" t="s">
        <v>362</v>
      </c>
      <c r="FU1740" s="1" t="s">
        <v>204</v>
      </c>
      <c r="FW1740" s="1" t="s">
        <v>16415</v>
      </c>
      <c r="FX1740" s="1">
        <v>21523</v>
      </c>
      <c r="FY1740" s="1" t="s">
        <v>16416</v>
      </c>
      <c r="FZ1740" s="1" t="s">
        <v>16417</v>
      </c>
      <c r="GA1740" s="1">
        <v>234483</v>
      </c>
      <c r="GB1740" s="1" t="s">
        <v>16416</v>
      </c>
      <c r="GE1740" s="1" t="s">
        <v>210</v>
      </c>
      <c r="GI1740" s="1" t="s">
        <v>213</v>
      </c>
      <c r="GJ1740" s="1" t="s">
        <v>260</v>
      </c>
      <c r="GK1740" s="1" t="s">
        <v>210</v>
      </c>
      <c r="GL1740" s="2">
        <v>41989</v>
      </c>
      <c r="GM1740" s="1" t="s">
        <v>397</v>
      </c>
    </row>
    <row r="1741" spans="1:195">
      <c r="A1741" s="1">
        <v>108000</v>
      </c>
      <c r="B1741" s="1" t="s">
        <v>195</v>
      </c>
      <c r="C1741" s="1" t="str">
        <f>"08725642"</f>
        <v>08725642</v>
      </c>
      <c r="D1741" s="1" t="s">
        <v>196</v>
      </c>
      <c r="F1741" s="1" t="str">
        <f>"73"</f>
        <v>73</v>
      </c>
      <c r="G1741" s="2">
        <v>41893</v>
      </c>
      <c r="H1741" s="1">
        <v>115000</v>
      </c>
      <c r="I1741" s="1">
        <v>109900</v>
      </c>
      <c r="J1741" s="1">
        <v>108000</v>
      </c>
      <c r="K1741" s="2">
        <v>41892</v>
      </c>
      <c r="L1741" s="1">
        <v>44</v>
      </c>
      <c r="M1741" s="2">
        <v>41935</v>
      </c>
      <c r="N1741" s="1">
        <v>44</v>
      </c>
      <c r="O1741" s="2">
        <v>41935</v>
      </c>
      <c r="P1741" s="1">
        <v>8405</v>
      </c>
      <c r="Q1741" s="1" t="s">
        <v>423</v>
      </c>
      <c r="R1741" s="2">
        <v>42060</v>
      </c>
      <c r="S1741" s="1">
        <v>243237</v>
      </c>
      <c r="U1741" s="1">
        <v>137</v>
      </c>
      <c r="V1741" s="1" t="s">
        <v>16418</v>
      </c>
      <c r="W1741" s="1" t="s">
        <v>504</v>
      </c>
      <c r="Y1741" s="1">
        <v>2</v>
      </c>
      <c r="Z1741" s="1" t="s">
        <v>370</v>
      </c>
      <c r="AA1741" s="1" t="s">
        <v>1259</v>
      </c>
      <c r="AB1741" s="1">
        <v>60073</v>
      </c>
      <c r="AD1741" s="1" t="s">
        <v>2732</v>
      </c>
      <c r="AE1741" s="1" t="s">
        <v>16419</v>
      </c>
      <c r="AF1741" s="1">
        <v>2001</v>
      </c>
      <c r="AG1741" s="1" t="s">
        <v>204</v>
      </c>
      <c r="AH1741" s="1" t="s">
        <v>1262</v>
      </c>
      <c r="AI1741" s="1" t="s">
        <v>509</v>
      </c>
      <c r="AJ1741" s="1" t="s">
        <v>1263</v>
      </c>
      <c r="AL1741" s="1">
        <v>5</v>
      </c>
      <c r="AM1741" s="1">
        <v>2</v>
      </c>
      <c r="AN1741" s="1">
        <v>1</v>
      </c>
      <c r="AO1741" s="1">
        <v>1</v>
      </c>
      <c r="AP1741" s="1" t="s">
        <v>455</v>
      </c>
      <c r="AR1741" s="1" t="s">
        <v>210</v>
      </c>
      <c r="AT1741" s="1" t="s">
        <v>211</v>
      </c>
      <c r="AU1741" s="1">
        <v>2</v>
      </c>
      <c r="AW1741" s="1" t="s">
        <v>204</v>
      </c>
      <c r="AX1741" s="1" t="s">
        <v>2734</v>
      </c>
      <c r="AZ1741" s="1">
        <v>3961.94</v>
      </c>
      <c r="BA1741" s="1">
        <v>2013</v>
      </c>
      <c r="BB1741" s="1" t="s">
        <v>405</v>
      </c>
      <c r="BE1741" s="1">
        <v>1312</v>
      </c>
      <c r="BF1741" s="1">
        <v>1</v>
      </c>
      <c r="BG1741" s="1">
        <v>0</v>
      </c>
      <c r="BL1741" s="1">
        <v>62</v>
      </c>
      <c r="BM1741" s="1" t="s">
        <v>204</v>
      </c>
      <c r="BN1741" s="1" t="s">
        <v>213</v>
      </c>
      <c r="BO1741" s="1">
        <v>999</v>
      </c>
      <c r="BP1741" s="1" t="s">
        <v>204</v>
      </c>
      <c r="BR1741" s="1" t="str">
        <f>"06324060490000"</f>
        <v>06324060490000</v>
      </c>
      <c r="BT1741" s="1" t="s">
        <v>16420</v>
      </c>
      <c r="BX1741" s="1">
        <v>46</v>
      </c>
      <c r="BY1741" s="1">
        <v>46</v>
      </c>
      <c r="BZ1741" s="1">
        <v>127</v>
      </c>
      <c r="CB1741" s="1" t="str">
        <f t="shared" ref="CB1741:CC1741" si="1320">""</f>
        <v/>
      </c>
      <c r="CC1741" s="1" t="str">
        <f t="shared" si="1320"/>
        <v/>
      </c>
      <c r="CG1741" s="1" t="s">
        <v>378</v>
      </c>
      <c r="CH1741" s="1" t="s">
        <v>219</v>
      </c>
      <c r="CI1741" s="1" t="s">
        <v>438</v>
      </c>
      <c r="CJ1741" s="1" t="s">
        <v>252</v>
      </c>
      <c r="CK1741" s="1" t="s">
        <v>757</v>
      </c>
      <c r="CL1741" s="1" t="s">
        <v>277</v>
      </c>
      <c r="CM1741" s="1" t="s">
        <v>220</v>
      </c>
      <c r="CN1741" s="1" t="s">
        <v>252</v>
      </c>
      <c r="CO1741" s="1" t="s">
        <v>317</v>
      </c>
      <c r="CP1741" s="1" t="s">
        <v>219</v>
      </c>
      <c r="CQ1741" s="1" t="s">
        <v>438</v>
      </c>
      <c r="CR1741" s="1" t="s">
        <v>252</v>
      </c>
      <c r="CS1741" s="1" t="s">
        <v>378</v>
      </c>
      <c r="CT1741" s="1" t="s">
        <v>277</v>
      </c>
      <c r="CU1741" s="1" t="s">
        <v>220</v>
      </c>
      <c r="CV1741" s="1" t="s">
        <v>252</v>
      </c>
      <c r="CX1741" s="1" t="s">
        <v>224</v>
      </c>
      <c r="DB1741" s="1" t="s">
        <v>224</v>
      </c>
      <c r="DE1741" s="1" t="s">
        <v>223</v>
      </c>
      <c r="DF1741" s="1" t="s">
        <v>219</v>
      </c>
      <c r="DG1741" s="1" t="s">
        <v>438</v>
      </c>
      <c r="DH1741" s="1" t="s">
        <v>343</v>
      </c>
      <c r="DJ1741" s="1" t="s">
        <v>224</v>
      </c>
      <c r="DS1741" s="1" t="s">
        <v>230</v>
      </c>
      <c r="DW1741" s="1" t="s">
        <v>230</v>
      </c>
      <c r="EA1741" s="1" t="s">
        <v>230</v>
      </c>
      <c r="EE1741" s="1" t="s">
        <v>230</v>
      </c>
      <c r="EI1741" s="1" t="s">
        <v>230</v>
      </c>
      <c r="EL1741" s="1" t="s">
        <v>466</v>
      </c>
      <c r="EM1741" s="1" t="s">
        <v>319</v>
      </c>
      <c r="EN1741" s="1" t="s">
        <v>282</v>
      </c>
      <c r="EO1741" s="1" t="s">
        <v>234</v>
      </c>
      <c r="EP1741" s="1" t="s">
        <v>1268</v>
      </c>
      <c r="EQ1741" s="1" t="s">
        <v>236</v>
      </c>
      <c r="ER1741" s="1" t="s">
        <v>383</v>
      </c>
      <c r="ES1741" s="1" t="s">
        <v>824</v>
      </c>
      <c r="ET1741" s="1" t="s">
        <v>842</v>
      </c>
      <c r="EW1741" s="1" t="s">
        <v>210</v>
      </c>
      <c r="EY1741" s="1" t="s">
        <v>242</v>
      </c>
      <c r="EZ1741" s="1" t="s">
        <v>287</v>
      </c>
      <c r="FA1741" s="1" t="s">
        <v>16421</v>
      </c>
      <c r="FD1741" s="1" t="s">
        <v>246</v>
      </c>
      <c r="FE1741" s="1" t="s">
        <v>2645</v>
      </c>
      <c r="FF1741" s="1" t="s">
        <v>248</v>
      </c>
      <c r="FH1741" s="1" t="s">
        <v>442</v>
      </c>
      <c r="FI1741" s="1" t="s">
        <v>2889</v>
      </c>
      <c r="FJ1741" s="1" t="s">
        <v>1620</v>
      </c>
      <c r="FL1741" s="1" t="s">
        <v>358</v>
      </c>
      <c r="FM1741" s="1" t="s">
        <v>252</v>
      </c>
      <c r="FN1741" s="1" t="s">
        <v>213</v>
      </c>
      <c r="FO1741" s="1" t="s">
        <v>213</v>
      </c>
      <c r="FQ1741" s="1" t="s">
        <v>2142</v>
      </c>
      <c r="FR1741" s="1" t="s">
        <v>360</v>
      </c>
      <c r="FS1741" s="1" t="s">
        <v>583</v>
      </c>
      <c r="FT1741" s="1" t="s">
        <v>362</v>
      </c>
      <c r="FU1741" s="1" t="s">
        <v>204</v>
      </c>
      <c r="FW1741" s="1" t="s">
        <v>585</v>
      </c>
      <c r="FX1741" s="1">
        <v>2050</v>
      </c>
      <c r="FY1741" s="1" t="s">
        <v>4207</v>
      </c>
      <c r="FZ1741" s="1" t="s">
        <v>16422</v>
      </c>
      <c r="GA1741" s="1">
        <v>18891</v>
      </c>
      <c r="GB1741" s="1" t="s">
        <v>16423</v>
      </c>
      <c r="GE1741" s="1" t="s">
        <v>1256</v>
      </c>
      <c r="GH1741" s="1" t="s">
        <v>589</v>
      </c>
      <c r="GI1741" s="1" t="s">
        <v>213</v>
      </c>
      <c r="GJ1741" s="1" t="s">
        <v>260</v>
      </c>
      <c r="GK1741" s="1" t="s">
        <v>210</v>
      </c>
      <c r="GL1741" s="2">
        <v>42060</v>
      </c>
      <c r="GM1741" s="1" t="s">
        <v>16424</v>
      </c>
    </row>
    <row r="1742" spans="1:195">
      <c r="A1742" s="1">
        <v>149000</v>
      </c>
      <c r="B1742" s="1" t="s">
        <v>195</v>
      </c>
      <c r="C1742" s="1" t="str">
        <f>"08713173"</f>
        <v>08713173</v>
      </c>
      <c r="D1742" s="1" t="s">
        <v>196</v>
      </c>
      <c r="F1742" s="1" t="str">
        <f>"123"</f>
        <v>123</v>
      </c>
      <c r="G1742" s="2">
        <v>41879</v>
      </c>
      <c r="H1742" s="1">
        <v>154900</v>
      </c>
      <c r="I1742" s="1">
        <v>149900</v>
      </c>
      <c r="J1742" s="1">
        <v>149000</v>
      </c>
      <c r="K1742" s="2">
        <v>41878</v>
      </c>
      <c r="L1742" s="1">
        <v>67</v>
      </c>
      <c r="M1742" s="2">
        <v>41944</v>
      </c>
      <c r="N1742" s="1">
        <v>67</v>
      </c>
      <c r="O1742" s="2">
        <v>41944</v>
      </c>
      <c r="P1742" s="1">
        <v>8059</v>
      </c>
      <c r="Q1742" s="1" t="s">
        <v>197</v>
      </c>
      <c r="R1742" s="2">
        <v>41985</v>
      </c>
      <c r="S1742" s="1">
        <v>81085</v>
      </c>
      <c r="U1742" s="1">
        <v>3356</v>
      </c>
      <c r="V1742" s="1" t="s">
        <v>9490</v>
      </c>
      <c r="W1742" s="1" t="s">
        <v>264</v>
      </c>
      <c r="Y1742" s="1">
        <v>6</v>
      </c>
      <c r="Z1742" s="1" t="s">
        <v>370</v>
      </c>
      <c r="AA1742" s="1" t="s">
        <v>1173</v>
      </c>
      <c r="AB1742" s="1">
        <v>60124</v>
      </c>
      <c r="AD1742" s="1" t="s">
        <v>16425</v>
      </c>
      <c r="AE1742" s="1" t="s">
        <v>16426</v>
      </c>
      <c r="AF1742" s="1">
        <v>2007</v>
      </c>
      <c r="AG1742" s="1" t="s">
        <v>204</v>
      </c>
      <c r="AH1742" s="1" t="s">
        <v>1175</v>
      </c>
      <c r="AI1742" s="1" t="s">
        <v>665</v>
      </c>
      <c r="AJ1742" s="1" t="s">
        <v>1175</v>
      </c>
      <c r="AK1742" s="1" t="s">
        <v>10145</v>
      </c>
      <c r="AL1742" s="1">
        <v>6</v>
      </c>
      <c r="AM1742" s="1">
        <v>2</v>
      </c>
      <c r="AN1742" s="1">
        <v>2</v>
      </c>
      <c r="AO1742" s="1">
        <v>1</v>
      </c>
      <c r="AP1742" s="1" t="s">
        <v>209</v>
      </c>
      <c r="AR1742" s="1" t="s">
        <v>1483</v>
      </c>
      <c r="AS1742" s="1" t="s">
        <v>213</v>
      </c>
      <c r="AT1742" s="1" t="s">
        <v>211</v>
      </c>
      <c r="AU1742" s="1">
        <v>2</v>
      </c>
      <c r="AW1742" s="1" t="s">
        <v>204</v>
      </c>
      <c r="AX1742" s="1" t="s">
        <v>212</v>
      </c>
      <c r="AZ1742" s="1">
        <v>5453</v>
      </c>
      <c r="BA1742" s="1">
        <v>2012</v>
      </c>
      <c r="BB1742" s="1" t="s">
        <v>405</v>
      </c>
      <c r="BE1742" s="1">
        <v>1700</v>
      </c>
      <c r="BF1742" s="1">
        <v>1</v>
      </c>
      <c r="BG1742" s="1">
        <v>0</v>
      </c>
      <c r="BL1742" s="1">
        <v>178</v>
      </c>
      <c r="BM1742" s="1" t="s">
        <v>204</v>
      </c>
      <c r="BN1742" s="1" t="s">
        <v>213</v>
      </c>
      <c r="BO1742" s="1">
        <v>999</v>
      </c>
      <c r="BP1742" s="1" t="s">
        <v>204</v>
      </c>
      <c r="BR1742" s="1" t="str">
        <f>"0618226042"</f>
        <v>0618226042</v>
      </c>
      <c r="BT1742" s="1" t="s">
        <v>16427</v>
      </c>
      <c r="BU1742" s="1" t="s">
        <v>9494</v>
      </c>
      <c r="BV1742" s="1" t="s">
        <v>9495</v>
      </c>
      <c r="BW1742" s="1" t="s">
        <v>9496</v>
      </c>
      <c r="BX1742" s="1">
        <v>301</v>
      </c>
      <c r="BY1742" s="1">
        <v>301</v>
      </c>
      <c r="BZ1742" s="1">
        <v>301</v>
      </c>
      <c r="CB1742" s="1" t="str">
        <f t="shared" ref="CB1742:CC1742" si="1321">""</f>
        <v/>
      </c>
      <c r="CC1742" s="1" t="str">
        <f t="shared" si="1321"/>
        <v/>
      </c>
      <c r="CG1742" s="1" t="s">
        <v>462</v>
      </c>
      <c r="CH1742" s="1" t="s">
        <v>219</v>
      </c>
      <c r="CI1742" s="1" t="s">
        <v>220</v>
      </c>
      <c r="CJ1742" s="1" t="s">
        <v>463</v>
      </c>
      <c r="CK1742" s="1" t="s">
        <v>1403</v>
      </c>
      <c r="CL1742" s="1" t="s">
        <v>219</v>
      </c>
      <c r="CM1742" s="1" t="s">
        <v>220</v>
      </c>
      <c r="CN1742" s="1" t="s">
        <v>343</v>
      </c>
      <c r="CO1742" s="1" t="s">
        <v>465</v>
      </c>
      <c r="CP1742" s="1" t="s">
        <v>219</v>
      </c>
      <c r="CQ1742" s="1" t="s">
        <v>220</v>
      </c>
      <c r="CR1742" s="1" t="s">
        <v>463</v>
      </c>
      <c r="CS1742" s="1" t="s">
        <v>1360</v>
      </c>
      <c r="CT1742" s="1" t="s">
        <v>219</v>
      </c>
      <c r="CU1742" s="1" t="s">
        <v>220</v>
      </c>
      <c r="CV1742" s="1" t="s">
        <v>343</v>
      </c>
      <c r="CX1742" s="1" t="s">
        <v>224</v>
      </c>
      <c r="DB1742" s="1" t="s">
        <v>224</v>
      </c>
      <c r="DE1742" s="1" t="s">
        <v>1469</v>
      </c>
      <c r="DF1742" s="1" t="s">
        <v>219</v>
      </c>
      <c r="DG1742" s="1" t="s">
        <v>347</v>
      </c>
      <c r="DI1742" s="1" t="s">
        <v>4649</v>
      </c>
      <c r="DJ1742" s="1" t="s">
        <v>822</v>
      </c>
      <c r="DK1742" s="1" t="s">
        <v>220</v>
      </c>
      <c r="DL1742" s="1" t="s">
        <v>343</v>
      </c>
      <c r="DM1742" s="1" t="s">
        <v>2278</v>
      </c>
      <c r="DN1742" s="1" t="s">
        <v>1771</v>
      </c>
      <c r="DO1742" s="1" t="s">
        <v>838</v>
      </c>
      <c r="DR1742" s="1" t="s">
        <v>1855</v>
      </c>
      <c r="DS1742" s="1" t="s">
        <v>822</v>
      </c>
      <c r="DT1742" s="1" t="s">
        <v>342</v>
      </c>
      <c r="DV1742" s="1" t="s">
        <v>5974</v>
      </c>
      <c r="DW1742" s="1" t="s">
        <v>219</v>
      </c>
      <c r="DX1742" s="1" t="s">
        <v>220</v>
      </c>
      <c r="DZ1742" s="1" t="s">
        <v>7487</v>
      </c>
      <c r="EA1742" s="1" t="s">
        <v>219</v>
      </c>
      <c r="EE1742" s="1" t="s">
        <v>230</v>
      </c>
      <c r="EI1742" s="1" t="s">
        <v>230</v>
      </c>
      <c r="EL1742" s="1" t="s">
        <v>491</v>
      </c>
      <c r="EM1742" s="1" t="s">
        <v>319</v>
      </c>
      <c r="EN1742" s="1" t="s">
        <v>282</v>
      </c>
      <c r="EO1742" s="1" t="s">
        <v>234</v>
      </c>
      <c r="EP1742" s="1" t="s">
        <v>543</v>
      </c>
      <c r="EQ1742" s="1" t="s">
        <v>236</v>
      </c>
      <c r="ER1742" s="1" t="s">
        <v>544</v>
      </c>
      <c r="ES1742" s="1" t="s">
        <v>493</v>
      </c>
      <c r="ET1742" s="1" t="s">
        <v>842</v>
      </c>
      <c r="EU1742" s="1" t="s">
        <v>239</v>
      </c>
      <c r="EV1742" s="1" t="s">
        <v>324</v>
      </c>
      <c r="EW1742" s="1" t="s">
        <v>353</v>
      </c>
      <c r="EY1742" s="1" t="s">
        <v>441</v>
      </c>
      <c r="EZ1742" s="1" t="s">
        <v>16428</v>
      </c>
      <c r="FA1742" s="1" t="s">
        <v>714</v>
      </c>
      <c r="FB1742" s="1" t="s">
        <v>289</v>
      </c>
      <c r="FD1742" s="1" t="s">
        <v>246</v>
      </c>
      <c r="FE1742" s="1" t="s">
        <v>472</v>
      </c>
      <c r="FF1742" s="1" t="s">
        <v>248</v>
      </c>
      <c r="FH1742" s="1" t="s">
        <v>550</v>
      </c>
      <c r="FI1742" s="1" t="s">
        <v>473</v>
      </c>
      <c r="FJ1742" s="1" t="s">
        <v>518</v>
      </c>
      <c r="FL1742" s="1" t="s">
        <v>358</v>
      </c>
      <c r="FM1742" s="1" t="s">
        <v>252</v>
      </c>
      <c r="FN1742" s="1" t="s">
        <v>213</v>
      </c>
      <c r="FO1742" s="1" t="s">
        <v>213</v>
      </c>
      <c r="FQ1742" s="1" t="s">
        <v>3545</v>
      </c>
      <c r="FR1742" s="1" t="s">
        <v>210</v>
      </c>
      <c r="FS1742" s="1" t="s">
        <v>16429</v>
      </c>
      <c r="FT1742" s="1" t="s">
        <v>16430</v>
      </c>
      <c r="FU1742" s="1" t="s">
        <v>204</v>
      </c>
      <c r="FW1742" s="1" t="s">
        <v>256</v>
      </c>
      <c r="FX1742" s="1">
        <v>8101</v>
      </c>
      <c r="FY1742" s="1" t="s">
        <v>11342</v>
      </c>
      <c r="FZ1742" s="1" t="s">
        <v>16431</v>
      </c>
      <c r="GA1742" s="1">
        <v>86136</v>
      </c>
      <c r="GB1742" s="1" t="s">
        <v>16432</v>
      </c>
      <c r="GE1742" s="1" t="s">
        <v>1226</v>
      </c>
      <c r="GI1742" s="1" t="s">
        <v>213</v>
      </c>
      <c r="GJ1742" s="1" t="s">
        <v>260</v>
      </c>
      <c r="GK1742" s="1" t="s">
        <v>261</v>
      </c>
      <c r="GL1742" s="2">
        <v>41985</v>
      </c>
      <c r="GM1742" s="1" t="s">
        <v>16433</v>
      </c>
    </row>
    <row r="1743" spans="1:195">
      <c r="A1743" s="1">
        <v>117000</v>
      </c>
      <c r="B1743" s="1" t="s">
        <v>195</v>
      </c>
      <c r="C1743" s="1" t="str">
        <f>"08715797"</f>
        <v>08715797</v>
      </c>
      <c r="D1743" s="1" t="s">
        <v>196</v>
      </c>
      <c r="F1743" s="1" t="str">
        <f>"559"</f>
        <v>559</v>
      </c>
      <c r="G1743" s="2">
        <v>41883</v>
      </c>
      <c r="H1743" s="1">
        <v>125000</v>
      </c>
      <c r="I1743" s="1">
        <v>125000</v>
      </c>
      <c r="J1743" s="1">
        <v>117000</v>
      </c>
      <c r="K1743" s="2">
        <v>41883</v>
      </c>
      <c r="L1743" s="1">
        <v>64</v>
      </c>
      <c r="M1743" s="2">
        <v>41946</v>
      </c>
      <c r="N1743" s="1">
        <v>64</v>
      </c>
      <c r="O1743" s="2">
        <v>41946</v>
      </c>
      <c r="P1743" s="1">
        <v>90140</v>
      </c>
      <c r="Q1743" s="1" t="s">
        <v>197</v>
      </c>
      <c r="R1743" s="2">
        <v>41992</v>
      </c>
      <c r="S1743" s="1">
        <v>244099</v>
      </c>
      <c r="T1743" s="1">
        <v>2000</v>
      </c>
      <c r="U1743" s="1">
        <v>1326</v>
      </c>
      <c r="V1743" s="1" t="s">
        <v>9773</v>
      </c>
      <c r="W1743" s="1" t="s">
        <v>504</v>
      </c>
      <c r="X1743" s="1">
        <v>102</v>
      </c>
      <c r="Y1743" s="1">
        <v>4</v>
      </c>
      <c r="Z1743" s="1" t="s">
        <v>249</v>
      </c>
      <c r="AA1743" s="1" t="s">
        <v>1950</v>
      </c>
      <c r="AB1743" s="1">
        <v>60559</v>
      </c>
      <c r="AD1743" s="1" t="s">
        <v>2977</v>
      </c>
      <c r="AE1743" s="1" t="s">
        <v>16434</v>
      </c>
      <c r="AF1743" s="1">
        <v>1975</v>
      </c>
      <c r="AG1743" s="1" t="s">
        <v>213</v>
      </c>
      <c r="AH1743" s="1" t="s">
        <v>1952</v>
      </c>
      <c r="AI1743" s="1" t="s">
        <v>206</v>
      </c>
      <c r="AJ1743" s="1" t="s">
        <v>903</v>
      </c>
      <c r="AL1743" s="1">
        <v>5</v>
      </c>
      <c r="AM1743" s="1">
        <v>2</v>
      </c>
      <c r="AN1743" s="1">
        <v>2</v>
      </c>
      <c r="AO1743" s="1">
        <v>0</v>
      </c>
      <c r="AP1743" s="1" t="s">
        <v>209</v>
      </c>
      <c r="AQ1743" s="1">
        <v>1</v>
      </c>
      <c r="AR1743" s="1" t="s">
        <v>210</v>
      </c>
      <c r="AS1743" s="1" t="s">
        <v>204</v>
      </c>
      <c r="AT1743" s="1" t="s">
        <v>211</v>
      </c>
      <c r="AU1743" s="1">
        <v>1</v>
      </c>
      <c r="AW1743" s="1" t="s">
        <v>213</v>
      </c>
      <c r="AX1743" s="1" t="s">
        <v>212</v>
      </c>
      <c r="AZ1743" s="1">
        <v>1553</v>
      </c>
      <c r="BA1743" s="1">
        <v>2013</v>
      </c>
      <c r="BB1743" s="1" t="s">
        <v>599</v>
      </c>
      <c r="BE1743" s="1">
        <v>1100</v>
      </c>
      <c r="BF1743" s="1">
        <v>1</v>
      </c>
      <c r="BG1743" s="1">
        <v>30</v>
      </c>
      <c r="BJ1743" s="1">
        <v>100</v>
      </c>
      <c r="BL1743" s="1">
        <v>272</v>
      </c>
      <c r="BM1743" s="1" t="s">
        <v>413</v>
      </c>
      <c r="BN1743" s="1" t="s">
        <v>213</v>
      </c>
      <c r="BO1743" s="1">
        <v>999</v>
      </c>
      <c r="BP1743" s="1" t="s">
        <v>204</v>
      </c>
      <c r="BR1743" s="1" t="str">
        <f>"0921213030"</f>
        <v>0921213030</v>
      </c>
      <c r="BT1743" s="1" t="s">
        <v>16435</v>
      </c>
      <c r="BU1743" s="1" t="s">
        <v>2980</v>
      </c>
      <c r="BV1743" s="1" t="s">
        <v>2981</v>
      </c>
      <c r="BW1743" s="1" t="s">
        <v>2762</v>
      </c>
      <c r="BX1743" s="1">
        <v>60</v>
      </c>
      <c r="BY1743" s="1">
        <v>60</v>
      </c>
      <c r="BZ1743" s="1">
        <v>99</v>
      </c>
      <c r="CB1743" s="1" t="str">
        <f t="shared" ref="CB1743:CC1743" si="1322">"0"</f>
        <v>0</v>
      </c>
      <c r="CC1743" s="1" t="str">
        <f t="shared" si="1322"/>
        <v>0</v>
      </c>
      <c r="CD1743" s="1">
        <v>18</v>
      </c>
      <c r="CE1743" s="1">
        <v>7</v>
      </c>
      <c r="CG1743" s="1" t="s">
        <v>931</v>
      </c>
      <c r="CH1743" s="1" t="s">
        <v>219</v>
      </c>
      <c r="CI1743" s="1" t="s">
        <v>438</v>
      </c>
      <c r="CJ1743" s="1" t="s">
        <v>252</v>
      </c>
      <c r="CK1743" s="1" t="s">
        <v>315</v>
      </c>
      <c r="CL1743" s="1" t="s">
        <v>219</v>
      </c>
      <c r="CM1743" s="1" t="s">
        <v>438</v>
      </c>
      <c r="CN1743" s="1" t="s">
        <v>343</v>
      </c>
      <c r="CO1743" s="1" t="s">
        <v>837</v>
      </c>
      <c r="CP1743" s="1" t="s">
        <v>219</v>
      </c>
      <c r="CQ1743" s="1" t="s">
        <v>438</v>
      </c>
      <c r="CS1743" s="1" t="s">
        <v>1046</v>
      </c>
      <c r="CT1743" s="1" t="s">
        <v>219</v>
      </c>
      <c r="CU1743" s="1" t="s">
        <v>438</v>
      </c>
      <c r="CV1743" s="1" t="s">
        <v>343</v>
      </c>
      <c r="CX1743" s="1" t="s">
        <v>224</v>
      </c>
      <c r="DB1743" s="1" t="s">
        <v>224</v>
      </c>
      <c r="DE1743" s="1" t="s">
        <v>837</v>
      </c>
      <c r="DF1743" s="1" t="s">
        <v>219</v>
      </c>
      <c r="DG1743" s="1" t="s">
        <v>226</v>
      </c>
      <c r="DH1743" s="1" t="s">
        <v>252</v>
      </c>
      <c r="DJ1743" s="1" t="s">
        <v>224</v>
      </c>
      <c r="DM1743" s="1" t="s">
        <v>3011</v>
      </c>
      <c r="DR1743" s="1" t="s">
        <v>785</v>
      </c>
      <c r="DS1743" s="1" t="s">
        <v>219</v>
      </c>
      <c r="DW1743" s="1" t="s">
        <v>230</v>
      </c>
      <c r="EA1743" s="1" t="s">
        <v>230</v>
      </c>
      <c r="EE1743" s="1" t="s">
        <v>230</v>
      </c>
      <c r="EI1743" s="1" t="s">
        <v>230</v>
      </c>
      <c r="EL1743" s="1" t="s">
        <v>231</v>
      </c>
      <c r="EM1743" s="1" t="s">
        <v>319</v>
      </c>
      <c r="EN1743" s="1" t="s">
        <v>282</v>
      </c>
      <c r="EO1743" s="1" t="s">
        <v>234</v>
      </c>
      <c r="EP1743" s="1" t="s">
        <v>16436</v>
      </c>
      <c r="EQ1743" s="1" t="s">
        <v>1094</v>
      </c>
      <c r="ER1743" s="1" t="s">
        <v>210</v>
      </c>
      <c r="ES1743" s="1" t="s">
        <v>824</v>
      </c>
      <c r="EU1743" s="1" t="s">
        <v>16437</v>
      </c>
      <c r="EW1743" s="1" t="s">
        <v>2205</v>
      </c>
      <c r="EZ1743" s="1" t="s">
        <v>3011</v>
      </c>
      <c r="FA1743" s="1" t="s">
        <v>471</v>
      </c>
      <c r="FB1743" s="1" t="s">
        <v>289</v>
      </c>
      <c r="FC1743" s="1" t="s">
        <v>2002</v>
      </c>
      <c r="FD1743" s="1" t="s">
        <v>495</v>
      </c>
      <c r="FE1743" s="1" t="s">
        <v>247</v>
      </c>
      <c r="FF1743" s="1" t="s">
        <v>248</v>
      </c>
      <c r="FH1743" s="1" t="s">
        <v>249</v>
      </c>
      <c r="FI1743" s="1" t="s">
        <v>357</v>
      </c>
      <c r="FL1743" s="1" t="s">
        <v>358</v>
      </c>
      <c r="FM1743" s="1" t="s">
        <v>252</v>
      </c>
      <c r="FN1743" s="1" t="s">
        <v>213</v>
      </c>
      <c r="FO1743" s="1" t="s">
        <v>213</v>
      </c>
      <c r="FQ1743" s="1" t="s">
        <v>16438</v>
      </c>
      <c r="FR1743" s="1" t="s">
        <v>210</v>
      </c>
      <c r="FS1743" s="1" t="s">
        <v>16439</v>
      </c>
      <c r="FT1743" s="1" t="s">
        <v>295</v>
      </c>
      <c r="FU1743" s="1" t="s">
        <v>204</v>
      </c>
      <c r="FW1743" s="1" t="s">
        <v>16440</v>
      </c>
      <c r="FX1743" s="1">
        <v>5145</v>
      </c>
      <c r="FY1743" s="1" t="s">
        <v>16441</v>
      </c>
      <c r="FZ1743" s="1" t="s">
        <v>16440</v>
      </c>
      <c r="GA1743" s="1">
        <v>55927</v>
      </c>
      <c r="GE1743" s="1" t="s">
        <v>335</v>
      </c>
      <c r="GI1743" s="1" t="s">
        <v>204</v>
      </c>
      <c r="GJ1743" s="1" t="s">
        <v>260</v>
      </c>
      <c r="GK1743" s="1" t="s">
        <v>210</v>
      </c>
      <c r="GL1743" s="2">
        <v>42013</v>
      </c>
    </row>
    <row r="1744" spans="1:195">
      <c r="A1744" s="1">
        <v>209110</v>
      </c>
      <c r="B1744" s="1" t="s">
        <v>195</v>
      </c>
      <c r="C1744" s="1" t="str">
        <f>"08720331"</f>
        <v>08720331</v>
      </c>
      <c r="D1744" s="1" t="s">
        <v>196</v>
      </c>
      <c r="F1744" s="1" t="str">
        <f>"507"</f>
        <v>507</v>
      </c>
      <c r="G1744" s="2">
        <v>41887</v>
      </c>
      <c r="H1744" s="1">
        <v>189070</v>
      </c>
      <c r="I1744" s="1">
        <v>196190</v>
      </c>
      <c r="J1744" s="1">
        <v>209110</v>
      </c>
      <c r="K1744" s="2">
        <v>41886</v>
      </c>
      <c r="L1744" s="1">
        <v>136</v>
      </c>
      <c r="M1744" s="2">
        <v>42021</v>
      </c>
      <c r="N1744" s="1">
        <v>136</v>
      </c>
      <c r="O1744" s="2">
        <v>42021</v>
      </c>
      <c r="P1744" s="1" t="s">
        <v>1039</v>
      </c>
      <c r="Q1744" s="1" t="s">
        <v>423</v>
      </c>
      <c r="R1744" s="2">
        <v>42096</v>
      </c>
      <c r="S1744" s="1">
        <v>99999</v>
      </c>
      <c r="U1744" s="1">
        <v>2920</v>
      </c>
      <c r="V1744" s="1" t="s">
        <v>16442</v>
      </c>
      <c r="W1744" s="1" t="s">
        <v>1056</v>
      </c>
      <c r="Y1744" s="1">
        <v>6</v>
      </c>
      <c r="Z1744" s="1" t="s">
        <v>370</v>
      </c>
      <c r="AA1744" s="1" t="s">
        <v>1123</v>
      </c>
      <c r="AB1744" s="1">
        <v>60502</v>
      </c>
      <c r="AD1744" s="1" t="s">
        <v>10324</v>
      </c>
      <c r="AE1744" s="1" t="s">
        <v>10413</v>
      </c>
      <c r="AF1744" s="1">
        <v>2015</v>
      </c>
      <c r="AG1744" s="1" t="s">
        <v>204</v>
      </c>
      <c r="AH1744" s="1" t="s">
        <v>1126</v>
      </c>
      <c r="AI1744" s="1" t="s">
        <v>665</v>
      </c>
      <c r="AJ1744" s="1" t="s">
        <v>949</v>
      </c>
      <c r="AK1744" s="1" t="s">
        <v>6401</v>
      </c>
      <c r="AL1744" s="1">
        <v>5</v>
      </c>
      <c r="AM1744" s="1">
        <v>2</v>
      </c>
      <c r="AN1744" s="1">
        <v>2</v>
      </c>
      <c r="AO1744" s="1">
        <v>1</v>
      </c>
      <c r="AP1744" s="1" t="s">
        <v>209</v>
      </c>
      <c r="AQ1744" s="1">
        <v>0</v>
      </c>
      <c r="AR1744" s="1" t="s">
        <v>210</v>
      </c>
      <c r="AS1744" s="1" t="s">
        <v>204</v>
      </c>
      <c r="AT1744" s="1" t="s">
        <v>211</v>
      </c>
      <c r="AU1744" s="1">
        <v>2</v>
      </c>
      <c r="AW1744" s="1" t="s">
        <v>204</v>
      </c>
      <c r="AX1744" s="1" t="s">
        <v>212</v>
      </c>
      <c r="AZ1744" s="1" t="s">
        <v>751</v>
      </c>
      <c r="BA1744" s="1">
        <v>2013</v>
      </c>
      <c r="BE1744" s="1">
        <v>1480</v>
      </c>
      <c r="BF1744" s="1">
        <v>2</v>
      </c>
      <c r="BG1744" s="1">
        <v>0</v>
      </c>
      <c r="BL1744" s="1">
        <v>170</v>
      </c>
      <c r="BM1744" s="1" t="s">
        <v>204</v>
      </c>
      <c r="BN1744" s="1" t="s">
        <v>213</v>
      </c>
      <c r="BO1744" s="1">
        <v>0</v>
      </c>
      <c r="BP1744" s="1" t="s">
        <v>213</v>
      </c>
      <c r="BQ1744" s="2">
        <v>42094</v>
      </c>
      <c r="BR1744" s="1" t="str">
        <f>"1235445002"</f>
        <v>1235445002</v>
      </c>
      <c r="BT1744" s="1" t="s">
        <v>16443</v>
      </c>
      <c r="BU1744" s="1" t="s">
        <v>6403</v>
      </c>
      <c r="BV1744" s="1" t="s">
        <v>6404</v>
      </c>
      <c r="BW1744" s="1" t="s">
        <v>6405</v>
      </c>
      <c r="BX1744" s="1">
        <v>101</v>
      </c>
      <c r="BY1744" s="1">
        <v>101</v>
      </c>
      <c r="BZ1744" s="1">
        <v>101</v>
      </c>
      <c r="CB1744" s="1" t="str">
        <f>"3"</f>
        <v>3</v>
      </c>
      <c r="CC1744" s="1" t="str">
        <f t="shared" ref="CC1744:CC1745" si="1323">"0"</f>
        <v>0</v>
      </c>
      <c r="CD1744" s="1">
        <v>34</v>
      </c>
      <c r="CE1744" s="1">
        <v>0</v>
      </c>
      <c r="CH1744" s="1" t="s">
        <v>224</v>
      </c>
      <c r="CK1744" s="1" t="s">
        <v>315</v>
      </c>
      <c r="CL1744" s="1" t="s">
        <v>277</v>
      </c>
      <c r="CM1744" s="1" t="s">
        <v>220</v>
      </c>
      <c r="CP1744" s="1" t="s">
        <v>224</v>
      </c>
      <c r="CS1744" s="1" t="s">
        <v>346</v>
      </c>
      <c r="CT1744" s="1" t="s">
        <v>277</v>
      </c>
      <c r="CU1744" s="1" t="s">
        <v>220</v>
      </c>
      <c r="CX1744" s="1" t="s">
        <v>224</v>
      </c>
      <c r="DB1744" s="1" t="s">
        <v>224</v>
      </c>
      <c r="DE1744" s="1" t="s">
        <v>630</v>
      </c>
      <c r="DF1744" s="1" t="s">
        <v>219</v>
      </c>
      <c r="DI1744" s="1" t="s">
        <v>228</v>
      </c>
      <c r="DJ1744" s="1" t="s">
        <v>219</v>
      </c>
      <c r="DM1744" s="1" t="s">
        <v>1548</v>
      </c>
      <c r="DN1744" s="1" t="s">
        <v>347</v>
      </c>
      <c r="DR1744" s="1" t="s">
        <v>2277</v>
      </c>
      <c r="DS1744" s="1" t="s">
        <v>219</v>
      </c>
      <c r="DV1744" s="1" t="s">
        <v>4084</v>
      </c>
      <c r="DW1744" s="1" t="s">
        <v>277</v>
      </c>
      <c r="DX1744" s="1" t="s">
        <v>342</v>
      </c>
      <c r="EA1744" s="1" t="s">
        <v>230</v>
      </c>
      <c r="EE1744" s="1" t="s">
        <v>230</v>
      </c>
      <c r="EI1744" s="1" t="s">
        <v>230</v>
      </c>
      <c r="EL1744" s="1" t="s">
        <v>760</v>
      </c>
      <c r="EM1744" s="1" t="s">
        <v>319</v>
      </c>
      <c r="EN1744" s="1" t="s">
        <v>282</v>
      </c>
      <c r="EO1744" s="1" t="s">
        <v>234</v>
      </c>
      <c r="EQ1744" s="1" t="s">
        <v>8369</v>
      </c>
      <c r="ER1744" s="1" t="s">
        <v>383</v>
      </c>
      <c r="ES1744" s="1" t="s">
        <v>322</v>
      </c>
      <c r="ET1744" s="1" t="s">
        <v>842</v>
      </c>
      <c r="EU1744" s="1" t="s">
        <v>285</v>
      </c>
      <c r="EW1744" s="1" t="s">
        <v>867</v>
      </c>
      <c r="EY1744" s="1" t="s">
        <v>242</v>
      </c>
      <c r="EZ1744" s="1" t="s">
        <v>13252</v>
      </c>
      <c r="FA1744" s="1" t="s">
        <v>1270</v>
      </c>
      <c r="FD1744" s="1" t="s">
        <v>246</v>
      </c>
      <c r="FE1744" s="1" t="s">
        <v>472</v>
      </c>
      <c r="FF1744" s="1" t="s">
        <v>248</v>
      </c>
      <c r="FH1744" s="1" t="s">
        <v>550</v>
      </c>
      <c r="FJ1744" s="1" t="s">
        <v>518</v>
      </c>
      <c r="FL1744" s="1" t="s">
        <v>358</v>
      </c>
      <c r="FM1744" s="1" t="s">
        <v>252</v>
      </c>
      <c r="FN1744" s="1" t="s">
        <v>213</v>
      </c>
      <c r="FO1744" s="1" t="s">
        <v>213</v>
      </c>
      <c r="FQ1744" s="1" t="s">
        <v>3853</v>
      </c>
      <c r="FR1744" s="1" t="s">
        <v>210</v>
      </c>
      <c r="FS1744" s="1" t="s">
        <v>16444</v>
      </c>
      <c r="FT1744" s="1" t="s">
        <v>3855</v>
      </c>
      <c r="FU1744" s="1" t="s">
        <v>204</v>
      </c>
      <c r="FV1744" s="1" t="s">
        <v>10328</v>
      </c>
      <c r="FW1744" s="1" t="s">
        <v>3857</v>
      </c>
      <c r="FX1744" s="1">
        <v>23223</v>
      </c>
      <c r="FY1744" s="1" t="s">
        <v>3858</v>
      </c>
      <c r="FZ1744" s="1" t="s">
        <v>3859</v>
      </c>
      <c r="GA1744" s="1">
        <v>236300</v>
      </c>
      <c r="GC1744" s="1">
        <v>210778</v>
      </c>
      <c r="GE1744" s="1" t="s">
        <v>480</v>
      </c>
      <c r="GI1744" s="1" t="s">
        <v>204</v>
      </c>
      <c r="GJ1744" s="1" t="s">
        <v>300</v>
      </c>
      <c r="GK1744" s="1" t="s">
        <v>210</v>
      </c>
      <c r="GL1744" s="2">
        <v>42097</v>
      </c>
      <c r="GM1744" s="1" t="s">
        <v>16445</v>
      </c>
    </row>
    <row r="1745" spans="1:195">
      <c r="A1745" s="1">
        <v>328750</v>
      </c>
      <c r="B1745" s="1" t="s">
        <v>195</v>
      </c>
      <c r="C1745" s="1" t="str">
        <f>"08713159"</f>
        <v>08713159</v>
      </c>
      <c r="D1745" s="1" t="s">
        <v>196</v>
      </c>
      <c r="F1745" s="1" t="str">
        <f>"190"</f>
        <v>190</v>
      </c>
      <c r="G1745" s="2">
        <v>41879</v>
      </c>
      <c r="H1745" s="1">
        <v>349900</v>
      </c>
      <c r="I1745" s="1">
        <v>339900</v>
      </c>
      <c r="J1745" s="1">
        <v>328750</v>
      </c>
      <c r="K1745" s="2">
        <v>41879</v>
      </c>
      <c r="L1745" s="1">
        <v>81</v>
      </c>
      <c r="M1745" s="2">
        <v>41959</v>
      </c>
      <c r="N1745" s="1">
        <v>81</v>
      </c>
      <c r="O1745" s="2">
        <v>41959</v>
      </c>
      <c r="P1745" s="1">
        <v>25003</v>
      </c>
      <c r="Q1745" s="1" t="s">
        <v>197</v>
      </c>
      <c r="R1745" s="2">
        <v>42010</v>
      </c>
      <c r="S1745" s="1">
        <v>259457</v>
      </c>
      <c r="U1745" s="1" t="s">
        <v>16446</v>
      </c>
      <c r="V1745" s="1" t="s">
        <v>16447</v>
      </c>
      <c r="W1745" s="1" t="s">
        <v>304</v>
      </c>
      <c r="Y1745" s="1">
        <v>2</v>
      </c>
      <c r="Z1745" s="1" t="s">
        <v>370</v>
      </c>
      <c r="AA1745" s="1" t="s">
        <v>1915</v>
      </c>
      <c r="AB1745" s="1">
        <v>60190</v>
      </c>
      <c r="AD1745" s="1" t="s">
        <v>16448</v>
      </c>
      <c r="AE1745" s="1" t="s">
        <v>16449</v>
      </c>
      <c r="AF1745" s="1">
        <v>2002</v>
      </c>
      <c r="AG1745" s="1" t="s">
        <v>204</v>
      </c>
      <c r="AH1745" s="1" t="s">
        <v>987</v>
      </c>
      <c r="AI1745" s="1" t="s">
        <v>206</v>
      </c>
      <c r="AJ1745" s="1" t="s">
        <v>207</v>
      </c>
      <c r="AK1745" s="1" t="s">
        <v>16450</v>
      </c>
      <c r="AL1745" s="1">
        <v>7</v>
      </c>
      <c r="AM1745" s="1">
        <v>2</v>
      </c>
      <c r="AN1745" s="1">
        <v>2</v>
      </c>
      <c r="AO1745" s="1">
        <v>1</v>
      </c>
      <c r="AP1745" s="1" t="s">
        <v>209</v>
      </c>
      <c r="AQ1745" s="1">
        <v>1</v>
      </c>
      <c r="AR1745" s="1" t="s">
        <v>1483</v>
      </c>
      <c r="AS1745" s="1" t="s">
        <v>204</v>
      </c>
      <c r="AT1745" s="1" t="s">
        <v>211</v>
      </c>
      <c r="AU1745" s="1">
        <v>2</v>
      </c>
      <c r="AW1745" s="1" t="s">
        <v>204</v>
      </c>
      <c r="AX1745" s="1" t="s">
        <v>16451</v>
      </c>
      <c r="AZ1745" s="1">
        <v>7808</v>
      </c>
      <c r="BA1745" s="1">
        <v>2013</v>
      </c>
      <c r="BB1745" s="1" t="s">
        <v>3262</v>
      </c>
      <c r="BE1745" s="1">
        <v>2300</v>
      </c>
      <c r="BF1745" s="1">
        <v>1</v>
      </c>
      <c r="BG1745" s="1">
        <v>21</v>
      </c>
      <c r="BL1745" s="1">
        <v>272</v>
      </c>
      <c r="BM1745" s="1" t="s">
        <v>204</v>
      </c>
      <c r="BN1745" s="1" t="s">
        <v>213</v>
      </c>
      <c r="BO1745" s="1">
        <v>999</v>
      </c>
      <c r="BP1745" s="1" t="s">
        <v>204</v>
      </c>
      <c r="BR1745" s="1" t="str">
        <f>"0505308030"</f>
        <v>0505308030</v>
      </c>
      <c r="BT1745" s="1" t="s">
        <v>16452</v>
      </c>
      <c r="BU1745" s="1" t="s">
        <v>16453</v>
      </c>
      <c r="BV1745" s="1" t="s">
        <v>14865</v>
      </c>
      <c r="BW1745" s="1" t="s">
        <v>6456</v>
      </c>
      <c r="BX1745" s="1">
        <v>200</v>
      </c>
      <c r="BY1745" s="1">
        <v>200</v>
      </c>
      <c r="BZ1745" s="1">
        <v>200</v>
      </c>
      <c r="CB1745" s="1" t="str">
        <f>"1"</f>
        <v>1</v>
      </c>
      <c r="CC1745" s="1" t="str">
        <f t="shared" si="1323"/>
        <v>0</v>
      </c>
      <c r="CD1745" s="1">
        <v>26</v>
      </c>
      <c r="CE1745" s="1">
        <v>0</v>
      </c>
      <c r="CF1745" s="1" t="s">
        <v>16454</v>
      </c>
      <c r="CG1745" s="1" t="s">
        <v>1200</v>
      </c>
      <c r="CH1745" s="1" t="s">
        <v>219</v>
      </c>
      <c r="CI1745" s="1" t="s">
        <v>220</v>
      </c>
      <c r="CJ1745" s="1" t="s">
        <v>343</v>
      </c>
      <c r="CK1745" s="1" t="s">
        <v>885</v>
      </c>
      <c r="CL1745" s="1" t="s">
        <v>219</v>
      </c>
      <c r="CM1745" s="1" t="s">
        <v>220</v>
      </c>
      <c r="CN1745" s="1" t="s">
        <v>343</v>
      </c>
      <c r="CO1745" s="1" t="s">
        <v>564</v>
      </c>
      <c r="CP1745" s="1" t="s">
        <v>219</v>
      </c>
      <c r="CQ1745" s="1" t="s">
        <v>220</v>
      </c>
      <c r="CR1745" s="1" t="s">
        <v>343</v>
      </c>
      <c r="CS1745" s="1" t="s">
        <v>1200</v>
      </c>
      <c r="CT1745" s="1" t="s">
        <v>277</v>
      </c>
      <c r="CU1745" s="1" t="s">
        <v>220</v>
      </c>
      <c r="CV1745" s="1" t="s">
        <v>210</v>
      </c>
      <c r="CX1745" s="1" t="s">
        <v>224</v>
      </c>
      <c r="DB1745" s="1" t="s">
        <v>224</v>
      </c>
      <c r="DE1745" s="1" t="s">
        <v>465</v>
      </c>
      <c r="DF1745" s="1" t="s">
        <v>219</v>
      </c>
      <c r="DG1745" s="1" t="s">
        <v>438</v>
      </c>
      <c r="DH1745" s="1" t="s">
        <v>343</v>
      </c>
      <c r="DJ1745" s="1" t="s">
        <v>224</v>
      </c>
      <c r="DM1745" s="1" t="s">
        <v>709</v>
      </c>
      <c r="DN1745" s="1" t="s">
        <v>381</v>
      </c>
      <c r="DP1745" s="1" t="s">
        <v>464</v>
      </c>
      <c r="DR1745" s="1" t="s">
        <v>16207</v>
      </c>
      <c r="DS1745" s="1" t="s">
        <v>219</v>
      </c>
      <c r="DT1745" s="1" t="s">
        <v>438</v>
      </c>
      <c r="DV1745" s="1" t="s">
        <v>836</v>
      </c>
      <c r="DW1745" s="1" t="s">
        <v>219</v>
      </c>
      <c r="DX1745" s="1" t="s">
        <v>438</v>
      </c>
      <c r="DY1745" s="1" t="s">
        <v>343</v>
      </c>
      <c r="EA1745" s="1" t="s">
        <v>230</v>
      </c>
      <c r="ED1745" s="1" t="s">
        <v>564</v>
      </c>
      <c r="EE1745" s="1" t="s">
        <v>277</v>
      </c>
      <c r="EF1745" s="1" t="s">
        <v>220</v>
      </c>
      <c r="EG1745" s="1" t="s">
        <v>343</v>
      </c>
      <c r="EI1745" s="1" t="s">
        <v>230</v>
      </c>
      <c r="EL1745" s="1" t="s">
        <v>466</v>
      </c>
      <c r="EM1745" s="1" t="s">
        <v>232</v>
      </c>
      <c r="EN1745" s="1" t="s">
        <v>282</v>
      </c>
      <c r="EO1745" s="1" t="s">
        <v>234</v>
      </c>
      <c r="EP1745" s="1" t="s">
        <v>650</v>
      </c>
      <c r="EQ1745" s="1" t="s">
        <v>236</v>
      </c>
      <c r="ER1745" s="1" t="s">
        <v>11121</v>
      </c>
      <c r="ES1745" s="1" t="s">
        <v>493</v>
      </c>
      <c r="ET1745" s="1" t="s">
        <v>1201</v>
      </c>
      <c r="EU1745" s="1" t="s">
        <v>610</v>
      </c>
      <c r="EV1745" s="1" t="s">
        <v>240</v>
      </c>
      <c r="EW1745" s="1" t="s">
        <v>867</v>
      </c>
      <c r="EY1745" s="1" t="s">
        <v>2455</v>
      </c>
      <c r="EZ1745" s="1" t="s">
        <v>868</v>
      </c>
      <c r="FA1745" s="1" t="s">
        <v>16455</v>
      </c>
      <c r="FB1745" s="1" t="s">
        <v>289</v>
      </c>
      <c r="FC1745" s="1" t="s">
        <v>2073</v>
      </c>
      <c r="FD1745" s="1" t="s">
        <v>495</v>
      </c>
      <c r="FE1745" s="1" t="s">
        <v>975</v>
      </c>
      <c r="FF1745" s="1" t="s">
        <v>248</v>
      </c>
      <c r="FG1745" s="1" t="s">
        <v>16456</v>
      </c>
      <c r="FH1745" s="1" t="s">
        <v>442</v>
      </c>
      <c r="FI1745" s="1" t="s">
        <v>357</v>
      </c>
      <c r="FL1745" s="1" t="s">
        <v>358</v>
      </c>
      <c r="FM1745" s="1" t="s">
        <v>252</v>
      </c>
      <c r="FN1745" s="1" t="s">
        <v>213</v>
      </c>
      <c r="FO1745" s="1" t="s">
        <v>213</v>
      </c>
      <c r="FQ1745" s="1" t="s">
        <v>293</v>
      </c>
      <c r="FR1745" s="1" t="s">
        <v>210</v>
      </c>
      <c r="FS1745" s="1" t="s">
        <v>16457</v>
      </c>
      <c r="FT1745" s="1" t="s">
        <v>362</v>
      </c>
      <c r="FU1745" s="1" t="s">
        <v>204</v>
      </c>
      <c r="FW1745" s="1" t="s">
        <v>1742</v>
      </c>
      <c r="FX1745" s="1">
        <v>25401</v>
      </c>
      <c r="FY1745" s="1" t="s">
        <v>1743</v>
      </c>
      <c r="FZ1745" s="1" t="s">
        <v>8533</v>
      </c>
      <c r="GA1745" s="1">
        <v>258049</v>
      </c>
      <c r="GB1745" s="1" t="s">
        <v>8534</v>
      </c>
      <c r="GD1745" s="1" t="s">
        <v>16458</v>
      </c>
      <c r="GE1745" s="1" t="s">
        <v>210</v>
      </c>
      <c r="GI1745" s="1" t="s">
        <v>213</v>
      </c>
      <c r="GJ1745" s="1" t="s">
        <v>260</v>
      </c>
      <c r="GK1745" s="1" t="s">
        <v>210</v>
      </c>
      <c r="GL1745" s="2">
        <v>42010</v>
      </c>
      <c r="GM1745" s="1" t="s">
        <v>16459</v>
      </c>
    </row>
    <row r="1746" spans="1:195">
      <c r="A1746" s="1">
        <v>95000</v>
      </c>
      <c r="B1746" s="1" t="s">
        <v>195</v>
      </c>
      <c r="C1746" s="1" t="str">
        <f>"08712217"</f>
        <v>08712217</v>
      </c>
      <c r="D1746" s="1" t="s">
        <v>196</v>
      </c>
      <c r="F1746" s="1" t="str">
        <f>"515"</f>
        <v>515</v>
      </c>
      <c r="G1746" s="2">
        <v>41877</v>
      </c>
      <c r="H1746" s="1">
        <v>134900</v>
      </c>
      <c r="I1746" s="1">
        <v>99900</v>
      </c>
      <c r="J1746" s="1">
        <v>95000</v>
      </c>
      <c r="K1746" s="2">
        <v>41877</v>
      </c>
      <c r="L1746" s="1">
        <v>116</v>
      </c>
      <c r="M1746" s="2">
        <v>41992</v>
      </c>
      <c r="N1746" s="1">
        <v>116</v>
      </c>
      <c r="O1746" s="2">
        <v>41992</v>
      </c>
      <c r="P1746" s="1">
        <v>22029</v>
      </c>
      <c r="Q1746" s="1" t="s">
        <v>302</v>
      </c>
      <c r="R1746" s="2">
        <v>42030</v>
      </c>
      <c r="S1746" s="1">
        <v>216672</v>
      </c>
      <c r="U1746" s="1">
        <v>8100</v>
      </c>
      <c r="V1746" s="1" t="s">
        <v>2341</v>
      </c>
      <c r="W1746" s="1" t="s">
        <v>504</v>
      </c>
      <c r="X1746" s="1">
        <v>209</v>
      </c>
      <c r="Y1746" s="1">
        <v>20</v>
      </c>
      <c r="Z1746" s="1" t="s">
        <v>249</v>
      </c>
      <c r="AA1746" s="1" t="s">
        <v>1294</v>
      </c>
      <c r="AB1746" s="1">
        <v>60516</v>
      </c>
      <c r="AD1746" s="1" t="s">
        <v>3994</v>
      </c>
      <c r="AE1746" s="1" t="s">
        <v>16460</v>
      </c>
      <c r="AF1746" s="1">
        <v>1969</v>
      </c>
      <c r="AG1746" s="1" t="s">
        <v>213</v>
      </c>
      <c r="AH1746" s="1" t="s">
        <v>903</v>
      </c>
      <c r="AI1746" s="1" t="s">
        <v>206</v>
      </c>
      <c r="AJ1746" s="1" t="s">
        <v>903</v>
      </c>
      <c r="AL1746" s="1">
        <v>5</v>
      </c>
      <c r="AM1746" s="1">
        <v>2</v>
      </c>
      <c r="AN1746" s="1">
        <v>1</v>
      </c>
      <c r="AO1746" s="1">
        <v>1</v>
      </c>
      <c r="AP1746" s="1" t="s">
        <v>1234</v>
      </c>
      <c r="AR1746" s="1" t="s">
        <v>210</v>
      </c>
      <c r="AS1746" s="1" t="s">
        <v>204</v>
      </c>
      <c r="AT1746" s="1" t="s">
        <v>211</v>
      </c>
      <c r="AU1746" s="1">
        <v>1</v>
      </c>
      <c r="AW1746" s="1" t="s">
        <v>204</v>
      </c>
      <c r="AX1746" s="1" t="s">
        <v>212</v>
      </c>
      <c r="AZ1746" s="1">
        <v>1506</v>
      </c>
      <c r="BA1746" s="1">
        <v>2013</v>
      </c>
      <c r="BE1746" s="1">
        <v>1041</v>
      </c>
      <c r="BF1746" s="1">
        <v>2</v>
      </c>
      <c r="BG1746" s="1">
        <v>5</v>
      </c>
      <c r="BJ1746" s="1">
        <v>100</v>
      </c>
      <c r="BL1746" s="1">
        <v>290</v>
      </c>
      <c r="BM1746" s="1" t="s">
        <v>204</v>
      </c>
      <c r="BN1746" s="1" t="s">
        <v>204</v>
      </c>
      <c r="BP1746" s="1" t="s">
        <v>204</v>
      </c>
      <c r="BR1746" s="1" t="str">
        <f>"0932213020"</f>
        <v>0932213020</v>
      </c>
      <c r="BT1746" s="1" t="s">
        <v>16461</v>
      </c>
      <c r="BX1746" s="1">
        <v>66</v>
      </c>
      <c r="BY1746" s="1">
        <v>66</v>
      </c>
      <c r="BZ1746" s="1">
        <v>99</v>
      </c>
      <c r="CB1746" s="1" t="str">
        <f t="shared" ref="CB1746:CC1746" si="1324">"0"</f>
        <v>0</v>
      </c>
      <c r="CC1746" s="1" t="str">
        <f t="shared" si="1324"/>
        <v>0</v>
      </c>
      <c r="CD1746" s="1">
        <v>19</v>
      </c>
      <c r="CE1746" s="1">
        <v>7</v>
      </c>
      <c r="CG1746" s="1" t="s">
        <v>218</v>
      </c>
      <c r="CH1746" s="1" t="s">
        <v>219</v>
      </c>
      <c r="CI1746" s="1" t="s">
        <v>229</v>
      </c>
      <c r="CK1746" s="1" t="s">
        <v>437</v>
      </c>
      <c r="CL1746" s="1" t="s">
        <v>219</v>
      </c>
      <c r="CM1746" s="1" t="s">
        <v>220</v>
      </c>
      <c r="CO1746" s="1" t="s">
        <v>1046</v>
      </c>
      <c r="CP1746" s="1" t="s">
        <v>219</v>
      </c>
      <c r="CQ1746" s="1" t="s">
        <v>229</v>
      </c>
      <c r="CS1746" s="1" t="s">
        <v>379</v>
      </c>
      <c r="CT1746" s="1" t="s">
        <v>219</v>
      </c>
      <c r="CU1746" s="1" t="s">
        <v>220</v>
      </c>
      <c r="CX1746" s="1" t="s">
        <v>224</v>
      </c>
      <c r="DB1746" s="1" t="s">
        <v>224</v>
      </c>
      <c r="DE1746" s="1" t="s">
        <v>348</v>
      </c>
      <c r="DF1746" s="1" t="s">
        <v>219</v>
      </c>
      <c r="DG1746" s="1" t="s">
        <v>229</v>
      </c>
      <c r="DJ1746" s="1" t="s">
        <v>224</v>
      </c>
      <c r="DS1746" s="1" t="s">
        <v>230</v>
      </c>
      <c r="DW1746" s="1" t="s">
        <v>230</v>
      </c>
      <c r="EA1746" s="1" t="s">
        <v>230</v>
      </c>
      <c r="EE1746" s="1" t="s">
        <v>230</v>
      </c>
      <c r="EI1746" s="1" t="s">
        <v>230</v>
      </c>
      <c r="EL1746" s="1" t="s">
        <v>605</v>
      </c>
      <c r="EM1746" s="1" t="s">
        <v>319</v>
      </c>
      <c r="EN1746" s="1" t="s">
        <v>282</v>
      </c>
      <c r="EO1746" s="1" t="s">
        <v>234</v>
      </c>
      <c r="ER1746" s="1" t="s">
        <v>210</v>
      </c>
      <c r="EW1746" s="1" t="s">
        <v>2792</v>
      </c>
      <c r="EZ1746" s="1" t="s">
        <v>287</v>
      </c>
      <c r="FD1746" s="1" t="s">
        <v>1112</v>
      </c>
      <c r="FE1746" s="1" t="s">
        <v>247</v>
      </c>
      <c r="FF1746" s="1" t="s">
        <v>248</v>
      </c>
      <c r="FH1746" s="1" t="s">
        <v>249</v>
      </c>
      <c r="FL1746" s="1" t="s">
        <v>358</v>
      </c>
      <c r="FM1746" s="1" t="s">
        <v>252</v>
      </c>
      <c r="FN1746" s="1" t="s">
        <v>213</v>
      </c>
      <c r="FO1746" s="1" t="s">
        <v>213</v>
      </c>
      <c r="FQ1746" s="1" t="s">
        <v>673</v>
      </c>
      <c r="FR1746" s="1" t="s">
        <v>210</v>
      </c>
      <c r="FS1746" s="1" t="s">
        <v>16462</v>
      </c>
      <c r="FT1746" s="1" t="s">
        <v>295</v>
      </c>
      <c r="FU1746" s="1" t="s">
        <v>204</v>
      </c>
      <c r="FW1746" s="1" t="s">
        <v>16463</v>
      </c>
      <c r="FX1746" s="1">
        <v>84491</v>
      </c>
      <c r="FY1746" s="1" t="s">
        <v>16464</v>
      </c>
      <c r="FZ1746" s="1" t="s">
        <v>16465</v>
      </c>
      <c r="GA1746" s="1">
        <v>126331</v>
      </c>
      <c r="GB1746" s="1" t="s">
        <v>16466</v>
      </c>
      <c r="GE1746" s="1" t="s">
        <v>480</v>
      </c>
      <c r="GI1746" s="1" t="s">
        <v>213</v>
      </c>
      <c r="GJ1746" s="1" t="s">
        <v>260</v>
      </c>
      <c r="GK1746" s="1" t="s">
        <v>210</v>
      </c>
      <c r="GL1746" s="2">
        <v>42032</v>
      </c>
      <c r="GM1746" s="1" t="s">
        <v>16467</v>
      </c>
    </row>
    <row r="1747" spans="1:195">
      <c r="A1747" s="1">
        <v>160000</v>
      </c>
      <c r="B1747" s="1" t="s">
        <v>195</v>
      </c>
      <c r="C1747" s="1" t="str">
        <f>"08712283"</f>
        <v>08712283</v>
      </c>
      <c r="D1747" s="1" t="s">
        <v>196</v>
      </c>
      <c r="F1747" s="1" t="str">
        <f>"139"</f>
        <v>139</v>
      </c>
      <c r="G1747" s="2">
        <v>41878</v>
      </c>
      <c r="H1747" s="1">
        <v>185900</v>
      </c>
      <c r="I1747" s="1">
        <v>159900</v>
      </c>
      <c r="J1747" s="1">
        <v>160000</v>
      </c>
      <c r="K1747" s="2">
        <v>41877</v>
      </c>
      <c r="L1747" s="1">
        <v>81</v>
      </c>
      <c r="M1747" s="2">
        <v>41957</v>
      </c>
      <c r="N1747" s="1">
        <v>81</v>
      </c>
      <c r="O1747" s="2">
        <v>41957</v>
      </c>
      <c r="P1747" s="1">
        <v>60021</v>
      </c>
      <c r="Q1747" s="1" t="s">
        <v>197</v>
      </c>
      <c r="R1747" s="2">
        <v>42017</v>
      </c>
      <c r="S1747" s="1">
        <v>237376</v>
      </c>
      <c r="U1747" s="1">
        <v>1417</v>
      </c>
      <c r="V1747" s="1" t="s">
        <v>6316</v>
      </c>
      <c r="W1747" s="1" t="s">
        <v>264</v>
      </c>
      <c r="Y1747" s="1">
        <v>5</v>
      </c>
      <c r="Z1747" s="1" t="s">
        <v>249</v>
      </c>
      <c r="AA1747" s="1" t="s">
        <v>1732</v>
      </c>
      <c r="AB1747" s="1">
        <v>60139</v>
      </c>
      <c r="AD1747" s="1" t="s">
        <v>8696</v>
      </c>
      <c r="AE1747" s="1" t="s">
        <v>16468</v>
      </c>
      <c r="AF1747" s="1">
        <v>1998</v>
      </c>
      <c r="AG1747" s="1" t="s">
        <v>204</v>
      </c>
      <c r="AH1747" s="1" t="s">
        <v>1735</v>
      </c>
      <c r="AI1747" s="1" t="s">
        <v>206</v>
      </c>
      <c r="AJ1747" s="1" t="s">
        <v>269</v>
      </c>
      <c r="AL1747" s="1">
        <v>6</v>
      </c>
      <c r="AM1747" s="1">
        <v>2</v>
      </c>
      <c r="AN1747" s="1">
        <v>2</v>
      </c>
      <c r="AO1747" s="1">
        <v>1</v>
      </c>
      <c r="AP1747" s="1" t="s">
        <v>209</v>
      </c>
      <c r="AQ1747" s="1">
        <v>1</v>
      </c>
      <c r="AR1747" s="1" t="s">
        <v>210</v>
      </c>
      <c r="AS1747" s="1" t="s">
        <v>204</v>
      </c>
      <c r="AT1747" s="1" t="s">
        <v>211</v>
      </c>
      <c r="AU1747" s="1">
        <v>2</v>
      </c>
      <c r="AW1747" s="1" t="s">
        <v>204</v>
      </c>
      <c r="AX1747" s="1" t="s">
        <v>212</v>
      </c>
      <c r="AZ1747" s="1">
        <v>5644</v>
      </c>
      <c r="BA1747" s="1">
        <v>2013</v>
      </c>
      <c r="BE1747" s="1">
        <v>1404</v>
      </c>
      <c r="BF1747" s="1">
        <v>1</v>
      </c>
      <c r="BG1747" s="1">
        <v>0</v>
      </c>
      <c r="BL1747" s="1">
        <v>225</v>
      </c>
      <c r="BM1747" s="1" t="s">
        <v>413</v>
      </c>
      <c r="BN1747" s="1" t="s">
        <v>213</v>
      </c>
      <c r="BP1747" s="1" t="s">
        <v>204</v>
      </c>
      <c r="BR1747" s="1" t="str">
        <f>"0233204173"</f>
        <v>0233204173</v>
      </c>
      <c r="BT1747" s="1" t="s">
        <v>16469</v>
      </c>
      <c r="BV1747" s="1" t="s">
        <v>3645</v>
      </c>
      <c r="BW1747" s="1" t="s">
        <v>1935</v>
      </c>
      <c r="BX1747" s="1">
        <v>16</v>
      </c>
      <c r="BY1747" s="1">
        <v>16</v>
      </c>
      <c r="BZ1747" s="1">
        <v>87</v>
      </c>
      <c r="CB1747" s="1" t="str">
        <f t="shared" ref="CB1747:CC1747" si="1325">""</f>
        <v/>
      </c>
      <c r="CC1747" s="1" t="str">
        <f t="shared" si="1325"/>
        <v/>
      </c>
      <c r="CG1747" s="1" t="s">
        <v>581</v>
      </c>
      <c r="CH1747" s="1" t="s">
        <v>219</v>
      </c>
      <c r="CK1747" s="1" t="s">
        <v>515</v>
      </c>
      <c r="CL1747" s="1" t="s">
        <v>277</v>
      </c>
      <c r="CO1747" s="1" t="s">
        <v>378</v>
      </c>
      <c r="CP1747" s="1" t="s">
        <v>219</v>
      </c>
      <c r="CS1747" s="1" t="s">
        <v>465</v>
      </c>
      <c r="CT1747" s="1" t="s">
        <v>277</v>
      </c>
      <c r="CX1747" s="1" t="s">
        <v>224</v>
      </c>
      <c r="DB1747" s="1" t="s">
        <v>224</v>
      </c>
      <c r="DE1747" s="1" t="s">
        <v>465</v>
      </c>
      <c r="DF1747" s="1" t="s">
        <v>219</v>
      </c>
      <c r="DJ1747" s="1" t="s">
        <v>224</v>
      </c>
      <c r="DM1747" s="1" t="s">
        <v>464</v>
      </c>
      <c r="DR1747" s="1" t="s">
        <v>346</v>
      </c>
      <c r="DS1747" s="1" t="s">
        <v>277</v>
      </c>
      <c r="DW1747" s="1" t="s">
        <v>230</v>
      </c>
      <c r="EA1747" s="1" t="s">
        <v>230</v>
      </c>
      <c r="EE1747" s="1" t="s">
        <v>230</v>
      </c>
      <c r="EI1747" s="1" t="s">
        <v>230</v>
      </c>
      <c r="EL1747" s="1" t="s">
        <v>670</v>
      </c>
      <c r="EM1747" s="1" t="s">
        <v>319</v>
      </c>
      <c r="EN1747" s="1" t="s">
        <v>282</v>
      </c>
      <c r="EO1747" s="1" t="s">
        <v>234</v>
      </c>
      <c r="ER1747" s="1" t="s">
        <v>210</v>
      </c>
      <c r="EW1747" s="1" t="s">
        <v>347</v>
      </c>
      <c r="EZ1747" s="1" t="s">
        <v>464</v>
      </c>
      <c r="FD1747" s="1" t="s">
        <v>3287</v>
      </c>
      <c r="FE1747" s="1" t="s">
        <v>496</v>
      </c>
      <c r="FF1747" s="1" t="s">
        <v>248</v>
      </c>
      <c r="FH1747" s="1" t="s">
        <v>550</v>
      </c>
      <c r="FL1747" s="1" t="s">
        <v>358</v>
      </c>
      <c r="FM1747" s="1" t="s">
        <v>252</v>
      </c>
      <c r="FN1747" s="1" t="s">
        <v>213</v>
      </c>
      <c r="FO1747" s="1" t="s">
        <v>213</v>
      </c>
      <c r="FQ1747" s="1" t="s">
        <v>689</v>
      </c>
      <c r="FR1747" s="1" t="s">
        <v>210</v>
      </c>
      <c r="FS1747" s="1" t="s">
        <v>13017</v>
      </c>
      <c r="FT1747" s="1" t="s">
        <v>1828</v>
      </c>
      <c r="FU1747" s="1" t="s">
        <v>204</v>
      </c>
      <c r="FW1747" s="1" t="s">
        <v>1097</v>
      </c>
      <c r="FX1747" s="1">
        <v>8094</v>
      </c>
      <c r="FY1747" s="1" t="s">
        <v>1829</v>
      </c>
      <c r="FZ1747" s="1" t="s">
        <v>1830</v>
      </c>
      <c r="GA1747" s="1">
        <v>28736</v>
      </c>
      <c r="GB1747" s="1" t="s">
        <v>1831</v>
      </c>
      <c r="GE1747" s="1" t="s">
        <v>210</v>
      </c>
      <c r="GI1747" s="1" t="s">
        <v>204</v>
      </c>
      <c r="GJ1747" s="1" t="s">
        <v>260</v>
      </c>
      <c r="GK1747" s="1" t="s">
        <v>210</v>
      </c>
      <c r="GL1747" s="2">
        <v>42017</v>
      </c>
      <c r="GM1747" s="1" t="s">
        <v>16470</v>
      </c>
    </row>
    <row r="1748" spans="1:195">
      <c r="A1748" s="1">
        <v>50000</v>
      </c>
      <c r="B1748" s="1" t="s">
        <v>195</v>
      </c>
      <c r="C1748" s="1" t="str">
        <f>"08714595"</f>
        <v>08714595</v>
      </c>
      <c r="D1748" s="1" t="s">
        <v>196</v>
      </c>
      <c r="F1748" s="1" t="str">
        <f>"154"</f>
        <v>154</v>
      </c>
      <c r="G1748" s="2">
        <v>41880</v>
      </c>
      <c r="H1748" s="1">
        <v>89900</v>
      </c>
      <c r="I1748" s="1">
        <v>59900</v>
      </c>
      <c r="J1748" s="1">
        <v>50000</v>
      </c>
      <c r="K1748" s="2">
        <v>41880</v>
      </c>
      <c r="L1748" s="1">
        <v>132</v>
      </c>
      <c r="M1748" s="2">
        <v>42011</v>
      </c>
      <c r="N1748" s="1">
        <v>132</v>
      </c>
      <c r="O1748" s="2">
        <v>42011</v>
      </c>
      <c r="P1748" s="1">
        <v>17920</v>
      </c>
      <c r="Q1748" s="1" t="s">
        <v>302</v>
      </c>
      <c r="R1748" s="2">
        <v>42024</v>
      </c>
      <c r="S1748" s="1">
        <v>159151</v>
      </c>
      <c r="U1748" s="1">
        <v>1361</v>
      </c>
      <c r="V1748" s="1" t="s">
        <v>16471</v>
      </c>
      <c r="W1748" s="1" t="s">
        <v>425</v>
      </c>
      <c r="X1748" s="1" t="s">
        <v>10396</v>
      </c>
      <c r="Y1748" s="1">
        <v>4</v>
      </c>
      <c r="Z1748" s="1" t="s">
        <v>249</v>
      </c>
      <c r="AA1748" s="1" t="s">
        <v>1190</v>
      </c>
      <c r="AB1748" s="1">
        <v>60154</v>
      </c>
      <c r="AE1748" s="1" t="s">
        <v>16472</v>
      </c>
      <c r="AF1748" s="1" t="s">
        <v>402</v>
      </c>
      <c r="AG1748" s="1" t="s">
        <v>213</v>
      </c>
      <c r="AH1748" s="1" t="s">
        <v>1193</v>
      </c>
      <c r="AI1748" s="1" t="s">
        <v>310</v>
      </c>
      <c r="AJ1748" s="1" t="s">
        <v>429</v>
      </c>
      <c r="AL1748" s="1">
        <v>5</v>
      </c>
      <c r="AM1748" s="1">
        <v>2</v>
      </c>
      <c r="AN1748" s="1">
        <v>1</v>
      </c>
      <c r="AO1748" s="1">
        <v>0</v>
      </c>
      <c r="AP1748" s="1" t="s">
        <v>210</v>
      </c>
      <c r="AR1748" s="1" t="s">
        <v>210</v>
      </c>
      <c r="AS1748" s="1" t="s">
        <v>204</v>
      </c>
      <c r="AT1748" s="1" t="s">
        <v>271</v>
      </c>
      <c r="AV1748" s="1">
        <v>1</v>
      </c>
      <c r="AW1748" s="1" t="s">
        <v>204</v>
      </c>
      <c r="AX1748" s="1" t="s">
        <v>270</v>
      </c>
      <c r="AZ1748" s="1">
        <v>2136.94</v>
      </c>
      <c r="BA1748" s="1">
        <v>2012</v>
      </c>
      <c r="BE1748" s="1">
        <v>0</v>
      </c>
      <c r="BF1748" s="1">
        <v>1</v>
      </c>
      <c r="BG1748" s="1">
        <v>0</v>
      </c>
      <c r="BL1748" s="1">
        <v>240</v>
      </c>
      <c r="BM1748" s="1" t="s">
        <v>204</v>
      </c>
      <c r="BN1748" s="1" t="s">
        <v>213</v>
      </c>
      <c r="BO1748" s="1">
        <v>250</v>
      </c>
      <c r="BP1748" s="1" t="s">
        <v>204</v>
      </c>
      <c r="BR1748" s="1" t="str">
        <f>"15211012771035"</f>
        <v>15211012771035</v>
      </c>
      <c r="BT1748" s="1" t="s">
        <v>16473</v>
      </c>
      <c r="BX1748" s="1">
        <v>92.5</v>
      </c>
      <c r="BY1748" s="1">
        <v>92.5</v>
      </c>
      <c r="BZ1748" s="1">
        <v>209</v>
      </c>
      <c r="CB1748" s="1" t="str">
        <f t="shared" ref="CB1748:CC1748" si="1326">""</f>
        <v/>
      </c>
      <c r="CC1748" s="1" t="str">
        <f t="shared" si="1326"/>
        <v/>
      </c>
      <c r="CG1748" s="1" t="s">
        <v>861</v>
      </c>
      <c r="CH1748" s="1" t="s">
        <v>219</v>
      </c>
      <c r="CK1748" s="1" t="s">
        <v>461</v>
      </c>
      <c r="CL1748" s="1" t="s">
        <v>219</v>
      </c>
      <c r="CO1748" s="1" t="s">
        <v>281</v>
      </c>
      <c r="CP1748" s="1" t="s">
        <v>219</v>
      </c>
      <c r="CS1748" s="1" t="s">
        <v>465</v>
      </c>
      <c r="CT1748" s="1" t="s">
        <v>219</v>
      </c>
      <c r="CX1748" s="1" t="s">
        <v>224</v>
      </c>
      <c r="DB1748" s="1" t="s">
        <v>224</v>
      </c>
      <c r="DE1748" s="1" t="s">
        <v>786</v>
      </c>
      <c r="DF1748" s="1" t="s">
        <v>219</v>
      </c>
      <c r="DJ1748" s="1" t="s">
        <v>224</v>
      </c>
      <c r="DS1748" s="1" t="s">
        <v>230</v>
      </c>
      <c r="DW1748" s="1" t="s">
        <v>230</v>
      </c>
      <c r="EA1748" s="1" t="s">
        <v>230</v>
      </c>
      <c r="EE1748" s="1" t="s">
        <v>230</v>
      </c>
      <c r="EI1748" s="1" t="s">
        <v>230</v>
      </c>
      <c r="EL1748" s="1" t="s">
        <v>231</v>
      </c>
      <c r="EM1748" s="1" t="s">
        <v>730</v>
      </c>
      <c r="EN1748" s="1" t="s">
        <v>282</v>
      </c>
      <c r="EO1748" s="1" t="s">
        <v>234</v>
      </c>
      <c r="ER1748" s="1" t="s">
        <v>210</v>
      </c>
      <c r="EW1748" s="1" t="s">
        <v>210</v>
      </c>
      <c r="EZ1748" s="1" t="s">
        <v>287</v>
      </c>
      <c r="FD1748" s="1" t="s">
        <v>246</v>
      </c>
      <c r="FE1748" s="1" t="s">
        <v>247</v>
      </c>
      <c r="FF1748" s="1" t="s">
        <v>248</v>
      </c>
      <c r="FH1748" s="1" t="s">
        <v>249</v>
      </c>
      <c r="FL1748" s="1" t="s">
        <v>358</v>
      </c>
      <c r="FM1748" s="1" t="s">
        <v>252</v>
      </c>
      <c r="FN1748" s="1" t="s">
        <v>213</v>
      </c>
      <c r="FO1748" s="1" t="s">
        <v>213</v>
      </c>
      <c r="FQ1748" s="1" t="s">
        <v>1300</v>
      </c>
      <c r="FR1748" s="1" t="s">
        <v>210</v>
      </c>
      <c r="FS1748" s="1" t="s">
        <v>13969</v>
      </c>
      <c r="FT1748" s="1" t="s">
        <v>1828</v>
      </c>
      <c r="FU1748" s="1" t="s">
        <v>204</v>
      </c>
      <c r="FW1748" s="1" t="s">
        <v>8635</v>
      </c>
      <c r="FX1748" s="1">
        <v>84131</v>
      </c>
      <c r="FY1748" s="1" t="s">
        <v>8636</v>
      </c>
      <c r="FZ1748" s="1" t="s">
        <v>8637</v>
      </c>
      <c r="GA1748" s="1">
        <v>171466</v>
      </c>
      <c r="GB1748" s="1" t="s">
        <v>8636</v>
      </c>
      <c r="GE1748" s="1" t="s">
        <v>210</v>
      </c>
      <c r="GI1748" s="1" t="s">
        <v>213</v>
      </c>
      <c r="GJ1748" s="1" t="s">
        <v>260</v>
      </c>
      <c r="GK1748" s="1" t="s">
        <v>210</v>
      </c>
      <c r="GL1748" s="2">
        <v>42024</v>
      </c>
      <c r="GM1748" s="1" t="s">
        <v>16474</v>
      </c>
    </row>
    <row r="1749" spans="1:195">
      <c r="A1749" s="1">
        <v>26500</v>
      </c>
      <c r="B1749" s="1" t="s">
        <v>195</v>
      </c>
      <c r="C1749" s="1" t="str">
        <f>"08720372"</f>
        <v>08720372</v>
      </c>
      <c r="D1749" s="1" t="s">
        <v>196</v>
      </c>
      <c r="F1749" s="1" t="str">
        <f>"8075"</f>
        <v>8075</v>
      </c>
      <c r="G1749" s="2">
        <v>41887</v>
      </c>
      <c r="H1749" s="1">
        <v>29900</v>
      </c>
      <c r="I1749" s="1">
        <v>29900</v>
      </c>
      <c r="J1749" s="1">
        <v>26500</v>
      </c>
      <c r="K1749" s="2">
        <v>41887</v>
      </c>
      <c r="L1749" s="1">
        <v>25</v>
      </c>
      <c r="M1749" s="2">
        <v>41911</v>
      </c>
      <c r="N1749" s="1">
        <v>25</v>
      </c>
      <c r="O1749" s="2">
        <v>41911</v>
      </c>
      <c r="P1749" s="1">
        <v>13295</v>
      </c>
      <c r="Q1749" s="1" t="s">
        <v>302</v>
      </c>
      <c r="R1749" s="2">
        <v>41988</v>
      </c>
      <c r="S1749" s="1">
        <v>118007</v>
      </c>
      <c r="U1749" s="1">
        <v>11109</v>
      </c>
      <c r="V1749" s="1" t="s">
        <v>16475</v>
      </c>
      <c r="W1749" s="1" t="s">
        <v>725</v>
      </c>
      <c r="X1749" s="1" t="s">
        <v>1688</v>
      </c>
      <c r="Y1749" s="1">
        <v>1</v>
      </c>
      <c r="Z1749" s="1" t="s">
        <v>200</v>
      </c>
      <c r="AA1749" s="1" t="s">
        <v>400</v>
      </c>
      <c r="AB1749" s="1">
        <v>60643</v>
      </c>
      <c r="AE1749" s="1" t="s">
        <v>16476</v>
      </c>
      <c r="AF1749" s="1">
        <v>1971</v>
      </c>
      <c r="AG1749" s="1" t="s">
        <v>213</v>
      </c>
      <c r="AH1749" s="1" t="s">
        <v>403</v>
      </c>
      <c r="AI1749" s="1" t="s">
        <v>310</v>
      </c>
      <c r="AJ1749" s="1" t="s">
        <v>404</v>
      </c>
      <c r="AL1749" s="1">
        <v>5</v>
      </c>
      <c r="AM1749" s="1">
        <v>2</v>
      </c>
      <c r="AN1749" s="1">
        <v>2</v>
      </c>
      <c r="AO1749" s="1">
        <v>0</v>
      </c>
      <c r="AP1749" s="1" t="s">
        <v>667</v>
      </c>
      <c r="AR1749" s="1" t="s">
        <v>209</v>
      </c>
      <c r="AS1749" s="1" t="s">
        <v>204</v>
      </c>
      <c r="AT1749" s="1" t="s">
        <v>210</v>
      </c>
      <c r="AW1749" s="1" t="s">
        <v>204</v>
      </c>
      <c r="AX1749" s="1" t="s">
        <v>212</v>
      </c>
      <c r="AZ1749" s="1">
        <v>1487.83</v>
      </c>
      <c r="BA1749" s="1">
        <v>2012</v>
      </c>
      <c r="BB1749" s="1" t="s">
        <v>210</v>
      </c>
      <c r="BE1749" s="1">
        <v>1072</v>
      </c>
      <c r="BF1749" s="1">
        <v>1</v>
      </c>
      <c r="BG1749" s="1">
        <v>30</v>
      </c>
      <c r="BL1749" s="1">
        <v>0</v>
      </c>
      <c r="BM1749" s="1" t="s">
        <v>413</v>
      </c>
      <c r="BN1749" s="1" t="s">
        <v>204</v>
      </c>
      <c r="BP1749" s="1" t="s">
        <v>204</v>
      </c>
      <c r="BR1749" s="1" t="str">
        <f>"25202050500000"</f>
        <v>25202050500000</v>
      </c>
      <c r="BT1749" s="1" t="s">
        <v>16477</v>
      </c>
      <c r="BX1749" s="1">
        <v>299</v>
      </c>
      <c r="BY1749" s="1">
        <v>299</v>
      </c>
      <c r="BZ1749" s="1">
        <v>299</v>
      </c>
      <c r="CB1749" s="1" t="str">
        <f t="shared" ref="CB1749:CC1749" si="1327">"0"</f>
        <v>0</v>
      </c>
      <c r="CC1749" s="1" t="str">
        <f t="shared" si="1327"/>
        <v>0</v>
      </c>
      <c r="CD1749" s="1">
        <v>700</v>
      </c>
      <c r="CE1749" s="1">
        <v>11109</v>
      </c>
      <c r="CG1749" s="1" t="s">
        <v>4546</v>
      </c>
      <c r="CH1749" s="1" t="s">
        <v>219</v>
      </c>
      <c r="CK1749" s="1" t="s">
        <v>757</v>
      </c>
      <c r="CL1749" s="1" t="s">
        <v>277</v>
      </c>
      <c r="CO1749" s="1" t="s">
        <v>318</v>
      </c>
      <c r="CP1749" s="1" t="s">
        <v>219</v>
      </c>
      <c r="CS1749" s="1" t="s">
        <v>378</v>
      </c>
      <c r="CT1749" s="1" t="s">
        <v>277</v>
      </c>
      <c r="CX1749" s="1" t="s">
        <v>224</v>
      </c>
      <c r="DB1749" s="1" t="s">
        <v>224</v>
      </c>
      <c r="DE1749" s="1" t="s">
        <v>16478</v>
      </c>
      <c r="DF1749" s="1" t="s">
        <v>219</v>
      </c>
      <c r="DJ1749" s="1" t="s">
        <v>224</v>
      </c>
      <c r="DS1749" s="1" t="s">
        <v>230</v>
      </c>
      <c r="DW1749" s="1" t="s">
        <v>230</v>
      </c>
      <c r="EA1749" s="1" t="s">
        <v>230</v>
      </c>
      <c r="EE1749" s="1" t="s">
        <v>230</v>
      </c>
      <c r="EI1749" s="1" t="s">
        <v>230</v>
      </c>
      <c r="EL1749" s="1" t="s">
        <v>605</v>
      </c>
      <c r="EM1749" s="1" t="s">
        <v>232</v>
      </c>
      <c r="EN1749" s="1" t="s">
        <v>282</v>
      </c>
      <c r="EO1749" s="1" t="s">
        <v>840</v>
      </c>
      <c r="ER1749" s="1" t="s">
        <v>1249</v>
      </c>
      <c r="EV1749" s="1" t="s">
        <v>240</v>
      </c>
      <c r="EW1749" s="1" t="s">
        <v>210</v>
      </c>
      <c r="EZ1749" s="1" t="s">
        <v>287</v>
      </c>
      <c r="FD1749" s="1" t="s">
        <v>1112</v>
      </c>
      <c r="FE1749" s="1" t="s">
        <v>472</v>
      </c>
      <c r="FF1749" s="1" t="s">
        <v>248</v>
      </c>
      <c r="FH1749" s="1" t="s">
        <v>550</v>
      </c>
      <c r="FJ1749" s="1" t="s">
        <v>1472</v>
      </c>
      <c r="FL1749" s="1" t="s">
        <v>414</v>
      </c>
      <c r="FM1749" s="1" t="s">
        <v>252</v>
      </c>
      <c r="FN1749" s="1" t="s">
        <v>213</v>
      </c>
      <c r="FO1749" s="1" t="s">
        <v>213</v>
      </c>
      <c r="FQ1749" s="1" t="s">
        <v>673</v>
      </c>
      <c r="FR1749" s="1" t="s">
        <v>210</v>
      </c>
      <c r="FS1749" s="1" t="s">
        <v>16479</v>
      </c>
      <c r="FT1749" s="1" t="s">
        <v>255</v>
      </c>
      <c r="FU1749" s="1" t="s">
        <v>204</v>
      </c>
      <c r="FW1749" s="1" t="s">
        <v>9556</v>
      </c>
      <c r="FX1749" s="1">
        <v>13295</v>
      </c>
      <c r="FY1749" s="1" t="s">
        <v>9557</v>
      </c>
      <c r="FZ1749" s="1" t="s">
        <v>9558</v>
      </c>
      <c r="GA1749" s="1">
        <v>118007</v>
      </c>
      <c r="GE1749" s="1" t="s">
        <v>2504</v>
      </c>
      <c r="GH1749" s="1" t="s">
        <v>421</v>
      </c>
      <c r="GI1749" s="1" t="s">
        <v>213</v>
      </c>
      <c r="GJ1749" s="1" t="s">
        <v>260</v>
      </c>
      <c r="GK1749" s="1" t="s">
        <v>210</v>
      </c>
      <c r="GL1749" s="2">
        <v>41988</v>
      </c>
    </row>
    <row r="1750" spans="1:195">
      <c r="A1750" s="1">
        <v>133500</v>
      </c>
      <c r="B1750" s="1" t="s">
        <v>195</v>
      </c>
      <c r="C1750" s="1" t="str">
        <f>"08717351"</f>
        <v>08717351</v>
      </c>
      <c r="D1750" s="1" t="s">
        <v>196</v>
      </c>
      <c r="F1750" s="1" t="str">
        <f>"187"</f>
        <v>187</v>
      </c>
      <c r="G1750" s="2">
        <v>41885</v>
      </c>
      <c r="H1750" s="1">
        <v>137750</v>
      </c>
      <c r="I1750" s="1">
        <v>137750</v>
      </c>
      <c r="J1750" s="1">
        <v>133500</v>
      </c>
      <c r="K1750" s="2">
        <v>41885</v>
      </c>
      <c r="L1750" s="1">
        <v>13</v>
      </c>
      <c r="M1750" s="2">
        <v>41897</v>
      </c>
      <c r="N1750" s="1">
        <v>13</v>
      </c>
      <c r="O1750" s="2">
        <v>41897</v>
      </c>
      <c r="P1750" s="1">
        <v>23655</v>
      </c>
      <c r="Q1750" s="1" t="s">
        <v>197</v>
      </c>
      <c r="R1750" s="2">
        <v>41975</v>
      </c>
      <c r="S1750" s="1">
        <v>222796</v>
      </c>
      <c r="U1750" s="1">
        <v>1750</v>
      </c>
      <c r="V1750" s="1" t="s">
        <v>16480</v>
      </c>
      <c r="W1750" s="1" t="s">
        <v>304</v>
      </c>
      <c r="X1750" s="1" t="s">
        <v>1000</v>
      </c>
      <c r="Y1750" s="1">
        <v>4</v>
      </c>
      <c r="Z1750" s="1" t="s">
        <v>249</v>
      </c>
      <c r="AA1750" s="1" t="s">
        <v>964</v>
      </c>
      <c r="AB1750" s="1">
        <v>60189</v>
      </c>
      <c r="AD1750" s="1" t="s">
        <v>7731</v>
      </c>
      <c r="AE1750" s="1" t="s">
        <v>16481</v>
      </c>
      <c r="AF1750" s="1">
        <v>1978</v>
      </c>
      <c r="AG1750" s="1" t="s">
        <v>204</v>
      </c>
      <c r="AH1750" s="1" t="s">
        <v>967</v>
      </c>
      <c r="AI1750" s="1" t="s">
        <v>206</v>
      </c>
      <c r="AJ1750" s="1" t="s">
        <v>207</v>
      </c>
      <c r="AL1750" s="1">
        <v>5</v>
      </c>
      <c r="AM1750" s="1">
        <v>2</v>
      </c>
      <c r="AN1750" s="1">
        <v>1</v>
      </c>
      <c r="AO1750" s="1">
        <v>0</v>
      </c>
      <c r="AP1750" s="1" t="s">
        <v>455</v>
      </c>
      <c r="AQ1750" s="1">
        <v>1</v>
      </c>
      <c r="AR1750" s="1" t="s">
        <v>210</v>
      </c>
      <c r="AT1750" s="1" t="s">
        <v>375</v>
      </c>
      <c r="AU1750" s="1">
        <v>1</v>
      </c>
      <c r="AV1750" s="1">
        <v>1</v>
      </c>
      <c r="AW1750" s="1" t="s">
        <v>204</v>
      </c>
      <c r="AX1750" s="1" t="s">
        <v>1265</v>
      </c>
      <c r="AZ1750" s="1">
        <v>2645</v>
      </c>
      <c r="BA1750" s="1">
        <v>2013</v>
      </c>
      <c r="BB1750" s="1" t="s">
        <v>405</v>
      </c>
      <c r="BE1750" s="1">
        <v>1056</v>
      </c>
      <c r="BF1750" s="1">
        <v>2</v>
      </c>
      <c r="BG1750" s="1">
        <v>30</v>
      </c>
      <c r="BL1750" s="1">
        <v>305</v>
      </c>
      <c r="BM1750" s="1" t="s">
        <v>204</v>
      </c>
      <c r="BN1750" s="1" t="s">
        <v>213</v>
      </c>
      <c r="BO1750" s="1">
        <v>999</v>
      </c>
      <c r="BP1750" s="1" t="s">
        <v>204</v>
      </c>
      <c r="BR1750" s="1" t="str">
        <f>"0527107157"</f>
        <v>0527107157</v>
      </c>
      <c r="BT1750" s="1" t="s">
        <v>16482</v>
      </c>
      <c r="BU1750" s="1" t="s">
        <v>7734</v>
      </c>
      <c r="BV1750" s="1" t="s">
        <v>216</v>
      </c>
      <c r="BW1750" s="1" t="s">
        <v>217</v>
      </c>
      <c r="BX1750" s="1">
        <v>89</v>
      </c>
      <c r="BY1750" s="1">
        <v>89</v>
      </c>
      <c r="BZ1750" s="1">
        <v>87</v>
      </c>
      <c r="CB1750" s="1" t="str">
        <f t="shared" ref="CB1750:CC1750" si="1328">""</f>
        <v/>
      </c>
      <c r="CC1750" s="1" t="str">
        <f t="shared" si="1328"/>
        <v/>
      </c>
      <c r="CG1750" s="1" t="s">
        <v>5997</v>
      </c>
      <c r="CH1750" s="1" t="s">
        <v>277</v>
      </c>
      <c r="CI1750" s="1" t="s">
        <v>229</v>
      </c>
      <c r="CJ1750" s="1" t="s">
        <v>343</v>
      </c>
      <c r="CK1750" s="1" t="s">
        <v>602</v>
      </c>
      <c r="CL1750" s="1" t="s">
        <v>277</v>
      </c>
      <c r="CM1750" s="1" t="s">
        <v>220</v>
      </c>
      <c r="CN1750" s="1" t="s">
        <v>463</v>
      </c>
      <c r="CO1750" s="1" t="s">
        <v>2982</v>
      </c>
      <c r="CP1750" s="1" t="s">
        <v>277</v>
      </c>
      <c r="CQ1750" s="1" t="s">
        <v>226</v>
      </c>
      <c r="CR1750" s="1" t="s">
        <v>210</v>
      </c>
      <c r="CS1750" s="1" t="s">
        <v>1107</v>
      </c>
      <c r="CT1750" s="1" t="s">
        <v>277</v>
      </c>
      <c r="CU1750" s="1" t="s">
        <v>220</v>
      </c>
      <c r="CV1750" s="1" t="s">
        <v>463</v>
      </c>
      <c r="CX1750" s="1" t="s">
        <v>224</v>
      </c>
      <c r="DB1750" s="1" t="s">
        <v>224</v>
      </c>
      <c r="DE1750" s="1" t="s">
        <v>318</v>
      </c>
      <c r="DF1750" s="1" t="s">
        <v>277</v>
      </c>
      <c r="DG1750" s="1" t="s">
        <v>226</v>
      </c>
      <c r="DH1750" s="1" t="s">
        <v>210</v>
      </c>
      <c r="DJ1750" s="1" t="s">
        <v>224</v>
      </c>
      <c r="DM1750" s="1" t="s">
        <v>1770</v>
      </c>
      <c r="DR1750" s="1" t="s">
        <v>2670</v>
      </c>
      <c r="DS1750" s="1" t="s">
        <v>277</v>
      </c>
      <c r="DW1750" s="1" t="s">
        <v>230</v>
      </c>
      <c r="EA1750" s="1" t="s">
        <v>230</v>
      </c>
      <c r="EE1750" s="1" t="s">
        <v>230</v>
      </c>
      <c r="EI1750" s="1" t="s">
        <v>230</v>
      </c>
      <c r="EL1750" s="1" t="s">
        <v>231</v>
      </c>
      <c r="EM1750" s="1" t="s">
        <v>232</v>
      </c>
      <c r="EN1750" s="1" t="s">
        <v>282</v>
      </c>
      <c r="EO1750" s="1" t="s">
        <v>234</v>
      </c>
      <c r="EP1750" s="1" t="s">
        <v>1893</v>
      </c>
      <c r="EQ1750" s="1" t="s">
        <v>1551</v>
      </c>
      <c r="ER1750" s="1" t="s">
        <v>210</v>
      </c>
      <c r="ES1750" s="1" t="s">
        <v>322</v>
      </c>
      <c r="EU1750" s="1" t="s">
        <v>712</v>
      </c>
      <c r="EV1750" s="1" t="s">
        <v>324</v>
      </c>
      <c r="EW1750" s="1" t="s">
        <v>911</v>
      </c>
      <c r="EY1750" s="1" t="s">
        <v>242</v>
      </c>
      <c r="EZ1750" s="1" t="s">
        <v>1770</v>
      </c>
      <c r="FB1750" s="1" t="s">
        <v>289</v>
      </c>
      <c r="FD1750" s="1" t="s">
        <v>495</v>
      </c>
      <c r="FE1750" s="1" t="s">
        <v>651</v>
      </c>
      <c r="FF1750" s="1" t="s">
        <v>248</v>
      </c>
      <c r="FG1750" s="1" t="s">
        <v>2739</v>
      </c>
      <c r="FH1750" s="1" t="s">
        <v>1387</v>
      </c>
      <c r="FI1750" s="1" t="s">
        <v>357</v>
      </c>
      <c r="FK1750" s="1" t="s">
        <v>291</v>
      </c>
      <c r="FL1750" s="1" t="s">
        <v>358</v>
      </c>
      <c r="FM1750" s="1" t="s">
        <v>252</v>
      </c>
      <c r="FN1750" s="1" t="s">
        <v>213</v>
      </c>
      <c r="FO1750" s="1" t="s">
        <v>213</v>
      </c>
      <c r="FQ1750" s="1" t="s">
        <v>5689</v>
      </c>
      <c r="FR1750" s="1" t="s">
        <v>210</v>
      </c>
      <c r="FS1750" s="1" t="s">
        <v>16483</v>
      </c>
      <c r="FT1750" s="1" t="s">
        <v>295</v>
      </c>
      <c r="FU1750" s="1" t="s">
        <v>204</v>
      </c>
      <c r="FW1750" s="1" t="s">
        <v>2144</v>
      </c>
      <c r="FX1750" s="1">
        <v>23163</v>
      </c>
      <c r="FY1750" s="1" t="s">
        <v>2145</v>
      </c>
      <c r="FZ1750" s="1" t="s">
        <v>7186</v>
      </c>
      <c r="GA1750" s="1">
        <v>215425</v>
      </c>
      <c r="GB1750" s="1" t="s">
        <v>7187</v>
      </c>
      <c r="GE1750" s="1" t="s">
        <v>210</v>
      </c>
      <c r="GI1750" s="1" t="s">
        <v>213</v>
      </c>
      <c r="GJ1750" s="1" t="s">
        <v>260</v>
      </c>
      <c r="GK1750" s="1" t="s">
        <v>210</v>
      </c>
      <c r="GL1750" s="2">
        <v>41975</v>
      </c>
      <c r="GM1750" s="1" t="s">
        <v>16484</v>
      </c>
    </row>
    <row r="1751" spans="1:195">
      <c r="A1751" s="1">
        <v>215000</v>
      </c>
      <c r="B1751" s="1" t="s">
        <v>195</v>
      </c>
      <c r="C1751" s="1" t="str">
        <f>"08717854"</f>
        <v>08717854</v>
      </c>
      <c r="D1751" s="1" t="s">
        <v>196</v>
      </c>
      <c r="F1751" s="1" t="str">
        <f>"634"</f>
        <v>634</v>
      </c>
      <c r="G1751" s="2">
        <v>41885</v>
      </c>
      <c r="H1751" s="1">
        <v>240000</v>
      </c>
      <c r="I1751" s="1">
        <v>240000</v>
      </c>
      <c r="J1751" s="1">
        <v>215000</v>
      </c>
      <c r="K1751" s="2">
        <v>41885</v>
      </c>
      <c r="L1751" s="1">
        <v>22</v>
      </c>
      <c r="M1751" s="2">
        <v>41906</v>
      </c>
      <c r="N1751" s="1">
        <v>22</v>
      </c>
      <c r="O1751" s="2">
        <v>41906</v>
      </c>
      <c r="P1751" s="1">
        <v>17299</v>
      </c>
      <c r="Q1751" s="1" t="s">
        <v>197</v>
      </c>
      <c r="R1751" s="2">
        <v>41976</v>
      </c>
      <c r="S1751" s="1">
        <v>169998</v>
      </c>
      <c r="U1751" s="1">
        <v>4330</v>
      </c>
      <c r="V1751" s="1" t="s">
        <v>3196</v>
      </c>
      <c r="W1751" s="1" t="s">
        <v>425</v>
      </c>
      <c r="X1751" s="1">
        <v>307</v>
      </c>
      <c r="Y1751" s="1">
        <v>34</v>
      </c>
      <c r="Z1751" s="1" t="s">
        <v>249</v>
      </c>
      <c r="AA1751" s="1" t="s">
        <v>3197</v>
      </c>
      <c r="AB1751" s="1">
        <v>60706</v>
      </c>
      <c r="AD1751" s="1" t="s">
        <v>16485</v>
      </c>
      <c r="AE1751" s="1" t="s">
        <v>16486</v>
      </c>
      <c r="AF1751" s="1">
        <v>2005</v>
      </c>
      <c r="AG1751" s="1" t="s">
        <v>204</v>
      </c>
      <c r="AH1751" s="1" t="s">
        <v>3199</v>
      </c>
      <c r="AI1751" s="1" t="s">
        <v>310</v>
      </c>
      <c r="AJ1751" s="1" t="s">
        <v>311</v>
      </c>
      <c r="AL1751" s="1">
        <v>5</v>
      </c>
      <c r="AM1751" s="1">
        <v>2</v>
      </c>
      <c r="AN1751" s="1">
        <v>2</v>
      </c>
      <c r="AO1751" s="1">
        <v>0</v>
      </c>
      <c r="AP1751" s="1" t="s">
        <v>209</v>
      </c>
      <c r="AQ1751" s="1">
        <v>0</v>
      </c>
      <c r="AR1751" s="1" t="s">
        <v>210</v>
      </c>
      <c r="AS1751" s="1" t="s">
        <v>204</v>
      </c>
      <c r="AT1751" s="1" t="s">
        <v>211</v>
      </c>
      <c r="AU1751" s="1">
        <v>2</v>
      </c>
      <c r="AW1751" s="1" t="s">
        <v>204</v>
      </c>
      <c r="AX1751" s="1" t="s">
        <v>212</v>
      </c>
      <c r="AZ1751" s="1">
        <v>3435</v>
      </c>
      <c r="BA1751" s="1">
        <v>2013</v>
      </c>
      <c r="BB1751" s="1" t="s">
        <v>405</v>
      </c>
      <c r="BE1751" s="1">
        <v>1250</v>
      </c>
      <c r="BF1751" s="1">
        <v>3</v>
      </c>
      <c r="BG1751" s="1">
        <v>30</v>
      </c>
      <c r="BL1751" s="1">
        <v>256</v>
      </c>
      <c r="BM1751" s="1" t="s">
        <v>204</v>
      </c>
      <c r="BN1751" s="1" t="s">
        <v>213</v>
      </c>
      <c r="BO1751" s="1">
        <v>35</v>
      </c>
      <c r="BP1751" s="1" t="s">
        <v>204</v>
      </c>
      <c r="BR1751" s="1" t="str">
        <f>"13183000541019"</f>
        <v>13183000541019</v>
      </c>
      <c r="BT1751" s="1" t="s">
        <v>16487</v>
      </c>
      <c r="BU1751" s="1" t="s">
        <v>16488</v>
      </c>
      <c r="BV1751" s="1" t="s">
        <v>16488</v>
      </c>
      <c r="BW1751" s="1" t="s">
        <v>7002</v>
      </c>
      <c r="BX1751" s="1">
        <v>86</v>
      </c>
      <c r="BY1751" s="1">
        <v>86</v>
      </c>
      <c r="BZ1751" s="1">
        <v>234</v>
      </c>
      <c r="CB1751" s="1" t="str">
        <f>"4310"</f>
        <v>4310</v>
      </c>
      <c r="CC1751" s="1" t="str">
        <f t="shared" ref="CC1751:CC1755" si="1329">"0"</f>
        <v>0</v>
      </c>
      <c r="CD1751" s="1">
        <v>7000</v>
      </c>
      <c r="CE1751" s="1">
        <v>0</v>
      </c>
      <c r="CG1751" s="1" t="s">
        <v>908</v>
      </c>
      <c r="CH1751" s="1" t="s">
        <v>219</v>
      </c>
      <c r="CI1751" s="1" t="s">
        <v>438</v>
      </c>
      <c r="CK1751" s="1" t="s">
        <v>908</v>
      </c>
      <c r="CL1751" s="1" t="s">
        <v>219</v>
      </c>
      <c r="CM1751" s="1" t="s">
        <v>220</v>
      </c>
      <c r="CO1751" s="1" t="s">
        <v>629</v>
      </c>
      <c r="CP1751" s="1" t="s">
        <v>219</v>
      </c>
      <c r="CS1751" s="1" t="s">
        <v>379</v>
      </c>
      <c r="CT1751" s="1" t="s">
        <v>219</v>
      </c>
      <c r="CU1751" s="1" t="s">
        <v>220</v>
      </c>
      <c r="CX1751" s="1" t="s">
        <v>224</v>
      </c>
      <c r="DB1751" s="1" t="s">
        <v>224</v>
      </c>
      <c r="DE1751" s="1" t="s">
        <v>837</v>
      </c>
      <c r="DF1751" s="1" t="s">
        <v>219</v>
      </c>
      <c r="DG1751" s="1" t="s">
        <v>438</v>
      </c>
      <c r="DJ1751" s="1" t="s">
        <v>224</v>
      </c>
      <c r="DM1751" s="1" t="s">
        <v>838</v>
      </c>
      <c r="DR1751" s="1" t="s">
        <v>14143</v>
      </c>
      <c r="DS1751" s="1" t="s">
        <v>219</v>
      </c>
      <c r="DW1751" s="1" t="s">
        <v>230</v>
      </c>
      <c r="EA1751" s="1" t="s">
        <v>230</v>
      </c>
      <c r="EE1751" s="1" t="s">
        <v>230</v>
      </c>
      <c r="EI1751" s="1" t="s">
        <v>230</v>
      </c>
      <c r="EL1751" s="1" t="s">
        <v>491</v>
      </c>
      <c r="EM1751" s="1" t="s">
        <v>232</v>
      </c>
      <c r="EN1751" s="1" t="s">
        <v>282</v>
      </c>
      <c r="EO1751" s="1" t="s">
        <v>234</v>
      </c>
      <c r="EP1751" s="1" t="s">
        <v>16489</v>
      </c>
      <c r="EQ1751" s="1" t="s">
        <v>11523</v>
      </c>
      <c r="ER1751" s="1" t="s">
        <v>210</v>
      </c>
      <c r="ES1751" s="1" t="s">
        <v>493</v>
      </c>
      <c r="ET1751" s="1" t="s">
        <v>323</v>
      </c>
      <c r="EU1751" s="1" t="s">
        <v>239</v>
      </c>
      <c r="EV1751" s="1" t="s">
        <v>240</v>
      </c>
      <c r="EW1751" s="1" t="s">
        <v>5888</v>
      </c>
      <c r="EY1751" s="1" t="s">
        <v>242</v>
      </c>
      <c r="EZ1751" s="1" t="s">
        <v>838</v>
      </c>
      <c r="FA1751" s="1" t="s">
        <v>16490</v>
      </c>
      <c r="FB1751" s="1" t="s">
        <v>846</v>
      </c>
      <c r="FC1751" s="1" t="s">
        <v>633</v>
      </c>
      <c r="FD1751" s="1" t="s">
        <v>290</v>
      </c>
      <c r="FE1751" s="1" t="s">
        <v>247</v>
      </c>
      <c r="FF1751" s="1" t="s">
        <v>1113</v>
      </c>
      <c r="FH1751" s="1" t="s">
        <v>249</v>
      </c>
      <c r="FI1751" s="1" t="s">
        <v>250</v>
      </c>
      <c r="FJ1751" s="1" t="s">
        <v>197</v>
      </c>
      <c r="FL1751" s="1" t="s">
        <v>358</v>
      </c>
      <c r="FM1751" s="1" t="s">
        <v>252</v>
      </c>
      <c r="FN1751" s="1" t="s">
        <v>213</v>
      </c>
      <c r="FO1751" s="1" t="s">
        <v>213</v>
      </c>
      <c r="FQ1751" s="1" t="s">
        <v>1286</v>
      </c>
      <c r="FR1751" s="1" t="s">
        <v>210</v>
      </c>
      <c r="FS1751" s="1" t="s">
        <v>16491</v>
      </c>
      <c r="FT1751" s="1" t="s">
        <v>1139</v>
      </c>
      <c r="FU1751" s="1" t="s">
        <v>204</v>
      </c>
      <c r="FW1751" s="1" t="s">
        <v>10171</v>
      </c>
      <c r="FX1751" s="1">
        <v>13691</v>
      </c>
      <c r="FY1751" s="1" t="s">
        <v>10172</v>
      </c>
      <c r="FZ1751" s="1" t="s">
        <v>16492</v>
      </c>
      <c r="GA1751" s="1">
        <v>188155</v>
      </c>
      <c r="GB1751" s="1" t="s">
        <v>16493</v>
      </c>
      <c r="GE1751" s="1" t="s">
        <v>210</v>
      </c>
      <c r="GH1751" s="1" t="s">
        <v>230</v>
      </c>
      <c r="GI1751" s="1" t="s">
        <v>213</v>
      </c>
      <c r="GJ1751" s="1" t="s">
        <v>260</v>
      </c>
      <c r="GK1751" s="1" t="s">
        <v>210</v>
      </c>
      <c r="GL1751" s="2">
        <v>41977</v>
      </c>
    </row>
    <row r="1752" spans="1:195">
      <c r="A1752" s="1">
        <v>63000</v>
      </c>
      <c r="B1752" s="1" t="s">
        <v>195</v>
      </c>
      <c r="C1752" s="1" t="str">
        <f>"08715546"</f>
        <v>08715546</v>
      </c>
      <c r="D1752" s="1" t="s">
        <v>196</v>
      </c>
      <c r="F1752" s="1" t="str">
        <f>"118"</f>
        <v>118</v>
      </c>
      <c r="G1752" s="2">
        <v>41882</v>
      </c>
      <c r="H1752" s="1">
        <v>88000</v>
      </c>
      <c r="I1752" s="1">
        <v>79900</v>
      </c>
      <c r="J1752" s="1">
        <v>63000</v>
      </c>
      <c r="K1752" s="2">
        <v>41882</v>
      </c>
      <c r="L1752" s="1">
        <v>206</v>
      </c>
      <c r="M1752" s="2">
        <v>42087</v>
      </c>
      <c r="N1752" s="1">
        <v>206</v>
      </c>
      <c r="O1752" s="2">
        <v>42087</v>
      </c>
      <c r="P1752" s="1">
        <v>7480</v>
      </c>
      <c r="Q1752" s="1" t="s">
        <v>302</v>
      </c>
      <c r="R1752" s="2">
        <v>42131</v>
      </c>
      <c r="S1752" s="1">
        <v>77462</v>
      </c>
      <c r="U1752" s="1">
        <v>605</v>
      </c>
      <c r="V1752" s="1" t="s">
        <v>6729</v>
      </c>
      <c r="W1752" s="1" t="s">
        <v>425</v>
      </c>
      <c r="X1752" s="1">
        <v>300</v>
      </c>
      <c r="Y1752" s="1">
        <v>90</v>
      </c>
      <c r="Z1752" s="1" t="s">
        <v>249</v>
      </c>
      <c r="AA1752" s="1" t="s">
        <v>4079</v>
      </c>
      <c r="AB1752" s="1">
        <v>60118</v>
      </c>
      <c r="AC1752" s="1">
        <v>1428</v>
      </c>
      <c r="AD1752" s="1" t="s">
        <v>12785</v>
      </c>
      <c r="AE1752" s="1" t="s">
        <v>16494</v>
      </c>
      <c r="AF1752" s="1">
        <v>2000</v>
      </c>
      <c r="AG1752" s="1" t="s">
        <v>204</v>
      </c>
      <c r="AH1752" s="1" t="s">
        <v>7861</v>
      </c>
      <c r="AI1752" s="1" t="s">
        <v>665</v>
      </c>
      <c r="AJ1752" s="1" t="s">
        <v>805</v>
      </c>
      <c r="AL1752" s="1">
        <v>4</v>
      </c>
      <c r="AM1752" s="1">
        <v>2</v>
      </c>
      <c r="AN1752" s="1">
        <v>2</v>
      </c>
      <c r="AO1752" s="1">
        <v>0</v>
      </c>
      <c r="AP1752" s="1" t="s">
        <v>209</v>
      </c>
      <c r="AQ1752" s="1">
        <v>0</v>
      </c>
      <c r="AR1752" s="1" t="s">
        <v>209</v>
      </c>
      <c r="AS1752" s="1" t="s">
        <v>204</v>
      </c>
      <c r="AT1752" s="1" t="s">
        <v>210</v>
      </c>
      <c r="AW1752" s="1" t="s">
        <v>204</v>
      </c>
      <c r="AX1752" s="1" t="s">
        <v>212</v>
      </c>
      <c r="AZ1752" s="1">
        <v>1556</v>
      </c>
      <c r="BA1752" s="1">
        <v>2013</v>
      </c>
      <c r="BB1752" s="1" t="s">
        <v>599</v>
      </c>
      <c r="BE1752" s="1">
        <v>975</v>
      </c>
      <c r="BF1752" s="1">
        <v>3</v>
      </c>
      <c r="BG1752" s="1">
        <v>0</v>
      </c>
      <c r="BL1752" s="1">
        <v>1094</v>
      </c>
      <c r="BM1752" s="1" t="s">
        <v>204</v>
      </c>
      <c r="BN1752" s="1" t="s">
        <v>213</v>
      </c>
      <c r="BO1752" s="1">
        <v>20</v>
      </c>
      <c r="BP1752" s="1" t="s">
        <v>204</v>
      </c>
      <c r="BR1752" s="1" t="str">
        <f>"0323251043"</f>
        <v>0323251043</v>
      </c>
      <c r="BT1752" s="1" t="s">
        <v>16495</v>
      </c>
      <c r="BX1752" s="1">
        <v>300</v>
      </c>
      <c r="BY1752" s="1">
        <v>300</v>
      </c>
      <c r="BZ1752" s="1">
        <v>300</v>
      </c>
      <c r="CA1752" s="1">
        <v>300</v>
      </c>
      <c r="CB1752" s="1" t="str">
        <f>"16"</f>
        <v>16</v>
      </c>
      <c r="CC1752" s="1" t="str">
        <f t="shared" si="1329"/>
        <v>0</v>
      </c>
      <c r="CD1752" s="1">
        <v>33</v>
      </c>
      <c r="CE1752" s="1">
        <v>0</v>
      </c>
      <c r="CG1752" s="1" t="s">
        <v>669</v>
      </c>
      <c r="CH1752" s="1" t="s">
        <v>784</v>
      </c>
      <c r="CI1752" s="1" t="s">
        <v>220</v>
      </c>
      <c r="CJ1752" s="1" t="s">
        <v>252</v>
      </c>
      <c r="CK1752" s="1" t="s">
        <v>344</v>
      </c>
      <c r="CL1752" s="1" t="s">
        <v>784</v>
      </c>
      <c r="CM1752" s="1" t="s">
        <v>220</v>
      </c>
      <c r="CN1752" s="1" t="s">
        <v>252</v>
      </c>
      <c r="CP1752" s="1" t="s">
        <v>224</v>
      </c>
      <c r="CS1752" s="1" t="s">
        <v>317</v>
      </c>
      <c r="CT1752" s="1" t="s">
        <v>784</v>
      </c>
      <c r="CU1752" s="1" t="s">
        <v>220</v>
      </c>
      <c r="CV1752" s="1" t="s">
        <v>252</v>
      </c>
      <c r="CX1752" s="1" t="s">
        <v>224</v>
      </c>
      <c r="DB1752" s="1" t="s">
        <v>224</v>
      </c>
      <c r="DE1752" s="1" t="s">
        <v>346</v>
      </c>
      <c r="DF1752" s="1" t="s">
        <v>784</v>
      </c>
      <c r="DG1752" s="1" t="s">
        <v>342</v>
      </c>
      <c r="DH1752" s="1" t="s">
        <v>210</v>
      </c>
      <c r="DJ1752" s="1" t="s">
        <v>224</v>
      </c>
      <c r="DS1752" s="1" t="s">
        <v>230</v>
      </c>
      <c r="DW1752" s="1" t="s">
        <v>230</v>
      </c>
      <c r="EA1752" s="1" t="s">
        <v>230</v>
      </c>
      <c r="EE1752" s="1" t="s">
        <v>230</v>
      </c>
      <c r="EI1752" s="1" t="s">
        <v>230</v>
      </c>
      <c r="EL1752" s="1" t="s">
        <v>466</v>
      </c>
      <c r="EM1752" s="1" t="s">
        <v>319</v>
      </c>
      <c r="EN1752" s="1" t="s">
        <v>282</v>
      </c>
      <c r="EO1752" s="1" t="s">
        <v>234</v>
      </c>
      <c r="EP1752" s="1" t="s">
        <v>16496</v>
      </c>
      <c r="EQ1752" s="1" t="s">
        <v>468</v>
      </c>
      <c r="ER1752" s="1" t="s">
        <v>1249</v>
      </c>
      <c r="ES1752" s="1" t="s">
        <v>322</v>
      </c>
      <c r="ET1752" s="1" t="s">
        <v>1584</v>
      </c>
      <c r="EU1752" s="1" t="s">
        <v>239</v>
      </c>
      <c r="EW1752" s="1" t="s">
        <v>16497</v>
      </c>
      <c r="EY1752" s="1" t="s">
        <v>242</v>
      </c>
      <c r="EZ1752" s="1" t="s">
        <v>287</v>
      </c>
      <c r="FA1752" s="1" t="s">
        <v>9459</v>
      </c>
      <c r="FB1752" s="1" t="s">
        <v>2888</v>
      </c>
      <c r="FC1752" s="1" t="s">
        <v>548</v>
      </c>
      <c r="FD1752" s="1" t="s">
        <v>4003</v>
      </c>
      <c r="FE1752" s="1" t="s">
        <v>247</v>
      </c>
      <c r="FF1752" s="1" t="s">
        <v>248</v>
      </c>
      <c r="FH1752" s="1" t="s">
        <v>249</v>
      </c>
      <c r="FJ1752" s="1" t="s">
        <v>197</v>
      </c>
      <c r="FL1752" s="1" t="s">
        <v>358</v>
      </c>
      <c r="FM1752" s="1" t="s">
        <v>252</v>
      </c>
      <c r="FN1752" s="1" t="s">
        <v>213</v>
      </c>
      <c r="FO1752" s="1" t="s">
        <v>213</v>
      </c>
      <c r="FQ1752" s="1" t="s">
        <v>913</v>
      </c>
      <c r="FR1752" s="1" t="s">
        <v>210</v>
      </c>
      <c r="FS1752" s="1" t="s">
        <v>1587</v>
      </c>
      <c r="FT1752" s="1" t="s">
        <v>1588</v>
      </c>
      <c r="FU1752" s="1" t="s">
        <v>204</v>
      </c>
      <c r="FV1752" s="1" t="s">
        <v>1589</v>
      </c>
      <c r="FW1752" s="1" t="s">
        <v>1097</v>
      </c>
      <c r="FX1752" s="1">
        <v>5153</v>
      </c>
      <c r="FY1752" s="1" t="s">
        <v>1590</v>
      </c>
      <c r="FZ1752" s="1" t="s">
        <v>1591</v>
      </c>
      <c r="GA1752" s="1">
        <v>55327</v>
      </c>
      <c r="GB1752" s="1" t="s">
        <v>1592</v>
      </c>
      <c r="GD1752" s="1" t="s">
        <v>1593</v>
      </c>
      <c r="GE1752" s="1" t="s">
        <v>16498</v>
      </c>
      <c r="GI1752" s="1" t="s">
        <v>213</v>
      </c>
      <c r="GJ1752" s="1" t="s">
        <v>260</v>
      </c>
      <c r="GK1752" s="1" t="s">
        <v>210</v>
      </c>
      <c r="GL1752" s="2">
        <v>42132</v>
      </c>
      <c r="GM1752" s="1" t="s">
        <v>16499</v>
      </c>
    </row>
    <row r="1753" spans="1:195">
      <c r="A1753" s="1">
        <v>191000</v>
      </c>
      <c r="B1753" s="1" t="s">
        <v>195</v>
      </c>
      <c r="C1753" s="1" t="str">
        <f>"08715318"</f>
        <v>08715318</v>
      </c>
      <c r="D1753" s="1" t="s">
        <v>196</v>
      </c>
      <c r="F1753" s="1" t="str">
        <f>"136"</f>
        <v>136</v>
      </c>
      <c r="G1753" s="2">
        <v>41881</v>
      </c>
      <c r="H1753" s="1">
        <v>215000</v>
      </c>
      <c r="I1753" s="1">
        <v>199900</v>
      </c>
      <c r="J1753" s="1">
        <v>191000</v>
      </c>
      <c r="K1753" s="2">
        <v>41881</v>
      </c>
      <c r="L1753" s="1">
        <v>138</v>
      </c>
      <c r="M1753" s="2">
        <v>42018</v>
      </c>
      <c r="N1753" s="1">
        <v>138</v>
      </c>
      <c r="O1753" s="2">
        <v>42018</v>
      </c>
      <c r="P1753" s="1">
        <v>7450</v>
      </c>
      <c r="Q1753" s="1" t="s">
        <v>197</v>
      </c>
      <c r="R1753" s="2">
        <v>42066</v>
      </c>
      <c r="S1753" s="1">
        <v>70036</v>
      </c>
      <c r="U1753" s="1">
        <v>111</v>
      </c>
      <c r="V1753" s="1" t="s">
        <v>16500</v>
      </c>
      <c r="W1753" s="1" t="s">
        <v>264</v>
      </c>
      <c r="Y1753" s="1">
        <v>2</v>
      </c>
      <c r="Z1753" s="1" t="s">
        <v>370</v>
      </c>
      <c r="AA1753" s="1" t="s">
        <v>3680</v>
      </c>
      <c r="AB1753" s="1">
        <v>60136</v>
      </c>
      <c r="AC1753" s="1">
        <v>136</v>
      </c>
      <c r="AE1753" s="1" t="s">
        <v>16501</v>
      </c>
      <c r="AF1753" s="1">
        <v>2003</v>
      </c>
      <c r="AG1753" s="1" t="s">
        <v>204</v>
      </c>
      <c r="AH1753" s="1" t="s">
        <v>3682</v>
      </c>
      <c r="AI1753" s="1" t="s">
        <v>665</v>
      </c>
      <c r="AJ1753" s="1" t="s">
        <v>748</v>
      </c>
      <c r="AK1753" s="1" t="s">
        <v>16502</v>
      </c>
      <c r="AL1753" s="1">
        <v>8</v>
      </c>
      <c r="AM1753" s="1">
        <v>2</v>
      </c>
      <c r="AN1753" s="1">
        <v>3</v>
      </c>
      <c r="AO1753" s="1">
        <v>0</v>
      </c>
      <c r="AP1753" s="1" t="s">
        <v>209</v>
      </c>
      <c r="AR1753" s="1" t="s">
        <v>1483</v>
      </c>
      <c r="AS1753" s="1" t="s">
        <v>213</v>
      </c>
      <c r="AT1753" s="1" t="s">
        <v>211</v>
      </c>
      <c r="AU1753" s="1">
        <v>2</v>
      </c>
      <c r="AW1753" s="1" t="s">
        <v>204</v>
      </c>
      <c r="AX1753" s="1" t="s">
        <v>212</v>
      </c>
      <c r="AZ1753" s="1">
        <v>5823</v>
      </c>
      <c r="BA1753" s="1">
        <v>2013</v>
      </c>
      <c r="BB1753" s="1" t="s">
        <v>405</v>
      </c>
      <c r="BE1753" s="1">
        <v>1607</v>
      </c>
      <c r="BF1753" s="1">
        <v>1</v>
      </c>
      <c r="BG1753" s="1">
        <v>30</v>
      </c>
      <c r="BJ1753" s="1">
        <v>100</v>
      </c>
      <c r="BK1753" s="1">
        <v>100</v>
      </c>
      <c r="BL1753" s="1">
        <v>230</v>
      </c>
      <c r="BM1753" s="1" t="s">
        <v>204</v>
      </c>
      <c r="BN1753" s="1" t="s">
        <v>213</v>
      </c>
      <c r="BO1753" s="1">
        <v>0</v>
      </c>
      <c r="BP1753" s="1" t="s">
        <v>204</v>
      </c>
      <c r="BR1753" s="1" t="str">
        <f>"0236274004"</f>
        <v>0236274004</v>
      </c>
      <c r="BT1753" s="1" t="s">
        <v>16503</v>
      </c>
      <c r="BX1753" s="1">
        <v>300</v>
      </c>
      <c r="BY1753" s="1">
        <v>300</v>
      </c>
      <c r="BZ1753" s="1">
        <v>300</v>
      </c>
      <c r="CB1753" s="1" t="str">
        <f>"18"</f>
        <v>18</v>
      </c>
      <c r="CC1753" s="1" t="str">
        <f t="shared" si="1329"/>
        <v>0</v>
      </c>
      <c r="CD1753" s="1">
        <v>39</v>
      </c>
      <c r="CE1753" s="1">
        <v>0</v>
      </c>
      <c r="CG1753" s="1" t="s">
        <v>1402</v>
      </c>
      <c r="CH1753" s="1" t="s">
        <v>219</v>
      </c>
      <c r="CI1753" s="1" t="s">
        <v>220</v>
      </c>
      <c r="CK1753" s="1" t="s">
        <v>3316</v>
      </c>
      <c r="CL1753" s="1" t="s">
        <v>219</v>
      </c>
      <c r="CM1753" s="1" t="s">
        <v>220</v>
      </c>
      <c r="CO1753" s="1" t="s">
        <v>3591</v>
      </c>
      <c r="CP1753" s="1" t="s">
        <v>219</v>
      </c>
      <c r="CQ1753" s="1" t="s">
        <v>220</v>
      </c>
      <c r="CS1753" s="1" t="s">
        <v>408</v>
      </c>
      <c r="CT1753" s="1" t="s">
        <v>219</v>
      </c>
      <c r="CU1753" s="1" t="s">
        <v>220</v>
      </c>
      <c r="CW1753" s="1" t="s">
        <v>3316</v>
      </c>
      <c r="CX1753" s="1" t="s">
        <v>43</v>
      </c>
      <c r="CY1753" s="1" t="s">
        <v>220</v>
      </c>
      <c r="DB1753" s="1" t="s">
        <v>224</v>
      </c>
      <c r="DE1753" s="1" t="s">
        <v>1155</v>
      </c>
      <c r="DF1753" s="1" t="s">
        <v>219</v>
      </c>
      <c r="DG1753" s="1" t="s">
        <v>438</v>
      </c>
      <c r="DI1753" s="1" t="s">
        <v>16504</v>
      </c>
      <c r="DJ1753" s="1" t="s">
        <v>43</v>
      </c>
      <c r="DK1753" s="1" t="s">
        <v>220</v>
      </c>
      <c r="DM1753" s="1" t="s">
        <v>1548</v>
      </c>
      <c r="DR1753" s="1" t="s">
        <v>1995</v>
      </c>
      <c r="DS1753" s="1" t="s">
        <v>219</v>
      </c>
      <c r="DT1753" s="1" t="s">
        <v>438</v>
      </c>
      <c r="DW1753" s="1" t="s">
        <v>230</v>
      </c>
      <c r="EA1753" s="1" t="s">
        <v>230</v>
      </c>
      <c r="EE1753" s="1" t="s">
        <v>230</v>
      </c>
      <c r="EI1753" s="1" t="s">
        <v>230</v>
      </c>
      <c r="EL1753" s="1" t="s">
        <v>466</v>
      </c>
      <c r="EM1753" s="1" t="s">
        <v>319</v>
      </c>
      <c r="EN1753" s="1" t="s">
        <v>282</v>
      </c>
      <c r="EO1753" s="1" t="s">
        <v>1020</v>
      </c>
      <c r="EP1753" s="1" t="s">
        <v>1268</v>
      </c>
      <c r="EQ1753" s="1" t="s">
        <v>4592</v>
      </c>
      <c r="ER1753" s="1" t="s">
        <v>544</v>
      </c>
      <c r="ES1753" s="1" t="s">
        <v>4621</v>
      </c>
      <c r="ET1753" s="1" t="s">
        <v>15130</v>
      </c>
      <c r="EU1753" s="1" t="s">
        <v>9178</v>
      </c>
      <c r="EV1753" s="1" t="s">
        <v>240</v>
      </c>
      <c r="EW1753" s="1" t="s">
        <v>353</v>
      </c>
      <c r="EY1753" s="1" t="s">
        <v>242</v>
      </c>
      <c r="EZ1753" s="1" t="s">
        <v>1548</v>
      </c>
      <c r="FA1753" s="1" t="s">
        <v>7047</v>
      </c>
      <c r="FB1753" s="1" t="s">
        <v>289</v>
      </c>
      <c r="FD1753" s="1" t="s">
        <v>246</v>
      </c>
      <c r="FE1753" s="1" t="s">
        <v>975</v>
      </c>
      <c r="FF1753" s="1" t="s">
        <v>248</v>
      </c>
      <c r="FH1753" s="1" t="s">
        <v>442</v>
      </c>
      <c r="FI1753" s="1" t="s">
        <v>473</v>
      </c>
      <c r="FJ1753" s="1" t="s">
        <v>518</v>
      </c>
      <c r="FL1753" s="1" t="s">
        <v>358</v>
      </c>
      <c r="FM1753" s="1" t="s">
        <v>252</v>
      </c>
      <c r="FN1753" s="1" t="s">
        <v>213</v>
      </c>
      <c r="FO1753" s="1" t="s">
        <v>213</v>
      </c>
      <c r="FQ1753" s="1" t="s">
        <v>8382</v>
      </c>
      <c r="FR1753" s="1" t="s">
        <v>210</v>
      </c>
      <c r="FS1753" s="1" t="s">
        <v>636</v>
      </c>
      <c r="FT1753" s="1" t="s">
        <v>16505</v>
      </c>
      <c r="FU1753" s="1" t="s">
        <v>204</v>
      </c>
      <c r="FW1753" s="1" t="s">
        <v>15236</v>
      </c>
      <c r="FX1753" s="1">
        <v>7630</v>
      </c>
      <c r="FY1753" s="1" t="s">
        <v>15237</v>
      </c>
      <c r="FZ1753" s="1" t="s">
        <v>16506</v>
      </c>
      <c r="GA1753" s="1">
        <v>496</v>
      </c>
      <c r="GB1753" s="1" t="s">
        <v>16507</v>
      </c>
      <c r="GE1753" s="1" t="s">
        <v>210</v>
      </c>
      <c r="GI1753" s="1" t="s">
        <v>213</v>
      </c>
      <c r="GJ1753" s="1" t="s">
        <v>260</v>
      </c>
      <c r="GK1753" s="1" t="s">
        <v>210</v>
      </c>
      <c r="GL1753" s="2">
        <v>42067</v>
      </c>
    </row>
    <row r="1754" spans="1:195">
      <c r="A1754" s="1">
        <v>137900</v>
      </c>
      <c r="B1754" s="1" t="s">
        <v>195</v>
      </c>
      <c r="C1754" s="1" t="str">
        <f>"08721161"</f>
        <v>08721161</v>
      </c>
      <c r="D1754" s="1" t="s">
        <v>196</v>
      </c>
      <c r="F1754" s="1" t="str">
        <f>"20"</f>
        <v>20</v>
      </c>
      <c r="G1754" s="2">
        <v>41888</v>
      </c>
      <c r="H1754" s="1">
        <v>149900</v>
      </c>
      <c r="I1754" s="1">
        <v>149900</v>
      </c>
      <c r="J1754" s="1">
        <v>137900</v>
      </c>
      <c r="K1754" s="2">
        <v>41888</v>
      </c>
      <c r="L1754" s="1">
        <v>128</v>
      </c>
      <c r="M1754" s="2">
        <v>42015</v>
      </c>
      <c r="N1754" s="1">
        <v>128</v>
      </c>
      <c r="O1754" s="2">
        <v>42015</v>
      </c>
      <c r="P1754" s="1">
        <v>5338</v>
      </c>
      <c r="Q1754" s="1" t="s">
        <v>302</v>
      </c>
      <c r="R1754" s="2">
        <v>42040</v>
      </c>
      <c r="S1754" s="1">
        <v>54540</v>
      </c>
      <c r="U1754" s="1">
        <v>6305</v>
      </c>
      <c r="V1754" s="1" t="s">
        <v>16508</v>
      </c>
      <c r="W1754" s="1" t="s">
        <v>304</v>
      </c>
      <c r="X1754" s="1" t="s">
        <v>16509</v>
      </c>
      <c r="Y1754" s="1">
        <v>4</v>
      </c>
      <c r="Z1754" s="1" t="s">
        <v>200</v>
      </c>
      <c r="AA1754" s="1" t="s">
        <v>592</v>
      </c>
      <c r="AB1754" s="1">
        <v>60020</v>
      </c>
      <c r="AD1754" s="1" t="s">
        <v>15960</v>
      </c>
      <c r="AE1754" s="1" t="s">
        <v>16510</v>
      </c>
      <c r="AF1754" s="1">
        <v>2007</v>
      </c>
      <c r="AG1754" s="1" t="s">
        <v>204</v>
      </c>
      <c r="AH1754" s="1" t="s">
        <v>595</v>
      </c>
      <c r="AI1754" s="1" t="s">
        <v>509</v>
      </c>
      <c r="AJ1754" s="1" t="s">
        <v>596</v>
      </c>
      <c r="AK1754" s="1" t="s">
        <v>16511</v>
      </c>
      <c r="AL1754" s="1">
        <v>6</v>
      </c>
      <c r="AM1754" s="1">
        <v>2</v>
      </c>
      <c r="AN1754" s="1">
        <v>3</v>
      </c>
      <c r="AO1754" s="1">
        <v>0</v>
      </c>
      <c r="AP1754" s="1" t="s">
        <v>209</v>
      </c>
      <c r="AQ1754" s="1">
        <v>1</v>
      </c>
      <c r="AR1754" s="1" t="s">
        <v>2275</v>
      </c>
      <c r="AS1754" s="1" t="s">
        <v>213</v>
      </c>
      <c r="AT1754" s="1" t="s">
        <v>211</v>
      </c>
      <c r="AU1754" s="1">
        <v>2</v>
      </c>
      <c r="AW1754" s="1" t="s">
        <v>204</v>
      </c>
      <c r="AX1754" s="1" t="s">
        <v>579</v>
      </c>
      <c r="AZ1754" s="1">
        <v>3762</v>
      </c>
      <c r="BA1754" s="1">
        <v>2013</v>
      </c>
      <c r="BB1754" s="1" t="s">
        <v>210</v>
      </c>
      <c r="BE1754" s="1">
        <v>1871</v>
      </c>
      <c r="BF1754" s="1">
        <v>1</v>
      </c>
      <c r="BG1754" s="1">
        <v>0</v>
      </c>
      <c r="BL1754" s="1">
        <v>200</v>
      </c>
      <c r="BM1754" s="1" t="s">
        <v>204</v>
      </c>
      <c r="BN1754" s="1" t="s">
        <v>213</v>
      </c>
      <c r="BO1754" s="1">
        <v>999</v>
      </c>
      <c r="BP1754" s="1" t="s">
        <v>204</v>
      </c>
      <c r="BR1754" s="1" t="str">
        <f>"0128301193"</f>
        <v>0128301193</v>
      </c>
      <c r="BT1754" s="1" t="s">
        <v>16512</v>
      </c>
      <c r="BU1754" s="1" t="s">
        <v>2263</v>
      </c>
      <c r="BV1754" s="1" t="s">
        <v>2262</v>
      </c>
      <c r="BW1754" s="1" t="s">
        <v>2264</v>
      </c>
      <c r="BX1754" s="1">
        <v>114</v>
      </c>
      <c r="BY1754" s="1">
        <v>114</v>
      </c>
      <c r="BZ1754" s="1">
        <v>124</v>
      </c>
      <c r="CB1754" s="1" t="str">
        <f>"38"</f>
        <v>38</v>
      </c>
      <c r="CC1754" s="1" t="str">
        <f t="shared" si="1329"/>
        <v>0</v>
      </c>
      <c r="CD1754" s="1">
        <v>28</v>
      </c>
      <c r="CE1754" s="1">
        <v>0</v>
      </c>
      <c r="CG1754" s="1" t="s">
        <v>221</v>
      </c>
      <c r="CH1754" s="1" t="s">
        <v>277</v>
      </c>
      <c r="CI1754" s="1" t="s">
        <v>220</v>
      </c>
      <c r="CJ1754" s="1" t="s">
        <v>210</v>
      </c>
      <c r="CK1754" s="1" t="s">
        <v>437</v>
      </c>
      <c r="CL1754" s="1" t="s">
        <v>277</v>
      </c>
      <c r="CM1754" s="1" t="s">
        <v>220</v>
      </c>
      <c r="CN1754" s="1" t="s">
        <v>343</v>
      </c>
      <c r="CO1754" s="1" t="s">
        <v>223</v>
      </c>
      <c r="CP1754" s="1" t="s">
        <v>277</v>
      </c>
      <c r="CQ1754" s="1" t="s">
        <v>220</v>
      </c>
      <c r="CR1754" s="1" t="s">
        <v>210</v>
      </c>
      <c r="CS1754" s="1" t="s">
        <v>318</v>
      </c>
      <c r="CT1754" s="1" t="s">
        <v>219</v>
      </c>
      <c r="CU1754" s="1" t="s">
        <v>220</v>
      </c>
      <c r="CV1754" s="1" t="s">
        <v>210</v>
      </c>
      <c r="CX1754" s="1" t="s">
        <v>224</v>
      </c>
      <c r="DB1754" s="1" t="s">
        <v>224</v>
      </c>
      <c r="DE1754" s="1" t="s">
        <v>378</v>
      </c>
      <c r="DF1754" s="1" t="s">
        <v>277</v>
      </c>
      <c r="DG1754" s="1" t="s">
        <v>342</v>
      </c>
      <c r="DH1754" s="1" t="s">
        <v>210</v>
      </c>
      <c r="DI1754" s="1" t="s">
        <v>437</v>
      </c>
      <c r="DJ1754" s="1" t="s">
        <v>219</v>
      </c>
      <c r="DK1754" s="1" t="s">
        <v>220</v>
      </c>
      <c r="DL1754" s="1" t="s">
        <v>210</v>
      </c>
      <c r="DN1754" s="1" t="s">
        <v>1614</v>
      </c>
      <c r="DS1754" s="1" t="s">
        <v>230</v>
      </c>
      <c r="DV1754" s="1" t="s">
        <v>2468</v>
      </c>
      <c r="DW1754" s="1" t="s">
        <v>219</v>
      </c>
      <c r="EA1754" s="1" t="s">
        <v>230</v>
      </c>
      <c r="EE1754" s="1" t="s">
        <v>230</v>
      </c>
      <c r="EI1754" s="1" t="s">
        <v>230</v>
      </c>
      <c r="EL1754" s="1" t="s">
        <v>491</v>
      </c>
      <c r="EM1754" s="1" t="s">
        <v>319</v>
      </c>
      <c r="EN1754" s="1" t="s">
        <v>282</v>
      </c>
      <c r="EO1754" s="1" t="s">
        <v>234</v>
      </c>
      <c r="EP1754" s="1" t="s">
        <v>650</v>
      </c>
      <c r="EQ1754" s="1" t="s">
        <v>284</v>
      </c>
      <c r="ER1754" s="1" t="s">
        <v>544</v>
      </c>
      <c r="ES1754" s="1" t="s">
        <v>824</v>
      </c>
      <c r="ET1754" s="1" t="s">
        <v>866</v>
      </c>
      <c r="EU1754" s="1" t="s">
        <v>16513</v>
      </c>
      <c r="EV1754" s="1" t="s">
        <v>324</v>
      </c>
      <c r="EW1754" s="1" t="s">
        <v>353</v>
      </c>
      <c r="EY1754" s="1" t="s">
        <v>1315</v>
      </c>
      <c r="EZ1754" s="1" t="s">
        <v>1614</v>
      </c>
      <c r="FA1754" s="1" t="s">
        <v>16514</v>
      </c>
      <c r="FB1754" s="1" t="s">
        <v>289</v>
      </c>
      <c r="FC1754" s="1" t="s">
        <v>633</v>
      </c>
      <c r="FD1754" s="1" t="s">
        <v>246</v>
      </c>
      <c r="FE1754" s="1" t="s">
        <v>247</v>
      </c>
      <c r="FF1754" s="1" t="s">
        <v>248</v>
      </c>
      <c r="FG1754" s="1" t="s">
        <v>16515</v>
      </c>
      <c r="FH1754" s="1" t="s">
        <v>550</v>
      </c>
      <c r="FI1754" s="1" t="s">
        <v>250</v>
      </c>
      <c r="FJ1754" s="1" t="s">
        <v>518</v>
      </c>
      <c r="FL1754" s="1" t="s">
        <v>358</v>
      </c>
      <c r="FM1754" s="1" t="s">
        <v>252</v>
      </c>
      <c r="FN1754" s="1" t="s">
        <v>213</v>
      </c>
      <c r="FO1754" s="1" t="s">
        <v>213</v>
      </c>
      <c r="FQ1754" s="1" t="s">
        <v>4594</v>
      </c>
      <c r="FR1754" s="1" t="s">
        <v>652</v>
      </c>
      <c r="FS1754" s="1" t="s">
        <v>16516</v>
      </c>
      <c r="FT1754" s="1" t="s">
        <v>2589</v>
      </c>
      <c r="FU1754" s="1" t="s">
        <v>204</v>
      </c>
      <c r="FW1754" s="1" t="s">
        <v>618</v>
      </c>
      <c r="FX1754" s="1">
        <v>2643</v>
      </c>
      <c r="FY1754" s="1" t="s">
        <v>619</v>
      </c>
      <c r="FZ1754" s="1" t="s">
        <v>2741</v>
      </c>
      <c r="GA1754" s="1">
        <v>16032</v>
      </c>
      <c r="GB1754" s="1" t="s">
        <v>2742</v>
      </c>
      <c r="GC1754" s="1">
        <v>18625</v>
      </c>
      <c r="GE1754" s="1" t="s">
        <v>480</v>
      </c>
      <c r="GI1754" s="1" t="s">
        <v>213</v>
      </c>
      <c r="GJ1754" s="1" t="s">
        <v>260</v>
      </c>
      <c r="GK1754" s="1" t="s">
        <v>210</v>
      </c>
      <c r="GL1754" s="2">
        <v>42040</v>
      </c>
      <c r="GM1754" s="1" t="s">
        <v>16517</v>
      </c>
    </row>
    <row r="1755" spans="1:195">
      <c r="A1755" s="1">
        <v>234000</v>
      </c>
      <c r="B1755" s="1" t="s">
        <v>195</v>
      </c>
      <c r="C1755" s="1" t="str">
        <f>"08721547"</f>
        <v>08721547</v>
      </c>
      <c r="D1755" s="1" t="s">
        <v>196</v>
      </c>
      <c r="F1755" s="1" t="str">
        <f>"61"</f>
        <v>61</v>
      </c>
      <c r="G1755" s="2">
        <v>41889</v>
      </c>
      <c r="H1755" s="1">
        <v>249900</v>
      </c>
      <c r="I1755" s="1">
        <v>239900</v>
      </c>
      <c r="J1755" s="1">
        <v>234000</v>
      </c>
      <c r="K1755" s="2">
        <v>41889</v>
      </c>
      <c r="L1755" s="1">
        <v>26</v>
      </c>
      <c r="M1755" s="2">
        <v>41914</v>
      </c>
      <c r="N1755" s="1">
        <v>26</v>
      </c>
      <c r="O1755" s="2">
        <v>41914</v>
      </c>
      <c r="P1755" s="1">
        <v>3104</v>
      </c>
      <c r="Q1755" s="1" t="s">
        <v>197</v>
      </c>
      <c r="R1755" s="2">
        <v>41977</v>
      </c>
      <c r="S1755" s="1">
        <v>38229</v>
      </c>
      <c r="T1755" s="1">
        <v>7000</v>
      </c>
      <c r="U1755" s="1">
        <v>1151</v>
      </c>
      <c r="V1755" s="1" t="s">
        <v>4351</v>
      </c>
      <c r="W1755" s="1" t="s">
        <v>3006</v>
      </c>
      <c r="X1755" s="1">
        <v>1151</v>
      </c>
      <c r="Y1755" s="1">
        <v>4</v>
      </c>
      <c r="Z1755" s="1" t="s">
        <v>249</v>
      </c>
      <c r="AA1755" s="1" t="s">
        <v>505</v>
      </c>
      <c r="AB1755" s="1">
        <v>60061</v>
      </c>
      <c r="AD1755" s="1" t="s">
        <v>16518</v>
      </c>
      <c r="AE1755" s="1" t="s">
        <v>16519</v>
      </c>
      <c r="AF1755" s="1">
        <v>1997</v>
      </c>
      <c r="AG1755" s="1" t="s">
        <v>204</v>
      </c>
      <c r="AH1755" s="1" t="s">
        <v>508</v>
      </c>
      <c r="AI1755" s="1" t="s">
        <v>509</v>
      </c>
      <c r="AJ1755" s="1" t="s">
        <v>510</v>
      </c>
      <c r="AK1755" s="1" t="s">
        <v>3067</v>
      </c>
      <c r="AL1755" s="1">
        <v>5</v>
      </c>
      <c r="AM1755" s="1">
        <v>2</v>
      </c>
      <c r="AN1755" s="1">
        <v>2</v>
      </c>
      <c r="AO1755" s="1">
        <v>0</v>
      </c>
      <c r="AP1755" s="1" t="s">
        <v>209</v>
      </c>
      <c r="AQ1755" s="1">
        <v>0</v>
      </c>
      <c r="AR1755" s="1" t="s">
        <v>210</v>
      </c>
      <c r="AT1755" s="1" t="s">
        <v>211</v>
      </c>
      <c r="AU1755" s="1">
        <v>2</v>
      </c>
      <c r="AW1755" s="1" t="s">
        <v>204</v>
      </c>
      <c r="AX1755" s="1" t="s">
        <v>579</v>
      </c>
      <c r="AZ1755" s="1">
        <v>5634</v>
      </c>
      <c r="BA1755" s="1">
        <v>2013</v>
      </c>
      <c r="BB1755" s="1" t="s">
        <v>405</v>
      </c>
      <c r="BE1755" s="1">
        <v>1469</v>
      </c>
      <c r="BF1755" s="1">
        <v>1</v>
      </c>
      <c r="BG1755" s="1">
        <v>0</v>
      </c>
      <c r="BL1755" s="1">
        <v>203</v>
      </c>
      <c r="BM1755" s="1" t="s">
        <v>204</v>
      </c>
      <c r="BN1755" s="1" t="s">
        <v>213</v>
      </c>
      <c r="BO1755" s="1">
        <v>50</v>
      </c>
      <c r="BP1755" s="1" t="s">
        <v>204</v>
      </c>
      <c r="BR1755" s="1" t="str">
        <f>"15151060200000"</f>
        <v>15151060200000</v>
      </c>
      <c r="BT1755" s="1" t="s">
        <v>16520</v>
      </c>
      <c r="BU1755" s="1" t="s">
        <v>16521</v>
      </c>
      <c r="BV1755" s="1" t="s">
        <v>16522</v>
      </c>
      <c r="BW1755" s="1" t="s">
        <v>1532</v>
      </c>
      <c r="BX1755" s="1">
        <v>103</v>
      </c>
      <c r="BY1755" s="1">
        <v>103</v>
      </c>
      <c r="BZ1755" s="1">
        <v>125</v>
      </c>
      <c r="CB1755" s="1" t="str">
        <f>"23"</f>
        <v>23</v>
      </c>
      <c r="CC1755" s="1" t="str">
        <f t="shared" si="1329"/>
        <v>0</v>
      </c>
      <c r="CD1755" s="1">
        <v>15</v>
      </c>
      <c r="CE1755" s="1">
        <v>0</v>
      </c>
      <c r="CG1755" s="1" t="s">
        <v>378</v>
      </c>
      <c r="CH1755" s="1" t="s">
        <v>219</v>
      </c>
      <c r="CI1755" s="1" t="s">
        <v>220</v>
      </c>
      <c r="CK1755" s="1" t="s">
        <v>221</v>
      </c>
      <c r="CL1755" s="1" t="s">
        <v>219</v>
      </c>
      <c r="CM1755" s="1" t="s">
        <v>220</v>
      </c>
      <c r="CO1755" s="1" t="s">
        <v>1155</v>
      </c>
      <c r="CP1755" s="1" t="s">
        <v>219</v>
      </c>
      <c r="CQ1755" s="1" t="s">
        <v>220</v>
      </c>
      <c r="CS1755" s="1" t="s">
        <v>317</v>
      </c>
      <c r="CT1755" s="1" t="s">
        <v>219</v>
      </c>
      <c r="CU1755" s="1" t="s">
        <v>220</v>
      </c>
      <c r="CX1755" s="1" t="s">
        <v>224</v>
      </c>
      <c r="DB1755" s="1" t="s">
        <v>224</v>
      </c>
      <c r="DE1755" s="1" t="s">
        <v>757</v>
      </c>
      <c r="DF1755" s="1" t="s">
        <v>219</v>
      </c>
      <c r="DG1755" s="1" t="s">
        <v>438</v>
      </c>
      <c r="DJ1755" s="1" t="s">
        <v>224</v>
      </c>
      <c r="DS1755" s="1" t="s">
        <v>230</v>
      </c>
      <c r="DW1755" s="1" t="s">
        <v>230</v>
      </c>
      <c r="EA1755" s="1" t="s">
        <v>230</v>
      </c>
      <c r="EE1755" s="1" t="s">
        <v>230</v>
      </c>
      <c r="EI1755" s="1" t="s">
        <v>230</v>
      </c>
      <c r="EL1755" s="1" t="s">
        <v>670</v>
      </c>
      <c r="EM1755" s="1" t="s">
        <v>16523</v>
      </c>
      <c r="EN1755" s="1" t="s">
        <v>282</v>
      </c>
      <c r="EO1755" s="1" t="s">
        <v>234</v>
      </c>
      <c r="EQ1755" s="1" t="s">
        <v>236</v>
      </c>
      <c r="ER1755" s="1" t="s">
        <v>210</v>
      </c>
      <c r="ES1755" s="1" t="s">
        <v>1552</v>
      </c>
      <c r="ET1755" s="1" t="s">
        <v>9634</v>
      </c>
      <c r="EU1755" s="1" t="s">
        <v>239</v>
      </c>
      <c r="EV1755" s="1" t="s">
        <v>240</v>
      </c>
      <c r="EW1755" s="1" t="s">
        <v>353</v>
      </c>
      <c r="EZ1755" s="1" t="s">
        <v>287</v>
      </c>
      <c r="FD1755" s="1" t="s">
        <v>495</v>
      </c>
      <c r="FE1755" s="1" t="s">
        <v>1006</v>
      </c>
      <c r="FF1755" s="1" t="s">
        <v>2998</v>
      </c>
      <c r="FH1755" s="1" t="s">
        <v>249</v>
      </c>
      <c r="FJ1755" s="1" t="s">
        <v>197</v>
      </c>
      <c r="FL1755" s="1" t="s">
        <v>358</v>
      </c>
      <c r="FM1755" s="1" t="s">
        <v>252</v>
      </c>
      <c r="FN1755" s="1" t="s">
        <v>213</v>
      </c>
      <c r="FO1755" s="1" t="s">
        <v>213</v>
      </c>
      <c r="FQ1755" s="1" t="s">
        <v>11975</v>
      </c>
      <c r="FR1755" s="1" t="s">
        <v>210</v>
      </c>
      <c r="FS1755" s="1" t="s">
        <v>16524</v>
      </c>
      <c r="FT1755" s="1" t="s">
        <v>16525</v>
      </c>
      <c r="FU1755" s="1" t="s">
        <v>204</v>
      </c>
      <c r="FW1755" s="1" t="s">
        <v>3231</v>
      </c>
      <c r="FX1755" s="1">
        <v>6477</v>
      </c>
      <c r="FY1755" s="1" t="s">
        <v>3232</v>
      </c>
      <c r="FZ1755" s="1" t="s">
        <v>16526</v>
      </c>
      <c r="GA1755" s="1">
        <v>62696</v>
      </c>
      <c r="GB1755" s="1" t="s">
        <v>16527</v>
      </c>
      <c r="GD1755" s="1" t="s">
        <v>16528</v>
      </c>
      <c r="GE1755" s="1" t="s">
        <v>1256</v>
      </c>
      <c r="GI1755" s="1" t="s">
        <v>204</v>
      </c>
      <c r="GJ1755" s="1" t="s">
        <v>260</v>
      </c>
      <c r="GK1755" s="1" t="s">
        <v>210</v>
      </c>
      <c r="GL1755" s="2">
        <v>41978</v>
      </c>
      <c r="GM1755" s="1" t="s">
        <v>16529</v>
      </c>
    </row>
    <row r="1756" spans="1:195">
      <c r="A1756" s="1">
        <v>208000</v>
      </c>
      <c r="B1756" s="1" t="s">
        <v>195</v>
      </c>
      <c r="C1756" s="1" t="str">
        <f>"08720998"</f>
        <v>08720998</v>
      </c>
      <c r="D1756" s="1" t="s">
        <v>196</v>
      </c>
      <c r="F1756" s="1" t="str">
        <f>"517"</f>
        <v>517</v>
      </c>
      <c r="G1756" s="2">
        <v>41888</v>
      </c>
      <c r="H1756" s="1">
        <v>224900</v>
      </c>
      <c r="I1756" s="1">
        <v>209999</v>
      </c>
      <c r="J1756" s="1">
        <v>208000</v>
      </c>
      <c r="K1756" s="2">
        <v>41888</v>
      </c>
      <c r="L1756" s="1">
        <v>129</v>
      </c>
      <c r="M1756" s="2">
        <v>41961</v>
      </c>
      <c r="N1756" s="1">
        <v>74</v>
      </c>
      <c r="O1756" s="2">
        <v>41961</v>
      </c>
      <c r="P1756" s="1">
        <v>92065</v>
      </c>
      <c r="Q1756" s="1" t="s">
        <v>197</v>
      </c>
      <c r="R1756" s="2">
        <v>42009</v>
      </c>
      <c r="S1756" s="1">
        <v>923136</v>
      </c>
      <c r="U1756" s="1">
        <v>3219</v>
      </c>
      <c r="V1756" s="1" t="s">
        <v>11189</v>
      </c>
      <c r="W1756" s="1" t="s">
        <v>304</v>
      </c>
      <c r="Y1756" s="1">
        <v>5</v>
      </c>
      <c r="Z1756" s="1" t="s">
        <v>370</v>
      </c>
      <c r="AA1756" s="1" t="s">
        <v>2850</v>
      </c>
      <c r="AB1756" s="1">
        <v>60517</v>
      </c>
      <c r="AD1756" s="1" t="s">
        <v>11190</v>
      </c>
      <c r="AE1756" s="1" t="s">
        <v>16530</v>
      </c>
      <c r="AF1756" s="1">
        <v>2001</v>
      </c>
      <c r="AG1756" s="1" t="s">
        <v>204</v>
      </c>
      <c r="AH1756" s="1" t="s">
        <v>2853</v>
      </c>
      <c r="AI1756" s="1" t="s">
        <v>206</v>
      </c>
      <c r="AJ1756" s="1" t="s">
        <v>925</v>
      </c>
      <c r="AL1756" s="1">
        <v>7</v>
      </c>
      <c r="AM1756" s="1">
        <v>2</v>
      </c>
      <c r="AN1756" s="1">
        <v>2</v>
      </c>
      <c r="AO1756" s="1">
        <v>1</v>
      </c>
      <c r="AP1756" s="1" t="s">
        <v>209</v>
      </c>
      <c r="AQ1756" s="1">
        <v>1</v>
      </c>
      <c r="AR1756" s="1" t="s">
        <v>209</v>
      </c>
      <c r="AS1756" s="1" t="s">
        <v>204</v>
      </c>
      <c r="AT1756" s="1" t="s">
        <v>211</v>
      </c>
      <c r="AU1756" s="1">
        <v>2</v>
      </c>
      <c r="AW1756" s="1" t="s">
        <v>204</v>
      </c>
      <c r="AX1756" s="1" t="s">
        <v>212</v>
      </c>
      <c r="AZ1756" s="1">
        <v>5726</v>
      </c>
      <c r="BA1756" s="1">
        <v>2013</v>
      </c>
      <c r="BE1756" s="1">
        <v>1550</v>
      </c>
      <c r="BF1756" s="1">
        <v>1</v>
      </c>
      <c r="BG1756" s="1">
        <v>0</v>
      </c>
      <c r="BL1756" s="1">
        <v>245</v>
      </c>
      <c r="BM1756" s="1" t="s">
        <v>204</v>
      </c>
      <c r="BN1756" s="1" t="s">
        <v>213</v>
      </c>
      <c r="BO1756" s="1">
        <v>999</v>
      </c>
      <c r="BP1756" s="1" t="s">
        <v>204</v>
      </c>
      <c r="BR1756" s="1" t="str">
        <f>"0826302101"</f>
        <v>0826302101</v>
      </c>
      <c r="BT1756" s="1" t="s">
        <v>16531</v>
      </c>
      <c r="BU1756" s="1" t="s">
        <v>11193</v>
      </c>
      <c r="BV1756" s="1" t="s">
        <v>2856</v>
      </c>
      <c r="BW1756" s="1" t="s">
        <v>3099</v>
      </c>
      <c r="BX1756" s="1">
        <v>68</v>
      </c>
      <c r="BY1756" s="1">
        <v>68</v>
      </c>
      <c r="BZ1756" s="1">
        <v>99</v>
      </c>
      <c r="CB1756" s="1" t="str">
        <f t="shared" ref="CB1756:CC1756" si="1330">"0"</f>
        <v>0</v>
      </c>
      <c r="CC1756" s="1" t="str">
        <f t="shared" si="1330"/>
        <v>0</v>
      </c>
      <c r="CD1756" s="1">
        <v>22</v>
      </c>
      <c r="CE1756" s="1">
        <v>8</v>
      </c>
      <c r="CG1756" s="1" t="s">
        <v>908</v>
      </c>
      <c r="CH1756" s="1" t="s">
        <v>219</v>
      </c>
      <c r="CI1756" s="1" t="s">
        <v>220</v>
      </c>
      <c r="CJ1756" s="1" t="s">
        <v>252</v>
      </c>
      <c r="CK1756" s="1" t="s">
        <v>437</v>
      </c>
      <c r="CL1756" s="1" t="s">
        <v>277</v>
      </c>
      <c r="CM1756" s="1" t="s">
        <v>220</v>
      </c>
      <c r="CN1756" s="1" t="s">
        <v>252</v>
      </c>
      <c r="CO1756" s="1" t="s">
        <v>346</v>
      </c>
      <c r="CP1756" s="1" t="s">
        <v>219</v>
      </c>
      <c r="CQ1756" s="1" t="s">
        <v>220</v>
      </c>
      <c r="CR1756" s="1" t="s">
        <v>252</v>
      </c>
      <c r="CS1756" s="1" t="s">
        <v>346</v>
      </c>
      <c r="CT1756" s="1" t="s">
        <v>277</v>
      </c>
      <c r="CU1756" s="1" t="s">
        <v>220</v>
      </c>
      <c r="CV1756" s="1" t="s">
        <v>252</v>
      </c>
      <c r="CW1756" s="1" t="s">
        <v>1612</v>
      </c>
      <c r="CX1756" s="1" t="s">
        <v>43</v>
      </c>
      <c r="CY1756" s="1" t="s">
        <v>220</v>
      </c>
      <c r="DB1756" s="1" t="s">
        <v>224</v>
      </c>
      <c r="DE1756" s="1" t="s">
        <v>317</v>
      </c>
      <c r="DF1756" s="1" t="s">
        <v>219</v>
      </c>
      <c r="DG1756" s="1" t="s">
        <v>226</v>
      </c>
      <c r="DJ1756" s="1" t="s">
        <v>224</v>
      </c>
      <c r="DM1756" s="1" t="s">
        <v>464</v>
      </c>
      <c r="DN1756" s="1" t="s">
        <v>709</v>
      </c>
      <c r="DR1756" s="1" t="s">
        <v>1358</v>
      </c>
      <c r="DS1756" s="1" t="s">
        <v>277</v>
      </c>
      <c r="DT1756" s="1" t="s">
        <v>220</v>
      </c>
      <c r="DU1756" s="1" t="s">
        <v>252</v>
      </c>
      <c r="DV1756" s="1" t="s">
        <v>839</v>
      </c>
      <c r="DW1756" s="1" t="s">
        <v>219</v>
      </c>
      <c r="DX1756" s="1" t="s">
        <v>226</v>
      </c>
      <c r="EA1756" s="1" t="s">
        <v>230</v>
      </c>
      <c r="EE1756" s="1" t="s">
        <v>230</v>
      </c>
      <c r="EI1756" s="1" t="s">
        <v>230</v>
      </c>
      <c r="EL1756" s="1" t="s">
        <v>466</v>
      </c>
      <c r="EM1756" s="1" t="s">
        <v>319</v>
      </c>
      <c r="EN1756" s="1" t="s">
        <v>282</v>
      </c>
      <c r="EO1756" s="1" t="s">
        <v>234</v>
      </c>
      <c r="EP1756" s="1" t="s">
        <v>1489</v>
      </c>
      <c r="EQ1756" s="1" t="s">
        <v>2913</v>
      </c>
      <c r="ER1756" s="1" t="s">
        <v>544</v>
      </c>
      <c r="ES1756" s="1" t="s">
        <v>322</v>
      </c>
      <c r="EU1756" s="1" t="s">
        <v>712</v>
      </c>
      <c r="EW1756" s="1" t="s">
        <v>353</v>
      </c>
      <c r="EZ1756" s="1" t="s">
        <v>2549</v>
      </c>
      <c r="FA1756" s="1" t="s">
        <v>10771</v>
      </c>
      <c r="FC1756" s="1" t="s">
        <v>633</v>
      </c>
      <c r="FD1756" s="1" t="s">
        <v>246</v>
      </c>
      <c r="FE1756" s="1" t="s">
        <v>975</v>
      </c>
      <c r="FF1756" s="1" t="s">
        <v>387</v>
      </c>
      <c r="FH1756" s="1" t="s">
        <v>550</v>
      </c>
      <c r="FI1756" s="1" t="s">
        <v>473</v>
      </c>
      <c r="FJ1756" s="1" t="s">
        <v>518</v>
      </c>
      <c r="FL1756" s="1" t="s">
        <v>358</v>
      </c>
      <c r="FM1756" s="1" t="s">
        <v>252</v>
      </c>
      <c r="FN1756" s="1" t="s">
        <v>213</v>
      </c>
      <c r="FO1756" s="1" t="s">
        <v>213</v>
      </c>
      <c r="FQ1756" s="1" t="s">
        <v>673</v>
      </c>
      <c r="FR1756" s="1" t="s">
        <v>210</v>
      </c>
      <c r="FS1756" s="1" t="s">
        <v>6550</v>
      </c>
      <c r="FT1756" s="1" t="s">
        <v>1182</v>
      </c>
      <c r="FU1756" s="1" t="s">
        <v>204</v>
      </c>
      <c r="FW1756" s="1" t="s">
        <v>5648</v>
      </c>
      <c r="FX1756" s="1">
        <v>23099</v>
      </c>
      <c r="FY1756" s="1" t="s">
        <v>5649</v>
      </c>
      <c r="FZ1756" s="1" t="s">
        <v>6551</v>
      </c>
      <c r="GA1756" s="1">
        <v>217574</v>
      </c>
      <c r="GB1756" s="1" t="s">
        <v>6552</v>
      </c>
      <c r="GE1756" s="1" t="s">
        <v>480</v>
      </c>
      <c r="GI1756" s="1" t="s">
        <v>213</v>
      </c>
      <c r="GJ1756" s="1" t="s">
        <v>260</v>
      </c>
      <c r="GK1756" s="1" t="s">
        <v>210</v>
      </c>
      <c r="GL1756" s="2">
        <v>42010</v>
      </c>
    </row>
    <row r="1757" spans="1:195">
      <c r="A1757" s="1">
        <v>84000</v>
      </c>
      <c r="B1757" s="1" t="s">
        <v>195</v>
      </c>
      <c r="C1757" s="1" t="str">
        <f>"08717490"</f>
        <v>08717490</v>
      </c>
      <c r="D1757" s="1" t="s">
        <v>196</v>
      </c>
      <c r="F1757" s="1" t="str">
        <f>"542"</f>
        <v>542</v>
      </c>
      <c r="G1757" s="2">
        <v>41885</v>
      </c>
      <c r="H1757" s="1">
        <v>124900</v>
      </c>
      <c r="I1757" s="1">
        <v>82000</v>
      </c>
      <c r="J1757" s="1">
        <v>84000</v>
      </c>
      <c r="K1757" s="2">
        <v>41884</v>
      </c>
      <c r="L1757" s="1">
        <v>121</v>
      </c>
      <c r="M1757" s="2">
        <v>42004</v>
      </c>
      <c r="N1757" s="1">
        <v>121</v>
      </c>
      <c r="O1757" s="2">
        <v>42004</v>
      </c>
      <c r="P1757" s="1">
        <v>74</v>
      </c>
      <c r="Q1757" s="1" t="s">
        <v>302</v>
      </c>
      <c r="R1757" s="2">
        <v>42040</v>
      </c>
      <c r="S1757" s="1">
        <v>300902</v>
      </c>
      <c r="U1757" s="1">
        <v>505</v>
      </c>
      <c r="V1757" s="1" t="s">
        <v>6070</v>
      </c>
      <c r="W1757" s="1" t="s">
        <v>449</v>
      </c>
      <c r="X1757" s="1">
        <v>505</v>
      </c>
      <c r="Y1757" s="1">
        <v>4</v>
      </c>
      <c r="Z1757" s="1" t="s">
        <v>370</v>
      </c>
      <c r="AA1757" s="1" t="s">
        <v>6071</v>
      </c>
      <c r="AB1757" s="1">
        <v>60542</v>
      </c>
      <c r="AE1757" s="1" t="s">
        <v>16532</v>
      </c>
      <c r="AF1757" s="1">
        <v>1995</v>
      </c>
      <c r="AG1757" s="1" t="s">
        <v>204</v>
      </c>
      <c r="AH1757" s="1" t="s">
        <v>6074</v>
      </c>
      <c r="AI1757" s="1" t="s">
        <v>665</v>
      </c>
      <c r="AJ1757" s="1" t="s">
        <v>1126</v>
      </c>
      <c r="AL1757" s="1">
        <v>4</v>
      </c>
      <c r="AM1757" s="1">
        <v>2</v>
      </c>
      <c r="AN1757" s="1">
        <v>1</v>
      </c>
      <c r="AO1757" s="1">
        <v>1</v>
      </c>
      <c r="AP1757" s="1" t="s">
        <v>667</v>
      </c>
      <c r="AR1757" s="1" t="s">
        <v>210</v>
      </c>
      <c r="AS1757" s="1" t="s">
        <v>204</v>
      </c>
      <c r="AT1757" s="1" t="s">
        <v>211</v>
      </c>
      <c r="AU1757" s="1">
        <v>2</v>
      </c>
      <c r="AW1757" s="1" t="s">
        <v>204</v>
      </c>
      <c r="AX1757" s="1" t="s">
        <v>212</v>
      </c>
      <c r="AZ1757" s="1">
        <v>2627.88</v>
      </c>
      <c r="BA1757" s="1">
        <v>2013</v>
      </c>
      <c r="BE1757" s="1">
        <v>936</v>
      </c>
      <c r="BF1757" s="1">
        <v>1</v>
      </c>
      <c r="BG1757" s="1">
        <v>30</v>
      </c>
      <c r="BL1757" s="1">
        <v>136</v>
      </c>
      <c r="BM1757" s="1" t="s">
        <v>413</v>
      </c>
      <c r="BN1757" s="1" t="s">
        <v>213</v>
      </c>
      <c r="BO1757" s="1" t="s">
        <v>402</v>
      </c>
      <c r="BP1757" s="1" t="s">
        <v>204</v>
      </c>
      <c r="BR1757" s="1" t="str">
        <f>"1505177037"</f>
        <v>1505177037</v>
      </c>
      <c r="BT1757" s="1" t="s">
        <v>16533</v>
      </c>
      <c r="BX1757" s="1">
        <v>129</v>
      </c>
      <c r="BY1757" s="1">
        <v>129</v>
      </c>
      <c r="BZ1757" s="1">
        <v>129</v>
      </c>
      <c r="CB1757" s="1" t="str">
        <f t="shared" ref="CB1757:CC1757" si="1331">""</f>
        <v/>
      </c>
      <c r="CC1757" s="1" t="str">
        <f t="shared" si="1331"/>
        <v/>
      </c>
      <c r="CH1757" s="1" t="s">
        <v>224</v>
      </c>
      <c r="CK1757" s="1" t="s">
        <v>461</v>
      </c>
      <c r="CL1757" s="1" t="s">
        <v>277</v>
      </c>
      <c r="CM1757" s="1" t="s">
        <v>220</v>
      </c>
      <c r="CP1757" s="1" t="s">
        <v>224</v>
      </c>
      <c r="CS1757" s="1" t="s">
        <v>318</v>
      </c>
      <c r="CT1757" s="1" t="s">
        <v>277</v>
      </c>
      <c r="CU1757" s="1" t="s">
        <v>220</v>
      </c>
      <c r="CX1757" s="1" t="s">
        <v>224</v>
      </c>
      <c r="DB1757" s="1" t="s">
        <v>224</v>
      </c>
      <c r="DE1757" s="1" t="s">
        <v>1358</v>
      </c>
      <c r="DF1757" s="1" t="s">
        <v>219</v>
      </c>
      <c r="DG1757" s="1" t="s">
        <v>438</v>
      </c>
      <c r="DI1757" s="1" t="s">
        <v>1358</v>
      </c>
      <c r="DJ1757" s="1" t="s">
        <v>219</v>
      </c>
      <c r="DK1757" s="1" t="s">
        <v>438</v>
      </c>
      <c r="DM1757" s="1" t="s">
        <v>838</v>
      </c>
      <c r="DR1757" s="1" t="s">
        <v>2670</v>
      </c>
      <c r="DS1757" s="1" t="s">
        <v>219</v>
      </c>
      <c r="DW1757" s="1" t="s">
        <v>230</v>
      </c>
      <c r="EA1757" s="1" t="s">
        <v>230</v>
      </c>
      <c r="EE1757" s="1" t="s">
        <v>230</v>
      </c>
      <c r="EI1757" s="1" t="s">
        <v>230</v>
      </c>
      <c r="EL1757" s="1" t="s">
        <v>670</v>
      </c>
      <c r="EM1757" s="1" t="s">
        <v>319</v>
      </c>
      <c r="EN1757" s="1" t="s">
        <v>282</v>
      </c>
      <c r="EO1757" s="1" t="s">
        <v>840</v>
      </c>
      <c r="ER1757" s="1" t="s">
        <v>210</v>
      </c>
      <c r="ES1757" s="1" t="s">
        <v>322</v>
      </c>
      <c r="EW1757" s="1" t="s">
        <v>353</v>
      </c>
      <c r="EZ1757" s="1" t="s">
        <v>838</v>
      </c>
      <c r="FD1757" s="1" t="s">
        <v>246</v>
      </c>
      <c r="FE1757" s="1" t="s">
        <v>355</v>
      </c>
      <c r="FF1757" s="1" t="s">
        <v>248</v>
      </c>
      <c r="FH1757" s="1" t="s">
        <v>249</v>
      </c>
      <c r="FL1757" s="1" t="s">
        <v>358</v>
      </c>
      <c r="FM1757" s="1" t="s">
        <v>252</v>
      </c>
      <c r="FN1757" s="1" t="s">
        <v>213</v>
      </c>
      <c r="FO1757" s="1" t="s">
        <v>213</v>
      </c>
      <c r="FQ1757" s="1" t="s">
        <v>689</v>
      </c>
      <c r="FR1757" s="1" t="s">
        <v>210</v>
      </c>
      <c r="FS1757" s="1" t="s">
        <v>3448</v>
      </c>
      <c r="FT1757" s="1" t="s">
        <v>1828</v>
      </c>
      <c r="FU1757" s="1" t="s">
        <v>204</v>
      </c>
      <c r="FW1757" s="1" t="s">
        <v>3449</v>
      </c>
      <c r="FX1757" s="1">
        <v>605</v>
      </c>
      <c r="FY1757" s="1" t="s">
        <v>3450</v>
      </c>
      <c r="FZ1757" s="1" t="s">
        <v>3451</v>
      </c>
      <c r="GA1757" s="1">
        <v>170</v>
      </c>
      <c r="GB1757" s="1" t="s">
        <v>3450</v>
      </c>
      <c r="GD1757" s="1" t="s">
        <v>3452</v>
      </c>
      <c r="GE1757" s="1" t="s">
        <v>210</v>
      </c>
      <c r="GH1757" s="1" t="s">
        <v>800</v>
      </c>
      <c r="GI1757" s="1" t="s">
        <v>213</v>
      </c>
      <c r="GJ1757" s="1" t="s">
        <v>260</v>
      </c>
      <c r="GK1757" s="1" t="s">
        <v>210</v>
      </c>
      <c r="GL1757" s="2">
        <v>42040</v>
      </c>
      <c r="GM1757" s="1" t="s">
        <v>16534</v>
      </c>
    </row>
    <row r="1758" spans="1:195">
      <c r="A1758" s="1">
        <v>105000</v>
      </c>
      <c r="B1758" s="1" t="s">
        <v>195</v>
      </c>
      <c r="C1758" s="1" t="str">
        <f>"08718388"</f>
        <v>08718388</v>
      </c>
      <c r="D1758" s="1" t="s">
        <v>196</v>
      </c>
      <c r="F1758" s="1" t="str">
        <f>"546"</f>
        <v>546</v>
      </c>
      <c r="G1758" s="2">
        <v>41885</v>
      </c>
      <c r="H1758" s="1">
        <v>125000</v>
      </c>
      <c r="I1758" s="1">
        <v>109000</v>
      </c>
      <c r="J1758" s="1">
        <v>105000</v>
      </c>
      <c r="K1758" s="2">
        <v>41885</v>
      </c>
      <c r="L1758" s="1">
        <v>294</v>
      </c>
      <c r="M1758" s="2">
        <v>42000</v>
      </c>
      <c r="N1758" s="1">
        <v>116</v>
      </c>
      <c r="O1758" s="2">
        <v>42000</v>
      </c>
      <c r="P1758" s="1">
        <v>84291</v>
      </c>
      <c r="Q1758" s="1" t="s">
        <v>302</v>
      </c>
      <c r="R1758" s="2">
        <v>42044</v>
      </c>
      <c r="S1758" s="1">
        <v>874617</v>
      </c>
      <c r="U1758" s="1">
        <v>100</v>
      </c>
      <c r="V1758" s="1" t="s">
        <v>16535</v>
      </c>
      <c r="W1758" s="1" t="s">
        <v>425</v>
      </c>
      <c r="X1758" s="1">
        <v>5</v>
      </c>
      <c r="Y1758" s="1">
        <v>12</v>
      </c>
      <c r="Z1758" s="1" t="s">
        <v>249</v>
      </c>
      <c r="AA1758" s="1" t="s">
        <v>3906</v>
      </c>
      <c r="AB1758" s="1">
        <v>60546</v>
      </c>
      <c r="AE1758" s="1" t="s">
        <v>16536</v>
      </c>
      <c r="AF1758" s="1">
        <v>1938</v>
      </c>
      <c r="AG1758" s="1" t="s">
        <v>213</v>
      </c>
      <c r="AH1758" s="1" t="s">
        <v>3908</v>
      </c>
      <c r="AI1758" s="1" t="s">
        <v>310</v>
      </c>
      <c r="AJ1758" s="1" t="s">
        <v>3908</v>
      </c>
      <c r="AL1758" s="1">
        <v>5</v>
      </c>
      <c r="AM1758" s="1">
        <v>2</v>
      </c>
      <c r="AN1758" s="1">
        <v>1</v>
      </c>
      <c r="AO1758" s="1">
        <v>0</v>
      </c>
      <c r="AP1758" s="1" t="s">
        <v>210</v>
      </c>
      <c r="AR1758" s="1" t="s">
        <v>210</v>
      </c>
      <c r="AS1758" s="1" t="s">
        <v>204</v>
      </c>
      <c r="AT1758" s="1" t="s">
        <v>271</v>
      </c>
      <c r="AV1758" s="1">
        <v>1</v>
      </c>
      <c r="AW1758" s="1" t="s">
        <v>204</v>
      </c>
      <c r="AX1758" s="1" t="s">
        <v>212</v>
      </c>
      <c r="AZ1758" s="1">
        <v>4174</v>
      </c>
      <c r="BA1758" s="1">
        <v>2012</v>
      </c>
      <c r="BB1758" s="1" t="s">
        <v>210</v>
      </c>
      <c r="BE1758" s="1">
        <v>830</v>
      </c>
      <c r="BF1758" s="1">
        <v>4</v>
      </c>
      <c r="BG1758" s="1">
        <v>30</v>
      </c>
      <c r="BL1758" s="1">
        <v>245</v>
      </c>
      <c r="BM1758" s="1" t="s">
        <v>204</v>
      </c>
      <c r="BN1758" s="1" t="s">
        <v>213</v>
      </c>
      <c r="BP1758" s="1" t="s">
        <v>204</v>
      </c>
      <c r="BR1758" s="1" t="str">
        <f>"15354050401007"</f>
        <v>15354050401007</v>
      </c>
      <c r="BT1758" s="1" t="s">
        <v>16537</v>
      </c>
      <c r="BU1758" s="1" t="s">
        <v>3973</v>
      </c>
      <c r="BV1758" s="1" t="s">
        <v>3911</v>
      </c>
      <c r="BW1758" s="1" t="s">
        <v>3912</v>
      </c>
      <c r="BX1758" s="1">
        <v>96</v>
      </c>
      <c r="BY1758" s="1">
        <v>96</v>
      </c>
      <c r="BZ1758" s="1">
        <v>208</v>
      </c>
      <c r="CB1758" s="1" t="str">
        <f t="shared" ref="CB1758:CC1758" si="1332">""</f>
        <v/>
      </c>
      <c r="CC1758" s="1" t="str">
        <f t="shared" si="1332"/>
        <v/>
      </c>
      <c r="CG1758" s="1" t="s">
        <v>228</v>
      </c>
      <c r="CH1758" s="1" t="s">
        <v>219</v>
      </c>
      <c r="CI1758" s="1" t="s">
        <v>438</v>
      </c>
      <c r="CK1758" s="1" t="s">
        <v>1358</v>
      </c>
      <c r="CL1758" s="1" t="s">
        <v>219</v>
      </c>
      <c r="CM1758" s="1" t="s">
        <v>438</v>
      </c>
      <c r="CO1758" s="1" t="s">
        <v>3034</v>
      </c>
      <c r="CP1758" s="1" t="s">
        <v>219</v>
      </c>
      <c r="CQ1758" s="1" t="s">
        <v>438</v>
      </c>
      <c r="CS1758" s="1" t="s">
        <v>1046</v>
      </c>
      <c r="CT1758" s="1" t="s">
        <v>219</v>
      </c>
      <c r="CU1758" s="1" t="s">
        <v>438</v>
      </c>
      <c r="CX1758" s="1" t="s">
        <v>224</v>
      </c>
      <c r="DB1758" s="1" t="s">
        <v>224</v>
      </c>
      <c r="DE1758" s="1" t="s">
        <v>489</v>
      </c>
      <c r="DF1758" s="1" t="s">
        <v>219</v>
      </c>
      <c r="DJ1758" s="1" t="s">
        <v>224</v>
      </c>
      <c r="DS1758" s="1" t="s">
        <v>230</v>
      </c>
      <c r="DW1758" s="1" t="s">
        <v>230</v>
      </c>
      <c r="EA1758" s="1" t="s">
        <v>230</v>
      </c>
      <c r="EE1758" s="1" t="s">
        <v>230</v>
      </c>
      <c r="EI1758" s="1" t="s">
        <v>230</v>
      </c>
      <c r="EL1758" s="1" t="s">
        <v>440</v>
      </c>
      <c r="EM1758" s="1" t="s">
        <v>232</v>
      </c>
      <c r="EN1758" s="1" t="s">
        <v>233</v>
      </c>
      <c r="EO1758" s="1" t="s">
        <v>234</v>
      </c>
      <c r="EP1758" s="1" t="s">
        <v>543</v>
      </c>
      <c r="EQ1758" s="1" t="s">
        <v>350</v>
      </c>
      <c r="ER1758" s="1" t="s">
        <v>210</v>
      </c>
      <c r="ES1758" s="1" t="s">
        <v>545</v>
      </c>
      <c r="EV1758" s="1" t="s">
        <v>240</v>
      </c>
      <c r="EW1758" s="1" t="s">
        <v>10986</v>
      </c>
      <c r="EY1758" s="1" t="s">
        <v>242</v>
      </c>
      <c r="EZ1758" s="1" t="s">
        <v>287</v>
      </c>
      <c r="FC1758" s="1" t="s">
        <v>735</v>
      </c>
      <c r="FD1758" s="1" t="s">
        <v>736</v>
      </c>
      <c r="FE1758" s="1" t="s">
        <v>247</v>
      </c>
      <c r="FF1758" s="1" t="s">
        <v>248</v>
      </c>
      <c r="FH1758" s="1" t="s">
        <v>249</v>
      </c>
      <c r="FK1758" s="1" t="s">
        <v>291</v>
      </c>
      <c r="FL1758" s="1" t="s">
        <v>414</v>
      </c>
      <c r="FM1758" s="1" t="s">
        <v>252</v>
      </c>
      <c r="FN1758" s="1" t="s">
        <v>213</v>
      </c>
      <c r="FO1758" s="1" t="s">
        <v>204</v>
      </c>
      <c r="FQ1758" s="1" t="s">
        <v>913</v>
      </c>
      <c r="FR1758" s="1" t="s">
        <v>360</v>
      </c>
      <c r="FS1758" s="1" t="s">
        <v>1709</v>
      </c>
      <c r="FT1758" s="1" t="s">
        <v>295</v>
      </c>
      <c r="FU1758" s="1" t="s">
        <v>204</v>
      </c>
      <c r="FW1758" s="1" t="s">
        <v>943</v>
      </c>
      <c r="FX1758" s="1">
        <v>23120</v>
      </c>
      <c r="FY1758" s="1" t="s">
        <v>944</v>
      </c>
      <c r="FZ1758" s="1" t="s">
        <v>7158</v>
      </c>
      <c r="GA1758" s="1">
        <v>240027</v>
      </c>
      <c r="GE1758" s="1" t="s">
        <v>1333</v>
      </c>
      <c r="GI1758" s="1" t="s">
        <v>213</v>
      </c>
      <c r="GJ1758" s="1" t="s">
        <v>260</v>
      </c>
      <c r="GK1758" s="1" t="s">
        <v>210</v>
      </c>
      <c r="GL1758" s="2">
        <v>42044</v>
      </c>
      <c r="GM1758" s="1" t="s">
        <v>16538</v>
      </c>
    </row>
    <row r="1759" spans="1:195">
      <c r="A1759" s="1">
        <v>172425</v>
      </c>
      <c r="B1759" s="1" t="s">
        <v>195</v>
      </c>
      <c r="C1759" s="1" t="str">
        <f>"08727497"</f>
        <v>08727497</v>
      </c>
      <c r="D1759" s="1" t="s">
        <v>196</v>
      </c>
      <c r="F1759" s="1" t="str">
        <f>"134"</f>
        <v>134</v>
      </c>
      <c r="G1759" s="2">
        <v>41895</v>
      </c>
      <c r="H1759" s="1">
        <v>180000</v>
      </c>
      <c r="I1759" s="1">
        <v>180000</v>
      </c>
      <c r="J1759" s="1">
        <v>172425</v>
      </c>
      <c r="K1759" s="2">
        <v>41895</v>
      </c>
      <c r="L1759" s="1">
        <v>18</v>
      </c>
      <c r="M1759" s="2">
        <v>41912</v>
      </c>
      <c r="N1759" s="1">
        <v>18</v>
      </c>
      <c r="O1759" s="2">
        <v>41912</v>
      </c>
      <c r="P1759" s="1">
        <v>49</v>
      </c>
      <c r="Q1759" s="1" t="s">
        <v>197</v>
      </c>
      <c r="R1759" s="2">
        <v>41974</v>
      </c>
      <c r="S1759" s="1">
        <v>1535</v>
      </c>
      <c r="T1759" s="1">
        <v>1425</v>
      </c>
      <c r="U1759" s="1">
        <v>2373</v>
      </c>
      <c r="V1759" s="1" t="s">
        <v>8081</v>
      </c>
      <c r="W1759" s="1" t="s">
        <v>264</v>
      </c>
      <c r="Y1759" s="1">
        <v>6</v>
      </c>
      <c r="Z1759" s="1" t="s">
        <v>249</v>
      </c>
      <c r="AA1759" s="1" t="s">
        <v>661</v>
      </c>
      <c r="AB1759" s="1">
        <v>60134</v>
      </c>
      <c r="AD1759" s="1" t="s">
        <v>16539</v>
      </c>
      <c r="AE1759" s="1" t="s">
        <v>16540</v>
      </c>
      <c r="AF1759" s="1">
        <v>2001</v>
      </c>
      <c r="AG1759" s="1" t="s">
        <v>204</v>
      </c>
      <c r="AH1759" s="1" t="s">
        <v>664</v>
      </c>
      <c r="AI1759" s="1" t="s">
        <v>665</v>
      </c>
      <c r="AJ1759" s="1" t="s">
        <v>664</v>
      </c>
      <c r="AL1759" s="1">
        <v>5</v>
      </c>
      <c r="AM1759" s="1">
        <v>2</v>
      </c>
      <c r="AN1759" s="1">
        <v>2</v>
      </c>
      <c r="AO1759" s="1">
        <v>0</v>
      </c>
      <c r="AP1759" s="1" t="s">
        <v>209</v>
      </c>
      <c r="AQ1759" s="1">
        <v>1</v>
      </c>
      <c r="AR1759" s="1" t="s">
        <v>210</v>
      </c>
      <c r="AS1759" s="1" t="s">
        <v>204</v>
      </c>
      <c r="AT1759" s="1" t="s">
        <v>211</v>
      </c>
      <c r="AU1759" s="1">
        <v>2</v>
      </c>
      <c r="AW1759" s="1" t="s">
        <v>204</v>
      </c>
      <c r="AX1759" s="1" t="s">
        <v>212</v>
      </c>
      <c r="AZ1759" s="1">
        <v>4054</v>
      </c>
      <c r="BA1759" s="1">
        <v>2013</v>
      </c>
      <c r="BB1759" s="1" t="s">
        <v>599</v>
      </c>
      <c r="BE1759" s="1">
        <v>1509</v>
      </c>
      <c r="BF1759" s="1">
        <v>1</v>
      </c>
      <c r="BG1759" s="1">
        <v>0</v>
      </c>
      <c r="BL1759" s="1">
        <v>200</v>
      </c>
      <c r="BM1759" s="1" t="s">
        <v>213</v>
      </c>
      <c r="BN1759" s="1" t="s">
        <v>213</v>
      </c>
      <c r="BO1759" s="1">
        <v>0</v>
      </c>
      <c r="BP1759" s="1" t="s">
        <v>204</v>
      </c>
      <c r="BR1759" s="1" t="str">
        <f>"1204102131"</f>
        <v>1204102131</v>
      </c>
      <c r="BT1759" s="1" t="s">
        <v>16541</v>
      </c>
      <c r="BU1759" s="1" t="s">
        <v>16542</v>
      </c>
      <c r="BV1759" s="1" t="s">
        <v>2447</v>
      </c>
      <c r="BW1759" s="1" t="s">
        <v>2448</v>
      </c>
      <c r="BX1759" s="1">
        <v>304</v>
      </c>
      <c r="BY1759" s="1">
        <v>304</v>
      </c>
      <c r="BZ1759" s="1">
        <v>304</v>
      </c>
      <c r="CB1759" s="1" t="str">
        <f t="shared" ref="CB1759:CC1759" si="1333">""</f>
        <v/>
      </c>
      <c r="CC1759" s="1" t="str">
        <f t="shared" si="1333"/>
        <v/>
      </c>
      <c r="CG1759" s="1" t="s">
        <v>16543</v>
      </c>
      <c r="CH1759" s="1" t="s">
        <v>219</v>
      </c>
      <c r="CI1759" s="1" t="s">
        <v>220</v>
      </c>
      <c r="CJ1759" s="1" t="s">
        <v>909</v>
      </c>
      <c r="CK1759" s="1" t="s">
        <v>315</v>
      </c>
      <c r="CL1759" s="1" t="s">
        <v>219</v>
      </c>
      <c r="CM1759" s="1" t="s">
        <v>220</v>
      </c>
      <c r="CN1759" s="1" t="s">
        <v>909</v>
      </c>
      <c r="CP1759" s="1" t="s">
        <v>224</v>
      </c>
      <c r="CS1759" s="1" t="s">
        <v>318</v>
      </c>
      <c r="CT1759" s="1" t="s">
        <v>219</v>
      </c>
      <c r="CU1759" s="1" t="s">
        <v>220</v>
      </c>
      <c r="CV1759" s="1" t="s">
        <v>343</v>
      </c>
      <c r="CX1759" s="1" t="s">
        <v>224</v>
      </c>
      <c r="DB1759" s="1" t="s">
        <v>224</v>
      </c>
      <c r="DE1759" s="1" t="s">
        <v>786</v>
      </c>
      <c r="DF1759" s="1" t="s">
        <v>219</v>
      </c>
      <c r="DG1759" s="1" t="s">
        <v>438</v>
      </c>
      <c r="DH1759" s="1" t="s">
        <v>210</v>
      </c>
      <c r="DJ1759" s="1" t="s">
        <v>224</v>
      </c>
      <c r="DM1759" s="1" t="s">
        <v>381</v>
      </c>
      <c r="DR1759" s="1" t="s">
        <v>348</v>
      </c>
      <c r="DS1759" s="1" t="s">
        <v>219</v>
      </c>
      <c r="DT1759" s="1" t="s">
        <v>438</v>
      </c>
      <c r="DU1759" s="1" t="s">
        <v>210</v>
      </c>
      <c r="DW1759" s="1" t="s">
        <v>230</v>
      </c>
      <c r="EA1759" s="1" t="s">
        <v>230</v>
      </c>
      <c r="EE1759" s="1" t="s">
        <v>230</v>
      </c>
      <c r="EI1759" s="1" t="s">
        <v>230</v>
      </c>
      <c r="EL1759" s="1" t="s">
        <v>466</v>
      </c>
      <c r="EM1759" s="1" t="s">
        <v>319</v>
      </c>
      <c r="EN1759" s="1" t="s">
        <v>282</v>
      </c>
      <c r="EO1759" s="1" t="s">
        <v>234</v>
      </c>
      <c r="EQ1759" s="1" t="s">
        <v>1094</v>
      </c>
      <c r="ER1759" s="1" t="s">
        <v>210</v>
      </c>
      <c r="ES1759" s="1" t="s">
        <v>322</v>
      </c>
      <c r="EU1759" s="1" t="s">
        <v>239</v>
      </c>
      <c r="EV1759" s="1" t="s">
        <v>240</v>
      </c>
      <c r="EW1759" s="1" t="s">
        <v>353</v>
      </c>
      <c r="EY1759" s="1" t="s">
        <v>242</v>
      </c>
      <c r="EZ1759" s="1" t="s">
        <v>381</v>
      </c>
      <c r="FA1759" s="1" t="s">
        <v>1072</v>
      </c>
      <c r="FB1759" s="1" t="s">
        <v>289</v>
      </c>
      <c r="FD1759" s="1" t="s">
        <v>246</v>
      </c>
      <c r="FE1759" s="1" t="s">
        <v>975</v>
      </c>
      <c r="FF1759" s="1" t="s">
        <v>248</v>
      </c>
      <c r="FG1759" s="1" t="s">
        <v>1204</v>
      </c>
      <c r="FH1759" s="1" t="s">
        <v>825</v>
      </c>
      <c r="FI1759" s="1" t="s">
        <v>473</v>
      </c>
      <c r="FJ1759" s="1" t="s">
        <v>197</v>
      </c>
      <c r="FL1759" s="1" t="s">
        <v>358</v>
      </c>
      <c r="FM1759" s="1" t="s">
        <v>252</v>
      </c>
      <c r="FN1759" s="1" t="s">
        <v>213</v>
      </c>
      <c r="FO1759" s="1" t="s">
        <v>213</v>
      </c>
      <c r="FQ1759" s="1" t="s">
        <v>7248</v>
      </c>
      <c r="FR1759" s="1" t="s">
        <v>210</v>
      </c>
      <c r="FS1759" s="1" t="s">
        <v>16544</v>
      </c>
      <c r="FT1759" s="1" t="s">
        <v>295</v>
      </c>
      <c r="FU1759" s="1" t="s">
        <v>204</v>
      </c>
      <c r="FW1759" s="1" t="s">
        <v>585</v>
      </c>
      <c r="FX1759" s="1">
        <v>49</v>
      </c>
      <c r="FY1759" s="1" t="s">
        <v>2408</v>
      </c>
      <c r="FZ1759" s="1" t="s">
        <v>16545</v>
      </c>
      <c r="GA1759" s="1">
        <v>739</v>
      </c>
      <c r="GB1759" s="1" t="s">
        <v>16546</v>
      </c>
      <c r="GE1759" s="1" t="s">
        <v>480</v>
      </c>
      <c r="GI1759" s="1" t="s">
        <v>213</v>
      </c>
      <c r="GJ1759" s="1" t="s">
        <v>260</v>
      </c>
      <c r="GK1759" s="1" t="s">
        <v>210</v>
      </c>
      <c r="GL1759" s="2">
        <v>41975</v>
      </c>
      <c r="GM1759" s="1" t="s">
        <v>16547</v>
      </c>
    </row>
    <row r="1760" spans="1:195">
      <c r="A1760" s="1">
        <v>209900</v>
      </c>
      <c r="B1760" s="1" t="s">
        <v>195</v>
      </c>
      <c r="C1760" s="1" t="str">
        <f>"08723083"</f>
        <v>08723083</v>
      </c>
      <c r="D1760" s="1" t="s">
        <v>196</v>
      </c>
      <c r="F1760" s="1" t="str">
        <f>"178"</f>
        <v>178</v>
      </c>
      <c r="G1760" s="2">
        <v>41891</v>
      </c>
      <c r="H1760" s="1">
        <v>199400</v>
      </c>
      <c r="I1760" s="1">
        <v>209900</v>
      </c>
      <c r="J1760" s="1">
        <v>209900</v>
      </c>
      <c r="K1760" s="2">
        <v>41890</v>
      </c>
      <c r="L1760" s="1">
        <v>467</v>
      </c>
      <c r="M1760" s="2">
        <v>42067</v>
      </c>
      <c r="N1760" s="1">
        <v>178</v>
      </c>
      <c r="O1760" s="2">
        <v>42067</v>
      </c>
      <c r="P1760" s="1">
        <v>5152</v>
      </c>
      <c r="Q1760" s="1" t="s">
        <v>197</v>
      </c>
      <c r="R1760" s="2">
        <v>42104</v>
      </c>
      <c r="S1760" s="1">
        <v>55332</v>
      </c>
      <c r="U1760" s="1">
        <v>2186</v>
      </c>
      <c r="V1760" s="1" t="s">
        <v>2638</v>
      </c>
      <c r="W1760" s="1" t="s">
        <v>504</v>
      </c>
      <c r="X1760" s="1">
        <v>2186</v>
      </c>
      <c r="Y1760" s="1">
        <v>4</v>
      </c>
      <c r="Z1760" s="1" t="s">
        <v>249</v>
      </c>
      <c r="AA1760" s="1" t="s">
        <v>3334</v>
      </c>
      <c r="AB1760" s="1">
        <v>60178</v>
      </c>
      <c r="AE1760" s="1" t="s">
        <v>16548</v>
      </c>
      <c r="AF1760" s="1">
        <v>2014</v>
      </c>
      <c r="AG1760" s="1" t="s">
        <v>204</v>
      </c>
      <c r="AH1760" s="1" t="s">
        <v>3336</v>
      </c>
      <c r="AI1760" s="1" t="s">
        <v>2246</v>
      </c>
      <c r="AJ1760" s="1" t="s">
        <v>3337</v>
      </c>
      <c r="AK1760" s="1" t="s">
        <v>16549</v>
      </c>
      <c r="AL1760" s="1">
        <v>6</v>
      </c>
      <c r="AM1760" s="1">
        <v>2</v>
      </c>
      <c r="AN1760" s="1">
        <v>2</v>
      </c>
      <c r="AO1760" s="1">
        <v>0</v>
      </c>
      <c r="AP1760" s="1" t="s">
        <v>209</v>
      </c>
      <c r="AQ1760" s="1">
        <v>1</v>
      </c>
      <c r="AR1760" s="1" t="s">
        <v>209</v>
      </c>
      <c r="AS1760" s="1" t="s">
        <v>204</v>
      </c>
      <c r="AT1760" s="1" t="s">
        <v>211</v>
      </c>
      <c r="AU1760" s="1">
        <v>2</v>
      </c>
      <c r="AW1760" s="1" t="s">
        <v>204</v>
      </c>
      <c r="AX1760" s="1" t="s">
        <v>13222</v>
      </c>
      <c r="AZ1760" s="1" t="s">
        <v>751</v>
      </c>
      <c r="BA1760" s="1">
        <v>2013</v>
      </c>
      <c r="BB1760" s="1" t="s">
        <v>210</v>
      </c>
      <c r="BE1760" s="1">
        <v>1736</v>
      </c>
      <c r="BF1760" s="1">
        <v>1</v>
      </c>
      <c r="BG1760" s="1">
        <v>5</v>
      </c>
      <c r="BJ1760" s="1">
        <v>100</v>
      </c>
      <c r="BL1760" s="1">
        <v>155</v>
      </c>
      <c r="BM1760" s="1" t="s">
        <v>204</v>
      </c>
      <c r="BN1760" s="1" t="s">
        <v>213</v>
      </c>
      <c r="BO1760" s="1">
        <v>0</v>
      </c>
      <c r="BP1760" s="1" t="s">
        <v>213</v>
      </c>
      <c r="BQ1760" s="2">
        <v>41973</v>
      </c>
      <c r="BR1760" s="1" t="str">
        <f>"0908101000"</f>
        <v>0908101000</v>
      </c>
      <c r="BT1760" s="1" t="s">
        <v>16550</v>
      </c>
      <c r="BX1760" s="1">
        <v>427</v>
      </c>
      <c r="BY1760" s="1">
        <v>427</v>
      </c>
      <c r="BZ1760" s="1">
        <v>427</v>
      </c>
      <c r="CB1760" s="1" t="str">
        <f t="shared" ref="CB1760:CC1760" si="1334">""</f>
        <v/>
      </c>
      <c r="CC1760" s="1" t="str">
        <f t="shared" si="1334"/>
        <v/>
      </c>
      <c r="CH1760" s="1" t="s">
        <v>224</v>
      </c>
      <c r="CK1760" s="1" t="s">
        <v>1533</v>
      </c>
      <c r="CL1760" s="1" t="s">
        <v>219</v>
      </c>
      <c r="CM1760" s="1" t="s">
        <v>220</v>
      </c>
      <c r="CP1760" s="1" t="s">
        <v>224</v>
      </c>
      <c r="CS1760" s="1" t="s">
        <v>465</v>
      </c>
      <c r="CT1760" s="1" t="s">
        <v>219</v>
      </c>
      <c r="CU1760" s="1" t="s">
        <v>220</v>
      </c>
      <c r="CX1760" s="1" t="s">
        <v>224</v>
      </c>
      <c r="DB1760" s="1" t="s">
        <v>224</v>
      </c>
      <c r="DE1760" s="1" t="s">
        <v>1612</v>
      </c>
      <c r="DF1760" s="1" t="s">
        <v>219</v>
      </c>
      <c r="DG1760" s="1" t="s">
        <v>342</v>
      </c>
      <c r="DI1760" s="1" t="s">
        <v>5899</v>
      </c>
      <c r="DJ1760" s="1" t="s">
        <v>219</v>
      </c>
      <c r="DK1760" s="1" t="s">
        <v>220</v>
      </c>
      <c r="DN1760" s="1" t="s">
        <v>7771</v>
      </c>
      <c r="DO1760" s="1" t="s">
        <v>1789</v>
      </c>
      <c r="DP1760" s="1" t="s">
        <v>1614</v>
      </c>
      <c r="DQ1760" s="1" t="s">
        <v>6766</v>
      </c>
      <c r="DS1760" s="1" t="s">
        <v>230</v>
      </c>
      <c r="DV1760" s="1" t="s">
        <v>465</v>
      </c>
      <c r="DW1760" s="1" t="s">
        <v>219</v>
      </c>
      <c r="DX1760" s="1" t="s">
        <v>220</v>
      </c>
      <c r="DZ1760" s="1" t="s">
        <v>379</v>
      </c>
      <c r="EA1760" s="1" t="s">
        <v>219</v>
      </c>
      <c r="EB1760" s="1" t="s">
        <v>220</v>
      </c>
      <c r="ED1760" s="1" t="s">
        <v>16551</v>
      </c>
      <c r="EE1760" s="1" t="s">
        <v>219</v>
      </c>
      <c r="EF1760" s="1" t="s">
        <v>347</v>
      </c>
      <c r="EH1760" s="1" t="s">
        <v>3127</v>
      </c>
      <c r="EI1760" s="1" t="s">
        <v>219</v>
      </c>
      <c r="EJ1760" s="1" t="s">
        <v>342</v>
      </c>
      <c r="EL1760" s="1" t="s">
        <v>9871</v>
      </c>
      <c r="EM1760" s="1" t="s">
        <v>319</v>
      </c>
      <c r="EN1760" s="1" t="s">
        <v>282</v>
      </c>
      <c r="EO1760" s="1" t="s">
        <v>234</v>
      </c>
      <c r="EP1760" s="1" t="s">
        <v>16552</v>
      </c>
      <c r="EQ1760" s="1" t="s">
        <v>10067</v>
      </c>
      <c r="ER1760" s="1" t="s">
        <v>1249</v>
      </c>
      <c r="ET1760" s="1" t="s">
        <v>1584</v>
      </c>
      <c r="EU1760" s="1" t="s">
        <v>610</v>
      </c>
      <c r="EW1760" s="1" t="s">
        <v>8863</v>
      </c>
      <c r="EX1760" s="1" t="s">
        <v>16553</v>
      </c>
      <c r="EY1760" s="1" t="s">
        <v>790</v>
      </c>
      <c r="EZ1760" s="1" t="s">
        <v>16554</v>
      </c>
      <c r="FA1760" s="1" t="s">
        <v>16555</v>
      </c>
      <c r="FB1760" s="1" t="s">
        <v>734</v>
      </c>
      <c r="FD1760" s="1" t="s">
        <v>246</v>
      </c>
      <c r="FE1760" s="1" t="s">
        <v>9850</v>
      </c>
      <c r="FF1760" s="1" t="s">
        <v>248</v>
      </c>
      <c r="FH1760" s="1" t="s">
        <v>16556</v>
      </c>
      <c r="FI1760" s="1" t="s">
        <v>473</v>
      </c>
      <c r="FJ1760" s="1" t="s">
        <v>197</v>
      </c>
      <c r="FL1760" s="1" t="s">
        <v>358</v>
      </c>
      <c r="FM1760" s="1" t="s">
        <v>252</v>
      </c>
      <c r="FN1760" s="1" t="s">
        <v>213</v>
      </c>
      <c r="FO1760" s="1" t="s">
        <v>213</v>
      </c>
      <c r="FQ1760" s="1" t="s">
        <v>2091</v>
      </c>
      <c r="FR1760" s="1" t="s">
        <v>652</v>
      </c>
      <c r="FS1760" s="1" t="s">
        <v>13226</v>
      </c>
      <c r="FT1760" s="1" t="s">
        <v>295</v>
      </c>
      <c r="FU1760" s="1" t="s">
        <v>204</v>
      </c>
      <c r="FW1760" s="1" t="s">
        <v>8939</v>
      </c>
      <c r="FX1760" s="1">
        <v>24809</v>
      </c>
      <c r="FY1760" s="1" t="s">
        <v>8940</v>
      </c>
      <c r="FZ1760" s="1" t="s">
        <v>8941</v>
      </c>
      <c r="GA1760" s="1">
        <v>237413</v>
      </c>
      <c r="GB1760" s="1" t="s">
        <v>8942</v>
      </c>
      <c r="GD1760" s="1" t="s">
        <v>8943</v>
      </c>
      <c r="GE1760" s="1" t="s">
        <v>623</v>
      </c>
      <c r="GI1760" s="1" t="s">
        <v>213</v>
      </c>
      <c r="GJ1760" s="1" t="s">
        <v>260</v>
      </c>
      <c r="GK1760" s="1" t="s">
        <v>210</v>
      </c>
      <c r="GL1760" s="2">
        <v>42107</v>
      </c>
      <c r="GM1760" s="1" t="s">
        <v>16557</v>
      </c>
    </row>
    <row r="1761" spans="1:195">
      <c r="A1761" s="1">
        <v>128000</v>
      </c>
      <c r="B1761" s="1" t="s">
        <v>195</v>
      </c>
      <c r="C1761" s="1" t="str">
        <f>"08724515"</f>
        <v>08724515</v>
      </c>
      <c r="D1761" s="1" t="s">
        <v>196</v>
      </c>
      <c r="F1761" s="1" t="str">
        <f>"538"</f>
        <v>538</v>
      </c>
      <c r="G1761" s="2">
        <v>41892</v>
      </c>
      <c r="H1761" s="1">
        <v>145000</v>
      </c>
      <c r="I1761" s="1">
        <v>129900</v>
      </c>
      <c r="J1761" s="1">
        <v>128000</v>
      </c>
      <c r="K1761" s="2">
        <v>41892</v>
      </c>
      <c r="L1761" s="1">
        <v>65</v>
      </c>
      <c r="M1761" s="2">
        <v>41956</v>
      </c>
      <c r="N1761" s="1">
        <v>65</v>
      </c>
      <c r="O1761" s="2">
        <v>41956</v>
      </c>
      <c r="P1761" s="1">
        <v>23196</v>
      </c>
      <c r="Q1761" s="1" t="s">
        <v>197</v>
      </c>
      <c r="R1761" s="2">
        <v>41995</v>
      </c>
      <c r="S1761" s="1">
        <v>233870</v>
      </c>
      <c r="T1761" s="1">
        <v>5171.62</v>
      </c>
      <c r="U1761" s="1">
        <v>2274</v>
      </c>
      <c r="V1761" s="1" t="s">
        <v>16558</v>
      </c>
      <c r="W1761" s="1" t="s">
        <v>449</v>
      </c>
      <c r="Y1761" s="1">
        <v>2</v>
      </c>
      <c r="Z1761" s="1" t="s">
        <v>370</v>
      </c>
      <c r="AA1761" s="1" t="s">
        <v>450</v>
      </c>
      <c r="AB1761" s="1">
        <v>60538</v>
      </c>
      <c r="AD1761" s="1" t="s">
        <v>12406</v>
      </c>
      <c r="AE1761" s="1" t="s">
        <v>16559</v>
      </c>
      <c r="AF1761" s="1">
        <v>2005</v>
      </c>
      <c r="AG1761" s="1" t="s">
        <v>204</v>
      </c>
      <c r="AH1761" s="1" t="s">
        <v>452</v>
      </c>
      <c r="AI1761" s="1" t="s">
        <v>453</v>
      </c>
      <c r="AJ1761" s="1" t="s">
        <v>454</v>
      </c>
      <c r="AL1761" s="1">
        <v>6</v>
      </c>
      <c r="AM1761" s="1">
        <v>2</v>
      </c>
      <c r="AN1761" s="1">
        <v>2</v>
      </c>
      <c r="AO1761" s="1">
        <v>1</v>
      </c>
      <c r="AP1761" s="1" t="s">
        <v>209</v>
      </c>
      <c r="AR1761" s="1" t="s">
        <v>210</v>
      </c>
      <c r="AS1761" s="1" t="s">
        <v>204</v>
      </c>
      <c r="AT1761" s="1" t="s">
        <v>375</v>
      </c>
      <c r="AU1761" s="1">
        <v>2</v>
      </c>
      <c r="AV1761" s="1">
        <v>1</v>
      </c>
      <c r="AW1761" s="1" t="s">
        <v>204</v>
      </c>
      <c r="AX1761" s="1" t="s">
        <v>16560</v>
      </c>
      <c r="AZ1761" s="1">
        <v>4192.58</v>
      </c>
      <c r="BA1761" s="1">
        <v>2013</v>
      </c>
      <c r="BE1761" s="1">
        <v>1310</v>
      </c>
      <c r="BF1761" s="1">
        <v>1</v>
      </c>
      <c r="BG1761" s="1">
        <v>0</v>
      </c>
      <c r="BL1761" s="1">
        <v>159</v>
      </c>
      <c r="BM1761" s="1" t="s">
        <v>204</v>
      </c>
      <c r="BN1761" s="1" t="s">
        <v>204</v>
      </c>
      <c r="BP1761" s="1" t="s">
        <v>204</v>
      </c>
      <c r="BR1761" s="1" t="str">
        <f>"0202102095"</f>
        <v>0202102095</v>
      </c>
      <c r="BT1761" s="1" t="s">
        <v>16561</v>
      </c>
      <c r="BX1761" s="1">
        <v>308</v>
      </c>
      <c r="BY1761" s="1">
        <v>308</v>
      </c>
      <c r="BZ1761" s="1">
        <v>308</v>
      </c>
      <c r="CB1761" s="1" t="str">
        <f t="shared" ref="CB1761:CC1761" si="1335">""</f>
        <v/>
      </c>
      <c r="CC1761" s="1" t="str">
        <f t="shared" si="1335"/>
        <v/>
      </c>
      <c r="CG1761" s="1" t="s">
        <v>16365</v>
      </c>
      <c r="CH1761" s="1" t="s">
        <v>219</v>
      </c>
      <c r="CK1761" s="1" t="s">
        <v>2122</v>
      </c>
      <c r="CL1761" s="1" t="s">
        <v>277</v>
      </c>
      <c r="CO1761" s="1" t="s">
        <v>4999</v>
      </c>
      <c r="CP1761" s="1" t="s">
        <v>219</v>
      </c>
      <c r="CS1761" s="1" t="s">
        <v>408</v>
      </c>
      <c r="CT1761" s="1" t="s">
        <v>277</v>
      </c>
      <c r="CX1761" s="1" t="s">
        <v>224</v>
      </c>
      <c r="DB1761" s="1" t="s">
        <v>224</v>
      </c>
      <c r="DE1761" s="1" t="s">
        <v>7142</v>
      </c>
      <c r="DF1761" s="1" t="s">
        <v>219</v>
      </c>
      <c r="DJ1761" s="1" t="s">
        <v>224</v>
      </c>
      <c r="DM1761" s="1" t="s">
        <v>464</v>
      </c>
      <c r="DR1761" s="1" t="s">
        <v>1469</v>
      </c>
      <c r="DS1761" s="1" t="s">
        <v>277</v>
      </c>
      <c r="DW1761" s="1" t="s">
        <v>230</v>
      </c>
      <c r="EA1761" s="1" t="s">
        <v>230</v>
      </c>
      <c r="EE1761" s="1" t="s">
        <v>230</v>
      </c>
      <c r="EI1761" s="1" t="s">
        <v>230</v>
      </c>
      <c r="EL1761" s="1" t="s">
        <v>491</v>
      </c>
      <c r="EM1761" s="1" t="s">
        <v>319</v>
      </c>
      <c r="EN1761" s="1" t="s">
        <v>282</v>
      </c>
      <c r="EO1761" s="1" t="s">
        <v>234</v>
      </c>
      <c r="ER1761" s="1" t="s">
        <v>210</v>
      </c>
      <c r="EU1761" s="1" t="s">
        <v>239</v>
      </c>
      <c r="EV1761" s="1" t="s">
        <v>324</v>
      </c>
      <c r="EW1761" s="1" t="s">
        <v>12661</v>
      </c>
      <c r="EZ1761" s="1" t="s">
        <v>464</v>
      </c>
      <c r="FD1761" s="1" t="s">
        <v>1112</v>
      </c>
      <c r="FE1761" s="1" t="s">
        <v>870</v>
      </c>
      <c r="FF1761" s="1" t="s">
        <v>248</v>
      </c>
      <c r="FH1761" s="1" t="s">
        <v>442</v>
      </c>
      <c r="FK1761" s="1" t="s">
        <v>768</v>
      </c>
      <c r="FL1761" s="1" t="s">
        <v>358</v>
      </c>
      <c r="FM1761" s="1" t="s">
        <v>252</v>
      </c>
      <c r="FN1761" s="1" t="s">
        <v>213</v>
      </c>
      <c r="FO1761" s="1" t="s">
        <v>213</v>
      </c>
      <c r="FQ1761" s="1" t="s">
        <v>582</v>
      </c>
      <c r="FR1761" s="1" t="s">
        <v>210</v>
      </c>
      <c r="FS1761" s="1" t="s">
        <v>2576</v>
      </c>
      <c r="FT1761" s="1" t="s">
        <v>584</v>
      </c>
      <c r="FU1761" s="1" t="s">
        <v>204</v>
      </c>
      <c r="FW1761" s="1" t="s">
        <v>2577</v>
      </c>
      <c r="FX1761" s="1">
        <v>31982</v>
      </c>
      <c r="FY1761" s="1" t="s">
        <v>2578</v>
      </c>
      <c r="FZ1761" s="1" t="s">
        <v>2579</v>
      </c>
      <c r="GA1761" s="1">
        <v>319888</v>
      </c>
      <c r="GB1761" s="1" t="s">
        <v>2580</v>
      </c>
      <c r="GE1761" s="1" t="s">
        <v>210</v>
      </c>
      <c r="GI1761" s="1" t="s">
        <v>204</v>
      </c>
      <c r="GJ1761" s="1" t="s">
        <v>260</v>
      </c>
      <c r="GK1761" s="1" t="s">
        <v>210</v>
      </c>
      <c r="GL1761" s="2">
        <v>41995</v>
      </c>
      <c r="GM1761" s="1" t="s">
        <v>2581</v>
      </c>
    </row>
    <row r="1762" spans="1:195">
      <c r="A1762" s="1">
        <v>205000</v>
      </c>
      <c r="B1762" s="1" t="s">
        <v>195</v>
      </c>
      <c r="C1762" s="1" t="str">
        <f>"08723634"</f>
        <v>08723634</v>
      </c>
      <c r="D1762" s="1" t="s">
        <v>196</v>
      </c>
      <c r="F1762" s="1" t="str">
        <f>"540"</f>
        <v>540</v>
      </c>
      <c r="G1762" s="2">
        <v>41891</v>
      </c>
      <c r="H1762" s="1">
        <v>230000</v>
      </c>
      <c r="I1762" s="1">
        <v>199900</v>
      </c>
      <c r="J1762" s="1">
        <v>205000</v>
      </c>
      <c r="K1762" s="2">
        <v>41888</v>
      </c>
      <c r="L1762" s="1">
        <v>156</v>
      </c>
      <c r="M1762" s="2">
        <v>41955</v>
      </c>
      <c r="N1762" s="1">
        <v>68</v>
      </c>
      <c r="O1762" s="2">
        <v>41955</v>
      </c>
      <c r="P1762" s="1">
        <v>23156</v>
      </c>
      <c r="Q1762" s="1" t="s">
        <v>197</v>
      </c>
      <c r="R1762" s="2">
        <v>41988</v>
      </c>
      <c r="S1762" s="1">
        <v>237779</v>
      </c>
      <c r="U1762" s="1">
        <v>1424</v>
      </c>
      <c r="V1762" s="1" t="s">
        <v>2530</v>
      </c>
      <c r="W1762" s="1" t="s">
        <v>304</v>
      </c>
      <c r="Y1762" s="1">
        <v>4</v>
      </c>
      <c r="Z1762" s="1" t="s">
        <v>249</v>
      </c>
      <c r="AA1762" s="1" t="s">
        <v>921</v>
      </c>
      <c r="AB1762" s="1">
        <v>60564</v>
      </c>
      <c r="AD1762" s="1" t="s">
        <v>2531</v>
      </c>
      <c r="AE1762" s="1" t="s">
        <v>16562</v>
      </c>
      <c r="AF1762" s="1">
        <v>1988</v>
      </c>
      <c r="AG1762" s="1" t="s">
        <v>204</v>
      </c>
      <c r="AH1762" s="1" t="s">
        <v>924</v>
      </c>
      <c r="AI1762" s="1" t="s">
        <v>206</v>
      </c>
      <c r="AJ1762" s="1" t="s">
        <v>924</v>
      </c>
      <c r="AL1762" s="1">
        <v>7</v>
      </c>
      <c r="AM1762" s="1">
        <v>2</v>
      </c>
      <c r="AN1762" s="1">
        <v>2</v>
      </c>
      <c r="AO1762" s="1">
        <v>2</v>
      </c>
      <c r="AP1762" s="1" t="s">
        <v>209</v>
      </c>
      <c r="AQ1762" s="1">
        <v>2</v>
      </c>
      <c r="AR1762" s="1" t="s">
        <v>1421</v>
      </c>
      <c r="AS1762" s="1" t="s">
        <v>213</v>
      </c>
      <c r="AT1762" s="1" t="s">
        <v>211</v>
      </c>
      <c r="AU1762" s="1">
        <v>1</v>
      </c>
      <c r="AW1762" s="1" t="s">
        <v>204</v>
      </c>
      <c r="AX1762" s="1" t="s">
        <v>212</v>
      </c>
      <c r="AZ1762" s="1">
        <v>7340.68</v>
      </c>
      <c r="BA1762" s="1">
        <v>2013</v>
      </c>
      <c r="BE1762" s="1">
        <v>1593</v>
      </c>
      <c r="BF1762" s="1">
        <v>1</v>
      </c>
      <c r="BG1762" s="1">
        <v>0</v>
      </c>
      <c r="BL1762" s="1">
        <v>339</v>
      </c>
      <c r="BM1762" s="1" t="s">
        <v>204</v>
      </c>
      <c r="BN1762" s="1" t="s">
        <v>213</v>
      </c>
      <c r="BO1762" s="1">
        <v>0</v>
      </c>
      <c r="BP1762" s="1" t="s">
        <v>204</v>
      </c>
      <c r="BR1762" s="1" t="str">
        <f>"0733310057"</f>
        <v>0733310057</v>
      </c>
      <c r="BT1762" s="1" t="s">
        <v>16563</v>
      </c>
      <c r="BU1762" s="1" t="s">
        <v>2534</v>
      </c>
      <c r="BV1762" s="1" t="s">
        <v>2535</v>
      </c>
      <c r="BW1762" s="1" t="s">
        <v>1312</v>
      </c>
      <c r="BX1762" s="1">
        <v>204</v>
      </c>
      <c r="BY1762" s="1">
        <v>204</v>
      </c>
      <c r="BZ1762" s="1">
        <v>204</v>
      </c>
      <c r="CB1762" s="1" t="str">
        <f t="shared" ref="CB1762:CC1762" si="1336">""</f>
        <v/>
      </c>
      <c r="CC1762" s="1" t="str">
        <f t="shared" si="1336"/>
        <v/>
      </c>
      <c r="CG1762" s="1" t="s">
        <v>861</v>
      </c>
      <c r="CH1762" s="1" t="s">
        <v>219</v>
      </c>
      <c r="CI1762" s="1" t="s">
        <v>438</v>
      </c>
      <c r="CJ1762" s="1" t="s">
        <v>252</v>
      </c>
      <c r="CK1762" s="1" t="s">
        <v>315</v>
      </c>
      <c r="CL1762" s="1" t="s">
        <v>277</v>
      </c>
      <c r="CM1762" s="1" t="s">
        <v>220</v>
      </c>
      <c r="CN1762" s="1" t="s">
        <v>252</v>
      </c>
      <c r="CO1762" s="1" t="s">
        <v>465</v>
      </c>
      <c r="CP1762" s="1" t="s">
        <v>219</v>
      </c>
      <c r="CQ1762" s="1" t="s">
        <v>438</v>
      </c>
      <c r="CR1762" s="1" t="s">
        <v>252</v>
      </c>
      <c r="CS1762" s="1" t="s">
        <v>465</v>
      </c>
      <c r="CT1762" s="1" t="s">
        <v>277</v>
      </c>
      <c r="CU1762" s="1" t="s">
        <v>220</v>
      </c>
      <c r="CV1762" s="1" t="s">
        <v>252</v>
      </c>
      <c r="CX1762" s="1" t="s">
        <v>224</v>
      </c>
      <c r="DB1762" s="1" t="s">
        <v>224</v>
      </c>
      <c r="DE1762" s="1" t="s">
        <v>1297</v>
      </c>
      <c r="DF1762" s="1" t="s">
        <v>219</v>
      </c>
      <c r="DG1762" s="1" t="s">
        <v>438</v>
      </c>
      <c r="DJ1762" s="1" t="s">
        <v>224</v>
      </c>
      <c r="DN1762" s="1" t="s">
        <v>381</v>
      </c>
      <c r="DO1762" s="1" t="s">
        <v>934</v>
      </c>
      <c r="DS1762" s="1" t="s">
        <v>230</v>
      </c>
      <c r="DV1762" s="1" t="s">
        <v>757</v>
      </c>
      <c r="DW1762" s="1" t="s">
        <v>219</v>
      </c>
      <c r="DX1762" s="1" t="s">
        <v>438</v>
      </c>
      <c r="DY1762" s="1" t="s">
        <v>252</v>
      </c>
      <c r="DZ1762" s="1" t="s">
        <v>2925</v>
      </c>
      <c r="EA1762" s="1" t="s">
        <v>43</v>
      </c>
      <c r="EB1762" s="1" t="s">
        <v>220</v>
      </c>
      <c r="EC1762" s="1" t="s">
        <v>252</v>
      </c>
      <c r="EE1762" s="1" t="s">
        <v>230</v>
      </c>
      <c r="EI1762" s="1" t="s">
        <v>230</v>
      </c>
      <c r="EL1762" s="1" t="s">
        <v>542</v>
      </c>
      <c r="EM1762" s="1" t="s">
        <v>319</v>
      </c>
      <c r="EN1762" s="1" t="s">
        <v>282</v>
      </c>
      <c r="EO1762" s="1" t="s">
        <v>234</v>
      </c>
      <c r="EP1762" s="1" t="s">
        <v>650</v>
      </c>
      <c r="EQ1762" s="1" t="s">
        <v>2188</v>
      </c>
      <c r="ER1762" s="1" t="s">
        <v>544</v>
      </c>
      <c r="ES1762" s="1" t="s">
        <v>322</v>
      </c>
      <c r="ET1762" s="1" t="s">
        <v>323</v>
      </c>
      <c r="EU1762" s="1" t="s">
        <v>5718</v>
      </c>
      <c r="EV1762" s="1" t="s">
        <v>324</v>
      </c>
      <c r="EW1762" s="1" t="s">
        <v>16564</v>
      </c>
      <c r="EZ1762" s="1" t="s">
        <v>5119</v>
      </c>
      <c r="FA1762" s="1" t="s">
        <v>16565</v>
      </c>
      <c r="FB1762" s="1" t="s">
        <v>289</v>
      </c>
      <c r="FD1762" s="1" t="s">
        <v>246</v>
      </c>
      <c r="FE1762" s="1" t="s">
        <v>549</v>
      </c>
      <c r="FF1762" s="1" t="s">
        <v>248</v>
      </c>
      <c r="FG1762" s="1" t="s">
        <v>3324</v>
      </c>
      <c r="FH1762" s="1" t="s">
        <v>550</v>
      </c>
      <c r="FI1762" s="1" t="s">
        <v>473</v>
      </c>
      <c r="FL1762" s="1" t="s">
        <v>358</v>
      </c>
      <c r="FM1762" s="1" t="s">
        <v>252</v>
      </c>
      <c r="FN1762" s="1" t="s">
        <v>213</v>
      </c>
      <c r="FO1762" s="1" t="s">
        <v>213</v>
      </c>
      <c r="FQ1762" s="1" t="s">
        <v>2793</v>
      </c>
      <c r="FR1762" s="1" t="s">
        <v>210</v>
      </c>
      <c r="FS1762" s="1" t="s">
        <v>16566</v>
      </c>
      <c r="FT1762" s="1" t="s">
        <v>295</v>
      </c>
      <c r="FU1762" s="1" t="s">
        <v>204</v>
      </c>
      <c r="FW1762" s="1" t="s">
        <v>915</v>
      </c>
      <c r="FX1762" s="1">
        <v>23076</v>
      </c>
      <c r="FY1762" s="1" t="s">
        <v>1909</v>
      </c>
      <c r="FZ1762" s="1" t="s">
        <v>16267</v>
      </c>
      <c r="GA1762" s="1">
        <v>219653</v>
      </c>
      <c r="GB1762" s="1" t="s">
        <v>16268</v>
      </c>
      <c r="GE1762" s="1" t="s">
        <v>1256</v>
      </c>
      <c r="GI1762" s="1" t="s">
        <v>213</v>
      </c>
      <c r="GJ1762" s="1" t="s">
        <v>260</v>
      </c>
      <c r="GK1762" s="1" t="s">
        <v>210</v>
      </c>
      <c r="GL1762" s="2">
        <v>41989</v>
      </c>
      <c r="GM1762" s="1" t="s">
        <v>16567</v>
      </c>
    </row>
    <row r="1763" spans="1:195">
      <c r="A1763" s="1">
        <v>17000</v>
      </c>
      <c r="B1763" s="1" t="s">
        <v>195</v>
      </c>
      <c r="C1763" s="1" t="str">
        <f>"08723306"</f>
        <v>08723306</v>
      </c>
      <c r="D1763" s="1" t="s">
        <v>196</v>
      </c>
      <c r="F1763" s="1" t="str">
        <f>"8051"</f>
        <v>8051</v>
      </c>
      <c r="G1763" s="2">
        <v>41891</v>
      </c>
      <c r="H1763" s="1">
        <v>21800</v>
      </c>
      <c r="I1763" s="1">
        <v>18000</v>
      </c>
      <c r="J1763" s="1">
        <v>17000</v>
      </c>
      <c r="K1763" s="2">
        <v>41890</v>
      </c>
      <c r="L1763" s="1">
        <v>87</v>
      </c>
      <c r="M1763" s="2">
        <v>41976</v>
      </c>
      <c r="N1763" s="1">
        <v>87</v>
      </c>
      <c r="O1763" s="2">
        <v>41976</v>
      </c>
      <c r="P1763" s="1">
        <v>22994</v>
      </c>
      <c r="Q1763" s="1" t="s">
        <v>302</v>
      </c>
      <c r="R1763" s="2">
        <v>42016</v>
      </c>
      <c r="S1763" s="1">
        <v>603979</v>
      </c>
      <c r="U1763" s="1">
        <v>9708</v>
      </c>
      <c r="V1763" s="1" t="s">
        <v>16568</v>
      </c>
      <c r="W1763" s="1" t="s">
        <v>425</v>
      </c>
      <c r="Y1763" s="1">
        <v>2</v>
      </c>
      <c r="Z1763" s="1" t="s">
        <v>200</v>
      </c>
      <c r="AA1763" s="1" t="s">
        <v>400</v>
      </c>
      <c r="AB1763" s="1">
        <v>60617</v>
      </c>
      <c r="AD1763" s="1" t="s">
        <v>14893</v>
      </c>
      <c r="AE1763" s="1" t="s">
        <v>16569</v>
      </c>
      <c r="AF1763" s="1">
        <v>1940</v>
      </c>
      <c r="AG1763" s="1" t="s">
        <v>213</v>
      </c>
      <c r="AH1763" s="1" t="s">
        <v>403</v>
      </c>
      <c r="AI1763" s="1" t="s">
        <v>310</v>
      </c>
      <c r="AJ1763" s="1" t="s">
        <v>562</v>
      </c>
      <c r="AL1763" s="1">
        <v>4</v>
      </c>
      <c r="AM1763" s="1">
        <v>2</v>
      </c>
      <c r="AN1763" s="1">
        <v>1</v>
      </c>
      <c r="AO1763" s="1">
        <v>0</v>
      </c>
      <c r="AP1763" s="1" t="s">
        <v>210</v>
      </c>
      <c r="AR1763" s="1" t="s">
        <v>209</v>
      </c>
      <c r="AS1763" s="1" t="s">
        <v>204</v>
      </c>
      <c r="AT1763" s="1" t="s">
        <v>211</v>
      </c>
      <c r="AU1763" s="1">
        <v>2</v>
      </c>
      <c r="AW1763" s="1" t="s">
        <v>204</v>
      </c>
      <c r="AX1763" s="1">
        <v>2790</v>
      </c>
      <c r="AZ1763" s="1">
        <v>1276</v>
      </c>
      <c r="BA1763" s="1">
        <v>2012</v>
      </c>
      <c r="BE1763" s="1">
        <v>957</v>
      </c>
      <c r="BF1763" s="1" t="s">
        <v>6276</v>
      </c>
      <c r="BG1763" s="1">
        <v>0</v>
      </c>
      <c r="BL1763" s="1">
        <v>0</v>
      </c>
      <c r="BM1763" s="1" t="s">
        <v>204</v>
      </c>
      <c r="BN1763" s="1" t="s">
        <v>213</v>
      </c>
      <c r="BP1763" s="1" t="s">
        <v>204</v>
      </c>
      <c r="BR1763" s="1" t="str">
        <f>"25121080630000"</f>
        <v>25121080630000</v>
      </c>
      <c r="BT1763" s="1" t="s">
        <v>16570</v>
      </c>
      <c r="BX1763" s="1">
        <v>299</v>
      </c>
      <c r="BY1763" s="1">
        <v>299</v>
      </c>
      <c r="BZ1763" s="1">
        <v>299</v>
      </c>
      <c r="CB1763" s="1" t="str">
        <f>"0"</f>
        <v>0</v>
      </c>
      <c r="CC1763" s="1" t="str">
        <f>"2100"</f>
        <v>2100</v>
      </c>
      <c r="CD1763" s="1">
        <v>0</v>
      </c>
      <c r="CE1763" s="1">
        <v>9700</v>
      </c>
      <c r="CG1763" s="1" t="s">
        <v>1403</v>
      </c>
      <c r="CH1763" s="1" t="s">
        <v>219</v>
      </c>
      <c r="CK1763" s="1" t="s">
        <v>2122</v>
      </c>
      <c r="CL1763" s="1" t="s">
        <v>277</v>
      </c>
      <c r="CP1763" s="1" t="s">
        <v>224</v>
      </c>
      <c r="CS1763" s="1" t="s">
        <v>378</v>
      </c>
      <c r="CT1763" s="1" t="s">
        <v>277</v>
      </c>
      <c r="CX1763" s="1" t="s">
        <v>224</v>
      </c>
      <c r="DB1763" s="1" t="s">
        <v>224</v>
      </c>
      <c r="DE1763" s="1" t="s">
        <v>318</v>
      </c>
      <c r="DF1763" s="1" t="s">
        <v>219</v>
      </c>
      <c r="DJ1763" s="1" t="s">
        <v>224</v>
      </c>
      <c r="DS1763" s="1" t="s">
        <v>230</v>
      </c>
      <c r="DW1763" s="1" t="s">
        <v>230</v>
      </c>
      <c r="EA1763" s="1" t="s">
        <v>230</v>
      </c>
      <c r="EE1763" s="1" t="s">
        <v>230</v>
      </c>
      <c r="EI1763" s="1" t="s">
        <v>230</v>
      </c>
      <c r="EL1763" s="1" t="s">
        <v>440</v>
      </c>
      <c r="EM1763" s="1" t="s">
        <v>232</v>
      </c>
      <c r="EN1763" s="1" t="s">
        <v>210</v>
      </c>
      <c r="EO1763" s="1" t="s">
        <v>234</v>
      </c>
      <c r="ER1763" s="1" t="s">
        <v>1249</v>
      </c>
      <c r="EW1763" s="1" t="s">
        <v>210</v>
      </c>
      <c r="EZ1763" s="1" t="s">
        <v>287</v>
      </c>
      <c r="FD1763" s="1" t="s">
        <v>736</v>
      </c>
      <c r="FE1763" s="1" t="s">
        <v>247</v>
      </c>
      <c r="FF1763" s="1" t="s">
        <v>248</v>
      </c>
      <c r="FH1763" s="1" t="s">
        <v>550</v>
      </c>
      <c r="FL1763" s="1" t="s">
        <v>358</v>
      </c>
      <c r="FM1763" s="1" t="s">
        <v>252</v>
      </c>
      <c r="FN1763" s="1" t="s">
        <v>213</v>
      </c>
      <c r="FO1763" s="1" t="s">
        <v>213</v>
      </c>
      <c r="FQ1763" s="1" t="s">
        <v>689</v>
      </c>
      <c r="FR1763" s="1" t="s">
        <v>210</v>
      </c>
      <c r="FS1763" s="1" t="s">
        <v>4124</v>
      </c>
      <c r="FT1763" s="1" t="s">
        <v>1828</v>
      </c>
      <c r="FU1763" s="1" t="s">
        <v>204</v>
      </c>
      <c r="FW1763" s="1" t="s">
        <v>7498</v>
      </c>
      <c r="FX1763" s="1">
        <v>22994</v>
      </c>
      <c r="FY1763" s="1" t="s">
        <v>7499</v>
      </c>
      <c r="FZ1763" s="1" t="s">
        <v>16571</v>
      </c>
      <c r="GA1763" s="1">
        <v>603979</v>
      </c>
      <c r="GB1763" s="1" t="s">
        <v>7499</v>
      </c>
      <c r="GE1763" s="1" t="s">
        <v>335</v>
      </c>
      <c r="GH1763" s="1" t="s">
        <v>421</v>
      </c>
      <c r="GI1763" s="1" t="s">
        <v>204</v>
      </c>
      <c r="GJ1763" s="1" t="s">
        <v>260</v>
      </c>
      <c r="GK1763" s="1" t="s">
        <v>210</v>
      </c>
      <c r="GL1763" s="2">
        <v>42019</v>
      </c>
    </row>
    <row r="1764" spans="1:195">
      <c r="A1764" s="1">
        <v>695000</v>
      </c>
      <c r="B1764" s="1" t="s">
        <v>195</v>
      </c>
      <c r="C1764" s="1" t="str">
        <f>"08724219"</f>
        <v>08724219</v>
      </c>
      <c r="D1764" s="1" t="s">
        <v>196</v>
      </c>
      <c r="F1764" s="1" t="str">
        <f>"523"</f>
        <v>523</v>
      </c>
      <c r="G1764" s="2">
        <v>41892</v>
      </c>
      <c r="H1764" s="1">
        <v>750000</v>
      </c>
      <c r="I1764" s="1">
        <v>729900</v>
      </c>
      <c r="J1764" s="1">
        <v>695000</v>
      </c>
      <c r="K1764" s="2">
        <v>41892</v>
      </c>
      <c r="L1764" s="1">
        <v>204</v>
      </c>
      <c r="M1764" s="2">
        <v>42095</v>
      </c>
      <c r="N1764" s="1">
        <v>204</v>
      </c>
      <c r="O1764" s="2">
        <v>42095</v>
      </c>
      <c r="P1764" s="1">
        <v>22273</v>
      </c>
      <c r="Q1764" s="1" t="s">
        <v>302</v>
      </c>
      <c r="R1764" s="2">
        <v>42109</v>
      </c>
      <c r="S1764" s="1">
        <v>223629</v>
      </c>
      <c r="U1764" s="1">
        <v>34</v>
      </c>
      <c r="V1764" s="1" t="s">
        <v>16572</v>
      </c>
      <c r="Y1764" s="1">
        <v>1</v>
      </c>
      <c r="Z1764" s="1" t="s">
        <v>370</v>
      </c>
      <c r="AA1764" s="1" t="s">
        <v>3818</v>
      </c>
      <c r="AB1764" s="1">
        <v>60523</v>
      </c>
      <c r="AD1764" s="1" t="s">
        <v>16573</v>
      </c>
      <c r="AE1764" s="1" t="s">
        <v>16574</v>
      </c>
      <c r="AF1764" s="1">
        <v>1976</v>
      </c>
      <c r="AG1764" s="1" t="s">
        <v>213</v>
      </c>
      <c r="AH1764" s="1" t="s">
        <v>3820</v>
      </c>
      <c r="AI1764" s="1" t="s">
        <v>206</v>
      </c>
      <c r="AJ1764" s="1" t="s">
        <v>1608</v>
      </c>
      <c r="AK1764" s="1" t="s">
        <v>16575</v>
      </c>
      <c r="AL1764" s="1">
        <v>6</v>
      </c>
      <c r="AM1764" s="1">
        <v>2</v>
      </c>
      <c r="AN1764" s="1">
        <v>2</v>
      </c>
      <c r="AO1764" s="1">
        <v>1</v>
      </c>
      <c r="AP1764" s="1" t="s">
        <v>209</v>
      </c>
      <c r="AR1764" s="1" t="s">
        <v>1631</v>
      </c>
      <c r="AS1764" s="1" t="s">
        <v>204</v>
      </c>
      <c r="AT1764" s="1" t="s">
        <v>211</v>
      </c>
      <c r="AU1764" s="1">
        <v>2</v>
      </c>
      <c r="AW1764" s="1" t="s">
        <v>204</v>
      </c>
      <c r="AX1764" s="1" t="s">
        <v>212</v>
      </c>
      <c r="AZ1764" s="1">
        <v>5568</v>
      </c>
      <c r="BA1764" s="1">
        <v>2013</v>
      </c>
      <c r="BE1764" s="1">
        <v>2800</v>
      </c>
      <c r="BF1764" s="1">
        <v>1</v>
      </c>
      <c r="BG1764" s="1">
        <v>5</v>
      </c>
      <c r="BL1764" s="1">
        <v>6375</v>
      </c>
      <c r="BM1764" s="1" t="s">
        <v>204</v>
      </c>
      <c r="BN1764" s="1" t="s">
        <v>213</v>
      </c>
      <c r="BO1764" s="1">
        <v>35</v>
      </c>
      <c r="BP1764" s="1" t="s">
        <v>204</v>
      </c>
      <c r="BR1764" s="1" t="str">
        <f>"0627407034"</f>
        <v>0627407034</v>
      </c>
      <c r="BT1764" s="1" t="s">
        <v>16576</v>
      </c>
      <c r="BX1764" s="1">
        <v>53</v>
      </c>
      <c r="BY1764" s="1">
        <v>53</v>
      </c>
      <c r="BZ1764" s="1">
        <v>86</v>
      </c>
      <c r="CB1764" s="1" t="str">
        <f t="shared" ref="CB1764:CC1764" si="1337">""</f>
        <v/>
      </c>
      <c r="CC1764" s="1" t="str">
        <f t="shared" si="1337"/>
        <v/>
      </c>
      <c r="CD1764" s="1">
        <v>17</v>
      </c>
      <c r="CE1764" s="1">
        <v>2</v>
      </c>
      <c r="CG1764" s="1" t="s">
        <v>2620</v>
      </c>
      <c r="CH1764" s="1" t="s">
        <v>219</v>
      </c>
      <c r="CI1764" s="1" t="s">
        <v>438</v>
      </c>
      <c r="CK1764" s="1" t="s">
        <v>931</v>
      </c>
      <c r="CL1764" s="1" t="s">
        <v>219</v>
      </c>
      <c r="CM1764" s="1" t="s">
        <v>220</v>
      </c>
      <c r="CO1764" s="1" t="s">
        <v>581</v>
      </c>
      <c r="CP1764" s="1" t="s">
        <v>219</v>
      </c>
      <c r="CQ1764" s="1" t="s">
        <v>438</v>
      </c>
      <c r="CS1764" s="1" t="s">
        <v>602</v>
      </c>
      <c r="CT1764" s="1" t="s">
        <v>277</v>
      </c>
      <c r="CU1764" s="1" t="s">
        <v>220</v>
      </c>
      <c r="CX1764" s="1" t="s">
        <v>224</v>
      </c>
      <c r="DB1764" s="1" t="s">
        <v>224</v>
      </c>
      <c r="DE1764" s="1" t="s">
        <v>16577</v>
      </c>
      <c r="DF1764" s="1" t="s">
        <v>219</v>
      </c>
      <c r="DJ1764" s="1" t="s">
        <v>224</v>
      </c>
      <c r="DM1764" s="1" t="s">
        <v>227</v>
      </c>
      <c r="DR1764" s="1" t="s">
        <v>1403</v>
      </c>
      <c r="DS1764" s="1" t="s">
        <v>277</v>
      </c>
      <c r="DW1764" s="1" t="s">
        <v>230</v>
      </c>
      <c r="EA1764" s="1" t="s">
        <v>230</v>
      </c>
      <c r="EE1764" s="1" t="s">
        <v>230</v>
      </c>
      <c r="EI1764" s="1" t="s">
        <v>230</v>
      </c>
      <c r="EL1764" s="1" t="s">
        <v>231</v>
      </c>
      <c r="EM1764" s="1" t="s">
        <v>730</v>
      </c>
      <c r="EN1764" s="1" t="s">
        <v>282</v>
      </c>
      <c r="EO1764" s="1" t="s">
        <v>234</v>
      </c>
      <c r="ER1764" s="1" t="s">
        <v>544</v>
      </c>
      <c r="EW1764" s="1" t="s">
        <v>16578</v>
      </c>
      <c r="EZ1764" s="1" t="s">
        <v>227</v>
      </c>
      <c r="FD1764" s="1" t="s">
        <v>246</v>
      </c>
      <c r="FE1764" s="1" t="s">
        <v>549</v>
      </c>
      <c r="FF1764" s="1" t="s">
        <v>248</v>
      </c>
      <c r="FH1764" s="1" t="s">
        <v>825</v>
      </c>
      <c r="FL1764" s="1" t="s">
        <v>414</v>
      </c>
      <c r="FM1764" s="1" t="s">
        <v>769</v>
      </c>
      <c r="FN1764" s="1" t="s">
        <v>213</v>
      </c>
      <c r="FO1764" s="1" t="s">
        <v>213</v>
      </c>
      <c r="FQ1764" s="1" t="s">
        <v>849</v>
      </c>
      <c r="FR1764" s="1" t="s">
        <v>210</v>
      </c>
      <c r="FS1764" s="1" t="s">
        <v>16579</v>
      </c>
      <c r="FT1764" s="1" t="s">
        <v>295</v>
      </c>
      <c r="FU1764" s="1" t="s">
        <v>204</v>
      </c>
      <c r="FW1764" s="1" t="s">
        <v>16580</v>
      </c>
      <c r="FX1764" s="1">
        <v>22870</v>
      </c>
      <c r="FY1764" s="1" t="s">
        <v>16581</v>
      </c>
      <c r="FZ1764" s="1" t="s">
        <v>16582</v>
      </c>
      <c r="GA1764" s="1">
        <v>227007</v>
      </c>
      <c r="GB1764" s="1" t="s">
        <v>16581</v>
      </c>
      <c r="GE1764" s="1" t="s">
        <v>210</v>
      </c>
      <c r="GI1764" s="1" t="s">
        <v>213</v>
      </c>
      <c r="GJ1764" s="1" t="s">
        <v>260</v>
      </c>
      <c r="GK1764" s="1" t="s">
        <v>210</v>
      </c>
      <c r="GL1764" s="2">
        <v>42112</v>
      </c>
    </row>
    <row r="1765" spans="1:195">
      <c r="A1765" s="1">
        <v>135000</v>
      </c>
      <c r="B1765" s="1" t="s">
        <v>195</v>
      </c>
      <c r="C1765" s="1" t="str">
        <f>"08732058"</f>
        <v>08732058</v>
      </c>
      <c r="D1765" s="1" t="s">
        <v>196</v>
      </c>
      <c r="F1765" s="1" t="str">
        <f>"104"</f>
        <v>104</v>
      </c>
      <c r="G1765" s="2">
        <v>41900</v>
      </c>
      <c r="H1765" s="1">
        <v>169000</v>
      </c>
      <c r="I1765" s="1">
        <v>135000</v>
      </c>
      <c r="J1765" s="1">
        <v>135000</v>
      </c>
      <c r="K1765" s="2">
        <v>41900</v>
      </c>
      <c r="L1765" s="1">
        <v>66</v>
      </c>
      <c r="M1765" s="2">
        <v>41965</v>
      </c>
      <c r="N1765" s="1">
        <v>66</v>
      </c>
      <c r="O1765" s="2">
        <v>41965</v>
      </c>
      <c r="P1765" s="1">
        <v>8068</v>
      </c>
      <c r="Q1765" s="1" t="s">
        <v>302</v>
      </c>
      <c r="R1765" s="2">
        <v>42003</v>
      </c>
      <c r="S1765" s="1">
        <v>27004</v>
      </c>
      <c r="U1765" s="1">
        <v>1581</v>
      </c>
      <c r="V1765" s="1" t="s">
        <v>16583</v>
      </c>
      <c r="X1765" s="1">
        <v>1581</v>
      </c>
      <c r="Y1765" s="1">
        <v>8</v>
      </c>
      <c r="Z1765" s="1" t="s">
        <v>249</v>
      </c>
      <c r="AA1765" s="1" t="s">
        <v>371</v>
      </c>
      <c r="AB1765" s="1">
        <v>60103</v>
      </c>
      <c r="AD1765" s="1" t="s">
        <v>12798</v>
      </c>
      <c r="AE1765" s="1" t="s">
        <v>16584</v>
      </c>
      <c r="AF1765" s="1">
        <v>1996</v>
      </c>
      <c r="AG1765" s="1" t="s">
        <v>204</v>
      </c>
      <c r="AH1765" s="1" t="s">
        <v>373</v>
      </c>
      <c r="AI1765" s="1" t="s">
        <v>310</v>
      </c>
      <c r="AJ1765" s="1" t="s">
        <v>374</v>
      </c>
      <c r="AK1765" s="1" t="s">
        <v>374</v>
      </c>
      <c r="AL1765" s="1">
        <v>6</v>
      </c>
      <c r="AM1765" s="1">
        <v>2</v>
      </c>
      <c r="AN1765" s="1">
        <v>2</v>
      </c>
      <c r="AO1765" s="1">
        <v>1</v>
      </c>
      <c r="AP1765" s="1" t="s">
        <v>209</v>
      </c>
      <c r="AQ1765" s="1">
        <v>1</v>
      </c>
      <c r="AR1765" s="1" t="s">
        <v>210</v>
      </c>
      <c r="AS1765" s="1" t="s">
        <v>204</v>
      </c>
      <c r="AT1765" s="1" t="s">
        <v>211</v>
      </c>
      <c r="AU1765" s="1">
        <v>2</v>
      </c>
      <c r="AW1765" s="1" t="s">
        <v>204</v>
      </c>
      <c r="AX1765" s="1" t="s">
        <v>212</v>
      </c>
      <c r="AZ1765" s="1">
        <v>4138</v>
      </c>
      <c r="BA1765" s="1">
        <v>2013</v>
      </c>
      <c r="BB1765" s="1" t="s">
        <v>405</v>
      </c>
      <c r="BE1765" s="1">
        <v>0</v>
      </c>
      <c r="BF1765" s="1">
        <v>0</v>
      </c>
      <c r="BG1765" s="1">
        <v>0</v>
      </c>
      <c r="BL1765" s="1">
        <v>209</v>
      </c>
      <c r="BM1765" s="1" t="s">
        <v>204</v>
      </c>
      <c r="BN1765" s="1" t="s">
        <v>213</v>
      </c>
      <c r="BO1765" s="1">
        <v>0</v>
      </c>
      <c r="BP1765" s="1" t="s">
        <v>204</v>
      </c>
      <c r="BR1765" s="1" t="str">
        <f>"06294080061029"</f>
        <v>06294080061029</v>
      </c>
      <c r="BT1765" s="1" t="s">
        <v>16585</v>
      </c>
      <c r="BU1765" s="1" t="s">
        <v>16586</v>
      </c>
      <c r="BW1765" s="1" t="s">
        <v>1217</v>
      </c>
      <c r="BX1765" s="1">
        <v>46</v>
      </c>
      <c r="BY1765" s="1">
        <v>46</v>
      </c>
      <c r="BZ1765" s="1">
        <v>46</v>
      </c>
      <c r="CB1765" s="1" t="str">
        <f>"9"</f>
        <v>9</v>
      </c>
      <c r="CC1765" s="1" t="str">
        <f>""</f>
        <v/>
      </c>
      <c r="CD1765" s="1">
        <v>31</v>
      </c>
      <c r="CG1765" s="1" t="s">
        <v>861</v>
      </c>
      <c r="CH1765" s="1" t="s">
        <v>219</v>
      </c>
      <c r="CI1765" s="1" t="s">
        <v>438</v>
      </c>
      <c r="CJ1765" s="1" t="s">
        <v>343</v>
      </c>
      <c r="CK1765" s="1" t="s">
        <v>538</v>
      </c>
      <c r="CL1765" s="1" t="s">
        <v>277</v>
      </c>
      <c r="CM1765" s="1" t="s">
        <v>220</v>
      </c>
      <c r="CN1765" s="1" t="s">
        <v>343</v>
      </c>
      <c r="CO1765" s="1" t="s">
        <v>409</v>
      </c>
      <c r="CP1765" s="1" t="s">
        <v>219</v>
      </c>
      <c r="CQ1765" s="1" t="s">
        <v>438</v>
      </c>
      <c r="CR1765" s="1" t="s">
        <v>343</v>
      </c>
      <c r="CS1765" s="1" t="s">
        <v>757</v>
      </c>
      <c r="CT1765" s="1" t="s">
        <v>277</v>
      </c>
      <c r="CU1765" s="1" t="s">
        <v>220</v>
      </c>
      <c r="CV1765" s="1" t="s">
        <v>343</v>
      </c>
      <c r="CX1765" s="1" t="s">
        <v>224</v>
      </c>
      <c r="DB1765" s="1" t="s">
        <v>224</v>
      </c>
      <c r="DE1765" s="1" t="s">
        <v>281</v>
      </c>
      <c r="DF1765" s="1" t="s">
        <v>219</v>
      </c>
      <c r="DG1765" s="1" t="s">
        <v>226</v>
      </c>
      <c r="DH1765" s="1" t="s">
        <v>210</v>
      </c>
      <c r="DJ1765" s="1" t="s">
        <v>224</v>
      </c>
      <c r="DM1765" s="1" t="s">
        <v>464</v>
      </c>
      <c r="DR1765" s="1" t="s">
        <v>1046</v>
      </c>
      <c r="DS1765" s="1" t="s">
        <v>277</v>
      </c>
      <c r="DT1765" s="1" t="s">
        <v>220</v>
      </c>
      <c r="DU1765" s="1" t="s">
        <v>343</v>
      </c>
      <c r="DW1765" s="1" t="s">
        <v>230</v>
      </c>
      <c r="EA1765" s="1" t="s">
        <v>230</v>
      </c>
      <c r="EE1765" s="1" t="s">
        <v>230</v>
      </c>
      <c r="EI1765" s="1" t="s">
        <v>230</v>
      </c>
      <c r="EL1765" s="1" t="s">
        <v>670</v>
      </c>
      <c r="EM1765" s="1" t="s">
        <v>319</v>
      </c>
      <c r="EN1765" s="1" t="s">
        <v>282</v>
      </c>
      <c r="EO1765" s="1" t="s">
        <v>234</v>
      </c>
      <c r="EP1765" s="1" t="s">
        <v>9034</v>
      </c>
      <c r="EQ1765" s="1" t="s">
        <v>1094</v>
      </c>
      <c r="ER1765" s="1" t="s">
        <v>210</v>
      </c>
      <c r="ET1765" s="1" t="s">
        <v>842</v>
      </c>
      <c r="EU1765" s="1" t="s">
        <v>239</v>
      </c>
      <c r="EV1765" s="1" t="s">
        <v>6425</v>
      </c>
      <c r="EW1765" s="1" t="s">
        <v>1804</v>
      </c>
      <c r="EY1765" s="1" t="s">
        <v>242</v>
      </c>
      <c r="EZ1765" s="1" t="s">
        <v>464</v>
      </c>
      <c r="FA1765" s="1" t="s">
        <v>714</v>
      </c>
      <c r="FB1765" s="1" t="s">
        <v>1505</v>
      </c>
      <c r="FC1765" s="1" t="s">
        <v>1362</v>
      </c>
      <c r="FD1765" s="1" t="s">
        <v>246</v>
      </c>
      <c r="FE1765" s="1" t="s">
        <v>3783</v>
      </c>
      <c r="FF1765" s="1" t="s">
        <v>248</v>
      </c>
      <c r="FG1765" s="1" t="s">
        <v>912</v>
      </c>
      <c r="FH1765" s="1" t="s">
        <v>550</v>
      </c>
      <c r="FI1765" s="1" t="s">
        <v>357</v>
      </c>
      <c r="FJ1765" s="1" t="s">
        <v>197</v>
      </c>
      <c r="FL1765" s="1" t="s">
        <v>358</v>
      </c>
      <c r="FM1765" s="1" t="s">
        <v>252</v>
      </c>
      <c r="FN1765" s="1" t="s">
        <v>213</v>
      </c>
      <c r="FO1765" s="1" t="s">
        <v>213</v>
      </c>
      <c r="FQ1765" s="1" t="s">
        <v>569</v>
      </c>
      <c r="FR1765" s="1" t="s">
        <v>360</v>
      </c>
      <c r="FS1765" s="1" t="s">
        <v>16587</v>
      </c>
      <c r="FT1765" s="1" t="s">
        <v>295</v>
      </c>
      <c r="FU1765" s="1" t="s">
        <v>204</v>
      </c>
      <c r="FW1765" s="1" t="s">
        <v>1559</v>
      </c>
      <c r="FX1765" s="1">
        <v>14470</v>
      </c>
      <c r="FY1765" s="1" t="s">
        <v>16588</v>
      </c>
      <c r="FZ1765" s="1" t="s">
        <v>16589</v>
      </c>
      <c r="GA1765" s="1">
        <v>151114</v>
      </c>
      <c r="GB1765" s="1" t="s">
        <v>16590</v>
      </c>
      <c r="GD1765" s="1" t="s">
        <v>16591</v>
      </c>
      <c r="GE1765" s="1" t="s">
        <v>210</v>
      </c>
      <c r="GI1765" s="1" t="s">
        <v>213</v>
      </c>
      <c r="GJ1765" s="1" t="s">
        <v>260</v>
      </c>
      <c r="GK1765" s="1" t="s">
        <v>210</v>
      </c>
      <c r="GL1765" s="2">
        <v>42004</v>
      </c>
      <c r="GM1765" s="1" t="s">
        <v>16592</v>
      </c>
    </row>
    <row r="1766" spans="1:195">
      <c r="A1766" s="1">
        <v>252500</v>
      </c>
      <c r="B1766" s="1" t="s">
        <v>195</v>
      </c>
      <c r="C1766" s="1" t="str">
        <f>"08718633"</f>
        <v>08718633</v>
      </c>
      <c r="D1766" s="1" t="s">
        <v>196</v>
      </c>
      <c r="F1766" s="1" t="str">
        <f>"134"</f>
        <v>134</v>
      </c>
      <c r="G1766" s="2">
        <v>41886</v>
      </c>
      <c r="H1766" s="1">
        <v>269000</v>
      </c>
      <c r="I1766" s="1">
        <v>264900</v>
      </c>
      <c r="J1766" s="1">
        <v>252500</v>
      </c>
      <c r="K1766" s="2">
        <v>41886</v>
      </c>
      <c r="L1766" s="1">
        <v>122</v>
      </c>
      <c r="M1766" s="2">
        <v>42007</v>
      </c>
      <c r="N1766" s="1">
        <v>122</v>
      </c>
      <c r="O1766" s="2">
        <v>42007</v>
      </c>
      <c r="P1766" s="1">
        <v>25163</v>
      </c>
      <c r="Q1766" s="1" t="s">
        <v>302</v>
      </c>
      <c r="R1766" s="2">
        <v>42045</v>
      </c>
      <c r="S1766" s="1">
        <v>252911</v>
      </c>
      <c r="U1766" s="1">
        <v>200</v>
      </c>
      <c r="V1766" s="1" t="s">
        <v>5295</v>
      </c>
      <c r="W1766" s="1" t="s">
        <v>504</v>
      </c>
      <c r="X1766" s="1">
        <v>309</v>
      </c>
      <c r="Y1766" s="1">
        <v>40</v>
      </c>
      <c r="Z1766" s="1" t="s">
        <v>249</v>
      </c>
      <c r="AA1766" s="1" t="s">
        <v>661</v>
      </c>
      <c r="AB1766" s="1">
        <v>60134</v>
      </c>
      <c r="AD1766" s="1" t="s">
        <v>10856</v>
      </c>
      <c r="AE1766" s="1" t="s">
        <v>16593</v>
      </c>
      <c r="AF1766" s="1">
        <v>2002</v>
      </c>
      <c r="AG1766" s="1" t="s">
        <v>204</v>
      </c>
      <c r="AH1766" s="1" t="s">
        <v>664</v>
      </c>
      <c r="AI1766" s="1" t="s">
        <v>665</v>
      </c>
      <c r="AJ1766" s="1" t="s">
        <v>664</v>
      </c>
      <c r="AL1766" s="1">
        <v>6</v>
      </c>
      <c r="AM1766" s="1">
        <v>2</v>
      </c>
      <c r="AN1766" s="1">
        <v>2</v>
      </c>
      <c r="AO1766" s="1">
        <v>0</v>
      </c>
      <c r="AP1766" s="1" t="s">
        <v>209</v>
      </c>
      <c r="AQ1766" s="1">
        <v>1</v>
      </c>
      <c r="AR1766" s="1" t="s">
        <v>210</v>
      </c>
      <c r="AS1766" s="1" t="s">
        <v>204</v>
      </c>
      <c r="AT1766" s="1" t="s">
        <v>211</v>
      </c>
      <c r="AU1766" s="1">
        <v>1</v>
      </c>
      <c r="AW1766" s="1" t="s">
        <v>204</v>
      </c>
      <c r="AX1766" s="1" t="s">
        <v>212</v>
      </c>
      <c r="AZ1766" s="1">
        <v>7031.3</v>
      </c>
      <c r="BA1766" s="1">
        <v>2013</v>
      </c>
      <c r="BB1766" s="1" t="s">
        <v>405</v>
      </c>
      <c r="BE1766" s="1">
        <v>1581</v>
      </c>
      <c r="BF1766" s="1">
        <v>3</v>
      </c>
      <c r="BG1766" s="1">
        <v>0</v>
      </c>
      <c r="BL1766" s="1">
        <v>346</v>
      </c>
      <c r="BM1766" s="1" t="s">
        <v>204</v>
      </c>
      <c r="BN1766" s="1" t="s">
        <v>213</v>
      </c>
      <c r="BO1766" s="1">
        <v>25</v>
      </c>
      <c r="BP1766" s="1" t="s">
        <v>204</v>
      </c>
      <c r="BR1766" s="1" t="str">
        <f>"1203427049"</f>
        <v>1203427049</v>
      </c>
      <c r="BT1766" s="1" t="s">
        <v>16594</v>
      </c>
      <c r="BX1766" s="1">
        <v>304</v>
      </c>
      <c r="BY1766" s="1">
        <v>304</v>
      </c>
      <c r="BZ1766" s="1">
        <v>304</v>
      </c>
      <c r="CB1766" s="1" t="str">
        <f t="shared" ref="CB1766:CC1766" si="1338">""</f>
        <v/>
      </c>
      <c r="CC1766" s="1" t="str">
        <f t="shared" si="1338"/>
        <v/>
      </c>
      <c r="CG1766" s="1" t="s">
        <v>5899</v>
      </c>
      <c r="CH1766" s="1" t="s">
        <v>219</v>
      </c>
      <c r="CI1766" s="1" t="s">
        <v>438</v>
      </c>
      <c r="CJ1766" s="1" t="s">
        <v>252</v>
      </c>
      <c r="CK1766" s="1" t="s">
        <v>7380</v>
      </c>
      <c r="CL1766" s="1" t="s">
        <v>219</v>
      </c>
      <c r="CM1766" s="1" t="s">
        <v>220</v>
      </c>
      <c r="CN1766" s="1" t="s">
        <v>252</v>
      </c>
      <c r="CO1766" s="1" t="s">
        <v>629</v>
      </c>
      <c r="CP1766" s="1" t="s">
        <v>219</v>
      </c>
      <c r="CQ1766" s="1" t="s">
        <v>438</v>
      </c>
      <c r="CR1766" s="1" t="s">
        <v>210</v>
      </c>
      <c r="CS1766" s="1" t="s">
        <v>379</v>
      </c>
      <c r="CT1766" s="1" t="s">
        <v>219</v>
      </c>
      <c r="CU1766" s="1" t="s">
        <v>220</v>
      </c>
      <c r="CV1766" s="1" t="s">
        <v>252</v>
      </c>
      <c r="CX1766" s="1" t="s">
        <v>224</v>
      </c>
      <c r="DB1766" s="1" t="s">
        <v>224</v>
      </c>
      <c r="DE1766" s="1" t="s">
        <v>281</v>
      </c>
      <c r="DF1766" s="1" t="s">
        <v>219</v>
      </c>
      <c r="DG1766" s="1" t="s">
        <v>438</v>
      </c>
      <c r="DH1766" s="1" t="s">
        <v>252</v>
      </c>
      <c r="DJ1766" s="1" t="s">
        <v>224</v>
      </c>
      <c r="DM1766" s="1" t="s">
        <v>1005</v>
      </c>
      <c r="DN1766" s="1" t="s">
        <v>8453</v>
      </c>
      <c r="DR1766" s="1" t="s">
        <v>465</v>
      </c>
      <c r="DS1766" s="1" t="s">
        <v>219</v>
      </c>
      <c r="DT1766" s="1" t="s">
        <v>438</v>
      </c>
      <c r="DU1766" s="1" t="s">
        <v>210</v>
      </c>
      <c r="DV1766" s="1" t="s">
        <v>951</v>
      </c>
      <c r="DW1766" s="1" t="s">
        <v>219</v>
      </c>
      <c r="DX1766" s="1" t="s">
        <v>347</v>
      </c>
      <c r="DY1766" s="1" t="s">
        <v>210</v>
      </c>
      <c r="EA1766" s="1" t="s">
        <v>230</v>
      </c>
      <c r="EE1766" s="1" t="s">
        <v>230</v>
      </c>
      <c r="EI1766" s="1" t="s">
        <v>230</v>
      </c>
      <c r="EL1766" s="1" t="s">
        <v>466</v>
      </c>
      <c r="EM1766" s="1" t="s">
        <v>319</v>
      </c>
      <c r="EN1766" s="1" t="s">
        <v>282</v>
      </c>
      <c r="EO1766" s="1" t="s">
        <v>234</v>
      </c>
      <c r="EP1766" s="1" t="s">
        <v>2497</v>
      </c>
      <c r="EQ1766" s="1" t="s">
        <v>236</v>
      </c>
      <c r="ER1766" s="1" t="s">
        <v>210</v>
      </c>
      <c r="ES1766" s="1" t="s">
        <v>493</v>
      </c>
      <c r="ET1766" s="1" t="s">
        <v>1201</v>
      </c>
      <c r="EU1766" s="1" t="s">
        <v>712</v>
      </c>
      <c r="EV1766" s="1" t="s">
        <v>240</v>
      </c>
      <c r="EW1766" s="1" t="s">
        <v>3614</v>
      </c>
      <c r="EZ1766" s="1" t="s">
        <v>16595</v>
      </c>
      <c r="FA1766" s="1" t="s">
        <v>1726</v>
      </c>
      <c r="FB1766" s="1" t="s">
        <v>289</v>
      </c>
      <c r="FC1766" s="1" t="s">
        <v>326</v>
      </c>
      <c r="FD1766" s="1" t="s">
        <v>246</v>
      </c>
      <c r="FE1766" s="1" t="s">
        <v>247</v>
      </c>
      <c r="FF1766" s="1" t="s">
        <v>248</v>
      </c>
      <c r="FG1766" s="1" t="s">
        <v>871</v>
      </c>
      <c r="FH1766" s="1" t="s">
        <v>249</v>
      </c>
      <c r="FI1766" s="1" t="s">
        <v>250</v>
      </c>
      <c r="FL1766" s="1" t="s">
        <v>358</v>
      </c>
      <c r="FM1766" s="1" t="s">
        <v>252</v>
      </c>
      <c r="FN1766" s="1" t="s">
        <v>213</v>
      </c>
      <c r="FO1766" s="1" t="s">
        <v>213</v>
      </c>
      <c r="FQ1766" s="1" t="s">
        <v>913</v>
      </c>
      <c r="FR1766" s="1" t="s">
        <v>210</v>
      </c>
      <c r="FS1766" s="1" t="s">
        <v>1008</v>
      </c>
      <c r="FT1766" s="1" t="s">
        <v>295</v>
      </c>
      <c r="FU1766" s="1" t="s">
        <v>204</v>
      </c>
      <c r="FW1766" s="1" t="s">
        <v>915</v>
      </c>
      <c r="FX1766" s="1">
        <v>23591</v>
      </c>
      <c r="FY1766" s="1" t="s">
        <v>1710</v>
      </c>
      <c r="FZ1766" s="1" t="s">
        <v>1711</v>
      </c>
      <c r="GA1766" s="1">
        <v>230506</v>
      </c>
      <c r="GB1766" s="1" t="s">
        <v>1712</v>
      </c>
      <c r="GC1766" s="1">
        <v>230508</v>
      </c>
      <c r="GD1766" s="1" t="s">
        <v>16596</v>
      </c>
      <c r="GE1766" s="1" t="s">
        <v>210</v>
      </c>
      <c r="GH1766" s="1" t="s">
        <v>230</v>
      </c>
      <c r="GI1766" s="1" t="s">
        <v>213</v>
      </c>
      <c r="GJ1766" s="1" t="s">
        <v>260</v>
      </c>
      <c r="GK1766" s="1" t="s">
        <v>210</v>
      </c>
      <c r="GL1766" s="2">
        <v>42045</v>
      </c>
      <c r="GM1766" s="1" t="s">
        <v>16597</v>
      </c>
    </row>
    <row r="1767" spans="1:195">
      <c r="A1767" s="1">
        <v>132500</v>
      </c>
      <c r="B1767" s="1" t="s">
        <v>195</v>
      </c>
      <c r="C1767" s="1" t="str">
        <f>"08736378"</f>
        <v>08736378</v>
      </c>
      <c r="D1767" s="1" t="s">
        <v>196</v>
      </c>
      <c r="F1767" s="1" t="str">
        <f>"104"</f>
        <v>104</v>
      </c>
      <c r="G1767" s="2">
        <v>41906</v>
      </c>
      <c r="H1767" s="1">
        <v>179900</v>
      </c>
      <c r="I1767" s="1">
        <v>139900</v>
      </c>
      <c r="J1767" s="1">
        <v>132500</v>
      </c>
      <c r="K1767" s="2">
        <v>41905</v>
      </c>
      <c r="L1767" s="1">
        <v>158</v>
      </c>
      <c r="M1767" s="2">
        <v>42062</v>
      </c>
      <c r="N1767" s="1">
        <v>158</v>
      </c>
      <c r="O1767" s="2">
        <v>42062</v>
      </c>
      <c r="P1767" s="1">
        <v>8096</v>
      </c>
      <c r="Q1767" s="1" t="s">
        <v>302</v>
      </c>
      <c r="R1767" s="2">
        <v>42093</v>
      </c>
      <c r="S1767" s="1">
        <v>87171</v>
      </c>
      <c r="U1767" s="1">
        <v>1154</v>
      </c>
      <c r="V1767" s="1" t="s">
        <v>12600</v>
      </c>
      <c r="W1767" s="1" t="s">
        <v>1056</v>
      </c>
      <c r="Y1767" s="1">
        <v>6</v>
      </c>
      <c r="Z1767" s="1" t="s">
        <v>370</v>
      </c>
      <c r="AA1767" s="1" t="s">
        <v>371</v>
      </c>
      <c r="AB1767" s="1">
        <v>60103</v>
      </c>
      <c r="AD1767" s="1" t="s">
        <v>14274</v>
      </c>
      <c r="AE1767" s="1" t="s">
        <v>16598</v>
      </c>
      <c r="AF1767" s="1">
        <v>1991</v>
      </c>
      <c r="AG1767" s="1" t="s">
        <v>204</v>
      </c>
      <c r="AH1767" s="1" t="s">
        <v>373</v>
      </c>
      <c r="AI1767" s="1" t="s">
        <v>206</v>
      </c>
      <c r="AJ1767" s="1" t="s">
        <v>2654</v>
      </c>
      <c r="AL1767" s="1">
        <v>5</v>
      </c>
      <c r="AM1767" s="1">
        <v>2</v>
      </c>
      <c r="AN1767" s="1">
        <v>2</v>
      </c>
      <c r="AO1767" s="1">
        <v>1</v>
      </c>
      <c r="AP1767" s="1" t="s">
        <v>209</v>
      </c>
      <c r="AR1767" s="1" t="s">
        <v>1631</v>
      </c>
      <c r="AS1767" s="1" t="s">
        <v>204</v>
      </c>
      <c r="AT1767" s="1" t="s">
        <v>211</v>
      </c>
      <c r="AU1767" s="1">
        <v>2</v>
      </c>
      <c r="AW1767" s="1" t="s">
        <v>204</v>
      </c>
      <c r="AX1767" s="1">
        <v>3050</v>
      </c>
      <c r="AZ1767" s="1">
        <v>5253</v>
      </c>
      <c r="BA1767" s="1">
        <v>2013</v>
      </c>
      <c r="BE1767" s="1">
        <v>1519</v>
      </c>
      <c r="BF1767" s="1">
        <v>1</v>
      </c>
      <c r="BG1767" s="1">
        <v>0</v>
      </c>
      <c r="BL1767" s="1">
        <v>262</v>
      </c>
      <c r="BM1767" s="1" t="s">
        <v>204</v>
      </c>
      <c r="BN1767" s="1" t="s">
        <v>213</v>
      </c>
      <c r="BO1767" s="1">
        <v>999</v>
      </c>
      <c r="BP1767" s="1" t="s">
        <v>204</v>
      </c>
      <c r="BR1767" s="1" t="str">
        <f>"0101427007"</f>
        <v>0101427007</v>
      </c>
      <c r="BT1767" s="1" t="s">
        <v>16599</v>
      </c>
      <c r="BX1767" s="1">
        <v>46</v>
      </c>
      <c r="BY1767" s="1">
        <v>46</v>
      </c>
      <c r="BZ1767" s="1">
        <v>46</v>
      </c>
      <c r="CB1767" s="1" t="str">
        <f t="shared" ref="CB1767:CC1767" si="1339">""</f>
        <v/>
      </c>
      <c r="CC1767" s="1" t="str">
        <f t="shared" si="1339"/>
        <v/>
      </c>
      <c r="CH1767" s="1" t="s">
        <v>224</v>
      </c>
      <c r="CK1767" s="1" t="s">
        <v>1267</v>
      </c>
      <c r="CL1767" s="1" t="s">
        <v>277</v>
      </c>
      <c r="CO1767" s="1" t="s">
        <v>951</v>
      </c>
      <c r="CP1767" s="1" t="s">
        <v>219</v>
      </c>
      <c r="CQ1767" s="1" t="s">
        <v>226</v>
      </c>
      <c r="CS1767" s="1" t="s">
        <v>461</v>
      </c>
      <c r="CT1767" s="1" t="s">
        <v>277</v>
      </c>
      <c r="CX1767" s="1" t="s">
        <v>224</v>
      </c>
      <c r="DB1767" s="1" t="s">
        <v>224</v>
      </c>
      <c r="DE1767" s="1" t="s">
        <v>465</v>
      </c>
      <c r="DF1767" s="1" t="s">
        <v>219</v>
      </c>
      <c r="DG1767" s="1" t="s">
        <v>226</v>
      </c>
      <c r="DI1767" s="1" t="s">
        <v>541</v>
      </c>
      <c r="DJ1767" s="1" t="s">
        <v>219</v>
      </c>
      <c r="DK1767" s="1" t="s">
        <v>220</v>
      </c>
      <c r="DS1767" s="1" t="s">
        <v>230</v>
      </c>
      <c r="DW1767" s="1" t="s">
        <v>230</v>
      </c>
      <c r="EA1767" s="1" t="s">
        <v>230</v>
      </c>
      <c r="EE1767" s="1" t="s">
        <v>230</v>
      </c>
      <c r="EI1767" s="1" t="s">
        <v>230</v>
      </c>
      <c r="EL1767" s="1" t="s">
        <v>382</v>
      </c>
      <c r="EM1767" s="1" t="s">
        <v>319</v>
      </c>
      <c r="EN1767" s="1" t="s">
        <v>282</v>
      </c>
      <c r="EO1767" s="1" t="s">
        <v>234</v>
      </c>
      <c r="ER1767" s="1" t="s">
        <v>351</v>
      </c>
      <c r="EW1767" s="1" t="s">
        <v>353</v>
      </c>
      <c r="EY1767" s="1" t="s">
        <v>242</v>
      </c>
      <c r="EZ1767" s="1" t="s">
        <v>287</v>
      </c>
      <c r="FD1767" s="1" t="s">
        <v>246</v>
      </c>
      <c r="FE1767" s="1" t="s">
        <v>1031</v>
      </c>
      <c r="FF1767" s="1" t="s">
        <v>248</v>
      </c>
      <c r="FH1767" s="1" t="s">
        <v>550</v>
      </c>
      <c r="FI1767" s="1" t="s">
        <v>473</v>
      </c>
      <c r="FL1767" s="1" t="s">
        <v>358</v>
      </c>
      <c r="FM1767" s="1" t="s">
        <v>252</v>
      </c>
      <c r="FN1767" s="1" t="s">
        <v>213</v>
      </c>
      <c r="FO1767" s="1" t="s">
        <v>204</v>
      </c>
      <c r="FQ1767" s="1" t="s">
        <v>16600</v>
      </c>
      <c r="FR1767" s="1" t="s">
        <v>360</v>
      </c>
      <c r="FS1767" s="1" t="s">
        <v>16601</v>
      </c>
      <c r="FT1767" s="1" t="s">
        <v>295</v>
      </c>
      <c r="FU1767" s="1" t="s">
        <v>204</v>
      </c>
      <c r="FW1767" s="1" t="s">
        <v>1388</v>
      </c>
      <c r="FX1767" s="1">
        <v>23948</v>
      </c>
      <c r="FY1767" s="1" t="s">
        <v>1389</v>
      </c>
      <c r="FZ1767" s="1" t="s">
        <v>16602</v>
      </c>
      <c r="GA1767" s="1">
        <v>239505</v>
      </c>
      <c r="GB1767" s="1" t="s">
        <v>16603</v>
      </c>
      <c r="GE1767" s="1" t="s">
        <v>210</v>
      </c>
      <c r="GI1767" s="1" t="s">
        <v>213</v>
      </c>
      <c r="GJ1767" s="1" t="s">
        <v>260</v>
      </c>
      <c r="GK1767" s="1" t="s">
        <v>210</v>
      </c>
      <c r="GL1767" s="2">
        <v>42094</v>
      </c>
      <c r="GM1767" s="1" t="s">
        <v>16604</v>
      </c>
    </row>
    <row r="1768" spans="1:195">
      <c r="A1768" s="1">
        <v>181500</v>
      </c>
      <c r="B1768" s="1" t="s">
        <v>195</v>
      </c>
      <c r="C1768" s="1" t="str">
        <f>"08726884"</f>
        <v>08726884</v>
      </c>
      <c r="D1768" s="1" t="s">
        <v>196</v>
      </c>
      <c r="F1768" s="1" t="str">
        <f>"174"</f>
        <v>174</v>
      </c>
      <c r="G1768" s="2">
        <v>41894</v>
      </c>
      <c r="H1768" s="1">
        <v>184900</v>
      </c>
      <c r="I1768" s="1">
        <v>184900</v>
      </c>
      <c r="J1768" s="1">
        <v>181500</v>
      </c>
      <c r="K1768" s="2">
        <v>41894</v>
      </c>
      <c r="L1768" s="1">
        <v>71</v>
      </c>
      <c r="M1768" s="2">
        <v>41964</v>
      </c>
      <c r="N1768" s="1">
        <v>71</v>
      </c>
      <c r="O1768" s="2">
        <v>41964</v>
      </c>
      <c r="P1768" s="1">
        <v>24695</v>
      </c>
      <c r="Q1768" s="1" t="s">
        <v>423</v>
      </c>
      <c r="R1768" s="2">
        <v>42025</v>
      </c>
      <c r="S1768" s="1">
        <v>242621</v>
      </c>
      <c r="T1768" s="1">
        <v>5430</v>
      </c>
      <c r="U1768" s="1">
        <v>637</v>
      </c>
      <c r="V1768" s="1" t="s">
        <v>8104</v>
      </c>
      <c r="W1768" s="1" t="s">
        <v>526</v>
      </c>
      <c r="Y1768" s="1">
        <v>4</v>
      </c>
      <c r="Z1768" s="1" t="s">
        <v>370</v>
      </c>
      <c r="AA1768" s="1" t="s">
        <v>879</v>
      </c>
      <c r="AB1768" s="1">
        <v>60174</v>
      </c>
      <c r="AD1768" s="1" t="s">
        <v>13747</v>
      </c>
      <c r="AE1768" s="1" t="s">
        <v>16605</v>
      </c>
      <c r="AF1768" s="1">
        <v>1999</v>
      </c>
      <c r="AG1768" s="1" t="s">
        <v>204</v>
      </c>
      <c r="AH1768" s="1" t="s">
        <v>883</v>
      </c>
      <c r="AI1768" s="1" t="s">
        <v>206</v>
      </c>
      <c r="AJ1768" s="1" t="s">
        <v>2654</v>
      </c>
      <c r="AL1768" s="1">
        <v>7</v>
      </c>
      <c r="AM1768" s="1">
        <v>2</v>
      </c>
      <c r="AN1768" s="1">
        <v>2</v>
      </c>
      <c r="AO1768" s="1">
        <v>1</v>
      </c>
      <c r="AP1768" s="1" t="s">
        <v>209</v>
      </c>
      <c r="AQ1768" s="1">
        <v>1</v>
      </c>
      <c r="AR1768" s="1" t="s">
        <v>1483</v>
      </c>
      <c r="AS1768" s="1" t="s">
        <v>204</v>
      </c>
      <c r="AT1768" s="1" t="s">
        <v>211</v>
      </c>
      <c r="AU1768" s="1">
        <v>2</v>
      </c>
      <c r="AW1768" s="1" t="s">
        <v>204</v>
      </c>
      <c r="AX1768" s="1" t="s">
        <v>16606</v>
      </c>
      <c r="AZ1768" s="1">
        <v>5091.6400000000003</v>
      </c>
      <c r="BA1768" s="1">
        <v>2013</v>
      </c>
      <c r="BE1768" s="1">
        <v>1910</v>
      </c>
      <c r="BF1768" s="1">
        <v>1</v>
      </c>
      <c r="BG1768" s="1">
        <v>0</v>
      </c>
      <c r="BL1768" s="1">
        <v>175</v>
      </c>
      <c r="BM1768" s="1" t="s">
        <v>204</v>
      </c>
      <c r="BN1768" s="1" t="s">
        <v>213</v>
      </c>
      <c r="BO1768" s="1">
        <v>999</v>
      </c>
      <c r="BP1768" s="1" t="s">
        <v>204</v>
      </c>
      <c r="BR1768" s="1" t="str">
        <f>"0130103061"</f>
        <v>0130103061</v>
      </c>
      <c r="BT1768" s="1" t="s">
        <v>16607</v>
      </c>
      <c r="BU1768" s="1" t="s">
        <v>8722</v>
      </c>
      <c r="BV1768" s="1" t="s">
        <v>2118</v>
      </c>
      <c r="BW1768" s="1" t="s">
        <v>13750</v>
      </c>
      <c r="BX1768" s="1">
        <v>303</v>
      </c>
      <c r="BY1768" s="1">
        <v>303</v>
      </c>
      <c r="BZ1768" s="1">
        <v>303</v>
      </c>
      <c r="CB1768" s="1" t="str">
        <f t="shared" ref="CB1768:CC1768" si="1340">""</f>
        <v/>
      </c>
      <c r="CC1768" s="1" t="str">
        <f t="shared" si="1340"/>
        <v/>
      </c>
      <c r="CG1768" s="1" t="s">
        <v>1045</v>
      </c>
      <c r="CH1768" s="1" t="s">
        <v>219</v>
      </c>
      <c r="CI1768" s="1" t="s">
        <v>220</v>
      </c>
      <c r="CJ1768" s="1" t="s">
        <v>463</v>
      </c>
      <c r="CK1768" s="1" t="s">
        <v>1178</v>
      </c>
      <c r="CL1768" s="1" t="s">
        <v>277</v>
      </c>
      <c r="CM1768" s="1" t="s">
        <v>220</v>
      </c>
      <c r="CN1768" s="1" t="s">
        <v>439</v>
      </c>
      <c r="CP1768" s="1" t="s">
        <v>224</v>
      </c>
      <c r="CS1768" s="1" t="s">
        <v>465</v>
      </c>
      <c r="CT1768" s="1" t="s">
        <v>277</v>
      </c>
      <c r="CU1768" s="1" t="s">
        <v>220</v>
      </c>
      <c r="CV1768" s="1" t="s">
        <v>439</v>
      </c>
      <c r="CX1768" s="1" t="s">
        <v>224</v>
      </c>
      <c r="DB1768" s="1" t="s">
        <v>224</v>
      </c>
      <c r="DE1768" s="1" t="s">
        <v>1469</v>
      </c>
      <c r="DF1768" s="1" t="s">
        <v>219</v>
      </c>
      <c r="DG1768" s="1" t="s">
        <v>342</v>
      </c>
      <c r="DH1768" s="1" t="s">
        <v>210</v>
      </c>
      <c r="DI1768" s="1" t="s">
        <v>2122</v>
      </c>
      <c r="DJ1768" s="1" t="s">
        <v>822</v>
      </c>
      <c r="DK1768" s="1" t="s">
        <v>220</v>
      </c>
      <c r="DL1768" s="1" t="s">
        <v>1199</v>
      </c>
      <c r="DM1768" s="1" t="s">
        <v>464</v>
      </c>
      <c r="DN1768" s="1" t="s">
        <v>347</v>
      </c>
      <c r="DO1768" s="1" t="s">
        <v>381</v>
      </c>
      <c r="DR1768" s="1" t="s">
        <v>837</v>
      </c>
      <c r="DS1768" s="1" t="s">
        <v>277</v>
      </c>
      <c r="DT1768" s="1" t="s">
        <v>220</v>
      </c>
      <c r="DV1768" s="1" t="s">
        <v>316</v>
      </c>
      <c r="DW1768" s="1" t="s">
        <v>219</v>
      </c>
      <c r="DX1768" s="1" t="s">
        <v>342</v>
      </c>
      <c r="DY1768" s="1" t="s">
        <v>1199</v>
      </c>
      <c r="DZ1768" s="1" t="s">
        <v>316</v>
      </c>
      <c r="EA1768" s="1" t="s">
        <v>219</v>
      </c>
      <c r="EB1768" s="1" t="s">
        <v>342</v>
      </c>
      <c r="EC1768" s="1" t="s">
        <v>1199</v>
      </c>
      <c r="EE1768" s="1" t="s">
        <v>230</v>
      </c>
      <c r="EI1768" s="1" t="s">
        <v>230</v>
      </c>
      <c r="EL1768" s="1" t="s">
        <v>466</v>
      </c>
      <c r="EM1768" s="1" t="s">
        <v>319</v>
      </c>
      <c r="EN1768" s="1" t="s">
        <v>282</v>
      </c>
      <c r="EO1768" s="1" t="s">
        <v>234</v>
      </c>
      <c r="EP1768" s="1" t="s">
        <v>1268</v>
      </c>
      <c r="EQ1768" s="1" t="s">
        <v>236</v>
      </c>
      <c r="ER1768" s="1" t="s">
        <v>544</v>
      </c>
      <c r="ES1768" s="1" t="s">
        <v>865</v>
      </c>
      <c r="EW1768" s="1" t="s">
        <v>353</v>
      </c>
      <c r="EY1768" s="1" t="s">
        <v>242</v>
      </c>
      <c r="EZ1768" s="1" t="s">
        <v>16608</v>
      </c>
      <c r="FA1768" s="1" t="s">
        <v>2622</v>
      </c>
      <c r="FB1768" s="1" t="s">
        <v>289</v>
      </c>
      <c r="FD1768" s="1" t="s">
        <v>246</v>
      </c>
      <c r="FE1768" s="1" t="s">
        <v>975</v>
      </c>
      <c r="FF1768" s="1" t="s">
        <v>248</v>
      </c>
      <c r="FG1768" s="1" t="s">
        <v>871</v>
      </c>
      <c r="FH1768" s="1" t="s">
        <v>550</v>
      </c>
      <c r="FI1768" s="1" t="s">
        <v>473</v>
      </c>
      <c r="FL1768" s="1" t="s">
        <v>358</v>
      </c>
      <c r="FM1768" s="1" t="s">
        <v>252</v>
      </c>
      <c r="FN1768" s="1" t="s">
        <v>213</v>
      </c>
      <c r="FO1768" s="1" t="s">
        <v>213</v>
      </c>
      <c r="FQ1768" s="1" t="s">
        <v>1599</v>
      </c>
      <c r="FR1768" s="1" t="s">
        <v>652</v>
      </c>
      <c r="FS1768" s="1" t="s">
        <v>16609</v>
      </c>
      <c r="FT1768" s="1" t="s">
        <v>362</v>
      </c>
      <c r="FU1768" s="1" t="s">
        <v>204</v>
      </c>
      <c r="FW1768" s="1" t="s">
        <v>2179</v>
      </c>
      <c r="FX1768" s="1">
        <v>22039</v>
      </c>
      <c r="FY1768" s="1" t="s">
        <v>2180</v>
      </c>
      <c r="FZ1768" s="1" t="s">
        <v>12261</v>
      </c>
      <c r="GA1768" s="1">
        <v>253521</v>
      </c>
      <c r="GB1768" s="1" t="s">
        <v>12262</v>
      </c>
      <c r="GC1768" s="1">
        <v>255796</v>
      </c>
      <c r="GE1768" s="1" t="s">
        <v>210</v>
      </c>
      <c r="GI1768" s="1" t="s">
        <v>213</v>
      </c>
      <c r="GJ1768" s="1" t="s">
        <v>260</v>
      </c>
      <c r="GK1768" s="1" t="s">
        <v>210</v>
      </c>
      <c r="GL1768" s="2">
        <v>42026</v>
      </c>
      <c r="GM1768" s="1" t="s">
        <v>16610</v>
      </c>
    </row>
    <row r="1769" spans="1:195">
      <c r="A1769" s="1">
        <v>157000</v>
      </c>
      <c r="B1769" s="1" t="s">
        <v>195</v>
      </c>
      <c r="C1769" s="1" t="str">
        <f>"08721338"</f>
        <v>08721338</v>
      </c>
      <c r="D1769" s="1" t="s">
        <v>196</v>
      </c>
      <c r="F1769" s="1" t="str">
        <f>"8061"</f>
        <v>8061</v>
      </c>
      <c r="G1769" s="2">
        <v>41888</v>
      </c>
      <c r="H1769" s="1">
        <v>157000</v>
      </c>
      <c r="I1769" s="1">
        <v>157000</v>
      </c>
      <c r="J1769" s="1">
        <v>157000</v>
      </c>
      <c r="K1769" s="2">
        <v>41888</v>
      </c>
      <c r="L1769" s="1">
        <v>52</v>
      </c>
      <c r="M1769" s="2">
        <v>41939</v>
      </c>
      <c r="N1769" s="1">
        <v>52</v>
      </c>
      <c r="O1769" s="2">
        <v>41939</v>
      </c>
      <c r="P1769" s="1">
        <v>16734</v>
      </c>
      <c r="Q1769" s="1" t="s">
        <v>197</v>
      </c>
      <c r="R1769" s="2">
        <v>41975</v>
      </c>
      <c r="S1769" s="1">
        <v>848484</v>
      </c>
      <c r="U1769" s="1">
        <v>2323</v>
      </c>
      <c r="V1769" s="1" t="s">
        <v>16611</v>
      </c>
      <c r="W1769" s="1" t="s">
        <v>1056</v>
      </c>
      <c r="X1769" s="1">
        <v>409</v>
      </c>
      <c r="Y1769" s="1">
        <v>163</v>
      </c>
      <c r="Z1769" s="1" t="s">
        <v>249</v>
      </c>
      <c r="AA1769" s="1" t="s">
        <v>400</v>
      </c>
      <c r="AB1769" s="1">
        <v>60609</v>
      </c>
      <c r="AE1769" s="1" t="s">
        <v>16612</v>
      </c>
      <c r="AF1769" s="1">
        <v>1942</v>
      </c>
      <c r="AG1769" s="1" t="s">
        <v>213</v>
      </c>
      <c r="AH1769" s="1" t="s">
        <v>403</v>
      </c>
      <c r="AI1769" s="1" t="s">
        <v>310</v>
      </c>
      <c r="AJ1769" s="1" t="s">
        <v>562</v>
      </c>
      <c r="AL1769" s="1">
        <v>5</v>
      </c>
      <c r="AM1769" s="1">
        <v>2</v>
      </c>
      <c r="AN1769" s="1">
        <v>2</v>
      </c>
      <c r="AO1769" s="1">
        <v>0</v>
      </c>
      <c r="AP1769" s="1" t="s">
        <v>209</v>
      </c>
      <c r="AR1769" s="1" t="s">
        <v>210</v>
      </c>
      <c r="AS1769" s="1" t="s">
        <v>204</v>
      </c>
      <c r="AT1769" s="1" t="s">
        <v>271</v>
      </c>
      <c r="AV1769" s="1">
        <v>1</v>
      </c>
      <c r="AW1769" s="1" t="s">
        <v>204</v>
      </c>
      <c r="AX1769" s="1" t="s">
        <v>212</v>
      </c>
      <c r="AZ1769" s="1">
        <v>1822</v>
      </c>
      <c r="BA1769" s="1">
        <v>2013</v>
      </c>
      <c r="BE1769" s="1">
        <v>1190</v>
      </c>
      <c r="BF1769" s="1">
        <v>4</v>
      </c>
      <c r="BG1769" s="1">
        <v>0</v>
      </c>
      <c r="BL1769" s="1">
        <v>384</v>
      </c>
      <c r="BM1769" s="1" t="s">
        <v>204</v>
      </c>
      <c r="BN1769" s="1" t="s">
        <v>213</v>
      </c>
      <c r="BO1769" s="1" t="s">
        <v>5814</v>
      </c>
      <c r="BP1769" s="1" t="s">
        <v>204</v>
      </c>
      <c r="BR1769" s="1" t="str">
        <f>"20061001231114"</f>
        <v>20061001231114</v>
      </c>
      <c r="BT1769" s="1" t="s">
        <v>16613</v>
      </c>
      <c r="BX1769" s="1">
        <v>299</v>
      </c>
      <c r="BY1769" s="1">
        <v>299</v>
      </c>
      <c r="BZ1769" s="1">
        <v>299</v>
      </c>
      <c r="CB1769" s="1" t="str">
        <f t="shared" ref="CB1769:CC1769" si="1341">"0"</f>
        <v>0</v>
      </c>
      <c r="CC1769" s="1" t="str">
        <f t="shared" si="1341"/>
        <v>0</v>
      </c>
      <c r="CD1769" s="1">
        <v>2323</v>
      </c>
      <c r="CE1769" s="1">
        <v>3900</v>
      </c>
      <c r="CG1769" s="1" t="s">
        <v>16614</v>
      </c>
      <c r="CH1769" s="1" t="s">
        <v>219</v>
      </c>
      <c r="CI1769" s="1" t="s">
        <v>438</v>
      </c>
      <c r="CJ1769" s="1" t="s">
        <v>439</v>
      </c>
      <c r="CK1769" s="1" t="s">
        <v>378</v>
      </c>
      <c r="CL1769" s="1" t="s">
        <v>219</v>
      </c>
      <c r="CM1769" s="1" t="s">
        <v>220</v>
      </c>
      <c r="CO1769" s="1" t="s">
        <v>629</v>
      </c>
      <c r="CP1769" s="1" t="s">
        <v>219</v>
      </c>
      <c r="CS1769" s="1" t="s">
        <v>1046</v>
      </c>
      <c r="CT1769" s="1" t="s">
        <v>219</v>
      </c>
      <c r="CU1769" s="1" t="s">
        <v>220</v>
      </c>
      <c r="CX1769" s="1" t="s">
        <v>224</v>
      </c>
      <c r="DB1769" s="1" t="s">
        <v>224</v>
      </c>
      <c r="DE1769" s="1" t="s">
        <v>8909</v>
      </c>
      <c r="DF1769" s="1" t="s">
        <v>219</v>
      </c>
      <c r="DG1769" s="1" t="s">
        <v>438</v>
      </c>
      <c r="DJ1769" s="1" t="s">
        <v>224</v>
      </c>
      <c r="DM1769" s="1" t="s">
        <v>3011</v>
      </c>
      <c r="DO1769" s="1" t="s">
        <v>838</v>
      </c>
      <c r="DR1769" s="1" t="s">
        <v>7164</v>
      </c>
      <c r="DS1769" s="1" t="s">
        <v>685</v>
      </c>
      <c r="DW1769" s="1" t="s">
        <v>230</v>
      </c>
      <c r="DZ1769" s="1" t="s">
        <v>16615</v>
      </c>
      <c r="EA1769" s="1" t="s">
        <v>685</v>
      </c>
      <c r="EE1769" s="1" t="s">
        <v>230</v>
      </c>
      <c r="EI1769" s="1" t="s">
        <v>230</v>
      </c>
      <c r="EL1769" s="1" t="s">
        <v>440</v>
      </c>
      <c r="EM1769" s="1" t="s">
        <v>232</v>
      </c>
      <c r="EN1769" s="1" t="s">
        <v>282</v>
      </c>
      <c r="EO1769" s="1" t="s">
        <v>234</v>
      </c>
      <c r="EP1769" s="1" t="s">
        <v>16616</v>
      </c>
      <c r="EQ1769" s="1" t="s">
        <v>236</v>
      </c>
      <c r="ER1769" s="1" t="s">
        <v>210</v>
      </c>
      <c r="ES1769" s="1" t="s">
        <v>493</v>
      </c>
      <c r="EV1769" s="1" t="s">
        <v>240</v>
      </c>
      <c r="EW1769" s="1" t="s">
        <v>16617</v>
      </c>
      <c r="EY1769" s="1" t="s">
        <v>790</v>
      </c>
      <c r="EZ1769" s="1" t="s">
        <v>16618</v>
      </c>
      <c r="FA1769" s="1" t="s">
        <v>16619</v>
      </c>
      <c r="FB1769" s="1" t="s">
        <v>1755</v>
      </c>
      <c r="FC1769" s="1" t="s">
        <v>1386</v>
      </c>
      <c r="FD1769" s="1" t="s">
        <v>246</v>
      </c>
      <c r="FE1769" s="1" t="s">
        <v>10891</v>
      </c>
      <c r="FF1769" s="1" t="s">
        <v>248</v>
      </c>
      <c r="FH1769" s="1" t="s">
        <v>1824</v>
      </c>
      <c r="FK1769" s="1" t="s">
        <v>2309</v>
      </c>
      <c r="FL1769" s="1" t="s">
        <v>14822</v>
      </c>
      <c r="FM1769" s="1" t="s">
        <v>252</v>
      </c>
      <c r="FN1769" s="1" t="s">
        <v>213</v>
      </c>
      <c r="FO1769" s="1" t="s">
        <v>213</v>
      </c>
      <c r="FQ1769" s="1" t="s">
        <v>2142</v>
      </c>
      <c r="FR1769" s="1" t="s">
        <v>210</v>
      </c>
      <c r="FS1769" s="1" t="s">
        <v>16620</v>
      </c>
      <c r="FT1769" s="1" t="s">
        <v>295</v>
      </c>
      <c r="FU1769" s="1" t="s">
        <v>204</v>
      </c>
      <c r="FW1769" s="1" t="s">
        <v>16621</v>
      </c>
      <c r="FX1769" s="1">
        <v>16997</v>
      </c>
      <c r="FY1769" s="1" t="s">
        <v>16622</v>
      </c>
      <c r="FZ1769" s="1" t="s">
        <v>16623</v>
      </c>
      <c r="GA1769" s="1">
        <v>161837</v>
      </c>
      <c r="GB1769" s="1" t="s">
        <v>16624</v>
      </c>
      <c r="GE1769" s="1" t="s">
        <v>210</v>
      </c>
      <c r="GH1769" s="1" t="s">
        <v>589</v>
      </c>
      <c r="GI1769" s="1" t="s">
        <v>213</v>
      </c>
      <c r="GJ1769" s="1" t="s">
        <v>260</v>
      </c>
      <c r="GK1769" s="1" t="s">
        <v>210</v>
      </c>
      <c r="GL1769" s="2">
        <v>41976</v>
      </c>
      <c r="GM1769" s="1" t="s">
        <v>16625</v>
      </c>
    </row>
    <row r="1770" spans="1:195">
      <c r="A1770" s="1">
        <v>227000</v>
      </c>
      <c r="B1770" s="1" t="s">
        <v>195</v>
      </c>
      <c r="C1770" s="1" t="str">
        <f>"08719031"</f>
        <v>08719031</v>
      </c>
      <c r="D1770" s="1" t="s">
        <v>196</v>
      </c>
      <c r="F1770" s="1" t="str">
        <f>"61"</f>
        <v>61</v>
      </c>
      <c r="G1770" s="2">
        <v>41886</v>
      </c>
      <c r="H1770" s="1">
        <v>254900</v>
      </c>
      <c r="I1770" s="1">
        <v>249900</v>
      </c>
      <c r="J1770" s="1">
        <v>227000</v>
      </c>
      <c r="K1770" s="2">
        <v>41884</v>
      </c>
      <c r="L1770" s="1">
        <v>81</v>
      </c>
      <c r="M1770" s="2">
        <v>41964</v>
      </c>
      <c r="N1770" s="1">
        <v>81</v>
      </c>
      <c r="O1770" s="2">
        <v>41964</v>
      </c>
      <c r="P1770" s="1">
        <v>2648</v>
      </c>
      <c r="Q1770" s="1" t="s">
        <v>197</v>
      </c>
      <c r="R1770" s="2">
        <v>42020</v>
      </c>
      <c r="S1770" s="1">
        <v>12638</v>
      </c>
      <c r="U1770" s="1">
        <v>1152</v>
      </c>
      <c r="V1770" s="1" t="s">
        <v>4351</v>
      </c>
      <c r="W1770" s="1" t="s">
        <v>3006</v>
      </c>
      <c r="X1770" s="7">
        <v>42218</v>
      </c>
      <c r="Y1770" s="1">
        <v>4</v>
      </c>
      <c r="Z1770" s="1" t="s">
        <v>249</v>
      </c>
      <c r="AA1770" s="1" t="s">
        <v>505</v>
      </c>
      <c r="AB1770" s="1">
        <v>60061</v>
      </c>
      <c r="AD1770" s="1" t="s">
        <v>16518</v>
      </c>
      <c r="AE1770" s="1" t="s">
        <v>16626</v>
      </c>
      <c r="AF1770" s="1">
        <v>1997</v>
      </c>
      <c r="AG1770" s="1" t="s">
        <v>204</v>
      </c>
      <c r="AH1770" s="1" t="s">
        <v>508</v>
      </c>
      <c r="AI1770" s="1" t="s">
        <v>509</v>
      </c>
      <c r="AJ1770" s="1" t="s">
        <v>510</v>
      </c>
      <c r="AK1770" s="1" t="s">
        <v>3067</v>
      </c>
      <c r="AL1770" s="1">
        <v>5</v>
      </c>
      <c r="AM1770" s="1">
        <v>2</v>
      </c>
      <c r="AN1770" s="1">
        <v>2</v>
      </c>
      <c r="AO1770" s="1">
        <v>0</v>
      </c>
      <c r="AP1770" s="1" t="s">
        <v>209</v>
      </c>
      <c r="AQ1770" s="1">
        <v>1</v>
      </c>
      <c r="AR1770" s="1" t="s">
        <v>210</v>
      </c>
      <c r="AT1770" s="1" t="s">
        <v>211</v>
      </c>
      <c r="AU1770" s="1">
        <v>2</v>
      </c>
      <c r="AW1770" s="1" t="s">
        <v>204</v>
      </c>
      <c r="AX1770" s="1" t="s">
        <v>579</v>
      </c>
      <c r="AZ1770" s="1">
        <v>5791.59</v>
      </c>
      <c r="BA1770" s="1">
        <v>2013</v>
      </c>
      <c r="BB1770" s="1" t="s">
        <v>405</v>
      </c>
      <c r="BE1770" s="1">
        <v>1522</v>
      </c>
      <c r="BF1770" s="1">
        <v>1</v>
      </c>
      <c r="BG1770" s="1">
        <v>0</v>
      </c>
      <c r="BL1770" s="1">
        <v>203</v>
      </c>
      <c r="BM1770" s="1" t="s">
        <v>204</v>
      </c>
      <c r="BN1770" s="1" t="s">
        <v>213</v>
      </c>
      <c r="BO1770" s="1">
        <v>0</v>
      </c>
      <c r="BP1770" s="1" t="s">
        <v>204</v>
      </c>
      <c r="BR1770" s="1" t="str">
        <f>"15151020430000"</f>
        <v>15151020430000</v>
      </c>
      <c r="BT1770" s="1" t="s">
        <v>16627</v>
      </c>
      <c r="BU1770" s="1" t="s">
        <v>16521</v>
      </c>
      <c r="BV1770" s="1" t="s">
        <v>16522</v>
      </c>
      <c r="BW1770" s="1" t="s">
        <v>1532</v>
      </c>
      <c r="BX1770" s="1">
        <v>103</v>
      </c>
      <c r="BY1770" s="1">
        <v>103</v>
      </c>
      <c r="BZ1770" s="1">
        <v>125</v>
      </c>
      <c r="CB1770" s="1" t="str">
        <f>"23"</f>
        <v>23</v>
      </c>
      <c r="CC1770" s="1" t="str">
        <f>""</f>
        <v/>
      </c>
      <c r="CD1770" s="1">
        <v>15</v>
      </c>
      <c r="CG1770" s="1" t="s">
        <v>378</v>
      </c>
      <c r="CH1770" s="1" t="s">
        <v>219</v>
      </c>
      <c r="CI1770" s="1" t="s">
        <v>220</v>
      </c>
      <c r="CK1770" s="1" t="s">
        <v>462</v>
      </c>
      <c r="CL1770" s="1" t="s">
        <v>219</v>
      </c>
      <c r="CM1770" s="1" t="s">
        <v>220</v>
      </c>
      <c r="CO1770" s="1" t="s">
        <v>1995</v>
      </c>
      <c r="CP1770" s="1" t="s">
        <v>219</v>
      </c>
      <c r="CQ1770" s="1" t="s">
        <v>220</v>
      </c>
      <c r="CS1770" s="1" t="s">
        <v>317</v>
      </c>
      <c r="CT1770" s="1" t="s">
        <v>219</v>
      </c>
      <c r="CU1770" s="1" t="s">
        <v>220</v>
      </c>
      <c r="CX1770" s="1" t="s">
        <v>224</v>
      </c>
      <c r="DB1770" s="1" t="s">
        <v>224</v>
      </c>
      <c r="DE1770" s="1" t="s">
        <v>1403</v>
      </c>
      <c r="DF1770" s="1" t="s">
        <v>219</v>
      </c>
      <c r="DG1770" s="1" t="s">
        <v>226</v>
      </c>
      <c r="DJ1770" s="1" t="s">
        <v>224</v>
      </c>
      <c r="DS1770" s="1" t="s">
        <v>230</v>
      </c>
      <c r="DW1770" s="1" t="s">
        <v>230</v>
      </c>
      <c r="EA1770" s="1" t="s">
        <v>230</v>
      </c>
      <c r="EE1770" s="1" t="s">
        <v>230</v>
      </c>
      <c r="EI1770" s="1" t="s">
        <v>230</v>
      </c>
      <c r="EL1770" s="1" t="s">
        <v>670</v>
      </c>
      <c r="EM1770" s="1" t="s">
        <v>319</v>
      </c>
      <c r="EN1770" s="1" t="s">
        <v>282</v>
      </c>
      <c r="EO1770" s="1" t="s">
        <v>234</v>
      </c>
      <c r="EP1770" s="1" t="s">
        <v>1268</v>
      </c>
      <c r="EQ1770" s="1" t="s">
        <v>492</v>
      </c>
      <c r="ER1770" s="1" t="s">
        <v>210</v>
      </c>
      <c r="ES1770" s="1" t="s">
        <v>16628</v>
      </c>
      <c r="ET1770" s="1" t="s">
        <v>1404</v>
      </c>
      <c r="EU1770" s="1" t="s">
        <v>239</v>
      </c>
      <c r="EV1770" s="1" t="s">
        <v>240</v>
      </c>
      <c r="EW1770" s="1" t="s">
        <v>887</v>
      </c>
      <c r="EY1770" s="1" t="s">
        <v>242</v>
      </c>
      <c r="EZ1770" s="1" t="s">
        <v>287</v>
      </c>
      <c r="FA1770" s="1" t="s">
        <v>16629</v>
      </c>
      <c r="FB1770" s="1" t="s">
        <v>289</v>
      </c>
      <c r="FC1770" s="1" t="s">
        <v>633</v>
      </c>
      <c r="FD1770" s="1" t="s">
        <v>495</v>
      </c>
      <c r="FE1770" s="1" t="s">
        <v>386</v>
      </c>
      <c r="FF1770" s="1" t="s">
        <v>387</v>
      </c>
      <c r="FG1770" s="1" t="s">
        <v>2739</v>
      </c>
      <c r="FH1770" s="1" t="s">
        <v>249</v>
      </c>
      <c r="FI1770" s="1" t="s">
        <v>473</v>
      </c>
      <c r="FJ1770" s="1" t="s">
        <v>197</v>
      </c>
      <c r="FL1770" s="1" t="s">
        <v>358</v>
      </c>
      <c r="FM1770" s="1" t="s">
        <v>252</v>
      </c>
      <c r="FN1770" s="1" t="s">
        <v>213</v>
      </c>
      <c r="FO1770" s="1" t="s">
        <v>213</v>
      </c>
      <c r="FQ1770" s="1" t="s">
        <v>16630</v>
      </c>
      <c r="FR1770" s="1" t="s">
        <v>411</v>
      </c>
      <c r="FS1770" s="1" t="s">
        <v>2871</v>
      </c>
      <c r="FT1770" s="1" t="s">
        <v>16631</v>
      </c>
      <c r="FU1770" s="1" t="s">
        <v>204</v>
      </c>
      <c r="FW1770" s="1" t="s">
        <v>256</v>
      </c>
      <c r="FX1770" s="1">
        <v>2648</v>
      </c>
      <c r="FY1770" s="1" t="s">
        <v>1022</v>
      </c>
      <c r="FZ1770" s="1" t="s">
        <v>16632</v>
      </c>
      <c r="GA1770" s="1">
        <v>12638</v>
      </c>
      <c r="GB1770" s="1" t="s">
        <v>16633</v>
      </c>
      <c r="GD1770" s="1" t="s">
        <v>16634</v>
      </c>
      <c r="GE1770" s="1" t="s">
        <v>210</v>
      </c>
      <c r="GI1770" s="1" t="s">
        <v>213</v>
      </c>
      <c r="GJ1770" s="1" t="s">
        <v>260</v>
      </c>
      <c r="GK1770" s="1" t="s">
        <v>210</v>
      </c>
      <c r="GL1770" s="2">
        <v>42020</v>
      </c>
      <c r="GM1770" s="1" t="s">
        <v>16635</v>
      </c>
    </row>
    <row r="1771" spans="1:195">
      <c r="A1771" s="1">
        <v>175000</v>
      </c>
      <c r="B1771" s="1" t="s">
        <v>195</v>
      </c>
      <c r="C1771" s="1" t="str">
        <f>"08713398"</f>
        <v>08713398</v>
      </c>
      <c r="D1771" s="1" t="s">
        <v>196</v>
      </c>
      <c r="F1771" s="1" t="str">
        <f>"148"</f>
        <v>148</v>
      </c>
      <c r="G1771" s="2">
        <v>41879</v>
      </c>
      <c r="H1771" s="1">
        <v>189000</v>
      </c>
      <c r="I1771" s="1">
        <v>179900</v>
      </c>
      <c r="J1771" s="1">
        <v>175000</v>
      </c>
      <c r="K1771" s="2">
        <v>41879</v>
      </c>
      <c r="L1771" s="1">
        <v>115</v>
      </c>
      <c r="M1771" s="2">
        <v>41993</v>
      </c>
      <c r="N1771" s="1">
        <v>115</v>
      </c>
      <c r="O1771" s="2">
        <v>41993</v>
      </c>
      <c r="P1771" s="1" t="s">
        <v>1039</v>
      </c>
      <c r="Q1771" s="1" t="s">
        <v>197</v>
      </c>
      <c r="R1771" s="2">
        <v>42032</v>
      </c>
      <c r="S1771" s="1">
        <v>99999</v>
      </c>
      <c r="U1771" s="1">
        <v>1102</v>
      </c>
      <c r="V1771" s="1" t="s">
        <v>14706</v>
      </c>
      <c r="W1771" s="1" t="s">
        <v>425</v>
      </c>
      <c r="Y1771" s="1">
        <v>4</v>
      </c>
      <c r="Z1771" s="1" t="s">
        <v>249</v>
      </c>
      <c r="AA1771" s="1" t="s">
        <v>1927</v>
      </c>
      <c r="AB1771" s="1">
        <v>60148</v>
      </c>
      <c r="AD1771" s="1" t="s">
        <v>14125</v>
      </c>
      <c r="AE1771" s="1" t="s">
        <v>16636</v>
      </c>
      <c r="AF1771" s="1">
        <v>1993</v>
      </c>
      <c r="AG1771" s="1" t="s">
        <v>204</v>
      </c>
      <c r="AH1771" s="1" t="s">
        <v>1930</v>
      </c>
      <c r="AI1771" s="1" t="s">
        <v>206</v>
      </c>
      <c r="AJ1771" s="1" t="s">
        <v>1608</v>
      </c>
      <c r="AL1771" s="1">
        <v>5</v>
      </c>
      <c r="AM1771" s="1">
        <v>2</v>
      </c>
      <c r="AN1771" s="1">
        <v>2</v>
      </c>
      <c r="AO1771" s="1">
        <v>1</v>
      </c>
      <c r="AP1771" s="1" t="s">
        <v>209</v>
      </c>
      <c r="AR1771" s="1" t="s">
        <v>210</v>
      </c>
      <c r="AT1771" s="1" t="s">
        <v>211</v>
      </c>
      <c r="AU1771" s="1">
        <v>1</v>
      </c>
      <c r="AW1771" s="1" t="s">
        <v>213</v>
      </c>
      <c r="AX1771" s="1" t="s">
        <v>212</v>
      </c>
      <c r="AZ1771" s="1">
        <v>3814.98</v>
      </c>
      <c r="BA1771" s="1">
        <v>2013</v>
      </c>
      <c r="BE1771" s="1">
        <v>1079</v>
      </c>
      <c r="BF1771" s="1">
        <v>1</v>
      </c>
      <c r="BG1771" s="1">
        <v>0</v>
      </c>
      <c r="BL1771" s="1">
        <v>172</v>
      </c>
      <c r="BM1771" s="1" t="s">
        <v>204</v>
      </c>
      <c r="BN1771" s="1" t="s">
        <v>213</v>
      </c>
      <c r="BO1771" s="1">
        <v>999</v>
      </c>
      <c r="BP1771" s="1" t="s">
        <v>204</v>
      </c>
      <c r="BR1771" s="1" t="str">
        <f>"0616119163"</f>
        <v>0616119163</v>
      </c>
      <c r="BT1771" s="1" t="s">
        <v>16637</v>
      </c>
      <c r="BU1771" s="1" t="s">
        <v>8567</v>
      </c>
      <c r="BV1771" s="1" t="s">
        <v>2200</v>
      </c>
      <c r="BW1771" s="1" t="s">
        <v>2201</v>
      </c>
      <c r="BX1771" s="1">
        <v>45</v>
      </c>
      <c r="BY1771" s="1">
        <v>45</v>
      </c>
      <c r="BZ1771" s="1">
        <v>88</v>
      </c>
      <c r="CB1771" s="1" t="str">
        <f t="shared" ref="CB1771:CC1771" si="1342">""</f>
        <v/>
      </c>
      <c r="CC1771" s="1" t="str">
        <f t="shared" si="1342"/>
        <v/>
      </c>
      <c r="CG1771" s="1" t="s">
        <v>1045</v>
      </c>
      <c r="CH1771" s="1" t="s">
        <v>219</v>
      </c>
      <c r="CI1771" s="1" t="s">
        <v>229</v>
      </c>
      <c r="CK1771" s="1" t="s">
        <v>932</v>
      </c>
      <c r="CL1771" s="1" t="s">
        <v>277</v>
      </c>
      <c r="CM1771" s="1" t="s">
        <v>229</v>
      </c>
      <c r="CO1771" s="1" t="s">
        <v>3284</v>
      </c>
      <c r="CP1771" s="1" t="s">
        <v>219</v>
      </c>
      <c r="CQ1771" s="1" t="s">
        <v>229</v>
      </c>
      <c r="CS1771" s="1" t="s">
        <v>1046</v>
      </c>
      <c r="CT1771" s="1" t="s">
        <v>277</v>
      </c>
      <c r="CU1771" s="1" t="s">
        <v>229</v>
      </c>
      <c r="CX1771" s="1" t="s">
        <v>224</v>
      </c>
      <c r="DB1771" s="1" t="s">
        <v>224</v>
      </c>
      <c r="DE1771" s="1" t="s">
        <v>821</v>
      </c>
      <c r="DF1771" s="1" t="s">
        <v>219</v>
      </c>
      <c r="DG1771" s="1" t="s">
        <v>229</v>
      </c>
      <c r="DJ1771" s="1" t="s">
        <v>224</v>
      </c>
      <c r="DS1771" s="1" t="s">
        <v>230</v>
      </c>
      <c r="DW1771" s="1" t="s">
        <v>230</v>
      </c>
      <c r="EA1771" s="1" t="s">
        <v>230</v>
      </c>
      <c r="EE1771" s="1" t="s">
        <v>230</v>
      </c>
      <c r="EI1771" s="1" t="s">
        <v>230</v>
      </c>
      <c r="EL1771" s="1" t="s">
        <v>382</v>
      </c>
      <c r="EM1771" s="1" t="s">
        <v>232</v>
      </c>
      <c r="EN1771" s="1" t="s">
        <v>282</v>
      </c>
      <c r="EO1771" s="1" t="s">
        <v>234</v>
      </c>
      <c r="EQ1771" s="1" t="s">
        <v>5020</v>
      </c>
      <c r="ER1771" s="1" t="s">
        <v>210</v>
      </c>
      <c r="ES1771" s="1" t="s">
        <v>3932</v>
      </c>
      <c r="EV1771" s="1" t="s">
        <v>240</v>
      </c>
      <c r="EW1771" s="1" t="s">
        <v>887</v>
      </c>
      <c r="EZ1771" s="1" t="s">
        <v>287</v>
      </c>
      <c r="FB1771" s="1" t="s">
        <v>289</v>
      </c>
      <c r="FD1771" s="1" t="s">
        <v>246</v>
      </c>
      <c r="FE1771" s="1" t="s">
        <v>472</v>
      </c>
      <c r="FF1771" s="1" t="s">
        <v>248</v>
      </c>
      <c r="FH1771" s="1" t="s">
        <v>550</v>
      </c>
      <c r="FJ1771" s="1" t="s">
        <v>197</v>
      </c>
      <c r="FL1771" s="1" t="s">
        <v>358</v>
      </c>
      <c r="FM1771" s="1" t="s">
        <v>252</v>
      </c>
      <c r="FN1771" s="1" t="s">
        <v>213</v>
      </c>
      <c r="FO1771" s="1" t="s">
        <v>213</v>
      </c>
      <c r="FQ1771" s="1" t="s">
        <v>793</v>
      </c>
      <c r="FR1771" s="1" t="s">
        <v>210</v>
      </c>
      <c r="FS1771" s="1" t="s">
        <v>16638</v>
      </c>
      <c r="FT1771" s="1" t="s">
        <v>295</v>
      </c>
      <c r="FU1771" s="1" t="s">
        <v>204</v>
      </c>
      <c r="FW1771" s="1" t="s">
        <v>915</v>
      </c>
      <c r="FX1771" s="1">
        <v>24071</v>
      </c>
      <c r="FY1771" s="1" t="s">
        <v>2208</v>
      </c>
      <c r="FZ1771" s="1" t="s">
        <v>16639</v>
      </c>
      <c r="GA1771" s="1">
        <v>245418</v>
      </c>
      <c r="GB1771" s="1" t="s">
        <v>16640</v>
      </c>
      <c r="GE1771" s="1" t="s">
        <v>210</v>
      </c>
      <c r="GH1771" s="1" t="s">
        <v>800</v>
      </c>
      <c r="GI1771" s="1" t="s">
        <v>213</v>
      </c>
      <c r="GJ1771" s="1" t="s">
        <v>260</v>
      </c>
      <c r="GK1771" s="1" t="s">
        <v>210</v>
      </c>
      <c r="GL1771" s="2">
        <v>42032</v>
      </c>
      <c r="GM1771" s="1" t="s">
        <v>16641</v>
      </c>
    </row>
    <row r="1772" spans="1:195">
      <c r="A1772" s="1">
        <v>124900</v>
      </c>
      <c r="B1772" s="1" t="s">
        <v>195</v>
      </c>
      <c r="C1772" s="1" t="str">
        <f>"08712112"</f>
        <v>08712112</v>
      </c>
      <c r="D1772" s="1" t="s">
        <v>196</v>
      </c>
      <c r="F1772" s="1" t="str">
        <f>"513"</f>
        <v>513</v>
      </c>
      <c r="G1772" s="2">
        <v>41877</v>
      </c>
      <c r="H1772" s="1">
        <v>124900</v>
      </c>
      <c r="I1772" s="1">
        <v>124900</v>
      </c>
      <c r="J1772" s="1">
        <v>124900</v>
      </c>
      <c r="K1772" s="2">
        <v>41877</v>
      </c>
      <c r="L1772" s="1">
        <v>29</v>
      </c>
      <c r="M1772" s="2">
        <v>41905</v>
      </c>
      <c r="N1772" s="1">
        <v>29</v>
      </c>
      <c r="O1772" s="2">
        <v>41905</v>
      </c>
      <c r="P1772" s="1">
        <v>23265</v>
      </c>
      <c r="Q1772" s="1" t="s">
        <v>197</v>
      </c>
      <c r="R1772" s="2">
        <v>41969</v>
      </c>
      <c r="S1772" s="1">
        <v>239651</v>
      </c>
      <c r="U1772" s="1">
        <v>4031</v>
      </c>
      <c r="V1772" s="1" t="s">
        <v>8446</v>
      </c>
      <c r="W1772" s="1" t="s">
        <v>425</v>
      </c>
      <c r="X1772" s="1">
        <v>4031</v>
      </c>
      <c r="Y1772" s="1">
        <v>2</v>
      </c>
      <c r="Z1772" s="1" t="s">
        <v>200</v>
      </c>
      <c r="AA1772" s="1" t="s">
        <v>644</v>
      </c>
      <c r="AB1772" s="1">
        <v>60513</v>
      </c>
      <c r="AE1772" s="1" t="s">
        <v>16642</v>
      </c>
      <c r="AF1772" s="1">
        <v>1944</v>
      </c>
      <c r="AG1772" s="1" t="s">
        <v>213</v>
      </c>
      <c r="AH1772" s="1" t="s">
        <v>646</v>
      </c>
      <c r="AI1772" s="1" t="s">
        <v>310</v>
      </c>
      <c r="AJ1772" s="1" t="s">
        <v>702</v>
      </c>
      <c r="AL1772" s="1">
        <v>5</v>
      </c>
      <c r="AM1772" s="1">
        <v>2</v>
      </c>
      <c r="AN1772" s="1">
        <v>1</v>
      </c>
      <c r="AO1772" s="1">
        <v>0</v>
      </c>
      <c r="AP1772" s="1" t="s">
        <v>210</v>
      </c>
      <c r="AR1772" s="1" t="s">
        <v>209</v>
      </c>
      <c r="AS1772" s="1" t="s">
        <v>204</v>
      </c>
      <c r="AT1772" s="1" t="s">
        <v>211</v>
      </c>
      <c r="AU1772" s="1">
        <v>2</v>
      </c>
      <c r="AW1772" s="1" t="s">
        <v>204</v>
      </c>
      <c r="AX1772" s="1" t="s">
        <v>16643</v>
      </c>
      <c r="AZ1772" s="1">
        <v>4198</v>
      </c>
      <c r="BA1772" s="1">
        <v>2012</v>
      </c>
      <c r="BB1772" s="1" t="s">
        <v>210</v>
      </c>
      <c r="BE1772" s="1">
        <v>1000</v>
      </c>
      <c r="BF1772" s="1">
        <v>1</v>
      </c>
      <c r="BG1772" s="1">
        <v>0</v>
      </c>
      <c r="BL1772" s="1">
        <v>0</v>
      </c>
      <c r="BM1772" s="1" t="s">
        <v>204</v>
      </c>
      <c r="BN1772" s="1" t="s">
        <v>213</v>
      </c>
      <c r="BO1772" s="1">
        <v>0</v>
      </c>
      <c r="BP1772" s="1" t="s">
        <v>204</v>
      </c>
      <c r="BR1772" s="1" t="str">
        <f>"18032100570000"</f>
        <v>18032100570000</v>
      </c>
      <c r="BT1772" s="1" t="s">
        <v>16644</v>
      </c>
      <c r="BX1772" s="1">
        <v>103</v>
      </c>
      <c r="BY1772" s="1">
        <v>103</v>
      </c>
      <c r="BZ1772" s="1">
        <v>204</v>
      </c>
      <c r="CB1772" s="1" t="str">
        <f t="shared" ref="CB1772:CC1772" si="1343">"0"</f>
        <v>0</v>
      </c>
      <c r="CC1772" s="1" t="str">
        <f t="shared" si="1343"/>
        <v>0</v>
      </c>
      <c r="CD1772" s="1">
        <v>11</v>
      </c>
      <c r="CE1772" s="1">
        <v>3</v>
      </c>
      <c r="CG1772" s="1" t="s">
        <v>437</v>
      </c>
      <c r="CH1772" s="1" t="s">
        <v>219</v>
      </c>
      <c r="CI1772" s="1" t="s">
        <v>229</v>
      </c>
      <c r="CK1772" s="1" t="s">
        <v>437</v>
      </c>
      <c r="CL1772" s="1" t="s">
        <v>277</v>
      </c>
      <c r="CM1772" s="1" t="s">
        <v>220</v>
      </c>
      <c r="CO1772" s="1" t="s">
        <v>630</v>
      </c>
      <c r="CP1772" s="1" t="s">
        <v>219</v>
      </c>
      <c r="CQ1772" s="1" t="s">
        <v>229</v>
      </c>
      <c r="CS1772" s="1" t="s">
        <v>1046</v>
      </c>
      <c r="CT1772" s="1" t="s">
        <v>277</v>
      </c>
      <c r="CU1772" s="1" t="s">
        <v>220</v>
      </c>
      <c r="CX1772" s="1" t="s">
        <v>224</v>
      </c>
      <c r="DB1772" s="1" t="s">
        <v>224</v>
      </c>
      <c r="DE1772" s="1" t="s">
        <v>630</v>
      </c>
      <c r="DF1772" s="1" t="s">
        <v>219</v>
      </c>
      <c r="DG1772" s="1" t="s">
        <v>226</v>
      </c>
      <c r="DJ1772" s="1" t="s">
        <v>224</v>
      </c>
      <c r="DS1772" s="1" t="s">
        <v>230</v>
      </c>
      <c r="DW1772" s="1" t="s">
        <v>230</v>
      </c>
      <c r="EA1772" s="1" t="s">
        <v>230</v>
      </c>
      <c r="EE1772" s="1" t="s">
        <v>230</v>
      </c>
      <c r="EI1772" s="1" t="s">
        <v>230</v>
      </c>
      <c r="EL1772" s="1" t="s">
        <v>3717</v>
      </c>
      <c r="EM1772" s="1" t="s">
        <v>232</v>
      </c>
      <c r="EN1772" s="1" t="s">
        <v>282</v>
      </c>
      <c r="EO1772" s="1" t="s">
        <v>234</v>
      </c>
      <c r="EQ1772" s="1" t="s">
        <v>321</v>
      </c>
      <c r="ER1772" s="1" t="s">
        <v>1249</v>
      </c>
      <c r="EU1772" s="1" t="s">
        <v>546</v>
      </c>
      <c r="EV1772" s="1" t="s">
        <v>324</v>
      </c>
      <c r="EW1772" s="1" t="s">
        <v>210</v>
      </c>
      <c r="EZ1772" s="1" t="s">
        <v>287</v>
      </c>
      <c r="FC1772" s="1" t="s">
        <v>633</v>
      </c>
      <c r="FD1772" s="1" t="s">
        <v>246</v>
      </c>
      <c r="FE1772" s="1" t="s">
        <v>247</v>
      </c>
      <c r="FF1772" s="1" t="s">
        <v>248</v>
      </c>
      <c r="FH1772" s="1" t="s">
        <v>442</v>
      </c>
      <c r="FI1772" s="1" t="s">
        <v>473</v>
      </c>
      <c r="FL1772" s="1" t="s">
        <v>358</v>
      </c>
      <c r="FM1772" s="1" t="s">
        <v>252</v>
      </c>
      <c r="FN1772" s="1" t="s">
        <v>213</v>
      </c>
      <c r="FO1772" s="1" t="s">
        <v>213</v>
      </c>
      <c r="FQ1772" s="1" t="s">
        <v>673</v>
      </c>
      <c r="FR1772" s="1" t="s">
        <v>210</v>
      </c>
      <c r="FS1772" s="1" t="s">
        <v>16645</v>
      </c>
      <c r="FT1772" s="1" t="s">
        <v>295</v>
      </c>
      <c r="FU1772" s="1" t="s">
        <v>204</v>
      </c>
      <c r="FW1772" s="1" t="s">
        <v>11108</v>
      </c>
      <c r="FX1772" s="1">
        <v>17497</v>
      </c>
      <c r="FY1772" s="1" t="s">
        <v>11109</v>
      </c>
      <c r="FZ1772" s="1" t="s">
        <v>16646</v>
      </c>
      <c r="GA1772" s="1">
        <v>161285</v>
      </c>
      <c r="GB1772" s="1" t="s">
        <v>11109</v>
      </c>
      <c r="GE1772" s="1" t="s">
        <v>210</v>
      </c>
      <c r="GI1772" s="1" t="s">
        <v>204</v>
      </c>
      <c r="GJ1772" s="1" t="s">
        <v>260</v>
      </c>
      <c r="GK1772" s="1" t="s">
        <v>210</v>
      </c>
      <c r="GL1772" s="2">
        <v>41969</v>
      </c>
      <c r="GM1772" s="1" t="s">
        <v>16647</v>
      </c>
    </row>
    <row r="1773" spans="1:195">
      <c r="A1773" s="1">
        <v>160000</v>
      </c>
      <c r="B1773" s="1" t="s">
        <v>195</v>
      </c>
      <c r="C1773" s="1" t="str">
        <f>"08713363"</f>
        <v>08713363</v>
      </c>
      <c r="D1773" s="1" t="s">
        <v>196</v>
      </c>
      <c r="F1773" s="1" t="str">
        <f>"101"</f>
        <v>101</v>
      </c>
      <c r="G1773" s="2">
        <v>41879</v>
      </c>
      <c r="H1773" s="1">
        <v>169900</v>
      </c>
      <c r="I1773" s="1">
        <v>169900</v>
      </c>
      <c r="J1773" s="1">
        <v>160000</v>
      </c>
      <c r="K1773" s="2">
        <v>41879</v>
      </c>
      <c r="L1773" s="1">
        <v>163</v>
      </c>
      <c r="M1773" s="2">
        <v>42041</v>
      </c>
      <c r="N1773" s="1">
        <v>163</v>
      </c>
      <c r="O1773" s="2">
        <v>42041</v>
      </c>
      <c r="P1773" s="1">
        <v>8073</v>
      </c>
      <c r="Q1773" s="1" t="s">
        <v>302</v>
      </c>
      <c r="R1773" s="2">
        <v>42068</v>
      </c>
      <c r="S1773" s="1">
        <v>253331</v>
      </c>
      <c r="U1773" s="1">
        <v>1291</v>
      </c>
      <c r="V1773" s="1" t="s">
        <v>683</v>
      </c>
      <c r="W1773" s="1" t="s">
        <v>725</v>
      </c>
      <c r="X1773" s="1">
        <v>206</v>
      </c>
      <c r="Y1773" s="1">
        <v>18</v>
      </c>
      <c r="Z1773" s="1" t="s">
        <v>370</v>
      </c>
      <c r="AA1773" s="1" t="s">
        <v>2631</v>
      </c>
      <c r="AB1773" s="1">
        <v>60101</v>
      </c>
      <c r="AD1773" s="1" t="s">
        <v>5630</v>
      </c>
      <c r="AE1773" s="1" t="s">
        <v>16648</v>
      </c>
      <c r="AF1773" s="1">
        <v>2003</v>
      </c>
      <c r="AG1773" s="1" t="s">
        <v>204</v>
      </c>
      <c r="AH1773" s="1" t="s">
        <v>1233</v>
      </c>
      <c r="AI1773" s="1" t="s">
        <v>206</v>
      </c>
      <c r="AJ1773" s="1" t="s">
        <v>1233</v>
      </c>
      <c r="AK1773" s="1" t="s">
        <v>7829</v>
      </c>
      <c r="AL1773" s="1">
        <v>5</v>
      </c>
      <c r="AM1773" s="1">
        <v>2</v>
      </c>
      <c r="AN1773" s="1">
        <v>2</v>
      </c>
      <c r="AO1773" s="1">
        <v>0</v>
      </c>
      <c r="AP1773" s="1" t="s">
        <v>209</v>
      </c>
      <c r="AR1773" s="1" t="s">
        <v>210</v>
      </c>
      <c r="AS1773" s="1" t="s">
        <v>204</v>
      </c>
      <c r="AT1773" s="1" t="s">
        <v>211</v>
      </c>
      <c r="AU1773" s="1">
        <v>1</v>
      </c>
      <c r="AW1773" s="1" t="s">
        <v>204</v>
      </c>
      <c r="AX1773" s="1" t="s">
        <v>212</v>
      </c>
      <c r="AZ1773" s="1">
        <v>3405</v>
      </c>
      <c r="BA1773" s="1">
        <v>2013</v>
      </c>
      <c r="BB1773" s="1" t="s">
        <v>210</v>
      </c>
      <c r="BE1773" s="1">
        <v>1199</v>
      </c>
      <c r="BF1773" s="1">
        <v>2</v>
      </c>
      <c r="BG1773" s="1">
        <v>0</v>
      </c>
      <c r="BL1773" s="1">
        <v>243</v>
      </c>
      <c r="BM1773" s="1" t="s">
        <v>204</v>
      </c>
      <c r="BN1773" s="1" t="s">
        <v>204</v>
      </c>
      <c r="BP1773" s="1" t="s">
        <v>204</v>
      </c>
      <c r="BR1773" s="1" t="str">
        <f>"0319214102"</f>
        <v>0319214102</v>
      </c>
      <c r="BT1773" s="1" t="s">
        <v>16649</v>
      </c>
      <c r="BU1773" s="1" t="s">
        <v>8567</v>
      </c>
      <c r="BV1773" s="1" t="s">
        <v>2720</v>
      </c>
      <c r="BW1773" s="1" t="s">
        <v>2721</v>
      </c>
      <c r="BX1773" s="1">
        <v>4</v>
      </c>
      <c r="BY1773" s="1">
        <v>4</v>
      </c>
      <c r="BZ1773" s="1">
        <v>88</v>
      </c>
      <c r="CB1773" s="1" t="str">
        <f>"4"</f>
        <v>4</v>
      </c>
      <c r="CC1773" s="1" t="str">
        <f t="shared" ref="CC1773:CC1774" si="1344">"0"</f>
        <v>0</v>
      </c>
      <c r="CD1773" s="1">
        <v>20</v>
      </c>
      <c r="CE1773" s="1">
        <v>0</v>
      </c>
      <c r="CG1773" s="1" t="s">
        <v>3656</v>
      </c>
      <c r="CH1773" s="1" t="s">
        <v>219</v>
      </c>
      <c r="CI1773" s="1" t="s">
        <v>220</v>
      </c>
      <c r="CJ1773" s="1" t="s">
        <v>252</v>
      </c>
      <c r="CK1773" s="1" t="s">
        <v>280</v>
      </c>
      <c r="CL1773" s="1" t="s">
        <v>219</v>
      </c>
      <c r="CM1773" s="1" t="s">
        <v>220</v>
      </c>
      <c r="CN1773" s="1" t="s">
        <v>252</v>
      </c>
      <c r="CO1773" s="1" t="s">
        <v>7101</v>
      </c>
      <c r="CP1773" s="1" t="s">
        <v>219</v>
      </c>
      <c r="CQ1773" s="1" t="s">
        <v>220</v>
      </c>
      <c r="CR1773" s="1" t="s">
        <v>210</v>
      </c>
      <c r="CS1773" s="1" t="s">
        <v>465</v>
      </c>
      <c r="CT1773" s="1" t="s">
        <v>219</v>
      </c>
      <c r="CU1773" s="1" t="s">
        <v>220</v>
      </c>
      <c r="CV1773" s="1" t="s">
        <v>252</v>
      </c>
      <c r="CX1773" s="1" t="s">
        <v>224</v>
      </c>
      <c r="DB1773" s="1" t="s">
        <v>224</v>
      </c>
      <c r="DE1773" s="1" t="s">
        <v>379</v>
      </c>
      <c r="DF1773" s="1" t="s">
        <v>219</v>
      </c>
      <c r="DG1773" s="1" t="s">
        <v>229</v>
      </c>
      <c r="DH1773" s="1" t="s">
        <v>210</v>
      </c>
      <c r="DJ1773" s="1" t="s">
        <v>224</v>
      </c>
      <c r="DS1773" s="1" t="s">
        <v>230</v>
      </c>
      <c r="DW1773" s="1" t="s">
        <v>230</v>
      </c>
      <c r="EA1773" s="1" t="s">
        <v>230</v>
      </c>
      <c r="EE1773" s="1" t="s">
        <v>230</v>
      </c>
      <c r="EI1773" s="1" t="s">
        <v>230</v>
      </c>
      <c r="EL1773" s="1" t="s">
        <v>466</v>
      </c>
      <c r="EM1773" s="1" t="s">
        <v>232</v>
      </c>
      <c r="EN1773" s="1" t="s">
        <v>282</v>
      </c>
      <c r="EO1773" s="1" t="s">
        <v>234</v>
      </c>
      <c r="EP1773" s="1" t="s">
        <v>7418</v>
      </c>
      <c r="EQ1773" s="1" t="s">
        <v>1094</v>
      </c>
      <c r="ER1773" s="1" t="s">
        <v>210</v>
      </c>
      <c r="ES1773" s="1" t="s">
        <v>608</v>
      </c>
      <c r="EU1773" s="1" t="s">
        <v>712</v>
      </c>
      <c r="EV1773" s="1" t="s">
        <v>324</v>
      </c>
      <c r="EW1773" s="1" t="s">
        <v>16650</v>
      </c>
      <c r="EY1773" s="1" t="s">
        <v>441</v>
      </c>
      <c r="EZ1773" s="1" t="s">
        <v>287</v>
      </c>
      <c r="FA1773" s="1" t="s">
        <v>1048</v>
      </c>
      <c r="FB1773" s="1" t="s">
        <v>289</v>
      </c>
      <c r="FC1773" s="1" t="s">
        <v>326</v>
      </c>
      <c r="FD1773" s="1" t="s">
        <v>1112</v>
      </c>
      <c r="FE1773" s="1" t="s">
        <v>472</v>
      </c>
      <c r="FF1773" s="1" t="s">
        <v>248</v>
      </c>
      <c r="FH1773" s="1" t="s">
        <v>249</v>
      </c>
      <c r="FI1773" s="1" t="s">
        <v>1114</v>
      </c>
      <c r="FJ1773" s="1" t="s">
        <v>518</v>
      </c>
      <c r="FL1773" s="1" t="s">
        <v>358</v>
      </c>
      <c r="FM1773" s="1" t="s">
        <v>252</v>
      </c>
      <c r="FN1773" s="1" t="s">
        <v>213</v>
      </c>
      <c r="FO1773" s="1" t="s">
        <v>213</v>
      </c>
      <c r="FQ1773" s="1" t="s">
        <v>793</v>
      </c>
      <c r="FR1773" s="1" t="s">
        <v>652</v>
      </c>
      <c r="FS1773" s="1" t="s">
        <v>1429</v>
      </c>
      <c r="FT1773" s="1" t="s">
        <v>295</v>
      </c>
      <c r="FU1773" s="1" t="s">
        <v>204</v>
      </c>
      <c r="FW1773" s="1" t="s">
        <v>4125</v>
      </c>
      <c r="FX1773" s="1">
        <v>8073</v>
      </c>
      <c r="FY1773" s="1" t="s">
        <v>4126</v>
      </c>
      <c r="FZ1773" s="1" t="s">
        <v>11555</v>
      </c>
      <c r="GA1773" s="1">
        <v>253331</v>
      </c>
      <c r="GB1773" s="1" t="s">
        <v>11556</v>
      </c>
      <c r="GD1773" s="1" t="s">
        <v>11557</v>
      </c>
      <c r="GE1773" s="1" t="s">
        <v>480</v>
      </c>
      <c r="GH1773" s="1" t="s">
        <v>589</v>
      </c>
      <c r="GI1773" s="1" t="s">
        <v>213</v>
      </c>
      <c r="GJ1773" s="1" t="s">
        <v>260</v>
      </c>
      <c r="GK1773" s="1" t="s">
        <v>210</v>
      </c>
      <c r="GL1773" s="2">
        <v>42068</v>
      </c>
      <c r="GM1773" s="1" t="s">
        <v>16651</v>
      </c>
    </row>
    <row r="1774" spans="1:195">
      <c r="A1774" s="1">
        <v>66200</v>
      </c>
      <c r="B1774" s="1" t="s">
        <v>195</v>
      </c>
      <c r="C1774" s="1" t="str">
        <f>"08715049"</f>
        <v>08715049</v>
      </c>
      <c r="D1774" s="1" t="s">
        <v>196</v>
      </c>
      <c r="F1774" s="1" t="str">
        <f>"103"</f>
        <v>103</v>
      </c>
      <c r="G1774" s="2">
        <v>41880</v>
      </c>
      <c r="H1774" s="1">
        <v>69900</v>
      </c>
      <c r="I1774" s="1">
        <v>69900</v>
      </c>
      <c r="J1774" s="1">
        <v>66200</v>
      </c>
      <c r="K1774" s="2">
        <v>41880</v>
      </c>
      <c r="L1774" s="1">
        <v>40</v>
      </c>
      <c r="M1774" s="2">
        <v>41919</v>
      </c>
      <c r="N1774" s="1">
        <v>40</v>
      </c>
      <c r="O1774" s="2">
        <v>41919</v>
      </c>
      <c r="P1774" s="1">
        <v>8970</v>
      </c>
      <c r="Q1774" s="1" t="s">
        <v>302</v>
      </c>
      <c r="R1774" s="2">
        <v>42048</v>
      </c>
      <c r="S1774" s="1">
        <v>29004</v>
      </c>
      <c r="U1774" s="1">
        <v>7608</v>
      </c>
      <c r="V1774" s="1" t="s">
        <v>8214</v>
      </c>
      <c r="W1774" s="1" t="s">
        <v>504</v>
      </c>
      <c r="X1774" s="1" t="s">
        <v>3349</v>
      </c>
      <c r="Y1774" s="1">
        <v>6</v>
      </c>
      <c r="Z1774" s="1" t="s">
        <v>249</v>
      </c>
      <c r="AA1774" s="1" t="s">
        <v>337</v>
      </c>
      <c r="AB1774" s="1">
        <v>60133</v>
      </c>
      <c r="AD1774" s="1" t="s">
        <v>8773</v>
      </c>
      <c r="AE1774" s="1" t="s">
        <v>16652</v>
      </c>
      <c r="AF1774" s="1" t="s">
        <v>402</v>
      </c>
      <c r="AG1774" s="1" t="s">
        <v>213</v>
      </c>
      <c r="AH1774" s="1" t="s">
        <v>339</v>
      </c>
      <c r="AI1774" s="1" t="s">
        <v>310</v>
      </c>
      <c r="AJ1774" s="1" t="s">
        <v>1717</v>
      </c>
      <c r="AK1774" s="1" t="s">
        <v>1088</v>
      </c>
      <c r="AL1774" s="1">
        <v>4</v>
      </c>
      <c r="AM1774" s="1">
        <v>2</v>
      </c>
      <c r="AN1774" s="1">
        <v>1</v>
      </c>
      <c r="AO1774" s="1">
        <v>0</v>
      </c>
      <c r="AP1774" s="1" t="s">
        <v>210</v>
      </c>
      <c r="AQ1774" s="1">
        <v>0</v>
      </c>
      <c r="AR1774" s="1" t="s">
        <v>210</v>
      </c>
      <c r="AS1774" s="1" t="s">
        <v>204</v>
      </c>
      <c r="AT1774" s="1" t="s">
        <v>211</v>
      </c>
      <c r="AU1774" s="1">
        <v>1</v>
      </c>
      <c r="AW1774" s="1" t="s">
        <v>204</v>
      </c>
      <c r="AX1774" s="1" t="s">
        <v>212</v>
      </c>
      <c r="AZ1774" s="1">
        <v>1110.55</v>
      </c>
      <c r="BA1774" s="1">
        <v>2012</v>
      </c>
      <c r="BB1774" s="1" t="s">
        <v>405</v>
      </c>
      <c r="BE1774" s="1">
        <v>800</v>
      </c>
      <c r="BF1774" s="1">
        <v>1</v>
      </c>
      <c r="BG1774" s="1">
        <v>0</v>
      </c>
      <c r="BL1774" s="1">
        <v>200</v>
      </c>
      <c r="BM1774" s="1" t="s">
        <v>204</v>
      </c>
      <c r="BN1774" s="1" t="s">
        <v>213</v>
      </c>
      <c r="BO1774" s="1">
        <v>35</v>
      </c>
      <c r="BP1774" s="1" t="s">
        <v>204</v>
      </c>
      <c r="BR1774" s="1" t="str">
        <f>"07303020021048"</f>
        <v>07303020021048</v>
      </c>
      <c r="BT1774" s="1" t="s">
        <v>16653</v>
      </c>
      <c r="BX1774" s="1">
        <v>54</v>
      </c>
      <c r="BY1774" s="1">
        <v>54</v>
      </c>
      <c r="BZ1774" s="1">
        <v>54</v>
      </c>
      <c r="CB1774" s="1" t="str">
        <f>"9"</f>
        <v>9</v>
      </c>
      <c r="CC1774" s="1" t="str">
        <f t="shared" si="1344"/>
        <v>0</v>
      </c>
      <c r="CD1774" s="1">
        <v>26</v>
      </c>
      <c r="CE1774" s="1">
        <v>0</v>
      </c>
      <c r="CG1774" s="1" t="s">
        <v>1533</v>
      </c>
      <c r="CH1774" s="1" t="s">
        <v>219</v>
      </c>
      <c r="CI1774" s="1" t="s">
        <v>1236</v>
      </c>
      <c r="CJ1774" s="1" t="s">
        <v>252</v>
      </c>
      <c r="CK1774" s="1" t="s">
        <v>1046</v>
      </c>
      <c r="CL1774" s="1" t="s">
        <v>219</v>
      </c>
      <c r="CM1774" s="1" t="s">
        <v>220</v>
      </c>
      <c r="CN1774" s="1" t="s">
        <v>252</v>
      </c>
      <c r="CP1774" s="1" t="s">
        <v>224</v>
      </c>
      <c r="CS1774" s="1" t="s">
        <v>630</v>
      </c>
      <c r="CT1774" s="1" t="s">
        <v>219</v>
      </c>
      <c r="CU1774" s="1" t="s">
        <v>220</v>
      </c>
      <c r="CV1774" s="1" t="s">
        <v>252</v>
      </c>
      <c r="CX1774" s="1" t="s">
        <v>224</v>
      </c>
      <c r="DB1774" s="1" t="s">
        <v>224</v>
      </c>
      <c r="DE1774" s="1" t="s">
        <v>1046</v>
      </c>
      <c r="DF1774" s="1" t="s">
        <v>219</v>
      </c>
      <c r="DG1774" s="1" t="s">
        <v>1236</v>
      </c>
      <c r="DH1774" s="1" t="s">
        <v>210</v>
      </c>
      <c r="DJ1774" s="1" t="s">
        <v>224</v>
      </c>
      <c r="DS1774" s="1" t="s">
        <v>230</v>
      </c>
      <c r="DW1774" s="1" t="s">
        <v>230</v>
      </c>
      <c r="EA1774" s="1" t="s">
        <v>230</v>
      </c>
      <c r="EE1774" s="1" t="s">
        <v>230</v>
      </c>
      <c r="EI1774" s="1" t="s">
        <v>230</v>
      </c>
      <c r="EL1774" s="1" t="s">
        <v>231</v>
      </c>
      <c r="EM1774" s="1" t="s">
        <v>319</v>
      </c>
      <c r="EN1774" s="1" t="s">
        <v>282</v>
      </c>
      <c r="EO1774" s="1" t="s">
        <v>234</v>
      </c>
      <c r="ER1774" s="1" t="s">
        <v>210</v>
      </c>
      <c r="EU1774" s="1" t="s">
        <v>712</v>
      </c>
      <c r="EW1774" s="1" t="s">
        <v>887</v>
      </c>
      <c r="EY1774" s="1" t="s">
        <v>242</v>
      </c>
      <c r="EZ1774" s="1" t="s">
        <v>287</v>
      </c>
      <c r="FA1774" s="1" t="s">
        <v>16654</v>
      </c>
      <c r="FD1774" s="1" t="s">
        <v>290</v>
      </c>
      <c r="FE1774" s="1" t="s">
        <v>472</v>
      </c>
      <c r="FF1774" s="1" t="s">
        <v>248</v>
      </c>
      <c r="FH1774" s="1" t="s">
        <v>3838</v>
      </c>
      <c r="FI1774" s="1" t="s">
        <v>473</v>
      </c>
      <c r="FJ1774" s="1" t="s">
        <v>518</v>
      </c>
      <c r="FL1774" s="1" t="s">
        <v>358</v>
      </c>
      <c r="FM1774" s="1" t="s">
        <v>252</v>
      </c>
      <c r="FN1774" s="1" t="s">
        <v>213</v>
      </c>
      <c r="FO1774" s="1" t="s">
        <v>213</v>
      </c>
      <c r="FQ1774" s="1" t="s">
        <v>1032</v>
      </c>
      <c r="FR1774" s="1" t="s">
        <v>360</v>
      </c>
      <c r="FS1774" s="1" t="s">
        <v>1709</v>
      </c>
      <c r="FT1774" s="1" t="s">
        <v>362</v>
      </c>
      <c r="FU1774" s="1" t="s">
        <v>204</v>
      </c>
      <c r="FV1774" s="1" t="s">
        <v>12445</v>
      </c>
      <c r="FW1774" s="1" t="s">
        <v>873</v>
      </c>
      <c r="FX1774" s="1">
        <v>25309</v>
      </c>
      <c r="FY1774" s="1" t="s">
        <v>874</v>
      </c>
      <c r="FZ1774" s="1" t="s">
        <v>12446</v>
      </c>
      <c r="GA1774" s="1">
        <v>257030</v>
      </c>
      <c r="GB1774" s="1" t="s">
        <v>12447</v>
      </c>
      <c r="GE1774" s="1" t="s">
        <v>210</v>
      </c>
      <c r="GI1774" s="1" t="s">
        <v>213</v>
      </c>
      <c r="GJ1774" s="1" t="s">
        <v>260</v>
      </c>
      <c r="GK1774" s="1" t="s">
        <v>210</v>
      </c>
      <c r="GL1774" s="2">
        <v>42048</v>
      </c>
      <c r="GM1774" s="1" t="s">
        <v>16655</v>
      </c>
    </row>
    <row r="1775" spans="1:195">
      <c r="A1775" s="1">
        <v>180000</v>
      </c>
      <c r="B1775" s="1" t="s">
        <v>195</v>
      </c>
      <c r="C1775" s="1" t="str">
        <f>"08715464"</f>
        <v>08715464</v>
      </c>
      <c r="D1775" s="1" t="s">
        <v>196</v>
      </c>
      <c r="F1775" s="1" t="str">
        <f>"507"</f>
        <v>507</v>
      </c>
      <c r="G1775" s="2">
        <v>41881</v>
      </c>
      <c r="H1775" s="1">
        <v>194900</v>
      </c>
      <c r="I1775" s="1">
        <v>189900</v>
      </c>
      <c r="J1775" s="1">
        <v>180000</v>
      </c>
      <c r="K1775" s="2">
        <v>41881</v>
      </c>
      <c r="L1775" s="1">
        <v>54</v>
      </c>
      <c r="M1775" s="2">
        <v>41934</v>
      </c>
      <c r="N1775" s="1">
        <v>54</v>
      </c>
      <c r="O1775" s="2">
        <v>41934</v>
      </c>
      <c r="P1775" s="1">
        <v>23265</v>
      </c>
      <c r="Q1775" s="1" t="s">
        <v>197</v>
      </c>
      <c r="R1775" s="2">
        <v>41981</v>
      </c>
      <c r="S1775" s="1">
        <v>220990</v>
      </c>
      <c r="U1775" s="1">
        <v>2802</v>
      </c>
      <c r="V1775" s="1" t="s">
        <v>16656</v>
      </c>
      <c r="W1775" s="1" t="s">
        <v>504</v>
      </c>
      <c r="Y1775" s="1">
        <v>6</v>
      </c>
      <c r="Z1775" s="1" t="s">
        <v>370</v>
      </c>
      <c r="AA1775" s="1" t="s">
        <v>1123</v>
      </c>
      <c r="AB1775" s="1">
        <v>60502</v>
      </c>
      <c r="AC1775" s="1">
        <v>4423</v>
      </c>
      <c r="AD1775" s="1" t="s">
        <v>16657</v>
      </c>
      <c r="AE1775" s="1" t="s">
        <v>16658</v>
      </c>
      <c r="AF1775" s="1">
        <v>2002</v>
      </c>
      <c r="AG1775" s="1" t="s">
        <v>204</v>
      </c>
      <c r="AH1775" s="1" t="s">
        <v>1126</v>
      </c>
      <c r="AI1775" s="1" t="s">
        <v>206</v>
      </c>
      <c r="AJ1775" s="1" t="s">
        <v>924</v>
      </c>
      <c r="AK1775" s="1" t="s">
        <v>3124</v>
      </c>
      <c r="AL1775" s="1">
        <v>10</v>
      </c>
      <c r="AM1775" s="1">
        <v>2</v>
      </c>
      <c r="AN1775" s="1">
        <v>2</v>
      </c>
      <c r="AO1775" s="1">
        <v>1</v>
      </c>
      <c r="AP1775" s="1" t="s">
        <v>209</v>
      </c>
      <c r="AQ1775" s="1">
        <v>1</v>
      </c>
      <c r="AR1775" s="1" t="s">
        <v>210</v>
      </c>
      <c r="AS1775" s="1" t="s">
        <v>204</v>
      </c>
      <c r="AT1775" s="1" t="s">
        <v>211</v>
      </c>
      <c r="AU1775" s="1">
        <v>2</v>
      </c>
      <c r="AW1775" s="1" t="s">
        <v>204</v>
      </c>
      <c r="AX1775" s="1" t="s">
        <v>212</v>
      </c>
      <c r="AZ1775" s="1">
        <v>4614.34</v>
      </c>
      <c r="BA1775" s="1">
        <v>2013</v>
      </c>
      <c r="BB1775" s="1" t="s">
        <v>405</v>
      </c>
      <c r="BE1775" s="1">
        <v>1750</v>
      </c>
      <c r="BF1775" s="1">
        <v>1</v>
      </c>
      <c r="BG1775" s="1">
        <v>30</v>
      </c>
      <c r="BJ1775" s="1">
        <v>100</v>
      </c>
      <c r="BL1775" s="1">
        <v>144</v>
      </c>
      <c r="BM1775" s="1" t="s">
        <v>204</v>
      </c>
      <c r="BN1775" s="1" t="s">
        <v>213</v>
      </c>
      <c r="BO1775" s="1">
        <v>20</v>
      </c>
      <c r="BP1775" s="1" t="s">
        <v>204</v>
      </c>
      <c r="BR1775" s="1" t="str">
        <f>"0431311116"</f>
        <v>0431311116</v>
      </c>
      <c r="BT1775" s="1" t="s">
        <v>16659</v>
      </c>
      <c r="BU1775" s="1" t="s">
        <v>5816</v>
      </c>
      <c r="BV1775" s="1" t="s">
        <v>1130</v>
      </c>
      <c r="BW1775" s="1" t="s">
        <v>1131</v>
      </c>
      <c r="BX1775" s="1">
        <v>204</v>
      </c>
      <c r="BY1775" s="1">
        <v>204</v>
      </c>
      <c r="BZ1775" s="1">
        <v>204</v>
      </c>
      <c r="CB1775" s="1" t="str">
        <f t="shared" ref="CB1775:CC1775" si="1345">"0"</f>
        <v>0</v>
      </c>
      <c r="CC1775" s="1" t="str">
        <f t="shared" si="1345"/>
        <v>0</v>
      </c>
      <c r="CD1775" s="1">
        <v>32</v>
      </c>
      <c r="CE1775" s="1">
        <v>4</v>
      </c>
      <c r="CG1775" s="1" t="s">
        <v>1788</v>
      </c>
      <c r="CH1775" s="1" t="s">
        <v>219</v>
      </c>
      <c r="CI1775" s="1" t="s">
        <v>438</v>
      </c>
      <c r="CJ1775" s="1" t="s">
        <v>463</v>
      </c>
      <c r="CK1775" s="1" t="s">
        <v>280</v>
      </c>
      <c r="CL1775" s="1" t="s">
        <v>277</v>
      </c>
      <c r="CM1775" s="1" t="s">
        <v>438</v>
      </c>
      <c r="CN1775" s="1" t="s">
        <v>463</v>
      </c>
      <c r="CO1775" s="1" t="s">
        <v>7466</v>
      </c>
      <c r="CP1775" s="1" t="s">
        <v>219</v>
      </c>
      <c r="CQ1775" s="1" t="s">
        <v>438</v>
      </c>
      <c r="CR1775" s="1" t="s">
        <v>463</v>
      </c>
      <c r="CS1775" s="1" t="s">
        <v>836</v>
      </c>
      <c r="CT1775" s="1" t="s">
        <v>277</v>
      </c>
      <c r="CU1775" s="1" t="s">
        <v>438</v>
      </c>
      <c r="CV1775" s="1" t="s">
        <v>463</v>
      </c>
      <c r="CX1775" s="1" t="s">
        <v>224</v>
      </c>
      <c r="DB1775" s="1" t="s">
        <v>224</v>
      </c>
      <c r="DE1775" s="1" t="s">
        <v>16660</v>
      </c>
      <c r="DF1775" s="1" t="s">
        <v>219</v>
      </c>
      <c r="DG1775" s="1" t="s">
        <v>226</v>
      </c>
      <c r="DH1775" s="1" t="s">
        <v>343</v>
      </c>
      <c r="DJ1775" s="1" t="s">
        <v>224</v>
      </c>
      <c r="DM1775" s="1" t="s">
        <v>381</v>
      </c>
      <c r="DN1775" s="1" t="s">
        <v>227</v>
      </c>
      <c r="DO1775" s="1" t="s">
        <v>1676</v>
      </c>
      <c r="DP1775" s="1" t="s">
        <v>464</v>
      </c>
      <c r="DQ1775" s="1" t="s">
        <v>16661</v>
      </c>
      <c r="DR1775" s="1" t="s">
        <v>4926</v>
      </c>
      <c r="DS1775" s="1" t="s">
        <v>219</v>
      </c>
      <c r="DT1775" s="1" t="s">
        <v>226</v>
      </c>
      <c r="DU1775" s="1" t="s">
        <v>343</v>
      </c>
      <c r="DV1775" s="1" t="s">
        <v>408</v>
      </c>
      <c r="DW1775" s="1" t="s">
        <v>219</v>
      </c>
      <c r="DX1775" s="1" t="s">
        <v>438</v>
      </c>
      <c r="DY1775" s="1" t="s">
        <v>463</v>
      </c>
      <c r="DZ1775" s="1" t="s">
        <v>318</v>
      </c>
      <c r="EA1775" s="1" t="s">
        <v>219</v>
      </c>
      <c r="ED1775" s="1" t="s">
        <v>2466</v>
      </c>
      <c r="EE1775" s="1" t="s">
        <v>277</v>
      </c>
      <c r="EF1775" s="1" t="s">
        <v>438</v>
      </c>
      <c r="EG1775" s="1" t="s">
        <v>463</v>
      </c>
      <c r="EH1775" s="1" t="s">
        <v>4062</v>
      </c>
      <c r="EI1775" s="1" t="s">
        <v>16661</v>
      </c>
      <c r="EJ1775" s="1" t="s">
        <v>6120</v>
      </c>
      <c r="EL1775" s="1" t="s">
        <v>466</v>
      </c>
      <c r="EM1775" s="1" t="s">
        <v>319</v>
      </c>
      <c r="EN1775" s="1" t="s">
        <v>282</v>
      </c>
      <c r="EO1775" s="1" t="s">
        <v>234</v>
      </c>
      <c r="EQ1775" s="1" t="s">
        <v>1094</v>
      </c>
      <c r="ER1775" s="1" t="s">
        <v>210</v>
      </c>
      <c r="ES1775" s="1" t="s">
        <v>322</v>
      </c>
      <c r="EV1775" s="1" t="s">
        <v>240</v>
      </c>
      <c r="EW1775" s="1" t="s">
        <v>16662</v>
      </c>
      <c r="EY1775" s="1" t="s">
        <v>242</v>
      </c>
      <c r="EZ1775" s="1" t="s">
        <v>16663</v>
      </c>
      <c r="FD1775" s="1" t="s">
        <v>1649</v>
      </c>
      <c r="FE1775" s="1" t="s">
        <v>386</v>
      </c>
      <c r="FF1775" s="1" t="s">
        <v>248</v>
      </c>
      <c r="FG1775" s="1" t="s">
        <v>7724</v>
      </c>
      <c r="FH1775" s="1" t="s">
        <v>550</v>
      </c>
      <c r="FL1775" s="1" t="s">
        <v>414</v>
      </c>
      <c r="FM1775" s="1" t="s">
        <v>252</v>
      </c>
      <c r="FN1775" s="1" t="s">
        <v>213</v>
      </c>
      <c r="FO1775" s="1" t="s">
        <v>213</v>
      </c>
      <c r="FQ1775" s="1" t="s">
        <v>1518</v>
      </c>
      <c r="FR1775" s="1" t="s">
        <v>210</v>
      </c>
      <c r="FS1775" s="1" t="s">
        <v>16664</v>
      </c>
      <c r="FT1775" s="1" t="s">
        <v>1701</v>
      </c>
      <c r="FU1775" s="1" t="s">
        <v>204</v>
      </c>
      <c r="FW1775" s="1" t="s">
        <v>16665</v>
      </c>
      <c r="FX1775" s="1">
        <v>3477</v>
      </c>
      <c r="FY1775" s="1" t="s">
        <v>16666</v>
      </c>
      <c r="FZ1775" s="1" t="s">
        <v>16667</v>
      </c>
      <c r="GA1775" s="1">
        <v>34463</v>
      </c>
      <c r="GB1775" s="1" t="s">
        <v>16668</v>
      </c>
      <c r="GE1775" s="1" t="s">
        <v>1764</v>
      </c>
      <c r="GI1775" s="1" t="s">
        <v>213</v>
      </c>
      <c r="GJ1775" s="1" t="s">
        <v>260</v>
      </c>
      <c r="GK1775" s="1" t="s">
        <v>210</v>
      </c>
      <c r="GL1775" s="2">
        <v>41981</v>
      </c>
      <c r="GM1775" s="1" t="s">
        <v>16669</v>
      </c>
    </row>
    <row r="1776" spans="1:195">
      <c r="A1776" s="1">
        <v>212000</v>
      </c>
      <c r="B1776" s="1" t="s">
        <v>195</v>
      </c>
      <c r="C1776" s="1" t="str">
        <f>"08730197"</f>
        <v>08730197</v>
      </c>
      <c r="D1776" s="1" t="s">
        <v>196</v>
      </c>
      <c r="F1776" s="1" t="str">
        <f>"10"</f>
        <v>10</v>
      </c>
      <c r="G1776" s="2">
        <v>41899</v>
      </c>
      <c r="H1776" s="1">
        <v>226500</v>
      </c>
      <c r="I1776" s="1">
        <v>226500</v>
      </c>
      <c r="J1776" s="1">
        <v>212000</v>
      </c>
      <c r="K1776" s="2">
        <v>41899</v>
      </c>
      <c r="L1776" s="1">
        <v>94</v>
      </c>
      <c r="M1776" s="2">
        <v>41992</v>
      </c>
      <c r="N1776" s="1">
        <v>94</v>
      </c>
      <c r="O1776" s="2">
        <v>41992</v>
      </c>
      <c r="P1776" s="1">
        <v>25689</v>
      </c>
      <c r="Q1776" s="1" t="s">
        <v>302</v>
      </c>
      <c r="R1776" s="2">
        <v>42027</v>
      </c>
      <c r="S1776" s="1">
        <v>18465</v>
      </c>
      <c r="U1776" s="1">
        <v>640</v>
      </c>
      <c r="V1776" s="1" t="s">
        <v>6286</v>
      </c>
      <c r="W1776" s="1" t="s">
        <v>1056</v>
      </c>
      <c r="X1776" s="1" t="s">
        <v>483</v>
      </c>
      <c r="Y1776" s="1">
        <v>4</v>
      </c>
      <c r="Z1776" s="1" t="s">
        <v>249</v>
      </c>
      <c r="AA1776" s="1" t="s">
        <v>1985</v>
      </c>
      <c r="AB1776" s="1">
        <v>60010</v>
      </c>
      <c r="AD1776" s="1" t="s">
        <v>1986</v>
      </c>
      <c r="AE1776" s="1" t="s">
        <v>16670</v>
      </c>
      <c r="AF1776" s="1">
        <v>1974</v>
      </c>
      <c r="AG1776" s="1" t="s">
        <v>213</v>
      </c>
      <c r="AH1776" s="1" t="s">
        <v>1988</v>
      </c>
      <c r="AI1776" s="1" t="s">
        <v>509</v>
      </c>
      <c r="AJ1776" s="1" t="s">
        <v>1989</v>
      </c>
      <c r="AK1776" s="1" t="s">
        <v>16671</v>
      </c>
      <c r="AL1776" s="1">
        <v>5</v>
      </c>
      <c r="AM1776" s="1">
        <v>2</v>
      </c>
      <c r="AN1776" s="1">
        <v>2</v>
      </c>
      <c r="AO1776" s="1">
        <v>0</v>
      </c>
      <c r="AP1776" s="1" t="s">
        <v>209</v>
      </c>
      <c r="AQ1776" s="1">
        <v>1</v>
      </c>
      <c r="AR1776" s="1" t="s">
        <v>210</v>
      </c>
      <c r="AS1776" s="1" t="s">
        <v>204</v>
      </c>
      <c r="AT1776" s="1" t="s">
        <v>211</v>
      </c>
      <c r="AU1776" s="1">
        <v>1</v>
      </c>
      <c r="AW1776" s="1" t="s">
        <v>213</v>
      </c>
      <c r="AX1776" s="1" t="s">
        <v>4740</v>
      </c>
      <c r="AZ1776" s="1">
        <v>3655</v>
      </c>
      <c r="BA1776" s="1">
        <v>2012</v>
      </c>
      <c r="BB1776" s="1" t="s">
        <v>3996</v>
      </c>
      <c r="BE1776" s="1">
        <v>1362</v>
      </c>
      <c r="BF1776" s="1">
        <v>1</v>
      </c>
      <c r="BG1776" s="1">
        <v>0</v>
      </c>
      <c r="BL1776" s="1">
        <v>387</v>
      </c>
      <c r="BM1776" s="1" t="s">
        <v>213</v>
      </c>
      <c r="BN1776" s="1" t="s">
        <v>213</v>
      </c>
      <c r="BO1776" s="1" t="s">
        <v>4630</v>
      </c>
      <c r="BP1776" s="1" t="s">
        <v>204</v>
      </c>
      <c r="BR1776" s="1" t="str">
        <f>"13112000970000"</f>
        <v>13112000970000</v>
      </c>
      <c r="BT1776" s="1" t="s">
        <v>16672</v>
      </c>
      <c r="BU1776" s="1" t="s">
        <v>1992</v>
      </c>
      <c r="BV1776" s="1" t="s">
        <v>1993</v>
      </c>
      <c r="BW1776" s="1" t="s">
        <v>1994</v>
      </c>
      <c r="BX1776" s="1">
        <v>220</v>
      </c>
      <c r="BY1776" s="1">
        <v>220</v>
      </c>
      <c r="BZ1776" s="1">
        <v>220</v>
      </c>
      <c r="CB1776" s="1" t="str">
        <f>"24"</f>
        <v>24</v>
      </c>
      <c r="CC1776" s="1" t="str">
        <f>""</f>
        <v/>
      </c>
      <c r="CD1776" s="1">
        <v>26</v>
      </c>
      <c r="CG1776" s="1" t="s">
        <v>1200</v>
      </c>
      <c r="CH1776" s="1" t="s">
        <v>219</v>
      </c>
      <c r="CI1776" s="1" t="s">
        <v>220</v>
      </c>
      <c r="CJ1776" s="1" t="s">
        <v>210</v>
      </c>
      <c r="CK1776" s="1" t="s">
        <v>315</v>
      </c>
      <c r="CL1776" s="1" t="s">
        <v>219</v>
      </c>
      <c r="CM1776" s="1" t="s">
        <v>220</v>
      </c>
      <c r="CN1776" s="1" t="s">
        <v>210</v>
      </c>
      <c r="CO1776" s="1" t="s">
        <v>317</v>
      </c>
      <c r="CP1776" s="1" t="s">
        <v>219</v>
      </c>
      <c r="CQ1776" s="1" t="s">
        <v>220</v>
      </c>
      <c r="CR1776" s="1" t="s">
        <v>210</v>
      </c>
      <c r="CS1776" s="1" t="s">
        <v>317</v>
      </c>
      <c r="CT1776" s="1" t="s">
        <v>219</v>
      </c>
      <c r="CU1776" s="1" t="s">
        <v>220</v>
      </c>
      <c r="CV1776" s="1" t="s">
        <v>210</v>
      </c>
      <c r="CX1776" s="1" t="s">
        <v>224</v>
      </c>
      <c r="DB1776" s="1" t="s">
        <v>224</v>
      </c>
      <c r="DE1776" s="1" t="s">
        <v>223</v>
      </c>
      <c r="DF1776" s="1" t="s">
        <v>219</v>
      </c>
      <c r="DG1776" s="1" t="s">
        <v>438</v>
      </c>
      <c r="DJ1776" s="1" t="s">
        <v>224</v>
      </c>
      <c r="DS1776" s="1" t="s">
        <v>230</v>
      </c>
      <c r="DW1776" s="1" t="s">
        <v>230</v>
      </c>
      <c r="EA1776" s="1" t="s">
        <v>230</v>
      </c>
      <c r="EE1776" s="1" t="s">
        <v>230</v>
      </c>
      <c r="EI1776" s="1" t="s">
        <v>230</v>
      </c>
      <c r="EL1776" s="1" t="s">
        <v>231</v>
      </c>
      <c r="EM1776" s="1" t="s">
        <v>761</v>
      </c>
      <c r="EN1776" s="1" t="s">
        <v>282</v>
      </c>
      <c r="EO1776" s="1" t="s">
        <v>234</v>
      </c>
      <c r="EQ1776" s="1" t="s">
        <v>492</v>
      </c>
      <c r="ER1776" s="1" t="s">
        <v>210</v>
      </c>
      <c r="ES1776" s="1" t="s">
        <v>824</v>
      </c>
      <c r="EU1776" s="1" t="s">
        <v>1998</v>
      </c>
      <c r="EV1776" s="1" t="s">
        <v>352</v>
      </c>
      <c r="EW1776" s="1" t="s">
        <v>16673</v>
      </c>
      <c r="EZ1776" s="1" t="s">
        <v>287</v>
      </c>
      <c r="FA1776" s="1" t="s">
        <v>1427</v>
      </c>
      <c r="FB1776" s="1" t="s">
        <v>244</v>
      </c>
      <c r="FC1776" s="1" t="s">
        <v>1386</v>
      </c>
      <c r="FD1776" s="1" t="s">
        <v>246</v>
      </c>
      <c r="FE1776" s="1" t="s">
        <v>889</v>
      </c>
      <c r="FF1776" s="1" t="s">
        <v>248</v>
      </c>
      <c r="FG1776" s="1" t="s">
        <v>939</v>
      </c>
      <c r="FH1776" s="1" t="s">
        <v>249</v>
      </c>
      <c r="FI1776" s="1" t="s">
        <v>357</v>
      </c>
      <c r="FJ1776" s="1" t="s">
        <v>518</v>
      </c>
      <c r="FL1776" s="1" t="s">
        <v>1073</v>
      </c>
      <c r="FM1776" s="1" t="s">
        <v>252</v>
      </c>
      <c r="FN1776" s="1" t="s">
        <v>213</v>
      </c>
      <c r="FO1776" s="1" t="s">
        <v>213</v>
      </c>
      <c r="FQ1776" s="1" t="s">
        <v>16674</v>
      </c>
      <c r="FR1776" s="1" t="s">
        <v>210</v>
      </c>
      <c r="FS1776" s="1" t="s">
        <v>16675</v>
      </c>
      <c r="FT1776" s="1" t="s">
        <v>520</v>
      </c>
      <c r="FU1776" s="1" t="s">
        <v>204</v>
      </c>
      <c r="FW1776" s="1" t="s">
        <v>4563</v>
      </c>
      <c r="FX1776" s="1">
        <v>6025</v>
      </c>
      <c r="FY1776" s="1" t="s">
        <v>4564</v>
      </c>
      <c r="FZ1776" s="1" t="s">
        <v>16332</v>
      </c>
      <c r="GA1776" s="1">
        <v>62621</v>
      </c>
      <c r="GB1776" s="1" t="s">
        <v>16333</v>
      </c>
      <c r="GE1776" s="1" t="s">
        <v>480</v>
      </c>
      <c r="GI1776" s="1" t="s">
        <v>213</v>
      </c>
      <c r="GJ1776" s="1" t="s">
        <v>260</v>
      </c>
      <c r="GK1776" s="1" t="s">
        <v>210</v>
      </c>
      <c r="GL1776" s="2">
        <v>42033</v>
      </c>
      <c r="GM1776" s="1" t="s">
        <v>16676</v>
      </c>
    </row>
    <row r="1777" spans="1:195">
      <c r="A1777" s="1">
        <v>49000</v>
      </c>
      <c r="B1777" s="1" t="s">
        <v>195</v>
      </c>
      <c r="C1777" s="1" t="str">
        <f>"08713614"</f>
        <v>08713614</v>
      </c>
      <c r="D1777" s="1" t="s">
        <v>196</v>
      </c>
      <c r="F1777" s="1" t="str">
        <f>"178"</f>
        <v>178</v>
      </c>
      <c r="G1777" s="2">
        <v>41879</v>
      </c>
      <c r="H1777" s="1">
        <v>67000</v>
      </c>
      <c r="I1777" s="1">
        <v>49000</v>
      </c>
      <c r="J1777" s="1">
        <v>49000</v>
      </c>
      <c r="K1777" s="2">
        <v>41879</v>
      </c>
      <c r="L1777" s="1">
        <v>169</v>
      </c>
      <c r="M1777" s="2">
        <v>42047</v>
      </c>
      <c r="N1777" s="1">
        <v>169</v>
      </c>
      <c r="O1777" s="2">
        <v>42047</v>
      </c>
      <c r="P1777" s="1">
        <v>93023</v>
      </c>
      <c r="Q1777" s="1" t="s">
        <v>197</v>
      </c>
      <c r="R1777" s="2">
        <v>42103</v>
      </c>
      <c r="S1777" s="1">
        <v>931509</v>
      </c>
      <c r="U1777" s="1">
        <v>1724</v>
      </c>
      <c r="V1777" s="1" t="s">
        <v>16677</v>
      </c>
      <c r="W1777" s="1" t="s">
        <v>304</v>
      </c>
      <c r="X1777" s="1">
        <v>1724</v>
      </c>
      <c r="Y1777" s="1">
        <v>4</v>
      </c>
      <c r="Z1777" s="1" t="s">
        <v>370</v>
      </c>
      <c r="AA1777" s="1" t="s">
        <v>3334</v>
      </c>
      <c r="AB1777" s="1">
        <v>60178</v>
      </c>
      <c r="AE1777" s="1" t="s">
        <v>16678</v>
      </c>
      <c r="AF1777" s="1">
        <v>1978</v>
      </c>
      <c r="AG1777" s="1" t="s">
        <v>204</v>
      </c>
      <c r="AH1777" s="1" t="s">
        <v>3336</v>
      </c>
      <c r="AI1777" s="1" t="s">
        <v>2246</v>
      </c>
      <c r="AJ1777" s="1" t="s">
        <v>3337</v>
      </c>
      <c r="AL1777" s="1">
        <v>5</v>
      </c>
      <c r="AM1777" s="1">
        <v>2</v>
      </c>
      <c r="AN1777" s="1">
        <v>2</v>
      </c>
      <c r="AO1777" s="1">
        <v>0</v>
      </c>
      <c r="AP1777" s="1" t="s">
        <v>210</v>
      </c>
      <c r="AR1777" s="1" t="s">
        <v>209</v>
      </c>
      <c r="AS1777" s="1" t="s">
        <v>213</v>
      </c>
      <c r="AT1777" s="1" t="s">
        <v>211</v>
      </c>
      <c r="AU1777" s="1">
        <v>1</v>
      </c>
      <c r="AW1777" s="1" t="s">
        <v>204</v>
      </c>
      <c r="AX1777" s="1" t="s">
        <v>212</v>
      </c>
      <c r="AZ1777" s="1">
        <v>2840.68</v>
      </c>
      <c r="BA1777" s="1">
        <v>2013</v>
      </c>
      <c r="BE1777" s="1">
        <v>1110</v>
      </c>
      <c r="BF1777" s="1">
        <v>1</v>
      </c>
      <c r="BG1777" s="1">
        <v>0</v>
      </c>
      <c r="BL1777" s="1">
        <v>137</v>
      </c>
      <c r="BM1777" s="1" t="s">
        <v>204</v>
      </c>
      <c r="BN1777" s="1" t="s">
        <v>213</v>
      </c>
      <c r="BP1777" s="1" t="s">
        <v>204</v>
      </c>
      <c r="BR1777" s="1" t="str">
        <f>"0906176087"</f>
        <v>0906176087</v>
      </c>
      <c r="BT1777" s="1" t="s">
        <v>16679</v>
      </c>
      <c r="BX1777" s="1">
        <v>427</v>
      </c>
      <c r="BY1777" s="1">
        <v>427</v>
      </c>
      <c r="BZ1777" s="1">
        <v>427</v>
      </c>
      <c r="CB1777" s="1" t="str">
        <f t="shared" ref="CB1777:CC1777" si="1346">""</f>
        <v/>
      </c>
      <c r="CC1777" s="1" t="str">
        <f t="shared" si="1346"/>
        <v/>
      </c>
      <c r="CG1777" s="1" t="s">
        <v>3100</v>
      </c>
      <c r="CH1777" s="1" t="s">
        <v>219</v>
      </c>
      <c r="CK1777" s="1" t="s">
        <v>344</v>
      </c>
      <c r="CL1777" s="1" t="s">
        <v>219</v>
      </c>
      <c r="CO1777" s="1" t="s">
        <v>2841</v>
      </c>
      <c r="CP1777" s="1" t="s">
        <v>219</v>
      </c>
      <c r="CS1777" s="1" t="s">
        <v>408</v>
      </c>
      <c r="CT1777" s="1" t="s">
        <v>219</v>
      </c>
      <c r="CX1777" s="1" t="s">
        <v>224</v>
      </c>
      <c r="DB1777" s="1" t="s">
        <v>224</v>
      </c>
      <c r="DE1777" s="1" t="s">
        <v>4926</v>
      </c>
      <c r="DF1777" s="1" t="s">
        <v>219</v>
      </c>
      <c r="DJ1777" s="1" t="s">
        <v>224</v>
      </c>
      <c r="DS1777" s="1" t="s">
        <v>230</v>
      </c>
      <c r="DW1777" s="1" t="s">
        <v>230</v>
      </c>
      <c r="EA1777" s="1" t="s">
        <v>230</v>
      </c>
      <c r="EE1777" s="1" t="s">
        <v>230</v>
      </c>
      <c r="EI1777" s="1" t="s">
        <v>230</v>
      </c>
      <c r="EL1777" s="1" t="s">
        <v>231</v>
      </c>
      <c r="EM1777" s="1" t="s">
        <v>319</v>
      </c>
      <c r="EN1777" s="1" t="s">
        <v>282</v>
      </c>
      <c r="EO1777" s="1" t="s">
        <v>234</v>
      </c>
      <c r="ER1777" s="1" t="s">
        <v>1249</v>
      </c>
      <c r="ES1777" s="1" t="s">
        <v>322</v>
      </c>
      <c r="EU1777" s="1" t="s">
        <v>239</v>
      </c>
      <c r="EV1777" s="1" t="s">
        <v>240</v>
      </c>
      <c r="EW1777" s="1" t="s">
        <v>2575</v>
      </c>
      <c r="EZ1777" s="1" t="s">
        <v>287</v>
      </c>
      <c r="FD1777" s="1" t="s">
        <v>3287</v>
      </c>
      <c r="FE1777" s="1" t="s">
        <v>496</v>
      </c>
      <c r="FF1777" s="1" t="s">
        <v>248</v>
      </c>
      <c r="FH1777" s="1" t="s">
        <v>249</v>
      </c>
      <c r="FL1777" s="1" t="s">
        <v>358</v>
      </c>
      <c r="FM1777" s="1" t="s">
        <v>252</v>
      </c>
      <c r="FN1777" s="1" t="s">
        <v>213</v>
      </c>
      <c r="FO1777" s="1" t="s">
        <v>213</v>
      </c>
      <c r="FQ1777" s="1" t="s">
        <v>849</v>
      </c>
      <c r="FR1777" s="1" t="s">
        <v>210</v>
      </c>
      <c r="FS1777" s="1" t="s">
        <v>2844</v>
      </c>
      <c r="FT1777" s="1" t="s">
        <v>295</v>
      </c>
      <c r="FU1777" s="1" t="s">
        <v>204</v>
      </c>
      <c r="FW1777" s="1" t="s">
        <v>2845</v>
      </c>
      <c r="FX1777" s="1">
        <v>5293</v>
      </c>
      <c r="FY1777" s="1" t="s">
        <v>2846</v>
      </c>
      <c r="FZ1777" s="1" t="s">
        <v>2847</v>
      </c>
      <c r="GA1777" s="1">
        <v>53957</v>
      </c>
      <c r="GE1777" s="1" t="s">
        <v>480</v>
      </c>
      <c r="GI1777" s="1" t="s">
        <v>213</v>
      </c>
      <c r="GJ1777" s="1" t="s">
        <v>260</v>
      </c>
      <c r="GK1777" s="1" t="s">
        <v>210</v>
      </c>
      <c r="GL1777" s="2">
        <v>42103</v>
      </c>
      <c r="GM1777" s="1" t="s">
        <v>16680</v>
      </c>
    </row>
    <row r="1778" spans="1:195">
      <c r="A1778" s="1">
        <v>155000</v>
      </c>
      <c r="B1778" s="1" t="s">
        <v>195</v>
      </c>
      <c r="C1778" s="1" t="str">
        <f>"08713283"</f>
        <v>08713283</v>
      </c>
      <c r="D1778" s="1" t="s">
        <v>196</v>
      </c>
      <c r="F1778" s="1" t="str">
        <f>"8041"</f>
        <v>8041</v>
      </c>
      <c r="G1778" s="2">
        <v>41879</v>
      </c>
      <c r="H1778" s="1">
        <v>193800</v>
      </c>
      <c r="I1778" s="1">
        <v>183900</v>
      </c>
      <c r="J1778" s="1">
        <v>155000</v>
      </c>
      <c r="K1778" s="2">
        <v>41878</v>
      </c>
      <c r="L1778" s="1">
        <v>101</v>
      </c>
      <c r="M1778" s="2">
        <v>41978</v>
      </c>
      <c r="N1778" s="1">
        <v>101</v>
      </c>
      <c r="O1778" s="2">
        <v>41978</v>
      </c>
      <c r="P1778" s="1">
        <v>85175</v>
      </c>
      <c r="Q1778" s="1" t="s">
        <v>197</v>
      </c>
      <c r="R1778" s="2">
        <v>41992</v>
      </c>
      <c r="S1778" s="1">
        <v>129185</v>
      </c>
      <c r="U1778" s="1">
        <v>1700</v>
      </c>
      <c r="V1778" s="1" t="s">
        <v>16681</v>
      </c>
      <c r="W1778" s="1" t="s">
        <v>725</v>
      </c>
      <c r="X1778" s="1">
        <v>2709</v>
      </c>
      <c r="Y1778" s="1">
        <v>369</v>
      </c>
      <c r="Z1778" s="1" t="s">
        <v>249</v>
      </c>
      <c r="AA1778" s="1" t="s">
        <v>400</v>
      </c>
      <c r="AB1778" s="1">
        <v>60637</v>
      </c>
      <c r="AE1778" s="1" t="s">
        <v>16682</v>
      </c>
      <c r="AF1778" s="1">
        <v>1970</v>
      </c>
      <c r="AG1778" s="1" t="s">
        <v>213</v>
      </c>
      <c r="AH1778" s="1" t="s">
        <v>403</v>
      </c>
      <c r="AI1778" s="1" t="s">
        <v>310</v>
      </c>
      <c r="AJ1778" s="1" t="s">
        <v>562</v>
      </c>
      <c r="AK1778" s="1" t="s">
        <v>16683</v>
      </c>
      <c r="AL1778" s="1">
        <v>5</v>
      </c>
      <c r="AM1778" s="1">
        <v>2</v>
      </c>
      <c r="AN1778" s="1">
        <v>2</v>
      </c>
      <c r="AO1778" s="1">
        <v>0</v>
      </c>
      <c r="AP1778" s="1" t="s">
        <v>209</v>
      </c>
      <c r="AQ1778" s="1">
        <v>0</v>
      </c>
      <c r="AR1778" s="1" t="s">
        <v>210</v>
      </c>
      <c r="AS1778" s="1" t="s">
        <v>204</v>
      </c>
      <c r="AT1778" s="1" t="s">
        <v>211</v>
      </c>
      <c r="AU1778" s="1">
        <v>1</v>
      </c>
      <c r="AW1778" s="1" t="s">
        <v>204</v>
      </c>
      <c r="AX1778" s="1" t="s">
        <v>212</v>
      </c>
      <c r="AZ1778" s="1">
        <v>2800</v>
      </c>
      <c r="BA1778" s="1">
        <v>2013</v>
      </c>
      <c r="BB1778" s="1" t="s">
        <v>599</v>
      </c>
      <c r="BC1778" s="1">
        <v>0</v>
      </c>
      <c r="BE1778" s="1">
        <v>1275</v>
      </c>
      <c r="BF1778" s="1">
        <v>27</v>
      </c>
      <c r="BG1778" s="1">
        <v>30</v>
      </c>
      <c r="BL1778" s="1">
        <v>949</v>
      </c>
      <c r="BM1778" s="1" t="s">
        <v>204</v>
      </c>
      <c r="BN1778" s="1" t="s">
        <v>213</v>
      </c>
      <c r="BO1778" s="1">
        <v>50</v>
      </c>
      <c r="BP1778" s="1" t="s">
        <v>204</v>
      </c>
      <c r="BR1778" s="1" t="str">
        <f>"20131020291248"</f>
        <v>20131020291248</v>
      </c>
      <c r="BT1778" s="1" t="s">
        <v>16684</v>
      </c>
      <c r="BX1778" s="1">
        <v>299</v>
      </c>
      <c r="BY1778" s="1">
        <v>299</v>
      </c>
      <c r="BZ1778" s="1">
        <v>299</v>
      </c>
      <c r="CB1778" s="1" t="str">
        <f t="shared" ref="CB1778:CB1780" si="1347">"0"</f>
        <v>0</v>
      </c>
      <c r="CC1778" s="1" t="str">
        <f>"1700"</f>
        <v>1700</v>
      </c>
      <c r="CD1778" s="1">
        <v>0</v>
      </c>
      <c r="CE1778" s="1">
        <v>5600</v>
      </c>
      <c r="CG1778" s="1" t="s">
        <v>218</v>
      </c>
      <c r="CH1778" s="1" t="s">
        <v>219</v>
      </c>
      <c r="CI1778" s="1" t="s">
        <v>438</v>
      </c>
      <c r="CK1778" s="1" t="s">
        <v>862</v>
      </c>
      <c r="CL1778" s="1" t="s">
        <v>219</v>
      </c>
      <c r="CM1778" s="1" t="s">
        <v>220</v>
      </c>
      <c r="CO1778" s="1" t="s">
        <v>1571</v>
      </c>
      <c r="CP1778" s="1" t="s">
        <v>219</v>
      </c>
      <c r="CQ1778" s="1" t="s">
        <v>438</v>
      </c>
      <c r="CS1778" s="1" t="s">
        <v>278</v>
      </c>
      <c r="CT1778" s="1" t="s">
        <v>219</v>
      </c>
      <c r="CU1778" s="1" t="s">
        <v>220</v>
      </c>
      <c r="CX1778" s="1" t="s">
        <v>224</v>
      </c>
      <c r="DB1778" s="1" t="s">
        <v>224</v>
      </c>
      <c r="DE1778" s="1" t="s">
        <v>1571</v>
      </c>
      <c r="DF1778" s="1" t="s">
        <v>219</v>
      </c>
      <c r="DG1778" s="1" t="s">
        <v>438</v>
      </c>
      <c r="DJ1778" s="1" t="s">
        <v>224</v>
      </c>
      <c r="DS1778" s="1" t="s">
        <v>230</v>
      </c>
      <c r="DW1778" s="1" t="s">
        <v>230</v>
      </c>
      <c r="EA1778" s="1" t="s">
        <v>230</v>
      </c>
      <c r="EE1778" s="1" t="s">
        <v>230</v>
      </c>
      <c r="EI1778" s="1" t="s">
        <v>230</v>
      </c>
      <c r="EL1778" s="1" t="s">
        <v>605</v>
      </c>
      <c r="EM1778" s="1" t="s">
        <v>319</v>
      </c>
      <c r="EN1778" s="1" t="s">
        <v>282</v>
      </c>
      <c r="EO1778" s="1" t="s">
        <v>234</v>
      </c>
      <c r="EP1778" s="1" t="s">
        <v>16685</v>
      </c>
      <c r="EQ1778" s="1" t="s">
        <v>350</v>
      </c>
      <c r="ER1778" s="1" t="s">
        <v>210</v>
      </c>
      <c r="EW1778" s="1" t="s">
        <v>16686</v>
      </c>
      <c r="EZ1778" s="1" t="s">
        <v>287</v>
      </c>
      <c r="FB1778" s="1" t="s">
        <v>1755</v>
      </c>
      <c r="FC1778" s="1" t="s">
        <v>548</v>
      </c>
      <c r="FD1778" s="1" t="s">
        <v>246</v>
      </c>
      <c r="FE1778" s="1" t="s">
        <v>6104</v>
      </c>
      <c r="FF1778" s="1" t="s">
        <v>387</v>
      </c>
      <c r="FH1778" s="1" t="s">
        <v>2432</v>
      </c>
      <c r="FI1778" s="1" t="s">
        <v>1114</v>
      </c>
      <c r="FL1778" s="1" t="s">
        <v>1164</v>
      </c>
      <c r="FM1778" s="1" t="s">
        <v>252</v>
      </c>
      <c r="FN1778" s="1" t="s">
        <v>213</v>
      </c>
      <c r="FO1778" s="1" t="s">
        <v>213</v>
      </c>
      <c r="FQ1778" s="1" t="s">
        <v>16687</v>
      </c>
      <c r="FR1778" s="1" t="s">
        <v>210</v>
      </c>
      <c r="FS1778" s="1" t="s">
        <v>16688</v>
      </c>
      <c r="FT1778" s="1" t="s">
        <v>16689</v>
      </c>
      <c r="FU1778" s="1" t="s">
        <v>204</v>
      </c>
      <c r="FW1778" s="1" t="s">
        <v>16690</v>
      </c>
      <c r="FX1778" s="1">
        <v>12026</v>
      </c>
      <c r="FY1778" s="1" t="s">
        <v>16691</v>
      </c>
      <c r="FZ1778" s="1" t="s">
        <v>16692</v>
      </c>
      <c r="GA1778" s="1">
        <v>113059</v>
      </c>
      <c r="GB1778" s="1" t="s">
        <v>16691</v>
      </c>
      <c r="GC1778" s="1">
        <v>104419</v>
      </c>
      <c r="GE1778" s="1" t="s">
        <v>210</v>
      </c>
      <c r="GH1778" s="1" t="s">
        <v>800</v>
      </c>
      <c r="GI1778" s="1" t="s">
        <v>213</v>
      </c>
      <c r="GJ1778" s="1" t="s">
        <v>260</v>
      </c>
      <c r="GK1778" s="1" t="s">
        <v>210</v>
      </c>
      <c r="GL1778" s="2">
        <v>41995</v>
      </c>
    </row>
    <row r="1779" spans="1:195">
      <c r="A1779" s="1">
        <v>244000</v>
      </c>
      <c r="B1779" s="1" t="s">
        <v>195</v>
      </c>
      <c r="C1779" s="1" t="str">
        <f>"08719976"</f>
        <v>08719976</v>
      </c>
      <c r="D1779" s="1" t="s">
        <v>196</v>
      </c>
      <c r="F1779" s="1" t="str">
        <f t="shared" ref="F1779:F1780" si="1348">"540"</f>
        <v>540</v>
      </c>
      <c r="G1779" s="2">
        <v>41887</v>
      </c>
      <c r="H1779" s="1">
        <v>269900</v>
      </c>
      <c r="I1779" s="1">
        <v>250000</v>
      </c>
      <c r="J1779" s="1">
        <v>244000</v>
      </c>
      <c r="K1779" s="2">
        <v>41887</v>
      </c>
      <c r="L1779" s="1">
        <v>172</v>
      </c>
      <c r="M1779" s="2">
        <v>42058</v>
      </c>
      <c r="N1779" s="1">
        <v>172</v>
      </c>
      <c r="O1779" s="2">
        <v>42058</v>
      </c>
      <c r="P1779" s="1">
        <v>23156</v>
      </c>
      <c r="Q1779" s="1" t="s">
        <v>197</v>
      </c>
      <c r="R1779" s="2">
        <v>42096</v>
      </c>
      <c r="S1779" s="1">
        <v>243604</v>
      </c>
      <c r="U1779" s="1">
        <v>1489</v>
      </c>
      <c r="V1779" s="1" t="s">
        <v>859</v>
      </c>
      <c r="W1779" s="1" t="s">
        <v>304</v>
      </c>
      <c r="X1779" s="1">
        <v>1489</v>
      </c>
      <c r="Y1779" s="1">
        <v>4</v>
      </c>
      <c r="Z1779" s="1" t="s">
        <v>370</v>
      </c>
      <c r="AA1779" s="1" t="s">
        <v>921</v>
      </c>
      <c r="AB1779" s="1">
        <v>60564</v>
      </c>
      <c r="AD1779" s="1" t="s">
        <v>16693</v>
      </c>
      <c r="AE1779" s="1" t="s">
        <v>16694</v>
      </c>
      <c r="AF1779" s="1">
        <v>1993</v>
      </c>
      <c r="AG1779" s="1" t="s">
        <v>204</v>
      </c>
      <c r="AH1779" s="1" t="s">
        <v>1126</v>
      </c>
      <c r="AI1779" s="1" t="s">
        <v>206</v>
      </c>
      <c r="AJ1779" s="1" t="s">
        <v>924</v>
      </c>
      <c r="AL1779" s="1">
        <v>7</v>
      </c>
      <c r="AM1779" s="1">
        <v>2</v>
      </c>
      <c r="AN1779" s="1">
        <v>2</v>
      </c>
      <c r="AO1779" s="1">
        <v>2</v>
      </c>
      <c r="AP1779" s="1" t="s">
        <v>209</v>
      </c>
      <c r="AQ1779" s="1">
        <v>2</v>
      </c>
      <c r="AR1779" s="1" t="s">
        <v>209</v>
      </c>
      <c r="AS1779" s="1" t="s">
        <v>213</v>
      </c>
      <c r="AT1779" s="1" t="s">
        <v>211</v>
      </c>
      <c r="AU1779" s="1">
        <v>1</v>
      </c>
      <c r="AW1779" s="1" t="s">
        <v>213</v>
      </c>
      <c r="AX1779" s="1" t="s">
        <v>212</v>
      </c>
      <c r="AZ1779" s="1">
        <v>6222</v>
      </c>
      <c r="BA1779" s="1">
        <v>2013</v>
      </c>
      <c r="BB1779" s="1" t="s">
        <v>405</v>
      </c>
      <c r="BE1779" s="1">
        <v>1254</v>
      </c>
      <c r="BF1779" s="1">
        <v>1</v>
      </c>
      <c r="BG1779" s="1">
        <v>0</v>
      </c>
      <c r="BL1779" s="1">
        <v>267</v>
      </c>
      <c r="BM1779" s="1" t="s">
        <v>204</v>
      </c>
      <c r="BN1779" s="1" t="s">
        <v>213</v>
      </c>
      <c r="BO1779" s="1">
        <v>100</v>
      </c>
      <c r="BP1779" s="1" t="s">
        <v>204</v>
      </c>
      <c r="BR1779" s="1" t="str">
        <f>"0733310075"</f>
        <v>0733310075</v>
      </c>
      <c r="BT1779" s="1" t="s">
        <v>16695</v>
      </c>
      <c r="BU1779" s="1" t="s">
        <v>2534</v>
      </c>
      <c r="BV1779" s="1" t="s">
        <v>2535</v>
      </c>
      <c r="BW1779" s="1" t="s">
        <v>1312</v>
      </c>
      <c r="BX1779" s="1">
        <v>204</v>
      </c>
      <c r="BY1779" s="1">
        <v>204</v>
      </c>
      <c r="BZ1779" s="1">
        <v>204</v>
      </c>
      <c r="CB1779" s="1" t="str">
        <f t="shared" si="1347"/>
        <v>0</v>
      </c>
      <c r="CC1779" s="1" t="str">
        <f t="shared" ref="CC1779:CC1780" si="1349">"0"</f>
        <v>0</v>
      </c>
      <c r="CD1779" s="1">
        <v>30</v>
      </c>
      <c r="CE1779" s="1">
        <v>9</v>
      </c>
      <c r="CG1779" s="1" t="s">
        <v>2042</v>
      </c>
      <c r="CH1779" s="1" t="s">
        <v>219</v>
      </c>
      <c r="CI1779" s="1" t="s">
        <v>438</v>
      </c>
      <c r="CJ1779" s="1" t="s">
        <v>252</v>
      </c>
      <c r="CK1779" s="1" t="s">
        <v>932</v>
      </c>
      <c r="CL1779" s="1" t="s">
        <v>277</v>
      </c>
      <c r="CM1779" s="1" t="s">
        <v>220</v>
      </c>
      <c r="CN1779" s="1" t="s">
        <v>252</v>
      </c>
      <c r="CO1779" s="1" t="s">
        <v>629</v>
      </c>
      <c r="CP1779" s="1" t="s">
        <v>219</v>
      </c>
      <c r="CQ1779" s="1" t="s">
        <v>438</v>
      </c>
      <c r="CS1779" s="1" t="s">
        <v>1046</v>
      </c>
      <c r="CT1779" s="1" t="s">
        <v>277</v>
      </c>
      <c r="CU1779" s="1" t="s">
        <v>220</v>
      </c>
      <c r="CV1779" s="1" t="s">
        <v>252</v>
      </c>
      <c r="CX1779" s="1" t="s">
        <v>224</v>
      </c>
      <c r="DB1779" s="1" t="s">
        <v>224</v>
      </c>
      <c r="DE1779" s="1" t="s">
        <v>2203</v>
      </c>
      <c r="DF1779" s="1" t="s">
        <v>219</v>
      </c>
      <c r="DG1779" s="1" t="s">
        <v>226</v>
      </c>
      <c r="DH1779" s="1" t="s">
        <v>252</v>
      </c>
      <c r="DI1779" s="1" t="s">
        <v>2402</v>
      </c>
      <c r="DJ1779" s="1" t="s">
        <v>822</v>
      </c>
      <c r="DK1779" s="1" t="s">
        <v>220</v>
      </c>
      <c r="DM1779" s="1" t="s">
        <v>227</v>
      </c>
      <c r="DR1779" s="1" t="s">
        <v>379</v>
      </c>
      <c r="DS1779" s="1" t="s">
        <v>822</v>
      </c>
      <c r="DT1779" s="1" t="s">
        <v>220</v>
      </c>
      <c r="DW1779" s="1" t="s">
        <v>230</v>
      </c>
      <c r="EA1779" s="1" t="s">
        <v>230</v>
      </c>
      <c r="EE1779" s="1" t="s">
        <v>230</v>
      </c>
      <c r="EI1779" s="1" t="s">
        <v>230</v>
      </c>
      <c r="EL1779" s="1" t="s">
        <v>382</v>
      </c>
      <c r="EM1779" s="1" t="s">
        <v>319</v>
      </c>
      <c r="EN1779" s="1" t="s">
        <v>282</v>
      </c>
      <c r="EO1779" s="1" t="s">
        <v>234</v>
      </c>
      <c r="EP1779" s="1" t="s">
        <v>16696</v>
      </c>
      <c r="EQ1779" s="1" t="s">
        <v>671</v>
      </c>
      <c r="ER1779" s="1" t="s">
        <v>544</v>
      </c>
      <c r="ES1779" s="1" t="s">
        <v>824</v>
      </c>
      <c r="ET1779" s="1" t="s">
        <v>238</v>
      </c>
      <c r="EU1779" s="1" t="s">
        <v>16697</v>
      </c>
      <c r="EV1779" s="1" t="s">
        <v>240</v>
      </c>
      <c r="EW1779" s="1" t="s">
        <v>2538</v>
      </c>
      <c r="EZ1779" s="1" t="s">
        <v>227</v>
      </c>
      <c r="FA1779" s="1" t="s">
        <v>16698</v>
      </c>
      <c r="FB1779" s="1" t="s">
        <v>289</v>
      </c>
      <c r="FC1779" s="1" t="s">
        <v>2002</v>
      </c>
      <c r="FD1779" s="1" t="s">
        <v>246</v>
      </c>
      <c r="FE1779" s="1" t="s">
        <v>549</v>
      </c>
      <c r="FF1779" s="1" t="s">
        <v>248</v>
      </c>
      <c r="FG1779" s="1" t="s">
        <v>1682</v>
      </c>
      <c r="FH1779" s="1" t="s">
        <v>249</v>
      </c>
      <c r="FL1779" s="1" t="s">
        <v>414</v>
      </c>
      <c r="FM1779" s="1" t="s">
        <v>252</v>
      </c>
      <c r="FN1779" s="1" t="s">
        <v>213</v>
      </c>
      <c r="FO1779" s="1" t="s">
        <v>213</v>
      </c>
      <c r="FQ1779" s="1" t="s">
        <v>717</v>
      </c>
      <c r="FR1779" s="1" t="s">
        <v>210</v>
      </c>
      <c r="FS1779" s="1" t="s">
        <v>16699</v>
      </c>
      <c r="FT1779" s="1" t="s">
        <v>16700</v>
      </c>
      <c r="FU1779" s="1" t="s">
        <v>204</v>
      </c>
      <c r="FV1779" s="1">
        <v>6302967653</v>
      </c>
      <c r="FW1779" s="1" t="s">
        <v>3546</v>
      </c>
      <c r="FX1779" s="1">
        <v>24695</v>
      </c>
      <c r="FY1779" s="1" t="s">
        <v>3547</v>
      </c>
      <c r="FZ1779" s="1" t="s">
        <v>16701</v>
      </c>
      <c r="GA1779" s="1">
        <v>226390</v>
      </c>
      <c r="GB1779" s="1" t="s">
        <v>16702</v>
      </c>
      <c r="GE1779" s="1" t="s">
        <v>1256</v>
      </c>
      <c r="GI1779" s="1" t="s">
        <v>213</v>
      </c>
      <c r="GJ1779" s="1" t="s">
        <v>260</v>
      </c>
      <c r="GK1779" s="1" t="s">
        <v>210</v>
      </c>
      <c r="GL1779" s="2">
        <v>42097</v>
      </c>
    </row>
    <row r="1780" spans="1:195">
      <c r="A1780" s="1">
        <v>143800</v>
      </c>
      <c r="B1780" s="1" t="s">
        <v>195</v>
      </c>
      <c r="C1780" s="1" t="str">
        <f>"08720677"</f>
        <v>08720677</v>
      </c>
      <c r="D1780" s="1" t="s">
        <v>196</v>
      </c>
      <c r="F1780" s="1" t="str">
        <f t="shared" si="1348"/>
        <v>540</v>
      </c>
      <c r="G1780" s="2">
        <v>41887</v>
      </c>
      <c r="H1780" s="1">
        <v>159900</v>
      </c>
      <c r="I1780" s="1">
        <v>149900</v>
      </c>
      <c r="J1780" s="1">
        <v>143800</v>
      </c>
      <c r="K1780" s="2">
        <v>41887</v>
      </c>
      <c r="L1780" s="1">
        <v>120</v>
      </c>
      <c r="M1780" s="2">
        <v>42006</v>
      </c>
      <c r="N1780" s="1">
        <v>120</v>
      </c>
      <c r="O1780" s="2">
        <v>42006</v>
      </c>
      <c r="P1780" s="1">
        <v>23076</v>
      </c>
      <c r="Q1780" s="1" t="s">
        <v>423</v>
      </c>
      <c r="R1780" s="2">
        <v>42061</v>
      </c>
      <c r="S1780" s="1">
        <v>235427</v>
      </c>
      <c r="U1780" s="1">
        <v>1288</v>
      </c>
      <c r="V1780" s="1" t="s">
        <v>8143</v>
      </c>
      <c r="W1780" s="1" t="s">
        <v>504</v>
      </c>
      <c r="X1780" s="1">
        <v>201</v>
      </c>
      <c r="Y1780" s="1">
        <v>8</v>
      </c>
      <c r="Z1780" s="1" t="s">
        <v>249</v>
      </c>
      <c r="AA1780" s="1" t="s">
        <v>921</v>
      </c>
      <c r="AB1780" s="1">
        <v>60540</v>
      </c>
      <c r="AC1780" s="1">
        <v>330</v>
      </c>
      <c r="AD1780" s="1" t="s">
        <v>11017</v>
      </c>
      <c r="AE1780" s="1" t="s">
        <v>16703</v>
      </c>
      <c r="AF1780" s="1">
        <v>1988</v>
      </c>
      <c r="AG1780" s="1" t="s">
        <v>204</v>
      </c>
      <c r="AH1780" s="1" t="s">
        <v>924</v>
      </c>
      <c r="AI1780" s="1" t="s">
        <v>206</v>
      </c>
      <c r="AJ1780" s="1" t="s">
        <v>924</v>
      </c>
      <c r="AK1780" s="1" t="s">
        <v>16704</v>
      </c>
      <c r="AL1780" s="1">
        <v>5</v>
      </c>
      <c r="AM1780" s="1">
        <v>2</v>
      </c>
      <c r="AN1780" s="1">
        <v>2</v>
      </c>
      <c r="AO1780" s="1">
        <v>0</v>
      </c>
      <c r="AP1780" s="1" t="s">
        <v>209</v>
      </c>
      <c r="AQ1780" s="1">
        <v>1</v>
      </c>
      <c r="AR1780" s="1" t="s">
        <v>210</v>
      </c>
      <c r="AT1780" s="1" t="s">
        <v>211</v>
      </c>
      <c r="AU1780" s="1">
        <v>1</v>
      </c>
      <c r="AW1780" s="1" t="s">
        <v>204</v>
      </c>
      <c r="AX1780" s="1" t="s">
        <v>212</v>
      </c>
      <c r="AZ1780" s="1">
        <v>3331</v>
      </c>
      <c r="BA1780" s="1">
        <v>2013</v>
      </c>
      <c r="BB1780" s="1" t="s">
        <v>210</v>
      </c>
      <c r="BE1780" s="1">
        <v>1149</v>
      </c>
      <c r="BF1780" s="1">
        <v>1</v>
      </c>
      <c r="BG1780" s="1">
        <v>0</v>
      </c>
      <c r="BL1780" s="1">
        <v>212</v>
      </c>
      <c r="BM1780" s="1" t="s">
        <v>204</v>
      </c>
      <c r="BN1780" s="1" t="s">
        <v>213</v>
      </c>
      <c r="BO1780" s="1">
        <v>999</v>
      </c>
      <c r="BP1780" s="1" t="s">
        <v>204</v>
      </c>
      <c r="BR1780" s="1" t="str">
        <f>"0726212015"</f>
        <v>0726212015</v>
      </c>
      <c r="BT1780" s="1" t="s">
        <v>16705</v>
      </c>
      <c r="BU1780" s="1" t="s">
        <v>3988</v>
      </c>
      <c r="BV1780" s="1" t="s">
        <v>1248</v>
      </c>
      <c r="BW1780" s="1" t="s">
        <v>1131</v>
      </c>
      <c r="BX1780" s="1">
        <v>204</v>
      </c>
      <c r="BY1780" s="1">
        <v>204</v>
      </c>
      <c r="BZ1780" s="1">
        <v>204</v>
      </c>
      <c r="CB1780" s="1" t="str">
        <f t="shared" si="1347"/>
        <v>0</v>
      </c>
      <c r="CC1780" s="1" t="str">
        <f t="shared" si="1349"/>
        <v>0</v>
      </c>
      <c r="CD1780" s="1">
        <v>28</v>
      </c>
      <c r="CE1780" s="1">
        <v>8</v>
      </c>
      <c r="CG1780" s="1" t="s">
        <v>7317</v>
      </c>
      <c r="CH1780" s="1" t="s">
        <v>219</v>
      </c>
      <c r="CI1780" s="1" t="s">
        <v>229</v>
      </c>
      <c r="CJ1780" s="1" t="s">
        <v>252</v>
      </c>
      <c r="CK1780" s="1" t="s">
        <v>564</v>
      </c>
      <c r="CL1780" s="1" t="s">
        <v>219</v>
      </c>
      <c r="CM1780" s="1" t="s">
        <v>220</v>
      </c>
      <c r="CN1780" s="1" t="s">
        <v>252</v>
      </c>
      <c r="CO1780" s="1" t="s">
        <v>629</v>
      </c>
      <c r="CP1780" s="1" t="s">
        <v>219</v>
      </c>
      <c r="CQ1780" s="1" t="s">
        <v>229</v>
      </c>
      <c r="CR1780" s="1" t="s">
        <v>252</v>
      </c>
      <c r="CS1780" s="1" t="s">
        <v>379</v>
      </c>
      <c r="CT1780" s="1" t="s">
        <v>219</v>
      </c>
      <c r="CU1780" s="1" t="s">
        <v>220</v>
      </c>
      <c r="CV1780" s="1" t="s">
        <v>252</v>
      </c>
      <c r="CX1780" s="1" t="s">
        <v>224</v>
      </c>
      <c r="DB1780" s="1" t="s">
        <v>224</v>
      </c>
      <c r="DE1780" s="1" t="s">
        <v>379</v>
      </c>
      <c r="DF1780" s="1" t="s">
        <v>219</v>
      </c>
      <c r="DG1780" s="1" t="s">
        <v>229</v>
      </c>
      <c r="DH1780" s="1" t="s">
        <v>252</v>
      </c>
      <c r="DJ1780" s="1" t="s">
        <v>224</v>
      </c>
      <c r="DS1780" s="1" t="s">
        <v>230</v>
      </c>
      <c r="DW1780" s="1" t="s">
        <v>230</v>
      </c>
      <c r="EA1780" s="1" t="s">
        <v>230</v>
      </c>
      <c r="EE1780" s="1" t="s">
        <v>230</v>
      </c>
      <c r="EI1780" s="1" t="s">
        <v>230</v>
      </c>
      <c r="EL1780" s="1" t="s">
        <v>542</v>
      </c>
      <c r="EM1780" s="1" t="s">
        <v>319</v>
      </c>
      <c r="EN1780" s="1" t="s">
        <v>282</v>
      </c>
      <c r="EO1780" s="1" t="s">
        <v>840</v>
      </c>
      <c r="EP1780" s="1" t="s">
        <v>650</v>
      </c>
      <c r="EQ1780" s="1" t="s">
        <v>1094</v>
      </c>
      <c r="ER1780" s="1" t="s">
        <v>383</v>
      </c>
      <c r="ES1780" s="1" t="s">
        <v>824</v>
      </c>
      <c r="ET1780" s="1" t="s">
        <v>1752</v>
      </c>
      <c r="EU1780" s="1" t="s">
        <v>712</v>
      </c>
      <c r="EV1780" s="1" t="s">
        <v>240</v>
      </c>
      <c r="EW1780" s="1" t="s">
        <v>353</v>
      </c>
      <c r="EY1780" s="1" t="s">
        <v>790</v>
      </c>
      <c r="EZ1780" s="1" t="s">
        <v>287</v>
      </c>
      <c r="FA1780" s="1" t="s">
        <v>672</v>
      </c>
      <c r="FB1780" s="1" t="s">
        <v>289</v>
      </c>
      <c r="FC1780" s="1" t="s">
        <v>1386</v>
      </c>
      <c r="FD1780" s="1" t="s">
        <v>246</v>
      </c>
      <c r="FE1780" s="1" t="s">
        <v>355</v>
      </c>
      <c r="FF1780" s="1" t="s">
        <v>248</v>
      </c>
      <c r="FG1780" s="1" t="s">
        <v>2739</v>
      </c>
      <c r="FH1780" s="1" t="s">
        <v>249</v>
      </c>
      <c r="FI1780" s="1" t="s">
        <v>473</v>
      </c>
      <c r="FJ1780" s="1" t="s">
        <v>518</v>
      </c>
      <c r="FL1780" s="1" t="s">
        <v>358</v>
      </c>
      <c r="FM1780" s="1" t="s">
        <v>252</v>
      </c>
      <c r="FN1780" s="1" t="s">
        <v>213</v>
      </c>
      <c r="FO1780" s="1" t="s">
        <v>213</v>
      </c>
      <c r="FQ1780" s="1" t="s">
        <v>1115</v>
      </c>
      <c r="FR1780" s="1" t="s">
        <v>210</v>
      </c>
      <c r="FS1780" s="1" t="s">
        <v>16706</v>
      </c>
      <c r="FT1780" s="1" t="s">
        <v>255</v>
      </c>
      <c r="FU1780" s="1" t="s">
        <v>204</v>
      </c>
      <c r="FV1780" s="1" t="s">
        <v>16707</v>
      </c>
      <c r="FW1780" s="1" t="s">
        <v>16708</v>
      </c>
      <c r="FX1780" s="1">
        <v>23237</v>
      </c>
      <c r="FY1780" s="1" t="s">
        <v>16709</v>
      </c>
      <c r="FZ1780" s="1" t="s">
        <v>16710</v>
      </c>
      <c r="GA1780" s="1">
        <v>232841</v>
      </c>
      <c r="GB1780" s="1" t="s">
        <v>16709</v>
      </c>
      <c r="GD1780" s="1" t="s">
        <v>16711</v>
      </c>
      <c r="GE1780" s="1" t="s">
        <v>335</v>
      </c>
      <c r="GI1780" s="1" t="s">
        <v>213</v>
      </c>
      <c r="GJ1780" s="1" t="s">
        <v>260</v>
      </c>
      <c r="GK1780" s="1" t="s">
        <v>210</v>
      </c>
      <c r="GL1780" s="2">
        <v>42061</v>
      </c>
      <c r="GM1780" s="1" t="s">
        <v>16712</v>
      </c>
    </row>
    <row r="1781" spans="1:195">
      <c r="A1781" s="1">
        <v>249000</v>
      </c>
      <c r="B1781" s="1" t="s">
        <v>195</v>
      </c>
      <c r="C1781" s="1" t="str">
        <f>"08720488"</f>
        <v>08720488</v>
      </c>
      <c r="D1781" s="1" t="s">
        <v>196</v>
      </c>
      <c r="F1781" s="1" t="str">
        <f>"10"</f>
        <v>10</v>
      </c>
      <c r="G1781" s="2">
        <v>41887</v>
      </c>
      <c r="H1781" s="1">
        <v>258000</v>
      </c>
      <c r="I1781" s="1">
        <v>258000</v>
      </c>
      <c r="J1781" s="1">
        <v>249000</v>
      </c>
      <c r="K1781" s="2">
        <v>41887</v>
      </c>
      <c r="L1781" s="1">
        <v>233</v>
      </c>
      <c r="M1781" s="2">
        <v>41949</v>
      </c>
      <c r="N1781" s="1">
        <v>63</v>
      </c>
      <c r="O1781" s="2">
        <v>41949</v>
      </c>
      <c r="P1781" s="1">
        <v>90811</v>
      </c>
      <c r="Q1781" s="1" t="s">
        <v>302</v>
      </c>
      <c r="R1781" s="2">
        <v>41983</v>
      </c>
      <c r="S1781" s="1">
        <v>901339</v>
      </c>
      <c r="U1781" s="1">
        <v>90</v>
      </c>
      <c r="V1781" s="1" t="s">
        <v>16713</v>
      </c>
      <c r="W1781" s="1" t="s">
        <v>526</v>
      </c>
      <c r="Y1781" s="1">
        <v>4</v>
      </c>
      <c r="Z1781" s="1" t="s">
        <v>200</v>
      </c>
      <c r="AA1781" s="1" t="s">
        <v>1985</v>
      </c>
      <c r="AB1781" s="1">
        <v>60010</v>
      </c>
      <c r="AD1781" s="1" t="s">
        <v>1986</v>
      </c>
      <c r="AE1781" s="1" t="s">
        <v>16714</v>
      </c>
      <c r="AF1781" s="1">
        <v>1977</v>
      </c>
      <c r="AG1781" s="1" t="s">
        <v>213</v>
      </c>
      <c r="AH1781" s="1" t="s">
        <v>1988</v>
      </c>
      <c r="AI1781" s="1" t="s">
        <v>509</v>
      </c>
      <c r="AJ1781" s="1" t="s">
        <v>1989</v>
      </c>
      <c r="AK1781" s="1" t="s">
        <v>1460</v>
      </c>
      <c r="AL1781" s="1">
        <v>7</v>
      </c>
      <c r="AM1781" s="1">
        <v>2</v>
      </c>
      <c r="AN1781" s="1">
        <v>2</v>
      </c>
      <c r="AO1781" s="1">
        <v>2</v>
      </c>
      <c r="AP1781" s="1" t="s">
        <v>209</v>
      </c>
      <c r="AQ1781" s="1">
        <v>1</v>
      </c>
      <c r="AR1781" s="1" t="s">
        <v>1421</v>
      </c>
      <c r="AS1781" s="1" t="s">
        <v>213</v>
      </c>
      <c r="AT1781" s="1" t="s">
        <v>211</v>
      </c>
      <c r="AU1781" s="1">
        <v>2</v>
      </c>
      <c r="AW1781" s="1" t="s">
        <v>204</v>
      </c>
      <c r="AX1781" s="1" t="s">
        <v>212</v>
      </c>
      <c r="AZ1781" s="1">
        <v>5896</v>
      </c>
      <c r="BA1781" s="1">
        <v>2012</v>
      </c>
      <c r="BB1781" s="1" t="s">
        <v>405</v>
      </c>
      <c r="BE1781" s="1">
        <v>2276</v>
      </c>
      <c r="BF1781" s="1">
        <v>1</v>
      </c>
      <c r="BG1781" s="1">
        <v>30</v>
      </c>
      <c r="BL1781" s="1">
        <v>508</v>
      </c>
      <c r="BM1781" s="1" t="s">
        <v>204</v>
      </c>
      <c r="BN1781" s="1" t="s">
        <v>213</v>
      </c>
      <c r="BO1781" s="1">
        <v>25</v>
      </c>
      <c r="BP1781" s="1" t="s">
        <v>204</v>
      </c>
      <c r="BR1781" s="1" t="str">
        <f>"13112001230000"</f>
        <v>13112001230000</v>
      </c>
      <c r="BT1781" s="1" t="s">
        <v>16715</v>
      </c>
      <c r="BU1781" s="1" t="s">
        <v>1992</v>
      </c>
      <c r="BV1781" s="1" t="s">
        <v>1993</v>
      </c>
      <c r="BW1781" s="1" t="s">
        <v>1994</v>
      </c>
      <c r="BX1781" s="1">
        <v>220</v>
      </c>
      <c r="BY1781" s="1">
        <v>220</v>
      </c>
      <c r="BZ1781" s="1">
        <v>220</v>
      </c>
      <c r="CB1781" s="1" t="str">
        <f>"24"</f>
        <v>24</v>
      </c>
      <c r="CC1781" s="1" t="str">
        <f>""</f>
        <v/>
      </c>
      <c r="CD1781" s="1">
        <v>26</v>
      </c>
      <c r="CG1781" s="1" t="s">
        <v>539</v>
      </c>
      <c r="CH1781" s="1" t="s">
        <v>219</v>
      </c>
      <c r="CI1781" s="1" t="s">
        <v>438</v>
      </c>
      <c r="CJ1781" s="1" t="s">
        <v>343</v>
      </c>
      <c r="CK1781" s="1" t="s">
        <v>669</v>
      </c>
      <c r="CL1781" s="1" t="s">
        <v>277</v>
      </c>
      <c r="CM1781" s="1" t="s">
        <v>220</v>
      </c>
      <c r="CN1781" s="1" t="s">
        <v>343</v>
      </c>
      <c r="CO1781" s="1" t="s">
        <v>3034</v>
      </c>
      <c r="CP1781" s="1" t="s">
        <v>219</v>
      </c>
      <c r="CQ1781" s="1" t="s">
        <v>220</v>
      </c>
      <c r="CR1781" s="1" t="s">
        <v>343</v>
      </c>
      <c r="CS1781" s="1" t="s">
        <v>539</v>
      </c>
      <c r="CT1781" s="1" t="s">
        <v>277</v>
      </c>
      <c r="CU1781" s="1" t="s">
        <v>220</v>
      </c>
      <c r="CV1781" s="1" t="s">
        <v>343</v>
      </c>
      <c r="CX1781" s="1" t="s">
        <v>224</v>
      </c>
      <c r="DB1781" s="1" t="s">
        <v>224</v>
      </c>
      <c r="DE1781" s="1" t="s">
        <v>3872</v>
      </c>
      <c r="DF1781" s="1" t="s">
        <v>219</v>
      </c>
      <c r="DG1781" s="1" t="s">
        <v>438</v>
      </c>
      <c r="DH1781" s="1" t="s">
        <v>343</v>
      </c>
      <c r="DI1781" s="1" t="s">
        <v>1155</v>
      </c>
      <c r="DJ1781" s="1" t="s">
        <v>219</v>
      </c>
      <c r="DK1781" s="1" t="s">
        <v>220</v>
      </c>
      <c r="DL1781" s="1" t="s">
        <v>343</v>
      </c>
      <c r="DM1781" s="1" t="s">
        <v>934</v>
      </c>
      <c r="DN1781" s="1" t="s">
        <v>709</v>
      </c>
      <c r="DO1781" s="1" t="s">
        <v>2278</v>
      </c>
      <c r="DR1781" s="1" t="s">
        <v>4460</v>
      </c>
      <c r="DS1781" s="1" t="s">
        <v>822</v>
      </c>
      <c r="DT1781" s="1" t="s">
        <v>220</v>
      </c>
      <c r="DU1781" s="1" t="s">
        <v>343</v>
      </c>
      <c r="DV1781" s="1" t="s">
        <v>12437</v>
      </c>
      <c r="DW1781" s="1" t="s">
        <v>219</v>
      </c>
      <c r="DY1781" s="1" t="s">
        <v>210</v>
      </c>
      <c r="DZ1781" s="1" t="s">
        <v>687</v>
      </c>
      <c r="EA1781" s="1" t="s">
        <v>822</v>
      </c>
      <c r="EB1781" s="1" t="s">
        <v>342</v>
      </c>
      <c r="EC1781" s="1" t="s">
        <v>210</v>
      </c>
      <c r="EE1781" s="1" t="s">
        <v>230</v>
      </c>
      <c r="EI1781" s="1" t="s">
        <v>230</v>
      </c>
      <c r="EL1781" s="1" t="s">
        <v>231</v>
      </c>
      <c r="EM1781" s="1" t="s">
        <v>761</v>
      </c>
      <c r="EN1781" s="1" t="s">
        <v>282</v>
      </c>
      <c r="EO1781" s="1" t="s">
        <v>234</v>
      </c>
      <c r="EP1781" s="1" t="s">
        <v>16716</v>
      </c>
      <c r="EQ1781" s="1" t="s">
        <v>8644</v>
      </c>
      <c r="ER1781" s="1" t="s">
        <v>544</v>
      </c>
      <c r="ES1781" s="1" t="s">
        <v>322</v>
      </c>
      <c r="ET1781" s="1" t="s">
        <v>238</v>
      </c>
      <c r="EU1781" s="1" t="s">
        <v>4524</v>
      </c>
      <c r="EV1781" s="1" t="s">
        <v>352</v>
      </c>
      <c r="EW1781" s="1" t="s">
        <v>16717</v>
      </c>
      <c r="EZ1781" s="1" t="s">
        <v>16718</v>
      </c>
      <c r="FA1781" s="1" t="s">
        <v>2683</v>
      </c>
      <c r="FB1781" s="1" t="s">
        <v>244</v>
      </c>
      <c r="FD1781" s="1" t="s">
        <v>246</v>
      </c>
      <c r="FE1781" s="1" t="s">
        <v>889</v>
      </c>
      <c r="FF1781" s="1" t="s">
        <v>248</v>
      </c>
      <c r="FG1781" s="1" t="s">
        <v>16719</v>
      </c>
      <c r="FH1781" s="1" t="s">
        <v>550</v>
      </c>
      <c r="FI1781" s="1" t="s">
        <v>357</v>
      </c>
      <c r="FL1781" s="1" t="s">
        <v>292</v>
      </c>
      <c r="FM1781" s="1" t="s">
        <v>252</v>
      </c>
      <c r="FN1781" s="1" t="s">
        <v>213</v>
      </c>
      <c r="FO1781" s="1" t="s">
        <v>213</v>
      </c>
      <c r="FQ1781" s="1" t="s">
        <v>2004</v>
      </c>
      <c r="FR1781" s="1" t="s">
        <v>210</v>
      </c>
      <c r="FS1781" s="1" t="s">
        <v>16720</v>
      </c>
      <c r="FT1781" s="1" t="s">
        <v>295</v>
      </c>
      <c r="FU1781" s="1" t="s">
        <v>204</v>
      </c>
      <c r="FW1781" s="1" t="s">
        <v>2006</v>
      </c>
      <c r="FX1781" s="1">
        <v>4777</v>
      </c>
      <c r="FY1781" s="1" t="s">
        <v>2007</v>
      </c>
      <c r="FZ1781" s="1" t="s">
        <v>16721</v>
      </c>
      <c r="GA1781" s="1">
        <v>61410</v>
      </c>
      <c r="GB1781" s="1" t="s">
        <v>16722</v>
      </c>
      <c r="GC1781" s="1">
        <v>241447</v>
      </c>
      <c r="GE1781" s="1" t="s">
        <v>480</v>
      </c>
      <c r="GI1781" s="1" t="s">
        <v>213</v>
      </c>
      <c r="GJ1781" s="1" t="s">
        <v>260</v>
      </c>
      <c r="GK1781" s="1" t="s">
        <v>210</v>
      </c>
      <c r="GL1781" s="2">
        <v>41984</v>
      </c>
    </row>
    <row r="1782" spans="1:195">
      <c r="A1782" s="1">
        <v>195000</v>
      </c>
      <c r="B1782" s="1" t="s">
        <v>195</v>
      </c>
      <c r="C1782" s="1" t="str">
        <f>"08719127"</f>
        <v>08719127</v>
      </c>
      <c r="D1782" s="1" t="s">
        <v>196</v>
      </c>
      <c r="F1782" s="1" t="str">
        <f>"531"</f>
        <v>531</v>
      </c>
      <c r="G1782" s="2">
        <v>41886</v>
      </c>
      <c r="H1782" s="1">
        <v>225000</v>
      </c>
      <c r="I1782" s="1">
        <v>225000</v>
      </c>
      <c r="J1782" s="1">
        <v>195000</v>
      </c>
      <c r="K1782" s="2">
        <v>41886</v>
      </c>
      <c r="L1782" s="1">
        <v>117</v>
      </c>
      <c r="M1782" s="2">
        <v>42002</v>
      </c>
      <c r="N1782" s="1">
        <v>117</v>
      </c>
      <c r="O1782" s="2">
        <v>42002</v>
      </c>
      <c r="P1782" s="1">
        <v>25518</v>
      </c>
      <c r="Q1782" s="1" t="s">
        <v>197</v>
      </c>
      <c r="R1782" s="2">
        <v>42058</v>
      </c>
      <c r="S1782" s="1">
        <v>215957</v>
      </c>
      <c r="U1782" s="1">
        <v>127</v>
      </c>
      <c r="V1782" s="1" t="s">
        <v>6937</v>
      </c>
      <c r="W1782" s="1" t="s">
        <v>449</v>
      </c>
      <c r="X1782" s="1">
        <v>109</v>
      </c>
      <c r="Y1782" s="1">
        <v>49</v>
      </c>
      <c r="Z1782" s="1" t="s">
        <v>249</v>
      </c>
      <c r="AA1782" s="1" t="s">
        <v>2326</v>
      </c>
      <c r="AB1782" s="1">
        <v>60525</v>
      </c>
      <c r="AE1782" s="1" t="s">
        <v>16723</v>
      </c>
      <c r="AF1782" s="1">
        <v>1991</v>
      </c>
      <c r="AG1782" s="1" t="s">
        <v>204</v>
      </c>
      <c r="AH1782" s="1" t="s">
        <v>2329</v>
      </c>
      <c r="AI1782" s="1" t="s">
        <v>310</v>
      </c>
      <c r="AJ1782" s="1" t="s">
        <v>702</v>
      </c>
      <c r="AL1782" s="1">
        <v>6</v>
      </c>
      <c r="AM1782" s="1">
        <v>2</v>
      </c>
      <c r="AN1782" s="1">
        <v>2</v>
      </c>
      <c r="AO1782" s="1">
        <v>0</v>
      </c>
      <c r="AP1782" s="1" t="s">
        <v>209</v>
      </c>
      <c r="AQ1782" s="1">
        <v>1</v>
      </c>
      <c r="AR1782" s="1" t="s">
        <v>210</v>
      </c>
      <c r="AS1782" s="1" t="s">
        <v>204</v>
      </c>
      <c r="AT1782" s="1" t="s">
        <v>211</v>
      </c>
      <c r="AU1782" s="1">
        <v>1</v>
      </c>
      <c r="AW1782" s="1" t="s">
        <v>204</v>
      </c>
      <c r="AX1782" s="1" t="s">
        <v>212</v>
      </c>
      <c r="AZ1782" s="1">
        <v>2681.07</v>
      </c>
      <c r="BA1782" s="1">
        <v>2012</v>
      </c>
      <c r="BB1782" s="1" t="s">
        <v>599</v>
      </c>
      <c r="BE1782" s="1">
        <v>0</v>
      </c>
      <c r="BF1782" s="1">
        <v>1</v>
      </c>
      <c r="BG1782" s="1">
        <v>30</v>
      </c>
      <c r="BL1782" s="1">
        <v>362</v>
      </c>
      <c r="BM1782" s="1" t="s">
        <v>413</v>
      </c>
      <c r="BN1782" s="1" t="s">
        <v>204</v>
      </c>
      <c r="BP1782" s="1" t="s">
        <v>204</v>
      </c>
      <c r="BR1782" s="1" t="str">
        <f>"18201000791008"</f>
        <v>18201000791008</v>
      </c>
      <c r="BT1782" s="1" t="s">
        <v>16724</v>
      </c>
      <c r="BX1782" s="1">
        <v>106</v>
      </c>
      <c r="BY1782" s="1">
        <v>106</v>
      </c>
      <c r="BZ1782" s="1">
        <v>204</v>
      </c>
      <c r="CB1782" s="1" t="str">
        <f t="shared" ref="CB1782:CC1782" si="1350">""</f>
        <v/>
      </c>
      <c r="CC1782" s="1" t="str">
        <f t="shared" si="1350"/>
        <v/>
      </c>
      <c r="CG1782" s="1" t="s">
        <v>218</v>
      </c>
      <c r="CH1782" s="1" t="s">
        <v>219</v>
      </c>
      <c r="CI1782" s="1" t="s">
        <v>220</v>
      </c>
      <c r="CJ1782" s="1" t="s">
        <v>463</v>
      </c>
      <c r="CK1782" s="1" t="s">
        <v>1936</v>
      </c>
      <c r="CL1782" s="1" t="s">
        <v>219</v>
      </c>
      <c r="CM1782" s="1" t="s">
        <v>220</v>
      </c>
      <c r="CN1782" s="1" t="s">
        <v>463</v>
      </c>
      <c r="CO1782" s="1" t="s">
        <v>465</v>
      </c>
      <c r="CP1782" s="1" t="s">
        <v>219</v>
      </c>
      <c r="CQ1782" s="1" t="s">
        <v>220</v>
      </c>
      <c r="CR1782" s="1" t="s">
        <v>210</v>
      </c>
      <c r="CS1782" s="1" t="s">
        <v>465</v>
      </c>
      <c r="CT1782" s="1" t="s">
        <v>219</v>
      </c>
      <c r="CU1782" s="1" t="s">
        <v>220</v>
      </c>
      <c r="CV1782" s="1" t="s">
        <v>463</v>
      </c>
      <c r="CX1782" s="1" t="s">
        <v>224</v>
      </c>
      <c r="DB1782" s="1" t="s">
        <v>224</v>
      </c>
      <c r="DE1782" s="1" t="s">
        <v>4147</v>
      </c>
      <c r="DF1782" s="1" t="s">
        <v>219</v>
      </c>
      <c r="DG1782" s="1" t="s">
        <v>342</v>
      </c>
      <c r="DH1782" s="1" t="s">
        <v>343</v>
      </c>
      <c r="DI1782" s="1" t="s">
        <v>315</v>
      </c>
      <c r="DJ1782" s="1" t="s">
        <v>219</v>
      </c>
      <c r="DK1782" s="1" t="s">
        <v>220</v>
      </c>
      <c r="DL1782" s="1" t="s">
        <v>343</v>
      </c>
      <c r="DS1782" s="1" t="s">
        <v>230</v>
      </c>
      <c r="DW1782" s="1" t="s">
        <v>230</v>
      </c>
      <c r="EA1782" s="1" t="s">
        <v>230</v>
      </c>
      <c r="EE1782" s="1" t="s">
        <v>230</v>
      </c>
      <c r="EI1782" s="1" t="s">
        <v>230</v>
      </c>
      <c r="EL1782" s="1" t="s">
        <v>382</v>
      </c>
      <c r="EM1782" s="1" t="s">
        <v>319</v>
      </c>
      <c r="EN1782" s="1" t="s">
        <v>282</v>
      </c>
      <c r="EO1782" s="1" t="s">
        <v>234</v>
      </c>
      <c r="ER1782" s="1" t="s">
        <v>210</v>
      </c>
      <c r="EW1782" s="1" t="s">
        <v>16725</v>
      </c>
      <c r="EZ1782" s="1" t="s">
        <v>287</v>
      </c>
      <c r="FB1782" s="1" t="s">
        <v>289</v>
      </c>
      <c r="FD1782" s="1" t="s">
        <v>1112</v>
      </c>
      <c r="FE1782" s="1" t="s">
        <v>247</v>
      </c>
      <c r="FF1782" s="1" t="s">
        <v>248</v>
      </c>
      <c r="FH1782" s="1" t="s">
        <v>249</v>
      </c>
      <c r="FI1782" s="1" t="s">
        <v>848</v>
      </c>
      <c r="FL1782" s="1" t="s">
        <v>414</v>
      </c>
      <c r="FM1782" s="1" t="s">
        <v>252</v>
      </c>
      <c r="FN1782" s="1" t="s">
        <v>213</v>
      </c>
      <c r="FO1782" s="1" t="s">
        <v>213</v>
      </c>
      <c r="FQ1782" s="1" t="s">
        <v>793</v>
      </c>
      <c r="FR1782" s="1" t="s">
        <v>210</v>
      </c>
      <c r="FS1782" s="1" t="s">
        <v>475</v>
      </c>
      <c r="FT1782" s="1" t="s">
        <v>675</v>
      </c>
      <c r="FU1782" s="1" t="s">
        <v>204</v>
      </c>
      <c r="FW1782" s="1" t="s">
        <v>915</v>
      </c>
      <c r="FX1782" s="1">
        <v>22049</v>
      </c>
      <c r="FY1782" s="1" t="s">
        <v>4731</v>
      </c>
      <c r="FZ1782" s="1" t="s">
        <v>11485</v>
      </c>
      <c r="GA1782" s="1">
        <v>223474</v>
      </c>
      <c r="GB1782" s="1" t="s">
        <v>11486</v>
      </c>
      <c r="GE1782" s="1" t="s">
        <v>1576</v>
      </c>
      <c r="GI1782" s="1" t="s">
        <v>213</v>
      </c>
      <c r="GJ1782" s="1" t="s">
        <v>260</v>
      </c>
      <c r="GK1782" s="1" t="s">
        <v>210</v>
      </c>
      <c r="GL1782" s="2">
        <v>42059</v>
      </c>
    </row>
    <row r="1783" spans="1:195">
      <c r="A1783" s="1">
        <v>189000</v>
      </c>
      <c r="B1783" s="1" t="s">
        <v>195</v>
      </c>
      <c r="C1783" s="1" t="str">
        <f>"08715158"</f>
        <v>08715158</v>
      </c>
      <c r="D1783" s="1" t="s">
        <v>196</v>
      </c>
      <c r="F1783" s="1" t="str">
        <f>"515"</f>
        <v>515</v>
      </c>
      <c r="G1783" s="2">
        <v>41881</v>
      </c>
      <c r="H1783" s="1">
        <v>199000</v>
      </c>
      <c r="I1783" s="1">
        <v>194900</v>
      </c>
      <c r="J1783" s="1">
        <v>189000</v>
      </c>
      <c r="K1783" s="2">
        <v>41881</v>
      </c>
      <c r="L1783" s="1">
        <v>95</v>
      </c>
      <c r="M1783" s="2">
        <v>41975</v>
      </c>
      <c r="N1783" s="1">
        <v>95</v>
      </c>
      <c r="O1783" s="2">
        <v>41975</v>
      </c>
      <c r="P1783" s="1">
        <v>24269</v>
      </c>
      <c r="Q1783" s="1" t="s">
        <v>197</v>
      </c>
      <c r="R1783" s="2">
        <v>42039</v>
      </c>
      <c r="S1783" s="1">
        <v>245458</v>
      </c>
      <c r="U1783" s="1">
        <v>1949</v>
      </c>
      <c r="V1783" s="1" t="s">
        <v>16726</v>
      </c>
      <c r="W1783" s="1" t="s">
        <v>779</v>
      </c>
      <c r="Y1783" s="1">
        <v>4</v>
      </c>
      <c r="Z1783" s="1" t="s">
        <v>370</v>
      </c>
      <c r="AA1783" s="1" t="s">
        <v>1294</v>
      </c>
      <c r="AB1783" s="1">
        <v>60516</v>
      </c>
      <c r="AD1783" s="1" t="s">
        <v>16727</v>
      </c>
      <c r="AE1783" s="1" t="s">
        <v>16728</v>
      </c>
      <c r="AF1783" s="1">
        <v>1987</v>
      </c>
      <c r="AG1783" s="1" t="s">
        <v>204</v>
      </c>
      <c r="AH1783" s="1" t="s">
        <v>903</v>
      </c>
      <c r="AI1783" s="1" t="s">
        <v>206</v>
      </c>
      <c r="AJ1783" s="1" t="s">
        <v>903</v>
      </c>
      <c r="AL1783" s="1">
        <v>5</v>
      </c>
      <c r="AM1783" s="1">
        <v>2</v>
      </c>
      <c r="AN1783" s="1">
        <v>2</v>
      </c>
      <c r="AO1783" s="1">
        <v>1</v>
      </c>
      <c r="AP1783" s="1" t="s">
        <v>209</v>
      </c>
      <c r="AQ1783" s="1">
        <v>1</v>
      </c>
      <c r="AR1783" s="1" t="s">
        <v>210</v>
      </c>
      <c r="AS1783" s="1" t="s">
        <v>204</v>
      </c>
      <c r="AT1783" s="1" t="s">
        <v>211</v>
      </c>
      <c r="AU1783" s="1">
        <v>2</v>
      </c>
      <c r="AW1783" s="1" t="s">
        <v>204</v>
      </c>
      <c r="AX1783" s="1" t="s">
        <v>16729</v>
      </c>
      <c r="AZ1783" s="1">
        <v>3672</v>
      </c>
      <c r="BA1783" s="1">
        <v>2013</v>
      </c>
      <c r="BB1783" s="1" t="s">
        <v>405</v>
      </c>
      <c r="BE1783" s="1">
        <v>1550</v>
      </c>
      <c r="BF1783" s="1">
        <v>1</v>
      </c>
      <c r="BG1783" s="1">
        <v>14</v>
      </c>
      <c r="BL1783" s="1">
        <v>195</v>
      </c>
      <c r="BM1783" s="1" t="s">
        <v>204</v>
      </c>
      <c r="BN1783" s="1" t="s">
        <v>213</v>
      </c>
      <c r="BO1783" s="1">
        <v>999</v>
      </c>
      <c r="BP1783" s="1" t="s">
        <v>204</v>
      </c>
      <c r="BR1783" s="1" t="str">
        <f>"0919109052"</f>
        <v>0919109052</v>
      </c>
      <c r="BT1783" s="1" t="s">
        <v>16730</v>
      </c>
      <c r="BU1783" s="1" t="s">
        <v>16731</v>
      </c>
      <c r="BV1783" s="1" t="s">
        <v>4258</v>
      </c>
      <c r="BW1783" s="1" t="s">
        <v>3099</v>
      </c>
      <c r="BX1783" s="1">
        <v>58</v>
      </c>
      <c r="BY1783" s="1">
        <v>58</v>
      </c>
      <c r="BZ1783" s="1">
        <v>99</v>
      </c>
      <c r="CB1783" s="1" t="str">
        <f t="shared" ref="CB1783:CC1783" si="1351">"0"</f>
        <v>0</v>
      </c>
      <c r="CC1783" s="1" t="str">
        <f t="shared" si="1351"/>
        <v>0</v>
      </c>
      <c r="CD1783" s="1">
        <v>20</v>
      </c>
      <c r="CE1783" s="1">
        <v>7</v>
      </c>
      <c r="CG1783" s="1" t="s">
        <v>1004</v>
      </c>
      <c r="CH1783" s="1" t="s">
        <v>219</v>
      </c>
      <c r="CI1783" s="1" t="s">
        <v>229</v>
      </c>
      <c r="CJ1783" s="1" t="s">
        <v>7316</v>
      </c>
      <c r="CK1783" s="1" t="s">
        <v>315</v>
      </c>
      <c r="CL1783" s="1" t="s">
        <v>277</v>
      </c>
      <c r="CM1783" s="1" t="s">
        <v>229</v>
      </c>
      <c r="CN1783" s="1" t="s">
        <v>7316</v>
      </c>
      <c r="CO1783" s="1" t="s">
        <v>4147</v>
      </c>
      <c r="CP1783" s="1" t="s">
        <v>219</v>
      </c>
      <c r="CQ1783" s="1" t="s">
        <v>229</v>
      </c>
      <c r="CR1783" s="1" t="s">
        <v>7316</v>
      </c>
      <c r="CS1783" s="1" t="s">
        <v>437</v>
      </c>
      <c r="CT1783" s="1" t="s">
        <v>277</v>
      </c>
      <c r="CU1783" s="1" t="s">
        <v>229</v>
      </c>
      <c r="CV1783" s="1" t="s">
        <v>7316</v>
      </c>
      <c r="CX1783" s="1" t="s">
        <v>224</v>
      </c>
      <c r="DB1783" s="1" t="s">
        <v>224</v>
      </c>
      <c r="DE1783" s="1" t="s">
        <v>1297</v>
      </c>
      <c r="DF1783" s="1" t="s">
        <v>219</v>
      </c>
      <c r="DG1783" s="1" t="s">
        <v>226</v>
      </c>
      <c r="DH1783" s="1" t="s">
        <v>252</v>
      </c>
      <c r="DJ1783" s="1" t="s">
        <v>224</v>
      </c>
      <c r="DM1783" s="1" t="s">
        <v>3011</v>
      </c>
      <c r="DR1783" s="1" t="s">
        <v>12732</v>
      </c>
      <c r="DS1783" s="1" t="s">
        <v>219</v>
      </c>
      <c r="DW1783" s="1" t="s">
        <v>230</v>
      </c>
      <c r="EA1783" s="1" t="s">
        <v>230</v>
      </c>
      <c r="EE1783" s="1" t="s">
        <v>230</v>
      </c>
      <c r="EI1783" s="1" t="s">
        <v>230</v>
      </c>
      <c r="EL1783" s="1" t="s">
        <v>542</v>
      </c>
      <c r="EM1783" s="1" t="s">
        <v>232</v>
      </c>
      <c r="EN1783" s="1" t="s">
        <v>282</v>
      </c>
      <c r="EO1783" s="1" t="s">
        <v>840</v>
      </c>
      <c r="EP1783" s="1" t="s">
        <v>650</v>
      </c>
      <c r="EQ1783" s="1" t="s">
        <v>236</v>
      </c>
      <c r="ER1783" s="1" t="s">
        <v>210</v>
      </c>
      <c r="ES1783" s="1" t="s">
        <v>493</v>
      </c>
      <c r="ET1783" s="1" t="s">
        <v>4177</v>
      </c>
      <c r="EU1783" s="1" t="s">
        <v>239</v>
      </c>
      <c r="EV1783" s="1" t="s">
        <v>240</v>
      </c>
      <c r="EW1783" s="1" t="s">
        <v>1250</v>
      </c>
      <c r="EY1783" s="1" t="s">
        <v>242</v>
      </c>
      <c r="EZ1783" s="1" t="s">
        <v>3011</v>
      </c>
      <c r="FA1783" s="1" t="s">
        <v>10055</v>
      </c>
      <c r="FD1783" s="1" t="s">
        <v>246</v>
      </c>
      <c r="FE1783" s="1" t="s">
        <v>247</v>
      </c>
      <c r="FF1783" s="1" t="s">
        <v>248</v>
      </c>
      <c r="FG1783" s="1" t="s">
        <v>5121</v>
      </c>
      <c r="FH1783" s="1" t="s">
        <v>550</v>
      </c>
      <c r="FI1783" s="1" t="s">
        <v>473</v>
      </c>
      <c r="FL1783" s="1" t="s">
        <v>358</v>
      </c>
      <c r="FM1783" s="1" t="s">
        <v>252</v>
      </c>
      <c r="FN1783" s="1" t="s">
        <v>213</v>
      </c>
      <c r="FO1783" s="1" t="s">
        <v>213</v>
      </c>
      <c r="FQ1783" s="1" t="s">
        <v>1758</v>
      </c>
      <c r="FR1783" s="1" t="s">
        <v>652</v>
      </c>
      <c r="FS1783" s="1" t="s">
        <v>16732</v>
      </c>
      <c r="FT1783" s="1" t="s">
        <v>362</v>
      </c>
      <c r="FU1783" s="1" t="s">
        <v>204</v>
      </c>
      <c r="FW1783" s="1" t="s">
        <v>3231</v>
      </c>
      <c r="FX1783" s="1">
        <v>24451</v>
      </c>
      <c r="FY1783" s="1" t="s">
        <v>3232</v>
      </c>
      <c r="FZ1783" s="1" t="s">
        <v>3233</v>
      </c>
      <c r="GA1783" s="1">
        <v>234974</v>
      </c>
      <c r="GB1783" s="1" t="s">
        <v>3234</v>
      </c>
      <c r="GD1783" s="1" t="s">
        <v>3235</v>
      </c>
      <c r="GE1783" s="1" t="s">
        <v>335</v>
      </c>
      <c r="GI1783" s="1" t="s">
        <v>204</v>
      </c>
      <c r="GJ1783" s="1" t="s">
        <v>300</v>
      </c>
      <c r="GK1783" s="1" t="s">
        <v>210</v>
      </c>
      <c r="GL1783" s="2">
        <v>42040</v>
      </c>
      <c r="GM1783" s="1" t="s">
        <v>16733</v>
      </c>
    </row>
    <row r="1784" spans="1:195">
      <c r="A1784" s="1">
        <v>147500</v>
      </c>
      <c r="B1784" s="1" t="s">
        <v>195</v>
      </c>
      <c r="C1784" s="1" t="str">
        <f>"08715533"</f>
        <v>08715533</v>
      </c>
      <c r="D1784" s="1" t="s">
        <v>196</v>
      </c>
      <c r="F1784" s="1" t="str">
        <f>"137"</f>
        <v>137</v>
      </c>
      <c r="G1784" s="2">
        <v>41882</v>
      </c>
      <c r="H1784" s="1">
        <v>159000</v>
      </c>
      <c r="I1784" s="1">
        <v>159000</v>
      </c>
      <c r="J1784" s="1">
        <v>147500</v>
      </c>
      <c r="K1784" s="2">
        <v>41882</v>
      </c>
      <c r="L1784" s="1">
        <v>235</v>
      </c>
      <c r="M1784" s="2">
        <v>41939</v>
      </c>
      <c r="N1784" s="1">
        <v>58</v>
      </c>
      <c r="O1784" s="2">
        <v>41939</v>
      </c>
      <c r="P1784" s="1">
        <v>25003</v>
      </c>
      <c r="Q1784" s="1" t="s">
        <v>197</v>
      </c>
      <c r="R1784" s="2">
        <v>41981</v>
      </c>
      <c r="S1784" s="1">
        <v>243172</v>
      </c>
      <c r="U1784" s="1">
        <v>410</v>
      </c>
      <c r="V1784" s="1" t="s">
        <v>13458</v>
      </c>
      <c r="W1784" s="1" t="s">
        <v>425</v>
      </c>
      <c r="X1784" s="1">
        <v>201</v>
      </c>
      <c r="Y1784" s="1">
        <v>12</v>
      </c>
      <c r="Z1784" s="1" t="s">
        <v>249</v>
      </c>
      <c r="AA1784" s="1" t="s">
        <v>201</v>
      </c>
      <c r="AB1784" s="1">
        <v>60137</v>
      </c>
      <c r="AD1784" s="1" t="s">
        <v>15662</v>
      </c>
      <c r="AE1784" s="1" t="s">
        <v>16734</v>
      </c>
      <c r="AF1784" s="1">
        <v>1984</v>
      </c>
      <c r="AG1784" s="1" t="s">
        <v>204</v>
      </c>
      <c r="AH1784" s="1" t="s">
        <v>205</v>
      </c>
      <c r="AI1784" s="1" t="s">
        <v>206</v>
      </c>
      <c r="AJ1784" s="1" t="s">
        <v>207</v>
      </c>
      <c r="AL1784" s="1">
        <v>5</v>
      </c>
      <c r="AM1784" s="1">
        <v>2</v>
      </c>
      <c r="AN1784" s="1">
        <v>2</v>
      </c>
      <c r="AO1784" s="1">
        <v>0</v>
      </c>
      <c r="AP1784" s="1" t="s">
        <v>209</v>
      </c>
      <c r="AQ1784" s="1">
        <v>1</v>
      </c>
      <c r="AR1784" s="1" t="s">
        <v>210</v>
      </c>
      <c r="AT1784" s="1" t="s">
        <v>211</v>
      </c>
      <c r="AU1784" s="1">
        <v>1</v>
      </c>
      <c r="AW1784" s="1" t="s">
        <v>204</v>
      </c>
      <c r="AX1784" s="1" t="s">
        <v>212</v>
      </c>
      <c r="AZ1784" s="1">
        <v>4069</v>
      </c>
      <c r="BA1784" s="1">
        <v>2013</v>
      </c>
      <c r="BB1784" s="1" t="s">
        <v>599</v>
      </c>
      <c r="BE1784" s="1">
        <v>1059</v>
      </c>
      <c r="BF1784" s="1">
        <v>2</v>
      </c>
      <c r="BG1784" s="1">
        <v>0</v>
      </c>
      <c r="BJ1784" s="1">
        <v>100</v>
      </c>
      <c r="BL1784" s="1">
        <v>274</v>
      </c>
      <c r="BM1784" s="1" t="s">
        <v>204</v>
      </c>
      <c r="BN1784" s="1" t="s">
        <v>213</v>
      </c>
      <c r="BO1784" s="1">
        <v>30</v>
      </c>
      <c r="BP1784" s="1" t="s">
        <v>204</v>
      </c>
      <c r="BR1784" s="1" t="str">
        <f>"0511332017"</f>
        <v>0511332017</v>
      </c>
      <c r="BT1784" s="1" t="s">
        <v>16735</v>
      </c>
      <c r="BU1784" s="1" t="s">
        <v>969</v>
      </c>
      <c r="BV1784" s="1" t="s">
        <v>2168</v>
      </c>
      <c r="BW1784" s="1" t="s">
        <v>2169</v>
      </c>
      <c r="BX1784" s="1">
        <v>41</v>
      </c>
      <c r="BY1784" s="1">
        <v>41</v>
      </c>
      <c r="BZ1784" s="1">
        <v>87</v>
      </c>
      <c r="CB1784" s="1" t="str">
        <f>"0"</f>
        <v>0</v>
      </c>
      <c r="CC1784" s="1" t="str">
        <f>""</f>
        <v/>
      </c>
      <c r="CD1784" s="1">
        <v>22</v>
      </c>
      <c r="CG1784" s="1" t="s">
        <v>1045</v>
      </c>
      <c r="CH1784" s="1" t="s">
        <v>219</v>
      </c>
      <c r="CI1784" s="1" t="s">
        <v>220</v>
      </c>
      <c r="CJ1784" s="1" t="s">
        <v>252</v>
      </c>
      <c r="CK1784" s="1" t="s">
        <v>278</v>
      </c>
      <c r="CL1784" s="1" t="s">
        <v>219</v>
      </c>
      <c r="CM1784" s="1" t="s">
        <v>220</v>
      </c>
      <c r="CN1784" s="1" t="s">
        <v>252</v>
      </c>
      <c r="CO1784" s="1" t="s">
        <v>409</v>
      </c>
      <c r="CP1784" s="1" t="s">
        <v>219</v>
      </c>
      <c r="CQ1784" s="1" t="s">
        <v>220</v>
      </c>
      <c r="CS1784" s="1" t="s">
        <v>1297</v>
      </c>
      <c r="CT1784" s="1" t="s">
        <v>219</v>
      </c>
      <c r="CU1784" s="1" t="s">
        <v>220</v>
      </c>
      <c r="CV1784" s="1" t="s">
        <v>252</v>
      </c>
      <c r="CX1784" s="1" t="s">
        <v>224</v>
      </c>
      <c r="DB1784" s="1" t="s">
        <v>224</v>
      </c>
      <c r="DE1784" s="1" t="s">
        <v>516</v>
      </c>
      <c r="DF1784" s="1" t="s">
        <v>219</v>
      </c>
      <c r="DG1784" s="1" t="s">
        <v>229</v>
      </c>
      <c r="DH1784" s="1" t="s">
        <v>252</v>
      </c>
      <c r="DJ1784" s="1" t="s">
        <v>224</v>
      </c>
      <c r="DS1784" s="1" t="s">
        <v>230</v>
      </c>
      <c r="DW1784" s="1" t="s">
        <v>230</v>
      </c>
      <c r="EA1784" s="1" t="s">
        <v>230</v>
      </c>
      <c r="EE1784" s="1" t="s">
        <v>230</v>
      </c>
      <c r="EI1784" s="1" t="s">
        <v>230</v>
      </c>
      <c r="EL1784" s="1" t="s">
        <v>542</v>
      </c>
      <c r="EM1784" s="1" t="s">
        <v>232</v>
      </c>
      <c r="EN1784" s="1" t="s">
        <v>282</v>
      </c>
      <c r="EO1784" s="1" t="s">
        <v>234</v>
      </c>
      <c r="EP1784" s="1" t="s">
        <v>650</v>
      </c>
      <c r="EQ1784" s="1" t="s">
        <v>236</v>
      </c>
      <c r="ER1784" s="1" t="s">
        <v>210</v>
      </c>
      <c r="EU1784" s="1" t="s">
        <v>239</v>
      </c>
      <c r="EV1784" s="1" t="s">
        <v>352</v>
      </c>
      <c r="EW1784" s="1" t="s">
        <v>3152</v>
      </c>
      <c r="EY1784" s="1" t="s">
        <v>242</v>
      </c>
      <c r="EZ1784" s="1" t="s">
        <v>287</v>
      </c>
      <c r="FB1784" s="1" t="s">
        <v>289</v>
      </c>
      <c r="FC1784" s="1" t="s">
        <v>1386</v>
      </c>
      <c r="FD1784" s="1" t="s">
        <v>888</v>
      </c>
      <c r="FE1784" s="1" t="s">
        <v>247</v>
      </c>
      <c r="FF1784" s="1" t="s">
        <v>248</v>
      </c>
      <c r="FG1784" s="1" t="s">
        <v>871</v>
      </c>
      <c r="FH1784" s="1" t="s">
        <v>249</v>
      </c>
      <c r="FI1784" s="1" t="s">
        <v>473</v>
      </c>
      <c r="FL1784" s="1" t="s">
        <v>358</v>
      </c>
      <c r="FM1784" s="1" t="s">
        <v>252</v>
      </c>
      <c r="FN1784" s="1" t="s">
        <v>213</v>
      </c>
      <c r="FO1784" s="1" t="s">
        <v>213</v>
      </c>
      <c r="FQ1784" s="1" t="s">
        <v>293</v>
      </c>
      <c r="FR1784" s="1" t="s">
        <v>652</v>
      </c>
      <c r="FS1784" s="1" t="s">
        <v>16736</v>
      </c>
      <c r="FT1784" s="1" t="s">
        <v>255</v>
      </c>
      <c r="FU1784" s="1" t="s">
        <v>204</v>
      </c>
      <c r="FW1784" s="1" t="s">
        <v>256</v>
      </c>
      <c r="FX1784" s="1">
        <v>25244</v>
      </c>
      <c r="FY1784" s="1" t="s">
        <v>1365</v>
      </c>
      <c r="FZ1784" s="1" t="s">
        <v>16737</v>
      </c>
      <c r="GA1784" s="1">
        <v>252572</v>
      </c>
      <c r="GB1784" s="1" t="s">
        <v>16738</v>
      </c>
      <c r="GE1784" s="1" t="s">
        <v>1187</v>
      </c>
      <c r="GI1784" s="1" t="s">
        <v>213</v>
      </c>
      <c r="GJ1784" s="1" t="s">
        <v>260</v>
      </c>
      <c r="GK1784" s="1" t="s">
        <v>210</v>
      </c>
      <c r="GL1784" s="2">
        <v>41981</v>
      </c>
    </row>
    <row r="1785" spans="1:195">
      <c r="A1785" s="1">
        <v>148000</v>
      </c>
      <c r="B1785" s="1" t="s">
        <v>195</v>
      </c>
      <c r="C1785" s="1" t="str">
        <f>"08717859"</f>
        <v>08717859</v>
      </c>
      <c r="D1785" s="1" t="s">
        <v>196</v>
      </c>
      <c r="F1785" s="1" t="str">
        <f>"136"</f>
        <v>136</v>
      </c>
      <c r="G1785" s="2">
        <v>41885</v>
      </c>
      <c r="H1785" s="1">
        <v>139900</v>
      </c>
      <c r="I1785" s="1">
        <v>148000</v>
      </c>
      <c r="J1785" s="1">
        <v>148000</v>
      </c>
      <c r="K1785" s="2">
        <v>41885</v>
      </c>
      <c r="L1785" s="1">
        <v>199</v>
      </c>
      <c r="M1785" s="2">
        <v>42083</v>
      </c>
      <c r="N1785" s="1">
        <v>199</v>
      </c>
      <c r="O1785" s="2">
        <v>42083</v>
      </c>
      <c r="P1785" s="1">
        <v>25244</v>
      </c>
      <c r="Q1785" s="1" t="s">
        <v>302</v>
      </c>
      <c r="R1785" s="2">
        <v>42114</v>
      </c>
      <c r="S1785" s="1">
        <v>240466</v>
      </c>
      <c r="U1785" s="1">
        <v>221</v>
      </c>
      <c r="V1785" s="1" t="s">
        <v>16739</v>
      </c>
      <c r="W1785" s="1" t="s">
        <v>725</v>
      </c>
      <c r="Y1785" s="1">
        <v>6</v>
      </c>
      <c r="Z1785" s="1" t="s">
        <v>249</v>
      </c>
      <c r="AA1785" s="1" t="s">
        <v>3680</v>
      </c>
      <c r="AB1785" s="1">
        <v>60136</v>
      </c>
      <c r="AD1785" s="1" t="s">
        <v>8883</v>
      </c>
      <c r="AE1785" s="1" t="s">
        <v>16740</v>
      </c>
      <c r="AF1785" s="1">
        <v>2008</v>
      </c>
      <c r="AG1785" s="1" t="s">
        <v>204</v>
      </c>
      <c r="AH1785" s="1" t="s">
        <v>3682</v>
      </c>
      <c r="AI1785" s="1" t="s">
        <v>665</v>
      </c>
      <c r="AJ1785" s="1" t="s">
        <v>748</v>
      </c>
      <c r="AK1785" s="1" t="s">
        <v>5495</v>
      </c>
      <c r="AL1785" s="1">
        <v>7</v>
      </c>
      <c r="AM1785" s="1">
        <v>2</v>
      </c>
      <c r="AN1785" s="1">
        <v>2</v>
      </c>
      <c r="AO1785" s="1">
        <v>1</v>
      </c>
      <c r="AP1785" s="1" t="s">
        <v>209</v>
      </c>
      <c r="AQ1785" s="1">
        <v>0</v>
      </c>
      <c r="AR1785" s="1" t="s">
        <v>1631</v>
      </c>
      <c r="AS1785" s="1" t="s">
        <v>204</v>
      </c>
      <c r="AT1785" s="1" t="s">
        <v>211</v>
      </c>
      <c r="AU1785" s="1">
        <v>2</v>
      </c>
      <c r="AW1785" s="1" t="s">
        <v>204</v>
      </c>
      <c r="AX1785" s="1" t="s">
        <v>212</v>
      </c>
      <c r="AZ1785" s="1">
        <v>5498</v>
      </c>
      <c r="BA1785" s="1">
        <v>2013</v>
      </c>
      <c r="BB1785" s="1" t="s">
        <v>347</v>
      </c>
      <c r="BE1785" s="1">
        <v>1894</v>
      </c>
      <c r="BF1785" s="1">
        <v>1</v>
      </c>
      <c r="BG1785" s="1">
        <v>0</v>
      </c>
      <c r="BL1785" s="1">
        <v>164</v>
      </c>
      <c r="BM1785" s="1" t="s">
        <v>213</v>
      </c>
      <c r="BN1785" s="1" t="s">
        <v>213</v>
      </c>
      <c r="BO1785" s="1">
        <v>0</v>
      </c>
      <c r="BP1785" s="1" t="s">
        <v>204</v>
      </c>
      <c r="BR1785" s="1" t="str">
        <f>"0224125061"</f>
        <v>0224125061</v>
      </c>
      <c r="BT1785" s="1" t="s">
        <v>16741</v>
      </c>
      <c r="BU1785" s="1" t="s">
        <v>4061</v>
      </c>
      <c r="BV1785" s="1" t="s">
        <v>2667</v>
      </c>
      <c r="BW1785" s="1" t="s">
        <v>2668</v>
      </c>
      <c r="BX1785" s="1">
        <v>300</v>
      </c>
      <c r="BY1785" s="1">
        <v>300</v>
      </c>
      <c r="BZ1785" s="1">
        <v>300</v>
      </c>
      <c r="CB1785" s="1" t="str">
        <f>"16"</f>
        <v>16</v>
      </c>
      <c r="CC1785" s="1" t="str">
        <f>"0"</f>
        <v>0</v>
      </c>
      <c r="CD1785" s="1">
        <v>37</v>
      </c>
      <c r="CE1785" s="1">
        <v>0</v>
      </c>
      <c r="CG1785" s="1" t="s">
        <v>628</v>
      </c>
      <c r="CH1785" s="1" t="s">
        <v>219</v>
      </c>
      <c r="CI1785" s="1" t="s">
        <v>438</v>
      </c>
      <c r="CK1785" s="1" t="s">
        <v>228</v>
      </c>
      <c r="CL1785" s="1" t="s">
        <v>277</v>
      </c>
      <c r="CM1785" s="1" t="s">
        <v>220</v>
      </c>
      <c r="CN1785" s="1" t="s">
        <v>210</v>
      </c>
      <c r="CO1785" s="1" t="s">
        <v>1297</v>
      </c>
      <c r="CP1785" s="1" t="s">
        <v>219</v>
      </c>
      <c r="CQ1785" s="1" t="s">
        <v>438</v>
      </c>
      <c r="CS1785" s="1" t="s">
        <v>1297</v>
      </c>
      <c r="CT1785" s="1" t="s">
        <v>277</v>
      </c>
      <c r="CU1785" s="1" t="s">
        <v>220</v>
      </c>
      <c r="CV1785" s="1" t="s">
        <v>210</v>
      </c>
      <c r="DB1785" s="1" t="s">
        <v>224</v>
      </c>
      <c r="DE1785" s="1" t="s">
        <v>317</v>
      </c>
      <c r="DF1785" s="1" t="s">
        <v>219</v>
      </c>
      <c r="DG1785" s="1" t="s">
        <v>438</v>
      </c>
      <c r="DJ1785" s="1" t="s">
        <v>224</v>
      </c>
      <c r="DM1785" s="1" t="s">
        <v>1005</v>
      </c>
      <c r="DN1785" s="1" t="s">
        <v>464</v>
      </c>
      <c r="DR1785" s="1" t="s">
        <v>317</v>
      </c>
      <c r="DS1785" s="1" t="s">
        <v>822</v>
      </c>
      <c r="DV1785" s="1" t="s">
        <v>318</v>
      </c>
      <c r="DW1785" s="1" t="s">
        <v>277</v>
      </c>
      <c r="DX1785" s="1" t="s">
        <v>220</v>
      </c>
      <c r="DY1785" s="1" t="s">
        <v>210</v>
      </c>
      <c r="EA1785" s="1" t="s">
        <v>230</v>
      </c>
      <c r="EE1785" s="1" t="s">
        <v>230</v>
      </c>
      <c r="EI1785" s="1" t="s">
        <v>230</v>
      </c>
      <c r="EL1785" s="1" t="s">
        <v>491</v>
      </c>
      <c r="EM1785" s="1" t="s">
        <v>319</v>
      </c>
      <c r="EN1785" s="1" t="s">
        <v>282</v>
      </c>
      <c r="EO1785" s="1" t="s">
        <v>234</v>
      </c>
      <c r="EQ1785" s="1" t="s">
        <v>10067</v>
      </c>
      <c r="ER1785" s="1" t="s">
        <v>544</v>
      </c>
      <c r="ES1785" s="1" t="s">
        <v>824</v>
      </c>
      <c r="EU1785" s="1" t="s">
        <v>239</v>
      </c>
      <c r="EV1785" s="1" t="s">
        <v>324</v>
      </c>
      <c r="EW1785" s="1" t="s">
        <v>937</v>
      </c>
      <c r="EZ1785" s="1" t="s">
        <v>6712</v>
      </c>
      <c r="FD1785" s="1" t="s">
        <v>246</v>
      </c>
      <c r="FE1785" s="1" t="s">
        <v>566</v>
      </c>
      <c r="FF1785" s="1" t="s">
        <v>248</v>
      </c>
      <c r="FH1785" s="1" t="s">
        <v>1428</v>
      </c>
      <c r="FJ1785" s="1" t="s">
        <v>197</v>
      </c>
      <c r="FL1785" s="1" t="s">
        <v>358</v>
      </c>
      <c r="FM1785" s="1" t="s">
        <v>252</v>
      </c>
      <c r="FN1785" s="1" t="s">
        <v>213</v>
      </c>
      <c r="FO1785" s="1" t="s">
        <v>213</v>
      </c>
      <c r="FQ1785" s="1" t="s">
        <v>4743</v>
      </c>
      <c r="FR1785" s="1" t="s">
        <v>360</v>
      </c>
      <c r="FS1785" s="1" t="s">
        <v>11257</v>
      </c>
      <c r="FT1785" s="1" t="s">
        <v>295</v>
      </c>
      <c r="FU1785" s="1" t="s">
        <v>204</v>
      </c>
      <c r="FW1785" s="1" t="s">
        <v>4415</v>
      </c>
      <c r="FX1785" s="1">
        <v>6018</v>
      </c>
      <c r="FY1785" s="1" t="s">
        <v>4416</v>
      </c>
      <c r="FZ1785" s="1" t="s">
        <v>16742</v>
      </c>
      <c r="GA1785" s="1">
        <v>62479</v>
      </c>
      <c r="GB1785" s="1" t="s">
        <v>16743</v>
      </c>
      <c r="GE1785" s="1" t="s">
        <v>210</v>
      </c>
      <c r="GI1785" s="1" t="s">
        <v>213</v>
      </c>
      <c r="GJ1785" s="1" t="s">
        <v>260</v>
      </c>
      <c r="GK1785" s="1" t="s">
        <v>210</v>
      </c>
      <c r="GL1785" s="2">
        <v>42114</v>
      </c>
      <c r="GM1785" s="1" t="s">
        <v>16744</v>
      </c>
    </row>
    <row r="1786" spans="1:195">
      <c r="A1786" s="1">
        <v>55000</v>
      </c>
      <c r="B1786" s="1" t="s">
        <v>195</v>
      </c>
      <c r="C1786" s="1" t="str">
        <f>"08717033"</f>
        <v>08717033</v>
      </c>
      <c r="D1786" s="1" t="s">
        <v>196</v>
      </c>
      <c r="F1786" s="1" t="str">
        <f>"517"</f>
        <v>517</v>
      </c>
      <c r="G1786" s="2">
        <v>41884</v>
      </c>
      <c r="H1786" s="1">
        <v>59900</v>
      </c>
      <c r="I1786" s="1">
        <v>59900</v>
      </c>
      <c r="J1786" s="1">
        <v>55000</v>
      </c>
      <c r="K1786" s="2">
        <v>41883</v>
      </c>
      <c r="L1786" s="1">
        <v>32</v>
      </c>
      <c r="M1786" s="2">
        <v>41914</v>
      </c>
      <c r="N1786" s="1">
        <v>32</v>
      </c>
      <c r="O1786" s="2">
        <v>41914</v>
      </c>
      <c r="P1786" s="1">
        <v>23982</v>
      </c>
      <c r="Q1786" s="1" t="s">
        <v>302</v>
      </c>
      <c r="R1786" s="2">
        <v>41988</v>
      </c>
      <c r="S1786" s="1">
        <v>214295</v>
      </c>
      <c r="U1786" s="1">
        <v>2046</v>
      </c>
      <c r="V1786" s="1" t="s">
        <v>5193</v>
      </c>
      <c r="W1786" s="1" t="s">
        <v>264</v>
      </c>
      <c r="X1786" s="1">
        <v>3</v>
      </c>
      <c r="Y1786" s="1">
        <v>8</v>
      </c>
      <c r="Z1786" s="1" t="s">
        <v>200</v>
      </c>
      <c r="AA1786" s="1" t="s">
        <v>2850</v>
      </c>
      <c r="AB1786" s="1">
        <v>60517</v>
      </c>
      <c r="AE1786" s="1" t="s">
        <v>16745</v>
      </c>
      <c r="AF1786" s="1">
        <v>1974</v>
      </c>
      <c r="AG1786" s="1" t="s">
        <v>213</v>
      </c>
      <c r="AH1786" s="1" t="s">
        <v>2853</v>
      </c>
      <c r="AI1786" s="1" t="s">
        <v>206</v>
      </c>
      <c r="AJ1786" s="1" t="s">
        <v>925</v>
      </c>
      <c r="AL1786" s="1">
        <v>5</v>
      </c>
      <c r="AM1786" s="1">
        <v>2</v>
      </c>
      <c r="AN1786" s="1">
        <v>1</v>
      </c>
      <c r="AO1786" s="1">
        <v>2</v>
      </c>
      <c r="AP1786" s="1" t="s">
        <v>1234</v>
      </c>
      <c r="AR1786" s="1" t="s">
        <v>210</v>
      </c>
      <c r="AT1786" s="1" t="s">
        <v>271</v>
      </c>
      <c r="AV1786" s="1">
        <v>2</v>
      </c>
      <c r="AW1786" s="1" t="s">
        <v>204</v>
      </c>
      <c r="AX1786" s="1" t="s">
        <v>212</v>
      </c>
      <c r="AZ1786" s="1">
        <v>1974.18</v>
      </c>
      <c r="BA1786" s="1">
        <v>2013</v>
      </c>
      <c r="BE1786" s="1">
        <v>1174</v>
      </c>
      <c r="BF1786" s="1">
        <v>1</v>
      </c>
      <c r="BG1786" s="1">
        <v>0</v>
      </c>
      <c r="BL1786" s="1">
        <v>335</v>
      </c>
      <c r="BM1786" s="1" t="s">
        <v>204</v>
      </c>
      <c r="BN1786" s="1" t="s">
        <v>213</v>
      </c>
      <c r="BO1786" s="1">
        <v>40</v>
      </c>
      <c r="BP1786" s="1" t="s">
        <v>204</v>
      </c>
      <c r="BR1786" s="1" t="str">
        <f>"0825420075"</f>
        <v>0825420075</v>
      </c>
      <c r="BT1786" s="1" t="s">
        <v>16746</v>
      </c>
      <c r="BX1786" s="1">
        <v>68</v>
      </c>
      <c r="BY1786" s="1">
        <v>68</v>
      </c>
      <c r="BZ1786" s="1">
        <v>99</v>
      </c>
      <c r="CB1786" s="1" t="str">
        <f t="shared" ref="CB1786:CC1786" si="1352">""</f>
        <v/>
      </c>
      <c r="CC1786" s="1" t="str">
        <f t="shared" si="1352"/>
        <v/>
      </c>
      <c r="CG1786" s="1" t="s">
        <v>729</v>
      </c>
      <c r="CH1786" s="1" t="s">
        <v>219</v>
      </c>
      <c r="CK1786" s="1" t="s">
        <v>564</v>
      </c>
      <c r="CL1786" s="1" t="s">
        <v>277</v>
      </c>
      <c r="CO1786" s="1" t="s">
        <v>630</v>
      </c>
      <c r="CP1786" s="1" t="s">
        <v>219</v>
      </c>
      <c r="CS1786" s="1" t="s">
        <v>3264</v>
      </c>
      <c r="CT1786" s="1" t="s">
        <v>277</v>
      </c>
      <c r="CX1786" s="1" t="s">
        <v>224</v>
      </c>
      <c r="DB1786" s="1" t="s">
        <v>224</v>
      </c>
      <c r="DE1786" s="1" t="s">
        <v>2842</v>
      </c>
      <c r="DF1786" s="1" t="s">
        <v>219</v>
      </c>
      <c r="DJ1786" s="1" t="s">
        <v>224</v>
      </c>
      <c r="DS1786" s="1" t="s">
        <v>230</v>
      </c>
      <c r="DW1786" s="1" t="s">
        <v>230</v>
      </c>
      <c r="EA1786" s="1" t="s">
        <v>230</v>
      </c>
      <c r="EE1786" s="1" t="s">
        <v>230</v>
      </c>
      <c r="EI1786" s="1" t="s">
        <v>230</v>
      </c>
      <c r="EL1786" s="1" t="s">
        <v>231</v>
      </c>
      <c r="EM1786" s="1" t="s">
        <v>319</v>
      </c>
      <c r="EN1786" s="1" t="s">
        <v>282</v>
      </c>
      <c r="EO1786" s="1" t="s">
        <v>234</v>
      </c>
      <c r="ER1786" s="1" t="s">
        <v>210</v>
      </c>
      <c r="EW1786" s="1" t="s">
        <v>2232</v>
      </c>
      <c r="EZ1786" s="1" t="s">
        <v>287</v>
      </c>
      <c r="FD1786" s="1" t="s">
        <v>246</v>
      </c>
      <c r="FE1786" s="1" t="s">
        <v>247</v>
      </c>
      <c r="FF1786" s="1" t="s">
        <v>248</v>
      </c>
      <c r="FH1786" s="1" t="s">
        <v>249</v>
      </c>
      <c r="FL1786" s="1" t="s">
        <v>358</v>
      </c>
      <c r="FM1786" s="1" t="s">
        <v>252</v>
      </c>
      <c r="FN1786" s="1" t="s">
        <v>213</v>
      </c>
      <c r="FO1786" s="1" t="s">
        <v>213</v>
      </c>
      <c r="FQ1786" s="1" t="s">
        <v>582</v>
      </c>
      <c r="FR1786" s="1" t="s">
        <v>210</v>
      </c>
      <c r="FS1786" s="1" t="s">
        <v>10573</v>
      </c>
      <c r="FT1786" s="1" t="s">
        <v>295</v>
      </c>
      <c r="FU1786" s="1" t="s">
        <v>204</v>
      </c>
      <c r="FW1786" s="1" t="s">
        <v>10574</v>
      </c>
      <c r="FX1786" s="1">
        <v>231</v>
      </c>
      <c r="FY1786" s="1" t="s">
        <v>10575</v>
      </c>
      <c r="FZ1786" s="1" t="s">
        <v>10576</v>
      </c>
      <c r="GA1786" s="1">
        <v>301667</v>
      </c>
      <c r="GB1786" s="1" t="s">
        <v>10575</v>
      </c>
      <c r="GE1786" s="1" t="s">
        <v>210</v>
      </c>
      <c r="GI1786" s="1" t="s">
        <v>213</v>
      </c>
      <c r="GJ1786" s="1" t="s">
        <v>300</v>
      </c>
      <c r="GK1786" s="1" t="s">
        <v>210</v>
      </c>
      <c r="GL1786" s="2">
        <v>41989</v>
      </c>
      <c r="GM1786" s="1" t="s">
        <v>16747</v>
      </c>
    </row>
    <row r="1787" spans="1:195">
      <c r="A1787" s="1">
        <v>190000</v>
      </c>
      <c r="B1787" s="1" t="s">
        <v>195</v>
      </c>
      <c r="C1787" s="1" t="str">
        <f>"08716309"</f>
        <v>08716309</v>
      </c>
      <c r="D1787" s="1" t="s">
        <v>196</v>
      </c>
      <c r="F1787" s="1" t="str">
        <f>"135"</f>
        <v>135</v>
      </c>
      <c r="G1787" s="2">
        <v>41884</v>
      </c>
      <c r="H1787" s="1">
        <v>220000</v>
      </c>
      <c r="I1787" s="1">
        <v>200000</v>
      </c>
      <c r="J1787" s="1">
        <v>190000</v>
      </c>
      <c r="K1787" s="2">
        <v>41883</v>
      </c>
      <c r="L1787" s="1">
        <v>199</v>
      </c>
      <c r="M1787" s="2">
        <v>42081</v>
      </c>
      <c r="N1787" s="1">
        <v>199</v>
      </c>
      <c r="O1787" s="2">
        <v>42081</v>
      </c>
      <c r="P1787" s="1">
        <v>7630</v>
      </c>
      <c r="Q1787" s="1" t="s">
        <v>302</v>
      </c>
      <c r="R1787" s="2">
        <v>42102</v>
      </c>
      <c r="S1787" s="1">
        <v>77883</v>
      </c>
      <c r="U1787" s="1">
        <v>30460</v>
      </c>
      <c r="V1787" s="1" t="s">
        <v>12921</v>
      </c>
      <c r="W1787" s="1" t="s">
        <v>449</v>
      </c>
      <c r="Y1787" s="1">
        <v>2</v>
      </c>
      <c r="Z1787" s="1" t="s">
        <v>370</v>
      </c>
      <c r="AA1787" s="1" t="s">
        <v>3384</v>
      </c>
      <c r="AB1787" s="1">
        <v>60135</v>
      </c>
      <c r="AE1787" s="1" t="s">
        <v>16748</v>
      </c>
      <c r="AF1787" s="1">
        <v>2004</v>
      </c>
      <c r="AG1787" s="1" t="s">
        <v>204</v>
      </c>
      <c r="AH1787" s="1" t="s">
        <v>3386</v>
      </c>
      <c r="AI1787" s="1" t="s">
        <v>2246</v>
      </c>
      <c r="AJ1787" s="1" t="s">
        <v>16749</v>
      </c>
      <c r="AL1787" s="1">
        <v>7</v>
      </c>
      <c r="AM1787" s="1">
        <v>2</v>
      </c>
      <c r="AN1787" s="1">
        <v>3</v>
      </c>
      <c r="AO1787" s="1">
        <v>0</v>
      </c>
      <c r="AP1787" s="1" t="s">
        <v>209</v>
      </c>
      <c r="AQ1787" s="1">
        <v>1</v>
      </c>
      <c r="AR1787" s="1" t="s">
        <v>209</v>
      </c>
      <c r="AS1787" s="1" t="s">
        <v>213</v>
      </c>
      <c r="AT1787" s="1" t="s">
        <v>211</v>
      </c>
      <c r="AU1787" s="1">
        <v>2</v>
      </c>
      <c r="AW1787" s="1" t="s">
        <v>204</v>
      </c>
      <c r="AX1787" s="1" t="s">
        <v>16750</v>
      </c>
      <c r="AZ1787" s="1">
        <v>3942.58</v>
      </c>
      <c r="BA1787" s="1">
        <v>2013</v>
      </c>
      <c r="BB1787" s="1" t="s">
        <v>405</v>
      </c>
      <c r="BE1787" s="1">
        <v>1970</v>
      </c>
      <c r="BF1787" s="1">
        <v>1</v>
      </c>
      <c r="BG1787" s="1">
        <v>0</v>
      </c>
      <c r="BL1787" s="1">
        <v>220</v>
      </c>
      <c r="BM1787" s="1" t="s">
        <v>204</v>
      </c>
      <c r="BN1787" s="1" t="s">
        <v>213</v>
      </c>
      <c r="BO1787" s="1">
        <v>999</v>
      </c>
      <c r="BP1787" s="1" t="s">
        <v>204</v>
      </c>
      <c r="BR1787" s="1" t="str">
        <f>"0236276042"</f>
        <v>0236276042</v>
      </c>
      <c r="BT1787" s="1" t="s">
        <v>16751</v>
      </c>
      <c r="BU1787" s="1" t="s">
        <v>16752</v>
      </c>
      <c r="BV1787" s="1" t="s">
        <v>16753</v>
      </c>
      <c r="BW1787" s="1" t="s">
        <v>16754</v>
      </c>
      <c r="BX1787" s="1">
        <v>424</v>
      </c>
      <c r="BY1787" s="1">
        <v>424</v>
      </c>
      <c r="BZ1787" s="1">
        <v>424</v>
      </c>
      <c r="CB1787" s="1" t="str">
        <f t="shared" ref="CB1787:CC1787" si="1353">""</f>
        <v/>
      </c>
      <c r="CC1787" s="1" t="str">
        <f t="shared" si="1353"/>
        <v/>
      </c>
      <c r="CG1787" s="1" t="s">
        <v>11448</v>
      </c>
      <c r="CH1787" s="1" t="s">
        <v>219</v>
      </c>
      <c r="CI1787" s="1" t="s">
        <v>220</v>
      </c>
      <c r="CJ1787" s="1" t="s">
        <v>252</v>
      </c>
      <c r="CK1787" s="1" t="s">
        <v>601</v>
      </c>
      <c r="CL1787" s="1" t="s">
        <v>219</v>
      </c>
      <c r="CM1787" s="1" t="s">
        <v>220</v>
      </c>
      <c r="CN1787" s="1" t="s">
        <v>252</v>
      </c>
      <c r="CO1787" s="1" t="s">
        <v>223</v>
      </c>
      <c r="CP1787" s="1" t="s">
        <v>219</v>
      </c>
      <c r="CQ1787" s="1" t="s">
        <v>438</v>
      </c>
      <c r="CR1787" s="1" t="s">
        <v>343</v>
      </c>
      <c r="CS1787" s="1" t="s">
        <v>757</v>
      </c>
      <c r="CT1787" s="1" t="s">
        <v>219</v>
      </c>
      <c r="CU1787" s="1" t="s">
        <v>220</v>
      </c>
      <c r="CW1787" s="1" t="s">
        <v>908</v>
      </c>
      <c r="CX1787" s="1" t="s">
        <v>43</v>
      </c>
      <c r="CY1787" s="1" t="s">
        <v>220</v>
      </c>
      <c r="DB1787" s="1" t="s">
        <v>224</v>
      </c>
      <c r="DE1787" s="1" t="s">
        <v>1454</v>
      </c>
      <c r="DF1787" s="1" t="s">
        <v>219</v>
      </c>
      <c r="DG1787" s="1" t="s">
        <v>438</v>
      </c>
      <c r="DH1787" s="1" t="s">
        <v>210</v>
      </c>
      <c r="DI1787" s="1" t="s">
        <v>9820</v>
      </c>
      <c r="DJ1787" s="1" t="s">
        <v>43</v>
      </c>
      <c r="DK1787" s="1" t="s">
        <v>220</v>
      </c>
      <c r="DL1787" s="1" t="s">
        <v>210</v>
      </c>
      <c r="DM1787" s="1" t="s">
        <v>709</v>
      </c>
      <c r="DN1787" s="1" t="s">
        <v>1359</v>
      </c>
      <c r="DO1787" s="1" t="s">
        <v>8767</v>
      </c>
      <c r="DP1787" s="1" t="s">
        <v>8319</v>
      </c>
      <c r="DR1787" s="1" t="s">
        <v>3126</v>
      </c>
      <c r="DS1787" s="1" t="s">
        <v>219</v>
      </c>
      <c r="DT1787" s="1" t="s">
        <v>438</v>
      </c>
      <c r="DV1787" s="1" t="s">
        <v>581</v>
      </c>
      <c r="DW1787" s="1" t="s">
        <v>219</v>
      </c>
      <c r="DZ1787" s="1" t="s">
        <v>5899</v>
      </c>
      <c r="EA1787" s="1" t="s">
        <v>219</v>
      </c>
      <c r="EB1787" s="1" t="s">
        <v>220</v>
      </c>
      <c r="EC1787" s="1" t="s">
        <v>343</v>
      </c>
      <c r="ED1787" s="1" t="s">
        <v>6174</v>
      </c>
      <c r="EE1787" s="1" t="s">
        <v>43</v>
      </c>
      <c r="EF1787" s="1" t="s">
        <v>226</v>
      </c>
      <c r="EI1787" s="1" t="s">
        <v>230</v>
      </c>
      <c r="EL1787" s="1" t="s">
        <v>491</v>
      </c>
      <c r="EM1787" s="1" t="s">
        <v>319</v>
      </c>
      <c r="EN1787" s="1" t="s">
        <v>282</v>
      </c>
      <c r="EO1787" s="1" t="s">
        <v>234</v>
      </c>
      <c r="EP1787" s="1" t="s">
        <v>16755</v>
      </c>
      <c r="EQ1787" s="1" t="s">
        <v>13801</v>
      </c>
      <c r="ER1787" s="1" t="s">
        <v>544</v>
      </c>
      <c r="ES1787" s="1" t="s">
        <v>1791</v>
      </c>
      <c r="ET1787" s="1" t="s">
        <v>16756</v>
      </c>
      <c r="EU1787" s="1" t="s">
        <v>16757</v>
      </c>
      <c r="EW1787" s="1" t="s">
        <v>353</v>
      </c>
      <c r="EY1787" s="1" t="s">
        <v>242</v>
      </c>
      <c r="EZ1787" s="1" t="s">
        <v>16758</v>
      </c>
      <c r="FA1787" s="1" t="s">
        <v>2251</v>
      </c>
      <c r="FC1787" s="1" t="s">
        <v>2470</v>
      </c>
      <c r="FD1787" s="1" t="s">
        <v>246</v>
      </c>
      <c r="FE1787" s="1" t="s">
        <v>2016</v>
      </c>
      <c r="FF1787" s="1" t="s">
        <v>248</v>
      </c>
      <c r="FG1787" s="1" t="s">
        <v>16759</v>
      </c>
      <c r="FH1787" s="1" t="s">
        <v>442</v>
      </c>
      <c r="FI1787" s="1" t="s">
        <v>473</v>
      </c>
      <c r="FJ1787" s="1" t="s">
        <v>1620</v>
      </c>
      <c r="FL1787" s="1" t="s">
        <v>358</v>
      </c>
      <c r="FM1787" s="1" t="s">
        <v>252</v>
      </c>
      <c r="FN1787" s="1" t="s">
        <v>213</v>
      </c>
      <c r="FO1787" s="1" t="s">
        <v>213</v>
      </c>
      <c r="FQ1787" s="1" t="s">
        <v>14669</v>
      </c>
      <c r="FR1787" s="1" t="s">
        <v>210</v>
      </c>
      <c r="FS1787" s="1" t="s">
        <v>16760</v>
      </c>
      <c r="FT1787" s="1" t="s">
        <v>362</v>
      </c>
      <c r="FU1787" s="1" t="s">
        <v>204</v>
      </c>
      <c r="FW1787" s="1" t="s">
        <v>1097</v>
      </c>
      <c r="FX1787" s="1">
        <v>5153</v>
      </c>
      <c r="FY1787" s="1" t="s">
        <v>1590</v>
      </c>
      <c r="FZ1787" s="1" t="s">
        <v>16761</v>
      </c>
      <c r="GA1787" s="1">
        <v>55839</v>
      </c>
      <c r="GB1787" s="1" t="s">
        <v>16762</v>
      </c>
      <c r="GD1787" s="1" t="s">
        <v>16763</v>
      </c>
      <c r="GE1787" s="1" t="s">
        <v>480</v>
      </c>
      <c r="GI1787" s="1" t="s">
        <v>213</v>
      </c>
      <c r="GJ1787" s="1" t="s">
        <v>260</v>
      </c>
      <c r="GK1787" s="1" t="s">
        <v>210</v>
      </c>
      <c r="GL1787" s="2">
        <v>42102</v>
      </c>
      <c r="GM1787" s="1" t="s">
        <v>16764</v>
      </c>
    </row>
    <row r="1788" spans="1:195">
      <c r="A1788" s="1">
        <v>132000</v>
      </c>
      <c r="B1788" s="1" t="s">
        <v>195</v>
      </c>
      <c r="C1788" s="1" t="str">
        <f>"08720801"</f>
        <v>08720801</v>
      </c>
      <c r="D1788" s="1" t="s">
        <v>196</v>
      </c>
      <c r="F1788" s="1" t="str">
        <f>"507"</f>
        <v>507</v>
      </c>
      <c r="G1788" s="2">
        <v>41887</v>
      </c>
      <c r="H1788" s="1">
        <v>139900</v>
      </c>
      <c r="I1788" s="1">
        <v>134900</v>
      </c>
      <c r="J1788" s="1">
        <v>132000</v>
      </c>
      <c r="K1788" s="2">
        <v>41887</v>
      </c>
      <c r="L1788" s="1">
        <v>116</v>
      </c>
      <c r="M1788" s="2">
        <v>41914</v>
      </c>
      <c r="N1788" s="1">
        <v>28</v>
      </c>
      <c r="O1788" s="2">
        <v>41914</v>
      </c>
      <c r="P1788" s="1">
        <v>31360</v>
      </c>
      <c r="Q1788" s="1" t="s">
        <v>197</v>
      </c>
      <c r="R1788" s="2">
        <v>41978</v>
      </c>
      <c r="S1788" s="1">
        <v>313656</v>
      </c>
      <c r="U1788" s="1">
        <v>2300</v>
      </c>
      <c r="V1788" s="1" t="s">
        <v>16765</v>
      </c>
      <c r="W1788" s="1" t="s">
        <v>504</v>
      </c>
      <c r="Y1788" s="1">
        <v>4</v>
      </c>
      <c r="Z1788" s="1" t="s">
        <v>249</v>
      </c>
      <c r="AA1788" s="1" t="s">
        <v>1123</v>
      </c>
      <c r="AB1788" s="1">
        <v>60502</v>
      </c>
      <c r="AD1788" s="1" t="s">
        <v>16766</v>
      </c>
      <c r="AE1788" s="1" t="s">
        <v>16767</v>
      </c>
      <c r="AF1788" s="1">
        <v>2002</v>
      </c>
      <c r="AG1788" s="1" t="s">
        <v>204</v>
      </c>
      <c r="AH1788" s="1" t="s">
        <v>1126</v>
      </c>
      <c r="AI1788" s="1" t="s">
        <v>206</v>
      </c>
      <c r="AJ1788" s="1" t="s">
        <v>987</v>
      </c>
      <c r="AL1788" s="1">
        <v>6</v>
      </c>
      <c r="AM1788" s="1">
        <v>2</v>
      </c>
      <c r="AN1788" s="1">
        <v>2</v>
      </c>
      <c r="AO1788" s="1">
        <v>0</v>
      </c>
      <c r="AP1788" s="1" t="s">
        <v>209</v>
      </c>
      <c r="AQ1788" s="1">
        <v>1</v>
      </c>
      <c r="AR1788" s="1" t="s">
        <v>210</v>
      </c>
      <c r="AT1788" s="1" t="s">
        <v>211</v>
      </c>
      <c r="AU1788" s="1">
        <v>1</v>
      </c>
      <c r="AW1788" s="1" t="s">
        <v>204</v>
      </c>
      <c r="AX1788" s="1" t="s">
        <v>212</v>
      </c>
      <c r="AZ1788" s="3">
        <v>3450</v>
      </c>
      <c r="BA1788" s="1">
        <v>2013</v>
      </c>
      <c r="BE1788" s="1">
        <v>1302</v>
      </c>
      <c r="BF1788" s="1">
        <v>1</v>
      </c>
      <c r="BG1788" s="1">
        <v>0</v>
      </c>
      <c r="BL1788" s="1">
        <v>116</v>
      </c>
      <c r="BM1788" s="1" t="s">
        <v>204</v>
      </c>
      <c r="BN1788" s="1" t="s">
        <v>213</v>
      </c>
      <c r="BO1788" s="1">
        <v>0</v>
      </c>
      <c r="BP1788" s="1" t="s">
        <v>204</v>
      </c>
      <c r="BR1788" s="1" t="str">
        <f>"0431311142"</f>
        <v>0431311142</v>
      </c>
      <c r="BT1788" s="1" t="s">
        <v>16768</v>
      </c>
      <c r="BU1788" s="1" t="s">
        <v>1129</v>
      </c>
      <c r="BV1788" s="1" t="s">
        <v>1130</v>
      </c>
      <c r="BW1788" s="1" t="s">
        <v>1131</v>
      </c>
      <c r="BX1788" s="1">
        <v>204</v>
      </c>
      <c r="BY1788" s="1">
        <v>204</v>
      </c>
      <c r="BZ1788" s="1">
        <v>204</v>
      </c>
      <c r="CB1788" s="1" t="str">
        <f t="shared" ref="CB1788:CC1788" si="1354">"0"</f>
        <v>0</v>
      </c>
      <c r="CC1788" s="1" t="str">
        <f t="shared" si="1354"/>
        <v>0</v>
      </c>
      <c r="CD1788" s="1">
        <v>32</v>
      </c>
      <c r="CE1788" s="1">
        <v>4</v>
      </c>
      <c r="CG1788" s="1" t="s">
        <v>461</v>
      </c>
      <c r="CH1788" s="1" t="s">
        <v>219</v>
      </c>
      <c r="CI1788" s="1" t="s">
        <v>220</v>
      </c>
      <c r="CK1788" s="1" t="s">
        <v>539</v>
      </c>
      <c r="CL1788" s="1" t="s">
        <v>219</v>
      </c>
      <c r="CO1788" s="1" t="s">
        <v>281</v>
      </c>
      <c r="CP1788" s="1" t="s">
        <v>219</v>
      </c>
      <c r="CQ1788" s="1" t="s">
        <v>220</v>
      </c>
      <c r="CS1788" s="1" t="s">
        <v>1358</v>
      </c>
      <c r="CT1788" s="1" t="s">
        <v>219</v>
      </c>
      <c r="CX1788" s="1" t="s">
        <v>224</v>
      </c>
      <c r="DB1788" s="1" t="s">
        <v>224</v>
      </c>
      <c r="DE1788" s="1" t="s">
        <v>837</v>
      </c>
      <c r="DF1788" s="1" t="s">
        <v>219</v>
      </c>
      <c r="DG1788" s="1" t="s">
        <v>229</v>
      </c>
      <c r="DJ1788" s="1" t="s">
        <v>224</v>
      </c>
      <c r="DM1788" s="1" t="s">
        <v>1548</v>
      </c>
      <c r="DO1788" s="1" t="s">
        <v>709</v>
      </c>
      <c r="DR1788" s="1" t="s">
        <v>346</v>
      </c>
      <c r="DS1788" s="1" t="s">
        <v>219</v>
      </c>
      <c r="DT1788" s="1" t="s">
        <v>229</v>
      </c>
      <c r="DW1788" s="1" t="s">
        <v>230</v>
      </c>
      <c r="DZ1788" s="1" t="s">
        <v>4260</v>
      </c>
      <c r="EA1788" s="1" t="s">
        <v>219</v>
      </c>
      <c r="EB1788" s="1" t="s">
        <v>229</v>
      </c>
      <c r="EE1788" s="1" t="s">
        <v>230</v>
      </c>
      <c r="EI1788" s="1" t="s">
        <v>230</v>
      </c>
      <c r="EL1788" s="1" t="s">
        <v>466</v>
      </c>
      <c r="EM1788" s="1" t="s">
        <v>319</v>
      </c>
      <c r="EN1788" s="1" t="s">
        <v>282</v>
      </c>
      <c r="EO1788" s="1" t="s">
        <v>234</v>
      </c>
      <c r="EP1788" s="1" t="s">
        <v>1268</v>
      </c>
      <c r="EQ1788" s="1" t="s">
        <v>284</v>
      </c>
      <c r="ER1788" s="1" t="s">
        <v>210</v>
      </c>
      <c r="ES1788" s="1" t="s">
        <v>824</v>
      </c>
      <c r="ET1788" s="1" t="s">
        <v>16769</v>
      </c>
      <c r="EU1788" s="1" t="s">
        <v>1202</v>
      </c>
      <c r="EV1788" s="1" t="s">
        <v>240</v>
      </c>
      <c r="EW1788" s="1" t="s">
        <v>353</v>
      </c>
      <c r="EY1788" s="1" t="s">
        <v>242</v>
      </c>
      <c r="EZ1788" s="1" t="s">
        <v>10789</v>
      </c>
      <c r="FA1788" s="1" t="s">
        <v>1427</v>
      </c>
      <c r="FB1788" s="1" t="s">
        <v>289</v>
      </c>
      <c r="FD1788" s="1" t="s">
        <v>246</v>
      </c>
      <c r="FE1788" s="1" t="s">
        <v>247</v>
      </c>
      <c r="FF1788" s="1" t="s">
        <v>248</v>
      </c>
      <c r="FG1788" s="1" t="s">
        <v>1204</v>
      </c>
      <c r="FH1788" s="1" t="s">
        <v>825</v>
      </c>
      <c r="FI1788" s="1" t="s">
        <v>473</v>
      </c>
      <c r="FL1788" s="1" t="s">
        <v>358</v>
      </c>
      <c r="FM1788" s="1" t="s">
        <v>252</v>
      </c>
      <c r="FN1788" s="1" t="s">
        <v>213</v>
      </c>
      <c r="FO1788" s="1" t="s">
        <v>213</v>
      </c>
      <c r="FQ1788" s="1" t="s">
        <v>329</v>
      </c>
      <c r="FR1788" s="1" t="s">
        <v>210</v>
      </c>
      <c r="FS1788" s="1" t="s">
        <v>16770</v>
      </c>
      <c r="FT1788" s="1" t="s">
        <v>1778</v>
      </c>
      <c r="FU1788" s="1" t="s">
        <v>204</v>
      </c>
      <c r="FW1788" s="1" t="s">
        <v>1475</v>
      </c>
      <c r="FX1788" s="1">
        <v>23265</v>
      </c>
      <c r="FY1788" s="1" t="s">
        <v>1476</v>
      </c>
      <c r="FZ1788" s="1" t="s">
        <v>7360</v>
      </c>
      <c r="GA1788" s="1">
        <v>232075</v>
      </c>
      <c r="GB1788" s="1" t="s">
        <v>7361</v>
      </c>
      <c r="GC1788" s="1">
        <v>225730</v>
      </c>
      <c r="GE1788" s="1" t="s">
        <v>480</v>
      </c>
      <c r="GI1788" s="1" t="s">
        <v>213</v>
      </c>
      <c r="GJ1788" s="1" t="s">
        <v>260</v>
      </c>
      <c r="GK1788" s="1" t="s">
        <v>261</v>
      </c>
      <c r="GL1788" s="2">
        <v>41979</v>
      </c>
      <c r="GM1788" s="1" t="s">
        <v>16771</v>
      </c>
    </row>
    <row r="1789" spans="1:195">
      <c r="A1789" s="1">
        <v>98000</v>
      </c>
      <c r="B1789" s="1" t="s">
        <v>195</v>
      </c>
      <c r="C1789" s="1" t="str">
        <f>"08724015"</f>
        <v>08724015</v>
      </c>
      <c r="D1789" s="1" t="s">
        <v>196</v>
      </c>
      <c r="F1789" s="1" t="str">
        <f>"517"</f>
        <v>517</v>
      </c>
      <c r="G1789" s="2">
        <v>41891</v>
      </c>
      <c r="H1789" s="1">
        <v>110000</v>
      </c>
      <c r="I1789" s="1">
        <v>110000</v>
      </c>
      <c r="J1789" s="1">
        <v>98000</v>
      </c>
      <c r="K1789" s="2">
        <v>41891</v>
      </c>
      <c r="L1789" s="1">
        <v>145</v>
      </c>
      <c r="M1789" s="2">
        <v>42035</v>
      </c>
      <c r="N1789" s="1">
        <v>145</v>
      </c>
      <c r="O1789" s="2">
        <v>42035</v>
      </c>
      <c r="P1789" s="1">
        <v>72504</v>
      </c>
      <c r="Q1789" s="1" t="s">
        <v>423</v>
      </c>
      <c r="R1789" s="2">
        <v>42069</v>
      </c>
      <c r="S1789" s="1">
        <v>703194</v>
      </c>
      <c r="U1789" s="1">
        <v>2208</v>
      </c>
      <c r="V1789" s="1" t="s">
        <v>5730</v>
      </c>
      <c r="W1789" s="1" t="s">
        <v>264</v>
      </c>
      <c r="X1789" s="1">
        <v>2208</v>
      </c>
      <c r="Y1789" s="1">
        <v>8</v>
      </c>
      <c r="Z1789" s="1" t="s">
        <v>249</v>
      </c>
      <c r="AA1789" s="1" t="s">
        <v>2850</v>
      </c>
      <c r="AB1789" s="1">
        <v>60517</v>
      </c>
      <c r="AE1789" s="1" t="s">
        <v>16772</v>
      </c>
      <c r="AF1789" s="1">
        <v>1985</v>
      </c>
      <c r="AG1789" s="1" t="s">
        <v>204</v>
      </c>
      <c r="AH1789" s="1" t="s">
        <v>2853</v>
      </c>
      <c r="AI1789" s="1" t="s">
        <v>206</v>
      </c>
      <c r="AJ1789" s="1" t="s">
        <v>925</v>
      </c>
      <c r="AL1789" s="1">
        <v>5</v>
      </c>
      <c r="AM1789" s="1">
        <v>2</v>
      </c>
      <c r="AN1789" s="1">
        <v>2</v>
      </c>
      <c r="AO1789" s="1">
        <v>0</v>
      </c>
      <c r="AP1789" s="1" t="s">
        <v>209</v>
      </c>
      <c r="AQ1789" s="1">
        <v>1</v>
      </c>
      <c r="AR1789" s="1" t="s">
        <v>210</v>
      </c>
      <c r="AS1789" s="1" t="s">
        <v>204</v>
      </c>
      <c r="AT1789" s="1" t="s">
        <v>211</v>
      </c>
      <c r="AU1789" s="1">
        <v>1</v>
      </c>
      <c r="AW1789" s="1" t="s">
        <v>204</v>
      </c>
      <c r="AX1789" s="1" t="s">
        <v>212</v>
      </c>
      <c r="AZ1789" s="1">
        <v>2313</v>
      </c>
      <c r="BA1789" s="1">
        <v>2013</v>
      </c>
      <c r="BE1789" s="1">
        <v>1100</v>
      </c>
      <c r="BF1789" s="1">
        <v>2</v>
      </c>
      <c r="BG1789" s="1">
        <v>0</v>
      </c>
      <c r="BL1789" s="1">
        <v>207</v>
      </c>
      <c r="BM1789" s="1" t="s">
        <v>204</v>
      </c>
      <c r="BN1789" s="1" t="s">
        <v>213</v>
      </c>
      <c r="BO1789" s="1">
        <v>25</v>
      </c>
      <c r="BP1789" s="1" t="s">
        <v>204</v>
      </c>
      <c r="BR1789" s="1" t="str">
        <f>"0836210136"</f>
        <v>0836210136</v>
      </c>
      <c r="BT1789" s="1" t="s">
        <v>16773</v>
      </c>
      <c r="BX1789" s="1">
        <v>68</v>
      </c>
      <c r="BY1789" s="1">
        <v>68</v>
      </c>
      <c r="BZ1789" s="1">
        <v>99</v>
      </c>
      <c r="CB1789" s="1" t="str">
        <f t="shared" ref="CB1789:CC1789" si="1355">""</f>
        <v/>
      </c>
      <c r="CC1789" s="1" t="str">
        <f t="shared" si="1355"/>
        <v/>
      </c>
      <c r="CG1789" s="1" t="s">
        <v>1045</v>
      </c>
      <c r="CH1789" s="1" t="s">
        <v>219</v>
      </c>
      <c r="CI1789" s="1" t="s">
        <v>220</v>
      </c>
      <c r="CJ1789" s="1" t="s">
        <v>343</v>
      </c>
      <c r="CK1789" s="1" t="s">
        <v>461</v>
      </c>
      <c r="CL1789" s="1" t="s">
        <v>219</v>
      </c>
      <c r="CM1789" s="1" t="s">
        <v>220</v>
      </c>
      <c r="CN1789" s="1" t="s">
        <v>343</v>
      </c>
      <c r="CO1789" s="1" t="s">
        <v>318</v>
      </c>
      <c r="CP1789" s="1" t="s">
        <v>219</v>
      </c>
      <c r="CQ1789" s="1" t="s">
        <v>229</v>
      </c>
      <c r="CR1789" s="1" t="s">
        <v>210</v>
      </c>
      <c r="CS1789" s="1" t="s">
        <v>1358</v>
      </c>
      <c r="CT1789" s="1" t="s">
        <v>219</v>
      </c>
      <c r="CU1789" s="1" t="s">
        <v>220</v>
      </c>
      <c r="CV1789" s="1" t="s">
        <v>343</v>
      </c>
      <c r="CX1789" s="1" t="s">
        <v>224</v>
      </c>
      <c r="DB1789" s="1" t="s">
        <v>224</v>
      </c>
      <c r="DE1789" s="1" t="s">
        <v>461</v>
      </c>
      <c r="DF1789" s="1" t="s">
        <v>219</v>
      </c>
      <c r="DG1789" s="1" t="s">
        <v>229</v>
      </c>
      <c r="DH1789" s="1" t="s">
        <v>343</v>
      </c>
      <c r="DJ1789" s="1" t="s">
        <v>224</v>
      </c>
      <c r="DS1789" s="1" t="s">
        <v>230</v>
      </c>
      <c r="DW1789" s="1" t="s">
        <v>230</v>
      </c>
      <c r="EA1789" s="1" t="s">
        <v>230</v>
      </c>
      <c r="EE1789" s="1" t="s">
        <v>230</v>
      </c>
      <c r="EI1789" s="1" t="s">
        <v>230</v>
      </c>
      <c r="EL1789" s="1" t="s">
        <v>542</v>
      </c>
      <c r="EM1789" s="1" t="s">
        <v>232</v>
      </c>
      <c r="EN1789" s="1" t="s">
        <v>282</v>
      </c>
      <c r="EO1789" s="1" t="s">
        <v>234</v>
      </c>
      <c r="EQ1789" s="1" t="s">
        <v>468</v>
      </c>
      <c r="ER1789" s="1" t="s">
        <v>210</v>
      </c>
      <c r="EW1789" s="1" t="s">
        <v>1679</v>
      </c>
      <c r="EZ1789" s="1" t="s">
        <v>287</v>
      </c>
      <c r="FD1789" s="1" t="s">
        <v>495</v>
      </c>
      <c r="FE1789" s="1" t="s">
        <v>247</v>
      </c>
      <c r="FF1789" s="1" t="s">
        <v>248</v>
      </c>
      <c r="FG1789" s="1" t="s">
        <v>939</v>
      </c>
      <c r="FH1789" s="1" t="s">
        <v>249</v>
      </c>
      <c r="FI1789" s="1" t="s">
        <v>357</v>
      </c>
      <c r="FL1789" s="1" t="s">
        <v>414</v>
      </c>
      <c r="FM1789" s="1" t="s">
        <v>252</v>
      </c>
      <c r="FN1789" s="1" t="s">
        <v>213</v>
      </c>
      <c r="FO1789" s="1" t="s">
        <v>213</v>
      </c>
      <c r="FQ1789" s="1" t="s">
        <v>913</v>
      </c>
      <c r="FR1789" s="1" t="s">
        <v>652</v>
      </c>
      <c r="FS1789" s="1" t="s">
        <v>16774</v>
      </c>
      <c r="FT1789" s="1" t="s">
        <v>362</v>
      </c>
      <c r="FU1789" s="1" t="s">
        <v>204</v>
      </c>
      <c r="FW1789" s="1" t="s">
        <v>3231</v>
      </c>
      <c r="FX1789" s="1">
        <v>24451</v>
      </c>
      <c r="FY1789" s="1" t="s">
        <v>3232</v>
      </c>
      <c r="FZ1789" s="1" t="s">
        <v>16775</v>
      </c>
      <c r="GA1789" s="1">
        <v>245889</v>
      </c>
      <c r="GB1789" s="1" t="s">
        <v>16776</v>
      </c>
      <c r="GE1789" s="1" t="s">
        <v>480</v>
      </c>
      <c r="GI1789" s="1" t="s">
        <v>204</v>
      </c>
      <c r="GJ1789" s="1" t="s">
        <v>300</v>
      </c>
      <c r="GK1789" s="1" t="s">
        <v>210</v>
      </c>
      <c r="GL1789" s="2">
        <v>42070</v>
      </c>
      <c r="GM1789" s="1" t="s">
        <v>16777</v>
      </c>
    </row>
    <row r="1790" spans="1:195">
      <c r="A1790" s="1">
        <v>205000</v>
      </c>
      <c r="B1790" s="1" t="s">
        <v>195</v>
      </c>
      <c r="C1790" s="1" t="str">
        <f>"08720689"</f>
        <v>08720689</v>
      </c>
      <c r="D1790" s="1" t="s">
        <v>196</v>
      </c>
      <c r="F1790" s="1" t="str">
        <f>"507"</f>
        <v>507</v>
      </c>
      <c r="G1790" s="2">
        <v>41887</v>
      </c>
      <c r="H1790" s="1">
        <v>195000</v>
      </c>
      <c r="I1790" s="1">
        <v>195000</v>
      </c>
      <c r="J1790" s="1">
        <v>205000</v>
      </c>
      <c r="K1790" s="2">
        <v>41887</v>
      </c>
      <c r="L1790" s="1">
        <v>50</v>
      </c>
      <c r="M1790" s="2">
        <v>41936</v>
      </c>
      <c r="N1790" s="1">
        <v>50</v>
      </c>
      <c r="O1790" s="2">
        <v>41936</v>
      </c>
      <c r="P1790" s="1">
        <v>1855</v>
      </c>
      <c r="Q1790" s="1" t="s">
        <v>423</v>
      </c>
      <c r="R1790" s="2">
        <v>42090</v>
      </c>
      <c r="S1790" s="1">
        <v>226008</v>
      </c>
      <c r="U1790" s="1">
        <v>3407</v>
      </c>
      <c r="V1790" s="1" t="s">
        <v>16778</v>
      </c>
      <c r="W1790" s="1" t="s">
        <v>449</v>
      </c>
      <c r="Y1790" s="1">
        <v>5</v>
      </c>
      <c r="Z1790" s="1" t="s">
        <v>370</v>
      </c>
      <c r="AA1790" s="1" t="s">
        <v>1123</v>
      </c>
      <c r="AB1790" s="1">
        <v>60504</v>
      </c>
      <c r="AD1790" s="1" t="s">
        <v>16779</v>
      </c>
      <c r="AE1790" s="1" t="s">
        <v>16780</v>
      </c>
      <c r="AF1790" s="1">
        <v>2007</v>
      </c>
      <c r="AG1790" s="1" t="s">
        <v>204</v>
      </c>
      <c r="AH1790" s="1" t="s">
        <v>924</v>
      </c>
      <c r="AI1790" s="1" t="s">
        <v>206</v>
      </c>
      <c r="AJ1790" s="1" t="s">
        <v>924</v>
      </c>
      <c r="AK1790" s="1" t="s">
        <v>1460</v>
      </c>
      <c r="AL1790" s="1">
        <v>5</v>
      </c>
      <c r="AM1790" s="1">
        <v>2</v>
      </c>
      <c r="AN1790" s="1">
        <v>2</v>
      </c>
      <c r="AO1790" s="1">
        <v>1</v>
      </c>
      <c r="AP1790" s="1" t="s">
        <v>209</v>
      </c>
      <c r="AQ1790" s="1">
        <v>0</v>
      </c>
      <c r="AR1790" s="1" t="s">
        <v>1421</v>
      </c>
      <c r="AS1790" s="1" t="s">
        <v>204</v>
      </c>
      <c r="AT1790" s="1" t="s">
        <v>211</v>
      </c>
      <c r="AU1790" s="1">
        <v>2</v>
      </c>
      <c r="AW1790" s="1" t="s">
        <v>204</v>
      </c>
      <c r="AX1790" s="1" t="s">
        <v>212</v>
      </c>
      <c r="AZ1790" s="1">
        <v>4916</v>
      </c>
      <c r="BA1790" s="1">
        <v>2013</v>
      </c>
      <c r="BB1790" s="1" t="s">
        <v>405</v>
      </c>
      <c r="BE1790" s="1">
        <v>1702</v>
      </c>
      <c r="BF1790" s="1">
        <v>1</v>
      </c>
      <c r="BG1790" s="1">
        <v>0</v>
      </c>
      <c r="BL1790" s="1">
        <v>126</v>
      </c>
      <c r="BM1790" s="1" t="s">
        <v>204</v>
      </c>
      <c r="BN1790" s="1" t="s">
        <v>213</v>
      </c>
      <c r="BO1790" s="1">
        <v>100</v>
      </c>
      <c r="BP1790" s="1" t="s">
        <v>204</v>
      </c>
      <c r="BR1790" s="1" t="str">
        <f>"07202080410000"</f>
        <v>07202080410000</v>
      </c>
      <c r="BX1790" s="1">
        <v>204</v>
      </c>
      <c r="BY1790" s="1">
        <v>204</v>
      </c>
      <c r="BZ1790" s="1">
        <v>204</v>
      </c>
      <c r="CB1790" s="1" t="str">
        <f t="shared" ref="CB1790:CC1790" si="1356">""</f>
        <v/>
      </c>
      <c r="CC1790" s="1" t="str">
        <f t="shared" si="1356"/>
        <v/>
      </c>
      <c r="CD1790" s="1">
        <v>33</v>
      </c>
      <c r="CE1790" s="1">
        <v>7</v>
      </c>
      <c r="CH1790" s="1" t="s">
        <v>224</v>
      </c>
      <c r="CK1790" s="1" t="s">
        <v>729</v>
      </c>
      <c r="CL1790" s="1" t="s">
        <v>277</v>
      </c>
      <c r="CM1790" s="1" t="s">
        <v>220</v>
      </c>
      <c r="CP1790" s="1" t="s">
        <v>224</v>
      </c>
      <c r="CS1790" s="1" t="s">
        <v>344</v>
      </c>
      <c r="CT1790" s="1" t="s">
        <v>277</v>
      </c>
      <c r="CU1790" s="1" t="s">
        <v>220</v>
      </c>
      <c r="CX1790" s="1" t="s">
        <v>224</v>
      </c>
      <c r="DB1790" s="1" t="s">
        <v>224</v>
      </c>
      <c r="DE1790" s="1" t="s">
        <v>346</v>
      </c>
      <c r="DF1790" s="1" t="s">
        <v>219</v>
      </c>
      <c r="DG1790" s="1" t="s">
        <v>438</v>
      </c>
      <c r="DJ1790" s="1" t="s">
        <v>224</v>
      </c>
      <c r="DM1790" s="1" t="s">
        <v>1676</v>
      </c>
      <c r="DN1790" s="1" t="s">
        <v>1548</v>
      </c>
      <c r="DR1790" s="1" t="s">
        <v>8861</v>
      </c>
      <c r="DS1790" s="1" t="s">
        <v>219</v>
      </c>
      <c r="DT1790" s="1" t="s">
        <v>220</v>
      </c>
      <c r="DV1790" s="1" t="s">
        <v>516</v>
      </c>
      <c r="DW1790" s="1" t="s">
        <v>219</v>
      </c>
      <c r="DX1790" s="1" t="s">
        <v>438</v>
      </c>
      <c r="EA1790" s="1" t="s">
        <v>230</v>
      </c>
      <c r="EE1790" s="1" t="s">
        <v>230</v>
      </c>
      <c r="EI1790" s="1" t="s">
        <v>230</v>
      </c>
      <c r="EL1790" s="1" t="s">
        <v>491</v>
      </c>
      <c r="EM1790" s="1" t="s">
        <v>319</v>
      </c>
      <c r="EN1790" s="1" t="s">
        <v>282</v>
      </c>
      <c r="EO1790" s="1" t="s">
        <v>234</v>
      </c>
      <c r="ER1790" s="1" t="s">
        <v>544</v>
      </c>
      <c r="EW1790" s="1" t="s">
        <v>353</v>
      </c>
      <c r="EZ1790" s="1" t="s">
        <v>9872</v>
      </c>
      <c r="FD1790" s="1" t="s">
        <v>246</v>
      </c>
      <c r="FE1790" s="1" t="s">
        <v>975</v>
      </c>
      <c r="FF1790" s="1" t="s">
        <v>248</v>
      </c>
      <c r="FH1790" s="1" t="s">
        <v>1428</v>
      </c>
      <c r="FI1790" s="1" t="s">
        <v>2827</v>
      </c>
      <c r="FL1790" s="1" t="s">
        <v>358</v>
      </c>
      <c r="FM1790" s="1" t="s">
        <v>252</v>
      </c>
      <c r="FN1790" s="1" t="s">
        <v>213</v>
      </c>
      <c r="FO1790" s="1" t="s">
        <v>213</v>
      </c>
      <c r="FQ1790" s="1" t="s">
        <v>1683</v>
      </c>
      <c r="FR1790" s="1" t="s">
        <v>360</v>
      </c>
      <c r="FS1790" s="1" t="s">
        <v>4950</v>
      </c>
      <c r="FT1790" s="1" t="s">
        <v>16781</v>
      </c>
      <c r="FU1790" s="1" t="s">
        <v>204</v>
      </c>
      <c r="FV1790" s="1" t="s">
        <v>16782</v>
      </c>
      <c r="FW1790" s="1" t="s">
        <v>585</v>
      </c>
      <c r="FX1790" s="1">
        <v>26032</v>
      </c>
      <c r="FY1790" s="1" t="s">
        <v>6322</v>
      </c>
      <c r="FZ1790" s="1" t="s">
        <v>16783</v>
      </c>
      <c r="GA1790" s="1">
        <v>213247</v>
      </c>
      <c r="GB1790" s="1" t="s">
        <v>16784</v>
      </c>
      <c r="GE1790" s="1" t="s">
        <v>210</v>
      </c>
      <c r="GI1790" s="1" t="s">
        <v>213</v>
      </c>
      <c r="GJ1790" s="1" t="s">
        <v>260</v>
      </c>
      <c r="GK1790" s="1" t="s">
        <v>210</v>
      </c>
      <c r="GL1790" s="2">
        <v>42098</v>
      </c>
      <c r="GM1790" s="1" t="s">
        <v>397</v>
      </c>
    </row>
    <row r="1791" spans="1:195">
      <c r="A1791" s="1">
        <v>34900</v>
      </c>
      <c r="B1791" s="1" t="s">
        <v>195</v>
      </c>
      <c r="C1791" s="1" t="str">
        <f>"08723441"</f>
        <v>08723441</v>
      </c>
      <c r="D1791" s="1" t="s">
        <v>196</v>
      </c>
      <c r="F1791" s="1" t="str">
        <f>"517"</f>
        <v>517</v>
      </c>
      <c r="G1791" s="2">
        <v>41891</v>
      </c>
      <c r="H1791" s="1">
        <v>34900</v>
      </c>
      <c r="I1791" s="1">
        <v>34900</v>
      </c>
      <c r="J1791" s="1">
        <v>34900</v>
      </c>
      <c r="K1791" s="2">
        <v>41891</v>
      </c>
      <c r="L1791" s="1">
        <v>51</v>
      </c>
      <c r="M1791" s="2">
        <v>41941</v>
      </c>
      <c r="N1791" s="1">
        <v>51</v>
      </c>
      <c r="O1791" s="2">
        <v>41941</v>
      </c>
      <c r="P1791" s="1">
        <v>23982</v>
      </c>
      <c r="Q1791" s="1" t="s">
        <v>302</v>
      </c>
      <c r="R1791" s="2">
        <v>41969</v>
      </c>
      <c r="S1791" s="1">
        <v>214295</v>
      </c>
      <c r="U1791" s="1">
        <v>2263</v>
      </c>
      <c r="V1791" s="1" t="s">
        <v>7960</v>
      </c>
      <c r="W1791" s="1" t="s">
        <v>264</v>
      </c>
      <c r="X1791" s="1">
        <v>12</v>
      </c>
      <c r="Y1791" s="1">
        <v>16</v>
      </c>
      <c r="Z1791" s="1" t="s">
        <v>370</v>
      </c>
      <c r="AA1791" s="1" t="s">
        <v>2850</v>
      </c>
      <c r="AB1791" s="1">
        <v>60517</v>
      </c>
      <c r="AE1791" s="1" t="s">
        <v>16785</v>
      </c>
      <c r="AF1791" s="1">
        <v>1979</v>
      </c>
      <c r="AG1791" s="1" t="s">
        <v>204</v>
      </c>
      <c r="AH1791" s="1" t="s">
        <v>2853</v>
      </c>
      <c r="AI1791" s="1" t="s">
        <v>206</v>
      </c>
      <c r="AJ1791" s="1" t="s">
        <v>925</v>
      </c>
      <c r="AL1791" s="1">
        <v>5</v>
      </c>
      <c r="AM1791" s="1">
        <v>2</v>
      </c>
      <c r="AN1791" s="1">
        <v>1</v>
      </c>
      <c r="AO1791" s="1">
        <v>0</v>
      </c>
      <c r="AP1791" s="1" t="s">
        <v>210</v>
      </c>
      <c r="AR1791" s="1" t="s">
        <v>210</v>
      </c>
      <c r="AS1791" s="1" t="s">
        <v>204</v>
      </c>
      <c r="AT1791" s="1" t="s">
        <v>271</v>
      </c>
      <c r="AV1791" s="1">
        <v>1</v>
      </c>
      <c r="AW1791" s="1" t="s">
        <v>204</v>
      </c>
      <c r="AX1791" s="1" t="s">
        <v>212</v>
      </c>
      <c r="AZ1791" s="1">
        <v>1467</v>
      </c>
      <c r="BA1791" s="1">
        <v>2013</v>
      </c>
      <c r="BB1791" s="1" t="s">
        <v>405</v>
      </c>
      <c r="BE1791" s="1">
        <v>937</v>
      </c>
      <c r="BF1791" s="1">
        <v>2</v>
      </c>
      <c r="BG1791" s="1">
        <v>30</v>
      </c>
      <c r="BJ1791" s="1">
        <v>100</v>
      </c>
      <c r="BL1791" s="1">
        <v>348</v>
      </c>
      <c r="BM1791" s="1" t="s">
        <v>204</v>
      </c>
      <c r="BN1791" s="1" t="s">
        <v>213</v>
      </c>
      <c r="BO1791" s="1">
        <v>20</v>
      </c>
      <c r="BP1791" s="1" t="s">
        <v>204</v>
      </c>
      <c r="BR1791" s="1" t="str">
        <f>"0825422008"</f>
        <v>0825422008</v>
      </c>
      <c r="BT1791" s="1" t="s">
        <v>16786</v>
      </c>
      <c r="BX1791" s="1">
        <v>68</v>
      </c>
      <c r="BY1791" s="1">
        <v>68</v>
      </c>
      <c r="BZ1791" s="1">
        <v>99</v>
      </c>
      <c r="CB1791" s="1" t="str">
        <f t="shared" ref="CB1791:CC1791" si="1357">""</f>
        <v/>
      </c>
      <c r="CC1791" s="1" t="str">
        <f t="shared" si="1357"/>
        <v/>
      </c>
      <c r="CG1791" s="1" t="s">
        <v>861</v>
      </c>
      <c r="CH1791" s="1" t="s">
        <v>219</v>
      </c>
      <c r="CI1791" s="1" t="s">
        <v>220</v>
      </c>
      <c r="CK1791" s="1" t="s">
        <v>564</v>
      </c>
      <c r="CL1791" s="1" t="s">
        <v>219</v>
      </c>
      <c r="CM1791" s="1" t="s">
        <v>220</v>
      </c>
      <c r="CO1791" s="1" t="s">
        <v>345</v>
      </c>
      <c r="CP1791" s="1" t="s">
        <v>219</v>
      </c>
      <c r="CQ1791" s="1" t="s">
        <v>220</v>
      </c>
      <c r="CS1791" s="1" t="s">
        <v>1297</v>
      </c>
      <c r="CT1791" s="1" t="s">
        <v>219</v>
      </c>
      <c r="CU1791" s="1" t="s">
        <v>220</v>
      </c>
      <c r="CX1791" s="1" t="s">
        <v>224</v>
      </c>
      <c r="DB1791" s="1" t="s">
        <v>224</v>
      </c>
      <c r="DE1791" s="1" t="s">
        <v>516</v>
      </c>
      <c r="DF1791" s="1" t="s">
        <v>219</v>
      </c>
      <c r="DG1791" s="1" t="s">
        <v>342</v>
      </c>
      <c r="DJ1791" s="1" t="s">
        <v>224</v>
      </c>
      <c r="DS1791" s="1" t="s">
        <v>230</v>
      </c>
      <c r="DW1791" s="1" t="s">
        <v>230</v>
      </c>
      <c r="EA1791" s="1" t="s">
        <v>230</v>
      </c>
      <c r="EE1791" s="1" t="s">
        <v>230</v>
      </c>
      <c r="EI1791" s="1" t="s">
        <v>230</v>
      </c>
      <c r="EL1791" s="1" t="s">
        <v>231</v>
      </c>
      <c r="EM1791" s="1" t="s">
        <v>232</v>
      </c>
      <c r="EN1791" s="1" t="s">
        <v>282</v>
      </c>
      <c r="EO1791" s="1" t="s">
        <v>234</v>
      </c>
      <c r="EP1791" s="1" t="s">
        <v>16787</v>
      </c>
      <c r="ER1791" s="1" t="s">
        <v>210</v>
      </c>
      <c r="ES1791" s="1" t="s">
        <v>545</v>
      </c>
      <c r="EV1791" s="1" t="s">
        <v>352</v>
      </c>
      <c r="EW1791" s="1" t="s">
        <v>16788</v>
      </c>
      <c r="EZ1791" s="1" t="s">
        <v>287</v>
      </c>
      <c r="FB1791" s="1" t="s">
        <v>289</v>
      </c>
      <c r="FC1791" s="1" t="s">
        <v>548</v>
      </c>
      <c r="FD1791" s="1" t="s">
        <v>246</v>
      </c>
      <c r="FE1791" s="1" t="s">
        <v>247</v>
      </c>
      <c r="FF1791" s="1" t="s">
        <v>248</v>
      </c>
      <c r="FH1791" s="1" t="s">
        <v>249</v>
      </c>
      <c r="FK1791" s="1" t="s">
        <v>891</v>
      </c>
      <c r="FL1791" s="1" t="s">
        <v>358</v>
      </c>
      <c r="FM1791" s="1" t="s">
        <v>252</v>
      </c>
      <c r="FN1791" s="1" t="s">
        <v>213</v>
      </c>
      <c r="FO1791" s="1" t="s">
        <v>213</v>
      </c>
      <c r="FQ1791" s="1" t="s">
        <v>3794</v>
      </c>
      <c r="FR1791" s="1" t="s">
        <v>210</v>
      </c>
      <c r="FS1791" s="1" t="s">
        <v>16789</v>
      </c>
      <c r="FT1791" s="1" t="s">
        <v>3729</v>
      </c>
      <c r="FU1791" s="1" t="s">
        <v>204</v>
      </c>
      <c r="FW1791" s="1" t="s">
        <v>2985</v>
      </c>
      <c r="FX1791" s="1">
        <v>23959</v>
      </c>
      <c r="FY1791" s="1" t="s">
        <v>2986</v>
      </c>
      <c r="FZ1791" s="1" t="s">
        <v>2987</v>
      </c>
      <c r="GA1791" s="1">
        <v>220868</v>
      </c>
      <c r="GB1791" s="1" t="s">
        <v>2986</v>
      </c>
      <c r="GE1791" s="1" t="s">
        <v>480</v>
      </c>
      <c r="GI1791" s="1" t="s">
        <v>213</v>
      </c>
      <c r="GJ1791" s="1" t="s">
        <v>260</v>
      </c>
      <c r="GK1791" s="1" t="s">
        <v>210</v>
      </c>
      <c r="GL1791" s="2">
        <v>41969</v>
      </c>
      <c r="GM1791" s="1" t="s">
        <v>16790</v>
      </c>
    </row>
    <row r="1792" spans="1:195">
      <c r="A1792" s="1">
        <v>170000</v>
      </c>
      <c r="B1792" s="1" t="s">
        <v>195</v>
      </c>
      <c r="C1792" s="1" t="str">
        <f>"08725540"</f>
        <v>08725540</v>
      </c>
      <c r="D1792" s="1" t="s">
        <v>196</v>
      </c>
      <c r="F1792" s="1" t="str">
        <f>"123"</f>
        <v>123</v>
      </c>
      <c r="G1792" s="2">
        <v>41893</v>
      </c>
      <c r="H1792" s="1">
        <v>190000</v>
      </c>
      <c r="I1792" s="1">
        <v>185000</v>
      </c>
      <c r="J1792" s="1">
        <v>170000</v>
      </c>
      <c r="K1792" s="2">
        <v>41893</v>
      </c>
      <c r="L1792" s="1">
        <v>157</v>
      </c>
      <c r="M1792" s="2">
        <v>42049</v>
      </c>
      <c r="N1792" s="1">
        <v>157</v>
      </c>
      <c r="O1792" s="2">
        <v>42049</v>
      </c>
      <c r="P1792" s="1">
        <v>7032</v>
      </c>
      <c r="Q1792" s="1" t="s">
        <v>302</v>
      </c>
      <c r="R1792" s="2">
        <v>42075</v>
      </c>
      <c r="S1792" s="1">
        <v>8707</v>
      </c>
      <c r="U1792" s="1">
        <v>1307</v>
      </c>
      <c r="V1792" s="1" t="s">
        <v>16791</v>
      </c>
      <c r="W1792" s="1" t="s">
        <v>504</v>
      </c>
      <c r="Y1792" s="1">
        <v>2</v>
      </c>
      <c r="Z1792" s="1" t="s">
        <v>370</v>
      </c>
      <c r="AA1792" s="1" t="s">
        <v>1173</v>
      </c>
      <c r="AB1792" s="1">
        <v>60120</v>
      </c>
      <c r="AD1792" s="1" t="s">
        <v>16792</v>
      </c>
      <c r="AE1792" s="1" t="s">
        <v>16793</v>
      </c>
      <c r="AF1792" s="1">
        <v>2004</v>
      </c>
      <c r="AG1792" s="1" t="s">
        <v>204</v>
      </c>
      <c r="AH1792" s="1" t="s">
        <v>1175</v>
      </c>
      <c r="AI1792" s="1" t="s">
        <v>310</v>
      </c>
      <c r="AJ1792" s="1" t="s">
        <v>1175</v>
      </c>
      <c r="AK1792" s="1" t="s">
        <v>16794</v>
      </c>
      <c r="AL1792" s="1">
        <v>8</v>
      </c>
      <c r="AM1792" s="1">
        <v>2</v>
      </c>
      <c r="AN1792" s="1">
        <v>2</v>
      </c>
      <c r="AO1792" s="1">
        <v>0</v>
      </c>
      <c r="AP1792" s="1" t="s">
        <v>209</v>
      </c>
      <c r="AQ1792" s="1">
        <v>1</v>
      </c>
      <c r="AR1792" s="1" t="s">
        <v>1483</v>
      </c>
      <c r="AS1792" s="1" t="s">
        <v>204</v>
      </c>
      <c r="AT1792" s="1" t="s">
        <v>211</v>
      </c>
      <c r="AU1792" s="1">
        <v>2</v>
      </c>
      <c r="AW1792" s="1" t="s">
        <v>204</v>
      </c>
      <c r="AX1792" s="1">
        <v>3246</v>
      </c>
      <c r="AZ1792" s="1">
        <v>4507</v>
      </c>
      <c r="BA1792" s="1">
        <v>2013</v>
      </c>
      <c r="BB1792" s="1" t="s">
        <v>599</v>
      </c>
      <c r="BE1792" s="1">
        <v>1388</v>
      </c>
      <c r="BF1792" s="1">
        <v>1</v>
      </c>
      <c r="BG1792" s="1">
        <v>0</v>
      </c>
      <c r="BL1792" s="1">
        <v>150</v>
      </c>
      <c r="BM1792" s="1" t="s">
        <v>204</v>
      </c>
      <c r="BN1792" s="1" t="s">
        <v>213</v>
      </c>
      <c r="BP1792" s="1" t="s">
        <v>204</v>
      </c>
      <c r="BR1792" s="1" t="str">
        <f>"06083020420000"</f>
        <v>06083020420000</v>
      </c>
      <c r="BT1792" s="1" t="s">
        <v>16795</v>
      </c>
      <c r="BX1792" s="1">
        <v>46</v>
      </c>
      <c r="BY1792" s="1">
        <v>46</v>
      </c>
      <c r="BZ1792" s="1">
        <v>46</v>
      </c>
      <c r="CB1792" s="1" t="str">
        <f t="shared" ref="CB1792:CC1792" si="1358">""</f>
        <v/>
      </c>
      <c r="CC1792" s="1" t="str">
        <f t="shared" si="1358"/>
        <v/>
      </c>
      <c r="CG1792" s="1" t="s">
        <v>1723</v>
      </c>
      <c r="CH1792" s="1" t="s">
        <v>219</v>
      </c>
      <c r="CI1792" s="1" t="s">
        <v>220</v>
      </c>
      <c r="CJ1792" s="1" t="s">
        <v>252</v>
      </c>
      <c r="CK1792" s="1" t="s">
        <v>932</v>
      </c>
      <c r="CL1792" s="1" t="s">
        <v>219</v>
      </c>
      <c r="CM1792" s="1" t="s">
        <v>220</v>
      </c>
      <c r="CN1792" s="1" t="s">
        <v>252</v>
      </c>
      <c r="CO1792" s="1" t="s">
        <v>629</v>
      </c>
      <c r="CP1792" s="1" t="s">
        <v>219</v>
      </c>
      <c r="CQ1792" s="1" t="s">
        <v>220</v>
      </c>
      <c r="CR1792" s="1" t="s">
        <v>252</v>
      </c>
      <c r="CS1792" s="1" t="s">
        <v>757</v>
      </c>
      <c r="CT1792" s="1" t="s">
        <v>219</v>
      </c>
      <c r="CU1792" s="1" t="s">
        <v>220</v>
      </c>
      <c r="CV1792" s="1" t="s">
        <v>252</v>
      </c>
      <c r="CX1792" s="1" t="s">
        <v>224</v>
      </c>
      <c r="DB1792" s="1" t="s">
        <v>224</v>
      </c>
      <c r="DE1792" s="1" t="s">
        <v>437</v>
      </c>
      <c r="DF1792" s="1" t="s">
        <v>219</v>
      </c>
      <c r="DG1792" s="1" t="s">
        <v>342</v>
      </c>
      <c r="DH1792" s="1" t="s">
        <v>252</v>
      </c>
      <c r="DI1792" s="1" t="s">
        <v>16796</v>
      </c>
      <c r="DJ1792" s="1" t="s">
        <v>43</v>
      </c>
      <c r="DK1792" s="1" t="s">
        <v>220</v>
      </c>
      <c r="DL1792" s="1" t="s">
        <v>252</v>
      </c>
      <c r="DM1792" s="1" t="s">
        <v>381</v>
      </c>
      <c r="DN1792" s="1" t="s">
        <v>227</v>
      </c>
      <c r="DO1792" s="1" t="s">
        <v>1614</v>
      </c>
      <c r="DR1792" s="1" t="s">
        <v>437</v>
      </c>
      <c r="DS1792" s="1" t="s">
        <v>219</v>
      </c>
      <c r="DT1792" s="1" t="s">
        <v>342</v>
      </c>
      <c r="DU1792" s="1" t="s">
        <v>252</v>
      </c>
      <c r="DV1792" s="1" t="s">
        <v>2138</v>
      </c>
      <c r="DW1792" s="1" t="s">
        <v>43</v>
      </c>
      <c r="DX1792" s="1" t="s">
        <v>220</v>
      </c>
      <c r="DY1792" s="1" t="s">
        <v>252</v>
      </c>
      <c r="DZ1792" s="1" t="s">
        <v>2884</v>
      </c>
      <c r="EA1792" s="1" t="s">
        <v>43</v>
      </c>
      <c r="EB1792" s="1" t="s">
        <v>347</v>
      </c>
      <c r="EC1792" s="1" t="s">
        <v>210</v>
      </c>
      <c r="EE1792" s="1" t="s">
        <v>230</v>
      </c>
      <c r="EI1792" s="1" t="s">
        <v>230</v>
      </c>
      <c r="EL1792" s="1" t="s">
        <v>466</v>
      </c>
      <c r="EM1792" s="1" t="s">
        <v>319</v>
      </c>
      <c r="EN1792" s="1" t="s">
        <v>282</v>
      </c>
      <c r="EO1792" s="1" t="s">
        <v>840</v>
      </c>
      <c r="EP1792" s="1" t="s">
        <v>650</v>
      </c>
      <c r="EQ1792" s="1" t="s">
        <v>1094</v>
      </c>
      <c r="ER1792" s="1" t="s">
        <v>544</v>
      </c>
      <c r="ES1792" s="1" t="s">
        <v>824</v>
      </c>
      <c r="ET1792" s="1" t="s">
        <v>842</v>
      </c>
      <c r="EU1792" s="1" t="s">
        <v>5043</v>
      </c>
      <c r="EV1792" s="1" t="s">
        <v>240</v>
      </c>
      <c r="EW1792" s="1" t="s">
        <v>353</v>
      </c>
      <c r="EY1792" s="1" t="s">
        <v>242</v>
      </c>
      <c r="EZ1792" s="1" t="s">
        <v>16797</v>
      </c>
      <c r="FA1792" s="1" t="s">
        <v>354</v>
      </c>
      <c r="FB1792" s="1" t="s">
        <v>289</v>
      </c>
      <c r="FD1792" s="1" t="s">
        <v>3287</v>
      </c>
      <c r="FE1792" s="1" t="s">
        <v>386</v>
      </c>
      <c r="FF1792" s="1" t="s">
        <v>248</v>
      </c>
      <c r="FG1792" s="1" t="s">
        <v>1204</v>
      </c>
      <c r="FH1792" s="1" t="s">
        <v>825</v>
      </c>
      <c r="FI1792" s="1" t="s">
        <v>473</v>
      </c>
      <c r="FJ1792" s="1" t="s">
        <v>197</v>
      </c>
      <c r="FL1792" s="1" t="s">
        <v>358</v>
      </c>
      <c r="FM1792" s="1" t="s">
        <v>252</v>
      </c>
      <c r="FN1792" s="1" t="s">
        <v>213</v>
      </c>
      <c r="FO1792" s="1" t="s">
        <v>213</v>
      </c>
      <c r="FQ1792" s="1" t="s">
        <v>1115</v>
      </c>
      <c r="FR1792" s="1" t="s">
        <v>210</v>
      </c>
      <c r="FS1792" s="1" t="s">
        <v>16798</v>
      </c>
      <c r="FT1792" s="1" t="s">
        <v>16799</v>
      </c>
      <c r="FU1792" s="1" t="s">
        <v>204</v>
      </c>
      <c r="FW1792" s="1" t="s">
        <v>4125</v>
      </c>
      <c r="FX1792" s="1">
        <v>8073</v>
      </c>
      <c r="FY1792" s="1" t="s">
        <v>4126</v>
      </c>
      <c r="FZ1792" s="1" t="s">
        <v>16800</v>
      </c>
      <c r="GA1792" s="1">
        <v>81723</v>
      </c>
      <c r="GB1792" s="1" t="s">
        <v>16801</v>
      </c>
      <c r="GD1792" s="1" t="s">
        <v>16802</v>
      </c>
      <c r="GE1792" s="1" t="s">
        <v>210</v>
      </c>
      <c r="GI1792" s="1" t="s">
        <v>213</v>
      </c>
      <c r="GJ1792" s="1" t="s">
        <v>260</v>
      </c>
      <c r="GK1792" s="1" t="s">
        <v>210</v>
      </c>
      <c r="GL1792" s="2">
        <v>42075</v>
      </c>
      <c r="GM1792" s="1" t="s">
        <v>16803</v>
      </c>
    </row>
    <row r="1793" spans="1:195">
      <c r="A1793" s="1">
        <v>101500</v>
      </c>
      <c r="B1793" s="1" t="s">
        <v>195</v>
      </c>
      <c r="C1793" s="1" t="str">
        <f>"08726336"</f>
        <v>08726336</v>
      </c>
      <c r="D1793" s="1" t="s">
        <v>196</v>
      </c>
      <c r="F1793" s="1" t="str">
        <f>"172"</f>
        <v>172</v>
      </c>
      <c r="G1793" s="2">
        <v>41894</v>
      </c>
      <c r="H1793" s="1">
        <v>107500</v>
      </c>
      <c r="I1793" s="1">
        <v>107500</v>
      </c>
      <c r="J1793" s="1">
        <v>101500</v>
      </c>
      <c r="K1793" s="2">
        <v>41894</v>
      </c>
      <c r="L1793" s="1">
        <v>10</v>
      </c>
      <c r="M1793" s="2">
        <v>41903</v>
      </c>
      <c r="N1793" s="1">
        <v>10</v>
      </c>
      <c r="O1793" s="2">
        <v>41903</v>
      </c>
      <c r="P1793" s="1">
        <v>8079</v>
      </c>
      <c r="Q1793" s="1" t="s">
        <v>197</v>
      </c>
      <c r="R1793" s="2">
        <v>41974</v>
      </c>
      <c r="S1793" s="1">
        <v>86851</v>
      </c>
      <c r="U1793" s="1">
        <v>890</v>
      </c>
      <c r="V1793" s="1" t="s">
        <v>16804</v>
      </c>
      <c r="W1793" s="1" t="s">
        <v>264</v>
      </c>
      <c r="X1793" s="1" t="s">
        <v>11060</v>
      </c>
      <c r="Y1793" s="1">
        <v>4</v>
      </c>
      <c r="Z1793" s="1" t="s">
        <v>370</v>
      </c>
      <c r="AA1793" s="1" t="s">
        <v>266</v>
      </c>
      <c r="AB1793" s="1">
        <v>60172</v>
      </c>
      <c r="AD1793" s="1" t="s">
        <v>16805</v>
      </c>
      <c r="AE1793" s="1" t="s">
        <v>16806</v>
      </c>
      <c r="AF1793" s="1">
        <v>1980</v>
      </c>
      <c r="AG1793" s="1" t="s">
        <v>204</v>
      </c>
      <c r="AH1793" s="1" t="s">
        <v>3952</v>
      </c>
      <c r="AI1793" s="1" t="s">
        <v>310</v>
      </c>
      <c r="AJ1793" s="1" t="s">
        <v>1717</v>
      </c>
      <c r="AL1793" s="1">
        <v>5</v>
      </c>
      <c r="AM1793" s="1">
        <v>2</v>
      </c>
      <c r="AN1793" s="1">
        <v>1</v>
      </c>
      <c r="AO1793" s="1">
        <v>0</v>
      </c>
      <c r="AP1793" s="1" t="s">
        <v>210</v>
      </c>
      <c r="AR1793" s="1" t="s">
        <v>210</v>
      </c>
      <c r="AS1793" s="1" t="s">
        <v>204</v>
      </c>
      <c r="AT1793" s="1" t="s">
        <v>211</v>
      </c>
      <c r="AU1793" s="1">
        <v>1</v>
      </c>
      <c r="AW1793" s="1" t="s">
        <v>204</v>
      </c>
      <c r="AX1793" s="1" t="s">
        <v>212</v>
      </c>
      <c r="AZ1793" s="1">
        <v>681</v>
      </c>
      <c r="BA1793" s="1">
        <v>2012</v>
      </c>
      <c r="BB1793" s="1" t="s">
        <v>2694</v>
      </c>
      <c r="BE1793" s="1">
        <v>0</v>
      </c>
      <c r="BF1793" s="1">
        <v>2</v>
      </c>
      <c r="BG1793" s="1">
        <v>0</v>
      </c>
      <c r="BL1793" s="1">
        <v>200</v>
      </c>
      <c r="BM1793" s="1" t="s">
        <v>204</v>
      </c>
      <c r="BN1793" s="1" t="s">
        <v>213</v>
      </c>
      <c r="BO1793" s="1">
        <v>35</v>
      </c>
      <c r="BP1793" s="1" t="s">
        <v>204</v>
      </c>
      <c r="BR1793" s="1" t="str">
        <f>"07354004912160"</f>
        <v>07354004912160</v>
      </c>
      <c r="BT1793" s="1" t="s">
        <v>16807</v>
      </c>
      <c r="BU1793" s="1" t="s">
        <v>3954</v>
      </c>
      <c r="BV1793" s="1" t="s">
        <v>3955</v>
      </c>
      <c r="BW1793" s="1" t="s">
        <v>3956</v>
      </c>
      <c r="BX1793" s="1">
        <v>54</v>
      </c>
      <c r="BY1793" s="1">
        <v>54</v>
      </c>
      <c r="BZ1793" s="1">
        <v>211</v>
      </c>
      <c r="CB1793" s="1" t="str">
        <f t="shared" ref="CB1793:CC1793" si="1359">""</f>
        <v/>
      </c>
      <c r="CC1793" s="1" t="str">
        <f t="shared" si="1359"/>
        <v/>
      </c>
      <c r="CG1793" s="1" t="s">
        <v>581</v>
      </c>
      <c r="CH1793" s="1" t="s">
        <v>219</v>
      </c>
      <c r="CI1793" s="1" t="s">
        <v>220</v>
      </c>
      <c r="CJ1793" s="1" t="s">
        <v>252</v>
      </c>
      <c r="CK1793" s="1" t="s">
        <v>3591</v>
      </c>
      <c r="CL1793" s="1" t="s">
        <v>219</v>
      </c>
      <c r="CM1793" s="1" t="s">
        <v>220</v>
      </c>
      <c r="CN1793" s="1" t="s">
        <v>252</v>
      </c>
      <c r="CO1793" s="1" t="s">
        <v>3657</v>
      </c>
      <c r="CP1793" s="1" t="s">
        <v>219</v>
      </c>
      <c r="CQ1793" s="1" t="s">
        <v>220</v>
      </c>
      <c r="CR1793" s="1" t="s">
        <v>252</v>
      </c>
      <c r="CS1793" s="1" t="s">
        <v>318</v>
      </c>
      <c r="CT1793" s="1" t="s">
        <v>219</v>
      </c>
      <c r="CU1793" s="1" t="s">
        <v>220</v>
      </c>
      <c r="CV1793" s="1" t="s">
        <v>252</v>
      </c>
      <c r="CX1793" s="1" t="s">
        <v>224</v>
      </c>
      <c r="DB1793" s="1" t="s">
        <v>224</v>
      </c>
      <c r="DE1793" s="1" t="s">
        <v>836</v>
      </c>
      <c r="DF1793" s="1" t="s">
        <v>219</v>
      </c>
      <c r="DG1793" s="1" t="s">
        <v>229</v>
      </c>
      <c r="DH1793" s="1" t="s">
        <v>210</v>
      </c>
      <c r="DJ1793" s="1" t="s">
        <v>224</v>
      </c>
      <c r="DS1793" s="1" t="s">
        <v>230</v>
      </c>
      <c r="DW1793" s="1" t="s">
        <v>230</v>
      </c>
      <c r="EA1793" s="1" t="s">
        <v>230</v>
      </c>
      <c r="EE1793" s="1" t="s">
        <v>230</v>
      </c>
      <c r="EI1793" s="1" t="s">
        <v>230</v>
      </c>
      <c r="EL1793" s="1" t="s">
        <v>231</v>
      </c>
      <c r="EM1793" s="1" t="s">
        <v>319</v>
      </c>
      <c r="EN1793" s="1" t="s">
        <v>282</v>
      </c>
      <c r="EO1793" s="1" t="s">
        <v>234</v>
      </c>
      <c r="EP1793" s="1" t="s">
        <v>650</v>
      </c>
      <c r="EQ1793" s="1" t="s">
        <v>492</v>
      </c>
      <c r="ER1793" s="1" t="s">
        <v>210</v>
      </c>
      <c r="ES1793" s="1" t="s">
        <v>322</v>
      </c>
      <c r="EU1793" s="1" t="s">
        <v>610</v>
      </c>
      <c r="EW1793" s="1" t="s">
        <v>887</v>
      </c>
      <c r="EZ1793" s="1" t="s">
        <v>287</v>
      </c>
      <c r="FD1793" s="1" t="s">
        <v>246</v>
      </c>
      <c r="FE1793" s="1" t="s">
        <v>549</v>
      </c>
      <c r="FF1793" s="1" t="s">
        <v>248</v>
      </c>
      <c r="FH1793" s="1" t="s">
        <v>388</v>
      </c>
      <c r="FI1793" s="1" t="s">
        <v>473</v>
      </c>
      <c r="FJ1793" s="1" t="s">
        <v>1251</v>
      </c>
      <c r="FL1793" s="1" t="s">
        <v>358</v>
      </c>
      <c r="FM1793" s="1" t="s">
        <v>252</v>
      </c>
      <c r="FN1793" s="1" t="s">
        <v>213</v>
      </c>
      <c r="FO1793" s="1" t="s">
        <v>213</v>
      </c>
      <c r="FQ1793" s="1" t="s">
        <v>849</v>
      </c>
      <c r="FR1793" s="1" t="s">
        <v>210</v>
      </c>
      <c r="FS1793" s="1" t="s">
        <v>16808</v>
      </c>
      <c r="FT1793" s="1" t="s">
        <v>4361</v>
      </c>
      <c r="FU1793" s="1" t="s">
        <v>213</v>
      </c>
      <c r="FW1793" s="1" t="s">
        <v>1806</v>
      </c>
      <c r="FX1793" s="1">
        <v>21324</v>
      </c>
      <c r="FY1793" s="1" t="s">
        <v>2395</v>
      </c>
      <c r="FZ1793" s="1" t="s">
        <v>16809</v>
      </c>
      <c r="GA1793" s="1">
        <v>218247</v>
      </c>
      <c r="GB1793" s="1" t="s">
        <v>16810</v>
      </c>
      <c r="GE1793" s="1" t="s">
        <v>210</v>
      </c>
      <c r="GI1793" s="1" t="s">
        <v>213</v>
      </c>
      <c r="GJ1793" s="1" t="s">
        <v>260</v>
      </c>
      <c r="GK1793" s="1" t="s">
        <v>4920</v>
      </c>
      <c r="GL1793" s="2">
        <v>41975</v>
      </c>
      <c r="GM1793" s="1" t="s">
        <v>16811</v>
      </c>
    </row>
    <row r="1794" spans="1:195">
      <c r="A1794" s="1">
        <v>187000</v>
      </c>
      <c r="B1794" s="1" t="s">
        <v>195</v>
      </c>
      <c r="C1794" s="1" t="str">
        <f>"08725658"</f>
        <v>08725658</v>
      </c>
      <c r="D1794" s="1" t="s">
        <v>196</v>
      </c>
      <c r="F1794" s="1" t="str">
        <f>"107"</f>
        <v>107</v>
      </c>
      <c r="G1794" s="2">
        <v>41893</v>
      </c>
      <c r="H1794" s="1">
        <v>209900</v>
      </c>
      <c r="I1794" s="1">
        <v>197400</v>
      </c>
      <c r="J1794" s="1">
        <v>187000</v>
      </c>
      <c r="K1794" s="2">
        <v>41893</v>
      </c>
      <c r="L1794" s="1">
        <v>95</v>
      </c>
      <c r="M1794" s="2">
        <v>41987</v>
      </c>
      <c r="N1794" s="1">
        <v>95</v>
      </c>
      <c r="O1794" s="2">
        <v>41987</v>
      </c>
      <c r="P1794" s="1">
        <v>23099</v>
      </c>
      <c r="Q1794" s="1" t="s">
        <v>197</v>
      </c>
      <c r="R1794" s="2">
        <v>42041</v>
      </c>
      <c r="S1794" s="1">
        <v>237256</v>
      </c>
      <c r="U1794" s="1">
        <v>1337</v>
      </c>
      <c r="V1794" s="1" t="s">
        <v>11508</v>
      </c>
      <c r="W1794" s="1" t="s">
        <v>264</v>
      </c>
      <c r="Y1794" s="1">
        <v>2</v>
      </c>
      <c r="Z1794" s="1" t="s">
        <v>370</v>
      </c>
      <c r="AA1794" s="1" t="s">
        <v>1211</v>
      </c>
      <c r="AB1794" s="1">
        <v>60107</v>
      </c>
      <c r="AD1794" s="1" t="s">
        <v>16812</v>
      </c>
      <c r="AE1794" s="1" t="s">
        <v>16813</v>
      </c>
      <c r="AF1794" s="1">
        <v>2000</v>
      </c>
      <c r="AG1794" s="1" t="s">
        <v>204</v>
      </c>
      <c r="AH1794" s="1" t="s">
        <v>1214</v>
      </c>
      <c r="AI1794" s="1" t="s">
        <v>310</v>
      </c>
      <c r="AJ1794" s="1" t="s">
        <v>374</v>
      </c>
      <c r="AK1794" s="1" t="s">
        <v>16814</v>
      </c>
      <c r="AL1794" s="1">
        <v>7</v>
      </c>
      <c r="AM1794" s="1">
        <v>2</v>
      </c>
      <c r="AN1794" s="1">
        <v>2</v>
      </c>
      <c r="AO1794" s="1">
        <v>1</v>
      </c>
      <c r="AP1794" s="1" t="s">
        <v>209</v>
      </c>
      <c r="AQ1794" s="1">
        <v>1</v>
      </c>
      <c r="AR1794" s="1" t="s">
        <v>209</v>
      </c>
      <c r="AS1794" s="1" t="s">
        <v>204</v>
      </c>
      <c r="AT1794" s="1" t="s">
        <v>211</v>
      </c>
      <c r="AU1794" s="1">
        <v>2</v>
      </c>
      <c r="AW1794" s="1" t="s">
        <v>204</v>
      </c>
      <c r="AX1794" s="1" t="s">
        <v>212</v>
      </c>
      <c r="AZ1794" s="1">
        <v>3493.94</v>
      </c>
      <c r="BA1794" s="1">
        <v>2012</v>
      </c>
      <c r="BE1794" s="1">
        <v>2085</v>
      </c>
      <c r="BF1794" s="1">
        <v>1</v>
      </c>
      <c r="BG1794" s="1">
        <v>0</v>
      </c>
      <c r="BL1794" s="1">
        <v>119</v>
      </c>
      <c r="BM1794" s="1" t="s">
        <v>204</v>
      </c>
      <c r="BN1794" s="1" t="s">
        <v>213</v>
      </c>
      <c r="BO1794" s="1">
        <v>999</v>
      </c>
      <c r="BP1794" s="1" t="s">
        <v>204</v>
      </c>
      <c r="BR1794" s="1" t="str">
        <f>"06282050750000"</f>
        <v>06282050750000</v>
      </c>
      <c r="BT1794" s="1" t="s">
        <v>16815</v>
      </c>
      <c r="BU1794" s="1" t="s">
        <v>16816</v>
      </c>
      <c r="BV1794" s="1" t="s">
        <v>3557</v>
      </c>
      <c r="BW1794" s="1" t="s">
        <v>1217</v>
      </c>
      <c r="BX1794" s="1">
        <v>46</v>
      </c>
      <c r="BY1794" s="1">
        <v>46</v>
      </c>
      <c r="BZ1794" s="1">
        <v>46</v>
      </c>
      <c r="CB1794" s="1" t="str">
        <f t="shared" ref="CB1794:CC1794" si="1360">""</f>
        <v/>
      </c>
      <c r="CC1794" s="1" t="str">
        <f t="shared" si="1360"/>
        <v/>
      </c>
      <c r="CG1794" s="1" t="s">
        <v>314</v>
      </c>
      <c r="CH1794" s="1" t="s">
        <v>219</v>
      </c>
      <c r="CK1794" s="1" t="s">
        <v>538</v>
      </c>
      <c r="CL1794" s="1" t="s">
        <v>277</v>
      </c>
      <c r="CM1794" s="1" t="s">
        <v>220</v>
      </c>
      <c r="CN1794" s="1" t="s">
        <v>463</v>
      </c>
      <c r="CO1794" s="1" t="s">
        <v>629</v>
      </c>
      <c r="CP1794" s="1" t="s">
        <v>219</v>
      </c>
      <c r="CQ1794" s="1" t="s">
        <v>220</v>
      </c>
      <c r="CS1794" s="1" t="s">
        <v>1004</v>
      </c>
      <c r="CT1794" s="1" t="s">
        <v>277</v>
      </c>
      <c r="CU1794" s="1" t="s">
        <v>220</v>
      </c>
      <c r="CX1794" s="1" t="s">
        <v>224</v>
      </c>
      <c r="DB1794" s="1" t="s">
        <v>224</v>
      </c>
      <c r="DE1794" s="1" t="s">
        <v>4522</v>
      </c>
      <c r="DF1794" s="1" t="s">
        <v>219</v>
      </c>
      <c r="DG1794" s="1" t="s">
        <v>229</v>
      </c>
      <c r="DH1794" s="1" t="s">
        <v>463</v>
      </c>
      <c r="DI1794" s="1" t="s">
        <v>1045</v>
      </c>
      <c r="DJ1794" s="1" t="s">
        <v>219</v>
      </c>
      <c r="DK1794" s="1" t="s">
        <v>220</v>
      </c>
      <c r="DL1794" s="1" t="s">
        <v>463</v>
      </c>
      <c r="DM1794" s="1" t="s">
        <v>464</v>
      </c>
      <c r="DN1794" s="1" t="s">
        <v>1771</v>
      </c>
      <c r="DO1794" s="1" t="s">
        <v>1359</v>
      </c>
      <c r="DP1794" s="1" t="s">
        <v>2450</v>
      </c>
      <c r="DR1794" s="1" t="s">
        <v>9820</v>
      </c>
      <c r="DS1794" s="1" t="s">
        <v>277</v>
      </c>
      <c r="DT1794" s="1" t="s">
        <v>220</v>
      </c>
      <c r="DV1794" s="1" t="s">
        <v>6174</v>
      </c>
      <c r="DW1794" s="1" t="s">
        <v>43</v>
      </c>
      <c r="DZ1794" s="1" t="s">
        <v>379</v>
      </c>
      <c r="EA1794" s="1" t="s">
        <v>219</v>
      </c>
      <c r="ED1794" s="1" t="s">
        <v>710</v>
      </c>
      <c r="EE1794" s="1" t="s">
        <v>219</v>
      </c>
      <c r="EF1794" s="1" t="s">
        <v>226</v>
      </c>
      <c r="EI1794" s="1" t="s">
        <v>230</v>
      </c>
      <c r="EL1794" s="1" t="s">
        <v>466</v>
      </c>
      <c r="EM1794" s="1" t="s">
        <v>319</v>
      </c>
      <c r="EN1794" s="1" t="s">
        <v>282</v>
      </c>
      <c r="EO1794" s="1" t="s">
        <v>234</v>
      </c>
      <c r="EP1794" s="1" t="s">
        <v>1489</v>
      </c>
      <c r="EQ1794" s="1" t="s">
        <v>1094</v>
      </c>
      <c r="ER1794" s="1" t="s">
        <v>351</v>
      </c>
      <c r="ES1794" s="1" t="s">
        <v>3218</v>
      </c>
      <c r="EU1794" s="1" t="s">
        <v>1110</v>
      </c>
      <c r="EV1794" s="1" t="s">
        <v>240</v>
      </c>
      <c r="EW1794" s="1" t="s">
        <v>353</v>
      </c>
      <c r="EY1794" s="1" t="s">
        <v>242</v>
      </c>
      <c r="EZ1794" s="1" t="s">
        <v>16817</v>
      </c>
      <c r="FB1794" s="1" t="s">
        <v>289</v>
      </c>
      <c r="FD1794" s="1" t="s">
        <v>246</v>
      </c>
      <c r="FE1794" s="1" t="s">
        <v>975</v>
      </c>
      <c r="FF1794" s="1" t="s">
        <v>248</v>
      </c>
      <c r="FG1794" s="1" t="s">
        <v>939</v>
      </c>
      <c r="FH1794" s="1" t="s">
        <v>550</v>
      </c>
      <c r="FI1794" s="1" t="s">
        <v>357</v>
      </c>
      <c r="FL1794" s="1" t="s">
        <v>358</v>
      </c>
      <c r="FM1794" s="1" t="s">
        <v>252</v>
      </c>
      <c r="FN1794" s="1" t="s">
        <v>213</v>
      </c>
      <c r="FO1794" s="1" t="s">
        <v>213</v>
      </c>
      <c r="FQ1794" s="1" t="s">
        <v>3390</v>
      </c>
      <c r="FR1794" s="1" t="s">
        <v>652</v>
      </c>
      <c r="FS1794" s="1" t="s">
        <v>16818</v>
      </c>
      <c r="FT1794" s="1" t="s">
        <v>362</v>
      </c>
      <c r="FU1794" s="1" t="s">
        <v>204</v>
      </c>
      <c r="FW1794" s="1" t="s">
        <v>2144</v>
      </c>
      <c r="FX1794" s="1">
        <v>23163</v>
      </c>
      <c r="FY1794" s="1" t="s">
        <v>2145</v>
      </c>
      <c r="FZ1794" s="1" t="s">
        <v>2146</v>
      </c>
      <c r="GA1794" s="1">
        <v>254277</v>
      </c>
      <c r="GB1794" s="1" t="s">
        <v>2147</v>
      </c>
      <c r="GD1794" s="1" t="s">
        <v>2148</v>
      </c>
      <c r="GE1794" s="1" t="s">
        <v>1764</v>
      </c>
      <c r="GI1794" s="1" t="s">
        <v>213</v>
      </c>
      <c r="GJ1794" s="1" t="s">
        <v>260</v>
      </c>
      <c r="GK1794" s="1" t="s">
        <v>210</v>
      </c>
      <c r="GL1794" s="2">
        <v>42042</v>
      </c>
      <c r="GM1794" s="1" t="s">
        <v>16819</v>
      </c>
    </row>
    <row r="1795" spans="1:195">
      <c r="A1795" s="1">
        <v>65000</v>
      </c>
      <c r="B1795" s="1" t="s">
        <v>195</v>
      </c>
      <c r="C1795" s="1" t="str">
        <f>"08720900"</f>
        <v>08720900</v>
      </c>
      <c r="D1795" s="1" t="s">
        <v>196</v>
      </c>
      <c r="F1795" s="1" t="str">
        <f>"20"</f>
        <v>20</v>
      </c>
      <c r="G1795" s="2">
        <v>41887</v>
      </c>
      <c r="H1795" s="1">
        <v>89000</v>
      </c>
      <c r="I1795" s="1">
        <v>69000</v>
      </c>
      <c r="J1795" s="1">
        <v>65000</v>
      </c>
      <c r="K1795" s="2">
        <v>41886</v>
      </c>
      <c r="L1795" s="1">
        <v>77</v>
      </c>
      <c r="M1795" s="2">
        <v>41962</v>
      </c>
      <c r="N1795" s="1">
        <v>77</v>
      </c>
      <c r="O1795" s="2">
        <v>41962</v>
      </c>
      <c r="P1795" s="1">
        <v>2472</v>
      </c>
      <c r="Q1795" s="1" t="s">
        <v>197</v>
      </c>
      <c r="R1795" s="2">
        <v>42055</v>
      </c>
      <c r="S1795" s="1">
        <v>241744</v>
      </c>
      <c r="U1795" s="1">
        <v>7111</v>
      </c>
      <c r="V1795" s="1" t="s">
        <v>591</v>
      </c>
      <c r="W1795" s="1" t="s">
        <v>504</v>
      </c>
      <c r="X1795" s="1">
        <v>167</v>
      </c>
      <c r="Y1795" s="1">
        <v>2</v>
      </c>
      <c r="Z1795" s="1" t="s">
        <v>249</v>
      </c>
      <c r="AA1795" s="1" t="s">
        <v>592</v>
      </c>
      <c r="AB1795" s="1">
        <v>60020</v>
      </c>
      <c r="AD1795" s="1" t="s">
        <v>593</v>
      </c>
      <c r="AE1795" s="1" t="s">
        <v>16820</v>
      </c>
      <c r="AF1795" s="1">
        <v>1975</v>
      </c>
      <c r="AG1795" s="1" t="s">
        <v>213</v>
      </c>
      <c r="AH1795" s="1" t="s">
        <v>882</v>
      </c>
      <c r="AI1795" s="1" t="s">
        <v>509</v>
      </c>
      <c r="AJ1795" s="1" t="s">
        <v>596</v>
      </c>
      <c r="AL1795" s="1">
        <v>4</v>
      </c>
      <c r="AM1795" s="1">
        <v>2</v>
      </c>
      <c r="AN1795" s="1">
        <v>1</v>
      </c>
      <c r="AO1795" s="1">
        <v>0</v>
      </c>
      <c r="AP1795" s="1" t="s">
        <v>210</v>
      </c>
      <c r="AR1795" s="1" t="s">
        <v>210</v>
      </c>
      <c r="AS1795" s="1" t="s">
        <v>204</v>
      </c>
      <c r="AT1795" s="1" t="s">
        <v>211</v>
      </c>
      <c r="AU1795" s="1">
        <v>1</v>
      </c>
      <c r="AW1795" s="1" t="s">
        <v>204</v>
      </c>
      <c r="AX1795" s="1" t="s">
        <v>16821</v>
      </c>
      <c r="AZ1795" s="1">
        <v>1952.27</v>
      </c>
      <c r="BA1795" s="1">
        <v>2013</v>
      </c>
      <c r="BB1795" s="1" t="s">
        <v>405</v>
      </c>
      <c r="BE1795" s="1">
        <v>987</v>
      </c>
      <c r="BF1795" s="1">
        <v>1</v>
      </c>
      <c r="BG1795" s="1">
        <v>45</v>
      </c>
      <c r="BL1795" s="1">
        <v>252</v>
      </c>
      <c r="BM1795" s="1" t="s">
        <v>204</v>
      </c>
      <c r="BN1795" s="1" t="s">
        <v>213</v>
      </c>
      <c r="BO1795" s="1">
        <v>999</v>
      </c>
      <c r="BP1795" s="1" t="s">
        <v>204</v>
      </c>
      <c r="BR1795" s="1" t="str">
        <f>"01283000320000"</f>
        <v>01283000320000</v>
      </c>
      <c r="BT1795" s="1" t="s">
        <v>16822</v>
      </c>
      <c r="BX1795" s="1">
        <v>114</v>
      </c>
      <c r="BY1795" s="1">
        <v>114</v>
      </c>
      <c r="BZ1795" s="1">
        <v>124</v>
      </c>
      <c r="CB1795" s="1" t="str">
        <f t="shared" ref="CB1795:CC1795" si="1361">""</f>
        <v/>
      </c>
      <c r="CC1795" s="1" t="str">
        <f t="shared" si="1361"/>
        <v/>
      </c>
      <c r="CG1795" s="1" t="s">
        <v>885</v>
      </c>
      <c r="CH1795" s="1" t="s">
        <v>219</v>
      </c>
      <c r="CI1795" s="1" t="s">
        <v>229</v>
      </c>
      <c r="CJ1795" s="1" t="s">
        <v>463</v>
      </c>
      <c r="CK1795" s="1" t="s">
        <v>378</v>
      </c>
      <c r="CL1795" s="1" t="s">
        <v>219</v>
      </c>
      <c r="CM1795" s="1" t="s">
        <v>229</v>
      </c>
      <c r="CN1795" s="1" t="s">
        <v>343</v>
      </c>
      <c r="CP1795" s="1" t="s">
        <v>224</v>
      </c>
      <c r="CS1795" s="1" t="s">
        <v>379</v>
      </c>
      <c r="CT1795" s="1" t="s">
        <v>219</v>
      </c>
      <c r="CU1795" s="1" t="s">
        <v>229</v>
      </c>
      <c r="CV1795" s="1" t="s">
        <v>463</v>
      </c>
      <c r="CX1795" s="1" t="s">
        <v>224</v>
      </c>
      <c r="DB1795" s="1" t="s">
        <v>224</v>
      </c>
      <c r="DE1795" s="1" t="s">
        <v>379</v>
      </c>
      <c r="DF1795" s="1" t="s">
        <v>219</v>
      </c>
      <c r="DG1795" s="1" t="s">
        <v>1236</v>
      </c>
      <c r="DH1795" s="1" t="s">
        <v>463</v>
      </c>
      <c r="DJ1795" s="1" t="s">
        <v>224</v>
      </c>
      <c r="DM1795" s="1" t="s">
        <v>8767</v>
      </c>
      <c r="DR1795" s="1" t="s">
        <v>346</v>
      </c>
      <c r="DS1795" s="1" t="s">
        <v>219</v>
      </c>
      <c r="DT1795" s="1" t="s">
        <v>342</v>
      </c>
      <c r="DU1795" s="1" t="s">
        <v>439</v>
      </c>
      <c r="DW1795" s="1" t="s">
        <v>230</v>
      </c>
      <c r="EA1795" s="1" t="s">
        <v>230</v>
      </c>
      <c r="EE1795" s="1" t="s">
        <v>230</v>
      </c>
      <c r="EI1795" s="1" t="s">
        <v>230</v>
      </c>
      <c r="EL1795" s="1" t="s">
        <v>231</v>
      </c>
      <c r="EM1795" s="1" t="s">
        <v>319</v>
      </c>
      <c r="EN1795" s="1" t="s">
        <v>282</v>
      </c>
      <c r="EO1795" s="1" t="s">
        <v>234</v>
      </c>
      <c r="EP1795" s="1" t="s">
        <v>16823</v>
      </c>
      <c r="EQ1795" s="1" t="s">
        <v>236</v>
      </c>
      <c r="ER1795" s="1" t="s">
        <v>210</v>
      </c>
      <c r="ES1795" s="1" t="s">
        <v>469</v>
      </c>
      <c r="ET1795" s="1" t="s">
        <v>1752</v>
      </c>
      <c r="EU1795" s="1" t="s">
        <v>1110</v>
      </c>
      <c r="EV1795" s="1" t="s">
        <v>240</v>
      </c>
      <c r="EW1795" s="1" t="s">
        <v>3404</v>
      </c>
      <c r="EZ1795" s="1" t="s">
        <v>8767</v>
      </c>
      <c r="FA1795" s="1" t="s">
        <v>1072</v>
      </c>
      <c r="FB1795" s="1" t="s">
        <v>244</v>
      </c>
      <c r="FD1795" s="1" t="s">
        <v>246</v>
      </c>
      <c r="FE1795" s="1" t="s">
        <v>472</v>
      </c>
      <c r="FF1795" s="1" t="s">
        <v>248</v>
      </c>
      <c r="FH1795" s="1" t="s">
        <v>9900</v>
      </c>
      <c r="FI1795" s="1" t="s">
        <v>473</v>
      </c>
      <c r="FL1795" s="1" t="s">
        <v>328</v>
      </c>
      <c r="FM1795" s="1" t="s">
        <v>252</v>
      </c>
      <c r="FN1795" s="1" t="s">
        <v>213</v>
      </c>
      <c r="FO1795" s="1" t="s">
        <v>213</v>
      </c>
      <c r="FQ1795" s="1" t="s">
        <v>16824</v>
      </c>
      <c r="FR1795" s="1" t="s">
        <v>360</v>
      </c>
      <c r="FS1795" s="1" t="s">
        <v>16825</v>
      </c>
      <c r="FT1795" s="1" t="s">
        <v>16826</v>
      </c>
      <c r="FU1795" s="1" t="s">
        <v>204</v>
      </c>
      <c r="FW1795" s="1" t="s">
        <v>16827</v>
      </c>
      <c r="FX1795" s="1">
        <v>1515</v>
      </c>
      <c r="FY1795" s="1" t="s">
        <v>16828</v>
      </c>
      <c r="FZ1795" s="1" t="s">
        <v>16829</v>
      </c>
      <c r="GA1795" s="1">
        <v>922436</v>
      </c>
      <c r="GD1795" s="1" t="s">
        <v>16830</v>
      </c>
      <c r="GE1795" s="1" t="s">
        <v>623</v>
      </c>
      <c r="GI1795" s="1" t="s">
        <v>213</v>
      </c>
      <c r="GJ1795" s="1" t="s">
        <v>260</v>
      </c>
      <c r="GK1795" s="1" t="s">
        <v>210</v>
      </c>
      <c r="GL1795" s="2">
        <v>42056</v>
      </c>
      <c r="GM1795" s="1" t="s">
        <v>16831</v>
      </c>
    </row>
    <row r="1796" spans="1:195">
      <c r="A1796" s="1">
        <v>77750</v>
      </c>
      <c r="B1796" s="1" t="s">
        <v>195</v>
      </c>
      <c r="C1796" s="1" t="str">
        <f>"08725031"</f>
        <v>08725031</v>
      </c>
      <c r="D1796" s="1" t="s">
        <v>196</v>
      </c>
      <c r="F1796" s="1" t="str">
        <f>"83"</f>
        <v>83</v>
      </c>
      <c r="G1796" s="2">
        <v>41892</v>
      </c>
      <c r="H1796" s="1">
        <v>82950</v>
      </c>
      <c r="I1796" s="1">
        <v>77950</v>
      </c>
      <c r="J1796" s="1">
        <v>77750</v>
      </c>
      <c r="K1796" s="2">
        <v>41892</v>
      </c>
      <c r="L1796" s="1">
        <v>38</v>
      </c>
      <c r="M1796" s="2">
        <v>41929</v>
      </c>
      <c r="N1796" s="1">
        <v>38</v>
      </c>
      <c r="O1796" s="2">
        <v>41929</v>
      </c>
      <c r="P1796" s="1">
        <v>2411</v>
      </c>
      <c r="Q1796" s="1" t="s">
        <v>302</v>
      </c>
      <c r="R1796" s="2">
        <v>41985</v>
      </c>
      <c r="S1796" s="1">
        <v>15835</v>
      </c>
      <c r="U1796" s="1">
        <v>2621</v>
      </c>
      <c r="V1796" s="1" t="s">
        <v>4049</v>
      </c>
      <c r="W1796" s="1" t="s">
        <v>264</v>
      </c>
      <c r="Y1796" s="1">
        <v>6</v>
      </c>
      <c r="Z1796" s="1" t="s">
        <v>249</v>
      </c>
      <c r="AA1796" s="1" t="s">
        <v>3371</v>
      </c>
      <c r="AB1796" s="1">
        <v>60083</v>
      </c>
      <c r="AD1796" s="1" t="s">
        <v>16832</v>
      </c>
      <c r="AE1796" s="1" t="s">
        <v>16833</v>
      </c>
      <c r="AF1796" s="1">
        <v>1996</v>
      </c>
      <c r="AG1796" s="1" t="s">
        <v>204</v>
      </c>
      <c r="AH1796" s="1" t="s">
        <v>2509</v>
      </c>
      <c r="AI1796" s="1" t="s">
        <v>509</v>
      </c>
      <c r="AJ1796" s="1" t="s">
        <v>1061</v>
      </c>
      <c r="AL1796" s="1">
        <v>6</v>
      </c>
      <c r="AM1796" s="1">
        <v>2</v>
      </c>
      <c r="AN1796" s="1">
        <v>1</v>
      </c>
      <c r="AO1796" s="1">
        <v>0</v>
      </c>
      <c r="AP1796" s="1" t="s">
        <v>667</v>
      </c>
      <c r="AR1796" s="1" t="s">
        <v>1421</v>
      </c>
      <c r="AS1796" s="1" t="s">
        <v>204</v>
      </c>
      <c r="AT1796" s="1" t="s">
        <v>211</v>
      </c>
      <c r="AU1796" s="1">
        <v>2</v>
      </c>
      <c r="AW1796" s="1" t="s">
        <v>204</v>
      </c>
      <c r="AX1796" s="1">
        <v>1000</v>
      </c>
      <c r="AZ1796" s="1">
        <v>4422.4799999999996</v>
      </c>
      <c r="BA1796" s="1">
        <v>2013</v>
      </c>
      <c r="BE1796" s="1">
        <v>1240</v>
      </c>
      <c r="BF1796" s="1">
        <v>1</v>
      </c>
      <c r="BG1796" s="1">
        <v>0</v>
      </c>
      <c r="BL1796" s="1">
        <v>187</v>
      </c>
      <c r="BM1796" s="1" t="s">
        <v>413</v>
      </c>
      <c r="BN1796" s="1" t="s">
        <v>204</v>
      </c>
      <c r="BP1796" s="1" t="s">
        <v>204</v>
      </c>
      <c r="BR1796" s="1" t="str">
        <f>"07023021690000"</f>
        <v>07023021690000</v>
      </c>
      <c r="BT1796" s="1" t="s">
        <v>16834</v>
      </c>
      <c r="BX1796" s="1">
        <v>56</v>
      </c>
      <c r="BY1796" s="1">
        <v>56</v>
      </c>
      <c r="BZ1796" s="1">
        <v>121</v>
      </c>
      <c r="CB1796" s="1" t="str">
        <f>"37"</f>
        <v>37</v>
      </c>
      <c r="CC1796" s="1" t="str">
        <f>"0"</f>
        <v>0</v>
      </c>
      <c r="CD1796" s="1">
        <v>14</v>
      </c>
      <c r="CE1796" s="1">
        <v>0</v>
      </c>
      <c r="CG1796" s="1" t="s">
        <v>2402</v>
      </c>
      <c r="CH1796" s="1" t="s">
        <v>219</v>
      </c>
      <c r="CK1796" s="1" t="s">
        <v>1045</v>
      </c>
      <c r="CL1796" s="1" t="s">
        <v>277</v>
      </c>
      <c r="CO1796" s="1" t="s">
        <v>629</v>
      </c>
      <c r="CP1796" s="1" t="s">
        <v>219</v>
      </c>
      <c r="CS1796" s="1" t="s">
        <v>346</v>
      </c>
      <c r="CT1796" s="1" t="s">
        <v>277</v>
      </c>
      <c r="CX1796" s="1" t="s">
        <v>224</v>
      </c>
      <c r="DB1796" s="1" t="s">
        <v>224</v>
      </c>
      <c r="DE1796" s="1" t="s">
        <v>461</v>
      </c>
      <c r="DF1796" s="1" t="s">
        <v>219</v>
      </c>
      <c r="DI1796" s="1" t="s">
        <v>378</v>
      </c>
      <c r="DJ1796" s="1" t="s">
        <v>822</v>
      </c>
      <c r="DS1796" s="1" t="s">
        <v>230</v>
      </c>
      <c r="DW1796" s="1" t="s">
        <v>230</v>
      </c>
      <c r="EA1796" s="1" t="s">
        <v>230</v>
      </c>
      <c r="EE1796" s="1" t="s">
        <v>230</v>
      </c>
      <c r="EI1796" s="1" t="s">
        <v>230</v>
      </c>
      <c r="EL1796" s="1" t="s">
        <v>670</v>
      </c>
      <c r="EM1796" s="1" t="s">
        <v>319</v>
      </c>
      <c r="EN1796" s="1" t="s">
        <v>210</v>
      </c>
      <c r="EO1796" s="1" t="s">
        <v>234</v>
      </c>
      <c r="ER1796" s="1" t="s">
        <v>1249</v>
      </c>
      <c r="ES1796" s="1" t="s">
        <v>322</v>
      </c>
      <c r="EV1796" s="1" t="s">
        <v>240</v>
      </c>
      <c r="EW1796" s="1" t="s">
        <v>867</v>
      </c>
      <c r="EZ1796" s="1" t="s">
        <v>287</v>
      </c>
      <c r="FD1796" s="1" t="s">
        <v>1112</v>
      </c>
      <c r="FE1796" s="1" t="s">
        <v>496</v>
      </c>
      <c r="FF1796" s="1" t="s">
        <v>248</v>
      </c>
      <c r="FH1796" s="1" t="s">
        <v>2175</v>
      </c>
      <c r="FL1796" s="1" t="s">
        <v>358</v>
      </c>
      <c r="FM1796" s="1" t="s">
        <v>252</v>
      </c>
      <c r="FN1796" s="1" t="s">
        <v>213</v>
      </c>
      <c r="FO1796" s="1" t="s">
        <v>213</v>
      </c>
      <c r="FQ1796" s="1" t="s">
        <v>582</v>
      </c>
      <c r="FR1796" s="1" t="s">
        <v>210</v>
      </c>
      <c r="FS1796" s="1" t="s">
        <v>8256</v>
      </c>
      <c r="FT1796" s="1" t="s">
        <v>16835</v>
      </c>
      <c r="FU1796" s="1" t="s">
        <v>204</v>
      </c>
      <c r="FW1796" s="1" t="s">
        <v>8257</v>
      </c>
      <c r="FX1796" s="1">
        <v>16339</v>
      </c>
      <c r="FY1796" s="1" t="s">
        <v>8258</v>
      </c>
      <c r="FZ1796" s="1" t="s">
        <v>16836</v>
      </c>
      <c r="GA1796" s="1">
        <v>106496</v>
      </c>
      <c r="GC1796" s="1">
        <v>165879</v>
      </c>
      <c r="GE1796" s="1" t="s">
        <v>210</v>
      </c>
      <c r="GH1796" s="1" t="s">
        <v>230</v>
      </c>
      <c r="GI1796" s="1" t="s">
        <v>204</v>
      </c>
      <c r="GJ1796" s="1" t="s">
        <v>260</v>
      </c>
      <c r="GK1796" s="1" t="s">
        <v>210</v>
      </c>
      <c r="GL1796" s="2">
        <v>41988</v>
      </c>
      <c r="GM1796" s="1" t="s">
        <v>16837</v>
      </c>
    </row>
    <row r="1797" spans="1:195">
      <c r="A1797" s="1">
        <v>127500</v>
      </c>
      <c r="B1797" s="1" t="s">
        <v>195</v>
      </c>
      <c r="C1797" s="1" t="str">
        <f>"08725206"</f>
        <v>08725206</v>
      </c>
      <c r="D1797" s="1" t="s">
        <v>196</v>
      </c>
      <c r="F1797" s="1" t="str">
        <f>"540"</f>
        <v>540</v>
      </c>
      <c r="G1797" s="2">
        <v>41892</v>
      </c>
      <c r="H1797" s="1">
        <v>140000</v>
      </c>
      <c r="I1797" s="1">
        <v>120000</v>
      </c>
      <c r="J1797" s="1">
        <v>127500</v>
      </c>
      <c r="K1797" s="2">
        <v>41891</v>
      </c>
      <c r="L1797" s="1">
        <v>137</v>
      </c>
      <c r="M1797" s="2">
        <v>42027</v>
      </c>
      <c r="N1797" s="1">
        <v>137</v>
      </c>
      <c r="O1797" s="2">
        <v>42027</v>
      </c>
      <c r="P1797" s="1">
        <v>24933</v>
      </c>
      <c r="Q1797" s="1" t="s">
        <v>302</v>
      </c>
      <c r="R1797" s="2">
        <v>42093</v>
      </c>
      <c r="S1797" s="1">
        <v>229423</v>
      </c>
      <c r="U1797" s="1">
        <v>2519</v>
      </c>
      <c r="V1797" s="1" t="s">
        <v>4860</v>
      </c>
      <c r="W1797" s="1" t="s">
        <v>264</v>
      </c>
      <c r="X1797" s="1">
        <v>101</v>
      </c>
      <c r="Y1797" s="1">
        <v>4</v>
      </c>
      <c r="Z1797" s="1" t="s">
        <v>370</v>
      </c>
      <c r="AA1797" s="1" t="s">
        <v>921</v>
      </c>
      <c r="AB1797" s="1">
        <v>60564</v>
      </c>
      <c r="AE1797" s="1" t="s">
        <v>16838</v>
      </c>
      <c r="AF1797" s="1">
        <v>2000</v>
      </c>
      <c r="AG1797" s="1" t="s">
        <v>204</v>
      </c>
      <c r="AH1797" s="1" t="s">
        <v>924</v>
      </c>
      <c r="AI1797" s="1" t="s">
        <v>1800</v>
      </c>
      <c r="AJ1797" s="1" t="s">
        <v>1801</v>
      </c>
      <c r="AL1797" s="1">
        <v>5</v>
      </c>
      <c r="AM1797" s="1">
        <v>2</v>
      </c>
      <c r="AN1797" s="1">
        <v>2</v>
      </c>
      <c r="AO1797" s="1">
        <v>0</v>
      </c>
      <c r="AP1797" s="1" t="s">
        <v>209</v>
      </c>
      <c r="AR1797" s="1" t="s">
        <v>210</v>
      </c>
      <c r="AT1797" s="1" t="s">
        <v>211</v>
      </c>
      <c r="AU1797" s="1">
        <v>1</v>
      </c>
      <c r="AW1797" s="1" t="s">
        <v>204</v>
      </c>
      <c r="AX1797" s="1" t="s">
        <v>212</v>
      </c>
      <c r="AZ1797" s="1">
        <v>2277</v>
      </c>
      <c r="BA1797" s="1">
        <v>2012</v>
      </c>
      <c r="BE1797" s="1">
        <v>1139</v>
      </c>
      <c r="BF1797" s="1">
        <v>1</v>
      </c>
      <c r="BG1797" s="1">
        <v>0</v>
      </c>
      <c r="BL1797" s="1">
        <v>211</v>
      </c>
      <c r="BM1797" s="1" t="s">
        <v>413</v>
      </c>
      <c r="BN1797" s="1" t="s">
        <v>213</v>
      </c>
      <c r="BO1797" s="1" t="s">
        <v>432</v>
      </c>
      <c r="BP1797" s="1" t="s">
        <v>204</v>
      </c>
      <c r="BR1797" s="1" t="str">
        <f>"01031020261001"</f>
        <v>01031020261001</v>
      </c>
      <c r="BT1797" s="1" t="s">
        <v>16839</v>
      </c>
      <c r="BX1797" s="1">
        <v>204</v>
      </c>
      <c r="BY1797" s="1">
        <v>204</v>
      </c>
      <c r="BZ1797" s="1">
        <v>204</v>
      </c>
      <c r="CB1797" s="1" t="str">
        <f t="shared" ref="CB1797:CC1797" si="1362">""</f>
        <v/>
      </c>
      <c r="CC1797" s="1" t="str">
        <f t="shared" si="1362"/>
        <v/>
      </c>
      <c r="CD1797" s="1">
        <v>29</v>
      </c>
      <c r="CE1797" s="1">
        <v>10</v>
      </c>
      <c r="CG1797" s="1" t="s">
        <v>4571</v>
      </c>
      <c r="CH1797" s="1" t="s">
        <v>219</v>
      </c>
      <c r="CK1797" s="1" t="s">
        <v>278</v>
      </c>
      <c r="CL1797" s="1" t="s">
        <v>219</v>
      </c>
      <c r="CM1797" s="1" t="s">
        <v>220</v>
      </c>
      <c r="CO1797" s="1" t="s">
        <v>629</v>
      </c>
      <c r="CP1797" s="1" t="s">
        <v>219</v>
      </c>
      <c r="CS1797" s="1" t="s">
        <v>318</v>
      </c>
      <c r="CT1797" s="1" t="s">
        <v>219</v>
      </c>
      <c r="CU1797" s="1" t="s">
        <v>220</v>
      </c>
      <c r="CX1797" s="1" t="s">
        <v>224</v>
      </c>
      <c r="DB1797" s="1" t="s">
        <v>224</v>
      </c>
      <c r="DE1797" s="1" t="s">
        <v>318</v>
      </c>
      <c r="DF1797" s="1" t="s">
        <v>219</v>
      </c>
      <c r="DJ1797" s="1" t="s">
        <v>224</v>
      </c>
      <c r="DK1797" s="1" t="s">
        <v>438</v>
      </c>
      <c r="DS1797" s="1" t="s">
        <v>230</v>
      </c>
      <c r="DW1797" s="1" t="s">
        <v>230</v>
      </c>
      <c r="EA1797" s="1" t="s">
        <v>230</v>
      </c>
      <c r="EE1797" s="1" t="s">
        <v>230</v>
      </c>
      <c r="EI1797" s="1" t="s">
        <v>230</v>
      </c>
      <c r="EL1797" s="1" t="s">
        <v>466</v>
      </c>
      <c r="EM1797" s="1" t="s">
        <v>730</v>
      </c>
      <c r="EN1797" s="1" t="s">
        <v>1343</v>
      </c>
      <c r="EO1797" s="1" t="s">
        <v>234</v>
      </c>
      <c r="ER1797" s="1" t="s">
        <v>210</v>
      </c>
      <c r="EW1797" s="1" t="s">
        <v>937</v>
      </c>
      <c r="EZ1797" s="1" t="s">
        <v>287</v>
      </c>
      <c r="FD1797" s="1" t="s">
        <v>246</v>
      </c>
      <c r="FE1797" s="1" t="s">
        <v>247</v>
      </c>
      <c r="FF1797" s="1" t="s">
        <v>248</v>
      </c>
      <c r="FH1797" s="1" t="s">
        <v>249</v>
      </c>
      <c r="FL1797" s="1" t="s">
        <v>414</v>
      </c>
      <c r="FM1797" s="1" t="s">
        <v>252</v>
      </c>
      <c r="FN1797" s="1" t="s">
        <v>213</v>
      </c>
      <c r="FO1797" s="1" t="s">
        <v>213</v>
      </c>
      <c r="FQ1797" s="1" t="s">
        <v>849</v>
      </c>
      <c r="FR1797" s="1" t="s">
        <v>210</v>
      </c>
      <c r="FS1797" s="1" t="s">
        <v>1575</v>
      </c>
      <c r="FT1797" s="1" t="s">
        <v>362</v>
      </c>
      <c r="FU1797" s="1" t="s">
        <v>204</v>
      </c>
      <c r="FW1797" s="1" t="s">
        <v>915</v>
      </c>
      <c r="FX1797" s="1">
        <v>23076</v>
      </c>
      <c r="FY1797" s="1" t="s">
        <v>1909</v>
      </c>
      <c r="FZ1797" s="1" t="s">
        <v>7957</v>
      </c>
      <c r="GA1797" s="1">
        <v>255553</v>
      </c>
      <c r="GB1797" s="1" t="s">
        <v>7958</v>
      </c>
      <c r="GE1797" s="1" t="s">
        <v>480</v>
      </c>
      <c r="GI1797" s="1" t="s">
        <v>204</v>
      </c>
      <c r="GJ1797" s="1" t="s">
        <v>260</v>
      </c>
      <c r="GK1797" s="1" t="s">
        <v>210</v>
      </c>
      <c r="GL1797" s="2">
        <v>42094</v>
      </c>
      <c r="GM1797" s="1" t="s">
        <v>16840</v>
      </c>
    </row>
    <row r="1798" spans="1:195">
      <c r="A1798" s="1">
        <v>115000</v>
      </c>
      <c r="B1798" s="1" t="s">
        <v>195</v>
      </c>
      <c r="C1798" s="1" t="str">
        <f>"08725965"</f>
        <v>08725965</v>
      </c>
      <c r="D1798" s="1" t="s">
        <v>196</v>
      </c>
      <c r="F1798" s="1" t="str">
        <f>"8042"</f>
        <v>8042</v>
      </c>
      <c r="G1798" s="2">
        <v>41893</v>
      </c>
      <c r="H1798" s="1">
        <v>120000</v>
      </c>
      <c r="I1798" s="1">
        <v>120000</v>
      </c>
      <c r="J1798" s="1">
        <v>115000</v>
      </c>
      <c r="K1798" s="2">
        <v>41893</v>
      </c>
      <c r="L1798" s="1">
        <v>348</v>
      </c>
      <c r="M1798" s="2">
        <v>41900</v>
      </c>
      <c r="N1798" s="1">
        <v>8</v>
      </c>
      <c r="O1798" s="2">
        <v>41900</v>
      </c>
      <c r="P1798" s="1">
        <v>84555</v>
      </c>
      <c r="Q1798" s="1" t="s">
        <v>423</v>
      </c>
      <c r="R1798" s="2">
        <v>42090</v>
      </c>
      <c r="S1798" s="1">
        <v>184681</v>
      </c>
      <c r="T1798" s="1">
        <v>1000</v>
      </c>
      <c r="U1798" s="1">
        <v>6651</v>
      </c>
      <c r="V1798" s="1" t="s">
        <v>6183</v>
      </c>
      <c r="W1798" s="1" t="s">
        <v>425</v>
      </c>
      <c r="X1798" s="1" t="s">
        <v>5917</v>
      </c>
      <c r="Y1798" s="1">
        <v>20</v>
      </c>
      <c r="Z1798" s="1" t="s">
        <v>249</v>
      </c>
      <c r="AA1798" s="1" t="s">
        <v>400</v>
      </c>
      <c r="AB1798" s="1">
        <v>60637</v>
      </c>
      <c r="AC1798" s="1">
        <v>4211</v>
      </c>
      <c r="AE1798" s="1" t="s">
        <v>16841</v>
      </c>
      <c r="AF1798" s="1">
        <v>1892</v>
      </c>
      <c r="AG1798" s="1" t="s">
        <v>213</v>
      </c>
      <c r="AH1798" s="1" t="s">
        <v>403</v>
      </c>
      <c r="AI1798" s="1" t="s">
        <v>310</v>
      </c>
      <c r="AJ1798" s="1" t="s">
        <v>562</v>
      </c>
      <c r="AL1798" s="1">
        <v>4</v>
      </c>
      <c r="AM1798" s="1">
        <v>2</v>
      </c>
      <c r="AN1798" s="1">
        <v>2</v>
      </c>
      <c r="AO1798" s="1">
        <v>0</v>
      </c>
      <c r="AP1798" s="1" t="s">
        <v>209</v>
      </c>
      <c r="AQ1798" s="1">
        <v>1</v>
      </c>
      <c r="AR1798" s="1" t="s">
        <v>210</v>
      </c>
      <c r="AS1798" s="1" t="s">
        <v>204</v>
      </c>
      <c r="AT1798" s="1" t="s">
        <v>271</v>
      </c>
      <c r="AV1798" s="1">
        <v>1</v>
      </c>
      <c r="AW1798" s="1" t="s">
        <v>204</v>
      </c>
      <c r="AX1798" s="1" t="s">
        <v>212</v>
      </c>
      <c r="AZ1798" s="1">
        <v>1602</v>
      </c>
      <c r="BA1798" s="1">
        <v>2012</v>
      </c>
      <c r="BB1798" s="1" t="s">
        <v>405</v>
      </c>
      <c r="BE1798" s="1">
        <v>1205</v>
      </c>
      <c r="BF1798" s="1">
        <v>1</v>
      </c>
      <c r="BG1798" s="1">
        <v>0</v>
      </c>
      <c r="BJ1798" s="1">
        <v>80</v>
      </c>
      <c r="BL1798" s="1">
        <v>242</v>
      </c>
      <c r="BM1798" s="1" t="s">
        <v>204</v>
      </c>
      <c r="BN1798" s="1" t="s">
        <v>213</v>
      </c>
      <c r="BO1798" s="1">
        <v>7</v>
      </c>
      <c r="BP1798" s="1" t="s">
        <v>204</v>
      </c>
      <c r="BR1798" s="1" t="str">
        <f>"20231210491014"</f>
        <v>20231210491014</v>
      </c>
      <c r="BT1798" s="1" t="s">
        <v>16842</v>
      </c>
      <c r="BX1798" s="1">
        <v>299</v>
      </c>
      <c r="BY1798" s="1">
        <v>299</v>
      </c>
      <c r="BZ1798" s="1">
        <v>299</v>
      </c>
      <c r="CA1798" s="1">
        <v>299</v>
      </c>
      <c r="CB1798" s="1" t="str">
        <f>"0"</f>
        <v>0</v>
      </c>
      <c r="CC1798" s="1" t="str">
        <f>"850"</f>
        <v>850</v>
      </c>
      <c r="CD1798" s="1">
        <v>0</v>
      </c>
      <c r="CE1798" s="1">
        <v>6647</v>
      </c>
      <c r="CG1798" s="1" t="s">
        <v>564</v>
      </c>
      <c r="CH1798" s="1" t="s">
        <v>219</v>
      </c>
      <c r="CI1798" s="1" t="s">
        <v>438</v>
      </c>
      <c r="CJ1798" s="1" t="s">
        <v>252</v>
      </c>
      <c r="CK1798" s="1" t="s">
        <v>12351</v>
      </c>
      <c r="CL1798" s="1" t="s">
        <v>219</v>
      </c>
      <c r="CM1798" s="1" t="s">
        <v>220</v>
      </c>
      <c r="CN1798" s="1" t="s">
        <v>252</v>
      </c>
      <c r="CP1798" s="1" t="s">
        <v>224</v>
      </c>
      <c r="CR1798" s="1" t="s">
        <v>210</v>
      </c>
      <c r="CS1798" s="1" t="s">
        <v>1133</v>
      </c>
      <c r="CT1798" s="1" t="s">
        <v>219</v>
      </c>
      <c r="CU1798" s="1" t="s">
        <v>220</v>
      </c>
      <c r="CV1798" s="1" t="s">
        <v>252</v>
      </c>
      <c r="CX1798" s="1" t="s">
        <v>224</v>
      </c>
      <c r="DB1798" s="1" t="s">
        <v>224</v>
      </c>
      <c r="DE1798" s="1" t="s">
        <v>951</v>
      </c>
      <c r="DF1798" s="1" t="s">
        <v>219</v>
      </c>
      <c r="DG1798" s="1" t="s">
        <v>438</v>
      </c>
      <c r="DH1798" s="1" t="s">
        <v>252</v>
      </c>
      <c r="DJ1798" s="1" t="s">
        <v>224</v>
      </c>
      <c r="DN1798" s="1" t="s">
        <v>709</v>
      </c>
      <c r="DS1798" s="1" t="s">
        <v>230</v>
      </c>
      <c r="DV1798" s="1" t="s">
        <v>5717</v>
      </c>
      <c r="DW1798" s="1" t="s">
        <v>219</v>
      </c>
      <c r="DX1798" s="1" t="s">
        <v>438</v>
      </c>
      <c r="EA1798" s="1" t="s">
        <v>230</v>
      </c>
      <c r="EE1798" s="1" t="s">
        <v>230</v>
      </c>
      <c r="EI1798" s="1" t="s">
        <v>230</v>
      </c>
      <c r="EL1798" s="1" t="s">
        <v>787</v>
      </c>
      <c r="EM1798" s="1" t="s">
        <v>319</v>
      </c>
      <c r="EN1798" s="1" t="s">
        <v>282</v>
      </c>
      <c r="EO1798" s="1" t="s">
        <v>234</v>
      </c>
      <c r="EP1798" s="1" t="s">
        <v>1047</v>
      </c>
      <c r="EQ1798" s="1" t="s">
        <v>1109</v>
      </c>
      <c r="ER1798" s="1" t="s">
        <v>210</v>
      </c>
      <c r="ES1798" s="1" t="s">
        <v>469</v>
      </c>
      <c r="EU1798" s="1" t="s">
        <v>3703</v>
      </c>
      <c r="EV1798" s="1" t="s">
        <v>240</v>
      </c>
      <c r="EW1798" s="1" t="s">
        <v>286</v>
      </c>
      <c r="EY1798" s="1" t="s">
        <v>790</v>
      </c>
      <c r="EZ1798" s="1" t="s">
        <v>709</v>
      </c>
      <c r="FA1798" s="1" t="s">
        <v>11868</v>
      </c>
      <c r="FB1798" s="1" t="s">
        <v>734</v>
      </c>
      <c r="FC1798" s="1" t="s">
        <v>1386</v>
      </c>
      <c r="FD1798" s="1" t="s">
        <v>246</v>
      </c>
      <c r="FE1798" s="1" t="s">
        <v>247</v>
      </c>
      <c r="FF1798" s="1" t="s">
        <v>248</v>
      </c>
      <c r="FG1798" s="1" t="s">
        <v>6549</v>
      </c>
      <c r="FH1798" s="1" t="s">
        <v>3505</v>
      </c>
      <c r="FJ1798" s="1" t="s">
        <v>16843</v>
      </c>
      <c r="FK1798" s="1" t="s">
        <v>2309</v>
      </c>
      <c r="FL1798" s="1" t="s">
        <v>358</v>
      </c>
      <c r="FM1798" s="1" t="s">
        <v>252</v>
      </c>
      <c r="FN1798" s="1" t="s">
        <v>213</v>
      </c>
      <c r="FO1798" s="1" t="s">
        <v>204</v>
      </c>
      <c r="FQ1798" s="1" t="s">
        <v>849</v>
      </c>
      <c r="FR1798" s="1" t="s">
        <v>210</v>
      </c>
      <c r="FS1798" s="1" t="s">
        <v>16844</v>
      </c>
      <c r="FT1798" s="1" t="s">
        <v>295</v>
      </c>
      <c r="FU1798" s="1" t="s">
        <v>204</v>
      </c>
      <c r="FW1798" s="1" t="s">
        <v>915</v>
      </c>
      <c r="FX1798" s="1">
        <v>51102</v>
      </c>
      <c r="FY1798" s="1" t="s">
        <v>16845</v>
      </c>
      <c r="FZ1798" s="1" t="s">
        <v>16846</v>
      </c>
      <c r="GA1798" s="1">
        <v>242392</v>
      </c>
      <c r="GD1798" s="1" t="s">
        <v>16847</v>
      </c>
      <c r="GE1798" s="1" t="s">
        <v>210</v>
      </c>
      <c r="GH1798" s="1" t="s">
        <v>421</v>
      </c>
      <c r="GI1798" s="1" t="s">
        <v>213</v>
      </c>
      <c r="GJ1798" s="1" t="s">
        <v>260</v>
      </c>
      <c r="GK1798" s="1" t="s">
        <v>210</v>
      </c>
      <c r="GL1798" s="2">
        <v>42103</v>
      </c>
      <c r="GM1798" s="1" t="s">
        <v>16848</v>
      </c>
    </row>
    <row r="1799" spans="1:195">
      <c r="A1799" s="1">
        <v>200000</v>
      </c>
      <c r="B1799" s="1" t="s">
        <v>195</v>
      </c>
      <c r="C1799" s="1" t="str">
        <f>"08723151"</f>
        <v>08723151</v>
      </c>
      <c r="D1799" s="1" t="s">
        <v>196</v>
      </c>
      <c r="F1799" s="1" t="str">
        <f>"10"</f>
        <v>10</v>
      </c>
      <c r="G1799" s="2">
        <v>41891</v>
      </c>
      <c r="H1799" s="1">
        <v>215000</v>
      </c>
      <c r="I1799" s="1">
        <v>215000</v>
      </c>
      <c r="J1799" s="1">
        <v>200000</v>
      </c>
      <c r="K1799" s="2">
        <v>41891</v>
      </c>
      <c r="L1799" s="1">
        <v>1</v>
      </c>
      <c r="M1799" s="2">
        <v>41891</v>
      </c>
      <c r="N1799" s="1">
        <v>1</v>
      </c>
      <c r="O1799" s="2">
        <v>41891</v>
      </c>
      <c r="P1799" s="1">
        <v>8340</v>
      </c>
      <c r="Q1799" s="1" t="s">
        <v>423</v>
      </c>
      <c r="R1799" s="2">
        <v>41997</v>
      </c>
      <c r="S1799" s="1">
        <v>29978</v>
      </c>
      <c r="U1799" s="1">
        <v>472</v>
      </c>
      <c r="V1799" s="1" t="s">
        <v>6726</v>
      </c>
      <c r="W1799" s="1" t="s">
        <v>725</v>
      </c>
      <c r="Y1799" s="1">
        <v>6</v>
      </c>
      <c r="Z1799" s="1" t="s">
        <v>249</v>
      </c>
      <c r="AA1799" s="1" t="s">
        <v>6288</v>
      </c>
      <c r="AB1799" s="1">
        <v>60010</v>
      </c>
      <c r="AD1799" s="1" t="s">
        <v>6727</v>
      </c>
      <c r="AE1799" s="1" t="s">
        <v>16849</v>
      </c>
      <c r="AF1799" s="1">
        <v>1965</v>
      </c>
      <c r="AG1799" s="1" t="s">
        <v>213</v>
      </c>
      <c r="AH1799" s="1" t="s">
        <v>6729</v>
      </c>
      <c r="AI1799" s="1" t="s">
        <v>310</v>
      </c>
      <c r="AJ1799" s="1" t="s">
        <v>6729</v>
      </c>
      <c r="AL1799" s="1">
        <v>6</v>
      </c>
      <c r="AM1799" s="1">
        <v>2</v>
      </c>
      <c r="AN1799" s="1">
        <v>2</v>
      </c>
      <c r="AO1799" s="1">
        <v>0</v>
      </c>
      <c r="AP1799" s="1" t="s">
        <v>667</v>
      </c>
      <c r="AR1799" s="1" t="s">
        <v>210</v>
      </c>
      <c r="AS1799" s="1" t="s">
        <v>204</v>
      </c>
      <c r="AT1799" s="1" t="s">
        <v>211</v>
      </c>
      <c r="AU1799" s="1">
        <v>1</v>
      </c>
      <c r="AW1799" s="1" t="s">
        <v>204</v>
      </c>
      <c r="AX1799" s="1" t="s">
        <v>212</v>
      </c>
      <c r="AZ1799" s="1">
        <v>2705.04</v>
      </c>
      <c r="BA1799" s="1">
        <v>2013</v>
      </c>
      <c r="BE1799" s="1">
        <v>1800</v>
      </c>
      <c r="BF1799" s="1">
        <v>1</v>
      </c>
      <c r="BG1799" s="1">
        <v>0</v>
      </c>
      <c r="BL1799" s="1">
        <v>360</v>
      </c>
      <c r="BM1799" s="1" t="s">
        <v>204</v>
      </c>
      <c r="BN1799" s="1" t="s">
        <v>213</v>
      </c>
      <c r="BO1799" s="1">
        <v>85</v>
      </c>
      <c r="BP1799" s="1" t="s">
        <v>204</v>
      </c>
      <c r="BR1799" s="1" t="str">
        <f>"01022020501055"</f>
        <v>01022020501055</v>
      </c>
      <c r="BT1799" s="1" t="s">
        <v>16850</v>
      </c>
      <c r="BU1799" s="1" t="s">
        <v>6731</v>
      </c>
      <c r="BV1799" s="1" t="s">
        <v>6732</v>
      </c>
      <c r="BW1799" s="1" t="s">
        <v>1994</v>
      </c>
      <c r="BX1799" s="1">
        <v>220</v>
      </c>
      <c r="BY1799" s="1">
        <v>220</v>
      </c>
      <c r="BZ1799" s="1">
        <v>220</v>
      </c>
      <c r="CB1799" s="1" t="str">
        <f>"18"</f>
        <v>18</v>
      </c>
      <c r="CC1799" s="1" t="str">
        <f>"0"</f>
        <v>0</v>
      </c>
      <c r="CD1799" s="1">
        <v>26</v>
      </c>
      <c r="CE1799" s="1">
        <v>0</v>
      </c>
      <c r="CG1799" s="1" t="s">
        <v>3389</v>
      </c>
      <c r="CH1799" s="1" t="s">
        <v>219</v>
      </c>
      <c r="CI1799" s="1" t="s">
        <v>438</v>
      </c>
      <c r="CK1799" s="1" t="s">
        <v>278</v>
      </c>
      <c r="CL1799" s="1" t="s">
        <v>277</v>
      </c>
      <c r="CM1799" s="1" t="s">
        <v>220</v>
      </c>
      <c r="CO1799" s="1" t="s">
        <v>1469</v>
      </c>
      <c r="CP1799" s="1" t="s">
        <v>219</v>
      </c>
      <c r="CQ1799" s="1" t="s">
        <v>438</v>
      </c>
      <c r="CS1799" s="1" t="s">
        <v>2466</v>
      </c>
      <c r="CT1799" s="1" t="s">
        <v>277</v>
      </c>
      <c r="CU1799" s="1" t="s">
        <v>220</v>
      </c>
      <c r="CX1799" s="1" t="s">
        <v>224</v>
      </c>
      <c r="DB1799" s="1" t="s">
        <v>224</v>
      </c>
      <c r="DE1799" s="1" t="s">
        <v>3284</v>
      </c>
      <c r="DF1799" s="1" t="s">
        <v>219</v>
      </c>
      <c r="DG1799" s="1" t="s">
        <v>438</v>
      </c>
      <c r="DI1799" s="1" t="s">
        <v>3389</v>
      </c>
      <c r="DJ1799" s="1" t="s">
        <v>822</v>
      </c>
      <c r="DK1799" s="1" t="s">
        <v>220</v>
      </c>
      <c r="DS1799" s="1" t="s">
        <v>230</v>
      </c>
      <c r="DW1799" s="1" t="s">
        <v>230</v>
      </c>
      <c r="EA1799" s="1" t="s">
        <v>230</v>
      </c>
      <c r="EE1799" s="1" t="s">
        <v>230</v>
      </c>
      <c r="EI1799" s="1" t="s">
        <v>230</v>
      </c>
      <c r="EL1799" s="1" t="s">
        <v>605</v>
      </c>
      <c r="EM1799" s="1" t="s">
        <v>319</v>
      </c>
      <c r="EN1799" s="1" t="s">
        <v>282</v>
      </c>
      <c r="EO1799" s="1" t="s">
        <v>234</v>
      </c>
      <c r="EP1799" s="1" t="s">
        <v>12239</v>
      </c>
      <c r="EQ1799" s="1" t="s">
        <v>12298</v>
      </c>
      <c r="ER1799" s="1" t="s">
        <v>210</v>
      </c>
      <c r="ES1799" s="1" t="s">
        <v>3719</v>
      </c>
      <c r="EV1799" s="1" t="s">
        <v>324</v>
      </c>
      <c r="EW1799" s="1" t="s">
        <v>5806</v>
      </c>
      <c r="EZ1799" s="1" t="s">
        <v>287</v>
      </c>
      <c r="FB1799" s="1" t="s">
        <v>244</v>
      </c>
      <c r="FC1799" s="1" t="s">
        <v>1405</v>
      </c>
      <c r="FD1799" s="1" t="s">
        <v>290</v>
      </c>
      <c r="FE1799" s="1" t="s">
        <v>247</v>
      </c>
      <c r="FF1799" s="1" t="s">
        <v>248</v>
      </c>
      <c r="FH1799" s="1" t="s">
        <v>1428</v>
      </c>
      <c r="FL1799" s="1" t="s">
        <v>358</v>
      </c>
      <c r="FM1799" s="1" t="s">
        <v>252</v>
      </c>
      <c r="FN1799" s="1" t="s">
        <v>213</v>
      </c>
      <c r="FO1799" s="1" t="s">
        <v>213</v>
      </c>
      <c r="FQ1799" s="1" t="s">
        <v>6735</v>
      </c>
      <c r="FR1799" s="1" t="s">
        <v>210</v>
      </c>
      <c r="FS1799" s="1" t="s">
        <v>16851</v>
      </c>
      <c r="FT1799" s="1" t="s">
        <v>520</v>
      </c>
      <c r="FU1799" s="1" t="s">
        <v>204</v>
      </c>
      <c r="FW1799" s="1" t="s">
        <v>6737</v>
      </c>
      <c r="FX1799" s="1">
        <v>10646</v>
      </c>
      <c r="FY1799" s="1" t="s">
        <v>6738</v>
      </c>
      <c r="FZ1799" s="1" t="s">
        <v>6739</v>
      </c>
      <c r="GA1799" s="1">
        <v>120575</v>
      </c>
      <c r="GB1799" s="1" t="s">
        <v>6740</v>
      </c>
      <c r="GE1799" s="1" t="s">
        <v>210</v>
      </c>
      <c r="GH1799" s="1" t="s">
        <v>589</v>
      </c>
      <c r="GI1799" s="1" t="s">
        <v>213</v>
      </c>
      <c r="GJ1799" s="1" t="s">
        <v>260</v>
      </c>
      <c r="GK1799" s="1" t="s">
        <v>210</v>
      </c>
      <c r="GL1799" s="2">
        <v>42004</v>
      </c>
      <c r="GM1799" s="1" t="s">
        <v>16852</v>
      </c>
    </row>
    <row r="1800" spans="1:195">
      <c r="A1800" s="1">
        <v>147250</v>
      </c>
      <c r="B1800" s="1" t="s">
        <v>195</v>
      </c>
      <c r="C1800" s="1" t="str">
        <f>"08722667"</f>
        <v>08722667</v>
      </c>
      <c r="D1800" s="1" t="s">
        <v>196</v>
      </c>
      <c r="F1800" s="1" t="str">
        <f>"30"</f>
        <v>30</v>
      </c>
      <c r="G1800" s="2">
        <v>41890</v>
      </c>
      <c r="H1800" s="1">
        <v>154900</v>
      </c>
      <c r="I1800" s="1">
        <v>151900</v>
      </c>
      <c r="J1800" s="1">
        <v>147250</v>
      </c>
      <c r="K1800" s="2">
        <v>41890</v>
      </c>
      <c r="L1800" s="1">
        <v>85</v>
      </c>
      <c r="M1800" s="2">
        <v>41974</v>
      </c>
      <c r="N1800" s="1">
        <v>85</v>
      </c>
      <c r="O1800" s="2">
        <v>41974</v>
      </c>
      <c r="P1800" s="1">
        <v>2644</v>
      </c>
      <c r="Q1800" s="1" t="s">
        <v>423</v>
      </c>
      <c r="R1800" s="2">
        <v>42026</v>
      </c>
      <c r="S1800" s="1">
        <v>18736</v>
      </c>
      <c r="U1800" s="1">
        <v>1027</v>
      </c>
      <c r="V1800" s="1" t="s">
        <v>16853</v>
      </c>
      <c r="W1800" s="1" t="s">
        <v>264</v>
      </c>
      <c r="Y1800" s="1">
        <v>4</v>
      </c>
      <c r="Z1800" s="1" t="s">
        <v>370</v>
      </c>
      <c r="AA1800" s="1" t="s">
        <v>1834</v>
      </c>
      <c r="AB1800" s="1">
        <v>60030</v>
      </c>
      <c r="AE1800" s="1" t="s">
        <v>16854</v>
      </c>
      <c r="AF1800" s="1">
        <v>2000</v>
      </c>
      <c r="AG1800" s="1" t="s">
        <v>204</v>
      </c>
      <c r="AH1800" s="1" t="s">
        <v>1837</v>
      </c>
      <c r="AI1800" s="1" t="s">
        <v>509</v>
      </c>
      <c r="AJ1800" s="1" t="s">
        <v>1263</v>
      </c>
      <c r="AL1800" s="1">
        <v>7</v>
      </c>
      <c r="AM1800" s="1">
        <v>2</v>
      </c>
      <c r="AN1800" s="1">
        <v>2</v>
      </c>
      <c r="AO1800" s="1">
        <v>1</v>
      </c>
      <c r="AP1800" s="1" t="s">
        <v>209</v>
      </c>
      <c r="AR1800" s="1" t="s">
        <v>1631</v>
      </c>
      <c r="AS1800" s="1" t="s">
        <v>204</v>
      </c>
      <c r="AT1800" s="1" t="s">
        <v>211</v>
      </c>
      <c r="AU1800" s="1">
        <v>2</v>
      </c>
      <c r="AW1800" s="1" t="s">
        <v>204</v>
      </c>
      <c r="AX1800" s="1" t="s">
        <v>212</v>
      </c>
      <c r="AZ1800" s="1">
        <v>5101.45</v>
      </c>
      <c r="BA1800" s="1">
        <v>2013</v>
      </c>
      <c r="BE1800" s="1">
        <v>1588</v>
      </c>
      <c r="BF1800" s="1">
        <v>1</v>
      </c>
      <c r="BG1800" s="1">
        <v>0</v>
      </c>
      <c r="BL1800" s="1">
        <v>191</v>
      </c>
      <c r="BM1800" s="1" t="s">
        <v>204</v>
      </c>
      <c r="BN1800" s="1" t="s">
        <v>213</v>
      </c>
      <c r="BO1800" s="1">
        <v>99</v>
      </c>
      <c r="BP1800" s="1" t="s">
        <v>204</v>
      </c>
      <c r="BR1800" s="1" t="str">
        <f>"06234050670000"</f>
        <v>06234050670000</v>
      </c>
      <c r="BT1800" s="1" t="s">
        <v>16855</v>
      </c>
      <c r="BX1800" s="1">
        <v>46</v>
      </c>
      <c r="BY1800" s="1">
        <v>46</v>
      </c>
      <c r="BZ1800" s="1">
        <v>127</v>
      </c>
      <c r="CB1800" s="1" t="str">
        <f t="shared" ref="CB1800:CC1800" si="1363">""</f>
        <v/>
      </c>
      <c r="CC1800" s="1" t="str">
        <f t="shared" si="1363"/>
        <v/>
      </c>
      <c r="CG1800" s="1" t="s">
        <v>280</v>
      </c>
      <c r="CH1800" s="1" t="s">
        <v>219</v>
      </c>
      <c r="CI1800" s="1" t="s">
        <v>438</v>
      </c>
      <c r="CJ1800" s="1" t="s">
        <v>343</v>
      </c>
      <c r="CK1800" s="1" t="s">
        <v>378</v>
      </c>
      <c r="CL1800" s="1" t="s">
        <v>277</v>
      </c>
      <c r="CM1800" s="1" t="s">
        <v>220</v>
      </c>
      <c r="CN1800" s="1" t="s">
        <v>343</v>
      </c>
      <c r="CO1800" s="1" t="s">
        <v>318</v>
      </c>
      <c r="CP1800" s="1" t="s">
        <v>219</v>
      </c>
      <c r="CQ1800" s="1" t="s">
        <v>438</v>
      </c>
      <c r="CR1800" s="1" t="s">
        <v>463</v>
      </c>
      <c r="CS1800" s="1" t="s">
        <v>602</v>
      </c>
      <c r="CT1800" s="1" t="s">
        <v>277</v>
      </c>
      <c r="CU1800" s="1" t="s">
        <v>220</v>
      </c>
      <c r="CV1800" s="1" t="s">
        <v>909</v>
      </c>
      <c r="CX1800" s="1" t="s">
        <v>224</v>
      </c>
      <c r="DB1800" s="1" t="s">
        <v>224</v>
      </c>
      <c r="DE1800" s="1" t="s">
        <v>836</v>
      </c>
      <c r="DF1800" s="1" t="s">
        <v>219</v>
      </c>
      <c r="DG1800" s="1" t="s">
        <v>438</v>
      </c>
      <c r="DH1800" s="1" t="s">
        <v>463</v>
      </c>
      <c r="DI1800" s="1" t="s">
        <v>461</v>
      </c>
      <c r="DJ1800" s="1" t="s">
        <v>822</v>
      </c>
      <c r="DK1800" s="1" t="s">
        <v>220</v>
      </c>
      <c r="DL1800" s="1" t="s">
        <v>343</v>
      </c>
      <c r="DM1800" s="1" t="s">
        <v>464</v>
      </c>
      <c r="DN1800" s="1" t="s">
        <v>709</v>
      </c>
      <c r="DR1800" s="1" t="s">
        <v>1046</v>
      </c>
      <c r="DS1800" s="1" t="s">
        <v>277</v>
      </c>
      <c r="DT1800" s="1" t="s">
        <v>220</v>
      </c>
      <c r="DU1800" s="1" t="s">
        <v>210</v>
      </c>
      <c r="DV1800" s="1" t="s">
        <v>10390</v>
      </c>
      <c r="DW1800" s="1" t="s">
        <v>219</v>
      </c>
      <c r="DX1800" s="1" t="s">
        <v>438</v>
      </c>
      <c r="EA1800" s="1" t="s">
        <v>230</v>
      </c>
      <c r="EE1800" s="1" t="s">
        <v>230</v>
      </c>
      <c r="EI1800" s="1" t="s">
        <v>230</v>
      </c>
      <c r="EL1800" s="1" t="s">
        <v>466</v>
      </c>
      <c r="EM1800" s="1" t="s">
        <v>319</v>
      </c>
      <c r="EN1800" s="1" t="s">
        <v>282</v>
      </c>
      <c r="EO1800" s="1" t="s">
        <v>234</v>
      </c>
      <c r="EP1800" s="1" t="s">
        <v>5803</v>
      </c>
      <c r="EQ1800" s="1" t="s">
        <v>3494</v>
      </c>
      <c r="ER1800" s="1" t="s">
        <v>544</v>
      </c>
      <c r="EU1800" s="1" t="s">
        <v>712</v>
      </c>
      <c r="EW1800" s="1" t="s">
        <v>5806</v>
      </c>
      <c r="EZ1800" s="1" t="s">
        <v>2549</v>
      </c>
      <c r="FB1800" s="1" t="s">
        <v>289</v>
      </c>
      <c r="FD1800" s="1" t="s">
        <v>246</v>
      </c>
      <c r="FE1800" s="1" t="s">
        <v>472</v>
      </c>
      <c r="FF1800" s="1" t="s">
        <v>248</v>
      </c>
      <c r="FH1800" s="1" t="s">
        <v>1428</v>
      </c>
      <c r="FI1800" s="1" t="s">
        <v>473</v>
      </c>
      <c r="FL1800" s="1" t="s">
        <v>414</v>
      </c>
      <c r="FM1800" s="1" t="s">
        <v>252</v>
      </c>
      <c r="FN1800" s="1" t="s">
        <v>213</v>
      </c>
      <c r="FO1800" s="1" t="s">
        <v>213</v>
      </c>
      <c r="FQ1800" s="1" t="s">
        <v>4123</v>
      </c>
      <c r="FR1800" s="1" t="s">
        <v>210</v>
      </c>
      <c r="FS1800" s="1" t="s">
        <v>16856</v>
      </c>
      <c r="FT1800" s="1" t="s">
        <v>362</v>
      </c>
      <c r="FU1800" s="1" t="s">
        <v>204</v>
      </c>
      <c r="FW1800" s="1" t="s">
        <v>2590</v>
      </c>
      <c r="FX1800" s="1">
        <v>2644</v>
      </c>
      <c r="FY1800" s="1" t="s">
        <v>2591</v>
      </c>
      <c r="FZ1800" s="1" t="s">
        <v>16857</v>
      </c>
      <c r="GA1800" s="1">
        <v>241679</v>
      </c>
      <c r="GE1800" s="1" t="s">
        <v>335</v>
      </c>
      <c r="GI1800" s="1" t="s">
        <v>213</v>
      </c>
      <c r="GJ1800" s="1" t="s">
        <v>260</v>
      </c>
      <c r="GK1800" s="1" t="s">
        <v>261</v>
      </c>
      <c r="GL1800" s="2">
        <v>42026</v>
      </c>
      <c r="GM1800" s="1" t="s">
        <v>16858</v>
      </c>
    </row>
    <row r="1801" spans="1:195">
      <c r="A1801" s="1">
        <v>79500</v>
      </c>
      <c r="B1801" s="1" t="s">
        <v>195</v>
      </c>
      <c r="C1801" s="1" t="str">
        <f>"08724016"</f>
        <v>08724016</v>
      </c>
      <c r="D1801" s="1" t="s">
        <v>196</v>
      </c>
      <c r="F1801" s="1" t="str">
        <f>"517"</f>
        <v>517</v>
      </c>
      <c r="G1801" s="2">
        <v>41891</v>
      </c>
      <c r="H1801" s="1">
        <v>84000</v>
      </c>
      <c r="I1801" s="1">
        <v>84000</v>
      </c>
      <c r="J1801" s="1">
        <v>79500</v>
      </c>
      <c r="K1801" s="2">
        <v>41891</v>
      </c>
      <c r="L1801" s="1">
        <v>50</v>
      </c>
      <c r="M1801" s="2">
        <v>41940</v>
      </c>
      <c r="N1801" s="1">
        <v>50</v>
      </c>
      <c r="O1801" s="2">
        <v>41940</v>
      </c>
      <c r="P1801" s="1">
        <v>24113</v>
      </c>
      <c r="Q1801" s="1" t="s">
        <v>197</v>
      </c>
      <c r="R1801" s="2">
        <v>41989</v>
      </c>
      <c r="S1801" s="1">
        <v>216191</v>
      </c>
      <c r="U1801" s="1">
        <v>2220</v>
      </c>
      <c r="V1801" s="1" t="s">
        <v>7960</v>
      </c>
      <c r="W1801" s="1" t="s">
        <v>264</v>
      </c>
      <c r="X1801" s="1">
        <v>26</v>
      </c>
      <c r="Y1801" s="1">
        <v>24</v>
      </c>
      <c r="Z1801" s="1" t="s">
        <v>249</v>
      </c>
      <c r="AA1801" s="1" t="s">
        <v>2850</v>
      </c>
      <c r="AB1801" s="1">
        <v>60517</v>
      </c>
      <c r="AD1801" s="1" t="s">
        <v>5194</v>
      </c>
      <c r="AE1801" s="1" t="s">
        <v>16859</v>
      </c>
      <c r="AF1801" s="1" t="s">
        <v>402</v>
      </c>
      <c r="AG1801" s="1" t="s">
        <v>213</v>
      </c>
      <c r="AH1801" s="1" t="s">
        <v>2853</v>
      </c>
      <c r="AI1801" s="1" t="s">
        <v>206</v>
      </c>
      <c r="AJ1801" s="1" t="s">
        <v>925</v>
      </c>
      <c r="AL1801" s="1">
        <v>5</v>
      </c>
      <c r="AM1801" s="1">
        <v>2</v>
      </c>
      <c r="AN1801" s="1">
        <v>1</v>
      </c>
      <c r="AO1801" s="1">
        <v>0</v>
      </c>
      <c r="AP1801" s="1" t="s">
        <v>210</v>
      </c>
      <c r="AR1801" s="1" t="s">
        <v>210</v>
      </c>
      <c r="AT1801" s="1" t="s">
        <v>271</v>
      </c>
      <c r="AV1801" s="1">
        <v>2</v>
      </c>
      <c r="AW1801" s="1" t="s">
        <v>204</v>
      </c>
      <c r="AX1801" s="1" t="s">
        <v>579</v>
      </c>
      <c r="AZ1801" s="1">
        <v>1182.92</v>
      </c>
      <c r="BA1801" s="1">
        <v>2013</v>
      </c>
      <c r="BB1801" s="1" t="s">
        <v>405</v>
      </c>
      <c r="BE1801" s="1">
        <v>937</v>
      </c>
      <c r="BF1801" s="1">
        <v>3</v>
      </c>
      <c r="BG1801" s="1">
        <v>0</v>
      </c>
      <c r="BL1801" s="1">
        <v>281</v>
      </c>
      <c r="BM1801" s="1" t="s">
        <v>204</v>
      </c>
      <c r="BN1801" s="1" t="s">
        <v>204</v>
      </c>
      <c r="BP1801" s="1" t="s">
        <v>204</v>
      </c>
      <c r="BR1801" s="1" t="str">
        <f>"0825415018"</f>
        <v>0825415018</v>
      </c>
      <c r="BT1801" s="1" t="s">
        <v>16860</v>
      </c>
      <c r="BU1801" s="1" t="s">
        <v>2855</v>
      </c>
      <c r="BV1801" s="1" t="s">
        <v>2856</v>
      </c>
      <c r="BW1801" s="1" t="s">
        <v>3099</v>
      </c>
      <c r="BX1801" s="1">
        <v>68</v>
      </c>
      <c r="BY1801" s="1">
        <v>68</v>
      </c>
      <c r="BZ1801" s="1">
        <v>99</v>
      </c>
      <c r="CB1801" s="1" t="str">
        <f t="shared" ref="CB1801:CC1801" si="1364">"0"</f>
        <v>0</v>
      </c>
      <c r="CC1801" s="1" t="str">
        <f t="shared" si="1364"/>
        <v>0</v>
      </c>
      <c r="CD1801" s="1">
        <v>21</v>
      </c>
      <c r="CE1801" s="1">
        <v>8</v>
      </c>
      <c r="CG1801" s="1" t="s">
        <v>861</v>
      </c>
      <c r="CH1801" s="1" t="s">
        <v>784</v>
      </c>
      <c r="CI1801" s="1" t="s">
        <v>229</v>
      </c>
      <c r="CJ1801" s="1" t="s">
        <v>343</v>
      </c>
      <c r="CK1801" s="1" t="s">
        <v>757</v>
      </c>
      <c r="CL1801" s="1" t="s">
        <v>784</v>
      </c>
      <c r="CM1801" s="1" t="s">
        <v>220</v>
      </c>
      <c r="CN1801" s="1" t="s">
        <v>463</v>
      </c>
      <c r="CO1801" s="1" t="s">
        <v>516</v>
      </c>
      <c r="CP1801" s="1" t="s">
        <v>784</v>
      </c>
      <c r="CQ1801" s="1" t="s">
        <v>229</v>
      </c>
      <c r="CR1801" s="1" t="s">
        <v>343</v>
      </c>
      <c r="CS1801" s="1" t="s">
        <v>346</v>
      </c>
      <c r="CT1801" s="1" t="s">
        <v>784</v>
      </c>
      <c r="CU1801" s="1" t="s">
        <v>229</v>
      </c>
      <c r="CV1801" s="1" t="s">
        <v>343</v>
      </c>
      <c r="CX1801" s="1" t="s">
        <v>224</v>
      </c>
      <c r="DB1801" s="1" t="s">
        <v>224</v>
      </c>
      <c r="DE1801" s="1" t="s">
        <v>516</v>
      </c>
      <c r="DF1801" s="1" t="s">
        <v>784</v>
      </c>
      <c r="DG1801" s="1" t="s">
        <v>229</v>
      </c>
      <c r="DH1801" s="1" t="s">
        <v>210</v>
      </c>
      <c r="DJ1801" s="1" t="s">
        <v>224</v>
      </c>
      <c r="DS1801" s="1" t="s">
        <v>230</v>
      </c>
      <c r="DW1801" s="1" t="s">
        <v>230</v>
      </c>
      <c r="EA1801" s="1" t="s">
        <v>230</v>
      </c>
      <c r="EE1801" s="1" t="s">
        <v>230</v>
      </c>
      <c r="EI1801" s="1" t="s">
        <v>230</v>
      </c>
      <c r="EL1801" s="1" t="s">
        <v>413</v>
      </c>
      <c r="EM1801" s="1" t="s">
        <v>232</v>
      </c>
      <c r="EN1801" s="1" t="s">
        <v>282</v>
      </c>
      <c r="EO1801" s="1" t="s">
        <v>234</v>
      </c>
      <c r="EP1801" s="1" t="s">
        <v>650</v>
      </c>
      <c r="EQ1801" s="1" t="s">
        <v>671</v>
      </c>
      <c r="ER1801" s="1" t="s">
        <v>210</v>
      </c>
      <c r="EU1801" s="1" t="s">
        <v>239</v>
      </c>
      <c r="EV1801" s="1" t="s">
        <v>240</v>
      </c>
      <c r="EW1801" s="1" t="s">
        <v>16861</v>
      </c>
      <c r="EY1801" s="1" t="s">
        <v>242</v>
      </c>
      <c r="EZ1801" s="1" t="s">
        <v>287</v>
      </c>
      <c r="FA1801" s="1" t="s">
        <v>1554</v>
      </c>
      <c r="FD1801" s="1" t="s">
        <v>1112</v>
      </c>
      <c r="FE1801" s="1" t="s">
        <v>247</v>
      </c>
      <c r="FF1801" s="1" t="s">
        <v>248</v>
      </c>
      <c r="FH1801" s="1" t="s">
        <v>249</v>
      </c>
      <c r="FK1801" s="1" t="s">
        <v>291</v>
      </c>
      <c r="FL1801" s="1" t="s">
        <v>358</v>
      </c>
      <c r="FM1801" s="1" t="s">
        <v>252</v>
      </c>
      <c r="FN1801" s="1" t="s">
        <v>213</v>
      </c>
      <c r="FO1801" s="1" t="s">
        <v>213</v>
      </c>
      <c r="FQ1801" s="1" t="s">
        <v>793</v>
      </c>
      <c r="FR1801" s="1" t="s">
        <v>210</v>
      </c>
      <c r="FS1801" s="1" t="s">
        <v>4273</v>
      </c>
      <c r="FT1801" s="1" t="s">
        <v>295</v>
      </c>
      <c r="FU1801" s="1" t="s">
        <v>204</v>
      </c>
      <c r="FW1801" s="1" t="s">
        <v>11184</v>
      </c>
      <c r="FX1801" s="1">
        <v>20199</v>
      </c>
      <c r="FY1801" s="1" t="s">
        <v>11185</v>
      </c>
      <c r="FZ1801" s="1" t="s">
        <v>16862</v>
      </c>
      <c r="GA1801" s="1">
        <v>234727</v>
      </c>
      <c r="GB1801" s="1" t="s">
        <v>16863</v>
      </c>
      <c r="GE1801" s="1" t="s">
        <v>210</v>
      </c>
      <c r="GI1801" s="1" t="s">
        <v>213</v>
      </c>
      <c r="GJ1801" s="1" t="s">
        <v>260</v>
      </c>
      <c r="GK1801" s="1" t="s">
        <v>210</v>
      </c>
      <c r="GL1801" s="2">
        <v>41989</v>
      </c>
      <c r="GM1801" s="1" t="s">
        <v>16864</v>
      </c>
    </row>
    <row r="1802" spans="1:195">
      <c r="A1802" s="1">
        <v>107000</v>
      </c>
      <c r="B1802" s="1" t="s">
        <v>195</v>
      </c>
      <c r="C1802" s="1" t="str">
        <f>"08724843"</f>
        <v>08724843</v>
      </c>
      <c r="D1802" s="1" t="s">
        <v>196</v>
      </c>
      <c r="F1802" s="1" t="str">
        <f>"516"</f>
        <v>516</v>
      </c>
      <c r="G1802" s="2">
        <v>41892</v>
      </c>
      <c r="H1802" s="1">
        <v>109000</v>
      </c>
      <c r="I1802" s="1">
        <v>109000</v>
      </c>
      <c r="J1802" s="1">
        <v>107000</v>
      </c>
      <c r="K1802" s="2">
        <v>41892</v>
      </c>
      <c r="L1802" s="1">
        <v>16</v>
      </c>
      <c r="M1802" s="2">
        <v>41907</v>
      </c>
      <c r="N1802" s="1">
        <v>16</v>
      </c>
      <c r="O1802" s="2">
        <v>41907</v>
      </c>
      <c r="P1802" s="1">
        <v>23099</v>
      </c>
      <c r="Q1802" s="1" t="s">
        <v>197</v>
      </c>
      <c r="R1802" s="2">
        <v>41976</v>
      </c>
      <c r="S1802" s="1">
        <v>233132</v>
      </c>
      <c r="T1802" s="1">
        <v>3210</v>
      </c>
      <c r="U1802" s="1">
        <v>6141</v>
      </c>
      <c r="V1802" s="1" t="s">
        <v>16865</v>
      </c>
      <c r="W1802" s="1" t="s">
        <v>1056</v>
      </c>
      <c r="X1802" s="1">
        <v>101</v>
      </c>
      <c r="Y1802" s="1">
        <v>24</v>
      </c>
      <c r="Z1802" s="1" t="s">
        <v>370</v>
      </c>
      <c r="AA1802" s="1" t="s">
        <v>1417</v>
      </c>
      <c r="AB1802" s="1">
        <v>60527</v>
      </c>
      <c r="AD1802" s="1" t="s">
        <v>14118</v>
      </c>
      <c r="AE1802" s="1" t="s">
        <v>16866</v>
      </c>
      <c r="AF1802" s="1">
        <v>1974</v>
      </c>
      <c r="AG1802" s="1" t="s">
        <v>213</v>
      </c>
      <c r="AH1802" s="1" t="s">
        <v>1419</v>
      </c>
      <c r="AI1802" s="1" t="s">
        <v>206</v>
      </c>
      <c r="AJ1802" s="1" t="s">
        <v>903</v>
      </c>
      <c r="AL1802" s="1">
        <v>5</v>
      </c>
      <c r="AM1802" s="1">
        <v>2</v>
      </c>
      <c r="AN1802" s="1">
        <v>2</v>
      </c>
      <c r="AO1802" s="1">
        <v>0</v>
      </c>
      <c r="AP1802" s="1" t="s">
        <v>209</v>
      </c>
      <c r="AQ1802" s="1">
        <v>1</v>
      </c>
      <c r="AR1802" s="1" t="s">
        <v>210</v>
      </c>
      <c r="AS1802" s="1" t="s">
        <v>204</v>
      </c>
      <c r="AT1802" s="1" t="s">
        <v>271</v>
      </c>
      <c r="AV1802" s="1">
        <v>2</v>
      </c>
      <c r="AW1802" s="1" t="s">
        <v>204</v>
      </c>
      <c r="AX1802" s="1" t="s">
        <v>212</v>
      </c>
      <c r="AZ1802" s="1">
        <v>1690</v>
      </c>
      <c r="BA1802" s="1">
        <v>2013</v>
      </c>
      <c r="BE1802" s="1">
        <v>825</v>
      </c>
      <c r="BF1802" s="1">
        <v>3</v>
      </c>
      <c r="BG1802" s="1">
        <v>0</v>
      </c>
      <c r="BL1802" s="1">
        <v>323</v>
      </c>
      <c r="BM1802" s="1" t="s">
        <v>413</v>
      </c>
      <c r="BN1802" s="1" t="s">
        <v>204</v>
      </c>
      <c r="BP1802" s="1" t="s">
        <v>204</v>
      </c>
      <c r="BR1802" s="1" t="str">
        <f>"0914303113"</f>
        <v>0914303113</v>
      </c>
      <c r="BT1802" s="1" t="s">
        <v>16867</v>
      </c>
      <c r="BW1802" s="1" t="s">
        <v>1546</v>
      </c>
      <c r="BX1802" s="1">
        <v>60</v>
      </c>
      <c r="BY1802" s="1">
        <v>60</v>
      </c>
      <c r="BZ1802" s="1">
        <v>86</v>
      </c>
      <c r="CB1802" s="1" t="str">
        <f t="shared" ref="CB1802:CC1802" si="1365">""</f>
        <v/>
      </c>
      <c r="CC1802" s="1" t="str">
        <f t="shared" si="1365"/>
        <v/>
      </c>
      <c r="CD1802" s="1">
        <v>16</v>
      </c>
      <c r="CE1802" s="1">
        <v>6</v>
      </c>
      <c r="CG1802" s="1" t="s">
        <v>1155</v>
      </c>
      <c r="CH1802" s="1" t="s">
        <v>784</v>
      </c>
      <c r="CI1802" s="1" t="s">
        <v>229</v>
      </c>
      <c r="CK1802" s="1" t="s">
        <v>344</v>
      </c>
      <c r="CL1802" s="1" t="s">
        <v>784</v>
      </c>
      <c r="CM1802" s="1" t="s">
        <v>220</v>
      </c>
      <c r="CO1802" s="1" t="s">
        <v>409</v>
      </c>
      <c r="CP1802" s="1" t="s">
        <v>784</v>
      </c>
      <c r="CQ1802" s="1" t="s">
        <v>229</v>
      </c>
      <c r="CS1802" s="1" t="s">
        <v>465</v>
      </c>
      <c r="CT1802" s="1" t="s">
        <v>784</v>
      </c>
      <c r="CU1802" s="1" t="s">
        <v>220</v>
      </c>
      <c r="CX1802" s="1" t="s">
        <v>224</v>
      </c>
      <c r="DB1802" s="1" t="s">
        <v>224</v>
      </c>
      <c r="DE1802" s="1" t="s">
        <v>2031</v>
      </c>
      <c r="DF1802" s="1" t="s">
        <v>784</v>
      </c>
      <c r="DG1802" s="1" t="s">
        <v>229</v>
      </c>
      <c r="DJ1802" s="1" t="s">
        <v>224</v>
      </c>
      <c r="DS1802" s="1" t="s">
        <v>230</v>
      </c>
      <c r="DW1802" s="1" t="s">
        <v>230</v>
      </c>
      <c r="EA1802" s="1" t="s">
        <v>230</v>
      </c>
      <c r="EE1802" s="1" t="s">
        <v>230</v>
      </c>
      <c r="EI1802" s="1" t="s">
        <v>230</v>
      </c>
      <c r="EL1802" s="1" t="s">
        <v>231</v>
      </c>
      <c r="EM1802" s="1" t="s">
        <v>232</v>
      </c>
      <c r="EN1802" s="1" t="s">
        <v>282</v>
      </c>
      <c r="EO1802" s="1" t="s">
        <v>234</v>
      </c>
      <c r="ER1802" s="1" t="s">
        <v>210</v>
      </c>
      <c r="ES1802" s="1" t="s">
        <v>545</v>
      </c>
      <c r="EU1802" s="1" t="s">
        <v>239</v>
      </c>
      <c r="EV1802" s="1" t="s">
        <v>240</v>
      </c>
      <c r="EW1802" s="1" t="s">
        <v>16868</v>
      </c>
      <c r="EZ1802" s="1" t="s">
        <v>287</v>
      </c>
      <c r="FD1802" s="1" t="s">
        <v>1112</v>
      </c>
      <c r="FE1802" s="1" t="s">
        <v>651</v>
      </c>
      <c r="FF1802" s="1" t="s">
        <v>248</v>
      </c>
      <c r="FG1802" s="1" t="s">
        <v>939</v>
      </c>
      <c r="FH1802" s="1" t="s">
        <v>249</v>
      </c>
      <c r="FK1802" s="1" t="s">
        <v>6240</v>
      </c>
      <c r="FL1802" s="1" t="s">
        <v>358</v>
      </c>
      <c r="FM1802" s="1" t="s">
        <v>252</v>
      </c>
      <c r="FN1802" s="1" t="s">
        <v>213</v>
      </c>
      <c r="FO1802" s="1" t="s">
        <v>213</v>
      </c>
      <c r="FQ1802" s="1" t="s">
        <v>582</v>
      </c>
      <c r="FR1802" s="1" t="s">
        <v>210</v>
      </c>
      <c r="FS1802" s="1" t="s">
        <v>6569</v>
      </c>
      <c r="FT1802" s="1" t="s">
        <v>295</v>
      </c>
      <c r="FU1802" s="1" t="s">
        <v>204</v>
      </c>
      <c r="FW1802" s="1" t="s">
        <v>6570</v>
      </c>
      <c r="FX1802" s="1">
        <v>23290</v>
      </c>
      <c r="FY1802" s="1" t="s">
        <v>6571</v>
      </c>
      <c r="FZ1802" s="1" t="s">
        <v>6572</v>
      </c>
      <c r="GA1802" s="1">
        <v>233019</v>
      </c>
      <c r="GB1802" s="1" t="s">
        <v>6573</v>
      </c>
      <c r="GE1802" s="1" t="s">
        <v>480</v>
      </c>
      <c r="GI1802" s="1" t="s">
        <v>213</v>
      </c>
      <c r="GJ1802" s="1" t="s">
        <v>260</v>
      </c>
      <c r="GK1802" s="1" t="s">
        <v>210</v>
      </c>
      <c r="GL1802" s="2">
        <v>41976</v>
      </c>
      <c r="GM1802" s="1" t="s">
        <v>16869</v>
      </c>
    </row>
    <row r="1803" spans="1:195">
      <c r="A1803" s="1">
        <v>234000</v>
      </c>
      <c r="B1803" s="1" t="s">
        <v>195</v>
      </c>
      <c r="C1803" s="1" t="str">
        <f>"08722068"</f>
        <v>08722068</v>
      </c>
      <c r="D1803" s="1" t="s">
        <v>196</v>
      </c>
      <c r="F1803" s="1" t="str">
        <f>"187"</f>
        <v>187</v>
      </c>
      <c r="G1803" s="2">
        <v>41890</v>
      </c>
      <c r="H1803" s="1">
        <v>249000</v>
      </c>
      <c r="I1803" s="1">
        <v>239000</v>
      </c>
      <c r="J1803" s="1">
        <v>234000</v>
      </c>
      <c r="K1803" s="2">
        <v>41890</v>
      </c>
      <c r="L1803" s="1">
        <v>148</v>
      </c>
      <c r="M1803" s="2">
        <v>42037</v>
      </c>
      <c r="N1803" s="1">
        <v>148</v>
      </c>
      <c r="O1803" s="2">
        <v>42037</v>
      </c>
      <c r="P1803" s="1">
        <v>25163</v>
      </c>
      <c r="Q1803" s="1" t="s">
        <v>302</v>
      </c>
      <c r="R1803" s="2">
        <v>42132</v>
      </c>
      <c r="S1803" s="1">
        <v>252911</v>
      </c>
      <c r="U1803" s="1">
        <v>1595</v>
      </c>
      <c r="V1803" s="1" t="s">
        <v>3259</v>
      </c>
      <c r="W1803" s="1" t="s">
        <v>725</v>
      </c>
      <c r="Y1803" s="1">
        <v>4</v>
      </c>
      <c r="Z1803" s="1" t="s">
        <v>370</v>
      </c>
      <c r="AA1803" s="1" t="s">
        <v>964</v>
      </c>
      <c r="AB1803" s="1">
        <v>60189</v>
      </c>
      <c r="AD1803" s="1" t="s">
        <v>16870</v>
      </c>
      <c r="AE1803" s="1" t="s">
        <v>16871</v>
      </c>
      <c r="AF1803" s="1">
        <v>1974</v>
      </c>
      <c r="AG1803" s="1" t="s">
        <v>213</v>
      </c>
      <c r="AH1803" s="1" t="s">
        <v>967</v>
      </c>
      <c r="AI1803" s="1" t="s">
        <v>206</v>
      </c>
      <c r="AJ1803" s="1" t="s">
        <v>207</v>
      </c>
      <c r="AL1803" s="1">
        <v>8</v>
      </c>
      <c r="AM1803" s="1">
        <v>2</v>
      </c>
      <c r="AN1803" s="1">
        <v>2</v>
      </c>
      <c r="AO1803" s="1">
        <v>1</v>
      </c>
      <c r="AP1803" s="1" t="s">
        <v>209</v>
      </c>
      <c r="AQ1803" s="1">
        <v>1</v>
      </c>
      <c r="AR1803" s="1" t="s">
        <v>209</v>
      </c>
      <c r="AS1803" s="1" t="s">
        <v>204</v>
      </c>
      <c r="AT1803" s="1" t="s">
        <v>211</v>
      </c>
      <c r="AU1803" s="1">
        <v>2</v>
      </c>
      <c r="AW1803" s="1" t="s">
        <v>204</v>
      </c>
      <c r="AX1803" s="1" t="s">
        <v>16872</v>
      </c>
      <c r="AZ1803" s="1">
        <v>5412</v>
      </c>
      <c r="BA1803" s="1">
        <v>2013</v>
      </c>
      <c r="BB1803" s="1" t="s">
        <v>405</v>
      </c>
      <c r="BE1803" s="1">
        <v>1766</v>
      </c>
      <c r="BF1803" s="1">
        <v>1</v>
      </c>
      <c r="BG1803" s="1">
        <v>0</v>
      </c>
      <c r="BL1803" s="1">
        <v>312</v>
      </c>
      <c r="BM1803" s="1" t="s">
        <v>204</v>
      </c>
      <c r="BN1803" s="1" t="s">
        <v>213</v>
      </c>
      <c r="BO1803" s="1">
        <v>0</v>
      </c>
      <c r="BP1803" s="1" t="s">
        <v>204</v>
      </c>
      <c r="BR1803" s="1" t="str">
        <f>"0519412091"</f>
        <v>0519412091</v>
      </c>
      <c r="BT1803" s="1" t="s">
        <v>16873</v>
      </c>
      <c r="BU1803" s="1" t="s">
        <v>1327</v>
      </c>
      <c r="BV1803" s="1" t="s">
        <v>970</v>
      </c>
      <c r="BW1803" s="1" t="s">
        <v>971</v>
      </c>
      <c r="BX1803" s="1">
        <v>200</v>
      </c>
      <c r="BY1803" s="1">
        <v>200</v>
      </c>
      <c r="BZ1803" s="1">
        <v>200</v>
      </c>
      <c r="CB1803" s="1" t="str">
        <f t="shared" ref="CB1803:CC1803" si="1366">"0"</f>
        <v>0</v>
      </c>
      <c r="CC1803" s="1" t="str">
        <f t="shared" si="1366"/>
        <v>0</v>
      </c>
      <c r="CD1803" s="1">
        <v>26</v>
      </c>
      <c r="CE1803" s="1">
        <v>1</v>
      </c>
      <c r="CG1803" s="1" t="s">
        <v>6085</v>
      </c>
      <c r="CH1803" s="1" t="s">
        <v>219</v>
      </c>
      <c r="CI1803" s="1" t="s">
        <v>220</v>
      </c>
      <c r="CK1803" s="1" t="s">
        <v>6085</v>
      </c>
      <c r="CL1803" s="1" t="s">
        <v>277</v>
      </c>
      <c r="CM1803" s="1" t="s">
        <v>220</v>
      </c>
      <c r="CO1803" s="1" t="s">
        <v>378</v>
      </c>
      <c r="CP1803" s="1" t="s">
        <v>219</v>
      </c>
      <c r="CQ1803" s="1" t="s">
        <v>220</v>
      </c>
      <c r="CS1803" s="1" t="s">
        <v>223</v>
      </c>
      <c r="CT1803" s="1" t="s">
        <v>277</v>
      </c>
      <c r="CU1803" s="1" t="s">
        <v>220</v>
      </c>
      <c r="CX1803" s="1" t="s">
        <v>224</v>
      </c>
      <c r="DB1803" s="1" t="s">
        <v>224</v>
      </c>
      <c r="DE1803" s="1" t="s">
        <v>223</v>
      </c>
      <c r="DF1803" s="1" t="s">
        <v>219</v>
      </c>
      <c r="DG1803" s="1" t="s">
        <v>438</v>
      </c>
      <c r="DI1803" s="1" t="s">
        <v>16874</v>
      </c>
      <c r="DJ1803" s="1" t="s">
        <v>219</v>
      </c>
      <c r="DK1803" s="1" t="s">
        <v>438</v>
      </c>
      <c r="DM1803" s="1" t="s">
        <v>1005</v>
      </c>
      <c r="DN1803" s="1" t="s">
        <v>934</v>
      </c>
      <c r="DR1803" s="1" t="s">
        <v>316</v>
      </c>
      <c r="DS1803" s="1" t="s">
        <v>219</v>
      </c>
      <c r="DT1803" s="1" t="s">
        <v>438</v>
      </c>
      <c r="DV1803" s="1" t="s">
        <v>5353</v>
      </c>
      <c r="DW1803" s="1" t="s">
        <v>43</v>
      </c>
      <c r="DX1803" s="1" t="s">
        <v>342</v>
      </c>
      <c r="EA1803" s="1" t="s">
        <v>230</v>
      </c>
      <c r="EE1803" s="1" t="s">
        <v>230</v>
      </c>
      <c r="EI1803" s="1" t="s">
        <v>230</v>
      </c>
      <c r="EL1803" s="1" t="s">
        <v>605</v>
      </c>
      <c r="EM1803" s="1" t="s">
        <v>232</v>
      </c>
      <c r="EN1803" s="1" t="s">
        <v>282</v>
      </c>
      <c r="EO1803" s="1" t="s">
        <v>234</v>
      </c>
      <c r="EQ1803" s="1" t="s">
        <v>236</v>
      </c>
      <c r="ER1803" s="1" t="s">
        <v>544</v>
      </c>
      <c r="ES1803" s="1" t="s">
        <v>824</v>
      </c>
      <c r="EU1803" s="1" t="s">
        <v>3703</v>
      </c>
      <c r="EV1803" s="1" t="s">
        <v>352</v>
      </c>
      <c r="EW1803" s="1" t="s">
        <v>353</v>
      </c>
      <c r="EY1803" s="1" t="s">
        <v>242</v>
      </c>
      <c r="EZ1803" s="1" t="s">
        <v>2539</v>
      </c>
      <c r="FA1803" s="1" t="s">
        <v>12208</v>
      </c>
      <c r="FB1803" s="1" t="s">
        <v>289</v>
      </c>
      <c r="FD1803" s="1" t="s">
        <v>246</v>
      </c>
      <c r="FE1803" s="1" t="s">
        <v>549</v>
      </c>
      <c r="FF1803" s="1" t="s">
        <v>248</v>
      </c>
      <c r="FH1803" s="1" t="s">
        <v>550</v>
      </c>
      <c r="FL1803" s="1" t="s">
        <v>358</v>
      </c>
      <c r="FM1803" s="1" t="s">
        <v>252</v>
      </c>
      <c r="FN1803" s="1" t="s">
        <v>213</v>
      </c>
      <c r="FO1803" s="1" t="s">
        <v>213</v>
      </c>
      <c r="FQ1803" s="1" t="s">
        <v>1758</v>
      </c>
      <c r="FR1803" s="1" t="s">
        <v>210</v>
      </c>
      <c r="FS1803" s="1" t="s">
        <v>6281</v>
      </c>
      <c r="FT1803" s="1" t="s">
        <v>362</v>
      </c>
      <c r="FU1803" s="1" t="s">
        <v>204</v>
      </c>
      <c r="FW1803" s="1" t="s">
        <v>3546</v>
      </c>
      <c r="FX1803" s="1">
        <v>24695</v>
      </c>
      <c r="FY1803" s="1" t="s">
        <v>3547</v>
      </c>
      <c r="FZ1803" s="1" t="s">
        <v>8508</v>
      </c>
      <c r="GA1803" s="1">
        <v>234453</v>
      </c>
      <c r="GB1803" s="1" t="s">
        <v>3547</v>
      </c>
      <c r="GD1803" s="1" t="s">
        <v>16875</v>
      </c>
      <c r="GE1803" s="1" t="s">
        <v>480</v>
      </c>
      <c r="GI1803" s="1" t="s">
        <v>213</v>
      </c>
      <c r="GJ1803" s="1" t="s">
        <v>260</v>
      </c>
      <c r="GK1803" s="1" t="s">
        <v>210</v>
      </c>
      <c r="GL1803" s="2">
        <v>42135</v>
      </c>
      <c r="GM1803" s="1" t="s">
        <v>16876</v>
      </c>
    </row>
    <row r="1804" spans="1:195">
      <c r="A1804" s="1">
        <v>197500</v>
      </c>
      <c r="B1804" s="1" t="s">
        <v>195</v>
      </c>
      <c r="C1804" s="1" t="str">
        <f>"08712943"</f>
        <v>08712943</v>
      </c>
      <c r="D1804" s="1" t="s">
        <v>196</v>
      </c>
      <c r="F1804" s="1" t="str">
        <f>"108"</f>
        <v>108</v>
      </c>
      <c r="G1804" s="2">
        <v>41878</v>
      </c>
      <c r="H1804" s="1">
        <v>219813</v>
      </c>
      <c r="I1804" s="1">
        <v>208500</v>
      </c>
      <c r="J1804" s="1">
        <v>197500</v>
      </c>
      <c r="K1804" s="2">
        <v>41878</v>
      </c>
      <c r="L1804" s="1">
        <v>169</v>
      </c>
      <c r="M1804" s="2">
        <v>42046</v>
      </c>
      <c r="N1804" s="1">
        <v>169</v>
      </c>
      <c r="O1804" s="2">
        <v>42046</v>
      </c>
      <c r="P1804" s="1">
        <v>25266</v>
      </c>
      <c r="Q1804" s="1" t="s">
        <v>197</v>
      </c>
      <c r="R1804" s="2">
        <v>42082</v>
      </c>
      <c r="S1804" s="1">
        <v>253443</v>
      </c>
      <c r="U1804" s="1">
        <v>139</v>
      </c>
      <c r="V1804" s="1" t="s">
        <v>5287</v>
      </c>
      <c r="W1804" s="1" t="s">
        <v>304</v>
      </c>
      <c r="Y1804" s="1">
        <v>2</v>
      </c>
      <c r="Z1804" s="1" t="s">
        <v>370</v>
      </c>
      <c r="AA1804" s="1" t="s">
        <v>829</v>
      </c>
      <c r="AB1804" s="1">
        <v>60108</v>
      </c>
      <c r="AD1804" s="1" t="s">
        <v>857</v>
      </c>
      <c r="AE1804" s="1" t="s">
        <v>16877</v>
      </c>
      <c r="AF1804" s="1">
        <v>1986</v>
      </c>
      <c r="AG1804" s="1" t="s">
        <v>204</v>
      </c>
      <c r="AH1804" s="1" t="s">
        <v>269</v>
      </c>
      <c r="AI1804" s="1" t="s">
        <v>206</v>
      </c>
      <c r="AJ1804" s="1" t="s">
        <v>269</v>
      </c>
      <c r="AK1804" s="1" t="s">
        <v>16878</v>
      </c>
      <c r="AL1804" s="1">
        <v>5</v>
      </c>
      <c r="AM1804" s="1">
        <v>2</v>
      </c>
      <c r="AN1804" s="1">
        <v>2</v>
      </c>
      <c r="AO1804" s="1">
        <v>0</v>
      </c>
      <c r="AP1804" s="1" t="s">
        <v>209</v>
      </c>
      <c r="AQ1804" s="1">
        <v>2</v>
      </c>
      <c r="AR1804" s="1" t="s">
        <v>210</v>
      </c>
      <c r="AS1804" s="1" t="s">
        <v>204</v>
      </c>
      <c r="AT1804" s="1" t="s">
        <v>211</v>
      </c>
      <c r="AU1804" s="1">
        <v>2</v>
      </c>
      <c r="AW1804" s="1" t="s">
        <v>204</v>
      </c>
      <c r="AX1804" s="1" t="s">
        <v>16879</v>
      </c>
      <c r="AZ1804" s="1">
        <v>3777</v>
      </c>
      <c r="BA1804" s="1">
        <v>2013</v>
      </c>
      <c r="BB1804" s="1" t="s">
        <v>6874</v>
      </c>
      <c r="BE1804" s="1">
        <v>1340</v>
      </c>
      <c r="BF1804" s="1">
        <v>1</v>
      </c>
      <c r="BG1804" s="1">
        <v>0</v>
      </c>
      <c r="BL1804" s="1">
        <v>200</v>
      </c>
      <c r="BM1804" s="1" t="s">
        <v>204</v>
      </c>
      <c r="BN1804" s="1" t="s">
        <v>213</v>
      </c>
      <c r="BO1804" s="1">
        <v>999</v>
      </c>
      <c r="BP1804" s="1" t="s">
        <v>204</v>
      </c>
      <c r="BR1804" s="1" t="str">
        <f>"0215209049"</f>
        <v>0215209049</v>
      </c>
      <c r="BT1804" s="1" t="s">
        <v>16880</v>
      </c>
      <c r="BX1804" s="1">
        <v>13</v>
      </c>
      <c r="BY1804" s="1">
        <v>13</v>
      </c>
      <c r="BZ1804" s="1">
        <v>108</v>
      </c>
      <c r="CB1804" s="1" t="str">
        <f t="shared" ref="CB1804:CC1804" si="1367">""</f>
        <v/>
      </c>
      <c r="CC1804" s="1" t="str">
        <f t="shared" si="1367"/>
        <v/>
      </c>
      <c r="CG1804" s="1" t="s">
        <v>7336</v>
      </c>
      <c r="CH1804" s="1" t="s">
        <v>219</v>
      </c>
      <c r="CI1804" s="1" t="s">
        <v>220</v>
      </c>
      <c r="CJ1804" s="1" t="s">
        <v>252</v>
      </c>
      <c r="CK1804" s="1" t="s">
        <v>228</v>
      </c>
      <c r="CL1804" s="1" t="s">
        <v>219</v>
      </c>
      <c r="CM1804" s="1" t="s">
        <v>220</v>
      </c>
      <c r="CN1804" s="1" t="s">
        <v>252</v>
      </c>
      <c r="CO1804" s="1" t="s">
        <v>629</v>
      </c>
      <c r="CP1804" s="1" t="s">
        <v>219</v>
      </c>
      <c r="CS1804" s="1" t="s">
        <v>465</v>
      </c>
      <c r="CT1804" s="1" t="s">
        <v>219</v>
      </c>
      <c r="CU1804" s="1" t="s">
        <v>220</v>
      </c>
      <c r="CV1804" s="1" t="s">
        <v>252</v>
      </c>
      <c r="CX1804" s="1" t="s">
        <v>224</v>
      </c>
      <c r="DB1804" s="1" t="s">
        <v>224</v>
      </c>
      <c r="DE1804" s="1" t="s">
        <v>933</v>
      </c>
      <c r="DF1804" s="1" t="s">
        <v>219</v>
      </c>
      <c r="DH1804" s="1" t="s">
        <v>252</v>
      </c>
      <c r="DJ1804" s="1" t="s">
        <v>224</v>
      </c>
      <c r="DS1804" s="1" t="s">
        <v>230</v>
      </c>
      <c r="DW1804" s="1" t="s">
        <v>230</v>
      </c>
      <c r="EA1804" s="1" t="s">
        <v>230</v>
      </c>
      <c r="EE1804" s="1" t="s">
        <v>230</v>
      </c>
      <c r="EI1804" s="1" t="s">
        <v>230</v>
      </c>
      <c r="EL1804" s="1" t="s">
        <v>542</v>
      </c>
      <c r="EM1804" s="1" t="s">
        <v>232</v>
      </c>
      <c r="EN1804" s="1" t="s">
        <v>282</v>
      </c>
      <c r="EO1804" s="1" t="s">
        <v>234</v>
      </c>
      <c r="EP1804" s="1" t="s">
        <v>650</v>
      </c>
      <c r="EQ1804" s="1" t="s">
        <v>2188</v>
      </c>
      <c r="ER1804" s="1" t="s">
        <v>383</v>
      </c>
      <c r="ES1804" s="1" t="s">
        <v>322</v>
      </c>
      <c r="ET1804" s="1" t="s">
        <v>1201</v>
      </c>
      <c r="EU1804" s="1" t="s">
        <v>1110</v>
      </c>
      <c r="EV1804" s="1" t="s">
        <v>240</v>
      </c>
      <c r="EW1804" s="1" t="s">
        <v>353</v>
      </c>
      <c r="EY1804" s="1" t="s">
        <v>242</v>
      </c>
      <c r="EZ1804" s="1" t="s">
        <v>287</v>
      </c>
      <c r="FB1804" s="1" t="s">
        <v>1505</v>
      </c>
      <c r="FD1804" s="1" t="s">
        <v>495</v>
      </c>
      <c r="FE1804" s="1" t="s">
        <v>355</v>
      </c>
      <c r="FF1804" s="1" t="s">
        <v>248</v>
      </c>
      <c r="FG1804" s="1" t="s">
        <v>14939</v>
      </c>
      <c r="FH1804" s="1" t="s">
        <v>16881</v>
      </c>
      <c r="FI1804" s="1" t="s">
        <v>250</v>
      </c>
      <c r="FJ1804" s="1" t="s">
        <v>518</v>
      </c>
      <c r="FL1804" s="1" t="s">
        <v>358</v>
      </c>
      <c r="FM1804" s="1" t="s">
        <v>252</v>
      </c>
      <c r="FN1804" s="1" t="s">
        <v>213</v>
      </c>
      <c r="FO1804" s="1" t="s">
        <v>213</v>
      </c>
      <c r="FQ1804" s="1" t="s">
        <v>2017</v>
      </c>
      <c r="FR1804" s="1" t="s">
        <v>210</v>
      </c>
      <c r="FS1804" s="1" t="s">
        <v>16092</v>
      </c>
      <c r="FT1804" s="1" t="s">
        <v>295</v>
      </c>
      <c r="FU1804" s="1" t="s">
        <v>204</v>
      </c>
      <c r="FW1804" s="1" t="s">
        <v>2019</v>
      </c>
      <c r="FX1804" s="1">
        <v>24007</v>
      </c>
      <c r="FY1804" s="1" t="s">
        <v>2020</v>
      </c>
      <c r="FZ1804" s="1" t="s">
        <v>16882</v>
      </c>
      <c r="GA1804" s="1">
        <v>244526</v>
      </c>
      <c r="GB1804" s="1" t="s">
        <v>16883</v>
      </c>
      <c r="GC1804" s="1">
        <v>245692</v>
      </c>
      <c r="GD1804" s="1" t="s">
        <v>16884</v>
      </c>
      <c r="GE1804" s="1" t="s">
        <v>210</v>
      </c>
      <c r="GH1804" s="1" t="s">
        <v>421</v>
      </c>
      <c r="GI1804" s="1" t="s">
        <v>213</v>
      </c>
      <c r="GJ1804" s="1" t="s">
        <v>260</v>
      </c>
      <c r="GK1804" s="1" t="s">
        <v>210</v>
      </c>
      <c r="GL1804" s="2">
        <v>42082</v>
      </c>
      <c r="GM1804" s="1" t="s">
        <v>16885</v>
      </c>
    </row>
    <row r="1805" spans="1:195">
      <c r="A1805" s="1">
        <v>111000</v>
      </c>
      <c r="B1805" s="1" t="s">
        <v>195</v>
      </c>
      <c r="C1805" s="1" t="str">
        <f>"08712398"</f>
        <v>08712398</v>
      </c>
      <c r="D1805" s="1" t="s">
        <v>196</v>
      </c>
      <c r="F1805" s="1" t="str">
        <f>"123"</f>
        <v>123</v>
      </c>
      <c r="G1805" s="2">
        <v>41878</v>
      </c>
      <c r="H1805" s="1">
        <v>119900</v>
      </c>
      <c r="I1805" s="1">
        <v>119900</v>
      </c>
      <c r="J1805" s="1">
        <v>111000</v>
      </c>
      <c r="K1805" s="2">
        <v>41878</v>
      </c>
      <c r="L1805" s="1">
        <v>147</v>
      </c>
      <c r="M1805" s="2">
        <v>42024</v>
      </c>
      <c r="N1805" s="1">
        <v>147</v>
      </c>
      <c r="O1805" s="2">
        <v>42024</v>
      </c>
      <c r="P1805" s="1">
        <v>37</v>
      </c>
      <c r="Q1805" s="1" t="s">
        <v>302</v>
      </c>
      <c r="R1805" s="2">
        <v>42068</v>
      </c>
      <c r="S1805" s="1">
        <v>1750</v>
      </c>
      <c r="U1805" s="1">
        <v>2197</v>
      </c>
      <c r="V1805" s="1" t="s">
        <v>16886</v>
      </c>
      <c r="W1805" s="1" t="s">
        <v>425</v>
      </c>
      <c r="X1805" s="1">
        <v>2197</v>
      </c>
      <c r="Y1805" s="1">
        <v>4</v>
      </c>
      <c r="Z1805" s="1" t="s">
        <v>249</v>
      </c>
      <c r="AA1805" s="1" t="s">
        <v>1173</v>
      </c>
      <c r="AB1805" s="1">
        <v>60123</v>
      </c>
      <c r="AD1805" s="1" t="s">
        <v>16887</v>
      </c>
      <c r="AE1805" s="1" t="s">
        <v>16888</v>
      </c>
      <c r="AF1805" s="1">
        <v>1988</v>
      </c>
      <c r="AG1805" s="1" t="s">
        <v>204</v>
      </c>
      <c r="AH1805" s="1" t="s">
        <v>1175</v>
      </c>
      <c r="AI1805" s="1" t="s">
        <v>665</v>
      </c>
      <c r="AJ1805" s="1" t="s">
        <v>1175</v>
      </c>
      <c r="AL1805" s="1">
        <v>6</v>
      </c>
      <c r="AM1805" s="1">
        <v>2</v>
      </c>
      <c r="AN1805" s="1">
        <v>1</v>
      </c>
      <c r="AO1805" s="1">
        <v>1</v>
      </c>
      <c r="AP1805" s="1" t="s">
        <v>455</v>
      </c>
      <c r="AQ1805" s="1">
        <v>1</v>
      </c>
      <c r="AR1805" s="1" t="s">
        <v>209</v>
      </c>
      <c r="AS1805" s="1" t="s">
        <v>204</v>
      </c>
      <c r="AT1805" s="1" t="s">
        <v>211</v>
      </c>
      <c r="AU1805" s="1">
        <v>1</v>
      </c>
      <c r="AW1805" s="1" t="s">
        <v>204</v>
      </c>
      <c r="AX1805" s="1" t="s">
        <v>579</v>
      </c>
      <c r="AZ1805" s="1">
        <v>2690.02</v>
      </c>
      <c r="BA1805" s="1">
        <v>2013</v>
      </c>
      <c r="BB1805" s="1" t="s">
        <v>405</v>
      </c>
      <c r="BE1805" s="1">
        <v>1220</v>
      </c>
      <c r="BF1805" s="1">
        <v>1</v>
      </c>
      <c r="BG1805" s="1">
        <v>0</v>
      </c>
      <c r="BL1805" s="1">
        <v>100</v>
      </c>
      <c r="BM1805" s="1" t="s">
        <v>204</v>
      </c>
      <c r="BN1805" s="1" t="s">
        <v>213</v>
      </c>
      <c r="BO1805" s="1">
        <v>0</v>
      </c>
      <c r="BP1805" s="1" t="s">
        <v>204</v>
      </c>
      <c r="BR1805" s="1" t="str">
        <f>"0609379077"</f>
        <v>0609379077</v>
      </c>
      <c r="BT1805" s="1" t="s">
        <v>16889</v>
      </c>
      <c r="BU1805" s="1" t="s">
        <v>16890</v>
      </c>
      <c r="BV1805" s="1" t="s">
        <v>1487</v>
      </c>
      <c r="BW1805" s="1" t="s">
        <v>1488</v>
      </c>
      <c r="BX1805" s="1">
        <v>46</v>
      </c>
      <c r="BY1805" s="1">
        <v>46</v>
      </c>
      <c r="BZ1805" s="1">
        <v>46</v>
      </c>
      <c r="CB1805" s="1" t="str">
        <f>"12"</f>
        <v>12</v>
      </c>
      <c r="CC1805" s="1" t="str">
        <f t="shared" ref="CC1805:CC1806" si="1368">"0"</f>
        <v>0</v>
      </c>
      <c r="CD1805" s="1">
        <v>36</v>
      </c>
      <c r="CE1805" s="1">
        <v>0</v>
      </c>
      <c r="CG1805" s="1" t="s">
        <v>729</v>
      </c>
      <c r="CH1805" s="1" t="s">
        <v>219</v>
      </c>
      <c r="CI1805" s="1" t="s">
        <v>220</v>
      </c>
      <c r="CJ1805" s="1" t="s">
        <v>343</v>
      </c>
      <c r="CK1805" s="1" t="s">
        <v>1004</v>
      </c>
      <c r="CL1805" s="1" t="s">
        <v>277</v>
      </c>
      <c r="CM1805" s="1" t="s">
        <v>220</v>
      </c>
      <c r="CN1805" s="1" t="s">
        <v>343</v>
      </c>
      <c r="CO1805" s="1" t="s">
        <v>346</v>
      </c>
      <c r="CP1805" s="1" t="s">
        <v>219</v>
      </c>
      <c r="CQ1805" s="1" t="s">
        <v>220</v>
      </c>
      <c r="CR1805" s="1" t="s">
        <v>343</v>
      </c>
      <c r="CS1805" s="1" t="s">
        <v>379</v>
      </c>
      <c r="CT1805" s="1" t="s">
        <v>277</v>
      </c>
      <c r="CU1805" s="1" t="s">
        <v>220</v>
      </c>
      <c r="CV1805" s="1" t="s">
        <v>343</v>
      </c>
      <c r="CX1805" s="1" t="s">
        <v>224</v>
      </c>
      <c r="DB1805" s="1" t="s">
        <v>224</v>
      </c>
      <c r="DE1805" s="1" t="s">
        <v>409</v>
      </c>
      <c r="DF1805" s="1" t="s">
        <v>219</v>
      </c>
      <c r="DG1805" s="1" t="s">
        <v>229</v>
      </c>
      <c r="DH1805" s="1" t="s">
        <v>210</v>
      </c>
      <c r="DJ1805" s="1" t="s">
        <v>224</v>
      </c>
      <c r="DM1805" s="1" t="s">
        <v>934</v>
      </c>
      <c r="DN1805" s="1" t="s">
        <v>709</v>
      </c>
      <c r="DR1805" s="1" t="s">
        <v>4062</v>
      </c>
      <c r="DS1805" s="1" t="s">
        <v>43</v>
      </c>
      <c r="DT1805" s="1" t="s">
        <v>220</v>
      </c>
      <c r="DU1805" s="1" t="s">
        <v>210</v>
      </c>
      <c r="DV1805" s="1" t="s">
        <v>3492</v>
      </c>
      <c r="DW1805" s="1" t="s">
        <v>219</v>
      </c>
      <c r="DX1805" s="1" t="s">
        <v>226</v>
      </c>
      <c r="DY1805" s="1" t="s">
        <v>210</v>
      </c>
      <c r="EA1805" s="1" t="s">
        <v>230</v>
      </c>
      <c r="EE1805" s="1" t="s">
        <v>230</v>
      </c>
      <c r="EI1805" s="1" t="s">
        <v>230</v>
      </c>
      <c r="EL1805" s="1" t="s">
        <v>542</v>
      </c>
      <c r="EM1805" s="1" t="s">
        <v>319</v>
      </c>
      <c r="EN1805" s="1" t="s">
        <v>282</v>
      </c>
      <c r="EO1805" s="1" t="s">
        <v>840</v>
      </c>
      <c r="EQ1805" s="1" t="s">
        <v>236</v>
      </c>
      <c r="ER1805" s="1" t="s">
        <v>544</v>
      </c>
      <c r="ES1805" s="1" t="s">
        <v>3285</v>
      </c>
      <c r="EU1805" s="1" t="s">
        <v>239</v>
      </c>
      <c r="EV1805" s="1" t="s">
        <v>352</v>
      </c>
      <c r="EW1805" s="1" t="s">
        <v>353</v>
      </c>
      <c r="EY1805" s="1" t="s">
        <v>790</v>
      </c>
      <c r="EZ1805" s="1" t="s">
        <v>9635</v>
      </c>
      <c r="FA1805" s="1" t="s">
        <v>7047</v>
      </c>
      <c r="FB1805" s="1" t="s">
        <v>734</v>
      </c>
      <c r="FC1805" s="1" t="s">
        <v>633</v>
      </c>
      <c r="FD1805" s="1" t="s">
        <v>246</v>
      </c>
      <c r="FE1805" s="1" t="s">
        <v>472</v>
      </c>
      <c r="FF1805" s="1" t="s">
        <v>248</v>
      </c>
      <c r="FG1805" s="1" t="s">
        <v>2739</v>
      </c>
      <c r="FH1805" s="1" t="s">
        <v>388</v>
      </c>
      <c r="FI1805" s="1" t="s">
        <v>473</v>
      </c>
      <c r="FJ1805" s="1" t="s">
        <v>197</v>
      </c>
      <c r="FL1805" s="1" t="s">
        <v>358</v>
      </c>
      <c r="FM1805" s="1" t="s">
        <v>252</v>
      </c>
      <c r="FN1805" s="1" t="s">
        <v>213</v>
      </c>
      <c r="FO1805" s="1" t="s">
        <v>213</v>
      </c>
      <c r="FQ1805" s="1" t="s">
        <v>4594</v>
      </c>
      <c r="FR1805" s="1" t="s">
        <v>210</v>
      </c>
      <c r="FS1805" s="1" t="s">
        <v>10366</v>
      </c>
      <c r="FT1805" s="1" t="s">
        <v>362</v>
      </c>
      <c r="FU1805" s="1" t="s">
        <v>204</v>
      </c>
      <c r="FW1805" s="1" t="s">
        <v>3291</v>
      </c>
      <c r="FX1805" s="1">
        <v>7450</v>
      </c>
      <c r="FY1805" s="1" t="s">
        <v>3292</v>
      </c>
      <c r="FZ1805" s="1" t="s">
        <v>10367</v>
      </c>
      <c r="GA1805" s="1">
        <v>77092</v>
      </c>
      <c r="GB1805" s="1" t="s">
        <v>10368</v>
      </c>
      <c r="GD1805" s="1" t="s">
        <v>10369</v>
      </c>
      <c r="GE1805" s="1" t="s">
        <v>1187</v>
      </c>
      <c r="GI1805" s="1" t="s">
        <v>213</v>
      </c>
      <c r="GJ1805" s="1" t="s">
        <v>260</v>
      </c>
      <c r="GK1805" s="1" t="s">
        <v>210</v>
      </c>
      <c r="GL1805" s="2">
        <v>42068</v>
      </c>
    </row>
    <row r="1806" spans="1:195">
      <c r="A1806" s="1">
        <v>147000</v>
      </c>
      <c r="B1806" s="1" t="s">
        <v>195</v>
      </c>
      <c r="C1806" s="1" t="str">
        <f>"08715994"</f>
        <v>08715994</v>
      </c>
      <c r="D1806" s="1" t="s">
        <v>196</v>
      </c>
      <c r="F1806" s="1" t="str">
        <f t="shared" ref="F1806:F1807" si="1369">"172"</f>
        <v>172</v>
      </c>
      <c r="G1806" s="2">
        <v>41884</v>
      </c>
      <c r="H1806" s="1">
        <v>180000</v>
      </c>
      <c r="I1806" s="1">
        <v>154900</v>
      </c>
      <c r="J1806" s="1">
        <v>147000</v>
      </c>
      <c r="K1806" s="2">
        <v>41884</v>
      </c>
      <c r="L1806" s="1">
        <v>118</v>
      </c>
      <c r="M1806" s="2">
        <v>42001</v>
      </c>
      <c r="N1806" s="1">
        <v>118</v>
      </c>
      <c r="O1806" s="2">
        <v>42001</v>
      </c>
      <c r="P1806" s="1">
        <v>8758</v>
      </c>
      <c r="Q1806" s="1" t="s">
        <v>197</v>
      </c>
      <c r="R1806" s="2">
        <v>42047</v>
      </c>
      <c r="S1806" s="1">
        <v>239623</v>
      </c>
      <c r="U1806" s="1">
        <v>27</v>
      </c>
      <c r="V1806" s="1" t="s">
        <v>12306</v>
      </c>
      <c r="W1806" s="1" t="s">
        <v>425</v>
      </c>
      <c r="X1806" s="1">
        <v>413</v>
      </c>
      <c r="Y1806" s="1">
        <v>12</v>
      </c>
      <c r="Z1806" s="1" t="s">
        <v>249</v>
      </c>
      <c r="AA1806" s="1" t="s">
        <v>266</v>
      </c>
      <c r="AB1806" s="1">
        <v>60172</v>
      </c>
      <c r="AD1806" s="1" t="s">
        <v>12307</v>
      </c>
      <c r="AE1806" s="1" t="s">
        <v>16891</v>
      </c>
      <c r="AF1806" s="1">
        <v>2001</v>
      </c>
      <c r="AG1806" s="1" t="s">
        <v>204</v>
      </c>
      <c r="AH1806" s="1" t="s">
        <v>3952</v>
      </c>
      <c r="AI1806" s="1" t="s">
        <v>206</v>
      </c>
      <c r="AJ1806" s="1" t="s">
        <v>269</v>
      </c>
      <c r="AL1806" s="1">
        <v>5</v>
      </c>
      <c r="AM1806" s="1">
        <v>2</v>
      </c>
      <c r="AN1806" s="1">
        <v>1</v>
      </c>
      <c r="AO1806" s="1">
        <v>1</v>
      </c>
      <c r="AP1806" s="1" t="s">
        <v>209</v>
      </c>
      <c r="AQ1806" s="1">
        <v>1</v>
      </c>
      <c r="AR1806" s="1" t="s">
        <v>210</v>
      </c>
      <c r="AS1806" s="1" t="s">
        <v>204</v>
      </c>
      <c r="AT1806" s="1" t="s">
        <v>211</v>
      </c>
      <c r="AU1806" s="1">
        <v>2</v>
      </c>
      <c r="AW1806" s="1" t="s">
        <v>204</v>
      </c>
      <c r="AX1806" s="1" t="s">
        <v>212</v>
      </c>
      <c r="AZ1806" s="1">
        <v>3045</v>
      </c>
      <c r="BA1806" s="1">
        <v>2013</v>
      </c>
      <c r="BB1806" s="1" t="s">
        <v>405</v>
      </c>
      <c r="BE1806" s="1">
        <v>1194</v>
      </c>
      <c r="BF1806" s="1">
        <v>4</v>
      </c>
      <c r="BG1806" s="1">
        <v>0</v>
      </c>
      <c r="BL1806" s="1">
        <v>316</v>
      </c>
      <c r="BM1806" s="1" t="s">
        <v>204</v>
      </c>
      <c r="BN1806" s="1" t="s">
        <v>213</v>
      </c>
      <c r="BO1806" s="1">
        <v>30</v>
      </c>
      <c r="BP1806" s="1" t="s">
        <v>204</v>
      </c>
      <c r="BR1806" s="1" t="str">
        <f>"0203219042"</f>
        <v>0203219042</v>
      </c>
      <c r="BT1806" s="1" t="s">
        <v>16892</v>
      </c>
      <c r="BU1806" s="1" t="s">
        <v>9447</v>
      </c>
      <c r="BV1806" s="1" t="s">
        <v>9448</v>
      </c>
      <c r="BW1806" s="1" t="s">
        <v>275</v>
      </c>
      <c r="BX1806" s="1">
        <v>12</v>
      </c>
      <c r="BY1806" s="1">
        <v>12</v>
      </c>
      <c r="BZ1806" s="1">
        <v>108</v>
      </c>
      <c r="CB1806" s="1" t="str">
        <f>"7"</f>
        <v>7</v>
      </c>
      <c r="CC1806" s="1" t="str">
        <f t="shared" si="1368"/>
        <v>0</v>
      </c>
      <c r="CD1806" s="1">
        <v>23</v>
      </c>
      <c r="CE1806" s="1">
        <v>0</v>
      </c>
      <c r="CG1806" s="1" t="s">
        <v>1570</v>
      </c>
      <c r="CH1806" s="1" t="s">
        <v>219</v>
      </c>
      <c r="CI1806" s="1" t="s">
        <v>220</v>
      </c>
      <c r="CK1806" s="1" t="s">
        <v>5898</v>
      </c>
      <c r="CL1806" s="1" t="s">
        <v>219</v>
      </c>
      <c r="CM1806" s="1" t="s">
        <v>438</v>
      </c>
      <c r="CO1806" s="1" t="s">
        <v>629</v>
      </c>
      <c r="CP1806" s="1" t="s">
        <v>219</v>
      </c>
      <c r="CS1806" s="1" t="s">
        <v>564</v>
      </c>
      <c r="CT1806" s="1" t="s">
        <v>219</v>
      </c>
      <c r="CU1806" s="1" t="s">
        <v>220</v>
      </c>
      <c r="CX1806" s="1" t="s">
        <v>224</v>
      </c>
      <c r="DB1806" s="1" t="s">
        <v>224</v>
      </c>
      <c r="DE1806" s="1" t="s">
        <v>539</v>
      </c>
      <c r="DF1806" s="1" t="s">
        <v>219</v>
      </c>
      <c r="DG1806" s="1" t="s">
        <v>347</v>
      </c>
      <c r="DH1806" s="1" t="s">
        <v>210</v>
      </c>
      <c r="DJ1806" s="1" t="s">
        <v>224</v>
      </c>
      <c r="DS1806" s="1" t="s">
        <v>230</v>
      </c>
      <c r="DW1806" s="1" t="s">
        <v>230</v>
      </c>
      <c r="EA1806" s="1" t="s">
        <v>230</v>
      </c>
      <c r="EE1806" s="1" t="s">
        <v>230</v>
      </c>
      <c r="EI1806" s="1" t="s">
        <v>230</v>
      </c>
      <c r="EL1806" s="1" t="s">
        <v>466</v>
      </c>
      <c r="EM1806" s="1" t="s">
        <v>319</v>
      </c>
      <c r="EN1806" s="1" t="s">
        <v>282</v>
      </c>
      <c r="EO1806" s="1" t="s">
        <v>234</v>
      </c>
      <c r="EP1806" s="1" t="s">
        <v>10476</v>
      </c>
      <c r="EQ1806" s="1" t="s">
        <v>492</v>
      </c>
      <c r="ER1806" s="1" t="s">
        <v>210</v>
      </c>
      <c r="ES1806" s="1" t="s">
        <v>3932</v>
      </c>
      <c r="EU1806" s="1" t="s">
        <v>239</v>
      </c>
      <c r="EV1806" s="1" t="s">
        <v>240</v>
      </c>
      <c r="EW1806" s="1" t="s">
        <v>16893</v>
      </c>
      <c r="EZ1806" s="1" t="s">
        <v>287</v>
      </c>
      <c r="FA1806" s="1" t="s">
        <v>3915</v>
      </c>
      <c r="FD1806" s="1" t="s">
        <v>246</v>
      </c>
      <c r="FE1806" s="1" t="s">
        <v>247</v>
      </c>
      <c r="FF1806" s="1" t="s">
        <v>3574</v>
      </c>
      <c r="FG1806" s="1" t="s">
        <v>912</v>
      </c>
      <c r="FH1806" s="1" t="s">
        <v>249</v>
      </c>
      <c r="FI1806" s="1" t="s">
        <v>634</v>
      </c>
      <c r="FL1806" s="1" t="s">
        <v>5304</v>
      </c>
      <c r="FM1806" s="1" t="s">
        <v>252</v>
      </c>
      <c r="FN1806" s="1" t="s">
        <v>213</v>
      </c>
      <c r="FO1806" s="1" t="s">
        <v>213</v>
      </c>
      <c r="FQ1806" s="1" t="s">
        <v>2293</v>
      </c>
      <c r="FR1806" s="1" t="s">
        <v>210</v>
      </c>
      <c r="FS1806" s="1" t="s">
        <v>16894</v>
      </c>
      <c r="FT1806" s="1" t="s">
        <v>16895</v>
      </c>
      <c r="FU1806" s="1" t="s">
        <v>204</v>
      </c>
      <c r="FW1806" s="1" t="s">
        <v>1559</v>
      </c>
      <c r="FX1806" s="1">
        <v>24587</v>
      </c>
      <c r="FY1806" s="1" t="s">
        <v>6179</v>
      </c>
      <c r="FZ1806" s="1" t="s">
        <v>16896</v>
      </c>
      <c r="GA1806" s="1">
        <v>217162</v>
      </c>
      <c r="GB1806" s="1" t="s">
        <v>16897</v>
      </c>
      <c r="GC1806" s="1">
        <v>240802</v>
      </c>
      <c r="GE1806" s="1" t="s">
        <v>210</v>
      </c>
      <c r="GH1806" s="1" t="s">
        <v>800</v>
      </c>
      <c r="GI1806" s="1" t="s">
        <v>213</v>
      </c>
      <c r="GJ1806" s="1" t="s">
        <v>260</v>
      </c>
      <c r="GK1806" s="1" t="s">
        <v>210</v>
      </c>
      <c r="GL1806" s="2">
        <v>42047</v>
      </c>
      <c r="GM1806" s="1" t="s">
        <v>16898</v>
      </c>
    </row>
    <row r="1807" spans="1:195">
      <c r="A1807" s="1">
        <v>117000</v>
      </c>
      <c r="B1807" s="1" t="s">
        <v>195</v>
      </c>
      <c r="C1807" s="1" t="str">
        <f>"08713674"</f>
        <v>08713674</v>
      </c>
      <c r="D1807" s="1" t="s">
        <v>196</v>
      </c>
      <c r="F1807" s="1" t="str">
        <f t="shared" si="1369"/>
        <v>172</v>
      </c>
      <c r="G1807" s="2">
        <v>41879</v>
      </c>
      <c r="H1807" s="1">
        <v>134900</v>
      </c>
      <c r="I1807" s="1">
        <v>115000</v>
      </c>
      <c r="J1807" s="1">
        <v>117000</v>
      </c>
      <c r="K1807" s="2">
        <v>41879</v>
      </c>
      <c r="L1807" s="1">
        <v>70</v>
      </c>
      <c r="M1807" s="2">
        <v>41948</v>
      </c>
      <c r="N1807" s="1">
        <v>70</v>
      </c>
      <c r="O1807" s="2">
        <v>41948</v>
      </c>
      <c r="P1807" s="1">
        <v>8965</v>
      </c>
      <c r="Q1807" s="1" t="s">
        <v>197</v>
      </c>
      <c r="R1807" s="2">
        <v>41985</v>
      </c>
      <c r="S1807" s="1">
        <v>923030</v>
      </c>
      <c r="U1807" s="1">
        <v>1229</v>
      </c>
      <c r="V1807" s="1" t="s">
        <v>16899</v>
      </c>
      <c r="W1807" s="1" t="s">
        <v>725</v>
      </c>
      <c r="Y1807" s="1">
        <v>4</v>
      </c>
      <c r="Z1807" s="1" t="s">
        <v>249</v>
      </c>
      <c r="AA1807" s="1" t="s">
        <v>266</v>
      </c>
      <c r="AB1807" s="1">
        <v>60172</v>
      </c>
      <c r="AE1807" s="1" t="s">
        <v>16900</v>
      </c>
      <c r="AF1807" s="1">
        <v>1979</v>
      </c>
      <c r="AG1807" s="1" t="s">
        <v>204</v>
      </c>
      <c r="AH1807" s="1" t="s">
        <v>3952</v>
      </c>
      <c r="AI1807" s="1" t="s">
        <v>206</v>
      </c>
      <c r="AJ1807" s="1" t="s">
        <v>269</v>
      </c>
      <c r="AL1807" s="1">
        <v>5</v>
      </c>
      <c r="AM1807" s="1">
        <v>2</v>
      </c>
      <c r="AN1807" s="1">
        <v>1</v>
      </c>
      <c r="AO1807" s="1">
        <v>1</v>
      </c>
      <c r="AP1807" s="1" t="s">
        <v>210</v>
      </c>
      <c r="AR1807" s="1" t="s">
        <v>210</v>
      </c>
      <c r="AS1807" s="1" t="s">
        <v>204</v>
      </c>
      <c r="AT1807" s="1" t="s">
        <v>211</v>
      </c>
      <c r="AU1807" s="1">
        <v>1</v>
      </c>
      <c r="AW1807" s="1" t="s">
        <v>204</v>
      </c>
      <c r="AX1807" s="1" t="s">
        <v>16901</v>
      </c>
      <c r="AZ1807" s="1">
        <v>2485</v>
      </c>
      <c r="BA1807" s="1">
        <v>2013</v>
      </c>
      <c r="BE1807" s="1">
        <v>1152</v>
      </c>
      <c r="BF1807" s="1">
        <v>1</v>
      </c>
      <c r="BG1807" s="1">
        <v>0</v>
      </c>
      <c r="BL1807" s="1">
        <v>183</v>
      </c>
      <c r="BM1807" s="1" t="s">
        <v>204</v>
      </c>
      <c r="BN1807" s="1" t="s">
        <v>213</v>
      </c>
      <c r="BO1807" s="1" t="s">
        <v>432</v>
      </c>
      <c r="BP1807" s="1" t="s">
        <v>204</v>
      </c>
      <c r="BR1807" s="1" t="str">
        <f>"0208204035"</f>
        <v>0208204035</v>
      </c>
      <c r="BT1807" s="1" t="s">
        <v>16902</v>
      </c>
      <c r="BU1807" s="1" t="s">
        <v>273</v>
      </c>
      <c r="BV1807" s="1" t="s">
        <v>274</v>
      </c>
      <c r="BW1807" s="1" t="s">
        <v>275</v>
      </c>
      <c r="BX1807" s="1">
        <v>20</v>
      </c>
      <c r="BY1807" s="1">
        <v>20</v>
      </c>
      <c r="BZ1807" s="1">
        <v>108</v>
      </c>
      <c r="CB1807" s="1" t="str">
        <f t="shared" ref="CB1807:CC1807" si="1370">""</f>
        <v/>
      </c>
      <c r="CC1807" s="1" t="str">
        <f t="shared" si="1370"/>
        <v/>
      </c>
      <c r="CG1807" s="1" t="s">
        <v>757</v>
      </c>
      <c r="CH1807" s="1" t="s">
        <v>219</v>
      </c>
      <c r="CK1807" s="1" t="s">
        <v>669</v>
      </c>
      <c r="CL1807" s="1" t="s">
        <v>277</v>
      </c>
      <c r="CO1807" s="1" t="s">
        <v>6174</v>
      </c>
      <c r="CP1807" s="1" t="s">
        <v>219</v>
      </c>
      <c r="CS1807" s="1" t="s">
        <v>757</v>
      </c>
      <c r="CT1807" s="1" t="s">
        <v>277</v>
      </c>
      <c r="CX1807" s="1" t="s">
        <v>224</v>
      </c>
      <c r="DB1807" s="1" t="s">
        <v>224</v>
      </c>
      <c r="DE1807" s="1" t="s">
        <v>1533</v>
      </c>
      <c r="DF1807" s="1" t="s">
        <v>219</v>
      </c>
      <c r="DJ1807" s="1" t="s">
        <v>224</v>
      </c>
      <c r="DS1807" s="1" t="s">
        <v>230</v>
      </c>
      <c r="DW1807" s="1" t="s">
        <v>230</v>
      </c>
      <c r="EA1807" s="1" t="s">
        <v>230</v>
      </c>
      <c r="EE1807" s="1" t="s">
        <v>230</v>
      </c>
      <c r="EI1807" s="1" t="s">
        <v>230</v>
      </c>
      <c r="EL1807" s="1" t="s">
        <v>231</v>
      </c>
      <c r="EM1807" s="1" t="s">
        <v>319</v>
      </c>
      <c r="EN1807" s="1" t="s">
        <v>210</v>
      </c>
      <c r="EO1807" s="1" t="s">
        <v>234</v>
      </c>
      <c r="ER1807" s="1" t="s">
        <v>210</v>
      </c>
      <c r="EW1807" s="1" t="s">
        <v>867</v>
      </c>
      <c r="EZ1807" s="1" t="s">
        <v>287</v>
      </c>
      <c r="FD1807" s="1" t="s">
        <v>246</v>
      </c>
      <c r="FE1807" s="1" t="s">
        <v>496</v>
      </c>
      <c r="FF1807" s="1" t="s">
        <v>248</v>
      </c>
      <c r="FH1807" s="1" t="s">
        <v>550</v>
      </c>
      <c r="FL1807" s="1" t="s">
        <v>358</v>
      </c>
      <c r="FM1807" s="1" t="s">
        <v>252</v>
      </c>
      <c r="FN1807" s="1" t="s">
        <v>213</v>
      </c>
      <c r="FO1807" s="1" t="s">
        <v>213</v>
      </c>
      <c r="FQ1807" s="1" t="s">
        <v>689</v>
      </c>
      <c r="FR1807" s="1" t="s">
        <v>210</v>
      </c>
      <c r="FS1807" s="1" t="s">
        <v>8256</v>
      </c>
      <c r="FT1807" s="1" t="s">
        <v>584</v>
      </c>
      <c r="FU1807" s="1" t="s">
        <v>204</v>
      </c>
      <c r="FW1807" s="1" t="s">
        <v>8257</v>
      </c>
      <c r="FX1807" s="1">
        <v>16339</v>
      </c>
      <c r="FY1807" s="1" t="s">
        <v>8258</v>
      </c>
      <c r="FZ1807" s="1" t="s">
        <v>16836</v>
      </c>
      <c r="GA1807" s="1">
        <v>106496</v>
      </c>
      <c r="GC1807" s="1">
        <v>165879</v>
      </c>
      <c r="GE1807" s="1" t="s">
        <v>210</v>
      </c>
      <c r="GI1807" s="1" t="s">
        <v>204</v>
      </c>
      <c r="GJ1807" s="1" t="s">
        <v>260</v>
      </c>
      <c r="GK1807" s="1" t="s">
        <v>210</v>
      </c>
      <c r="GL1807" s="2">
        <v>41988</v>
      </c>
      <c r="GM1807" s="1" t="s">
        <v>16903</v>
      </c>
    </row>
    <row r="1808" spans="1:195">
      <c r="A1808" s="1">
        <v>142000</v>
      </c>
      <c r="B1808" s="1" t="s">
        <v>195</v>
      </c>
      <c r="C1808" s="1" t="str">
        <f>"08714100"</f>
        <v>08714100</v>
      </c>
      <c r="D1808" s="1" t="s">
        <v>196</v>
      </c>
      <c r="F1808" s="1" t="str">
        <f>"19"</f>
        <v>19</v>
      </c>
      <c r="G1808" s="2">
        <v>41879</v>
      </c>
      <c r="H1808" s="1">
        <v>154900</v>
      </c>
      <c r="I1808" s="1">
        <v>154900</v>
      </c>
      <c r="J1808" s="1">
        <v>142000</v>
      </c>
      <c r="K1808" s="2">
        <v>41879</v>
      </c>
      <c r="L1808" s="1">
        <v>88</v>
      </c>
      <c r="M1808" s="2">
        <v>41966</v>
      </c>
      <c r="N1808" s="1">
        <v>88</v>
      </c>
      <c r="O1808" s="2">
        <v>41966</v>
      </c>
      <c r="P1808" s="1">
        <v>5153</v>
      </c>
      <c r="Q1808" s="1" t="s">
        <v>197</v>
      </c>
      <c r="R1808" s="2">
        <v>42034</v>
      </c>
      <c r="S1808" s="1">
        <v>55110</v>
      </c>
      <c r="U1808" s="1">
        <v>113</v>
      </c>
      <c r="V1808" s="1" t="s">
        <v>12424</v>
      </c>
      <c r="W1808" s="1" t="s">
        <v>304</v>
      </c>
      <c r="Y1808" s="1">
        <v>4</v>
      </c>
      <c r="Z1808" s="1" t="s">
        <v>200</v>
      </c>
      <c r="AA1808" s="1" t="s">
        <v>1013</v>
      </c>
      <c r="AB1808" s="1">
        <v>60020</v>
      </c>
      <c r="AD1808" s="1" t="s">
        <v>12425</v>
      </c>
      <c r="AE1808" s="1" t="s">
        <v>16904</v>
      </c>
      <c r="AF1808" s="1">
        <v>2004</v>
      </c>
      <c r="AG1808" s="1" t="s">
        <v>204</v>
      </c>
      <c r="AH1808" s="1" t="s">
        <v>1015</v>
      </c>
      <c r="AI1808" s="1" t="s">
        <v>509</v>
      </c>
      <c r="AJ1808" s="1" t="s">
        <v>1016</v>
      </c>
      <c r="AK1808" s="1" t="s">
        <v>16905</v>
      </c>
      <c r="AL1808" s="1">
        <v>5</v>
      </c>
      <c r="AM1808" s="1">
        <v>2</v>
      </c>
      <c r="AN1808" s="1">
        <v>2</v>
      </c>
      <c r="AO1808" s="1">
        <v>1</v>
      </c>
      <c r="AP1808" s="1" t="s">
        <v>209</v>
      </c>
      <c r="AR1808" s="1" t="s">
        <v>209</v>
      </c>
      <c r="AS1808" s="1" t="s">
        <v>204</v>
      </c>
      <c r="AT1808" s="1" t="s">
        <v>375</v>
      </c>
      <c r="AU1808" s="1">
        <v>2</v>
      </c>
      <c r="AV1808" s="1">
        <v>2</v>
      </c>
      <c r="AW1808" s="1" t="s">
        <v>204</v>
      </c>
      <c r="AX1808" s="1" t="s">
        <v>16906</v>
      </c>
      <c r="AZ1808" s="1">
        <v>4199</v>
      </c>
      <c r="BA1808" s="1">
        <v>2012</v>
      </c>
      <c r="BE1808" s="1">
        <v>1725</v>
      </c>
      <c r="BF1808" s="1">
        <v>1</v>
      </c>
      <c r="BG1808" s="1">
        <v>0</v>
      </c>
      <c r="BL1808" s="1">
        <v>177</v>
      </c>
      <c r="BM1808" s="1" t="s">
        <v>204</v>
      </c>
      <c r="BN1808" s="1" t="s">
        <v>213</v>
      </c>
      <c r="BO1808" s="1">
        <v>999</v>
      </c>
      <c r="BP1808" s="1" t="s">
        <v>204</v>
      </c>
      <c r="BR1808" s="1" t="str">
        <f>"05224011340000"</f>
        <v>05224011340000</v>
      </c>
      <c r="BT1808" s="1" t="s">
        <v>16907</v>
      </c>
      <c r="BU1808" s="1" t="s">
        <v>6153</v>
      </c>
      <c r="BV1808" s="1" t="s">
        <v>6488</v>
      </c>
      <c r="BX1808" s="1">
        <v>38</v>
      </c>
      <c r="BY1808" s="1">
        <v>38</v>
      </c>
      <c r="BZ1808" s="1">
        <v>124</v>
      </c>
      <c r="CB1808" s="1" t="str">
        <f t="shared" ref="CB1808:CC1808" si="1371">""</f>
        <v/>
      </c>
      <c r="CC1808" s="1" t="str">
        <f t="shared" si="1371"/>
        <v/>
      </c>
      <c r="CG1808" s="1" t="s">
        <v>1403</v>
      </c>
      <c r="CH1808" s="1" t="s">
        <v>219</v>
      </c>
      <c r="CI1808" s="1" t="s">
        <v>438</v>
      </c>
      <c r="CJ1808" s="1" t="s">
        <v>343</v>
      </c>
      <c r="CK1808" s="1" t="s">
        <v>4225</v>
      </c>
      <c r="CL1808" s="1" t="s">
        <v>277</v>
      </c>
      <c r="CM1808" s="1" t="s">
        <v>220</v>
      </c>
      <c r="CN1808" s="1" t="s">
        <v>909</v>
      </c>
      <c r="CO1808" s="1" t="s">
        <v>1469</v>
      </c>
      <c r="CP1808" s="1" t="s">
        <v>219</v>
      </c>
      <c r="CQ1808" s="1" t="s">
        <v>438</v>
      </c>
      <c r="CR1808" s="1" t="s">
        <v>439</v>
      </c>
      <c r="CS1808" s="1" t="s">
        <v>1469</v>
      </c>
      <c r="CT1808" s="1" t="s">
        <v>277</v>
      </c>
      <c r="CU1808" s="1" t="s">
        <v>220</v>
      </c>
      <c r="CV1808" s="1" t="s">
        <v>909</v>
      </c>
      <c r="CX1808" s="1" t="s">
        <v>224</v>
      </c>
      <c r="DB1808" s="1" t="s">
        <v>224</v>
      </c>
      <c r="DE1808" s="1" t="s">
        <v>408</v>
      </c>
      <c r="DF1808" s="1" t="s">
        <v>219</v>
      </c>
      <c r="DG1808" s="1" t="s">
        <v>342</v>
      </c>
      <c r="DH1808" s="1" t="s">
        <v>210</v>
      </c>
      <c r="DJ1808" s="1" t="s">
        <v>224</v>
      </c>
      <c r="DM1808" s="1" t="s">
        <v>347</v>
      </c>
      <c r="DN1808" s="1" t="s">
        <v>838</v>
      </c>
      <c r="DR1808" s="1" t="s">
        <v>278</v>
      </c>
      <c r="DS1808" s="1" t="s">
        <v>219</v>
      </c>
      <c r="DT1808" s="1" t="s">
        <v>438</v>
      </c>
      <c r="DU1808" s="1" t="s">
        <v>343</v>
      </c>
      <c r="DV1808" s="1" t="s">
        <v>1107</v>
      </c>
      <c r="DW1808" s="1" t="s">
        <v>277</v>
      </c>
      <c r="DX1808" s="1" t="s">
        <v>220</v>
      </c>
      <c r="DY1808" s="1" t="s">
        <v>343</v>
      </c>
      <c r="EA1808" s="1" t="s">
        <v>230</v>
      </c>
      <c r="EE1808" s="1" t="s">
        <v>230</v>
      </c>
      <c r="EI1808" s="1" t="s">
        <v>230</v>
      </c>
      <c r="EL1808" s="1" t="s">
        <v>491</v>
      </c>
      <c r="EM1808" s="1" t="s">
        <v>319</v>
      </c>
      <c r="EN1808" s="1" t="s">
        <v>282</v>
      </c>
      <c r="EO1808" s="1" t="s">
        <v>234</v>
      </c>
      <c r="EQ1808" s="1" t="s">
        <v>236</v>
      </c>
      <c r="ER1808" s="1" t="s">
        <v>1249</v>
      </c>
      <c r="ES1808" s="1" t="s">
        <v>493</v>
      </c>
      <c r="ET1808" s="1" t="s">
        <v>1161</v>
      </c>
      <c r="EU1808" s="1" t="s">
        <v>1110</v>
      </c>
      <c r="EW1808" s="1" t="s">
        <v>867</v>
      </c>
      <c r="EY1808" s="1" t="s">
        <v>790</v>
      </c>
      <c r="EZ1808" s="1" t="s">
        <v>16908</v>
      </c>
      <c r="FB1808" s="1" t="s">
        <v>289</v>
      </c>
      <c r="FC1808" s="1" t="s">
        <v>548</v>
      </c>
      <c r="FD1808" s="1" t="s">
        <v>246</v>
      </c>
      <c r="FE1808" s="1" t="s">
        <v>2074</v>
      </c>
      <c r="FF1808" s="1" t="s">
        <v>248</v>
      </c>
      <c r="FH1808" s="1" t="s">
        <v>550</v>
      </c>
      <c r="FI1808" s="1" t="s">
        <v>473</v>
      </c>
      <c r="FJ1808" s="1" t="s">
        <v>197</v>
      </c>
      <c r="FK1808" s="1" t="s">
        <v>768</v>
      </c>
      <c r="FL1808" s="1" t="s">
        <v>358</v>
      </c>
      <c r="FM1808" s="1" t="s">
        <v>252</v>
      </c>
      <c r="FN1808" s="1" t="s">
        <v>213</v>
      </c>
      <c r="FO1808" s="1" t="s">
        <v>204</v>
      </c>
      <c r="FQ1808" s="1" t="s">
        <v>673</v>
      </c>
      <c r="FR1808" s="1" t="s">
        <v>210</v>
      </c>
      <c r="FS1808" s="1" t="s">
        <v>16909</v>
      </c>
      <c r="FT1808" s="1" t="s">
        <v>1139</v>
      </c>
      <c r="FU1808" s="1" t="s">
        <v>204</v>
      </c>
      <c r="FW1808" s="1" t="s">
        <v>813</v>
      </c>
      <c r="FX1808" s="1">
        <v>5170</v>
      </c>
      <c r="FY1808" s="1" t="s">
        <v>9000</v>
      </c>
      <c r="FZ1808" s="1" t="s">
        <v>16910</v>
      </c>
      <c r="GA1808" s="1">
        <v>55597</v>
      </c>
      <c r="GE1808" s="1" t="s">
        <v>1256</v>
      </c>
      <c r="GI1808" s="1" t="s">
        <v>213</v>
      </c>
      <c r="GJ1808" s="1" t="s">
        <v>260</v>
      </c>
      <c r="GK1808" s="1" t="s">
        <v>261</v>
      </c>
      <c r="GL1808" s="2">
        <v>42034</v>
      </c>
      <c r="GM1808" s="1" t="s">
        <v>16911</v>
      </c>
    </row>
    <row r="1809" spans="1:195">
      <c r="A1809" s="1">
        <v>167000</v>
      </c>
      <c r="B1809" s="1" t="s">
        <v>195</v>
      </c>
      <c r="C1809" s="1" t="str">
        <f>"08722252"</f>
        <v>08722252</v>
      </c>
      <c r="D1809" s="1" t="s">
        <v>196</v>
      </c>
      <c r="F1809" s="1" t="str">
        <f>"191"</f>
        <v>191</v>
      </c>
      <c r="G1809" s="2">
        <v>41890</v>
      </c>
      <c r="H1809" s="1">
        <v>219900</v>
      </c>
      <c r="I1809" s="1">
        <v>185900</v>
      </c>
      <c r="J1809" s="1">
        <v>167000</v>
      </c>
      <c r="K1809" s="2">
        <v>41890</v>
      </c>
      <c r="L1809" s="1">
        <v>50</v>
      </c>
      <c r="M1809" s="2">
        <v>41939</v>
      </c>
      <c r="N1809" s="1">
        <v>50</v>
      </c>
      <c r="O1809" s="2">
        <v>41939</v>
      </c>
      <c r="P1809" s="1">
        <v>24929</v>
      </c>
      <c r="Q1809" s="1" t="s">
        <v>197</v>
      </c>
      <c r="R1809" s="2">
        <v>41982</v>
      </c>
      <c r="S1809" s="1">
        <v>235281</v>
      </c>
      <c r="U1809" s="1">
        <v>465</v>
      </c>
      <c r="V1809" s="1" t="s">
        <v>8067</v>
      </c>
      <c r="W1809" s="1" t="s">
        <v>264</v>
      </c>
      <c r="X1809" s="1">
        <v>1510</v>
      </c>
      <c r="Y1809" s="1">
        <v>134</v>
      </c>
      <c r="Z1809" s="1" t="s">
        <v>249</v>
      </c>
      <c r="AA1809" s="1" t="s">
        <v>1966</v>
      </c>
      <c r="AB1809" s="1">
        <v>60191</v>
      </c>
      <c r="AD1809" s="1" t="s">
        <v>16912</v>
      </c>
      <c r="AE1809" s="1" t="s">
        <v>16913</v>
      </c>
      <c r="AF1809" s="1">
        <v>1974</v>
      </c>
      <c r="AG1809" s="1" t="s">
        <v>213</v>
      </c>
      <c r="AH1809" s="1" t="s">
        <v>1969</v>
      </c>
      <c r="AI1809" s="1" t="s">
        <v>206</v>
      </c>
      <c r="AJ1809" s="1" t="s">
        <v>1233</v>
      </c>
      <c r="AK1809" s="1" t="s">
        <v>9373</v>
      </c>
      <c r="AL1809" s="1">
        <v>7</v>
      </c>
      <c r="AM1809" s="1">
        <v>2</v>
      </c>
      <c r="AN1809" s="1">
        <v>2</v>
      </c>
      <c r="AO1809" s="1">
        <v>1</v>
      </c>
      <c r="AP1809" s="1" t="s">
        <v>209</v>
      </c>
      <c r="AR1809" s="1" t="s">
        <v>210</v>
      </c>
      <c r="AS1809" s="1" t="s">
        <v>204</v>
      </c>
      <c r="AT1809" s="1" t="s">
        <v>211</v>
      </c>
      <c r="AU1809" s="1">
        <v>2</v>
      </c>
      <c r="AW1809" s="1" t="s">
        <v>204</v>
      </c>
      <c r="AX1809" s="1" t="s">
        <v>212</v>
      </c>
      <c r="AZ1809" s="1">
        <v>3971.24</v>
      </c>
      <c r="BA1809" s="1">
        <v>2013</v>
      </c>
      <c r="BB1809" s="1" t="s">
        <v>2694</v>
      </c>
      <c r="BE1809" s="1">
        <v>2800</v>
      </c>
      <c r="BF1809" s="1">
        <v>15</v>
      </c>
      <c r="BG1809" s="1">
        <v>30</v>
      </c>
      <c r="BL1809" s="1">
        <v>540</v>
      </c>
      <c r="BM1809" s="1" t="s">
        <v>204</v>
      </c>
      <c r="BN1809" s="1" t="s">
        <v>213</v>
      </c>
      <c r="BP1809" s="1" t="s">
        <v>204</v>
      </c>
      <c r="BR1809" s="1" t="str">
        <f>"0321113134"</f>
        <v>0321113134</v>
      </c>
      <c r="BT1809" s="1" t="s">
        <v>16914</v>
      </c>
      <c r="BU1809" s="1" t="s">
        <v>2719</v>
      </c>
      <c r="BV1809" s="1" t="s">
        <v>2720</v>
      </c>
      <c r="BX1809" s="1">
        <v>4</v>
      </c>
      <c r="BY1809" s="1">
        <v>4</v>
      </c>
      <c r="BZ1809" s="1">
        <v>4</v>
      </c>
      <c r="CB1809" s="1" t="str">
        <f t="shared" ref="CB1809:CC1809" si="1372">""</f>
        <v/>
      </c>
      <c r="CC1809" s="1" t="str">
        <f t="shared" si="1372"/>
        <v/>
      </c>
      <c r="CG1809" s="1" t="s">
        <v>6531</v>
      </c>
      <c r="CH1809" s="1" t="s">
        <v>219</v>
      </c>
      <c r="CI1809" s="1" t="s">
        <v>5665</v>
      </c>
      <c r="CJ1809" s="1" t="s">
        <v>463</v>
      </c>
      <c r="CK1809" s="1" t="s">
        <v>9891</v>
      </c>
      <c r="CL1809" s="1" t="s">
        <v>277</v>
      </c>
      <c r="CM1809" s="1" t="s">
        <v>220</v>
      </c>
      <c r="CN1809" s="1" t="s">
        <v>210</v>
      </c>
      <c r="CO1809" s="1" t="s">
        <v>221</v>
      </c>
      <c r="CP1809" s="1" t="s">
        <v>219</v>
      </c>
      <c r="CQ1809" s="1" t="s">
        <v>5665</v>
      </c>
      <c r="CR1809" s="1" t="s">
        <v>210</v>
      </c>
      <c r="CS1809" s="1" t="s">
        <v>461</v>
      </c>
      <c r="CT1809" s="1" t="s">
        <v>277</v>
      </c>
      <c r="CU1809" s="1" t="s">
        <v>220</v>
      </c>
      <c r="CV1809" s="1" t="s">
        <v>210</v>
      </c>
      <c r="CX1809" s="1" t="s">
        <v>224</v>
      </c>
      <c r="DB1809" s="1" t="s">
        <v>224</v>
      </c>
      <c r="DE1809" s="1" t="s">
        <v>2138</v>
      </c>
      <c r="DF1809" s="1" t="s">
        <v>219</v>
      </c>
      <c r="DG1809" s="1" t="s">
        <v>226</v>
      </c>
      <c r="DH1809" s="1" t="s">
        <v>210</v>
      </c>
      <c r="DJ1809" s="1" t="s">
        <v>224</v>
      </c>
      <c r="DM1809" s="1" t="s">
        <v>1005</v>
      </c>
      <c r="DN1809" s="1" t="s">
        <v>1548</v>
      </c>
      <c r="DR1809" s="1" t="s">
        <v>932</v>
      </c>
      <c r="DS1809" s="1" t="s">
        <v>219</v>
      </c>
      <c r="DT1809" s="1" t="s">
        <v>220</v>
      </c>
      <c r="DU1809" s="1" t="s">
        <v>210</v>
      </c>
      <c r="DV1809" s="1" t="s">
        <v>465</v>
      </c>
      <c r="DW1809" s="1" t="s">
        <v>219</v>
      </c>
      <c r="DX1809" s="1" t="s">
        <v>5665</v>
      </c>
      <c r="DY1809" s="1" t="s">
        <v>210</v>
      </c>
      <c r="EA1809" s="1" t="s">
        <v>230</v>
      </c>
      <c r="EE1809" s="1" t="s">
        <v>230</v>
      </c>
      <c r="EI1809" s="1" t="s">
        <v>230</v>
      </c>
      <c r="EL1809" s="1" t="s">
        <v>231</v>
      </c>
      <c r="EM1809" s="1" t="s">
        <v>730</v>
      </c>
      <c r="EN1809" s="1" t="s">
        <v>282</v>
      </c>
      <c r="EO1809" s="1" t="s">
        <v>234</v>
      </c>
      <c r="EP1809" s="1" t="s">
        <v>16915</v>
      </c>
      <c r="EQ1809" s="1" t="s">
        <v>468</v>
      </c>
      <c r="ER1809" s="1" t="s">
        <v>210</v>
      </c>
      <c r="ES1809" s="1" t="s">
        <v>545</v>
      </c>
      <c r="ET1809" s="1" t="s">
        <v>16916</v>
      </c>
      <c r="EV1809" s="1" t="s">
        <v>324</v>
      </c>
      <c r="EW1809" s="1" t="s">
        <v>16917</v>
      </c>
      <c r="EZ1809" s="1" t="s">
        <v>12207</v>
      </c>
      <c r="FA1809" s="1" t="s">
        <v>1427</v>
      </c>
      <c r="FC1809" s="1" t="s">
        <v>735</v>
      </c>
      <c r="FD1809" s="1" t="s">
        <v>736</v>
      </c>
      <c r="FE1809" s="1" t="s">
        <v>16918</v>
      </c>
      <c r="FF1809" s="1" t="s">
        <v>248</v>
      </c>
      <c r="FH1809" s="1" t="s">
        <v>2432</v>
      </c>
      <c r="FJ1809" s="1" t="s">
        <v>1472</v>
      </c>
      <c r="FL1809" s="1" t="s">
        <v>292</v>
      </c>
      <c r="FM1809" s="1" t="s">
        <v>252</v>
      </c>
      <c r="FN1809" s="1" t="s">
        <v>213</v>
      </c>
      <c r="FO1809" s="1" t="s">
        <v>213</v>
      </c>
      <c r="FQ1809" s="1" t="s">
        <v>16919</v>
      </c>
      <c r="FR1809" s="1" t="s">
        <v>210</v>
      </c>
      <c r="FS1809" s="1" t="s">
        <v>16920</v>
      </c>
      <c r="FT1809" s="1" t="s">
        <v>16921</v>
      </c>
      <c r="FU1809" s="1" t="s">
        <v>204</v>
      </c>
      <c r="FW1809" s="1" t="s">
        <v>915</v>
      </c>
      <c r="FX1809" s="1">
        <v>24042</v>
      </c>
      <c r="FY1809" s="1" t="s">
        <v>8521</v>
      </c>
      <c r="FZ1809" s="1" t="s">
        <v>8522</v>
      </c>
      <c r="GA1809" s="1">
        <v>245362</v>
      </c>
      <c r="GB1809" s="1" t="s">
        <v>8523</v>
      </c>
      <c r="GC1809" s="1">
        <v>225521</v>
      </c>
      <c r="GD1809" s="1" t="s">
        <v>16922</v>
      </c>
      <c r="GE1809" s="1" t="s">
        <v>776</v>
      </c>
      <c r="GI1809" s="1" t="s">
        <v>213</v>
      </c>
      <c r="GJ1809" s="1" t="s">
        <v>260</v>
      </c>
      <c r="GK1809" s="1" t="s">
        <v>210</v>
      </c>
      <c r="GL1809" s="2">
        <v>41983</v>
      </c>
      <c r="GM1809" s="1" t="s">
        <v>16923</v>
      </c>
    </row>
    <row r="1810" spans="1:195">
      <c r="A1810" s="1">
        <v>157000</v>
      </c>
      <c r="B1810" s="1" t="s">
        <v>195</v>
      </c>
      <c r="C1810" s="1" t="str">
        <f>"08717769"</f>
        <v>08717769</v>
      </c>
      <c r="D1810" s="1" t="s">
        <v>196</v>
      </c>
      <c r="F1810" s="1" t="str">
        <f>"8041"</f>
        <v>8041</v>
      </c>
      <c r="G1810" s="2">
        <v>41885</v>
      </c>
      <c r="H1810" s="1">
        <v>199900</v>
      </c>
      <c r="I1810" s="1">
        <v>139500</v>
      </c>
      <c r="J1810" s="1">
        <v>157000</v>
      </c>
      <c r="K1810" s="2">
        <v>41885</v>
      </c>
      <c r="L1810" s="1">
        <v>129</v>
      </c>
      <c r="M1810" s="2">
        <v>42013</v>
      </c>
      <c r="N1810" s="1">
        <v>129</v>
      </c>
      <c r="O1810" s="2">
        <v>42013</v>
      </c>
      <c r="P1810" s="1">
        <v>14703</v>
      </c>
      <c r="Q1810" s="1" t="s">
        <v>302</v>
      </c>
      <c r="R1810" s="2">
        <v>42059</v>
      </c>
      <c r="S1810" s="1">
        <v>188925</v>
      </c>
      <c r="U1810" s="1">
        <v>5842</v>
      </c>
      <c r="V1810" s="1" t="s">
        <v>16924</v>
      </c>
      <c r="W1810" s="1" t="s">
        <v>425</v>
      </c>
      <c r="X1810" s="1" t="s">
        <v>12982</v>
      </c>
      <c r="Y1810" s="1">
        <v>120</v>
      </c>
      <c r="Z1810" s="1" t="s">
        <v>2811</v>
      </c>
      <c r="AA1810" s="1" t="s">
        <v>400</v>
      </c>
      <c r="AB1810" s="1">
        <v>60637</v>
      </c>
      <c r="AE1810" s="1" t="s">
        <v>16925</v>
      </c>
      <c r="AF1810" s="1">
        <v>1920</v>
      </c>
      <c r="AG1810" s="1" t="s">
        <v>213</v>
      </c>
      <c r="AH1810" s="1" t="s">
        <v>403</v>
      </c>
      <c r="AI1810" s="1" t="s">
        <v>310</v>
      </c>
      <c r="AJ1810" s="1" t="s">
        <v>562</v>
      </c>
      <c r="AL1810" s="1">
        <v>5</v>
      </c>
      <c r="AM1810" s="1">
        <v>2</v>
      </c>
      <c r="AN1810" s="1">
        <v>2</v>
      </c>
      <c r="AO1810" s="1">
        <v>0</v>
      </c>
      <c r="AP1810" s="1" t="s">
        <v>209</v>
      </c>
      <c r="AR1810" s="1" t="s">
        <v>209</v>
      </c>
      <c r="AS1810" s="1" t="s">
        <v>204</v>
      </c>
      <c r="AT1810" s="1" t="s">
        <v>210</v>
      </c>
      <c r="AW1810" s="1" t="s">
        <v>204</v>
      </c>
      <c r="AX1810" s="1" t="s">
        <v>212</v>
      </c>
      <c r="AZ1810" s="1">
        <v>1919</v>
      </c>
      <c r="BA1810" s="1">
        <v>2012</v>
      </c>
      <c r="BE1810" s="1">
        <v>1400</v>
      </c>
      <c r="BF1810" s="1">
        <v>5</v>
      </c>
      <c r="BG1810" s="1">
        <v>30</v>
      </c>
      <c r="BL1810" s="1">
        <v>1086</v>
      </c>
      <c r="BM1810" s="1" t="s">
        <v>213</v>
      </c>
      <c r="BN1810" s="1" t="s">
        <v>213</v>
      </c>
      <c r="BO1810" s="1">
        <v>100</v>
      </c>
      <c r="BP1810" s="1" t="s">
        <v>204</v>
      </c>
      <c r="BR1810" s="1" t="str">
        <f>"20142230320000"</f>
        <v>20142230320000</v>
      </c>
      <c r="BT1810" s="1" t="s">
        <v>16926</v>
      </c>
      <c r="BX1810" s="1">
        <v>299</v>
      </c>
      <c r="BY1810" s="1">
        <v>299</v>
      </c>
      <c r="BZ1810" s="1">
        <v>299</v>
      </c>
      <c r="CB1810" s="1" t="str">
        <f>"0"</f>
        <v>0</v>
      </c>
      <c r="CC1810" s="1" t="str">
        <f>"1600"</f>
        <v>1600</v>
      </c>
      <c r="CD1810" s="1">
        <v>0</v>
      </c>
      <c r="CE1810" s="1">
        <v>5842</v>
      </c>
      <c r="CG1810" s="1" t="s">
        <v>4795</v>
      </c>
      <c r="CH1810" s="1" t="s">
        <v>219</v>
      </c>
      <c r="CK1810" s="1" t="s">
        <v>223</v>
      </c>
      <c r="CL1810" s="1" t="s">
        <v>219</v>
      </c>
      <c r="CO1810" s="1" t="s">
        <v>2935</v>
      </c>
      <c r="CP1810" s="1" t="s">
        <v>219</v>
      </c>
      <c r="CS1810" s="1" t="s">
        <v>1297</v>
      </c>
      <c r="CT1810" s="1" t="s">
        <v>219</v>
      </c>
      <c r="CX1810" s="1" t="s">
        <v>224</v>
      </c>
      <c r="DB1810" s="1" t="s">
        <v>224</v>
      </c>
      <c r="DE1810" s="1" t="s">
        <v>346</v>
      </c>
      <c r="DF1810" s="1" t="s">
        <v>219</v>
      </c>
      <c r="DJ1810" s="1" t="s">
        <v>224</v>
      </c>
      <c r="DS1810" s="1" t="s">
        <v>230</v>
      </c>
      <c r="DW1810" s="1" t="s">
        <v>230</v>
      </c>
      <c r="EA1810" s="1" t="s">
        <v>230</v>
      </c>
      <c r="EE1810" s="1" t="s">
        <v>230</v>
      </c>
      <c r="EI1810" s="1" t="s">
        <v>230</v>
      </c>
      <c r="EL1810" s="1" t="s">
        <v>2521</v>
      </c>
      <c r="EM1810" s="1" t="s">
        <v>232</v>
      </c>
      <c r="EN1810" s="1" t="s">
        <v>1158</v>
      </c>
      <c r="EO1810" s="1" t="s">
        <v>234</v>
      </c>
      <c r="EQ1810" s="1" t="s">
        <v>350</v>
      </c>
      <c r="ER1810" s="1" t="s">
        <v>1249</v>
      </c>
      <c r="EW1810" s="1" t="s">
        <v>16927</v>
      </c>
      <c r="EZ1810" s="1" t="s">
        <v>287</v>
      </c>
      <c r="FD1810" s="1" t="s">
        <v>246</v>
      </c>
      <c r="FE1810" s="1" t="s">
        <v>247</v>
      </c>
      <c r="FF1810" s="1" t="s">
        <v>248</v>
      </c>
      <c r="FH1810" s="1" t="s">
        <v>347</v>
      </c>
      <c r="FL1810" s="1" t="s">
        <v>2370</v>
      </c>
      <c r="FM1810" s="1" t="s">
        <v>252</v>
      </c>
      <c r="FN1810" s="1" t="s">
        <v>213</v>
      </c>
      <c r="FO1810" s="1" t="s">
        <v>213</v>
      </c>
      <c r="FQ1810" s="1" t="s">
        <v>582</v>
      </c>
      <c r="FR1810" s="1" t="s">
        <v>210</v>
      </c>
      <c r="FS1810" s="1" t="s">
        <v>16928</v>
      </c>
      <c r="FT1810" s="1" t="s">
        <v>295</v>
      </c>
      <c r="FU1810" s="1" t="s">
        <v>204</v>
      </c>
      <c r="FW1810" s="1" t="s">
        <v>1652</v>
      </c>
      <c r="FX1810" s="1">
        <v>85646</v>
      </c>
      <c r="FY1810" s="1" t="s">
        <v>6107</v>
      </c>
      <c r="FZ1810" s="1" t="s">
        <v>13363</v>
      </c>
      <c r="GA1810" s="1">
        <v>116152</v>
      </c>
      <c r="GB1810" s="1" t="s">
        <v>6107</v>
      </c>
      <c r="GE1810" s="1" t="s">
        <v>2504</v>
      </c>
      <c r="GH1810" s="1" t="s">
        <v>421</v>
      </c>
      <c r="GI1810" s="1" t="s">
        <v>213</v>
      </c>
      <c r="GJ1810" s="1" t="s">
        <v>260</v>
      </c>
      <c r="GK1810" s="1" t="s">
        <v>210</v>
      </c>
      <c r="GL1810" s="2">
        <v>42060</v>
      </c>
    </row>
    <row r="1811" spans="1:195">
      <c r="A1811" s="1">
        <v>280000</v>
      </c>
      <c r="B1811" s="1" t="s">
        <v>195</v>
      </c>
      <c r="C1811" s="1" t="str">
        <f>"08715342"</f>
        <v>08715342</v>
      </c>
      <c r="D1811" s="1" t="s">
        <v>196</v>
      </c>
      <c r="F1811" s="1" t="str">
        <f>"174"</f>
        <v>174</v>
      </c>
      <c r="G1811" s="2">
        <v>41881</v>
      </c>
      <c r="H1811" s="1">
        <v>300000</v>
      </c>
      <c r="I1811" s="1">
        <v>300000</v>
      </c>
      <c r="J1811" s="1">
        <v>280000</v>
      </c>
      <c r="K1811" s="2">
        <v>41881</v>
      </c>
      <c r="L1811" s="1">
        <v>112</v>
      </c>
      <c r="M1811" s="2">
        <v>41914</v>
      </c>
      <c r="N1811" s="1">
        <v>34</v>
      </c>
      <c r="O1811" s="2">
        <v>41914</v>
      </c>
      <c r="P1811" s="1">
        <v>25083</v>
      </c>
      <c r="Q1811" s="1" t="s">
        <v>197</v>
      </c>
      <c r="R1811" s="2">
        <v>41975</v>
      </c>
      <c r="S1811" s="1">
        <v>250887</v>
      </c>
      <c r="U1811" s="1">
        <v>109</v>
      </c>
      <c r="V1811" s="1" t="s">
        <v>16929</v>
      </c>
      <c r="W1811" s="1" t="s">
        <v>304</v>
      </c>
      <c r="X1811" s="1">
        <v>109</v>
      </c>
      <c r="Y1811" s="1">
        <v>2</v>
      </c>
      <c r="Z1811" s="1" t="s">
        <v>370</v>
      </c>
      <c r="AA1811" s="1" t="s">
        <v>879</v>
      </c>
      <c r="AB1811" s="1">
        <v>60174</v>
      </c>
      <c r="AD1811" s="1" t="s">
        <v>13797</v>
      </c>
      <c r="AE1811" s="1" t="s">
        <v>16930</v>
      </c>
      <c r="AF1811" s="1">
        <v>1987</v>
      </c>
      <c r="AG1811" s="1" t="s">
        <v>204</v>
      </c>
      <c r="AH1811" s="1" t="s">
        <v>883</v>
      </c>
      <c r="AI1811" s="1" t="s">
        <v>665</v>
      </c>
      <c r="AJ1811" s="1" t="s">
        <v>883</v>
      </c>
      <c r="AL1811" s="1">
        <v>9</v>
      </c>
      <c r="AM1811" s="1">
        <v>2</v>
      </c>
      <c r="AN1811" s="1">
        <v>3</v>
      </c>
      <c r="AO1811" s="1">
        <v>0</v>
      </c>
      <c r="AP1811" s="1" t="s">
        <v>209</v>
      </c>
      <c r="AQ1811" s="1">
        <v>1</v>
      </c>
      <c r="AR1811" s="1" t="s">
        <v>209</v>
      </c>
      <c r="AS1811" s="1" t="s">
        <v>213</v>
      </c>
      <c r="AT1811" s="1" t="s">
        <v>211</v>
      </c>
      <c r="AU1811" s="1">
        <v>2</v>
      </c>
      <c r="AW1811" s="1" t="s">
        <v>204</v>
      </c>
      <c r="AX1811" s="1" t="s">
        <v>16931</v>
      </c>
      <c r="AZ1811" s="1">
        <v>8934.6200000000008</v>
      </c>
      <c r="BA1811" s="1">
        <v>2013</v>
      </c>
      <c r="BB1811" s="1" t="s">
        <v>210</v>
      </c>
      <c r="BE1811" s="1">
        <v>1744</v>
      </c>
      <c r="BF1811" s="1">
        <v>1</v>
      </c>
      <c r="BG1811" s="1">
        <v>0</v>
      </c>
      <c r="BL1811" s="1">
        <v>293</v>
      </c>
      <c r="BM1811" s="1" t="s">
        <v>204</v>
      </c>
      <c r="BN1811" s="1" t="s">
        <v>213</v>
      </c>
      <c r="BO1811" s="1">
        <v>999</v>
      </c>
      <c r="BP1811" s="1" t="s">
        <v>204</v>
      </c>
      <c r="BR1811" s="1" t="str">
        <f>"0921426071"</f>
        <v>0921426071</v>
      </c>
      <c r="BT1811" s="1" t="s">
        <v>16932</v>
      </c>
      <c r="BU1811" s="1" t="s">
        <v>4718</v>
      </c>
      <c r="BV1811" s="1" t="s">
        <v>11579</v>
      </c>
      <c r="BW1811" s="1" t="s">
        <v>4719</v>
      </c>
      <c r="BX1811" s="1">
        <v>303</v>
      </c>
      <c r="BY1811" s="1">
        <v>303</v>
      </c>
      <c r="BZ1811" s="1">
        <v>303</v>
      </c>
      <c r="CB1811" s="1" t="str">
        <f>"4"</f>
        <v>4</v>
      </c>
      <c r="CC1811" s="1" t="str">
        <f>"0"</f>
        <v>0</v>
      </c>
      <c r="CD1811" s="1">
        <v>36</v>
      </c>
      <c r="CE1811" s="1">
        <v>0</v>
      </c>
      <c r="CG1811" s="1" t="s">
        <v>861</v>
      </c>
      <c r="CH1811" s="1" t="s">
        <v>219</v>
      </c>
      <c r="CI1811" s="1" t="s">
        <v>220</v>
      </c>
      <c r="CJ1811" s="1" t="s">
        <v>252</v>
      </c>
      <c r="CK1811" s="1" t="s">
        <v>538</v>
      </c>
      <c r="CL1811" s="1" t="s">
        <v>219</v>
      </c>
      <c r="CM1811" s="1" t="s">
        <v>220</v>
      </c>
      <c r="CN1811" s="1" t="s">
        <v>252</v>
      </c>
      <c r="CO1811" s="1" t="s">
        <v>379</v>
      </c>
      <c r="CP1811" s="1" t="s">
        <v>219</v>
      </c>
      <c r="CQ1811" s="1" t="s">
        <v>220</v>
      </c>
      <c r="CR1811" s="1" t="s">
        <v>252</v>
      </c>
      <c r="CS1811" s="1" t="s">
        <v>317</v>
      </c>
      <c r="CT1811" s="1" t="s">
        <v>219</v>
      </c>
      <c r="CU1811" s="1" t="s">
        <v>220</v>
      </c>
      <c r="CV1811" s="1" t="s">
        <v>252</v>
      </c>
      <c r="CW1811" s="1" t="s">
        <v>379</v>
      </c>
      <c r="CX1811" s="1" t="s">
        <v>43</v>
      </c>
      <c r="CY1811" s="1" t="s">
        <v>220</v>
      </c>
      <c r="DB1811" s="1" t="s">
        <v>224</v>
      </c>
      <c r="DE1811" s="1" t="s">
        <v>687</v>
      </c>
      <c r="DF1811" s="1" t="s">
        <v>219</v>
      </c>
      <c r="DG1811" s="1" t="s">
        <v>1236</v>
      </c>
      <c r="DH1811" s="1" t="s">
        <v>252</v>
      </c>
      <c r="DI1811" s="1" t="s">
        <v>437</v>
      </c>
      <c r="DJ1811" s="1" t="s">
        <v>43</v>
      </c>
      <c r="DK1811" s="1" t="s">
        <v>220</v>
      </c>
      <c r="DM1811" s="1" t="s">
        <v>381</v>
      </c>
      <c r="DN1811" s="1" t="s">
        <v>1005</v>
      </c>
      <c r="DR1811" s="1" t="s">
        <v>821</v>
      </c>
      <c r="DS1811" s="1" t="s">
        <v>219</v>
      </c>
      <c r="DT1811" s="1" t="s">
        <v>1236</v>
      </c>
      <c r="DU1811" s="1" t="s">
        <v>252</v>
      </c>
      <c r="DV1811" s="1" t="s">
        <v>539</v>
      </c>
      <c r="DW1811" s="1" t="s">
        <v>219</v>
      </c>
      <c r="DX1811" s="1" t="s">
        <v>220</v>
      </c>
      <c r="DY1811" s="1" t="s">
        <v>252</v>
      </c>
      <c r="EA1811" s="1" t="s">
        <v>230</v>
      </c>
      <c r="EE1811" s="1" t="s">
        <v>230</v>
      </c>
      <c r="EI1811" s="1" t="s">
        <v>230</v>
      </c>
      <c r="EL1811" s="1" t="s">
        <v>542</v>
      </c>
      <c r="EM1811" s="1" t="s">
        <v>319</v>
      </c>
      <c r="EN1811" s="1" t="s">
        <v>282</v>
      </c>
      <c r="EO1811" s="1" t="s">
        <v>234</v>
      </c>
      <c r="EP1811" s="1" t="s">
        <v>543</v>
      </c>
      <c r="EQ1811" s="1" t="s">
        <v>12914</v>
      </c>
      <c r="ER1811" s="1" t="s">
        <v>544</v>
      </c>
      <c r="ES1811" s="1" t="s">
        <v>824</v>
      </c>
      <c r="ET1811" s="1" t="s">
        <v>1201</v>
      </c>
      <c r="EU1811" s="1" t="s">
        <v>16933</v>
      </c>
      <c r="EV1811" s="1" t="s">
        <v>240</v>
      </c>
      <c r="EW1811" s="1" t="s">
        <v>16934</v>
      </c>
      <c r="EZ1811" s="1" t="s">
        <v>6008</v>
      </c>
      <c r="FA1811" s="1" t="s">
        <v>16935</v>
      </c>
      <c r="FB1811" s="1" t="s">
        <v>289</v>
      </c>
      <c r="FC1811" s="1" t="s">
        <v>548</v>
      </c>
      <c r="FD1811" s="1" t="s">
        <v>246</v>
      </c>
      <c r="FE1811" s="1" t="s">
        <v>889</v>
      </c>
      <c r="FF1811" s="1" t="s">
        <v>248</v>
      </c>
      <c r="FG1811" s="1" t="s">
        <v>1204</v>
      </c>
      <c r="FH1811" s="1" t="s">
        <v>825</v>
      </c>
      <c r="FI1811" s="1" t="s">
        <v>473</v>
      </c>
      <c r="FJ1811" s="1" t="s">
        <v>518</v>
      </c>
      <c r="FL1811" s="1" t="s">
        <v>358</v>
      </c>
      <c r="FM1811" s="1" t="s">
        <v>252</v>
      </c>
      <c r="FN1811" s="1" t="s">
        <v>213</v>
      </c>
      <c r="FO1811" s="1" t="s">
        <v>213</v>
      </c>
      <c r="FQ1811" s="1" t="s">
        <v>913</v>
      </c>
      <c r="FR1811" s="1" t="s">
        <v>210</v>
      </c>
      <c r="FS1811" s="1" t="s">
        <v>16936</v>
      </c>
      <c r="FT1811" s="1" t="s">
        <v>520</v>
      </c>
      <c r="FU1811" s="1" t="s">
        <v>204</v>
      </c>
      <c r="FW1811" s="1" t="s">
        <v>4721</v>
      </c>
      <c r="FX1811" s="1">
        <v>383</v>
      </c>
      <c r="FY1811" s="1" t="s">
        <v>4722</v>
      </c>
      <c r="FZ1811" s="1" t="s">
        <v>4723</v>
      </c>
      <c r="GA1811" s="1">
        <v>335</v>
      </c>
      <c r="GB1811" s="1" t="s">
        <v>4724</v>
      </c>
      <c r="GD1811" s="1" t="s">
        <v>4725</v>
      </c>
      <c r="GE1811" s="1" t="s">
        <v>480</v>
      </c>
      <c r="GI1811" s="1" t="s">
        <v>213</v>
      </c>
      <c r="GJ1811" s="1" t="s">
        <v>260</v>
      </c>
      <c r="GK1811" s="1" t="s">
        <v>4920</v>
      </c>
      <c r="GL1811" s="2">
        <v>41976</v>
      </c>
    </row>
    <row r="1812" spans="1:195">
      <c r="A1812" s="1">
        <v>66410</v>
      </c>
      <c r="B1812" s="1" t="s">
        <v>195</v>
      </c>
      <c r="C1812" s="1" t="str">
        <f>"08715963"</f>
        <v>08715963</v>
      </c>
      <c r="D1812" s="1" t="s">
        <v>196</v>
      </c>
      <c r="F1812" s="1" t="str">
        <f>"61"</f>
        <v>61</v>
      </c>
      <c r="G1812" s="2">
        <v>41884</v>
      </c>
      <c r="H1812" s="1">
        <v>81600</v>
      </c>
      <c r="I1812" s="1">
        <v>69900</v>
      </c>
      <c r="J1812" s="1">
        <v>66410</v>
      </c>
      <c r="K1812" s="2">
        <v>41883</v>
      </c>
      <c r="L1812" s="1">
        <v>76</v>
      </c>
      <c r="M1812" s="2">
        <v>41958</v>
      </c>
      <c r="N1812" s="1">
        <v>76</v>
      </c>
      <c r="O1812" s="2">
        <v>41958</v>
      </c>
      <c r="P1812" s="1">
        <v>16525</v>
      </c>
      <c r="Q1812" s="1" t="s">
        <v>302</v>
      </c>
      <c r="R1812" s="2">
        <v>41984</v>
      </c>
      <c r="S1812" s="1">
        <v>180585</v>
      </c>
      <c r="U1812" s="1">
        <v>229</v>
      </c>
      <c r="V1812" s="1" t="s">
        <v>13399</v>
      </c>
      <c r="X1812" s="1" t="s">
        <v>6507</v>
      </c>
      <c r="Y1812" s="1">
        <v>6</v>
      </c>
      <c r="Z1812" s="1" t="s">
        <v>200</v>
      </c>
      <c r="AA1812" s="1" t="s">
        <v>505</v>
      </c>
      <c r="AB1812" s="1">
        <v>60061</v>
      </c>
      <c r="AD1812" s="1" t="s">
        <v>576</v>
      </c>
      <c r="AE1812" s="1" t="s">
        <v>16937</v>
      </c>
      <c r="AF1812" s="1">
        <v>1980</v>
      </c>
      <c r="AG1812" s="1" t="s">
        <v>204</v>
      </c>
      <c r="AH1812" s="1" t="s">
        <v>508</v>
      </c>
      <c r="AI1812" s="1" t="s">
        <v>509</v>
      </c>
      <c r="AJ1812" s="1" t="s">
        <v>510</v>
      </c>
      <c r="AL1812" s="1">
        <v>5</v>
      </c>
      <c r="AM1812" s="1">
        <v>2</v>
      </c>
      <c r="AN1812" s="1">
        <v>1</v>
      </c>
      <c r="AO1812" s="1">
        <v>1</v>
      </c>
      <c r="AP1812" s="1" t="s">
        <v>667</v>
      </c>
      <c r="AR1812" s="1" t="s">
        <v>210</v>
      </c>
      <c r="AS1812" s="1" t="s">
        <v>204</v>
      </c>
      <c r="AT1812" s="1" t="s">
        <v>271</v>
      </c>
      <c r="AV1812" s="1">
        <v>2</v>
      </c>
      <c r="AW1812" s="1" t="s">
        <v>204</v>
      </c>
      <c r="AX1812" s="1" t="s">
        <v>579</v>
      </c>
      <c r="AZ1812" s="1">
        <v>2290</v>
      </c>
      <c r="BA1812" s="1">
        <v>2012</v>
      </c>
      <c r="BE1812" s="1">
        <v>787</v>
      </c>
      <c r="BF1812" s="1">
        <v>1</v>
      </c>
      <c r="BG1812" s="1">
        <v>5</v>
      </c>
      <c r="BL1812" s="1">
        <v>285</v>
      </c>
      <c r="BM1812" s="1" t="s">
        <v>413</v>
      </c>
      <c r="BN1812" s="1" t="s">
        <v>213</v>
      </c>
      <c r="BO1812" s="1">
        <v>25</v>
      </c>
      <c r="BP1812" s="1" t="s">
        <v>204</v>
      </c>
      <c r="BR1812" s="1" t="str">
        <f>"15072051070000"</f>
        <v>15072051070000</v>
      </c>
      <c r="BT1812" s="1" t="s">
        <v>16938</v>
      </c>
      <c r="BU1812" s="1" t="s">
        <v>13402</v>
      </c>
      <c r="BV1812" s="1" t="s">
        <v>13403</v>
      </c>
      <c r="BW1812" s="1" t="s">
        <v>1532</v>
      </c>
      <c r="BX1812" s="1">
        <v>96</v>
      </c>
      <c r="BY1812" s="1">
        <v>96</v>
      </c>
      <c r="BZ1812" s="1">
        <v>125</v>
      </c>
      <c r="CB1812" s="1" t="str">
        <f t="shared" ref="CB1812:CC1812" si="1373">""</f>
        <v/>
      </c>
      <c r="CC1812" s="1" t="str">
        <f t="shared" si="1373"/>
        <v/>
      </c>
      <c r="CG1812" s="1" t="s">
        <v>4322</v>
      </c>
      <c r="CH1812" s="1" t="s">
        <v>219</v>
      </c>
      <c r="CI1812" s="1" t="s">
        <v>220</v>
      </c>
      <c r="CJ1812" s="1" t="s">
        <v>252</v>
      </c>
      <c r="CK1812" s="1" t="s">
        <v>757</v>
      </c>
      <c r="CL1812" s="1" t="s">
        <v>219</v>
      </c>
      <c r="CM1812" s="1" t="s">
        <v>220</v>
      </c>
      <c r="CN1812" s="1" t="s">
        <v>252</v>
      </c>
      <c r="CO1812" s="1" t="s">
        <v>409</v>
      </c>
      <c r="CP1812" s="1" t="s">
        <v>219</v>
      </c>
      <c r="CQ1812" s="1" t="s">
        <v>220</v>
      </c>
      <c r="CR1812" s="1" t="s">
        <v>252</v>
      </c>
      <c r="CS1812" s="1" t="s">
        <v>317</v>
      </c>
      <c r="CT1812" s="1" t="s">
        <v>219</v>
      </c>
      <c r="CX1812" s="1" t="s">
        <v>224</v>
      </c>
      <c r="DB1812" s="1" t="s">
        <v>224</v>
      </c>
      <c r="DE1812" s="1" t="s">
        <v>348</v>
      </c>
      <c r="DF1812" s="1" t="s">
        <v>219</v>
      </c>
      <c r="DG1812" s="1" t="s">
        <v>226</v>
      </c>
      <c r="DJ1812" s="1" t="s">
        <v>224</v>
      </c>
      <c r="DS1812" s="1" t="s">
        <v>230</v>
      </c>
      <c r="DW1812" s="1" t="s">
        <v>230</v>
      </c>
      <c r="EA1812" s="1" t="s">
        <v>230</v>
      </c>
      <c r="EE1812" s="1" t="s">
        <v>230</v>
      </c>
      <c r="EI1812" s="1" t="s">
        <v>230</v>
      </c>
      <c r="EL1812" s="1" t="s">
        <v>231</v>
      </c>
      <c r="EM1812" s="1" t="s">
        <v>319</v>
      </c>
      <c r="EN1812" s="1" t="s">
        <v>1158</v>
      </c>
      <c r="EO1812" s="1" t="s">
        <v>234</v>
      </c>
      <c r="EQ1812" s="1" t="s">
        <v>953</v>
      </c>
      <c r="ER1812" s="1" t="s">
        <v>210</v>
      </c>
      <c r="ES1812" s="1" t="s">
        <v>493</v>
      </c>
      <c r="EW1812" s="1" t="s">
        <v>7632</v>
      </c>
      <c r="EZ1812" s="1" t="s">
        <v>287</v>
      </c>
      <c r="FB1812" s="1" t="s">
        <v>289</v>
      </c>
      <c r="FD1812" s="1" t="s">
        <v>16939</v>
      </c>
      <c r="FE1812" s="1" t="s">
        <v>247</v>
      </c>
      <c r="FF1812" s="1" t="s">
        <v>248</v>
      </c>
      <c r="FH1812" s="1" t="s">
        <v>249</v>
      </c>
      <c r="FL1812" s="1" t="s">
        <v>414</v>
      </c>
      <c r="FM1812" s="1" t="s">
        <v>252</v>
      </c>
      <c r="FN1812" s="1" t="s">
        <v>213</v>
      </c>
      <c r="FO1812" s="1" t="s">
        <v>213</v>
      </c>
      <c r="FQ1812" s="1" t="s">
        <v>582</v>
      </c>
      <c r="FR1812" s="1" t="s">
        <v>210</v>
      </c>
      <c r="FS1812" s="1" t="s">
        <v>16940</v>
      </c>
      <c r="FT1812" s="1" t="s">
        <v>295</v>
      </c>
      <c r="FU1812" s="1" t="s">
        <v>204</v>
      </c>
      <c r="FW1812" s="1" t="s">
        <v>16941</v>
      </c>
      <c r="FX1812" s="1">
        <v>16525</v>
      </c>
      <c r="FY1812" s="1" t="s">
        <v>16942</v>
      </c>
      <c r="FZ1812" s="1" t="s">
        <v>16943</v>
      </c>
      <c r="GA1812" s="1">
        <v>138376</v>
      </c>
      <c r="GB1812" s="1" t="s">
        <v>16942</v>
      </c>
      <c r="GC1812" s="1">
        <v>142428</v>
      </c>
      <c r="GE1812" s="1" t="s">
        <v>210</v>
      </c>
      <c r="GH1812" s="1" t="s">
        <v>589</v>
      </c>
      <c r="GI1812" s="1" t="s">
        <v>204</v>
      </c>
      <c r="GJ1812" s="1" t="s">
        <v>300</v>
      </c>
      <c r="GK1812" s="1" t="s">
        <v>210</v>
      </c>
      <c r="GL1812" s="2">
        <v>41984</v>
      </c>
      <c r="GM1812" s="1" t="s">
        <v>16944</v>
      </c>
    </row>
    <row r="1813" spans="1:195">
      <c r="A1813" s="1">
        <v>107900</v>
      </c>
      <c r="B1813" s="1" t="s">
        <v>195</v>
      </c>
      <c r="C1813" s="1" t="str">
        <f>"08718669"</f>
        <v>08718669</v>
      </c>
      <c r="D1813" s="1" t="s">
        <v>196</v>
      </c>
      <c r="F1813" s="1" t="str">
        <f>"507"</f>
        <v>507</v>
      </c>
      <c r="G1813" s="2">
        <v>41886</v>
      </c>
      <c r="H1813" s="1">
        <v>139900</v>
      </c>
      <c r="I1813" s="1">
        <v>109900</v>
      </c>
      <c r="J1813" s="1">
        <v>107900</v>
      </c>
      <c r="K1813" s="2">
        <v>41885</v>
      </c>
      <c r="L1813" s="1">
        <v>132</v>
      </c>
      <c r="M1813" s="2">
        <v>42016</v>
      </c>
      <c r="N1813" s="1">
        <v>132</v>
      </c>
      <c r="O1813" s="2">
        <v>42016</v>
      </c>
      <c r="P1813" s="1">
        <v>31580</v>
      </c>
      <c r="Q1813" s="1" t="s">
        <v>302</v>
      </c>
      <c r="R1813" s="2">
        <v>42048</v>
      </c>
      <c r="S1813" s="1">
        <v>8171</v>
      </c>
      <c r="U1813" s="1">
        <v>1902</v>
      </c>
      <c r="V1813" s="1" t="s">
        <v>9242</v>
      </c>
      <c r="W1813" s="1" t="s">
        <v>304</v>
      </c>
      <c r="Y1813" s="1">
        <v>3</v>
      </c>
      <c r="Z1813" s="1" t="s">
        <v>370</v>
      </c>
      <c r="AA1813" s="1" t="s">
        <v>1123</v>
      </c>
      <c r="AB1813" s="1">
        <v>60505</v>
      </c>
      <c r="AE1813" s="1" t="s">
        <v>16945</v>
      </c>
      <c r="AF1813" s="1">
        <v>1996</v>
      </c>
      <c r="AG1813" s="1" t="s">
        <v>204</v>
      </c>
      <c r="AH1813" s="1" t="s">
        <v>1126</v>
      </c>
      <c r="AI1813" s="1" t="s">
        <v>665</v>
      </c>
      <c r="AJ1813" s="1" t="s">
        <v>1126</v>
      </c>
      <c r="AL1813" s="1">
        <v>4</v>
      </c>
      <c r="AM1813" s="1">
        <v>2</v>
      </c>
      <c r="AN1813" s="1">
        <v>1</v>
      </c>
      <c r="AO1813" s="1">
        <v>0</v>
      </c>
      <c r="AP1813" s="1" t="s">
        <v>210</v>
      </c>
      <c r="AR1813" s="1" t="s">
        <v>210</v>
      </c>
      <c r="AS1813" s="1" t="s">
        <v>204</v>
      </c>
      <c r="AT1813" s="1" t="s">
        <v>211</v>
      </c>
      <c r="AU1813" s="1">
        <v>2</v>
      </c>
      <c r="AW1813" s="1" t="s">
        <v>204</v>
      </c>
      <c r="AX1813" s="1" t="s">
        <v>212</v>
      </c>
      <c r="AZ1813" s="1">
        <v>3871.76</v>
      </c>
      <c r="BA1813" s="1">
        <v>2013</v>
      </c>
      <c r="BE1813" s="1">
        <v>1061</v>
      </c>
      <c r="BF1813" s="1">
        <v>1</v>
      </c>
      <c r="BG1813" s="1">
        <v>30</v>
      </c>
      <c r="BL1813" s="1">
        <v>140</v>
      </c>
      <c r="BM1813" s="1" t="s">
        <v>213</v>
      </c>
      <c r="BN1813" s="1" t="s">
        <v>213</v>
      </c>
      <c r="BO1813" s="1" t="s">
        <v>402</v>
      </c>
      <c r="BP1813" s="1" t="s">
        <v>204</v>
      </c>
      <c r="BR1813" s="1" t="str">
        <f>"1511128005"</f>
        <v>1511128005</v>
      </c>
      <c r="BT1813" s="1" t="s">
        <v>16946</v>
      </c>
      <c r="BX1813" s="1">
        <v>131</v>
      </c>
      <c r="BY1813" s="1">
        <v>131</v>
      </c>
      <c r="BZ1813" s="1">
        <v>131</v>
      </c>
      <c r="CB1813" s="1" t="str">
        <f t="shared" ref="CB1813:CC1813" si="1374">""</f>
        <v/>
      </c>
      <c r="CC1813" s="1" t="str">
        <f t="shared" si="1374"/>
        <v/>
      </c>
      <c r="CG1813" s="1" t="s">
        <v>1267</v>
      </c>
      <c r="CH1813" s="1" t="s">
        <v>219</v>
      </c>
      <c r="CI1813" s="1" t="s">
        <v>220</v>
      </c>
      <c r="CK1813" s="1" t="s">
        <v>539</v>
      </c>
      <c r="CL1813" s="1" t="s">
        <v>219</v>
      </c>
      <c r="CM1813" s="1" t="s">
        <v>220</v>
      </c>
      <c r="CP1813" s="1" t="s">
        <v>224</v>
      </c>
      <c r="CS1813" s="1" t="s">
        <v>465</v>
      </c>
      <c r="CT1813" s="1" t="s">
        <v>219</v>
      </c>
      <c r="CU1813" s="1" t="s">
        <v>220</v>
      </c>
      <c r="CX1813" s="1" t="s">
        <v>224</v>
      </c>
      <c r="DB1813" s="1" t="s">
        <v>224</v>
      </c>
      <c r="DE1813" s="1" t="s">
        <v>465</v>
      </c>
      <c r="DF1813" s="1" t="s">
        <v>219</v>
      </c>
      <c r="DG1813" s="1" t="s">
        <v>342</v>
      </c>
      <c r="DJ1813" s="1" t="s">
        <v>224</v>
      </c>
      <c r="DM1813" s="1" t="s">
        <v>6766</v>
      </c>
      <c r="DR1813" s="1" t="s">
        <v>4299</v>
      </c>
      <c r="DS1813" s="1" t="s">
        <v>219</v>
      </c>
      <c r="DT1813" s="1" t="s">
        <v>342</v>
      </c>
      <c r="DW1813" s="1" t="s">
        <v>230</v>
      </c>
      <c r="EA1813" s="1" t="s">
        <v>230</v>
      </c>
      <c r="EE1813" s="1" t="s">
        <v>230</v>
      </c>
      <c r="EI1813" s="1" t="s">
        <v>230</v>
      </c>
      <c r="EL1813" s="1" t="s">
        <v>670</v>
      </c>
      <c r="EM1813" s="1" t="s">
        <v>319</v>
      </c>
      <c r="EN1813" s="1" t="s">
        <v>282</v>
      </c>
      <c r="EO1813" s="1" t="s">
        <v>234</v>
      </c>
      <c r="EP1813" s="1" t="s">
        <v>5574</v>
      </c>
      <c r="ER1813" s="1" t="s">
        <v>210</v>
      </c>
      <c r="ES1813" s="1" t="s">
        <v>322</v>
      </c>
      <c r="EW1813" s="1" t="s">
        <v>353</v>
      </c>
      <c r="EZ1813" s="1" t="s">
        <v>6766</v>
      </c>
      <c r="FD1813" s="1" t="s">
        <v>246</v>
      </c>
      <c r="FE1813" s="1" t="s">
        <v>386</v>
      </c>
      <c r="FF1813" s="1" t="s">
        <v>248</v>
      </c>
      <c r="FH1813" s="1" t="s">
        <v>825</v>
      </c>
      <c r="FL1813" s="1" t="s">
        <v>358</v>
      </c>
      <c r="FM1813" s="1" t="s">
        <v>252</v>
      </c>
      <c r="FN1813" s="1" t="s">
        <v>213</v>
      </c>
      <c r="FO1813" s="1" t="s">
        <v>213</v>
      </c>
      <c r="FQ1813" s="1" t="s">
        <v>689</v>
      </c>
      <c r="FR1813" s="1" t="s">
        <v>210</v>
      </c>
      <c r="FS1813" s="1" t="s">
        <v>3448</v>
      </c>
      <c r="FT1813" s="1" t="s">
        <v>584</v>
      </c>
      <c r="FU1813" s="1" t="s">
        <v>204</v>
      </c>
      <c r="FW1813" s="1" t="s">
        <v>3449</v>
      </c>
      <c r="FX1813" s="1">
        <v>605</v>
      </c>
      <c r="FY1813" s="1" t="s">
        <v>3450</v>
      </c>
      <c r="FZ1813" s="1" t="s">
        <v>3451</v>
      </c>
      <c r="GA1813" s="1">
        <v>170</v>
      </c>
      <c r="GB1813" s="1" t="s">
        <v>3450</v>
      </c>
      <c r="GD1813" s="1" t="s">
        <v>3452</v>
      </c>
      <c r="GE1813" s="1" t="s">
        <v>210</v>
      </c>
      <c r="GI1813" s="1" t="s">
        <v>213</v>
      </c>
      <c r="GJ1813" s="1" t="s">
        <v>260</v>
      </c>
      <c r="GK1813" s="1" t="s">
        <v>210</v>
      </c>
      <c r="GL1813" s="2">
        <v>42048</v>
      </c>
      <c r="GM1813" s="1" t="s">
        <v>16947</v>
      </c>
    </row>
    <row r="1814" spans="1:195">
      <c r="A1814" s="1">
        <v>85000</v>
      </c>
      <c r="B1814" s="1" t="s">
        <v>195</v>
      </c>
      <c r="C1814" s="1" t="str">
        <f>"08719639"</f>
        <v>08719639</v>
      </c>
      <c r="D1814" s="1" t="s">
        <v>196</v>
      </c>
      <c r="F1814" s="1" t="str">
        <f>"31"</f>
        <v>31</v>
      </c>
      <c r="G1814" s="2">
        <v>41886</v>
      </c>
      <c r="H1814" s="1">
        <v>105500</v>
      </c>
      <c r="I1814" s="1">
        <v>85000</v>
      </c>
      <c r="J1814" s="1">
        <v>85000</v>
      </c>
      <c r="K1814" s="2">
        <v>41886</v>
      </c>
      <c r="L1814" s="1">
        <v>164</v>
      </c>
      <c r="M1814" s="2">
        <v>42049</v>
      </c>
      <c r="N1814" s="1">
        <v>164</v>
      </c>
      <c r="O1814" s="2">
        <v>42049</v>
      </c>
      <c r="P1814" s="1">
        <v>2411</v>
      </c>
      <c r="Q1814" s="1" t="s">
        <v>302</v>
      </c>
      <c r="R1814" s="2">
        <v>42079</v>
      </c>
      <c r="S1814" s="1">
        <v>15835</v>
      </c>
      <c r="U1814" s="1">
        <v>17879</v>
      </c>
      <c r="V1814" s="1" t="s">
        <v>3778</v>
      </c>
      <c r="W1814" s="1" t="s">
        <v>264</v>
      </c>
      <c r="X1814" s="1">
        <v>17879</v>
      </c>
      <c r="Y1814" s="1">
        <v>6</v>
      </c>
      <c r="Z1814" s="1" t="s">
        <v>249</v>
      </c>
      <c r="AA1814" s="1" t="s">
        <v>1057</v>
      </c>
      <c r="AB1814" s="1">
        <v>60031</v>
      </c>
      <c r="AD1814" s="1" t="s">
        <v>3779</v>
      </c>
      <c r="AE1814" s="1" t="s">
        <v>16948</v>
      </c>
      <c r="AF1814" s="1">
        <v>1993</v>
      </c>
      <c r="AG1814" s="1" t="s">
        <v>204</v>
      </c>
      <c r="AH1814" s="1" t="s">
        <v>1060</v>
      </c>
      <c r="AI1814" s="1" t="s">
        <v>509</v>
      </c>
      <c r="AJ1814" s="1" t="s">
        <v>1061</v>
      </c>
      <c r="AL1814" s="1">
        <v>5</v>
      </c>
      <c r="AM1814" s="1">
        <v>2</v>
      </c>
      <c r="AN1814" s="1">
        <v>2</v>
      </c>
      <c r="AO1814" s="1">
        <v>1</v>
      </c>
      <c r="AP1814" s="1" t="s">
        <v>209</v>
      </c>
      <c r="AQ1814" s="1">
        <v>1</v>
      </c>
      <c r="AR1814" s="1" t="s">
        <v>210</v>
      </c>
      <c r="AS1814" s="1" t="s">
        <v>204</v>
      </c>
      <c r="AT1814" s="1" t="s">
        <v>211</v>
      </c>
      <c r="AU1814" s="1">
        <v>1</v>
      </c>
      <c r="AW1814" s="1" t="s">
        <v>204</v>
      </c>
      <c r="AX1814" s="1" t="s">
        <v>270</v>
      </c>
      <c r="AZ1814" s="1">
        <v>3433.39</v>
      </c>
      <c r="BA1814" s="1">
        <v>2013</v>
      </c>
      <c r="BB1814" s="1" t="s">
        <v>210</v>
      </c>
      <c r="BE1814" s="1">
        <v>1268</v>
      </c>
      <c r="BF1814" s="1">
        <v>1</v>
      </c>
      <c r="BG1814" s="1">
        <v>0</v>
      </c>
      <c r="BJ1814" s="1">
        <v>90</v>
      </c>
      <c r="BL1814" s="1">
        <v>170</v>
      </c>
      <c r="BM1814" s="1" t="s">
        <v>204</v>
      </c>
      <c r="BN1814" s="1" t="s">
        <v>213</v>
      </c>
      <c r="BO1814" s="1">
        <v>20</v>
      </c>
      <c r="BP1814" s="1" t="s">
        <v>204</v>
      </c>
      <c r="BR1814" s="1" t="str">
        <f>"07083090410000"</f>
        <v>07083090410000</v>
      </c>
      <c r="BT1814" s="1" t="s">
        <v>16949</v>
      </c>
      <c r="BU1814" s="1" t="s">
        <v>1064</v>
      </c>
      <c r="BV1814" s="1" t="s">
        <v>1065</v>
      </c>
      <c r="BW1814" s="1" t="s">
        <v>1066</v>
      </c>
      <c r="BX1814" s="1">
        <v>50</v>
      </c>
      <c r="BY1814" s="1">
        <v>50</v>
      </c>
      <c r="BZ1814" s="1">
        <v>121</v>
      </c>
      <c r="CB1814" s="1" t="str">
        <f>"36"</f>
        <v>36</v>
      </c>
      <c r="CC1814" s="1" t="str">
        <f t="shared" ref="CC1814:CC1815" si="1375">""</f>
        <v/>
      </c>
      <c r="CD1814" s="1">
        <v>17</v>
      </c>
      <c r="CG1814" s="1" t="s">
        <v>278</v>
      </c>
      <c r="CH1814" s="1" t="s">
        <v>219</v>
      </c>
      <c r="CI1814" s="1" t="s">
        <v>229</v>
      </c>
      <c r="CJ1814" s="1" t="s">
        <v>210</v>
      </c>
      <c r="CK1814" s="1" t="s">
        <v>228</v>
      </c>
      <c r="CL1814" s="1" t="s">
        <v>277</v>
      </c>
      <c r="CM1814" s="1" t="s">
        <v>220</v>
      </c>
      <c r="CN1814" s="1" t="s">
        <v>210</v>
      </c>
      <c r="CO1814" s="1" t="s">
        <v>837</v>
      </c>
      <c r="CP1814" s="1" t="s">
        <v>219</v>
      </c>
      <c r="CQ1814" s="1" t="s">
        <v>229</v>
      </c>
      <c r="CR1814" s="1" t="s">
        <v>210</v>
      </c>
      <c r="CS1814" s="1" t="s">
        <v>465</v>
      </c>
      <c r="CT1814" s="1" t="s">
        <v>277</v>
      </c>
      <c r="CU1814" s="1" t="s">
        <v>220</v>
      </c>
      <c r="CV1814" s="1" t="s">
        <v>210</v>
      </c>
      <c r="CX1814" s="1" t="s">
        <v>224</v>
      </c>
      <c r="DB1814" s="1" t="s">
        <v>224</v>
      </c>
      <c r="DE1814" s="1" t="s">
        <v>837</v>
      </c>
      <c r="DF1814" s="1" t="s">
        <v>219</v>
      </c>
      <c r="DG1814" s="1" t="s">
        <v>226</v>
      </c>
      <c r="DH1814" s="1" t="s">
        <v>210</v>
      </c>
      <c r="DJ1814" s="1" t="s">
        <v>224</v>
      </c>
      <c r="DS1814" s="1" t="s">
        <v>230</v>
      </c>
      <c r="DW1814" s="1" t="s">
        <v>230</v>
      </c>
      <c r="EA1814" s="1" t="s">
        <v>230</v>
      </c>
      <c r="EE1814" s="1" t="s">
        <v>230</v>
      </c>
      <c r="EI1814" s="1" t="s">
        <v>230</v>
      </c>
      <c r="EL1814" s="1" t="s">
        <v>382</v>
      </c>
      <c r="EM1814" s="1" t="s">
        <v>319</v>
      </c>
      <c r="EN1814" s="1" t="s">
        <v>282</v>
      </c>
      <c r="EO1814" s="1" t="s">
        <v>234</v>
      </c>
      <c r="EQ1814" s="1" t="s">
        <v>284</v>
      </c>
      <c r="ER1814" s="1" t="s">
        <v>210</v>
      </c>
      <c r="ET1814" s="1" t="s">
        <v>1161</v>
      </c>
      <c r="EV1814" s="1" t="s">
        <v>240</v>
      </c>
      <c r="EW1814" s="1" t="s">
        <v>1250</v>
      </c>
      <c r="EY1814" s="1" t="s">
        <v>2644</v>
      </c>
      <c r="EZ1814" s="1" t="s">
        <v>287</v>
      </c>
      <c r="FB1814" s="1" t="s">
        <v>289</v>
      </c>
      <c r="FC1814" s="1" t="s">
        <v>1386</v>
      </c>
      <c r="FD1814" s="1" t="s">
        <v>246</v>
      </c>
      <c r="FE1814" s="1" t="s">
        <v>472</v>
      </c>
      <c r="FF1814" s="1" t="s">
        <v>248</v>
      </c>
      <c r="FG1814" s="1" t="s">
        <v>1682</v>
      </c>
      <c r="FH1814" s="1" t="s">
        <v>249</v>
      </c>
      <c r="FI1814" s="1" t="s">
        <v>2827</v>
      </c>
      <c r="FJ1814" s="1" t="s">
        <v>197</v>
      </c>
      <c r="FL1814" s="1" t="s">
        <v>414</v>
      </c>
      <c r="FM1814" s="1" t="s">
        <v>252</v>
      </c>
      <c r="FN1814" s="1" t="s">
        <v>213</v>
      </c>
      <c r="FO1814" s="1" t="s">
        <v>213</v>
      </c>
      <c r="FQ1814" s="1" t="s">
        <v>582</v>
      </c>
      <c r="FR1814" s="1" t="s">
        <v>210</v>
      </c>
      <c r="FS1814" s="1" t="s">
        <v>4124</v>
      </c>
      <c r="FT1814" s="1" t="s">
        <v>5853</v>
      </c>
      <c r="FU1814" s="1" t="s">
        <v>204</v>
      </c>
      <c r="FW1814" s="1" t="s">
        <v>5854</v>
      </c>
      <c r="FX1814" s="1">
        <v>12968</v>
      </c>
      <c r="FY1814" s="1" t="s">
        <v>5855</v>
      </c>
      <c r="FZ1814" s="1" t="s">
        <v>5856</v>
      </c>
      <c r="GA1814" s="1">
        <v>125232</v>
      </c>
      <c r="GB1814" s="1" t="s">
        <v>5855</v>
      </c>
      <c r="GE1814" s="1" t="s">
        <v>210</v>
      </c>
      <c r="GH1814" s="1" t="s">
        <v>589</v>
      </c>
      <c r="GI1814" s="1" t="s">
        <v>213</v>
      </c>
      <c r="GJ1814" s="1" t="s">
        <v>260</v>
      </c>
      <c r="GK1814" s="1" t="s">
        <v>210</v>
      </c>
      <c r="GL1814" s="2">
        <v>42094</v>
      </c>
      <c r="GM1814" s="1" t="s">
        <v>16950</v>
      </c>
    </row>
    <row r="1815" spans="1:195">
      <c r="A1815" s="1">
        <v>142500</v>
      </c>
      <c r="B1815" s="1" t="s">
        <v>195</v>
      </c>
      <c r="C1815" s="1" t="str">
        <f>"08717650"</f>
        <v>08717650</v>
      </c>
      <c r="D1815" s="1" t="s">
        <v>196</v>
      </c>
      <c r="F1815" s="1" t="str">
        <f>"101"</f>
        <v>101</v>
      </c>
      <c r="G1815" s="2">
        <v>41885</v>
      </c>
      <c r="H1815" s="1">
        <v>160000</v>
      </c>
      <c r="I1815" s="1">
        <v>146000</v>
      </c>
      <c r="J1815" s="1">
        <v>142500</v>
      </c>
      <c r="K1815" s="2">
        <v>41883</v>
      </c>
      <c r="L1815" s="1">
        <v>95</v>
      </c>
      <c r="M1815" s="2">
        <v>41977</v>
      </c>
      <c r="N1815" s="1">
        <v>95</v>
      </c>
      <c r="O1815" s="2">
        <v>41977</v>
      </c>
      <c r="P1815" s="1">
        <v>24007</v>
      </c>
      <c r="Q1815" s="1" t="s">
        <v>197</v>
      </c>
      <c r="R1815" s="2">
        <v>42094</v>
      </c>
      <c r="S1815" s="1">
        <v>240723</v>
      </c>
      <c r="U1815" s="1">
        <v>834</v>
      </c>
      <c r="V1815" s="1" t="s">
        <v>16951</v>
      </c>
      <c r="W1815" s="1" t="s">
        <v>199</v>
      </c>
      <c r="Y1815" s="1">
        <v>3</v>
      </c>
      <c r="Z1815" s="1" t="s">
        <v>200</v>
      </c>
      <c r="AA1815" s="1" t="s">
        <v>2631</v>
      </c>
      <c r="AB1815" s="1">
        <v>60101</v>
      </c>
      <c r="AD1815" s="1" t="s">
        <v>16952</v>
      </c>
      <c r="AE1815" s="1" t="s">
        <v>16953</v>
      </c>
      <c r="AF1815" s="1">
        <v>1991</v>
      </c>
      <c r="AG1815" s="1" t="s">
        <v>204</v>
      </c>
      <c r="AH1815" s="1" t="s">
        <v>1233</v>
      </c>
      <c r="AI1815" s="1" t="s">
        <v>206</v>
      </c>
      <c r="AJ1815" s="1" t="s">
        <v>1233</v>
      </c>
      <c r="AK1815" s="1" t="s">
        <v>6006</v>
      </c>
      <c r="AL1815" s="1">
        <v>5</v>
      </c>
      <c r="AM1815" s="1">
        <v>2</v>
      </c>
      <c r="AN1815" s="1">
        <v>1</v>
      </c>
      <c r="AO1815" s="1">
        <v>1</v>
      </c>
      <c r="AP1815" s="1" t="s">
        <v>667</v>
      </c>
      <c r="AQ1815" s="1">
        <v>1</v>
      </c>
      <c r="AR1815" s="1" t="s">
        <v>210</v>
      </c>
      <c r="AS1815" s="1" t="s">
        <v>204</v>
      </c>
      <c r="AT1815" s="1" t="s">
        <v>211</v>
      </c>
      <c r="AU1815" s="1">
        <v>1</v>
      </c>
      <c r="AW1815" s="1" t="s">
        <v>204</v>
      </c>
      <c r="AX1815" s="1" t="s">
        <v>212</v>
      </c>
      <c r="AZ1815" s="1">
        <v>3682.53</v>
      </c>
      <c r="BA1815" s="1">
        <v>2013</v>
      </c>
      <c r="BB1815" s="1" t="s">
        <v>405</v>
      </c>
      <c r="BE1815" s="1">
        <v>1600</v>
      </c>
      <c r="BF1815" s="1">
        <v>1</v>
      </c>
      <c r="BG1815" s="1">
        <v>0</v>
      </c>
      <c r="BL1815" s="1">
        <v>130</v>
      </c>
      <c r="BM1815" s="1" t="s">
        <v>204</v>
      </c>
      <c r="BN1815" s="1" t="s">
        <v>213</v>
      </c>
      <c r="BO1815" s="1">
        <v>999</v>
      </c>
      <c r="BP1815" s="1" t="s">
        <v>204</v>
      </c>
      <c r="BR1815" s="1" t="str">
        <f>"0224206132"</f>
        <v>0224206132</v>
      </c>
      <c r="BT1815" s="1" t="s">
        <v>16954</v>
      </c>
      <c r="BX1815" s="1">
        <v>15</v>
      </c>
      <c r="BY1815" s="1">
        <v>15</v>
      </c>
      <c r="BZ1815" s="1">
        <v>87</v>
      </c>
      <c r="CB1815" s="1" t="str">
        <f>"4"</f>
        <v>4</v>
      </c>
      <c r="CC1815" s="1" t="str">
        <f t="shared" si="1375"/>
        <v/>
      </c>
      <c r="CD1815" s="1">
        <v>20</v>
      </c>
      <c r="CG1815" s="1" t="s">
        <v>4460</v>
      </c>
      <c r="CH1815" s="1" t="s">
        <v>219</v>
      </c>
      <c r="CI1815" s="1" t="s">
        <v>438</v>
      </c>
      <c r="CK1815" s="1" t="s">
        <v>14269</v>
      </c>
      <c r="CL1815" s="1" t="s">
        <v>277</v>
      </c>
      <c r="CM1815" s="1" t="s">
        <v>220</v>
      </c>
      <c r="CO1815" s="1" t="s">
        <v>837</v>
      </c>
      <c r="CP1815" s="1" t="s">
        <v>219</v>
      </c>
      <c r="CQ1815" s="1" t="s">
        <v>438</v>
      </c>
      <c r="CS1815" s="1" t="s">
        <v>757</v>
      </c>
      <c r="CT1815" s="1" t="s">
        <v>277</v>
      </c>
      <c r="CU1815" s="1" t="s">
        <v>220</v>
      </c>
      <c r="CX1815" s="1" t="s">
        <v>224</v>
      </c>
      <c r="DB1815" s="1" t="s">
        <v>224</v>
      </c>
      <c r="DE1815" s="1" t="s">
        <v>379</v>
      </c>
      <c r="DF1815" s="1" t="s">
        <v>219</v>
      </c>
      <c r="DG1815" s="1" t="s">
        <v>438</v>
      </c>
      <c r="DJ1815" s="1" t="s">
        <v>224</v>
      </c>
      <c r="DM1815" s="1" t="s">
        <v>1770</v>
      </c>
      <c r="DR1815" s="1" t="s">
        <v>4260</v>
      </c>
      <c r="DS1815" s="1" t="s">
        <v>277</v>
      </c>
      <c r="DT1815" s="1" t="s">
        <v>342</v>
      </c>
      <c r="DW1815" s="1" t="s">
        <v>230</v>
      </c>
      <c r="EA1815" s="1" t="s">
        <v>230</v>
      </c>
      <c r="EE1815" s="1" t="s">
        <v>230</v>
      </c>
      <c r="EI1815" s="1" t="s">
        <v>230</v>
      </c>
      <c r="EL1815" s="1" t="s">
        <v>382</v>
      </c>
      <c r="EM1815" s="1" t="s">
        <v>232</v>
      </c>
      <c r="EN1815" s="1" t="s">
        <v>282</v>
      </c>
      <c r="EO1815" s="1" t="s">
        <v>234</v>
      </c>
      <c r="EQ1815" s="1" t="s">
        <v>236</v>
      </c>
      <c r="ER1815" s="1" t="s">
        <v>210</v>
      </c>
      <c r="ES1815" s="1" t="s">
        <v>608</v>
      </c>
      <c r="ET1815" s="1" t="s">
        <v>323</v>
      </c>
      <c r="EV1815" s="1" t="s">
        <v>240</v>
      </c>
      <c r="EW1815" s="1" t="s">
        <v>353</v>
      </c>
      <c r="EY1815" s="1" t="s">
        <v>242</v>
      </c>
      <c r="EZ1815" s="1" t="s">
        <v>1770</v>
      </c>
      <c r="FB1815" s="1" t="s">
        <v>4027</v>
      </c>
      <c r="FD1815" s="1" t="s">
        <v>246</v>
      </c>
      <c r="FE1815" s="1" t="s">
        <v>247</v>
      </c>
      <c r="FF1815" s="1" t="s">
        <v>248</v>
      </c>
      <c r="FG1815" s="1" t="s">
        <v>871</v>
      </c>
      <c r="FH1815" s="1" t="s">
        <v>550</v>
      </c>
      <c r="FI1815" s="1" t="s">
        <v>357</v>
      </c>
      <c r="FJ1815" s="1" t="s">
        <v>1179</v>
      </c>
      <c r="FL1815" s="1" t="s">
        <v>358</v>
      </c>
      <c r="FM1815" s="1" t="s">
        <v>252</v>
      </c>
      <c r="FN1815" s="1" t="s">
        <v>213</v>
      </c>
      <c r="FO1815" s="1" t="s">
        <v>213</v>
      </c>
      <c r="FQ1815" s="1" t="s">
        <v>2017</v>
      </c>
      <c r="FR1815" s="1" t="s">
        <v>360</v>
      </c>
      <c r="FS1815" s="1" t="s">
        <v>16092</v>
      </c>
      <c r="FT1815" s="1" t="s">
        <v>295</v>
      </c>
      <c r="FU1815" s="1" t="s">
        <v>204</v>
      </c>
      <c r="FW1815" s="1" t="s">
        <v>2019</v>
      </c>
      <c r="FX1815" s="1">
        <v>24007</v>
      </c>
      <c r="FY1815" s="1" t="s">
        <v>2020</v>
      </c>
      <c r="FZ1815" s="1" t="s">
        <v>16955</v>
      </c>
      <c r="GA1815" s="1">
        <v>219804</v>
      </c>
      <c r="GB1815" s="1" t="s">
        <v>16956</v>
      </c>
      <c r="GE1815" s="1" t="s">
        <v>480</v>
      </c>
      <c r="GH1815" s="1" t="s">
        <v>230</v>
      </c>
      <c r="GI1815" s="1" t="s">
        <v>213</v>
      </c>
      <c r="GJ1815" s="1" t="s">
        <v>260</v>
      </c>
      <c r="GK1815" s="1" t="s">
        <v>210</v>
      </c>
      <c r="GL1815" s="2">
        <v>42095</v>
      </c>
      <c r="GM1815" s="1" t="s">
        <v>16957</v>
      </c>
    </row>
    <row r="1816" spans="1:195">
      <c r="A1816" s="1">
        <v>24500</v>
      </c>
      <c r="B1816" s="1" t="s">
        <v>195</v>
      </c>
      <c r="C1816" s="1" t="str">
        <f>"08715658"</f>
        <v>08715658</v>
      </c>
      <c r="D1816" s="1" t="s">
        <v>196</v>
      </c>
      <c r="F1816" s="1" t="str">
        <f>"8069"</f>
        <v>8069</v>
      </c>
      <c r="G1816" s="2">
        <v>41882</v>
      </c>
      <c r="H1816" s="1">
        <v>24900</v>
      </c>
      <c r="I1816" s="1">
        <v>24900</v>
      </c>
      <c r="J1816" s="1">
        <v>24500</v>
      </c>
      <c r="K1816" s="2">
        <v>41881</v>
      </c>
      <c r="L1816" s="1">
        <v>10</v>
      </c>
      <c r="M1816" s="2">
        <v>41890</v>
      </c>
      <c r="N1816" s="1">
        <v>10</v>
      </c>
      <c r="O1816" s="2">
        <v>41890</v>
      </c>
      <c r="P1816" s="1">
        <v>17776</v>
      </c>
      <c r="Q1816" s="1" t="s">
        <v>302</v>
      </c>
      <c r="R1816" s="2">
        <v>41975</v>
      </c>
      <c r="S1816" s="1">
        <v>150115</v>
      </c>
      <c r="U1816" s="1">
        <v>917</v>
      </c>
      <c r="V1816" s="1" t="s">
        <v>8098</v>
      </c>
      <c r="W1816" s="1" t="s">
        <v>725</v>
      </c>
      <c r="X1816" s="1" t="s">
        <v>16958</v>
      </c>
      <c r="Y1816" s="1">
        <v>30</v>
      </c>
      <c r="Z1816" s="1" t="s">
        <v>249</v>
      </c>
      <c r="AA1816" s="1" t="s">
        <v>400</v>
      </c>
      <c r="AB1816" s="1">
        <v>60619</v>
      </c>
      <c r="AE1816" s="1" t="s">
        <v>16959</v>
      </c>
      <c r="AF1816" s="1">
        <v>1920</v>
      </c>
      <c r="AG1816" s="1" t="s">
        <v>213</v>
      </c>
      <c r="AH1816" s="1" t="s">
        <v>403</v>
      </c>
      <c r="AI1816" s="1" t="s">
        <v>310</v>
      </c>
      <c r="AJ1816" s="1" t="s">
        <v>562</v>
      </c>
      <c r="AL1816" s="1">
        <v>5</v>
      </c>
      <c r="AM1816" s="1">
        <v>2</v>
      </c>
      <c r="AN1816" s="1">
        <v>2</v>
      </c>
      <c r="AO1816" s="1">
        <v>0</v>
      </c>
      <c r="AP1816" s="1" t="s">
        <v>209</v>
      </c>
      <c r="AQ1816" s="1">
        <v>0</v>
      </c>
      <c r="AR1816" s="1" t="s">
        <v>210</v>
      </c>
      <c r="AS1816" s="1" t="s">
        <v>204</v>
      </c>
      <c r="AT1816" s="1" t="s">
        <v>210</v>
      </c>
      <c r="AW1816" s="1" t="s">
        <v>204</v>
      </c>
      <c r="AX1816" s="1" t="s">
        <v>212</v>
      </c>
      <c r="AZ1816" s="1">
        <v>1362.16</v>
      </c>
      <c r="BA1816" s="1">
        <v>2012</v>
      </c>
      <c r="BE1816" s="1">
        <v>850</v>
      </c>
      <c r="BF1816" s="1">
        <v>1</v>
      </c>
      <c r="BG1816" s="1">
        <v>0</v>
      </c>
      <c r="BL1816" s="1">
        <v>218</v>
      </c>
      <c r="BM1816" s="1" t="s">
        <v>213</v>
      </c>
      <c r="BN1816" s="1" t="s">
        <v>213</v>
      </c>
      <c r="BP1816" s="1" t="s">
        <v>204</v>
      </c>
      <c r="BR1816" s="1" t="str">
        <f>"20263190381007"</f>
        <v>20263190381007</v>
      </c>
      <c r="BT1816" s="1" t="s">
        <v>16960</v>
      </c>
      <c r="BX1816" s="1">
        <v>299</v>
      </c>
      <c r="BY1816" s="1">
        <v>299</v>
      </c>
      <c r="BZ1816" s="1">
        <v>299</v>
      </c>
      <c r="CB1816" s="1" t="str">
        <f t="shared" ref="CB1816:CB1817" si="1376">"0"</f>
        <v>0</v>
      </c>
      <c r="CC1816" s="1" t="str">
        <f>"900"</f>
        <v>900</v>
      </c>
      <c r="CD1816" s="1">
        <v>0</v>
      </c>
      <c r="CE1816" s="1">
        <v>7800</v>
      </c>
      <c r="CG1816" s="1" t="s">
        <v>465</v>
      </c>
      <c r="CH1816" s="1" t="s">
        <v>219</v>
      </c>
      <c r="CK1816" s="1" t="s">
        <v>461</v>
      </c>
      <c r="CL1816" s="1" t="s">
        <v>219</v>
      </c>
      <c r="CM1816" s="1" t="s">
        <v>438</v>
      </c>
      <c r="CO1816" s="1" t="s">
        <v>629</v>
      </c>
      <c r="CP1816" s="1" t="s">
        <v>219</v>
      </c>
      <c r="CS1816" s="1" t="s">
        <v>1046</v>
      </c>
      <c r="CT1816" s="1" t="s">
        <v>219</v>
      </c>
      <c r="CU1816" s="1" t="s">
        <v>438</v>
      </c>
      <c r="CX1816" s="1" t="s">
        <v>224</v>
      </c>
      <c r="DB1816" s="1" t="s">
        <v>224</v>
      </c>
      <c r="DE1816" s="1" t="s">
        <v>6226</v>
      </c>
      <c r="DF1816" s="1" t="s">
        <v>219</v>
      </c>
      <c r="DJ1816" s="1" t="s">
        <v>224</v>
      </c>
      <c r="DS1816" s="1" t="s">
        <v>230</v>
      </c>
      <c r="DW1816" s="1" t="s">
        <v>230</v>
      </c>
      <c r="EA1816" s="1" t="s">
        <v>230</v>
      </c>
      <c r="EE1816" s="1" t="s">
        <v>230</v>
      </c>
      <c r="EI1816" s="1" t="s">
        <v>230</v>
      </c>
      <c r="EL1816" s="1" t="s">
        <v>2521</v>
      </c>
      <c r="EM1816" s="1" t="s">
        <v>319</v>
      </c>
      <c r="EN1816" s="1" t="s">
        <v>282</v>
      </c>
      <c r="EO1816" s="1" t="s">
        <v>234</v>
      </c>
      <c r="ER1816" s="1" t="s">
        <v>210</v>
      </c>
      <c r="ET1816" s="1" t="s">
        <v>1752</v>
      </c>
      <c r="EW1816" s="1" t="s">
        <v>937</v>
      </c>
      <c r="EZ1816" s="1" t="s">
        <v>287</v>
      </c>
      <c r="FB1816" s="1" t="s">
        <v>289</v>
      </c>
      <c r="FD1816" s="1" t="s">
        <v>736</v>
      </c>
      <c r="FE1816" s="1" t="s">
        <v>247</v>
      </c>
      <c r="FF1816" s="1" t="s">
        <v>248</v>
      </c>
      <c r="FH1816" s="1" t="s">
        <v>249</v>
      </c>
      <c r="FL1816" s="1" t="s">
        <v>414</v>
      </c>
      <c r="FM1816" s="1" t="s">
        <v>252</v>
      </c>
      <c r="FN1816" s="1" t="s">
        <v>213</v>
      </c>
      <c r="FO1816" s="1" t="s">
        <v>213</v>
      </c>
      <c r="FQ1816" s="1" t="s">
        <v>16961</v>
      </c>
      <c r="FR1816" s="1" t="s">
        <v>360</v>
      </c>
      <c r="FS1816" s="1" t="s">
        <v>1575</v>
      </c>
      <c r="FT1816" s="1" t="s">
        <v>295</v>
      </c>
      <c r="FU1816" s="1" t="s">
        <v>204</v>
      </c>
      <c r="FW1816" s="1" t="s">
        <v>16009</v>
      </c>
      <c r="FX1816" s="1">
        <v>17776</v>
      </c>
      <c r="FY1816" s="1" t="s">
        <v>16010</v>
      </c>
      <c r="FZ1816" s="1" t="s">
        <v>16962</v>
      </c>
      <c r="GA1816" s="1">
        <v>166082</v>
      </c>
      <c r="GB1816" s="1" t="s">
        <v>16963</v>
      </c>
      <c r="GE1816" s="1" t="s">
        <v>210</v>
      </c>
      <c r="GH1816" s="1" t="s">
        <v>800</v>
      </c>
      <c r="GI1816" s="1" t="s">
        <v>213</v>
      </c>
      <c r="GJ1816" s="1" t="s">
        <v>260</v>
      </c>
      <c r="GK1816" s="1" t="s">
        <v>210</v>
      </c>
      <c r="GL1816" s="2">
        <v>41979</v>
      </c>
      <c r="GM1816" s="2" t="s">
        <v>16964</v>
      </c>
    </row>
    <row r="1817" spans="1:195">
      <c r="A1817" s="1">
        <v>117000</v>
      </c>
      <c r="B1817" s="1" t="s">
        <v>195</v>
      </c>
      <c r="C1817" s="1" t="str">
        <f>"08715411"</f>
        <v>08715411</v>
      </c>
      <c r="D1817" s="1" t="s">
        <v>196</v>
      </c>
      <c r="F1817" s="1" t="str">
        <f>"532"</f>
        <v>532</v>
      </c>
      <c r="G1817" s="2">
        <v>41881</v>
      </c>
      <c r="H1817" s="1">
        <v>124500</v>
      </c>
      <c r="I1817" s="1">
        <v>122500</v>
      </c>
      <c r="J1817" s="1">
        <v>117000</v>
      </c>
      <c r="K1817" s="2">
        <v>41881</v>
      </c>
      <c r="L1817" s="1">
        <v>183</v>
      </c>
      <c r="M1817" s="2">
        <v>42063</v>
      </c>
      <c r="N1817" s="1">
        <v>183</v>
      </c>
      <c r="O1817" s="2">
        <v>42063</v>
      </c>
      <c r="P1817" s="1">
        <v>22616</v>
      </c>
      <c r="Q1817" s="1" t="s">
        <v>197</v>
      </c>
      <c r="R1817" s="2">
        <v>42103</v>
      </c>
      <c r="S1817" s="1">
        <v>220478</v>
      </c>
      <c r="U1817" s="1">
        <v>5600</v>
      </c>
      <c r="V1817" s="1" t="s">
        <v>9833</v>
      </c>
      <c r="W1817" s="1" t="s">
        <v>504</v>
      </c>
      <c r="X1817" s="1" t="s">
        <v>2909</v>
      </c>
      <c r="Y1817" s="1">
        <v>47</v>
      </c>
      <c r="Z1817" s="1" t="s">
        <v>200</v>
      </c>
      <c r="AA1817" s="1" t="s">
        <v>1566</v>
      </c>
      <c r="AB1817" s="1">
        <v>60532</v>
      </c>
      <c r="AD1817" s="1" t="s">
        <v>16965</v>
      </c>
      <c r="AE1817" s="1" t="s">
        <v>16966</v>
      </c>
      <c r="AF1817" s="1">
        <v>1966</v>
      </c>
      <c r="AG1817" s="1" t="s">
        <v>213</v>
      </c>
      <c r="AH1817" s="1" t="s">
        <v>882</v>
      </c>
      <c r="AI1817" s="1" t="s">
        <v>206</v>
      </c>
      <c r="AJ1817" s="1" t="s">
        <v>925</v>
      </c>
      <c r="AK1817" s="1" t="s">
        <v>1151</v>
      </c>
      <c r="AL1817" s="1">
        <v>5</v>
      </c>
      <c r="AM1817" s="1">
        <v>2</v>
      </c>
      <c r="AN1817" s="1">
        <v>1</v>
      </c>
      <c r="AO1817" s="1">
        <v>1</v>
      </c>
      <c r="AP1817" s="1" t="s">
        <v>1234</v>
      </c>
      <c r="AQ1817" s="1">
        <v>1</v>
      </c>
      <c r="AR1817" s="1" t="s">
        <v>210</v>
      </c>
      <c r="AS1817" s="1" t="s">
        <v>204</v>
      </c>
      <c r="AT1817" s="1" t="s">
        <v>271</v>
      </c>
      <c r="AV1817" s="1">
        <v>1</v>
      </c>
      <c r="AW1817" s="1" t="s">
        <v>204</v>
      </c>
      <c r="AX1817" s="1" t="s">
        <v>212</v>
      </c>
      <c r="AZ1817" s="1">
        <v>2204</v>
      </c>
      <c r="BA1817" s="1">
        <v>2013</v>
      </c>
      <c r="BE1817" s="1">
        <v>990</v>
      </c>
      <c r="BF1817" s="1">
        <v>2</v>
      </c>
      <c r="BG1817" s="1">
        <v>0</v>
      </c>
      <c r="BL1817" s="1">
        <v>331</v>
      </c>
      <c r="BM1817" s="1" t="s">
        <v>204</v>
      </c>
      <c r="BN1817" s="1" t="s">
        <v>213</v>
      </c>
      <c r="BO1817" s="1">
        <v>999</v>
      </c>
      <c r="BP1817" s="1" t="s">
        <v>204</v>
      </c>
      <c r="BR1817" s="1" t="str">
        <f>"0815105417"</f>
        <v>0815105417</v>
      </c>
      <c r="BT1817" s="1" t="s">
        <v>16967</v>
      </c>
      <c r="BU1817" s="1" t="s">
        <v>3190</v>
      </c>
      <c r="BV1817" s="1" t="s">
        <v>2856</v>
      </c>
      <c r="BW1817" s="1" t="s">
        <v>2762</v>
      </c>
      <c r="BX1817" s="1">
        <v>68</v>
      </c>
      <c r="BY1817" s="1">
        <v>68</v>
      </c>
      <c r="BZ1817" s="1">
        <v>99</v>
      </c>
      <c r="CB1817" s="1" t="str">
        <f t="shared" si="1376"/>
        <v>0</v>
      </c>
      <c r="CC1817" s="1" t="str">
        <f>"0"</f>
        <v>0</v>
      </c>
      <c r="CD1817" s="1">
        <v>23</v>
      </c>
      <c r="CE1817" s="1">
        <v>6</v>
      </c>
      <c r="CG1817" s="1" t="s">
        <v>3684</v>
      </c>
      <c r="CH1817" s="1" t="s">
        <v>277</v>
      </c>
      <c r="CI1817" s="1" t="s">
        <v>220</v>
      </c>
      <c r="CK1817" s="1" t="s">
        <v>278</v>
      </c>
      <c r="CL1817" s="1" t="s">
        <v>277</v>
      </c>
      <c r="CM1817" s="1" t="s">
        <v>220</v>
      </c>
      <c r="CO1817" s="1" t="s">
        <v>2031</v>
      </c>
      <c r="CP1817" s="1" t="s">
        <v>277</v>
      </c>
      <c r="CQ1817" s="1" t="s">
        <v>229</v>
      </c>
      <c r="CS1817" s="1" t="s">
        <v>539</v>
      </c>
      <c r="CT1817" s="1" t="s">
        <v>277</v>
      </c>
      <c r="CU1817" s="1" t="s">
        <v>220</v>
      </c>
      <c r="CX1817" s="1" t="s">
        <v>224</v>
      </c>
      <c r="DB1817" s="1" t="s">
        <v>224</v>
      </c>
      <c r="DE1817" s="1" t="s">
        <v>316</v>
      </c>
      <c r="DF1817" s="1" t="s">
        <v>277</v>
      </c>
      <c r="DG1817" s="1" t="s">
        <v>229</v>
      </c>
      <c r="DH1817" s="1" t="s">
        <v>210</v>
      </c>
      <c r="DJ1817" s="1" t="s">
        <v>224</v>
      </c>
      <c r="DS1817" s="1" t="s">
        <v>230</v>
      </c>
      <c r="DW1817" s="1" t="s">
        <v>230</v>
      </c>
      <c r="EA1817" s="1" t="s">
        <v>230</v>
      </c>
      <c r="EE1817" s="1" t="s">
        <v>230</v>
      </c>
      <c r="EI1817" s="1" t="s">
        <v>230</v>
      </c>
      <c r="EL1817" s="1" t="s">
        <v>605</v>
      </c>
      <c r="EM1817" s="1" t="s">
        <v>232</v>
      </c>
      <c r="EN1817" s="1" t="s">
        <v>282</v>
      </c>
      <c r="EO1817" s="1" t="s">
        <v>234</v>
      </c>
      <c r="EP1817" s="1" t="s">
        <v>16968</v>
      </c>
      <c r="EQ1817" s="1" t="s">
        <v>236</v>
      </c>
      <c r="ER1817" s="1" t="s">
        <v>210</v>
      </c>
      <c r="ES1817" s="1" t="s">
        <v>545</v>
      </c>
      <c r="EU1817" s="1" t="s">
        <v>14886</v>
      </c>
      <c r="EV1817" s="1" t="s">
        <v>324</v>
      </c>
      <c r="EW1817" s="1" t="s">
        <v>16969</v>
      </c>
      <c r="EY1817" s="1" t="s">
        <v>441</v>
      </c>
      <c r="EZ1817" s="1" t="s">
        <v>287</v>
      </c>
      <c r="FA1817" s="1" t="s">
        <v>6535</v>
      </c>
      <c r="FB1817" s="1" t="s">
        <v>16970</v>
      </c>
      <c r="FC1817" s="1" t="s">
        <v>633</v>
      </c>
      <c r="FD1817" s="1" t="s">
        <v>9497</v>
      </c>
      <c r="FE1817" s="1" t="s">
        <v>247</v>
      </c>
      <c r="FF1817" s="1" t="s">
        <v>248</v>
      </c>
      <c r="FG1817" s="1" t="s">
        <v>939</v>
      </c>
      <c r="FH1817" s="1" t="s">
        <v>249</v>
      </c>
      <c r="FJ1817" s="1" t="s">
        <v>1179</v>
      </c>
      <c r="FK1817" s="1" t="s">
        <v>291</v>
      </c>
      <c r="FL1817" s="1" t="s">
        <v>358</v>
      </c>
      <c r="FM1817" s="1" t="s">
        <v>252</v>
      </c>
      <c r="FN1817" s="1" t="s">
        <v>213</v>
      </c>
      <c r="FO1817" s="1" t="s">
        <v>213</v>
      </c>
      <c r="FQ1817" s="1" t="s">
        <v>13065</v>
      </c>
      <c r="FR1817" s="1" t="s">
        <v>210</v>
      </c>
      <c r="FS1817" s="1" t="s">
        <v>16971</v>
      </c>
      <c r="FT1817" s="1" t="s">
        <v>362</v>
      </c>
      <c r="FU1817" s="1" t="s">
        <v>204</v>
      </c>
      <c r="FW1817" s="1" t="s">
        <v>5648</v>
      </c>
      <c r="FX1817" s="1">
        <v>23099</v>
      </c>
      <c r="FY1817" s="1" t="s">
        <v>5649</v>
      </c>
      <c r="FZ1817" s="1" t="s">
        <v>16972</v>
      </c>
      <c r="GA1817" s="1">
        <v>219933</v>
      </c>
      <c r="GB1817" s="1" t="s">
        <v>16973</v>
      </c>
      <c r="GE1817" s="1" t="s">
        <v>1764</v>
      </c>
      <c r="GI1817" s="1" t="s">
        <v>213</v>
      </c>
      <c r="GJ1817" s="1" t="s">
        <v>260</v>
      </c>
      <c r="GK1817" s="1" t="s">
        <v>261</v>
      </c>
      <c r="GL1817" s="2">
        <v>42104</v>
      </c>
      <c r="GM1817" s="1" t="s">
        <v>16974</v>
      </c>
    </row>
    <row r="1818" spans="1:195">
      <c r="A1818" s="1">
        <v>265000</v>
      </c>
      <c r="B1818" s="1" t="s">
        <v>195</v>
      </c>
      <c r="C1818" s="1" t="str">
        <f>"08729224"</f>
        <v>08729224</v>
      </c>
      <c r="D1818" s="1" t="s">
        <v>196</v>
      </c>
      <c r="F1818" s="1" t="str">
        <f>"546"</f>
        <v>546</v>
      </c>
      <c r="G1818" s="2">
        <v>41898</v>
      </c>
      <c r="H1818" s="1">
        <v>299900</v>
      </c>
      <c r="I1818" s="1">
        <v>299900</v>
      </c>
      <c r="J1818" s="1">
        <v>265000</v>
      </c>
      <c r="K1818" s="2">
        <v>41898</v>
      </c>
      <c r="L1818" s="1">
        <v>248</v>
      </c>
      <c r="M1818" s="2">
        <v>42011</v>
      </c>
      <c r="N1818" s="1">
        <v>114</v>
      </c>
      <c r="O1818" s="2">
        <v>42011</v>
      </c>
      <c r="P1818" s="1">
        <v>23605</v>
      </c>
      <c r="Q1818" s="1" t="s">
        <v>197</v>
      </c>
      <c r="R1818" s="2">
        <v>42049</v>
      </c>
      <c r="S1818" s="1">
        <v>224084</v>
      </c>
      <c r="U1818" s="1">
        <v>241</v>
      </c>
      <c r="V1818" s="1" t="s">
        <v>2756</v>
      </c>
      <c r="W1818" s="1" t="s">
        <v>725</v>
      </c>
      <c r="X1818" s="1" t="s">
        <v>1000</v>
      </c>
      <c r="Y1818" s="1">
        <v>5</v>
      </c>
      <c r="Z1818" s="1" t="s">
        <v>200</v>
      </c>
      <c r="AA1818" s="1" t="s">
        <v>3906</v>
      </c>
      <c r="AB1818" s="1">
        <v>60546</v>
      </c>
      <c r="AE1818" s="1" t="s">
        <v>16975</v>
      </c>
      <c r="AF1818" s="1">
        <v>1982</v>
      </c>
      <c r="AG1818" s="1" t="s">
        <v>204</v>
      </c>
      <c r="AH1818" s="1" t="s">
        <v>3908</v>
      </c>
      <c r="AI1818" s="1" t="s">
        <v>310</v>
      </c>
      <c r="AJ1818" s="1" t="s">
        <v>3908</v>
      </c>
      <c r="AL1818" s="1">
        <v>8</v>
      </c>
      <c r="AM1818" s="1">
        <v>2</v>
      </c>
      <c r="AN1818" s="1">
        <v>3</v>
      </c>
      <c r="AO1818" s="1">
        <v>0</v>
      </c>
      <c r="AP1818" s="1" t="s">
        <v>209</v>
      </c>
      <c r="AQ1818" s="1">
        <v>1</v>
      </c>
      <c r="AR1818" s="1" t="s">
        <v>210</v>
      </c>
      <c r="AS1818" s="1" t="s">
        <v>204</v>
      </c>
      <c r="AT1818" s="1" t="s">
        <v>211</v>
      </c>
      <c r="AU1818" s="1">
        <v>2</v>
      </c>
      <c r="AW1818" s="1" t="s">
        <v>204</v>
      </c>
      <c r="AX1818" s="1" t="s">
        <v>16976</v>
      </c>
      <c r="AZ1818" s="1">
        <v>7928.47</v>
      </c>
      <c r="BA1818" s="1">
        <v>2012</v>
      </c>
      <c r="BE1818" s="1">
        <v>3135</v>
      </c>
      <c r="BF1818" s="1">
        <v>1</v>
      </c>
      <c r="BG1818" s="1">
        <v>30</v>
      </c>
      <c r="BL1818" s="1">
        <v>260</v>
      </c>
      <c r="BM1818" s="1" t="s">
        <v>204</v>
      </c>
      <c r="BN1818" s="1" t="s">
        <v>213</v>
      </c>
      <c r="BO1818" s="1">
        <v>30</v>
      </c>
      <c r="BP1818" s="1" t="s">
        <v>204</v>
      </c>
      <c r="BR1818" s="1" t="str">
        <f>"15362110410000"</f>
        <v>15362110410000</v>
      </c>
      <c r="BT1818" s="1" t="s">
        <v>16977</v>
      </c>
      <c r="BX1818" s="1">
        <v>96</v>
      </c>
      <c r="BY1818" s="1">
        <v>96</v>
      </c>
      <c r="BZ1818" s="1">
        <v>208</v>
      </c>
      <c r="CB1818" s="1" t="str">
        <f t="shared" ref="CB1818:CC1818" si="1377">""</f>
        <v/>
      </c>
      <c r="CC1818" s="1" t="str">
        <f t="shared" si="1377"/>
        <v/>
      </c>
      <c r="CG1818" s="1" t="s">
        <v>16978</v>
      </c>
      <c r="CH1818" s="1" t="s">
        <v>219</v>
      </c>
      <c r="CI1818" s="1" t="s">
        <v>220</v>
      </c>
      <c r="CK1818" s="1" t="s">
        <v>3656</v>
      </c>
      <c r="CL1818" s="1" t="s">
        <v>277</v>
      </c>
      <c r="CM1818" s="1" t="s">
        <v>220</v>
      </c>
      <c r="CO1818" s="1" t="s">
        <v>1403</v>
      </c>
      <c r="CP1818" s="1" t="s">
        <v>219</v>
      </c>
      <c r="CQ1818" s="1" t="s">
        <v>220</v>
      </c>
      <c r="CS1818" s="1" t="s">
        <v>5319</v>
      </c>
      <c r="CT1818" s="1" t="s">
        <v>277</v>
      </c>
      <c r="CU1818" s="1" t="s">
        <v>220</v>
      </c>
      <c r="CX1818" s="1" t="s">
        <v>224</v>
      </c>
      <c r="DB1818" s="1" t="s">
        <v>224</v>
      </c>
      <c r="DE1818" s="1" t="s">
        <v>437</v>
      </c>
      <c r="DF1818" s="1" t="s">
        <v>219</v>
      </c>
      <c r="DG1818" s="1" t="s">
        <v>220</v>
      </c>
      <c r="DI1818" s="1" t="s">
        <v>462</v>
      </c>
      <c r="DJ1818" s="1" t="s">
        <v>277</v>
      </c>
      <c r="DK1818" s="1" t="s">
        <v>220</v>
      </c>
      <c r="DM1818" s="1" t="s">
        <v>227</v>
      </c>
      <c r="DN1818" s="1" t="s">
        <v>12913</v>
      </c>
      <c r="DO1818" s="1" t="s">
        <v>709</v>
      </c>
      <c r="DR1818" s="1" t="s">
        <v>3460</v>
      </c>
      <c r="DS1818" s="1" t="s">
        <v>219</v>
      </c>
      <c r="DT1818" s="1" t="s">
        <v>220</v>
      </c>
      <c r="DV1818" s="1" t="s">
        <v>2935</v>
      </c>
      <c r="DW1818" s="1" t="s">
        <v>277</v>
      </c>
      <c r="DX1818" s="1" t="s">
        <v>220</v>
      </c>
      <c r="DZ1818" s="1" t="s">
        <v>6249</v>
      </c>
      <c r="EA1818" s="1" t="s">
        <v>219</v>
      </c>
      <c r="EE1818" s="1" t="s">
        <v>230</v>
      </c>
      <c r="EI1818" s="1" t="s">
        <v>230</v>
      </c>
      <c r="EL1818" s="1" t="s">
        <v>231</v>
      </c>
      <c r="EM1818" s="1" t="s">
        <v>232</v>
      </c>
      <c r="EN1818" s="1" t="s">
        <v>282</v>
      </c>
      <c r="EO1818" s="1" t="s">
        <v>234</v>
      </c>
      <c r="ER1818" s="1" t="s">
        <v>210</v>
      </c>
      <c r="EW1818" s="1" t="s">
        <v>353</v>
      </c>
      <c r="EZ1818" s="1" t="s">
        <v>16979</v>
      </c>
      <c r="FD1818" s="1" t="s">
        <v>246</v>
      </c>
      <c r="FE1818" s="1" t="s">
        <v>16980</v>
      </c>
      <c r="FF1818" s="1" t="s">
        <v>1113</v>
      </c>
      <c r="FH1818" s="1" t="s">
        <v>550</v>
      </c>
      <c r="FL1818" s="1" t="s">
        <v>810</v>
      </c>
      <c r="FM1818" s="1" t="s">
        <v>252</v>
      </c>
      <c r="FN1818" s="1" t="s">
        <v>213</v>
      </c>
      <c r="FO1818" s="1" t="s">
        <v>213</v>
      </c>
      <c r="FQ1818" s="1" t="s">
        <v>16981</v>
      </c>
      <c r="FR1818" s="1" t="s">
        <v>210</v>
      </c>
      <c r="FS1818" s="1" t="s">
        <v>16982</v>
      </c>
      <c r="FT1818" s="1" t="s">
        <v>362</v>
      </c>
      <c r="FU1818" s="1" t="s">
        <v>204</v>
      </c>
      <c r="FW1818" s="1" t="s">
        <v>9649</v>
      </c>
      <c r="FX1818" s="1">
        <v>22300</v>
      </c>
      <c r="FY1818" s="1" t="s">
        <v>9650</v>
      </c>
      <c r="FZ1818" s="1" t="s">
        <v>10394</v>
      </c>
      <c r="GA1818" s="1">
        <v>224002</v>
      </c>
      <c r="GB1818" s="1" t="s">
        <v>10395</v>
      </c>
      <c r="GE1818" s="1" t="s">
        <v>1333</v>
      </c>
      <c r="GH1818" s="1" t="s">
        <v>800</v>
      </c>
      <c r="GI1818" s="1" t="s">
        <v>213</v>
      </c>
      <c r="GJ1818" s="1" t="s">
        <v>260</v>
      </c>
      <c r="GK1818" s="1" t="s">
        <v>210</v>
      </c>
      <c r="GL1818" s="2">
        <v>42050</v>
      </c>
    </row>
    <row r="1819" spans="1:195">
      <c r="A1819" s="1">
        <v>155500</v>
      </c>
      <c r="B1819" s="1" t="s">
        <v>195</v>
      </c>
      <c r="C1819" s="1" t="str">
        <f>"08721744"</f>
        <v>08721744</v>
      </c>
      <c r="D1819" s="1" t="s">
        <v>196</v>
      </c>
      <c r="F1819" s="1" t="str">
        <f>"107"</f>
        <v>107</v>
      </c>
      <c r="G1819" s="2">
        <v>41890</v>
      </c>
      <c r="H1819" s="1">
        <v>169900</v>
      </c>
      <c r="I1819" s="1">
        <v>165000</v>
      </c>
      <c r="J1819" s="1">
        <v>155500</v>
      </c>
      <c r="K1819" s="2">
        <v>41887</v>
      </c>
      <c r="L1819" s="1">
        <v>58</v>
      </c>
      <c r="M1819" s="2">
        <v>41944</v>
      </c>
      <c r="N1819" s="1">
        <v>58</v>
      </c>
      <c r="O1819" s="2">
        <v>41944</v>
      </c>
      <c r="P1819" s="1">
        <v>8073</v>
      </c>
      <c r="Q1819" s="1" t="s">
        <v>423</v>
      </c>
      <c r="R1819" s="2">
        <v>41978</v>
      </c>
      <c r="S1819" s="1">
        <v>245068</v>
      </c>
      <c r="U1819" s="1">
        <v>454</v>
      </c>
      <c r="V1819" s="1" t="s">
        <v>15228</v>
      </c>
      <c r="W1819" s="1" t="s">
        <v>504</v>
      </c>
      <c r="Y1819" s="1">
        <v>4</v>
      </c>
      <c r="Z1819" s="1" t="s">
        <v>370</v>
      </c>
      <c r="AA1819" s="1" t="s">
        <v>1211</v>
      </c>
      <c r="AB1819" s="1">
        <v>60107</v>
      </c>
      <c r="AD1819" s="1" t="s">
        <v>16983</v>
      </c>
      <c r="AE1819" s="1" t="s">
        <v>16984</v>
      </c>
      <c r="AF1819" s="1">
        <v>1986</v>
      </c>
      <c r="AG1819" s="1" t="s">
        <v>204</v>
      </c>
      <c r="AH1819" s="1" t="s">
        <v>1214</v>
      </c>
      <c r="AI1819" s="1" t="s">
        <v>310</v>
      </c>
      <c r="AJ1819" s="1" t="s">
        <v>374</v>
      </c>
      <c r="AK1819" s="1" t="s">
        <v>16985</v>
      </c>
      <c r="AL1819" s="1">
        <v>6</v>
      </c>
      <c r="AM1819" s="1">
        <v>2</v>
      </c>
      <c r="AN1819" s="1">
        <v>2</v>
      </c>
      <c r="AO1819" s="1">
        <v>1</v>
      </c>
      <c r="AP1819" s="1" t="s">
        <v>209</v>
      </c>
      <c r="AQ1819" s="1">
        <v>1</v>
      </c>
      <c r="AR1819" s="1" t="s">
        <v>210</v>
      </c>
      <c r="AT1819" s="1" t="s">
        <v>211</v>
      </c>
      <c r="AU1819" s="1">
        <v>1</v>
      </c>
      <c r="AW1819" s="1" t="s">
        <v>204</v>
      </c>
      <c r="AX1819" s="1" t="s">
        <v>212</v>
      </c>
      <c r="AZ1819" s="1">
        <v>3558</v>
      </c>
      <c r="BA1819" s="1">
        <v>2013</v>
      </c>
      <c r="BB1819" s="1" t="s">
        <v>405</v>
      </c>
      <c r="BE1819" s="1">
        <v>1384</v>
      </c>
      <c r="BF1819" s="1">
        <v>2</v>
      </c>
      <c r="BG1819" s="1">
        <v>0</v>
      </c>
      <c r="BL1819" s="1">
        <v>184</v>
      </c>
      <c r="BM1819" s="1" t="s">
        <v>204</v>
      </c>
      <c r="BN1819" s="1" t="s">
        <v>213</v>
      </c>
      <c r="BO1819" s="1">
        <v>999</v>
      </c>
      <c r="BP1819" s="1" t="s">
        <v>204</v>
      </c>
      <c r="BR1819" s="1" t="str">
        <f>"06154090430000"</f>
        <v>06154090430000</v>
      </c>
      <c r="BT1819" s="1" t="s">
        <v>16986</v>
      </c>
      <c r="BU1819" s="1" t="s">
        <v>3556</v>
      </c>
      <c r="BV1819" s="1" t="s">
        <v>3557</v>
      </c>
      <c r="BW1819" s="1" t="s">
        <v>1217</v>
      </c>
      <c r="BX1819" s="1">
        <v>46</v>
      </c>
      <c r="BY1819" s="1">
        <v>46</v>
      </c>
      <c r="BZ1819" s="1">
        <v>46</v>
      </c>
      <c r="CB1819" s="1" t="str">
        <f>"11"</f>
        <v>11</v>
      </c>
      <c r="CC1819" s="1" t="str">
        <f t="shared" ref="CC1819:CC1820" si="1378">"0"</f>
        <v>0</v>
      </c>
      <c r="CD1819" s="1">
        <v>29</v>
      </c>
      <c r="CE1819" s="1">
        <v>0</v>
      </c>
      <c r="CG1819" s="1" t="s">
        <v>7425</v>
      </c>
      <c r="CH1819" s="1" t="s">
        <v>219</v>
      </c>
      <c r="CI1819" s="1" t="s">
        <v>229</v>
      </c>
      <c r="CJ1819" s="1" t="s">
        <v>210</v>
      </c>
      <c r="CK1819" s="1" t="s">
        <v>539</v>
      </c>
      <c r="CL1819" s="1" t="s">
        <v>277</v>
      </c>
      <c r="CM1819" s="1" t="s">
        <v>220</v>
      </c>
      <c r="CN1819" s="1" t="s">
        <v>343</v>
      </c>
      <c r="CO1819" s="1" t="s">
        <v>629</v>
      </c>
      <c r="CP1819" s="1" t="s">
        <v>219</v>
      </c>
      <c r="CS1819" s="1" t="s">
        <v>465</v>
      </c>
      <c r="CT1819" s="1" t="s">
        <v>277</v>
      </c>
      <c r="CU1819" s="1" t="s">
        <v>220</v>
      </c>
      <c r="CV1819" s="1" t="s">
        <v>343</v>
      </c>
      <c r="CX1819" s="1" t="s">
        <v>224</v>
      </c>
      <c r="DB1819" s="1" t="s">
        <v>224</v>
      </c>
      <c r="DE1819" s="1" t="s">
        <v>1598</v>
      </c>
      <c r="DF1819" s="1" t="s">
        <v>219</v>
      </c>
      <c r="DG1819" s="1" t="s">
        <v>229</v>
      </c>
      <c r="DH1819" s="1" t="s">
        <v>252</v>
      </c>
      <c r="DJ1819" s="1" t="s">
        <v>224</v>
      </c>
      <c r="DM1819" s="1" t="s">
        <v>464</v>
      </c>
      <c r="DR1819" s="1" t="s">
        <v>318</v>
      </c>
      <c r="DS1819" s="1" t="s">
        <v>277</v>
      </c>
      <c r="DT1819" s="1" t="s">
        <v>220</v>
      </c>
      <c r="DU1819" s="1" t="s">
        <v>343</v>
      </c>
      <c r="DW1819" s="1" t="s">
        <v>230</v>
      </c>
      <c r="EA1819" s="1" t="s">
        <v>230</v>
      </c>
      <c r="EE1819" s="1" t="s">
        <v>230</v>
      </c>
      <c r="EI1819" s="1" t="s">
        <v>230</v>
      </c>
      <c r="EL1819" s="1" t="s">
        <v>542</v>
      </c>
      <c r="EM1819" s="1" t="s">
        <v>232</v>
      </c>
      <c r="EN1819" s="1" t="s">
        <v>282</v>
      </c>
      <c r="EO1819" s="1" t="s">
        <v>234</v>
      </c>
      <c r="EP1819" s="1" t="s">
        <v>283</v>
      </c>
      <c r="EQ1819" s="1" t="s">
        <v>1551</v>
      </c>
      <c r="ER1819" s="1" t="s">
        <v>383</v>
      </c>
      <c r="ES1819" s="1" t="s">
        <v>322</v>
      </c>
      <c r="ET1819" s="1" t="s">
        <v>238</v>
      </c>
      <c r="EW1819" s="1" t="s">
        <v>353</v>
      </c>
      <c r="EZ1819" s="1" t="s">
        <v>464</v>
      </c>
      <c r="FA1819" s="1" t="s">
        <v>1072</v>
      </c>
      <c r="FB1819" s="1" t="s">
        <v>289</v>
      </c>
      <c r="FD1819" s="1" t="s">
        <v>246</v>
      </c>
      <c r="FE1819" s="1" t="s">
        <v>472</v>
      </c>
      <c r="FF1819" s="1" t="s">
        <v>248</v>
      </c>
      <c r="FG1819" s="1" t="s">
        <v>2739</v>
      </c>
      <c r="FH1819" s="1" t="s">
        <v>550</v>
      </c>
      <c r="FI1819" s="1" t="s">
        <v>357</v>
      </c>
      <c r="FJ1819" s="1" t="s">
        <v>518</v>
      </c>
      <c r="FL1819" s="1" t="s">
        <v>358</v>
      </c>
      <c r="FM1819" s="1" t="s">
        <v>252</v>
      </c>
      <c r="FN1819" s="1" t="s">
        <v>213</v>
      </c>
      <c r="FO1819" s="1" t="s">
        <v>213</v>
      </c>
      <c r="FQ1819" s="1" t="s">
        <v>16987</v>
      </c>
      <c r="FR1819" s="1" t="s">
        <v>652</v>
      </c>
      <c r="FS1819" s="1" t="s">
        <v>16988</v>
      </c>
      <c r="FT1819" s="1" t="s">
        <v>16989</v>
      </c>
      <c r="FU1819" s="1" t="s">
        <v>204</v>
      </c>
      <c r="FW1819" s="1" t="s">
        <v>11878</v>
      </c>
      <c r="FX1819" s="1">
        <v>8390</v>
      </c>
      <c r="FY1819" s="1" t="s">
        <v>11879</v>
      </c>
      <c r="FZ1819" s="1" t="s">
        <v>16990</v>
      </c>
      <c r="GA1819" s="1">
        <v>80503</v>
      </c>
      <c r="GB1819" s="1" t="s">
        <v>16991</v>
      </c>
      <c r="GD1819" s="1" t="s">
        <v>16992</v>
      </c>
      <c r="GE1819" s="1" t="s">
        <v>1226</v>
      </c>
      <c r="GI1819" s="1" t="s">
        <v>213</v>
      </c>
      <c r="GJ1819" s="1" t="s">
        <v>260</v>
      </c>
      <c r="GK1819" s="1" t="s">
        <v>210</v>
      </c>
      <c r="GL1819" s="2">
        <v>41978</v>
      </c>
      <c r="GM1819" s="1" t="s">
        <v>16993</v>
      </c>
    </row>
    <row r="1820" spans="1:195">
      <c r="A1820" s="1">
        <v>75000</v>
      </c>
      <c r="B1820" s="1" t="s">
        <v>195</v>
      </c>
      <c r="C1820" s="1" t="str">
        <f>"08723217"</f>
        <v>08723217</v>
      </c>
      <c r="D1820" s="1" t="s">
        <v>196</v>
      </c>
      <c r="F1820" s="1" t="str">
        <f>"84"</f>
        <v>84</v>
      </c>
      <c r="G1820" s="2">
        <v>41891</v>
      </c>
      <c r="H1820" s="1">
        <v>117900</v>
      </c>
      <c r="I1820" s="1">
        <v>85000</v>
      </c>
      <c r="J1820" s="1">
        <v>75000</v>
      </c>
      <c r="K1820" s="2">
        <v>41891</v>
      </c>
      <c r="L1820" s="1">
        <v>429</v>
      </c>
      <c r="M1820" s="2">
        <v>42002</v>
      </c>
      <c r="N1820" s="1">
        <v>112</v>
      </c>
      <c r="O1820" s="2">
        <v>42002</v>
      </c>
      <c r="P1820" s="1">
        <v>25046</v>
      </c>
      <c r="Q1820" s="1" t="s">
        <v>423</v>
      </c>
      <c r="R1820" s="2">
        <v>42088</v>
      </c>
      <c r="S1820" s="1">
        <v>239238</v>
      </c>
      <c r="U1820" s="1">
        <v>460</v>
      </c>
      <c r="V1820" s="1" t="s">
        <v>1810</v>
      </c>
      <c r="W1820" s="1" t="s">
        <v>725</v>
      </c>
      <c r="X1820" s="1" t="s">
        <v>16994</v>
      </c>
      <c r="Y1820" s="1">
        <v>16</v>
      </c>
      <c r="Z1820" s="1" t="s">
        <v>249</v>
      </c>
      <c r="AA1820" s="1" t="s">
        <v>5871</v>
      </c>
      <c r="AB1820" s="1">
        <v>60084</v>
      </c>
      <c r="AD1820" s="1" t="s">
        <v>10014</v>
      </c>
      <c r="AE1820" s="1" t="s">
        <v>16995</v>
      </c>
      <c r="AF1820" s="1">
        <v>1974</v>
      </c>
      <c r="AG1820" s="1" t="s">
        <v>213</v>
      </c>
      <c r="AH1820" s="1" t="s">
        <v>2599</v>
      </c>
      <c r="AI1820" s="1" t="s">
        <v>509</v>
      </c>
      <c r="AJ1820" s="1" t="s">
        <v>2599</v>
      </c>
      <c r="AL1820" s="1">
        <v>5</v>
      </c>
      <c r="AM1820" s="1">
        <v>2</v>
      </c>
      <c r="AN1820" s="1">
        <v>2</v>
      </c>
      <c r="AO1820" s="1">
        <v>0</v>
      </c>
      <c r="AP1820" s="1" t="s">
        <v>209</v>
      </c>
      <c r="AQ1820" s="1">
        <v>1</v>
      </c>
      <c r="AR1820" s="1" t="s">
        <v>210</v>
      </c>
      <c r="AS1820" s="1" t="s">
        <v>204</v>
      </c>
      <c r="AT1820" s="1" t="s">
        <v>271</v>
      </c>
      <c r="AV1820" s="1">
        <v>2</v>
      </c>
      <c r="AW1820" s="1" t="s">
        <v>213</v>
      </c>
      <c r="AX1820" s="1" t="s">
        <v>1265</v>
      </c>
      <c r="AZ1820" s="1">
        <v>1274</v>
      </c>
      <c r="BA1820" s="1">
        <v>2013</v>
      </c>
      <c r="BE1820" s="1">
        <v>1102</v>
      </c>
      <c r="BF1820" s="1">
        <v>4</v>
      </c>
      <c r="BG1820" s="1">
        <v>30</v>
      </c>
      <c r="BL1820" s="1">
        <v>388</v>
      </c>
      <c r="BM1820" s="1" t="s">
        <v>204</v>
      </c>
      <c r="BN1820" s="1" t="s">
        <v>213</v>
      </c>
      <c r="BP1820" s="1" t="s">
        <v>204</v>
      </c>
      <c r="BR1820" s="1" t="str">
        <f>"09262040810000"</f>
        <v>09262040810000</v>
      </c>
      <c r="BT1820" s="1" t="s">
        <v>16996</v>
      </c>
      <c r="BU1820" s="1" t="s">
        <v>2603</v>
      </c>
      <c r="BV1820" s="1" t="s">
        <v>16997</v>
      </c>
      <c r="BW1820" s="1" t="s">
        <v>2605</v>
      </c>
      <c r="BX1820" s="1">
        <v>118</v>
      </c>
      <c r="BY1820" s="1">
        <v>118</v>
      </c>
      <c r="BZ1820" s="1">
        <v>118</v>
      </c>
      <c r="CB1820" s="1" t="str">
        <f>"27"</f>
        <v>27</v>
      </c>
      <c r="CC1820" s="1" t="str">
        <f t="shared" si="1378"/>
        <v>0</v>
      </c>
      <c r="CD1820" s="1">
        <v>26</v>
      </c>
      <c r="CE1820" s="1">
        <v>0</v>
      </c>
      <c r="CG1820" s="1" t="s">
        <v>601</v>
      </c>
      <c r="CH1820" s="1" t="s">
        <v>685</v>
      </c>
      <c r="CI1820" s="1" t="s">
        <v>220</v>
      </c>
      <c r="CK1820" s="1" t="s">
        <v>437</v>
      </c>
      <c r="CL1820" s="1" t="s">
        <v>685</v>
      </c>
      <c r="CM1820" s="1" t="s">
        <v>220</v>
      </c>
      <c r="CO1820" s="1" t="s">
        <v>837</v>
      </c>
      <c r="CP1820" s="1" t="s">
        <v>685</v>
      </c>
      <c r="CQ1820" s="1" t="s">
        <v>220</v>
      </c>
      <c r="CS1820" s="1" t="s">
        <v>757</v>
      </c>
      <c r="CT1820" s="1" t="s">
        <v>685</v>
      </c>
      <c r="CU1820" s="1" t="s">
        <v>220</v>
      </c>
      <c r="CX1820" s="1" t="s">
        <v>224</v>
      </c>
      <c r="DB1820" s="1" t="s">
        <v>224</v>
      </c>
      <c r="DE1820" s="1" t="s">
        <v>379</v>
      </c>
      <c r="DF1820" s="1" t="s">
        <v>685</v>
      </c>
      <c r="DG1820" s="1" t="s">
        <v>566</v>
      </c>
      <c r="DJ1820" s="1" t="s">
        <v>224</v>
      </c>
      <c r="DM1820" s="1" t="s">
        <v>838</v>
      </c>
      <c r="DR1820" s="1" t="s">
        <v>16998</v>
      </c>
      <c r="DS1820" s="1" t="s">
        <v>685</v>
      </c>
      <c r="DT1820" s="1" t="s">
        <v>347</v>
      </c>
      <c r="DU1820" s="1" t="s">
        <v>210</v>
      </c>
      <c r="DW1820" s="1" t="s">
        <v>230</v>
      </c>
      <c r="EA1820" s="1" t="s">
        <v>230</v>
      </c>
      <c r="EE1820" s="1" t="s">
        <v>230</v>
      </c>
      <c r="EI1820" s="1" t="s">
        <v>230</v>
      </c>
      <c r="EL1820" s="1" t="s">
        <v>231</v>
      </c>
      <c r="EM1820" s="1" t="s">
        <v>319</v>
      </c>
      <c r="EN1820" s="1" t="s">
        <v>282</v>
      </c>
      <c r="EO1820" s="1" t="s">
        <v>234</v>
      </c>
      <c r="EP1820" s="1" t="s">
        <v>16999</v>
      </c>
      <c r="EQ1820" s="1" t="s">
        <v>1109</v>
      </c>
      <c r="ER1820" s="1" t="s">
        <v>210</v>
      </c>
      <c r="ES1820" s="1" t="s">
        <v>493</v>
      </c>
      <c r="EU1820" s="1" t="s">
        <v>17000</v>
      </c>
      <c r="EV1820" s="1" t="s">
        <v>324</v>
      </c>
      <c r="EW1820" s="1" t="s">
        <v>17001</v>
      </c>
      <c r="EY1820" s="1" t="s">
        <v>2455</v>
      </c>
      <c r="EZ1820" s="1" t="s">
        <v>838</v>
      </c>
      <c r="FA1820" s="1" t="s">
        <v>3462</v>
      </c>
      <c r="FB1820" s="1" t="s">
        <v>289</v>
      </c>
      <c r="FD1820" s="1" t="s">
        <v>736</v>
      </c>
      <c r="FE1820" s="1" t="s">
        <v>247</v>
      </c>
      <c r="FF1820" s="1" t="s">
        <v>248</v>
      </c>
      <c r="FG1820" s="1" t="s">
        <v>939</v>
      </c>
      <c r="FH1820" s="1" t="s">
        <v>992</v>
      </c>
      <c r="FK1820" s="1" t="s">
        <v>17002</v>
      </c>
      <c r="FL1820" s="1" t="s">
        <v>292</v>
      </c>
      <c r="FM1820" s="1" t="s">
        <v>252</v>
      </c>
      <c r="FN1820" s="1" t="s">
        <v>213</v>
      </c>
      <c r="FO1820" s="1" t="s">
        <v>213</v>
      </c>
      <c r="FQ1820" s="1" t="s">
        <v>293</v>
      </c>
      <c r="FR1820" s="1" t="s">
        <v>360</v>
      </c>
      <c r="FS1820" s="1" t="s">
        <v>5061</v>
      </c>
      <c r="FT1820" s="1" t="s">
        <v>295</v>
      </c>
      <c r="FU1820" s="1" t="s">
        <v>204</v>
      </c>
      <c r="FW1820" s="1" t="s">
        <v>256</v>
      </c>
      <c r="FX1820" s="1">
        <v>8079</v>
      </c>
      <c r="FY1820" s="1" t="s">
        <v>3625</v>
      </c>
      <c r="FZ1820" s="1" t="s">
        <v>5062</v>
      </c>
      <c r="GA1820" s="1">
        <v>920884</v>
      </c>
      <c r="GB1820" s="1" t="s">
        <v>5063</v>
      </c>
      <c r="GE1820" s="1" t="s">
        <v>480</v>
      </c>
      <c r="GH1820" s="1" t="s">
        <v>230</v>
      </c>
      <c r="GI1820" s="1" t="s">
        <v>213</v>
      </c>
      <c r="GJ1820" s="1" t="s">
        <v>260</v>
      </c>
      <c r="GK1820" s="1" t="s">
        <v>261</v>
      </c>
      <c r="GL1820" s="2">
        <v>42089</v>
      </c>
      <c r="GM1820" s="1" t="s">
        <v>397</v>
      </c>
    </row>
    <row r="1821" spans="1:195">
      <c r="A1821" s="1">
        <v>132000</v>
      </c>
      <c r="B1821" s="1" t="s">
        <v>195</v>
      </c>
      <c r="C1821" s="1" t="str">
        <f>"08721252"</f>
        <v>08721252</v>
      </c>
      <c r="D1821" s="1" t="s">
        <v>196</v>
      </c>
      <c r="F1821" s="1" t="str">
        <f>"555"</f>
        <v>555</v>
      </c>
      <c r="G1821" s="2">
        <v>41888</v>
      </c>
      <c r="H1821" s="1">
        <v>155500</v>
      </c>
      <c r="I1821" s="1">
        <v>142500</v>
      </c>
      <c r="J1821" s="1">
        <v>132000</v>
      </c>
      <c r="K1821" s="2">
        <v>41887</v>
      </c>
      <c r="L1821" s="1">
        <v>60</v>
      </c>
      <c r="M1821" s="2">
        <v>41946</v>
      </c>
      <c r="N1821" s="1">
        <v>60</v>
      </c>
      <c r="O1821" s="2">
        <v>41946</v>
      </c>
      <c r="P1821" s="1">
        <v>25266</v>
      </c>
      <c r="Q1821" s="1" t="s">
        <v>197</v>
      </c>
      <c r="R1821" s="2">
        <v>41990</v>
      </c>
      <c r="S1821" s="1">
        <v>256677</v>
      </c>
      <c r="U1821" s="1" t="s">
        <v>17003</v>
      </c>
      <c r="V1821" s="1" t="s">
        <v>9371</v>
      </c>
      <c r="W1821" s="1" t="s">
        <v>264</v>
      </c>
      <c r="Y1821" s="1">
        <v>4</v>
      </c>
      <c r="Z1821" s="1" t="s">
        <v>370</v>
      </c>
      <c r="AA1821" s="1" t="s">
        <v>984</v>
      </c>
      <c r="AB1821" s="1">
        <v>60555</v>
      </c>
      <c r="AE1821" s="1" t="s">
        <v>17004</v>
      </c>
      <c r="AF1821" s="1">
        <v>1987</v>
      </c>
      <c r="AG1821" s="1" t="s">
        <v>204</v>
      </c>
      <c r="AH1821" s="1" t="s">
        <v>986</v>
      </c>
      <c r="AI1821" s="1" t="s">
        <v>206</v>
      </c>
      <c r="AJ1821" s="1" t="s">
        <v>987</v>
      </c>
      <c r="AL1821" s="1">
        <v>6</v>
      </c>
      <c r="AM1821" s="1">
        <v>2</v>
      </c>
      <c r="AN1821" s="1">
        <v>1</v>
      </c>
      <c r="AO1821" s="1">
        <v>1</v>
      </c>
      <c r="AP1821" s="1" t="s">
        <v>667</v>
      </c>
      <c r="AR1821" s="1" t="s">
        <v>210</v>
      </c>
      <c r="AS1821" s="1" t="s">
        <v>204</v>
      </c>
      <c r="AT1821" s="1" t="s">
        <v>211</v>
      </c>
      <c r="AU1821" s="1">
        <v>2</v>
      </c>
      <c r="AW1821" s="1" t="s">
        <v>204</v>
      </c>
      <c r="AX1821" s="1">
        <v>1092</v>
      </c>
      <c r="AZ1821" s="1">
        <v>3377</v>
      </c>
      <c r="BA1821" s="1">
        <v>2013</v>
      </c>
      <c r="BB1821" s="1" t="s">
        <v>210</v>
      </c>
      <c r="BE1821" s="1">
        <v>1403</v>
      </c>
      <c r="BF1821" s="1">
        <v>1</v>
      </c>
      <c r="BG1821" s="1">
        <v>0</v>
      </c>
      <c r="BL1821" s="1">
        <v>181</v>
      </c>
      <c r="BM1821" s="1" t="s">
        <v>413</v>
      </c>
      <c r="BN1821" s="1" t="s">
        <v>213</v>
      </c>
      <c r="BO1821" s="1">
        <v>0</v>
      </c>
      <c r="BP1821" s="1" t="s">
        <v>204</v>
      </c>
      <c r="BR1821" s="1" t="str">
        <f>"0427407025"</f>
        <v>0427407025</v>
      </c>
      <c r="BT1821" s="1" t="s">
        <v>17005</v>
      </c>
      <c r="BX1821" s="1">
        <v>200</v>
      </c>
      <c r="BY1821" s="1">
        <v>200</v>
      </c>
      <c r="BZ1821" s="1">
        <v>200</v>
      </c>
      <c r="CB1821" s="1" t="str">
        <f t="shared" ref="CB1821:CC1821" si="1379">""</f>
        <v/>
      </c>
      <c r="CC1821" s="1" t="str">
        <f t="shared" si="1379"/>
        <v/>
      </c>
      <c r="CG1821" s="1" t="s">
        <v>564</v>
      </c>
      <c r="CH1821" s="1" t="s">
        <v>219</v>
      </c>
      <c r="CK1821" s="1" t="s">
        <v>278</v>
      </c>
      <c r="CL1821" s="1" t="s">
        <v>277</v>
      </c>
      <c r="CO1821" s="1" t="s">
        <v>346</v>
      </c>
      <c r="CP1821" s="1" t="s">
        <v>219</v>
      </c>
      <c r="CS1821" s="1" t="s">
        <v>1297</v>
      </c>
      <c r="CT1821" s="1" t="s">
        <v>277</v>
      </c>
      <c r="CX1821" s="1" t="s">
        <v>224</v>
      </c>
      <c r="DB1821" s="1" t="s">
        <v>224</v>
      </c>
      <c r="DE1821" s="1" t="s">
        <v>346</v>
      </c>
      <c r="DF1821" s="1" t="s">
        <v>219</v>
      </c>
      <c r="DJ1821" s="1" t="s">
        <v>224</v>
      </c>
      <c r="DM1821" s="1" t="s">
        <v>464</v>
      </c>
      <c r="DR1821" s="1" t="s">
        <v>931</v>
      </c>
      <c r="DS1821" s="1" t="s">
        <v>277</v>
      </c>
      <c r="DW1821" s="1" t="s">
        <v>230</v>
      </c>
      <c r="EA1821" s="1" t="s">
        <v>230</v>
      </c>
      <c r="EE1821" s="1" t="s">
        <v>230</v>
      </c>
      <c r="EI1821" s="1" t="s">
        <v>230</v>
      </c>
      <c r="EL1821" s="1" t="s">
        <v>542</v>
      </c>
      <c r="EM1821" s="1" t="s">
        <v>232</v>
      </c>
      <c r="EN1821" s="1" t="s">
        <v>282</v>
      </c>
      <c r="EO1821" s="1" t="s">
        <v>234</v>
      </c>
      <c r="ER1821" s="1" t="s">
        <v>210</v>
      </c>
      <c r="EW1821" s="1" t="s">
        <v>3471</v>
      </c>
      <c r="EZ1821" s="1" t="s">
        <v>464</v>
      </c>
      <c r="FD1821" s="1" t="s">
        <v>246</v>
      </c>
      <c r="FE1821" s="1" t="s">
        <v>355</v>
      </c>
      <c r="FF1821" s="1" t="s">
        <v>248</v>
      </c>
      <c r="FH1821" s="1" t="s">
        <v>550</v>
      </c>
      <c r="FL1821" s="1" t="s">
        <v>358</v>
      </c>
      <c r="FM1821" s="1" t="s">
        <v>252</v>
      </c>
      <c r="FN1821" s="1" t="s">
        <v>213</v>
      </c>
      <c r="FO1821" s="1" t="s">
        <v>213</v>
      </c>
      <c r="FQ1821" s="1" t="s">
        <v>689</v>
      </c>
      <c r="FR1821" s="1" t="s">
        <v>210</v>
      </c>
      <c r="FS1821" s="1" t="s">
        <v>17006</v>
      </c>
      <c r="FT1821" s="1" t="s">
        <v>295</v>
      </c>
      <c r="FU1821" s="1" t="s">
        <v>204</v>
      </c>
      <c r="FW1821" s="1" t="s">
        <v>1961</v>
      </c>
      <c r="FX1821" s="1">
        <v>20150</v>
      </c>
      <c r="FY1821" s="1" t="s">
        <v>1962</v>
      </c>
      <c r="FZ1821" s="1" t="s">
        <v>1963</v>
      </c>
      <c r="GA1821" s="1">
        <v>211012</v>
      </c>
      <c r="GB1821" s="1" t="s">
        <v>1964</v>
      </c>
      <c r="GC1821" s="1">
        <v>226083</v>
      </c>
      <c r="GE1821" s="1" t="s">
        <v>210</v>
      </c>
      <c r="GI1821" s="1" t="s">
        <v>213</v>
      </c>
      <c r="GJ1821" s="1" t="s">
        <v>260</v>
      </c>
      <c r="GK1821" s="1" t="s">
        <v>261</v>
      </c>
      <c r="GL1821" s="2">
        <v>41991</v>
      </c>
      <c r="GM1821" s="1" t="s">
        <v>10435</v>
      </c>
    </row>
    <row r="1822" spans="1:195">
      <c r="A1822" s="1">
        <v>105000</v>
      </c>
      <c r="B1822" s="1" t="s">
        <v>195</v>
      </c>
      <c r="C1822" s="1" t="str">
        <f>"08718390"</f>
        <v>08718390</v>
      </c>
      <c r="D1822" s="1" t="s">
        <v>196</v>
      </c>
      <c r="F1822" s="1" t="str">
        <f>"8074"</f>
        <v>8074</v>
      </c>
      <c r="G1822" s="2">
        <v>41885</v>
      </c>
      <c r="H1822" s="1">
        <v>129900</v>
      </c>
      <c r="I1822" s="1">
        <v>109900</v>
      </c>
      <c r="J1822" s="1">
        <v>105000</v>
      </c>
      <c r="K1822" s="2">
        <v>41885</v>
      </c>
      <c r="L1822" s="1">
        <v>104</v>
      </c>
      <c r="M1822" s="2">
        <v>41988</v>
      </c>
      <c r="N1822" s="1">
        <v>104</v>
      </c>
      <c r="O1822" s="2">
        <v>41988</v>
      </c>
      <c r="P1822" s="1">
        <v>24072</v>
      </c>
      <c r="Q1822" s="1" t="s">
        <v>197</v>
      </c>
      <c r="R1822" s="2">
        <v>42030</v>
      </c>
      <c r="S1822" s="1">
        <v>221662</v>
      </c>
      <c r="U1822" s="1">
        <v>3554</v>
      </c>
      <c r="V1822" s="1" t="s">
        <v>9550</v>
      </c>
      <c r="W1822" s="1" t="s">
        <v>725</v>
      </c>
      <c r="Y1822" s="1">
        <v>1</v>
      </c>
      <c r="Z1822" s="1" t="s">
        <v>200</v>
      </c>
      <c r="AA1822" s="1" t="s">
        <v>400</v>
      </c>
      <c r="AB1822" s="1">
        <v>60655</v>
      </c>
      <c r="AE1822" s="1" t="s">
        <v>17007</v>
      </c>
      <c r="AF1822" s="1">
        <v>1939</v>
      </c>
      <c r="AG1822" s="1" t="s">
        <v>213</v>
      </c>
      <c r="AH1822" s="1" t="s">
        <v>403</v>
      </c>
      <c r="AI1822" s="1" t="s">
        <v>310</v>
      </c>
      <c r="AJ1822" s="1" t="s">
        <v>683</v>
      </c>
      <c r="AK1822" s="1" t="s">
        <v>430</v>
      </c>
      <c r="AL1822" s="1">
        <v>5</v>
      </c>
      <c r="AM1822" s="1">
        <v>2</v>
      </c>
      <c r="AN1822" s="1">
        <v>1</v>
      </c>
      <c r="AO1822" s="1">
        <v>0</v>
      </c>
      <c r="AP1822" s="1" t="s">
        <v>210</v>
      </c>
      <c r="AR1822" s="1" t="s">
        <v>209</v>
      </c>
      <c r="AS1822" s="1" t="s">
        <v>204</v>
      </c>
      <c r="AT1822" s="1" t="s">
        <v>211</v>
      </c>
      <c r="AU1822" s="1">
        <v>1</v>
      </c>
      <c r="AW1822" s="1" t="s">
        <v>204</v>
      </c>
      <c r="AX1822" s="1">
        <v>3256</v>
      </c>
      <c r="AZ1822" s="1">
        <v>2345</v>
      </c>
      <c r="BA1822" s="1">
        <v>2012</v>
      </c>
      <c r="BE1822" s="1">
        <v>1138</v>
      </c>
      <c r="BF1822" s="1">
        <v>1</v>
      </c>
      <c r="BG1822" s="1">
        <v>0</v>
      </c>
      <c r="BL1822" s="1">
        <v>0</v>
      </c>
      <c r="BM1822" s="1" t="s">
        <v>204</v>
      </c>
      <c r="BN1822" s="1" t="s">
        <v>213</v>
      </c>
      <c r="BO1822" s="1" t="s">
        <v>5814</v>
      </c>
      <c r="BP1822" s="1" t="s">
        <v>204</v>
      </c>
      <c r="BR1822" s="1" t="str">
        <f>"24144161020000"</f>
        <v>24144161020000</v>
      </c>
      <c r="BT1822" s="1" t="s">
        <v>17008</v>
      </c>
      <c r="BX1822" s="1">
        <v>299</v>
      </c>
      <c r="BY1822" s="1">
        <v>299</v>
      </c>
      <c r="BZ1822" s="1">
        <v>299</v>
      </c>
      <c r="CB1822" s="1" t="str">
        <f t="shared" ref="CB1822:CC1822" si="1380">"0"</f>
        <v>0</v>
      </c>
      <c r="CC1822" s="1" t="str">
        <f t="shared" si="1380"/>
        <v>0</v>
      </c>
      <c r="CD1822" s="1">
        <v>3554</v>
      </c>
      <c r="CE1822" s="1">
        <v>11100</v>
      </c>
      <c r="CG1822" s="1" t="s">
        <v>1045</v>
      </c>
      <c r="CH1822" s="1" t="s">
        <v>219</v>
      </c>
      <c r="CK1822" s="1" t="s">
        <v>437</v>
      </c>
      <c r="CL1822" s="1" t="s">
        <v>277</v>
      </c>
      <c r="CO1822" s="1" t="s">
        <v>4648</v>
      </c>
      <c r="CP1822" s="1" t="s">
        <v>219</v>
      </c>
      <c r="CS1822" s="1" t="s">
        <v>318</v>
      </c>
      <c r="CT1822" s="1" t="s">
        <v>277</v>
      </c>
      <c r="CX1822" s="1" t="s">
        <v>224</v>
      </c>
      <c r="DB1822" s="1" t="s">
        <v>224</v>
      </c>
      <c r="DE1822" s="1" t="s">
        <v>630</v>
      </c>
      <c r="DF1822" s="1" t="s">
        <v>219</v>
      </c>
      <c r="DJ1822" s="1" t="s">
        <v>224</v>
      </c>
      <c r="DS1822" s="1" t="s">
        <v>230</v>
      </c>
      <c r="DW1822" s="1" t="s">
        <v>230</v>
      </c>
      <c r="EA1822" s="1" t="s">
        <v>230</v>
      </c>
      <c r="EE1822" s="1" t="s">
        <v>230</v>
      </c>
      <c r="EI1822" s="1" t="s">
        <v>230</v>
      </c>
      <c r="EL1822" s="1" t="s">
        <v>440</v>
      </c>
      <c r="EM1822" s="1" t="s">
        <v>232</v>
      </c>
      <c r="EN1822" s="1" t="s">
        <v>210</v>
      </c>
      <c r="EO1822" s="1" t="s">
        <v>234</v>
      </c>
      <c r="ER1822" s="1" t="s">
        <v>1249</v>
      </c>
      <c r="EW1822" s="1" t="s">
        <v>210</v>
      </c>
      <c r="EZ1822" s="1" t="s">
        <v>287</v>
      </c>
      <c r="FD1822" s="1" t="s">
        <v>246</v>
      </c>
      <c r="FE1822" s="1" t="s">
        <v>247</v>
      </c>
      <c r="FF1822" s="1" t="s">
        <v>387</v>
      </c>
      <c r="FH1822" s="1" t="s">
        <v>442</v>
      </c>
      <c r="FJ1822" s="1" t="s">
        <v>1472</v>
      </c>
      <c r="FL1822" s="1" t="s">
        <v>358</v>
      </c>
      <c r="FM1822" s="1" t="s">
        <v>252</v>
      </c>
      <c r="FN1822" s="1" t="s">
        <v>213</v>
      </c>
      <c r="FO1822" s="1" t="s">
        <v>213</v>
      </c>
      <c r="FQ1822" s="1" t="s">
        <v>17009</v>
      </c>
      <c r="FR1822" s="1" t="s">
        <v>411</v>
      </c>
      <c r="FS1822" s="1" t="s">
        <v>2960</v>
      </c>
      <c r="FT1822" s="1" t="s">
        <v>255</v>
      </c>
      <c r="FU1822" s="1" t="s">
        <v>204</v>
      </c>
      <c r="FW1822" s="1" t="s">
        <v>2961</v>
      </c>
      <c r="FX1822" s="1">
        <v>12278</v>
      </c>
      <c r="FY1822" s="1" t="s">
        <v>2962</v>
      </c>
      <c r="FZ1822" s="1" t="s">
        <v>2963</v>
      </c>
      <c r="GA1822" s="1">
        <v>119957</v>
      </c>
      <c r="GB1822" s="1" t="s">
        <v>2962</v>
      </c>
      <c r="GE1822" s="1" t="s">
        <v>210</v>
      </c>
      <c r="GH1822" s="1" t="s">
        <v>589</v>
      </c>
      <c r="GI1822" s="1" t="s">
        <v>213</v>
      </c>
      <c r="GJ1822" s="1" t="s">
        <v>260</v>
      </c>
      <c r="GK1822" s="1" t="s">
        <v>210</v>
      </c>
      <c r="GL1822" s="2">
        <v>42030</v>
      </c>
      <c r="GM1822" s="1" t="s">
        <v>17010</v>
      </c>
    </row>
    <row r="1823" spans="1:195">
      <c r="A1823" s="1">
        <v>154000</v>
      </c>
      <c r="B1823" s="1" t="s">
        <v>195</v>
      </c>
      <c r="C1823" s="1" t="str">
        <f>"08718652"</f>
        <v>08718652</v>
      </c>
      <c r="D1823" s="1" t="s">
        <v>196</v>
      </c>
      <c r="F1823" s="1" t="str">
        <f>"185"</f>
        <v>185</v>
      </c>
      <c r="G1823" s="2">
        <v>41886</v>
      </c>
      <c r="H1823" s="1">
        <v>174900</v>
      </c>
      <c r="I1823" s="1">
        <v>157000</v>
      </c>
      <c r="J1823" s="1">
        <v>154000</v>
      </c>
      <c r="K1823" s="2">
        <v>41886</v>
      </c>
      <c r="L1823" s="1">
        <v>138</v>
      </c>
      <c r="M1823" s="2">
        <v>42023</v>
      </c>
      <c r="N1823" s="1">
        <v>138</v>
      </c>
      <c r="O1823" s="2">
        <v>42023</v>
      </c>
      <c r="P1823" s="1">
        <v>25266</v>
      </c>
      <c r="Q1823" s="1" t="s">
        <v>197</v>
      </c>
      <c r="R1823" s="2">
        <v>42076</v>
      </c>
      <c r="S1823" s="1">
        <v>256677</v>
      </c>
      <c r="T1823" s="1">
        <v>300</v>
      </c>
      <c r="U1823" s="1">
        <v>101</v>
      </c>
      <c r="V1823" s="1" t="s">
        <v>17011</v>
      </c>
      <c r="W1823" s="1" t="s">
        <v>504</v>
      </c>
      <c r="Y1823" s="1">
        <v>4</v>
      </c>
      <c r="Z1823" s="1" t="s">
        <v>370</v>
      </c>
      <c r="AA1823" s="1" t="s">
        <v>10833</v>
      </c>
      <c r="AB1823" s="1">
        <v>60185</v>
      </c>
      <c r="AD1823" s="1" t="s">
        <v>17012</v>
      </c>
      <c r="AE1823" s="1" t="s">
        <v>17013</v>
      </c>
      <c r="AF1823" s="1">
        <v>1997</v>
      </c>
      <c r="AG1823" s="1" t="s">
        <v>204</v>
      </c>
      <c r="AH1823" s="1" t="s">
        <v>10835</v>
      </c>
      <c r="AI1823" s="1" t="s">
        <v>206</v>
      </c>
      <c r="AJ1823" s="1" t="s">
        <v>2654</v>
      </c>
      <c r="AL1823" s="1">
        <v>7</v>
      </c>
      <c r="AM1823" s="1">
        <v>2</v>
      </c>
      <c r="AN1823" s="1">
        <v>1</v>
      </c>
      <c r="AO1823" s="1">
        <v>1</v>
      </c>
      <c r="AP1823" s="1" t="s">
        <v>667</v>
      </c>
      <c r="AQ1823" s="1">
        <v>1</v>
      </c>
      <c r="AR1823" s="1" t="s">
        <v>209</v>
      </c>
      <c r="AS1823" s="1" t="s">
        <v>204</v>
      </c>
      <c r="AT1823" s="1" t="s">
        <v>211</v>
      </c>
      <c r="AU1823" s="1">
        <v>2</v>
      </c>
      <c r="AW1823" s="1" t="s">
        <v>204</v>
      </c>
      <c r="AX1823" s="1" t="s">
        <v>270</v>
      </c>
      <c r="AZ1823" s="1">
        <v>5258</v>
      </c>
      <c r="BA1823" s="1">
        <v>2013</v>
      </c>
      <c r="BB1823" s="1" t="s">
        <v>405</v>
      </c>
      <c r="BE1823" s="1">
        <v>1637</v>
      </c>
      <c r="BF1823" s="1">
        <v>1</v>
      </c>
      <c r="BG1823" s="1">
        <v>30</v>
      </c>
      <c r="BL1823" s="1">
        <v>197</v>
      </c>
      <c r="BM1823" s="1" t="s">
        <v>413</v>
      </c>
      <c r="BN1823" s="1" t="s">
        <v>213</v>
      </c>
      <c r="BO1823" s="1">
        <v>99</v>
      </c>
      <c r="BP1823" s="1" t="s">
        <v>204</v>
      </c>
      <c r="BR1823" s="1" t="str">
        <f>"0133416011"</f>
        <v>0133416011</v>
      </c>
      <c r="BT1823" s="1" t="s">
        <v>17014</v>
      </c>
      <c r="BX1823" s="1">
        <v>33</v>
      </c>
      <c r="BY1823" s="1">
        <v>33</v>
      </c>
      <c r="BZ1823" s="1">
        <v>94</v>
      </c>
      <c r="CB1823" s="1" t="str">
        <f>"2"</f>
        <v>2</v>
      </c>
      <c r="CC1823" s="1" t="str">
        <f>""</f>
        <v/>
      </c>
      <c r="CD1823" s="1">
        <v>30</v>
      </c>
      <c r="CG1823" s="1" t="s">
        <v>1533</v>
      </c>
      <c r="CH1823" s="1" t="s">
        <v>277</v>
      </c>
      <c r="CI1823" s="1" t="s">
        <v>438</v>
      </c>
      <c r="CJ1823" s="1" t="s">
        <v>463</v>
      </c>
      <c r="CK1823" s="1" t="s">
        <v>539</v>
      </c>
      <c r="CL1823" s="1" t="s">
        <v>277</v>
      </c>
      <c r="CM1823" s="1" t="s">
        <v>220</v>
      </c>
      <c r="CN1823" s="1" t="s">
        <v>463</v>
      </c>
      <c r="CO1823" s="1" t="s">
        <v>318</v>
      </c>
      <c r="CP1823" s="1" t="s">
        <v>277</v>
      </c>
      <c r="CQ1823" s="1" t="s">
        <v>438</v>
      </c>
      <c r="CR1823" s="1" t="s">
        <v>463</v>
      </c>
      <c r="CS1823" s="1" t="s">
        <v>837</v>
      </c>
      <c r="CT1823" s="1" t="s">
        <v>277</v>
      </c>
      <c r="CU1823" s="1" t="s">
        <v>220</v>
      </c>
      <c r="CV1823" s="1" t="s">
        <v>463</v>
      </c>
      <c r="CX1823" s="1" t="s">
        <v>224</v>
      </c>
      <c r="DB1823" s="1" t="s">
        <v>224</v>
      </c>
      <c r="DE1823" s="1" t="s">
        <v>539</v>
      </c>
      <c r="DF1823" s="1" t="s">
        <v>277</v>
      </c>
      <c r="DG1823" s="1" t="s">
        <v>438</v>
      </c>
      <c r="DI1823" s="1" t="s">
        <v>490</v>
      </c>
      <c r="DJ1823" s="1" t="s">
        <v>219</v>
      </c>
      <c r="DK1823" s="1" t="s">
        <v>220</v>
      </c>
      <c r="DL1823" s="1" t="s">
        <v>463</v>
      </c>
      <c r="DM1823" s="1" t="s">
        <v>227</v>
      </c>
      <c r="DN1823" s="1" t="s">
        <v>709</v>
      </c>
      <c r="DR1823" s="1" t="s">
        <v>408</v>
      </c>
      <c r="DS1823" s="1" t="s">
        <v>219</v>
      </c>
      <c r="DT1823" s="1" t="s">
        <v>220</v>
      </c>
      <c r="DV1823" s="1" t="s">
        <v>2279</v>
      </c>
      <c r="DW1823" s="1" t="s">
        <v>277</v>
      </c>
      <c r="EA1823" s="1" t="s">
        <v>230</v>
      </c>
      <c r="EE1823" s="1" t="s">
        <v>230</v>
      </c>
      <c r="EI1823" s="1" t="s">
        <v>230</v>
      </c>
      <c r="EL1823" s="1" t="s">
        <v>670</v>
      </c>
      <c r="EM1823" s="1" t="s">
        <v>319</v>
      </c>
      <c r="EN1823" s="1" t="s">
        <v>282</v>
      </c>
      <c r="EO1823" s="1" t="s">
        <v>234</v>
      </c>
      <c r="EP1823" s="1" t="s">
        <v>1489</v>
      </c>
      <c r="EQ1823" s="1" t="s">
        <v>492</v>
      </c>
      <c r="ER1823" s="1" t="s">
        <v>1249</v>
      </c>
      <c r="ES1823" s="1" t="s">
        <v>493</v>
      </c>
      <c r="ET1823" s="1" t="s">
        <v>842</v>
      </c>
      <c r="EU1823" s="1" t="s">
        <v>1820</v>
      </c>
      <c r="EV1823" s="1" t="s">
        <v>240</v>
      </c>
      <c r="EW1823" s="1" t="s">
        <v>353</v>
      </c>
      <c r="EY1823" s="1" t="s">
        <v>242</v>
      </c>
      <c r="EZ1823" s="1" t="s">
        <v>17015</v>
      </c>
      <c r="FA1823" s="1" t="s">
        <v>1270</v>
      </c>
      <c r="FC1823" s="1" t="s">
        <v>1386</v>
      </c>
      <c r="FD1823" s="1" t="s">
        <v>246</v>
      </c>
      <c r="FE1823" s="1" t="s">
        <v>975</v>
      </c>
      <c r="FF1823" s="1" t="s">
        <v>248</v>
      </c>
      <c r="FG1823" s="1" t="s">
        <v>2406</v>
      </c>
      <c r="FH1823" s="1" t="s">
        <v>1428</v>
      </c>
      <c r="FI1823" s="1" t="s">
        <v>357</v>
      </c>
      <c r="FJ1823" s="1" t="s">
        <v>197</v>
      </c>
      <c r="FL1823" s="1" t="s">
        <v>414</v>
      </c>
      <c r="FM1823" s="1" t="s">
        <v>252</v>
      </c>
      <c r="FN1823" s="1" t="s">
        <v>213</v>
      </c>
      <c r="FO1823" s="1" t="s">
        <v>213</v>
      </c>
      <c r="FQ1823" s="1" t="s">
        <v>1032</v>
      </c>
      <c r="FR1823" s="1" t="s">
        <v>652</v>
      </c>
      <c r="FS1823" s="1" t="s">
        <v>17016</v>
      </c>
      <c r="FT1823" s="1" t="s">
        <v>295</v>
      </c>
      <c r="FU1823" s="1" t="s">
        <v>204</v>
      </c>
      <c r="FW1823" s="1" t="s">
        <v>2420</v>
      </c>
      <c r="FX1823" s="1">
        <v>41</v>
      </c>
      <c r="FY1823" s="1" t="s">
        <v>2421</v>
      </c>
      <c r="FZ1823" s="1" t="s">
        <v>7815</v>
      </c>
      <c r="GA1823" s="1">
        <v>1988</v>
      </c>
      <c r="GB1823" s="1" t="s">
        <v>7816</v>
      </c>
      <c r="GC1823" s="1">
        <v>7786</v>
      </c>
      <c r="GE1823" s="1" t="s">
        <v>480</v>
      </c>
      <c r="GI1823" s="1" t="s">
        <v>213</v>
      </c>
      <c r="GJ1823" s="1" t="s">
        <v>260</v>
      </c>
      <c r="GK1823" s="1" t="s">
        <v>210</v>
      </c>
      <c r="GL1823" s="2">
        <v>42078</v>
      </c>
      <c r="GM1823" s="1" t="s">
        <v>17017</v>
      </c>
    </row>
    <row r="1824" spans="1:195">
      <c r="A1824" s="1">
        <v>20300</v>
      </c>
      <c r="B1824" s="1" t="s">
        <v>195</v>
      </c>
      <c r="C1824" s="1" t="str">
        <f>"08721364"</f>
        <v>08721364</v>
      </c>
      <c r="D1824" s="1" t="s">
        <v>196</v>
      </c>
      <c r="F1824" s="1" t="str">
        <f>"8043"</f>
        <v>8043</v>
      </c>
      <c r="G1824" s="2">
        <v>41888</v>
      </c>
      <c r="H1824" s="1">
        <v>27500</v>
      </c>
      <c r="I1824" s="1">
        <v>0</v>
      </c>
      <c r="J1824" s="1">
        <v>20300</v>
      </c>
      <c r="K1824" s="2">
        <v>41886</v>
      </c>
      <c r="L1824" s="1">
        <v>162</v>
      </c>
      <c r="M1824" s="2">
        <v>42047</v>
      </c>
      <c r="N1824" s="1">
        <v>162</v>
      </c>
      <c r="O1824" s="2">
        <v>42047</v>
      </c>
      <c r="P1824" s="1">
        <v>12293</v>
      </c>
      <c r="Q1824" s="1" t="s">
        <v>302</v>
      </c>
      <c r="R1824" s="2">
        <v>42069</v>
      </c>
      <c r="S1824" s="1">
        <v>117948</v>
      </c>
      <c r="U1824" s="1">
        <v>7026</v>
      </c>
      <c r="V1824" s="1" t="s">
        <v>17018</v>
      </c>
      <c r="W1824" s="1" t="s">
        <v>425</v>
      </c>
      <c r="X1824" s="1" t="s">
        <v>17019</v>
      </c>
      <c r="Y1824" s="1">
        <v>14</v>
      </c>
      <c r="Z1824" s="1" t="s">
        <v>370</v>
      </c>
      <c r="AA1824" s="1" t="s">
        <v>400</v>
      </c>
      <c r="AB1824" s="1">
        <v>60649</v>
      </c>
      <c r="AE1824" s="1" t="s">
        <v>17020</v>
      </c>
      <c r="AF1824" s="1">
        <v>1922</v>
      </c>
      <c r="AG1824" s="1" t="s">
        <v>213</v>
      </c>
      <c r="AH1824" s="1" t="s">
        <v>403</v>
      </c>
      <c r="AI1824" s="1" t="s">
        <v>310</v>
      </c>
      <c r="AJ1824" s="1" t="s">
        <v>562</v>
      </c>
      <c r="AL1824" s="1">
        <v>4</v>
      </c>
      <c r="AM1824" s="1">
        <v>2</v>
      </c>
      <c r="AN1824" s="1">
        <v>1</v>
      </c>
      <c r="AO1824" s="1">
        <v>1</v>
      </c>
      <c r="AP1824" s="1" t="s">
        <v>667</v>
      </c>
      <c r="AR1824" s="1" t="s">
        <v>210</v>
      </c>
      <c r="AS1824" s="1" t="s">
        <v>204</v>
      </c>
      <c r="AT1824" s="1" t="s">
        <v>210</v>
      </c>
      <c r="AW1824" s="1" t="s">
        <v>204</v>
      </c>
      <c r="AX1824" s="1" t="s">
        <v>212</v>
      </c>
      <c r="AZ1824" s="1">
        <v>990</v>
      </c>
      <c r="BA1824" s="1">
        <v>2012</v>
      </c>
      <c r="BB1824" s="1" t="s">
        <v>210</v>
      </c>
      <c r="BE1824" s="1">
        <v>700</v>
      </c>
      <c r="BF1824" s="1">
        <v>3</v>
      </c>
      <c r="BG1824" s="1">
        <v>7</v>
      </c>
      <c r="BJ1824" s="1">
        <v>70</v>
      </c>
      <c r="BL1824" s="1">
        <v>110</v>
      </c>
      <c r="BM1824" s="1" t="s">
        <v>204</v>
      </c>
      <c r="BN1824" s="1" t="s">
        <v>213</v>
      </c>
      <c r="BO1824" s="1">
        <v>20</v>
      </c>
      <c r="BP1824" s="1" t="s">
        <v>204</v>
      </c>
      <c r="BR1824" s="1" t="str">
        <f>"20243250581011"</f>
        <v>20243250581011</v>
      </c>
      <c r="BT1824" s="1" t="s">
        <v>17021</v>
      </c>
      <c r="BX1824" s="1">
        <v>299</v>
      </c>
      <c r="BY1824" s="1">
        <v>299</v>
      </c>
      <c r="BZ1824" s="1">
        <v>299</v>
      </c>
      <c r="CB1824" s="1" t="str">
        <f>"0"</f>
        <v>0</v>
      </c>
      <c r="CC1824" s="1" t="str">
        <f>"1800"</f>
        <v>1800</v>
      </c>
      <c r="CD1824" s="1">
        <v>0</v>
      </c>
      <c r="CE1824" s="1">
        <v>7026</v>
      </c>
      <c r="CG1824" s="1" t="s">
        <v>465</v>
      </c>
      <c r="CH1824" s="1" t="s">
        <v>219</v>
      </c>
      <c r="CK1824" s="1" t="s">
        <v>317</v>
      </c>
      <c r="CL1824" s="1" t="s">
        <v>219</v>
      </c>
      <c r="CP1824" s="1" t="s">
        <v>224</v>
      </c>
      <c r="CS1824" s="1" t="s">
        <v>408</v>
      </c>
      <c r="CT1824" s="1" t="s">
        <v>219</v>
      </c>
      <c r="CX1824" s="1" t="s">
        <v>224</v>
      </c>
      <c r="DB1824" s="1" t="s">
        <v>224</v>
      </c>
      <c r="DE1824" s="1" t="s">
        <v>318</v>
      </c>
      <c r="DF1824" s="1" t="s">
        <v>219</v>
      </c>
      <c r="DJ1824" s="1" t="s">
        <v>224</v>
      </c>
      <c r="DS1824" s="1" t="s">
        <v>230</v>
      </c>
      <c r="DW1824" s="1" t="s">
        <v>230</v>
      </c>
      <c r="EA1824" s="1" t="s">
        <v>230</v>
      </c>
      <c r="EE1824" s="1" t="s">
        <v>230</v>
      </c>
      <c r="EI1824" s="1" t="s">
        <v>230</v>
      </c>
      <c r="EL1824" s="1" t="s">
        <v>2521</v>
      </c>
      <c r="EM1824" s="1" t="s">
        <v>730</v>
      </c>
      <c r="EN1824" s="1" t="s">
        <v>210</v>
      </c>
      <c r="EO1824" s="1" t="s">
        <v>234</v>
      </c>
      <c r="EP1824" s="1" t="s">
        <v>650</v>
      </c>
      <c r="ER1824" s="1" t="s">
        <v>210</v>
      </c>
      <c r="EU1824" s="1" t="s">
        <v>546</v>
      </c>
      <c r="EW1824" s="1" t="s">
        <v>1821</v>
      </c>
      <c r="EZ1824" s="1" t="s">
        <v>287</v>
      </c>
      <c r="FB1824" s="1" t="s">
        <v>734</v>
      </c>
      <c r="FC1824" s="1" t="s">
        <v>1386</v>
      </c>
      <c r="FD1824" s="1" t="s">
        <v>246</v>
      </c>
      <c r="FE1824" s="1" t="s">
        <v>247</v>
      </c>
      <c r="FF1824" s="1" t="s">
        <v>248</v>
      </c>
      <c r="FH1824" s="1" t="s">
        <v>249</v>
      </c>
      <c r="FJ1824" s="1" t="s">
        <v>1472</v>
      </c>
      <c r="FL1824" s="1" t="s">
        <v>358</v>
      </c>
      <c r="FM1824" s="1" t="s">
        <v>252</v>
      </c>
      <c r="FN1824" s="1" t="s">
        <v>213</v>
      </c>
      <c r="FO1824" s="1" t="s">
        <v>213</v>
      </c>
      <c r="FQ1824" s="1" t="s">
        <v>7144</v>
      </c>
      <c r="FR1824" s="1" t="s">
        <v>210</v>
      </c>
      <c r="FS1824" s="1" t="s">
        <v>15391</v>
      </c>
      <c r="FT1824" s="1" t="s">
        <v>1828</v>
      </c>
      <c r="FU1824" s="1" t="s">
        <v>204</v>
      </c>
      <c r="FW1824" s="1" t="s">
        <v>7498</v>
      </c>
      <c r="FX1824" s="1">
        <v>22994</v>
      </c>
      <c r="FY1824" s="1" t="s">
        <v>7499</v>
      </c>
      <c r="FZ1824" s="1" t="s">
        <v>7580</v>
      </c>
      <c r="GA1824" s="1">
        <v>235814</v>
      </c>
      <c r="GB1824" s="1" t="s">
        <v>7581</v>
      </c>
      <c r="GE1824" s="1" t="s">
        <v>2504</v>
      </c>
      <c r="GH1824" s="1" t="s">
        <v>421</v>
      </c>
      <c r="GI1824" s="1" t="s">
        <v>204</v>
      </c>
      <c r="GJ1824" s="1" t="s">
        <v>260</v>
      </c>
      <c r="GK1824" s="1" t="s">
        <v>210</v>
      </c>
      <c r="GL1824" s="2">
        <v>42071</v>
      </c>
      <c r="GM1824" s="1" t="s">
        <v>17022</v>
      </c>
    </row>
    <row r="1825" spans="1:195">
      <c r="A1825" s="1">
        <v>110000</v>
      </c>
      <c r="B1825" s="1" t="s">
        <v>195</v>
      </c>
      <c r="C1825" s="1" t="str">
        <f>"08725366"</f>
        <v>08725366</v>
      </c>
      <c r="D1825" s="1" t="s">
        <v>196</v>
      </c>
      <c r="F1825" s="1" t="str">
        <f>"554"</f>
        <v>554</v>
      </c>
      <c r="G1825" s="2">
        <v>41893</v>
      </c>
      <c r="H1825" s="1">
        <v>144000</v>
      </c>
      <c r="I1825" s="1">
        <v>115200</v>
      </c>
      <c r="J1825" s="1">
        <v>110000</v>
      </c>
      <c r="K1825" s="2">
        <v>41890</v>
      </c>
      <c r="L1825" s="1">
        <v>124</v>
      </c>
      <c r="M1825" s="2">
        <v>42013</v>
      </c>
      <c r="N1825" s="1">
        <v>124</v>
      </c>
      <c r="O1825" s="2">
        <v>42013</v>
      </c>
      <c r="P1825" s="1">
        <v>22588</v>
      </c>
      <c r="Q1825" s="1" t="s">
        <v>423</v>
      </c>
      <c r="R1825" s="2">
        <v>42061</v>
      </c>
      <c r="S1825" s="1">
        <v>222992</v>
      </c>
      <c r="U1825" s="1">
        <v>188</v>
      </c>
      <c r="V1825" s="1" t="s">
        <v>13945</v>
      </c>
      <c r="W1825" s="1" t="s">
        <v>264</v>
      </c>
      <c r="X1825" s="1" t="s">
        <v>527</v>
      </c>
      <c r="Y1825" s="1">
        <v>2</v>
      </c>
      <c r="Z1825" s="1" t="s">
        <v>370</v>
      </c>
      <c r="AA1825" s="1" t="s">
        <v>3443</v>
      </c>
      <c r="AB1825" s="1">
        <v>60554</v>
      </c>
      <c r="AD1825" s="1" t="s">
        <v>17023</v>
      </c>
      <c r="AE1825" s="1" t="s">
        <v>17024</v>
      </c>
      <c r="AF1825" s="1">
        <v>2002</v>
      </c>
      <c r="AG1825" s="1" t="s">
        <v>204</v>
      </c>
      <c r="AH1825" s="1" t="s">
        <v>3240</v>
      </c>
      <c r="AI1825" s="1" t="s">
        <v>665</v>
      </c>
      <c r="AJ1825" s="1" t="s">
        <v>3240</v>
      </c>
      <c r="AK1825" s="1" t="s">
        <v>17025</v>
      </c>
      <c r="AL1825" s="1">
        <v>4</v>
      </c>
      <c r="AM1825" s="1">
        <v>2</v>
      </c>
      <c r="AN1825" s="1">
        <v>2</v>
      </c>
      <c r="AO1825" s="1">
        <v>1</v>
      </c>
      <c r="AP1825" s="1" t="s">
        <v>209</v>
      </c>
      <c r="AQ1825" s="1">
        <v>1</v>
      </c>
      <c r="AR1825" s="1" t="s">
        <v>210</v>
      </c>
      <c r="AS1825" s="1" t="s">
        <v>204</v>
      </c>
      <c r="AT1825" s="1" t="s">
        <v>211</v>
      </c>
      <c r="AU1825" s="1">
        <v>2</v>
      </c>
      <c r="AW1825" s="1" t="s">
        <v>204</v>
      </c>
      <c r="AX1825" s="1" t="s">
        <v>212</v>
      </c>
      <c r="AZ1825" s="1">
        <v>4500</v>
      </c>
      <c r="BA1825" s="1">
        <v>2013</v>
      </c>
      <c r="BB1825" s="1" t="s">
        <v>210</v>
      </c>
      <c r="BE1825" s="1">
        <v>1463</v>
      </c>
      <c r="BF1825" s="1">
        <v>1</v>
      </c>
      <c r="BG1825" s="1">
        <v>0</v>
      </c>
      <c r="BL1825" s="1">
        <v>136</v>
      </c>
      <c r="BM1825" s="1" t="s">
        <v>204</v>
      </c>
      <c r="BN1825" s="1" t="s">
        <v>213</v>
      </c>
      <c r="BO1825" s="1">
        <v>999</v>
      </c>
      <c r="BP1825" s="1" t="s">
        <v>204</v>
      </c>
      <c r="BR1825" s="1" t="str">
        <f>"1416277014"</f>
        <v>1416277014</v>
      </c>
      <c r="BT1825" s="1" t="s">
        <v>17026</v>
      </c>
      <c r="BX1825" s="1">
        <v>302</v>
      </c>
      <c r="BY1825" s="1">
        <v>302</v>
      </c>
      <c r="BZ1825" s="1">
        <v>302</v>
      </c>
      <c r="CB1825" s="1" t="str">
        <f t="shared" ref="CB1825:CC1825" si="1381">""</f>
        <v/>
      </c>
      <c r="CC1825" s="1" t="str">
        <f t="shared" si="1381"/>
        <v/>
      </c>
      <c r="CD1825" s="1">
        <v>42</v>
      </c>
      <c r="CE1825" s="1">
        <v>6</v>
      </c>
      <c r="CG1825" s="1" t="s">
        <v>465</v>
      </c>
      <c r="CH1825" s="1" t="s">
        <v>219</v>
      </c>
      <c r="CI1825" s="1" t="s">
        <v>220</v>
      </c>
      <c r="CJ1825" s="1" t="s">
        <v>343</v>
      </c>
      <c r="CK1825" s="1" t="s">
        <v>315</v>
      </c>
      <c r="CL1825" s="1" t="s">
        <v>277</v>
      </c>
      <c r="CM1825" s="1" t="s">
        <v>220</v>
      </c>
      <c r="CN1825" s="1" t="s">
        <v>343</v>
      </c>
      <c r="CP1825" s="1" t="s">
        <v>224</v>
      </c>
      <c r="CS1825" s="1" t="s">
        <v>461</v>
      </c>
      <c r="CT1825" s="1" t="s">
        <v>277</v>
      </c>
      <c r="CU1825" s="1" t="s">
        <v>220</v>
      </c>
      <c r="CV1825" s="1" t="s">
        <v>343</v>
      </c>
      <c r="CX1825" s="1" t="s">
        <v>224</v>
      </c>
      <c r="DB1825" s="1" t="s">
        <v>224</v>
      </c>
      <c r="DE1825" s="1" t="s">
        <v>5105</v>
      </c>
      <c r="DF1825" s="1" t="s">
        <v>219</v>
      </c>
      <c r="DG1825" s="1" t="s">
        <v>438</v>
      </c>
      <c r="DH1825" s="1" t="s">
        <v>343</v>
      </c>
      <c r="DJ1825" s="1" t="s">
        <v>224</v>
      </c>
      <c r="DS1825" s="1" t="s">
        <v>230</v>
      </c>
      <c r="DW1825" s="1" t="s">
        <v>230</v>
      </c>
      <c r="EA1825" s="1" t="s">
        <v>230</v>
      </c>
      <c r="EE1825" s="1" t="s">
        <v>230</v>
      </c>
      <c r="EI1825" s="1" t="s">
        <v>230</v>
      </c>
      <c r="EL1825" s="1" t="s">
        <v>466</v>
      </c>
      <c r="EM1825" s="1" t="s">
        <v>319</v>
      </c>
      <c r="EN1825" s="1" t="s">
        <v>282</v>
      </c>
      <c r="EO1825" s="1" t="s">
        <v>234</v>
      </c>
      <c r="EP1825" s="1" t="s">
        <v>1268</v>
      </c>
      <c r="ER1825" s="1" t="s">
        <v>210</v>
      </c>
      <c r="ET1825" s="1" t="s">
        <v>1201</v>
      </c>
      <c r="EW1825" s="1" t="s">
        <v>1250</v>
      </c>
      <c r="EY1825" s="1" t="s">
        <v>790</v>
      </c>
      <c r="EZ1825" s="1" t="s">
        <v>287</v>
      </c>
      <c r="FA1825" s="1" t="s">
        <v>4411</v>
      </c>
      <c r="FB1825" s="1" t="s">
        <v>289</v>
      </c>
      <c r="FC1825" s="1" t="s">
        <v>633</v>
      </c>
      <c r="FD1825" s="1" t="s">
        <v>246</v>
      </c>
      <c r="FE1825" s="1" t="s">
        <v>355</v>
      </c>
      <c r="FF1825" s="1" t="s">
        <v>248</v>
      </c>
      <c r="FG1825" s="1" t="s">
        <v>6984</v>
      </c>
      <c r="FH1825" s="1" t="s">
        <v>550</v>
      </c>
      <c r="FI1825" s="1" t="s">
        <v>473</v>
      </c>
      <c r="FL1825" s="1" t="s">
        <v>358</v>
      </c>
      <c r="FM1825" s="1" t="s">
        <v>252</v>
      </c>
      <c r="FN1825" s="1" t="s">
        <v>213</v>
      </c>
      <c r="FO1825" s="1" t="s">
        <v>213</v>
      </c>
      <c r="FQ1825" s="1" t="s">
        <v>582</v>
      </c>
      <c r="FR1825" s="1" t="s">
        <v>210</v>
      </c>
      <c r="FS1825" s="1" t="s">
        <v>5209</v>
      </c>
      <c r="FT1825" s="1" t="s">
        <v>654</v>
      </c>
      <c r="FU1825" s="1" t="s">
        <v>204</v>
      </c>
      <c r="FW1825" s="1" t="s">
        <v>3015</v>
      </c>
      <c r="FX1825" s="1">
        <v>24199</v>
      </c>
      <c r="FY1825" s="1" t="s">
        <v>3016</v>
      </c>
      <c r="FZ1825" s="1" t="s">
        <v>3017</v>
      </c>
      <c r="GA1825" s="1">
        <v>235607</v>
      </c>
      <c r="GB1825" s="1" t="s">
        <v>3018</v>
      </c>
      <c r="GC1825" s="1">
        <v>237175</v>
      </c>
      <c r="GE1825" s="1" t="s">
        <v>480</v>
      </c>
      <c r="GI1825" s="1" t="s">
        <v>204</v>
      </c>
      <c r="GJ1825" s="1" t="s">
        <v>260</v>
      </c>
      <c r="GK1825" s="1" t="s">
        <v>210</v>
      </c>
      <c r="GL1825" s="2">
        <v>42066</v>
      </c>
      <c r="GM1825" s="1" t="s">
        <v>17027</v>
      </c>
    </row>
    <row r="1826" spans="1:195">
      <c r="A1826" s="1">
        <v>106000</v>
      </c>
      <c r="B1826" s="1" t="s">
        <v>195</v>
      </c>
      <c r="C1826" s="1" t="str">
        <f>"08718461"</f>
        <v>08718461</v>
      </c>
      <c r="D1826" s="1" t="s">
        <v>196</v>
      </c>
      <c r="F1826" s="1" t="str">
        <f>"635"</f>
        <v>635</v>
      </c>
      <c r="G1826" s="2">
        <v>41885</v>
      </c>
      <c r="H1826" s="1">
        <v>100000</v>
      </c>
      <c r="I1826" s="1">
        <v>100000</v>
      </c>
      <c r="J1826" s="1">
        <v>106000</v>
      </c>
      <c r="K1826" s="2">
        <v>41885</v>
      </c>
      <c r="L1826" s="1">
        <v>6</v>
      </c>
      <c r="M1826" s="2">
        <v>41890</v>
      </c>
      <c r="N1826" s="1">
        <v>6</v>
      </c>
      <c r="O1826" s="2">
        <v>41890</v>
      </c>
      <c r="P1826" s="1">
        <v>8747</v>
      </c>
      <c r="Q1826" s="1" t="s">
        <v>197</v>
      </c>
      <c r="R1826" s="2">
        <v>41992</v>
      </c>
      <c r="S1826" s="1">
        <v>89897</v>
      </c>
      <c r="T1826" s="1">
        <v>3180</v>
      </c>
      <c r="U1826" s="1">
        <v>7830</v>
      </c>
      <c r="V1826" s="1" t="s">
        <v>79</v>
      </c>
      <c r="W1826" s="1" t="s">
        <v>425</v>
      </c>
      <c r="X1826" s="1">
        <v>514</v>
      </c>
      <c r="Y1826" s="1">
        <v>82</v>
      </c>
      <c r="Z1826" s="1" t="s">
        <v>249</v>
      </c>
      <c r="AA1826" s="1" t="s">
        <v>2377</v>
      </c>
      <c r="AB1826" s="1">
        <v>60707</v>
      </c>
      <c r="AD1826" s="1" t="s">
        <v>17028</v>
      </c>
      <c r="AE1826" s="1" t="s">
        <v>17029</v>
      </c>
      <c r="AF1826" s="1">
        <v>1977</v>
      </c>
      <c r="AG1826" s="1" t="s">
        <v>213</v>
      </c>
      <c r="AH1826" s="1" t="s">
        <v>5686</v>
      </c>
      <c r="AI1826" s="1" t="s">
        <v>310</v>
      </c>
      <c r="AJ1826" s="1" t="s">
        <v>311</v>
      </c>
      <c r="AL1826" s="1">
        <v>4</v>
      </c>
      <c r="AM1826" s="1">
        <v>2</v>
      </c>
      <c r="AN1826" s="1">
        <v>1</v>
      </c>
      <c r="AO1826" s="1">
        <v>1</v>
      </c>
      <c r="AP1826" s="1" t="s">
        <v>1234</v>
      </c>
      <c r="AQ1826" s="1">
        <v>0</v>
      </c>
      <c r="AR1826" s="1" t="s">
        <v>210</v>
      </c>
      <c r="AS1826" s="1" t="s">
        <v>204</v>
      </c>
      <c r="AT1826" s="1" t="s">
        <v>271</v>
      </c>
      <c r="AV1826" s="1">
        <v>1</v>
      </c>
      <c r="AW1826" s="1" t="s">
        <v>204</v>
      </c>
      <c r="AX1826" s="1" t="s">
        <v>270</v>
      </c>
      <c r="AZ1826" s="3">
        <v>1866</v>
      </c>
      <c r="BA1826" s="1">
        <v>2013</v>
      </c>
      <c r="BB1826" s="1" t="s">
        <v>405</v>
      </c>
      <c r="BC1826" s="1">
        <v>0</v>
      </c>
      <c r="BE1826" s="1">
        <v>1000</v>
      </c>
      <c r="BF1826" s="1">
        <v>5</v>
      </c>
      <c r="BG1826" s="1">
        <v>30</v>
      </c>
      <c r="BL1826" s="1">
        <v>325</v>
      </c>
      <c r="BM1826" s="1" t="s">
        <v>213</v>
      </c>
      <c r="BN1826" s="1" t="s">
        <v>213</v>
      </c>
      <c r="BO1826" s="1">
        <v>16</v>
      </c>
      <c r="BP1826" s="1" t="s">
        <v>204</v>
      </c>
      <c r="BR1826" s="1" t="str">
        <f>"12363240411051"</f>
        <v>12363240411051</v>
      </c>
      <c r="BT1826" s="1" t="s">
        <v>17030</v>
      </c>
      <c r="BU1826" s="1" t="s">
        <v>928</v>
      </c>
      <c r="BV1826" s="1" t="s">
        <v>8101</v>
      </c>
      <c r="BW1826" s="1" t="s">
        <v>8102</v>
      </c>
      <c r="BX1826" s="1">
        <v>401</v>
      </c>
      <c r="BY1826" s="1">
        <v>401</v>
      </c>
      <c r="BZ1826" s="1">
        <v>401</v>
      </c>
      <c r="CB1826" s="1" t="str">
        <f>"1600"</f>
        <v>1600</v>
      </c>
      <c r="CC1826" s="1" t="str">
        <f>"0"</f>
        <v>0</v>
      </c>
      <c r="CD1826" s="1">
        <v>7800</v>
      </c>
      <c r="CE1826" s="1">
        <v>0</v>
      </c>
      <c r="CG1826" s="1" t="s">
        <v>1045</v>
      </c>
      <c r="CH1826" s="1" t="s">
        <v>219</v>
      </c>
      <c r="CI1826" s="1" t="s">
        <v>229</v>
      </c>
      <c r="CK1826" s="1" t="s">
        <v>757</v>
      </c>
      <c r="CL1826" s="1" t="s">
        <v>219</v>
      </c>
      <c r="CM1826" s="1" t="s">
        <v>229</v>
      </c>
      <c r="CP1826" s="1" t="s">
        <v>224</v>
      </c>
      <c r="CS1826" s="1" t="s">
        <v>465</v>
      </c>
      <c r="CT1826" s="1" t="s">
        <v>219</v>
      </c>
      <c r="CU1826" s="1" t="s">
        <v>229</v>
      </c>
      <c r="CX1826" s="1" t="s">
        <v>224</v>
      </c>
      <c r="DB1826" s="1" t="s">
        <v>224</v>
      </c>
      <c r="DE1826" s="1" t="s">
        <v>318</v>
      </c>
      <c r="DF1826" s="1" t="s">
        <v>219</v>
      </c>
      <c r="DG1826" s="1" t="s">
        <v>229</v>
      </c>
      <c r="DJ1826" s="1" t="s">
        <v>224</v>
      </c>
      <c r="DS1826" s="1" t="s">
        <v>230</v>
      </c>
      <c r="DW1826" s="1" t="s">
        <v>230</v>
      </c>
      <c r="EA1826" s="1" t="s">
        <v>230</v>
      </c>
      <c r="EE1826" s="1" t="s">
        <v>230</v>
      </c>
      <c r="EI1826" s="1" t="s">
        <v>230</v>
      </c>
      <c r="EL1826" s="1" t="s">
        <v>231</v>
      </c>
      <c r="EM1826" s="1" t="s">
        <v>232</v>
      </c>
      <c r="EN1826" s="1" t="s">
        <v>1158</v>
      </c>
      <c r="EO1826" s="1" t="s">
        <v>234</v>
      </c>
      <c r="EP1826" s="1" t="s">
        <v>1159</v>
      </c>
      <c r="EQ1826" s="1" t="s">
        <v>953</v>
      </c>
      <c r="ER1826" s="1" t="s">
        <v>210</v>
      </c>
      <c r="EW1826" s="1" t="s">
        <v>1298</v>
      </c>
      <c r="EZ1826" s="1" t="s">
        <v>287</v>
      </c>
      <c r="FB1826" s="1" t="s">
        <v>289</v>
      </c>
      <c r="FD1826" s="1" t="s">
        <v>888</v>
      </c>
      <c r="FE1826" s="1" t="s">
        <v>247</v>
      </c>
      <c r="FF1826" s="1" t="s">
        <v>248</v>
      </c>
      <c r="FH1826" s="1" t="s">
        <v>249</v>
      </c>
      <c r="FK1826" s="1" t="s">
        <v>2309</v>
      </c>
      <c r="FL1826" s="1" t="s">
        <v>614</v>
      </c>
      <c r="FM1826" s="1" t="s">
        <v>252</v>
      </c>
      <c r="FN1826" s="1" t="s">
        <v>213</v>
      </c>
      <c r="FO1826" s="1" t="s">
        <v>213</v>
      </c>
      <c r="FQ1826" s="1" t="s">
        <v>293</v>
      </c>
      <c r="FR1826" s="1" t="s">
        <v>210</v>
      </c>
      <c r="FS1826" s="1" t="s">
        <v>17031</v>
      </c>
      <c r="FT1826" s="1" t="s">
        <v>1182</v>
      </c>
      <c r="FU1826" s="1" t="s">
        <v>204</v>
      </c>
      <c r="FW1826" s="1" t="s">
        <v>9527</v>
      </c>
      <c r="FX1826" s="1">
        <v>1582</v>
      </c>
      <c r="FY1826" s="1" t="s">
        <v>9528</v>
      </c>
      <c r="FZ1826" s="1" t="s">
        <v>17032</v>
      </c>
      <c r="GA1826" s="1">
        <v>87826</v>
      </c>
      <c r="GD1826" s="1" t="s">
        <v>17033</v>
      </c>
      <c r="GE1826" s="1" t="s">
        <v>658</v>
      </c>
      <c r="GH1826" s="1" t="s">
        <v>589</v>
      </c>
      <c r="GI1826" s="1" t="s">
        <v>213</v>
      </c>
      <c r="GJ1826" s="1" t="s">
        <v>260</v>
      </c>
      <c r="GK1826" s="1" t="s">
        <v>210</v>
      </c>
      <c r="GL1826" s="2">
        <v>41992</v>
      </c>
      <c r="GM1826" s="1" t="s">
        <v>17034</v>
      </c>
    </row>
    <row r="1827" spans="1:195">
      <c r="A1827" s="1">
        <v>130000</v>
      </c>
      <c r="B1827" s="1" t="s">
        <v>195</v>
      </c>
      <c r="C1827" s="1" t="str">
        <f>"08723779"</f>
        <v>08723779</v>
      </c>
      <c r="D1827" s="1" t="s">
        <v>196</v>
      </c>
      <c r="F1827" s="1" t="str">
        <f>"110"</f>
        <v>110</v>
      </c>
      <c r="G1827" s="2">
        <v>41891</v>
      </c>
      <c r="H1827" s="1">
        <v>139900</v>
      </c>
      <c r="I1827" s="1">
        <v>139900</v>
      </c>
      <c r="J1827" s="1">
        <v>130000</v>
      </c>
      <c r="K1827" s="2">
        <v>41891</v>
      </c>
      <c r="L1827" s="1">
        <v>49</v>
      </c>
      <c r="M1827" s="2">
        <v>41939</v>
      </c>
      <c r="N1827" s="1">
        <v>49</v>
      </c>
      <c r="O1827" s="2">
        <v>41939</v>
      </c>
      <c r="P1827" s="1">
        <v>85273</v>
      </c>
      <c r="Q1827" s="1" t="s">
        <v>302</v>
      </c>
      <c r="R1827" s="2">
        <v>41991</v>
      </c>
      <c r="S1827" s="1">
        <v>134427</v>
      </c>
      <c r="U1827" s="1">
        <v>2113</v>
      </c>
      <c r="V1827" s="1" t="s">
        <v>15377</v>
      </c>
      <c r="W1827" s="1" t="s">
        <v>504</v>
      </c>
      <c r="Y1827" s="1">
        <v>7</v>
      </c>
      <c r="Z1827" s="1" t="s">
        <v>370</v>
      </c>
      <c r="AA1827" s="1" t="s">
        <v>803</v>
      </c>
      <c r="AB1827" s="1">
        <v>60110</v>
      </c>
      <c r="AD1827" s="1" t="s">
        <v>6981</v>
      </c>
      <c r="AE1827" s="1" t="s">
        <v>17035</v>
      </c>
      <c r="AF1827" s="1">
        <v>1997</v>
      </c>
      <c r="AG1827" s="1" t="s">
        <v>204</v>
      </c>
      <c r="AH1827" s="1" t="s">
        <v>2557</v>
      </c>
      <c r="AI1827" s="1" t="s">
        <v>665</v>
      </c>
      <c r="AJ1827" s="1" t="s">
        <v>805</v>
      </c>
      <c r="AK1827" s="1" t="s">
        <v>10593</v>
      </c>
      <c r="AL1827" s="1">
        <v>6</v>
      </c>
      <c r="AM1827" s="1">
        <v>2</v>
      </c>
      <c r="AN1827" s="1">
        <v>1</v>
      </c>
      <c r="AO1827" s="1">
        <v>1</v>
      </c>
      <c r="AP1827" s="1" t="s">
        <v>667</v>
      </c>
      <c r="AQ1827" s="1">
        <v>1</v>
      </c>
      <c r="AR1827" s="1" t="s">
        <v>210</v>
      </c>
      <c r="AS1827" s="1" t="s">
        <v>204</v>
      </c>
      <c r="AT1827" s="1" t="s">
        <v>211</v>
      </c>
      <c r="AU1827" s="1">
        <v>2</v>
      </c>
      <c r="AW1827" s="1" t="s">
        <v>204</v>
      </c>
      <c r="AX1827" s="1" t="s">
        <v>212</v>
      </c>
      <c r="AZ1827" s="1">
        <v>4036.38</v>
      </c>
      <c r="BA1827" s="1">
        <v>2013</v>
      </c>
      <c r="BE1827" s="1">
        <v>1500</v>
      </c>
      <c r="BF1827" s="1">
        <v>2</v>
      </c>
      <c r="BG1827" s="1">
        <v>0</v>
      </c>
      <c r="BL1827" s="1">
        <v>122</v>
      </c>
      <c r="BM1827" s="1" t="s">
        <v>204</v>
      </c>
      <c r="BN1827" s="1" t="s">
        <v>213</v>
      </c>
      <c r="BO1827" s="1">
        <v>0</v>
      </c>
      <c r="BP1827" s="1" t="s">
        <v>204</v>
      </c>
      <c r="BR1827" s="1" t="str">
        <f>"0318254073"</f>
        <v>0318254073</v>
      </c>
      <c r="BT1827" s="1" t="s">
        <v>17036</v>
      </c>
      <c r="BX1827" s="1">
        <v>300</v>
      </c>
      <c r="BY1827" s="1">
        <v>300</v>
      </c>
      <c r="BZ1827" s="1">
        <v>300</v>
      </c>
      <c r="CB1827" s="1" t="str">
        <f t="shared" ref="CB1827:CC1827" si="1382">""</f>
        <v/>
      </c>
      <c r="CC1827" s="1" t="str">
        <f t="shared" si="1382"/>
        <v/>
      </c>
      <c r="CG1827" s="1" t="s">
        <v>729</v>
      </c>
      <c r="CH1827" s="1" t="s">
        <v>219</v>
      </c>
      <c r="CI1827" s="1" t="s">
        <v>229</v>
      </c>
      <c r="CK1827" s="1" t="s">
        <v>757</v>
      </c>
      <c r="CL1827" s="1" t="s">
        <v>277</v>
      </c>
      <c r="CM1827" s="1" t="s">
        <v>220</v>
      </c>
      <c r="CO1827" s="1" t="s">
        <v>379</v>
      </c>
      <c r="CP1827" s="1" t="s">
        <v>219</v>
      </c>
      <c r="CQ1827" s="1" t="s">
        <v>229</v>
      </c>
      <c r="CS1827" s="1" t="s">
        <v>461</v>
      </c>
      <c r="CT1827" s="1" t="s">
        <v>277</v>
      </c>
      <c r="CU1827" s="1" t="s">
        <v>220</v>
      </c>
      <c r="CX1827" s="1" t="s">
        <v>224</v>
      </c>
      <c r="DB1827" s="1" t="s">
        <v>224</v>
      </c>
      <c r="DE1827" s="1" t="s">
        <v>437</v>
      </c>
      <c r="DF1827" s="1" t="s">
        <v>219</v>
      </c>
      <c r="DG1827" s="1" t="s">
        <v>229</v>
      </c>
      <c r="DJ1827" s="1" t="s">
        <v>224</v>
      </c>
      <c r="DM1827" s="1" t="s">
        <v>464</v>
      </c>
      <c r="DN1827" s="1" t="s">
        <v>709</v>
      </c>
      <c r="DR1827" s="1" t="s">
        <v>465</v>
      </c>
      <c r="DS1827" s="1" t="s">
        <v>277</v>
      </c>
      <c r="DT1827" s="1" t="s">
        <v>220</v>
      </c>
      <c r="DV1827" s="1" t="s">
        <v>3126</v>
      </c>
      <c r="DW1827" s="1" t="s">
        <v>219</v>
      </c>
      <c r="DX1827" s="1" t="s">
        <v>229</v>
      </c>
      <c r="EA1827" s="1" t="s">
        <v>230</v>
      </c>
      <c r="EE1827" s="1" t="s">
        <v>230</v>
      </c>
      <c r="EI1827" s="1" t="s">
        <v>230</v>
      </c>
      <c r="EL1827" s="1" t="s">
        <v>670</v>
      </c>
      <c r="EM1827" s="1" t="s">
        <v>319</v>
      </c>
      <c r="EN1827" s="1" t="s">
        <v>282</v>
      </c>
      <c r="EO1827" s="1" t="s">
        <v>234</v>
      </c>
      <c r="EP1827" s="1" t="s">
        <v>1489</v>
      </c>
      <c r="EQ1827" s="1" t="s">
        <v>4356</v>
      </c>
      <c r="ER1827" s="1" t="s">
        <v>210</v>
      </c>
      <c r="ES1827" s="1" t="s">
        <v>322</v>
      </c>
      <c r="ET1827" s="1" t="s">
        <v>842</v>
      </c>
      <c r="EW1827" s="1" t="s">
        <v>353</v>
      </c>
      <c r="EZ1827" s="1" t="s">
        <v>2549</v>
      </c>
      <c r="FC1827" s="1" t="s">
        <v>1386</v>
      </c>
      <c r="FD1827" s="1" t="s">
        <v>246</v>
      </c>
      <c r="FE1827" s="1" t="s">
        <v>472</v>
      </c>
      <c r="FF1827" s="1" t="s">
        <v>248</v>
      </c>
      <c r="FH1827" s="1" t="s">
        <v>550</v>
      </c>
      <c r="FI1827" s="1" t="s">
        <v>473</v>
      </c>
      <c r="FL1827" s="1" t="s">
        <v>3483</v>
      </c>
      <c r="FM1827" s="1" t="s">
        <v>252</v>
      </c>
      <c r="FN1827" s="1" t="s">
        <v>213</v>
      </c>
      <c r="FO1827" s="1" t="s">
        <v>213</v>
      </c>
      <c r="FQ1827" s="1" t="s">
        <v>3545</v>
      </c>
      <c r="FR1827" s="1" t="s">
        <v>210</v>
      </c>
      <c r="FS1827" s="1" t="s">
        <v>17037</v>
      </c>
      <c r="FT1827" s="1" t="s">
        <v>295</v>
      </c>
      <c r="FU1827" s="1" t="s">
        <v>204</v>
      </c>
      <c r="FW1827" s="1" t="s">
        <v>585</v>
      </c>
      <c r="FX1827" s="1">
        <v>4317</v>
      </c>
      <c r="FY1827" s="1" t="s">
        <v>3661</v>
      </c>
      <c r="FZ1827" s="1" t="s">
        <v>17038</v>
      </c>
      <c r="GA1827" s="1">
        <v>30508</v>
      </c>
      <c r="GB1827" s="1" t="s">
        <v>17039</v>
      </c>
      <c r="GE1827" s="1" t="s">
        <v>1120</v>
      </c>
      <c r="GI1827" s="1" t="s">
        <v>213</v>
      </c>
      <c r="GJ1827" s="1" t="s">
        <v>260</v>
      </c>
      <c r="GK1827" s="1" t="s">
        <v>210</v>
      </c>
      <c r="GL1827" s="2">
        <v>41991</v>
      </c>
      <c r="GM1827" s="1" t="s">
        <v>17040</v>
      </c>
    </row>
    <row r="1828" spans="1:195">
      <c r="A1828" s="1">
        <v>240780</v>
      </c>
      <c r="B1828" s="1" t="s">
        <v>195</v>
      </c>
      <c r="C1828" s="1" t="str">
        <f>"08719648"</f>
        <v>08719648</v>
      </c>
      <c r="D1828" s="1" t="s">
        <v>196</v>
      </c>
      <c r="F1828" s="1" t="str">
        <f>"507"</f>
        <v>507</v>
      </c>
      <c r="G1828" s="2">
        <v>41886</v>
      </c>
      <c r="H1828" s="1">
        <v>240380</v>
      </c>
      <c r="I1828" s="1">
        <v>240380</v>
      </c>
      <c r="J1828" s="1">
        <v>240780</v>
      </c>
      <c r="K1828" s="2">
        <v>41886</v>
      </c>
      <c r="L1828" s="1">
        <v>28</v>
      </c>
      <c r="M1828" s="2">
        <v>41913</v>
      </c>
      <c r="N1828" s="1">
        <v>28</v>
      </c>
      <c r="O1828" s="2">
        <v>41913</v>
      </c>
      <c r="P1828" s="1">
        <v>24182</v>
      </c>
      <c r="Q1828" s="1" t="s">
        <v>197</v>
      </c>
      <c r="R1828" s="2">
        <v>42093</v>
      </c>
      <c r="S1828" s="1">
        <v>235554</v>
      </c>
      <c r="U1828" s="1">
        <v>2912</v>
      </c>
      <c r="V1828" s="1" t="s">
        <v>17041</v>
      </c>
      <c r="W1828" s="1" t="s">
        <v>304</v>
      </c>
      <c r="Y1828" s="1">
        <v>6</v>
      </c>
      <c r="Z1828" s="1" t="s">
        <v>370</v>
      </c>
      <c r="AA1828" s="1" t="s">
        <v>1123</v>
      </c>
      <c r="AB1828" s="1">
        <v>60502</v>
      </c>
      <c r="AD1828" s="1" t="s">
        <v>10324</v>
      </c>
      <c r="AE1828" s="1" t="s">
        <v>10325</v>
      </c>
      <c r="AF1828" s="1">
        <v>2014</v>
      </c>
      <c r="AG1828" s="1" t="s">
        <v>204</v>
      </c>
      <c r="AH1828" s="1" t="s">
        <v>1126</v>
      </c>
      <c r="AI1828" s="1" t="s">
        <v>665</v>
      </c>
      <c r="AJ1828" s="1" t="s">
        <v>949</v>
      </c>
      <c r="AK1828" s="1" t="s">
        <v>17042</v>
      </c>
      <c r="AL1828" s="1">
        <v>5</v>
      </c>
      <c r="AM1828" s="1">
        <v>2</v>
      </c>
      <c r="AN1828" s="1">
        <v>2</v>
      </c>
      <c r="AO1828" s="1">
        <v>1</v>
      </c>
      <c r="AP1828" s="1" t="s">
        <v>209</v>
      </c>
      <c r="AQ1828" s="1">
        <v>1</v>
      </c>
      <c r="AR1828" s="1" t="s">
        <v>210</v>
      </c>
      <c r="AS1828" s="1" t="s">
        <v>204</v>
      </c>
      <c r="AT1828" s="1" t="s">
        <v>211</v>
      </c>
      <c r="AU1828" s="1">
        <v>2</v>
      </c>
      <c r="AW1828" s="1" t="s">
        <v>204</v>
      </c>
      <c r="AX1828" s="1" t="s">
        <v>212</v>
      </c>
      <c r="AZ1828" s="1" t="s">
        <v>751</v>
      </c>
      <c r="BA1828" s="1">
        <v>2013</v>
      </c>
      <c r="BE1828" s="1">
        <v>2018</v>
      </c>
      <c r="BF1828" s="1">
        <v>2</v>
      </c>
      <c r="BG1828" s="1">
        <v>0</v>
      </c>
      <c r="BL1828" s="1">
        <v>170</v>
      </c>
      <c r="BM1828" s="1" t="s">
        <v>204</v>
      </c>
      <c r="BN1828" s="1" t="s">
        <v>213</v>
      </c>
      <c r="BO1828" s="1">
        <v>0</v>
      </c>
      <c r="BP1828" s="1" t="s">
        <v>213</v>
      </c>
      <c r="BQ1828" s="2">
        <v>42079</v>
      </c>
      <c r="BR1828" s="1" t="str">
        <f>"1235445002"</f>
        <v>1235445002</v>
      </c>
      <c r="BT1828" s="1" t="s">
        <v>17043</v>
      </c>
      <c r="BU1828" s="1" t="s">
        <v>6403</v>
      </c>
      <c r="BV1828" s="1" t="s">
        <v>6404</v>
      </c>
      <c r="BW1828" s="1" t="s">
        <v>6405</v>
      </c>
      <c r="BX1828" s="1">
        <v>101</v>
      </c>
      <c r="BY1828" s="1">
        <v>101</v>
      </c>
      <c r="BZ1828" s="1">
        <v>101</v>
      </c>
      <c r="CB1828" s="1" t="str">
        <f>"3"</f>
        <v>3</v>
      </c>
      <c r="CC1828" s="1" t="str">
        <f>"0"</f>
        <v>0</v>
      </c>
      <c r="CD1828" s="1">
        <v>34</v>
      </c>
      <c r="CE1828" s="1">
        <v>0</v>
      </c>
      <c r="CH1828" s="1" t="s">
        <v>224</v>
      </c>
      <c r="CK1828" s="1" t="s">
        <v>862</v>
      </c>
      <c r="CL1828" s="1" t="s">
        <v>277</v>
      </c>
      <c r="CM1828" s="1" t="s">
        <v>220</v>
      </c>
      <c r="CP1828" s="1" t="s">
        <v>224</v>
      </c>
      <c r="CS1828" s="1" t="s">
        <v>2122</v>
      </c>
      <c r="CT1828" s="1" t="s">
        <v>277</v>
      </c>
      <c r="CU1828" s="1" t="s">
        <v>220</v>
      </c>
      <c r="CX1828" s="1" t="s">
        <v>224</v>
      </c>
      <c r="DB1828" s="1" t="s">
        <v>224</v>
      </c>
      <c r="DE1828" s="1" t="s">
        <v>317</v>
      </c>
      <c r="DF1828" s="1" t="s">
        <v>219</v>
      </c>
      <c r="DG1828" s="1" t="s">
        <v>342</v>
      </c>
      <c r="DJ1828" s="1" t="s">
        <v>224</v>
      </c>
      <c r="DM1828" s="1" t="s">
        <v>1676</v>
      </c>
      <c r="DN1828" s="1" t="s">
        <v>464</v>
      </c>
      <c r="DO1828" s="1" t="s">
        <v>709</v>
      </c>
      <c r="DR1828" s="1" t="s">
        <v>3684</v>
      </c>
      <c r="DS1828" s="1" t="s">
        <v>219</v>
      </c>
      <c r="DT1828" s="1" t="s">
        <v>220</v>
      </c>
      <c r="DV1828" s="1" t="s">
        <v>346</v>
      </c>
      <c r="DW1828" s="1" t="s">
        <v>277</v>
      </c>
      <c r="DX1828" s="1" t="s">
        <v>220</v>
      </c>
      <c r="DZ1828" s="1" t="s">
        <v>2031</v>
      </c>
      <c r="EA1828" s="1" t="s">
        <v>219</v>
      </c>
      <c r="EB1828" s="1" t="s">
        <v>342</v>
      </c>
      <c r="EE1828" s="1" t="s">
        <v>230</v>
      </c>
      <c r="EI1828" s="1" t="s">
        <v>230</v>
      </c>
      <c r="EL1828" s="1" t="s">
        <v>760</v>
      </c>
      <c r="EM1828" s="1" t="s">
        <v>319</v>
      </c>
      <c r="EN1828" s="1" t="s">
        <v>282</v>
      </c>
      <c r="EO1828" s="1" t="s">
        <v>234</v>
      </c>
      <c r="EQ1828" s="1" t="s">
        <v>8369</v>
      </c>
      <c r="ER1828" s="1" t="s">
        <v>383</v>
      </c>
      <c r="ES1828" s="1" t="s">
        <v>322</v>
      </c>
      <c r="ET1828" s="1" t="s">
        <v>866</v>
      </c>
      <c r="EW1828" s="1" t="s">
        <v>867</v>
      </c>
      <c r="EY1828" s="1" t="s">
        <v>242</v>
      </c>
      <c r="EZ1828" s="1" t="s">
        <v>9728</v>
      </c>
      <c r="FA1828" s="1" t="s">
        <v>1270</v>
      </c>
      <c r="FD1828" s="1" t="s">
        <v>246</v>
      </c>
      <c r="FE1828" s="1" t="s">
        <v>472</v>
      </c>
      <c r="FF1828" s="1" t="s">
        <v>248</v>
      </c>
      <c r="FG1828" s="1" t="s">
        <v>2060</v>
      </c>
      <c r="FH1828" s="1" t="s">
        <v>550</v>
      </c>
      <c r="FJ1828" s="1" t="s">
        <v>518</v>
      </c>
      <c r="FL1828" s="1" t="s">
        <v>358</v>
      </c>
      <c r="FM1828" s="1" t="s">
        <v>252</v>
      </c>
      <c r="FN1828" s="1" t="s">
        <v>213</v>
      </c>
      <c r="FO1828" s="1" t="s">
        <v>213</v>
      </c>
      <c r="FQ1828" s="1" t="s">
        <v>3853</v>
      </c>
      <c r="FR1828" s="1" t="s">
        <v>210</v>
      </c>
      <c r="FS1828" s="1" t="s">
        <v>17044</v>
      </c>
      <c r="FT1828" s="1" t="s">
        <v>3855</v>
      </c>
      <c r="FU1828" s="1" t="s">
        <v>204</v>
      </c>
      <c r="FV1828" s="1" t="s">
        <v>10328</v>
      </c>
      <c r="FW1828" s="1" t="s">
        <v>3857</v>
      </c>
      <c r="FX1828" s="1">
        <v>23223</v>
      </c>
      <c r="FY1828" s="1" t="s">
        <v>3858</v>
      </c>
      <c r="FZ1828" s="1" t="s">
        <v>3859</v>
      </c>
      <c r="GA1828" s="1">
        <v>236300</v>
      </c>
      <c r="GC1828" s="1">
        <v>210778</v>
      </c>
      <c r="GE1828" s="1" t="s">
        <v>480</v>
      </c>
      <c r="GI1828" s="1" t="s">
        <v>204</v>
      </c>
      <c r="GJ1828" s="1" t="s">
        <v>300</v>
      </c>
      <c r="GK1828" s="1" t="s">
        <v>210</v>
      </c>
      <c r="GL1828" s="2">
        <v>42094</v>
      </c>
      <c r="GM1828" s="1" t="s">
        <v>17045</v>
      </c>
    </row>
    <row r="1829" spans="1:195">
      <c r="A1829" s="1">
        <v>124500</v>
      </c>
      <c r="B1829" s="1" t="s">
        <v>195</v>
      </c>
      <c r="C1829" s="1" t="str">
        <f>"08724629"</f>
        <v>08724629</v>
      </c>
      <c r="D1829" s="1" t="s">
        <v>196</v>
      </c>
      <c r="F1829" s="1" t="str">
        <f>"139"</f>
        <v>139</v>
      </c>
      <c r="G1829" s="2">
        <v>41892</v>
      </c>
      <c r="H1829" s="1">
        <v>163900</v>
      </c>
      <c r="I1829" s="1">
        <v>139900</v>
      </c>
      <c r="J1829" s="1">
        <v>124500</v>
      </c>
      <c r="K1829" s="2">
        <v>41891</v>
      </c>
      <c r="L1829" s="1">
        <v>149</v>
      </c>
      <c r="M1829" s="2">
        <v>42039</v>
      </c>
      <c r="N1829" s="1">
        <v>149</v>
      </c>
      <c r="O1829" s="2">
        <v>42039</v>
      </c>
      <c r="P1829" s="1">
        <v>26027</v>
      </c>
      <c r="Q1829" s="1" t="s">
        <v>197</v>
      </c>
      <c r="R1829" s="2">
        <v>42075</v>
      </c>
      <c r="S1829" s="1">
        <v>238488</v>
      </c>
      <c r="U1829" s="1">
        <v>166</v>
      </c>
      <c r="V1829" s="1" t="s">
        <v>17046</v>
      </c>
      <c r="W1829" s="1" t="s">
        <v>304</v>
      </c>
      <c r="Y1829" s="1">
        <v>4</v>
      </c>
      <c r="Z1829" s="1" t="s">
        <v>249</v>
      </c>
      <c r="AA1829" s="1" t="s">
        <v>1732</v>
      </c>
      <c r="AB1829" s="1">
        <v>60139</v>
      </c>
      <c r="AE1829" s="1" t="s">
        <v>17047</v>
      </c>
      <c r="AF1829" s="1">
        <v>1993</v>
      </c>
      <c r="AG1829" s="1" t="s">
        <v>204</v>
      </c>
      <c r="AH1829" s="1" t="s">
        <v>882</v>
      </c>
      <c r="AI1829" s="1" t="s">
        <v>206</v>
      </c>
      <c r="AJ1829" s="1" t="s">
        <v>269</v>
      </c>
      <c r="AL1829" s="1">
        <v>5</v>
      </c>
      <c r="AM1829" s="1">
        <v>2</v>
      </c>
      <c r="AN1829" s="1">
        <v>2</v>
      </c>
      <c r="AO1829" s="1">
        <v>1</v>
      </c>
      <c r="AP1829" s="1" t="s">
        <v>209</v>
      </c>
      <c r="AR1829" s="1" t="s">
        <v>210</v>
      </c>
      <c r="AS1829" s="1" t="s">
        <v>204</v>
      </c>
      <c r="AT1829" s="1" t="s">
        <v>211</v>
      </c>
      <c r="AU1829" s="1">
        <v>1</v>
      </c>
      <c r="AW1829" s="1" t="s">
        <v>204</v>
      </c>
      <c r="AX1829" s="1" t="s">
        <v>212</v>
      </c>
      <c r="AZ1829" s="1">
        <v>5060</v>
      </c>
      <c r="BA1829" s="1">
        <v>2013</v>
      </c>
      <c r="BE1829" s="1">
        <v>0</v>
      </c>
      <c r="BF1829" s="1">
        <v>1</v>
      </c>
      <c r="BG1829" s="1">
        <v>180</v>
      </c>
      <c r="BL1829" s="1">
        <v>290</v>
      </c>
      <c r="BM1829" s="1" t="s">
        <v>413</v>
      </c>
      <c r="BN1829" s="1" t="s">
        <v>213</v>
      </c>
      <c r="BO1829" s="1">
        <v>100</v>
      </c>
      <c r="BP1829" s="1" t="s">
        <v>204</v>
      </c>
      <c r="BR1829" s="1" t="str">
        <f>"0503104182"</f>
        <v>0503104182</v>
      </c>
      <c r="BT1829" s="1" t="s">
        <v>17048</v>
      </c>
      <c r="BX1829" s="1">
        <v>41</v>
      </c>
      <c r="BY1829" s="1">
        <v>41</v>
      </c>
      <c r="BZ1829" s="1">
        <v>87</v>
      </c>
      <c r="CB1829" s="1" t="str">
        <f t="shared" ref="CB1829:CC1829" si="1383">""</f>
        <v/>
      </c>
      <c r="CC1829" s="1" t="str">
        <f t="shared" si="1383"/>
        <v/>
      </c>
      <c r="CG1829" s="1" t="s">
        <v>315</v>
      </c>
      <c r="CH1829" s="1" t="s">
        <v>219</v>
      </c>
      <c r="CK1829" s="1" t="s">
        <v>315</v>
      </c>
      <c r="CL1829" s="1" t="s">
        <v>277</v>
      </c>
      <c r="CO1829" s="1" t="s">
        <v>2138</v>
      </c>
      <c r="CP1829" s="1" t="s">
        <v>219</v>
      </c>
      <c r="CS1829" s="1" t="s">
        <v>539</v>
      </c>
      <c r="CT1829" s="1" t="s">
        <v>277</v>
      </c>
      <c r="CX1829" s="1" t="s">
        <v>224</v>
      </c>
      <c r="DB1829" s="1" t="s">
        <v>224</v>
      </c>
      <c r="DE1829" s="1" t="s">
        <v>837</v>
      </c>
      <c r="DF1829" s="1" t="s">
        <v>219</v>
      </c>
      <c r="DJ1829" s="1" t="s">
        <v>224</v>
      </c>
      <c r="DS1829" s="1" t="s">
        <v>230</v>
      </c>
      <c r="DW1829" s="1" t="s">
        <v>230</v>
      </c>
      <c r="EA1829" s="1" t="s">
        <v>230</v>
      </c>
      <c r="EE1829" s="1" t="s">
        <v>230</v>
      </c>
      <c r="EI1829" s="1" t="s">
        <v>230</v>
      </c>
      <c r="EL1829" s="1" t="s">
        <v>382</v>
      </c>
      <c r="EM1829" s="1" t="s">
        <v>347</v>
      </c>
      <c r="EN1829" s="1" t="s">
        <v>282</v>
      </c>
      <c r="EO1829" s="1" t="s">
        <v>347</v>
      </c>
      <c r="ER1829" s="1" t="s">
        <v>210</v>
      </c>
      <c r="EW1829" s="1" t="s">
        <v>347</v>
      </c>
      <c r="EZ1829" s="1" t="s">
        <v>287</v>
      </c>
      <c r="FD1829" s="1" t="s">
        <v>246</v>
      </c>
      <c r="FE1829" s="1" t="s">
        <v>347</v>
      </c>
      <c r="FF1829" s="1" t="s">
        <v>248</v>
      </c>
      <c r="FH1829" s="1" t="s">
        <v>550</v>
      </c>
      <c r="FL1829" s="1" t="s">
        <v>347</v>
      </c>
      <c r="FM1829" s="1" t="s">
        <v>252</v>
      </c>
      <c r="FN1829" s="1" t="s">
        <v>213</v>
      </c>
      <c r="FO1829" s="1" t="s">
        <v>213</v>
      </c>
      <c r="FQ1829" s="1" t="s">
        <v>582</v>
      </c>
      <c r="FR1829" s="1" t="s">
        <v>210</v>
      </c>
      <c r="FS1829" s="1" t="s">
        <v>17049</v>
      </c>
      <c r="FT1829" s="1" t="s">
        <v>362</v>
      </c>
      <c r="FU1829" s="1" t="s">
        <v>204</v>
      </c>
      <c r="FW1829" s="1" t="s">
        <v>5648</v>
      </c>
      <c r="FX1829" s="1">
        <v>23099</v>
      </c>
      <c r="FY1829" s="1" t="s">
        <v>5649</v>
      </c>
      <c r="FZ1829" s="1" t="s">
        <v>6313</v>
      </c>
      <c r="GA1829" s="1">
        <v>234775</v>
      </c>
      <c r="GB1829" s="1" t="s">
        <v>6314</v>
      </c>
      <c r="GE1829" s="1" t="s">
        <v>210</v>
      </c>
      <c r="GI1829" s="1" t="s">
        <v>213</v>
      </c>
      <c r="GJ1829" s="1" t="s">
        <v>260</v>
      </c>
      <c r="GK1829" s="1" t="s">
        <v>4920</v>
      </c>
      <c r="GL1829" s="2">
        <v>42079</v>
      </c>
      <c r="GM1829" s="1" t="s">
        <v>17050</v>
      </c>
    </row>
    <row r="1830" spans="1:195">
      <c r="A1830" s="1">
        <v>137100</v>
      </c>
      <c r="B1830" s="1" t="s">
        <v>195</v>
      </c>
      <c r="C1830" s="1" t="str">
        <f>"08728133"</f>
        <v>08728133</v>
      </c>
      <c r="D1830" s="1" t="s">
        <v>196</v>
      </c>
      <c r="F1830" s="1" t="str">
        <f>"540"</f>
        <v>540</v>
      </c>
      <c r="G1830" s="2">
        <v>41897</v>
      </c>
      <c r="H1830" s="1">
        <v>140000</v>
      </c>
      <c r="I1830" s="1">
        <v>135000</v>
      </c>
      <c r="J1830" s="1">
        <v>137100</v>
      </c>
      <c r="K1830" s="2">
        <v>41896</v>
      </c>
      <c r="L1830" s="1">
        <v>159</v>
      </c>
      <c r="M1830" s="2">
        <v>42054</v>
      </c>
      <c r="N1830" s="1">
        <v>159</v>
      </c>
      <c r="O1830" s="2">
        <v>42054</v>
      </c>
      <c r="P1830" s="1">
        <v>23076</v>
      </c>
      <c r="Q1830" s="1" t="s">
        <v>302</v>
      </c>
      <c r="R1830" s="2">
        <v>42093</v>
      </c>
      <c r="S1830" s="1">
        <v>241516</v>
      </c>
      <c r="U1830" s="1">
        <v>2611</v>
      </c>
      <c r="V1830" s="1" t="s">
        <v>6758</v>
      </c>
      <c r="W1830" s="1" t="s">
        <v>264</v>
      </c>
      <c r="X1830" s="1">
        <v>101</v>
      </c>
      <c r="Y1830" s="1">
        <v>3</v>
      </c>
      <c r="Z1830" s="1" t="s">
        <v>249</v>
      </c>
      <c r="AA1830" s="1" t="s">
        <v>921</v>
      </c>
      <c r="AB1830" s="1">
        <v>60564</v>
      </c>
      <c r="AE1830" s="1" t="s">
        <v>17051</v>
      </c>
      <c r="AF1830" s="1">
        <v>1999</v>
      </c>
      <c r="AG1830" s="1" t="s">
        <v>204</v>
      </c>
      <c r="AH1830" s="1" t="s">
        <v>924</v>
      </c>
      <c r="AI1830" s="1" t="s">
        <v>1800</v>
      </c>
      <c r="AJ1830" s="1" t="s">
        <v>1801</v>
      </c>
      <c r="AL1830" s="1">
        <v>4</v>
      </c>
      <c r="AM1830" s="1">
        <v>2</v>
      </c>
      <c r="AN1830" s="1">
        <v>2</v>
      </c>
      <c r="AO1830" s="1">
        <v>0</v>
      </c>
      <c r="AP1830" s="1" t="s">
        <v>210</v>
      </c>
      <c r="AR1830" s="1" t="s">
        <v>210</v>
      </c>
      <c r="AS1830" s="1" t="s">
        <v>204</v>
      </c>
      <c r="AT1830" s="1" t="s">
        <v>211</v>
      </c>
      <c r="AU1830" s="1">
        <v>1</v>
      </c>
      <c r="AW1830" s="1" t="s">
        <v>204</v>
      </c>
      <c r="AX1830" s="1" t="s">
        <v>212</v>
      </c>
      <c r="AZ1830" s="1">
        <v>3269.08</v>
      </c>
      <c r="BA1830" s="1">
        <v>2012</v>
      </c>
      <c r="BE1830" s="1">
        <v>1088</v>
      </c>
      <c r="BF1830" s="1">
        <v>1</v>
      </c>
      <c r="BG1830" s="1">
        <v>30</v>
      </c>
      <c r="BL1830" s="1">
        <v>248</v>
      </c>
      <c r="BM1830" s="1" t="s">
        <v>413</v>
      </c>
      <c r="BN1830" s="1" t="s">
        <v>204</v>
      </c>
      <c r="BP1830" s="1" t="s">
        <v>204</v>
      </c>
      <c r="BR1830" s="1" t="str">
        <f>"01031050111001"</f>
        <v>01031050111001</v>
      </c>
      <c r="BT1830" s="1" t="s">
        <v>17052</v>
      </c>
      <c r="BW1830" s="1" t="s">
        <v>2218</v>
      </c>
      <c r="BX1830" s="1">
        <v>204</v>
      </c>
      <c r="BY1830" s="1">
        <v>204</v>
      </c>
      <c r="BZ1830" s="1">
        <v>204</v>
      </c>
      <c r="CB1830" s="1" t="str">
        <f t="shared" ref="CB1830:CC1830" si="1384">""</f>
        <v/>
      </c>
      <c r="CC1830" s="1" t="str">
        <f t="shared" si="1384"/>
        <v/>
      </c>
      <c r="CG1830" s="1" t="s">
        <v>2992</v>
      </c>
      <c r="CH1830" s="1" t="s">
        <v>219</v>
      </c>
      <c r="CK1830" s="1" t="s">
        <v>3083</v>
      </c>
      <c r="CL1830" s="1" t="s">
        <v>219</v>
      </c>
      <c r="CP1830" s="1" t="s">
        <v>224</v>
      </c>
      <c r="CS1830" s="1" t="s">
        <v>408</v>
      </c>
      <c r="CT1830" s="1" t="s">
        <v>219</v>
      </c>
      <c r="CX1830" s="1" t="s">
        <v>224</v>
      </c>
      <c r="DB1830" s="1" t="s">
        <v>224</v>
      </c>
      <c r="DE1830" s="1" t="s">
        <v>318</v>
      </c>
      <c r="DF1830" s="1" t="s">
        <v>219</v>
      </c>
      <c r="DJ1830" s="1" t="s">
        <v>224</v>
      </c>
      <c r="DS1830" s="1" t="s">
        <v>230</v>
      </c>
      <c r="DW1830" s="1" t="s">
        <v>230</v>
      </c>
      <c r="EA1830" s="1" t="s">
        <v>230</v>
      </c>
      <c r="EE1830" s="1" t="s">
        <v>230</v>
      </c>
      <c r="EI1830" s="1" t="s">
        <v>230</v>
      </c>
      <c r="EL1830" s="1" t="s">
        <v>670</v>
      </c>
      <c r="EM1830" s="1" t="s">
        <v>232</v>
      </c>
      <c r="EN1830" s="1" t="s">
        <v>282</v>
      </c>
      <c r="EO1830" s="1" t="s">
        <v>234</v>
      </c>
      <c r="ER1830" s="1" t="s">
        <v>383</v>
      </c>
      <c r="EW1830" s="1" t="s">
        <v>4163</v>
      </c>
      <c r="EZ1830" s="1" t="s">
        <v>287</v>
      </c>
      <c r="FD1830" s="1" t="s">
        <v>1112</v>
      </c>
      <c r="FE1830" s="1" t="s">
        <v>472</v>
      </c>
      <c r="FF1830" s="1" t="s">
        <v>248</v>
      </c>
      <c r="FH1830" s="1" t="s">
        <v>249</v>
      </c>
      <c r="FL1830" s="1" t="s">
        <v>358</v>
      </c>
      <c r="FM1830" s="1" t="s">
        <v>252</v>
      </c>
      <c r="FN1830" s="1" t="s">
        <v>213</v>
      </c>
      <c r="FO1830" s="1" t="s">
        <v>213</v>
      </c>
      <c r="FQ1830" s="1" t="s">
        <v>849</v>
      </c>
      <c r="FR1830" s="1" t="s">
        <v>210</v>
      </c>
      <c r="FS1830" s="1" t="s">
        <v>2984</v>
      </c>
      <c r="FT1830" s="1" t="s">
        <v>584</v>
      </c>
      <c r="FU1830" s="1" t="s">
        <v>204</v>
      </c>
      <c r="FW1830" s="1" t="s">
        <v>2985</v>
      </c>
      <c r="FX1830" s="1">
        <v>23959</v>
      </c>
      <c r="FY1830" s="1" t="s">
        <v>2986</v>
      </c>
      <c r="FZ1830" s="1" t="s">
        <v>2987</v>
      </c>
      <c r="GA1830" s="1">
        <v>220868</v>
      </c>
      <c r="GB1830" s="1" t="s">
        <v>2986</v>
      </c>
      <c r="GE1830" s="1" t="s">
        <v>210</v>
      </c>
      <c r="GI1830" s="1" t="s">
        <v>213</v>
      </c>
      <c r="GJ1830" s="1" t="s">
        <v>260</v>
      </c>
      <c r="GK1830" s="1" t="s">
        <v>210</v>
      </c>
      <c r="GL1830" s="2">
        <v>42093</v>
      </c>
      <c r="GM1830" s="1" t="s">
        <v>17053</v>
      </c>
    </row>
    <row r="1831" spans="1:195">
      <c r="A1831" s="1">
        <v>43000</v>
      </c>
      <c r="B1831" s="1" t="s">
        <v>195</v>
      </c>
      <c r="C1831" s="1" t="str">
        <f>"08725908"</f>
        <v>08725908</v>
      </c>
      <c r="D1831" s="1" t="s">
        <v>196</v>
      </c>
      <c r="F1831" s="1" t="str">
        <f>"527"</f>
        <v>527</v>
      </c>
      <c r="G1831" s="2">
        <v>41893</v>
      </c>
      <c r="H1831" s="1">
        <v>74900</v>
      </c>
      <c r="I1831" s="1">
        <v>44900</v>
      </c>
      <c r="J1831" s="1">
        <v>43000</v>
      </c>
      <c r="K1831" s="2">
        <v>41893</v>
      </c>
      <c r="L1831" s="1">
        <v>146</v>
      </c>
      <c r="M1831" s="2">
        <v>42038</v>
      </c>
      <c r="N1831" s="1">
        <v>146</v>
      </c>
      <c r="O1831" s="2">
        <v>42038</v>
      </c>
      <c r="P1831" s="1">
        <v>25619</v>
      </c>
      <c r="Q1831" s="1" t="s">
        <v>197</v>
      </c>
      <c r="R1831" s="2">
        <v>42107</v>
      </c>
      <c r="S1831" s="1">
        <v>240311</v>
      </c>
      <c r="U1831" s="1">
        <v>5629</v>
      </c>
      <c r="V1831" s="1" t="s">
        <v>1147</v>
      </c>
      <c r="W1831" s="1" t="s">
        <v>425</v>
      </c>
      <c r="X1831" s="1" t="s">
        <v>2010</v>
      </c>
      <c r="Y1831" s="1">
        <v>12</v>
      </c>
      <c r="Z1831" s="1" t="s">
        <v>249</v>
      </c>
      <c r="AA1831" s="1" t="s">
        <v>5962</v>
      </c>
      <c r="AB1831" s="1">
        <v>60525</v>
      </c>
      <c r="AE1831" s="1" t="s">
        <v>17054</v>
      </c>
      <c r="AF1831" s="1" t="s">
        <v>402</v>
      </c>
      <c r="AG1831" s="1" t="s">
        <v>213</v>
      </c>
      <c r="AH1831" s="1" t="s">
        <v>5964</v>
      </c>
      <c r="AI1831" s="1" t="s">
        <v>310</v>
      </c>
      <c r="AJ1831" s="1" t="s">
        <v>702</v>
      </c>
      <c r="AL1831" s="1">
        <v>5</v>
      </c>
      <c r="AM1831" s="1">
        <v>2</v>
      </c>
      <c r="AN1831" s="1">
        <v>1</v>
      </c>
      <c r="AO1831" s="1">
        <v>0</v>
      </c>
      <c r="AP1831" s="1" t="s">
        <v>210</v>
      </c>
      <c r="AR1831" s="1" t="s">
        <v>210</v>
      </c>
      <c r="AS1831" s="1" t="s">
        <v>204</v>
      </c>
      <c r="AT1831" s="1" t="s">
        <v>271</v>
      </c>
      <c r="AV1831" s="1">
        <v>2</v>
      </c>
      <c r="AW1831" s="1" t="s">
        <v>204</v>
      </c>
      <c r="AX1831" s="1" t="s">
        <v>212</v>
      </c>
      <c r="AZ1831" s="1">
        <v>1039.04</v>
      </c>
      <c r="BA1831" s="1">
        <v>2012</v>
      </c>
      <c r="BE1831" s="1">
        <v>0</v>
      </c>
      <c r="BF1831" s="1">
        <v>1</v>
      </c>
      <c r="BG1831" s="1">
        <v>0</v>
      </c>
      <c r="BL1831" s="1">
        <v>195</v>
      </c>
      <c r="BM1831" s="1" t="s">
        <v>204</v>
      </c>
      <c r="BN1831" s="1" t="s">
        <v>213</v>
      </c>
      <c r="BO1831" s="1">
        <v>30</v>
      </c>
      <c r="BP1831" s="1" t="s">
        <v>204</v>
      </c>
      <c r="BR1831" s="1" t="str">
        <f>"18162040351001"</f>
        <v>18162040351001</v>
      </c>
      <c r="BT1831" s="1" t="s">
        <v>17055</v>
      </c>
      <c r="BX1831" s="1">
        <v>105</v>
      </c>
      <c r="BY1831" s="1">
        <v>105</v>
      </c>
      <c r="BZ1831" s="1">
        <v>204</v>
      </c>
      <c r="CB1831" s="1" t="str">
        <f t="shared" ref="CB1831:CC1831" si="1385">"0"</f>
        <v>0</v>
      </c>
      <c r="CC1831" s="1" t="str">
        <f t="shared" si="1385"/>
        <v>0</v>
      </c>
      <c r="CD1831" s="1">
        <v>12</v>
      </c>
      <c r="CE1831" s="1">
        <v>6</v>
      </c>
      <c r="CG1831" s="1" t="s">
        <v>1045</v>
      </c>
      <c r="CH1831" s="1" t="s">
        <v>219</v>
      </c>
      <c r="CI1831" s="1" t="s">
        <v>220</v>
      </c>
      <c r="CK1831" s="1" t="s">
        <v>465</v>
      </c>
      <c r="CL1831" s="1" t="s">
        <v>219</v>
      </c>
      <c r="CM1831" s="1" t="s">
        <v>220</v>
      </c>
      <c r="CO1831" s="1" t="s">
        <v>1534</v>
      </c>
      <c r="CP1831" s="1" t="s">
        <v>219</v>
      </c>
      <c r="CQ1831" s="1" t="s">
        <v>4958</v>
      </c>
      <c r="CS1831" s="1" t="s">
        <v>1046</v>
      </c>
      <c r="CT1831" s="1" t="s">
        <v>219</v>
      </c>
      <c r="CU1831" s="1" t="s">
        <v>220</v>
      </c>
      <c r="CX1831" s="1" t="s">
        <v>224</v>
      </c>
      <c r="DB1831" s="1" t="s">
        <v>224</v>
      </c>
      <c r="DE1831" s="1" t="s">
        <v>1534</v>
      </c>
      <c r="DF1831" s="1" t="s">
        <v>219</v>
      </c>
      <c r="DG1831" s="1" t="s">
        <v>4958</v>
      </c>
      <c r="DJ1831" s="1" t="s">
        <v>224</v>
      </c>
      <c r="DS1831" s="1" t="s">
        <v>230</v>
      </c>
      <c r="DW1831" s="1" t="s">
        <v>230</v>
      </c>
      <c r="EA1831" s="1" t="s">
        <v>230</v>
      </c>
      <c r="EE1831" s="1" t="s">
        <v>230</v>
      </c>
      <c r="EI1831" s="1" t="s">
        <v>230</v>
      </c>
      <c r="EL1831" s="1" t="s">
        <v>413</v>
      </c>
      <c r="EM1831" s="1" t="s">
        <v>232</v>
      </c>
      <c r="EN1831" s="1" t="s">
        <v>731</v>
      </c>
      <c r="EO1831" s="1" t="s">
        <v>234</v>
      </c>
      <c r="ER1831" s="1" t="s">
        <v>210</v>
      </c>
      <c r="EU1831" s="1" t="s">
        <v>1110</v>
      </c>
      <c r="EW1831" s="1" t="s">
        <v>12358</v>
      </c>
      <c r="EZ1831" s="1" t="s">
        <v>287</v>
      </c>
      <c r="FD1831" s="1" t="s">
        <v>290</v>
      </c>
      <c r="FE1831" s="1" t="s">
        <v>247</v>
      </c>
      <c r="FF1831" s="1" t="s">
        <v>248</v>
      </c>
      <c r="FH1831" s="1" t="s">
        <v>249</v>
      </c>
      <c r="FK1831" s="1" t="s">
        <v>389</v>
      </c>
      <c r="FL1831" s="1" t="s">
        <v>2370</v>
      </c>
      <c r="FM1831" s="1" t="s">
        <v>252</v>
      </c>
      <c r="FN1831" s="1" t="s">
        <v>213</v>
      </c>
      <c r="FO1831" s="1" t="s">
        <v>213</v>
      </c>
      <c r="FQ1831" s="1" t="s">
        <v>673</v>
      </c>
      <c r="FR1831" s="1" t="s">
        <v>210</v>
      </c>
      <c r="FS1831" s="1" t="s">
        <v>7889</v>
      </c>
      <c r="FT1831" s="1" t="s">
        <v>8191</v>
      </c>
      <c r="FU1831" s="1" t="s">
        <v>204</v>
      </c>
      <c r="FW1831" s="1" t="s">
        <v>11216</v>
      </c>
      <c r="FX1831" s="1">
        <v>23426</v>
      </c>
      <c r="FY1831" s="1" t="s">
        <v>11217</v>
      </c>
      <c r="FZ1831" s="1" t="s">
        <v>17056</v>
      </c>
      <c r="GA1831" s="1">
        <v>216793</v>
      </c>
      <c r="GB1831" s="1" t="s">
        <v>17057</v>
      </c>
      <c r="GC1831" s="1">
        <v>216868</v>
      </c>
      <c r="GE1831" s="1" t="s">
        <v>480</v>
      </c>
      <c r="GI1831" s="1" t="s">
        <v>213</v>
      </c>
      <c r="GJ1831" s="1" t="s">
        <v>260</v>
      </c>
      <c r="GK1831" s="1" t="s">
        <v>210</v>
      </c>
      <c r="GL1831" s="2">
        <v>42107</v>
      </c>
      <c r="GM1831" s="1" t="s">
        <v>17058</v>
      </c>
    </row>
    <row r="1832" spans="1:195">
      <c r="A1832" s="1">
        <v>167500</v>
      </c>
      <c r="B1832" s="1" t="s">
        <v>195</v>
      </c>
      <c r="C1832" s="1" t="str">
        <f>"08731320"</f>
        <v>08731320</v>
      </c>
      <c r="D1832" s="1" t="s">
        <v>196</v>
      </c>
      <c r="F1832" s="1" t="str">
        <f>"531"</f>
        <v>531</v>
      </c>
      <c r="G1832" s="2">
        <v>41900</v>
      </c>
      <c r="H1832" s="1">
        <v>179900</v>
      </c>
      <c r="I1832" s="1">
        <v>169900</v>
      </c>
      <c r="J1832" s="1">
        <v>167500</v>
      </c>
      <c r="K1832" s="2">
        <v>41900</v>
      </c>
      <c r="L1832" s="1">
        <v>62</v>
      </c>
      <c r="M1832" s="2">
        <v>41961</v>
      </c>
      <c r="N1832" s="1">
        <v>62</v>
      </c>
      <c r="O1832" s="2">
        <v>41961</v>
      </c>
      <c r="P1832" s="1">
        <v>22097</v>
      </c>
      <c r="Q1832" s="1" t="s">
        <v>197</v>
      </c>
      <c r="R1832" s="2">
        <v>42013</v>
      </c>
      <c r="S1832" s="1">
        <v>221899</v>
      </c>
      <c r="U1832" s="1">
        <v>29</v>
      </c>
      <c r="V1832" s="1" t="s">
        <v>17059</v>
      </c>
      <c r="W1832" s="1" t="s">
        <v>264</v>
      </c>
      <c r="X1832" s="1">
        <v>4</v>
      </c>
      <c r="Y1832" s="1">
        <v>4</v>
      </c>
      <c r="Z1832" s="1" t="s">
        <v>249</v>
      </c>
      <c r="AA1832" s="1" t="s">
        <v>2326</v>
      </c>
      <c r="AB1832" s="1">
        <v>60525</v>
      </c>
      <c r="AD1832" s="1" t="s">
        <v>17060</v>
      </c>
      <c r="AE1832" s="1" t="s">
        <v>17061</v>
      </c>
      <c r="AF1832" s="1">
        <v>1979</v>
      </c>
      <c r="AG1832" s="1" t="s">
        <v>204</v>
      </c>
      <c r="AH1832" s="1" t="s">
        <v>2329</v>
      </c>
      <c r="AI1832" s="1" t="s">
        <v>310</v>
      </c>
      <c r="AJ1832" s="1" t="s">
        <v>702</v>
      </c>
      <c r="AK1832" s="1" t="s">
        <v>17062</v>
      </c>
      <c r="AL1832" s="1">
        <v>5</v>
      </c>
      <c r="AM1832" s="1">
        <v>2</v>
      </c>
      <c r="AN1832" s="1">
        <v>2</v>
      </c>
      <c r="AO1832" s="1">
        <v>0</v>
      </c>
      <c r="AP1832" s="1" t="s">
        <v>209</v>
      </c>
      <c r="AR1832" s="1" t="s">
        <v>210</v>
      </c>
      <c r="AS1832" s="1" t="s">
        <v>204</v>
      </c>
      <c r="AT1832" s="1" t="s">
        <v>211</v>
      </c>
      <c r="AU1832" s="1">
        <v>1</v>
      </c>
      <c r="AW1832" s="1" t="s">
        <v>204</v>
      </c>
      <c r="AX1832" s="1" t="s">
        <v>212</v>
      </c>
      <c r="AZ1832" s="1">
        <v>3321</v>
      </c>
      <c r="BA1832" s="1">
        <v>2012</v>
      </c>
      <c r="BB1832" s="1" t="s">
        <v>405</v>
      </c>
      <c r="BE1832" s="1">
        <v>1250</v>
      </c>
      <c r="BF1832" s="1">
        <v>2</v>
      </c>
      <c r="BG1832" s="1">
        <v>0</v>
      </c>
      <c r="BJ1832" s="1">
        <v>100</v>
      </c>
      <c r="BL1832" s="1">
        <v>232</v>
      </c>
      <c r="BM1832" s="1" t="s">
        <v>204</v>
      </c>
      <c r="BN1832" s="1" t="s">
        <v>213</v>
      </c>
      <c r="BO1832" s="1">
        <v>25</v>
      </c>
      <c r="BP1832" s="1" t="s">
        <v>204</v>
      </c>
      <c r="BR1832" s="1" t="str">
        <f>"18201000511082"</f>
        <v>18201000511082</v>
      </c>
      <c r="BT1832" s="1" t="s">
        <v>17063</v>
      </c>
      <c r="BU1832" s="1" t="s">
        <v>2495</v>
      </c>
      <c r="BV1832" s="1" t="s">
        <v>2496</v>
      </c>
      <c r="BW1832" s="1" t="s">
        <v>706</v>
      </c>
      <c r="BX1832" s="1">
        <v>106</v>
      </c>
      <c r="BY1832" s="1">
        <v>106</v>
      </c>
      <c r="BZ1832" s="1">
        <v>204</v>
      </c>
      <c r="CB1832" s="1" t="str">
        <f t="shared" ref="CB1832:CC1832" si="1386">"0"</f>
        <v>0</v>
      </c>
      <c r="CC1832" s="1" t="str">
        <f t="shared" si="1386"/>
        <v>0</v>
      </c>
      <c r="CD1832" s="1">
        <v>13</v>
      </c>
      <c r="CE1832" s="1">
        <v>7</v>
      </c>
      <c r="CG1832" s="1" t="s">
        <v>1853</v>
      </c>
      <c r="CH1832" s="1" t="s">
        <v>219</v>
      </c>
      <c r="CI1832" s="1" t="s">
        <v>229</v>
      </c>
      <c r="CJ1832" s="1" t="s">
        <v>252</v>
      </c>
      <c r="CK1832" s="1" t="s">
        <v>729</v>
      </c>
      <c r="CL1832" s="1" t="s">
        <v>219</v>
      </c>
      <c r="CM1832" s="1" t="s">
        <v>220</v>
      </c>
      <c r="CN1832" s="1" t="s">
        <v>252</v>
      </c>
      <c r="CO1832" s="1" t="s">
        <v>379</v>
      </c>
      <c r="CP1832" s="1" t="s">
        <v>219</v>
      </c>
      <c r="CQ1832" s="1" t="s">
        <v>229</v>
      </c>
      <c r="CR1832" s="1" t="s">
        <v>252</v>
      </c>
      <c r="CS1832" s="1" t="s">
        <v>602</v>
      </c>
      <c r="CT1832" s="1" t="s">
        <v>219</v>
      </c>
      <c r="CU1832" s="1" t="s">
        <v>229</v>
      </c>
      <c r="CV1832" s="1" t="s">
        <v>252</v>
      </c>
      <c r="CX1832" s="1" t="s">
        <v>224</v>
      </c>
      <c r="DB1832" s="1" t="s">
        <v>224</v>
      </c>
      <c r="DE1832" s="1" t="s">
        <v>837</v>
      </c>
      <c r="DF1832" s="1" t="s">
        <v>219</v>
      </c>
      <c r="DG1832" s="1" t="s">
        <v>226</v>
      </c>
      <c r="DH1832" s="1" t="s">
        <v>252</v>
      </c>
      <c r="DJ1832" s="1" t="s">
        <v>224</v>
      </c>
      <c r="DM1832" s="1" t="s">
        <v>709</v>
      </c>
      <c r="DR1832" s="1" t="s">
        <v>5954</v>
      </c>
      <c r="DS1832" s="1" t="s">
        <v>219</v>
      </c>
      <c r="DT1832" s="1" t="s">
        <v>229</v>
      </c>
      <c r="DW1832" s="1" t="s">
        <v>230</v>
      </c>
      <c r="EA1832" s="1" t="s">
        <v>230</v>
      </c>
      <c r="EE1832" s="1" t="s">
        <v>230</v>
      </c>
      <c r="EI1832" s="1" t="s">
        <v>230</v>
      </c>
      <c r="EL1832" s="1" t="s">
        <v>231</v>
      </c>
      <c r="EM1832" s="1" t="s">
        <v>232</v>
      </c>
      <c r="EN1832" s="1" t="s">
        <v>282</v>
      </c>
      <c r="EO1832" s="1" t="s">
        <v>234</v>
      </c>
      <c r="EP1832" s="1" t="s">
        <v>6446</v>
      </c>
      <c r="EQ1832" s="1" t="s">
        <v>2188</v>
      </c>
      <c r="ER1832" s="1" t="s">
        <v>383</v>
      </c>
      <c r="ES1832" s="1" t="s">
        <v>322</v>
      </c>
      <c r="EU1832" s="1" t="s">
        <v>239</v>
      </c>
      <c r="EV1832" s="1" t="s">
        <v>352</v>
      </c>
      <c r="EW1832" s="1" t="s">
        <v>937</v>
      </c>
      <c r="EY1832" s="1" t="s">
        <v>242</v>
      </c>
      <c r="EZ1832" s="1" t="s">
        <v>709</v>
      </c>
      <c r="FA1832" s="1" t="s">
        <v>17064</v>
      </c>
      <c r="FC1832" s="1" t="s">
        <v>2073</v>
      </c>
      <c r="FD1832" s="1" t="s">
        <v>495</v>
      </c>
      <c r="FE1832" s="1" t="s">
        <v>651</v>
      </c>
      <c r="FF1832" s="1" t="s">
        <v>17065</v>
      </c>
      <c r="FH1832" s="1" t="s">
        <v>249</v>
      </c>
      <c r="FI1832" s="1" t="s">
        <v>357</v>
      </c>
      <c r="FL1832" s="1" t="s">
        <v>358</v>
      </c>
      <c r="FM1832" s="1" t="s">
        <v>252</v>
      </c>
      <c r="FN1832" s="1" t="s">
        <v>213</v>
      </c>
      <c r="FO1832" s="1" t="s">
        <v>213</v>
      </c>
      <c r="FQ1832" s="1" t="s">
        <v>793</v>
      </c>
      <c r="FR1832" s="1" t="s">
        <v>652</v>
      </c>
      <c r="FS1832" s="1" t="s">
        <v>17066</v>
      </c>
      <c r="FT1832" s="1" t="s">
        <v>295</v>
      </c>
      <c r="FU1832" s="1" t="s">
        <v>213</v>
      </c>
      <c r="FW1832" s="1" t="s">
        <v>5648</v>
      </c>
      <c r="FX1832" s="1">
        <v>23099</v>
      </c>
      <c r="FY1832" s="1" t="s">
        <v>5649</v>
      </c>
      <c r="FZ1832" s="1" t="s">
        <v>16407</v>
      </c>
      <c r="GA1832" s="1">
        <v>220929</v>
      </c>
      <c r="GB1832" s="1" t="s">
        <v>16408</v>
      </c>
      <c r="GD1832" s="1" t="s">
        <v>16409</v>
      </c>
      <c r="GE1832" s="1" t="s">
        <v>1576</v>
      </c>
      <c r="GI1832" s="1" t="s">
        <v>213</v>
      </c>
      <c r="GJ1832" s="1" t="s">
        <v>260</v>
      </c>
      <c r="GK1832" s="1" t="s">
        <v>261</v>
      </c>
      <c r="GL1832" s="2">
        <v>42013</v>
      </c>
      <c r="GM1832" s="1" t="s">
        <v>17067</v>
      </c>
    </row>
    <row r="1833" spans="1:195">
      <c r="A1833" s="1">
        <v>150000</v>
      </c>
      <c r="B1833" s="1" t="s">
        <v>195</v>
      </c>
      <c r="C1833" s="1" t="str">
        <f>"08719922"</f>
        <v>08719922</v>
      </c>
      <c r="D1833" s="1" t="s">
        <v>196</v>
      </c>
      <c r="F1833" s="1" t="str">
        <f>"555"</f>
        <v>555</v>
      </c>
      <c r="G1833" s="2">
        <v>41887</v>
      </c>
      <c r="H1833" s="1">
        <v>165000</v>
      </c>
      <c r="I1833" s="1">
        <v>155000</v>
      </c>
      <c r="J1833" s="1">
        <v>150000</v>
      </c>
      <c r="K1833" s="2">
        <v>41887</v>
      </c>
      <c r="L1833" s="1">
        <v>65</v>
      </c>
      <c r="M1833" s="2">
        <v>41951</v>
      </c>
      <c r="N1833" s="1">
        <v>65</v>
      </c>
      <c r="O1833" s="2">
        <v>41951</v>
      </c>
      <c r="P1833" s="1">
        <v>24695</v>
      </c>
      <c r="Q1833" s="1" t="s">
        <v>197</v>
      </c>
      <c r="R1833" s="2">
        <v>42002</v>
      </c>
      <c r="S1833" s="1">
        <v>243205</v>
      </c>
      <c r="U1833" s="1" t="s">
        <v>17068</v>
      </c>
      <c r="V1833" s="1" t="s">
        <v>4986</v>
      </c>
      <c r="W1833" s="1" t="s">
        <v>264</v>
      </c>
      <c r="X1833" s="1" t="s">
        <v>17069</v>
      </c>
      <c r="Y1833" s="1">
        <v>4</v>
      </c>
      <c r="Z1833" s="1" t="s">
        <v>249</v>
      </c>
      <c r="AA1833" s="1" t="s">
        <v>984</v>
      </c>
      <c r="AB1833" s="1">
        <v>60555</v>
      </c>
      <c r="AC1833" s="1">
        <v>2481</v>
      </c>
      <c r="AD1833" s="1" t="s">
        <v>10231</v>
      </c>
      <c r="AE1833" s="1" t="s">
        <v>17070</v>
      </c>
      <c r="AF1833" s="1">
        <v>1990</v>
      </c>
      <c r="AG1833" s="1" t="s">
        <v>204</v>
      </c>
      <c r="AH1833" s="1" t="s">
        <v>986</v>
      </c>
      <c r="AI1833" s="1" t="s">
        <v>206</v>
      </c>
      <c r="AJ1833" s="1" t="s">
        <v>987</v>
      </c>
      <c r="AK1833" s="1" t="s">
        <v>5115</v>
      </c>
      <c r="AL1833" s="1">
        <v>6</v>
      </c>
      <c r="AM1833" s="1">
        <v>2</v>
      </c>
      <c r="AN1833" s="1">
        <v>1</v>
      </c>
      <c r="AO1833" s="1">
        <v>1</v>
      </c>
      <c r="AP1833" s="1" t="s">
        <v>667</v>
      </c>
      <c r="AR1833" s="1" t="s">
        <v>210</v>
      </c>
      <c r="AS1833" s="1" t="s">
        <v>204</v>
      </c>
      <c r="AT1833" s="1" t="s">
        <v>211</v>
      </c>
      <c r="AU1833" s="1">
        <v>2</v>
      </c>
      <c r="AW1833" s="1" t="s">
        <v>204</v>
      </c>
      <c r="AX1833" s="1" t="s">
        <v>212</v>
      </c>
      <c r="AZ1833" s="1">
        <v>3747.16</v>
      </c>
      <c r="BA1833" s="1">
        <v>2013</v>
      </c>
      <c r="BB1833" s="1" t="s">
        <v>405</v>
      </c>
      <c r="BE1833" s="1">
        <v>1461</v>
      </c>
      <c r="BF1833" s="1">
        <v>1</v>
      </c>
      <c r="BG1833" s="1">
        <v>0</v>
      </c>
      <c r="BL1833" s="1">
        <v>205</v>
      </c>
      <c r="BM1833" s="1" t="s">
        <v>204</v>
      </c>
      <c r="BN1833" s="1" t="s">
        <v>213</v>
      </c>
      <c r="BO1833" s="1">
        <v>999</v>
      </c>
      <c r="BP1833" s="1" t="s">
        <v>204</v>
      </c>
      <c r="BR1833" s="1" t="str">
        <f>"0434124030"</f>
        <v>0434124030</v>
      </c>
      <c r="BT1833" s="1" t="s">
        <v>17071</v>
      </c>
      <c r="BU1833" s="1" t="s">
        <v>989</v>
      </c>
      <c r="BV1833" s="1" t="s">
        <v>990</v>
      </c>
      <c r="BW1833" s="1" t="s">
        <v>971</v>
      </c>
      <c r="BX1833" s="1">
        <v>200</v>
      </c>
      <c r="BY1833" s="1">
        <v>200</v>
      </c>
      <c r="BZ1833" s="1">
        <v>200</v>
      </c>
      <c r="CB1833" s="1" t="str">
        <f t="shared" ref="CB1833:CC1833" si="1387">""</f>
        <v/>
      </c>
      <c r="CC1833" s="1" t="str">
        <f t="shared" si="1387"/>
        <v/>
      </c>
      <c r="CG1833" s="1" t="s">
        <v>538</v>
      </c>
      <c r="CH1833" s="1" t="s">
        <v>219</v>
      </c>
      <c r="CJ1833" s="1" t="s">
        <v>343</v>
      </c>
      <c r="CK1833" s="1" t="s">
        <v>218</v>
      </c>
      <c r="CL1833" s="1" t="s">
        <v>277</v>
      </c>
      <c r="CM1833" s="1" t="s">
        <v>220</v>
      </c>
      <c r="CN1833" s="1" t="s">
        <v>343</v>
      </c>
      <c r="CO1833" s="1" t="s">
        <v>318</v>
      </c>
      <c r="CP1833" s="1" t="s">
        <v>219</v>
      </c>
      <c r="CR1833" s="1" t="s">
        <v>343</v>
      </c>
      <c r="CS1833" s="1" t="s">
        <v>465</v>
      </c>
      <c r="CT1833" s="1" t="s">
        <v>277</v>
      </c>
      <c r="CU1833" s="1" t="s">
        <v>220</v>
      </c>
      <c r="CV1833" s="1" t="s">
        <v>343</v>
      </c>
      <c r="CX1833" s="1" t="s">
        <v>224</v>
      </c>
      <c r="DB1833" s="1" t="s">
        <v>224</v>
      </c>
      <c r="DE1833" s="1" t="s">
        <v>409</v>
      </c>
      <c r="DF1833" s="1" t="s">
        <v>219</v>
      </c>
      <c r="DH1833" s="1" t="s">
        <v>343</v>
      </c>
      <c r="DJ1833" s="1" t="s">
        <v>224</v>
      </c>
      <c r="DM1833" s="1" t="s">
        <v>464</v>
      </c>
      <c r="DR1833" s="1" t="s">
        <v>3363</v>
      </c>
      <c r="DS1833" s="1" t="s">
        <v>277</v>
      </c>
      <c r="DT1833" s="1" t="s">
        <v>220</v>
      </c>
      <c r="DU1833" s="1" t="s">
        <v>343</v>
      </c>
      <c r="DW1833" s="1" t="s">
        <v>230</v>
      </c>
      <c r="EA1833" s="1" t="s">
        <v>230</v>
      </c>
      <c r="EE1833" s="1" t="s">
        <v>230</v>
      </c>
      <c r="EI1833" s="1" t="s">
        <v>230</v>
      </c>
      <c r="EL1833" s="1" t="s">
        <v>382</v>
      </c>
      <c r="EM1833" s="1" t="s">
        <v>319</v>
      </c>
      <c r="EN1833" s="1" t="s">
        <v>282</v>
      </c>
      <c r="EO1833" s="1" t="s">
        <v>840</v>
      </c>
      <c r="EP1833" s="1" t="s">
        <v>650</v>
      </c>
      <c r="EQ1833" s="1" t="s">
        <v>1094</v>
      </c>
      <c r="ER1833" s="1" t="s">
        <v>210</v>
      </c>
      <c r="ES1833" s="1" t="s">
        <v>1552</v>
      </c>
      <c r="ET1833" s="1" t="s">
        <v>842</v>
      </c>
      <c r="EU1833" s="1" t="s">
        <v>1202</v>
      </c>
      <c r="EV1833" s="1" t="s">
        <v>352</v>
      </c>
      <c r="EW1833" s="1" t="s">
        <v>887</v>
      </c>
      <c r="EY1833" s="1" t="s">
        <v>242</v>
      </c>
      <c r="EZ1833" s="1" t="s">
        <v>464</v>
      </c>
      <c r="FA1833" s="1" t="s">
        <v>714</v>
      </c>
      <c r="FB1833" s="1" t="s">
        <v>289</v>
      </c>
      <c r="FD1833" s="1" t="s">
        <v>246</v>
      </c>
      <c r="FE1833" s="1" t="s">
        <v>765</v>
      </c>
      <c r="FF1833" s="1" t="s">
        <v>248</v>
      </c>
      <c r="FH1833" s="1" t="s">
        <v>249</v>
      </c>
      <c r="FI1833" s="1" t="s">
        <v>473</v>
      </c>
      <c r="FJ1833" s="1" t="s">
        <v>518</v>
      </c>
      <c r="FL1833" s="1" t="s">
        <v>358</v>
      </c>
      <c r="FM1833" s="1" t="s">
        <v>252</v>
      </c>
      <c r="FN1833" s="1" t="s">
        <v>213</v>
      </c>
      <c r="FO1833" s="1" t="s">
        <v>213</v>
      </c>
      <c r="FQ1833" s="1" t="s">
        <v>293</v>
      </c>
      <c r="FR1833" s="1" t="s">
        <v>652</v>
      </c>
      <c r="FS1833" s="1" t="s">
        <v>17072</v>
      </c>
      <c r="FT1833" s="1" t="s">
        <v>255</v>
      </c>
      <c r="FU1833" s="1" t="s">
        <v>204</v>
      </c>
      <c r="FW1833" s="1" t="s">
        <v>256</v>
      </c>
      <c r="FX1833" s="1">
        <v>25163</v>
      </c>
      <c r="FY1833" s="1" t="s">
        <v>257</v>
      </c>
      <c r="FZ1833" s="1" t="s">
        <v>17073</v>
      </c>
      <c r="GA1833" s="1">
        <v>231885</v>
      </c>
      <c r="GB1833" s="1" t="s">
        <v>17074</v>
      </c>
      <c r="GD1833" s="1" t="s">
        <v>17075</v>
      </c>
      <c r="GE1833" s="1" t="s">
        <v>1187</v>
      </c>
      <c r="GI1833" s="1" t="s">
        <v>213</v>
      </c>
      <c r="GJ1833" s="1" t="s">
        <v>260</v>
      </c>
      <c r="GK1833" s="1" t="s">
        <v>261</v>
      </c>
      <c r="GL1833" s="2">
        <v>42002</v>
      </c>
      <c r="GM1833" s="1" t="s">
        <v>17076</v>
      </c>
    </row>
    <row r="1834" spans="1:195">
      <c r="A1834" s="1">
        <v>165000</v>
      </c>
      <c r="B1834" s="1" t="s">
        <v>195</v>
      </c>
      <c r="C1834" s="1" t="str">
        <f>"08721800"</f>
        <v>08721800</v>
      </c>
      <c r="D1834" s="1" t="s">
        <v>196</v>
      </c>
      <c r="F1834" s="1" t="str">
        <f>"107"</f>
        <v>107</v>
      </c>
      <c r="G1834" s="2">
        <v>41890</v>
      </c>
      <c r="H1834" s="1">
        <v>177000</v>
      </c>
      <c r="I1834" s="1">
        <v>177000</v>
      </c>
      <c r="J1834" s="1">
        <v>165000</v>
      </c>
      <c r="K1834" s="2">
        <v>41887</v>
      </c>
      <c r="L1834" s="1">
        <v>67</v>
      </c>
      <c r="M1834" s="2">
        <v>41953</v>
      </c>
      <c r="N1834" s="1">
        <v>67</v>
      </c>
      <c r="O1834" s="2">
        <v>41953</v>
      </c>
      <c r="P1834" s="1">
        <v>14316</v>
      </c>
      <c r="Q1834" s="1" t="s">
        <v>197</v>
      </c>
      <c r="R1834" s="2">
        <v>42061</v>
      </c>
      <c r="S1834" s="1">
        <v>113142</v>
      </c>
      <c r="U1834" s="1">
        <v>1393</v>
      </c>
      <c r="V1834" s="1" t="s">
        <v>11508</v>
      </c>
      <c r="W1834" s="1" t="s">
        <v>264</v>
      </c>
      <c r="Y1834" s="1">
        <v>2</v>
      </c>
      <c r="Z1834" s="1" t="s">
        <v>370</v>
      </c>
      <c r="AA1834" s="1" t="s">
        <v>1211</v>
      </c>
      <c r="AB1834" s="1">
        <v>60107</v>
      </c>
      <c r="AD1834" s="1" t="s">
        <v>11508</v>
      </c>
      <c r="AE1834" s="1" t="s">
        <v>17077</v>
      </c>
      <c r="AF1834" s="1">
        <v>1994</v>
      </c>
      <c r="AG1834" s="1" t="s">
        <v>204</v>
      </c>
      <c r="AH1834" s="1" t="s">
        <v>1214</v>
      </c>
      <c r="AI1834" s="1" t="s">
        <v>310</v>
      </c>
      <c r="AJ1834" s="1" t="s">
        <v>374</v>
      </c>
      <c r="AL1834" s="1">
        <v>6</v>
      </c>
      <c r="AM1834" s="1">
        <v>2</v>
      </c>
      <c r="AN1834" s="1">
        <v>2</v>
      </c>
      <c r="AO1834" s="1">
        <v>1</v>
      </c>
      <c r="AP1834" s="1" t="s">
        <v>209</v>
      </c>
      <c r="AQ1834" s="1">
        <v>1</v>
      </c>
      <c r="AR1834" s="1" t="s">
        <v>210</v>
      </c>
      <c r="AS1834" s="1" t="s">
        <v>204</v>
      </c>
      <c r="AT1834" s="1" t="s">
        <v>211</v>
      </c>
      <c r="AU1834" s="1">
        <v>2</v>
      </c>
      <c r="AW1834" s="1" t="s">
        <v>204</v>
      </c>
      <c r="AX1834" s="1" t="s">
        <v>17078</v>
      </c>
      <c r="AZ1834" s="1">
        <v>6761.44</v>
      </c>
      <c r="BA1834" s="1">
        <v>2013</v>
      </c>
      <c r="BE1834" s="1">
        <v>2365</v>
      </c>
      <c r="BF1834" s="1">
        <v>1</v>
      </c>
      <c r="BG1834" s="1">
        <v>0</v>
      </c>
      <c r="BL1834" s="1">
        <v>118</v>
      </c>
      <c r="BM1834" s="1" t="s">
        <v>204</v>
      </c>
      <c r="BN1834" s="1" t="s">
        <v>213</v>
      </c>
      <c r="BO1834" s="1">
        <v>99</v>
      </c>
      <c r="BP1834" s="1" t="s">
        <v>204</v>
      </c>
      <c r="BR1834" s="1" t="str">
        <f>"06282011470000"</f>
        <v>06282011470000</v>
      </c>
      <c r="BT1834" s="1" t="s">
        <v>17079</v>
      </c>
      <c r="BX1834" s="1">
        <v>46</v>
      </c>
      <c r="BY1834" s="1">
        <v>46</v>
      </c>
      <c r="BZ1834" s="1">
        <v>46</v>
      </c>
      <c r="CB1834" s="1" t="str">
        <f t="shared" ref="CB1834:CC1834" si="1388">""</f>
        <v/>
      </c>
      <c r="CC1834" s="1" t="str">
        <f t="shared" si="1388"/>
        <v/>
      </c>
      <c r="CG1834" s="1" t="s">
        <v>1004</v>
      </c>
      <c r="CH1834" s="1" t="s">
        <v>219</v>
      </c>
      <c r="CK1834" s="1" t="s">
        <v>581</v>
      </c>
      <c r="CL1834" s="1" t="s">
        <v>277</v>
      </c>
      <c r="CO1834" s="1" t="s">
        <v>1045</v>
      </c>
      <c r="CP1834" s="1" t="s">
        <v>219</v>
      </c>
      <c r="CS1834" s="1" t="s">
        <v>581</v>
      </c>
      <c r="CT1834" s="1" t="s">
        <v>277</v>
      </c>
      <c r="CX1834" s="1" t="s">
        <v>224</v>
      </c>
      <c r="DB1834" s="1" t="s">
        <v>224</v>
      </c>
      <c r="DE1834" s="1" t="s">
        <v>314</v>
      </c>
      <c r="DF1834" s="1" t="s">
        <v>219</v>
      </c>
      <c r="DJ1834" s="1" t="s">
        <v>224</v>
      </c>
      <c r="DM1834" s="1" t="s">
        <v>464</v>
      </c>
      <c r="DR1834" s="1" t="s">
        <v>1004</v>
      </c>
      <c r="DS1834" s="1" t="s">
        <v>277</v>
      </c>
      <c r="DW1834" s="1" t="s">
        <v>230</v>
      </c>
      <c r="EA1834" s="1" t="s">
        <v>230</v>
      </c>
      <c r="EE1834" s="1" t="s">
        <v>230</v>
      </c>
      <c r="EI1834" s="1" t="s">
        <v>230</v>
      </c>
      <c r="EL1834" s="1" t="s">
        <v>670</v>
      </c>
      <c r="EM1834" s="1" t="s">
        <v>319</v>
      </c>
      <c r="EN1834" s="1" t="s">
        <v>282</v>
      </c>
      <c r="EO1834" s="1" t="s">
        <v>234</v>
      </c>
      <c r="ER1834" s="1" t="s">
        <v>210</v>
      </c>
      <c r="ET1834" s="1" t="s">
        <v>866</v>
      </c>
      <c r="EU1834" s="1" t="s">
        <v>1573</v>
      </c>
      <c r="EW1834" s="1" t="s">
        <v>547</v>
      </c>
      <c r="EY1834" s="1" t="s">
        <v>242</v>
      </c>
      <c r="EZ1834" s="1" t="s">
        <v>464</v>
      </c>
      <c r="FD1834" s="1" t="s">
        <v>246</v>
      </c>
      <c r="FE1834" s="1" t="s">
        <v>975</v>
      </c>
      <c r="FF1834" s="1" t="s">
        <v>248</v>
      </c>
      <c r="FH1834" s="1" t="s">
        <v>442</v>
      </c>
      <c r="FL1834" s="1" t="s">
        <v>358</v>
      </c>
      <c r="FM1834" s="1" t="s">
        <v>252</v>
      </c>
      <c r="FN1834" s="1" t="s">
        <v>213</v>
      </c>
      <c r="FO1834" s="1" t="s">
        <v>213</v>
      </c>
      <c r="FQ1834" s="1" t="s">
        <v>582</v>
      </c>
      <c r="FR1834" s="1" t="s">
        <v>210</v>
      </c>
      <c r="FS1834" s="1" t="s">
        <v>2844</v>
      </c>
      <c r="FT1834" s="1" t="s">
        <v>295</v>
      </c>
      <c r="FU1834" s="1" t="s">
        <v>204</v>
      </c>
      <c r="FW1834" s="1" t="s">
        <v>2845</v>
      </c>
      <c r="FX1834" s="1">
        <v>5293</v>
      </c>
      <c r="FY1834" s="1" t="s">
        <v>2846</v>
      </c>
      <c r="FZ1834" s="1" t="s">
        <v>2847</v>
      </c>
      <c r="GA1834" s="1">
        <v>53957</v>
      </c>
      <c r="GE1834" s="1" t="s">
        <v>210</v>
      </c>
      <c r="GI1834" s="1" t="s">
        <v>204</v>
      </c>
      <c r="GJ1834" s="1" t="s">
        <v>260</v>
      </c>
      <c r="GK1834" s="1" t="s">
        <v>210</v>
      </c>
      <c r="GL1834" s="2">
        <v>42061</v>
      </c>
      <c r="GM1834" s="1" t="s">
        <v>17080</v>
      </c>
    </row>
    <row r="1835" spans="1:195">
      <c r="A1835" s="1">
        <v>126000</v>
      </c>
      <c r="B1835" s="1" t="s">
        <v>195</v>
      </c>
      <c r="C1835" s="1" t="str">
        <f>"08723777"</f>
        <v>08723777</v>
      </c>
      <c r="D1835" s="1" t="s">
        <v>196</v>
      </c>
      <c r="F1835" s="1" t="str">
        <f>"507"</f>
        <v>507</v>
      </c>
      <c r="G1835" s="2">
        <v>41891</v>
      </c>
      <c r="H1835" s="1">
        <v>139900</v>
      </c>
      <c r="I1835" s="1">
        <v>133900</v>
      </c>
      <c r="J1835" s="1">
        <v>126000</v>
      </c>
      <c r="K1835" s="2">
        <v>41891</v>
      </c>
      <c r="L1835" s="1">
        <v>238</v>
      </c>
      <c r="M1835" s="2">
        <v>42037</v>
      </c>
      <c r="N1835" s="1">
        <v>147</v>
      </c>
      <c r="O1835" s="2">
        <v>42037</v>
      </c>
      <c r="P1835" s="1">
        <v>25143</v>
      </c>
      <c r="Q1835" s="1" t="s">
        <v>197</v>
      </c>
      <c r="R1835" s="2">
        <v>42082</v>
      </c>
      <c r="S1835" s="1">
        <v>226427</v>
      </c>
      <c r="U1835" s="1">
        <v>1877</v>
      </c>
      <c r="V1835" s="1" t="s">
        <v>17081</v>
      </c>
      <c r="W1835" s="1" t="s">
        <v>504</v>
      </c>
      <c r="Y1835" s="1">
        <v>6</v>
      </c>
      <c r="Z1835" s="1" t="s">
        <v>370</v>
      </c>
      <c r="AA1835" s="1" t="s">
        <v>1123</v>
      </c>
      <c r="AB1835" s="1">
        <v>60503</v>
      </c>
      <c r="AD1835" s="1" t="s">
        <v>1395</v>
      </c>
      <c r="AE1835" s="1" t="s">
        <v>17082</v>
      </c>
      <c r="AF1835" s="1">
        <v>2003</v>
      </c>
      <c r="AG1835" s="1" t="s">
        <v>204</v>
      </c>
      <c r="AH1835" s="1" t="s">
        <v>1126</v>
      </c>
      <c r="AI1835" s="1" t="s">
        <v>453</v>
      </c>
      <c r="AJ1835" s="1" t="s">
        <v>1397</v>
      </c>
      <c r="AL1835" s="1">
        <v>5</v>
      </c>
      <c r="AM1835" s="1">
        <v>2</v>
      </c>
      <c r="AN1835" s="1">
        <v>2</v>
      </c>
      <c r="AO1835" s="1">
        <v>0</v>
      </c>
      <c r="AP1835" s="1" t="s">
        <v>209</v>
      </c>
      <c r="AQ1835" s="1">
        <v>0</v>
      </c>
      <c r="AR1835" s="1" t="s">
        <v>210</v>
      </c>
      <c r="AS1835" s="1" t="s">
        <v>204</v>
      </c>
      <c r="AT1835" s="1" t="s">
        <v>211</v>
      </c>
      <c r="AU1835" s="1">
        <v>2</v>
      </c>
      <c r="AW1835" s="1" t="s">
        <v>204</v>
      </c>
      <c r="AX1835" s="1" t="s">
        <v>212</v>
      </c>
      <c r="AZ1835" s="1">
        <v>5139</v>
      </c>
      <c r="BA1835" s="1">
        <v>2013</v>
      </c>
      <c r="BE1835" s="1">
        <v>1572</v>
      </c>
      <c r="BF1835" s="1">
        <v>2</v>
      </c>
      <c r="BG1835" s="1">
        <v>0</v>
      </c>
      <c r="BL1835" s="1">
        <v>145</v>
      </c>
      <c r="BM1835" s="1" t="s">
        <v>204</v>
      </c>
      <c r="BN1835" s="1" t="s">
        <v>213</v>
      </c>
      <c r="BO1835" s="1">
        <v>0</v>
      </c>
      <c r="BP1835" s="1" t="s">
        <v>204</v>
      </c>
      <c r="BR1835" s="1" t="str">
        <f>"0301263035"</f>
        <v>0301263035</v>
      </c>
      <c r="BT1835" s="1" t="s">
        <v>17083</v>
      </c>
      <c r="BX1835" s="1">
        <v>308</v>
      </c>
      <c r="BY1835" s="1">
        <v>308</v>
      </c>
      <c r="BZ1835" s="1">
        <v>308</v>
      </c>
      <c r="CB1835" s="1" t="str">
        <f t="shared" ref="CB1835:CC1835" si="1389">""</f>
        <v/>
      </c>
      <c r="CC1835" s="1" t="str">
        <f t="shared" si="1389"/>
        <v/>
      </c>
      <c r="CG1835" s="1" t="s">
        <v>538</v>
      </c>
      <c r="CH1835" s="1" t="s">
        <v>277</v>
      </c>
      <c r="CI1835" s="1" t="s">
        <v>220</v>
      </c>
      <c r="CJ1835" s="1" t="s">
        <v>252</v>
      </c>
      <c r="CK1835" s="1" t="s">
        <v>538</v>
      </c>
      <c r="CL1835" s="1" t="s">
        <v>277</v>
      </c>
      <c r="CM1835" s="1" t="s">
        <v>220</v>
      </c>
      <c r="CN1835" s="1" t="s">
        <v>252</v>
      </c>
      <c r="CO1835" s="1" t="s">
        <v>461</v>
      </c>
      <c r="CP1835" s="1" t="s">
        <v>277</v>
      </c>
      <c r="CQ1835" s="1" t="s">
        <v>220</v>
      </c>
      <c r="CR1835" s="1" t="s">
        <v>252</v>
      </c>
      <c r="CS1835" s="1" t="s">
        <v>346</v>
      </c>
      <c r="CT1835" s="1" t="s">
        <v>277</v>
      </c>
      <c r="CU1835" s="1" t="s">
        <v>220</v>
      </c>
      <c r="CV1835" s="1" t="s">
        <v>252</v>
      </c>
      <c r="CX1835" s="1" t="s">
        <v>224</v>
      </c>
      <c r="DB1835" s="1" t="s">
        <v>224</v>
      </c>
      <c r="DE1835" s="1" t="s">
        <v>1737</v>
      </c>
      <c r="DF1835" s="1" t="s">
        <v>277</v>
      </c>
      <c r="DG1835" s="1" t="s">
        <v>342</v>
      </c>
      <c r="DH1835" s="1" t="s">
        <v>252</v>
      </c>
      <c r="DJ1835" s="1" t="s">
        <v>224</v>
      </c>
      <c r="DS1835" s="1" t="s">
        <v>230</v>
      </c>
      <c r="DW1835" s="1" t="s">
        <v>230</v>
      </c>
      <c r="EA1835" s="1" t="s">
        <v>230</v>
      </c>
      <c r="EE1835" s="1" t="s">
        <v>230</v>
      </c>
      <c r="EI1835" s="1" t="s">
        <v>230</v>
      </c>
      <c r="EL1835" s="1" t="s">
        <v>466</v>
      </c>
      <c r="EM1835" s="1" t="s">
        <v>319</v>
      </c>
      <c r="EN1835" s="1" t="s">
        <v>282</v>
      </c>
      <c r="EO1835" s="1" t="s">
        <v>234</v>
      </c>
      <c r="EQ1835" s="1" t="s">
        <v>492</v>
      </c>
      <c r="ER1835" s="1" t="s">
        <v>1069</v>
      </c>
      <c r="ES1835" s="1" t="s">
        <v>17084</v>
      </c>
      <c r="EU1835" s="1" t="s">
        <v>712</v>
      </c>
      <c r="EV1835" s="1" t="s">
        <v>240</v>
      </c>
      <c r="EW1835" s="1" t="s">
        <v>353</v>
      </c>
      <c r="EY1835" s="1" t="s">
        <v>242</v>
      </c>
      <c r="EZ1835" s="1" t="s">
        <v>287</v>
      </c>
      <c r="FA1835" s="1" t="s">
        <v>471</v>
      </c>
      <c r="FB1835" s="1" t="s">
        <v>289</v>
      </c>
      <c r="FD1835" s="1" t="s">
        <v>246</v>
      </c>
      <c r="FE1835" s="1" t="s">
        <v>765</v>
      </c>
      <c r="FF1835" s="1" t="s">
        <v>387</v>
      </c>
      <c r="FH1835" s="1" t="s">
        <v>249</v>
      </c>
      <c r="FI1835" s="1" t="s">
        <v>473</v>
      </c>
      <c r="FJ1835" s="1" t="s">
        <v>197</v>
      </c>
      <c r="FL1835" s="1" t="s">
        <v>358</v>
      </c>
      <c r="FM1835" s="1" t="s">
        <v>252</v>
      </c>
      <c r="FN1835" s="1" t="s">
        <v>213</v>
      </c>
      <c r="FO1835" s="1" t="s">
        <v>213</v>
      </c>
      <c r="FQ1835" s="1" t="s">
        <v>1896</v>
      </c>
      <c r="FR1835" s="1" t="s">
        <v>10623</v>
      </c>
      <c r="FS1835" s="1" t="s">
        <v>17085</v>
      </c>
      <c r="FT1835" s="1" t="s">
        <v>255</v>
      </c>
      <c r="FU1835" s="1" t="s">
        <v>204</v>
      </c>
      <c r="FW1835" s="1" t="s">
        <v>8542</v>
      </c>
      <c r="FX1835" s="1">
        <v>61075</v>
      </c>
      <c r="FY1835" s="1" t="s">
        <v>8543</v>
      </c>
      <c r="FZ1835" s="1" t="s">
        <v>17086</v>
      </c>
      <c r="GA1835" s="1">
        <v>603631</v>
      </c>
      <c r="GB1835" s="1" t="s">
        <v>17087</v>
      </c>
      <c r="GD1835" s="1" t="s">
        <v>17088</v>
      </c>
      <c r="GE1835" s="1" t="s">
        <v>480</v>
      </c>
      <c r="GI1835" s="1" t="s">
        <v>213</v>
      </c>
      <c r="GJ1835" s="1" t="s">
        <v>300</v>
      </c>
      <c r="GK1835" s="1" t="s">
        <v>210</v>
      </c>
      <c r="GL1835" s="2">
        <v>42082</v>
      </c>
    </row>
    <row r="1836" spans="1:195">
      <c r="A1836" s="1">
        <v>124000</v>
      </c>
      <c r="B1836" s="1" t="s">
        <v>195</v>
      </c>
      <c r="C1836" s="1" t="str">
        <f>"08723202"</f>
        <v>08723202</v>
      </c>
      <c r="D1836" s="1" t="s">
        <v>196</v>
      </c>
      <c r="F1836" s="1" t="str">
        <f>"523"</f>
        <v>523</v>
      </c>
      <c r="G1836" s="2">
        <v>41891</v>
      </c>
      <c r="H1836" s="1">
        <v>144900</v>
      </c>
      <c r="I1836" s="1">
        <v>134000</v>
      </c>
      <c r="J1836" s="1">
        <v>124000</v>
      </c>
      <c r="K1836" s="2">
        <v>41889</v>
      </c>
      <c r="L1836" s="1">
        <v>67</v>
      </c>
      <c r="M1836" s="2">
        <v>41955</v>
      </c>
      <c r="N1836" s="1">
        <v>67</v>
      </c>
      <c r="O1836" s="2">
        <v>41955</v>
      </c>
      <c r="P1836" s="1">
        <v>23099</v>
      </c>
      <c r="Q1836" s="1" t="s">
        <v>302</v>
      </c>
      <c r="R1836" s="2">
        <v>42004</v>
      </c>
      <c r="S1836" s="1">
        <v>212307</v>
      </c>
      <c r="U1836" s="1">
        <v>40</v>
      </c>
      <c r="V1836" s="1" t="s">
        <v>12386</v>
      </c>
      <c r="W1836" s="1" t="s">
        <v>1056</v>
      </c>
      <c r="X1836" s="1" t="s">
        <v>17089</v>
      </c>
      <c r="Y1836" s="1">
        <v>194</v>
      </c>
      <c r="Z1836" s="1" t="s">
        <v>249</v>
      </c>
      <c r="AA1836" s="1" t="s">
        <v>3818</v>
      </c>
      <c r="AB1836" s="1">
        <v>60523</v>
      </c>
      <c r="AD1836" s="1" t="s">
        <v>17090</v>
      </c>
      <c r="AE1836" s="1" t="s">
        <v>17091</v>
      </c>
      <c r="AF1836" s="1">
        <v>1977</v>
      </c>
      <c r="AG1836" s="1" t="s">
        <v>213</v>
      </c>
      <c r="AH1836" s="1" t="s">
        <v>3820</v>
      </c>
      <c r="AI1836" s="1" t="s">
        <v>206</v>
      </c>
      <c r="AJ1836" s="1" t="s">
        <v>1608</v>
      </c>
      <c r="AL1836" s="1">
        <v>5</v>
      </c>
      <c r="AM1836" s="1">
        <v>2</v>
      </c>
      <c r="AN1836" s="1">
        <v>2</v>
      </c>
      <c r="AO1836" s="1">
        <v>0</v>
      </c>
      <c r="AP1836" s="1" t="s">
        <v>209</v>
      </c>
      <c r="AR1836" s="1" t="s">
        <v>210</v>
      </c>
      <c r="AS1836" s="1" t="s">
        <v>204</v>
      </c>
      <c r="AT1836" s="1" t="s">
        <v>271</v>
      </c>
      <c r="AV1836" s="1">
        <v>1</v>
      </c>
      <c r="AW1836" s="1" t="s">
        <v>204</v>
      </c>
      <c r="AX1836" s="1" t="s">
        <v>1265</v>
      </c>
      <c r="AZ1836" s="1">
        <v>2583</v>
      </c>
      <c r="BA1836" s="1">
        <v>2013</v>
      </c>
      <c r="BB1836" s="1" t="s">
        <v>405</v>
      </c>
      <c r="BE1836" s="1">
        <v>900</v>
      </c>
      <c r="BF1836" s="1">
        <v>12</v>
      </c>
      <c r="BG1836" s="1">
        <v>0</v>
      </c>
      <c r="BL1836" s="1">
        <v>452</v>
      </c>
      <c r="BM1836" s="1" t="s">
        <v>413</v>
      </c>
      <c r="BN1836" s="1" t="s">
        <v>204</v>
      </c>
      <c r="BP1836" s="1" t="s">
        <v>204</v>
      </c>
      <c r="BR1836" s="1" t="str">
        <f>"0628107326"</f>
        <v>0628107326</v>
      </c>
      <c r="BT1836" s="1" t="s">
        <v>17092</v>
      </c>
      <c r="BX1836" s="1">
        <v>45</v>
      </c>
      <c r="BY1836" s="1">
        <v>45</v>
      </c>
      <c r="BZ1836" s="1">
        <v>88</v>
      </c>
      <c r="CB1836" s="1" t="str">
        <f t="shared" ref="CB1836:CC1836" si="1390">""</f>
        <v/>
      </c>
      <c r="CC1836" s="1" t="str">
        <f t="shared" si="1390"/>
        <v/>
      </c>
      <c r="CG1836" s="1" t="s">
        <v>5801</v>
      </c>
      <c r="CH1836" s="1" t="s">
        <v>219</v>
      </c>
      <c r="CK1836" s="1" t="s">
        <v>1045</v>
      </c>
      <c r="CL1836" s="1" t="s">
        <v>219</v>
      </c>
      <c r="CO1836" s="1" t="s">
        <v>465</v>
      </c>
      <c r="CP1836" s="1" t="s">
        <v>219</v>
      </c>
      <c r="CS1836" s="1" t="s">
        <v>378</v>
      </c>
      <c r="CT1836" s="1" t="s">
        <v>219</v>
      </c>
      <c r="CX1836" s="1" t="s">
        <v>224</v>
      </c>
      <c r="DB1836" s="1" t="s">
        <v>224</v>
      </c>
      <c r="DE1836" s="1" t="s">
        <v>785</v>
      </c>
      <c r="DF1836" s="1" t="s">
        <v>219</v>
      </c>
      <c r="DJ1836" s="1" t="s">
        <v>224</v>
      </c>
      <c r="DS1836" s="1" t="s">
        <v>230</v>
      </c>
      <c r="DW1836" s="1" t="s">
        <v>230</v>
      </c>
      <c r="EA1836" s="1" t="s">
        <v>230</v>
      </c>
      <c r="EE1836" s="1" t="s">
        <v>230</v>
      </c>
      <c r="EI1836" s="1" t="s">
        <v>230</v>
      </c>
      <c r="EL1836" s="1" t="s">
        <v>231</v>
      </c>
      <c r="EM1836" s="1" t="s">
        <v>232</v>
      </c>
      <c r="EN1836" s="1" t="s">
        <v>731</v>
      </c>
      <c r="EO1836" s="1" t="s">
        <v>234</v>
      </c>
      <c r="EP1836" s="1" t="s">
        <v>17093</v>
      </c>
      <c r="EQ1836" s="1" t="s">
        <v>1109</v>
      </c>
      <c r="ER1836" s="1" t="s">
        <v>210</v>
      </c>
      <c r="EW1836" s="1" t="s">
        <v>17094</v>
      </c>
      <c r="EY1836" s="1" t="s">
        <v>441</v>
      </c>
      <c r="EZ1836" s="1" t="s">
        <v>287</v>
      </c>
      <c r="FA1836" s="1" t="s">
        <v>2723</v>
      </c>
      <c r="FD1836" s="1" t="s">
        <v>1112</v>
      </c>
      <c r="FE1836" s="1" t="s">
        <v>847</v>
      </c>
      <c r="FF1836" s="1" t="s">
        <v>248</v>
      </c>
      <c r="FH1836" s="1" t="s">
        <v>249</v>
      </c>
      <c r="FK1836" s="1" t="s">
        <v>6061</v>
      </c>
      <c r="FL1836" s="1" t="s">
        <v>328</v>
      </c>
      <c r="FM1836" s="1" t="s">
        <v>252</v>
      </c>
      <c r="FN1836" s="1" t="s">
        <v>213</v>
      </c>
      <c r="FO1836" s="1" t="s">
        <v>213</v>
      </c>
      <c r="FQ1836" s="1" t="s">
        <v>689</v>
      </c>
      <c r="FR1836" s="1" t="s">
        <v>210</v>
      </c>
      <c r="FS1836" s="1" t="s">
        <v>17095</v>
      </c>
      <c r="FT1836" s="1" t="s">
        <v>1828</v>
      </c>
      <c r="FU1836" s="1" t="s">
        <v>204</v>
      </c>
      <c r="FW1836" s="1" t="s">
        <v>4481</v>
      </c>
      <c r="FX1836" s="1">
        <v>84467</v>
      </c>
      <c r="FY1836" s="1" t="s">
        <v>4482</v>
      </c>
      <c r="FZ1836" s="1" t="s">
        <v>4483</v>
      </c>
      <c r="GA1836" s="1">
        <v>183899</v>
      </c>
      <c r="GD1836" s="1" t="s">
        <v>4484</v>
      </c>
      <c r="GE1836" s="1" t="s">
        <v>210</v>
      </c>
      <c r="GH1836" s="1" t="s">
        <v>230</v>
      </c>
      <c r="GI1836" s="1" t="s">
        <v>213</v>
      </c>
      <c r="GJ1836" s="1" t="s">
        <v>260</v>
      </c>
      <c r="GK1836" s="1" t="s">
        <v>210</v>
      </c>
      <c r="GL1836" s="2">
        <v>42004</v>
      </c>
      <c r="GM1836" s="1" t="s">
        <v>17096</v>
      </c>
    </row>
    <row r="1837" spans="1:195">
      <c r="A1837" s="1">
        <v>105000</v>
      </c>
      <c r="B1837" s="1" t="s">
        <v>195</v>
      </c>
      <c r="C1837" s="1" t="str">
        <f>"08725604"</f>
        <v>08725604</v>
      </c>
      <c r="D1837" s="1" t="s">
        <v>196</v>
      </c>
      <c r="F1837" s="1" t="str">
        <f>"515"</f>
        <v>515</v>
      </c>
      <c r="G1837" s="2">
        <v>41893</v>
      </c>
      <c r="H1837" s="1">
        <v>115000</v>
      </c>
      <c r="I1837" s="1">
        <v>110000</v>
      </c>
      <c r="J1837" s="1">
        <v>105000</v>
      </c>
      <c r="K1837" s="2">
        <v>41893</v>
      </c>
      <c r="L1837" s="1">
        <v>133</v>
      </c>
      <c r="M1837" s="2">
        <v>42025</v>
      </c>
      <c r="N1837" s="1">
        <v>133</v>
      </c>
      <c r="O1837" s="2">
        <v>42025</v>
      </c>
      <c r="P1837" s="1">
        <v>20299</v>
      </c>
      <c r="Q1837" s="1" t="s">
        <v>197</v>
      </c>
      <c r="R1837" s="2">
        <v>42062</v>
      </c>
      <c r="S1837" s="1">
        <v>244004</v>
      </c>
      <c r="U1837" s="1">
        <v>4946</v>
      </c>
      <c r="V1837" s="1" t="s">
        <v>17097</v>
      </c>
      <c r="W1837" s="1" t="s">
        <v>1056</v>
      </c>
      <c r="X1837" s="1">
        <v>101</v>
      </c>
      <c r="Y1837" s="1">
        <v>18</v>
      </c>
      <c r="Z1837" s="1" t="s">
        <v>370</v>
      </c>
      <c r="AA1837" s="1" t="s">
        <v>1294</v>
      </c>
      <c r="AB1837" s="1">
        <v>60515</v>
      </c>
      <c r="AE1837" s="1" t="s">
        <v>17098</v>
      </c>
      <c r="AF1837" s="1">
        <v>1978</v>
      </c>
      <c r="AG1837" s="1" t="s">
        <v>204</v>
      </c>
      <c r="AH1837" s="1" t="s">
        <v>903</v>
      </c>
      <c r="AI1837" s="1" t="s">
        <v>206</v>
      </c>
      <c r="AJ1837" s="1" t="s">
        <v>903</v>
      </c>
      <c r="AL1837" s="1">
        <v>4</v>
      </c>
      <c r="AM1837" s="1">
        <v>2</v>
      </c>
      <c r="AN1837" s="1">
        <v>1</v>
      </c>
      <c r="AO1837" s="1">
        <v>0</v>
      </c>
      <c r="AP1837" s="1" t="s">
        <v>210</v>
      </c>
      <c r="AR1837" s="1" t="s">
        <v>210</v>
      </c>
      <c r="AS1837" s="1" t="s">
        <v>204</v>
      </c>
      <c r="AT1837" s="1" t="s">
        <v>271</v>
      </c>
      <c r="AV1837" s="1">
        <v>1</v>
      </c>
      <c r="AW1837" s="1" t="s">
        <v>204</v>
      </c>
      <c r="AX1837" s="1" t="s">
        <v>212</v>
      </c>
      <c r="AZ1837" s="5">
        <v>1638.6</v>
      </c>
      <c r="BA1837" s="1">
        <v>2013</v>
      </c>
      <c r="BB1837" s="1" t="s">
        <v>405</v>
      </c>
      <c r="BE1837" s="1">
        <v>0</v>
      </c>
      <c r="BF1837" s="1">
        <v>1</v>
      </c>
      <c r="BG1837" s="1">
        <v>30</v>
      </c>
      <c r="BL1837" s="1">
        <v>300</v>
      </c>
      <c r="BM1837" s="1" t="s">
        <v>204</v>
      </c>
      <c r="BN1837" s="1" t="s">
        <v>213</v>
      </c>
      <c r="BO1837" s="1">
        <v>15</v>
      </c>
      <c r="BP1837" s="1" t="s">
        <v>204</v>
      </c>
      <c r="BR1837" s="1" t="str">
        <f>"0908229001"</f>
        <v>0908229001</v>
      </c>
      <c r="BT1837" s="1" t="s">
        <v>17099</v>
      </c>
      <c r="BU1837" s="1" t="s">
        <v>7354</v>
      </c>
      <c r="BV1837" s="1" t="s">
        <v>2761</v>
      </c>
      <c r="BW1837" s="1" t="s">
        <v>2762</v>
      </c>
      <c r="BX1837" s="1">
        <v>58</v>
      </c>
      <c r="BY1837" s="1">
        <v>58</v>
      </c>
      <c r="BZ1837" s="1">
        <v>99</v>
      </c>
      <c r="CB1837" s="1" t="str">
        <f t="shared" ref="CB1837:CC1837" si="1391">""</f>
        <v/>
      </c>
      <c r="CC1837" s="1" t="str">
        <f t="shared" si="1391"/>
        <v/>
      </c>
      <c r="CG1837" s="1" t="s">
        <v>581</v>
      </c>
      <c r="CH1837" s="1" t="s">
        <v>219</v>
      </c>
      <c r="CI1837" s="1" t="s">
        <v>220</v>
      </c>
      <c r="CK1837" s="1" t="s">
        <v>461</v>
      </c>
      <c r="CL1837" s="1" t="s">
        <v>219</v>
      </c>
      <c r="CM1837" s="1" t="s">
        <v>220</v>
      </c>
      <c r="CP1837" s="1" t="s">
        <v>224</v>
      </c>
      <c r="CS1837" s="1" t="s">
        <v>380</v>
      </c>
      <c r="CT1837" s="1" t="s">
        <v>219</v>
      </c>
      <c r="CU1837" s="1" t="s">
        <v>220</v>
      </c>
      <c r="CX1837" s="1" t="s">
        <v>224</v>
      </c>
      <c r="DB1837" s="1" t="s">
        <v>224</v>
      </c>
      <c r="DE1837" s="1" t="s">
        <v>221</v>
      </c>
      <c r="DF1837" s="1" t="s">
        <v>219</v>
      </c>
      <c r="DG1837" s="1" t="s">
        <v>342</v>
      </c>
      <c r="DJ1837" s="1" t="s">
        <v>224</v>
      </c>
      <c r="DS1837" s="1" t="s">
        <v>230</v>
      </c>
      <c r="DW1837" s="1" t="s">
        <v>230</v>
      </c>
      <c r="EA1837" s="1" t="s">
        <v>230</v>
      </c>
      <c r="EE1837" s="1" t="s">
        <v>230</v>
      </c>
      <c r="EI1837" s="1" t="s">
        <v>230</v>
      </c>
      <c r="EL1837" s="1" t="s">
        <v>231</v>
      </c>
      <c r="EM1837" s="1" t="s">
        <v>232</v>
      </c>
      <c r="EN1837" s="1" t="s">
        <v>731</v>
      </c>
      <c r="EO1837" s="1" t="s">
        <v>234</v>
      </c>
      <c r="EQ1837" s="1" t="s">
        <v>1109</v>
      </c>
      <c r="ER1837" s="1" t="s">
        <v>210</v>
      </c>
      <c r="ES1837" s="1" t="s">
        <v>322</v>
      </c>
      <c r="EW1837" s="1" t="s">
        <v>17100</v>
      </c>
      <c r="EZ1837" s="1" t="s">
        <v>287</v>
      </c>
      <c r="FA1837" s="1" t="s">
        <v>1048</v>
      </c>
      <c r="FD1837" s="1" t="s">
        <v>3287</v>
      </c>
      <c r="FE1837" s="1" t="s">
        <v>247</v>
      </c>
      <c r="FF1837" s="1" t="s">
        <v>248</v>
      </c>
      <c r="FH1837" s="1" t="s">
        <v>249</v>
      </c>
      <c r="FK1837" s="1" t="s">
        <v>291</v>
      </c>
      <c r="FL1837" s="1" t="s">
        <v>1907</v>
      </c>
      <c r="FM1837" s="1" t="s">
        <v>252</v>
      </c>
      <c r="FN1837" s="1" t="s">
        <v>213</v>
      </c>
      <c r="FO1837" s="1" t="s">
        <v>213</v>
      </c>
      <c r="FQ1837" s="1" t="s">
        <v>913</v>
      </c>
      <c r="FR1837" s="1" t="s">
        <v>652</v>
      </c>
      <c r="FS1837" s="1" t="s">
        <v>17101</v>
      </c>
      <c r="FT1837" s="1" t="s">
        <v>362</v>
      </c>
      <c r="FU1837" s="1" t="s">
        <v>204</v>
      </c>
      <c r="FW1837" s="1" t="s">
        <v>915</v>
      </c>
      <c r="FX1837" s="1">
        <v>22205</v>
      </c>
      <c r="FY1837" s="1" t="s">
        <v>2484</v>
      </c>
      <c r="FZ1837" s="1" t="s">
        <v>17102</v>
      </c>
      <c r="GA1837" s="1">
        <v>243904</v>
      </c>
      <c r="GB1837" s="1" t="s">
        <v>17103</v>
      </c>
      <c r="GE1837" s="1" t="s">
        <v>210</v>
      </c>
      <c r="GI1837" s="1" t="s">
        <v>213</v>
      </c>
      <c r="GJ1837" s="1" t="s">
        <v>260</v>
      </c>
      <c r="GK1837" s="1" t="s">
        <v>210</v>
      </c>
      <c r="GL1837" s="2">
        <v>42062</v>
      </c>
      <c r="GM1837" s="1" t="s">
        <v>17104</v>
      </c>
    </row>
    <row r="1838" spans="1:195">
      <c r="A1838" s="1">
        <v>125000</v>
      </c>
      <c r="B1838" s="1" t="s">
        <v>195</v>
      </c>
      <c r="C1838" s="1" t="str">
        <f>"08725024"</f>
        <v>08725024</v>
      </c>
      <c r="D1838" s="1" t="s">
        <v>196</v>
      </c>
      <c r="F1838" s="1" t="str">
        <f>"174"</f>
        <v>174</v>
      </c>
      <c r="G1838" s="2">
        <v>41892</v>
      </c>
      <c r="H1838" s="1">
        <v>159000</v>
      </c>
      <c r="I1838" s="1">
        <v>159000</v>
      </c>
      <c r="J1838" s="1">
        <v>125000</v>
      </c>
      <c r="K1838" s="2">
        <v>41892</v>
      </c>
      <c r="L1838" s="1">
        <v>136</v>
      </c>
      <c r="M1838" s="2">
        <v>42027</v>
      </c>
      <c r="N1838" s="1">
        <v>136</v>
      </c>
      <c r="O1838" s="2">
        <v>42027</v>
      </c>
      <c r="P1838" s="1">
        <v>41</v>
      </c>
      <c r="Q1838" s="1" t="s">
        <v>302</v>
      </c>
      <c r="R1838" s="2">
        <v>42069</v>
      </c>
      <c r="S1838" s="1">
        <v>901</v>
      </c>
      <c r="U1838" s="1">
        <v>602</v>
      </c>
      <c r="V1838" s="1" t="s">
        <v>17105</v>
      </c>
      <c r="W1838" s="1" t="s">
        <v>725</v>
      </c>
      <c r="Y1838" s="1">
        <v>15</v>
      </c>
      <c r="Z1838" s="1" t="s">
        <v>200</v>
      </c>
      <c r="AA1838" s="1" t="s">
        <v>879</v>
      </c>
      <c r="AB1838" s="1">
        <v>60174</v>
      </c>
      <c r="AE1838" s="1" t="s">
        <v>17106</v>
      </c>
      <c r="AF1838" s="1">
        <v>1987</v>
      </c>
      <c r="AG1838" s="1" t="s">
        <v>204</v>
      </c>
      <c r="AH1838" s="1" t="s">
        <v>883</v>
      </c>
      <c r="AI1838" s="1" t="s">
        <v>665</v>
      </c>
      <c r="AJ1838" s="1" t="s">
        <v>883</v>
      </c>
      <c r="AL1838" s="1">
        <v>6</v>
      </c>
      <c r="AM1838" s="1">
        <v>2</v>
      </c>
      <c r="AN1838" s="1">
        <v>2</v>
      </c>
      <c r="AO1838" s="1">
        <v>0</v>
      </c>
      <c r="AP1838" s="1" t="s">
        <v>209</v>
      </c>
      <c r="AQ1838" s="1">
        <v>1</v>
      </c>
      <c r="AR1838" s="1" t="s">
        <v>2275</v>
      </c>
      <c r="AS1838" s="1" t="s">
        <v>204</v>
      </c>
      <c r="AT1838" s="1" t="s">
        <v>211</v>
      </c>
      <c r="AU1838" s="1">
        <v>2</v>
      </c>
      <c r="AW1838" s="1" t="s">
        <v>204</v>
      </c>
      <c r="AX1838" s="1" t="s">
        <v>212</v>
      </c>
      <c r="AZ1838" s="1">
        <v>2400</v>
      </c>
      <c r="BA1838" s="1">
        <v>2013</v>
      </c>
      <c r="BE1838" s="1">
        <v>1360</v>
      </c>
      <c r="BF1838" s="1">
        <v>1</v>
      </c>
      <c r="BG1838" s="1">
        <v>0</v>
      </c>
      <c r="BL1838" s="1">
        <v>125</v>
      </c>
      <c r="BM1838" s="1" t="s">
        <v>204</v>
      </c>
      <c r="BN1838" s="1" t="s">
        <v>213</v>
      </c>
      <c r="BO1838" s="1">
        <v>0</v>
      </c>
      <c r="BP1838" s="1" t="s">
        <v>204</v>
      </c>
      <c r="BR1838" s="1" t="str">
        <f>"0934179038"</f>
        <v>0934179038</v>
      </c>
      <c r="BT1838" s="1" t="s">
        <v>17107</v>
      </c>
      <c r="BX1838" s="1">
        <v>303</v>
      </c>
      <c r="BY1838" s="1">
        <v>303</v>
      </c>
      <c r="BZ1838" s="1">
        <v>303</v>
      </c>
      <c r="CB1838" s="1" t="str">
        <f t="shared" ref="CB1838:CC1838" si="1392">""</f>
        <v/>
      </c>
      <c r="CC1838" s="1" t="str">
        <f t="shared" si="1392"/>
        <v/>
      </c>
      <c r="CG1838" s="1" t="s">
        <v>3100</v>
      </c>
      <c r="CH1838" s="1" t="s">
        <v>219</v>
      </c>
      <c r="CI1838" s="1" t="s">
        <v>220</v>
      </c>
      <c r="CJ1838" s="1" t="s">
        <v>252</v>
      </c>
      <c r="CK1838" s="1" t="s">
        <v>315</v>
      </c>
      <c r="CL1838" s="1" t="s">
        <v>219</v>
      </c>
      <c r="CM1838" s="1" t="s">
        <v>220</v>
      </c>
      <c r="CN1838" s="1" t="s">
        <v>252</v>
      </c>
      <c r="CP1838" s="1" t="s">
        <v>224</v>
      </c>
      <c r="CS1838" s="1" t="s">
        <v>1045</v>
      </c>
      <c r="CT1838" s="1" t="s">
        <v>277</v>
      </c>
      <c r="CU1838" s="1" t="s">
        <v>220</v>
      </c>
      <c r="CV1838" s="1" t="s">
        <v>252</v>
      </c>
      <c r="CX1838" s="1" t="s">
        <v>224</v>
      </c>
      <c r="DB1838" s="1" t="s">
        <v>224</v>
      </c>
      <c r="DE1838" s="1" t="s">
        <v>278</v>
      </c>
      <c r="DF1838" s="1" t="s">
        <v>219</v>
      </c>
      <c r="DG1838" s="1" t="s">
        <v>438</v>
      </c>
      <c r="DH1838" s="1" t="s">
        <v>252</v>
      </c>
      <c r="DJ1838" s="1" t="s">
        <v>224</v>
      </c>
      <c r="DM1838" s="1" t="s">
        <v>934</v>
      </c>
      <c r="DN1838" s="1" t="s">
        <v>464</v>
      </c>
      <c r="DR1838" s="1" t="s">
        <v>648</v>
      </c>
      <c r="DS1838" s="1" t="s">
        <v>43</v>
      </c>
      <c r="DT1838" s="1" t="s">
        <v>220</v>
      </c>
      <c r="DU1838" s="1" t="s">
        <v>252</v>
      </c>
      <c r="DV1838" s="1" t="s">
        <v>757</v>
      </c>
      <c r="DW1838" s="1" t="s">
        <v>277</v>
      </c>
      <c r="DX1838" s="1" t="s">
        <v>220</v>
      </c>
      <c r="DY1838" s="1" t="s">
        <v>252</v>
      </c>
      <c r="EA1838" s="1" t="s">
        <v>230</v>
      </c>
      <c r="EE1838" s="1" t="s">
        <v>230</v>
      </c>
      <c r="EI1838" s="1" t="s">
        <v>230</v>
      </c>
      <c r="EL1838" s="1" t="s">
        <v>542</v>
      </c>
      <c r="EM1838" s="1" t="s">
        <v>319</v>
      </c>
      <c r="EN1838" s="1" t="s">
        <v>282</v>
      </c>
      <c r="EO1838" s="1" t="s">
        <v>234</v>
      </c>
      <c r="ER1838" s="1" t="s">
        <v>351</v>
      </c>
      <c r="EW1838" s="1" t="s">
        <v>10053</v>
      </c>
      <c r="EZ1838" s="1" t="s">
        <v>3875</v>
      </c>
      <c r="FD1838" s="1" t="s">
        <v>246</v>
      </c>
      <c r="FE1838" s="1" t="s">
        <v>889</v>
      </c>
      <c r="FF1838" s="1" t="s">
        <v>248</v>
      </c>
      <c r="FH1838" s="1" t="s">
        <v>550</v>
      </c>
      <c r="FI1838" s="1" t="s">
        <v>473</v>
      </c>
      <c r="FL1838" s="1" t="s">
        <v>414</v>
      </c>
      <c r="FM1838" s="1" t="s">
        <v>252</v>
      </c>
      <c r="FN1838" s="1" t="s">
        <v>213</v>
      </c>
      <c r="FO1838" s="1" t="s">
        <v>213</v>
      </c>
      <c r="FQ1838" s="1" t="s">
        <v>956</v>
      </c>
      <c r="FR1838" s="1" t="s">
        <v>210</v>
      </c>
      <c r="FS1838" s="1" t="s">
        <v>17108</v>
      </c>
      <c r="FT1838" s="1" t="s">
        <v>17109</v>
      </c>
      <c r="FU1838" s="1" t="s">
        <v>204</v>
      </c>
      <c r="FW1838" s="1" t="s">
        <v>2420</v>
      </c>
      <c r="FX1838" s="1">
        <v>41</v>
      </c>
      <c r="FY1838" s="1" t="s">
        <v>2421</v>
      </c>
      <c r="FZ1838" s="1" t="s">
        <v>17110</v>
      </c>
      <c r="GA1838" s="1">
        <v>752</v>
      </c>
      <c r="GB1838" s="1" t="s">
        <v>17111</v>
      </c>
      <c r="GE1838" s="1" t="s">
        <v>210</v>
      </c>
      <c r="GH1838" s="1" t="s">
        <v>421</v>
      </c>
      <c r="GI1838" s="1" t="s">
        <v>213</v>
      </c>
      <c r="GJ1838" s="1" t="s">
        <v>260</v>
      </c>
      <c r="GK1838" s="1" t="s">
        <v>210</v>
      </c>
      <c r="GL1838" s="2">
        <v>42070</v>
      </c>
    </row>
    <row r="1839" spans="1:195">
      <c r="A1839" s="1">
        <v>37351</v>
      </c>
      <c r="B1839" s="1" t="s">
        <v>195</v>
      </c>
      <c r="C1839" s="1" t="str">
        <f>"08723231"</f>
        <v>08723231</v>
      </c>
      <c r="D1839" s="1" t="s">
        <v>196</v>
      </c>
      <c r="F1839" s="1" t="str">
        <f>"73"</f>
        <v>73</v>
      </c>
      <c r="G1839" s="2">
        <v>41891</v>
      </c>
      <c r="H1839" s="1">
        <v>41000</v>
      </c>
      <c r="I1839" s="1">
        <v>41000</v>
      </c>
      <c r="J1839" s="1">
        <v>37351</v>
      </c>
      <c r="K1839" s="2">
        <v>41891</v>
      </c>
      <c r="L1839" s="1">
        <v>32</v>
      </c>
      <c r="M1839" s="2">
        <v>41920</v>
      </c>
      <c r="N1839" s="1">
        <v>30</v>
      </c>
      <c r="O1839" s="2">
        <v>41920</v>
      </c>
      <c r="P1839" s="1">
        <v>25211</v>
      </c>
      <c r="Q1839" s="1" t="s">
        <v>302</v>
      </c>
      <c r="R1839" s="2">
        <v>41976</v>
      </c>
      <c r="S1839" s="1">
        <v>921815</v>
      </c>
      <c r="U1839" s="1">
        <v>355</v>
      </c>
      <c r="V1839" s="1" t="s">
        <v>15026</v>
      </c>
      <c r="W1839" s="1" t="s">
        <v>504</v>
      </c>
      <c r="Y1839" s="1">
        <v>6</v>
      </c>
      <c r="Z1839" s="1" t="s">
        <v>370</v>
      </c>
      <c r="AA1839" s="1" t="s">
        <v>1027</v>
      </c>
      <c r="AB1839" s="1">
        <v>60073</v>
      </c>
      <c r="AE1839" s="1" t="s">
        <v>17112</v>
      </c>
      <c r="AF1839" s="1">
        <v>1982</v>
      </c>
      <c r="AG1839" s="1" t="s">
        <v>204</v>
      </c>
      <c r="AH1839" s="1" t="s">
        <v>1262</v>
      </c>
      <c r="AI1839" s="1" t="s">
        <v>509</v>
      </c>
      <c r="AJ1839" s="1" t="s">
        <v>1263</v>
      </c>
      <c r="AL1839" s="1">
        <v>5</v>
      </c>
      <c r="AM1839" s="1">
        <v>2</v>
      </c>
      <c r="AN1839" s="1">
        <v>1</v>
      </c>
      <c r="AO1839" s="1">
        <v>1</v>
      </c>
      <c r="AP1839" s="1" t="s">
        <v>210</v>
      </c>
      <c r="AR1839" s="1" t="s">
        <v>210</v>
      </c>
      <c r="AS1839" s="1" t="s">
        <v>204</v>
      </c>
      <c r="AT1839" s="1" t="s">
        <v>211</v>
      </c>
      <c r="AU1839" s="1">
        <v>1</v>
      </c>
      <c r="AW1839" s="1" t="s">
        <v>204</v>
      </c>
      <c r="AX1839" s="1" t="s">
        <v>17113</v>
      </c>
      <c r="AZ1839" s="1">
        <v>1043</v>
      </c>
      <c r="BA1839" s="1">
        <v>2012</v>
      </c>
      <c r="BE1839" s="1">
        <v>960</v>
      </c>
      <c r="BF1839" s="1">
        <v>1</v>
      </c>
      <c r="BG1839" s="1">
        <v>0</v>
      </c>
      <c r="BL1839" s="1">
        <v>235</v>
      </c>
      <c r="BM1839" s="1" t="s">
        <v>413</v>
      </c>
      <c r="BN1839" s="1" t="s">
        <v>213</v>
      </c>
      <c r="BO1839" s="1">
        <v>0</v>
      </c>
      <c r="BP1839" s="1" t="s">
        <v>204</v>
      </c>
      <c r="BR1839" s="1" t="str">
        <f>"06171160200000"</f>
        <v>06171160200000</v>
      </c>
      <c r="BT1839" s="1" t="s">
        <v>17114</v>
      </c>
      <c r="BX1839" s="1">
        <v>116</v>
      </c>
      <c r="BY1839" s="1">
        <v>116</v>
      </c>
      <c r="BZ1839" s="1">
        <v>116</v>
      </c>
      <c r="CB1839" s="1" t="str">
        <f>"35"</f>
        <v>35</v>
      </c>
      <c r="CC1839" s="1" t="str">
        <f>"0"</f>
        <v>0</v>
      </c>
      <c r="CD1839" s="1">
        <v>23</v>
      </c>
      <c r="CE1839" s="1">
        <v>0</v>
      </c>
      <c r="CG1839" s="1" t="s">
        <v>648</v>
      </c>
      <c r="CH1839" s="1" t="s">
        <v>219</v>
      </c>
      <c r="CK1839" s="1" t="s">
        <v>602</v>
      </c>
      <c r="CL1839" s="1" t="s">
        <v>277</v>
      </c>
      <c r="CM1839" s="1" t="s">
        <v>220</v>
      </c>
      <c r="CO1839" s="1" t="s">
        <v>629</v>
      </c>
      <c r="CP1839" s="1" t="s">
        <v>219</v>
      </c>
      <c r="CS1839" s="1" t="s">
        <v>465</v>
      </c>
      <c r="CT1839" s="1" t="s">
        <v>277</v>
      </c>
      <c r="CU1839" s="1" t="s">
        <v>220</v>
      </c>
      <c r="CX1839" s="1" t="s">
        <v>224</v>
      </c>
      <c r="DB1839" s="1" t="s">
        <v>224</v>
      </c>
      <c r="DE1839" s="1" t="s">
        <v>318</v>
      </c>
      <c r="DF1839" s="1" t="s">
        <v>219</v>
      </c>
      <c r="DJ1839" s="1" t="s">
        <v>224</v>
      </c>
      <c r="DS1839" s="1" t="s">
        <v>230</v>
      </c>
      <c r="DW1839" s="1" t="s">
        <v>230</v>
      </c>
      <c r="EA1839" s="1" t="s">
        <v>230</v>
      </c>
      <c r="EE1839" s="1" t="s">
        <v>230</v>
      </c>
      <c r="EI1839" s="1" t="s">
        <v>230</v>
      </c>
      <c r="EL1839" s="1" t="s">
        <v>231</v>
      </c>
      <c r="EM1839" s="1" t="s">
        <v>319</v>
      </c>
      <c r="EN1839" s="1" t="s">
        <v>282</v>
      </c>
      <c r="EO1839" s="1" t="s">
        <v>234</v>
      </c>
      <c r="ER1839" s="1" t="s">
        <v>383</v>
      </c>
      <c r="EW1839" s="1" t="s">
        <v>7369</v>
      </c>
      <c r="EZ1839" s="1" t="s">
        <v>287</v>
      </c>
      <c r="FD1839" s="1" t="s">
        <v>17115</v>
      </c>
      <c r="FE1839" s="1" t="s">
        <v>2623</v>
      </c>
      <c r="FF1839" s="1" t="s">
        <v>248</v>
      </c>
      <c r="FH1839" s="1" t="s">
        <v>550</v>
      </c>
      <c r="FL1839" s="1" t="s">
        <v>358</v>
      </c>
      <c r="FM1839" s="1" t="s">
        <v>252</v>
      </c>
      <c r="FN1839" s="1" t="s">
        <v>213</v>
      </c>
      <c r="FO1839" s="1" t="s">
        <v>213</v>
      </c>
      <c r="FQ1839" s="1" t="s">
        <v>12064</v>
      </c>
      <c r="FR1839" s="1" t="s">
        <v>652</v>
      </c>
      <c r="FS1839" s="1" t="s">
        <v>653</v>
      </c>
      <c r="FT1839" s="1" t="s">
        <v>654</v>
      </c>
      <c r="FU1839" s="1" t="s">
        <v>204</v>
      </c>
      <c r="FW1839" s="1" t="s">
        <v>655</v>
      </c>
      <c r="FX1839" s="1">
        <v>10841</v>
      </c>
      <c r="FY1839" s="1" t="s">
        <v>656</v>
      </c>
      <c r="FZ1839" s="1" t="s">
        <v>657</v>
      </c>
      <c r="GA1839" s="1">
        <v>109860</v>
      </c>
      <c r="GB1839" s="1" t="s">
        <v>656</v>
      </c>
      <c r="GE1839" s="1" t="s">
        <v>480</v>
      </c>
      <c r="GI1839" s="1" t="s">
        <v>204</v>
      </c>
      <c r="GJ1839" s="1" t="s">
        <v>260</v>
      </c>
      <c r="GK1839" s="1" t="s">
        <v>210</v>
      </c>
      <c r="GL1839" s="2">
        <v>41976</v>
      </c>
      <c r="GM1839" s="1" t="s">
        <v>17116</v>
      </c>
    </row>
    <row r="1840" spans="1:195">
      <c r="A1840" s="1">
        <v>125000</v>
      </c>
      <c r="B1840" s="1" t="s">
        <v>195</v>
      </c>
      <c r="C1840" s="1" t="str">
        <f>"08721064"</f>
        <v>08721064</v>
      </c>
      <c r="D1840" s="1" t="s">
        <v>196</v>
      </c>
      <c r="F1840" s="1" t="str">
        <f>"46"</f>
        <v>46</v>
      </c>
      <c r="G1840" s="2">
        <v>41888</v>
      </c>
      <c r="H1840" s="1">
        <v>139900</v>
      </c>
      <c r="I1840" s="1">
        <v>129900</v>
      </c>
      <c r="J1840" s="1">
        <v>125000</v>
      </c>
      <c r="K1840" s="2">
        <v>41886</v>
      </c>
      <c r="L1840" s="1">
        <v>181</v>
      </c>
      <c r="M1840" s="2">
        <v>42066</v>
      </c>
      <c r="N1840" s="1">
        <v>181</v>
      </c>
      <c r="O1840" s="2">
        <v>42066</v>
      </c>
      <c r="P1840" s="1">
        <v>2050</v>
      </c>
      <c r="Q1840" s="1" t="s">
        <v>423</v>
      </c>
      <c r="R1840" s="2">
        <v>42129</v>
      </c>
      <c r="S1840" s="1">
        <v>239298</v>
      </c>
      <c r="T1840" s="1">
        <v>1500</v>
      </c>
      <c r="U1840" s="1">
        <v>39530</v>
      </c>
      <c r="V1840" s="1" t="s">
        <v>17117</v>
      </c>
      <c r="W1840" s="1" t="s">
        <v>304</v>
      </c>
      <c r="X1840" s="1">
        <v>1</v>
      </c>
      <c r="Y1840" s="1">
        <v>5</v>
      </c>
      <c r="Z1840" s="1" t="s">
        <v>370</v>
      </c>
      <c r="AA1840" s="1" t="s">
        <v>6887</v>
      </c>
      <c r="AB1840" s="1">
        <v>60046</v>
      </c>
      <c r="AC1840" s="1">
        <v>8178</v>
      </c>
      <c r="AE1840" s="1" t="s">
        <v>17118</v>
      </c>
      <c r="AF1840" s="1">
        <v>1996</v>
      </c>
      <c r="AG1840" s="1" t="s">
        <v>204</v>
      </c>
      <c r="AH1840" s="1" t="s">
        <v>882</v>
      </c>
      <c r="AI1840" s="1" t="s">
        <v>509</v>
      </c>
      <c r="AJ1840" s="1" t="s">
        <v>1437</v>
      </c>
      <c r="AL1840" s="1">
        <v>6</v>
      </c>
      <c r="AM1840" s="1">
        <v>2</v>
      </c>
      <c r="AN1840" s="1">
        <v>1</v>
      </c>
      <c r="AO1840" s="1">
        <v>1</v>
      </c>
      <c r="AP1840" s="1" t="s">
        <v>209</v>
      </c>
      <c r="AQ1840" s="1">
        <v>1</v>
      </c>
      <c r="AR1840" s="1" t="s">
        <v>210</v>
      </c>
      <c r="AS1840" s="1" t="s">
        <v>204</v>
      </c>
      <c r="AT1840" s="1" t="s">
        <v>211</v>
      </c>
      <c r="AU1840" s="1">
        <v>2</v>
      </c>
      <c r="AW1840" s="1" t="s">
        <v>204</v>
      </c>
      <c r="AX1840" s="1" t="s">
        <v>212</v>
      </c>
      <c r="AZ1840" s="1">
        <v>3405.14</v>
      </c>
      <c r="BA1840" s="1">
        <v>2013</v>
      </c>
      <c r="BE1840" s="1">
        <v>1516</v>
      </c>
      <c r="BF1840" s="1">
        <v>1</v>
      </c>
      <c r="BG1840" s="1">
        <v>0</v>
      </c>
      <c r="BL1840" s="1">
        <v>92</v>
      </c>
      <c r="BM1840" s="1" t="s">
        <v>204</v>
      </c>
      <c r="BN1840" s="1" t="s">
        <v>213</v>
      </c>
      <c r="BO1840" s="1">
        <v>30</v>
      </c>
      <c r="BP1840" s="1" t="s">
        <v>204</v>
      </c>
      <c r="BR1840" s="1" t="str">
        <f>"02301030160000"</f>
        <v>02301030160000</v>
      </c>
      <c r="BT1840" s="1" t="s">
        <v>17119</v>
      </c>
      <c r="BW1840" s="1" t="s">
        <v>13118</v>
      </c>
      <c r="BX1840" s="1">
        <v>41</v>
      </c>
      <c r="BY1840" s="1">
        <v>41</v>
      </c>
      <c r="BZ1840" s="1">
        <v>117</v>
      </c>
      <c r="CB1840" s="1" t="str">
        <f t="shared" ref="CB1840:CC1840" si="1393">""</f>
        <v/>
      </c>
      <c r="CC1840" s="1" t="str">
        <f t="shared" si="1393"/>
        <v/>
      </c>
      <c r="CG1840" s="1" t="s">
        <v>221</v>
      </c>
      <c r="CH1840" s="1" t="s">
        <v>219</v>
      </c>
      <c r="CI1840" s="1" t="s">
        <v>229</v>
      </c>
      <c r="CK1840" s="1" t="s">
        <v>1267</v>
      </c>
      <c r="CL1840" s="1" t="s">
        <v>277</v>
      </c>
      <c r="CM1840" s="1" t="s">
        <v>220</v>
      </c>
      <c r="CO1840" s="1" t="s">
        <v>465</v>
      </c>
      <c r="CP1840" s="1" t="s">
        <v>219</v>
      </c>
      <c r="CQ1840" s="1" t="s">
        <v>229</v>
      </c>
      <c r="CS1840" s="1" t="s">
        <v>539</v>
      </c>
      <c r="CT1840" s="1" t="s">
        <v>277</v>
      </c>
      <c r="CU1840" s="1" t="s">
        <v>220</v>
      </c>
      <c r="CX1840" s="1" t="s">
        <v>224</v>
      </c>
      <c r="DB1840" s="1" t="s">
        <v>224</v>
      </c>
      <c r="DE1840" s="1" t="s">
        <v>1046</v>
      </c>
      <c r="DF1840" s="1" t="s">
        <v>219</v>
      </c>
      <c r="DG1840" s="1" t="s">
        <v>229</v>
      </c>
      <c r="DJ1840" s="1" t="s">
        <v>224</v>
      </c>
      <c r="DM1840" s="1" t="s">
        <v>464</v>
      </c>
      <c r="DR1840" s="1" t="s">
        <v>932</v>
      </c>
      <c r="DS1840" s="1" t="s">
        <v>277</v>
      </c>
      <c r="DT1840" s="1" t="s">
        <v>220</v>
      </c>
      <c r="DW1840" s="1" t="s">
        <v>230</v>
      </c>
      <c r="EA1840" s="1" t="s">
        <v>230</v>
      </c>
      <c r="EE1840" s="1" t="s">
        <v>230</v>
      </c>
      <c r="EI1840" s="1" t="s">
        <v>230</v>
      </c>
      <c r="EL1840" s="1" t="s">
        <v>670</v>
      </c>
      <c r="EM1840" s="1" t="s">
        <v>761</v>
      </c>
      <c r="EN1840" s="1" t="s">
        <v>282</v>
      </c>
      <c r="EO1840" s="1" t="s">
        <v>234</v>
      </c>
      <c r="ER1840" s="1" t="s">
        <v>210</v>
      </c>
      <c r="EW1840" s="1" t="s">
        <v>911</v>
      </c>
      <c r="EY1840" s="1" t="s">
        <v>242</v>
      </c>
      <c r="EZ1840" s="1" t="s">
        <v>464</v>
      </c>
      <c r="FD1840" s="1" t="s">
        <v>246</v>
      </c>
      <c r="FE1840" s="1" t="s">
        <v>386</v>
      </c>
      <c r="FF1840" s="1" t="s">
        <v>248</v>
      </c>
      <c r="FG1840" s="1" t="s">
        <v>2060</v>
      </c>
      <c r="FH1840" s="1" t="s">
        <v>550</v>
      </c>
      <c r="FI1840" s="1" t="s">
        <v>473</v>
      </c>
      <c r="FL1840" s="1" t="s">
        <v>358</v>
      </c>
      <c r="FM1840" s="1" t="s">
        <v>252</v>
      </c>
      <c r="FN1840" s="1" t="s">
        <v>213</v>
      </c>
      <c r="FO1840" s="1" t="s">
        <v>213</v>
      </c>
      <c r="FQ1840" s="1" t="s">
        <v>913</v>
      </c>
      <c r="FR1840" s="1" t="s">
        <v>210</v>
      </c>
      <c r="FS1840" s="1" t="s">
        <v>17120</v>
      </c>
      <c r="FT1840" s="1" t="s">
        <v>617</v>
      </c>
      <c r="FU1840" s="1" t="s">
        <v>204</v>
      </c>
      <c r="FW1840" s="1" t="s">
        <v>618</v>
      </c>
      <c r="FX1840" s="1">
        <v>2643</v>
      </c>
      <c r="FY1840" s="1" t="s">
        <v>619</v>
      </c>
      <c r="FZ1840" s="1" t="s">
        <v>17121</v>
      </c>
      <c r="GA1840" s="1">
        <v>15815</v>
      </c>
      <c r="GB1840" s="1" t="s">
        <v>17122</v>
      </c>
      <c r="GE1840" s="1" t="s">
        <v>480</v>
      </c>
      <c r="GI1840" s="1" t="s">
        <v>213</v>
      </c>
      <c r="GJ1840" s="1" t="s">
        <v>260</v>
      </c>
      <c r="GK1840" s="1" t="s">
        <v>210</v>
      </c>
      <c r="GL1840" s="2">
        <v>42131</v>
      </c>
      <c r="GM1840" s="1" t="s">
        <v>17123</v>
      </c>
    </row>
    <row r="1841" spans="1:195">
      <c r="A1841" s="1">
        <v>106000</v>
      </c>
      <c r="B1841" s="1" t="s">
        <v>195</v>
      </c>
      <c r="C1841" s="1" t="str">
        <f>"08721976"</f>
        <v>08721976</v>
      </c>
      <c r="D1841" s="1" t="s">
        <v>196</v>
      </c>
      <c r="F1841" s="1" t="str">
        <f>"532"</f>
        <v>532</v>
      </c>
      <c r="G1841" s="2">
        <v>41890</v>
      </c>
      <c r="H1841" s="1">
        <v>124000</v>
      </c>
      <c r="I1841" s="1">
        <v>114000</v>
      </c>
      <c r="J1841" s="1">
        <v>106000</v>
      </c>
      <c r="K1841" s="2">
        <v>41890</v>
      </c>
      <c r="L1841" s="1">
        <v>156</v>
      </c>
      <c r="M1841" s="2">
        <v>42045</v>
      </c>
      <c r="N1841" s="1">
        <v>156</v>
      </c>
      <c r="O1841" s="2">
        <v>42045</v>
      </c>
      <c r="P1841" s="1">
        <v>3811</v>
      </c>
      <c r="Q1841" s="1" t="s">
        <v>197</v>
      </c>
      <c r="R1841" s="2">
        <v>42107</v>
      </c>
      <c r="S1841" s="1">
        <v>34729</v>
      </c>
      <c r="U1841" s="1">
        <v>5511</v>
      </c>
      <c r="V1841" s="1" t="s">
        <v>509</v>
      </c>
      <c r="W1841" s="1" t="s">
        <v>264</v>
      </c>
      <c r="X1841" s="1" t="s">
        <v>800</v>
      </c>
      <c r="Y1841" s="1">
        <v>6</v>
      </c>
      <c r="Z1841" s="1" t="s">
        <v>249</v>
      </c>
      <c r="AA1841" s="1" t="s">
        <v>1566</v>
      </c>
      <c r="AB1841" s="1">
        <v>60532</v>
      </c>
      <c r="AD1841" s="1" t="s">
        <v>2908</v>
      </c>
      <c r="AE1841" s="1" t="s">
        <v>17124</v>
      </c>
      <c r="AF1841" s="1">
        <v>1966</v>
      </c>
      <c r="AG1841" s="1" t="s">
        <v>213</v>
      </c>
      <c r="AH1841" s="1" t="s">
        <v>925</v>
      </c>
      <c r="AI1841" s="1" t="s">
        <v>206</v>
      </c>
      <c r="AJ1841" s="1" t="s">
        <v>925</v>
      </c>
      <c r="AK1841" s="1" t="s">
        <v>1151</v>
      </c>
      <c r="AL1841" s="1">
        <v>5</v>
      </c>
      <c r="AM1841" s="1">
        <v>2</v>
      </c>
      <c r="AN1841" s="1">
        <v>1</v>
      </c>
      <c r="AO1841" s="1">
        <v>0</v>
      </c>
      <c r="AP1841" s="1" t="s">
        <v>210</v>
      </c>
      <c r="AQ1841" s="1">
        <v>1</v>
      </c>
      <c r="AR1841" s="1" t="s">
        <v>210</v>
      </c>
      <c r="AS1841" s="1" t="s">
        <v>204</v>
      </c>
      <c r="AT1841" s="1" t="s">
        <v>271</v>
      </c>
      <c r="AV1841" s="1">
        <v>1</v>
      </c>
      <c r="AW1841" s="1" t="s">
        <v>204</v>
      </c>
      <c r="AX1841" s="1" t="s">
        <v>4740</v>
      </c>
      <c r="AZ1841" s="1">
        <v>2815</v>
      </c>
      <c r="BA1841" s="1">
        <v>2013</v>
      </c>
      <c r="BB1841" s="1" t="s">
        <v>210</v>
      </c>
      <c r="BE1841" s="1">
        <v>1000</v>
      </c>
      <c r="BF1841" s="1">
        <v>2</v>
      </c>
      <c r="BG1841" s="1">
        <v>10</v>
      </c>
      <c r="BL1841" s="1">
        <v>315</v>
      </c>
      <c r="BM1841" s="1" t="s">
        <v>204</v>
      </c>
      <c r="BN1841" s="1" t="s">
        <v>213</v>
      </c>
      <c r="BO1841" s="1">
        <v>0</v>
      </c>
      <c r="BP1841" s="1" t="s">
        <v>204</v>
      </c>
      <c r="BR1841" s="1" t="str">
        <f>"0815105181"</f>
        <v>0815105181</v>
      </c>
      <c r="BT1841" s="1" t="s">
        <v>17125</v>
      </c>
      <c r="BU1841" s="1" t="s">
        <v>3190</v>
      </c>
      <c r="BV1841" s="1" t="s">
        <v>2856</v>
      </c>
      <c r="BW1841" s="1" t="s">
        <v>2762</v>
      </c>
      <c r="BX1841" s="1">
        <v>68</v>
      </c>
      <c r="BY1841" s="1">
        <v>68</v>
      </c>
      <c r="BZ1841" s="1">
        <v>99</v>
      </c>
      <c r="CB1841" s="1" t="str">
        <f t="shared" ref="CB1841:CC1841" si="1394">"0"</f>
        <v>0</v>
      </c>
      <c r="CC1841" s="1" t="str">
        <f t="shared" si="1394"/>
        <v>0</v>
      </c>
      <c r="CD1841" s="1">
        <v>23</v>
      </c>
      <c r="CE1841" s="1">
        <v>6</v>
      </c>
      <c r="CG1841" s="1" t="s">
        <v>932</v>
      </c>
      <c r="CH1841" s="1" t="s">
        <v>277</v>
      </c>
      <c r="CI1841" s="1" t="s">
        <v>220</v>
      </c>
      <c r="CK1841" s="1" t="s">
        <v>437</v>
      </c>
      <c r="CL1841" s="1" t="s">
        <v>277</v>
      </c>
      <c r="CM1841" s="1" t="s">
        <v>220</v>
      </c>
      <c r="CO1841" s="1" t="s">
        <v>2138</v>
      </c>
      <c r="CP1841" s="1" t="s">
        <v>277</v>
      </c>
      <c r="CQ1841" s="1" t="s">
        <v>220</v>
      </c>
      <c r="CS1841" s="1" t="s">
        <v>223</v>
      </c>
      <c r="CT1841" s="1" t="s">
        <v>277</v>
      </c>
      <c r="CU1841" s="1" t="s">
        <v>220</v>
      </c>
      <c r="CX1841" s="1" t="s">
        <v>224</v>
      </c>
      <c r="DB1841" s="1" t="s">
        <v>224</v>
      </c>
      <c r="DE1841" s="1" t="s">
        <v>516</v>
      </c>
      <c r="DF1841" s="1" t="s">
        <v>277</v>
      </c>
      <c r="DG1841" s="1" t="s">
        <v>226</v>
      </c>
      <c r="DH1841" s="1" t="s">
        <v>210</v>
      </c>
      <c r="DJ1841" s="1" t="s">
        <v>224</v>
      </c>
      <c r="DS1841" s="1" t="s">
        <v>230</v>
      </c>
      <c r="DW1841" s="1" t="s">
        <v>230</v>
      </c>
      <c r="EA1841" s="1" t="s">
        <v>230</v>
      </c>
      <c r="EE1841" s="1" t="s">
        <v>230</v>
      </c>
      <c r="EI1841" s="1" t="s">
        <v>230</v>
      </c>
      <c r="EL1841" s="1" t="s">
        <v>605</v>
      </c>
      <c r="EM1841" s="1" t="s">
        <v>232</v>
      </c>
      <c r="EN1841" s="1" t="s">
        <v>282</v>
      </c>
      <c r="EO1841" s="1" t="s">
        <v>234</v>
      </c>
      <c r="EP1841" s="1" t="s">
        <v>17126</v>
      </c>
      <c r="EQ1841" s="1" t="s">
        <v>350</v>
      </c>
      <c r="ER1841" s="1" t="s">
        <v>210</v>
      </c>
      <c r="ES1841" s="1" t="s">
        <v>493</v>
      </c>
      <c r="EV1841" s="1" t="s">
        <v>240</v>
      </c>
      <c r="EW1841" s="1" t="s">
        <v>2344</v>
      </c>
      <c r="EY1841" s="1" t="s">
        <v>242</v>
      </c>
      <c r="EZ1841" s="1" t="s">
        <v>287</v>
      </c>
      <c r="FB1841" s="1" t="s">
        <v>244</v>
      </c>
      <c r="FC1841" s="1" t="s">
        <v>633</v>
      </c>
      <c r="FD1841" s="1" t="s">
        <v>246</v>
      </c>
      <c r="FE1841" s="1" t="s">
        <v>549</v>
      </c>
      <c r="FF1841" s="1" t="s">
        <v>3103</v>
      </c>
      <c r="FH1841" s="1" t="s">
        <v>249</v>
      </c>
      <c r="FK1841" s="1" t="s">
        <v>291</v>
      </c>
      <c r="FL1841" s="1" t="s">
        <v>414</v>
      </c>
      <c r="FM1841" s="1" t="s">
        <v>252</v>
      </c>
      <c r="FN1841" s="1" t="s">
        <v>213</v>
      </c>
      <c r="FO1841" s="1" t="s">
        <v>213</v>
      </c>
      <c r="FQ1841" s="1" t="s">
        <v>4708</v>
      </c>
      <c r="FR1841" s="1" t="s">
        <v>210</v>
      </c>
      <c r="FS1841" s="1" t="s">
        <v>4100</v>
      </c>
      <c r="FT1841" s="1" t="s">
        <v>5439</v>
      </c>
      <c r="FU1841" s="1" t="s">
        <v>204</v>
      </c>
      <c r="FV1841" s="1">
        <v>6304084400</v>
      </c>
      <c r="FW1841" s="1" t="s">
        <v>1475</v>
      </c>
      <c r="FX1841" s="1">
        <v>23265</v>
      </c>
      <c r="FY1841" s="1" t="s">
        <v>1476</v>
      </c>
      <c r="FZ1841" s="1" t="s">
        <v>4101</v>
      </c>
      <c r="GA1841" s="1">
        <v>215634</v>
      </c>
      <c r="GB1841" s="1" t="s">
        <v>4102</v>
      </c>
      <c r="GE1841" s="1" t="s">
        <v>210</v>
      </c>
      <c r="GH1841" s="1" t="s">
        <v>800</v>
      </c>
      <c r="GI1841" s="1" t="s">
        <v>213</v>
      </c>
      <c r="GJ1841" s="1" t="s">
        <v>260</v>
      </c>
      <c r="GK1841" s="1" t="s">
        <v>210</v>
      </c>
      <c r="GL1841" s="2">
        <v>42107</v>
      </c>
    </row>
    <row r="1842" spans="1:195">
      <c r="A1842" s="1">
        <v>255000</v>
      </c>
      <c r="B1842" s="1" t="s">
        <v>195</v>
      </c>
      <c r="C1842" s="1" t="str">
        <f>"08724662"</f>
        <v>08724662</v>
      </c>
      <c r="D1842" s="1" t="s">
        <v>196</v>
      </c>
      <c r="F1842" s="1" t="str">
        <f>"525"</f>
        <v>525</v>
      </c>
      <c r="G1842" s="2">
        <v>41892</v>
      </c>
      <c r="H1842" s="1">
        <v>288750</v>
      </c>
      <c r="I1842" s="1">
        <v>276000</v>
      </c>
      <c r="J1842" s="1">
        <v>255000</v>
      </c>
      <c r="K1842" s="2">
        <v>41891</v>
      </c>
      <c r="L1842" s="1">
        <v>56</v>
      </c>
      <c r="M1842" s="2">
        <v>41946</v>
      </c>
      <c r="N1842" s="1">
        <v>56</v>
      </c>
      <c r="O1842" s="2">
        <v>41946</v>
      </c>
      <c r="P1842" s="1">
        <v>84025</v>
      </c>
      <c r="Q1842" s="1" t="s">
        <v>197</v>
      </c>
      <c r="R1842" s="2">
        <v>41978</v>
      </c>
      <c r="S1842" s="1">
        <v>107836</v>
      </c>
      <c r="U1842" s="1">
        <v>420</v>
      </c>
      <c r="V1842" s="1" t="s">
        <v>2756</v>
      </c>
      <c r="W1842" s="1" t="s">
        <v>425</v>
      </c>
      <c r="X1842" s="1">
        <v>205</v>
      </c>
      <c r="Y1842" s="1">
        <v>24</v>
      </c>
      <c r="Z1842" s="1" t="s">
        <v>200</v>
      </c>
      <c r="AA1842" s="1" t="s">
        <v>1148</v>
      </c>
      <c r="AB1842" s="1">
        <v>60525</v>
      </c>
      <c r="AD1842" s="1" t="s">
        <v>17127</v>
      </c>
      <c r="AE1842" s="1" t="s">
        <v>17128</v>
      </c>
      <c r="AF1842" s="1">
        <v>2001</v>
      </c>
      <c r="AG1842" s="1" t="s">
        <v>204</v>
      </c>
      <c r="AH1842" s="1" t="s">
        <v>1150</v>
      </c>
      <c r="AI1842" s="1" t="s">
        <v>310</v>
      </c>
      <c r="AJ1842" s="1" t="s">
        <v>702</v>
      </c>
      <c r="AL1842" s="1">
        <v>4</v>
      </c>
      <c r="AM1842" s="1">
        <v>2</v>
      </c>
      <c r="AN1842" s="1">
        <v>2</v>
      </c>
      <c r="AO1842" s="1">
        <v>0</v>
      </c>
      <c r="AP1842" s="1" t="s">
        <v>209</v>
      </c>
      <c r="AQ1842" s="1">
        <v>0</v>
      </c>
      <c r="AR1842" s="1" t="s">
        <v>210</v>
      </c>
      <c r="AS1842" s="1" t="s">
        <v>204</v>
      </c>
      <c r="AT1842" s="1" t="s">
        <v>211</v>
      </c>
      <c r="AU1842" s="1">
        <v>1</v>
      </c>
      <c r="AW1842" s="1" t="s">
        <v>204</v>
      </c>
      <c r="AX1842" s="1" t="s">
        <v>212</v>
      </c>
      <c r="AZ1842" s="1">
        <v>4910</v>
      </c>
      <c r="BA1842" s="1">
        <v>2013</v>
      </c>
      <c r="BB1842" s="1" t="s">
        <v>405</v>
      </c>
      <c r="BE1842" s="1">
        <v>1100</v>
      </c>
      <c r="BF1842" s="1">
        <v>2</v>
      </c>
      <c r="BG1842" s="1">
        <v>30</v>
      </c>
      <c r="BJ1842" s="1">
        <v>100</v>
      </c>
      <c r="BK1842" s="1">
        <v>100</v>
      </c>
      <c r="BL1842" s="1">
        <v>296</v>
      </c>
      <c r="BM1842" s="1" t="s">
        <v>204</v>
      </c>
      <c r="BN1842" s="1" t="s">
        <v>213</v>
      </c>
      <c r="BO1842" s="1">
        <v>99</v>
      </c>
      <c r="BP1842" s="1" t="s">
        <v>204</v>
      </c>
      <c r="BR1842" s="1" t="str">
        <f>"18041210371005"</f>
        <v>18041210371005</v>
      </c>
      <c r="BT1842" s="1" t="s">
        <v>17129</v>
      </c>
      <c r="BU1842" s="1" t="s">
        <v>1153</v>
      </c>
      <c r="BV1842" s="1" t="s">
        <v>1154</v>
      </c>
      <c r="BW1842" s="1" t="s">
        <v>706</v>
      </c>
      <c r="BX1842" s="1">
        <v>102</v>
      </c>
      <c r="BY1842" s="1">
        <v>102</v>
      </c>
      <c r="BZ1842" s="1">
        <v>204</v>
      </c>
      <c r="CB1842" s="1" t="str">
        <f t="shared" ref="CB1842:CC1842" si="1395">"0"</f>
        <v>0</v>
      </c>
      <c r="CC1842" s="1" t="str">
        <f t="shared" si="1395"/>
        <v>0</v>
      </c>
      <c r="CD1842" s="1">
        <v>12</v>
      </c>
      <c r="CE1842" s="1">
        <v>4</v>
      </c>
      <c r="CG1842" s="1" t="s">
        <v>931</v>
      </c>
      <c r="CH1842" s="1" t="s">
        <v>219</v>
      </c>
      <c r="CI1842" s="1" t="s">
        <v>438</v>
      </c>
      <c r="CK1842" s="1" t="s">
        <v>1045</v>
      </c>
      <c r="CL1842" s="1" t="s">
        <v>219</v>
      </c>
      <c r="CM1842" s="1" t="s">
        <v>220</v>
      </c>
      <c r="CP1842" s="1" t="s">
        <v>224</v>
      </c>
      <c r="CS1842" s="1" t="s">
        <v>1297</v>
      </c>
      <c r="CT1842" s="1" t="s">
        <v>219</v>
      </c>
      <c r="CU1842" s="1" t="s">
        <v>220</v>
      </c>
      <c r="CX1842" s="1" t="s">
        <v>224</v>
      </c>
      <c r="DB1842" s="1" t="s">
        <v>224</v>
      </c>
      <c r="DE1842" s="1" t="s">
        <v>379</v>
      </c>
      <c r="DF1842" s="1" t="s">
        <v>219</v>
      </c>
      <c r="DG1842" s="1" t="s">
        <v>226</v>
      </c>
      <c r="DH1842" s="1" t="s">
        <v>210</v>
      </c>
      <c r="DJ1842" s="1" t="s">
        <v>224</v>
      </c>
      <c r="DM1842" s="1" t="s">
        <v>709</v>
      </c>
      <c r="DR1842" s="1" t="s">
        <v>6407</v>
      </c>
      <c r="DS1842" s="1" t="s">
        <v>219</v>
      </c>
      <c r="DT1842" s="1" t="s">
        <v>438</v>
      </c>
      <c r="DU1842" s="1" t="s">
        <v>210</v>
      </c>
      <c r="DW1842" s="1" t="s">
        <v>230</v>
      </c>
      <c r="EA1842" s="1" t="s">
        <v>230</v>
      </c>
      <c r="EE1842" s="1" t="s">
        <v>230</v>
      </c>
      <c r="EI1842" s="1" t="s">
        <v>230</v>
      </c>
      <c r="EL1842" s="1" t="s">
        <v>466</v>
      </c>
      <c r="EM1842" s="1" t="s">
        <v>232</v>
      </c>
      <c r="EN1842" s="1" t="s">
        <v>282</v>
      </c>
      <c r="EO1842" s="1" t="s">
        <v>234</v>
      </c>
      <c r="EP1842" s="1" t="s">
        <v>3613</v>
      </c>
      <c r="EQ1842" s="1" t="s">
        <v>236</v>
      </c>
      <c r="ER1842" s="1" t="s">
        <v>210</v>
      </c>
      <c r="ES1842" s="1" t="s">
        <v>322</v>
      </c>
      <c r="ET1842" s="1" t="s">
        <v>842</v>
      </c>
      <c r="EW1842" s="1" t="s">
        <v>17130</v>
      </c>
      <c r="EY1842" s="1" t="s">
        <v>242</v>
      </c>
      <c r="EZ1842" s="1" t="s">
        <v>709</v>
      </c>
      <c r="FA1842" s="1" t="s">
        <v>17131</v>
      </c>
      <c r="FB1842" s="1" t="s">
        <v>289</v>
      </c>
      <c r="FC1842" s="1" t="s">
        <v>633</v>
      </c>
      <c r="FD1842" s="1" t="s">
        <v>246</v>
      </c>
      <c r="FE1842" s="1" t="s">
        <v>247</v>
      </c>
      <c r="FF1842" s="1" t="s">
        <v>248</v>
      </c>
      <c r="FH1842" s="1" t="s">
        <v>249</v>
      </c>
      <c r="FI1842" s="1" t="s">
        <v>357</v>
      </c>
      <c r="FL1842" s="1" t="s">
        <v>4895</v>
      </c>
      <c r="FM1842" s="1" t="s">
        <v>252</v>
      </c>
      <c r="FN1842" s="1" t="s">
        <v>213</v>
      </c>
      <c r="FO1842" s="1" t="s">
        <v>213</v>
      </c>
      <c r="FQ1842" s="1" t="s">
        <v>13617</v>
      </c>
      <c r="FR1842" s="1" t="s">
        <v>210</v>
      </c>
      <c r="FS1842" s="1" t="s">
        <v>17132</v>
      </c>
      <c r="FT1842" s="1" t="s">
        <v>17133</v>
      </c>
      <c r="FU1842" s="1" t="s">
        <v>204</v>
      </c>
      <c r="FW1842" s="1" t="s">
        <v>585</v>
      </c>
      <c r="FX1842" s="1">
        <v>20001</v>
      </c>
      <c r="FY1842" s="1" t="s">
        <v>5002</v>
      </c>
      <c r="FZ1842" s="1" t="s">
        <v>9369</v>
      </c>
      <c r="GA1842" s="1">
        <v>223770</v>
      </c>
      <c r="GB1842" s="1" t="s">
        <v>9370</v>
      </c>
      <c r="GE1842" s="1" t="s">
        <v>210</v>
      </c>
      <c r="GH1842" s="1" t="s">
        <v>589</v>
      </c>
      <c r="GI1842" s="1" t="s">
        <v>213</v>
      </c>
      <c r="GJ1842" s="1" t="s">
        <v>260</v>
      </c>
      <c r="GK1842" s="1" t="s">
        <v>210</v>
      </c>
      <c r="GL1842" s="2">
        <v>41978</v>
      </c>
    </row>
    <row r="1843" spans="1:195">
      <c r="A1843" s="1">
        <v>170500</v>
      </c>
      <c r="B1843" s="1" t="s">
        <v>195</v>
      </c>
      <c r="C1843" s="1" t="str">
        <f>"08721734"</f>
        <v>08721734</v>
      </c>
      <c r="D1843" s="1" t="s">
        <v>196</v>
      </c>
      <c r="F1843" s="1" t="str">
        <f>"510"</f>
        <v>510</v>
      </c>
      <c r="G1843" s="2">
        <v>41890</v>
      </c>
      <c r="H1843" s="1">
        <v>179900</v>
      </c>
      <c r="I1843" s="1">
        <v>179900</v>
      </c>
      <c r="J1843" s="1">
        <v>170500</v>
      </c>
      <c r="K1843" s="2">
        <v>41890</v>
      </c>
      <c r="L1843" s="1">
        <v>5</v>
      </c>
      <c r="M1843" s="2">
        <v>41894</v>
      </c>
      <c r="N1843" s="1">
        <v>5</v>
      </c>
      <c r="O1843" s="2">
        <v>41894</v>
      </c>
      <c r="P1843" s="1">
        <v>604</v>
      </c>
      <c r="Q1843" s="1" t="s">
        <v>197</v>
      </c>
      <c r="R1843" s="2">
        <v>41974</v>
      </c>
      <c r="S1843" s="1">
        <v>381</v>
      </c>
      <c r="U1843" s="1">
        <v>1457</v>
      </c>
      <c r="V1843" s="1" t="s">
        <v>17134</v>
      </c>
      <c r="W1843" s="1" t="s">
        <v>725</v>
      </c>
      <c r="X1843" s="1" t="s">
        <v>7801</v>
      </c>
      <c r="Y1843" s="1">
        <v>4</v>
      </c>
      <c r="Z1843" s="1" t="s">
        <v>370</v>
      </c>
      <c r="AA1843" s="1" t="s">
        <v>947</v>
      </c>
      <c r="AB1843" s="1">
        <v>60510</v>
      </c>
      <c r="AD1843" s="1" t="s">
        <v>4351</v>
      </c>
      <c r="AE1843" s="1" t="s">
        <v>17135</v>
      </c>
      <c r="AF1843" s="1">
        <v>1990</v>
      </c>
      <c r="AG1843" s="1" t="s">
        <v>204</v>
      </c>
      <c r="AH1843" s="1" t="s">
        <v>949</v>
      </c>
      <c r="AI1843" s="1" t="s">
        <v>665</v>
      </c>
      <c r="AJ1843" s="1" t="s">
        <v>949</v>
      </c>
      <c r="AL1843" s="1">
        <v>7</v>
      </c>
      <c r="AM1843" s="1">
        <v>2</v>
      </c>
      <c r="AN1843" s="1">
        <v>2</v>
      </c>
      <c r="AO1843" s="1">
        <v>1</v>
      </c>
      <c r="AP1843" s="1" t="s">
        <v>209</v>
      </c>
      <c r="AQ1843" s="1">
        <v>1</v>
      </c>
      <c r="AR1843" s="1" t="s">
        <v>210</v>
      </c>
      <c r="AS1843" s="1" t="s">
        <v>204</v>
      </c>
      <c r="AT1843" s="1" t="s">
        <v>211</v>
      </c>
      <c r="AU1843" s="1">
        <v>2</v>
      </c>
      <c r="AW1843" s="1" t="s">
        <v>204</v>
      </c>
      <c r="AX1843" s="1" t="s">
        <v>212</v>
      </c>
      <c r="AZ1843" s="1">
        <v>5703</v>
      </c>
      <c r="BA1843" s="1">
        <v>2013</v>
      </c>
      <c r="BB1843" s="1" t="s">
        <v>2694</v>
      </c>
      <c r="BE1843" s="1">
        <v>1702</v>
      </c>
      <c r="BF1843" s="1">
        <v>1</v>
      </c>
      <c r="BG1843" s="1">
        <v>0</v>
      </c>
      <c r="BL1843" s="1">
        <v>219</v>
      </c>
      <c r="BM1843" s="1" t="s">
        <v>204</v>
      </c>
      <c r="BN1843" s="1" t="s">
        <v>213</v>
      </c>
      <c r="BO1843" s="1">
        <v>75</v>
      </c>
      <c r="BP1843" s="1" t="s">
        <v>204</v>
      </c>
      <c r="BR1843" s="1" t="str">
        <f>"1221101058"</f>
        <v>1221101058</v>
      </c>
      <c r="BT1843" s="1" t="s">
        <v>17136</v>
      </c>
      <c r="BU1843" s="1" t="s">
        <v>17137</v>
      </c>
      <c r="BV1843" s="1" t="s">
        <v>6404</v>
      </c>
      <c r="BW1843" s="1" t="s">
        <v>6405</v>
      </c>
      <c r="BX1843" s="1">
        <v>101</v>
      </c>
      <c r="BY1843" s="1">
        <v>101</v>
      </c>
      <c r="BZ1843" s="1">
        <v>101</v>
      </c>
      <c r="CB1843" s="1" t="str">
        <f t="shared" ref="CB1843:CC1843" si="1396">"0"</f>
        <v>0</v>
      </c>
      <c r="CC1843" s="1" t="str">
        <f t="shared" si="1396"/>
        <v>0</v>
      </c>
      <c r="CD1843" s="1">
        <v>36</v>
      </c>
      <c r="CE1843" s="1">
        <v>1</v>
      </c>
      <c r="CG1843" s="1" t="s">
        <v>462</v>
      </c>
      <c r="CH1843" s="1" t="s">
        <v>219</v>
      </c>
      <c r="CI1843" s="1" t="s">
        <v>220</v>
      </c>
      <c r="CJ1843" s="1" t="s">
        <v>252</v>
      </c>
      <c r="CK1843" s="1" t="s">
        <v>490</v>
      </c>
      <c r="CL1843" s="1" t="s">
        <v>277</v>
      </c>
      <c r="CM1843" s="1" t="s">
        <v>220</v>
      </c>
      <c r="CN1843" s="1" t="s">
        <v>252</v>
      </c>
      <c r="CO1843" s="1" t="s">
        <v>378</v>
      </c>
      <c r="CP1843" s="1" t="s">
        <v>219</v>
      </c>
      <c r="CQ1843" s="1" t="s">
        <v>220</v>
      </c>
      <c r="CR1843" s="1" t="s">
        <v>252</v>
      </c>
      <c r="CS1843" s="1" t="s">
        <v>3591</v>
      </c>
      <c r="CT1843" s="1" t="s">
        <v>277</v>
      </c>
      <c r="CU1843" s="1" t="s">
        <v>220</v>
      </c>
      <c r="CV1843" s="1" t="s">
        <v>252</v>
      </c>
      <c r="CX1843" s="1" t="s">
        <v>224</v>
      </c>
      <c r="DB1843" s="1" t="s">
        <v>224</v>
      </c>
      <c r="DE1843" s="1" t="s">
        <v>729</v>
      </c>
      <c r="DF1843" s="1" t="s">
        <v>219</v>
      </c>
      <c r="DG1843" s="1" t="s">
        <v>342</v>
      </c>
      <c r="DH1843" s="1" t="s">
        <v>210</v>
      </c>
      <c r="DI1843" s="1" t="s">
        <v>1788</v>
      </c>
      <c r="DJ1843" s="1" t="s">
        <v>219</v>
      </c>
      <c r="DK1843" s="1" t="s">
        <v>220</v>
      </c>
      <c r="DL1843" s="1" t="s">
        <v>252</v>
      </c>
      <c r="DM1843" s="1" t="s">
        <v>464</v>
      </c>
      <c r="DR1843" s="1" t="s">
        <v>1360</v>
      </c>
      <c r="DS1843" s="1" t="s">
        <v>277</v>
      </c>
      <c r="DT1843" s="1" t="s">
        <v>220</v>
      </c>
      <c r="DU1843" s="1" t="s">
        <v>252</v>
      </c>
      <c r="DW1843" s="1" t="s">
        <v>230</v>
      </c>
      <c r="EA1843" s="1" t="s">
        <v>230</v>
      </c>
      <c r="EE1843" s="1" t="s">
        <v>230</v>
      </c>
      <c r="EI1843" s="1" t="s">
        <v>230</v>
      </c>
      <c r="EL1843" s="1" t="s">
        <v>382</v>
      </c>
      <c r="EM1843" s="1" t="s">
        <v>319</v>
      </c>
      <c r="EN1843" s="1" t="s">
        <v>282</v>
      </c>
      <c r="EO1843" s="1" t="s">
        <v>234</v>
      </c>
      <c r="EP1843" s="1" t="s">
        <v>8987</v>
      </c>
      <c r="EQ1843" s="1" t="s">
        <v>236</v>
      </c>
      <c r="ER1843" s="1" t="s">
        <v>210</v>
      </c>
      <c r="ES1843" s="1" t="s">
        <v>3932</v>
      </c>
      <c r="ET1843" s="1" t="s">
        <v>842</v>
      </c>
      <c r="EU1843" s="1" t="s">
        <v>610</v>
      </c>
      <c r="EV1843" s="1" t="s">
        <v>324</v>
      </c>
      <c r="EW1843" s="1" t="s">
        <v>353</v>
      </c>
      <c r="EY1843" s="1" t="s">
        <v>242</v>
      </c>
      <c r="EZ1843" s="1" t="s">
        <v>464</v>
      </c>
      <c r="FA1843" s="1" t="s">
        <v>1072</v>
      </c>
      <c r="FB1843" s="1" t="s">
        <v>289</v>
      </c>
      <c r="FD1843" s="1" t="s">
        <v>888</v>
      </c>
      <c r="FE1843" s="1" t="s">
        <v>975</v>
      </c>
      <c r="FF1843" s="1" t="s">
        <v>248</v>
      </c>
      <c r="FG1843" s="1" t="s">
        <v>871</v>
      </c>
      <c r="FH1843" s="1" t="s">
        <v>550</v>
      </c>
      <c r="FI1843" s="1" t="s">
        <v>357</v>
      </c>
      <c r="FJ1843" s="1" t="s">
        <v>518</v>
      </c>
      <c r="FL1843" s="1" t="s">
        <v>358</v>
      </c>
      <c r="FM1843" s="1" t="s">
        <v>252</v>
      </c>
      <c r="FN1843" s="1" t="s">
        <v>213</v>
      </c>
      <c r="FO1843" s="1" t="s">
        <v>213</v>
      </c>
      <c r="FQ1843" s="1" t="s">
        <v>1758</v>
      </c>
      <c r="FR1843" s="1" t="s">
        <v>210</v>
      </c>
      <c r="FS1843" s="1" t="s">
        <v>17138</v>
      </c>
      <c r="FT1843" s="1" t="s">
        <v>255</v>
      </c>
      <c r="FU1843" s="1" t="s">
        <v>204</v>
      </c>
      <c r="FW1843" s="1" t="s">
        <v>17139</v>
      </c>
      <c r="FX1843" s="1">
        <v>464</v>
      </c>
      <c r="FY1843" s="1" t="s">
        <v>17140</v>
      </c>
      <c r="FZ1843" s="1" t="s">
        <v>17141</v>
      </c>
      <c r="GA1843" s="1">
        <v>1333</v>
      </c>
      <c r="GB1843" s="1" t="s">
        <v>17142</v>
      </c>
      <c r="GC1843" s="1">
        <v>624</v>
      </c>
      <c r="GD1843" s="1" t="s">
        <v>17143</v>
      </c>
      <c r="GE1843" s="1" t="s">
        <v>1256</v>
      </c>
      <c r="GI1843" s="1" t="s">
        <v>213</v>
      </c>
      <c r="GJ1843" s="1" t="s">
        <v>260</v>
      </c>
      <c r="GK1843" s="1" t="s">
        <v>1413</v>
      </c>
      <c r="GL1843" s="2">
        <v>41974</v>
      </c>
    </row>
    <row r="1844" spans="1:195">
      <c r="A1844" s="1">
        <v>155000</v>
      </c>
      <c r="B1844" s="1" t="s">
        <v>195</v>
      </c>
      <c r="C1844" s="1" t="str">
        <f>"08786448"</f>
        <v>08786448</v>
      </c>
      <c r="D1844" s="1" t="s">
        <v>196</v>
      </c>
      <c r="F1844" s="1" t="str">
        <f>"10"</f>
        <v>10</v>
      </c>
      <c r="G1844" s="2">
        <v>41957</v>
      </c>
      <c r="H1844" s="1">
        <v>160000</v>
      </c>
      <c r="I1844" s="1">
        <v>160000</v>
      </c>
      <c r="J1844" s="1">
        <v>155000</v>
      </c>
      <c r="K1844" s="2">
        <v>41957</v>
      </c>
      <c r="L1844" s="1">
        <v>133</v>
      </c>
      <c r="M1844" s="2">
        <v>41975</v>
      </c>
      <c r="N1844" s="1">
        <v>19</v>
      </c>
      <c r="O1844" s="2">
        <v>41975</v>
      </c>
      <c r="P1844" s="1" t="s">
        <v>1039</v>
      </c>
      <c r="Q1844" s="1" t="s">
        <v>302</v>
      </c>
      <c r="R1844" s="2">
        <v>42012</v>
      </c>
      <c r="S1844" s="1">
        <v>99999</v>
      </c>
      <c r="U1844" s="1">
        <v>600</v>
      </c>
      <c r="V1844" s="1" t="s">
        <v>6726</v>
      </c>
      <c r="W1844" s="1" t="s">
        <v>725</v>
      </c>
      <c r="X1844" s="1">
        <v>208</v>
      </c>
      <c r="Y1844" s="1">
        <v>39</v>
      </c>
      <c r="Z1844" s="1" t="s">
        <v>249</v>
      </c>
      <c r="AA1844" s="1" t="s">
        <v>6288</v>
      </c>
      <c r="AB1844" s="1">
        <v>60010</v>
      </c>
      <c r="AD1844" s="1" t="s">
        <v>6727</v>
      </c>
      <c r="AE1844" s="1" t="s">
        <v>6728</v>
      </c>
      <c r="AF1844" s="1">
        <v>1965</v>
      </c>
      <c r="AG1844" s="1" t="s">
        <v>213</v>
      </c>
      <c r="AH1844" s="1" t="s">
        <v>6729</v>
      </c>
      <c r="AI1844" s="1" t="s">
        <v>310</v>
      </c>
      <c r="AJ1844" s="1" t="s">
        <v>6729</v>
      </c>
      <c r="AL1844" s="1">
        <v>5</v>
      </c>
      <c r="AM1844" s="1">
        <v>2</v>
      </c>
      <c r="AN1844" s="1">
        <v>1</v>
      </c>
      <c r="AO1844" s="1">
        <v>1</v>
      </c>
      <c r="AP1844" s="1" t="s">
        <v>209</v>
      </c>
      <c r="AR1844" s="1" t="s">
        <v>210</v>
      </c>
      <c r="AS1844" s="1" t="s">
        <v>204</v>
      </c>
      <c r="AT1844" s="1" t="s">
        <v>211</v>
      </c>
      <c r="AU1844" s="1">
        <v>1</v>
      </c>
      <c r="AW1844" s="1" t="s">
        <v>204</v>
      </c>
      <c r="AX1844" s="1" t="s">
        <v>212</v>
      </c>
      <c r="AZ1844" s="1">
        <v>1649.53</v>
      </c>
      <c r="BA1844" s="1">
        <v>2013</v>
      </c>
      <c r="BB1844" s="1" t="s">
        <v>210</v>
      </c>
      <c r="BE1844" s="1">
        <v>1014</v>
      </c>
      <c r="BF1844" s="1">
        <v>2</v>
      </c>
      <c r="BG1844" s="1">
        <v>0</v>
      </c>
      <c r="BL1844" s="1">
        <v>220</v>
      </c>
      <c r="BM1844" s="1" t="s">
        <v>204</v>
      </c>
      <c r="BN1844" s="1" t="s">
        <v>213</v>
      </c>
      <c r="BO1844" s="1">
        <v>85</v>
      </c>
      <c r="BP1844" s="1" t="s">
        <v>204</v>
      </c>
      <c r="BR1844" s="1" t="str">
        <f>"01022020501088"</f>
        <v>01022020501088</v>
      </c>
      <c r="BT1844" s="1" t="s">
        <v>17144</v>
      </c>
      <c r="BU1844" s="1" t="s">
        <v>6731</v>
      </c>
      <c r="BV1844" s="1" t="s">
        <v>6732</v>
      </c>
      <c r="BW1844" s="1" t="s">
        <v>1994</v>
      </c>
      <c r="BX1844" s="1">
        <v>220</v>
      </c>
      <c r="BY1844" s="1">
        <v>220</v>
      </c>
      <c r="BZ1844" s="1">
        <v>220</v>
      </c>
      <c r="CB1844" s="1" t="str">
        <f>"18"</f>
        <v>18</v>
      </c>
      <c r="CC1844" s="1" t="str">
        <f>"0"</f>
        <v>0</v>
      </c>
      <c r="CD1844" s="1">
        <v>26</v>
      </c>
      <c r="CE1844" s="1">
        <v>0</v>
      </c>
      <c r="CG1844" s="1" t="s">
        <v>278</v>
      </c>
      <c r="CH1844" s="1" t="s">
        <v>219</v>
      </c>
      <c r="CI1844" s="1" t="s">
        <v>438</v>
      </c>
      <c r="CK1844" s="1" t="s">
        <v>317</v>
      </c>
      <c r="CL1844" s="1" t="s">
        <v>219</v>
      </c>
      <c r="CM1844" s="1" t="s">
        <v>438</v>
      </c>
      <c r="CO1844" s="1" t="s">
        <v>821</v>
      </c>
      <c r="CP1844" s="1" t="s">
        <v>219</v>
      </c>
      <c r="CQ1844" s="1" t="s">
        <v>438</v>
      </c>
      <c r="CS1844" s="1" t="s">
        <v>539</v>
      </c>
      <c r="CT1844" s="1" t="s">
        <v>219</v>
      </c>
      <c r="CU1844" s="1" t="s">
        <v>438</v>
      </c>
      <c r="CX1844" s="1" t="s">
        <v>224</v>
      </c>
      <c r="DB1844" s="1" t="s">
        <v>224</v>
      </c>
      <c r="DE1844" s="1" t="s">
        <v>821</v>
      </c>
      <c r="DF1844" s="1" t="s">
        <v>219</v>
      </c>
      <c r="DG1844" s="1" t="s">
        <v>438</v>
      </c>
      <c r="DJ1844" s="1" t="s">
        <v>224</v>
      </c>
      <c r="DS1844" s="1" t="s">
        <v>230</v>
      </c>
      <c r="DW1844" s="1" t="s">
        <v>230</v>
      </c>
      <c r="EA1844" s="1" t="s">
        <v>230</v>
      </c>
      <c r="EE1844" s="1" t="s">
        <v>230</v>
      </c>
      <c r="EI1844" s="1" t="s">
        <v>230</v>
      </c>
      <c r="EL1844" s="1" t="s">
        <v>605</v>
      </c>
      <c r="EM1844" s="1" t="s">
        <v>319</v>
      </c>
      <c r="EN1844" s="1" t="s">
        <v>282</v>
      </c>
      <c r="EO1844" s="1" t="s">
        <v>234</v>
      </c>
      <c r="EP1844" s="1" t="s">
        <v>6733</v>
      </c>
      <c r="EQ1844" s="1" t="s">
        <v>2188</v>
      </c>
      <c r="ER1844" s="1" t="s">
        <v>210</v>
      </c>
      <c r="ES1844" s="1" t="s">
        <v>545</v>
      </c>
      <c r="EU1844" s="1" t="s">
        <v>6734</v>
      </c>
      <c r="EV1844" s="1" t="s">
        <v>240</v>
      </c>
      <c r="EW1844" s="1" t="s">
        <v>5806</v>
      </c>
      <c r="EZ1844" s="1" t="s">
        <v>287</v>
      </c>
      <c r="FA1844" s="1" t="s">
        <v>1048</v>
      </c>
      <c r="FB1844" s="1" t="s">
        <v>244</v>
      </c>
      <c r="FD1844" s="1" t="s">
        <v>290</v>
      </c>
      <c r="FE1844" s="1" t="s">
        <v>247</v>
      </c>
      <c r="FF1844" s="1" t="s">
        <v>248</v>
      </c>
      <c r="FH1844" s="1" t="s">
        <v>716</v>
      </c>
      <c r="FI1844" s="1" t="s">
        <v>1114</v>
      </c>
      <c r="FJ1844" s="1" t="s">
        <v>16843</v>
      </c>
      <c r="FL1844" s="1" t="s">
        <v>292</v>
      </c>
      <c r="FM1844" s="1" t="s">
        <v>252</v>
      </c>
      <c r="FN1844" s="1" t="s">
        <v>213</v>
      </c>
      <c r="FO1844" s="1" t="s">
        <v>213</v>
      </c>
      <c r="FQ1844" s="1" t="s">
        <v>6735</v>
      </c>
      <c r="FR1844" s="1" t="s">
        <v>210</v>
      </c>
      <c r="FS1844" s="1" t="s">
        <v>6736</v>
      </c>
      <c r="FT1844" s="1" t="s">
        <v>520</v>
      </c>
      <c r="FU1844" s="1" t="s">
        <v>204</v>
      </c>
      <c r="FW1844" s="1" t="s">
        <v>6737</v>
      </c>
      <c r="FX1844" s="1">
        <v>10646</v>
      </c>
      <c r="FY1844" s="1" t="s">
        <v>6738</v>
      </c>
      <c r="FZ1844" s="1" t="s">
        <v>6739</v>
      </c>
      <c r="GA1844" s="1">
        <v>120575</v>
      </c>
      <c r="GB1844" s="1" t="s">
        <v>6740</v>
      </c>
      <c r="GE1844" s="1" t="s">
        <v>210</v>
      </c>
      <c r="GH1844" s="1" t="s">
        <v>589</v>
      </c>
      <c r="GI1844" s="1" t="s">
        <v>213</v>
      </c>
      <c r="GJ1844" s="1" t="s">
        <v>260</v>
      </c>
      <c r="GK1844" s="1" t="s">
        <v>210</v>
      </c>
      <c r="GL1844" s="2">
        <v>42012</v>
      </c>
      <c r="GM1844" s="1" t="s">
        <v>17145</v>
      </c>
    </row>
    <row r="1845" spans="1:195">
      <c r="A1845" s="1">
        <v>215000</v>
      </c>
      <c r="B1845" s="1" t="s">
        <v>195</v>
      </c>
      <c r="C1845" s="1" t="str">
        <f>"08736530"</f>
        <v>08736530</v>
      </c>
      <c r="D1845" s="1" t="s">
        <v>196</v>
      </c>
      <c r="F1845" s="1" t="str">
        <f>"148"</f>
        <v>148</v>
      </c>
      <c r="G1845" s="2">
        <v>41906</v>
      </c>
      <c r="H1845" s="1">
        <v>219900</v>
      </c>
      <c r="I1845" s="1">
        <v>219900</v>
      </c>
      <c r="J1845" s="1">
        <v>215000</v>
      </c>
      <c r="K1845" s="2">
        <v>41906</v>
      </c>
      <c r="L1845" s="1">
        <v>36</v>
      </c>
      <c r="M1845" s="2">
        <v>41941</v>
      </c>
      <c r="N1845" s="1">
        <v>36</v>
      </c>
      <c r="O1845" s="2">
        <v>41941</v>
      </c>
      <c r="P1845" s="1">
        <v>25244</v>
      </c>
      <c r="Q1845" s="1" t="s">
        <v>197</v>
      </c>
      <c r="R1845" s="2">
        <v>41978</v>
      </c>
      <c r="S1845" s="1">
        <v>242335</v>
      </c>
      <c r="U1845" s="1">
        <v>1</v>
      </c>
      <c r="V1845" s="1" t="s">
        <v>2662</v>
      </c>
      <c r="W1845" s="1" t="s">
        <v>425</v>
      </c>
      <c r="X1845" s="1">
        <v>206</v>
      </c>
      <c r="Y1845" s="1">
        <v>39</v>
      </c>
      <c r="Z1845" s="1" t="s">
        <v>249</v>
      </c>
      <c r="AA1845" s="1" t="s">
        <v>1927</v>
      </c>
      <c r="AB1845" s="1">
        <v>60148</v>
      </c>
      <c r="AD1845" s="1" t="s">
        <v>17146</v>
      </c>
      <c r="AE1845" s="1" t="s">
        <v>17147</v>
      </c>
      <c r="AF1845" s="1">
        <v>2005</v>
      </c>
      <c r="AG1845" s="1" t="s">
        <v>204</v>
      </c>
      <c r="AH1845" s="1" t="s">
        <v>1930</v>
      </c>
      <c r="AI1845" s="1" t="s">
        <v>206</v>
      </c>
      <c r="AJ1845" s="1" t="s">
        <v>1608</v>
      </c>
      <c r="AK1845" s="1" t="s">
        <v>7829</v>
      </c>
      <c r="AL1845" s="1">
        <v>5</v>
      </c>
      <c r="AM1845" s="1">
        <v>2</v>
      </c>
      <c r="AN1845" s="1">
        <v>2</v>
      </c>
      <c r="AO1845" s="1">
        <v>0</v>
      </c>
      <c r="AP1845" s="1" t="s">
        <v>209</v>
      </c>
      <c r="AR1845" s="1" t="s">
        <v>210</v>
      </c>
      <c r="AS1845" s="1" t="s">
        <v>204</v>
      </c>
      <c r="AT1845" s="1" t="s">
        <v>211</v>
      </c>
      <c r="AU1845" s="1">
        <v>1</v>
      </c>
      <c r="AW1845" s="1" t="s">
        <v>204</v>
      </c>
      <c r="AX1845" s="1" t="s">
        <v>212</v>
      </c>
      <c r="AZ1845" s="1">
        <v>3832</v>
      </c>
      <c r="BA1845" s="1">
        <v>2013</v>
      </c>
      <c r="BB1845" s="1" t="s">
        <v>405</v>
      </c>
      <c r="BE1845" s="1">
        <v>1294</v>
      </c>
      <c r="BF1845" s="1">
        <v>2</v>
      </c>
      <c r="BG1845" s="1">
        <v>0</v>
      </c>
      <c r="BL1845" s="1">
        <v>371</v>
      </c>
      <c r="BM1845" s="1" t="s">
        <v>204</v>
      </c>
      <c r="BN1845" s="1" t="s">
        <v>213</v>
      </c>
      <c r="BO1845" s="1">
        <v>50</v>
      </c>
      <c r="BP1845" s="1" t="s">
        <v>204</v>
      </c>
      <c r="BR1845" s="1" t="str">
        <f>"0607230004"</f>
        <v>0607230004</v>
      </c>
      <c r="BT1845" s="1" t="s">
        <v>17148</v>
      </c>
      <c r="BU1845" s="1" t="s">
        <v>17149</v>
      </c>
      <c r="BV1845" s="1" t="s">
        <v>1934</v>
      </c>
      <c r="BW1845" s="1" t="s">
        <v>1935</v>
      </c>
      <c r="BX1845" s="1">
        <v>44</v>
      </c>
      <c r="BY1845" s="1">
        <v>44</v>
      </c>
      <c r="BZ1845" s="1">
        <v>87</v>
      </c>
      <c r="CB1845" s="1" t="str">
        <f>"1"</f>
        <v>1</v>
      </c>
      <c r="CC1845" s="1" t="str">
        <f>""</f>
        <v/>
      </c>
      <c r="CD1845" s="1">
        <v>20</v>
      </c>
      <c r="CG1845" s="1" t="s">
        <v>648</v>
      </c>
      <c r="CH1845" s="1" t="s">
        <v>219</v>
      </c>
      <c r="CI1845" s="1" t="s">
        <v>229</v>
      </c>
      <c r="CK1845" s="1" t="s">
        <v>757</v>
      </c>
      <c r="CL1845" s="1" t="s">
        <v>219</v>
      </c>
      <c r="CM1845" s="1" t="s">
        <v>220</v>
      </c>
      <c r="CN1845" s="1" t="s">
        <v>343</v>
      </c>
      <c r="CP1845" s="1" t="s">
        <v>224</v>
      </c>
      <c r="CS1845" s="1" t="s">
        <v>379</v>
      </c>
      <c r="CT1845" s="1" t="s">
        <v>219</v>
      </c>
      <c r="CU1845" s="1" t="s">
        <v>220</v>
      </c>
      <c r="CV1845" s="1" t="s">
        <v>343</v>
      </c>
      <c r="CX1845" s="1" t="s">
        <v>224</v>
      </c>
      <c r="DB1845" s="1" t="s">
        <v>224</v>
      </c>
      <c r="DE1845" s="1" t="s">
        <v>837</v>
      </c>
      <c r="DF1845" s="1" t="s">
        <v>219</v>
      </c>
      <c r="DG1845" s="1" t="s">
        <v>229</v>
      </c>
      <c r="DI1845" s="1" t="s">
        <v>346</v>
      </c>
      <c r="DJ1845" s="1" t="s">
        <v>219</v>
      </c>
      <c r="DK1845" s="1" t="s">
        <v>229</v>
      </c>
      <c r="DS1845" s="1" t="s">
        <v>230</v>
      </c>
      <c r="DW1845" s="1" t="s">
        <v>230</v>
      </c>
      <c r="EA1845" s="1" t="s">
        <v>230</v>
      </c>
      <c r="EE1845" s="1" t="s">
        <v>230</v>
      </c>
      <c r="EI1845" s="1" t="s">
        <v>230</v>
      </c>
      <c r="EL1845" s="1" t="s">
        <v>491</v>
      </c>
      <c r="EM1845" s="1" t="s">
        <v>232</v>
      </c>
      <c r="EN1845" s="1" t="s">
        <v>282</v>
      </c>
      <c r="EO1845" s="1" t="s">
        <v>234</v>
      </c>
      <c r="EP1845" s="1" t="s">
        <v>3203</v>
      </c>
      <c r="EQ1845" s="1" t="s">
        <v>236</v>
      </c>
      <c r="ER1845" s="1" t="s">
        <v>210</v>
      </c>
      <c r="ES1845" s="1" t="s">
        <v>608</v>
      </c>
      <c r="ET1845" s="1" t="s">
        <v>842</v>
      </c>
      <c r="EU1845" s="1" t="s">
        <v>239</v>
      </c>
      <c r="EW1845" s="1" t="s">
        <v>353</v>
      </c>
      <c r="EY1845" s="1" t="s">
        <v>242</v>
      </c>
      <c r="EZ1845" s="1" t="s">
        <v>287</v>
      </c>
      <c r="FB1845" s="1" t="s">
        <v>289</v>
      </c>
      <c r="FD1845" s="1" t="s">
        <v>290</v>
      </c>
      <c r="FE1845" s="1" t="s">
        <v>247</v>
      </c>
      <c r="FF1845" s="1" t="s">
        <v>248</v>
      </c>
      <c r="FH1845" s="1" t="s">
        <v>249</v>
      </c>
      <c r="FI1845" s="1" t="s">
        <v>250</v>
      </c>
      <c r="FL1845" s="1" t="s">
        <v>17150</v>
      </c>
      <c r="FM1845" s="1" t="s">
        <v>252</v>
      </c>
      <c r="FN1845" s="1" t="s">
        <v>213</v>
      </c>
      <c r="FO1845" s="1" t="s">
        <v>213</v>
      </c>
      <c r="FQ1845" s="1" t="s">
        <v>329</v>
      </c>
      <c r="FR1845" s="1" t="s">
        <v>652</v>
      </c>
      <c r="FS1845" s="1" t="s">
        <v>17151</v>
      </c>
      <c r="FT1845" s="1" t="s">
        <v>255</v>
      </c>
      <c r="FU1845" s="1" t="s">
        <v>204</v>
      </c>
      <c r="FW1845" s="1" t="s">
        <v>256</v>
      </c>
      <c r="FX1845" s="1">
        <v>25244</v>
      </c>
      <c r="FY1845" s="1" t="s">
        <v>1365</v>
      </c>
      <c r="FZ1845" s="1" t="s">
        <v>16737</v>
      </c>
      <c r="GA1845" s="1">
        <v>252572</v>
      </c>
      <c r="GB1845" s="1" t="s">
        <v>16738</v>
      </c>
      <c r="GD1845" s="1" t="s">
        <v>17152</v>
      </c>
      <c r="GE1845" s="1" t="s">
        <v>1226</v>
      </c>
      <c r="GH1845" s="1" t="s">
        <v>421</v>
      </c>
      <c r="GI1845" s="1" t="s">
        <v>213</v>
      </c>
      <c r="GJ1845" s="1" t="s">
        <v>260</v>
      </c>
      <c r="GK1845" s="1" t="s">
        <v>210</v>
      </c>
      <c r="GL1845" s="2">
        <v>41978</v>
      </c>
      <c r="GM1845" s="1" t="s">
        <v>17153</v>
      </c>
    </row>
    <row r="1846" spans="1:195">
      <c r="A1846" s="1">
        <v>100000</v>
      </c>
      <c r="B1846" s="1" t="s">
        <v>195</v>
      </c>
      <c r="C1846" s="1" t="str">
        <f>"08725956"</f>
        <v>08725956</v>
      </c>
      <c r="D1846" s="1" t="s">
        <v>196</v>
      </c>
      <c r="F1846" s="1" t="str">
        <f t="shared" ref="F1846:F1847" si="1397">"123"</f>
        <v>123</v>
      </c>
      <c r="G1846" s="2">
        <v>41893</v>
      </c>
      <c r="H1846" s="1">
        <v>100000</v>
      </c>
      <c r="I1846" s="1">
        <v>100000</v>
      </c>
      <c r="J1846" s="1">
        <v>100000</v>
      </c>
      <c r="K1846" s="2">
        <v>41893</v>
      </c>
      <c r="L1846" s="1">
        <v>85</v>
      </c>
      <c r="M1846" s="2">
        <v>41977</v>
      </c>
      <c r="N1846" s="1">
        <v>85</v>
      </c>
      <c r="O1846" s="2">
        <v>41977</v>
      </c>
      <c r="P1846" s="1">
        <v>7032</v>
      </c>
      <c r="Q1846" s="1" t="s">
        <v>197</v>
      </c>
      <c r="R1846" s="2">
        <v>42019</v>
      </c>
      <c r="S1846" s="1">
        <v>8707</v>
      </c>
      <c r="T1846" s="1">
        <v>2000</v>
      </c>
      <c r="U1846" s="1">
        <v>415</v>
      </c>
      <c r="V1846" s="1" t="s">
        <v>3768</v>
      </c>
      <c r="W1846" s="1" t="s">
        <v>449</v>
      </c>
      <c r="X1846" s="1" t="s">
        <v>527</v>
      </c>
      <c r="Y1846" s="1">
        <v>4</v>
      </c>
      <c r="Z1846" s="1" t="s">
        <v>370</v>
      </c>
      <c r="AA1846" s="1" t="s">
        <v>1173</v>
      </c>
      <c r="AB1846" s="1">
        <v>60120</v>
      </c>
      <c r="AD1846" s="1" t="s">
        <v>4419</v>
      </c>
      <c r="AE1846" s="1" t="s">
        <v>17154</v>
      </c>
      <c r="AF1846" s="1">
        <v>1996</v>
      </c>
      <c r="AG1846" s="1" t="s">
        <v>204</v>
      </c>
      <c r="AH1846" s="1" t="s">
        <v>1175</v>
      </c>
      <c r="AI1846" s="1" t="s">
        <v>310</v>
      </c>
      <c r="AJ1846" s="1" t="s">
        <v>374</v>
      </c>
      <c r="AK1846" s="1" t="s">
        <v>17155</v>
      </c>
      <c r="AL1846" s="1">
        <v>5</v>
      </c>
      <c r="AM1846" s="1">
        <v>2</v>
      </c>
      <c r="AN1846" s="1">
        <v>2</v>
      </c>
      <c r="AO1846" s="1">
        <v>0</v>
      </c>
      <c r="AP1846" s="1" t="s">
        <v>209</v>
      </c>
      <c r="AQ1846" s="1">
        <v>0</v>
      </c>
      <c r="AR1846" s="1" t="s">
        <v>210</v>
      </c>
      <c r="AS1846" s="1" t="s">
        <v>204</v>
      </c>
      <c r="AT1846" s="1" t="s">
        <v>211</v>
      </c>
      <c r="AU1846" s="1">
        <v>1</v>
      </c>
      <c r="AW1846" s="1" t="s">
        <v>204</v>
      </c>
      <c r="AX1846" s="1" t="s">
        <v>212</v>
      </c>
      <c r="AZ1846" s="1">
        <v>1788.64</v>
      </c>
      <c r="BA1846" s="1">
        <v>2012</v>
      </c>
      <c r="BE1846" s="1">
        <v>0</v>
      </c>
      <c r="BF1846" s="1">
        <v>1</v>
      </c>
      <c r="BG1846" s="1">
        <v>1</v>
      </c>
      <c r="BL1846" s="1">
        <v>153</v>
      </c>
      <c r="BM1846" s="1" t="s">
        <v>204</v>
      </c>
      <c r="BN1846" s="1" t="s">
        <v>213</v>
      </c>
      <c r="BO1846" s="1">
        <v>40</v>
      </c>
      <c r="BP1846" s="1" t="s">
        <v>204</v>
      </c>
      <c r="BR1846" s="1" t="str">
        <f>"06192100201125"</f>
        <v>06192100201125</v>
      </c>
      <c r="BT1846" s="1" t="s">
        <v>17156</v>
      </c>
      <c r="BU1846" s="1" t="s">
        <v>4423</v>
      </c>
      <c r="BV1846" s="1" t="s">
        <v>3604</v>
      </c>
      <c r="BW1846" s="1" t="s">
        <v>2058</v>
      </c>
      <c r="BX1846" s="1">
        <v>46</v>
      </c>
      <c r="BY1846" s="1">
        <v>46</v>
      </c>
      <c r="BZ1846" s="1">
        <v>46</v>
      </c>
      <c r="CB1846" s="1" t="str">
        <f t="shared" ref="CB1846:CC1846" si="1398">""</f>
        <v/>
      </c>
      <c r="CC1846" s="1" t="str">
        <f t="shared" si="1398"/>
        <v/>
      </c>
      <c r="CG1846" s="1" t="s">
        <v>278</v>
      </c>
      <c r="CH1846" s="1" t="s">
        <v>219</v>
      </c>
      <c r="CK1846" s="1" t="s">
        <v>729</v>
      </c>
      <c r="CL1846" s="1" t="s">
        <v>219</v>
      </c>
      <c r="CO1846" s="1" t="s">
        <v>837</v>
      </c>
      <c r="CP1846" s="1" t="s">
        <v>219</v>
      </c>
      <c r="CS1846" s="1" t="s">
        <v>379</v>
      </c>
      <c r="CT1846" s="1" t="s">
        <v>219</v>
      </c>
      <c r="CX1846" s="1" t="s">
        <v>224</v>
      </c>
      <c r="DB1846" s="1" t="s">
        <v>224</v>
      </c>
      <c r="DE1846" s="1" t="s">
        <v>348</v>
      </c>
      <c r="DF1846" s="1" t="s">
        <v>219</v>
      </c>
      <c r="DJ1846" s="1" t="s">
        <v>224</v>
      </c>
      <c r="DS1846" s="1" t="s">
        <v>230</v>
      </c>
      <c r="DW1846" s="1" t="s">
        <v>230</v>
      </c>
      <c r="EA1846" s="1" t="s">
        <v>230</v>
      </c>
      <c r="EE1846" s="1" t="s">
        <v>230</v>
      </c>
      <c r="EI1846" s="1" t="s">
        <v>230</v>
      </c>
      <c r="EL1846" s="1" t="s">
        <v>670</v>
      </c>
      <c r="EM1846" s="1" t="s">
        <v>319</v>
      </c>
      <c r="EN1846" s="1" t="s">
        <v>282</v>
      </c>
      <c r="EO1846" s="1" t="s">
        <v>234</v>
      </c>
      <c r="EQ1846" s="1" t="s">
        <v>1109</v>
      </c>
      <c r="ER1846" s="1" t="s">
        <v>210</v>
      </c>
      <c r="ET1846" s="1" t="s">
        <v>323</v>
      </c>
      <c r="EW1846" s="1" t="s">
        <v>353</v>
      </c>
      <c r="EZ1846" s="1" t="s">
        <v>287</v>
      </c>
      <c r="FD1846" s="1" t="s">
        <v>246</v>
      </c>
      <c r="FE1846" s="1" t="s">
        <v>247</v>
      </c>
      <c r="FF1846" s="1" t="s">
        <v>248</v>
      </c>
      <c r="FH1846" s="1" t="s">
        <v>825</v>
      </c>
      <c r="FI1846" s="1" t="s">
        <v>357</v>
      </c>
      <c r="FL1846" s="1" t="s">
        <v>358</v>
      </c>
      <c r="FM1846" s="1" t="s">
        <v>252</v>
      </c>
      <c r="FN1846" s="1" t="s">
        <v>213</v>
      </c>
      <c r="FO1846" s="1" t="s">
        <v>213</v>
      </c>
      <c r="FQ1846" s="1" t="s">
        <v>10964</v>
      </c>
      <c r="FR1846" s="1" t="s">
        <v>210</v>
      </c>
      <c r="FS1846" s="1" t="s">
        <v>1709</v>
      </c>
      <c r="FT1846" s="1" t="s">
        <v>295</v>
      </c>
      <c r="FU1846" s="1" t="s">
        <v>204</v>
      </c>
      <c r="FW1846" s="1" t="s">
        <v>10191</v>
      </c>
      <c r="FX1846" s="1">
        <v>23830</v>
      </c>
      <c r="FY1846" s="1" t="s">
        <v>10192</v>
      </c>
      <c r="FZ1846" s="1" t="s">
        <v>10193</v>
      </c>
      <c r="GA1846" s="1">
        <v>218461</v>
      </c>
      <c r="GB1846" s="1" t="s">
        <v>10194</v>
      </c>
      <c r="GE1846" s="1" t="s">
        <v>210</v>
      </c>
      <c r="GI1846" s="1" t="s">
        <v>213</v>
      </c>
      <c r="GJ1846" s="1" t="s">
        <v>260</v>
      </c>
      <c r="GK1846" s="1" t="s">
        <v>210</v>
      </c>
      <c r="GL1846" s="2">
        <v>42023</v>
      </c>
      <c r="GM1846" s="1" t="s">
        <v>17157</v>
      </c>
    </row>
    <row r="1847" spans="1:195">
      <c r="A1847" s="1">
        <v>103900</v>
      </c>
      <c r="B1847" s="1" t="s">
        <v>195</v>
      </c>
      <c r="C1847" s="1" t="str">
        <f>"08723283"</f>
        <v>08723283</v>
      </c>
      <c r="D1847" s="1" t="s">
        <v>196</v>
      </c>
      <c r="F1847" s="1" t="str">
        <f t="shared" si="1397"/>
        <v>123</v>
      </c>
      <c r="G1847" s="2">
        <v>41891</v>
      </c>
      <c r="H1847" s="1">
        <v>109900</v>
      </c>
      <c r="I1847" s="1">
        <v>109900</v>
      </c>
      <c r="J1847" s="1">
        <v>103900</v>
      </c>
      <c r="K1847" s="2">
        <v>41891</v>
      </c>
      <c r="L1847" s="1">
        <v>51</v>
      </c>
      <c r="M1847" s="2">
        <v>41941</v>
      </c>
      <c r="N1847" s="1">
        <v>51</v>
      </c>
      <c r="O1847" s="2">
        <v>41941</v>
      </c>
      <c r="P1847" s="1">
        <v>5108</v>
      </c>
      <c r="Q1847" s="1" t="s">
        <v>197</v>
      </c>
      <c r="R1847" s="2">
        <v>41992</v>
      </c>
      <c r="S1847" s="1">
        <v>55766</v>
      </c>
      <c r="U1847" s="1">
        <v>2049</v>
      </c>
      <c r="V1847" s="1" t="s">
        <v>17158</v>
      </c>
      <c r="W1847" s="1" t="s">
        <v>449</v>
      </c>
      <c r="Y1847" s="1">
        <v>6</v>
      </c>
      <c r="Z1847" s="1" t="s">
        <v>370</v>
      </c>
      <c r="AA1847" s="1" t="s">
        <v>1173</v>
      </c>
      <c r="AB1847" s="1">
        <v>60123</v>
      </c>
      <c r="AD1847" s="1" t="s">
        <v>3278</v>
      </c>
      <c r="AE1847" s="1" t="s">
        <v>17159</v>
      </c>
      <c r="AF1847" s="1">
        <v>1992</v>
      </c>
      <c r="AG1847" s="1" t="s">
        <v>204</v>
      </c>
      <c r="AH1847" s="1" t="s">
        <v>1175</v>
      </c>
      <c r="AI1847" s="1" t="s">
        <v>665</v>
      </c>
      <c r="AJ1847" s="1" t="s">
        <v>1175</v>
      </c>
      <c r="AL1847" s="1">
        <v>5</v>
      </c>
      <c r="AM1847" s="1">
        <v>2</v>
      </c>
      <c r="AN1847" s="1">
        <v>1</v>
      </c>
      <c r="AO1847" s="1">
        <v>1</v>
      </c>
      <c r="AP1847" s="1" t="s">
        <v>455</v>
      </c>
      <c r="AQ1847" s="1">
        <v>0</v>
      </c>
      <c r="AR1847" s="1" t="s">
        <v>210</v>
      </c>
      <c r="AS1847" s="1" t="s">
        <v>204</v>
      </c>
      <c r="AT1847" s="1" t="s">
        <v>211</v>
      </c>
      <c r="AU1847" s="1">
        <v>1</v>
      </c>
      <c r="AW1847" s="1" t="s">
        <v>204</v>
      </c>
      <c r="AX1847" s="1" t="s">
        <v>17160</v>
      </c>
      <c r="AZ1847" s="5">
        <v>2463.06</v>
      </c>
      <c r="BA1847" s="1">
        <v>2013</v>
      </c>
      <c r="BB1847" s="1" t="s">
        <v>405</v>
      </c>
      <c r="BE1847" s="1">
        <v>1133</v>
      </c>
      <c r="BF1847" s="1">
        <v>1</v>
      </c>
      <c r="BG1847" s="1">
        <v>0</v>
      </c>
      <c r="BL1847" s="1">
        <v>128</v>
      </c>
      <c r="BM1847" s="1" t="s">
        <v>204</v>
      </c>
      <c r="BN1847" s="1" t="s">
        <v>213</v>
      </c>
      <c r="BO1847" s="1">
        <v>999</v>
      </c>
      <c r="BP1847" s="1" t="s">
        <v>204</v>
      </c>
      <c r="BR1847" s="1" t="str">
        <f>"0628205062"</f>
        <v>0628205062</v>
      </c>
      <c r="BT1847" s="1" t="s">
        <v>17161</v>
      </c>
      <c r="BX1847" s="1">
        <v>46</v>
      </c>
      <c r="BY1847" s="1">
        <v>46</v>
      </c>
      <c r="BZ1847" s="1">
        <v>46</v>
      </c>
      <c r="CB1847" s="1" t="str">
        <f>"10"</f>
        <v>10</v>
      </c>
      <c r="CC1847" s="1" t="str">
        <f>"0"</f>
        <v>0</v>
      </c>
      <c r="CD1847" s="1">
        <v>36</v>
      </c>
      <c r="CE1847" s="1">
        <v>0</v>
      </c>
      <c r="CG1847" s="1" t="s">
        <v>628</v>
      </c>
      <c r="CH1847" s="1" t="s">
        <v>219</v>
      </c>
      <c r="CI1847" s="1" t="s">
        <v>220</v>
      </c>
      <c r="CK1847" s="1" t="s">
        <v>437</v>
      </c>
      <c r="CL1847" s="1" t="s">
        <v>277</v>
      </c>
      <c r="CM1847" s="1" t="s">
        <v>220</v>
      </c>
      <c r="CO1847" s="1" t="s">
        <v>629</v>
      </c>
      <c r="CP1847" s="1" t="s">
        <v>219</v>
      </c>
      <c r="CQ1847" s="1" t="s">
        <v>220</v>
      </c>
      <c r="CS1847" s="1" t="s">
        <v>379</v>
      </c>
      <c r="CT1847" s="1" t="s">
        <v>277</v>
      </c>
      <c r="CU1847" s="1" t="s">
        <v>220</v>
      </c>
      <c r="CX1847" s="1" t="s">
        <v>224</v>
      </c>
      <c r="DB1847" s="1" t="s">
        <v>224</v>
      </c>
      <c r="DE1847" s="1" t="s">
        <v>3034</v>
      </c>
      <c r="DF1847" s="1" t="s">
        <v>219</v>
      </c>
      <c r="DG1847" s="1" t="s">
        <v>342</v>
      </c>
      <c r="DJ1847" s="1" t="s">
        <v>224</v>
      </c>
      <c r="DS1847" s="1" t="s">
        <v>230</v>
      </c>
      <c r="DW1847" s="1" t="s">
        <v>230</v>
      </c>
      <c r="EA1847" s="1" t="s">
        <v>230</v>
      </c>
      <c r="EE1847" s="1" t="s">
        <v>230</v>
      </c>
      <c r="EI1847" s="1" t="s">
        <v>230</v>
      </c>
      <c r="EL1847" s="1" t="s">
        <v>382</v>
      </c>
      <c r="EM1847" s="1" t="s">
        <v>319</v>
      </c>
      <c r="EN1847" s="1" t="s">
        <v>282</v>
      </c>
      <c r="EO1847" s="1" t="s">
        <v>234</v>
      </c>
      <c r="EP1847" s="1" t="s">
        <v>1489</v>
      </c>
      <c r="EQ1847" s="1" t="s">
        <v>1109</v>
      </c>
      <c r="ER1847" s="1" t="s">
        <v>210</v>
      </c>
      <c r="ES1847" s="1" t="s">
        <v>608</v>
      </c>
      <c r="EU1847" s="1" t="s">
        <v>239</v>
      </c>
      <c r="EV1847" s="1" t="s">
        <v>240</v>
      </c>
      <c r="EW1847" s="1" t="s">
        <v>887</v>
      </c>
      <c r="EY1847" s="1" t="s">
        <v>242</v>
      </c>
      <c r="EZ1847" s="1" t="s">
        <v>287</v>
      </c>
      <c r="FB1847" s="1" t="s">
        <v>289</v>
      </c>
      <c r="FC1847" s="1" t="s">
        <v>326</v>
      </c>
      <c r="FD1847" s="1" t="s">
        <v>246</v>
      </c>
      <c r="FE1847" s="1" t="s">
        <v>472</v>
      </c>
      <c r="FF1847" s="1" t="s">
        <v>248</v>
      </c>
      <c r="FH1847" s="1" t="s">
        <v>550</v>
      </c>
      <c r="FI1847" s="1" t="s">
        <v>473</v>
      </c>
      <c r="FL1847" s="1" t="s">
        <v>358</v>
      </c>
      <c r="FM1847" s="1" t="s">
        <v>252</v>
      </c>
      <c r="FN1847" s="1" t="s">
        <v>213</v>
      </c>
      <c r="FO1847" s="1" t="s">
        <v>213</v>
      </c>
      <c r="FQ1847" s="1" t="s">
        <v>1032</v>
      </c>
      <c r="FR1847" s="1" t="s">
        <v>652</v>
      </c>
      <c r="FS1847" s="1" t="s">
        <v>11958</v>
      </c>
      <c r="FT1847" s="1" t="s">
        <v>295</v>
      </c>
      <c r="FU1847" s="1" t="s">
        <v>204</v>
      </c>
      <c r="FW1847" s="1" t="s">
        <v>3291</v>
      </c>
      <c r="FX1847" s="1">
        <v>7450</v>
      </c>
      <c r="FY1847" s="1" t="s">
        <v>3292</v>
      </c>
      <c r="FZ1847" s="1" t="s">
        <v>9746</v>
      </c>
      <c r="GA1847" s="1">
        <v>70036</v>
      </c>
      <c r="GB1847" s="1" t="s">
        <v>9747</v>
      </c>
      <c r="GC1847" s="1">
        <v>77640</v>
      </c>
      <c r="GE1847" s="1" t="s">
        <v>480</v>
      </c>
      <c r="GI1847" s="1" t="s">
        <v>213</v>
      </c>
      <c r="GJ1847" s="1" t="s">
        <v>260</v>
      </c>
      <c r="GK1847" s="1" t="s">
        <v>261</v>
      </c>
      <c r="GL1847" s="2">
        <v>41992</v>
      </c>
      <c r="GM1847" s="1" t="s">
        <v>17162</v>
      </c>
    </row>
    <row r="1848" spans="1:195">
      <c r="A1848" s="1">
        <v>217000</v>
      </c>
      <c r="B1848" s="1" t="s">
        <v>195</v>
      </c>
      <c r="C1848" s="1" t="str">
        <f>"08730984"</f>
        <v>08730984</v>
      </c>
      <c r="D1848" s="1" t="s">
        <v>196</v>
      </c>
      <c r="F1848" s="1" t="str">
        <f>"507"</f>
        <v>507</v>
      </c>
      <c r="G1848" s="2">
        <v>41899</v>
      </c>
      <c r="H1848" s="1">
        <v>233900</v>
      </c>
      <c r="I1848" s="1">
        <v>233900</v>
      </c>
      <c r="J1848" s="1">
        <v>217000</v>
      </c>
      <c r="K1848" s="2">
        <v>41899</v>
      </c>
      <c r="L1848" s="1">
        <v>106</v>
      </c>
      <c r="M1848" s="2">
        <v>42004</v>
      </c>
      <c r="N1848" s="1">
        <v>106</v>
      </c>
      <c r="O1848" s="2">
        <v>42004</v>
      </c>
      <c r="P1848" s="1">
        <v>4475</v>
      </c>
      <c r="Q1848" s="1" t="s">
        <v>197</v>
      </c>
      <c r="R1848" s="2">
        <v>42061</v>
      </c>
      <c r="S1848" s="1">
        <v>38351</v>
      </c>
      <c r="T1848" s="1">
        <v>2500</v>
      </c>
      <c r="U1848" s="1">
        <v>3472</v>
      </c>
      <c r="V1848" s="1" t="s">
        <v>17163</v>
      </c>
      <c r="W1848" s="1" t="s">
        <v>449</v>
      </c>
      <c r="Y1848" s="1">
        <v>6</v>
      </c>
      <c r="Z1848" s="1" t="s">
        <v>370</v>
      </c>
      <c r="AA1848" s="1" t="s">
        <v>1123</v>
      </c>
      <c r="AB1848" s="1">
        <v>60504</v>
      </c>
      <c r="AD1848" s="1" t="s">
        <v>17164</v>
      </c>
      <c r="AE1848" s="1" t="s">
        <v>17165</v>
      </c>
      <c r="AF1848" s="1">
        <v>2007</v>
      </c>
      <c r="AG1848" s="1" t="s">
        <v>204</v>
      </c>
      <c r="AH1848" s="1" t="s">
        <v>1126</v>
      </c>
      <c r="AI1848" s="1" t="s">
        <v>206</v>
      </c>
      <c r="AJ1848" s="1" t="s">
        <v>924</v>
      </c>
      <c r="AK1848" s="1" t="s">
        <v>8565</v>
      </c>
      <c r="AL1848" s="1">
        <v>6</v>
      </c>
      <c r="AM1848" s="1">
        <v>2</v>
      </c>
      <c r="AN1848" s="1">
        <v>2</v>
      </c>
      <c r="AO1848" s="1">
        <v>1</v>
      </c>
      <c r="AP1848" s="1" t="s">
        <v>209</v>
      </c>
      <c r="AQ1848" s="1">
        <v>1</v>
      </c>
      <c r="AR1848" s="1" t="s">
        <v>210</v>
      </c>
      <c r="AT1848" s="1" t="s">
        <v>211</v>
      </c>
      <c r="AU1848" s="1">
        <v>2</v>
      </c>
      <c r="AW1848" s="1" t="s">
        <v>204</v>
      </c>
      <c r="AX1848" s="1" t="s">
        <v>212</v>
      </c>
      <c r="AZ1848" s="1">
        <v>5012.3999999999996</v>
      </c>
      <c r="BA1848" s="1">
        <v>2013</v>
      </c>
      <c r="BB1848" s="1" t="s">
        <v>405</v>
      </c>
      <c r="BE1848" s="1">
        <v>1864</v>
      </c>
      <c r="BF1848" s="1">
        <v>1</v>
      </c>
      <c r="BG1848" s="1">
        <v>0</v>
      </c>
      <c r="BL1848" s="1">
        <v>126</v>
      </c>
      <c r="BM1848" s="1" t="s">
        <v>204</v>
      </c>
      <c r="BN1848" s="1" t="s">
        <v>213</v>
      </c>
      <c r="BO1848" s="1">
        <v>999</v>
      </c>
      <c r="BP1848" s="1" t="s">
        <v>204</v>
      </c>
      <c r="BR1848" s="1" t="str">
        <f>"0720209010"</f>
        <v>0720209010</v>
      </c>
      <c r="BT1848" s="1" t="s">
        <v>17166</v>
      </c>
      <c r="BU1848" s="1" t="s">
        <v>2087</v>
      </c>
      <c r="BV1848" s="1" t="s">
        <v>1130</v>
      </c>
      <c r="BW1848" s="1" t="s">
        <v>1131</v>
      </c>
      <c r="BX1848" s="1">
        <v>204</v>
      </c>
      <c r="BY1848" s="1">
        <v>204</v>
      </c>
      <c r="BZ1848" s="1">
        <v>204</v>
      </c>
      <c r="CB1848" s="1" t="str">
        <f t="shared" ref="CB1848:CC1848" si="1399">""</f>
        <v/>
      </c>
      <c r="CC1848" s="1" t="str">
        <f t="shared" si="1399"/>
        <v/>
      </c>
      <c r="CH1848" s="1" t="s">
        <v>224</v>
      </c>
      <c r="CK1848" s="1" t="s">
        <v>757</v>
      </c>
      <c r="CL1848" s="1" t="s">
        <v>277</v>
      </c>
      <c r="CM1848" s="1" t="s">
        <v>220</v>
      </c>
      <c r="CP1848" s="1" t="s">
        <v>224</v>
      </c>
      <c r="CS1848" s="1" t="s">
        <v>317</v>
      </c>
      <c r="CT1848" s="1" t="s">
        <v>277</v>
      </c>
      <c r="CU1848" s="1" t="s">
        <v>220</v>
      </c>
      <c r="CX1848" s="1" t="s">
        <v>224</v>
      </c>
      <c r="DB1848" s="1" t="s">
        <v>224</v>
      </c>
      <c r="DE1848" s="1" t="s">
        <v>4999</v>
      </c>
      <c r="DF1848" s="1" t="s">
        <v>219</v>
      </c>
      <c r="DG1848" s="1" t="s">
        <v>438</v>
      </c>
      <c r="DI1848" s="1" t="s">
        <v>1817</v>
      </c>
      <c r="DJ1848" s="1" t="s">
        <v>219</v>
      </c>
      <c r="DK1848" s="1" t="s">
        <v>438</v>
      </c>
      <c r="DM1848" s="1" t="s">
        <v>1548</v>
      </c>
      <c r="DN1848" s="1" t="s">
        <v>464</v>
      </c>
      <c r="DR1848" s="1" t="s">
        <v>409</v>
      </c>
      <c r="DS1848" s="1" t="s">
        <v>219</v>
      </c>
      <c r="DT1848" s="1" t="s">
        <v>438</v>
      </c>
      <c r="DV1848" s="1" t="s">
        <v>821</v>
      </c>
      <c r="DW1848" s="1" t="s">
        <v>277</v>
      </c>
      <c r="DX1848" s="1" t="s">
        <v>220</v>
      </c>
      <c r="EA1848" s="1" t="s">
        <v>230</v>
      </c>
      <c r="EE1848" s="1" t="s">
        <v>230</v>
      </c>
      <c r="EI1848" s="1" t="s">
        <v>230</v>
      </c>
      <c r="EL1848" s="1" t="s">
        <v>491</v>
      </c>
      <c r="EM1848" s="1" t="s">
        <v>319</v>
      </c>
      <c r="EN1848" s="1" t="s">
        <v>282</v>
      </c>
      <c r="EO1848" s="1" t="s">
        <v>234</v>
      </c>
      <c r="EP1848" s="1" t="s">
        <v>936</v>
      </c>
      <c r="EQ1848" s="1" t="s">
        <v>1551</v>
      </c>
      <c r="ER1848" s="1" t="s">
        <v>210</v>
      </c>
      <c r="ES1848" s="1" t="s">
        <v>3932</v>
      </c>
      <c r="ET1848" s="1" t="s">
        <v>238</v>
      </c>
      <c r="EU1848" s="1" t="s">
        <v>4692</v>
      </c>
      <c r="EV1848" s="1" t="s">
        <v>1553</v>
      </c>
      <c r="EW1848" s="1" t="s">
        <v>2778</v>
      </c>
      <c r="EZ1848" s="1" t="s">
        <v>3544</v>
      </c>
      <c r="FA1848" s="1" t="s">
        <v>1072</v>
      </c>
      <c r="FB1848" s="1" t="s">
        <v>289</v>
      </c>
      <c r="FC1848" s="1" t="s">
        <v>633</v>
      </c>
      <c r="FD1848" s="1" t="s">
        <v>246</v>
      </c>
      <c r="FE1848" s="1" t="s">
        <v>247</v>
      </c>
      <c r="FF1848" s="1" t="s">
        <v>248</v>
      </c>
      <c r="FG1848" s="1" t="s">
        <v>912</v>
      </c>
      <c r="FH1848" s="1" t="s">
        <v>1428</v>
      </c>
      <c r="FL1848" s="1" t="s">
        <v>358</v>
      </c>
      <c r="FM1848" s="1" t="s">
        <v>252</v>
      </c>
      <c r="FN1848" s="1" t="s">
        <v>213</v>
      </c>
      <c r="FO1848" s="1" t="s">
        <v>213</v>
      </c>
      <c r="FQ1848" s="1" t="s">
        <v>2004</v>
      </c>
      <c r="FR1848" s="1" t="s">
        <v>210</v>
      </c>
      <c r="FS1848" s="1" t="s">
        <v>17167</v>
      </c>
      <c r="FT1848" s="1" t="s">
        <v>295</v>
      </c>
      <c r="FU1848" s="1" t="s">
        <v>204</v>
      </c>
      <c r="FW1848" s="1" t="s">
        <v>585</v>
      </c>
      <c r="FX1848" s="1">
        <v>23156</v>
      </c>
      <c r="FY1848" s="1" t="s">
        <v>1253</v>
      </c>
      <c r="FZ1848" s="1" t="s">
        <v>17168</v>
      </c>
      <c r="GA1848" s="1">
        <v>231907</v>
      </c>
      <c r="GB1848" s="1" t="s">
        <v>17169</v>
      </c>
      <c r="GD1848" s="1" t="s">
        <v>17170</v>
      </c>
      <c r="GE1848" s="1" t="s">
        <v>210</v>
      </c>
      <c r="GI1848" s="1" t="s">
        <v>213</v>
      </c>
      <c r="GJ1848" s="1" t="s">
        <v>260</v>
      </c>
      <c r="GK1848" s="1" t="s">
        <v>210</v>
      </c>
      <c r="GL1848" s="2">
        <v>42061</v>
      </c>
      <c r="GM1848" s="1" t="s">
        <v>17171</v>
      </c>
    </row>
    <row r="1849" spans="1:195">
      <c r="A1849" s="1">
        <v>3500</v>
      </c>
      <c r="B1849" s="1" t="s">
        <v>195</v>
      </c>
      <c r="C1849" s="1" t="str">
        <f>"08723312"</f>
        <v>08723312</v>
      </c>
      <c r="D1849" s="1" t="s">
        <v>196</v>
      </c>
      <c r="F1849" s="1" t="str">
        <f>"8065"</f>
        <v>8065</v>
      </c>
      <c r="G1849" s="2">
        <v>41891</v>
      </c>
      <c r="H1849" s="1">
        <v>19900</v>
      </c>
      <c r="I1849" s="1">
        <v>12900</v>
      </c>
      <c r="J1849" s="1">
        <v>3500</v>
      </c>
      <c r="K1849" s="2">
        <v>41891</v>
      </c>
      <c r="L1849" s="1">
        <v>127</v>
      </c>
      <c r="M1849" s="2">
        <v>42017</v>
      </c>
      <c r="N1849" s="1">
        <v>127</v>
      </c>
      <c r="O1849" s="2">
        <v>42017</v>
      </c>
      <c r="P1849" s="1">
        <v>76001</v>
      </c>
      <c r="Q1849" s="1" t="s">
        <v>302</v>
      </c>
      <c r="R1849" s="2">
        <v>42037</v>
      </c>
      <c r="S1849" s="1">
        <v>700600</v>
      </c>
      <c r="U1849" s="1">
        <v>4300</v>
      </c>
      <c r="V1849" s="1" t="s">
        <v>15741</v>
      </c>
      <c r="W1849" s="1" t="s">
        <v>264</v>
      </c>
      <c r="X1849" s="1">
        <v>210</v>
      </c>
      <c r="Y1849" s="1">
        <v>65</v>
      </c>
      <c r="Z1849" s="1" t="s">
        <v>200</v>
      </c>
      <c r="AA1849" s="1" t="s">
        <v>400</v>
      </c>
      <c r="AB1849" s="1">
        <v>60652</v>
      </c>
      <c r="AE1849" s="1" t="s">
        <v>17172</v>
      </c>
      <c r="AF1849" s="1">
        <v>1968</v>
      </c>
      <c r="AG1849" s="1" t="s">
        <v>213</v>
      </c>
      <c r="AH1849" s="1" t="s">
        <v>403</v>
      </c>
      <c r="AI1849" s="1" t="s">
        <v>310</v>
      </c>
      <c r="AJ1849" s="1" t="s">
        <v>683</v>
      </c>
      <c r="AL1849" s="1">
        <v>5</v>
      </c>
      <c r="AM1849" s="1">
        <v>2</v>
      </c>
      <c r="AN1849" s="1">
        <v>1</v>
      </c>
      <c r="AO1849" s="1">
        <v>1</v>
      </c>
      <c r="AP1849" s="1" t="s">
        <v>210</v>
      </c>
      <c r="AR1849" s="1" t="s">
        <v>210</v>
      </c>
      <c r="AS1849" s="1" t="s">
        <v>204</v>
      </c>
      <c r="AT1849" s="1" t="s">
        <v>271</v>
      </c>
      <c r="AV1849" s="1">
        <v>1</v>
      </c>
      <c r="AW1849" s="1" t="s">
        <v>204</v>
      </c>
      <c r="AX1849" s="1" t="s">
        <v>212</v>
      </c>
      <c r="AZ1849" s="1">
        <v>428.41</v>
      </c>
      <c r="BA1849" s="1">
        <v>2012</v>
      </c>
      <c r="BE1849" s="1">
        <v>816</v>
      </c>
      <c r="BF1849" s="1">
        <v>6</v>
      </c>
      <c r="BG1849" s="1">
        <v>0</v>
      </c>
      <c r="BL1849" s="1">
        <v>279</v>
      </c>
      <c r="BM1849" s="1" t="s">
        <v>413</v>
      </c>
      <c r="BN1849" s="1" t="s">
        <v>204</v>
      </c>
      <c r="BP1849" s="1" t="s">
        <v>204</v>
      </c>
      <c r="BR1849" s="1" t="str">
        <f>"19274010381127"</f>
        <v>19274010381127</v>
      </c>
      <c r="BT1849" s="1" t="s">
        <v>17173</v>
      </c>
      <c r="BX1849" s="1">
        <v>299</v>
      </c>
      <c r="BY1849" s="1">
        <v>299</v>
      </c>
      <c r="BZ1849" s="1">
        <v>299</v>
      </c>
      <c r="CB1849" s="1" t="str">
        <f t="shared" ref="CB1849:CC1849" si="1400">"0"</f>
        <v>0</v>
      </c>
      <c r="CC1849" s="1" t="str">
        <f t="shared" si="1400"/>
        <v>0</v>
      </c>
      <c r="CD1849" s="1">
        <v>4300</v>
      </c>
      <c r="CE1849" s="1">
        <v>7600</v>
      </c>
      <c r="CG1849" s="1" t="s">
        <v>2934</v>
      </c>
      <c r="CH1849" s="1" t="s">
        <v>219</v>
      </c>
      <c r="CK1849" s="1" t="s">
        <v>932</v>
      </c>
      <c r="CL1849" s="1" t="s">
        <v>219</v>
      </c>
      <c r="CO1849" s="1" t="s">
        <v>378</v>
      </c>
      <c r="CP1849" s="1" t="s">
        <v>219</v>
      </c>
      <c r="CS1849" s="1" t="s">
        <v>1358</v>
      </c>
      <c r="CT1849" s="1" t="s">
        <v>219</v>
      </c>
      <c r="CX1849" s="1" t="s">
        <v>224</v>
      </c>
      <c r="DB1849" s="1" t="s">
        <v>224</v>
      </c>
      <c r="DE1849" s="1" t="s">
        <v>316</v>
      </c>
      <c r="DF1849" s="1" t="s">
        <v>219</v>
      </c>
      <c r="DJ1849" s="1" t="s">
        <v>224</v>
      </c>
      <c r="DS1849" s="1" t="s">
        <v>230</v>
      </c>
      <c r="DW1849" s="1" t="s">
        <v>230</v>
      </c>
      <c r="EA1849" s="1" t="s">
        <v>230</v>
      </c>
      <c r="EE1849" s="1" t="s">
        <v>230</v>
      </c>
      <c r="EI1849" s="1" t="s">
        <v>230</v>
      </c>
      <c r="EL1849" s="1" t="s">
        <v>605</v>
      </c>
      <c r="EM1849" s="1" t="s">
        <v>319</v>
      </c>
      <c r="EN1849" s="1" t="s">
        <v>210</v>
      </c>
      <c r="EO1849" s="1" t="s">
        <v>234</v>
      </c>
      <c r="ER1849" s="1" t="s">
        <v>210</v>
      </c>
      <c r="EW1849" s="1" t="s">
        <v>347</v>
      </c>
      <c r="EZ1849" s="1" t="s">
        <v>287</v>
      </c>
      <c r="FD1849" s="1" t="s">
        <v>1112</v>
      </c>
      <c r="FE1849" s="1" t="s">
        <v>247</v>
      </c>
      <c r="FF1849" s="1" t="s">
        <v>248</v>
      </c>
      <c r="FH1849" s="1" t="s">
        <v>249</v>
      </c>
      <c r="FL1849" s="1" t="s">
        <v>414</v>
      </c>
      <c r="FM1849" s="1" t="s">
        <v>252</v>
      </c>
      <c r="FN1849" s="1" t="s">
        <v>213</v>
      </c>
      <c r="FO1849" s="1" t="s">
        <v>213</v>
      </c>
      <c r="FQ1849" s="1" t="s">
        <v>17174</v>
      </c>
      <c r="FR1849" s="1" t="s">
        <v>210</v>
      </c>
      <c r="FS1849" s="1" t="s">
        <v>7299</v>
      </c>
      <c r="FT1849" s="1" t="s">
        <v>2609</v>
      </c>
      <c r="FU1849" s="1" t="s">
        <v>204</v>
      </c>
      <c r="FW1849" s="1" t="s">
        <v>7300</v>
      </c>
      <c r="FX1849" s="1">
        <v>16801</v>
      </c>
      <c r="FY1849" s="1" t="s">
        <v>7301</v>
      </c>
      <c r="FZ1849" s="1" t="s">
        <v>7302</v>
      </c>
      <c r="GA1849" s="1">
        <v>184278</v>
      </c>
      <c r="GE1849" s="1" t="s">
        <v>210</v>
      </c>
      <c r="GH1849" s="1" t="s">
        <v>589</v>
      </c>
      <c r="GI1849" s="1" t="s">
        <v>213</v>
      </c>
      <c r="GJ1849" s="1" t="s">
        <v>260</v>
      </c>
      <c r="GK1849" s="1" t="s">
        <v>210</v>
      </c>
      <c r="GL1849" s="2">
        <v>42037</v>
      </c>
      <c r="GM1849" s="1" t="s">
        <v>17175</v>
      </c>
    </row>
    <row r="1850" spans="1:195">
      <c r="A1850" s="1">
        <v>123500</v>
      </c>
      <c r="B1850" s="1" t="s">
        <v>195</v>
      </c>
      <c r="C1850" s="1" t="str">
        <f>"08723963"</f>
        <v>08723963</v>
      </c>
      <c r="D1850" s="1" t="s">
        <v>196</v>
      </c>
      <c r="F1850" s="1" t="str">
        <f>"560"</f>
        <v>560</v>
      </c>
      <c r="G1850" s="2">
        <v>41891</v>
      </c>
      <c r="H1850" s="1">
        <v>130000</v>
      </c>
      <c r="I1850" s="1">
        <v>130000</v>
      </c>
      <c r="J1850" s="1">
        <v>123500</v>
      </c>
      <c r="K1850" s="2">
        <v>41891</v>
      </c>
      <c r="L1850" s="1">
        <v>117</v>
      </c>
      <c r="M1850" s="2">
        <v>42007</v>
      </c>
      <c r="N1850" s="1">
        <v>117</v>
      </c>
      <c r="O1850" s="2">
        <v>42007</v>
      </c>
      <c r="P1850" s="1">
        <v>23076</v>
      </c>
      <c r="Q1850" s="1" t="s">
        <v>197</v>
      </c>
      <c r="R1850" s="2">
        <v>42059</v>
      </c>
      <c r="S1850" s="1">
        <v>226121</v>
      </c>
      <c r="U1850" s="1">
        <v>1394</v>
      </c>
      <c r="V1850" s="1" t="s">
        <v>17176</v>
      </c>
      <c r="W1850" s="1" t="s">
        <v>725</v>
      </c>
      <c r="Y1850" s="1">
        <v>6</v>
      </c>
      <c r="Z1850" s="1" t="s">
        <v>249</v>
      </c>
      <c r="AA1850" s="1" t="s">
        <v>484</v>
      </c>
      <c r="AB1850" s="1">
        <v>60560</v>
      </c>
      <c r="AD1850" s="1" t="s">
        <v>17177</v>
      </c>
      <c r="AE1850" s="1" t="s">
        <v>17178</v>
      </c>
      <c r="AF1850" s="1">
        <v>2007</v>
      </c>
      <c r="AG1850" s="1" t="s">
        <v>204</v>
      </c>
      <c r="AH1850" s="1" t="s">
        <v>487</v>
      </c>
      <c r="AI1850" s="1" t="s">
        <v>453</v>
      </c>
      <c r="AJ1850" s="1" t="s">
        <v>454</v>
      </c>
      <c r="AL1850" s="1">
        <v>6</v>
      </c>
      <c r="AM1850" s="1">
        <v>2</v>
      </c>
      <c r="AN1850" s="1">
        <v>2</v>
      </c>
      <c r="AO1850" s="1">
        <v>1</v>
      </c>
      <c r="AP1850" s="1" t="s">
        <v>209</v>
      </c>
      <c r="AR1850" s="1" t="s">
        <v>210</v>
      </c>
      <c r="AS1850" s="1" t="s">
        <v>204</v>
      </c>
      <c r="AT1850" s="1" t="s">
        <v>211</v>
      </c>
      <c r="AU1850" s="1">
        <v>2</v>
      </c>
      <c r="AW1850" s="1" t="s">
        <v>204</v>
      </c>
      <c r="AX1850" s="1" t="s">
        <v>270</v>
      </c>
      <c r="AZ1850" s="1">
        <v>5501.98</v>
      </c>
      <c r="BA1850" s="1">
        <v>2013</v>
      </c>
      <c r="BB1850" s="1" t="s">
        <v>405</v>
      </c>
      <c r="BE1850" s="1">
        <v>1520</v>
      </c>
      <c r="BF1850" s="1">
        <v>1</v>
      </c>
      <c r="BG1850" s="1">
        <v>0</v>
      </c>
      <c r="BL1850" s="1">
        <v>178</v>
      </c>
      <c r="BM1850" s="1" t="s">
        <v>213</v>
      </c>
      <c r="BN1850" s="1" t="s">
        <v>213</v>
      </c>
      <c r="BO1850" s="1">
        <v>0</v>
      </c>
      <c r="BP1850" s="1" t="s">
        <v>204</v>
      </c>
      <c r="BR1850" s="1" t="str">
        <f>"0222357056"</f>
        <v>0222357056</v>
      </c>
      <c r="BT1850" s="1" t="s">
        <v>17179</v>
      </c>
      <c r="BV1850" s="1" t="s">
        <v>10611</v>
      </c>
      <c r="BW1850" s="1" t="s">
        <v>9633</v>
      </c>
      <c r="BX1850" s="1">
        <v>115</v>
      </c>
      <c r="BY1850" s="1">
        <v>115</v>
      </c>
      <c r="BZ1850" s="1">
        <v>115</v>
      </c>
      <c r="CB1850" s="1" t="str">
        <f t="shared" ref="CB1850:CC1850" si="1401">""</f>
        <v/>
      </c>
      <c r="CC1850" s="1" t="str">
        <f t="shared" si="1401"/>
        <v/>
      </c>
      <c r="CG1850" s="1" t="s">
        <v>861</v>
      </c>
      <c r="CH1850" s="1" t="s">
        <v>219</v>
      </c>
      <c r="CI1850" s="1" t="s">
        <v>438</v>
      </c>
      <c r="CK1850" s="1" t="s">
        <v>538</v>
      </c>
      <c r="CL1850" s="1" t="s">
        <v>277</v>
      </c>
      <c r="CM1850" s="1" t="s">
        <v>220</v>
      </c>
      <c r="CO1850" s="1" t="s">
        <v>409</v>
      </c>
      <c r="CP1850" s="1" t="s">
        <v>219</v>
      </c>
      <c r="CQ1850" s="1" t="s">
        <v>438</v>
      </c>
      <c r="CS1850" s="1" t="s">
        <v>1046</v>
      </c>
      <c r="CT1850" s="1" t="s">
        <v>277</v>
      </c>
      <c r="CU1850" s="1" t="s">
        <v>220</v>
      </c>
      <c r="CX1850" s="1" t="s">
        <v>224</v>
      </c>
      <c r="DB1850" s="1" t="s">
        <v>224</v>
      </c>
      <c r="DE1850" s="1" t="s">
        <v>837</v>
      </c>
      <c r="DF1850" s="1" t="s">
        <v>219</v>
      </c>
      <c r="DG1850" s="1" t="s">
        <v>438</v>
      </c>
      <c r="DJ1850" s="1" t="s">
        <v>224</v>
      </c>
      <c r="DM1850" s="1" t="s">
        <v>464</v>
      </c>
      <c r="DR1850" s="1" t="s">
        <v>461</v>
      </c>
      <c r="DS1850" s="1" t="s">
        <v>277</v>
      </c>
      <c r="DT1850" s="1" t="s">
        <v>220</v>
      </c>
      <c r="DW1850" s="1" t="s">
        <v>230</v>
      </c>
      <c r="EA1850" s="1" t="s">
        <v>230</v>
      </c>
      <c r="EE1850" s="1" t="s">
        <v>230</v>
      </c>
      <c r="EI1850" s="1" t="s">
        <v>230</v>
      </c>
      <c r="EL1850" s="1" t="s">
        <v>491</v>
      </c>
      <c r="EM1850" s="1" t="s">
        <v>761</v>
      </c>
      <c r="EN1850" s="1" t="s">
        <v>282</v>
      </c>
      <c r="EO1850" s="1" t="s">
        <v>234</v>
      </c>
      <c r="EQ1850" s="1" t="s">
        <v>492</v>
      </c>
      <c r="ER1850" s="1" t="s">
        <v>210</v>
      </c>
      <c r="ES1850" s="1" t="s">
        <v>954</v>
      </c>
      <c r="EV1850" s="1" t="s">
        <v>324</v>
      </c>
      <c r="EW1850" s="1" t="s">
        <v>210</v>
      </c>
      <c r="EZ1850" s="1" t="s">
        <v>464</v>
      </c>
      <c r="FD1850" s="1" t="s">
        <v>246</v>
      </c>
      <c r="FE1850" s="1" t="s">
        <v>765</v>
      </c>
      <c r="FF1850" s="1" t="s">
        <v>248</v>
      </c>
      <c r="FH1850" s="1" t="s">
        <v>550</v>
      </c>
      <c r="FL1850" s="1" t="s">
        <v>358</v>
      </c>
      <c r="FM1850" s="1" t="s">
        <v>252</v>
      </c>
      <c r="FN1850" s="1" t="s">
        <v>213</v>
      </c>
      <c r="FO1850" s="1" t="s">
        <v>213</v>
      </c>
      <c r="FQ1850" s="1" t="s">
        <v>10097</v>
      </c>
      <c r="FR1850" s="1" t="s">
        <v>210</v>
      </c>
      <c r="FS1850" s="1" t="s">
        <v>17180</v>
      </c>
      <c r="FT1850" s="1" t="s">
        <v>17181</v>
      </c>
      <c r="FU1850" s="1" t="s">
        <v>204</v>
      </c>
      <c r="FW1850" s="1" t="s">
        <v>10099</v>
      </c>
      <c r="FX1850" s="1">
        <v>1586</v>
      </c>
      <c r="FY1850" s="1" t="s">
        <v>10100</v>
      </c>
      <c r="FZ1850" s="1" t="s">
        <v>10101</v>
      </c>
      <c r="GA1850" s="1">
        <v>27630</v>
      </c>
      <c r="GB1850" s="1" t="s">
        <v>10102</v>
      </c>
      <c r="GE1850" s="1" t="s">
        <v>480</v>
      </c>
      <c r="GI1850" s="1" t="s">
        <v>204</v>
      </c>
      <c r="GJ1850" s="1" t="s">
        <v>260</v>
      </c>
      <c r="GK1850" s="1" t="s">
        <v>210</v>
      </c>
      <c r="GL1850" s="2">
        <v>42059</v>
      </c>
    </row>
    <row r="1851" spans="1:195">
      <c r="A1851" s="1">
        <v>147500</v>
      </c>
      <c r="B1851" s="1" t="s">
        <v>195</v>
      </c>
      <c r="C1851" s="1" t="str">
        <f>"08721640"</f>
        <v>08721640</v>
      </c>
      <c r="D1851" s="1" t="s">
        <v>196</v>
      </c>
      <c r="F1851" s="1" t="str">
        <f>"10"</f>
        <v>10</v>
      </c>
      <c r="G1851" s="2">
        <v>41889</v>
      </c>
      <c r="H1851" s="1">
        <v>169500</v>
      </c>
      <c r="I1851" s="1">
        <v>154500</v>
      </c>
      <c r="J1851" s="1">
        <v>147500</v>
      </c>
      <c r="K1851" s="2">
        <v>41889</v>
      </c>
      <c r="L1851" s="1">
        <v>95</v>
      </c>
      <c r="M1851" s="2">
        <v>41983</v>
      </c>
      <c r="N1851" s="1">
        <v>95</v>
      </c>
      <c r="O1851" s="2">
        <v>41983</v>
      </c>
      <c r="P1851" s="1">
        <v>6018</v>
      </c>
      <c r="Q1851" s="1" t="s">
        <v>197</v>
      </c>
      <c r="R1851" s="2">
        <v>42019</v>
      </c>
      <c r="S1851" s="1">
        <v>62479</v>
      </c>
      <c r="U1851" s="1">
        <v>746</v>
      </c>
      <c r="V1851" s="1" t="s">
        <v>6421</v>
      </c>
      <c r="W1851" s="1" t="s">
        <v>1056</v>
      </c>
      <c r="X1851" s="1" t="s">
        <v>1000</v>
      </c>
      <c r="Y1851" s="1">
        <v>4</v>
      </c>
      <c r="Z1851" s="1" t="s">
        <v>249</v>
      </c>
      <c r="AA1851" s="1" t="s">
        <v>1985</v>
      </c>
      <c r="AB1851" s="1">
        <v>60010</v>
      </c>
      <c r="AD1851" s="1" t="s">
        <v>1986</v>
      </c>
      <c r="AE1851" s="1" t="s">
        <v>17182</v>
      </c>
      <c r="AF1851" s="1">
        <v>1981</v>
      </c>
      <c r="AG1851" s="1" t="s">
        <v>204</v>
      </c>
      <c r="AH1851" s="1" t="s">
        <v>1988</v>
      </c>
      <c r="AI1851" s="1" t="s">
        <v>509</v>
      </c>
      <c r="AJ1851" s="1" t="s">
        <v>1989</v>
      </c>
      <c r="AK1851" s="1" t="s">
        <v>1088</v>
      </c>
      <c r="AL1851" s="1">
        <v>5</v>
      </c>
      <c r="AM1851" s="1">
        <v>2</v>
      </c>
      <c r="AN1851" s="1">
        <v>1</v>
      </c>
      <c r="AO1851" s="1">
        <v>0</v>
      </c>
      <c r="AP1851" s="1" t="s">
        <v>210</v>
      </c>
      <c r="AQ1851" s="1">
        <v>1</v>
      </c>
      <c r="AR1851" s="1" t="s">
        <v>210</v>
      </c>
      <c r="AS1851" s="1" t="s">
        <v>204</v>
      </c>
      <c r="AT1851" s="1" t="s">
        <v>375</v>
      </c>
      <c r="AU1851" s="1">
        <v>1</v>
      </c>
      <c r="AV1851" s="1">
        <v>2</v>
      </c>
      <c r="AW1851" s="1" t="s">
        <v>204</v>
      </c>
      <c r="AX1851" s="1" t="s">
        <v>212</v>
      </c>
      <c r="AZ1851" s="1">
        <v>3290</v>
      </c>
      <c r="BA1851" s="1">
        <v>2012</v>
      </c>
      <c r="BB1851" s="1" t="s">
        <v>210</v>
      </c>
      <c r="BE1851" s="1">
        <v>1024</v>
      </c>
      <c r="BF1851" s="1">
        <v>1</v>
      </c>
      <c r="BG1851" s="1">
        <v>30</v>
      </c>
      <c r="BL1851" s="1">
        <v>278</v>
      </c>
      <c r="BM1851" s="1" t="s">
        <v>204</v>
      </c>
      <c r="BN1851" s="1" t="s">
        <v>213</v>
      </c>
      <c r="BO1851" s="1">
        <v>25</v>
      </c>
      <c r="BP1851" s="1" t="s">
        <v>204</v>
      </c>
      <c r="BR1851" s="1" t="str">
        <f>"13113003530000"</f>
        <v>13113003530000</v>
      </c>
      <c r="BT1851" s="1" t="s">
        <v>17183</v>
      </c>
      <c r="BU1851" s="1" t="s">
        <v>1992</v>
      </c>
      <c r="BV1851" s="1" t="s">
        <v>1993</v>
      </c>
      <c r="BW1851" s="1" t="s">
        <v>1994</v>
      </c>
      <c r="BX1851" s="1">
        <v>220</v>
      </c>
      <c r="BY1851" s="1">
        <v>220</v>
      </c>
      <c r="BZ1851" s="1">
        <v>220</v>
      </c>
      <c r="CB1851" s="1" t="str">
        <f t="shared" ref="CB1851:CC1851" si="1402">""</f>
        <v/>
      </c>
      <c r="CC1851" s="1" t="str">
        <f t="shared" si="1402"/>
        <v/>
      </c>
      <c r="CG1851" s="1" t="s">
        <v>3057</v>
      </c>
      <c r="CH1851" s="1" t="s">
        <v>219</v>
      </c>
      <c r="CI1851" s="1" t="s">
        <v>229</v>
      </c>
      <c r="CK1851" s="1" t="s">
        <v>1403</v>
      </c>
      <c r="CL1851" s="1" t="s">
        <v>219</v>
      </c>
      <c r="CM1851" s="1" t="s">
        <v>229</v>
      </c>
      <c r="CO1851" s="1" t="s">
        <v>629</v>
      </c>
      <c r="CP1851" s="1" t="s">
        <v>219</v>
      </c>
      <c r="CQ1851" s="1" t="s">
        <v>229</v>
      </c>
      <c r="CS1851" s="1" t="s">
        <v>346</v>
      </c>
      <c r="CT1851" s="1" t="s">
        <v>219</v>
      </c>
      <c r="CU1851" s="1" t="s">
        <v>229</v>
      </c>
      <c r="CX1851" s="1" t="s">
        <v>224</v>
      </c>
      <c r="DB1851" s="1" t="s">
        <v>224</v>
      </c>
      <c r="DE1851" s="1" t="s">
        <v>379</v>
      </c>
      <c r="DF1851" s="1" t="s">
        <v>219</v>
      </c>
      <c r="DG1851" s="1" t="s">
        <v>229</v>
      </c>
      <c r="DJ1851" s="1" t="s">
        <v>224</v>
      </c>
      <c r="DM1851" s="1" t="s">
        <v>3011</v>
      </c>
      <c r="DR1851" s="1" t="s">
        <v>14243</v>
      </c>
      <c r="DS1851" s="1" t="s">
        <v>219</v>
      </c>
      <c r="DW1851" s="1" t="s">
        <v>230</v>
      </c>
      <c r="EA1851" s="1" t="s">
        <v>230</v>
      </c>
      <c r="EE1851" s="1" t="s">
        <v>230</v>
      </c>
      <c r="EI1851" s="1" t="s">
        <v>230</v>
      </c>
      <c r="EL1851" s="1" t="s">
        <v>231</v>
      </c>
      <c r="EM1851" s="1" t="s">
        <v>761</v>
      </c>
      <c r="EN1851" s="1" t="s">
        <v>282</v>
      </c>
      <c r="EO1851" s="1" t="s">
        <v>234</v>
      </c>
      <c r="EQ1851" s="1" t="s">
        <v>1551</v>
      </c>
      <c r="ER1851" s="1" t="s">
        <v>210</v>
      </c>
      <c r="ES1851" s="1" t="s">
        <v>493</v>
      </c>
      <c r="EU1851" s="1" t="s">
        <v>17184</v>
      </c>
      <c r="EV1851" s="1" t="s">
        <v>240</v>
      </c>
      <c r="EW1851" s="1" t="s">
        <v>17185</v>
      </c>
      <c r="EY1851" s="1" t="s">
        <v>242</v>
      </c>
      <c r="EZ1851" s="1" t="s">
        <v>3011</v>
      </c>
      <c r="FA1851" s="1" t="s">
        <v>672</v>
      </c>
      <c r="FB1851" s="1" t="s">
        <v>244</v>
      </c>
      <c r="FD1851" s="1" t="s">
        <v>495</v>
      </c>
      <c r="FE1851" s="1" t="s">
        <v>889</v>
      </c>
      <c r="FF1851" s="1" t="s">
        <v>248</v>
      </c>
      <c r="FG1851" s="1" t="s">
        <v>715</v>
      </c>
      <c r="FH1851" s="1" t="s">
        <v>249</v>
      </c>
      <c r="FI1851" s="1" t="s">
        <v>473</v>
      </c>
      <c r="FJ1851" s="1" t="s">
        <v>197</v>
      </c>
      <c r="FK1851" s="1" t="s">
        <v>17186</v>
      </c>
      <c r="FL1851" s="1" t="s">
        <v>292</v>
      </c>
      <c r="FM1851" s="1" t="s">
        <v>252</v>
      </c>
      <c r="FN1851" s="1" t="s">
        <v>213</v>
      </c>
      <c r="FO1851" s="1" t="s">
        <v>213</v>
      </c>
      <c r="FQ1851" s="1" t="s">
        <v>12810</v>
      </c>
      <c r="FR1851" s="1" t="s">
        <v>210</v>
      </c>
      <c r="FS1851" s="1" t="s">
        <v>17187</v>
      </c>
      <c r="FT1851" s="1" t="s">
        <v>295</v>
      </c>
      <c r="FU1851" s="1" t="s">
        <v>204</v>
      </c>
      <c r="FW1851" s="1" t="s">
        <v>4125</v>
      </c>
      <c r="FX1851" s="1">
        <v>8073</v>
      </c>
      <c r="FY1851" s="1" t="s">
        <v>4126</v>
      </c>
      <c r="FZ1851" s="1" t="s">
        <v>12812</v>
      </c>
      <c r="GA1851" s="1">
        <v>231761</v>
      </c>
      <c r="GB1851" s="1" t="s">
        <v>12813</v>
      </c>
      <c r="GD1851" s="1" t="s">
        <v>12814</v>
      </c>
      <c r="GE1851" s="1" t="s">
        <v>480</v>
      </c>
      <c r="GI1851" s="1" t="s">
        <v>213</v>
      </c>
      <c r="GJ1851" s="1" t="s">
        <v>260</v>
      </c>
      <c r="GK1851" s="1" t="s">
        <v>210</v>
      </c>
      <c r="GL1851" s="2">
        <v>42019</v>
      </c>
      <c r="GM1851" s="1" t="s">
        <v>17188</v>
      </c>
    </row>
    <row r="1852" spans="1:195">
      <c r="A1852" s="1">
        <v>195000</v>
      </c>
      <c r="B1852" s="1" t="s">
        <v>195</v>
      </c>
      <c r="C1852" s="1" t="str">
        <f>"08727803"</f>
        <v>08727803</v>
      </c>
      <c r="D1852" s="1" t="s">
        <v>196</v>
      </c>
      <c r="F1852" s="1" t="str">
        <f t="shared" ref="F1852:F1853" si="1403">"540"</f>
        <v>540</v>
      </c>
      <c r="G1852" s="2">
        <v>41896</v>
      </c>
      <c r="H1852" s="1">
        <v>257900</v>
      </c>
      <c r="I1852" s="1">
        <v>219900</v>
      </c>
      <c r="J1852" s="1">
        <v>195000</v>
      </c>
      <c r="K1852" s="2">
        <v>41894</v>
      </c>
      <c r="L1852" s="1">
        <v>126</v>
      </c>
      <c r="M1852" s="2">
        <v>42019</v>
      </c>
      <c r="N1852" s="1">
        <v>126</v>
      </c>
      <c r="O1852" s="2">
        <v>42019</v>
      </c>
      <c r="P1852" s="1">
        <v>23265</v>
      </c>
      <c r="Q1852" s="1" t="s">
        <v>197</v>
      </c>
      <c r="R1852" s="2">
        <v>42055</v>
      </c>
      <c r="S1852" s="1">
        <v>221731</v>
      </c>
      <c r="U1852" s="1">
        <v>1720</v>
      </c>
      <c r="V1852" s="1" t="s">
        <v>9989</v>
      </c>
      <c r="W1852" s="1" t="s">
        <v>504</v>
      </c>
      <c r="Y1852" s="1">
        <v>4</v>
      </c>
      <c r="Z1852" s="1" t="s">
        <v>370</v>
      </c>
      <c r="AA1852" s="1" t="s">
        <v>921</v>
      </c>
      <c r="AB1852" s="1">
        <v>60564</v>
      </c>
      <c r="AD1852" s="1" t="s">
        <v>17189</v>
      </c>
      <c r="AE1852" s="1" t="s">
        <v>17190</v>
      </c>
      <c r="AF1852" s="1">
        <v>1996</v>
      </c>
      <c r="AG1852" s="1" t="s">
        <v>204</v>
      </c>
      <c r="AH1852" s="1" t="s">
        <v>924</v>
      </c>
      <c r="AI1852" s="1" t="s">
        <v>1800</v>
      </c>
      <c r="AJ1852" s="1" t="s">
        <v>1801</v>
      </c>
      <c r="AL1852" s="1">
        <v>7</v>
      </c>
      <c r="AM1852" s="1">
        <v>2</v>
      </c>
      <c r="AN1852" s="1">
        <v>2</v>
      </c>
      <c r="AO1852" s="1">
        <v>1</v>
      </c>
      <c r="AP1852" s="1" t="s">
        <v>209</v>
      </c>
      <c r="AQ1852" s="1">
        <v>1</v>
      </c>
      <c r="AR1852" s="1" t="s">
        <v>209</v>
      </c>
      <c r="AS1852" s="1" t="s">
        <v>204</v>
      </c>
      <c r="AT1852" s="1" t="s">
        <v>211</v>
      </c>
      <c r="AU1852" s="1">
        <v>2</v>
      </c>
      <c r="AW1852" s="1" t="s">
        <v>204</v>
      </c>
      <c r="AX1852" s="1" t="s">
        <v>212</v>
      </c>
      <c r="AZ1852" s="1">
        <v>5601</v>
      </c>
      <c r="BA1852" s="1">
        <v>2013</v>
      </c>
      <c r="BB1852" s="1" t="s">
        <v>405</v>
      </c>
      <c r="BE1852" s="1">
        <v>1694</v>
      </c>
      <c r="BF1852" s="1">
        <v>1</v>
      </c>
      <c r="BG1852" s="1">
        <v>2</v>
      </c>
      <c r="BL1852" s="1">
        <v>185</v>
      </c>
      <c r="BM1852" s="1" t="s">
        <v>204</v>
      </c>
      <c r="BN1852" s="1" t="s">
        <v>213</v>
      </c>
      <c r="BO1852" s="1">
        <v>999</v>
      </c>
      <c r="BP1852" s="1" t="s">
        <v>204</v>
      </c>
      <c r="BR1852" s="1" t="str">
        <f>"01023070330000"</f>
        <v>01023070330000</v>
      </c>
      <c r="BT1852" s="1" t="s">
        <v>17191</v>
      </c>
      <c r="BX1852" s="1">
        <v>204</v>
      </c>
      <c r="BY1852" s="1">
        <v>204</v>
      </c>
      <c r="BZ1852" s="1">
        <v>204</v>
      </c>
      <c r="CB1852" s="1" t="str">
        <f t="shared" ref="CB1852:CC1852" si="1404">""</f>
        <v/>
      </c>
      <c r="CC1852" s="1" t="str">
        <f t="shared" si="1404"/>
        <v/>
      </c>
      <c r="CG1852" s="1" t="s">
        <v>885</v>
      </c>
      <c r="CH1852" s="1" t="s">
        <v>219</v>
      </c>
      <c r="CI1852" s="1" t="s">
        <v>229</v>
      </c>
      <c r="CK1852" s="1" t="s">
        <v>2992</v>
      </c>
      <c r="CL1852" s="1" t="s">
        <v>277</v>
      </c>
      <c r="CM1852" s="1" t="s">
        <v>220</v>
      </c>
      <c r="CO1852" s="1" t="s">
        <v>379</v>
      </c>
      <c r="CP1852" s="1" t="s">
        <v>219</v>
      </c>
      <c r="CQ1852" s="1" t="s">
        <v>229</v>
      </c>
      <c r="CS1852" s="1" t="s">
        <v>465</v>
      </c>
      <c r="CT1852" s="1" t="s">
        <v>277</v>
      </c>
      <c r="CU1852" s="1" t="s">
        <v>220</v>
      </c>
      <c r="CX1852" s="1" t="s">
        <v>224</v>
      </c>
      <c r="DB1852" s="1" t="s">
        <v>224</v>
      </c>
      <c r="DE1852" s="1" t="s">
        <v>378</v>
      </c>
      <c r="DF1852" s="1" t="s">
        <v>219</v>
      </c>
      <c r="DG1852" s="1" t="s">
        <v>226</v>
      </c>
      <c r="DI1852" s="1" t="s">
        <v>16614</v>
      </c>
      <c r="DJ1852" s="1" t="s">
        <v>43</v>
      </c>
      <c r="DM1852" s="1" t="s">
        <v>464</v>
      </c>
      <c r="DR1852" s="1" t="s">
        <v>318</v>
      </c>
      <c r="DS1852" s="1" t="s">
        <v>277</v>
      </c>
      <c r="DT1852" s="1" t="s">
        <v>220</v>
      </c>
      <c r="DU1852" s="1" t="s">
        <v>210</v>
      </c>
      <c r="DW1852" s="1" t="s">
        <v>230</v>
      </c>
      <c r="EA1852" s="1" t="s">
        <v>230</v>
      </c>
      <c r="EE1852" s="1" t="s">
        <v>230</v>
      </c>
      <c r="EI1852" s="1" t="s">
        <v>230</v>
      </c>
      <c r="EL1852" s="1" t="s">
        <v>670</v>
      </c>
      <c r="EM1852" s="1" t="s">
        <v>319</v>
      </c>
      <c r="EN1852" s="1" t="s">
        <v>282</v>
      </c>
      <c r="EO1852" s="1" t="s">
        <v>234</v>
      </c>
      <c r="EP1852" s="1" t="s">
        <v>543</v>
      </c>
      <c r="EQ1852" s="1" t="s">
        <v>2901</v>
      </c>
      <c r="ER1852" s="1" t="s">
        <v>544</v>
      </c>
      <c r="ES1852" s="1" t="s">
        <v>493</v>
      </c>
      <c r="ET1852" s="1" t="s">
        <v>1161</v>
      </c>
      <c r="EU1852" s="1" t="s">
        <v>1820</v>
      </c>
      <c r="EV1852" s="1" t="s">
        <v>240</v>
      </c>
      <c r="EW1852" s="1" t="s">
        <v>353</v>
      </c>
      <c r="EY1852" s="1" t="s">
        <v>242</v>
      </c>
      <c r="EZ1852" s="1" t="s">
        <v>464</v>
      </c>
      <c r="FA1852" s="1" t="s">
        <v>5059</v>
      </c>
      <c r="FB1852" s="1" t="s">
        <v>289</v>
      </c>
      <c r="FC1852" s="1" t="s">
        <v>633</v>
      </c>
      <c r="FD1852" s="1" t="s">
        <v>246</v>
      </c>
      <c r="FE1852" s="1" t="s">
        <v>6086</v>
      </c>
      <c r="FF1852" s="1" t="s">
        <v>248</v>
      </c>
      <c r="FG1852" s="1" t="s">
        <v>2406</v>
      </c>
      <c r="FH1852" s="1" t="s">
        <v>550</v>
      </c>
      <c r="FI1852" s="1" t="s">
        <v>357</v>
      </c>
      <c r="FJ1852" s="1" t="s">
        <v>1251</v>
      </c>
      <c r="FL1852" s="1" t="s">
        <v>358</v>
      </c>
      <c r="FM1852" s="1" t="s">
        <v>252</v>
      </c>
      <c r="FN1852" s="1" t="s">
        <v>213</v>
      </c>
      <c r="FO1852" s="1" t="s">
        <v>213</v>
      </c>
      <c r="FQ1852" s="1" t="s">
        <v>582</v>
      </c>
      <c r="FR1852" s="1" t="s">
        <v>210</v>
      </c>
      <c r="FS1852" s="1" t="s">
        <v>17192</v>
      </c>
      <c r="FT1852" s="1" t="s">
        <v>17193</v>
      </c>
      <c r="FU1852" s="1" t="s">
        <v>204</v>
      </c>
      <c r="FV1852" s="1" t="s">
        <v>1871</v>
      </c>
      <c r="FW1852" s="1" t="s">
        <v>1475</v>
      </c>
      <c r="FX1852" s="1">
        <v>23265</v>
      </c>
      <c r="FY1852" s="1" t="s">
        <v>1476</v>
      </c>
      <c r="FZ1852" s="1" t="s">
        <v>1872</v>
      </c>
      <c r="GA1852" s="1">
        <v>221731</v>
      </c>
      <c r="GB1852" s="1" t="s">
        <v>1873</v>
      </c>
      <c r="GD1852" s="1" t="s">
        <v>1874</v>
      </c>
      <c r="GE1852" s="1" t="s">
        <v>480</v>
      </c>
      <c r="GI1852" s="1" t="s">
        <v>213</v>
      </c>
      <c r="GJ1852" s="1" t="s">
        <v>260</v>
      </c>
      <c r="GK1852" s="1" t="s">
        <v>210</v>
      </c>
      <c r="GL1852" s="2">
        <v>42055</v>
      </c>
      <c r="GM1852" s="1" t="s">
        <v>17194</v>
      </c>
    </row>
    <row r="1853" spans="1:195">
      <c r="A1853" s="1">
        <v>113000</v>
      </c>
      <c r="B1853" s="1" t="s">
        <v>195</v>
      </c>
      <c r="C1853" s="1" t="str">
        <f>"08725636"</f>
        <v>08725636</v>
      </c>
      <c r="D1853" s="1" t="s">
        <v>196</v>
      </c>
      <c r="F1853" s="1" t="str">
        <f t="shared" si="1403"/>
        <v>540</v>
      </c>
      <c r="G1853" s="2">
        <v>41893</v>
      </c>
      <c r="H1853" s="1">
        <v>119900</v>
      </c>
      <c r="I1853" s="1">
        <v>119900</v>
      </c>
      <c r="J1853" s="1">
        <v>113000</v>
      </c>
      <c r="K1853" s="2">
        <v>41893</v>
      </c>
      <c r="L1853" s="1">
        <v>76</v>
      </c>
      <c r="M1853" s="2">
        <v>41968</v>
      </c>
      <c r="N1853" s="1">
        <v>76</v>
      </c>
      <c r="O1853" s="2">
        <v>41968</v>
      </c>
      <c r="P1853" s="1">
        <v>23156</v>
      </c>
      <c r="Q1853" s="1" t="s">
        <v>302</v>
      </c>
      <c r="R1853" s="2">
        <v>42009</v>
      </c>
      <c r="S1853" s="1">
        <v>230996</v>
      </c>
      <c r="U1853" s="1">
        <v>1103</v>
      </c>
      <c r="V1853" s="1" t="s">
        <v>4657</v>
      </c>
      <c r="W1853" s="1" t="s">
        <v>725</v>
      </c>
      <c r="X1853" s="1">
        <v>307</v>
      </c>
      <c r="Y1853" s="1">
        <v>72</v>
      </c>
      <c r="Z1853" s="1" t="s">
        <v>249</v>
      </c>
      <c r="AA1853" s="1" t="s">
        <v>921</v>
      </c>
      <c r="AB1853" s="1">
        <v>60563</v>
      </c>
      <c r="AE1853" s="1" t="s">
        <v>17195</v>
      </c>
      <c r="AF1853" s="1">
        <v>1974</v>
      </c>
      <c r="AG1853" s="1" t="s">
        <v>213</v>
      </c>
      <c r="AH1853" s="1" t="s">
        <v>924</v>
      </c>
      <c r="AI1853" s="1" t="s">
        <v>206</v>
      </c>
      <c r="AJ1853" s="1" t="s">
        <v>924</v>
      </c>
      <c r="AL1853" s="1">
        <v>5</v>
      </c>
      <c r="AM1853" s="1">
        <v>2</v>
      </c>
      <c r="AN1853" s="1">
        <v>2</v>
      </c>
      <c r="AO1853" s="1">
        <v>0</v>
      </c>
      <c r="AP1853" s="1" t="s">
        <v>209</v>
      </c>
      <c r="AR1853" s="1" t="s">
        <v>210</v>
      </c>
      <c r="AS1853" s="1" t="s">
        <v>204</v>
      </c>
      <c r="AT1853" s="1" t="s">
        <v>271</v>
      </c>
      <c r="AV1853" s="1">
        <v>1</v>
      </c>
      <c r="AW1853" s="1" t="s">
        <v>204</v>
      </c>
      <c r="AX1853" s="1">
        <v>0</v>
      </c>
      <c r="AZ1853" s="1">
        <v>2897</v>
      </c>
      <c r="BA1853" s="1">
        <v>2013</v>
      </c>
      <c r="BE1853" s="1">
        <v>1283</v>
      </c>
      <c r="BF1853" s="1">
        <v>3</v>
      </c>
      <c r="BG1853" s="1">
        <v>30</v>
      </c>
      <c r="BL1853" s="1">
        <v>371</v>
      </c>
      <c r="BM1853" s="1" t="s">
        <v>204</v>
      </c>
      <c r="BN1853" s="1" t="s">
        <v>204</v>
      </c>
      <c r="BP1853" s="1" t="s">
        <v>204</v>
      </c>
      <c r="BR1853" s="1" t="str">
        <f>"0712424055"</f>
        <v>0712424055</v>
      </c>
      <c r="BT1853" s="1" t="s">
        <v>17196</v>
      </c>
      <c r="BX1853" s="1">
        <v>203</v>
      </c>
      <c r="BY1853" s="1">
        <v>203</v>
      </c>
      <c r="BZ1853" s="1">
        <v>203</v>
      </c>
      <c r="CB1853" s="1" t="str">
        <f t="shared" ref="CB1853:CC1853" si="1405">""</f>
        <v/>
      </c>
      <c r="CC1853" s="1" t="str">
        <f t="shared" si="1405"/>
        <v/>
      </c>
      <c r="CG1853" s="1" t="s">
        <v>1723</v>
      </c>
      <c r="CH1853" s="1" t="s">
        <v>219</v>
      </c>
      <c r="CK1853" s="1" t="s">
        <v>1045</v>
      </c>
      <c r="CL1853" s="1" t="s">
        <v>219</v>
      </c>
      <c r="CO1853" s="1" t="s">
        <v>630</v>
      </c>
      <c r="CP1853" s="1" t="s">
        <v>219</v>
      </c>
      <c r="CS1853" s="1" t="s">
        <v>461</v>
      </c>
      <c r="CT1853" s="1" t="s">
        <v>219</v>
      </c>
      <c r="CX1853" s="1" t="s">
        <v>224</v>
      </c>
      <c r="DB1853" s="1" t="s">
        <v>224</v>
      </c>
      <c r="DE1853" s="1" t="s">
        <v>346</v>
      </c>
      <c r="DF1853" s="1" t="s">
        <v>219</v>
      </c>
      <c r="DJ1853" s="1" t="s">
        <v>224</v>
      </c>
      <c r="DS1853" s="1" t="s">
        <v>230</v>
      </c>
      <c r="DW1853" s="1" t="s">
        <v>230</v>
      </c>
      <c r="EA1853" s="1" t="s">
        <v>230</v>
      </c>
      <c r="EE1853" s="1" t="s">
        <v>230</v>
      </c>
      <c r="EI1853" s="1" t="s">
        <v>230</v>
      </c>
      <c r="EL1853" s="1" t="s">
        <v>231</v>
      </c>
      <c r="EM1853" s="1" t="s">
        <v>319</v>
      </c>
      <c r="EN1853" s="1" t="s">
        <v>282</v>
      </c>
      <c r="EO1853" s="1" t="s">
        <v>234</v>
      </c>
      <c r="ER1853" s="1" t="s">
        <v>210</v>
      </c>
      <c r="EW1853" s="1" t="s">
        <v>10974</v>
      </c>
      <c r="EZ1853" s="1" t="s">
        <v>287</v>
      </c>
      <c r="FD1853" s="1" t="s">
        <v>1112</v>
      </c>
      <c r="FE1853" s="1" t="s">
        <v>975</v>
      </c>
      <c r="FF1853" s="1" t="s">
        <v>248</v>
      </c>
      <c r="FH1853" s="1" t="s">
        <v>249</v>
      </c>
      <c r="FJ1853" s="1" t="s">
        <v>1472</v>
      </c>
      <c r="FL1853" s="1" t="s">
        <v>414</v>
      </c>
      <c r="FM1853" s="1" t="s">
        <v>252</v>
      </c>
      <c r="FN1853" s="1" t="s">
        <v>213</v>
      </c>
      <c r="FO1853" s="1" t="s">
        <v>213</v>
      </c>
      <c r="FQ1853" s="1" t="s">
        <v>2417</v>
      </c>
      <c r="FR1853" s="1" t="s">
        <v>210</v>
      </c>
      <c r="FS1853" s="1" t="s">
        <v>3352</v>
      </c>
      <c r="FT1853" s="1" t="s">
        <v>295</v>
      </c>
      <c r="FU1853" s="1" t="s">
        <v>204</v>
      </c>
      <c r="FW1853" s="1" t="s">
        <v>3353</v>
      </c>
      <c r="FX1853" s="1">
        <v>8658</v>
      </c>
      <c r="FY1853" s="1" t="s">
        <v>3354</v>
      </c>
      <c r="FZ1853" s="1" t="s">
        <v>3355</v>
      </c>
      <c r="GA1853" s="1">
        <v>84760</v>
      </c>
      <c r="GB1853" s="1" t="s">
        <v>3354</v>
      </c>
      <c r="GD1853" s="1" t="s">
        <v>3356</v>
      </c>
      <c r="GE1853" s="1" t="s">
        <v>210</v>
      </c>
      <c r="GH1853" s="1" t="s">
        <v>230</v>
      </c>
      <c r="GI1853" s="1" t="s">
        <v>213</v>
      </c>
      <c r="GJ1853" s="1" t="s">
        <v>260</v>
      </c>
      <c r="GK1853" s="1" t="s">
        <v>210</v>
      </c>
      <c r="GL1853" s="2">
        <v>42018</v>
      </c>
      <c r="GM1853" s="1" t="s">
        <v>17197</v>
      </c>
    </row>
    <row r="1854" spans="1:195">
      <c r="A1854" s="1">
        <v>136000</v>
      </c>
      <c r="B1854" s="1" t="s">
        <v>195</v>
      </c>
      <c r="C1854" s="1" t="str">
        <f>"08727880"</f>
        <v>08727880</v>
      </c>
      <c r="D1854" s="1" t="s">
        <v>196</v>
      </c>
      <c r="F1854" s="1" t="str">
        <f>"123"</f>
        <v>123</v>
      </c>
      <c r="G1854" s="2">
        <v>41896</v>
      </c>
      <c r="H1854" s="1">
        <v>169900</v>
      </c>
      <c r="I1854" s="1">
        <v>144900</v>
      </c>
      <c r="J1854" s="1">
        <v>136000</v>
      </c>
      <c r="K1854" s="2">
        <v>41894</v>
      </c>
      <c r="L1854" s="1">
        <v>86</v>
      </c>
      <c r="M1854" s="2">
        <v>41979</v>
      </c>
      <c r="N1854" s="1">
        <v>86</v>
      </c>
      <c r="O1854" s="2">
        <v>41979</v>
      </c>
      <c r="P1854" s="1">
        <v>30</v>
      </c>
      <c r="Q1854" s="1" t="s">
        <v>302</v>
      </c>
      <c r="R1854" s="2">
        <v>42020</v>
      </c>
      <c r="S1854" s="1">
        <v>497</v>
      </c>
      <c r="U1854" s="1">
        <v>234</v>
      </c>
      <c r="V1854" s="1" t="s">
        <v>17198</v>
      </c>
      <c r="W1854" s="1" t="s">
        <v>264</v>
      </c>
      <c r="Y1854" s="1">
        <v>4</v>
      </c>
      <c r="Z1854" s="1" t="s">
        <v>370</v>
      </c>
      <c r="AA1854" s="1" t="s">
        <v>1173</v>
      </c>
      <c r="AB1854" s="1">
        <v>60124</v>
      </c>
      <c r="AE1854" s="1" t="s">
        <v>17199</v>
      </c>
      <c r="AF1854" s="1">
        <v>2006</v>
      </c>
      <c r="AG1854" s="1" t="s">
        <v>204</v>
      </c>
      <c r="AH1854" s="1" t="s">
        <v>1175</v>
      </c>
      <c r="AI1854" s="1" t="s">
        <v>665</v>
      </c>
      <c r="AJ1854" s="1" t="s">
        <v>1175</v>
      </c>
      <c r="AK1854" s="1" t="s">
        <v>17200</v>
      </c>
      <c r="AL1854" s="1">
        <v>6</v>
      </c>
      <c r="AM1854" s="1">
        <v>2</v>
      </c>
      <c r="AN1854" s="1">
        <v>2</v>
      </c>
      <c r="AO1854" s="1">
        <v>1</v>
      </c>
      <c r="AP1854" s="1" t="s">
        <v>455</v>
      </c>
      <c r="AQ1854" s="1">
        <v>0</v>
      </c>
      <c r="AR1854" s="1" t="s">
        <v>209</v>
      </c>
      <c r="AS1854" s="1" t="s">
        <v>213</v>
      </c>
      <c r="AT1854" s="1" t="s">
        <v>211</v>
      </c>
      <c r="AU1854" s="1">
        <v>2</v>
      </c>
      <c r="AW1854" s="1" t="s">
        <v>204</v>
      </c>
      <c r="AX1854" s="1" t="s">
        <v>17201</v>
      </c>
      <c r="AZ1854" s="1">
        <v>5446.12</v>
      </c>
      <c r="BA1854" s="1">
        <v>2013</v>
      </c>
      <c r="BB1854" s="1" t="s">
        <v>405</v>
      </c>
      <c r="BE1854" s="1">
        <v>1684</v>
      </c>
      <c r="BF1854" s="1">
        <v>1</v>
      </c>
      <c r="BG1854" s="1">
        <v>15</v>
      </c>
      <c r="BL1854" s="1">
        <v>125</v>
      </c>
      <c r="BM1854" s="1" t="s">
        <v>204</v>
      </c>
      <c r="BN1854" s="1" t="s">
        <v>213</v>
      </c>
      <c r="BO1854" s="1">
        <v>0</v>
      </c>
      <c r="BP1854" s="1" t="s">
        <v>204</v>
      </c>
      <c r="BR1854" s="1" t="str">
        <f>"1618257038"</f>
        <v>1618257038</v>
      </c>
      <c r="BT1854" s="1" t="s">
        <v>17202</v>
      </c>
      <c r="BU1854" s="1" t="s">
        <v>17203</v>
      </c>
      <c r="BV1854" s="1" t="s">
        <v>17204</v>
      </c>
      <c r="BW1854" s="1" t="s">
        <v>9496</v>
      </c>
      <c r="BX1854" s="1">
        <v>301</v>
      </c>
      <c r="BY1854" s="1">
        <v>301</v>
      </c>
      <c r="BZ1854" s="1">
        <v>301</v>
      </c>
      <c r="CB1854" s="1" t="str">
        <f t="shared" ref="CB1854:CC1854" si="1406">""</f>
        <v/>
      </c>
      <c r="CC1854" s="1" t="str">
        <f t="shared" si="1406"/>
        <v/>
      </c>
      <c r="CG1854" s="1" t="s">
        <v>669</v>
      </c>
      <c r="CH1854" s="1" t="s">
        <v>219</v>
      </c>
      <c r="CK1854" s="1" t="s">
        <v>669</v>
      </c>
      <c r="CL1854" s="1" t="s">
        <v>277</v>
      </c>
      <c r="CM1854" s="1" t="s">
        <v>220</v>
      </c>
      <c r="CO1854" s="1" t="s">
        <v>465</v>
      </c>
      <c r="CP1854" s="1" t="s">
        <v>219</v>
      </c>
      <c r="CS1854" s="1" t="s">
        <v>378</v>
      </c>
      <c r="CT1854" s="1" t="s">
        <v>277</v>
      </c>
      <c r="CU1854" s="1" t="s">
        <v>220</v>
      </c>
      <c r="CX1854" s="1" t="s">
        <v>224</v>
      </c>
      <c r="DB1854" s="1" t="s">
        <v>224</v>
      </c>
      <c r="DE1854" s="1" t="s">
        <v>278</v>
      </c>
      <c r="DF1854" s="1" t="s">
        <v>219</v>
      </c>
      <c r="DJ1854" s="1" t="s">
        <v>224</v>
      </c>
      <c r="DM1854" s="1" t="s">
        <v>709</v>
      </c>
      <c r="DN1854" s="1" t="s">
        <v>464</v>
      </c>
      <c r="DR1854" s="1" t="s">
        <v>839</v>
      </c>
      <c r="DS1854" s="1" t="s">
        <v>219</v>
      </c>
      <c r="DT1854" s="1" t="s">
        <v>342</v>
      </c>
      <c r="DV1854" s="1" t="s">
        <v>6174</v>
      </c>
      <c r="DW1854" s="1" t="s">
        <v>277</v>
      </c>
      <c r="DX1854" s="1" t="s">
        <v>220</v>
      </c>
      <c r="EA1854" s="1" t="s">
        <v>230</v>
      </c>
      <c r="EE1854" s="1" t="s">
        <v>230</v>
      </c>
      <c r="EI1854" s="1" t="s">
        <v>230</v>
      </c>
      <c r="EL1854" s="1" t="s">
        <v>491</v>
      </c>
      <c r="EM1854" s="1" t="s">
        <v>319</v>
      </c>
      <c r="EN1854" s="1" t="s">
        <v>210</v>
      </c>
      <c r="EO1854" s="1" t="s">
        <v>234</v>
      </c>
      <c r="EP1854" s="1" t="s">
        <v>650</v>
      </c>
      <c r="ER1854" s="1" t="s">
        <v>1249</v>
      </c>
      <c r="ES1854" s="1" t="s">
        <v>322</v>
      </c>
      <c r="EV1854" s="1" t="s">
        <v>324</v>
      </c>
      <c r="EW1854" s="1" t="s">
        <v>353</v>
      </c>
      <c r="EY1854" s="1" t="s">
        <v>242</v>
      </c>
      <c r="EZ1854" s="1" t="s">
        <v>2549</v>
      </c>
      <c r="FD1854" s="1" t="s">
        <v>246</v>
      </c>
      <c r="FE1854" s="1" t="s">
        <v>975</v>
      </c>
      <c r="FF1854" s="1" t="s">
        <v>248</v>
      </c>
      <c r="FH1854" s="1" t="s">
        <v>550</v>
      </c>
      <c r="FL1854" s="1" t="s">
        <v>358</v>
      </c>
      <c r="FM1854" s="1" t="s">
        <v>252</v>
      </c>
      <c r="FN1854" s="1" t="s">
        <v>213</v>
      </c>
      <c r="FO1854" s="1" t="s">
        <v>213</v>
      </c>
      <c r="FQ1854" s="1" t="s">
        <v>582</v>
      </c>
      <c r="FR1854" s="1" t="s">
        <v>210</v>
      </c>
      <c r="FS1854" s="1" t="s">
        <v>3352</v>
      </c>
      <c r="FT1854" s="1" t="s">
        <v>1828</v>
      </c>
      <c r="FU1854" s="1" t="s">
        <v>204</v>
      </c>
      <c r="FW1854" s="1" t="s">
        <v>15236</v>
      </c>
      <c r="FX1854" s="1">
        <v>7630</v>
      </c>
      <c r="FY1854" s="1" t="s">
        <v>15237</v>
      </c>
      <c r="FZ1854" s="1" t="s">
        <v>15380</v>
      </c>
      <c r="GA1854" s="1">
        <v>77822</v>
      </c>
      <c r="GB1854" s="1" t="s">
        <v>15381</v>
      </c>
      <c r="GE1854" s="1" t="s">
        <v>210</v>
      </c>
      <c r="GI1854" s="1" t="s">
        <v>204</v>
      </c>
      <c r="GJ1854" s="1" t="s">
        <v>260</v>
      </c>
      <c r="GK1854" s="1" t="s">
        <v>210</v>
      </c>
      <c r="GL1854" s="2">
        <v>42020</v>
      </c>
      <c r="GM1854" s="1" t="s">
        <v>17205</v>
      </c>
    </row>
    <row r="1855" spans="1:195">
      <c r="A1855" s="1">
        <v>178000</v>
      </c>
      <c r="B1855" s="1" t="s">
        <v>195</v>
      </c>
      <c r="C1855" s="1" t="str">
        <f>"08725220"</f>
        <v>08725220</v>
      </c>
      <c r="D1855" s="1" t="s">
        <v>196</v>
      </c>
      <c r="F1855" s="1" t="str">
        <f>"10"</f>
        <v>10</v>
      </c>
      <c r="G1855" s="2">
        <v>41892</v>
      </c>
      <c r="H1855" s="1">
        <v>215000</v>
      </c>
      <c r="I1855" s="1">
        <v>184000</v>
      </c>
      <c r="J1855" s="1">
        <v>178000</v>
      </c>
      <c r="K1855" s="2">
        <v>41892</v>
      </c>
      <c r="L1855" s="1">
        <v>143</v>
      </c>
      <c r="M1855" s="2">
        <v>42027</v>
      </c>
      <c r="N1855" s="1">
        <v>136</v>
      </c>
      <c r="O1855" s="2">
        <v>42027</v>
      </c>
      <c r="P1855" s="1">
        <v>6026</v>
      </c>
      <c r="Q1855" s="1" t="s">
        <v>197</v>
      </c>
      <c r="R1855" s="2">
        <v>42062</v>
      </c>
      <c r="S1855" s="1">
        <v>62933</v>
      </c>
      <c r="U1855" s="1">
        <v>253</v>
      </c>
      <c r="V1855" s="1" t="s">
        <v>17206</v>
      </c>
      <c r="W1855" s="1" t="s">
        <v>304</v>
      </c>
      <c r="X1855" s="1">
        <v>1116</v>
      </c>
      <c r="Y1855" s="1">
        <v>4</v>
      </c>
      <c r="Z1855" s="1" t="s">
        <v>370</v>
      </c>
      <c r="AA1855" s="1" t="s">
        <v>1985</v>
      </c>
      <c r="AB1855" s="1">
        <v>60010</v>
      </c>
      <c r="AE1855" s="1" t="s">
        <v>17207</v>
      </c>
      <c r="AF1855" s="1">
        <v>1993</v>
      </c>
      <c r="AG1855" s="1" t="s">
        <v>204</v>
      </c>
      <c r="AH1855" s="1" t="s">
        <v>1988</v>
      </c>
      <c r="AI1855" s="1" t="s">
        <v>509</v>
      </c>
      <c r="AJ1855" s="1" t="s">
        <v>1989</v>
      </c>
      <c r="AL1855" s="1">
        <v>6</v>
      </c>
      <c r="AM1855" s="1">
        <v>2</v>
      </c>
      <c r="AN1855" s="1">
        <v>2</v>
      </c>
      <c r="AO1855" s="1">
        <v>1</v>
      </c>
      <c r="AP1855" s="1" t="s">
        <v>209</v>
      </c>
      <c r="AQ1855" s="1">
        <v>2</v>
      </c>
      <c r="AR1855" s="1" t="s">
        <v>209</v>
      </c>
      <c r="AS1855" s="1" t="s">
        <v>204</v>
      </c>
      <c r="AT1855" s="1" t="s">
        <v>211</v>
      </c>
      <c r="AU1855" s="1">
        <v>1</v>
      </c>
      <c r="AW1855" s="1" t="s">
        <v>204</v>
      </c>
      <c r="AX1855" s="1" t="s">
        <v>212</v>
      </c>
      <c r="AZ1855" s="1">
        <v>5773.22</v>
      </c>
      <c r="BA1855" s="1">
        <v>2013</v>
      </c>
      <c r="BB1855" s="1" t="s">
        <v>210</v>
      </c>
      <c r="BE1855" s="1">
        <v>1749</v>
      </c>
      <c r="BF1855" s="1">
        <v>1</v>
      </c>
      <c r="BG1855" s="1">
        <v>30</v>
      </c>
      <c r="BL1855" s="1">
        <v>333</v>
      </c>
      <c r="BM1855" s="1" t="s">
        <v>413</v>
      </c>
      <c r="BN1855" s="1" t="s">
        <v>213</v>
      </c>
      <c r="BO1855" s="1">
        <v>0</v>
      </c>
      <c r="BP1855" s="1" t="s">
        <v>204</v>
      </c>
      <c r="BR1855" s="1" t="str">
        <f>"13112003040000"</f>
        <v>13112003040000</v>
      </c>
      <c r="BT1855" s="1" t="s">
        <v>17208</v>
      </c>
      <c r="BX1855" s="1">
        <v>220</v>
      </c>
      <c r="BY1855" s="1">
        <v>220</v>
      </c>
      <c r="BZ1855" s="1">
        <v>220</v>
      </c>
      <c r="CB1855" s="1" t="str">
        <f>"24"</f>
        <v>24</v>
      </c>
      <c r="CC1855" s="1" t="str">
        <f>""</f>
        <v/>
      </c>
      <c r="CD1855" s="1">
        <v>26</v>
      </c>
      <c r="CG1855" s="1" t="s">
        <v>1723</v>
      </c>
      <c r="CH1855" s="1" t="s">
        <v>219</v>
      </c>
      <c r="CI1855" s="1" t="s">
        <v>220</v>
      </c>
      <c r="CK1855" s="1" t="s">
        <v>932</v>
      </c>
      <c r="CL1855" s="1" t="s">
        <v>277</v>
      </c>
      <c r="CM1855" s="1" t="s">
        <v>220</v>
      </c>
      <c r="CO1855" s="1" t="s">
        <v>629</v>
      </c>
      <c r="CP1855" s="1" t="s">
        <v>219</v>
      </c>
      <c r="CS1855" s="1" t="s">
        <v>346</v>
      </c>
      <c r="CT1855" s="1" t="s">
        <v>277</v>
      </c>
      <c r="CU1855" s="1" t="s">
        <v>220</v>
      </c>
      <c r="CX1855" s="1" t="s">
        <v>224</v>
      </c>
      <c r="DB1855" s="1" t="s">
        <v>224</v>
      </c>
      <c r="DE1855" s="1" t="s">
        <v>786</v>
      </c>
      <c r="DF1855" s="1" t="s">
        <v>219</v>
      </c>
      <c r="DG1855" s="1" t="s">
        <v>438</v>
      </c>
      <c r="DI1855" s="1" t="s">
        <v>3100</v>
      </c>
      <c r="DJ1855" s="1" t="s">
        <v>822</v>
      </c>
      <c r="DK1855" s="1" t="s">
        <v>220</v>
      </c>
      <c r="DS1855" s="1" t="s">
        <v>230</v>
      </c>
      <c r="DW1855" s="1" t="s">
        <v>230</v>
      </c>
      <c r="EA1855" s="1" t="s">
        <v>230</v>
      </c>
      <c r="EE1855" s="1" t="s">
        <v>230</v>
      </c>
      <c r="EI1855" s="1" t="s">
        <v>230</v>
      </c>
      <c r="EL1855" s="1" t="s">
        <v>382</v>
      </c>
      <c r="EM1855" s="1" t="s">
        <v>761</v>
      </c>
      <c r="EN1855" s="1" t="s">
        <v>282</v>
      </c>
      <c r="EO1855" s="1" t="s">
        <v>234</v>
      </c>
      <c r="ER1855" s="1" t="s">
        <v>544</v>
      </c>
      <c r="ES1855" s="1" t="s">
        <v>322</v>
      </c>
      <c r="EU1855" s="1" t="s">
        <v>1573</v>
      </c>
      <c r="EW1855" s="1" t="s">
        <v>547</v>
      </c>
      <c r="EZ1855" s="1" t="s">
        <v>287</v>
      </c>
      <c r="FD1855" s="1" t="s">
        <v>246</v>
      </c>
      <c r="FE1855" s="1" t="s">
        <v>889</v>
      </c>
      <c r="FF1855" s="1" t="s">
        <v>248</v>
      </c>
      <c r="FG1855" s="1" t="s">
        <v>2406</v>
      </c>
      <c r="FH1855" s="1" t="s">
        <v>766</v>
      </c>
      <c r="FL1855" s="1" t="s">
        <v>358</v>
      </c>
      <c r="FM1855" s="1" t="s">
        <v>252</v>
      </c>
      <c r="FN1855" s="1" t="s">
        <v>213</v>
      </c>
      <c r="FO1855" s="1" t="s">
        <v>213</v>
      </c>
      <c r="FQ1855" s="1" t="s">
        <v>913</v>
      </c>
      <c r="FR1855" s="1" t="s">
        <v>210</v>
      </c>
      <c r="FS1855" s="1" t="s">
        <v>3242</v>
      </c>
      <c r="FT1855" s="1" t="s">
        <v>295</v>
      </c>
      <c r="FU1855" s="1" t="s">
        <v>204</v>
      </c>
      <c r="FW1855" s="1" t="s">
        <v>3243</v>
      </c>
      <c r="FX1855" s="1">
        <v>604</v>
      </c>
      <c r="FY1855" s="1" t="s">
        <v>3244</v>
      </c>
      <c r="FZ1855" s="1" t="s">
        <v>3245</v>
      </c>
      <c r="GA1855" s="1">
        <v>381</v>
      </c>
      <c r="GB1855" s="1" t="s">
        <v>3246</v>
      </c>
      <c r="GC1855" s="1">
        <v>1954</v>
      </c>
      <c r="GE1855" s="1" t="s">
        <v>210</v>
      </c>
      <c r="GH1855" s="1" t="s">
        <v>230</v>
      </c>
      <c r="GI1855" s="1" t="s">
        <v>213</v>
      </c>
      <c r="GJ1855" s="1" t="s">
        <v>260</v>
      </c>
      <c r="GK1855" s="1" t="s">
        <v>210</v>
      </c>
      <c r="GL1855" s="2">
        <v>42062</v>
      </c>
      <c r="GM1855" s="1" t="s">
        <v>17209</v>
      </c>
    </row>
    <row r="1856" spans="1:195">
      <c r="A1856" s="1">
        <v>62000</v>
      </c>
      <c r="B1856" s="1" t="s">
        <v>195</v>
      </c>
      <c r="C1856" s="1" t="str">
        <f>"08731486"</f>
        <v>08731486</v>
      </c>
      <c r="D1856" s="1" t="s">
        <v>196</v>
      </c>
      <c r="F1856" s="1" t="str">
        <f>"480"</f>
        <v>480</v>
      </c>
      <c r="G1856" s="2">
        <v>41900</v>
      </c>
      <c r="H1856" s="1">
        <v>69900</v>
      </c>
      <c r="I1856" s="1">
        <v>65000</v>
      </c>
      <c r="J1856" s="1">
        <v>62000</v>
      </c>
      <c r="K1856" s="2">
        <v>41900</v>
      </c>
      <c r="L1856" s="1">
        <v>56</v>
      </c>
      <c r="M1856" s="2">
        <v>41955</v>
      </c>
      <c r="N1856" s="1">
        <v>56</v>
      </c>
      <c r="O1856" s="2">
        <v>41955</v>
      </c>
      <c r="P1856" s="1">
        <v>23099</v>
      </c>
      <c r="Q1856" s="1" t="s">
        <v>197</v>
      </c>
      <c r="R1856" s="2">
        <v>42084</v>
      </c>
      <c r="S1856" s="1">
        <v>238337</v>
      </c>
      <c r="U1856" s="1">
        <v>128</v>
      </c>
      <c r="V1856" s="1" t="s">
        <v>9150</v>
      </c>
      <c r="W1856" s="1" t="s">
        <v>304</v>
      </c>
      <c r="X1856" s="1" t="s">
        <v>527</v>
      </c>
      <c r="Y1856" s="1">
        <v>6</v>
      </c>
      <c r="Z1856" s="1" t="s">
        <v>370</v>
      </c>
      <c r="AA1856" s="1" t="s">
        <v>3145</v>
      </c>
      <c r="AB1856" s="1">
        <v>60480</v>
      </c>
      <c r="AD1856" s="1" t="s">
        <v>9151</v>
      </c>
      <c r="AE1856" s="1" t="s">
        <v>17210</v>
      </c>
      <c r="AF1856" s="1">
        <v>1990</v>
      </c>
      <c r="AG1856" s="1" t="s">
        <v>204</v>
      </c>
      <c r="AH1856" s="1" t="s">
        <v>3147</v>
      </c>
      <c r="AI1856" s="1" t="s">
        <v>310</v>
      </c>
      <c r="AJ1856" s="1" t="s">
        <v>3148</v>
      </c>
      <c r="AL1856" s="1">
        <v>4</v>
      </c>
      <c r="AM1856" s="1">
        <v>2</v>
      </c>
      <c r="AN1856" s="1">
        <v>1</v>
      </c>
      <c r="AO1856" s="1">
        <v>1</v>
      </c>
      <c r="AP1856" s="1" t="s">
        <v>210</v>
      </c>
      <c r="AQ1856" s="1">
        <v>1</v>
      </c>
      <c r="AR1856" s="1" t="s">
        <v>210</v>
      </c>
      <c r="AS1856" s="1" t="s">
        <v>204</v>
      </c>
      <c r="AT1856" s="1" t="s">
        <v>271</v>
      </c>
      <c r="AV1856" s="1">
        <v>2</v>
      </c>
      <c r="AW1856" s="1" t="s">
        <v>204</v>
      </c>
      <c r="AX1856" s="1">
        <v>729</v>
      </c>
      <c r="AZ1856" s="1">
        <v>3178.64</v>
      </c>
      <c r="BA1856" s="1">
        <v>2013</v>
      </c>
      <c r="BB1856" s="1" t="s">
        <v>405</v>
      </c>
      <c r="BE1856" s="1">
        <v>968</v>
      </c>
      <c r="BF1856" s="1">
        <v>1</v>
      </c>
      <c r="BG1856" s="1">
        <v>3</v>
      </c>
      <c r="BL1856" s="1">
        <v>205</v>
      </c>
      <c r="BM1856" s="1" t="s">
        <v>204</v>
      </c>
      <c r="BN1856" s="1" t="s">
        <v>213</v>
      </c>
      <c r="BO1856" s="1">
        <v>999</v>
      </c>
      <c r="BP1856" s="1" t="s">
        <v>204</v>
      </c>
      <c r="BR1856" s="1" t="str">
        <f>"23052010950000"</f>
        <v>23052010950000</v>
      </c>
      <c r="BT1856" s="1" t="s">
        <v>17211</v>
      </c>
      <c r="BX1856" s="1">
        <v>108</v>
      </c>
      <c r="BY1856" s="1">
        <v>108</v>
      </c>
      <c r="BZ1856" s="1">
        <v>230</v>
      </c>
      <c r="CB1856" s="1" t="str">
        <f t="shared" ref="CB1856:CC1856" si="1407">""</f>
        <v/>
      </c>
      <c r="CC1856" s="1" t="str">
        <f t="shared" si="1407"/>
        <v/>
      </c>
      <c r="CG1856" s="1" t="s">
        <v>581</v>
      </c>
      <c r="CH1856" s="1" t="s">
        <v>219</v>
      </c>
      <c r="CK1856" s="1" t="s">
        <v>564</v>
      </c>
      <c r="CL1856" s="1" t="s">
        <v>277</v>
      </c>
      <c r="CP1856" s="1" t="s">
        <v>224</v>
      </c>
      <c r="CS1856" s="1" t="s">
        <v>317</v>
      </c>
      <c r="CT1856" s="1" t="s">
        <v>277</v>
      </c>
      <c r="CX1856" s="1" t="s">
        <v>224</v>
      </c>
      <c r="DB1856" s="1" t="s">
        <v>224</v>
      </c>
      <c r="DE1856" s="1" t="s">
        <v>972</v>
      </c>
      <c r="DF1856" s="1" t="s">
        <v>219</v>
      </c>
      <c r="DJ1856" s="1" t="s">
        <v>224</v>
      </c>
      <c r="DM1856" s="1" t="s">
        <v>3011</v>
      </c>
      <c r="DR1856" s="1" t="s">
        <v>1750</v>
      </c>
      <c r="DS1856" s="1" t="s">
        <v>219</v>
      </c>
      <c r="DW1856" s="1" t="s">
        <v>230</v>
      </c>
      <c r="EA1856" s="1" t="s">
        <v>230</v>
      </c>
      <c r="EE1856" s="1" t="s">
        <v>230</v>
      </c>
      <c r="EI1856" s="1" t="s">
        <v>230</v>
      </c>
      <c r="EL1856" s="1" t="s">
        <v>382</v>
      </c>
      <c r="EM1856" s="1" t="s">
        <v>232</v>
      </c>
      <c r="EN1856" s="1" t="s">
        <v>1158</v>
      </c>
      <c r="EO1856" s="1" t="s">
        <v>234</v>
      </c>
      <c r="EQ1856" s="1" t="s">
        <v>17212</v>
      </c>
      <c r="ER1856" s="1" t="s">
        <v>210</v>
      </c>
      <c r="ES1856" s="1" t="s">
        <v>322</v>
      </c>
      <c r="EU1856" s="1" t="s">
        <v>239</v>
      </c>
      <c r="EW1856" s="1" t="s">
        <v>3152</v>
      </c>
      <c r="EZ1856" s="1" t="s">
        <v>3011</v>
      </c>
      <c r="FD1856" s="1" t="s">
        <v>246</v>
      </c>
      <c r="FE1856" s="1" t="s">
        <v>651</v>
      </c>
      <c r="FF1856" s="1" t="s">
        <v>248</v>
      </c>
      <c r="FG1856" s="1" t="s">
        <v>17213</v>
      </c>
      <c r="FH1856" s="1" t="s">
        <v>550</v>
      </c>
      <c r="FK1856" s="1" t="s">
        <v>291</v>
      </c>
      <c r="FL1856" s="1" t="s">
        <v>328</v>
      </c>
      <c r="FM1856" s="1" t="s">
        <v>252</v>
      </c>
      <c r="FN1856" s="1" t="s">
        <v>213</v>
      </c>
      <c r="FO1856" s="1" t="s">
        <v>213</v>
      </c>
      <c r="FQ1856" s="1" t="s">
        <v>17214</v>
      </c>
      <c r="FR1856" s="1" t="s">
        <v>9166</v>
      </c>
      <c r="FS1856" s="1" t="s">
        <v>17215</v>
      </c>
      <c r="FT1856" s="1" t="s">
        <v>295</v>
      </c>
      <c r="FU1856" s="1" t="s">
        <v>204</v>
      </c>
      <c r="FW1856" s="1" t="s">
        <v>5648</v>
      </c>
      <c r="FX1856" s="1">
        <v>23099</v>
      </c>
      <c r="FY1856" s="1" t="s">
        <v>5649</v>
      </c>
      <c r="FZ1856" s="1" t="s">
        <v>17216</v>
      </c>
      <c r="GA1856" s="1">
        <v>235723</v>
      </c>
      <c r="GB1856" s="1" t="s">
        <v>17217</v>
      </c>
      <c r="GE1856" s="1" t="s">
        <v>210</v>
      </c>
      <c r="GI1856" s="1" t="s">
        <v>213</v>
      </c>
      <c r="GJ1856" s="1" t="s">
        <v>260</v>
      </c>
      <c r="GK1856" s="1" t="s">
        <v>210</v>
      </c>
      <c r="GL1856" s="2">
        <v>42084</v>
      </c>
      <c r="GM1856" s="1" t="s">
        <v>17218</v>
      </c>
    </row>
    <row r="1857" spans="1:195">
      <c r="A1857" s="1">
        <v>140000</v>
      </c>
      <c r="B1857" s="1" t="s">
        <v>195</v>
      </c>
      <c r="C1857" s="1" t="str">
        <f>"08730777"</f>
        <v>08730777</v>
      </c>
      <c r="D1857" s="1" t="s">
        <v>196</v>
      </c>
      <c r="F1857" s="1" t="str">
        <f>"115"</f>
        <v>115</v>
      </c>
      <c r="G1857" s="2">
        <v>41899</v>
      </c>
      <c r="H1857" s="1">
        <v>148500</v>
      </c>
      <c r="I1857" s="1">
        <v>145500</v>
      </c>
      <c r="J1857" s="1">
        <v>140000</v>
      </c>
      <c r="K1857" s="2">
        <v>41898</v>
      </c>
      <c r="L1857" s="1">
        <v>190</v>
      </c>
      <c r="M1857" s="2">
        <v>42087</v>
      </c>
      <c r="N1857" s="1">
        <v>190</v>
      </c>
      <c r="O1857" s="2">
        <v>42087</v>
      </c>
      <c r="P1857" s="1">
        <v>93043</v>
      </c>
      <c r="Q1857" s="1" t="s">
        <v>197</v>
      </c>
      <c r="R1857" s="2">
        <v>42124</v>
      </c>
      <c r="S1857" s="1">
        <v>930128</v>
      </c>
      <c r="U1857" s="1">
        <v>1427</v>
      </c>
      <c r="V1857" s="1" t="s">
        <v>17219</v>
      </c>
      <c r="W1857" s="1" t="s">
        <v>504</v>
      </c>
      <c r="X1857" s="1">
        <v>1427</v>
      </c>
      <c r="Y1857" s="1">
        <v>2</v>
      </c>
      <c r="Z1857" s="1" t="s">
        <v>370</v>
      </c>
      <c r="AA1857" s="1" t="s">
        <v>2242</v>
      </c>
      <c r="AB1857" s="1">
        <v>60115</v>
      </c>
      <c r="AD1857" s="1" t="s">
        <v>3297</v>
      </c>
      <c r="AE1857" s="1" t="s">
        <v>17220</v>
      </c>
      <c r="AF1857" s="1">
        <v>2010</v>
      </c>
      <c r="AG1857" s="1" t="s">
        <v>204</v>
      </c>
      <c r="AH1857" s="1" t="s">
        <v>2245</v>
      </c>
      <c r="AI1857" s="1" t="s">
        <v>2246</v>
      </c>
      <c r="AJ1857" s="1" t="s">
        <v>2245</v>
      </c>
      <c r="AL1857" s="1">
        <v>5</v>
      </c>
      <c r="AM1857" s="1">
        <v>2</v>
      </c>
      <c r="AN1857" s="1">
        <v>2</v>
      </c>
      <c r="AO1857" s="1">
        <v>0</v>
      </c>
      <c r="AP1857" s="1" t="s">
        <v>209</v>
      </c>
      <c r="AQ1857" s="1">
        <v>1</v>
      </c>
      <c r="AR1857" s="1" t="s">
        <v>210</v>
      </c>
      <c r="AS1857" s="1" t="s">
        <v>204</v>
      </c>
      <c r="AT1857" s="1" t="s">
        <v>375</v>
      </c>
      <c r="AU1857" s="1">
        <v>2</v>
      </c>
      <c r="AV1857" s="1">
        <v>2</v>
      </c>
      <c r="AW1857" s="1" t="s">
        <v>204</v>
      </c>
      <c r="AX1857" s="1" t="s">
        <v>17221</v>
      </c>
      <c r="AZ1857" s="1">
        <v>4490</v>
      </c>
      <c r="BA1857" s="1">
        <v>2013</v>
      </c>
      <c r="BB1857" s="1" t="s">
        <v>405</v>
      </c>
      <c r="BE1857" s="1">
        <v>1659</v>
      </c>
      <c r="BF1857" s="1">
        <v>1</v>
      </c>
      <c r="BG1857" s="1">
        <v>0</v>
      </c>
      <c r="BL1857" s="1">
        <v>51</v>
      </c>
      <c r="BM1857" s="1" t="s">
        <v>213</v>
      </c>
      <c r="BN1857" s="1" t="s">
        <v>213</v>
      </c>
      <c r="BO1857" s="1">
        <v>0</v>
      </c>
      <c r="BP1857" s="1" t="s">
        <v>204</v>
      </c>
      <c r="BR1857" s="1" t="str">
        <f>"0813305042"</f>
        <v>0813305042</v>
      </c>
      <c r="BT1857" s="1" t="s">
        <v>17222</v>
      </c>
      <c r="BX1857" s="1">
        <v>428</v>
      </c>
      <c r="BY1857" s="1">
        <v>428</v>
      </c>
      <c r="BZ1857" s="1">
        <v>428</v>
      </c>
      <c r="CB1857" s="1" t="str">
        <f t="shared" ref="CB1857:CC1857" si="1408">""</f>
        <v/>
      </c>
      <c r="CC1857" s="1" t="str">
        <f t="shared" si="1408"/>
        <v/>
      </c>
      <c r="CH1857" s="1" t="s">
        <v>224</v>
      </c>
      <c r="CK1857" s="1" t="s">
        <v>885</v>
      </c>
      <c r="CL1857" s="1" t="s">
        <v>219</v>
      </c>
      <c r="CO1857" s="1" t="s">
        <v>2138</v>
      </c>
      <c r="CP1857" s="1" t="s">
        <v>219</v>
      </c>
      <c r="CS1857" s="1" t="s">
        <v>2170</v>
      </c>
      <c r="CT1857" s="1" t="s">
        <v>219</v>
      </c>
      <c r="CX1857" s="1" t="s">
        <v>224</v>
      </c>
      <c r="DB1857" s="1" t="s">
        <v>224</v>
      </c>
      <c r="DE1857" s="1" t="s">
        <v>538</v>
      </c>
      <c r="DF1857" s="1" t="s">
        <v>219</v>
      </c>
      <c r="DI1857" s="1" t="s">
        <v>8527</v>
      </c>
      <c r="DJ1857" s="1" t="s">
        <v>219</v>
      </c>
      <c r="DS1857" s="1" t="s">
        <v>230</v>
      </c>
      <c r="DW1857" s="1" t="s">
        <v>230</v>
      </c>
      <c r="EA1857" s="1" t="s">
        <v>230</v>
      </c>
      <c r="EE1857" s="1" t="s">
        <v>230</v>
      </c>
      <c r="EI1857" s="1" t="s">
        <v>230</v>
      </c>
      <c r="EL1857" s="1" t="s">
        <v>1549</v>
      </c>
      <c r="EM1857" s="1" t="s">
        <v>319</v>
      </c>
      <c r="EN1857" s="1" t="s">
        <v>282</v>
      </c>
      <c r="EO1857" s="1" t="s">
        <v>234</v>
      </c>
      <c r="EQ1857" s="1" t="s">
        <v>468</v>
      </c>
      <c r="ER1857" s="1" t="s">
        <v>210</v>
      </c>
      <c r="ET1857" s="1" t="s">
        <v>323</v>
      </c>
      <c r="EU1857" s="1" t="s">
        <v>17223</v>
      </c>
      <c r="EW1857" s="1" t="s">
        <v>210</v>
      </c>
      <c r="EZ1857" s="1" t="s">
        <v>287</v>
      </c>
      <c r="FD1857" s="1" t="s">
        <v>246</v>
      </c>
      <c r="FE1857" s="1" t="s">
        <v>472</v>
      </c>
      <c r="FF1857" s="1" t="s">
        <v>3103</v>
      </c>
      <c r="FG1857" s="1" t="s">
        <v>912</v>
      </c>
      <c r="FH1857" s="1" t="s">
        <v>825</v>
      </c>
      <c r="FI1857" s="1" t="s">
        <v>357</v>
      </c>
      <c r="FL1857" s="1" t="s">
        <v>414</v>
      </c>
      <c r="FM1857" s="1" t="s">
        <v>252</v>
      </c>
      <c r="FN1857" s="1" t="s">
        <v>213</v>
      </c>
      <c r="FO1857" s="1" t="s">
        <v>213</v>
      </c>
      <c r="FQ1857" s="1" t="s">
        <v>2091</v>
      </c>
      <c r="FR1857" s="1" t="s">
        <v>652</v>
      </c>
      <c r="FS1857" s="1" t="s">
        <v>17224</v>
      </c>
      <c r="FT1857" s="1" t="s">
        <v>362</v>
      </c>
      <c r="FU1857" s="1" t="s">
        <v>204</v>
      </c>
      <c r="FW1857" s="1" t="s">
        <v>8939</v>
      </c>
      <c r="FX1857" s="1">
        <v>24809</v>
      </c>
      <c r="FY1857" s="1" t="s">
        <v>8940</v>
      </c>
      <c r="FZ1857" s="1" t="s">
        <v>17225</v>
      </c>
      <c r="GA1857" s="1">
        <v>237438</v>
      </c>
      <c r="GD1857" s="1" t="s">
        <v>17226</v>
      </c>
      <c r="GE1857" s="1" t="s">
        <v>480</v>
      </c>
      <c r="GI1857" s="1" t="s">
        <v>213</v>
      </c>
      <c r="GJ1857" s="1" t="s">
        <v>260</v>
      </c>
      <c r="GK1857" s="1" t="s">
        <v>210</v>
      </c>
      <c r="GL1857" s="2">
        <v>42125</v>
      </c>
      <c r="GM1857" s="1" t="s">
        <v>17227</v>
      </c>
    </row>
    <row r="1858" spans="1:195">
      <c r="A1858" s="1">
        <v>275000</v>
      </c>
      <c r="B1858" s="1" t="s">
        <v>195</v>
      </c>
      <c r="C1858" s="1" t="str">
        <f>"08731829"</f>
        <v>08731829</v>
      </c>
      <c r="D1858" s="1" t="s">
        <v>196</v>
      </c>
      <c r="F1858" s="1" t="str">
        <f>"134"</f>
        <v>134</v>
      </c>
      <c r="G1858" s="2">
        <v>41900</v>
      </c>
      <c r="H1858" s="1">
        <v>319500</v>
      </c>
      <c r="I1858" s="1">
        <v>295000</v>
      </c>
      <c r="J1858" s="1">
        <v>275000</v>
      </c>
      <c r="K1858" s="2">
        <v>41900</v>
      </c>
      <c r="L1858" s="1">
        <v>133</v>
      </c>
      <c r="M1858" s="2">
        <v>41940</v>
      </c>
      <c r="N1858" s="1">
        <v>41</v>
      </c>
      <c r="O1858" s="2">
        <v>41940</v>
      </c>
      <c r="P1858" s="1">
        <v>107</v>
      </c>
      <c r="Q1858" s="1" t="s">
        <v>197</v>
      </c>
      <c r="R1858" s="2">
        <v>41991</v>
      </c>
      <c r="S1858" s="1">
        <v>8798</v>
      </c>
      <c r="U1858" s="1">
        <v>200</v>
      </c>
      <c r="V1858" s="1" t="s">
        <v>5295</v>
      </c>
      <c r="W1858" s="1" t="s">
        <v>504</v>
      </c>
      <c r="X1858" s="1">
        <v>307</v>
      </c>
      <c r="Y1858" s="1">
        <v>40</v>
      </c>
      <c r="Z1858" s="1" t="s">
        <v>249</v>
      </c>
      <c r="AA1858" s="1" t="s">
        <v>661</v>
      </c>
      <c r="AB1858" s="1">
        <v>60134</v>
      </c>
      <c r="AD1858" s="1" t="s">
        <v>5296</v>
      </c>
      <c r="AE1858" s="1" t="s">
        <v>17228</v>
      </c>
      <c r="AF1858" s="1">
        <v>1999</v>
      </c>
      <c r="AG1858" s="1" t="s">
        <v>204</v>
      </c>
      <c r="AH1858" s="1" t="s">
        <v>664</v>
      </c>
      <c r="AI1858" s="1" t="s">
        <v>665</v>
      </c>
      <c r="AJ1858" s="1" t="s">
        <v>664</v>
      </c>
      <c r="AK1858" s="1" t="s">
        <v>11734</v>
      </c>
      <c r="AL1858" s="1">
        <v>5</v>
      </c>
      <c r="AM1858" s="1">
        <v>2</v>
      </c>
      <c r="AN1858" s="1">
        <v>2</v>
      </c>
      <c r="AO1858" s="1">
        <v>1</v>
      </c>
      <c r="AP1858" s="1" t="s">
        <v>209</v>
      </c>
      <c r="AQ1858" s="1">
        <v>2</v>
      </c>
      <c r="AR1858" s="1" t="s">
        <v>210</v>
      </c>
      <c r="AS1858" s="1" t="s">
        <v>204</v>
      </c>
      <c r="AT1858" s="1" t="s">
        <v>211</v>
      </c>
      <c r="AU1858" s="1">
        <v>1</v>
      </c>
      <c r="AW1858" s="1" t="s">
        <v>204</v>
      </c>
      <c r="AX1858" s="1" t="s">
        <v>212</v>
      </c>
      <c r="AZ1858" s="1">
        <v>9102</v>
      </c>
      <c r="BA1858" s="1">
        <v>2013</v>
      </c>
      <c r="BB1858" s="1" t="s">
        <v>599</v>
      </c>
      <c r="BE1858" s="1">
        <v>1773</v>
      </c>
      <c r="BF1858" s="1">
        <v>3</v>
      </c>
      <c r="BG1858" s="1">
        <v>10</v>
      </c>
      <c r="BL1858" s="1">
        <v>374</v>
      </c>
      <c r="BM1858" s="1" t="s">
        <v>204</v>
      </c>
      <c r="BN1858" s="1" t="s">
        <v>213</v>
      </c>
      <c r="BO1858" s="1">
        <v>30</v>
      </c>
      <c r="BP1858" s="1" t="s">
        <v>204</v>
      </c>
      <c r="BR1858" s="1" t="str">
        <f>"1203427047"</f>
        <v>1203427047</v>
      </c>
      <c r="BT1858" s="1" t="s">
        <v>17229</v>
      </c>
      <c r="BX1858" s="1">
        <v>304</v>
      </c>
      <c r="BY1858" s="1">
        <v>304</v>
      </c>
      <c r="BZ1858" s="1">
        <v>304</v>
      </c>
      <c r="CB1858" s="1" t="str">
        <f t="shared" ref="CB1858:CC1858" si="1409">""</f>
        <v/>
      </c>
      <c r="CC1858" s="1" t="str">
        <f t="shared" si="1409"/>
        <v/>
      </c>
      <c r="CG1858" s="1" t="s">
        <v>6628</v>
      </c>
      <c r="CH1858" s="1" t="s">
        <v>219</v>
      </c>
      <c r="CI1858" s="1" t="s">
        <v>220</v>
      </c>
      <c r="CJ1858" s="1" t="s">
        <v>210</v>
      </c>
      <c r="CK1858" s="1" t="s">
        <v>490</v>
      </c>
      <c r="CL1858" s="1" t="s">
        <v>219</v>
      </c>
      <c r="CM1858" s="1" t="s">
        <v>220</v>
      </c>
      <c r="CN1858" s="1" t="s">
        <v>343</v>
      </c>
      <c r="CO1858" s="1" t="s">
        <v>836</v>
      </c>
      <c r="CP1858" s="1" t="s">
        <v>219</v>
      </c>
      <c r="CQ1858" s="1" t="s">
        <v>220</v>
      </c>
      <c r="CR1858" s="1" t="s">
        <v>210</v>
      </c>
      <c r="CS1858" s="1" t="s">
        <v>2122</v>
      </c>
      <c r="CT1858" s="1" t="s">
        <v>219</v>
      </c>
      <c r="CU1858" s="1" t="s">
        <v>220</v>
      </c>
      <c r="CV1858" s="1" t="s">
        <v>463</v>
      </c>
      <c r="CX1858" s="1" t="s">
        <v>224</v>
      </c>
      <c r="DB1858" s="1" t="s">
        <v>224</v>
      </c>
      <c r="DE1858" s="1" t="s">
        <v>1177</v>
      </c>
      <c r="DF1858" s="1" t="s">
        <v>219</v>
      </c>
      <c r="DG1858" s="1" t="s">
        <v>226</v>
      </c>
      <c r="DH1858" s="1" t="s">
        <v>463</v>
      </c>
      <c r="DJ1858" s="1" t="s">
        <v>224</v>
      </c>
      <c r="DN1858" s="1" t="s">
        <v>8453</v>
      </c>
      <c r="DS1858" s="1" t="s">
        <v>230</v>
      </c>
      <c r="DV1858" s="1" t="s">
        <v>3318</v>
      </c>
      <c r="DW1858" s="1" t="s">
        <v>219</v>
      </c>
      <c r="DX1858" s="1" t="s">
        <v>347</v>
      </c>
      <c r="DY1858" s="1" t="s">
        <v>210</v>
      </c>
      <c r="EA1858" s="1" t="s">
        <v>230</v>
      </c>
      <c r="EE1858" s="1" t="s">
        <v>230</v>
      </c>
      <c r="EI1858" s="1" t="s">
        <v>230</v>
      </c>
      <c r="EL1858" s="1" t="s">
        <v>466</v>
      </c>
      <c r="EM1858" s="1" t="s">
        <v>319</v>
      </c>
      <c r="EN1858" s="1" t="s">
        <v>282</v>
      </c>
      <c r="EO1858" s="1" t="s">
        <v>234</v>
      </c>
      <c r="EQ1858" s="1" t="s">
        <v>236</v>
      </c>
      <c r="ER1858" s="1" t="s">
        <v>210</v>
      </c>
      <c r="ES1858" s="1" t="s">
        <v>17230</v>
      </c>
      <c r="ET1858" s="1" t="s">
        <v>1201</v>
      </c>
      <c r="EU1858" s="1" t="s">
        <v>17231</v>
      </c>
      <c r="EV1858" s="1" t="s">
        <v>324</v>
      </c>
      <c r="EW1858" s="1" t="s">
        <v>286</v>
      </c>
      <c r="EY1858" s="1" t="s">
        <v>242</v>
      </c>
      <c r="EZ1858" s="1" t="s">
        <v>8453</v>
      </c>
      <c r="FA1858" s="1" t="s">
        <v>17232</v>
      </c>
      <c r="FB1858" s="1" t="s">
        <v>289</v>
      </c>
      <c r="FD1858" s="1" t="s">
        <v>246</v>
      </c>
      <c r="FE1858" s="1" t="s">
        <v>247</v>
      </c>
      <c r="FF1858" s="1" t="s">
        <v>248</v>
      </c>
      <c r="FG1858" s="1" t="s">
        <v>1204</v>
      </c>
      <c r="FH1858" s="1" t="s">
        <v>249</v>
      </c>
      <c r="FI1858" s="1" t="s">
        <v>250</v>
      </c>
      <c r="FJ1858" s="1" t="s">
        <v>197</v>
      </c>
      <c r="FL1858" s="1" t="s">
        <v>414</v>
      </c>
      <c r="FM1858" s="1" t="s">
        <v>252</v>
      </c>
      <c r="FN1858" s="1" t="s">
        <v>213</v>
      </c>
      <c r="FO1858" s="1" t="s">
        <v>213</v>
      </c>
      <c r="FQ1858" s="1" t="s">
        <v>4594</v>
      </c>
      <c r="FR1858" s="1" t="s">
        <v>210</v>
      </c>
      <c r="FS1858" s="1" t="s">
        <v>17233</v>
      </c>
      <c r="FT1858" s="1" t="s">
        <v>295</v>
      </c>
      <c r="FU1858" s="1" t="s">
        <v>204</v>
      </c>
      <c r="FW1858" s="1" t="s">
        <v>676</v>
      </c>
      <c r="FX1858" s="1">
        <v>30</v>
      </c>
      <c r="FY1858" s="1" t="s">
        <v>677</v>
      </c>
      <c r="FZ1858" s="1" t="s">
        <v>17234</v>
      </c>
      <c r="GA1858" s="1">
        <v>500</v>
      </c>
      <c r="GB1858" s="1" t="s">
        <v>17235</v>
      </c>
      <c r="GE1858" s="1" t="s">
        <v>210</v>
      </c>
      <c r="GH1858" s="1" t="s">
        <v>230</v>
      </c>
      <c r="GI1858" s="1" t="s">
        <v>213</v>
      </c>
      <c r="GJ1858" s="1" t="s">
        <v>260</v>
      </c>
      <c r="GK1858" s="1" t="s">
        <v>210</v>
      </c>
      <c r="GL1858" s="2">
        <v>41996</v>
      </c>
      <c r="GM1858" s="1" t="s">
        <v>17236</v>
      </c>
    </row>
    <row r="1859" spans="1:195">
      <c r="A1859" s="1">
        <v>172000</v>
      </c>
      <c r="B1859" s="1" t="s">
        <v>195</v>
      </c>
      <c r="C1859" s="1" t="str">
        <f>"08734028"</f>
        <v>08734028</v>
      </c>
      <c r="D1859" s="1" t="s">
        <v>196</v>
      </c>
      <c r="F1859" s="1" t="str">
        <f>"123"</f>
        <v>123</v>
      </c>
      <c r="G1859" s="2">
        <v>41903</v>
      </c>
      <c r="H1859" s="1">
        <v>179900</v>
      </c>
      <c r="I1859" s="1">
        <v>170000</v>
      </c>
      <c r="J1859" s="1">
        <v>172000</v>
      </c>
      <c r="K1859" s="2">
        <v>41903</v>
      </c>
      <c r="L1859" s="1">
        <v>55</v>
      </c>
      <c r="M1859" s="2">
        <v>41957</v>
      </c>
      <c r="N1859" s="1">
        <v>55</v>
      </c>
      <c r="O1859" s="2">
        <v>41957</v>
      </c>
      <c r="P1859" s="1">
        <v>7661</v>
      </c>
      <c r="Q1859" s="1" t="s">
        <v>423</v>
      </c>
      <c r="R1859" s="2">
        <v>41996</v>
      </c>
      <c r="S1859" s="1">
        <v>77366</v>
      </c>
      <c r="T1859" s="1">
        <v>4000</v>
      </c>
      <c r="U1859" s="1">
        <v>2460</v>
      </c>
      <c r="V1859" s="1" t="s">
        <v>17237</v>
      </c>
      <c r="W1859" s="1" t="s">
        <v>504</v>
      </c>
      <c r="Y1859" s="1">
        <v>4</v>
      </c>
      <c r="Z1859" s="1" t="s">
        <v>370</v>
      </c>
      <c r="AA1859" s="1" t="s">
        <v>1173</v>
      </c>
      <c r="AB1859" s="1">
        <v>60123</v>
      </c>
      <c r="AD1859" s="1" t="s">
        <v>6149</v>
      </c>
      <c r="AE1859" s="1" t="s">
        <v>17238</v>
      </c>
      <c r="AF1859" s="1">
        <v>1999</v>
      </c>
      <c r="AG1859" s="1" t="s">
        <v>204</v>
      </c>
      <c r="AH1859" s="1" t="s">
        <v>1175</v>
      </c>
      <c r="AI1859" s="1" t="s">
        <v>665</v>
      </c>
      <c r="AJ1859" s="1" t="s">
        <v>1175</v>
      </c>
      <c r="AL1859" s="1">
        <v>8</v>
      </c>
      <c r="AM1859" s="1">
        <v>2</v>
      </c>
      <c r="AN1859" s="1">
        <v>2</v>
      </c>
      <c r="AO1859" s="1">
        <v>1</v>
      </c>
      <c r="AP1859" s="1" t="s">
        <v>209</v>
      </c>
      <c r="AQ1859" s="1">
        <v>1</v>
      </c>
      <c r="AR1859" s="1" t="s">
        <v>209</v>
      </c>
      <c r="AS1859" s="1" t="s">
        <v>204</v>
      </c>
      <c r="AT1859" s="1" t="s">
        <v>211</v>
      </c>
      <c r="AU1859" s="1">
        <v>2</v>
      </c>
      <c r="AW1859" s="1" t="s">
        <v>204</v>
      </c>
      <c r="AX1859" s="1" t="s">
        <v>212</v>
      </c>
      <c r="AZ1859" s="1">
        <v>3646.78</v>
      </c>
      <c r="BA1859" s="1">
        <v>2013</v>
      </c>
      <c r="BB1859" s="1" t="s">
        <v>599</v>
      </c>
      <c r="BE1859" s="1">
        <v>1630</v>
      </c>
      <c r="BF1859" s="1">
        <v>1</v>
      </c>
      <c r="BG1859" s="1">
        <v>0</v>
      </c>
      <c r="BL1859" s="1">
        <v>165</v>
      </c>
      <c r="BM1859" s="1" t="s">
        <v>204</v>
      </c>
      <c r="BN1859" s="1" t="s">
        <v>213</v>
      </c>
      <c r="BO1859" s="1">
        <v>999</v>
      </c>
      <c r="BP1859" s="1" t="s">
        <v>204</v>
      </c>
      <c r="BR1859" s="1" t="str">
        <f>"0633155012"</f>
        <v>0633155012</v>
      </c>
      <c r="BT1859" s="1" t="s">
        <v>17239</v>
      </c>
      <c r="BX1859" s="1">
        <v>46</v>
      </c>
      <c r="BY1859" s="1">
        <v>46</v>
      </c>
      <c r="BZ1859" s="1">
        <v>46</v>
      </c>
      <c r="CB1859" s="1" t="str">
        <f t="shared" ref="CB1859:CC1859" si="1410">""</f>
        <v/>
      </c>
      <c r="CC1859" s="1" t="str">
        <f t="shared" si="1410"/>
        <v/>
      </c>
      <c r="CG1859" s="1" t="s">
        <v>2560</v>
      </c>
      <c r="CH1859" s="1" t="s">
        <v>219</v>
      </c>
      <c r="CI1859" s="1" t="s">
        <v>220</v>
      </c>
      <c r="CJ1859" s="1" t="s">
        <v>439</v>
      </c>
      <c r="CK1859" s="1" t="s">
        <v>4070</v>
      </c>
      <c r="CL1859" s="1" t="s">
        <v>277</v>
      </c>
      <c r="CM1859" s="1" t="s">
        <v>220</v>
      </c>
      <c r="CN1859" s="1" t="s">
        <v>439</v>
      </c>
      <c r="CO1859" s="1" t="s">
        <v>409</v>
      </c>
      <c r="CP1859" s="1" t="s">
        <v>219</v>
      </c>
      <c r="CQ1859" s="1" t="s">
        <v>220</v>
      </c>
      <c r="CS1859" s="1" t="s">
        <v>1358</v>
      </c>
      <c r="CT1859" s="1" t="s">
        <v>277</v>
      </c>
      <c r="CU1859" s="1" t="s">
        <v>220</v>
      </c>
      <c r="CV1859" s="1" t="s">
        <v>439</v>
      </c>
      <c r="CX1859" s="1" t="s">
        <v>224</v>
      </c>
      <c r="DB1859" s="1" t="s">
        <v>224</v>
      </c>
      <c r="DE1859" s="1" t="s">
        <v>318</v>
      </c>
      <c r="DF1859" s="1" t="s">
        <v>219</v>
      </c>
      <c r="DG1859" s="1" t="s">
        <v>342</v>
      </c>
      <c r="DH1859" s="1" t="s">
        <v>210</v>
      </c>
      <c r="DI1859" s="1" t="s">
        <v>835</v>
      </c>
      <c r="DJ1859" s="1" t="s">
        <v>43</v>
      </c>
      <c r="DK1859" s="1" t="s">
        <v>220</v>
      </c>
      <c r="DL1859" s="1" t="s">
        <v>439</v>
      </c>
      <c r="DM1859" s="1" t="s">
        <v>227</v>
      </c>
      <c r="DN1859" s="1" t="s">
        <v>464</v>
      </c>
      <c r="DO1859" s="1" t="s">
        <v>709</v>
      </c>
      <c r="DR1859" s="1" t="s">
        <v>1046</v>
      </c>
      <c r="DS1859" s="1" t="s">
        <v>43</v>
      </c>
      <c r="DT1859" s="1" t="s">
        <v>220</v>
      </c>
      <c r="DU1859" s="1" t="s">
        <v>210</v>
      </c>
      <c r="DV1859" s="1" t="s">
        <v>3316</v>
      </c>
      <c r="DW1859" s="1" t="s">
        <v>219</v>
      </c>
      <c r="DX1859" s="1" t="s">
        <v>220</v>
      </c>
      <c r="DY1859" s="1" t="s">
        <v>439</v>
      </c>
      <c r="DZ1859" s="1" t="s">
        <v>410</v>
      </c>
      <c r="EA1859" s="1" t="s">
        <v>219</v>
      </c>
      <c r="EB1859" s="1" t="s">
        <v>226</v>
      </c>
      <c r="EC1859" s="1" t="s">
        <v>210</v>
      </c>
      <c r="EE1859" s="1" t="s">
        <v>230</v>
      </c>
      <c r="EI1859" s="1" t="s">
        <v>230</v>
      </c>
      <c r="EL1859" s="1" t="s">
        <v>466</v>
      </c>
      <c r="EM1859" s="1" t="s">
        <v>319</v>
      </c>
      <c r="EN1859" s="1" t="s">
        <v>282</v>
      </c>
      <c r="EO1859" s="1" t="s">
        <v>234</v>
      </c>
      <c r="EP1859" s="1" t="s">
        <v>543</v>
      </c>
      <c r="EQ1859" s="1" t="s">
        <v>236</v>
      </c>
      <c r="ER1859" s="1" t="s">
        <v>544</v>
      </c>
      <c r="ET1859" s="1" t="s">
        <v>4177</v>
      </c>
      <c r="EU1859" s="1" t="s">
        <v>610</v>
      </c>
      <c r="EV1859" s="1" t="s">
        <v>324</v>
      </c>
      <c r="EW1859" s="1" t="s">
        <v>353</v>
      </c>
      <c r="EZ1859" s="1" t="s">
        <v>17240</v>
      </c>
      <c r="FA1859" s="1" t="s">
        <v>5059</v>
      </c>
      <c r="FD1859" s="1" t="s">
        <v>246</v>
      </c>
      <c r="FE1859" s="1" t="s">
        <v>975</v>
      </c>
      <c r="FF1859" s="1" t="s">
        <v>248</v>
      </c>
      <c r="FG1859" s="1" t="s">
        <v>912</v>
      </c>
      <c r="FH1859" s="1" t="s">
        <v>550</v>
      </c>
      <c r="FI1859" s="1" t="s">
        <v>473</v>
      </c>
      <c r="FL1859" s="1" t="s">
        <v>358</v>
      </c>
      <c r="FM1859" s="1" t="s">
        <v>252</v>
      </c>
      <c r="FN1859" s="1" t="s">
        <v>213</v>
      </c>
      <c r="FO1859" s="1" t="s">
        <v>213</v>
      </c>
      <c r="FQ1859" s="1" t="s">
        <v>1758</v>
      </c>
      <c r="FR1859" s="1" t="s">
        <v>210</v>
      </c>
      <c r="FS1859" s="1" t="s">
        <v>17241</v>
      </c>
      <c r="FT1859" s="1" t="s">
        <v>295</v>
      </c>
      <c r="FU1859" s="1" t="s">
        <v>204</v>
      </c>
      <c r="FW1859" s="1" t="s">
        <v>676</v>
      </c>
      <c r="FX1859" s="1">
        <v>30</v>
      </c>
      <c r="FY1859" s="1" t="s">
        <v>677</v>
      </c>
      <c r="FZ1859" s="1" t="s">
        <v>10845</v>
      </c>
      <c r="GA1859" s="1">
        <v>7679</v>
      </c>
      <c r="GB1859" s="1" t="s">
        <v>10846</v>
      </c>
      <c r="GE1859" s="1" t="s">
        <v>480</v>
      </c>
      <c r="GI1859" s="1" t="s">
        <v>213</v>
      </c>
      <c r="GJ1859" s="1" t="s">
        <v>260</v>
      </c>
      <c r="GK1859" s="1" t="s">
        <v>210</v>
      </c>
      <c r="GL1859" s="2">
        <v>41999</v>
      </c>
      <c r="GM1859" s="1" t="s">
        <v>17242</v>
      </c>
    </row>
    <row r="1860" spans="1:195">
      <c r="A1860" s="1">
        <v>92500</v>
      </c>
      <c r="B1860" s="1" t="s">
        <v>195</v>
      </c>
      <c r="C1860" s="1" t="str">
        <f>"08734127"</f>
        <v>08734127</v>
      </c>
      <c r="D1860" s="1" t="s">
        <v>196</v>
      </c>
      <c r="F1860" s="1" t="str">
        <f>"61"</f>
        <v>61</v>
      </c>
      <c r="G1860" s="2">
        <v>41903</v>
      </c>
      <c r="H1860" s="1">
        <v>109900</v>
      </c>
      <c r="I1860" s="1">
        <v>99900</v>
      </c>
      <c r="J1860" s="1">
        <v>92500</v>
      </c>
      <c r="K1860" s="2">
        <v>41901</v>
      </c>
      <c r="L1860" s="1">
        <v>74</v>
      </c>
      <c r="M1860" s="2">
        <v>41974</v>
      </c>
      <c r="N1860" s="1">
        <v>74</v>
      </c>
      <c r="O1860" s="2">
        <v>41974</v>
      </c>
      <c r="P1860" s="1">
        <v>6026</v>
      </c>
      <c r="Q1860" s="1" t="s">
        <v>302</v>
      </c>
      <c r="R1860" s="2">
        <v>41985</v>
      </c>
      <c r="S1860" s="1">
        <v>37896</v>
      </c>
      <c r="U1860" s="1">
        <v>14</v>
      </c>
      <c r="V1860" s="1" t="s">
        <v>8347</v>
      </c>
      <c r="W1860" s="1" t="s">
        <v>504</v>
      </c>
      <c r="X1860" s="1">
        <v>4</v>
      </c>
      <c r="Y1860" s="1">
        <v>12</v>
      </c>
      <c r="Z1860" s="1" t="s">
        <v>249</v>
      </c>
      <c r="AA1860" s="1" t="s">
        <v>505</v>
      </c>
      <c r="AB1860" s="1">
        <v>60061</v>
      </c>
      <c r="AD1860" s="1" t="s">
        <v>15047</v>
      </c>
      <c r="AE1860" s="1" t="s">
        <v>17243</v>
      </c>
      <c r="AF1860" s="1">
        <v>1982</v>
      </c>
      <c r="AG1860" s="1" t="s">
        <v>204</v>
      </c>
      <c r="AH1860" s="1" t="s">
        <v>508</v>
      </c>
      <c r="AI1860" s="1" t="s">
        <v>509</v>
      </c>
      <c r="AJ1860" s="1" t="s">
        <v>510</v>
      </c>
      <c r="AL1860" s="1">
        <v>4</v>
      </c>
      <c r="AM1860" s="1">
        <v>2</v>
      </c>
      <c r="AN1860" s="1">
        <v>1</v>
      </c>
      <c r="AO1860" s="1">
        <v>1</v>
      </c>
      <c r="AP1860" s="1" t="s">
        <v>210</v>
      </c>
      <c r="AR1860" s="1" t="s">
        <v>210</v>
      </c>
      <c r="AS1860" s="1" t="s">
        <v>204</v>
      </c>
      <c r="AT1860" s="1" t="s">
        <v>271</v>
      </c>
      <c r="AV1860" s="1">
        <v>2</v>
      </c>
      <c r="AW1860" s="1" t="s">
        <v>204</v>
      </c>
      <c r="AX1860" s="1" t="s">
        <v>212</v>
      </c>
      <c r="AZ1860" s="1">
        <v>2428</v>
      </c>
      <c r="BA1860" s="1">
        <v>2013</v>
      </c>
      <c r="BB1860" s="1" t="s">
        <v>405</v>
      </c>
      <c r="BE1860" s="1">
        <v>0</v>
      </c>
      <c r="BF1860" s="1">
        <v>1</v>
      </c>
      <c r="BG1860" s="1">
        <v>0</v>
      </c>
      <c r="BL1860" s="1">
        <v>287</v>
      </c>
      <c r="BM1860" s="1" t="s">
        <v>204</v>
      </c>
      <c r="BN1860" s="1" t="s">
        <v>213</v>
      </c>
      <c r="BO1860" s="1">
        <v>25</v>
      </c>
      <c r="BP1860" s="1" t="s">
        <v>204</v>
      </c>
      <c r="BR1860" s="1" t="str">
        <f>"11324092230000"</f>
        <v>11324092230000</v>
      </c>
      <c r="BT1860" s="1" t="s">
        <v>17244</v>
      </c>
      <c r="BU1860" s="1" t="s">
        <v>512</v>
      </c>
      <c r="BV1860" s="1" t="s">
        <v>513</v>
      </c>
      <c r="BW1860" s="1" t="s">
        <v>514</v>
      </c>
      <c r="BX1860" s="1">
        <v>73</v>
      </c>
      <c r="BY1860" s="1">
        <v>73</v>
      </c>
      <c r="BZ1860" s="1">
        <v>128</v>
      </c>
      <c r="CB1860" s="1" t="str">
        <f>"26"</f>
        <v>26</v>
      </c>
      <c r="CC1860" s="1" t="str">
        <f>"0"</f>
        <v>0</v>
      </c>
      <c r="CD1860" s="1">
        <v>17</v>
      </c>
      <c r="CE1860" s="1">
        <v>0</v>
      </c>
      <c r="CG1860" s="1" t="s">
        <v>1615</v>
      </c>
      <c r="CH1860" s="1" t="s">
        <v>219</v>
      </c>
      <c r="CI1860" s="1" t="s">
        <v>229</v>
      </c>
      <c r="CK1860" s="1" t="s">
        <v>344</v>
      </c>
      <c r="CL1860" s="1" t="s">
        <v>219</v>
      </c>
      <c r="CM1860" s="1" t="s">
        <v>220</v>
      </c>
      <c r="CP1860" s="1" t="s">
        <v>224</v>
      </c>
      <c r="CS1860" s="1" t="s">
        <v>837</v>
      </c>
      <c r="CT1860" s="1" t="s">
        <v>219</v>
      </c>
      <c r="CU1860" s="1" t="s">
        <v>220</v>
      </c>
      <c r="CX1860" s="1" t="s">
        <v>224</v>
      </c>
      <c r="DB1860" s="1" t="s">
        <v>224</v>
      </c>
      <c r="DE1860" s="1" t="s">
        <v>837</v>
      </c>
      <c r="DF1860" s="1" t="s">
        <v>219</v>
      </c>
      <c r="DG1860" s="1" t="s">
        <v>229</v>
      </c>
      <c r="DJ1860" s="1" t="s">
        <v>224</v>
      </c>
      <c r="DS1860" s="1" t="s">
        <v>230</v>
      </c>
      <c r="DW1860" s="1" t="s">
        <v>230</v>
      </c>
      <c r="EA1860" s="1" t="s">
        <v>230</v>
      </c>
      <c r="EE1860" s="1" t="s">
        <v>230</v>
      </c>
      <c r="EI1860" s="1" t="s">
        <v>230</v>
      </c>
      <c r="EL1860" s="1" t="s">
        <v>231</v>
      </c>
      <c r="EM1860" s="1" t="s">
        <v>319</v>
      </c>
      <c r="EN1860" s="1" t="s">
        <v>731</v>
      </c>
      <c r="EO1860" s="1" t="s">
        <v>234</v>
      </c>
      <c r="EP1860" s="1" t="s">
        <v>6649</v>
      </c>
      <c r="ER1860" s="1" t="s">
        <v>210</v>
      </c>
      <c r="EV1860" s="1" t="s">
        <v>240</v>
      </c>
      <c r="EW1860" s="1" t="s">
        <v>2232</v>
      </c>
      <c r="EZ1860" s="1" t="s">
        <v>287</v>
      </c>
      <c r="FD1860" s="1" t="s">
        <v>246</v>
      </c>
      <c r="FE1860" s="1" t="s">
        <v>549</v>
      </c>
      <c r="FF1860" s="1" t="s">
        <v>248</v>
      </c>
      <c r="FH1860" s="1" t="s">
        <v>249</v>
      </c>
      <c r="FK1860" s="1" t="s">
        <v>6240</v>
      </c>
      <c r="FL1860" s="1" t="s">
        <v>414</v>
      </c>
      <c r="FM1860" s="1" t="s">
        <v>252</v>
      </c>
      <c r="FN1860" s="1" t="s">
        <v>213</v>
      </c>
      <c r="FO1860" s="1" t="s">
        <v>204</v>
      </c>
      <c r="FQ1860" s="1" t="s">
        <v>689</v>
      </c>
      <c r="FR1860" s="1" t="s">
        <v>210</v>
      </c>
      <c r="FS1860" s="1" t="s">
        <v>17245</v>
      </c>
      <c r="FT1860" s="1" t="s">
        <v>1828</v>
      </c>
      <c r="FU1860" s="1" t="s">
        <v>204</v>
      </c>
      <c r="FW1860" s="1" t="s">
        <v>17246</v>
      </c>
      <c r="FX1860" s="1">
        <v>1920</v>
      </c>
      <c r="FY1860" s="1" t="s">
        <v>17247</v>
      </c>
      <c r="FZ1860" s="1" t="s">
        <v>17248</v>
      </c>
      <c r="GA1860" s="1">
        <v>28694</v>
      </c>
      <c r="GE1860" s="1" t="s">
        <v>210</v>
      </c>
      <c r="GI1860" s="1" t="s">
        <v>213</v>
      </c>
      <c r="GJ1860" s="1" t="s">
        <v>260</v>
      </c>
      <c r="GK1860" s="1" t="s">
        <v>210</v>
      </c>
      <c r="GL1860" s="2">
        <v>41986</v>
      </c>
      <c r="GM1860" s="1" t="s">
        <v>17249</v>
      </c>
    </row>
    <row r="1861" spans="1:195">
      <c r="A1861" s="1">
        <v>108000</v>
      </c>
      <c r="B1861" s="1" t="s">
        <v>195</v>
      </c>
      <c r="C1861" s="1" t="str">
        <f>"08725307"</f>
        <v>08725307</v>
      </c>
      <c r="D1861" s="1" t="s">
        <v>196</v>
      </c>
      <c r="F1861" s="1" t="str">
        <f>"110"</f>
        <v>110</v>
      </c>
      <c r="G1861" s="2">
        <v>41893</v>
      </c>
      <c r="H1861" s="1">
        <v>123500</v>
      </c>
      <c r="I1861" s="1">
        <v>110000</v>
      </c>
      <c r="J1861" s="1">
        <v>108000</v>
      </c>
      <c r="K1861" s="2">
        <v>41893</v>
      </c>
      <c r="L1861" s="1">
        <v>324</v>
      </c>
      <c r="M1861" s="2">
        <v>42092</v>
      </c>
      <c r="N1861" s="1">
        <v>200</v>
      </c>
      <c r="O1861" s="2">
        <v>42092</v>
      </c>
      <c r="P1861" s="1">
        <v>771</v>
      </c>
      <c r="Q1861" s="1" t="s">
        <v>197</v>
      </c>
      <c r="R1861" s="2">
        <v>42139</v>
      </c>
      <c r="S1861" s="1">
        <v>8131</v>
      </c>
      <c r="T1861" s="1">
        <v>3000</v>
      </c>
      <c r="U1861" s="1">
        <v>8139</v>
      </c>
      <c r="V1861" s="1" t="s">
        <v>11337</v>
      </c>
      <c r="W1861" s="1" t="s">
        <v>504</v>
      </c>
      <c r="Y1861" s="1">
        <v>6</v>
      </c>
      <c r="Z1861" s="1" t="s">
        <v>249</v>
      </c>
      <c r="AA1861" s="1" t="s">
        <v>803</v>
      </c>
      <c r="AB1861" s="1">
        <v>60110</v>
      </c>
      <c r="AD1861" s="1" t="s">
        <v>11338</v>
      </c>
      <c r="AE1861" s="1" t="s">
        <v>17250</v>
      </c>
      <c r="AF1861" s="1">
        <v>1997</v>
      </c>
      <c r="AG1861" s="1" t="s">
        <v>204</v>
      </c>
      <c r="AH1861" s="1" t="s">
        <v>2557</v>
      </c>
      <c r="AI1861" s="1" t="s">
        <v>665</v>
      </c>
      <c r="AJ1861" s="1" t="s">
        <v>805</v>
      </c>
      <c r="AL1861" s="1">
        <v>6</v>
      </c>
      <c r="AM1861" s="1">
        <v>2</v>
      </c>
      <c r="AN1861" s="1">
        <v>1</v>
      </c>
      <c r="AO1861" s="1">
        <v>1</v>
      </c>
      <c r="AP1861" s="1" t="s">
        <v>667</v>
      </c>
      <c r="AR1861" s="1" t="s">
        <v>210</v>
      </c>
      <c r="AS1861" s="1" t="s">
        <v>204</v>
      </c>
      <c r="AT1861" s="1" t="s">
        <v>211</v>
      </c>
      <c r="AU1861" s="1">
        <v>1</v>
      </c>
      <c r="AW1861" s="1" t="s">
        <v>204</v>
      </c>
      <c r="AX1861" s="1" t="s">
        <v>212</v>
      </c>
      <c r="AZ1861" s="1">
        <v>3617.88</v>
      </c>
      <c r="BA1861" s="1">
        <v>2013</v>
      </c>
      <c r="BB1861" s="1" t="s">
        <v>405</v>
      </c>
      <c r="BE1861" s="1">
        <v>1406</v>
      </c>
      <c r="BF1861" s="1">
        <v>1</v>
      </c>
      <c r="BG1861" s="1">
        <v>0</v>
      </c>
      <c r="BL1861" s="1">
        <v>168</v>
      </c>
      <c r="BM1861" s="1" t="s">
        <v>204</v>
      </c>
      <c r="BN1861" s="1" t="s">
        <v>213</v>
      </c>
      <c r="BO1861" s="1">
        <v>0</v>
      </c>
      <c r="BP1861" s="1" t="s">
        <v>204</v>
      </c>
      <c r="BR1861" s="1" t="str">
        <f>"0317151037"</f>
        <v>0317151037</v>
      </c>
      <c r="BT1861" s="1" t="s">
        <v>17251</v>
      </c>
      <c r="BU1861" s="1" t="s">
        <v>6711</v>
      </c>
      <c r="BV1861" s="1" t="s">
        <v>2667</v>
      </c>
      <c r="BW1861" s="1" t="s">
        <v>2668</v>
      </c>
      <c r="BX1861" s="1">
        <v>300</v>
      </c>
      <c r="BY1861" s="1">
        <v>300</v>
      </c>
      <c r="BZ1861" s="1">
        <v>300</v>
      </c>
      <c r="CB1861" s="1" t="str">
        <f t="shared" ref="CB1861:CC1861" si="1411">""</f>
        <v/>
      </c>
      <c r="CC1861" s="1" t="str">
        <f t="shared" si="1411"/>
        <v/>
      </c>
      <c r="CG1861" s="1" t="s">
        <v>3319</v>
      </c>
      <c r="CH1861" s="1" t="s">
        <v>219</v>
      </c>
      <c r="CI1861" s="1" t="s">
        <v>220</v>
      </c>
      <c r="CJ1861" s="1" t="s">
        <v>343</v>
      </c>
      <c r="CK1861" s="1" t="s">
        <v>12246</v>
      </c>
      <c r="CL1861" s="1" t="s">
        <v>277</v>
      </c>
      <c r="CM1861" s="1" t="s">
        <v>220</v>
      </c>
      <c r="CN1861" s="1" t="s">
        <v>343</v>
      </c>
      <c r="CO1861" s="1" t="s">
        <v>1469</v>
      </c>
      <c r="CP1861" s="1" t="s">
        <v>219</v>
      </c>
      <c r="CQ1861" s="1" t="s">
        <v>220</v>
      </c>
      <c r="CR1861" s="1" t="s">
        <v>343</v>
      </c>
      <c r="CS1861" s="1" t="s">
        <v>836</v>
      </c>
      <c r="CT1861" s="1" t="s">
        <v>277</v>
      </c>
      <c r="CU1861" s="1" t="s">
        <v>220</v>
      </c>
      <c r="CV1861" s="1" t="s">
        <v>463</v>
      </c>
      <c r="CX1861" s="1" t="s">
        <v>224</v>
      </c>
      <c r="DB1861" s="1" t="s">
        <v>224</v>
      </c>
      <c r="DE1861" s="1" t="s">
        <v>1470</v>
      </c>
      <c r="DF1861" s="1" t="s">
        <v>219</v>
      </c>
      <c r="DG1861" s="1" t="s">
        <v>342</v>
      </c>
      <c r="DH1861" s="1" t="s">
        <v>343</v>
      </c>
      <c r="DJ1861" s="1" t="s">
        <v>224</v>
      </c>
      <c r="DM1861" s="1" t="s">
        <v>381</v>
      </c>
      <c r="DR1861" s="1" t="s">
        <v>1470</v>
      </c>
      <c r="DS1861" s="1" t="s">
        <v>219</v>
      </c>
      <c r="DT1861" s="1" t="s">
        <v>342</v>
      </c>
      <c r="DU1861" s="1" t="s">
        <v>343</v>
      </c>
      <c r="DW1861" s="1" t="s">
        <v>230</v>
      </c>
      <c r="EA1861" s="1" t="s">
        <v>230</v>
      </c>
      <c r="EE1861" s="1" t="s">
        <v>230</v>
      </c>
      <c r="EI1861" s="1" t="s">
        <v>230</v>
      </c>
      <c r="EL1861" s="1" t="s">
        <v>670</v>
      </c>
      <c r="EM1861" s="1" t="s">
        <v>319</v>
      </c>
      <c r="EN1861" s="1" t="s">
        <v>282</v>
      </c>
      <c r="EO1861" s="1" t="s">
        <v>234</v>
      </c>
      <c r="EP1861" s="1" t="s">
        <v>650</v>
      </c>
      <c r="EQ1861" s="1" t="s">
        <v>236</v>
      </c>
      <c r="ER1861" s="1" t="s">
        <v>210</v>
      </c>
      <c r="ES1861" s="1" t="s">
        <v>322</v>
      </c>
      <c r="EU1861" s="1" t="s">
        <v>239</v>
      </c>
      <c r="EV1861" s="1" t="s">
        <v>240</v>
      </c>
      <c r="EW1861" s="1" t="s">
        <v>353</v>
      </c>
      <c r="EY1861" s="1" t="s">
        <v>242</v>
      </c>
      <c r="EZ1861" s="1" t="s">
        <v>381</v>
      </c>
      <c r="FA1861" s="1" t="s">
        <v>1072</v>
      </c>
      <c r="FD1861" s="1" t="s">
        <v>495</v>
      </c>
      <c r="FE1861" s="1" t="s">
        <v>765</v>
      </c>
      <c r="FF1861" s="1" t="s">
        <v>248</v>
      </c>
      <c r="FH1861" s="1" t="s">
        <v>550</v>
      </c>
      <c r="FI1861" s="1" t="s">
        <v>473</v>
      </c>
      <c r="FJ1861" s="1" t="s">
        <v>518</v>
      </c>
      <c r="FL1861" s="1" t="s">
        <v>358</v>
      </c>
      <c r="FM1861" s="1" t="s">
        <v>252</v>
      </c>
      <c r="FN1861" s="1" t="s">
        <v>213</v>
      </c>
      <c r="FO1861" s="1" t="s">
        <v>213</v>
      </c>
      <c r="FQ1861" s="1" t="s">
        <v>849</v>
      </c>
      <c r="FR1861" s="1" t="s">
        <v>210</v>
      </c>
      <c r="FS1861" s="1" t="s">
        <v>17252</v>
      </c>
      <c r="FT1861" s="1" t="s">
        <v>295</v>
      </c>
      <c r="FU1861" s="1" t="s">
        <v>204</v>
      </c>
      <c r="FW1861" s="1" t="s">
        <v>719</v>
      </c>
      <c r="FX1861" s="1">
        <v>22029</v>
      </c>
      <c r="FY1861" s="1" t="s">
        <v>720</v>
      </c>
      <c r="FZ1861" s="1" t="s">
        <v>17253</v>
      </c>
      <c r="GA1861" s="1">
        <v>239863</v>
      </c>
      <c r="GB1861" s="1" t="s">
        <v>17254</v>
      </c>
      <c r="GE1861" s="1" t="s">
        <v>480</v>
      </c>
      <c r="GI1861" s="1" t="s">
        <v>204</v>
      </c>
      <c r="GJ1861" s="1" t="s">
        <v>260</v>
      </c>
      <c r="GK1861" s="1" t="s">
        <v>261</v>
      </c>
      <c r="GL1861" s="2">
        <v>42139</v>
      </c>
      <c r="GM1861" s="1" t="s">
        <v>17255</v>
      </c>
    </row>
    <row r="1862" spans="1:195">
      <c r="A1862" s="1">
        <v>192500</v>
      </c>
      <c r="B1862" s="1" t="s">
        <v>195</v>
      </c>
      <c r="C1862" s="1" t="str">
        <f>"08728138"</f>
        <v>08728138</v>
      </c>
      <c r="D1862" s="1" t="s">
        <v>196</v>
      </c>
      <c r="F1862" s="1" t="str">
        <f>"507"</f>
        <v>507</v>
      </c>
      <c r="G1862" s="2">
        <v>41897</v>
      </c>
      <c r="H1862" s="1">
        <v>205000</v>
      </c>
      <c r="I1862" s="1">
        <v>199900</v>
      </c>
      <c r="J1862" s="1">
        <v>192500</v>
      </c>
      <c r="K1862" s="2">
        <v>41897</v>
      </c>
      <c r="L1862" s="1">
        <v>52</v>
      </c>
      <c r="M1862" s="2">
        <v>41948</v>
      </c>
      <c r="N1862" s="1">
        <v>52</v>
      </c>
      <c r="O1862" s="2">
        <v>41948</v>
      </c>
      <c r="P1862" s="1">
        <v>23156</v>
      </c>
      <c r="Q1862" s="1" t="s">
        <v>197</v>
      </c>
      <c r="R1862" s="2">
        <v>41991</v>
      </c>
      <c r="S1862" s="1">
        <v>233258</v>
      </c>
      <c r="U1862" s="1">
        <v>421</v>
      </c>
      <c r="V1862" s="1" t="s">
        <v>17256</v>
      </c>
      <c r="W1862" s="1" t="s">
        <v>304</v>
      </c>
      <c r="Y1862" s="1">
        <v>4</v>
      </c>
      <c r="Z1862" s="1" t="s">
        <v>249</v>
      </c>
      <c r="AA1862" s="1" t="s">
        <v>1123</v>
      </c>
      <c r="AB1862" s="1">
        <v>60502</v>
      </c>
      <c r="AD1862" s="1" t="s">
        <v>12008</v>
      </c>
      <c r="AE1862" s="1" t="s">
        <v>17257</v>
      </c>
      <c r="AF1862" s="1">
        <v>2002</v>
      </c>
      <c r="AG1862" s="1" t="s">
        <v>204</v>
      </c>
      <c r="AH1862" s="1" t="s">
        <v>1126</v>
      </c>
      <c r="AI1862" s="1" t="s">
        <v>206</v>
      </c>
      <c r="AJ1862" s="1" t="s">
        <v>924</v>
      </c>
      <c r="AK1862" s="1" t="s">
        <v>7907</v>
      </c>
      <c r="AL1862" s="1">
        <v>9</v>
      </c>
      <c r="AM1862" s="1">
        <v>2</v>
      </c>
      <c r="AN1862" s="1">
        <v>2</v>
      </c>
      <c r="AO1862" s="1">
        <v>2</v>
      </c>
      <c r="AP1862" s="1" t="s">
        <v>209</v>
      </c>
      <c r="AQ1862" s="1">
        <v>1</v>
      </c>
      <c r="AR1862" s="1" t="s">
        <v>209</v>
      </c>
      <c r="AS1862" s="1" t="s">
        <v>213</v>
      </c>
      <c r="AT1862" s="1" t="s">
        <v>211</v>
      </c>
      <c r="AU1862" s="1">
        <v>2</v>
      </c>
      <c r="AW1862" s="1" t="s">
        <v>204</v>
      </c>
      <c r="AX1862" s="1" t="s">
        <v>212</v>
      </c>
      <c r="AZ1862" s="1">
        <v>5656</v>
      </c>
      <c r="BA1862" s="1">
        <v>2013</v>
      </c>
      <c r="BE1862" s="1">
        <v>1698</v>
      </c>
      <c r="BF1862" s="1">
        <v>1</v>
      </c>
      <c r="BG1862" s="1">
        <v>0</v>
      </c>
      <c r="BL1862" s="1">
        <v>263</v>
      </c>
      <c r="BM1862" s="1" t="s">
        <v>204</v>
      </c>
      <c r="BN1862" s="1" t="s">
        <v>213</v>
      </c>
      <c r="BO1862" s="1">
        <v>999</v>
      </c>
      <c r="BP1862" s="1" t="s">
        <v>204</v>
      </c>
      <c r="BR1862" s="1" t="str">
        <f>"0719315025"</f>
        <v>0719315025</v>
      </c>
      <c r="BT1862" s="1" t="s">
        <v>17258</v>
      </c>
      <c r="BU1862" s="1" t="s">
        <v>6259</v>
      </c>
      <c r="BV1862" s="1" t="s">
        <v>1130</v>
      </c>
      <c r="BW1862" s="1" t="s">
        <v>1131</v>
      </c>
      <c r="BX1862" s="1">
        <v>204</v>
      </c>
      <c r="BY1862" s="1">
        <v>204</v>
      </c>
      <c r="BZ1862" s="1">
        <v>204</v>
      </c>
      <c r="CB1862" s="1" t="str">
        <f t="shared" ref="CB1862:CC1862" si="1412">"0"</f>
        <v>0</v>
      </c>
      <c r="CC1862" s="1" t="str">
        <f t="shared" si="1412"/>
        <v>0</v>
      </c>
      <c r="CD1862" s="1">
        <v>32</v>
      </c>
      <c r="CE1862" s="1">
        <v>7</v>
      </c>
      <c r="CG1862" s="1" t="s">
        <v>461</v>
      </c>
      <c r="CH1862" s="1" t="s">
        <v>219</v>
      </c>
      <c r="CI1862" s="1" t="s">
        <v>220</v>
      </c>
      <c r="CJ1862" s="1" t="s">
        <v>252</v>
      </c>
      <c r="CK1862" s="1" t="s">
        <v>757</v>
      </c>
      <c r="CL1862" s="1" t="s">
        <v>277</v>
      </c>
      <c r="CM1862" s="1" t="s">
        <v>220</v>
      </c>
      <c r="CN1862" s="1" t="s">
        <v>252</v>
      </c>
      <c r="CO1862" s="1" t="s">
        <v>465</v>
      </c>
      <c r="CP1862" s="1" t="s">
        <v>219</v>
      </c>
      <c r="CQ1862" s="1" t="s">
        <v>220</v>
      </c>
      <c r="CR1862" s="1" t="s">
        <v>252</v>
      </c>
      <c r="CS1862" s="1" t="s">
        <v>346</v>
      </c>
      <c r="CT1862" s="1" t="s">
        <v>277</v>
      </c>
      <c r="CU1862" s="1" t="s">
        <v>220</v>
      </c>
      <c r="CV1862" s="1" t="s">
        <v>252</v>
      </c>
      <c r="CW1862" s="1" t="s">
        <v>318</v>
      </c>
      <c r="CX1862" s="1" t="s">
        <v>43</v>
      </c>
      <c r="CY1862" s="1" t="s">
        <v>220</v>
      </c>
      <c r="DA1862" s="1" t="s">
        <v>409</v>
      </c>
      <c r="DB1862" s="1" t="s">
        <v>43</v>
      </c>
      <c r="DC1862" s="1" t="s">
        <v>220</v>
      </c>
      <c r="DE1862" s="1" t="s">
        <v>2138</v>
      </c>
      <c r="DF1862" s="1" t="s">
        <v>219</v>
      </c>
      <c r="DG1862" s="1" t="s">
        <v>226</v>
      </c>
      <c r="DI1862" s="1" t="s">
        <v>461</v>
      </c>
      <c r="DJ1862" s="1" t="s">
        <v>219</v>
      </c>
      <c r="DK1862" s="1" t="s">
        <v>220</v>
      </c>
      <c r="DL1862" s="1" t="s">
        <v>252</v>
      </c>
      <c r="DM1862" s="1" t="s">
        <v>464</v>
      </c>
      <c r="DR1862" s="1" t="s">
        <v>461</v>
      </c>
      <c r="DS1862" s="1" t="s">
        <v>277</v>
      </c>
      <c r="DT1862" s="1" t="s">
        <v>220</v>
      </c>
      <c r="DU1862" s="1" t="s">
        <v>252</v>
      </c>
      <c r="DW1862" s="1" t="s">
        <v>230</v>
      </c>
      <c r="EA1862" s="1" t="s">
        <v>230</v>
      </c>
      <c r="EE1862" s="1" t="s">
        <v>230</v>
      </c>
      <c r="EI1862" s="1" t="s">
        <v>230</v>
      </c>
      <c r="EL1862" s="1" t="s">
        <v>466</v>
      </c>
      <c r="EM1862" s="1" t="s">
        <v>319</v>
      </c>
      <c r="EN1862" s="1" t="s">
        <v>282</v>
      </c>
      <c r="EO1862" s="1" t="s">
        <v>234</v>
      </c>
      <c r="EP1862" s="1" t="s">
        <v>650</v>
      </c>
      <c r="EQ1862" s="1" t="s">
        <v>1094</v>
      </c>
      <c r="ER1862" s="1" t="s">
        <v>544</v>
      </c>
      <c r="ES1862" s="1" t="s">
        <v>1552</v>
      </c>
      <c r="ET1862" s="1" t="s">
        <v>323</v>
      </c>
      <c r="EU1862" s="1" t="s">
        <v>7712</v>
      </c>
      <c r="EV1862" s="1" t="s">
        <v>324</v>
      </c>
      <c r="EW1862" s="1" t="s">
        <v>1804</v>
      </c>
      <c r="EZ1862" s="1" t="s">
        <v>464</v>
      </c>
      <c r="FA1862" s="1" t="s">
        <v>14183</v>
      </c>
      <c r="FD1862" s="1" t="s">
        <v>246</v>
      </c>
      <c r="FE1862" s="1" t="s">
        <v>975</v>
      </c>
      <c r="FF1862" s="1" t="s">
        <v>387</v>
      </c>
      <c r="FH1862" s="1" t="s">
        <v>550</v>
      </c>
      <c r="FI1862" s="1" t="s">
        <v>473</v>
      </c>
      <c r="FL1862" s="1" t="s">
        <v>358</v>
      </c>
      <c r="FM1862" s="1" t="s">
        <v>252</v>
      </c>
      <c r="FN1862" s="1" t="s">
        <v>213</v>
      </c>
      <c r="FO1862" s="1" t="s">
        <v>213</v>
      </c>
      <c r="FQ1862" s="1" t="s">
        <v>1300</v>
      </c>
      <c r="FR1862" s="1" t="s">
        <v>210</v>
      </c>
      <c r="FS1862" s="1" t="s">
        <v>6550</v>
      </c>
      <c r="FT1862" s="1" t="s">
        <v>1182</v>
      </c>
      <c r="FU1862" s="1" t="s">
        <v>204</v>
      </c>
      <c r="FW1862" s="1" t="s">
        <v>5648</v>
      </c>
      <c r="FX1862" s="1">
        <v>23099</v>
      </c>
      <c r="FY1862" s="1" t="s">
        <v>5649</v>
      </c>
      <c r="FZ1862" s="1" t="s">
        <v>6551</v>
      </c>
      <c r="GA1862" s="1">
        <v>217574</v>
      </c>
      <c r="GB1862" s="1" t="s">
        <v>6552</v>
      </c>
      <c r="GE1862" s="1" t="s">
        <v>480</v>
      </c>
      <c r="GI1862" s="1" t="s">
        <v>213</v>
      </c>
      <c r="GJ1862" s="1" t="s">
        <v>260</v>
      </c>
      <c r="GK1862" s="1" t="s">
        <v>210</v>
      </c>
      <c r="GL1862" s="2">
        <v>41991</v>
      </c>
    </row>
    <row r="1863" spans="1:195">
      <c r="A1863" s="1">
        <v>225000</v>
      </c>
      <c r="B1863" s="1" t="s">
        <v>195</v>
      </c>
      <c r="C1863" s="1" t="str">
        <f>"08728351"</f>
        <v>08728351</v>
      </c>
      <c r="D1863" s="1" t="s">
        <v>196</v>
      </c>
      <c r="F1863" s="1" t="str">
        <f>"191"</f>
        <v>191</v>
      </c>
      <c r="G1863" s="2">
        <v>41897</v>
      </c>
      <c r="H1863" s="1">
        <v>239900</v>
      </c>
      <c r="I1863" s="1">
        <v>225000</v>
      </c>
      <c r="J1863" s="1">
        <v>225000</v>
      </c>
      <c r="K1863" s="2">
        <v>41897</v>
      </c>
      <c r="L1863" s="1">
        <v>155</v>
      </c>
      <c r="M1863" s="2">
        <v>41929</v>
      </c>
      <c r="N1863" s="1">
        <v>33</v>
      </c>
      <c r="O1863" s="2">
        <v>41929</v>
      </c>
      <c r="P1863" s="1">
        <v>25279</v>
      </c>
      <c r="Q1863" s="1" t="s">
        <v>302</v>
      </c>
      <c r="R1863" s="2">
        <v>41981</v>
      </c>
      <c r="S1863" s="1">
        <v>256843</v>
      </c>
      <c r="U1863" s="1">
        <v>215</v>
      </c>
      <c r="V1863" s="1" t="s">
        <v>17259</v>
      </c>
      <c r="W1863" s="1" t="s">
        <v>504</v>
      </c>
      <c r="Y1863" s="1">
        <v>14</v>
      </c>
      <c r="Z1863" s="1" t="s">
        <v>370</v>
      </c>
      <c r="AA1863" s="1" t="s">
        <v>1966</v>
      </c>
      <c r="AB1863" s="1">
        <v>60191</v>
      </c>
      <c r="AE1863" s="1" t="s">
        <v>17260</v>
      </c>
      <c r="AF1863" s="1">
        <v>1999</v>
      </c>
      <c r="AG1863" s="1" t="s">
        <v>204</v>
      </c>
      <c r="AH1863" s="1" t="s">
        <v>1969</v>
      </c>
      <c r="AI1863" s="1" t="s">
        <v>206</v>
      </c>
      <c r="AJ1863" s="1" t="s">
        <v>1233</v>
      </c>
      <c r="AL1863" s="1">
        <v>6</v>
      </c>
      <c r="AM1863" s="1">
        <v>2</v>
      </c>
      <c r="AN1863" s="1">
        <v>3</v>
      </c>
      <c r="AO1863" s="1">
        <v>1</v>
      </c>
      <c r="AP1863" s="1" t="s">
        <v>209</v>
      </c>
      <c r="AR1863" s="1" t="s">
        <v>209</v>
      </c>
      <c r="AS1863" s="1" t="s">
        <v>204</v>
      </c>
      <c r="AT1863" s="1" t="s">
        <v>211</v>
      </c>
      <c r="AU1863" s="1">
        <v>2</v>
      </c>
      <c r="AW1863" s="1" t="s">
        <v>204</v>
      </c>
      <c r="AX1863" s="1" t="s">
        <v>17261</v>
      </c>
      <c r="AZ1863" s="1">
        <v>5372</v>
      </c>
      <c r="BA1863" s="1">
        <v>2013</v>
      </c>
      <c r="BE1863" s="1">
        <v>2200</v>
      </c>
      <c r="BF1863" s="1">
        <v>1</v>
      </c>
      <c r="BG1863" s="1">
        <v>0</v>
      </c>
      <c r="BL1863" s="1">
        <v>260</v>
      </c>
      <c r="BM1863" s="1" t="s">
        <v>204</v>
      </c>
      <c r="BN1863" s="1" t="s">
        <v>213</v>
      </c>
      <c r="BO1863" s="1">
        <v>999</v>
      </c>
      <c r="BP1863" s="1" t="s">
        <v>204</v>
      </c>
      <c r="BR1863" s="1" t="str">
        <f>"0315131054"</f>
        <v>0315131054</v>
      </c>
      <c r="BU1863" s="1" t="s">
        <v>1971</v>
      </c>
      <c r="BV1863" s="1" t="s">
        <v>1972</v>
      </c>
      <c r="BW1863" s="1" t="s">
        <v>1973</v>
      </c>
      <c r="BX1863" s="1">
        <v>7</v>
      </c>
      <c r="BY1863" s="1">
        <v>7</v>
      </c>
      <c r="BZ1863" s="1">
        <v>100</v>
      </c>
      <c r="CB1863" s="1" t="str">
        <f t="shared" ref="CB1863:CC1863" si="1413">""</f>
        <v/>
      </c>
      <c r="CC1863" s="1" t="str">
        <f t="shared" si="1413"/>
        <v/>
      </c>
      <c r="CG1863" s="1" t="s">
        <v>16874</v>
      </c>
      <c r="CH1863" s="1" t="s">
        <v>219</v>
      </c>
      <c r="CI1863" s="1" t="s">
        <v>438</v>
      </c>
      <c r="CJ1863" s="1" t="s">
        <v>2449</v>
      </c>
      <c r="CK1863" s="1" t="s">
        <v>601</v>
      </c>
      <c r="CL1863" s="1" t="s">
        <v>277</v>
      </c>
      <c r="CM1863" s="1" t="s">
        <v>220</v>
      </c>
      <c r="CN1863" s="1" t="s">
        <v>439</v>
      </c>
      <c r="CO1863" s="1" t="s">
        <v>1267</v>
      </c>
      <c r="CP1863" s="1" t="s">
        <v>219</v>
      </c>
      <c r="CQ1863" s="1" t="s">
        <v>438</v>
      </c>
      <c r="CR1863" s="1" t="s">
        <v>2449</v>
      </c>
      <c r="CS1863" s="1" t="s">
        <v>729</v>
      </c>
      <c r="CT1863" s="1" t="s">
        <v>277</v>
      </c>
      <c r="CU1863" s="1" t="s">
        <v>220</v>
      </c>
      <c r="CV1863" s="1" t="s">
        <v>439</v>
      </c>
      <c r="CX1863" s="1" t="s">
        <v>224</v>
      </c>
      <c r="DB1863" s="1" t="s">
        <v>224</v>
      </c>
      <c r="DE1863" s="1" t="s">
        <v>281</v>
      </c>
      <c r="DF1863" s="1" t="s">
        <v>219</v>
      </c>
      <c r="DG1863" s="1" t="s">
        <v>226</v>
      </c>
      <c r="DH1863" s="1" t="s">
        <v>210</v>
      </c>
      <c r="DJ1863" s="1" t="s">
        <v>224</v>
      </c>
      <c r="DM1863" s="1" t="s">
        <v>709</v>
      </c>
      <c r="DN1863" s="1" t="s">
        <v>464</v>
      </c>
      <c r="DR1863" s="1" t="s">
        <v>11482</v>
      </c>
      <c r="DS1863" s="1" t="s">
        <v>219</v>
      </c>
      <c r="DT1863" s="1" t="s">
        <v>226</v>
      </c>
      <c r="DU1863" s="1" t="s">
        <v>210</v>
      </c>
      <c r="DV1863" s="1" t="s">
        <v>318</v>
      </c>
      <c r="DW1863" s="1" t="s">
        <v>277</v>
      </c>
      <c r="DX1863" s="1" t="s">
        <v>220</v>
      </c>
      <c r="EA1863" s="1" t="s">
        <v>230</v>
      </c>
      <c r="EE1863" s="1" t="s">
        <v>230</v>
      </c>
      <c r="EI1863" s="1" t="s">
        <v>230</v>
      </c>
      <c r="EL1863" s="1" t="s">
        <v>466</v>
      </c>
      <c r="EM1863" s="1" t="s">
        <v>232</v>
      </c>
      <c r="EN1863" s="1" t="s">
        <v>282</v>
      </c>
      <c r="EO1863" s="1" t="s">
        <v>234</v>
      </c>
      <c r="EQ1863" s="1" t="s">
        <v>4558</v>
      </c>
      <c r="ER1863" s="1" t="s">
        <v>1249</v>
      </c>
      <c r="ES1863" s="1" t="s">
        <v>608</v>
      </c>
      <c r="EV1863" s="1" t="s">
        <v>324</v>
      </c>
      <c r="EW1863" s="1" t="s">
        <v>887</v>
      </c>
      <c r="EZ1863" s="1" t="s">
        <v>2549</v>
      </c>
      <c r="FA1863" s="1" t="s">
        <v>17262</v>
      </c>
      <c r="FD1863" s="1" t="s">
        <v>246</v>
      </c>
      <c r="FE1863" s="1" t="s">
        <v>247</v>
      </c>
      <c r="FF1863" s="1" t="s">
        <v>248</v>
      </c>
      <c r="FH1863" s="1" t="s">
        <v>550</v>
      </c>
      <c r="FL1863" s="1" t="s">
        <v>358</v>
      </c>
      <c r="FM1863" s="1" t="s">
        <v>252</v>
      </c>
      <c r="FN1863" s="1" t="s">
        <v>213</v>
      </c>
      <c r="FO1863" s="1" t="s">
        <v>213</v>
      </c>
      <c r="FQ1863" s="1" t="s">
        <v>1473</v>
      </c>
      <c r="FR1863" s="1" t="s">
        <v>360</v>
      </c>
      <c r="FS1863" s="1" t="s">
        <v>17263</v>
      </c>
      <c r="FT1863" s="1" t="s">
        <v>295</v>
      </c>
      <c r="FU1863" s="1" t="s">
        <v>204</v>
      </c>
      <c r="FW1863" s="1" t="s">
        <v>2726</v>
      </c>
      <c r="FX1863" s="1">
        <v>1109</v>
      </c>
      <c r="FY1863" s="1" t="s">
        <v>2727</v>
      </c>
      <c r="FZ1863" s="1" t="s">
        <v>15366</v>
      </c>
      <c r="GA1863" s="1">
        <v>89704</v>
      </c>
      <c r="GB1863" s="1" t="s">
        <v>15367</v>
      </c>
      <c r="GE1863" s="1" t="s">
        <v>210</v>
      </c>
      <c r="GI1863" s="1" t="s">
        <v>213</v>
      </c>
      <c r="GJ1863" s="1" t="s">
        <v>260</v>
      </c>
      <c r="GK1863" s="1" t="s">
        <v>261</v>
      </c>
      <c r="GL1863" s="2">
        <v>41983</v>
      </c>
      <c r="GM1863" s="1" t="s">
        <v>17264</v>
      </c>
    </row>
    <row r="1864" spans="1:195">
      <c r="A1864" s="1">
        <v>216000</v>
      </c>
      <c r="B1864" s="1" t="s">
        <v>195</v>
      </c>
      <c r="C1864" s="1" t="str">
        <f>"08726757"</f>
        <v>08726757</v>
      </c>
      <c r="D1864" s="1" t="s">
        <v>196</v>
      </c>
      <c r="F1864" s="1" t="str">
        <f>"634"</f>
        <v>634</v>
      </c>
      <c r="G1864" s="2">
        <v>41894</v>
      </c>
      <c r="H1864" s="1">
        <v>249900</v>
      </c>
      <c r="I1864" s="1">
        <v>244900</v>
      </c>
      <c r="J1864" s="1">
        <v>216000</v>
      </c>
      <c r="K1864" s="2">
        <v>41894</v>
      </c>
      <c r="L1864" s="1">
        <v>49</v>
      </c>
      <c r="M1864" s="2">
        <v>41942</v>
      </c>
      <c r="N1864" s="1">
        <v>49</v>
      </c>
      <c r="O1864" s="2">
        <v>41942</v>
      </c>
      <c r="P1864" s="1">
        <v>8058</v>
      </c>
      <c r="Q1864" s="1" t="s">
        <v>197</v>
      </c>
      <c r="R1864" s="2">
        <v>41976</v>
      </c>
      <c r="S1864" s="1">
        <v>88898</v>
      </c>
      <c r="U1864" s="1">
        <v>4655</v>
      </c>
      <c r="V1864" s="1" t="s">
        <v>3699</v>
      </c>
      <c r="W1864" s="1" t="s">
        <v>425</v>
      </c>
      <c r="X1864" s="1">
        <v>313</v>
      </c>
      <c r="Y1864" s="1">
        <v>86</v>
      </c>
      <c r="Z1864" s="1" t="s">
        <v>249</v>
      </c>
      <c r="AA1864" s="1" t="s">
        <v>3197</v>
      </c>
      <c r="AB1864" s="1">
        <v>60706</v>
      </c>
      <c r="AE1864" s="1" t="s">
        <v>17265</v>
      </c>
      <c r="AF1864" s="1">
        <v>1999</v>
      </c>
      <c r="AG1864" s="1" t="s">
        <v>204</v>
      </c>
      <c r="AH1864" s="1" t="s">
        <v>3199</v>
      </c>
      <c r="AI1864" s="1" t="s">
        <v>310</v>
      </c>
      <c r="AJ1864" s="1" t="s">
        <v>3200</v>
      </c>
      <c r="AL1864" s="1">
        <v>5</v>
      </c>
      <c r="AM1864" s="1">
        <v>2</v>
      </c>
      <c r="AN1864" s="1">
        <v>2</v>
      </c>
      <c r="AO1864" s="1">
        <v>0</v>
      </c>
      <c r="AP1864" s="1" t="s">
        <v>209</v>
      </c>
      <c r="AR1864" s="1" t="s">
        <v>210</v>
      </c>
      <c r="AS1864" s="1" t="s">
        <v>204</v>
      </c>
      <c r="AT1864" s="1" t="s">
        <v>211</v>
      </c>
      <c r="AU1864" s="1">
        <v>1</v>
      </c>
      <c r="AW1864" s="1" t="s">
        <v>204</v>
      </c>
      <c r="AX1864" s="1" t="s">
        <v>212</v>
      </c>
      <c r="AZ1864" s="1">
        <v>3366.03</v>
      </c>
      <c r="BA1864" s="1">
        <v>2012</v>
      </c>
      <c r="BE1864" s="1">
        <v>1300</v>
      </c>
      <c r="BF1864" s="1">
        <v>3</v>
      </c>
      <c r="BG1864" s="1">
        <v>0</v>
      </c>
      <c r="BJ1864" s="1">
        <v>100</v>
      </c>
      <c r="BL1864" s="1">
        <v>240</v>
      </c>
      <c r="BM1864" s="1" t="s">
        <v>204</v>
      </c>
      <c r="BN1864" s="1" t="s">
        <v>213</v>
      </c>
      <c r="BP1864" s="1" t="s">
        <v>204</v>
      </c>
      <c r="BR1864" s="1" t="str">
        <f>"12142000891033"</f>
        <v>12142000891033</v>
      </c>
      <c r="BT1864" s="1" t="s">
        <v>17266</v>
      </c>
      <c r="BX1864" s="1">
        <v>80</v>
      </c>
      <c r="BY1864" s="1">
        <v>80</v>
      </c>
      <c r="BZ1864" s="1">
        <v>234</v>
      </c>
      <c r="CB1864" s="1" t="str">
        <f t="shared" ref="CB1864:CC1864" si="1414">""</f>
        <v/>
      </c>
      <c r="CC1864" s="1" t="str">
        <f t="shared" si="1414"/>
        <v/>
      </c>
      <c r="CG1864" s="1" t="s">
        <v>1200</v>
      </c>
      <c r="CH1864" s="1" t="s">
        <v>219</v>
      </c>
      <c r="CI1864" s="1" t="s">
        <v>220</v>
      </c>
      <c r="CJ1864" s="1" t="s">
        <v>343</v>
      </c>
      <c r="CK1864" s="1" t="s">
        <v>1723</v>
      </c>
      <c r="CL1864" s="1" t="s">
        <v>219</v>
      </c>
      <c r="CM1864" s="1" t="s">
        <v>220</v>
      </c>
      <c r="CN1864" s="1" t="s">
        <v>343</v>
      </c>
      <c r="CO1864" s="1" t="s">
        <v>437</v>
      </c>
      <c r="CP1864" s="1" t="s">
        <v>219</v>
      </c>
      <c r="CQ1864" s="1" t="s">
        <v>220</v>
      </c>
      <c r="CS1864" s="1" t="s">
        <v>221</v>
      </c>
      <c r="CT1864" s="1" t="s">
        <v>219</v>
      </c>
      <c r="CU1864" s="1" t="s">
        <v>220</v>
      </c>
      <c r="CV1864" s="1" t="s">
        <v>343</v>
      </c>
      <c r="CX1864" s="1" t="s">
        <v>224</v>
      </c>
      <c r="DB1864" s="1" t="s">
        <v>224</v>
      </c>
      <c r="DE1864" s="1" t="s">
        <v>862</v>
      </c>
      <c r="DF1864" s="1" t="s">
        <v>219</v>
      </c>
      <c r="DG1864" s="1" t="s">
        <v>226</v>
      </c>
      <c r="DJ1864" s="1" t="s">
        <v>224</v>
      </c>
      <c r="DS1864" s="1" t="s">
        <v>230</v>
      </c>
      <c r="DW1864" s="1" t="s">
        <v>230</v>
      </c>
      <c r="EA1864" s="1" t="s">
        <v>230</v>
      </c>
      <c r="EE1864" s="1" t="s">
        <v>230</v>
      </c>
      <c r="EI1864" s="1" t="s">
        <v>230</v>
      </c>
      <c r="EL1864" s="1" t="s">
        <v>466</v>
      </c>
      <c r="EM1864" s="1" t="s">
        <v>730</v>
      </c>
      <c r="EN1864" s="1" t="s">
        <v>282</v>
      </c>
      <c r="EO1864" s="1" t="s">
        <v>234</v>
      </c>
      <c r="EQ1864" s="1" t="s">
        <v>1109</v>
      </c>
      <c r="ER1864" s="1" t="s">
        <v>210</v>
      </c>
      <c r="ES1864" s="1" t="s">
        <v>3218</v>
      </c>
      <c r="ET1864" s="1" t="s">
        <v>11623</v>
      </c>
      <c r="EU1864" s="1" t="s">
        <v>712</v>
      </c>
      <c r="EV1864" s="1" t="s">
        <v>240</v>
      </c>
      <c r="EW1864" s="1" t="s">
        <v>4002</v>
      </c>
      <c r="EY1864" s="1" t="s">
        <v>790</v>
      </c>
      <c r="EZ1864" s="1" t="s">
        <v>287</v>
      </c>
      <c r="FA1864" s="1" t="s">
        <v>1072</v>
      </c>
      <c r="FD1864" s="1" t="s">
        <v>736</v>
      </c>
      <c r="FE1864" s="1" t="s">
        <v>247</v>
      </c>
      <c r="FF1864" s="1" t="s">
        <v>248</v>
      </c>
      <c r="FH1864" s="1" t="s">
        <v>249</v>
      </c>
      <c r="FI1864" s="1" t="s">
        <v>1114</v>
      </c>
      <c r="FL1864" s="1" t="s">
        <v>358</v>
      </c>
      <c r="FM1864" s="1" t="s">
        <v>252</v>
      </c>
      <c r="FN1864" s="1" t="s">
        <v>213</v>
      </c>
      <c r="FO1864" s="1" t="s">
        <v>213</v>
      </c>
      <c r="FQ1864" s="1" t="s">
        <v>3705</v>
      </c>
      <c r="FR1864" s="1" t="s">
        <v>210</v>
      </c>
      <c r="FS1864" s="1" t="s">
        <v>17267</v>
      </c>
      <c r="FT1864" s="1" t="s">
        <v>362</v>
      </c>
      <c r="FU1864" s="1" t="s">
        <v>204</v>
      </c>
      <c r="FW1864" s="1" t="s">
        <v>3707</v>
      </c>
      <c r="FX1864" s="1">
        <v>25819</v>
      </c>
      <c r="FY1864" s="1" t="s">
        <v>3708</v>
      </c>
      <c r="FZ1864" s="1" t="s">
        <v>3709</v>
      </c>
      <c r="GA1864" s="1">
        <v>26806</v>
      </c>
      <c r="GB1864" s="1" t="s">
        <v>3710</v>
      </c>
      <c r="GE1864" s="1" t="s">
        <v>210</v>
      </c>
      <c r="GH1864" s="1" t="s">
        <v>230</v>
      </c>
      <c r="GI1864" s="1" t="s">
        <v>213</v>
      </c>
      <c r="GJ1864" s="1" t="s">
        <v>260</v>
      </c>
      <c r="GK1864" s="1" t="s">
        <v>210</v>
      </c>
      <c r="GL1864" s="2">
        <v>41977</v>
      </c>
      <c r="GM1864" s="1" t="s">
        <v>17268</v>
      </c>
    </row>
    <row r="1865" spans="1:195">
      <c r="A1865" s="1">
        <v>99000</v>
      </c>
      <c r="B1865" s="1" t="s">
        <v>195</v>
      </c>
      <c r="C1865" s="1" t="str">
        <f>"08725346"</f>
        <v>08725346</v>
      </c>
      <c r="D1865" s="1" t="s">
        <v>196</v>
      </c>
      <c r="F1865" s="1" t="str">
        <f>"101"</f>
        <v>101</v>
      </c>
      <c r="G1865" s="2">
        <v>41893</v>
      </c>
      <c r="H1865" s="1">
        <v>129000</v>
      </c>
      <c r="I1865" s="1">
        <v>99000</v>
      </c>
      <c r="J1865" s="1">
        <v>99000</v>
      </c>
      <c r="K1865" s="2">
        <v>41893</v>
      </c>
      <c r="L1865" s="1">
        <v>68</v>
      </c>
      <c r="M1865" s="2">
        <v>41960</v>
      </c>
      <c r="N1865" s="1">
        <v>68</v>
      </c>
      <c r="O1865" s="2">
        <v>41960</v>
      </c>
      <c r="P1865" s="1">
        <v>25088</v>
      </c>
      <c r="Q1865" s="1" t="s">
        <v>302</v>
      </c>
      <c r="R1865" s="2">
        <v>42074</v>
      </c>
      <c r="S1865" s="1">
        <v>251165</v>
      </c>
      <c r="U1865" s="1">
        <v>881</v>
      </c>
      <c r="V1865" s="1" t="s">
        <v>17269</v>
      </c>
      <c r="W1865" s="1" t="s">
        <v>1056</v>
      </c>
      <c r="X1865" s="1">
        <v>207</v>
      </c>
      <c r="Y1865" s="1">
        <v>18</v>
      </c>
      <c r="Z1865" s="1" t="s">
        <v>249</v>
      </c>
      <c r="AA1865" s="1" t="s">
        <v>2631</v>
      </c>
      <c r="AB1865" s="1">
        <v>60101</v>
      </c>
      <c r="AE1865" s="1" t="s">
        <v>17270</v>
      </c>
      <c r="AF1865" s="1">
        <v>2003</v>
      </c>
      <c r="AG1865" s="1" t="s">
        <v>204</v>
      </c>
      <c r="AH1865" s="1" t="s">
        <v>1233</v>
      </c>
      <c r="AI1865" s="1" t="s">
        <v>206</v>
      </c>
      <c r="AJ1865" s="1" t="s">
        <v>1233</v>
      </c>
      <c r="AK1865" s="1" t="s">
        <v>17271</v>
      </c>
      <c r="AL1865" s="1">
        <v>6</v>
      </c>
      <c r="AM1865" s="1">
        <v>2</v>
      </c>
      <c r="AN1865" s="1">
        <v>2</v>
      </c>
      <c r="AO1865" s="1">
        <v>0</v>
      </c>
      <c r="AP1865" s="1" t="s">
        <v>209</v>
      </c>
      <c r="AQ1865" s="1">
        <v>0</v>
      </c>
      <c r="AR1865" s="1" t="s">
        <v>210</v>
      </c>
      <c r="AS1865" s="1" t="s">
        <v>204</v>
      </c>
      <c r="AT1865" s="1" t="s">
        <v>211</v>
      </c>
      <c r="AU1865" s="1">
        <v>1</v>
      </c>
      <c r="AW1865" s="1" t="s">
        <v>204</v>
      </c>
      <c r="AX1865" s="1" t="s">
        <v>212</v>
      </c>
      <c r="AZ1865" s="1">
        <v>4384</v>
      </c>
      <c r="BA1865" s="1">
        <v>2013</v>
      </c>
      <c r="BB1865" s="1" t="s">
        <v>210</v>
      </c>
      <c r="BC1865" s="1">
        <v>0</v>
      </c>
      <c r="BD1865" s="1">
        <v>0</v>
      </c>
      <c r="BE1865" s="1">
        <v>1255</v>
      </c>
      <c r="BF1865" s="1">
        <v>2</v>
      </c>
      <c r="BG1865" s="1">
        <v>15</v>
      </c>
      <c r="BL1865" s="1">
        <v>155</v>
      </c>
      <c r="BM1865" s="1" t="s">
        <v>204</v>
      </c>
      <c r="BN1865" s="1" t="s">
        <v>213</v>
      </c>
      <c r="BO1865" s="1" t="s">
        <v>432</v>
      </c>
      <c r="BP1865" s="1" t="s">
        <v>204</v>
      </c>
      <c r="BR1865" s="1" t="str">
        <f>"0224213015"</f>
        <v>0224213015</v>
      </c>
      <c r="BT1865" s="1" t="s">
        <v>17272</v>
      </c>
      <c r="BX1865" s="1">
        <v>15</v>
      </c>
      <c r="BY1865" s="1">
        <v>15</v>
      </c>
      <c r="BZ1865" s="1">
        <v>87</v>
      </c>
      <c r="CB1865" s="1" t="str">
        <f>"4"</f>
        <v>4</v>
      </c>
      <c r="CC1865" s="1" t="str">
        <f t="shared" ref="CC1865:CC1866" si="1415">"0"</f>
        <v>0</v>
      </c>
      <c r="CD1865" s="1">
        <v>21</v>
      </c>
      <c r="CE1865" s="1">
        <v>0</v>
      </c>
      <c r="CG1865" s="1" t="s">
        <v>602</v>
      </c>
      <c r="CH1865" s="1" t="s">
        <v>277</v>
      </c>
      <c r="CI1865" s="1" t="s">
        <v>220</v>
      </c>
      <c r="CK1865" s="1" t="s">
        <v>221</v>
      </c>
      <c r="CL1865" s="1" t="s">
        <v>277</v>
      </c>
      <c r="CM1865" s="1" t="s">
        <v>220</v>
      </c>
      <c r="CO1865" s="1" t="s">
        <v>1297</v>
      </c>
      <c r="CP1865" s="1" t="s">
        <v>277</v>
      </c>
      <c r="CQ1865" s="1" t="s">
        <v>220</v>
      </c>
      <c r="CS1865" s="1" t="s">
        <v>757</v>
      </c>
      <c r="CT1865" s="1" t="s">
        <v>277</v>
      </c>
      <c r="CU1865" s="1" t="s">
        <v>220</v>
      </c>
      <c r="CX1865" s="1" t="s">
        <v>224</v>
      </c>
      <c r="DB1865" s="1" t="s">
        <v>224</v>
      </c>
      <c r="DE1865" s="1" t="s">
        <v>630</v>
      </c>
      <c r="DF1865" s="1" t="s">
        <v>277</v>
      </c>
      <c r="DG1865" s="1" t="s">
        <v>342</v>
      </c>
      <c r="DJ1865" s="1" t="s">
        <v>224</v>
      </c>
      <c r="DM1865" s="1" t="s">
        <v>381</v>
      </c>
      <c r="DR1865" s="1" t="s">
        <v>4408</v>
      </c>
      <c r="DS1865" s="1" t="s">
        <v>277</v>
      </c>
      <c r="DT1865" s="1" t="s">
        <v>342</v>
      </c>
      <c r="DW1865" s="1" t="s">
        <v>230</v>
      </c>
      <c r="EA1865" s="1" t="s">
        <v>230</v>
      </c>
      <c r="EE1865" s="1" t="s">
        <v>230</v>
      </c>
      <c r="EI1865" s="1" t="s">
        <v>230</v>
      </c>
      <c r="EL1865" s="1" t="s">
        <v>466</v>
      </c>
      <c r="EM1865" s="1" t="s">
        <v>232</v>
      </c>
      <c r="EN1865" s="1" t="s">
        <v>282</v>
      </c>
      <c r="EO1865" s="1" t="s">
        <v>234</v>
      </c>
      <c r="EP1865" s="1" t="s">
        <v>7193</v>
      </c>
      <c r="EQ1865" s="1" t="s">
        <v>236</v>
      </c>
      <c r="ER1865" s="1" t="s">
        <v>210</v>
      </c>
      <c r="ES1865" s="1" t="s">
        <v>322</v>
      </c>
      <c r="EU1865" s="1" t="s">
        <v>285</v>
      </c>
      <c r="EV1865" s="1" t="s">
        <v>240</v>
      </c>
      <c r="EW1865" s="1" t="s">
        <v>1426</v>
      </c>
      <c r="EY1865" s="1" t="s">
        <v>242</v>
      </c>
      <c r="EZ1865" s="1" t="s">
        <v>381</v>
      </c>
      <c r="FA1865" s="1" t="s">
        <v>1427</v>
      </c>
      <c r="FD1865" s="1" t="s">
        <v>1649</v>
      </c>
      <c r="FE1865" s="1" t="s">
        <v>247</v>
      </c>
      <c r="FF1865" s="1" t="s">
        <v>248</v>
      </c>
      <c r="FH1865" s="1" t="s">
        <v>249</v>
      </c>
      <c r="FL1865" s="1" t="s">
        <v>358</v>
      </c>
      <c r="FM1865" s="1" t="s">
        <v>252</v>
      </c>
      <c r="FN1865" s="1" t="s">
        <v>213</v>
      </c>
      <c r="FO1865" s="1" t="s">
        <v>213</v>
      </c>
      <c r="FQ1865" s="1" t="s">
        <v>17273</v>
      </c>
      <c r="FR1865" s="1" t="s">
        <v>360</v>
      </c>
      <c r="FS1865" s="1" t="s">
        <v>17274</v>
      </c>
      <c r="FT1865" s="1" t="s">
        <v>295</v>
      </c>
      <c r="FU1865" s="1" t="s">
        <v>204</v>
      </c>
      <c r="FW1865" s="1" t="s">
        <v>7006</v>
      </c>
      <c r="FX1865" s="1">
        <v>12664</v>
      </c>
      <c r="FY1865" s="1" t="s">
        <v>7007</v>
      </c>
      <c r="FZ1865" s="1" t="s">
        <v>17275</v>
      </c>
      <c r="GA1865" s="1">
        <v>128993</v>
      </c>
      <c r="GB1865" s="1" t="s">
        <v>17276</v>
      </c>
      <c r="GE1865" s="1" t="s">
        <v>210</v>
      </c>
      <c r="GH1865" s="1" t="s">
        <v>230</v>
      </c>
      <c r="GI1865" s="1" t="s">
        <v>213</v>
      </c>
      <c r="GJ1865" s="1" t="s">
        <v>260</v>
      </c>
      <c r="GK1865" s="1" t="s">
        <v>210</v>
      </c>
      <c r="GL1865" s="2">
        <v>42076</v>
      </c>
      <c r="GM1865" s="1" t="s">
        <v>17277</v>
      </c>
    </row>
    <row r="1866" spans="1:195">
      <c r="A1866" s="1">
        <v>178000</v>
      </c>
      <c r="B1866" s="1" t="s">
        <v>195</v>
      </c>
      <c r="C1866" s="1" t="str">
        <f>"08726182"</f>
        <v>08726182</v>
      </c>
      <c r="D1866" s="1" t="s">
        <v>196</v>
      </c>
      <c r="F1866" s="1" t="str">
        <f>"48"</f>
        <v>48</v>
      </c>
      <c r="G1866" s="2">
        <v>41893</v>
      </c>
      <c r="H1866" s="1">
        <v>199900</v>
      </c>
      <c r="I1866" s="1">
        <v>179900</v>
      </c>
      <c r="J1866" s="1">
        <v>178000</v>
      </c>
      <c r="K1866" s="2">
        <v>41891</v>
      </c>
      <c r="L1866" s="1">
        <v>116</v>
      </c>
      <c r="M1866" s="2">
        <v>42006</v>
      </c>
      <c r="N1866" s="1">
        <v>116</v>
      </c>
      <c r="O1866" s="2">
        <v>42006</v>
      </c>
      <c r="P1866" s="1">
        <v>2411</v>
      </c>
      <c r="Q1866" s="1" t="s">
        <v>197</v>
      </c>
      <c r="R1866" s="2">
        <v>42107</v>
      </c>
      <c r="S1866" s="1">
        <v>15497</v>
      </c>
      <c r="T1866" s="1">
        <v>1100</v>
      </c>
      <c r="U1866" s="1">
        <v>702</v>
      </c>
      <c r="V1866" s="1" t="s">
        <v>17278</v>
      </c>
      <c r="W1866" s="1" t="s">
        <v>304</v>
      </c>
      <c r="Y1866" s="1">
        <v>4</v>
      </c>
      <c r="Z1866" s="1" t="s">
        <v>200</v>
      </c>
      <c r="AA1866" s="1" t="s">
        <v>6674</v>
      </c>
      <c r="AB1866" s="1">
        <v>60048</v>
      </c>
      <c r="AE1866" s="1" t="s">
        <v>17279</v>
      </c>
      <c r="AF1866" s="1">
        <v>1990</v>
      </c>
      <c r="AG1866" s="1" t="s">
        <v>204</v>
      </c>
      <c r="AH1866" s="1" t="s">
        <v>1693</v>
      </c>
      <c r="AI1866" s="1" t="s">
        <v>509</v>
      </c>
      <c r="AJ1866" s="1" t="s">
        <v>1693</v>
      </c>
      <c r="AK1866" s="1">
        <v>102</v>
      </c>
      <c r="AL1866" s="1">
        <v>6</v>
      </c>
      <c r="AM1866" s="1">
        <v>2</v>
      </c>
      <c r="AN1866" s="1">
        <v>2</v>
      </c>
      <c r="AO1866" s="1">
        <v>0</v>
      </c>
      <c r="AP1866" s="1" t="s">
        <v>209</v>
      </c>
      <c r="AQ1866" s="1">
        <v>1</v>
      </c>
      <c r="AR1866" s="1" t="s">
        <v>210</v>
      </c>
      <c r="AS1866" s="1" t="s">
        <v>204</v>
      </c>
      <c r="AT1866" s="1" t="s">
        <v>211</v>
      </c>
      <c r="AU1866" s="1">
        <v>2</v>
      </c>
      <c r="AW1866" s="1" t="s">
        <v>204</v>
      </c>
      <c r="AX1866" s="1" t="s">
        <v>212</v>
      </c>
      <c r="AZ1866" s="1">
        <v>5656.54</v>
      </c>
      <c r="BA1866" s="1">
        <v>2012</v>
      </c>
      <c r="BB1866" s="1" t="s">
        <v>210</v>
      </c>
      <c r="BC1866" s="1">
        <v>0</v>
      </c>
      <c r="BE1866" s="1">
        <v>0</v>
      </c>
      <c r="BF1866" s="1">
        <v>2</v>
      </c>
      <c r="BG1866" s="1">
        <v>0</v>
      </c>
      <c r="BL1866" s="1">
        <v>322</v>
      </c>
      <c r="BM1866" s="1" t="s">
        <v>204</v>
      </c>
      <c r="BN1866" s="1" t="s">
        <v>213</v>
      </c>
      <c r="BO1866" s="1">
        <v>0</v>
      </c>
      <c r="BP1866" s="1" t="s">
        <v>204</v>
      </c>
      <c r="BR1866" s="1" t="str">
        <f>"11284030440000"</f>
        <v>11284030440000</v>
      </c>
      <c r="BT1866" s="1" t="s">
        <v>17280</v>
      </c>
      <c r="BU1866" s="1" t="s">
        <v>1879</v>
      </c>
      <c r="BV1866" s="1" t="s">
        <v>1880</v>
      </c>
      <c r="BW1866" s="1" t="s">
        <v>1696</v>
      </c>
      <c r="BX1866" s="1">
        <v>73</v>
      </c>
      <c r="BY1866" s="1">
        <v>73</v>
      </c>
      <c r="BZ1866" s="1">
        <v>128</v>
      </c>
      <c r="CB1866" s="1" t="str">
        <f>"27"</f>
        <v>27</v>
      </c>
      <c r="CC1866" s="1" t="str">
        <f t="shared" si="1415"/>
        <v>0</v>
      </c>
      <c r="CD1866" s="1">
        <v>15</v>
      </c>
      <c r="CE1866" s="1">
        <v>0</v>
      </c>
      <c r="CG1866" s="1" t="s">
        <v>931</v>
      </c>
      <c r="CH1866" s="1" t="s">
        <v>277</v>
      </c>
      <c r="CI1866" s="1" t="s">
        <v>220</v>
      </c>
      <c r="CK1866" s="1" t="s">
        <v>581</v>
      </c>
      <c r="CL1866" s="1" t="s">
        <v>277</v>
      </c>
      <c r="CM1866" s="1" t="s">
        <v>220</v>
      </c>
      <c r="CO1866" s="1" t="s">
        <v>1297</v>
      </c>
      <c r="CP1866" s="1" t="s">
        <v>277</v>
      </c>
      <c r="CQ1866" s="1" t="s">
        <v>220</v>
      </c>
      <c r="CS1866" s="1" t="s">
        <v>757</v>
      </c>
      <c r="CT1866" s="1" t="s">
        <v>277</v>
      </c>
      <c r="CU1866" s="1" t="s">
        <v>220</v>
      </c>
      <c r="CX1866" s="1" t="s">
        <v>224</v>
      </c>
      <c r="DB1866" s="1" t="s">
        <v>224</v>
      </c>
      <c r="DE1866" s="1" t="s">
        <v>602</v>
      </c>
      <c r="DF1866" s="1" t="s">
        <v>277</v>
      </c>
      <c r="DG1866" s="1" t="s">
        <v>347</v>
      </c>
      <c r="DJ1866" s="1" t="s">
        <v>224</v>
      </c>
      <c r="DM1866" s="1" t="s">
        <v>1005</v>
      </c>
      <c r="DR1866" s="1" t="s">
        <v>346</v>
      </c>
      <c r="DS1866" s="1" t="s">
        <v>277</v>
      </c>
      <c r="DT1866" s="1" t="s">
        <v>220</v>
      </c>
      <c r="DW1866" s="1" t="s">
        <v>230</v>
      </c>
      <c r="EA1866" s="1" t="s">
        <v>230</v>
      </c>
      <c r="EE1866" s="1" t="s">
        <v>230</v>
      </c>
      <c r="EI1866" s="1" t="s">
        <v>230</v>
      </c>
      <c r="EL1866" s="1" t="s">
        <v>382</v>
      </c>
      <c r="EM1866" s="1" t="s">
        <v>319</v>
      </c>
      <c r="EN1866" s="1" t="s">
        <v>210</v>
      </c>
      <c r="EO1866" s="1" t="s">
        <v>234</v>
      </c>
      <c r="EP1866" s="1" t="s">
        <v>650</v>
      </c>
      <c r="EQ1866" s="1" t="s">
        <v>17281</v>
      </c>
      <c r="ER1866" s="1" t="s">
        <v>210</v>
      </c>
      <c r="ES1866" s="1" t="s">
        <v>824</v>
      </c>
      <c r="ET1866" s="1" t="s">
        <v>842</v>
      </c>
      <c r="EU1866" s="1" t="s">
        <v>239</v>
      </c>
      <c r="EV1866" s="1" t="s">
        <v>240</v>
      </c>
      <c r="EW1866" s="1" t="s">
        <v>1134</v>
      </c>
      <c r="EY1866" s="1" t="s">
        <v>242</v>
      </c>
      <c r="EZ1866" s="1" t="s">
        <v>1005</v>
      </c>
      <c r="FC1866" s="1" t="s">
        <v>548</v>
      </c>
      <c r="FD1866" s="1" t="s">
        <v>246</v>
      </c>
      <c r="FE1866" s="1" t="s">
        <v>17282</v>
      </c>
      <c r="FF1866" s="1" t="s">
        <v>248</v>
      </c>
      <c r="FG1866" s="1" t="s">
        <v>715</v>
      </c>
      <c r="FH1866" s="1" t="s">
        <v>825</v>
      </c>
      <c r="FI1866" s="1" t="s">
        <v>473</v>
      </c>
      <c r="FL1866" s="1" t="s">
        <v>414</v>
      </c>
      <c r="FM1866" s="1" t="s">
        <v>252</v>
      </c>
      <c r="FN1866" s="1" t="s">
        <v>213</v>
      </c>
      <c r="FO1866" s="1" t="s">
        <v>204</v>
      </c>
      <c r="FQ1866" s="1" t="s">
        <v>689</v>
      </c>
      <c r="FR1866" s="1" t="s">
        <v>210</v>
      </c>
      <c r="FS1866" s="1" t="s">
        <v>17283</v>
      </c>
      <c r="FT1866" s="1" t="s">
        <v>1828</v>
      </c>
      <c r="FU1866" s="1" t="s">
        <v>204</v>
      </c>
      <c r="FW1866" s="1" t="s">
        <v>17246</v>
      </c>
      <c r="FX1866" s="1">
        <v>1920</v>
      </c>
      <c r="FY1866" s="1" t="s">
        <v>17247</v>
      </c>
      <c r="FZ1866" s="1" t="s">
        <v>17248</v>
      </c>
      <c r="GA1866" s="1">
        <v>28694</v>
      </c>
      <c r="GE1866" s="1" t="s">
        <v>480</v>
      </c>
      <c r="GI1866" s="1" t="s">
        <v>213</v>
      </c>
      <c r="GJ1866" s="1" t="s">
        <v>260</v>
      </c>
      <c r="GK1866" s="1" t="s">
        <v>210</v>
      </c>
      <c r="GL1866" s="2">
        <v>42107</v>
      </c>
      <c r="GM1866" s="1" t="s">
        <v>17249</v>
      </c>
    </row>
    <row r="1867" spans="1:195">
      <c r="A1867" s="1">
        <v>105000</v>
      </c>
      <c r="B1867" s="1" t="s">
        <v>195</v>
      </c>
      <c r="C1867" s="1" t="str">
        <f>"08740194"</f>
        <v>08740194</v>
      </c>
      <c r="D1867" s="1" t="s">
        <v>196</v>
      </c>
      <c r="F1867" s="1" t="str">
        <f>"148"</f>
        <v>148</v>
      </c>
      <c r="G1867" s="2">
        <v>41911</v>
      </c>
      <c r="H1867" s="1">
        <v>99000</v>
      </c>
      <c r="I1867" s="1">
        <v>99000</v>
      </c>
      <c r="J1867" s="1">
        <v>105000</v>
      </c>
      <c r="K1867" s="2">
        <v>41911</v>
      </c>
      <c r="L1867" s="1">
        <v>5</v>
      </c>
      <c r="M1867" s="2">
        <v>41915</v>
      </c>
      <c r="N1867" s="1">
        <v>5</v>
      </c>
      <c r="O1867" s="2">
        <v>41915</v>
      </c>
      <c r="P1867" s="1">
        <v>22205</v>
      </c>
      <c r="Q1867" s="1" t="s">
        <v>197</v>
      </c>
      <c r="R1867" s="2">
        <v>41969</v>
      </c>
      <c r="S1867" s="1">
        <v>224965</v>
      </c>
      <c r="U1867" s="1">
        <v>2201</v>
      </c>
      <c r="V1867" s="1" t="s">
        <v>11407</v>
      </c>
      <c r="W1867" s="1" t="s">
        <v>425</v>
      </c>
      <c r="X1867" s="1" t="s">
        <v>17284</v>
      </c>
      <c r="Y1867" s="1">
        <v>70</v>
      </c>
      <c r="Z1867" s="1" t="s">
        <v>249</v>
      </c>
      <c r="AA1867" s="1" t="s">
        <v>1927</v>
      </c>
      <c r="AB1867" s="1">
        <v>60148</v>
      </c>
      <c r="AE1867" s="1" t="s">
        <v>17285</v>
      </c>
      <c r="AF1867" s="1">
        <v>1969</v>
      </c>
      <c r="AG1867" s="1" t="s">
        <v>213</v>
      </c>
      <c r="AH1867" s="1" t="s">
        <v>1930</v>
      </c>
      <c r="AI1867" s="1" t="s">
        <v>206</v>
      </c>
      <c r="AJ1867" s="1" t="s">
        <v>1608</v>
      </c>
      <c r="AL1867" s="1">
        <v>6</v>
      </c>
      <c r="AM1867" s="1">
        <v>2</v>
      </c>
      <c r="AN1867" s="1">
        <v>2</v>
      </c>
      <c r="AO1867" s="1">
        <v>0</v>
      </c>
      <c r="AP1867" s="1" t="s">
        <v>209</v>
      </c>
      <c r="AQ1867" s="1">
        <v>0</v>
      </c>
      <c r="AR1867" s="1" t="s">
        <v>210</v>
      </c>
      <c r="AS1867" s="1" t="s">
        <v>204</v>
      </c>
      <c r="AT1867" s="1" t="s">
        <v>271</v>
      </c>
      <c r="AV1867" s="1">
        <v>1</v>
      </c>
      <c r="AW1867" s="1" t="s">
        <v>204</v>
      </c>
      <c r="AX1867" s="1" t="s">
        <v>212</v>
      </c>
      <c r="AZ1867" s="1">
        <v>2074</v>
      </c>
      <c r="BA1867" s="1">
        <v>2013</v>
      </c>
      <c r="BE1867" s="1">
        <v>1223</v>
      </c>
      <c r="BF1867" s="1">
        <v>3</v>
      </c>
      <c r="BG1867" s="1">
        <v>0</v>
      </c>
      <c r="BL1867" s="1">
        <v>360</v>
      </c>
      <c r="BM1867" s="1" t="s">
        <v>204</v>
      </c>
      <c r="BN1867" s="1" t="s">
        <v>213</v>
      </c>
      <c r="BO1867" s="1">
        <v>20</v>
      </c>
      <c r="BP1867" s="1" t="s">
        <v>204</v>
      </c>
      <c r="BR1867" s="1" t="str">
        <f>"0629107032"</f>
        <v>0629107032</v>
      </c>
      <c r="BT1867" s="1" t="s">
        <v>17286</v>
      </c>
      <c r="BU1867" s="1" t="s">
        <v>17287</v>
      </c>
      <c r="BV1867" s="1" t="s">
        <v>17288</v>
      </c>
      <c r="BW1867" s="1" t="s">
        <v>17289</v>
      </c>
      <c r="BX1867" s="1">
        <v>44</v>
      </c>
      <c r="BY1867" s="1">
        <v>44</v>
      </c>
      <c r="BZ1867" s="1">
        <v>87</v>
      </c>
      <c r="CB1867" s="1" t="str">
        <f t="shared" ref="CB1867:CC1867" si="1416">""</f>
        <v/>
      </c>
      <c r="CC1867" s="1" t="str">
        <f t="shared" si="1416"/>
        <v/>
      </c>
      <c r="CG1867" s="1" t="s">
        <v>601</v>
      </c>
      <c r="CH1867" s="1" t="s">
        <v>219</v>
      </c>
      <c r="CI1867" s="1" t="s">
        <v>4958</v>
      </c>
      <c r="CK1867" s="1" t="s">
        <v>861</v>
      </c>
      <c r="CL1867" s="1" t="s">
        <v>219</v>
      </c>
      <c r="CM1867" s="1" t="s">
        <v>4958</v>
      </c>
      <c r="CO1867" s="1" t="s">
        <v>837</v>
      </c>
      <c r="CP1867" s="1" t="s">
        <v>219</v>
      </c>
      <c r="CQ1867" s="1" t="s">
        <v>4958</v>
      </c>
      <c r="CS1867" s="1" t="s">
        <v>757</v>
      </c>
      <c r="CT1867" s="1" t="s">
        <v>219</v>
      </c>
      <c r="CU1867" s="1" t="s">
        <v>4958</v>
      </c>
      <c r="CX1867" s="1" t="s">
        <v>224</v>
      </c>
      <c r="DB1867" s="1" t="s">
        <v>224</v>
      </c>
      <c r="DE1867" s="1" t="s">
        <v>346</v>
      </c>
      <c r="DF1867" s="1" t="s">
        <v>219</v>
      </c>
      <c r="DG1867" s="1" t="s">
        <v>4958</v>
      </c>
      <c r="DJ1867" s="1" t="s">
        <v>224</v>
      </c>
      <c r="DM1867" s="1" t="s">
        <v>3592</v>
      </c>
      <c r="DN1867" s="1" t="s">
        <v>838</v>
      </c>
      <c r="DR1867" s="1" t="s">
        <v>1571</v>
      </c>
      <c r="DS1867" s="1" t="s">
        <v>219</v>
      </c>
      <c r="DT1867" s="1" t="s">
        <v>4958</v>
      </c>
      <c r="DV1867" s="1" t="s">
        <v>17290</v>
      </c>
      <c r="DW1867" s="1" t="s">
        <v>219</v>
      </c>
      <c r="EA1867" s="1" t="s">
        <v>230</v>
      </c>
      <c r="EE1867" s="1" t="s">
        <v>230</v>
      </c>
      <c r="EI1867" s="1" t="s">
        <v>230</v>
      </c>
      <c r="EL1867" s="1" t="s">
        <v>605</v>
      </c>
      <c r="EM1867" s="1" t="s">
        <v>232</v>
      </c>
      <c r="EN1867" s="1" t="s">
        <v>1158</v>
      </c>
      <c r="EO1867" s="1" t="s">
        <v>234</v>
      </c>
      <c r="EP1867" s="1" t="s">
        <v>17291</v>
      </c>
      <c r="ER1867" s="1" t="s">
        <v>210</v>
      </c>
      <c r="EU1867" s="1" t="s">
        <v>610</v>
      </c>
      <c r="EW1867" s="1" t="s">
        <v>10119</v>
      </c>
      <c r="EZ1867" s="1" t="s">
        <v>17292</v>
      </c>
      <c r="FD1867" s="1" t="s">
        <v>246</v>
      </c>
      <c r="FE1867" s="1" t="s">
        <v>247</v>
      </c>
      <c r="FF1867" s="1" t="s">
        <v>248</v>
      </c>
      <c r="FH1867" s="1" t="s">
        <v>249</v>
      </c>
      <c r="FJ1867" s="1" t="s">
        <v>197</v>
      </c>
      <c r="FK1867" s="1" t="s">
        <v>891</v>
      </c>
      <c r="FL1867" s="1" t="s">
        <v>5090</v>
      </c>
      <c r="FM1867" s="1" t="s">
        <v>252</v>
      </c>
      <c r="FN1867" s="1" t="s">
        <v>213</v>
      </c>
      <c r="FO1867" s="1" t="s">
        <v>213</v>
      </c>
      <c r="FQ1867" s="1" t="s">
        <v>17293</v>
      </c>
      <c r="FR1867" s="1" t="s">
        <v>210</v>
      </c>
      <c r="FS1867" s="1" t="s">
        <v>17294</v>
      </c>
      <c r="FT1867" s="1" t="s">
        <v>362</v>
      </c>
      <c r="FU1867" s="1" t="s">
        <v>204</v>
      </c>
      <c r="FW1867" s="1" t="s">
        <v>585</v>
      </c>
      <c r="FX1867" s="1">
        <v>10013</v>
      </c>
      <c r="FY1867" s="1" t="s">
        <v>1979</v>
      </c>
      <c r="FZ1867" s="1" t="s">
        <v>17295</v>
      </c>
      <c r="GA1867" s="1">
        <v>160794</v>
      </c>
      <c r="GB1867" s="1" t="s">
        <v>17296</v>
      </c>
      <c r="GE1867" s="1" t="s">
        <v>210</v>
      </c>
      <c r="GH1867" s="1" t="s">
        <v>421</v>
      </c>
      <c r="GI1867" s="1" t="s">
        <v>213</v>
      </c>
      <c r="GJ1867" s="1" t="s">
        <v>260</v>
      </c>
      <c r="GK1867" s="1" t="s">
        <v>210</v>
      </c>
      <c r="GL1867" s="2">
        <v>41969</v>
      </c>
      <c r="GM1867" s="1" t="s">
        <v>17297</v>
      </c>
    </row>
    <row r="1868" spans="1:195">
      <c r="A1868" s="1">
        <v>156000</v>
      </c>
      <c r="B1868" s="1" t="s">
        <v>195</v>
      </c>
      <c r="C1868" s="1" t="str">
        <f>"08726177"</f>
        <v>08726177</v>
      </c>
      <c r="D1868" s="1" t="s">
        <v>196</v>
      </c>
      <c r="F1868" s="1" t="str">
        <f>"507"</f>
        <v>507</v>
      </c>
      <c r="G1868" s="2">
        <v>41893</v>
      </c>
      <c r="H1868" s="1">
        <v>158500</v>
      </c>
      <c r="I1868" s="1">
        <v>156000</v>
      </c>
      <c r="J1868" s="1">
        <v>156000</v>
      </c>
      <c r="K1868" s="2">
        <v>41893</v>
      </c>
      <c r="L1868" s="1">
        <v>169</v>
      </c>
      <c r="M1868" s="2">
        <v>42007</v>
      </c>
      <c r="N1868" s="1">
        <v>115</v>
      </c>
      <c r="O1868" s="2">
        <v>42007</v>
      </c>
      <c r="P1868" s="1">
        <v>25083</v>
      </c>
      <c r="Q1868" s="1" t="s">
        <v>423</v>
      </c>
      <c r="R1868" s="2">
        <v>42047</v>
      </c>
      <c r="S1868" s="1">
        <v>227483</v>
      </c>
      <c r="T1868" s="1">
        <v>3000</v>
      </c>
      <c r="U1868" s="1">
        <v>2803</v>
      </c>
      <c r="V1868" s="1" t="s">
        <v>17298</v>
      </c>
      <c r="W1868" s="1" t="s">
        <v>504</v>
      </c>
      <c r="X1868" s="1">
        <v>2803</v>
      </c>
      <c r="Y1868" s="1">
        <v>1</v>
      </c>
      <c r="Z1868" s="1" t="s">
        <v>370</v>
      </c>
      <c r="AA1868" s="1" t="s">
        <v>1123</v>
      </c>
      <c r="AB1868" s="1">
        <v>60502</v>
      </c>
      <c r="AD1868" s="1" t="s">
        <v>16766</v>
      </c>
      <c r="AE1868" s="1" t="s">
        <v>17299</v>
      </c>
      <c r="AF1868" s="1">
        <v>2002</v>
      </c>
      <c r="AG1868" s="1" t="s">
        <v>204</v>
      </c>
      <c r="AH1868" s="1" t="s">
        <v>1126</v>
      </c>
      <c r="AI1868" s="1" t="s">
        <v>206</v>
      </c>
      <c r="AJ1868" s="1" t="s">
        <v>924</v>
      </c>
      <c r="AK1868" s="1" t="s">
        <v>11002</v>
      </c>
      <c r="AL1868" s="1">
        <v>6</v>
      </c>
      <c r="AM1868" s="1">
        <v>2</v>
      </c>
      <c r="AN1868" s="1">
        <v>2</v>
      </c>
      <c r="AO1868" s="1">
        <v>0</v>
      </c>
      <c r="AP1868" s="1" t="s">
        <v>209</v>
      </c>
      <c r="AR1868" s="1" t="s">
        <v>210</v>
      </c>
      <c r="AS1868" s="1" t="s">
        <v>204</v>
      </c>
      <c r="AT1868" s="1" t="s">
        <v>211</v>
      </c>
      <c r="AU1868" s="1">
        <v>1</v>
      </c>
      <c r="AW1868" s="1" t="s">
        <v>204</v>
      </c>
      <c r="AX1868" s="1">
        <v>0</v>
      </c>
      <c r="AZ1868" s="1">
        <v>4244</v>
      </c>
      <c r="BA1868" s="1">
        <v>2013</v>
      </c>
      <c r="BB1868" s="1" t="s">
        <v>405</v>
      </c>
      <c r="BE1868" s="1">
        <v>1656</v>
      </c>
      <c r="BF1868" s="1">
        <v>2</v>
      </c>
      <c r="BG1868" s="1">
        <v>0</v>
      </c>
      <c r="BL1868" s="1">
        <v>131</v>
      </c>
      <c r="BM1868" s="1" t="s">
        <v>204</v>
      </c>
      <c r="BN1868" s="1" t="s">
        <v>213</v>
      </c>
      <c r="BO1868" s="1">
        <v>999</v>
      </c>
      <c r="BP1868" s="1" t="s">
        <v>204</v>
      </c>
      <c r="BR1868" s="1" t="str">
        <f>"0431311086"</f>
        <v>0431311086</v>
      </c>
      <c r="BT1868" s="1" t="s">
        <v>17300</v>
      </c>
      <c r="BU1868" s="1" t="s">
        <v>5816</v>
      </c>
      <c r="BV1868" s="1" t="s">
        <v>1130</v>
      </c>
      <c r="BW1868" s="1" t="s">
        <v>1131</v>
      </c>
      <c r="BX1868" s="1">
        <v>204</v>
      </c>
      <c r="BY1868" s="1">
        <v>204</v>
      </c>
      <c r="BZ1868" s="1">
        <v>204</v>
      </c>
      <c r="CB1868" s="1" t="str">
        <f t="shared" ref="CB1868:CC1868" si="1417">""</f>
        <v/>
      </c>
      <c r="CC1868" s="1" t="str">
        <f t="shared" si="1417"/>
        <v/>
      </c>
      <c r="CG1868" s="1" t="s">
        <v>1788</v>
      </c>
      <c r="CH1868" s="1" t="s">
        <v>219</v>
      </c>
      <c r="CI1868" s="1" t="s">
        <v>220</v>
      </c>
      <c r="CJ1868" s="1" t="s">
        <v>909</v>
      </c>
      <c r="CK1868" s="1" t="s">
        <v>2935</v>
      </c>
      <c r="CL1868" s="1" t="s">
        <v>219</v>
      </c>
      <c r="CM1868" s="1" t="s">
        <v>220</v>
      </c>
      <c r="CN1868" s="1" t="s">
        <v>2449</v>
      </c>
      <c r="CO1868" s="1" t="s">
        <v>378</v>
      </c>
      <c r="CP1868" s="1" t="s">
        <v>219</v>
      </c>
      <c r="CQ1868" s="1" t="s">
        <v>220</v>
      </c>
      <c r="CS1868" s="1" t="s">
        <v>2122</v>
      </c>
      <c r="CT1868" s="1" t="s">
        <v>219</v>
      </c>
      <c r="CU1868" s="1" t="s">
        <v>220</v>
      </c>
      <c r="CV1868" s="1" t="s">
        <v>909</v>
      </c>
      <c r="CX1868" s="1" t="s">
        <v>224</v>
      </c>
      <c r="DB1868" s="1" t="s">
        <v>224</v>
      </c>
      <c r="DE1868" s="1" t="s">
        <v>3748</v>
      </c>
      <c r="DF1868" s="1" t="s">
        <v>219</v>
      </c>
      <c r="DG1868" s="1" t="s">
        <v>438</v>
      </c>
      <c r="DH1868" s="1" t="s">
        <v>909</v>
      </c>
      <c r="DJ1868" s="1" t="s">
        <v>224</v>
      </c>
      <c r="DM1868" s="1" t="s">
        <v>1005</v>
      </c>
      <c r="DR1868" s="1" t="s">
        <v>378</v>
      </c>
      <c r="DS1868" s="1" t="s">
        <v>219</v>
      </c>
      <c r="DT1868" s="1" t="s">
        <v>220</v>
      </c>
      <c r="DW1868" s="1" t="s">
        <v>230</v>
      </c>
      <c r="EA1868" s="1" t="s">
        <v>230</v>
      </c>
      <c r="EE1868" s="1" t="s">
        <v>230</v>
      </c>
      <c r="EI1868" s="1" t="s">
        <v>230</v>
      </c>
      <c r="EL1868" s="1" t="s">
        <v>466</v>
      </c>
      <c r="EM1868" s="1" t="s">
        <v>319</v>
      </c>
      <c r="EN1868" s="1" t="s">
        <v>282</v>
      </c>
      <c r="EO1868" s="1" t="s">
        <v>234</v>
      </c>
      <c r="ER1868" s="1" t="s">
        <v>210</v>
      </c>
      <c r="ES1868" s="1" t="s">
        <v>954</v>
      </c>
      <c r="ET1868" s="1" t="s">
        <v>866</v>
      </c>
      <c r="EV1868" s="1" t="s">
        <v>240</v>
      </c>
      <c r="EW1868" s="1" t="s">
        <v>1250</v>
      </c>
      <c r="EZ1868" s="1" t="s">
        <v>1005</v>
      </c>
      <c r="FA1868" s="1" t="s">
        <v>471</v>
      </c>
      <c r="FD1868" s="1" t="s">
        <v>246</v>
      </c>
      <c r="FE1868" s="1" t="s">
        <v>975</v>
      </c>
      <c r="FF1868" s="1" t="s">
        <v>248</v>
      </c>
      <c r="FH1868" s="1" t="s">
        <v>249</v>
      </c>
      <c r="FI1868" s="1" t="s">
        <v>473</v>
      </c>
      <c r="FL1868" s="1" t="s">
        <v>414</v>
      </c>
      <c r="FM1868" s="1" t="s">
        <v>252</v>
      </c>
      <c r="FN1868" s="1" t="s">
        <v>213</v>
      </c>
      <c r="FO1868" s="1" t="s">
        <v>213</v>
      </c>
      <c r="FQ1868" s="1" t="s">
        <v>17301</v>
      </c>
      <c r="FR1868" s="1" t="s">
        <v>210</v>
      </c>
      <c r="FS1868" s="1" t="s">
        <v>3352</v>
      </c>
      <c r="FT1868" s="1" t="s">
        <v>520</v>
      </c>
      <c r="FU1868" s="1" t="s">
        <v>204</v>
      </c>
      <c r="FW1868" s="1" t="s">
        <v>17302</v>
      </c>
      <c r="FX1868" s="1">
        <v>1419</v>
      </c>
      <c r="FY1868" s="1" t="s">
        <v>17303</v>
      </c>
      <c r="FZ1868" s="1" t="s">
        <v>17304</v>
      </c>
      <c r="GA1868" s="1">
        <v>89293</v>
      </c>
      <c r="GB1868" s="1" t="s">
        <v>17305</v>
      </c>
      <c r="GE1868" s="1" t="s">
        <v>480</v>
      </c>
      <c r="GI1868" s="1" t="s">
        <v>213</v>
      </c>
      <c r="GJ1868" s="1" t="s">
        <v>260</v>
      </c>
      <c r="GK1868" s="1" t="s">
        <v>210</v>
      </c>
      <c r="GL1868" s="2">
        <v>42047</v>
      </c>
      <c r="GM1868" s="1" t="s">
        <v>17306</v>
      </c>
    </row>
    <row r="1869" spans="1:195">
      <c r="A1869" s="1">
        <v>310000</v>
      </c>
      <c r="B1869" s="1" t="s">
        <v>195</v>
      </c>
      <c r="C1869" s="1" t="str">
        <f>"08740103"</f>
        <v>08740103</v>
      </c>
      <c r="D1869" s="1" t="s">
        <v>196</v>
      </c>
      <c r="F1869" s="1" t="str">
        <f>"137"</f>
        <v>137</v>
      </c>
      <c r="G1869" s="2">
        <v>41911</v>
      </c>
      <c r="H1869" s="1">
        <v>319900</v>
      </c>
      <c r="I1869" s="1">
        <v>319900</v>
      </c>
      <c r="J1869" s="1">
        <v>310000</v>
      </c>
      <c r="K1869" s="2">
        <v>41911</v>
      </c>
      <c r="L1869" s="1">
        <v>177</v>
      </c>
      <c r="M1869" s="2">
        <v>42087</v>
      </c>
      <c r="N1869" s="1">
        <v>177</v>
      </c>
      <c r="O1869" s="2">
        <v>42087</v>
      </c>
      <c r="P1869" s="1">
        <v>22039</v>
      </c>
      <c r="Q1869" s="1" t="s">
        <v>302</v>
      </c>
      <c r="R1869" s="2">
        <v>42123</v>
      </c>
      <c r="S1869" s="1">
        <v>255697</v>
      </c>
      <c r="U1869" s="1">
        <v>80</v>
      </c>
      <c r="V1869" s="1" t="s">
        <v>3768</v>
      </c>
      <c r="W1869" s="1" t="s">
        <v>264</v>
      </c>
      <c r="Y1869" s="1">
        <v>4</v>
      </c>
      <c r="Z1869" s="1" t="s">
        <v>249</v>
      </c>
      <c r="AA1869" s="1" t="s">
        <v>201</v>
      </c>
      <c r="AB1869" s="1">
        <v>60137</v>
      </c>
      <c r="AD1869" s="1" t="s">
        <v>4644</v>
      </c>
      <c r="AE1869" s="1" t="s">
        <v>17307</v>
      </c>
      <c r="AF1869" s="1">
        <v>2000</v>
      </c>
      <c r="AG1869" s="1" t="s">
        <v>204</v>
      </c>
      <c r="AH1869" s="1" t="s">
        <v>205</v>
      </c>
      <c r="AI1869" s="1" t="s">
        <v>206</v>
      </c>
      <c r="AJ1869" s="1" t="s">
        <v>207</v>
      </c>
      <c r="AL1869" s="1">
        <v>8</v>
      </c>
      <c r="AM1869" s="1">
        <v>2</v>
      </c>
      <c r="AN1869" s="1">
        <v>2</v>
      </c>
      <c r="AO1869" s="1">
        <v>1</v>
      </c>
      <c r="AP1869" s="1" t="s">
        <v>209</v>
      </c>
      <c r="AQ1869" s="1">
        <v>1</v>
      </c>
      <c r="AR1869" s="1" t="s">
        <v>209</v>
      </c>
      <c r="AS1869" s="1" t="s">
        <v>204</v>
      </c>
      <c r="AT1869" s="1" t="s">
        <v>211</v>
      </c>
      <c r="AU1869" s="1">
        <v>2</v>
      </c>
      <c r="AW1869" s="1" t="s">
        <v>204</v>
      </c>
      <c r="AX1869" s="1" t="s">
        <v>212</v>
      </c>
      <c r="AZ1869" s="1">
        <v>6848.82</v>
      </c>
      <c r="BA1869" s="1">
        <v>2013</v>
      </c>
      <c r="BB1869" s="1" t="s">
        <v>599</v>
      </c>
      <c r="BE1869" s="1">
        <v>1779</v>
      </c>
      <c r="BF1869" s="1">
        <v>1</v>
      </c>
      <c r="BG1869" s="1">
        <v>0</v>
      </c>
      <c r="BL1869" s="1">
        <v>248</v>
      </c>
      <c r="BM1869" s="1" t="s">
        <v>204</v>
      </c>
      <c r="BN1869" s="1" t="s">
        <v>213</v>
      </c>
      <c r="BO1869" s="1">
        <v>999</v>
      </c>
      <c r="BP1869" s="1" t="s">
        <v>204</v>
      </c>
      <c r="BR1869" s="1" t="str">
        <f>"0513333069"</f>
        <v>0513333069</v>
      </c>
      <c r="BT1869" s="1" t="s">
        <v>17308</v>
      </c>
      <c r="BV1869" s="1" t="s">
        <v>216</v>
      </c>
      <c r="BW1869" s="1" t="s">
        <v>217</v>
      </c>
      <c r="BX1869" s="1">
        <v>89</v>
      </c>
      <c r="BY1869" s="1">
        <v>89</v>
      </c>
      <c r="BZ1869" s="1">
        <v>87</v>
      </c>
      <c r="CB1869" s="1" t="str">
        <f t="shared" ref="CB1869:CC1869" si="1418">""</f>
        <v/>
      </c>
      <c r="CC1869" s="1" t="str">
        <f t="shared" si="1418"/>
        <v/>
      </c>
      <c r="CG1869" s="1" t="s">
        <v>602</v>
      </c>
      <c r="CH1869" s="1" t="s">
        <v>219</v>
      </c>
      <c r="CI1869" s="1" t="s">
        <v>220</v>
      </c>
      <c r="CJ1869" s="1" t="s">
        <v>343</v>
      </c>
      <c r="CK1869" s="1" t="s">
        <v>669</v>
      </c>
      <c r="CL1869" s="1" t="s">
        <v>277</v>
      </c>
      <c r="CM1869" s="1" t="s">
        <v>220</v>
      </c>
      <c r="CN1869" s="1" t="s">
        <v>439</v>
      </c>
      <c r="CO1869" s="1" t="s">
        <v>379</v>
      </c>
      <c r="CP1869" s="1" t="s">
        <v>219</v>
      </c>
      <c r="CQ1869" s="1" t="s">
        <v>220</v>
      </c>
      <c r="CS1869" s="1" t="s">
        <v>317</v>
      </c>
      <c r="CT1869" s="1" t="s">
        <v>277</v>
      </c>
      <c r="CU1869" s="1" t="s">
        <v>220</v>
      </c>
      <c r="CX1869" s="1" t="s">
        <v>224</v>
      </c>
      <c r="DB1869" s="1" t="s">
        <v>224</v>
      </c>
      <c r="DE1869" s="1" t="s">
        <v>378</v>
      </c>
      <c r="DF1869" s="1" t="s">
        <v>219</v>
      </c>
      <c r="DG1869" s="1" t="s">
        <v>226</v>
      </c>
      <c r="DI1869" s="1" t="s">
        <v>539</v>
      </c>
      <c r="DJ1869" s="1" t="s">
        <v>219</v>
      </c>
      <c r="DK1869" s="1" t="s">
        <v>438</v>
      </c>
      <c r="DL1869" s="1" t="s">
        <v>343</v>
      </c>
      <c r="DM1869" s="1" t="s">
        <v>934</v>
      </c>
      <c r="DN1869" s="1" t="s">
        <v>709</v>
      </c>
      <c r="DO1869" s="1" t="s">
        <v>464</v>
      </c>
      <c r="DR1869" s="1" t="s">
        <v>17309</v>
      </c>
      <c r="DS1869" s="1" t="s">
        <v>43</v>
      </c>
      <c r="DT1869" s="1" t="s">
        <v>220</v>
      </c>
      <c r="DU1869" s="1" t="s">
        <v>343</v>
      </c>
      <c r="DV1869" s="1" t="s">
        <v>6362</v>
      </c>
      <c r="DW1869" s="1" t="s">
        <v>219</v>
      </c>
      <c r="DX1869" s="1" t="s">
        <v>226</v>
      </c>
      <c r="DZ1869" s="1" t="s">
        <v>379</v>
      </c>
      <c r="EA1869" s="1" t="s">
        <v>277</v>
      </c>
      <c r="EB1869" s="1" t="s">
        <v>220</v>
      </c>
      <c r="EE1869" s="1" t="s">
        <v>230</v>
      </c>
      <c r="EI1869" s="1" t="s">
        <v>230</v>
      </c>
      <c r="EL1869" s="1" t="s">
        <v>466</v>
      </c>
      <c r="EM1869" s="1" t="s">
        <v>232</v>
      </c>
      <c r="EN1869" s="1" t="s">
        <v>282</v>
      </c>
      <c r="EO1869" s="1" t="s">
        <v>234</v>
      </c>
      <c r="EQ1869" s="1" t="s">
        <v>492</v>
      </c>
      <c r="ER1869" s="1" t="s">
        <v>8396</v>
      </c>
      <c r="ES1869" s="1" t="s">
        <v>3914</v>
      </c>
      <c r="ET1869" s="1" t="s">
        <v>17310</v>
      </c>
      <c r="EU1869" s="1" t="s">
        <v>1573</v>
      </c>
      <c r="EV1869" s="1" t="s">
        <v>324</v>
      </c>
      <c r="EW1869" s="1" t="s">
        <v>353</v>
      </c>
      <c r="EZ1869" s="1" t="s">
        <v>14514</v>
      </c>
      <c r="FA1869" s="1" t="s">
        <v>17311</v>
      </c>
      <c r="FD1869" s="1" t="s">
        <v>246</v>
      </c>
      <c r="FE1869" s="1" t="s">
        <v>1031</v>
      </c>
      <c r="FF1869" s="1" t="s">
        <v>248</v>
      </c>
      <c r="FH1869" s="1" t="s">
        <v>550</v>
      </c>
      <c r="FI1869" s="1" t="s">
        <v>473</v>
      </c>
      <c r="FL1869" s="1" t="s">
        <v>358</v>
      </c>
      <c r="FM1869" s="1" t="s">
        <v>252</v>
      </c>
      <c r="FN1869" s="1" t="s">
        <v>213</v>
      </c>
      <c r="FO1869" s="1" t="s">
        <v>213</v>
      </c>
      <c r="FQ1869" s="1" t="s">
        <v>1317</v>
      </c>
      <c r="FR1869" s="1" t="s">
        <v>210</v>
      </c>
      <c r="FS1869" s="1" t="s">
        <v>17312</v>
      </c>
      <c r="FT1869" s="1" t="s">
        <v>295</v>
      </c>
      <c r="FU1869" s="1" t="s">
        <v>204</v>
      </c>
      <c r="FW1869" s="1" t="s">
        <v>585</v>
      </c>
      <c r="FX1869" s="1">
        <v>25003</v>
      </c>
      <c r="FY1869" s="1" t="s">
        <v>1330</v>
      </c>
      <c r="FZ1869" s="1" t="s">
        <v>6458</v>
      </c>
      <c r="GA1869" s="1">
        <v>255703</v>
      </c>
      <c r="GB1869" s="1" t="s">
        <v>6459</v>
      </c>
      <c r="GE1869" s="1" t="s">
        <v>210</v>
      </c>
      <c r="GI1869" s="1" t="s">
        <v>213</v>
      </c>
      <c r="GJ1869" s="1" t="s">
        <v>260</v>
      </c>
      <c r="GK1869" s="1" t="s">
        <v>210</v>
      </c>
      <c r="GL1869" s="2">
        <v>42123</v>
      </c>
    </row>
    <row r="1870" spans="1:195">
      <c r="A1870" s="1">
        <v>51100</v>
      </c>
      <c r="B1870" s="1" t="s">
        <v>195</v>
      </c>
      <c r="C1870" s="1" t="str">
        <f>"08729881"</f>
        <v>08729881</v>
      </c>
      <c r="D1870" s="1" t="s">
        <v>196</v>
      </c>
      <c r="F1870" s="1" t="str">
        <f>"148"</f>
        <v>148</v>
      </c>
      <c r="G1870" s="2">
        <v>41898</v>
      </c>
      <c r="H1870" s="1">
        <v>99900</v>
      </c>
      <c r="I1870" s="1">
        <v>49900</v>
      </c>
      <c r="J1870" s="1">
        <v>51100</v>
      </c>
      <c r="K1870" s="2">
        <v>41898</v>
      </c>
      <c r="L1870" s="1">
        <v>121</v>
      </c>
      <c r="M1870" s="2">
        <v>42018</v>
      </c>
      <c r="N1870" s="1">
        <v>121</v>
      </c>
      <c r="O1870" s="2">
        <v>42018</v>
      </c>
      <c r="P1870" s="1">
        <v>22005</v>
      </c>
      <c r="Q1870" s="1" t="s">
        <v>197</v>
      </c>
      <c r="R1870" s="2">
        <v>42076</v>
      </c>
      <c r="S1870" s="1">
        <v>219044</v>
      </c>
      <c r="U1870" s="1">
        <v>1313</v>
      </c>
      <c r="V1870" s="1" t="s">
        <v>448</v>
      </c>
      <c r="W1870" s="1" t="s">
        <v>1056</v>
      </c>
      <c r="X1870" s="1" t="s">
        <v>17313</v>
      </c>
      <c r="Y1870" s="1">
        <v>45</v>
      </c>
      <c r="Z1870" s="1" t="s">
        <v>200</v>
      </c>
      <c r="AA1870" s="1" t="s">
        <v>1927</v>
      </c>
      <c r="AB1870" s="1">
        <v>60148</v>
      </c>
      <c r="AE1870" s="1" t="s">
        <v>17314</v>
      </c>
      <c r="AF1870" s="1">
        <v>1968</v>
      </c>
      <c r="AG1870" s="1" t="s">
        <v>213</v>
      </c>
      <c r="AH1870" s="1" t="s">
        <v>1930</v>
      </c>
      <c r="AI1870" s="1" t="s">
        <v>206</v>
      </c>
      <c r="AJ1870" s="1" t="s">
        <v>1608</v>
      </c>
      <c r="AL1870" s="1">
        <v>4</v>
      </c>
      <c r="AM1870" s="1">
        <v>2</v>
      </c>
      <c r="AN1870" s="1">
        <v>1</v>
      </c>
      <c r="AO1870" s="1">
        <v>1</v>
      </c>
      <c r="AP1870" s="1" t="s">
        <v>1234</v>
      </c>
      <c r="AR1870" s="1" t="s">
        <v>210</v>
      </c>
      <c r="AS1870" s="1" t="s">
        <v>204</v>
      </c>
      <c r="AT1870" s="1" t="s">
        <v>271</v>
      </c>
      <c r="AV1870" s="1">
        <v>2</v>
      </c>
      <c r="AW1870" s="1" t="s">
        <v>204</v>
      </c>
      <c r="AX1870" s="1" t="s">
        <v>212</v>
      </c>
      <c r="AZ1870" s="1">
        <v>1508</v>
      </c>
      <c r="BA1870" s="1">
        <v>2013</v>
      </c>
      <c r="BE1870" s="1">
        <v>1000</v>
      </c>
      <c r="BF1870" s="1">
        <v>2</v>
      </c>
      <c r="BG1870" s="1">
        <v>0</v>
      </c>
      <c r="BL1870" s="1">
        <v>231</v>
      </c>
      <c r="BM1870" s="1" t="s">
        <v>204</v>
      </c>
      <c r="BN1870" s="1" t="s">
        <v>213</v>
      </c>
      <c r="BO1870" s="1">
        <v>0</v>
      </c>
      <c r="BP1870" s="1" t="s">
        <v>204</v>
      </c>
      <c r="BR1870" s="1" t="str">
        <f>"0619203028"</f>
        <v>0619203028</v>
      </c>
      <c r="BT1870" s="1" t="s">
        <v>17315</v>
      </c>
      <c r="BX1870" s="1">
        <v>44</v>
      </c>
      <c r="BY1870" s="1">
        <v>44</v>
      </c>
      <c r="BZ1870" s="1">
        <v>87</v>
      </c>
      <c r="CB1870" s="1" t="str">
        <f t="shared" ref="CB1870:CC1870" si="1419">""</f>
        <v/>
      </c>
      <c r="CC1870" s="1" t="str">
        <f t="shared" si="1419"/>
        <v/>
      </c>
      <c r="CG1870" s="1" t="s">
        <v>2669</v>
      </c>
      <c r="CH1870" s="1" t="s">
        <v>277</v>
      </c>
      <c r="CK1870" s="1" t="s">
        <v>539</v>
      </c>
      <c r="CL1870" s="1" t="s">
        <v>277</v>
      </c>
      <c r="CP1870" s="1" t="s">
        <v>224</v>
      </c>
      <c r="CS1870" s="1" t="s">
        <v>346</v>
      </c>
      <c r="CT1870" s="1" t="s">
        <v>277</v>
      </c>
      <c r="CX1870" s="1" t="s">
        <v>224</v>
      </c>
      <c r="DB1870" s="1" t="s">
        <v>224</v>
      </c>
      <c r="DE1870" s="1" t="s">
        <v>379</v>
      </c>
      <c r="DF1870" s="1" t="s">
        <v>277</v>
      </c>
      <c r="DJ1870" s="1" t="s">
        <v>224</v>
      </c>
      <c r="DS1870" s="1" t="s">
        <v>230</v>
      </c>
      <c r="DW1870" s="1" t="s">
        <v>230</v>
      </c>
      <c r="EA1870" s="1" t="s">
        <v>230</v>
      </c>
      <c r="EE1870" s="1" t="s">
        <v>230</v>
      </c>
      <c r="EI1870" s="1" t="s">
        <v>230</v>
      </c>
      <c r="EL1870" s="1" t="s">
        <v>605</v>
      </c>
      <c r="EM1870" s="1" t="s">
        <v>232</v>
      </c>
      <c r="EN1870" s="1" t="s">
        <v>233</v>
      </c>
      <c r="EO1870" s="1" t="s">
        <v>234</v>
      </c>
      <c r="ER1870" s="1" t="s">
        <v>210</v>
      </c>
      <c r="EW1870" s="1" t="s">
        <v>3704</v>
      </c>
      <c r="EZ1870" s="1" t="s">
        <v>287</v>
      </c>
      <c r="FD1870" s="1" t="s">
        <v>246</v>
      </c>
      <c r="FE1870" s="1" t="s">
        <v>247</v>
      </c>
      <c r="FF1870" s="1" t="s">
        <v>248</v>
      </c>
      <c r="FH1870" s="1" t="s">
        <v>249</v>
      </c>
      <c r="FL1870" s="1" t="s">
        <v>5090</v>
      </c>
      <c r="FM1870" s="1" t="s">
        <v>252</v>
      </c>
      <c r="FN1870" s="1" t="s">
        <v>213</v>
      </c>
      <c r="FO1870" s="1" t="s">
        <v>213</v>
      </c>
      <c r="FQ1870" s="1" t="s">
        <v>673</v>
      </c>
      <c r="FR1870" s="1" t="s">
        <v>411</v>
      </c>
      <c r="FS1870" s="1" t="s">
        <v>17316</v>
      </c>
      <c r="FT1870" s="1" t="s">
        <v>4371</v>
      </c>
      <c r="FU1870" s="1" t="s">
        <v>204</v>
      </c>
      <c r="FW1870" s="1" t="s">
        <v>1806</v>
      </c>
      <c r="FX1870" s="1">
        <v>25196</v>
      </c>
      <c r="FY1870" s="1" t="s">
        <v>1807</v>
      </c>
      <c r="FZ1870" s="1" t="s">
        <v>1808</v>
      </c>
      <c r="GA1870" s="1">
        <v>214545</v>
      </c>
      <c r="GB1870" s="1" t="s">
        <v>1807</v>
      </c>
      <c r="GE1870" s="1" t="s">
        <v>210</v>
      </c>
      <c r="GH1870" s="1" t="s">
        <v>421</v>
      </c>
      <c r="GI1870" s="1" t="s">
        <v>213</v>
      </c>
      <c r="GJ1870" s="1" t="s">
        <v>260</v>
      </c>
      <c r="GK1870" s="1" t="s">
        <v>210</v>
      </c>
      <c r="GL1870" s="2">
        <v>42080</v>
      </c>
      <c r="GM1870" s="1" t="s">
        <v>17317</v>
      </c>
    </row>
    <row r="1871" spans="1:195">
      <c r="A1871" s="1">
        <v>290000</v>
      </c>
      <c r="B1871" s="1" t="s">
        <v>195</v>
      </c>
      <c r="C1871" s="1" t="str">
        <f>"08744246"</f>
        <v>08744246</v>
      </c>
      <c r="D1871" s="1" t="s">
        <v>196</v>
      </c>
      <c r="F1871" s="1" t="str">
        <f>"532"</f>
        <v>532</v>
      </c>
      <c r="G1871" s="2">
        <v>41915</v>
      </c>
      <c r="H1871" s="1">
        <v>325000</v>
      </c>
      <c r="I1871" s="1">
        <v>319500</v>
      </c>
      <c r="J1871" s="1">
        <v>290000</v>
      </c>
      <c r="K1871" s="2">
        <v>41915</v>
      </c>
      <c r="L1871" s="1">
        <v>55</v>
      </c>
      <c r="M1871" s="2">
        <v>41969</v>
      </c>
      <c r="N1871" s="1">
        <v>55</v>
      </c>
      <c r="O1871" s="2">
        <v>41969</v>
      </c>
      <c r="P1871" s="1">
        <v>41</v>
      </c>
      <c r="Q1871" s="1" t="s">
        <v>197</v>
      </c>
      <c r="R1871" s="2">
        <v>42020</v>
      </c>
      <c r="S1871" s="1">
        <v>79</v>
      </c>
      <c r="U1871" s="1">
        <v>881</v>
      </c>
      <c r="V1871" s="1" t="s">
        <v>17318</v>
      </c>
      <c r="W1871" s="1" t="s">
        <v>264</v>
      </c>
      <c r="Y1871" s="1">
        <v>4</v>
      </c>
      <c r="Z1871" s="1" t="s">
        <v>249</v>
      </c>
      <c r="AA1871" s="1" t="s">
        <v>1566</v>
      </c>
      <c r="AB1871" s="1">
        <v>60532</v>
      </c>
      <c r="AD1871" s="1" t="s">
        <v>17319</v>
      </c>
      <c r="AE1871" s="1" t="s">
        <v>17320</v>
      </c>
      <c r="AF1871" s="1">
        <v>1997</v>
      </c>
      <c r="AG1871" s="1" t="s">
        <v>204</v>
      </c>
      <c r="AH1871" s="1" t="s">
        <v>925</v>
      </c>
      <c r="AI1871" s="1" t="s">
        <v>206</v>
      </c>
      <c r="AJ1871" s="1" t="s">
        <v>925</v>
      </c>
      <c r="AL1871" s="1">
        <v>9</v>
      </c>
      <c r="AM1871" s="1">
        <v>2</v>
      </c>
      <c r="AN1871" s="1">
        <v>2</v>
      </c>
      <c r="AO1871" s="1">
        <v>1</v>
      </c>
      <c r="AP1871" s="1" t="s">
        <v>209</v>
      </c>
      <c r="AR1871" s="1" t="s">
        <v>209</v>
      </c>
      <c r="AS1871" s="1" t="s">
        <v>204</v>
      </c>
      <c r="AT1871" s="1" t="s">
        <v>211</v>
      </c>
      <c r="AU1871" s="1">
        <v>2</v>
      </c>
      <c r="AW1871" s="1" t="s">
        <v>204</v>
      </c>
      <c r="AX1871" s="1" t="s">
        <v>212</v>
      </c>
      <c r="AZ1871" s="1">
        <v>6293</v>
      </c>
      <c r="BA1871" s="1">
        <v>2013</v>
      </c>
      <c r="BE1871" s="1">
        <v>2200</v>
      </c>
      <c r="BF1871" s="1">
        <v>1</v>
      </c>
      <c r="BG1871" s="1">
        <v>30</v>
      </c>
      <c r="BL1871" s="1">
        <v>200</v>
      </c>
      <c r="BM1871" s="1" t="s">
        <v>204</v>
      </c>
      <c r="BN1871" s="1" t="s">
        <v>213</v>
      </c>
      <c r="BO1871" s="1">
        <v>999</v>
      </c>
      <c r="BP1871" s="1" t="s">
        <v>204</v>
      </c>
      <c r="BR1871" s="1" t="str">
        <f>"0811117041"</f>
        <v>0811117041</v>
      </c>
      <c r="BT1871" s="1" t="s">
        <v>17321</v>
      </c>
      <c r="BU1871" s="1" t="s">
        <v>5789</v>
      </c>
      <c r="BV1871" s="1" t="s">
        <v>5790</v>
      </c>
      <c r="BW1871" s="1" t="s">
        <v>5791</v>
      </c>
      <c r="BX1871" s="1">
        <v>202</v>
      </c>
      <c r="BY1871" s="1">
        <v>202</v>
      </c>
      <c r="BZ1871" s="1">
        <v>202</v>
      </c>
      <c r="CB1871" s="1" t="str">
        <f t="shared" ref="CB1871:CC1871" si="1420">""</f>
        <v/>
      </c>
      <c r="CC1871" s="1" t="str">
        <f t="shared" si="1420"/>
        <v/>
      </c>
      <c r="CG1871" s="1" t="s">
        <v>378</v>
      </c>
      <c r="CH1871" s="1" t="s">
        <v>219</v>
      </c>
      <c r="CI1871" s="1" t="s">
        <v>438</v>
      </c>
      <c r="CJ1871" s="1" t="s">
        <v>252</v>
      </c>
      <c r="CK1871" s="1" t="s">
        <v>280</v>
      </c>
      <c r="CL1871" s="1" t="s">
        <v>277</v>
      </c>
      <c r="CM1871" s="1" t="s">
        <v>220</v>
      </c>
      <c r="CN1871" s="1" t="s">
        <v>252</v>
      </c>
      <c r="CO1871" s="1" t="s">
        <v>318</v>
      </c>
      <c r="CP1871" s="1" t="s">
        <v>219</v>
      </c>
      <c r="CQ1871" s="1" t="s">
        <v>438</v>
      </c>
      <c r="CR1871" s="1" t="s">
        <v>252</v>
      </c>
      <c r="CS1871" s="1" t="s">
        <v>280</v>
      </c>
      <c r="CT1871" s="1" t="s">
        <v>277</v>
      </c>
      <c r="CU1871" s="1" t="s">
        <v>220</v>
      </c>
      <c r="CV1871" s="1" t="s">
        <v>252</v>
      </c>
      <c r="CW1871" s="1" t="s">
        <v>836</v>
      </c>
      <c r="CX1871" s="1" t="s">
        <v>43</v>
      </c>
      <c r="CY1871" s="1" t="s">
        <v>220</v>
      </c>
      <c r="DB1871" s="1" t="s">
        <v>224</v>
      </c>
      <c r="DE1871" s="1" t="s">
        <v>3716</v>
      </c>
      <c r="DF1871" s="1" t="s">
        <v>219</v>
      </c>
      <c r="DG1871" s="1" t="s">
        <v>438</v>
      </c>
      <c r="DI1871" s="1" t="s">
        <v>409</v>
      </c>
      <c r="DJ1871" s="1" t="s">
        <v>219</v>
      </c>
      <c r="DK1871" s="1" t="s">
        <v>438</v>
      </c>
      <c r="DL1871" s="1" t="s">
        <v>252</v>
      </c>
      <c r="DM1871" s="1" t="s">
        <v>464</v>
      </c>
      <c r="DN1871" s="1" t="s">
        <v>934</v>
      </c>
      <c r="DR1871" s="1" t="s">
        <v>318</v>
      </c>
      <c r="DS1871" s="1" t="s">
        <v>277</v>
      </c>
      <c r="DT1871" s="1" t="s">
        <v>220</v>
      </c>
      <c r="DU1871" s="1" t="s">
        <v>252</v>
      </c>
      <c r="DV1871" s="1" t="s">
        <v>5997</v>
      </c>
      <c r="DW1871" s="1" t="s">
        <v>43</v>
      </c>
      <c r="DX1871" s="1" t="s">
        <v>220</v>
      </c>
      <c r="DY1871" s="1" t="s">
        <v>252</v>
      </c>
      <c r="EA1871" s="1" t="s">
        <v>230</v>
      </c>
      <c r="EE1871" s="1" t="s">
        <v>230</v>
      </c>
      <c r="EI1871" s="1" t="s">
        <v>230</v>
      </c>
      <c r="EL1871" s="1" t="s">
        <v>670</v>
      </c>
      <c r="EM1871" s="1" t="s">
        <v>232</v>
      </c>
      <c r="EN1871" s="1" t="s">
        <v>282</v>
      </c>
      <c r="EO1871" s="1" t="s">
        <v>234</v>
      </c>
      <c r="EQ1871" s="1" t="s">
        <v>492</v>
      </c>
      <c r="ER1871" s="1" t="s">
        <v>544</v>
      </c>
      <c r="ES1871" s="1" t="s">
        <v>493</v>
      </c>
      <c r="ET1871" s="1" t="s">
        <v>17322</v>
      </c>
      <c r="EV1871" s="1" t="s">
        <v>324</v>
      </c>
      <c r="EW1871" s="1" t="s">
        <v>353</v>
      </c>
      <c r="EY1871" s="1" t="s">
        <v>790</v>
      </c>
      <c r="EZ1871" s="1" t="s">
        <v>3875</v>
      </c>
      <c r="FC1871" s="1" t="s">
        <v>4152</v>
      </c>
      <c r="FD1871" s="1" t="s">
        <v>246</v>
      </c>
      <c r="FE1871" s="1" t="s">
        <v>975</v>
      </c>
      <c r="FF1871" s="1" t="s">
        <v>248</v>
      </c>
      <c r="FH1871" s="1" t="s">
        <v>550</v>
      </c>
      <c r="FJ1871" s="1" t="s">
        <v>197</v>
      </c>
      <c r="FL1871" s="1" t="s">
        <v>358</v>
      </c>
      <c r="FM1871" s="1" t="s">
        <v>252</v>
      </c>
      <c r="FN1871" s="1" t="s">
        <v>213</v>
      </c>
      <c r="FO1871" s="1" t="s">
        <v>213</v>
      </c>
      <c r="FQ1871" s="1" t="s">
        <v>17323</v>
      </c>
      <c r="FR1871" s="1" t="s">
        <v>210</v>
      </c>
      <c r="FS1871" s="1" t="s">
        <v>17324</v>
      </c>
      <c r="FT1871" s="1" t="s">
        <v>362</v>
      </c>
      <c r="FU1871" s="1" t="s">
        <v>204</v>
      </c>
      <c r="FW1871" s="1" t="s">
        <v>4666</v>
      </c>
      <c r="FX1871" s="1">
        <v>25494</v>
      </c>
      <c r="FY1871" s="1" t="s">
        <v>4667</v>
      </c>
      <c r="FZ1871" s="1" t="s">
        <v>17325</v>
      </c>
      <c r="GA1871" s="1">
        <v>239524</v>
      </c>
      <c r="GE1871" s="1" t="s">
        <v>1379</v>
      </c>
      <c r="GI1871" s="1" t="s">
        <v>204</v>
      </c>
      <c r="GJ1871" s="1" t="s">
        <v>300</v>
      </c>
      <c r="GK1871" s="1" t="s">
        <v>210</v>
      </c>
      <c r="GL1871" s="2">
        <v>42021</v>
      </c>
      <c r="GM1871" s="1" t="s">
        <v>17326</v>
      </c>
    </row>
    <row r="1872" spans="1:195">
      <c r="A1872" s="1">
        <v>67750</v>
      </c>
      <c r="B1872" s="1" t="s">
        <v>195</v>
      </c>
      <c r="C1872" s="1" t="str">
        <f>"08726032"</f>
        <v>08726032</v>
      </c>
      <c r="D1872" s="1" t="s">
        <v>196</v>
      </c>
      <c r="F1872" s="1" t="str">
        <f>"123"</f>
        <v>123</v>
      </c>
      <c r="G1872" s="2">
        <v>41893</v>
      </c>
      <c r="H1872" s="1">
        <v>73000</v>
      </c>
      <c r="I1872" s="1">
        <v>73000</v>
      </c>
      <c r="J1872" s="1">
        <v>67750</v>
      </c>
      <c r="K1872" s="2">
        <v>41893</v>
      </c>
      <c r="L1872" s="1">
        <v>28</v>
      </c>
      <c r="M1872" s="2">
        <v>41920</v>
      </c>
      <c r="N1872" s="1">
        <v>28</v>
      </c>
      <c r="O1872" s="2">
        <v>41920</v>
      </c>
      <c r="P1872" s="1">
        <v>7450</v>
      </c>
      <c r="Q1872" s="1" t="s">
        <v>302</v>
      </c>
      <c r="R1872" s="2">
        <v>41974</v>
      </c>
      <c r="S1872" s="1">
        <v>77859</v>
      </c>
      <c r="U1872" s="1">
        <v>391</v>
      </c>
      <c r="V1872" s="1" t="s">
        <v>3768</v>
      </c>
      <c r="W1872" s="1" t="s">
        <v>449</v>
      </c>
      <c r="X1872" s="1" t="s">
        <v>527</v>
      </c>
      <c r="Y1872" s="1">
        <v>8</v>
      </c>
      <c r="Z1872" s="1" t="s">
        <v>370</v>
      </c>
      <c r="AA1872" s="1" t="s">
        <v>1173</v>
      </c>
      <c r="AB1872" s="1">
        <v>60120</v>
      </c>
      <c r="AD1872" s="1" t="s">
        <v>8995</v>
      </c>
      <c r="AE1872" s="1" t="s">
        <v>17327</v>
      </c>
      <c r="AF1872" s="1">
        <v>1997</v>
      </c>
      <c r="AG1872" s="1" t="s">
        <v>204</v>
      </c>
      <c r="AH1872" s="1" t="s">
        <v>1175</v>
      </c>
      <c r="AI1872" s="1" t="s">
        <v>310</v>
      </c>
      <c r="AJ1872" s="1" t="s">
        <v>374</v>
      </c>
      <c r="AL1872" s="1">
        <v>5</v>
      </c>
      <c r="AM1872" s="1">
        <v>2</v>
      </c>
      <c r="AN1872" s="1">
        <v>2</v>
      </c>
      <c r="AO1872" s="1">
        <v>0</v>
      </c>
      <c r="AP1872" s="1" t="s">
        <v>209</v>
      </c>
      <c r="AR1872" s="1" t="s">
        <v>210</v>
      </c>
      <c r="AS1872" s="1" t="s">
        <v>204</v>
      </c>
      <c r="AT1872" s="1" t="s">
        <v>211</v>
      </c>
      <c r="AU1872" s="1">
        <v>1</v>
      </c>
      <c r="AW1872" s="1" t="s">
        <v>204</v>
      </c>
      <c r="AX1872" s="1" t="s">
        <v>212</v>
      </c>
      <c r="AZ1872" s="1">
        <v>1539.44</v>
      </c>
      <c r="BA1872" s="1">
        <v>2013</v>
      </c>
      <c r="BE1872" s="1">
        <v>954</v>
      </c>
      <c r="BF1872" s="1">
        <v>1</v>
      </c>
      <c r="BG1872" s="1">
        <v>0</v>
      </c>
      <c r="BL1872" s="1">
        <v>153</v>
      </c>
      <c r="BM1872" s="1" t="s">
        <v>204</v>
      </c>
      <c r="BN1872" s="1" t="s">
        <v>213</v>
      </c>
      <c r="BO1872" s="1">
        <v>999</v>
      </c>
      <c r="BP1872" s="1" t="s">
        <v>204</v>
      </c>
      <c r="BR1872" s="1" t="str">
        <f>"06192100201293"</f>
        <v>06192100201293</v>
      </c>
      <c r="BT1872" s="1" t="s">
        <v>17328</v>
      </c>
      <c r="BX1872" s="1">
        <v>46</v>
      </c>
      <c r="BY1872" s="1">
        <v>46</v>
      </c>
      <c r="BZ1872" s="1">
        <v>46</v>
      </c>
      <c r="CB1872" s="1" t="str">
        <f t="shared" ref="CB1872:CC1872" si="1421">""</f>
        <v/>
      </c>
      <c r="CC1872" s="1" t="str">
        <f t="shared" si="1421"/>
        <v/>
      </c>
      <c r="CG1872" s="1" t="s">
        <v>221</v>
      </c>
      <c r="CH1872" s="1" t="s">
        <v>219</v>
      </c>
      <c r="CK1872" s="1" t="s">
        <v>729</v>
      </c>
      <c r="CL1872" s="1" t="s">
        <v>219</v>
      </c>
      <c r="CO1872" s="1" t="s">
        <v>837</v>
      </c>
      <c r="CP1872" s="1" t="s">
        <v>219</v>
      </c>
      <c r="CS1872" s="1" t="s">
        <v>379</v>
      </c>
      <c r="CT1872" s="1" t="s">
        <v>219</v>
      </c>
      <c r="CX1872" s="1" t="s">
        <v>224</v>
      </c>
      <c r="DB1872" s="1" t="s">
        <v>224</v>
      </c>
      <c r="DE1872" s="1" t="s">
        <v>348</v>
      </c>
      <c r="DF1872" s="1" t="s">
        <v>219</v>
      </c>
      <c r="DJ1872" s="1" t="s">
        <v>224</v>
      </c>
      <c r="DS1872" s="1" t="s">
        <v>230</v>
      </c>
      <c r="DW1872" s="1" t="s">
        <v>230</v>
      </c>
      <c r="EA1872" s="1" t="s">
        <v>230</v>
      </c>
      <c r="EE1872" s="1" t="s">
        <v>230</v>
      </c>
      <c r="EI1872" s="1" t="s">
        <v>230</v>
      </c>
      <c r="EL1872" s="1" t="s">
        <v>670</v>
      </c>
      <c r="EM1872" s="1" t="s">
        <v>319</v>
      </c>
      <c r="EN1872" s="1" t="s">
        <v>282</v>
      </c>
      <c r="EO1872" s="1" t="s">
        <v>234</v>
      </c>
      <c r="ER1872" s="1" t="s">
        <v>210</v>
      </c>
      <c r="EU1872" s="1" t="s">
        <v>239</v>
      </c>
      <c r="EW1872" s="1" t="s">
        <v>887</v>
      </c>
      <c r="EZ1872" s="1" t="s">
        <v>287</v>
      </c>
      <c r="FD1872" s="1" t="s">
        <v>246</v>
      </c>
      <c r="FE1872" s="1" t="s">
        <v>975</v>
      </c>
      <c r="FF1872" s="1" t="s">
        <v>248</v>
      </c>
      <c r="FH1872" s="1" t="s">
        <v>388</v>
      </c>
      <c r="FL1872" s="1" t="s">
        <v>414</v>
      </c>
      <c r="FM1872" s="1" t="s">
        <v>252</v>
      </c>
      <c r="FN1872" s="1" t="s">
        <v>213</v>
      </c>
      <c r="FO1872" s="1" t="s">
        <v>213</v>
      </c>
      <c r="FQ1872" s="1" t="s">
        <v>689</v>
      </c>
      <c r="FR1872" s="1" t="s">
        <v>210</v>
      </c>
      <c r="FS1872" s="1" t="s">
        <v>1008</v>
      </c>
      <c r="FT1872" s="1" t="s">
        <v>654</v>
      </c>
      <c r="FU1872" s="1" t="s">
        <v>204</v>
      </c>
      <c r="FW1872" s="1" t="s">
        <v>554</v>
      </c>
      <c r="FX1872" s="1">
        <v>5040</v>
      </c>
      <c r="FY1872" s="1" t="s">
        <v>2611</v>
      </c>
      <c r="FZ1872" s="1" t="s">
        <v>11164</v>
      </c>
      <c r="GA1872" s="1">
        <v>54168</v>
      </c>
      <c r="GB1872" s="1" t="s">
        <v>11165</v>
      </c>
      <c r="GC1872" s="1">
        <v>55673</v>
      </c>
      <c r="GD1872" s="1" t="s">
        <v>17329</v>
      </c>
      <c r="GE1872" s="1" t="s">
        <v>210</v>
      </c>
      <c r="GI1872" s="1" t="s">
        <v>204</v>
      </c>
      <c r="GJ1872" s="1" t="s">
        <v>300</v>
      </c>
      <c r="GK1872" s="1" t="s">
        <v>210</v>
      </c>
      <c r="GL1872" s="2">
        <v>41975</v>
      </c>
      <c r="GM1872" s="1" t="s">
        <v>17330</v>
      </c>
    </row>
    <row r="1873" spans="1:195">
      <c r="A1873" s="1">
        <v>115000</v>
      </c>
      <c r="B1873" s="1" t="s">
        <v>195</v>
      </c>
      <c r="C1873" s="1" t="str">
        <f>"08726361"</f>
        <v>08726361</v>
      </c>
      <c r="D1873" s="1" t="s">
        <v>196</v>
      </c>
      <c r="F1873" s="1" t="str">
        <f>"507"</f>
        <v>507</v>
      </c>
      <c r="G1873" s="2">
        <v>41894</v>
      </c>
      <c r="H1873" s="1">
        <v>125000</v>
      </c>
      <c r="I1873" s="1">
        <v>118500</v>
      </c>
      <c r="J1873" s="1">
        <v>115000</v>
      </c>
      <c r="K1873" s="2">
        <v>41894</v>
      </c>
      <c r="L1873" s="1">
        <v>461</v>
      </c>
      <c r="M1873" s="2">
        <v>42027</v>
      </c>
      <c r="N1873" s="1">
        <v>134</v>
      </c>
      <c r="O1873" s="2">
        <v>42027</v>
      </c>
      <c r="P1873" s="1">
        <v>25279</v>
      </c>
      <c r="Q1873" s="1" t="s">
        <v>197</v>
      </c>
      <c r="R1873" s="2">
        <v>42076</v>
      </c>
      <c r="S1873" s="1">
        <v>259533</v>
      </c>
      <c r="U1873" s="1">
        <v>1919</v>
      </c>
      <c r="V1873" s="1" t="s">
        <v>9242</v>
      </c>
      <c r="W1873" s="1" t="s">
        <v>304</v>
      </c>
      <c r="Y1873" s="1">
        <v>2</v>
      </c>
      <c r="Z1873" s="1" t="s">
        <v>370</v>
      </c>
      <c r="AA1873" s="1" t="s">
        <v>1123</v>
      </c>
      <c r="AB1873" s="1">
        <v>60505</v>
      </c>
      <c r="AD1873" s="1" t="s">
        <v>17331</v>
      </c>
      <c r="AE1873" s="1" t="s">
        <v>17332</v>
      </c>
      <c r="AF1873" s="1">
        <v>1996</v>
      </c>
      <c r="AG1873" s="1" t="s">
        <v>204</v>
      </c>
      <c r="AH1873" s="1" t="s">
        <v>1126</v>
      </c>
      <c r="AI1873" s="1" t="s">
        <v>665</v>
      </c>
      <c r="AJ1873" s="1" t="s">
        <v>1126</v>
      </c>
      <c r="AL1873" s="1">
        <v>4</v>
      </c>
      <c r="AM1873" s="1">
        <v>2</v>
      </c>
      <c r="AN1873" s="1">
        <v>1</v>
      </c>
      <c r="AO1873" s="1">
        <v>0</v>
      </c>
      <c r="AP1873" s="1" t="s">
        <v>210</v>
      </c>
      <c r="AR1873" s="1" t="s">
        <v>210</v>
      </c>
      <c r="AS1873" s="1" t="s">
        <v>204</v>
      </c>
      <c r="AT1873" s="1" t="s">
        <v>211</v>
      </c>
      <c r="AU1873" s="1">
        <v>2</v>
      </c>
      <c r="AW1873" s="1" t="s">
        <v>204</v>
      </c>
      <c r="AX1873" s="1" t="s">
        <v>212</v>
      </c>
      <c r="AZ1873" s="1">
        <v>4564</v>
      </c>
      <c r="BA1873" s="1">
        <v>2013</v>
      </c>
      <c r="BB1873" s="1" t="s">
        <v>405</v>
      </c>
      <c r="BE1873" s="1">
        <v>1061</v>
      </c>
      <c r="BF1873" s="1">
        <v>1</v>
      </c>
      <c r="BG1873" s="1">
        <v>0</v>
      </c>
      <c r="BJ1873" s="1">
        <v>95</v>
      </c>
      <c r="BL1873" s="1">
        <v>140</v>
      </c>
      <c r="BM1873" s="1" t="s">
        <v>213</v>
      </c>
      <c r="BN1873" s="1" t="s">
        <v>213</v>
      </c>
      <c r="BO1873" s="1">
        <v>0</v>
      </c>
      <c r="BP1873" s="1" t="s">
        <v>204</v>
      </c>
      <c r="BR1873" s="1" t="str">
        <f>"1511128013"</f>
        <v>1511128013</v>
      </c>
      <c r="BT1873" s="1" t="s">
        <v>17333</v>
      </c>
      <c r="BX1873" s="1">
        <v>131</v>
      </c>
      <c r="BY1873" s="1">
        <v>131</v>
      </c>
      <c r="BZ1873" s="1">
        <v>131</v>
      </c>
      <c r="CB1873" s="1" t="str">
        <f t="shared" ref="CB1873:CC1873" si="1422">""</f>
        <v/>
      </c>
      <c r="CC1873" s="1" t="str">
        <f t="shared" si="1422"/>
        <v/>
      </c>
      <c r="CG1873" s="1" t="s">
        <v>1267</v>
      </c>
      <c r="CH1873" s="1" t="s">
        <v>219</v>
      </c>
      <c r="CI1873" s="1" t="s">
        <v>220</v>
      </c>
      <c r="CJ1873" s="1" t="s">
        <v>252</v>
      </c>
      <c r="CK1873" s="1" t="s">
        <v>539</v>
      </c>
      <c r="CL1873" s="1" t="s">
        <v>219</v>
      </c>
      <c r="CM1873" s="1" t="s">
        <v>220</v>
      </c>
      <c r="CN1873" s="1" t="s">
        <v>252</v>
      </c>
      <c r="CP1873" s="1" t="s">
        <v>224</v>
      </c>
      <c r="CS1873" s="1" t="s">
        <v>465</v>
      </c>
      <c r="CT1873" s="1" t="s">
        <v>219</v>
      </c>
      <c r="CU1873" s="1" t="s">
        <v>220</v>
      </c>
      <c r="CV1873" s="1" t="s">
        <v>252</v>
      </c>
      <c r="CX1873" s="1" t="s">
        <v>224</v>
      </c>
      <c r="DB1873" s="1" t="s">
        <v>224</v>
      </c>
      <c r="DE1873" s="1" t="s">
        <v>465</v>
      </c>
      <c r="DF1873" s="1" t="s">
        <v>219</v>
      </c>
      <c r="DG1873" s="1" t="s">
        <v>342</v>
      </c>
      <c r="DH1873" s="1" t="s">
        <v>252</v>
      </c>
      <c r="DJ1873" s="1" t="s">
        <v>224</v>
      </c>
      <c r="DS1873" s="1" t="s">
        <v>230</v>
      </c>
      <c r="DW1873" s="1" t="s">
        <v>230</v>
      </c>
      <c r="EA1873" s="1" t="s">
        <v>230</v>
      </c>
      <c r="EE1873" s="1" t="s">
        <v>230</v>
      </c>
      <c r="EI1873" s="1" t="s">
        <v>230</v>
      </c>
      <c r="EL1873" s="1" t="s">
        <v>670</v>
      </c>
      <c r="EM1873" s="1" t="s">
        <v>319</v>
      </c>
      <c r="EN1873" s="1" t="s">
        <v>282</v>
      </c>
      <c r="EO1873" s="1" t="s">
        <v>234</v>
      </c>
      <c r="EP1873" s="1" t="s">
        <v>5574</v>
      </c>
      <c r="EQ1873" s="1" t="s">
        <v>17334</v>
      </c>
      <c r="ER1873" s="1" t="s">
        <v>1069</v>
      </c>
      <c r="ES1873" s="1" t="s">
        <v>3218</v>
      </c>
      <c r="EU1873" s="1" t="s">
        <v>1202</v>
      </c>
      <c r="EW1873" s="1" t="s">
        <v>353</v>
      </c>
      <c r="EZ1873" s="1" t="s">
        <v>287</v>
      </c>
      <c r="FD1873" s="1" t="s">
        <v>290</v>
      </c>
      <c r="FE1873" s="1" t="s">
        <v>247</v>
      </c>
      <c r="FF1873" s="1" t="s">
        <v>248</v>
      </c>
      <c r="FH1873" s="1" t="s">
        <v>17335</v>
      </c>
      <c r="FI1873" s="1" t="s">
        <v>473</v>
      </c>
      <c r="FL1873" s="1" t="s">
        <v>358</v>
      </c>
      <c r="FM1873" s="1" t="s">
        <v>252</v>
      </c>
      <c r="FN1873" s="1" t="s">
        <v>213</v>
      </c>
      <c r="FO1873" s="1" t="s">
        <v>213</v>
      </c>
      <c r="FQ1873" s="1" t="s">
        <v>17336</v>
      </c>
      <c r="FR1873" s="1" t="s">
        <v>652</v>
      </c>
      <c r="FS1873" s="1" t="s">
        <v>17337</v>
      </c>
      <c r="FT1873" s="1" t="s">
        <v>295</v>
      </c>
      <c r="FU1873" s="1" t="s">
        <v>204</v>
      </c>
      <c r="FW1873" s="1" t="s">
        <v>2093</v>
      </c>
      <c r="FX1873" s="1">
        <v>31580</v>
      </c>
      <c r="FY1873" s="1" t="s">
        <v>2094</v>
      </c>
      <c r="FZ1873" s="1" t="s">
        <v>17338</v>
      </c>
      <c r="GA1873" s="1">
        <v>315422</v>
      </c>
      <c r="GB1873" s="1" t="s">
        <v>17339</v>
      </c>
      <c r="GE1873" s="1" t="s">
        <v>210</v>
      </c>
      <c r="GI1873" s="1" t="s">
        <v>213</v>
      </c>
      <c r="GJ1873" s="1" t="s">
        <v>260</v>
      </c>
      <c r="GK1873" s="1" t="s">
        <v>210</v>
      </c>
      <c r="GL1873" s="2">
        <v>42077</v>
      </c>
      <c r="GM1873" s="1" t="s">
        <v>17340</v>
      </c>
    </row>
    <row r="1874" spans="1:195">
      <c r="A1874" s="1">
        <v>158000</v>
      </c>
      <c r="B1874" s="1" t="s">
        <v>195</v>
      </c>
      <c r="C1874" s="1" t="str">
        <f>"08732119"</f>
        <v>08732119</v>
      </c>
      <c r="D1874" s="1" t="s">
        <v>196</v>
      </c>
      <c r="F1874" s="1" t="str">
        <f>"73"</f>
        <v>73</v>
      </c>
      <c r="G1874" s="2">
        <v>41900</v>
      </c>
      <c r="H1874" s="1">
        <v>169000</v>
      </c>
      <c r="I1874" s="1">
        <v>165000</v>
      </c>
      <c r="J1874" s="1">
        <v>158000</v>
      </c>
      <c r="K1874" s="2">
        <v>41900</v>
      </c>
      <c r="L1874" s="1">
        <v>91</v>
      </c>
      <c r="M1874" s="2">
        <v>41990</v>
      </c>
      <c r="N1874" s="1">
        <v>91</v>
      </c>
      <c r="O1874" s="2">
        <v>41990</v>
      </c>
      <c r="P1874" s="1">
        <v>8256</v>
      </c>
      <c r="Q1874" s="1" t="s">
        <v>197</v>
      </c>
      <c r="R1874" s="2">
        <v>42058</v>
      </c>
      <c r="S1874" s="1">
        <v>87829</v>
      </c>
      <c r="U1874" s="1">
        <v>480</v>
      </c>
      <c r="V1874" s="1" t="s">
        <v>6484</v>
      </c>
      <c r="W1874" s="1" t="s">
        <v>504</v>
      </c>
      <c r="Y1874" s="1">
        <v>6</v>
      </c>
      <c r="Z1874" s="1" t="s">
        <v>370</v>
      </c>
      <c r="AA1874" s="1" t="s">
        <v>1259</v>
      </c>
      <c r="AB1874" s="1">
        <v>60073</v>
      </c>
      <c r="AD1874" s="1" t="s">
        <v>6485</v>
      </c>
      <c r="AE1874" s="1" t="s">
        <v>17341</v>
      </c>
      <c r="AF1874" s="1">
        <v>2012</v>
      </c>
      <c r="AG1874" s="1" t="s">
        <v>204</v>
      </c>
      <c r="AH1874" s="1" t="s">
        <v>1262</v>
      </c>
      <c r="AI1874" s="1" t="s">
        <v>509</v>
      </c>
      <c r="AJ1874" s="1" t="s">
        <v>1016</v>
      </c>
      <c r="AK1874" s="1" t="s">
        <v>5452</v>
      </c>
      <c r="AL1874" s="1">
        <v>7</v>
      </c>
      <c r="AM1874" s="1">
        <v>2</v>
      </c>
      <c r="AN1874" s="1">
        <v>2</v>
      </c>
      <c r="AO1874" s="1">
        <v>1</v>
      </c>
      <c r="AP1874" s="1" t="s">
        <v>209</v>
      </c>
      <c r="AR1874" s="1" t="s">
        <v>210</v>
      </c>
      <c r="AS1874" s="1" t="s">
        <v>204</v>
      </c>
      <c r="AT1874" s="1" t="s">
        <v>211</v>
      </c>
      <c r="AU1874" s="1">
        <v>2</v>
      </c>
      <c r="AW1874" s="1" t="s">
        <v>204</v>
      </c>
      <c r="AX1874" s="1" t="s">
        <v>17342</v>
      </c>
      <c r="AZ1874" s="1">
        <v>5844</v>
      </c>
      <c r="BA1874" s="1">
        <v>2013</v>
      </c>
      <c r="BB1874" s="1" t="s">
        <v>405</v>
      </c>
      <c r="BE1874" s="1">
        <v>1678</v>
      </c>
      <c r="BF1874" s="1">
        <v>1</v>
      </c>
      <c r="BG1874" s="1">
        <v>0</v>
      </c>
      <c r="BL1874" s="1">
        <v>178</v>
      </c>
      <c r="BM1874" s="1" t="s">
        <v>204</v>
      </c>
      <c r="BN1874" s="1" t="s">
        <v>213</v>
      </c>
      <c r="BO1874" s="1">
        <v>999</v>
      </c>
      <c r="BP1874" s="1" t="s">
        <v>204</v>
      </c>
      <c r="BR1874" s="1" t="str">
        <f>"05362012030000"</f>
        <v>05362012030000</v>
      </c>
      <c r="BT1874" s="1" t="s">
        <v>17343</v>
      </c>
      <c r="BU1874" s="1" t="s">
        <v>6488</v>
      </c>
      <c r="BV1874" s="1" t="s">
        <v>6488</v>
      </c>
      <c r="BW1874" s="1" t="s">
        <v>2264</v>
      </c>
      <c r="BX1874" s="1">
        <v>38</v>
      </c>
      <c r="BY1874" s="1">
        <v>38</v>
      </c>
      <c r="BZ1874" s="1">
        <v>124</v>
      </c>
      <c r="CB1874" s="1" t="str">
        <f t="shared" ref="CB1874:CC1874" si="1423">""</f>
        <v/>
      </c>
      <c r="CC1874" s="1" t="str">
        <f t="shared" si="1423"/>
        <v/>
      </c>
      <c r="CG1874" s="1" t="s">
        <v>461</v>
      </c>
      <c r="CH1874" s="1" t="s">
        <v>219</v>
      </c>
      <c r="CI1874" s="1" t="s">
        <v>220</v>
      </c>
      <c r="CJ1874" s="1" t="s">
        <v>343</v>
      </c>
      <c r="CK1874" s="1" t="s">
        <v>437</v>
      </c>
      <c r="CL1874" s="1" t="s">
        <v>277</v>
      </c>
      <c r="CM1874" s="1" t="s">
        <v>220</v>
      </c>
      <c r="CN1874" s="1" t="s">
        <v>343</v>
      </c>
      <c r="CO1874" s="1" t="s">
        <v>1297</v>
      </c>
      <c r="CP1874" s="1" t="s">
        <v>219</v>
      </c>
      <c r="CQ1874" s="1" t="s">
        <v>220</v>
      </c>
      <c r="CR1874" s="1" t="s">
        <v>210</v>
      </c>
      <c r="CS1874" s="1" t="s">
        <v>379</v>
      </c>
      <c r="CT1874" s="1" t="s">
        <v>277</v>
      </c>
      <c r="CU1874" s="1" t="s">
        <v>220</v>
      </c>
      <c r="CV1874" s="1" t="s">
        <v>343</v>
      </c>
      <c r="CX1874" s="1" t="s">
        <v>224</v>
      </c>
      <c r="DB1874" s="1" t="s">
        <v>224</v>
      </c>
      <c r="DE1874" s="1" t="s">
        <v>465</v>
      </c>
      <c r="DF1874" s="1" t="s">
        <v>219</v>
      </c>
      <c r="DG1874" s="1" t="s">
        <v>342</v>
      </c>
      <c r="DH1874" s="1" t="s">
        <v>343</v>
      </c>
      <c r="DI1874" s="1" t="s">
        <v>757</v>
      </c>
      <c r="DJ1874" s="1" t="s">
        <v>219</v>
      </c>
      <c r="DK1874" s="1" t="s">
        <v>220</v>
      </c>
      <c r="DL1874" s="1" t="s">
        <v>343</v>
      </c>
      <c r="DM1874" s="1" t="s">
        <v>464</v>
      </c>
      <c r="DR1874" s="1" t="s">
        <v>1297</v>
      </c>
      <c r="DS1874" s="1" t="s">
        <v>277</v>
      </c>
      <c r="DT1874" s="1" t="s">
        <v>220</v>
      </c>
      <c r="DU1874" s="1" t="s">
        <v>343</v>
      </c>
      <c r="DW1874" s="1" t="s">
        <v>230</v>
      </c>
      <c r="EA1874" s="1" t="s">
        <v>230</v>
      </c>
      <c r="EE1874" s="1" t="s">
        <v>230</v>
      </c>
      <c r="EI1874" s="1" t="s">
        <v>230</v>
      </c>
      <c r="EL1874" s="1" t="s">
        <v>1549</v>
      </c>
      <c r="EM1874" s="1" t="s">
        <v>232</v>
      </c>
      <c r="EN1874" s="1" t="s">
        <v>282</v>
      </c>
      <c r="EO1874" s="1" t="s">
        <v>234</v>
      </c>
      <c r="EP1874" s="1" t="s">
        <v>1268</v>
      </c>
      <c r="EQ1874" s="1" t="s">
        <v>2188</v>
      </c>
      <c r="ER1874" s="1" t="s">
        <v>383</v>
      </c>
      <c r="ES1874" s="1" t="s">
        <v>1552</v>
      </c>
      <c r="ET1874" s="1" t="s">
        <v>1869</v>
      </c>
      <c r="EV1874" s="1" t="s">
        <v>324</v>
      </c>
      <c r="EW1874" s="1" t="s">
        <v>1219</v>
      </c>
      <c r="EZ1874" s="1" t="s">
        <v>464</v>
      </c>
      <c r="FB1874" s="1" t="s">
        <v>846</v>
      </c>
      <c r="FC1874" s="1" t="s">
        <v>3646</v>
      </c>
      <c r="FD1874" s="1" t="s">
        <v>246</v>
      </c>
      <c r="FE1874" s="1" t="s">
        <v>765</v>
      </c>
      <c r="FF1874" s="1" t="s">
        <v>248</v>
      </c>
      <c r="FH1874" s="1" t="s">
        <v>550</v>
      </c>
      <c r="FI1874" s="1" t="s">
        <v>357</v>
      </c>
      <c r="FL1874" s="1" t="s">
        <v>810</v>
      </c>
      <c r="FM1874" s="1" t="s">
        <v>252</v>
      </c>
      <c r="FN1874" s="1" t="s">
        <v>213</v>
      </c>
      <c r="FO1874" s="1" t="s">
        <v>213</v>
      </c>
      <c r="FQ1874" s="1" t="s">
        <v>4743</v>
      </c>
      <c r="FR1874" s="1" t="s">
        <v>210</v>
      </c>
      <c r="FS1874" s="1" t="s">
        <v>17344</v>
      </c>
      <c r="FT1874" s="1" t="s">
        <v>295</v>
      </c>
      <c r="FU1874" s="1" t="s">
        <v>204</v>
      </c>
      <c r="FW1874" s="1" t="s">
        <v>2006</v>
      </c>
      <c r="FX1874" s="1">
        <v>4667</v>
      </c>
      <c r="FY1874" s="1" t="s">
        <v>5842</v>
      </c>
      <c r="FZ1874" s="1" t="s">
        <v>17345</v>
      </c>
      <c r="GA1874" s="1">
        <v>34818</v>
      </c>
      <c r="GB1874" s="1" t="s">
        <v>17346</v>
      </c>
      <c r="GC1874" s="1">
        <v>40600</v>
      </c>
      <c r="GE1874" s="1" t="s">
        <v>1764</v>
      </c>
      <c r="GH1874" s="1" t="s">
        <v>421</v>
      </c>
      <c r="GI1874" s="1" t="s">
        <v>213</v>
      </c>
      <c r="GJ1874" s="1" t="s">
        <v>260</v>
      </c>
      <c r="GK1874" s="1" t="s">
        <v>210</v>
      </c>
      <c r="GL1874" s="2">
        <v>42059</v>
      </c>
      <c r="GM1874" s="1" t="s">
        <v>17347</v>
      </c>
    </row>
    <row r="1875" spans="1:195">
      <c r="A1875" s="1">
        <v>63000</v>
      </c>
      <c r="B1875" s="1" t="s">
        <v>195</v>
      </c>
      <c r="C1875" s="1" t="str">
        <f>"08731036"</f>
        <v>08731036</v>
      </c>
      <c r="D1875" s="1" t="s">
        <v>196</v>
      </c>
      <c r="F1875" s="1" t="str">
        <f>"123"</f>
        <v>123</v>
      </c>
      <c r="G1875" s="2">
        <v>41899</v>
      </c>
      <c r="H1875" s="1">
        <v>72000</v>
      </c>
      <c r="I1875" s="1">
        <v>72000</v>
      </c>
      <c r="J1875" s="1">
        <v>63000</v>
      </c>
      <c r="K1875" s="2">
        <v>41899</v>
      </c>
      <c r="L1875" s="1">
        <v>132</v>
      </c>
      <c r="M1875" s="2">
        <v>42030</v>
      </c>
      <c r="N1875" s="1">
        <v>132</v>
      </c>
      <c r="O1875" s="2">
        <v>42030</v>
      </c>
      <c r="P1875" s="1">
        <v>372</v>
      </c>
      <c r="Q1875" s="1" t="s">
        <v>423</v>
      </c>
      <c r="R1875" s="2">
        <v>42075</v>
      </c>
      <c r="S1875" s="1">
        <v>7968</v>
      </c>
      <c r="U1875" s="1">
        <v>807</v>
      </c>
      <c r="V1875" s="1" t="s">
        <v>2837</v>
      </c>
      <c r="W1875" s="1" t="s">
        <v>449</v>
      </c>
      <c r="Y1875" s="1">
        <v>6</v>
      </c>
      <c r="Z1875" s="1" t="s">
        <v>370</v>
      </c>
      <c r="AA1875" s="1" t="s">
        <v>1173</v>
      </c>
      <c r="AB1875" s="1">
        <v>60120</v>
      </c>
      <c r="AD1875" s="1" t="s">
        <v>17348</v>
      </c>
      <c r="AE1875" s="1" t="s">
        <v>17349</v>
      </c>
      <c r="AF1875" s="1">
        <v>1980</v>
      </c>
      <c r="AG1875" s="1" t="s">
        <v>204</v>
      </c>
      <c r="AH1875" s="1" t="s">
        <v>1175</v>
      </c>
      <c r="AI1875" s="1" t="s">
        <v>310</v>
      </c>
      <c r="AJ1875" s="1" t="s">
        <v>374</v>
      </c>
      <c r="AL1875" s="1">
        <v>5</v>
      </c>
      <c r="AM1875" s="1">
        <v>2</v>
      </c>
      <c r="AN1875" s="1">
        <v>1</v>
      </c>
      <c r="AO1875" s="1">
        <v>0</v>
      </c>
      <c r="AP1875" s="1" t="s">
        <v>210</v>
      </c>
      <c r="AQ1875" s="1">
        <v>1</v>
      </c>
      <c r="AR1875" s="1" t="s">
        <v>210</v>
      </c>
      <c r="AT1875" s="1" t="s">
        <v>271</v>
      </c>
      <c r="AV1875" s="1">
        <v>2</v>
      </c>
      <c r="AW1875" s="1" t="s">
        <v>204</v>
      </c>
      <c r="AX1875" s="1" t="s">
        <v>4740</v>
      </c>
      <c r="AZ1875" s="1">
        <v>1484</v>
      </c>
      <c r="BA1875" s="1">
        <v>2013</v>
      </c>
      <c r="BB1875" s="1" t="s">
        <v>405</v>
      </c>
      <c r="BE1875" s="1">
        <v>1100</v>
      </c>
      <c r="BF1875" s="1">
        <v>1</v>
      </c>
      <c r="BG1875" s="1">
        <v>5</v>
      </c>
      <c r="BL1875" s="1">
        <v>150</v>
      </c>
      <c r="BM1875" s="1" t="s">
        <v>204</v>
      </c>
      <c r="BN1875" s="1" t="s">
        <v>213</v>
      </c>
      <c r="BO1875" s="1">
        <v>999</v>
      </c>
      <c r="BP1875" s="1" t="s">
        <v>204</v>
      </c>
      <c r="BR1875" s="1" t="str">
        <f>"06074020780000"</f>
        <v>06074020780000</v>
      </c>
      <c r="BT1875" s="1" t="s">
        <v>17350</v>
      </c>
      <c r="BU1875" s="1" t="s">
        <v>8154</v>
      </c>
      <c r="BV1875" s="1" t="s">
        <v>3604</v>
      </c>
      <c r="BW1875" s="1" t="s">
        <v>2058</v>
      </c>
      <c r="BX1875" s="1">
        <v>46</v>
      </c>
      <c r="BY1875" s="1">
        <v>46</v>
      </c>
      <c r="BZ1875" s="1">
        <v>46</v>
      </c>
      <c r="CB1875" s="1" t="str">
        <f t="shared" ref="CB1875:CC1875" si="1424">""</f>
        <v/>
      </c>
      <c r="CC1875" s="1" t="str">
        <f t="shared" si="1424"/>
        <v/>
      </c>
      <c r="CG1875" s="1" t="s">
        <v>314</v>
      </c>
      <c r="CH1875" s="1" t="s">
        <v>219</v>
      </c>
      <c r="CI1875" s="1" t="s">
        <v>220</v>
      </c>
      <c r="CJ1875" s="1" t="s">
        <v>343</v>
      </c>
      <c r="CK1875" s="1" t="s">
        <v>378</v>
      </c>
      <c r="CL1875" s="1" t="s">
        <v>277</v>
      </c>
      <c r="CM1875" s="1" t="s">
        <v>220</v>
      </c>
      <c r="CN1875" s="1" t="s">
        <v>343</v>
      </c>
      <c r="CO1875" s="1" t="s">
        <v>2308</v>
      </c>
      <c r="CP1875" s="1" t="s">
        <v>219</v>
      </c>
      <c r="CQ1875" s="1" t="s">
        <v>226</v>
      </c>
      <c r="CR1875" s="1" t="s">
        <v>210</v>
      </c>
      <c r="CS1875" s="1" t="s">
        <v>465</v>
      </c>
      <c r="CT1875" s="1" t="s">
        <v>277</v>
      </c>
      <c r="CU1875" s="1" t="s">
        <v>220</v>
      </c>
      <c r="CV1875" s="1" t="s">
        <v>343</v>
      </c>
      <c r="CX1875" s="1" t="s">
        <v>224</v>
      </c>
      <c r="DB1875" s="1" t="s">
        <v>224</v>
      </c>
      <c r="DE1875" s="1" t="s">
        <v>6342</v>
      </c>
      <c r="DF1875" s="1" t="s">
        <v>219</v>
      </c>
      <c r="DG1875" s="1" t="s">
        <v>226</v>
      </c>
      <c r="DH1875" s="1" t="s">
        <v>210</v>
      </c>
      <c r="DJ1875" s="1" t="s">
        <v>224</v>
      </c>
      <c r="DS1875" s="1" t="s">
        <v>230</v>
      </c>
      <c r="DW1875" s="1" t="s">
        <v>230</v>
      </c>
      <c r="EA1875" s="1" t="s">
        <v>230</v>
      </c>
      <c r="EE1875" s="1" t="s">
        <v>230</v>
      </c>
      <c r="EI1875" s="1" t="s">
        <v>230</v>
      </c>
      <c r="EL1875" s="1" t="s">
        <v>231</v>
      </c>
      <c r="EM1875" s="1" t="s">
        <v>319</v>
      </c>
      <c r="EN1875" s="1" t="s">
        <v>282</v>
      </c>
      <c r="EO1875" s="1" t="s">
        <v>234</v>
      </c>
      <c r="EP1875" s="1" t="s">
        <v>17351</v>
      </c>
      <c r="EQ1875" s="1" t="s">
        <v>12848</v>
      </c>
      <c r="ER1875" s="1" t="s">
        <v>210</v>
      </c>
      <c r="ES1875" s="1" t="s">
        <v>10399</v>
      </c>
      <c r="EV1875" s="1" t="s">
        <v>240</v>
      </c>
      <c r="EW1875" s="1" t="s">
        <v>384</v>
      </c>
      <c r="EY1875" s="1" t="s">
        <v>242</v>
      </c>
      <c r="EZ1875" s="1" t="s">
        <v>287</v>
      </c>
      <c r="FA1875" s="1" t="s">
        <v>1270</v>
      </c>
      <c r="FD1875" s="1" t="s">
        <v>495</v>
      </c>
      <c r="FE1875" s="1" t="s">
        <v>247</v>
      </c>
      <c r="FF1875" s="1" t="s">
        <v>248</v>
      </c>
      <c r="FG1875" s="1" t="s">
        <v>939</v>
      </c>
      <c r="FH1875" s="1" t="s">
        <v>550</v>
      </c>
      <c r="FK1875" s="1" t="s">
        <v>389</v>
      </c>
      <c r="FL1875" s="1" t="s">
        <v>414</v>
      </c>
      <c r="FM1875" s="1" t="s">
        <v>252</v>
      </c>
      <c r="FN1875" s="1" t="s">
        <v>213</v>
      </c>
      <c r="FO1875" s="1" t="s">
        <v>213</v>
      </c>
      <c r="FQ1875" s="1" t="s">
        <v>5107</v>
      </c>
      <c r="FR1875" s="1" t="s">
        <v>210</v>
      </c>
      <c r="FS1875" s="1" t="s">
        <v>11257</v>
      </c>
      <c r="FT1875" s="1" t="s">
        <v>295</v>
      </c>
      <c r="FU1875" s="1" t="s">
        <v>204</v>
      </c>
      <c r="FW1875" s="1" t="s">
        <v>554</v>
      </c>
      <c r="FX1875" s="1">
        <v>8081</v>
      </c>
      <c r="FY1875" s="1" t="s">
        <v>4218</v>
      </c>
      <c r="FZ1875" s="1" t="s">
        <v>17352</v>
      </c>
      <c r="GA1875" s="1">
        <v>86608</v>
      </c>
      <c r="GB1875" s="1" t="s">
        <v>17353</v>
      </c>
      <c r="GD1875" s="1" t="s">
        <v>17354</v>
      </c>
      <c r="GE1875" s="1" t="s">
        <v>480</v>
      </c>
      <c r="GI1875" s="1" t="s">
        <v>213</v>
      </c>
      <c r="GJ1875" s="1" t="s">
        <v>260</v>
      </c>
      <c r="GK1875" s="1" t="s">
        <v>210</v>
      </c>
      <c r="GL1875" s="2">
        <v>42075</v>
      </c>
    </row>
    <row r="1876" spans="1:195">
      <c r="A1876" s="1">
        <v>31000</v>
      </c>
      <c r="B1876" s="1" t="s">
        <v>195</v>
      </c>
      <c r="C1876" s="1" t="str">
        <f>"08730637"</f>
        <v>08730637</v>
      </c>
      <c r="D1876" s="1" t="s">
        <v>196</v>
      </c>
      <c r="F1876" s="1" t="str">
        <f>"8038"</f>
        <v>8038</v>
      </c>
      <c r="G1876" s="2">
        <v>41899</v>
      </c>
      <c r="H1876" s="1">
        <v>42500</v>
      </c>
      <c r="I1876" s="1">
        <v>27800</v>
      </c>
      <c r="J1876" s="1">
        <v>31000</v>
      </c>
      <c r="K1876" s="2">
        <v>41898</v>
      </c>
      <c r="L1876" s="1">
        <v>177</v>
      </c>
      <c r="M1876" s="2">
        <v>42074</v>
      </c>
      <c r="N1876" s="1">
        <v>177</v>
      </c>
      <c r="O1876" s="2">
        <v>42074</v>
      </c>
      <c r="P1876" s="1">
        <v>18426</v>
      </c>
      <c r="Q1876" s="1" t="s">
        <v>302</v>
      </c>
      <c r="R1876" s="2">
        <v>42123</v>
      </c>
      <c r="S1876" s="1">
        <v>874659</v>
      </c>
      <c r="U1876" s="1">
        <v>537</v>
      </c>
      <c r="V1876" s="1" t="s">
        <v>2517</v>
      </c>
      <c r="W1876" s="1" t="s">
        <v>779</v>
      </c>
      <c r="X1876" s="1" t="s">
        <v>3744</v>
      </c>
      <c r="Y1876" s="1">
        <v>6</v>
      </c>
      <c r="Z1876" s="1" t="s">
        <v>249</v>
      </c>
      <c r="AA1876" s="1" t="s">
        <v>400</v>
      </c>
      <c r="AB1876" s="1">
        <v>60653</v>
      </c>
      <c r="AE1876" s="1" t="s">
        <v>17355</v>
      </c>
      <c r="AF1876" s="1">
        <v>1919</v>
      </c>
      <c r="AG1876" s="1" t="s">
        <v>213</v>
      </c>
      <c r="AH1876" s="1" t="s">
        <v>403</v>
      </c>
      <c r="AI1876" s="1" t="s">
        <v>310</v>
      </c>
      <c r="AJ1876" s="1" t="s">
        <v>562</v>
      </c>
      <c r="AL1876" s="1">
        <v>4</v>
      </c>
      <c r="AM1876" s="1">
        <v>2</v>
      </c>
      <c r="AN1876" s="1">
        <v>1</v>
      </c>
      <c r="AO1876" s="1">
        <v>1</v>
      </c>
      <c r="AP1876" s="1" t="s">
        <v>209</v>
      </c>
      <c r="AR1876" s="1" t="s">
        <v>210</v>
      </c>
      <c r="AS1876" s="1" t="s">
        <v>204</v>
      </c>
      <c r="AT1876" s="1" t="s">
        <v>271</v>
      </c>
      <c r="AV1876" s="1">
        <v>1</v>
      </c>
      <c r="AW1876" s="1" t="s">
        <v>204</v>
      </c>
      <c r="AX1876" s="1" t="s">
        <v>212</v>
      </c>
      <c r="AZ1876" s="1">
        <v>1090</v>
      </c>
      <c r="BA1876" s="1">
        <v>2012</v>
      </c>
      <c r="BE1876" s="1">
        <v>1500</v>
      </c>
      <c r="BF1876" s="1">
        <v>1</v>
      </c>
      <c r="BG1876" s="1">
        <v>0</v>
      </c>
      <c r="BL1876" s="1">
        <v>143</v>
      </c>
      <c r="BM1876" s="1" t="s">
        <v>204</v>
      </c>
      <c r="BN1876" s="1" t="s">
        <v>213</v>
      </c>
      <c r="BO1876" s="1">
        <v>999</v>
      </c>
      <c r="BP1876" s="1" t="s">
        <v>204</v>
      </c>
      <c r="BR1876" s="1" t="str">
        <f>"20034240261004"</f>
        <v>20034240261004</v>
      </c>
      <c r="BT1876" s="1" t="s">
        <v>17356</v>
      </c>
      <c r="BX1876" s="1">
        <v>299</v>
      </c>
      <c r="BY1876" s="1">
        <v>299</v>
      </c>
      <c r="BZ1876" s="1">
        <v>299</v>
      </c>
      <c r="CB1876" s="1" t="str">
        <f t="shared" ref="CB1876:CB1877" si="1425">"0"</f>
        <v>0</v>
      </c>
      <c r="CC1876" s="1" t="str">
        <f>"573"</f>
        <v>573</v>
      </c>
      <c r="CD1876" s="1">
        <v>0</v>
      </c>
      <c r="CE1876" s="1">
        <v>4600</v>
      </c>
      <c r="CG1876" s="1" t="s">
        <v>1004</v>
      </c>
      <c r="CH1876" s="1" t="s">
        <v>219</v>
      </c>
      <c r="CK1876" s="1" t="s">
        <v>836</v>
      </c>
      <c r="CL1876" s="1" t="s">
        <v>219</v>
      </c>
      <c r="CP1876" s="1" t="s">
        <v>224</v>
      </c>
      <c r="CS1876" s="1" t="s">
        <v>836</v>
      </c>
      <c r="CT1876" s="1" t="s">
        <v>219</v>
      </c>
      <c r="CX1876" s="1" t="s">
        <v>224</v>
      </c>
      <c r="DB1876" s="1" t="s">
        <v>224</v>
      </c>
      <c r="DE1876" s="1" t="s">
        <v>1358</v>
      </c>
      <c r="DF1876" s="1" t="s">
        <v>219</v>
      </c>
      <c r="DJ1876" s="1" t="s">
        <v>224</v>
      </c>
      <c r="DS1876" s="1" t="s">
        <v>230</v>
      </c>
      <c r="DW1876" s="1" t="s">
        <v>230</v>
      </c>
      <c r="EA1876" s="1" t="s">
        <v>230</v>
      </c>
      <c r="EE1876" s="1" t="s">
        <v>230</v>
      </c>
      <c r="EI1876" s="1" t="s">
        <v>230</v>
      </c>
      <c r="EL1876" s="1" t="s">
        <v>2521</v>
      </c>
      <c r="EM1876" s="1" t="s">
        <v>319</v>
      </c>
      <c r="EN1876" s="1" t="s">
        <v>282</v>
      </c>
      <c r="EO1876" s="1" t="s">
        <v>234</v>
      </c>
      <c r="ER1876" s="1" t="s">
        <v>210</v>
      </c>
      <c r="EW1876" s="1" t="s">
        <v>1426</v>
      </c>
      <c r="EZ1876" s="1" t="s">
        <v>287</v>
      </c>
      <c r="FD1876" s="1" t="s">
        <v>17357</v>
      </c>
      <c r="FE1876" s="1" t="s">
        <v>247</v>
      </c>
      <c r="FF1876" s="1" t="s">
        <v>248</v>
      </c>
      <c r="FH1876" s="1" t="s">
        <v>17358</v>
      </c>
      <c r="FL1876" s="1" t="s">
        <v>414</v>
      </c>
      <c r="FM1876" s="1" t="s">
        <v>252</v>
      </c>
      <c r="FN1876" s="1" t="s">
        <v>213</v>
      </c>
      <c r="FO1876" s="1" t="s">
        <v>213</v>
      </c>
      <c r="FQ1876" s="1" t="s">
        <v>17359</v>
      </c>
      <c r="FR1876" s="1" t="s">
        <v>210</v>
      </c>
      <c r="FS1876" s="1" t="s">
        <v>3061</v>
      </c>
      <c r="FT1876" s="1" t="s">
        <v>295</v>
      </c>
      <c r="FU1876" s="1" t="s">
        <v>204</v>
      </c>
      <c r="FW1876" s="1" t="s">
        <v>13590</v>
      </c>
      <c r="FX1876" s="1">
        <v>18016</v>
      </c>
      <c r="FY1876" s="1" t="s">
        <v>13591</v>
      </c>
      <c r="FZ1876" s="1" t="s">
        <v>17360</v>
      </c>
      <c r="GA1876" s="1">
        <v>120040</v>
      </c>
      <c r="GB1876" s="1" t="s">
        <v>13591</v>
      </c>
      <c r="GE1876" s="1" t="s">
        <v>1379</v>
      </c>
      <c r="GH1876" s="1" t="s">
        <v>800</v>
      </c>
      <c r="GI1876" s="1" t="s">
        <v>213</v>
      </c>
      <c r="GJ1876" s="1" t="s">
        <v>260</v>
      </c>
      <c r="GK1876" s="1" t="s">
        <v>210</v>
      </c>
      <c r="GL1876" s="2">
        <v>42132</v>
      </c>
      <c r="GM1876" s="1" t="s">
        <v>17361</v>
      </c>
    </row>
    <row r="1877" spans="1:195">
      <c r="A1877" s="1">
        <v>60000</v>
      </c>
      <c r="B1877" s="1" t="s">
        <v>195</v>
      </c>
      <c r="C1877" s="1" t="str">
        <f>"08733981"</f>
        <v>08733981</v>
      </c>
      <c r="D1877" s="1" t="s">
        <v>196</v>
      </c>
      <c r="F1877" s="1" t="str">
        <f t="shared" ref="F1877:F1878" si="1426">"515"</f>
        <v>515</v>
      </c>
      <c r="G1877" s="2">
        <v>41903</v>
      </c>
      <c r="H1877" s="1">
        <v>66000</v>
      </c>
      <c r="I1877" s="1">
        <v>66000</v>
      </c>
      <c r="J1877" s="1">
        <v>60000</v>
      </c>
      <c r="K1877" s="2">
        <v>41900</v>
      </c>
      <c r="L1877" s="1">
        <v>131</v>
      </c>
      <c r="M1877" s="2">
        <v>42030</v>
      </c>
      <c r="N1877" s="1">
        <v>131</v>
      </c>
      <c r="O1877" s="2">
        <v>42030</v>
      </c>
      <c r="P1877" s="1">
        <v>23426</v>
      </c>
      <c r="Q1877" s="1" t="s">
        <v>302</v>
      </c>
      <c r="R1877" s="2">
        <v>42060</v>
      </c>
      <c r="S1877" s="1">
        <v>217153</v>
      </c>
      <c r="U1877" s="1">
        <v>5300</v>
      </c>
      <c r="V1877" s="1" t="s">
        <v>6232</v>
      </c>
      <c r="W1877" s="1" t="s">
        <v>425</v>
      </c>
      <c r="X1877" s="1" t="s">
        <v>1382</v>
      </c>
      <c r="Y1877" s="1">
        <v>120</v>
      </c>
      <c r="Z1877" s="1" t="s">
        <v>249</v>
      </c>
      <c r="AA1877" s="1" t="s">
        <v>1294</v>
      </c>
      <c r="AB1877" s="1">
        <v>60515</v>
      </c>
      <c r="AD1877" s="1" t="s">
        <v>17362</v>
      </c>
      <c r="AE1877" s="1" t="s">
        <v>17363</v>
      </c>
      <c r="AF1877" s="1">
        <v>1967</v>
      </c>
      <c r="AG1877" s="1" t="s">
        <v>213</v>
      </c>
      <c r="AH1877" s="1" t="s">
        <v>903</v>
      </c>
      <c r="AI1877" s="1" t="s">
        <v>206</v>
      </c>
      <c r="AJ1877" s="1" t="s">
        <v>925</v>
      </c>
      <c r="AK1877" s="1" t="s">
        <v>270</v>
      </c>
      <c r="AL1877" s="1">
        <v>5</v>
      </c>
      <c r="AM1877" s="1">
        <v>2</v>
      </c>
      <c r="AN1877" s="1">
        <v>1</v>
      </c>
      <c r="AO1877" s="1">
        <v>0</v>
      </c>
      <c r="AP1877" s="1" t="s">
        <v>210</v>
      </c>
      <c r="AQ1877" s="1">
        <v>0</v>
      </c>
      <c r="AR1877" s="1" t="s">
        <v>210</v>
      </c>
      <c r="AS1877" s="1" t="s">
        <v>204</v>
      </c>
      <c r="AT1877" s="1" t="s">
        <v>375</v>
      </c>
      <c r="AU1877" s="1">
        <v>1</v>
      </c>
      <c r="AV1877" s="1">
        <v>1</v>
      </c>
      <c r="AW1877" s="1" t="s">
        <v>204</v>
      </c>
      <c r="AX1877" s="1" t="s">
        <v>212</v>
      </c>
      <c r="AZ1877" s="1">
        <v>1135</v>
      </c>
      <c r="BA1877" s="1">
        <v>2013</v>
      </c>
      <c r="BB1877" s="1" t="s">
        <v>210</v>
      </c>
      <c r="BE1877" s="1">
        <v>850</v>
      </c>
      <c r="BF1877" s="1">
        <v>3</v>
      </c>
      <c r="BG1877" s="1">
        <v>2</v>
      </c>
      <c r="BJ1877" s="1">
        <v>100</v>
      </c>
      <c r="BK1877" s="1">
        <v>100</v>
      </c>
      <c r="BL1877" s="1">
        <v>157</v>
      </c>
      <c r="BM1877" s="1" t="s">
        <v>204</v>
      </c>
      <c r="BN1877" s="1" t="s">
        <v>204</v>
      </c>
      <c r="BP1877" s="1" t="s">
        <v>204</v>
      </c>
      <c r="BR1877" s="1" t="str">
        <f>"0811411049"</f>
        <v>0811411049</v>
      </c>
      <c r="BT1877" s="1" t="s">
        <v>17364</v>
      </c>
      <c r="BU1877" s="1" t="s">
        <v>5789</v>
      </c>
      <c r="BV1877" s="1" t="s">
        <v>5790</v>
      </c>
      <c r="BW1877" s="1" t="s">
        <v>5791</v>
      </c>
      <c r="BX1877" s="1">
        <v>202</v>
      </c>
      <c r="BY1877" s="1">
        <v>202</v>
      </c>
      <c r="BZ1877" s="1">
        <v>202</v>
      </c>
      <c r="CB1877" s="1" t="str">
        <f t="shared" si="1425"/>
        <v>0</v>
      </c>
      <c r="CC1877" s="1" t="str">
        <f>"0"</f>
        <v>0</v>
      </c>
      <c r="CD1877" s="1">
        <v>21</v>
      </c>
      <c r="CE1877" s="1">
        <v>5</v>
      </c>
      <c r="CG1877" s="1" t="s">
        <v>315</v>
      </c>
      <c r="CH1877" s="1" t="s">
        <v>219</v>
      </c>
      <c r="CI1877" s="1" t="s">
        <v>220</v>
      </c>
      <c r="CJ1877" s="1" t="s">
        <v>210</v>
      </c>
      <c r="CK1877" s="1" t="s">
        <v>1297</v>
      </c>
      <c r="CL1877" s="1" t="s">
        <v>784</v>
      </c>
      <c r="CM1877" s="1" t="s">
        <v>220</v>
      </c>
      <c r="CN1877" s="1" t="s">
        <v>252</v>
      </c>
      <c r="CO1877" s="1" t="s">
        <v>380</v>
      </c>
      <c r="CP1877" s="1" t="s">
        <v>219</v>
      </c>
      <c r="CQ1877" s="1" t="s">
        <v>342</v>
      </c>
      <c r="CR1877" s="1" t="s">
        <v>210</v>
      </c>
      <c r="CS1877" s="1" t="s">
        <v>1297</v>
      </c>
      <c r="CT1877" s="1" t="s">
        <v>219</v>
      </c>
      <c r="CU1877" s="1" t="s">
        <v>220</v>
      </c>
      <c r="CV1877" s="1" t="s">
        <v>210</v>
      </c>
      <c r="CX1877" s="1" t="s">
        <v>224</v>
      </c>
      <c r="DB1877" s="1" t="s">
        <v>224</v>
      </c>
      <c r="DE1877" s="1" t="s">
        <v>6174</v>
      </c>
      <c r="DF1877" s="1" t="s">
        <v>219</v>
      </c>
      <c r="DG1877" s="1" t="s">
        <v>342</v>
      </c>
      <c r="DH1877" s="1" t="s">
        <v>210</v>
      </c>
      <c r="DJ1877" s="1" t="s">
        <v>224</v>
      </c>
      <c r="DS1877" s="1" t="s">
        <v>230</v>
      </c>
      <c r="DW1877" s="1" t="s">
        <v>230</v>
      </c>
      <c r="EA1877" s="1" t="s">
        <v>230</v>
      </c>
      <c r="EE1877" s="1" t="s">
        <v>230</v>
      </c>
      <c r="EI1877" s="1" t="s">
        <v>230</v>
      </c>
      <c r="EL1877" s="1" t="s">
        <v>605</v>
      </c>
      <c r="EM1877" s="1" t="s">
        <v>232</v>
      </c>
      <c r="EN1877" s="1" t="s">
        <v>282</v>
      </c>
      <c r="EO1877" s="1" t="s">
        <v>234</v>
      </c>
      <c r="EP1877" s="1" t="s">
        <v>17365</v>
      </c>
      <c r="ER1877" s="1" t="s">
        <v>210</v>
      </c>
      <c r="ES1877" s="1" t="s">
        <v>322</v>
      </c>
      <c r="EU1877" s="1" t="s">
        <v>239</v>
      </c>
      <c r="EV1877" s="1" t="s">
        <v>324</v>
      </c>
      <c r="EW1877" s="1" t="s">
        <v>10802</v>
      </c>
      <c r="EY1877" s="1" t="s">
        <v>790</v>
      </c>
      <c r="EZ1877" s="1" t="s">
        <v>287</v>
      </c>
      <c r="FA1877" s="1" t="s">
        <v>1427</v>
      </c>
      <c r="FB1877" s="1" t="s">
        <v>17366</v>
      </c>
      <c r="FC1877" s="1" t="s">
        <v>326</v>
      </c>
      <c r="FD1877" s="1" t="s">
        <v>1112</v>
      </c>
      <c r="FE1877" s="1" t="s">
        <v>247</v>
      </c>
      <c r="FF1877" s="1" t="s">
        <v>387</v>
      </c>
      <c r="FH1877" s="1" t="s">
        <v>249</v>
      </c>
      <c r="FJ1877" s="1" t="s">
        <v>197</v>
      </c>
      <c r="FK1877" s="1" t="s">
        <v>6240</v>
      </c>
      <c r="FL1877" s="1" t="s">
        <v>1073</v>
      </c>
      <c r="FM1877" s="1" t="s">
        <v>252</v>
      </c>
      <c r="FN1877" s="1" t="s">
        <v>213</v>
      </c>
      <c r="FO1877" s="1" t="s">
        <v>213</v>
      </c>
      <c r="FQ1877" s="1" t="s">
        <v>17367</v>
      </c>
      <c r="FR1877" s="1" t="s">
        <v>411</v>
      </c>
      <c r="FS1877" s="1" t="s">
        <v>17368</v>
      </c>
      <c r="FT1877" s="1" t="s">
        <v>17369</v>
      </c>
      <c r="FU1877" s="1" t="s">
        <v>204</v>
      </c>
      <c r="FW1877" s="1" t="s">
        <v>915</v>
      </c>
      <c r="FX1877" s="1">
        <v>60119</v>
      </c>
      <c r="FY1877" s="1" t="s">
        <v>7996</v>
      </c>
      <c r="FZ1877" s="1" t="s">
        <v>7997</v>
      </c>
      <c r="GA1877" s="1">
        <v>603032</v>
      </c>
      <c r="GB1877" s="1" t="s">
        <v>7998</v>
      </c>
      <c r="GD1877" s="1" t="s">
        <v>7999</v>
      </c>
      <c r="GE1877" s="1" t="s">
        <v>17370</v>
      </c>
      <c r="GI1877" s="1" t="s">
        <v>213</v>
      </c>
      <c r="GJ1877" s="1" t="s">
        <v>260</v>
      </c>
      <c r="GK1877" s="1" t="s">
        <v>210</v>
      </c>
      <c r="GL1877" s="2">
        <v>42061</v>
      </c>
      <c r="GM1877" s="1" t="s">
        <v>17371</v>
      </c>
    </row>
    <row r="1878" spans="1:195">
      <c r="A1878" s="1">
        <v>81530</v>
      </c>
      <c r="B1878" s="1" t="s">
        <v>195</v>
      </c>
      <c r="C1878" s="1" t="str">
        <f>"08729695"</f>
        <v>08729695</v>
      </c>
      <c r="D1878" s="1" t="s">
        <v>196</v>
      </c>
      <c r="F1878" s="1" t="str">
        <f t="shared" si="1426"/>
        <v>515</v>
      </c>
      <c r="G1878" s="2">
        <v>41898</v>
      </c>
      <c r="H1878" s="1">
        <v>104900</v>
      </c>
      <c r="I1878" s="1">
        <v>82900</v>
      </c>
      <c r="J1878" s="1">
        <v>81530</v>
      </c>
      <c r="K1878" s="2">
        <v>41898</v>
      </c>
      <c r="L1878" s="1">
        <v>137</v>
      </c>
      <c r="M1878" s="2">
        <v>42034</v>
      </c>
      <c r="N1878" s="1">
        <v>137</v>
      </c>
      <c r="O1878" s="2">
        <v>42034</v>
      </c>
      <c r="P1878" s="1">
        <v>18075</v>
      </c>
      <c r="Q1878" s="1" t="s">
        <v>197</v>
      </c>
      <c r="R1878" s="2">
        <v>42076</v>
      </c>
      <c r="S1878" s="1">
        <v>878335</v>
      </c>
      <c r="U1878" s="1">
        <v>3913</v>
      </c>
      <c r="V1878" s="1" t="s">
        <v>5751</v>
      </c>
      <c r="W1878" s="1" t="s">
        <v>425</v>
      </c>
      <c r="X1878" s="1" t="s">
        <v>17372</v>
      </c>
      <c r="Y1878" s="1">
        <v>36</v>
      </c>
      <c r="Z1878" s="1" t="s">
        <v>200</v>
      </c>
      <c r="AA1878" s="1" t="s">
        <v>1294</v>
      </c>
      <c r="AB1878" s="1">
        <v>60515</v>
      </c>
      <c r="AE1878" s="1" t="s">
        <v>17373</v>
      </c>
      <c r="AF1878" s="1">
        <v>1968</v>
      </c>
      <c r="AG1878" s="1" t="s">
        <v>213</v>
      </c>
      <c r="AH1878" s="1" t="s">
        <v>903</v>
      </c>
      <c r="AI1878" s="1" t="s">
        <v>206</v>
      </c>
      <c r="AJ1878" s="1" t="s">
        <v>903</v>
      </c>
      <c r="AL1878" s="1">
        <v>5</v>
      </c>
      <c r="AM1878" s="1">
        <v>2</v>
      </c>
      <c r="AN1878" s="1">
        <v>1</v>
      </c>
      <c r="AO1878" s="1">
        <v>1</v>
      </c>
      <c r="AP1878" s="1" t="s">
        <v>1234</v>
      </c>
      <c r="AR1878" s="1" t="s">
        <v>210</v>
      </c>
      <c r="AS1878" s="1" t="s">
        <v>204</v>
      </c>
      <c r="AT1878" s="1" t="s">
        <v>271</v>
      </c>
      <c r="AV1878" s="1">
        <v>2</v>
      </c>
      <c r="AW1878" s="1" t="s">
        <v>204</v>
      </c>
      <c r="AX1878" s="1" t="s">
        <v>212</v>
      </c>
      <c r="AZ1878" s="1">
        <v>1019</v>
      </c>
      <c r="BA1878" s="1">
        <v>2013</v>
      </c>
      <c r="BE1878" s="1">
        <v>0</v>
      </c>
      <c r="BF1878" s="1">
        <v>1</v>
      </c>
      <c r="BG1878" s="1">
        <v>0</v>
      </c>
      <c r="BL1878" s="1">
        <v>395</v>
      </c>
      <c r="BM1878" s="1" t="s">
        <v>204</v>
      </c>
      <c r="BN1878" s="1" t="s">
        <v>213</v>
      </c>
      <c r="BO1878" s="1">
        <v>25</v>
      </c>
      <c r="BP1878" s="1" t="s">
        <v>204</v>
      </c>
      <c r="BR1878" s="1" t="str">
        <f>"0905123164"</f>
        <v>0905123164</v>
      </c>
      <c r="BT1878" s="1" t="s">
        <v>17374</v>
      </c>
      <c r="BX1878" s="1">
        <v>58</v>
      </c>
      <c r="BY1878" s="1">
        <v>58</v>
      </c>
      <c r="BZ1878" s="1">
        <v>99</v>
      </c>
      <c r="CB1878" s="1" t="str">
        <f t="shared" ref="CB1878:CC1878" si="1427">""</f>
        <v/>
      </c>
      <c r="CC1878" s="1" t="str">
        <f t="shared" si="1427"/>
        <v/>
      </c>
      <c r="CG1878" s="1" t="s">
        <v>228</v>
      </c>
      <c r="CH1878" s="1" t="s">
        <v>219</v>
      </c>
      <c r="CK1878" s="1" t="s">
        <v>729</v>
      </c>
      <c r="CL1878" s="1" t="s">
        <v>219</v>
      </c>
      <c r="CO1878" s="1" t="s">
        <v>2899</v>
      </c>
      <c r="CP1878" s="1" t="s">
        <v>219</v>
      </c>
      <c r="CS1878" s="1" t="s">
        <v>757</v>
      </c>
      <c r="CT1878" s="1" t="s">
        <v>219</v>
      </c>
      <c r="CX1878" s="1" t="s">
        <v>224</v>
      </c>
      <c r="DB1878" s="1" t="s">
        <v>224</v>
      </c>
      <c r="DE1878" s="1" t="s">
        <v>972</v>
      </c>
      <c r="DF1878" s="1" t="s">
        <v>219</v>
      </c>
      <c r="DJ1878" s="1" t="s">
        <v>224</v>
      </c>
      <c r="DS1878" s="1" t="s">
        <v>230</v>
      </c>
      <c r="DW1878" s="1" t="s">
        <v>230</v>
      </c>
      <c r="EA1878" s="1" t="s">
        <v>230</v>
      </c>
      <c r="EE1878" s="1" t="s">
        <v>230</v>
      </c>
      <c r="EI1878" s="1" t="s">
        <v>230</v>
      </c>
      <c r="EL1878" s="1" t="s">
        <v>605</v>
      </c>
      <c r="EM1878" s="1" t="s">
        <v>319</v>
      </c>
      <c r="EN1878" s="1" t="s">
        <v>731</v>
      </c>
      <c r="EO1878" s="1" t="s">
        <v>234</v>
      </c>
      <c r="ER1878" s="1" t="s">
        <v>210</v>
      </c>
      <c r="EW1878" s="1" t="s">
        <v>17375</v>
      </c>
      <c r="EZ1878" s="1" t="s">
        <v>287</v>
      </c>
      <c r="FD1878" s="1" t="s">
        <v>246</v>
      </c>
      <c r="FE1878" s="1" t="s">
        <v>247</v>
      </c>
      <c r="FF1878" s="1" t="s">
        <v>248</v>
      </c>
      <c r="FH1878" s="1" t="s">
        <v>249</v>
      </c>
      <c r="FL1878" s="1" t="s">
        <v>2370</v>
      </c>
      <c r="FM1878" s="1" t="s">
        <v>252</v>
      </c>
      <c r="FN1878" s="1" t="s">
        <v>213</v>
      </c>
      <c r="FO1878" s="1" t="s">
        <v>213</v>
      </c>
      <c r="FQ1878" s="1" t="s">
        <v>1300</v>
      </c>
      <c r="FR1878" s="1" t="s">
        <v>210</v>
      </c>
      <c r="FS1878" s="1" t="s">
        <v>17376</v>
      </c>
      <c r="FT1878" s="1" t="s">
        <v>255</v>
      </c>
      <c r="FU1878" s="1" t="s">
        <v>204</v>
      </c>
      <c r="FW1878" s="1" t="s">
        <v>1303</v>
      </c>
      <c r="FX1878" s="1">
        <v>24072</v>
      </c>
      <c r="FY1878" s="1" t="s">
        <v>1304</v>
      </c>
      <c r="FZ1878" s="1" t="s">
        <v>1305</v>
      </c>
      <c r="GA1878" s="1">
        <v>222267</v>
      </c>
      <c r="GB1878" s="1" t="s">
        <v>1304</v>
      </c>
      <c r="GC1878" s="1">
        <v>871164</v>
      </c>
      <c r="GD1878" s="1" t="s">
        <v>2754</v>
      </c>
      <c r="GE1878" s="1" t="s">
        <v>210</v>
      </c>
      <c r="GI1878" s="1" t="s">
        <v>213</v>
      </c>
      <c r="GJ1878" s="1" t="s">
        <v>260</v>
      </c>
      <c r="GK1878" s="1" t="s">
        <v>210</v>
      </c>
      <c r="GL1878" s="2">
        <v>42079</v>
      </c>
      <c r="GM1878" s="1" t="s">
        <v>17377</v>
      </c>
    </row>
    <row r="1879" spans="1:195">
      <c r="A1879" s="1">
        <v>100000</v>
      </c>
      <c r="B1879" s="1" t="s">
        <v>195</v>
      </c>
      <c r="C1879" s="1" t="str">
        <f>"08732986"</f>
        <v>08732986</v>
      </c>
      <c r="D1879" s="1" t="s">
        <v>196</v>
      </c>
      <c r="F1879" s="1" t="str">
        <f>"30"</f>
        <v>30</v>
      </c>
      <c r="G1879" s="2">
        <v>41901</v>
      </c>
      <c r="H1879" s="1">
        <v>108500</v>
      </c>
      <c r="I1879" s="1">
        <v>108500</v>
      </c>
      <c r="J1879" s="1">
        <v>100000</v>
      </c>
      <c r="K1879" s="2">
        <v>41901</v>
      </c>
      <c r="L1879" s="1">
        <v>14</v>
      </c>
      <c r="M1879" s="2">
        <v>41914</v>
      </c>
      <c r="N1879" s="1">
        <v>14</v>
      </c>
      <c r="O1879" s="2">
        <v>41914</v>
      </c>
      <c r="P1879" s="1">
        <v>8256</v>
      </c>
      <c r="Q1879" s="1" t="s">
        <v>197</v>
      </c>
      <c r="R1879" s="2">
        <v>41971</v>
      </c>
      <c r="S1879" s="1">
        <v>82263</v>
      </c>
      <c r="U1879" s="1">
        <v>443</v>
      </c>
      <c r="V1879" s="1" t="s">
        <v>1627</v>
      </c>
      <c r="W1879" s="1" t="s">
        <v>504</v>
      </c>
      <c r="Y1879" s="1">
        <v>4</v>
      </c>
      <c r="Z1879" s="1" t="s">
        <v>249</v>
      </c>
      <c r="AA1879" s="1" t="s">
        <v>1628</v>
      </c>
      <c r="AB1879" s="1">
        <v>60073</v>
      </c>
      <c r="AE1879" s="1" t="s">
        <v>17378</v>
      </c>
      <c r="AF1879" s="1">
        <v>2001</v>
      </c>
      <c r="AG1879" s="1" t="s">
        <v>204</v>
      </c>
      <c r="AH1879" s="1" t="s">
        <v>1630</v>
      </c>
      <c r="AI1879" s="1" t="s">
        <v>509</v>
      </c>
      <c r="AJ1879" s="1" t="s">
        <v>1263</v>
      </c>
      <c r="AL1879" s="1">
        <v>4</v>
      </c>
      <c r="AM1879" s="1">
        <v>2</v>
      </c>
      <c r="AN1879" s="1">
        <v>1</v>
      </c>
      <c r="AO1879" s="1">
        <v>1</v>
      </c>
      <c r="AP1879" s="1" t="s">
        <v>210</v>
      </c>
      <c r="AR1879" s="1" t="s">
        <v>210</v>
      </c>
      <c r="AS1879" s="1" t="s">
        <v>204</v>
      </c>
      <c r="AT1879" s="1" t="s">
        <v>211</v>
      </c>
      <c r="AU1879" s="1">
        <v>2</v>
      </c>
      <c r="AW1879" s="1" t="s">
        <v>204</v>
      </c>
      <c r="AX1879" s="1" t="s">
        <v>579</v>
      </c>
      <c r="AZ1879" s="1">
        <v>2813.54</v>
      </c>
      <c r="BA1879" s="1">
        <v>2013</v>
      </c>
      <c r="BE1879" s="1">
        <v>1088</v>
      </c>
      <c r="BF1879" s="1">
        <v>1</v>
      </c>
      <c r="BG1879" s="1">
        <v>0</v>
      </c>
      <c r="BL1879" s="1">
        <v>207</v>
      </c>
      <c r="BM1879" s="1" t="s">
        <v>204</v>
      </c>
      <c r="BN1879" s="1" t="s">
        <v>213</v>
      </c>
      <c r="BO1879" s="1">
        <v>999</v>
      </c>
      <c r="BP1879" s="1" t="s">
        <v>204</v>
      </c>
      <c r="BR1879" s="1" t="str">
        <f>"06283080590000"</f>
        <v>06283080590000</v>
      </c>
      <c r="BT1879" s="1" t="s">
        <v>17379</v>
      </c>
      <c r="BX1879" s="1">
        <v>116</v>
      </c>
      <c r="BY1879" s="1">
        <v>116</v>
      </c>
      <c r="BZ1879" s="1">
        <v>116</v>
      </c>
      <c r="CB1879" s="1" t="str">
        <f t="shared" ref="CB1879:CC1879" si="1428">""</f>
        <v/>
      </c>
      <c r="CC1879" s="1" t="str">
        <f t="shared" si="1428"/>
        <v/>
      </c>
      <c r="CG1879" s="1" t="s">
        <v>223</v>
      </c>
      <c r="CH1879" s="1" t="s">
        <v>219</v>
      </c>
      <c r="CI1879" s="1" t="s">
        <v>229</v>
      </c>
      <c r="CK1879" s="1" t="s">
        <v>461</v>
      </c>
      <c r="CL1879" s="1" t="s">
        <v>277</v>
      </c>
      <c r="CM1879" s="1" t="s">
        <v>220</v>
      </c>
      <c r="CP1879" s="1" t="s">
        <v>224</v>
      </c>
      <c r="CS1879" s="1" t="s">
        <v>1297</v>
      </c>
      <c r="CT1879" s="1" t="s">
        <v>277</v>
      </c>
      <c r="CU1879" s="1" t="s">
        <v>220</v>
      </c>
      <c r="CX1879" s="1" t="s">
        <v>224</v>
      </c>
      <c r="DB1879" s="1" t="s">
        <v>224</v>
      </c>
      <c r="DE1879" s="1" t="s">
        <v>221</v>
      </c>
      <c r="DF1879" s="1" t="s">
        <v>219</v>
      </c>
      <c r="DG1879" s="1" t="s">
        <v>226</v>
      </c>
      <c r="DJ1879" s="1" t="s">
        <v>224</v>
      </c>
      <c r="DM1879" s="1" t="s">
        <v>838</v>
      </c>
      <c r="DS1879" s="1" t="s">
        <v>230</v>
      </c>
      <c r="DW1879" s="1" t="s">
        <v>230</v>
      </c>
      <c r="EA1879" s="1" t="s">
        <v>230</v>
      </c>
      <c r="EE1879" s="1" t="s">
        <v>230</v>
      </c>
      <c r="EI1879" s="1" t="s">
        <v>230</v>
      </c>
      <c r="EL1879" s="1" t="s">
        <v>466</v>
      </c>
      <c r="EM1879" s="1" t="s">
        <v>730</v>
      </c>
      <c r="EN1879" s="1" t="s">
        <v>282</v>
      </c>
      <c r="EO1879" s="1" t="s">
        <v>234</v>
      </c>
      <c r="EQ1879" s="1" t="s">
        <v>10028</v>
      </c>
      <c r="ER1879" s="1" t="s">
        <v>210</v>
      </c>
      <c r="ES1879" s="1" t="s">
        <v>1868</v>
      </c>
      <c r="EW1879" s="1" t="s">
        <v>3851</v>
      </c>
      <c r="EY1879" s="1" t="s">
        <v>441</v>
      </c>
      <c r="EZ1879" s="1" t="s">
        <v>838</v>
      </c>
      <c r="FD1879" s="1" t="s">
        <v>246</v>
      </c>
      <c r="FE1879" s="1" t="s">
        <v>1031</v>
      </c>
      <c r="FF1879" s="1" t="s">
        <v>248</v>
      </c>
      <c r="FH1879" s="1" t="s">
        <v>550</v>
      </c>
      <c r="FI1879" s="1" t="s">
        <v>473</v>
      </c>
      <c r="FJ1879" s="1" t="s">
        <v>197</v>
      </c>
      <c r="FL1879" s="1" t="s">
        <v>358</v>
      </c>
      <c r="FM1879" s="1" t="s">
        <v>252</v>
      </c>
      <c r="FN1879" s="1" t="s">
        <v>213</v>
      </c>
      <c r="FO1879" s="1" t="s">
        <v>204</v>
      </c>
      <c r="FQ1879" s="1" t="s">
        <v>3545</v>
      </c>
      <c r="FR1879" s="1" t="s">
        <v>210</v>
      </c>
      <c r="FS1879" s="1" t="s">
        <v>1709</v>
      </c>
      <c r="FT1879" s="1" t="s">
        <v>255</v>
      </c>
      <c r="FU1879" s="1" t="s">
        <v>204</v>
      </c>
      <c r="FW1879" s="1" t="s">
        <v>4465</v>
      </c>
      <c r="FX1879" s="1">
        <v>2414</v>
      </c>
      <c r="FY1879" s="1" t="s">
        <v>4466</v>
      </c>
      <c r="FZ1879" s="1" t="s">
        <v>17380</v>
      </c>
      <c r="GA1879" s="1">
        <v>239837</v>
      </c>
      <c r="GB1879" s="1" t="s">
        <v>17381</v>
      </c>
      <c r="GE1879" s="1" t="s">
        <v>480</v>
      </c>
      <c r="GI1879" s="1" t="s">
        <v>213</v>
      </c>
      <c r="GJ1879" s="1" t="s">
        <v>260</v>
      </c>
      <c r="GK1879" s="1" t="s">
        <v>210</v>
      </c>
      <c r="GL1879" s="2">
        <v>41976</v>
      </c>
      <c r="GM1879" s="1" t="s">
        <v>17382</v>
      </c>
    </row>
    <row r="1880" spans="1:195">
      <c r="A1880" s="1">
        <v>208000</v>
      </c>
      <c r="B1880" s="1" t="s">
        <v>195</v>
      </c>
      <c r="C1880" s="1" t="str">
        <f>"08730402"</f>
        <v>08730402</v>
      </c>
      <c r="D1880" s="1" t="s">
        <v>196</v>
      </c>
      <c r="F1880" s="1" t="str">
        <f>"60"</f>
        <v>60</v>
      </c>
      <c r="G1880" s="2">
        <v>41899</v>
      </c>
      <c r="H1880" s="1">
        <v>215000</v>
      </c>
      <c r="I1880" s="1">
        <v>215000</v>
      </c>
      <c r="J1880" s="1">
        <v>208000</v>
      </c>
      <c r="K1880" s="2">
        <v>41898</v>
      </c>
      <c r="L1880" s="1">
        <v>45</v>
      </c>
      <c r="M1880" s="2">
        <v>41942</v>
      </c>
      <c r="N1880" s="1">
        <v>45</v>
      </c>
      <c r="O1880" s="2">
        <v>41942</v>
      </c>
      <c r="P1880" s="1">
        <v>4534</v>
      </c>
      <c r="Q1880" s="1" t="s">
        <v>197</v>
      </c>
      <c r="R1880" s="2">
        <v>42002</v>
      </c>
      <c r="S1880" s="1">
        <v>63177</v>
      </c>
      <c r="U1880" s="1">
        <v>1408</v>
      </c>
      <c r="V1880" s="1" t="s">
        <v>17383</v>
      </c>
      <c r="W1880" s="1" t="s">
        <v>504</v>
      </c>
      <c r="Y1880" s="1">
        <v>2</v>
      </c>
      <c r="Z1880" s="1" t="s">
        <v>200</v>
      </c>
      <c r="AA1880" s="1" t="s">
        <v>1689</v>
      </c>
      <c r="AB1880" s="1">
        <v>60060</v>
      </c>
      <c r="AD1880" s="1" t="s">
        <v>7840</v>
      </c>
      <c r="AE1880" s="1" t="s">
        <v>17384</v>
      </c>
      <c r="AF1880" s="1">
        <v>1995</v>
      </c>
      <c r="AG1880" s="1" t="s">
        <v>204</v>
      </c>
      <c r="AH1880" s="1" t="s">
        <v>1692</v>
      </c>
      <c r="AI1880" s="1" t="s">
        <v>509</v>
      </c>
      <c r="AJ1880" s="1" t="s">
        <v>510</v>
      </c>
      <c r="AK1880" s="1" t="s">
        <v>17385</v>
      </c>
      <c r="AL1880" s="1">
        <v>6</v>
      </c>
      <c r="AM1880" s="1">
        <v>2</v>
      </c>
      <c r="AN1880" s="1">
        <v>2</v>
      </c>
      <c r="AO1880" s="1">
        <v>1</v>
      </c>
      <c r="AP1880" s="1" t="s">
        <v>209</v>
      </c>
      <c r="AQ1880" s="1">
        <v>1</v>
      </c>
      <c r="AR1880" s="1" t="s">
        <v>210</v>
      </c>
      <c r="AS1880" s="1" t="s">
        <v>204</v>
      </c>
      <c r="AT1880" s="1" t="s">
        <v>211</v>
      </c>
      <c r="AU1880" s="1">
        <v>2</v>
      </c>
      <c r="AW1880" s="1" t="s">
        <v>204</v>
      </c>
      <c r="AX1880" s="1" t="s">
        <v>17386</v>
      </c>
      <c r="AZ1880" s="1">
        <v>5136.9799999999996</v>
      </c>
      <c r="BA1880" s="1">
        <v>2013</v>
      </c>
      <c r="BE1880" s="1">
        <v>0</v>
      </c>
      <c r="BF1880" s="1">
        <v>1</v>
      </c>
      <c r="BG1880" s="1">
        <v>0</v>
      </c>
      <c r="BL1880" s="1">
        <v>0</v>
      </c>
      <c r="BM1880" s="1" t="s">
        <v>204</v>
      </c>
      <c r="BN1880" s="1" t="s">
        <v>213</v>
      </c>
      <c r="BO1880" s="1">
        <v>999</v>
      </c>
      <c r="BP1880" s="1" t="s">
        <v>204</v>
      </c>
      <c r="BR1880" s="1" t="str">
        <f>"15051030740000"</f>
        <v>15051030740000</v>
      </c>
      <c r="BT1880" s="1" t="s">
        <v>17387</v>
      </c>
      <c r="BU1880" s="1" t="s">
        <v>1879</v>
      </c>
      <c r="BV1880" s="1" t="s">
        <v>1880</v>
      </c>
      <c r="BW1880" s="1" t="s">
        <v>5840</v>
      </c>
      <c r="BX1880" s="1">
        <v>73</v>
      </c>
      <c r="BY1880" s="1">
        <v>73</v>
      </c>
      <c r="BZ1880" s="1">
        <v>120</v>
      </c>
      <c r="CB1880" s="1" t="str">
        <f t="shared" ref="CB1880:CC1880" si="1429">""</f>
        <v/>
      </c>
      <c r="CC1880" s="1" t="str">
        <f t="shared" si="1429"/>
        <v/>
      </c>
      <c r="CG1880" s="1" t="s">
        <v>628</v>
      </c>
      <c r="CH1880" s="1" t="s">
        <v>219</v>
      </c>
      <c r="CI1880" s="1" t="s">
        <v>229</v>
      </c>
      <c r="CK1880" s="1" t="s">
        <v>757</v>
      </c>
      <c r="CL1880" s="1" t="s">
        <v>277</v>
      </c>
      <c r="CM1880" s="1" t="s">
        <v>220</v>
      </c>
      <c r="CO1880" s="1" t="s">
        <v>629</v>
      </c>
      <c r="CP1880" s="1" t="s">
        <v>219</v>
      </c>
      <c r="CQ1880" s="1" t="s">
        <v>229</v>
      </c>
      <c r="CS1880" s="1" t="s">
        <v>1046</v>
      </c>
      <c r="CT1880" s="1" t="s">
        <v>277</v>
      </c>
      <c r="CU1880" s="1" t="s">
        <v>220</v>
      </c>
      <c r="CX1880" s="1" t="s">
        <v>224</v>
      </c>
      <c r="DB1880" s="1" t="s">
        <v>224</v>
      </c>
      <c r="DE1880" s="1" t="s">
        <v>821</v>
      </c>
      <c r="DF1880" s="1" t="s">
        <v>219</v>
      </c>
      <c r="DG1880" s="1" t="s">
        <v>226</v>
      </c>
      <c r="DI1880" s="1" t="s">
        <v>1046</v>
      </c>
      <c r="DJ1880" s="1" t="s">
        <v>219</v>
      </c>
      <c r="DK1880" s="1" t="s">
        <v>229</v>
      </c>
      <c r="DS1880" s="1" t="s">
        <v>230</v>
      </c>
      <c r="DW1880" s="1" t="s">
        <v>230</v>
      </c>
      <c r="EA1880" s="1" t="s">
        <v>230</v>
      </c>
      <c r="EE1880" s="1" t="s">
        <v>230</v>
      </c>
      <c r="EI1880" s="1" t="s">
        <v>230</v>
      </c>
      <c r="EL1880" s="1" t="s">
        <v>670</v>
      </c>
      <c r="EM1880" s="1" t="s">
        <v>232</v>
      </c>
      <c r="EN1880" s="1" t="s">
        <v>282</v>
      </c>
      <c r="EO1880" s="1" t="s">
        <v>234</v>
      </c>
      <c r="EQ1880" s="1" t="s">
        <v>5876</v>
      </c>
      <c r="ER1880" s="1" t="s">
        <v>210</v>
      </c>
      <c r="ET1880" s="1" t="s">
        <v>842</v>
      </c>
      <c r="EU1880" s="1" t="s">
        <v>546</v>
      </c>
      <c r="EV1880" s="1" t="s">
        <v>240</v>
      </c>
      <c r="EW1880" s="1" t="s">
        <v>210</v>
      </c>
      <c r="EZ1880" s="1" t="s">
        <v>287</v>
      </c>
      <c r="FD1880" s="1" t="s">
        <v>246</v>
      </c>
      <c r="FE1880" s="1" t="s">
        <v>472</v>
      </c>
      <c r="FF1880" s="1" t="s">
        <v>248</v>
      </c>
      <c r="FH1880" s="1" t="s">
        <v>442</v>
      </c>
      <c r="FL1880" s="1" t="s">
        <v>358</v>
      </c>
      <c r="FM1880" s="1" t="s">
        <v>252</v>
      </c>
      <c r="FN1880" s="1" t="s">
        <v>213</v>
      </c>
      <c r="FO1880" s="1" t="s">
        <v>213</v>
      </c>
      <c r="FQ1880" s="1" t="s">
        <v>359</v>
      </c>
      <c r="FR1880" s="1" t="s">
        <v>210</v>
      </c>
      <c r="FS1880" s="1" t="s">
        <v>17388</v>
      </c>
      <c r="FT1880" s="1" t="s">
        <v>255</v>
      </c>
      <c r="FU1880" s="1" t="s">
        <v>204</v>
      </c>
      <c r="FW1880" s="1" t="s">
        <v>1637</v>
      </c>
      <c r="FX1880" s="1">
        <v>8256</v>
      </c>
      <c r="FY1880" s="1" t="s">
        <v>5617</v>
      </c>
      <c r="FZ1880" s="1" t="s">
        <v>17389</v>
      </c>
      <c r="GA1880" s="1">
        <v>238302</v>
      </c>
      <c r="GB1880" s="1" t="s">
        <v>17390</v>
      </c>
      <c r="GE1880" s="1" t="s">
        <v>1256</v>
      </c>
      <c r="GI1880" s="1" t="s">
        <v>213</v>
      </c>
      <c r="GJ1880" s="1" t="s">
        <v>260</v>
      </c>
      <c r="GK1880" s="1" t="s">
        <v>210</v>
      </c>
      <c r="GL1880" s="2">
        <v>42009</v>
      </c>
    </row>
    <row r="1881" spans="1:195">
      <c r="A1881" s="1">
        <v>288000</v>
      </c>
      <c r="B1881" s="1" t="s">
        <v>195</v>
      </c>
      <c r="C1881" s="1" t="str">
        <f>"08730467"</f>
        <v>08730467</v>
      </c>
      <c r="D1881" s="1" t="s">
        <v>196</v>
      </c>
      <c r="F1881" s="1" t="str">
        <f>"525"</f>
        <v>525</v>
      </c>
      <c r="G1881" s="2">
        <v>41899</v>
      </c>
      <c r="H1881" s="1">
        <v>299000</v>
      </c>
      <c r="I1881" s="1">
        <v>294000</v>
      </c>
      <c r="J1881" s="1">
        <v>288000</v>
      </c>
      <c r="K1881" s="2">
        <v>41899</v>
      </c>
      <c r="L1881" s="1">
        <v>93</v>
      </c>
      <c r="M1881" s="2">
        <v>41928</v>
      </c>
      <c r="N1881" s="1">
        <v>30</v>
      </c>
      <c r="O1881" s="2">
        <v>41928</v>
      </c>
      <c r="P1881" s="1">
        <v>25089</v>
      </c>
      <c r="Q1881" s="1" t="s">
        <v>302</v>
      </c>
      <c r="R1881" s="2">
        <v>42013</v>
      </c>
      <c r="S1881" s="1">
        <v>240888</v>
      </c>
      <c r="T1881" s="1">
        <v>7200</v>
      </c>
      <c r="U1881" s="1">
        <v>1</v>
      </c>
      <c r="V1881" s="1" t="s">
        <v>17391</v>
      </c>
      <c r="W1881" s="1" t="s">
        <v>779</v>
      </c>
      <c r="X1881" s="1">
        <v>712</v>
      </c>
      <c r="Y1881" s="1">
        <v>78</v>
      </c>
      <c r="Z1881" s="1" t="s">
        <v>249</v>
      </c>
      <c r="AA1881" s="1" t="s">
        <v>1148</v>
      </c>
      <c r="AB1881" s="1">
        <v>60525</v>
      </c>
      <c r="AE1881" s="1" t="s">
        <v>17392</v>
      </c>
      <c r="AF1881" s="1">
        <v>2001</v>
      </c>
      <c r="AG1881" s="1" t="s">
        <v>204</v>
      </c>
      <c r="AH1881" s="1" t="s">
        <v>1150</v>
      </c>
      <c r="AI1881" s="1" t="s">
        <v>310</v>
      </c>
      <c r="AJ1881" s="1" t="s">
        <v>702</v>
      </c>
      <c r="AL1881" s="1">
        <v>5</v>
      </c>
      <c r="AM1881" s="1">
        <v>2</v>
      </c>
      <c r="AN1881" s="1">
        <v>2</v>
      </c>
      <c r="AO1881" s="1">
        <v>0</v>
      </c>
      <c r="AP1881" s="1" t="s">
        <v>209</v>
      </c>
      <c r="AR1881" s="1" t="s">
        <v>210</v>
      </c>
      <c r="AS1881" s="1" t="s">
        <v>204</v>
      </c>
      <c r="AT1881" s="1" t="s">
        <v>211</v>
      </c>
      <c r="AU1881" s="1">
        <v>1</v>
      </c>
      <c r="AW1881" s="1" t="s">
        <v>204</v>
      </c>
      <c r="AX1881" s="1" t="s">
        <v>212</v>
      </c>
      <c r="AZ1881" s="1">
        <v>4817.41</v>
      </c>
      <c r="BA1881" s="1">
        <v>2013</v>
      </c>
      <c r="BB1881" s="1" t="s">
        <v>210</v>
      </c>
      <c r="BE1881" s="1">
        <v>1500</v>
      </c>
      <c r="BF1881" s="1">
        <v>7</v>
      </c>
      <c r="BG1881" s="1">
        <v>0</v>
      </c>
      <c r="BL1881" s="1">
        <v>373</v>
      </c>
      <c r="BM1881" s="1" t="s">
        <v>413</v>
      </c>
      <c r="BN1881" s="1" t="s">
        <v>213</v>
      </c>
      <c r="BO1881" s="1">
        <v>30</v>
      </c>
      <c r="BP1881" s="1" t="s">
        <v>204</v>
      </c>
      <c r="BR1881" s="1" t="str">
        <f>"18042090131077"</f>
        <v>18042090131077</v>
      </c>
      <c r="BT1881" s="1" t="s">
        <v>17393</v>
      </c>
      <c r="BU1881" s="1" t="s">
        <v>13978</v>
      </c>
      <c r="BV1881" s="1" t="s">
        <v>1154</v>
      </c>
      <c r="BW1881" s="1" t="s">
        <v>706</v>
      </c>
      <c r="BX1881" s="1">
        <v>102</v>
      </c>
      <c r="BY1881" s="1">
        <v>102</v>
      </c>
      <c r="BZ1881" s="1">
        <v>204</v>
      </c>
      <c r="CB1881" s="1" t="str">
        <f t="shared" ref="CB1881:CC1881" si="1430">""</f>
        <v/>
      </c>
      <c r="CC1881" s="1" t="str">
        <f t="shared" si="1430"/>
        <v/>
      </c>
      <c r="CG1881" s="1" t="s">
        <v>7600</v>
      </c>
      <c r="CH1881" s="1" t="s">
        <v>219</v>
      </c>
      <c r="CI1881" s="1" t="s">
        <v>220</v>
      </c>
      <c r="CJ1881" s="1" t="s">
        <v>2449</v>
      </c>
      <c r="CK1881" s="1" t="s">
        <v>437</v>
      </c>
      <c r="CL1881" s="1" t="s">
        <v>219</v>
      </c>
      <c r="CM1881" s="1" t="s">
        <v>220</v>
      </c>
      <c r="CN1881" s="1" t="s">
        <v>343</v>
      </c>
      <c r="CO1881" s="1" t="s">
        <v>629</v>
      </c>
      <c r="CP1881" s="1" t="s">
        <v>219</v>
      </c>
      <c r="CQ1881" s="1" t="s">
        <v>220</v>
      </c>
      <c r="CS1881" s="1" t="s">
        <v>379</v>
      </c>
      <c r="CT1881" s="1" t="s">
        <v>219</v>
      </c>
      <c r="CU1881" s="1" t="s">
        <v>220</v>
      </c>
      <c r="CV1881" s="1" t="s">
        <v>343</v>
      </c>
      <c r="CX1881" s="1" t="s">
        <v>224</v>
      </c>
      <c r="DB1881" s="1" t="s">
        <v>224</v>
      </c>
      <c r="DE1881" s="1" t="s">
        <v>1533</v>
      </c>
      <c r="DF1881" s="1" t="s">
        <v>219</v>
      </c>
      <c r="DG1881" s="1" t="s">
        <v>226</v>
      </c>
      <c r="DJ1881" s="1" t="s">
        <v>224</v>
      </c>
      <c r="DM1881" s="1" t="s">
        <v>709</v>
      </c>
      <c r="DN1881" s="1" t="s">
        <v>1614</v>
      </c>
      <c r="DO1881" s="1" t="s">
        <v>1771</v>
      </c>
      <c r="DP1881" s="1" t="s">
        <v>838</v>
      </c>
      <c r="DQ1881" s="1" t="s">
        <v>1771</v>
      </c>
      <c r="DR1881" s="1" t="s">
        <v>5717</v>
      </c>
      <c r="DS1881" s="1" t="s">
        <v>219</v>
      </c>
      <c r="DT1881" s="1" t="s">
        <v>226</v>
      </c>
      <c r="DV1881" s="1" t="s">
        <v>17394</v>
      </c>
      <c r="DW1881" s="1" t="s">
        <v>822</v>
      </c>
      <c r="DX1881" s="1" t="s">
        <v>347</v>
      </c>
      <c r="DZ1881" s="1" t="s">
        <v>6174</v>
      </c>
      <c r="EA1881" s="1" t="s">
        <v>219</v>
      </c>
      <c r="EB1881" s="1" t="s">
        <v>220</v>
      </c>
      <c r="ED1881" s="1" t="s">
        <v>4214</v>
      </c>
      <c r="EE1881" s="1" t="s">
        <v>219</v>
      </c>
      <c r="EF1881" s="1" t="s">
        <v>347</v>
      </c>
      <c r="EH1881" s="1" t="s">
        <v>2279</v>
      </c>
      <c r="EI1881" s="1" t="s">
        <v>219</v>
      </c>
      <c r="EJ1881" s="1" t="s">
        <v>226</v>
      </c>
      <c r="EL1881" s="1" t="s">
        <v>466</v>
      </c>
      <c r="EM1881" s="1" t="s">
        <v>232</v>
      </c>
      <c r="EN1881" s="1" t="s">
        <v>282</v>
      </c>
      <c r="EO1881" s="1" t="s">
        <v>234</v>
      </c>
      <c r="EP1881" s="1" t="s">
        <v>2764</v>
      </c>
      <c r="EQ1881" s="1" t="s">
        <v>3931</v>
      </c>
      <c r="ER1881" s="1" t="s">
        <v>210</v>
      </c>
      <c r="ES1881" s="1" t="s">
        <v>322</v>
      </c>
      <c r="ET1881" s="1" t="s">
        <v>323</v>
      </c>
      <c r="EV1881" s="1" t="s">
        <v>240</v>
      </c>
      <c r="EW1881" s="1" t="s">
        <v>17395</v>
      </c>
      <c r="EY1881" s="1" t="s">
        <v>242</v>
      </c>
      <c r="EZ1881" s="1" t="s">
        <v>13841</v>
      </c>
      <c r="FC1881" s="1" t="s">
        <v>1739</v>
      </c>
      <c r="FD1881" s="1" t="s">
        <v>290</v>
      </c>
      <c r="FE1881" s="1" t="s">
        <v>247</v>
      </c>
      <c r="FF1881" s="1" t="s">
        <v>248</v>
      </c>
      <c r="FH1881" s="1" t="s">
        <v>249</v>
      </c>
      <c r="FI1881" s="1" t="s">
        <v>17396</v>
      </c>
      <c r="FL1881" s="1" t="s">
        <v>414</v>
      </c>
      <c r="FM1881" s="1" t="s">
        <v>252</v>
      </c>
      <c r="FN1881" s="1" t="s">
        <v>213</v>
      </c>
      <c r="FO1881" s="1" t="s">
        <v>213</v>
      </c>
      <c r="FQ1881" s="1" t="s">
        <v>913</v>
      </c>
      <c r="FR1881" s="1" t="s">
        <v>210</v>
      </c>
      <c r="FS1881" s="1" t="s">
        <v>17397</v>
      </c>
      <c r="FT1881" s="1" t="s">
        <v>362</v>
      </c>
      <c r="FU1881" s="1" t="s">
        <v>204</v>
      </c>
      <c r="FW1881" s="1" t="s">
        <v>915</v>
      </c>
      <c r="FX1881" s="1">
        <v>22049</v>
      </c>
      <c r="FY1881" s="1" t="s">
        <v>4731</v>
      </c>
      <c r="FZ1881" s="1" t="s">
        <v>17398</v>
      </c>
      <c r="GA1881" s="1">
        <v>242039</v>
      </c>
      <c r="GB1881" s="1" t="s">
        <v>17399</v>
      </c>
      <c r="GE1881" s="1" t="s">
        <v>1379</v>
      </c>
      <c r="GH1881" s="1" t="s">
        <v>230</v>
      </c>
      <c r="GI1881" s="1" t="s">
        <v>213</v>
      </c>
      <c r="GJ1881" s="1" t="s">
        <v>260</v>
      </c>
      <c r="GK1881" s="1" t="s">
        <v>210</v>
      </c>
      <c r="GL1881" s="2">
        <v>42015</v>
      </c>
      <c r="GM1881" s="1" t="s">
        <v>17400</v>
      </c>
    </row>
    <row r="1882" spans="1:195">
      <c r="A1882" s="1">
        <v>235000</v>
      </c>
      <c r="B1882" s="1" t="s">
        <v>195</v>
      </c>
      <c r="C1882" s="1" t="str">
        <f>"08744187"</f>
        <v>08744187</v>
      </c>
      <c r="D1882" s="1" t="s">
        <v>196</v>
      </c>
      <c r="F1882" s="1" t="str">
        <f>"480"</f>
        <v>480</v>
      </c>
      <c r="G1882" s="2">
        <v>41915</v>
      </c>
      <c r="H1882" s="1">
        <v>244000</v>
      </c>
      <c r="I1882" s="1">
        <v>244000</v>
      </c>
      <c r="J1882" s="1">
        <v>235000</v>
      </c>
      <c r="K1882" s="2">
        <v>41915</v>
      </c>
      <c r="L1882" s="1">
        <v>37</v>
      </c>
      <c r="M1882" s="2">
        <v>41951</v>
      </c>
      <c r="N1882" s="1">
        <v>37</v>
      </c>
      <c r="O1882" s="2">
        <v>41951</v>
      </c>
      <c r="P1882" s="1">
        <v>22416</v>
      </c>
      <c r="Q1882" s="1" t="s">
        <v>197</v>
      </c>
      <c r="R1882" s="2">
        <v>41985</v>
      </c>
      <c r="S1882" s="1">
        <v>224788</v>
      </c>
      <c r="U1882" s="1">
        <v>138</v>
      </c>
      <c r="V1882" s="1" t="s">
        <v>17012</v>
      </c>
      <c r="W1882" s="1" t="s">
        <v>504</v>
      </c>
      <c r="Y1882" s="1">
        <v>39</v>
      </c>
      <c r="Z1882" s="1" t="s">
        <v>370</v>
      </c>
      <c r="AA1882" s="1" t="s">
        <v>3145</v>
      </c>
      <c r="AB1882" s="1">
        <v>60480</v>
      </c>
      <c r="AD1882" s="1" t="s">
        <v>17012</v>
      </c>
      <c r="AE1882" s="1" t="s">
        <v>17401</v>
      </c>
      <c r="AF1882" s="1">
        <v>1999</v>
      </c>
      <c r="AG1882" s="1" t="s">
        <v>204</v>
      </c>
      <c r="AH1882" s="1" t="s">
        <v>3147</v>
      </c>
      <c r="AI1882" s="1" t="s">
        <v>310</v>
      </c>
      <c r="AJ1882" s="1" t="s">
        <v>3148</v>
      </c>
      <c r="AL1882" s="1">
        <v>8</v>
      </c>
      <c r="AM1882" s="1">
        <v>2</v>
      </c>
      <c r="AN1882" s="1">
        <v>3</v>
      </c>
      <c r="AO1882" s="1">
        <v>1</v>
      </c>
      <c r="AP1882" s="1" t="s">
        <v>209</v>
      </c>
      <c r="AQ1882" s="1">
        <v>2</v>
      </c>
      <c r="AR1882" s="1" t="s">
        <v>209</v>
      </c>
      <c r="AS1882" s="1" t="s">
        <v>213</v>
      </c>
      <c r="AT1882" s="1" t="s">
        <v>211</v>
      </c>
      <c r="AU1882" s="1">
        <v>2</v>
      </c>
      <c r="AW1882" s="1" t="s">
        <v>204</v>
      </c>
      <c r="AX1882" s="1" t="s">
        <v>212</v>
      </c>
      <c r="AZ1882" s="1">
        <v>5247</v>
      </c>
      <c r="BA1882" s="1">
        <v>2013</v>
      </c>
      <c r="BB1882" s="1" t="s">
        <v>405</v>
      </c>
      <c r="BE1882" s="1">
        <v>0</v>
      </c>
      <c r="BF1882" s="1">
        <v>1</v>
      </c>
      <c r="BG1882" s="1">
        <v>0</v>
      </c>
      <c r="BL1882" s="1">
        <v>360</v>
      </c>
      <c r="BM1882" s="1" t="s">
        <v>204</v>
      </c>
      <c r="BN1882" s="1" t="s">
        <v>213</v>
      </c>
      <c r="BO1882" s="1">
        <v>999</v>
      </c>
      <c r="BP1882" s="1" t="s">
        <v>204</v>
      </c>
      <c r="BR1882" s="1" t="str">
        <f>"23052011540000"</f>
        <v>23052011540000</v>
      </c>
      <c r="BT1882" s="1" t="s">
        <v>17402</v>
      </c>
      <c r="BU1882" s="1" t="s">
        <v>9154</v>
      </c>
      <c r="BV1882" s="1" t="s">
        <v>9154</v>
      </c>
      <c r="BW1882" s="1" t="s">
        <v>9155</v>
      </c>
      <c r="BX1882" s="1">
        <v>108</v>
      </c>
      <c r="BY1882" s="1">
        <v>108</v>
      </c>
      <c r="BZ1882" s="1">
        <v>230</v>
      </c>
      <c r="CB1882" s="1" t="str">
        <f t="shared" ref="CB1882:CC1882" si="1431">"0"</f>
        <v>0</v>
      </c>
      <c r="CC1882" s="1" t="str">
        <f t="shared" si="1431"/>
        <v>0</v>
      </c>
      <c r="CD1882" s="1">
        <v>13</v>
      </c>
      <c r="CE1882" s="1">
        <v>10</v>
      </c>
      <c r="CG1882" s="1" t="s">
        <v>861</v>
      </c>
      <c r="CH1882" s="1" t="s">
        <v>219</v>
      </c>
      <c r="CI1882" s="1" t="s">
        <v>438</v>
      </c>
      <c r="CJ1882" s="1" t="s">
        <v>463</v>
      </c>
      <c r="CK1882" s="1" t="s">
        <v>601</v>
      </c>
      <c r="CL1882" s="1" t="s">
        <v>277</v>
      </c>
      <c r="CM1882" s="1" t="s">
        <v>220</v>
      </c>
      <c r="CO1882" s="1" t="s">
        <v>465</v>
      </c>
      <c r="CP1882" s="1" t="s">
        <v>219</v>
      </c>
      <c r="CQ1882" s="1" t="s">
        <v>438</v>
      </c>
      <c r="CR1882" s="1" t="s">
        <v>343</v>
      </c>
      <c r="CS1882" s="1" t="s">
        <v>461</v>
      </c>
      <c r="CT1882" s="1" t="s">
        <v>277</v>
      </c>
      <c r="CU1882" s="1" t="s">
        <v>220</v>
      </c>
      <c r="CX1882" s="1" t="s">
        <v>224</v>
      </c>
      <c r="DB1882" s="1" t="s">
        <v>224</v>
      </c>
      <c r="DE1882" s="1" t="s">
        <v>1358</v>
      </c>
      <c r="DF1882" s="1" t="s">
        <v>219</v>
      </c>
      <c r="DG1882" s="1" t="s">
        <v>438</v>
      </c>
      <c r="DJ1882" s="1" t="s">
        <v>224</v>
      </c>
      <c r="DM1882" s="1" t="s">
        <v>1548</v>
      </c>
      <c r="DN1882" s="1" t="s">
        <v>934</v>
      </c>
      <c r="DO1882" s="1" t="s">
        <v>709</v>
      </c>
      <c r="DP1882" s="1" t="s">
        <v>5320</v>
      </c>
      <c r="DR1882" s="1" t="s">
        <v>489</v>
      </c>
      <c r="DS1882" s="1" t="s">
        <v>219</v>
      </c>
      <c r="DT1882" s="1" t="s">
        <v>438</v>
      </c>
      <c r="DV1882" s="1" t="s">
        <v>861</v>
      </c>
      <c r="DW1882" s="1" t="s">
        <v>822</v>
      </c>
      <c r="DX1882" s="1" t="s">
        <v>220</v>
      </c>
      <c r="DZ1882" s="1" t="s">
        <v>17403</v>
      </c>
      <c r="EA1882" s="1" t="s">
        <v>219</v>
      </c>
      <c r="EB1882" s="1" t="s">
        <v>438</v>
      </c>
      <c r="ED1882" s="1" t="s">
        <v>318</v>
      </c>
      <c r="EE1882" s="1" t="s">
        <v>822</v>
      </c>
      <c r="EF1882" s="1" t="s">
        <v>229</v>
      </c>
      <c r="EI1882" s="1" t="s">
        <v>230</v>
      </c>
      <c r="EL1882" s="1" t="s">
        <v>466</v>
      </c>
      <c r="EM1882" s="1" t="s">
        <v>232</v>
      </c>
      <c r="EN1882" s="1" t="s">
        <v>282</v>
      </c>
      <c r="EO1882" s="1" t="s">
        <v>234</v>
      </c>
      <c r="EQ1882" s="1" t="s">
        <v>236</v>
      </c>
      <c r="ER1882" s="1" t="s">
        <v>823</v>
      </c>
      <c r="ES1882" s="1" t="s">
        <v>3932</v>
      </c>
      <c r="EV1882" s="1" t="s">
        <v>324</v>
      </c>
      <c r="EW1882" s="1" t="s">
        <v>17404</v>
      </c>
      <c r="EY1882" s="1" t="s">
        <v>612</v>
      </c>
      <c r="EZ1882" s="1" t="s">
        <v>17405</v>
      </c>
      <c r="FD1882" s="1" t="s">
        <v>246</v>
      </c>
      <c r="FE1882" s="1" t="s">
        <v>549</v>
      </c>
      <c r="FF1882" s="1" t="s">
        <v>248</v>
      </c>
      <c r="FG1882" s="1" t="s">
        <v>871</v>
      </c>
      <c r="FH1882" s="1" t="s">
        <v>1428</v>
      </c>
      <c r="FI1882" s="1" t="s">
        <v>473</v>
      </c>
      <c r="FL1882" s="1" t="s">
        <v>358</v>
      </c>
      <c r="FM1882" s="1" t="s">
        <v>252</v>
      </c>
      <c r="FN1882" s="1" t="s">
        <v>213</v>
      </c>
      <c r="FO1882" s="1" t="s">
        <v>213</v>
      </c>
      <c r="FQ1882" s="1" t="s">
        <v>329</v>
      </c>
      <c r="FR1882" s="1" t="s">
        <v>210</v>
      </c>
      <c r="FS1882" s="1" t="s">
        <v>17406</v>
      </c>
      <c r="FT1882" s="1" t="s">
        <v>362</v>
      </c>
      <c r="FU1882" s="1" t="s">
        <v>204</v>
      </c>
      <c r="FW1882" s="1" t="s">
        <v>8599</v>
      </c>
      <c r="FX1882" s="1">
        <v>22375</v>
      </c>
      <c r="FY1882" s="1" t="s">
        <v>8600</v>
      </c>
      <c r="FZ1882" s="1" t="s">
        <v>17407</v>
      </c>
      <c r="GA1882" s="1">
        <v>224891</v>
      </c>
      <c r="GB1882" s="1" t="s">
        <v>17408</v>
      </c>
      <c r="GE1882" s="1" t="s">
        <v>210</v>
      </c>
      <c r="GI1882" s="1" t="s">
        <v>213</v>
      </c>
      <c r="GJ1882" s="1" t="s">
        <v>260</v>
      </c>
      <c r="GK1882" s="1" t="s">
        <v>210</v>
      </c>
      <c r="GL1882" s="2">
        <v>41985</v>
      </c>
      <c r="GM1882" s="1" t="s">
        <v>17409</v>
      </c>
    </row>
    <row r="1883" spans="1:195">
      <c r="A1883" s="1">
        <v>45050</v>
      </c>
      <c r="B1883" s="1" t="s">
        <v>195</v>
      </c>
      <c r="C1883" s="1" t="str">
        <f>"08734299"</f>
        <v>08734299</v>
      </c>
      <c r="D1883" s="1" t="s">
        <v>196</v>
      </c>
      <c r="F1883" s="1" t="str">
        <f>"107"</f>
        <v>107</v>
      </c>
      <c r="G1883" s="2">
        <v>41904</v>
      </c>
      <c r="H1883" s="1">
        <v>49000</v>
      </c>
      <c r="I1883" s="1">
        <v>49000</v>
      </c>
      <c r="J1883" s="1">
        <v>45050</v>
      </c>
      <c r="K1883" s="2">
        <v>41903</v>
      </c>
      <c r="L1883" s="1">
        <v>126</v>
      </c>
      <c r="M1883" s="2">
        <v>41935</v>
      </c>
      <c r="N1883" s="1">
        <v>33</v>
      </c>
      <c r="O1883" s="2">
        <v>41935</v>
      </c>
      <c r="P1883" s="1">
        <v>21682</v>
      </c>
      <c r="Q1883" s="1" t="s">
        <v>302</v>
      </c>
      <c r="R1883" s="2">
        <v>41969</v>
      </c>
      <c r="S1883" s="1">
        <v>242114</v>
      </c>
      <c r="U1883" s="1">
        <v>3194</v>
      </c>
      <c r="V1883" s="1" t="s">
        <v>17410</v>
      </c>
      <c r="W1883" s="1" t="s">
        <v>304</v>
      </c>
      <c r="Y1883" s="1">
        <v>6</v>
      </c>
      <c r="Z1883" s="1" t="s">
        <v>370</v>
      </c>
      <c r="AA1883" s="1" t="s">
        <v>1211</v>
      </c>
      <c r="AB1883" s="1">
        <v>60107</v>
      </c>
      <c r="AD1883" s="1" t="s">
        <v>5383</v>
      </c>
      <c r="AE1883" s="1" t="s">
        <v>17411</v>
      </c>
      <c r="AF1883" s="1">
        <v>1969</v>
      </c>
      <c r="AG1883" s="1" t="s">
        <v>213</v>
      </c>
      <c r="AH1883" s="1" t="s">
        <v>1214</v>
      </c>
      <c r="AI1883" s="1" t="s">
        <v>310</v>
      </c>
      <c r="AJ1883" s="1" t="s">
        <v>374</v>
      </c>
      <c r="AL1883" s="1">
        <v>4</v>
      </c>
      <c r="AM1883" s="1">
        <v>2</v>
      </c>
      <c r="AN1883" s="1">
        <v>1</v>
      </c>
      <c r="AO1883" s="1">
        <v>1</v>
      </c>
      <c r="AP1883" s="1" t="s">
        <v>210</v>
      </c>
      <c r="AR1883" s="1" t="s">
        <v>209</v>
      </c>
      <c r="AS1883" s="1" t="s">
        <v>204</v>
      </c>
      <c r="AT1883" s="1" t="s">
        <v>271</v>
      </c>
      <c r="AV1883" s="1">
        <v>1</v>
      </c>
      <c r="AW1883" s="1" t="s">
        <v>204</v>
      </c>
      <c r="AX1883" s="1" t="s">
        <v>17412</v>
      </c>
      <c r="AZ1883" s="1">
        <v>3098.11</v>
      </c>
      <c r="BA1883" s="1">
        <v>2012</v>
      </c>
      <c r="BE1883" s="1">
        <v>1131</v>
      </c>
      <c r="BF1883" s="1">
        <v>1</v>
      </c>
      <c r="BG1883" s="1">
        <v>20</v>
      </c>
      <c r="BL1883" s="1">
        <v>185</v>
      </c>
      <c r="BM1883" s="1" t="s">
        <v>413</v>
      </c>
      <c r="BN1883" s="1" t="s">
        <v>213</v>
      </c>
      <c r="BO1883" s="1">
        <v>40</v>
      </c>
      <c r="BP1883" s="1" t="s">
        <v>204</v>
      </c>
      <c r="BR1883" s="1" t="str">
        <f>"06263230040000"</f>
        <v>06263230040000</v>
      </c>
      <c r="BT1883" s="1" t="s">
        <v>17413</v>
      </c>
      <c r="BX1883" s="1">
        <v>46</v>
      </c>
      <c r="BY1883" s="1">
        <v>46</v>
      </c>
      <c r="BZ1883" s="1">
        <v>46</v>
      </c>
      <c r="CB1883" s="1" t="str">
        <f t="shared" ref="CB1883:CC1883" si="1432">""</f>
        <v/>
      </c>
      <c r="CC1883" s="1" t="str">
        <f t="shared" si="1432"/>
        <v/>
      </c>
      <c r="CG1883" s="1" t="s">
        <v>539</v>
      </c>
      <c r="CH1883" s="1" t="s">
        <v>219</v>
      </c>
      <c r="CI1883" s="1" t="s">
        <v>220</v>
      </c>
      <c r="CK1883" s="1" t="s">
        <v>539</v>
      </c>
      <c r="CL1883" s="1" t="s">
        <v>277</v>
      </c>
      <c r="CM1883" s="1" t="s">
        <v>438</v>
      </c>
      <c r="CP1883" s="1" t="s">
        <v>224</v>
      </c>
      <c r="CS1883" s="1" t="s">
        <v>346</v>
      </c>
      <c r="CT1883" s="1" t="s">
        <v>277</v>
      </c>
      <c r="CU1883" s="1" t="s">
        <v>438</v>
      </c>
      <c r="CX1883" s="1" t="s">
        <v>224</v>
      </c>
      <c r="DB1883" s="1" t="s">
        <v>224</v>
      </c>
      <c r="DE1883" s="1" t="s">
        <v>346</v>
      </c>
      <c r="DF1883" s="1" t="s">
        <v>219</v>
      </c>
      <c r="DG1883" s="1" t="s">
        <v>342</v>
      </c>
      <c r="DJ1883" s="1" t="s">
        <v>224</v>
      </c>
      <c r="DS1883" s="1" t="s">
        <v>230</v>
      </c>
      <c r="DW1883" s="1" t="s">
        <v>230</v>
      </c>
      <c r="EA1883" s="1" t="s">
        <v>230</v>
      </c>
      <c r="EE1883" s="1" t="s">
        <v>230</v>
      </c>
      <c r="EI1883" s="1" t="s">
        <v>230</v>
      </c>
      <c r="EL1883" s="1" t="s">
        <v>605</v>
      </c>
      <c r="EM1883" s="1" t="s">
        <v>319</v>
      </c>
      <c r="EN1883" s="1" t="s">
        <v>282</v>
      </c>
      <c r="EO1883" s="1" t="s">
        <v>234</v>
      </c>
      <c r="EP1883" s="1" t="s">
        <v>650</v>
      </c>
      <c r="ER1883" s="1" t="s">
        <v>1249</v>
      </c>
      <c r="EU1883" s="1" t="s">
        <v>546</v>
      </c>
      <c r="EW1883" s="1" t="s">
        <v>2778</v>
      </c>
      <c r="EY1883" s="1" t="s">
        <v>242</v>
      </c>
      <c r="EZ1883" s="1" t="s">
        <v>287</v>
      </c>
      <c r="FB1883" s="1" t="s">
        <v>244</v>
      </c>
      <c r="FD1883" s="1" t="s">
        <v>246</v>
      </c>
      <c r="FE1883" s="1" t="s">
        <v>651</v>
      </c>
      <c r="FF1883" s="1" t="s">
        <v>248</v>
      </c>
      <c r="FH1883" s="1" t="s">
        <v>550</v>
      </c>
      <c r="FJ1883" s="1" t="s">
        <v>2046</v>
      </c>
      <c r="FK1883" s="1" t="s">
        <v>291</v>
      </c>
      <c r="FL1883" s="1" t="s">
        <v>358</v>
      </c>
      <c r="FM1883" s="1" t="s">
        <v>252</v>
      </c>
      <c r="FN1883" s="1" t="s">
        <v>213</v>
      </c>
      <c r="FO1883" s="1" t="s">
        <v>213</v>
      </c>
      <c r="FQ1883" s="1" t="s">
        <v>17414</v>
      </c>
      <c r="FR1883" s="1" t="s">
        <v>210</v>
      </c>
      <c r="FS1883" s="1" t="s">
        <v>17415</v>
      </c>
      <c r="FT1883" s="1" t="s">
        <v>9323</v>
      </c>
      <c r="FU1883" s="1" t="s">
        <v>204</v>
      </c>
      <c r="FW1883" s="1" t="s">
        <v>1742</v>
      </c>
      <c r="FX1883" s="1">
        <v>25401</v>
      </c>
      <c r="FY1883" s="1" t="s">
        <v>1743</v>
      </c>
      <c r="FZ1883" s="1" t="s">
        <v>1744</v>
      </c>
      <c r="GA1883" s="1">
        <v>231228</v>
      </c>
      <c r="GB1883" s="1" t="s">
        <v>1743</v>
      </c>
      <c r="GD1883" s="1" t="s">
        <v>15182</v>
      </c>
      <c r="GE1883" s="1" t="s">
        <v>210</v>
      </c>
      <c r="GI1883" s="1" t="s">
        <v>213</v>
      </c>
      <c r="GJ1883" s="1" t="s">
        <v>260</v>
      </c>
      <c r="GK1883" s="1" t="s">
        <v>210</v>
      </c>
      <c r="GL1883" s="2">
        <v>41969</v>
      </c>
      <c r="GM1883" s="1" t="s">
        <v>17416</v>
      </c>
    </row>
    <row r="1884" spans="1:195">
      <c r="A1884" s="1">
        <v>45000</v>
      </c>
      <c r="B1884" s="1" t="s">
        <v>195</v>
      </c>
      <c r="C1884" s="1" t="str">
        <f>"08729829"</f>
        <v>08729829</v>
      </c>
      <c r="D1884" s="1" t="s">
        <v>196</v>
      </c>
      <c r="F1884" s="1" t="str">
        <f>"517"</f>
        <v>517</v>
      </c>
      <c r="G1884" s="2">
        <v>41898</v>
      </c>
      <c r="H1884" s="1">
        <v>74900</v>
      </c>
      <c r="I1884" s="1">
        <v>50000</v>
      </c>
      <c r="J1884" s="1">
        <v>45000</v>
      </c>
      <c r="K1884" s="2">
        <v>41898</v>
      </c>
      <c r="L1884" s="1">
        <v>99</v>
      </c>
      <c r="M1884" s="2">
        <v>41996</v>
      </c>
      <c r="N1884" s="1">
        <v>99</v>
      </c>
      <c r="O1884" s="2">
        <v>41996</v>
      </c>
      <c r="P1884" s="1">
        <v>21823</v>
      </c>
      <c r="Q1884" s="1" t="s">
        <v>302</v>
      </c>
      <c r="R1884" s="2">
        <v>42104</v>
      </c>
      <c r="S1884" s="1">
        <v>224834</v>
      </c>
      <c r="U1884" s="1">
        <v>3435</v>
      </c>
      <c r="V1884" s="1" t="s">
        <v>5984</v>
      </c>
      <c r="W1884" s="1" t="s">
        <v>725</v>
      </c>
      <c r="X1884" s="1" t="s">
        <v>17417</v>
      </c>
      <c r="Y1884" s="1">
        <v>20</v>
      </c>
      <c r="Z1884" s="1" t="s">
        <v>249</v>
      </c>
      <c r="AA1884" s="1" t="s">
        <v>2850</v>
      </c>
      <c r="AB1884" s="1">
        <v>60517</v>
      </c>
      <c r="AD1884" s="1" t="s">
        <v>5149</v>
      </c>
      <c r="AE1884" s="1" t="s">
        <v>17418</v>
      </c>
      <c r="AF1884" s="1">
        <v>1974</v>
      </c>
      <c r="AG1884" s="1" t="s">
        <v>213</v>
      </c>
      <c r="AH1884" s="1" t="s">
        <v>2853</v>
      </c>
      <c r="AI1884" s="1" t="s">
        <v>206</v>
      </c>
      <c r="AJ1884" s="1" t="s">
        <v>925</v>
      </c>
      <c r="AK1884" s="1" t="s">
        <v>17419</v>
      </c>
      <c r="AL1884" s="1">
        <v>5</v>
      </c>
      <c r="AM1884" s="1">
        <v>2</v>
      </c>
      <c r="AN1884" s="1">
        <v>1</v>
      </c>
      <c r="AO1884" s="1">
        <v>1</v>
      </c>
      <c r="AP1884" s="1" t="s">
        <v>1234</v>
      </c>
      <c r="AQ1884" s="1">
        <v>0</v>
      </c>
      <c r="AR1884" s="1" t="s">
        <v>210</v>
      </c>
      <c r="AS1884" s="1" t="s">
        <v>204</v>
      </c>
      <c r="AT1884" s="1" t="s">
        <v>271</v>
      </c>
      <c r="AV1884" s="1">
        <v>2</v>
      </c>
      <c r="AW1884" s="1" t="s">
        <v>204</v>
      </c>
      <c r="AX1884" s="1" t="s">
        <v>212</v>
      </c>
      <c r="AZ1884" s="1">
        <v>1710</v>
      </c>
      <c r="BA1884" s="1">
        <v>2013</v>
      </c>
      <c r="BB1884" s="1" t="s">
        <v>405</v>
      </c>
      <c r="BE1884" s="1">
        <v>1000</v>
      </c>
      <c r="BF1884" s="1">
        <v>2</v>
      </c>
      <c r="BG1884" s="1">
        <v>30</v>
      </c>
      <c r="BL1884" s="1">
        <v>327</v>
      </c>
      <c r="BM1884" s="1" t="s">
        <v>204</v>
      </c>
      <c r="BN1884" s="1" t="s">
        <v>213</v>
      </c>
      <c r="BO1884" s="1">
        <v>50</v>
      </c>
      <c r="BP1884" s="1" t="s">
        <v>204</v>
      </c>
      <c r="BR1884" s="1" t="str">
        <f>"0835304061"</f>
        <v>0835304061</v>
      </c>
      <c r="BT1884" s="1" t="s">
        <v>17420</v>
      </c>
      <c r="BU1884" s="1" t="s">
        <v>17421</v>
      </c>
      <c r="BV1884" s="1" t="s">
        <v>2856</v>
      </c>
      <c r="BW1884" s="1" t="s">
        <v>17422</v>
      </c>
      <c r="BX1884" s="1">
        <v>68</v>
      </c>
      <c r="BY1884" s="1">
        <v>68</v>
      </c>
      <c r="BZ1884" s="1">
        <v>99</v>
      </c>
      <c r="CB1884" s="1" t="str">
        <f t="shared" ref="CB1884:CC1884" si="1433">"0"</f>
        <v>0</v>
      </c>
      <c r="CC1884" s="1" t="str">
        <f t="shared" si="1433"/>
        <v>0</v>
      </c>
      <c r="CD1884" s="1">
        <v>22</v>
      </c>
      <c r="CE1884" s="1">
        <v>9</v>
      </c>
      <c r="CG1884" s="1" t="s">
        <v>3035</v>
      </c>
      <c r="CH1884" s="1" t="s">
        <v>219</v>
      </c>
      <c r="CI1884" s="1" t="s">
        <v>220</v>
      </c>
      <c r="CJ1884" s="1" t="s">
        <v>252</v>
      </c>
      <c r="CK1884" s="1" t="s">
        <v>278</v>
      </c>
      <c r="CL1884" s="1" t="s">
        <v>219</v>
      </c>
      <c r="CM1884" s="1" t="s">
        <v>220</v>
      </c>
      <c r="CN1884" s="1" t="s">
        <v>252</v>
      </c>
      <c r="CO1884" s="1" t="s">
        <v>630</v>
      </c>
      <c r="CP1884" s="1" t="s">
        <v>219</v>
      </c>
      <c r="CQ1884" s="1" t="s">
        <v>229</v>
      </c>
      <c r="CR1884" s="1" t="s">
        <v>252</v>
      </c>
      <c r="CS1884" s="1" t="s">
        <v>465</v>
      </c>
      <c r="CT1884" s="1" t="s">
        <v>219</v>
      </c>
      <c r="CU1884" s="1" t="s">
        <v>220</v>
      </c>
      <c r="CV1884" s="1" t="s">
        <v>252</v>
      </c>
      <c r="CX1884" s="1" t="s">
        <v>224</v>
      </c>
      <c r="DB1884" s="1" t="s">
        <v>224</v>
      </c>
      <c r="DE1884" s="1" t="s">
        <v>837</v>
      </c>
      <c r="DF1884" s="1" t="s">
        <v>219</v>
      </c>
      <c r="DG1884" s="1" t="s">
        <v>226</v>
      </c>
      <c r="DH1884" s="1" t="s">
        <v>210</v>
      </c>
      <c r="DJ1884" s="1" t="s">
        <v>224</v>
      </c>
      <c r="DS1884" s="1" t="s">
        <v>230</v>
      </c>
      <c r="DW1884" s="1" t="s">
        <v>230</v>
      </c>
      <c r="EA1884" s="1" t="s">
        <v>230</v>
      </c>
      <c r="EE1884" s="1" t="s">
        <v>230</v>
      </c>
      <c r="EI1884" s="1" t="s">
        <v>230</v>
      </c>
      <c r="EL1884" s="1" t="s">
        <v>231</v>
      </c>
      <c r="EM1884" s="1" t="s">
        <v>319</v>
      </c>
      <c r="EN1884" s="1" t="s">
        <v>1158</v>
      </c>
      <c r="EO1884" s="1" t="s">
        <v>234</v>
      </c>
      <c r="EQ1884" s="1" t="s">
        <v>1867</v>
      </c>
      <c r="ER1884" s="1" t="s">
        <v>383</v>
      </c>
      <c r="ES1884" s="1" t="s">
        <v>322</v>
      </c>
      <c r="EV1884" s="1" t="s">
        <v>352</v>
      </c>
      <c r="EW1884" s="1" t="s">
        <v>2765</v>
      </c>
      <c r="EY1884" s="1" t="s">
        <v>242</v>
      </c>
      <c r="EZ1884" s="1" t="s">
        <v>287</v>
      </c>
      <c r="FB1884" s="1" t="s">
        <v>289</v>
      </c>
      <c r="FD1884" s="1" t="s">
        <v>290</v>
      </c>
      <c r="FE1884" s="1" t="s">
        <v>247</v>
      </c>
      <c r="FF1884" s="1" t="s">
        <v>248</v>
      </c>
      <c r="FH1884" s="1" t="s">
        <v>249</v>
      </c>
      <c r="FJ1884" s="1" t="s">
        <v>197</v>
      </c>
      <c r="FL1884" s="1" t="s">
        <v>2233</v>
      </c>
      <c r="FM1884" s="1" t="s">
        <v>252</v>
      </c>
      <c r="FN1884" s="1" t="s">
        <v>213</v>
      </c>
      <c r="FO1884" s="1" t="s">
        <v>213</v>
      </c>
      <c r="FQ1884" s="1" t="s">
        <v>2091</v>
      </c>
      <c r="FR1884" s="1" t="s">
        <v>360</v>
      </c>
      <c r="FS1884" s="1" t="s">
        <v>17423</v>
      </c>
      <c r="FT1884" s="1" t="s">
        <v>295</v>
      </c>
      <c r="FU1884" s="1" t="s">
        <v>204</v>
      </c>
      <c r="FW1884" s="1" t="s">
        <v>17424</v>
      </c>
      <c r="FX1884" s="1">
        <v>25590</v>
      </c>
      <c r="FY1884" s="1" t="s">
        <v>17425</v>
      </c>
      <c r="FZ1884" s="1" t="s">
        <v>17426</v>
      </c>
      <c r="GA1884" s="1">
        <v>922409</v>
      </c>
      <c r="GB1884" s="1" t="s">
        <v>17427</v>
      </c>
      <c r="GE1884" s="1" t="s">
        <v>776</v>
      </c>
      <c r="GH1884" s="1" t="s">
        <v>589</v>
      </c>
      <c r="GI1884" s="1" t="s">
        <v>213</v>
      </c>
      <c r="GJ1884" s="1" t="s">
        <v>260</v>
      </c>
      <c r="GK1884" s="1" t="s">
        <v>210</v>
      </c>
      <c r="GL1884" s="2">
        <v>42109</v>
      </c>
      <c r="GM1884" s="1" t="s">
        <v>17428</v>
      </c>
    </row>
    <row r="1885" spans="1:195">
      <c r="A1885" s="1">
        <v>185000</v>
      </c>
      <c r="B1885" s="1" t="s">
        <v>195</v>
      </c>
      <c r="C1885" s="1" t="str">
        <f>"08756852"</f>
        <v>08756852</v>
      </c>
      <c r="D1885" s="1" t="s">
        <v>196</v>
      </c>
      <c r="F1885" s="1" t="str">
        <f>"143"</f>
        <v>143</v>
      </c>
      <c r="G1885" s="2">
        <v>41932</v>
      </c>
      <c r="H1885" s="1">
        <v>195000</v>
      </c>
      <c r="I1885" s="1">
        <v>190000</v>
      </c>
      <c r="J1885" s="1">
        <v>185000</v>
      </c>
      <c r="K1885" s="2">
        <v>41932</v>
      </c>
      <c r="L1885" s="1">
        <v>92</v>
      </c>
      <c r="M1885" s="2">
        <v>42023</v>
      </c>
      <c r="N1885" s="1">
        <v>92</v>
      </c>
      <c r="O1885" s="2">
        <v>42023</v>
      </c>
      <c r="P1885" s="1">
        <v>1109</v>
      </c>
      <c r="Q1885" s="1" t="s">
        <v>197</v>
      </c>
      <c r="R1885" s="2">
        <v>42060</v>
      </c>
      <c r="S1885" s="1">
        <v>28626</v>
      </c>
      <c r="T1885" s="1">
        <v>5000</v>
      </c>
      <c r="U1885" s="1">
        <v>253</v>
      </c>
      <c r="V1885" s="1" t="s">
        <v>11126</v>
      </c>
      <c r="Y1885" s="1">
        <v>6</v>
      </c>
      <c r="Z1885" s="1" t="s">
        <v>249</v>
      </c>
      <c r="AA1885" s="1" t="s">
        <v>7871</v>
      </c>
      <c r="AB1885" s="1">
        <v>60143</v>
      </c>
      <c r="AD1885" s="1" t="s">
        <v>17429</v>
      </c>
      <c r="AE1885" s="1" t="s">
        <v>17430</v>
      </c>
      <c r="AF1885" s="1">
        <v>1994</v>
      </c>
      <c r="AG1885" s="1" t="s">
        <v>204</v>
      </c>
      <c r="AH1885" s="1" t="s">
        <v>7873</v>
      </c>
      <c r="AI1885" s="1" t="s">
        <v>206</v>
      </c>
      <c r="AJ1885" s="1" t="s">
        <v>1233</v>
      </c>
      <c r="AK1885" s="1" t="s">
        <v>14131</v>
      </c>
      <c r="AL1885" s="1">
        <v>6</v>
      </c>
      <c r="AM1885" s="1">
        <v>2</v>
      </c>
      <c r="AN1885" s="1">
        <v>2</v>
      </c>
      <c r="AO1885" s="1">
        <v>1</v>
      </c>
      <c r="AP1885" s="1" t="s">
        <v>209</v>
      </c>
      <c r="AQ1885" s="1">
        <v>0</v>
      </c>
      <c r="AR1885" s="1" t="s">
        <v>210</v>
      </c>
      <c r="AS1885" s="1" t="s">
        <v>204</v>
      </c>
      <c r="AT1885" s="1" t="s">
        <v>211</v>
      </c>
      <c r="AU1885" s="1">
        <v>2</v>
      </c>
      <c r="AW1885" s="1" t="s">
        <v>204</v>
      </c>
      <c r="AX1885" s="1" t="s">
        <v>4740</v>
      </c>
      <c r="AZ1885" s="1">
        <v>3817</v>
      </c>
      <c r="BA1885" s="1">
        <v>2013</v>
      </c>
      <c r="BB1885" s="1" t="s">
        <v>405</v>
      </c>
      <c r="BE1885" s="1">
        <v>0</v>
      </c>
      <c r="BF1885" s="1">
        <v>1</v>
      </c>
      <c r="BG1885" s="1">
        <v>0</v>
      </c>
      <c r="BL1885" s="1">
        <v>193</v>
      </c>
      <c r="BM1885" s="1" t="s">
        <v>204</v>
      </c>
      <c r="BN1885" s="1" t="s">
        <v>213</v>
      </c>
      <c r="BO1885" s="1">
        <v>999</v>
      </c>
      <c r="BP1885" s="1" t="s">
        <v>204</v>
      </c>
      <c r="BR1885" s="1" t="str">
        <f>"0305313033"</f>
        <v>0305313033</v>
      </c>
      <c r="BT1885" s="1" t="s">
        <v>17431</v>
      </c>
      <c r="BU1885" s="1" t="s">
        <v>11130</v>
      </c>
      <c r="BV1885" s="1" t="s">
        <v>7877</v>
      </c>
      <c r="BW1885" s="1" t="s">
        <v>275</v>
      </c>
      <c r="BX1885" s="1">
        <v>10</v>
      </c>
      <c r="BY1885" s="1">
        <v>10</v>
      </c>
      <c r="BZ1885" s="1">
        <v>108</v>
      </c>
      <c r="CB1885" s="1" t="str">
        <f t="shared" ref="CB1885:CC1885" si="1434">""</f>
        <v/>
      </c>
      <c r="CC1885" s="1" t="str">
        <f t="shared" si="1434"/>
        <v/>
      </c>
      <c r="CG1885" s="1" t="s">
        <v>221</v>
      </c>
      <c r="CH1885" s="1" t="s">
        <v>219</v>
      </c>
      <c r="CI1885" s="1" t="s">
        <v>220</v>
      </c>
      <c r="CJ1885" s="1" t="s">
        <v>210</v>
      </c>
      <c r="CK1885" s="1" t="s">
        <v>221</v>
      </c>
      <c r="CL1885" s="1" t="s">
        <v>277</v>
      </c>
      <c r="CM1885" s="1" t="s">
        <v>220</v>
      </c>
      <c r="CN1885" s="1" t="s">
        <v>210</v>
      </c>
      <c r="CO1885" s="1" t="s">
        <v>346</v>
      </c>
      <c r="CP1885" s="1" t="s">
        <v>219</v>
      </c>
      <c r="CQ1885" s="1" t="s">
        <v>220</v>
      </c>
      <c r="CR1885" s="1" t="s">
        <v>210</v>
      </c>
      <c r="CS1885" s="1" t="s">
        <v>318</v>
      </c>
      <c r="CT1885" s="1" t="s">
        <v>277</v>
      </c>
      <c r="CU1885" s="1" t="s">
        <v>220</v>
      </c>
      <c r="CV1885" s="1" t="s">
        <v>210</v>
      </c>
      <c r="CX1885" s="1" t="s">
        <v>224</v>
      </c>
      <c r="DB1885" s="1" t="s">
        <v>224</v>
      </c>
      <c r="DE1885" s="1" t="s">
        <v>281</v>
      </c>
      <c r="DF1885" s="1" t="s">
        <v>219</v>
      </c>
      <c r="DG1885" s="1" t="s">
        <v>342</v>
      </c>
      <c r="DH1885" s="1" t="s">
        <v>210</v>
      </c>
      <c r="DJ1885" s="1" t="s">
        <v>224</v>
      </c>
      <c r="DM1885" s="1" t="s">
        <v>709</v>
      </c>
      <c r="DN1885" s="1" t="s">
        <v>381</v>
      </c>
      <c r="DO1885" s="1" t="s">
        <v>1771</v>
      </c>
      <c r="DR1885" s="1" t="s">
        <v>6174</v>
      </c>
      <c r="DS1885" s="1" t="s">
        <v>219</v>
      </c>
      <c r="DT1885" s="1" t="s">
        <v>229</v>
      </c>
      <c r="DU1885" s="1" t="s">
        <v>210</v>
      </c>
      <c r="DV1885" s="1" t="s">
        <v>2031</v>
      </c>
      <c r="DW1885" s="1" t="s">
        <v>219</v>
      </c>
      <c r="DX1885" s="1" t="s">
        <v>342</v>
      </c>
      <c r="DY1885" s="1" t="s">
        <v>210</v>
      </c>
      <c r="DZ1885" s="1" t="s">
        <v>4260</v>
      </c>
      <c r="EA1885" s="1" t="s">
        <v>277</v>
      </c>
      <c r="EB1885" s="1" t="s">
        <v>220</v>
      </c>
      <c r="EC1885" s="1" t="s">
        <v>210</v>
      </c>
      <c r="EE1885" s="1" t="s">
        <v>230</v>
      </c>
      <c r="EI1885" s="1" t="s">
        <v>230</v>
      </c>
      <c r="EL1885" s="1" t="s">
        <v>670</v>
      </c>
      <c r="EM1885" s="1" t="s">
        <v>232</v>
      </c>
      <c r="EN1885" s="1" t="s">
        <v>282</v>
      </c>
      <c r="EO1885" s="1" t="s">
        <v>234</v>
      </c>
      <c r="EP1885" s="1" t="s">
        <v>543</v>
      </c>
      <c r="EQ1885" s="1" t="s">
        <v>236</v>
      </c>
      <c r="ER1885" s="1" t="s">
        <v>210</v>
      </c>
      <c r="ET1885" s="1" t="s">
        <v>842</v>
      </c>
      <c r="EU1885" s="1" t="s">
        <v>239</v>
      </c>
      <c r="EV1885" s="1" t="s">
        <v>240</v>
      </c>
      <c r="EW1885" s="1" t="s">
        <v>353</v>
      </c>
      <c r="EY1885" s="1" t="s">
        <v>242</v>
      </c>
      <c r="EZ1885" s="1" t="s">
        <v>17432</v>
      </c>
      <c r="FA1885" s="1" t="s">
        <v>714</v>
      </c>
      <c r="FB1885" s="1" t="s">
        <v>289</v>
      </c>
      <c r="FC1885" s="1" t="s">
        <v>1362</v>
      </c>
      <c r="FD1885" s="1" t="s">
        <v>246</v>
      </c>
      <c r="FE1885" s="1" t="s">
        <v>386</v>
      </c>
      <c r="FF1885" s="1" t="s">
        <v>248</v>
      </c>
      <c r="FH1885" s="1" t="s">
        <v>550</v>
      </c>
      <c r="FI1885" s="1" t="s">
        <v>357</v>
      </c>
      <c r="FL1885" s="1" t="s">
        <v>358</v>
      </c>
      <c r="FM1885" s="1" t="s">
        <v>252</v>
      </c>
      <c r="FN1885" s="1" t="s">
        <v>213</v>
      </c>
      <c r="FO1885" s="1" t="s">
        <v>213</v>
      </c>
      <c r="FQ1885" s="1" t="s">
        <v>293</v>
      </c>
      <c r="FR1885" s="1" t="s">
        <v>210</v>
      </c>
      <c r="FS1885" s="1" t="s">
        <v>17433</v>
      </c>
      <c r="FT1885" s="1" t="s">
        <v>362</v>
      </c>
      <c r="FU1885" s="1" t="s">
        <v>204</v>
      </c>
      <c r="FW1885" s="1" t="s">
        <v>585</v>
      </c>
      <c r="FX1885" s="1">
        <v>6026</v>
      </c>
      <c r="FY1885" s="1" t="s">
        <v>1223</v>
      </c>
      <c r="FZ1885" s="1" t="s">
        <v>17434</v>
      </c>
      <c r="GA1885" s="1">
        <v>36042</v>
      </c>
      <c r="GB1885" s="1" t="s">
        <v>17435</v>
      </c>
      <c r="GC1885" s="1">
        <v>36568</v>
      </c>
      <c r="GD1885" s="1" t="s">
        <v>17436</v>
      </c>
      <c r="GE1885" s="1" t="s">
        <v>480</v>
      </c>
      <c r="GI1885" s="1" t="s">
        <v>213</v>
      </c>
      <c r="GJ1885" s="1" t="s">
        <v>260</v>
      </c>
      <c r="GK1885" s="1" t="s">
        <v>210</v>
      </c>
      <c r="GL1885" s="2">
        <v>42061</v>
      </c>
      <c r="GM1885" s="1" t="s">
        <v>17437</v>
      </c>
    </row>
    <row r="1886" spans="1:195">
      <c r="A1886" s="1">
        <v>72000</v>
      </c>
      <c r="B1886" s="1" t="s">
        <v>195</v>
      </c>
      <c r="C1886" s="1" t="str">
        <f>"08732804"</f>
        <v>08732804</v>
      </c>
      <c r="D1886" s="1" t="s">
        <v>196</v>
      </c>
      <c r="F1886" s="1" t="str">
        <f>"73"</f>
        <v>73</v>
      </c>
      <c r="G1886" s="2">
        <v>41901</v>
      </c>
      <c r="H1886" s="1">
        <v>75000</v>
      </c>
      <c r="I1886" s="1">
        <v>75000</v>
      </c>
      <c r="J1886" s="1">
        <v>72000</v>
      </c>
      <c r="K1886" s="2">
        <v>41901</v>
      </c>
      <c r="L1886" s="1">
        <v>19</v>
      </c>
      <c r="M1886" s="2">
        <v>41919</v>
      </c>
      <c r="N1886" s="1">
        <v>19</v>
      </c>
      <c r="O1886" s="2">
        <v>41919</v>
      </c>
      <c r="P1886" s="1">
        <v>25040</v>
      </c>
      <c r="Q1886" s="1" t="s">
        <v>197</v>
      </c>
      <c r="R1886" s="2">
        <v>42002</v>
      </c>
      <c r="S1886" s="1">
        <v>922546</v>
      </c>
      <c r="U1886" s="1">
        <v>1065</v>
      </c>
      <c r="V1886" s="1" t="s">
        <v>4022</v>
      </c>
      <c r="W1886" s="1" t="s">
        <v>264</v>
      </c>
      <c r="X1886" s="1">
        <v>3</v>
      </c>
      <c r="Y1886" s="1">
        <v>3</v>
      </c>
      <c r="Z1886" s="1" t="s">
        <v>249</v>
      </c>
      <c r="AA1886" s="1" t="s">
        <v>1027</v>
      </c>
      <c r="AB1886" s="1">
        <v>60073</v>
      </c>
      <c r="AE1886" s="1" t="s">
        <v>17438</v>
      </c>
      <c r="AF1886" s="1">
        <v>1999</v>
      </c>
      <c r="AG1886" s="1" t="s">
        <v>204</v>
      </c>
      <c r="AH1886" s="1" t="s">
        <v>1029</v>
      </c>
      <c r="AI1886" s="1" t="s">
        <v>509</v>
      </c>
      <c r="AJ1886" s="1" t="s">
        <v>1016</v>
      </c>
      <c r="AL1886" s="1">
        <v>6</v>
      </c>
      <c r="AM1886" s="1">
        <v>2</v>
      </c>
      <c r="AN1886" s="1">
        <v>2</v>
      </c>
      <c r="AO1886" s="1">
        <v>0</v>
      </c>
      <c r="AP1886" s="1" t="s">
        <v>209</v>
      </c>
      <c r="AR1886" s="1" t="s">
        <v>210</v>
      </c>
      <c r="AS1886" s="1" t="s">
        <v>204</v>
      </c>
      <c r="AT1886" s="1" t="s">
        <v>211</v>
      </c>
      <c r="AU1886" s="1">
        <v>1</v>
      </c>
      <c r="AW1886" s="1" t="s">
        <v>204</v>
      </c>
      <c r="AX1886" s="1" t="s">
        <v>212</v>
      </c>
      <c r="AZ1886" s="1">
        <v>2982.77</v>
      </c>
      <c r="BA1886" s="1">
        <v>2012</v>
      </c>
      <c r="BE1886" s="1">
        <v>1160</v>
      </c>
      <c r="BF1886" s="1">
        <v>2</v>
      </c>
      <c r="BG1886" s="1">
        <v>0</v>
      </c>
      <c r="BL1886" s="1">
        <v>175</v>
      </c>
      <c r="BM1886" s="1" t="s">
        <v>204</v>
      </c>
      <c r="BN1886" s="1" t="s">
        <v>213</v>
      </c>
      <c r="BO1886" s="1">
        <v>0</v>
      </c>
      <c r="BP1886" s="1" t="s">
        <v>204</v>
      </c>
      <c r="BR1886" s="1" t="str">
        <f>"06191030190000"</f>
        <v>06191030190000</v>
      </c>
      <c r="BT1886" s="1" t="s">
        <v>17439</v>
      </c>
      <c r="BX1886" s="1">
        <v>116</v>
      </c>
      <c r="BY1886" s="1">
        <v>116</v>
      </c>
      <c r="BZ1886" s="1">
        <v>116</v>
      </c>
      <c r="CB1886" s="1" t="str">
        <f>"34"</f>
        <v>34</v>
      </c>
      <c r="CC1886" s="1" t="str">
        <f>""</f>
        <v/>
      </c>
      <c r="CD1886" s="1">
        <v>24</v>
      </c>
      <c r="CG1886" s="1" t="s">
        <v>280</v>
      </c>
      <c r="CH1886" s="1" t="s">
        <v>277</v>
      </c>
      <c r="CK1886" s="1" t="s">
        <v>280</v>
      </c>
      <c r="CL1886" s="1" t="s">
        <v>277</v>
      </c>
      <c r="CO1886" s="1" t="s">
        <v>2982</v>
      </c>
      <c r="CP1886" s="1" t="s">
        <v>277</v>
      </c>
      <c r="CS1886" s="1" t="s">
        <v>408</v>
      </c>
      <c r="CT1886" s="1" t="s">
        <v>277</v>
      </c>
      <c r="CX1886" s="1" t="s">
        <v>224</v>
      </c>
      <c r="DB1886" s="1" t="s">
        <v>224</v>
      </c>
      <c r="DE1886" s="1" t="s">
        <v>348</v>
      </c>
      <c r="DF1886" s="1" t="s">
        <v>277</v>
      </c>
      <c r="DI1886" s="1" t="s">
        <v>280</v>
      </c>
      <c r="DJ1886" s="1" t="s">
        <v>277</v>
      </c>
      <c r="DS1886" s="1" t="s">
        <v>230</v>
      </c>
      <c r="DW1886" s="1" t="s">
        <v>230</v>
      </c>
      <c r="EA1886" s="1" t="s">
        <v>230</v>
      </c>
      <c r="EE1886" s="1" t="s">
        <v>230</v>
      </c>
      <c r="EI1886" s="1" t="s">
        <v>230</v>
      </c>
      <c r="EL1886" s="1" t="s">
        <v>466</v>
      </c>
      <c r="EM1886" s="1" t="s">
        <v>319</v>
      </c>
      <c r="EN1886" s="1" t="s">
        <v>282</v>
      </c>
      <c r="EO1886" s="1" t="s">
        <v>234</v>
      </c>
      <c r="EQ1886" s="1" t="s">
        <v>468</v>
      </c>
      <c r="ER1886" s="1" t="s">
        <v>210</v>
      </c>
      <c r="ES1886" s="1" t="s">
        <v>493</v>
      </c>
      <c r="ET1886" s="1" t="s">
        <v>842</v>
      </c>
      <c r="EV1886" s="1" t="s">
        <v>240</v>
      </c>
      <c r="EW1886" s="1" t="s">
        <v>12460</v>
      </c>
      <c r="EZ1886" s="1" t="s">
        <v>287</v>
      </c>
      <c r="FD1886" s="1" t="s">
        <v>246</v>
      </c>
      <c r="FE1886" s="1" t="s">
        <v>472</v>
      </c>
      <c r="FF1886" s="1" t="s">
        <v>248</v>
      </c>
      <c r="FH1886" s="1" t="s">
        <v>249</v>
      </c>
      <c r="FL1886" s="1" t="s">
        <v>3483</v>
      </c>
      <c r="FM1886" s="1" t="s">
        <v>252</v>
      </c>
      <c r="FN1886" s="1" t="s">
        <v>213</v>
      </c>
      <c r="FO1886" s="1" t="s">
        <v>213</v>
      </c>
      <c r="FQ1886" s="1" t="s">
        <v>17440</v>
      </c>
      <c r="FR1886" s="1" t="s">
        <v>210</v>
      </c>
      <c r="FS1886" s="1" t="s">
        <v>17441</v>
      </c>
      <c r="FT1886" s="1" t="s">
        <v>295</v>
      </c>
      <c r="FU1886" s="1" t="s">
        <v>204</v>
      </c>
      <c r="FW1886" s="1" t="s">
        <v>17442</v>
      </c>
      <c r="FX1886" s="1">
        <v>2246</v>
      </c>
      <c r="FY1886" s="1" t="s">
        <v>17443</v>
      </c>
      <c r="FZ1886" s="1" t="s">
        <v>17444</v>
      </c>
      <c r="GA1886" s="1">
        <v>241152</v>
      </c>
      <c r="GE1886" s="1" t="s">
        <v>480</v>
      </c>
      <c r="GH1886" s="1" t="s">
        <v>230</v>
      </c>
      <c r="GI1886" s="1" t="s">
        <v>213</v>
      </c>
      <c r="GJ1886" s="1" t="s">
        <v>260</v>
      </c>
      <c r="GK1886" s="1" t="s">
        <v>210</v>
      </c>
      <c r="GL1886" s="2">
        <v>42002</v>
      </c>
      <c r="GM1886" s="1" t="s">
        <v>17445</v>
      </c>
    </row>
    <row r="1887" spans="1:195">
      <c r="A1887" s="1">
        <v>48000</v>
      </c>
      <c r="B1887" s="1" t="s">
        <v>195</v>
      </c>
      <c r="C1887" s="1" t="str">
        <f>"08736244"</f>
        <v>08736244</v>
      </c>
      <c r="D1887" s="1" t="s">
        <v>196</v>
      </c>
      <c r="F1887" s="1" t="str">
        <f>"85"</f>
        <v>85</v>
      </c>
      <c r="G1887" s="2">
        <v>41906</v>
      </c>
      <c r="H1887" s="1">
        <v>74900</v>
      </c>
      <c r="I1887" s="1">
        <v>59900</v>
      </c>
      <c r="J1887" s="1">
        <v>48000</v>
      </c>
      <c r="K1887" s="2">
        <v>41906</v>
      </c>
      <c r="L1887" s="1">
        <v>144</v>
      </c>
      <c r="M1887" s="2">
        <v>42049</v>
      </c>
      <c r="N1887" s="1">
        <v>144</v>
      </c>
      <c r="O1887" s="2">
        <v>42049</v>
      </c>
      <c r="P1887" s="1">
        <v>2050</v>
      </c>
      <c r="Q1887" s="1" t="s">
        <v>302</v>
      </c>
      <c r="R1887" s="2">
        <v>42073</v>
      </c>
      <c r="S1887" s="1">
        <v>243609</v>
      </c>
      <c r="U1887" s="1">
        <v>2568</v>
      </c>
      <c r="V1887" s="1" t="s">
        <v>13518</v>
      </c>
      <c r="W1887" s="1" t="s">
        <v>304</v>
      </c>
      <c r="X1887" s="1">
        <v>3</v>
      </c>
      <c r="Y1887" s="1">
        <v>2</v>
      </c>
      <c r="Z1887" s="1" t="s">
        <v>249</v>
      </c>
      <c r="AA1887" s="1" t="s">
        <v>2507</v>
      </c>
      <c r="AB1887" s="1">
        <v>60087</v>
      </c>
      <c r="AE1887" s="1" t="s">
        <v>17446</v>
      </c>
      <c r="AF1887" s="1">
        <v>1974</v>
      </c>
      <c r="AG1887" s="1" t="s">
        <v>213</v>
      </c>
      <c r="AH1887" s="1" t="s">
        <v>2509</v>
      </c>
      <c r="AI1887" s="1" t="s">
        <v>509</v>
      </c>
      <c r="AJ1887" s="1" t="s">
        <v>2509</v>
      </c>
      <c r="AL1887" s="1">
        <v>6</v>
      </c>
      <c r="AM1887" s="1">
        <v>2</v>
      </c>
      <c r="AN1887" s="1">
        <v>1</v>
      </c>
      <c r="AO1887" s="1">
        <v>1</v>
      </c>
      <c r="AP1887" s="1" t="s">
        <v>210</v>
      </c>
      <c r="AR1887" s="1" t="s">
        <v>209</v>
      </c>
      <c r="AS1887" s="1" t="s">
        <v>213</v>
      </c>
      <c r="AT1887" s="1" t="s">
        <v>271</v>
      </c>
      <c r="AV1887" s="1">
        <v>1</v>
      </c>
      <c r="AW1887" s="1" t="s">
        <v>204</v>
      </c>
      <c r="AX1887" s="1" t="s">
        <v>212</v>
      </c>
      <c r="AZ1887" s="1">
        <v>945.81</v>
      </c>
      <c r="BA1887" s="1">
        <v>2013</v>
      </c>
      <c r="BE1887" s="1">
        <v>920</v>
      </c>
      <c r="BF1887" s="1">
        <v>1</v>
      </c>
      <c r="BG1887" s="1">
        <v>0</v>
      </c>
      <c r="BL1887" s="1">
        <v>180</v>
      </c>
      <c r="BM1887" s="1" t="s">
        <v>413</v>
      </c>
      <c r="BN1887" s="1" t="s">
        <v>213</v>
      </c>
      <c r="BO1887" s="1" t="s">
        <v>4630</v>
      </c>
      <c r="BP1887" s="1" t="s">
        <v>204</v>
      </c>
      <c r="BR1887" s="1" t="str">
        <f>"07112000410000"</f>
        <v>07112000410000</v>
      </c>
      <c r="BT1887" s="1" t="s">
        <v>17447</v>
      </c>
      <c r="BX1887" s="1">
        <v>56</v>
      </c>
      <c r="BY1887" s="1">
        <v>56</v>
      </c>
      <c r="BZ1887" s="1">
        <v>121</v>
      </c>
      <c r="CB1887" s="1" t="str">
        <f>"36"</f>
        <v>36</v>
      </c>
      <c r="CC1887" s="1" t="str">
        <f>"0"</f>
        <v>0</v>
      </c>
      <c r="CD1887" s="1">
        <v>14</v>
      </c>
      <c r="CE1887" s="1">
        <v>0</v>
      </c>
      <c r="CG1887" s="1" t="s">
        <v>2934</v>
      </c>
      <c r="CH1887" s="1" t="s">
        <v>219</v>
      </c>
      <c r="CI1887" s="1" t="s">
        <v>220</v>
      </c>
      <c r="CK1887" s="1" t="s">
        <v>836</v>
      </c>
      <c r="CL1887" s="1" t="s">
        <v>277</v>
      </c>
      <c r="CM1887" s="1" t="s">
        <v>220</v>
      </c>
      <c r="CO1887" s="1" t="s">
        <v>2031</v>
      </c>
      <c r="CP1887" s="1" t="s">
        <v>219</v>
      </c>
      <c r="CQ1887" s="1" t="s">
        <v>438</v>
      </c>
      <c r="CS1887" s="1" t="s">
        <v>2982</v>
      </c>
      <c r="CT1887" s="1" t="s">
        <v>277</v>
      </c>
      <c r="CU1887" s="1" t="s">
        <v>220</v>
      </c>
      <c r="CX1887" s="1" t="s">
        <v>224</v>
      </c>
      <c r="DB1887" s="1" t="s">
        <v>224</v>
      </c>
      <c r="DE1887" s="1" t="s">
        <v>3657</v>
      </c>
      <c r="DF1887" s="1" t="s">
        <v>219</v>
      </c>
      <c r="DG1887" s="1" t="s">
        <v>438</v>
      </c>
      <c r="DI1887" s="1" t="s">
        <v>3716</v>
      </c>
      <c r="DJ1887" s="1" t="s">
        <v>43</v>
      </c>
      <c r="DK1887" s="1" t="s">
        <v>342</v>
      </c>
      <c r="DS1887" s="1" t="s">
        <v>230</v>
      </c>
      <c r="DW1887" s="1" t="s">
        <v>230</v>
      </c>
      <c r="EA1887" s="1" t="s">
        <v>230</v>
      </c>
      <c r="EE1887" s="1" t="s">
        <v>230</v>
      </c>
      <c r="EI1887" s="1" t="s">
        <v>230</v>
      </c>
      <c r="EL1887" s="1" t="s">
        <v>605</v>
      </c>
      <c r="EM1887" s="1" t="s">
        <v>319</v>
      </c>
      <c r="EN1887" s="1" t="s">
        <v>282</v>
      </c>
      <c r="EO1887" s="1" t="s">
        <v>234</v>
      </c>
      <c r="EP1887" s="1" t="s">
        <v>4938</v>
      </c>
      <c r="ER1887" s="1" t="s">
        <v>544</v>
      </c>
      <c r="ET1887" s="1" t="s">
        <v>323</v>
      </c>
      <c r="EW1887" s="1" t="s">
        <v>347</v>
      </c>
      <c r="EZ1887" s="1" t="s">
        <v>287</v>
      </c>
      <c r="FA1887" s="1" t="s">
        <v>1554</v>
      </c>
      <c r="FD1887" s="1" t="s">
        <v>246</v>
      </c>
      <c r="FE1887" s="1" t="s">
        <v>651</v>
      </c>
      <c r="FF1887" s="1" t="s">
        <v>248</v>
      </c>
      <c r="FH1887" s="1" t="s">
        <v>550</v>
      </c>
      <c r="FK1887" s="1" t="s">
        <v>291</v>
      </c>
      <c r="FL1887" s="1" t="s">
        <v>810</v>
      </c>
      <c r="FM1887" s="1" t="s">
        <v>252</v>
      </c>
      <c r="FN1887" s="1" t="s">
        <v>213</v>
      </c>
      <c r="FO1887" s="1" t="s">
        <v>213</v>
      </c>
      <c r="FQ1887" s="1" t="s">
        <v>849</v>
      </c>
      <c r="FR1887" s="1" t="s">
        <v>210</v>
      </c>
      <c r="FS1887" s="1" t="s">
        <v>17448</v>
      </c>
      <c r="FT1887" s="1" t="s">
        <v>295</v>
      </c>
      <c r="FU1887" s="1" t="s">
        <v>204</v>
      </c>
      <c r="FW1887" s="1" t="s">
        <v>1857</v>
      </c>
      <c r="FX1887" s="1">
        <v>22993</v>
      </c>
      <c r="FY1887" s="1" t="s">
        <v>1858</v>
      </c>
      <c r="FZ1887" s="1" t="s">
        <v>17449</v>
      </c>
      <c r="GA1887" s="1">
        <v>230024</v>
      </c>
      <c r="GB1887" s="1" t="s">
        <v>17450</v>
      </c>
      <c r="GE1887" s="1" t="s">
        <v>210</v>
      </c>
      <c r="GI1887" s="1" t="s">
        <v>213</v>
      </c>
      <c r="GJ1887" s="1" t="s">
        <v>260</v>
      </c>
      <c r="GK1887" s="1" t="s">
        <v>210</v>
      </c>
      <c r="GL1887" s="2">
        <v>42074</v>
      </c>
      <c r="GM1887" s="1" t="s">
        <v>17451</v>
      </c>
    </row>
    <row r="1888" spans="1:195">
      <c r="A1888" s="1">
        <v>338000</v>
      </c>
      <c r="B1888" s="1" t="s">
        <v>195</v>
      </c>
      <c r="C1888" s="1" t="str">
        <f>"08735245"</f>
        <v>08735245</v>
      </c>
      <c r="D1888" s="1" t="s">
        <v>196</v>
      </c>
      <c r="F1888" s="1" t="str">
        <f>"523"</f>
        <v>523</v>
      </c>
      <c r="G1888" s="2">
        <v>41905</v>
      </c>
      <c r="H1888" s="1">
        <v>369000</v>
      </c>
      <c r="I1888" s="1">
        <v>355000</v>
      </c>
      <c r="J1888" s="1">
        <v>338000</v>
      </c>
      <c r="K1888" s="2">
        <v>41905</v>
      </c>
      <c r="L1888" s="1">
        <v>109</v>
      </c>
      <c r="M1888" s="2">
        <v>42013</v>
      </c>
      <c r="N1888" s="1">
        <v>109</v>
      </c>
      <c r="O1888" s="2">
        <v>42013</v>
      </c>
      <c r="P1888" s="1">
        <v>20132</v>
      </c>
      <c r="Q1888" s="1" t="s">
        <v>197</v>
      </c>
      <c r="R1888" s="2">
        <v>42041</v>
      </c>
      <c r="S1888" s="1">
        <v>243872</v>
      </c>
      <c r="U1888" s="1" t="s">
        <v>17452</v>
      </c>
      <c r="V1888" s="1" t="s">
        <v>963</v>
      </c>
      <c r="W1888" s="1" t="s">
        <v>304</v>
      </c>
      <c r="Y1888" s="1">
        <v>4</v>
      </c>
      <c r="Z1888" s="1" t="s">
        <v>370</v>
      </c>
      <c r="AA1888" s="1" t="s">
        <v>3818</v>
      </c>
      <c r="AB1888" s="1">
        <v>60523</v>
      </c>
      <c r="AE1888" s="1" t="s">
        <v>17453</v>
      </c>
      <c r="AF1888" s="1">
        <v>1979</v>
      </c>
      <c r="AG1888" s="1" t="s">
        <v>204</v>
      </c>
      <c r="AH1888" s="1" t="s">
        <v>882</v>
      </c>
      <c r="AI1888" s="1" t="s">
        <v>206</v>
      </c>
      <c r="AJ1888" s="1" t="s">
        <v>1608</v>
      </c>
      <c r="AL1888" s="1">
        <v>6</v>
      </c>
      <c r="AM1888" s="1">
        <v>2</v>
      </c>
      <c r="AN1888" s="1">
        <v>2</v>
      </c>
      <c r="AO1888" s="1">
        <v>1</v>
      </c>
      <c r="AP1888" s="1" t="s">
        <v>209</v>
      </c>
      <c r="AQ1888" s="1">
        <v>2</v>
      </c>
      <c r="AR1888" s="1" t="s">
        <v>210</v>
      </c>
      <c r="AS1888" s="1" t="s">
        <v>204</v>
      </c>
      <c r="AT1888" s="1" t="s">
        <v>211</v>
      </c>
      <c r="AU1888" s="1">
        <v>2</v>
      </c>
      <c r="AW1888" s="1" t="s">
        <v>204</v>
      </c>
      <c r="AX1888" s="1" t="s">
        <v>212</v>
      </c>
      <c r="AZ1888" s="1">
        <v>4532.67</v>
      </c>
      <c r="BA1888" s="1">
        <v>2013</v>
      </c>
      <c r="BE1888" s="1">
        <v>0</v>
      </c>
      <c r="BF1888" s="1">
        <v>2</v>
      </c>
      <c r="BG1888" s="1">
        <v>30</v>
      </c>
      <c r="BL1888" s="1">
        <v>306</v>
      </c>
      <c r="BM1888" s="1" t="s">
        <v>204</v>
      </c>
      <c r="BN1888" s="1" t="s">
        <v>213</v>
      </c>
      <c r="BO1888" s="1" t="s">
        <v>6360</v>
      </c>
      <c r="BP1888" s="1" t="s">
        <v>204</v>
      </c>
      <c r="BR1888" s="1" t="str">
        <f>"0629412040"</f>
        <v>0629412040</v>
      </c>
      <c r="BT1888" s="1" t="s">
        <v>17454</v>
      </c>
      <c r="BU1888" s="1" t="s">
        <v>9484</v>
      </c>
      <c r="BV1888" s="1" t="s">
        <v>2761</v>
      </c>
      <c r="BW1888" s="1" t="s">
        <v>2762</v>
      </c>
      <c r="BX1888" s="1">
        <v>58</v>
      </c>
      <c r="BY1888" s="1">
        <v>58</v>
      </c>
      <c r="BZ1888" s="1">
        <v>99</v>
      </c>
      <c r="CB1888" s="1" t="str">
        <f t="shared" ref="CB1888:CC1888" si="1435">""</f>
        <v/>
      </c>
      <c r="CC1888" s="1" t="str">
        <f t="shared" si="1435"/>
        <v/>
      </c>
      <c r="CG1888" s="1" t="s">
        <v>6499</v>
      </c>
      <c r="CH1888" s="1" t="s">
        <v>219</v>
      </c>
      <c r="CI1888" s="1" t="s">
        <v>438</v>
      </c>
      <c r="CJ1888" s="1" t="s">
        <v>463</v>
      </c>
      <c r="CK1888" s="1" t="s">
        <v>729</v>
      </c>
      <c r="CL1888" s="1" t="s">
        <v>277</v>
      </c>
      <c r="CM1888" s="1" t="s">
        <v>438</v>
      </c>
      <c r="CN1888" s="1" t="s">
        <v>343</v>
      </c>
      <c r="CO1888" s="1" t="s">
        <v>1358</v>
      </c>
      <c r="CP1888" s="1" t="s">
        <v>219</v>
      </c>
      <c r="CQ1888" s="1" t="s">
        <v>438</v>
      </c>
      <c r="CR1888" s="1" t="s">
        <v>210</v>
      </c>
      <c r="CS1888" s="1" t="s">
        <v>317</v>
      </c>
      <c r="CT1888" s="1" t="s">
        <v>277</v>
      </c>
      <c r="CU1888" s="1" t="s">
        <v>438</v>
      </c>
      <c r="CV1888" s="1" t="s">
        <v>343</v>
      </c>
      <c r="CX1888" s="1" t="s">
        <v>224</v>
      </c>
      <c r="DB1888" s="1" t="s">
        <v>224</v>
      </c>
      <c r="DE1888" s="1" t="s">
        <v>380</v>
      </c>
      <c r="DF1888" s="1" t="s">
        <v>219</v>
      </c>
      <c r="DG1888" s="1" t="s">
        <v>438</v>
      </c>
      <c r="DH1888" s="1" t="s">
        <v>343</v>
      </c>
      <c r="DI1888" s="1" t="s">
        <v>17455</v>
      </c>
      <c r="DJ1888" s="1" t="s">
        <v>822</v>
      </c>
      <c r="DK1888" s="1" t="s">
        <v>438</v>
      </c>
      <c r="DL1888" s="1" t="s">
        <v>463</v>
      </c>
      <c r="DS1888" s="1" t="s">
        <v>230</v>
      </c>
      <c r="DW1888" s="1" t="s">
        <v>230</v>
      </c>
      <c r="EA1888" s="1" t="s">
        <v>230</v>
      </c>
      <c r="EE1888" s="1" t="s">
        <v>230</v>
      </c>
      <c r="EI1888" s="1" t="s">
        <v>230</v>
      </c>
      <c r="EL1888" s="1" t="s">
        <v>231</v>
      </c>
      <c r="EM1888" s="1" t="s">
        <v>232</v>
      </c>
      <c r="EN1888" s="1" t="s">
        <v>282</v>
      </c>
      <c r="EO1888" s="1" t="s">
        <v>234</v>
      </c>
      <c r="EQ1888" s="1" t="s">
        <v>1109</v>
      </c>
      <c r="ER1888" s="1" t="s">
        <v>210</v>
      </c>
      <c r="ES1888" s="1" t="s">
        <v>824</v>
      </c>
      <c r="ET1888" s="1" t="s">
        <v>1201</v>
      </c>
      <c r="EU1888" s="1" t="s">
        <v>1110</v>
      </c>
      <c r="EV1888" s="1" t="s">
        <v>240</v>
      </c>
      <c r="EW1888" s="1" t="s">
        <v>887</v>
      </c>
      <c r="EY1888" s="1" t="s">
        <v>1315</v>
      </c>
      <c r="EZ1888" s="1" t="s">
        <v>287</v>
      </c>
      <c r="FB1888" s="1" t="s">
        <v>289</v>
      </c>
      <c r="FC1888" s="1" t="s">
        <v>1405</v>
      </c>
      <c r="FD1888" s="1" t="s">
        <v>246</v>
      </c>
      <c r="FE1888" s="1" t="s">
        <v>247</v>
      </c>
      <c r="FF1888" s="1" t="s">
        <v>248</v>
      </c>
      <c r="FG1888" s="1" t="s">
        <v>912</v>
      </c>
      <c r="FH1888" s="1" t="s">
        <v>2175</v>
      </c>
      <c r="FI1888" s="1" t="s">
        <v>3300</v>
      </c>
      <c r="FL1888" s="1" t="s">
        <v>358</v>
      </c>
      <c r="FM1888" s="1" t="s">
        <v>252</v>
      </c>
      <c r="FN1888" s="1" t="s">
        <v>213</v>
      </c>
      <c r="FO1888" s="1" t="s">
        <v>213</v>
      </c>
      <c r="FQ1888" s="1" t="s">
        <v>956</v>
      </c>
      <c r="FR1888" s="1" t="s">
        <v>210</v>
      </c>
      <c r="FS1888" s="1" t="s">
        <v>17456</v>
      </c>
      <c r="FT1888" s="1" t="s">
        <v>362</v>
      </c>
      <c r="FU1888" s="1" t="s">
        <v>204</v>
      </c>
      <c r="FW1888" s="1" t="s">
        <v>915</v>
      </c>
      <c r="FX1888" s="1">
        <v>22076</v>
      </c>
      <c r="FY1888" s="1" t="s">
        <v>916</v>
      </c>
      <c r="FZ1888" s="1" t="s">
        <v>17457</v>
      </c>
      <c r="GA1888" s="1">
        <v>235899</v>
      </c>
      <c r="GB1888" s="1" t="s">
        <v>17458</v>
      </c>
      <c r="GE1888" s="1" t="s">
        <v>776</v>
      </c>
      <c r="GI1888" s="1" t="s">
        <v>213</v>
      </c>
      <c r="GJ1888" s="1" t="s">
        <v>260</v>
      </c>
      <c r="GK1888" s="1" t="s">
        <v>1413</v>
      </c>
      <c r="GL1888" s="2">
        <v>42041</v>
      </c>
      <c r="GM1888" s="1" t="s">
        <v>17459</v>
      </c>
    </row>
    <row r="1889" spans="1:195">
      <c r="A1889" s="1">
        <v>93000</v>
      </c>
      <c r="B1889" s="1" t="s">
        <v>195</v>
      </c>
      <c r="C1889" s="1" t="str">
        <f>"08735610"</f>
        <v>08735610</v>
      </c>
      <c r="D1889" s="1" t="s">
        <v>196</v>
      </c>
      <c r="F1889" s="1" t="str">
        <f>"85"</f>
        <v>85</v>
      </c>
      <c r="G1889" s="2">
        <v>41905</v>
      </c>
      <c r="H1889" s="1">
        <v>107000</v>
      </c>
      <c r="I1889" s="1">
        <v>107000</v>
      </c>
      <c r="J1889" s="1">
        <v>93000</v>
      </c>
      <c r="K1889" s="2">
        <v>41905</v>
      </c>
      <c r="L1889" s="1">
        <v>24</v>
      </c>
      <c r="M1889" s="2">
        <v>41928</v>
      </c>
      <c r="N1889" s="1">
        <v>24</v>
      </c>
      <c r="O1889" s="2">
        <v>41928</v>
      </c>
      <c r="P1889" s="1">
        <v>25211</v>
      </c>
      <c r="Q1889" s="1" t="s">
        <v>197</v>
      </c>
      <c r="R1889" s="2">
        <v>41997</v>
      </c>
      <c r="S1889" s="1">
        <v>242691</v>
      </c>
      <c r="T1889" s="1">
        <v>3900</v>
      </c>
      <c r="U1889" s="1">
        <v>4441</v>
      </c>
      <c r="V1889" s="1" t="s">
        <v>15575</v>
      </c>
      <c r="W1889" s="1" t="s">
        <v>3006</v>
      </c>
      <c r="Y1889" s="1">
        <v>4</v>
      </c>
      <c r="Z1889" s="1" t="s">
        <v>370</v>
      </c>
      <c r="AA1889" s="1" t="s">
        <v>2507</v>
      </c>
      <c r="AB1889" s="1">
        <v>60085</v>
      </c>
      <c r="AE1889" s="1" t="s">
        <v>17460</v>
      </c>
      <c r="AF1889" s="1">
        <v>1995</v>
      </c>
      <c r="AG1889" s="1" t="s">
        <v>204</v>
      </c>
      <c r="AH1889" s="1" t="s">
        <v>2509</v>
      </c>
      <c r="AI1889" s="1" t="s">
        <v>509</v>
      </c>
      <c r="AJ1889" s="1" t="s">
        <v>1061</v>
      </c>
      <c r="AL1889" s="1">
        <v>4</v>
      </c>
      <c r="AM1889" s="1">
        <v>2</v>
      </c>
      <c r="AN1889" s="1">
        <v>1</v>
      </c>
      <c r="AO1889" s="1">
        <v>1</v>
      </c>
      <c r="AP1889" s="1" t="s">
        <v>210</v>
      </c>
      <c r="AR1889" s="1" t="s">
        <v>210</v>
      </c>
      <c r="AS1889" s="1" t="s">
        <v>204</v>
      </c>
      <c r="AT1889" s="1" t="s">
        <v>211</v>
      </c>
      <c r="AU1889" s="1">
        <v>1</v>
      </c>
      <c r="AW1889" s="1" t="s">
        <v>204</v>
      </c>
      <c r="AX1889" s="1" t="s">
        <v>212</v>
      </c>
      <c r="AZ1889" s="1">
        <v>4489</v>
      </c>
      <c r="BA1889" s="1">
        <v>2012</v>
      </c>
      <c r="BE1889" s="1">
        <v>1205</v>
      </c>
      <c r="BF1889" s="1">
        <v>1</v>
      </c>
      <c r="BG1889" s="1">
        <v>0</v>
      </c>
      <c r="BL1889" s="1">
        <v>166</v>
      </c>
      <c r="BM1889" s="1" t="s">
        <v>204</v>
      </c>
      <c r="BN1889" s="1" t="s">
        <v>213</v>
      </c>
      <c r="BO1889" s="1">
        <v>999</v>
      </c>
      <c r="BP1889" s="1" t="s">
        <v>204</v>
      </c>
      <c r="BR1889" s="1" t="str">
        <f>"07352070800000"</f>
        <v>07352070800000</v>
      </c>
      <c r="BT1889" s="1" t="s">
        <v>17461</v>
      </c>
      <c r="BX1889" s="1">
        <v>50</v>
      </c>
      <c r="BY1889" s="1">
        <v>50</v>
      </c>
      <c r="BZ1889" s="1">
        <v>121</v>
      </c>
      <c r="CB1889" s="1" t="str">
        <f t="shared" ref="CB1889:CC1889" si="1436">""</f>
        <v/>
      </c>
      <c r="CC1889" s="1" t="str">
        <f t="shared" si="1436"/>
        <v/>
      </c>
      <c r="CG1889" s="1" t="s">
        <v>2511</v>
      </c>
      <c r="CH1889" s="1" t="s">
        <v>219</v>
      </c>
      <c r="CK1889" s="1" t="s">
        <v>757</v>
      </c>
      <c r="CL1889" s="1" t="s">
        <v>277</v>
      </c>
      <c r="CP1889" s="1" t="s">
        <v>224</v>
      </c>
      <c r="CS1889" s="1" t="s">
        <v>465</v>
      </c>
      <c r="CT1889" s="1" t="s">
        <v>277</v>
      </c>
      <c r="CX1889" s="1" t="s">
        <v>224</v>
      </c>
      <c r="DB1889" s="1" t="s">
        <v>224</v>
      </c>
      <c r="DE1889" s="1" t="s">
        <v>346</v>
      </c>
      <c r="DF1889" s="1" t="s">
        <v>219</v>
      </c>
      <c r="DJ1889" s="1" t="s">
        <v>224</v>
      </c>
      <c r="DS1889" s="1" t="s">
        <v>230</v>
      </c>
      <c r="DW1889" s="1" t="s">
        <v>230</v>
      </c>
      <c r="EA1889" s="1" t="s">
        <v>230</v>
      </c>
      <c r="EE1889" s="1" t="s">
        <v>230</v>
      </c>
      <c r="EI1889" s="1" t="s">
        <v>230</v>
      </c>
      <c r="EL1889" s="1" t="s">
        <v>670</v>
      </c>
      <c r="EM1889" s="1" t="s">
        <v>319</v>
      </c>
      <c r="EN1889" s="1" t="s">
        <v>282</v>
      </c>
      <c r="EO1889" s="1" t="s">
        <v>234</v>
      </c>
      <c r="ER1889" s="1" t="s">
        <v>210</v>
      </c>
      <c r="EW1889" s="1" t="s">
        <v>353</v>
      </c>
      <c r="EZ1889" s="1" t="s">
        <v>287</v>
      </c>
      <c r="FD1889" s="1" t="s">
        <v>246</v>
      </c>
      <c r="FE1889" s="1" t="s">
        <v>355</v>
      </c>
      <c r="FF1889" s="1" t="s">
        <v>248</v>
      </c>
      <c r="FH1889" s="1" t="s">
        <v>550</v>
      </c>
      <c r="FL1889" s="1" t="s">
        <v>358</v>
      </c>
      <c r="FM1889" s="1" t="s">
        <v>252</v>
      </c>
      <c r="FN1889" s="1" t="s">
        <v>213</v>
      </c>
      <c r="FO1889" s="1" t="s">
        <v>213</v>
      </c>
      <c r="FQ1889" s="1" t="s">
        <v>582</v>
      </c>
      <c r="FR1889" s="1" t="s">
        <v>210</v>
      </c>
      <c r="FS1889" s="1" t="s">
        <v>1805</v>
      </c>
      <c r="FT1889" s="1" t="s">
        <v>584</v>
      </c>
      <c r="FU1889" s="1" t="s">
        <v>204</v>
      </c>
      <c r="FW1889" s="1" t="s">
        <v>1806</v>
      </c>
      <c r="FX1889" s="1">
        <v>25196</v>
      </c>
      <c r="FY1889" s="1" t="s">
        <v>1807</v>
      </c>
      <c r="FZ1889" s="1" t="s">
        <v>1808</v>
      </c>
      <c r="GA1889" s="1">
        <v>214545</v>
      </c>
      <c r="GB1889" s="1" t="s">
        <v>1807</v>
      </c>
      <c r="GC1889" s="1">
        <v>240114</v>
      </c>
      <c r="GE1889" s="1" t="s">
        <v>480</v>
      </c>
      <c r="GH1889" s="1" t="s">
        <v>589</v>
      </c>
      <c r="GI1889" s="1" t="s">
        <v>213</v>
      </c>
      <c r="GJ1889" s="1" t="s">
        <v>260</v>
      </c>
      <c r="GK1889" s="1" t="s">
        <v>210</v>
      </c>
      <c r="GL1889" s="2">
        <v>41997</v>
      </c>
      <c r="GM1889" s="1" t="s">
        <v>15791</v>
      </c>
    </row>
    <row r="1890" spans="1:195">
      <c r="A1890" s="1">
        <v>75500</v>
      </c>
      <c r="B1890" s="1" t="s">
        <v>195</v>
      </c>
      <c r="C1890" s="1" t="str">
        <f>"08818242"</f>
        <v>08818242</v>
      </c>
      <c r="D1890" s="1" t="s">
        <v>196</v>
      </c>
      <c r="F1890" s="1" t="str">
        <f>"514"</f>
        <v>514</v>
      </c>
      <c r="G1890" s="2">
        <v>42020</v>
      </c>
      <c r="H1890" s="1">
        <v>84900</v>
      </c>
      <c r="I1890" s="1">
        <v>74900</v>
      </c>
      <c r="J1890" s="1">
        <v>75500</v>
      </c>
      <c r="K1890" s="2">
        <v>42020</v>
      </c>
      <c r="L1890" s="1">
        <v>88</v>
      </c>
      <c r="M1890" s="2">
        <v>42107</v>
      </c>
      <c r="N1890" s="1">
        <v>88</v>
      </c>
      <c r="O1890" s="2">
        <v>42107</v>
      </c>
      <c r="P1890" s="1">
        <v>22005</v>
      </c>
      <c r="Q1890" s="1" t="s">
        <v>197</v>
      </c>
      <c r="R1890" s="2">
        <v>42150</v>
      </c>
      <c r="S1890" s="1">
        <v>236912</v>
      </c>
      <c r="U1890" s="1">
        <v>531</v>
      </c>
      <c r="V1890" s="1" t="s">
        <v>17462</v>
      </c>
      <c r="W1890" s="1" t="s">
        <v>264</v>
      </c>
      <c r="X1890" s="1">
        <v>8</v>
      </c>
      <c r="Y1890" s="1">
        <v>17</v>
      </c>
      <c r="Z1890" s="1" t="s">
        <v>249</v>
      </c>
      <c r="AA1890" s="1" t="s">
        <v>2691</v>
      </c>
      <c r="AB1890" s="1">
        <v>60514</v>
      </c>
      <c r="AC1890" s="1">
        <v>1653</v>
      </c>
      <c r="AD1890" s="1" t="s">
        <v>17463</v>
      </c>
      <c r="AE1890" s="1" t="s">
        <v>17464</v>
      </c>
      <c r="AF1890" s="1">
        <v>1966</v>
      </c>
      <c r="AG1890" s="1" t="s">
        <v>213</v>
      </c>
      <c r="AH1890" s="1" t="s">
        <v>2693</v>
      </c>
      <c r="AI1890" s="1" t="s">
        <v>206</v>
      </c>
      <c r="AJ1890" s="1" t="s">
        <v>903</v>
      </c>
      <c r="AL1890" s="1">
        <v>5</v>
      </c>
      <c r="AM1890" s="1">
        <v>2</v>
      </c>
      <c r="AN1890" s="1">
        <v>1</v>
      </c>
      <c r="AO1890" s="1">
        <v>1</v>
      </c>
      <c r="AP1890" s="1" t="s">
        <v>1234</v>
      </c>
      <c r="AR1890" s="1" t="s">
        <v>210</v>
      </c>
      <c r="AS1890" s="1" t="s">
        <v>204</v>
      </c>
      <c r="AT1890" s="1" t="s">
        <v>271</v>
      </c>
      <c r="AV1890" s="1">
        <v>2</v>
      </c>
      <c r="AW1890" s="1" t="s">
        <v>204</v>
      </c>
      <c r="AX1890" s="1" t="s">
        <v>212</v>
      </c>
      <c r="AZ1890" s="1">
        <v>702.4</v>
      </c>
      <c r="BA1890" s="1">
        <v>2013</v>
      </c>
      <c r="BB1890" s="1" t="s">
        <v>405</v>
      </c>
      <c r="BE1890" s="1">
        <v>1100</v>
      </c>
      <c r="BF1890" s="1">
        <v>2</v>
      </c>
      <c r="BG1890" s="1">
        <v>0</v>
      </c>
      <c r="BL1890" s="1">
        <v>297</v>
      </c>
      <c r="BM1890" s="1" t="s">
        <v>204</v>
      </c>
      <c r="BN1890" s="1" t="s">
        <v>213</v>
      </c>
      <c r="BO1890" s="1">
        <v>45</v>
      </c>
      <c r="BP1890" s="1" t="s">
        <v>204</v>
      </c>
      <c r="BR1890" s="1" t="str">
        <f>"0914122134"</f>
        <v>0914122134</v>
      </c>
      <c r="BT1890" s="1" t="s">
        <v>17465</v>
      </c>
      <c r="BX1890" s="1">
        <v>60</v>
      </c>
      <c r="BY1890" s="1">
        <v>60</v>
      </c>
      <c r="BZ1890" s="1">
        <v>86</v>
      </c>
      <c r="CB1890" s="1" t="str">
        <f t="shared" ref="CB1890:CC1890" si="1437">""</f>
        <v/>
      </c>
      <c r="CC1890" s="1" t="str">
        <f t="shared" si="1437"/>
        <v/>
      </c>
      <c r="CG1890" s="1" t="s">
        <v>6628</v>
      </c>
      <c r="CH1890" s="1" t="s">
        <v>219</v>
      </c>
      <c r="CK1890" s="1" t="s">
        <v>3591</v>
      </c>
      <c r="CL1890" s="1" t="s">
        <v>219</v>
      </c>
      <c r="CO1890" s="1" t="s">
        <v>348</v>
      </c>
      <c r="CP1890" s="1" t="s">
        <v>219</v>
      </c>
      <c r="CS1890" s="1" t="s">
        <v>408</v>
      </c>
      <c r="CT1890" s="1" t="s">
        <v>219</v>
      </c>
      <c r="CX1890" s="1" t="s">
        <v>224</v>
      </c>
      <c r="DB1890" s="1" t="s">
        <v>224</v>
      </c>
      <c r="DE1890" s="1" t="s">
        <v>407</v>
      </c>
      <c r="DF1890" s="1" t="s">
        <v>219</v>
      </c>
      <c r="DJ1890" s="1" t="s">
        <v>224</v>
      </c>
      <c r="DS1890" s="1" t="s">
        <v>230</v>
      </c>
      <c r="DW1890" s="1" t="s">
        <v>230</v>
      </c>
      <c r="EA1890" s="1" t="s">
        <v>230</v>
      </c>
      <c r="EE1890" s="1" t="s">
        <v>230</v>
      </c>
      <c r="EI1890" s="1" t="s">
        <v>230</v>
      </c>
      <c r="EL1890" s="1" t="s">
        <v>605</v>
      </c>
      <c r="EM1890" s="1" t="s">
        <v>232</v>
      </c>
      <c r="EN1890" s="1" t="s">
        <v>210</v>
      </c>
      <c r="EO1890" s="1" t="s">
        <v>234</v>
      </c>
      <c r="EP1890" s="1" t="s">
        <v>4323</v>
      </c>
      <c r="ER1890" s="1" t="s">
        <v>210</v>
      </c>
      <c r="EW1890" s="1" t="s">
        <v>15257</v>
      </c>
      <c r="EZ1890" s="1" t="s">
        <v>287</v>
      </c>
      <c r="FA1890" s="1" t="s">
        <v>1427</v>
      </c>
      <c r="FB1890" s="1" t="s">
        <v>1505</v>
      </c>
      <c r="FD1890" s="1" t="s">
        <v>290</v>
      </c>
      <c r="FE1890" s="1" t="s">
        <v>247</v>
      </c>
      <c r="FF1890" s="1" t="s">
        <v>248</v>
      </c>
      <c r="FH1890" s="1" t="s">
        <v>249</v>
      </c>
      <c r="FK1890" s="1" t="s">
        <v>291</v>
      </c>
      <c r="FL1890" s="1" t="s">
        <v>1164</v>
      </c>
      <c r="FM1890" s="1" t="s">
        <v>252</v>
      </c>
      <c r="FN1890" s="1" t="s">
        <v>213</v>
      </c>
      <c r="FO1890" s="1" t="s">
        <v>213</v>
      </c>
      <c r="FQ1890" s="1" t="s">
        <v>582</v>
      </c>
      <c r="FR1890" s="1" t="s">
        <v>210</v>
      </c>
      <c r="FS1890" s="1" t="s">
        <v>3751</v>
      </c>
      <c r="FT1890" s="1" t="s">
        <v>1828</v>
      </c>
      <c r="FU1890" s="1" t="s">
        <v>204</v>
      </c>
      <c r="FW1890" s="1" t="s">
        <v>3752</v>
      </c>
      <c r="FX1890" s="1">
        <v>24569</v>
      </c>
      <c r="FY1890" s="1" t="s">
        <v>3753</v>
      </c>
      <c r="FZ1890" s="1" t="s">
        <v>3754</v>
      </c>
      <c r="GA1890" s="1">
        <v>236309</v>
      </c>
      <c r="GC1890" s="1">
        <v>236310</v>
      </c>
      <c r="GE1890" s="1" t="s">
        <v>210</v>
      </c>
      <c r="GI1890" s="1" t="s">
        <v>204</v>
      </c>
      <c r="GJ1890" s="1" t="s">
        <v>260</v>
      </c>
      <c r="GK1890" s="1" t="s">
        <v>210</v>
      </c>
      <c r="GL1890" s="2">
        <v>42150</v>
      </c>
      <c r="GM1890" s="1" t="s">
        <v>17466</v>
      </c>
    </row>
    <row r="1891" spans="1:195">
      <c r="A1891" s="1">
        <v>112000</v>
      </c>
      <c r="B1891" s="1" t="s">
        <v>195</v>
      </c>
      <c r="C1891" s="1" t="str">
        <f>"08737282"</f>
        <v>08737282</v>
      </c>
      <c r="D1891" s="1" t="s">
        <v>196</v>
      </c>
      <c r="F1891" s="1" t="str">
        <f>"108"</f>
        <v>108</v>
      </c>
      <c r="G1891" s="2">
        <v>41907</v>
      </c>
      <c r="H1891" s="1">
        <v>88000</v>
      </c>
      <c r="I1891" s="1">
        <v>88000</v>
      </c>
      <c r="J1891" s="1">
        <v>112000</v>
      </c>
      <c r="K1891" s="2">
        <v>41907</v>
      </c>
      <c r="L1891" s="1">
        <v>257</v>
      </c>
      <c r="M1891" s="2">
        <v>41918</v>
      </c>
      <c r="N1891" s="1">
        <v>12</v>
      </c>
      <c r="O1891" s="2">
        <v>41918</v>
      </c>
      <c r="P1891" s="1">
        <v>3940</v>
      </c>
      <c r="Q1891" s="1" t="s">
        <v>197</v>
      </c>
      <c r="R1891" s="2">
        <v>41969</v>
      </c>
      <c r="S1891" s="1">
        <v>40152</v>
      </c>
      <c r="T1891" s="1">
        <v>2700</v>
      </c>
      <c r="U1891" s="1">
        <v>1</v>
      </c>
      <c r="V1891" s="1" t="s">
        <v>829</v>
      </c>
      <c r="W1891" s="1" t="s">
        <v>779</v>
      </c>
      <c r="X1891" s="1">
        <v>808</v>
      </c>
      <c r="Y1891" s="1">
        <v>170</v>
      </c>
      <c r="Z1891" s="1" t="s">
        <v>249</v>
      </c>
      <c r="AA1891" s="1" t="s">
        <v>829</v>
      </c>
      <c r="AB1891" s="1">
        <v>60108</v>
      </c>
      <c r="AD1891" s="1" t="s">
        <v>17467</v>
      </c>
      <c r="AE1891" s="1" t="s">
        <v>17468</v>
      </c>
      <c r="AF1891" s="1">
        <v>1988</v>
      </c>
      <c r="AG1891" s="1" t="s">
        <v>204</v>
      </c>
      <c r="AH1891" s="1" t="s">
        <v>269</v>
      </c>
      <c r="AI1891" s="1" t="s">
        <v>206</v>
      </c>
      <c r="AJ1891" s="1" t="s">
        <v>269</v>
      </c>
      <c r="AL1891" s="1">
        <v>5</v>
      </c>
      <c r="AM1891" s="1">
        <v>2</v>
      </c>
      <c r="AN1891" s="1">
        <v>2</v>
      </c>
      <c r="AO1891" s="1">
        <v>0</v>
      </c>
      <c r="AP1891" s="1" t="s">
        <v>209</v>
      </c>
      <c r="AQ1891" s="1">
        <v>1</v>
      </c>
      <c r="AR1891" s="1" t="s">
        <v>210</v>
      </c>
      <c r="AS1891" s="1" t="s">
        <v>204</v>
      </c>
      <c r="AT1891" s="1" t="s">
        <v>211</v>
      </c>
      <c r="AU1891" s="1">
        <v>2</v>
      </c>
      <c r="AW1891" s="1" t="s">
        <v>204</v>
      </c>
      <c r="AX1891" s="1" t="s">
        <v>212</v>
      </c>
      <c r="AZ1891" s="1">
        <v>3361.5</v>
      </c>
      <c r="BA1891" s="1">
        <v>2012</v>
      </c>
      <c r="BE1891" s="1">
        <v>950</v>
      </c>
      <c r="BF1891" s="1">
        <v>8</v>
      </c>
      <c r="BG1891" s="1">
        <v>0</v>
      </c>
      <c r="BL1891" s="1">
        <v>420</v>
      </c>
      <c r="BM1891" s="1" t="s">
        <v>204</v>
      </c>
      <c r="BN1891" s="1" t="s">
        <v>213</v>
      </c>
      <c r="BP1891" s="1" t="s">
        <v>204</v>
      </c>
      <c r="BR1891" s="1" t="str">
        <f>"0216220157"</f>
        <v>0216220157</v>
      </c>
      <c r="BT1891" s="1" t="s">
        <v>17469</v>
      </c>
      <c r="BX1891" s="1">
        <v>13</v>
      </c>
      <c r="BY1891" s="1">
        <v>13</v>
      </c>
      <c r="BZ1891" s="1">
        <v>108</v>
      </c>
      <c r="CB1891" s="1" t="str">
        <f t="shared" ref="CB1891:CC1891" si="1438">""</f>
        <v/>
      </c>
      <c r="CC1891" s="1" t="str">
        <f t="shared" si="1438"/>
        <v/>
      </c>
      <c r="CG1891" s="1" t="s">
        <v>377</v>
      </c>
      <c r="CH1891" s="1" t="s">
        <v>219</v>
      </c>
      <c r="CI1891" s="1" t="s">
        <v>220</v>
      </c>
      <c r="CK1891" s="1" t="s">
        <v>280</v>
      </c>
      <c r="CL1891" s="1" t="s">
        <v>219</v>
      </c>
      <c r="CM1891" s="1" t="s">
        <v>220</v>
      </c>
      <c r="CO1891" s="1" t="s">
        <v>348</v>
      </c>
      <c r="CP1891" s="1" t="s">
        <v>219</v>
      </c>
      <c r="CQ1891" s="1" t="s">
        <v>220</v>
      </c>
      <c r="CS1891" s="1" t="s">
        <v>318</v>
      </c>
      <c r="CT1891" s="1" t="s">
        <v>219</v>
      </c>
      <c r="CU1891" s="1" t="s">
        <v>220</v>
      </c>
      <c r="CX1891" s="1" t="s">
        <v>224</v>
      </c>
      <c r="DB1891" s="1" t="s">
        <v>224</v>
      </c>
      <c r="DE1891" s="1" t="s">
        <v>2031</v>
      </c>
      <c r="DF1891" s="1" t="s">
        <v>219</v>
      </c>
      <c r="DG1891" s="1" t="s">
        <v>342</v>
      </c>
      <c r="DJ1891" s="1" t="s">
        <v>224</v>
      </c>
      <c r="DS1891" s="1" t="s">
        <v>230</v>
      </c>
      <c r="DW1891" s="1" t="s">
        <v>230</v>
      </c>
      <c r="EA1891" s="1" t="s">
        <v>230</v>
      </c>
      <c r="EE1891" s="1" t="s">
        <v>230</v>
      </c>
      <c r="EI1891" s="1" t="s">
        <v>230</v>
      </c>
      <c r="EL1891" s="1" t="s">
        <v>542</v>
      </c>
      <c r="EM1891" s="1" t="s">
        <v>319</v>
      </c>
      <c r="EN1891" s="1" t="s">
        <v>282</v>
      </c>
      <c r="EO1891" s="1" t="s">
        <v>234</v>
      </c>
      <c r="EP1891" s="1" t="s">
        <v>17470</v>
      </c>
      <c r="ER1891" s="1" t="s">
        <v>210</v>
      </c>
      <c r="EU1891" s="1" t="s">
        <v>239</v>
      </c>
      <c r="EV1891" s="1" t="s">
        <v>240</v>
      </c>
      <c r="EW1891" s="1" t="s">
        <v>16725</v>
      </c>
      <c r="EZ1891" s="1" t="s">
        <v>287</v>
      </c>
      <c r="FA1891" s="1" t="s">
        <v>1048</v>
      </c>
      <c r="FD1891" s="1" t="s">
        <v>736</v>
      </c>
      <c r="FE1891" s="1" t="s">
        <v>247</v>
      </c>
      <c r="FF1891" s="1" t="s">
        <v>248</v>
      </c>
      <c r="FH1891" s="1" t="s">
        <v>249</v>
      </c>
      <c r="FJ1891" s="1" t="s">
        <v>423</v>
      </c>
      <c r="FL1891" s="1" t="s">
        <v>358</v>
      </c>
      <c r="FM1891" s="1" t="s">
        <v>252</v>
      </c>
      <c r="FN1891" s="1" t="s">
        <v>213</v>
      </c>
      <c r="FO1891" s="1" t="s">
        <v>213</v>
      </c>
      <c r="FQ1891" s="1" t="s">
        <v>689</v>
      </c>
      <c r="FR1891" s="1" t="s">
        <v>652</v>
      </c>
      <c r="FS1891" s="1" t="s">
        <v>1856</v>
      </c>
      <c r="FT1891" s="1" t="s">
        <v>654</v>
      </c>
      <c r="FU1891" s="1" t="s">
        <v>204</v>
      </c>
      <c r="FW1891" s="1" t="s">
        <v>1857</v>
      </c>
      <c r="FX1891" s="1">
        <v>22993</v>
      </c>
      <c r="FY1891" s="1" t="s">
        <v>1858</v>
      </c>
      <c r="FZ1891" s="1" t="s">
        <v>1859</v>
      </c>
      <c r="GA1891" s="1">
        <v>233401</v>
      </c>
      <c r="GB1891" s="1" t="s">
        <v>1858</v>
      </c>
      <c r="GD1891" s="1" t="s">
        <v>1860</v>
      </c>
      <c r="GE1891" s="1" t="s">
        <v>210</v>
      </c>
      <c r="GI1891" s="1" t="s">
        <v>213</v>
      </c>
      <c r="GJ1891" s="1" t="s">
        <v>260</v>
      </c>
      <c r="GK1891" s="1" t="s">
        <v>210</v>
      </c>
      <c r="GL1891" s="2">
        <v>41969</v>
      </c>
      <c r="GM1891" s="1" t="s">
        <v>17471</v>
      </c>
    </row>
    <row r="1892" spans="1:195">
      <c r="A1892" s="1">
        <v>212500</v>
      </c>
      <c r="B1892" s="1" t="s">
        <v>195</v>
      </c>
      <c r="C1892" s="1" t="str">
        <f>"08737112"</f>
        <v>08737112</v>
      </c>
      <c r="D1892" s="1" t="s">
        <v>196</v>
      </c>
      <c r="F1892" s="1" t="str">
        <f>"148"</f>
        <v>148</v>
      </c>
      <c r="G1892" s="2">
        <v>41906</v>
      </c>
      <c r="H1892" s="1">
        <v>225000</v>
      </c>
      <c r="I1892" s="1">
        <v>224500</v>
      </c>
      <c r="J1892" s="1">
        <v>212500</v>
      </c>
      <c r="K1892" s="2">
        <v>41906</v>
      </c>
      <c r="L1892" s="1">
        <v>136</v>
      </c>
      <c r="M1892" s="2">
        <v>41949</v>
      </c>
      <c r="N1892" s="1">
        <v>44</v>
      </c>
      <c r="O1892" s="2">
        <v>41949</v>
      </c>
      <c r="P1892" s="1">
        <v>20001</v>
      </c>
      <c r="Q1892" s="1" t="s">
        <v>197</v>
      </c>
      <c r="R1892" s="2">
        <v>42002</v>
      </c>
      <c r="S1892" s="1">
        <v>216603</v>
      </c>
      <c r="T1892" s="1">
        <v>4500</v>
      </c>
      <c r="U1892" s="1">
        <v>233</v>
      </c>
      <c r="V1892" s="1" t="s">
        <v>424</v>
      </c>
      <c r="W1892" s="1" t="s">
        <v>725</v>
      </c>
      <c r="Y1892" s="1">
        <v>2</v>
      </c>
      <c r="Z1892" s="1" t="s">
        <v>249</v>
      </c>
      <c r="AA1892" s="1" t="s">
        <v>1927</v>
      </c>
      <c r="AB1892" s="1">
        <v>60148</v>
      </c>
      <c r="AC1892" s="1">
        <v>6224</v>
      </c>
      <c r="AD1892" s="1" t="s">
        <v>11471</v>
      </c>
      <c r="AE1892" s="1" t="s">
        <v>17472</v>
      </c>
      <c r="AF1892" s="1">
        <v>1998</v>
      </c>
      <c r="AG1892" s="1" t="s">
        <v>204</v>
      </c>
      <c r="AH1892" s="1" t="s">
        <v>1930</v>
      </c>
      <c r="AI1892" s="1" t="s">
        <v>206</v>
      </c>
      <c r="AJ1892" s="1" t="s">
        <v>1608</v>
      </c>
      <c r="AL1892" s="1">
        <v>6</v>
      </c>
      <c r="AM1892" s="1">
        <v>2</v>
      </c>
      <c r="AN1892" s="1">
        <v>2</v>
      </c>
      <c r="AO1892" s="1">
        <v>1</v>
      </c>
      <c r="AP1892" s="1" t="s">
        <v>209</v>
      </c>
      <c r="AR1892" s="1" t="s">
        <v>210</v>
      </c>
      <c r="AS1892" s="1" t="s">
        <v>204</v>
      </c>
      <c r="AT1892" s="1" t="s">
        <v>211</v>
      </c>
      <c r="AU1892" s="1">
        <v>1</v>
      </c>
      <c r="AW1892" s="1" t="s">
        <v>204</v>
      </c>
      <c r="AX1892" s="1" t="s">
        <v>212</v>
      </c>
      <c r="AZ1892" s="1">
        <v>5014.22</v>
      </c>
      <c r="BA1892" s="1">
        <v>2013</v>
      </c>
      <c r="BB1892" s="1" t="s">
        <v>405</v>
      </c>
      <c r="BE1892" s="1">
        <v>1560</v>
      </c>
      <c r="BF1892" s="1">
        <v>1</v>
      </c>
      <c r="BG1892" s="1">
        <v>0</v>
      </c>
      <c r="BJ1892" s="1">
        <v>0</v>
      </c>
      <c r="BK1892" s="1">
        <v>0</v>
      </c>
      <c r="BL1892" s="1">
        <v>177</v>
      </c>
      <c r="BM1892" s="1" t="s">
        <v>204</v>
      </c>
      <c r="BN1892" s="1" t="s">
        <v>213</v>
      </c>
      <c r="BO1892" s="1">
        <v>999</v>
      </c>
      <c r="BP1892" s="1" t="s">
        <v>204</v>
      </c>
      <c r="BR1892" s="1" t="str">
        <f>"0619412051"</f>
        <v>0619412051</v>
      </c>
      <c r="BT1892" s="1" t="s">
        <v>17473</v>
      </c>
      <c r="BW1892" s="1" t="s">
        <v>1935</v>
      </c>
      <c r="BX1892" s="1">
        <v>44</v>
      </c>
      <c r="BY1892" s="1">
        <v>44</v>
      </c>
      <c r="BZ1892" s="1">
        <v>87</v>
      </c>
      <c r="CB1892" s="1" t="str">
        <f t="shared" ref="CB1892:CC1892" si="1439">""</f>
        <v/>
      </c>
      <c r="CC1892" s="1" t="str">
        <f t="shared" si="1439"/>
        <v/>
      </c>
      <c r="CG1892" s="1" t="s">
        <v>1155</v>
      </c>
      <c r="CH1892" s="1" t="s">
        <v>219</v>
      </c>
      <c r="CI1892" s="1" t="s">
        <v>229</v>
      </c>
      <c r="CJ1892" s="1" t="s">
        <v>343</v>
      </c>
      <c r="CK1892" s="1" t="s">
        <v>228</v>
      </c>
      <c r="CL1892" s="1" t="s">
        <v>277</v>
      </c>
      <c r="CM1892" s="1" t="s">
        <v>220</v>
      </c>
      <c r="CN1892" s="1" t="s">
        <v>343</v>
      </c>
      <c r="CO1892" s="1" t="s">
        <v>489</v>
      </c>
      <c r="CP1892" s="1" t="s">
        <v>219</v>
      </c>
      <c r="CQ1892" s="1" t="s">
        <v>229</v>
      </c>
      <c r="CR1892" s="1" t="s">
        <v>343</v>
      </c>
      <c r="CS1892" s="1" t="s">
        <v>932</v>
      </c>
      <c r="CT1892" s="1" t="s">
        <v>277</v>
      </c>
      <c r="CU1892" s="1" t="s">
        <v>220</v>
      </c>
      <c r="CV1892" s="1" t="s">
        <v>343</v>
      </c>
      <c r="CX1892" s="1" t="s">
        <v>224</v>
      </c>
      <c r="DB1892" s="1" t="s">
        <v>224</v>
      </c>
      <c r="DE1892" s="1" t="s">
        <v>630</v>
      </c>
      <c r="DF1892" s="1" t="s">
        <v>219</v>
      </c>
      <c r="DG1892" s="1" t="s">
        <v>229</v>
      </c>
      <c r="DH1892" s="1" t="s">
        <v>343</v>
      </c>
      <c r="DJ1892" s="1" t="s">
        <v>224</v>
      </c>
      <c r="DM1892" s="1" t="s">
        <v>464</v>
      </c>
      <c r="DR1892" s="1" t="s">
        <v>836</v>
      </c>
      <c r="DS1892" s="1" t="s">
        <v>277</v>
      </c>
      <c r="DT1892" s="1" t="s">
        <v>220</v>
      </c>
      <c r="DW1892" s="1" t="s">
        <v>230</v>
      </c>
      <c r="EA1892" s="1" t="s">
        <v>230</v>
      </c>
      <c r="EE1892" s="1" t="s">
        <v>230</v>
      </c>
      <c r="EI1892" s="1" t="s">
        <v>230</v>
      </c>
      <c r="EL1892" s="1" t="s">
        <v>670</v>
      </c>
      <c r="EM1892" s="1" t="s">
        <v>232</v>
      </c>
      <c r="EN1892" s="1" t="s">
        <v>282</v>
      </c>
      <c r="EO1892" s="1" t="s">
        <v>234</v>
      </c>
      <c r="EP1892" s="1" t="s">
        <v>1489</v>
      </c>
      <c r="EQ1892" s="1" t="s">
        <v>4356</v>
      </c>
      <c r="ER1892" s="1" t="s">
        <v>383</v>
      </c>
      <c r="ES1892" s="1" t="s">
        <v>545</v>
      </c>
      <c r="ET1892" s="1" t="s">
        <v>866</v>
      </c>
      <c r="EU1892" s="1" t="s">
        <v>1110</v>
      </c>
      <c r="EW1892" s="1" t="s">
        <v>887</v>
      </c>
      <c r="EY1892" s="1" t="s">
        <v>242</v>
      </c>
      <c r="EZ1892" s="1" t="s">
        <v>464</v>
      </c>
      <c r="FA1892" s="1" t="s">
        <v>672</v>
      </c>
      <c r="FB1892" s="1" t="s">
        <v>4027</v>
      </c>
      <c r="FC1892" s="1" t="s">
        <v>1405</v>
      </c>
      <c r="FD1892" s="1" t="s">
        <v>246</v>
      </c>
      <c r="FE1892" s="1" t="s">
        <v>355</v>
      </c>
      <c r="FF1892" s="1" t="s">
        <v>248</v>
      </c>
      <c r="FH1892" s="1" t="s">
        <v>550</v>
      </c>
      <c r="FI1892" s="1" t="s">
        <v>357</v>
      </c>
      <c r="FJ1892" s="1" t="s">
        <v>197</v>
      </c>
      <c r="FL1892" s="1" t="s">
        <v>358</v>
      </c>
      <c r="FM1892" s="1" t="s">
        <v>252</v>
      </c>
      <c r="FN1892" s="1" t="s">
        <v>213</v>
      </c>
      <c r="FO1892" s="1" t="s">
        <v>213</v>
      </c>
      <c r="FQ1892" s="1" t="s">
        <v>17474</v>
      </c>
      <c r="FR1892" s="1" t="s">
        <v>652</v>
      </c>
      <c r="FS1892" s="1" t="s">
        <v>17475</v>
      </c>
      <c r="FT1892" s="1" t="s">
        <v>295</v>
      </c>
      <c r="FU1892" s="1" t="s">
        <v>204</v>
      </c>
      <c r="FV1892" s="1" t="s">
        <v>17476</v>
      </c>
      <c r="FW1892" s="1" t="s">
        <v>17477</v>
      </c>
      <c r="FX1892" s="1">
        <v>24745</v>
      </c>
      <c r="FY1892" s="1" t="s">
        <v>17478</v>
      </c>
      <c r="FZ1892" s="1" t="s">
        <v>17477</v>
      </c>
      <c r="GA1892" s="1">
        <v>229989</v>
      </c>
      <c r="GB1892" s="1" t="s">
        <v>17478</v>
      </c>
      <c r="GD1892" s="1" t="s">
        <v>17479</v>
      </c>
      <c r="GE1892" s="1" t="s">
        <v>776</v>
      </c>
      <c r="GH1892" s="1" t="s">
        <v>589</v>
      </c>
      <c r="GI1892" s="1" t="s">
        <v>204</v>
      </c>
      <c r="GJ1892" s="1" t="s">
        <v>260</v>
      </c>
      <c r="GK1892" s="1" t="s">
        <v>210</v>
      </c>
      <c r="GL1892" s="2">
        <v>42002</v>
      </c>
      <c r="GM1892" s="1" t="s">
        <v>17480</v>
      </c>
    </row>
    <row r="1893" spans="1:195">
      <c r="A1893" s="1">
        <v>182000</v>
      </c>
      <c r="B1893" s="1" t="s">
        <v>195</v>
      </c>
      <c r="C1893" s="1" t="str">
        <f>"08738175"</f>
        <v>08738175</v>
      </c>
      <c r="D1893" s="1" t="s">
        <v>196</v>
      </c>
      <c r="F1893" s="1" t="str">
        <f>"108"</f>
        <v>108</v>
      </c>
      <c r="G1893" s="2">
        <v>41908</v>
      </c>
      <c r="H1893" s="1">
        <v>194000</v>
      </c>
      <c r="I1893" s="1">
        <v>184900</v>
      </c>
      <c r="J1893" s="1">
        <v>182000</v>
      </c>
      <c r="K1893" s="2">
        <v>41908</v>
      </c>
      <c r="L1893" s="1">
        <v>89</v>
      </c>
      <c r="M1893" s="2">
        <v>41996</v>
      </c>
      <c r="N1893" s="1">
        <v>89</v>
      </c>
      <c r="O1893" s="2">
        <v>41996</v>
      </c>
      <c r="P1893" s="1">
        <v>432</v>
      </c>
      <c r="Q1893" s="1" t="s">
        <v>423</v>
      </c>
      <c r="R1893" s="2">
        <v>42031</v>
      </c>
      <c r="S1893" s="1">
        <v>70207</v>
      </c>
      <c r="T1893" s="1">
        <v>2500</v>
      </c>
      <c r="U1893" s="1">
        <v>30</v>
      </c>
      <c r="V1893" s="1" t="s">
        <v>1383</v>
      </c>
      <c r="W1893" s="1" t="s">
        <v>3006</v>
      </c>
      <c r="Y1893" s="1">
        <v>1</v>
      </c>
      <c r="Z1893" s="1" t="s">
        <v>370</v>
      </c>
      <c r="AA1893" s="1" t="s">
        <v>829</v>
      </c>
      <c r="AB1893" s="1">
        <v>60108</v>
      </c>
      <c r="AE1893" s="1" t="s">
        <v>17481</v>
      </c>
      <c r="AF1893" s="1">
        <v>1992</v>
      </c>
      <c r="AG1893" s="1" t="s">
        <v>204</v>
      </c>
      <c r="AH1893" s="1" t="s">
        <v>269</v>
      </c>
      <c r="AI1893" s="1" t="s">
        <v>206</v>
      </c>
      <c r="AJ1893" s="1" t="s">
        <v>269</v>
      </c>
      <c r="AL1893" s="1">
        <v>6</v>
      </c>
      <c r="AM1893" s="1">
        <v>2</v>
      </c>
      <c r="AN1893" s="1">
        <v>2</v>
      </c>
      <c r="AO1893" s="1">
        <v>1</v>
      </c>
      <c r="AP1893" s="1" t="s">
        <v>209</v>
      </c>
      <c r="AQ1893" s="1">
        <v>1</v>
      </c>
      <c r="AR1893" s="1" t="s">
        <v>210</v>
      </c>
      <c r="AS1893" s="1" t="s">
        <v>204</v>
      </c>
      <c r="AT1893" s="1" t="s">
        <v>211</v>
      </c>
      <c r="AU1893" s="1">
        <v>2</v>
      </c>
      <c r="AW1893" s="1" t="s">
        <v>213</v>
      </c>
      <c r="AX1893" s="1" t="s">
        <v>17482</v>
      </c>
      <c r="AZ1893" s="5">
        <v>5778.42</v>
      </c>
      <c r="BA1893" s="1">
        <v>2013</v>
      </c>
      <c r="BB1893" s="1" t="s">
        <v>405</v>
      </c>
      <c r="BE1893" s="1">
        <v>1480</v>
      </c>
      <c r="BF1893" s="1">
        <v>1</v>
      </c>
      <c r="BG1893" s="1">
        <v>30</v>
      </c>
      <c r="BL1893" s="1">
        <v>235</v>
      </c>
      <c r="BM1893" s="1" t="s">
        <v>204</v>
      </c>
      <c r="BN1893" s="1" t="s">
        <v>213</v>
      </c>
      <c r="BO1893" s="1">
        <v>999</v>
      </c>
      <c r="BP1893" s="1" t="s">
        <v>204</v>
      </c>
      <c r="BR1893" s="1" t="str">
        <f>"0223211013"</f>
        <v>0223211013</v>
      </c>
      <c r="BT1893" s="1" t="s">
        <v>17483</v>
      </c>
      <c r="BU1893" s="1" t="s">
        <v>2014</v>
      </c>
      <c r="BV1893" s="1" t="s">
        <v>2015</v>
      </c>
      <c r="BW1893" s="1" t="s">
        <v>1935</v>
      </c>
      <c r="BX1893" s="1">
        <v>15</v>
      </c>
      <c r="BY1893" s="1">
        <v>15</v>
      </c>
      <c r="BZ1893" s="1">
        <v>87</v>
      </c>
      <c r="CB1893" s="1" t="str">
        <f t="shared" ref="CB1893:CC1893" si="1440">""</f>
        <v/>
      </c>
      <c r="CC1893" s="1" t="str">
        <f t="shared" si="1440"/>
        <v/>
      </c>
      <c r="CG1893" s="1" t="s">
        <v>314</v>
      </c>
      <c r="CH1893" s="1" t="s">
        <v>219</v>
      </c>
      <c r="CI1893" s="1" t="s">
        <v>438</v>
      </c>
      <c r="CJ1893" s="1" t="s">
        <v>343</v>
      </c>
      <c r="CK1893" s="1" t="s">
        <v>1533</v>
      </c>
      <c r="CL1893" s="1" t="s">
        <v>277</v>
      </c>
      <c r="CM1893" s="1" t="s">
        <v>220</v>
      </c>
      <c r="CN1893" s="1" t="s">
        <v>343</v>
      </c>
      <c r="CO1893" s="1" t="s">
        <v>380</v>
      </c>
      <c r="CP1893" s="1" t="s">
        <v>219</v>
      </c>
      <c r="CQ1893" s="1" t="s">
        <v>438</v>
      </c>
      <c r="CR1893" s="1" t="s">
        <v>463</v>
      </c>
      <c r="CS1893" s="1" t="s">
        <v>837</v>
      </c>
      <c r="CT1893" s="1" t="s">
        <v>277</v>
      </c>
      <c r="CU1893" s="1" t="s">
        <v>220</v>
      </c>
      <c r="CV1893" s="1" t="s">
        <v>343</v>
      </c>
      <c r="CX1893" s="1" t="s">
        <v>224</v>
      </c>
      <c r="DB1893" s="1" t="s">
        <v>224</v>
      </c>
      <c r="DE1893" s="1" t="s">
        <v>380</v>
      </c>
      <c r="DF1893" s="1" t="s">
        <v>219</v>
      </c>
      <c r="DG1893" s="1" t="s">
        <v>438</v>
      </c>
      <c r="DH1893" s="1" t="s">
        <v>210</v>
      </c>
      <c r="DJ1893" s="1" t="s">
        <v>224</v>
      </c>
      <c r="DM1893" s="1" t="s">
        <v>1005</v>
      </c>
      <c r="DR1893" s="1" t="s">
        <v>317</v>
      </c>
      <c r="DS1893" s="1" t="s">
        <v>219</v>
      </c>
      <c r="DT1893" s="1" t="s">
        <v>438</v>
      </c>
      <c r="DU1893" s="1" t="s">
        <v>343</v>
      </c>
      <c r="DW1893" s="1" t="s">
        <v>230</v>
      </c>
      <c r="EA1893" s="1" t="s">
        <v>230</v>
      </c>
      <c r="EE1893" s="1" t="s">
        <v>230</v>
      </c>
      <c r="EI1893" s="1" t="s">
        <v>230</v>
      </c>
      <c r="EL1893" s="1" t="s">
        <v>382</v>
      </c>
      <c r="EM1893" s="1" t="s">
        <v>319</v>
      </c>
      <c r="EN1893" s="1" t="s">
        <v>282</v>
      </c>
      <c r="EO1893" s="1" t="s">
        <v>234</v>
      </c>
      <c r="EP1893" s="1" t="s">
        <v>543</v>
      </c>
      <c r="ER1893" s="1" t="s">
        <v>383</v>
      </c>
      <c r="EU1893" s="1" t="s">
        <v>1314</v>
      </c>
      <c r="EW1893" s="1" t="s">
        <v>16934</v>
      </c>
      <c r="EY1893" s="1" t="s">
        <v>790</v>
      </c>
      <c r="EZ1893" s="1" t="s">
        <v>1005</v>
      </c>
      <c r="FA1893" s="1" t="s">
        <v>4742</v>
      </c>
      <c r="FC1893" s="1" t="s">
        <v>633</v>
      </c>
      <c r="FD1893" s="1" t="s">
        <v>246</v>
      </c>
      <c r="FE1893" s="1" t="s">
        <v>12105</v>
      </c>
      <c r="FF1893" s="1" t="s">
        <v>248</v>
      </c>
      <c r="FG1893" s="1" t="s">
        <v>871</v>
      </c>
      <c r="FH1893" s="1" t="s">
        <v>550</v>
      </c>
      <c r="FI1893" s="1" t="s">
        <v>357</v>
      </c>
      <c r="FJ1893" s="1" t="s">
        <v>1251</v>
      </c>
      <c r="FL1893" s="1" t="s">
        <v>414</v>
      </c>
      <c r="FM1893" s="1" t="s">
        <v>252</v>
      </c>
      <c r="FN1893" s="1" t="s">
        <v>213</v>
      </c>
      <c r="FO1893" s="1" t="s">
        <v>213</v>
      </c>
      <c r="FQ1893" s="1" t="s">
        <v>3545</v>
      </c>
      <c r="FR1893" s="1" t="s">
        <v>210</v>
      </c>
      <c r="FS1893" s="1" t="s">
        <v>17484</v>
      </c>
      <c r="FT1893" s="1" t="s">
        <v>362</v>
      </c>
      <c r="FU1893" s="1" t="s">
        <v>204</v>
      </c>
      <c r="FW1893" s="1" t="s">
        <v>17485</v>
      </c>
      <c r="FX1893" s="1">
        <v>16938</v>
      </c>
      <c r="FY1893" s="1" t="s">
        <v>4640</v>
      </c>
      <c r="FZ1893" s="1" t="s">
        <v>17486</v>
      </c>
      <c r="GA1893" s="1">
        <v>137864</v>
      </c>
      <c r="GB1893" s="1" t="s">
        <v>17487</v>
      </c>
      <c r="GE1893" s="1" t="s">
        <v>480</v>
      </c>
      <c r="GI1893" s="1" t="s">
        <v>204</v>
      </c>
      <c r="GJ1893" s="1" t="s">
        <v>260</v>
      </c>
      <c r="GK1893" s="1" t="s">
        <v>210</v>
      </c>
      <c r="GL1893" s="2">
        <v>42031</v>
      </c>
    </row>
    <row r="1894" spans="1:195">
      <c r="A1894" s="1">
        <v>248500</v>
      </c>
      <c r="B1894" s="1" t="s">
        <v>195</v>
      </c>
      <c r="C1894" s="1" t="str">
        <f>"08736449"</f>
        <v>08736449</v>
      </c>
      <c r="D1894" s="1" t="s">
        <v>196</v>
      </c>
      <c r="F1894" s="1" t="str">
        <f>"656"</f>
        <v>656</v>
      </c>
      <c r="G1894" s="2">
        <v>41906</v>
      </c>
      <c r="H1894" s="1">
        <v>269750</v>
      </c>
      <c r="I1894" s="1">
        <v>264700</v>
      </c>
      <c r="J1894" s="1">
        <v>248500</v>
      </c>
      <c r="K1894" s="2">
        <v>41906</v>
      </c>
      <c r="L1894" s="1">
        <v>171</v>
      </c>
      <c r="M1894" s="2">
        <v>41958</v>
      </c>
      <c r="N1894" s="1">
        <v>53</v>
      </c>
      <c r="O1894" s="2">
        <v>41958</v>
      </c>
      <c r="P1894" s="1">
        <v>16379</v>
      </c>
      <c r="Q1894" s="1" t="s">
        <v>197</v>
      </c>
      <c r="R1894" s="2">
        <v>41992</v>
      </c>
      <c r="S1894" s="1">
        <v>16379</v>
      </c>
      <c r="U1894" s="1">
        <v>4833</v>
      </c>
      <c r="V1894" s="1" t="s">
        <v>6221</v>
      </c>
      <c r="W1894" s="1" t="s">
        <v>425</v>
      </c>
      <c r="X1894" s="1">
        <v>409</v>
      </c>
      <c r="Y1894" s="1">
        <v>90</v>
      </c>
      <c r="Z1894" s="1" t="s">
        <v>249</v>
      </c>
      <c r="AA1894" s="1" t="s">
        <v>6222</v>
      </c>
      <c r="AB1894" s="1">
        <v>60706</v>
      </c>
      <c r="AC1894" s="1">
        <v>3566</v>
      </c>
      <c r="AE1894" s="1" t="s">
        <v>17488</v>
      </c>
      <c r="AF1894" s="1">
        <v>2007</v>
      </c>
      <c r="AG1894" s="1" t="s">
        <v>204</v>
      </c>
      <c r="AH1894" s="1" t="s">
        <v>6224</v>
      </c>
      <c r="AI1894" s="1" t="s">
        <v>310</v>
      </c>
      <c r="AJ1894" s="1" t="s">
        <v>6999</v>
      </c>
      <c r="AL1894" s="1">
        <v>5</v>
      </c>
      <c r="AM1894" s="1">
        <v>2</v>
      </c>
      <c r="AN1894" s="1">
        <v>2</v>
      </c>
      <c r="AO1894" s="1">
        <v>0</v>
      </c>
      <c r="AP1894" s="1" t="s">
        <v>209</v>
      </c>
      <c r="AR1894" s="1" t="s">
        <v>209</v>
      </c>
      <c r="AS1894" s="1" t="s">
        <v>204</v>
      </c>
      <c r="AT1894" s="1" t="s">
        <v>211</v>
      </c>
      <c r="AU1894" s="1">
        <v>1</v>
      </c>
      <c r="AW1894" s="1" t="s">
        <v>204</v>
      </c>
      <c r="AX1894" s="1" t="s">
        <v>1265</v>
      </c>
      <c r="AZ1894" s="1">
        <v>4680</v>
      </c>
      <c r="BA1894" s="1">
        <v>2012</v>
      </c>
      <c r="BB1894" s="1" t="s">
        <v>405</v>
      </c>
      <c r="BE1894" s="1">
        <v>1310</v>
      </c>
      <c r="BF1894" s="1">
        <v>4</v>
      </c>
      <c r="BG1894" s="1">
        <v>0</v>
      </c>
      <c r="BL1894" s="1">
        <v>260</v>
      </c>
      <c r="BM1894" s="1" t="s">
        <v>204</v>
      </c>
      <c r="BN1894" s="1" t="s">
        <v>213</v>
      </c>
      <c r="BO1894" s="1">
        <v>50</v>
      </c>
      <c r="BP1894" s="1" t="s">
        <v>204</v>
      </c>
      <c r="BR1894" s="1" t="str">
        <f>"12124250091135"</f>
        <v>12124250091135</v>
      </c>
      <c r="BT1894" s="1" t="s">
        <v>17489</v>
      </c>
      <c r="BU1894" s="1" t="s">
        <v>8426</v>
      </c>
      <c r="BV1894" s="1" t="s">
        <v>8426</v>
      </c>
      <c r="BW1894" s="1" t="s">
        <v>8427</v>
      </c>
      <c r="BX1894" s="1">
        <v>79</v>
      </c>
      <c r="BY1894" s="1">
        <v>79</v>
      </c>
      <c r="BZ1894" s="1">
        <v>207</v>
      </c>
      <c r="CB1894" s="1" t="str">
        <f>"4833"</f>
        <v>4833</v>
      </c>
      <c r="CC1894" s="1" t="str">
        <f>""</f>
        <v/>
      </c>
      <c r="CD1894" s="1">
        <v>7400</v>
      </c>
      <c r="CG1894" s="1" t="s">
        <v>6639</v>
      </c>
      <c r="CH1894" s="1" t="s">
        <v>685</v>
      </c>
      <c r="CI1894" s="1" t="s">
        <v>438</v>
      </c>
      <c r="CK1894" s="1" t="s">
        <v>1045</v>
      </c>
      <c r="CL1894" s="1" t="s">
        <v>685</v>
      </c>
      <c r="CM1894" s="1" t="s">
        <v>220</v>
      </c>
      <c r="CO1894" s="1" t="s">
        <v>629</v>
      </c>
      <c r="CP1894" s="1" t="s">
        <v>219</v>
      </c>
      <c r="CQ1894" s="1" t="s">
        <v>438</v>
      </c>
      <c r="CR1894" s="1" t="s">
        <v>210</v>
      </c>
      <c r="CS1894" s="1" t="s">
        <v>539</v>
      </c>
      <c r="CT1894" s="1" t="s">
        <v>219</v>
      </c>
      <c r="CU1894" s="1" t="s">
        <v>220</v>
      </c>
      <c r="CX1894" s="1" t="s">
        <v>224</v>
      </c>
      <c r="DB1894" s="1" t="s">
        <v>224</v>
      </c>
      <c r="DE1894" s="1" t="s">
        <v>346</v>
      </c>
      <c r="DF1894" s="1" t="s">
        <v>685</v>
      </c>
      <c r="DG1894" s="1" t="s">
        <v>438</v>
      </c>
      <c r="DH1894" s="1" t="s">
        <v>210</v>
      </c>
      <c r="DJ1894" s="1" t="s">
        <v>224</v>
      </c>
      <c r="DS1894" s="1" t="s">
        <v>230</v>
      </c>
      <c r="DW1894" s="1" t="s">
        <v>230</v>
      </c>
      <c r="EA1894" s="1" t="s">
        <v>230</v>
      </c>
      <c r="EE1894" s="1" t="s">
        <v>230</v>
      </c>
      <c r="EI1894" s="1" t="s">
        <v>230</v>
      </c>
      <c r="EL1894" s="1" t="s">
        <v>491</v>
      </c>
      <c r="EM1894" s="1" t="s">
        <v>232</v>
      </c>
      <c r="EN1894" s="1" t="s">
        <v>282</v>
      </c>
      <c r="EO1894" s="1" t="s">
        <v>840</v>
      </c>
      <c r="EP1894" s="1" t="s">
        <v>17490</v>
      </c>
      <c r="EQ1894" s="1" t="s">
        <v>953</v>
      </c>
      <c r="ER1894" s="1" t="s">
        <v>5852</v>
      </c>
      <c r="ES1894" s="1" t="s">
        <v>3914</v>
      </c>
      <c r="ET1894" s="1" t="s">
        <v>1404</v>
      </c>
      <c r="EU1894" s="1" t="s">
        <v>5342</v>
      </c>
      <c r="EV1894" s="1" t="s">
        <v>240</v>
      </c>
      <c r="EW1894" s="1" t="s">
        <v>3178</v>
      </c>
      <c r="EY1894" s="1" t="s">
        <v>242</v>
      </c>
      <c r="EZ1894" s="1" t="s">
        <v>287</v>
      </c>
      <c r="FA1894" s="1" t="s">
        <v>17491</v>
      </c>
      <c r="FB1894" s="1" t="s">
        <v>289</v>
      </c>
      <c r="FC1894" s="1" t="s">
        <v>326</v>
      </c>
      <c r="FD1894" s="1" t="s">
        <v>3287</v>
      </c>
      <c r="FE1894" s="1" t="s">
        <v>247</v>
      </c>
      <c r="FF1894" s="1" t="s">
        <v>1113</v>
      </c>
      <c r="FH1894" s="1" t="s">
        <v>5778</v>
      </c>
      <c r="FI1894" s="1" t="s">
        <v>250</v>
      </c>
      <c r="FJ1894" s="1" t="s">
        <v>197</v>
      </c>
      <c r="FL1894" s="1" t="s">
        <v>17492</v>
      </c>
      <c r="FM1894" s="1" t="s">
        <v>252</v>
      </c>
      <c r="FN1894" s="1" t="s">
        <v>213</v>
      </c>
      <c r="FO1894" s="1" t="s">
        <v>213</v>
      </c>
      <c r="FQ1894" s="1" t="s">
        <v>793</v>
      </c>
      <c r="FR1894" s="1" t="s">
        <v>210</v>
      </c>
      <c r="FS1894" s="1" t="s">
        <v>17493</v>
      </c>
      <c r="FT1894" s="1" t="s">
        <v>1182</v>
      </c>
      <c r="FU1894" s="1" t="s">
        <v>204</v>
      </c>
      <c r="FW1894" s="1" t="s">
        <v>1239</v>
      </c>
      <c r="FX1894" s="1">
        <v>14316</v>
      </c>
      <c r="FY1894" s="1" t="s">
        <v>1240</v>
      </c>
      <c r="FZ1894" s="1" t="s">
        <v>17494</v>
      </c>
      <c r="GA1894" s="1">
        <v>113142</v>
      </c>
      <c r="GB1894" s="1" t="s">
        <v>17495</v>
      </c>
      <c r="GE1894" s="1" t="s">
        <v>1187</v>
      </c>
      <c r="GH1894" s="1" t="s">
        <v>230</v>
      </c>
      <c r="GI1894" s="1" t="s">
        <v>213</v>
      </c>
      <c r="GJ1894" s="1" t="s">
        <v>260</v>
      </c>
      <c r="GK1894" s="1" t="s">
        <v>210</v>
      </c>
      <c r="GL1894" s="2">
        <v>41995</v>
      </c>
      <c r="GM1894" s="1" t="s">
        <v>17496</v>
      </c>
    </row>
    <row r="1895" spans="1:195">
      <c r="A1895" s="1">
        <v>179500</v>
      </c>
      <c r="B1895" s="1" t="s">
        <v>195</v>
      </c>
      <c r="C1895" s="1" t="str">
        <f>"08756486"</f>
        <v>08756486</v>
      </c>
      <c r="D1895" s="1" t="s">
        <v>196</v>
      </c>
      <c r="F1895" s="1" t="str">
        <f>"8041"</f>
        <v>8041</v>
      </c>
      <c r="G1895" s="2">
        <v>41931</v>
      </c>
      <c r="H1895" s="1">
        <v>189500</v>
      </c>
      <c r="I1895" s="1">
        <v>179500</v>
      </c>
      <c r="J1895" s="1">
        <v>179500</v>
      </c>
      <c r="K1895" s="2">
        <v>41930</v>
      </c>
      <c r="L1895" s="1">
        <v>169</v>
      </c>
      <c r="M1895" s="2">
        <v>42098</v>
      </c>
      <c r="N1895" s="1">
        <v>169</v>
      </c>
      <c r="O1895" s="2">
        <v>42098</v>
      </c>
      <c r="P1895" s="1">
        <v>16379</v>
      </c>
      <c r="Q1895" s="1" t="s">
        <v>197</v>
      </c>
      <c r="R1895" s="2">
        <v>42132</v>
      </c>
      <c r="S1895" s="1">
        <v>107433</v>
      </c>
      <c r="T1895" s="1">
        <v>5000</v>
      </c>
      <c r="U1895" s="1">
        <v>5447</v>
      </c>
      <c r="V1895" s="1" t="s">
        <v>8176</v>
      </c>
      <c r="W1895" s="1" t="s">
        <v>425</v>
      </c>
      <c r="X1895" s="1" t="s">
        <v>10396</v>
      </c>
      <c r="Y1895" s="1">
        <v>6</v>
      </c>
      <c r="Z1895" s="1" t="s">
        <v>370</v>
      </c>
      <c r="AA1895" s="1" t="s">
        <v>400</v>
      </c>
      <c r="AB1895" s="1">
        <v>60615</v>
      </c>
      <c r="AE1895" s="1" t="s">
        <v>17497</v>
      </c>
      <c r="AF1895" s="1" t="s">
        <v>402</v>
      </c>
      <c r="AG1895" s="1" t="s">
        <v>213</v>
      </c>
      <c r="AH1895" s="1" t="s">
        <v>403</v>
      </c>
      <c r="AI1895" s="1" t="s">
        <v>310</v>
      </c>
      <c r="AJ1895" s="1" t="s">
        <v>562</v>
      </c>
      <c r="AL1895" s="1">
        <v>5</v>
      </c>
      <c r="AM1895" s="1">
        <v>2</v>
      </c>
      <c r="AN1895" s="1">
        <v>1</v>
      </c>
      <c r="AO1895" s="1">
        <v>1</v>
      </c>
      <c r="AP1895" s="1" t="s">
        <v>667</v>
      </c>
      <c r="AQ1895" s="1">
        <v>1</v>
      </c>
      <c r="AR1895" s="1" t="s">
        <v>210</v>
      </c>
      <c r="AS1895" s="1" t="s">
        <v>204</v>
      </c>
      <c r="AT1895" s="1" t="s">
        <v>271</v>
      </c>
      <c r="AV1895" s="1">
        <v>1</v>
      </c>
      <c r="AW1895" s="1" t="s">
        <v>204</v>
      </c>
      <c r="AX1895" s="1" t="s">
        <v>212</v>
      </c>
      <c r="AZ1895" s="1">
        <v>3609.14</v>
      </c>
      <c r="BA1895" s="1">
        <v>2013</v>
      </c>
      <c r="BB1895" s="1" t="s">
        <v>210</v>
      </c>
      <c r="BE1895" s="1">
        <v>1637</v>
      </c>
      <c r="BF1895" s="1">
        <v>1</v>
      </c>
      <c r="BG1895" s="1">
        <v>20</v>
      </c>
      <c r="BJ1895" s="1">
        <v>100</v>
      </c>
      <c r="BK1895" s="1">
        <v>100</v>
      </c>
      <c r="BL1895" s="1">
        <v>500</v>
      </c>
      <c r="BM1895" s="1" t="s">
        <v>413</v>
      </c>
      <c r="BN1895" s="1" t="s">
        <v>213</v>
      </c>
      <c r="BO1895" s="1" t="s">
        <v>2932</v>
      </c>
      <c r="BP1895" s="1" t="s">
        <v>204</v>
      </c>
      <c r="BR1895" s="1" t="str">
        <f>"20121130501002"</f>
        <v>20121130501002</v>
      </c>
      <c r="BT1895" s="1" t="s">
        <v>17498</v>
      </c>
      <c r="BU1895" s="1" t="s">
        <v>10876</v>
      </c>
      <c r="BX1895" s="1">
        <v>299</v>
      </c>
      <c r="BY1895" s="1">
        <v>299</v>
      </c>
      <c r="BZ1895" s="1">
        <v>299</v>
      </c>
      <c r="CB1895" s="1" t="str">
        <f t="shared" ref="CB1895:CB1897" si="1441">"0"</f>
        <v>0</v>
      </c>
      <c r="CC1895" s="1" t="str">
        <f>"1600"</f>
        <v>1600</v>
      </c>
      <c r="CD1895" s="1">
        <v>0</v>
      </c>
      <c r="CE1895" s="1">
        <v>5447</v>
      </c>
      <c r="CG1895" s="1" t="s">
        <v>862</v>
      </c>
      <c r="CH1895" s="1" t="s">
        <v>219</v>
      </c>
      <c r="CI1895" s="1" t="s">
        <v>438</v>
      </c>
      <c r="CK1895" s="1" t="s">
        <v>278</v>
      </c>
      <c r="CL1895" s="1" t="s">
        <v>219</v>
      </c>
      <c r="CM1895" s="1" t="s">
        <v>438</v>
      </c>
      <c r="CO1895" s="1" t="s">
        <v>861</v>
      </c>
      <c r="CP1895" s="1" t="s">
        <v>219</v>
      </c>
      <c r="CQ1895" s="1" t="s">
        <v>438</v>
      </c>
      <c r="CR1895" s="1" t="s">
        <v>252</v>
      </c>
      <c r="CS1895" s="1" t="s">
        <v>757</v>
      </c>
      <c r="CT1895" s="1" t="s">
        <v>219</v>
      </c>
      <c r="CU1895" s="1" t="s">
        <v>438</v>
      </c>
      <c r="CX1895" s="1" t="s">
        <v>224</v>
      </c>
      <c r="DB1895" s="1" t="s">
        <v>224</v>
      </c>
      <c r="DE1895" s="1" t="s">
        <v>2992</v>
      </c>
      <c r="DF1895" s="1" t="s">
        <v>219</v>
      </c>
      <c r="DG1895" s="1" t="s">
        <v>438</v>
      </c>
      <c r="DJ1895" s="1" t="s">
        <v>224</v>
      </c>
      <c r="DM1895" s="1" t="s">
        <v>603</v>
      </c>
      <c r="DR1895" s="1" t="s">
        <v>225</v>
      </c>
      <c r="DS1895" s="1" t="s">
        <v>219</v>
      </c>
      <c r="DT1895" s="1" t="s">
        <v>226</v>
      </c>
      <c r="DU1895" s="1" t="s">
        <v>252</v>
      </c>
      <c r="DW1895" s="1" t="s">
        <v>230</v>
      </c>
      <c r="EA1895" s="1" t="s">
        <v>230</v>
      </c>
      <c r="EE1895" s="1" t="s">
        <v>230</v>
      </c>
      <c r="EI1895" s="1" t="s">
        <v>230</v>
      </c>
      <c r="EL1895" s="1" t="s">
        <v>413</v>
      </c>
      <c r="EM1895" s="1" t="s">
        <v>232</v>
      </c>
      <c r="EN1895" s="1" t="s">
        <v>210</v>
      </c>
      <c r="EO1895" s="1" t="s">
        <v>234</v>
      </c>
      <c r="EP1895" s="1" t="s">
        <v>17499</v>
      </c>
      <c r="EQ1895" s="1" t="s">
        <v>17500</v>
      </c>
      <c r="ER1895" s="1" t="s">
        <v>210</v>
      </c>
      <c r="ES1895" s="1" t="s">
        <v>322</v>
      </c>
      <c r="ET1895" s="1" t="s">
        <v>1752</v>
      </c>
      <c r="EU1895" s="1" t="s">
        <v>239</v>
      </c>
      <c r="EV1895" s="1" t="s">
        <v>324</v>
      </c>
      <c r="EW1895" s="1" t="s">
        <v>2344</v>
      </c>
      <c r="EZ1895" s="1" t="s">
        <v>603</v>
      </c>
      <c r="FA1895" s="1" t="s">
        <v>17501</v>
      </c>
      <c r="FB1895" s="1" t="s">
        <v>244</v>
      </c>
      <c r="FC1895" s="1" t="s">
        <v>633</v>
      </c>
      <c r="FD1895" s="1" t="s">
        <v>246</v>
      </c>
      <c r="FE1895" s="1" t="s">
        <v>247</v>
      </c>
      <c r="FF1895" s="1" t="s">
        <v>387</v>
      </c>
      <c r="FG1895" s="1" t="s">
        <v>2406</v>
      </c>
      <c r="FH1895" s="1" t="s">
        <v>249</v>
      </c>
      <c r="FJ1895" s="1" t="s">
        <v>17502</v>
      </c>
      <c r="FK1895" s="1" t="s">
        <v>688</v>
      </c>
      <c r="FL1895" s="1" t="s">
        <v>5090</v>
      </c>
      <c r="FM1895" s="1" t="s">
        <v>252</v>
      </c>
      <c r="FN1895" s="1" t="s">
        <v>213</v>
      </c>
      <c r="FO1895" s="1" t="s">
        <v>213</v>
      </c>
      <c r="FQ1895" s="1" t="s">
        <v>17503</v>
      </c>
      <c r="FR1895" s="1" t="s">
        <v>210</v>
      </c>
      <c r="FS1895" s="1" t="s">
        <v>17504</v>
      </c>
      <c r="FT1895" s="1" t="s">
        <v>255</v>
      </c>
      <c r="FU1895" s="1" t="s">
        <v>204</v>
      </c>
      <c r="FW1895" s="1" t="s">
        <v>10180</v>
      </c>
      <c r="FX1895" s="1">
        <v>24185</v>
      </c>
      <c r="FY1895" s="1" t="s">
        <v>10181</v>
      </c>
      <c r="FZ1895" s="1" t="s">
        <v>17505</v>
      </c>
      <c r="GA1895" s="1">
        <v>242081</v>
      </c>
      <c r="GB1895" s="1" t="s">
        <v>17506</v>
      </c>
      <c r="GE1895" s="1" t="s">
        <v>210</v>
      </c>
      <c r="GH1895" s="1" t="s">
        <v>421</v>
      </c>
      <c r="GI1895" s="1" t="s">
        <v>213</v>
      </c>
      <c r="GJ1895" s="1" t="s">
        <v>260</v>
      </c>
      <c r="GK1895" s="1" t="s">
        <v>210</v>
      </c>
      <c r="GL1895" s="2">
        <v>42133</v>
      </c>
      <c r="GM1895" s="1" t="s">
        <v>17507</v>
      </c>
    </row>
    <row r="1896" spans="1:195">
      <c r="A1896" s="1">
        <v>150000</v>
      </c>
      <c r="B1896" s="1" t="s">
        <v>195</v>
      </c>
      <c r="C1896" s="1" t="str">
        <f>"08731779"</f>
        <v>08731779</v>
      </c>
      <c r="D1896" s="1" t="s">
        <v>196</v>
      </c>
      <c r="F1896" s="1" t="str">
        <f>"554"</f>
        <v>554</v>
      </c>
      <c r="G1896" s="2">
        <v>41900</v>
      </c>
      <c r="H1896" s="1">
        <v>162000</v>
      </c>
      <c r="I1896" s="1">
        <v>154900</v>
      </c>
      <c r="J1896" s="1">
        <v>150000</v>
      </c>
      <c r="K1896" s="2">
        <v>41900</v>
      </c>
      <c r="L1896" s="1">
        <v>51</v>
      </c>
      <c r="M1896" s="2">
        <v>41950</v>
      </c>
      <c r="N1896" s="1">
        <v>51</v>
      </c>
      <c r="O1896" s="2">
        <v>41950</v>
      </c>
      <c r="P1896" s="1">
        <v>7630</v>
      </c>
      <c r="Q1896" s="1" t="s">
        <v>197</v>
      </c>
      <c r="R1896" s="2">
        <v>41977</v>
      </c>
      <c r="S1896" s="1">
        <v>8742</v>
      </c>
      <c r="U1896" s="1">
        <v>538</v>
      </c>
      <c r="V1896" s="1" t="s">
        <v>1766</v>
      </c>
      <c r="W1896" s="1" t="s">
        <v>504</v>
      </c>
      <c r="X1896" s="1" t="s">
        <v>527</v>
      </c>
      <c r="Y1896" s="1">
        <v>4</v>
      </c>
      <c r="Z1896" s="1" t="s">
        <v>370</v>
      </c>
      <c r="AA1896" s="1" t="s">
        <v>3443</v>
      </c>
      <c r="AB1896" s="1">
        <v>60554</v>
      </c>
      <c r="AD1896" s="1" t="s">
        <v>17508</v>
      </c>
      <c r="AE1896" s="1" t="s">
        <v>17509</v>
      </c>
      <c r="AF1896" s="1">
        <v>2004</v>
      </c>
      <c r="AG1896" s="1" t="s">
        <v>204</v>
      </c>
      <c r="AH1896" s="1" t="s">
        <v>3240</v>
      </c>
      <c r="AI1896" s="1" t="s">
        <v>665</v>
      </c>
      <c r="AJ1896" s="1" t="s">
        <v>3240</v>
      </c>
      <c r="AK1896" s="1" t="s">
        <v>12244</v>
      </c>
      <c r="AL1896" s="1">
        <v>8</v>
      </c>
      <c r="AM1896" s="1">
        <v>2</v>
      </c>
      <c r="AN1896" s="1">
        <v>2</v>
      </c>
      <c r="AO1896" s="1">
        <v>1</v>
      </c>
      <c r="AP1896" s="1" t="s">
        <v>209</v>
      </c>
      <c r="AQ1896" s="1">
        <v>1</v>
      </c>
      <c r="AR1896" s="1" t="s">
        <v>210</v>
      </c>
      <c r="AS1896" s="1" t="s">
        <v>204</v>
      </c>
      <c r="AT1896" s="1" t="s">
        <v>211</v>
      </c>
      <c r="AU1896" s="1">
        <v>2</v>
      </c>
      <c r="AW1896" s="1" t="s">
        <v>204</v>
      </c>
      <c r="AX1896" s="1" t="s">
        <v>212</v>
      </c>
      <c r="AZ1896" s="1">
        <v>4660.28</v>
      </c>
      <c r="BA1896" s="1">
        <v>2013</v>
      </c>
      <c r="BB1896" s="1" t="s">
        <v>405</v>
      </c>
      <c r="BE1896" s="1">
        <v>1717</v>
      </c>
      <c r="BF1896" s="1">
        <v>1</v>
      </c>
      <c r="BG1896" s="1">
        <v>7</v>
      </c>
      <c r="BL1896" s="1">
        <v>130</v>
      </c>
      <c r="BM1896" s="1" t="s">
        <v>204</v>
      </c>
      <c r="BN1896" s="1" t="s">
        <v>213</v>
      </c>
      <c r="BO1896" s="1">
        <v>999</v>
      </c>
      <c r="BP1896" s="1" t="s">
        <v>204</v>
      </c>
      <c r="BR1896" s="1" t="str">
        <f>"1428209025"</f>
        <v>1428209025</v>
      </c>
      <c r="BT1896" s="1" t="s">
        <v>17510</v>
      </c>
      <c r="BV1896" s="1" t="s">
        <v>13189</v>
      </c>
      <c r="BW1896" s="1" t="s">
        <v>13190</v>
      </c>
      <c r="BX1896" s="1">
        <v>302</v>
      </c>
      <c r="BY1896" s="1">
        <v>302</v>
      </c>
      <c r="BZ1896" s="1">
        <v>302</v>
      </c>
      <c r="CB1896" s="1" t="str">
        <f t="shared" si="1441"/>
        <v>0</v>
      </c>
      <c r="CC1896" s="1" t="str">
        <f t="shared" ref="CC1896:CC1897" si="1442">"0"</f>
        <v>0</v>
      </c>
      <c r="CD1896" s="1">
        <v>42</v>
      </c>
      <c r="CE1896" s="1">
        <v>6</v>
      </c>
      <c r="CG1896" s="1" t="s">
        <v>601</v>
      </c>
      <c r="CH1896" s="1" t="s">
        <v>219</v>
      </c>
      <c r="CI1896" s="1" t="s">
        <v>220</v>
      </c>
      <c r="CJ1896" s="1" t="s">
        <v>252</v>
      </c>
      <c r="CK1896" s="1" t="s">
        <v>437</v>
      </c>
      <c r="CL1896" s="1" t="s">
        <v>219</v>
      </c>
      <c r="CM1896" s="1" t="s">
        <v>220</v>
      </c>
      <c r="CN1896" s="1" t="s">
        <v>252</v>
      </c>
      <c r="CO1896" s="1" t="s">
        <v>409</v>
      </c>
      <c r="CP1896" s="1" t="s">
        <v>219</v>
      </c>
      <c r="CQ1896" s="1" t="s">
        <v>220</v>
      </c>
      <c r="CR1896" s="1" t="s">
        <v>252</v>
      </c>
      <c r="CS1896" s="1" t="s">
        <v>378</v>
      </c>
      <c r="CT1896" s="1" t="s">
        <v>277</v>
      </c>
      <c r="CU1896" s="1" t="s">
        <v>220</v>
      </c>
      <c r="CV1896" s="1" t="s">
        <v>252</v>
      </c>
      <c r="CX1896" s="1" t="s">
        <v>224</v>
      </c>
      <c r="DB1896" s="1" t="s">
        <v>224</v>
      </c>
      <c r="DE1896" s="1" t="s">
        <v>281</v>
      </c>
      <c r="DF1896" s="1" t="s">
        <v>219</v>
      </c>
      <c r="DG1896" s="1" t="s">
        <v>342</v>
      </c>
      <c r="DH1896" s="1" t="s">
        <v>210</v>
      </c>
      <c r="DJ1896" s="1" t="s">
        <v>224</v>
      </c>
      <c r="DM1896" s="1" t="s">
        <v>381</v>
      </c>
      <c r="DN1896" s="1" t="s">
        <v>464</v>
      </c>
      <c r="DO1896" s="1" t="s">
        <v>411</v>
      </c>
      <c r="DR1896" s="1" t="s">
        <v>281</v>
      </c>
      <c r="DS1896" s="1" t="s">
        <v>219</v>
      </c>
      <c r="DT1896" s="1" t="s">
        <v>342</v>
      </c>
      <c r="DV1896" s="1" t="s">
        <v>932</v>
      </c>
      <c r="DW1896" s="1" t="s">
        <v>277</v>
      </c>
      <c r="DX1896" s="1" t="s">
        <v>220</v>
      </c>
      <c r="DZ1896" s="1" t="s">
        <v>17511</v>
      </c>
      <c r="EA1896" s="1" t="s">
        <v>277</v>
      </c>
      <c r="EC1896" s="1" t="s">
        <v>210</v>
      </c>
      <c r="EE1896" s="1" t="s">
        <v>230</v>
      </c>
      <c r="EI1896" s="1" t="s">
        <v>230</v>
      </c>
      <c r="EL1896" s="1" t="s">
        <v>491</v>
      </c>
      <c r="EM1896" s="1" t="s">
        <v>319</v>
      </c>
      <c r="EN1896" s="1" t="s">
        <v>282</v>
      </c>
      <c r="EO1896" s="1" t="s">
        <v>234</v>
      </c>
      <c r="EP1896" s="1" t="s">
        <v>650</v>
      </c>
      <c r="EQ1896" s="1" t="s">
        <v>236</v>
      </c>
      <c r="ER1896" s="1" t="s">
        <v>383</v>
      </c>
      <c r="ES1896" s="1" t="s">
        <v>824</v>
      </c>
      <c r="ET1896" s="1" t="s">
        <v>842</v>
      </c>
      <c r="EU1896" s="1" t="s">
        <v>239</v>
      </c>
      <c r="EV1896" s="1" t="s">
        <v>324</v>
      </c>
      <c r="EW1896" s="1" t="s">
        <v>887</v>
      </c>
      <c r="EZ1896" s="1" t="s">
        <v>8494</v>
      </c>
      <c r="FA1896" s="1" t="s">
        <v>2622</v>
      </c>
      <c r="FC1896" s="1" t="s">
        <v>1362</v>
      </c>
      <c r="FD1896" s="1" t="s">
        <v>246</v>
      </c>
      <c r="FE1896" s="1" t="s">
        <v>975</v>
      </c>
      <c r="FF1896" s="1" t="s">
        <v>248</v>
      </c>
      <c r="FG1896" s="1" t="s">
        <v>871</v>
      </c>
      <c r="FH1896" s="1" t="s">
        <v>550</v>
      </c>
      <c r="FI1896" s="1" t="s">
        <v>357</v>
      </c>
      <c r="FL1896" s="1" t="s">
        <v>358</v>
      </c>
      <c r="FM1896" s="1" t="s">
        <v>252</v>
      </c>
      <c r="FN1896" s="1" t="s">
        <v>213</v>
      </c>
      <c r="FO1896" s="1" t="s">
        <v>213</v>
      </c>
      <c r="FQ1896" s="1" t="s">
        <v>1758</v>
      </c>
      <c r="FR1896" s="1" t="s">
        <v>210</v>
      </c>
      <c r="FS1896" s="1" t="s">
        <v>17512</v>
      </c>
      <c r="FT1896" s="1" t="s">
        <v>362</v>
      </c>
      <c r="FU1896" s="1" t="s">
        <v>204</v>
      </c>
      <c r="FW1896" s="1" t="s">
        <v>676</v>
      </c>
      <c r="FX1896" s="1">
        <v>30</v>
      </c>
      <c r="FY1896" s="1" t="s">
        <v>677</v>
      </c>
      <c r="FZ1896" s="1" t="s">
        <v>895</v>
      </c>
      <c r="GA1896" s="1">
        <v>538</v>
      </c>
      <c r="GB1896" s="1" t="s">
        <v>896</v>
      </c>
      <c r="GE1896" s="1" t="s">
        <v>480</v>
      </c>
      <c r="GI1896" s="1" t="s">
        <v>213</v>
      </c>
      <c r="GJ1896" s="1" t="s">
        <v>260</v>
      </c>
      <c r="GK1896" s="1" t="s">
        <v>210</v>
      </c>
      <c r="GL1896" s="2">
        <v>41977</v>
      </c>
    </row>
    <row r="1897" spans="1:195">
      <c r="A1897" s="1">
        <v>125000</v>
      </c>
      <c r="B1897" s="1" t="s">
        <v>195</v>
      </c>
      <c r="C1897" s="1" t="str">
        <f>"08726356"</f>
        <v>08726356</v>
      </c>
      <c r="D1897" s="1" t="s">
        <v>196</v>
      </c>
      <c r="F1897" s="1" t="str">
        <f>"562"</f>
        <v>562</v>
      </c>
      <c r="G1897" s="2">
        <v>41894</v>
      </c>
      <c r="H1897" s="1">
        <v>139900</v>
      </c>
      <c r="I1897" s="1">
        <v>130000</v>
      </c>
      <c r="J1897" s="1">
        <v>125000</v>
      </c>
      <c r="K1897" s="2">
        <v>41894</v>
      </c>
      <c r="L1897" s="1">
        <v>95</v>
      </c>
      <c r="M1897" s="2">
        <v>41988</v>
      </c>
      <c r="N1897" s="1">
        <v>95</v>
      </c>
      <c r="O1897" s="2">
        <v>41988</v>
      </c>
      <c r="P1897" s="1">
        <v>300</v>
      </c>
      <c r="Q1897" s="1" t="s">
        <v>197</v>
      </c>
      <c r="R1897" s="2">
        <v>42027</v>
      </c>
      <c r="S1897" s="1">
        <v>8504</v>
      </c>
      <c r="U1897" s="1">
        <v>1901</v>
      </c>
      <c r="V1897" s="1" t="s">
        <v>1026</v>
      </c>
      <c r="W1897" s="1" t="s">
        <v>304</v>
      </c>
      <c r="X1897" s="1" t="s">
        <v>4883</v>
      </c>
      <c r="Y1897" s="1">
        <v>4</v>
      </c>
      <c r="Z1897" s="1" t="s">
        <v>370</v>
      </c>
      <c r="AA1897" s="1" t="s">
        <v>899</v>
      </c>
      <c r="AB1897" s="1">
        <v>60561</v>
      </c>
      <c r="AC1897" s="1">
        <v>4387</v>
      </c>
      <c r="AD1897" s="1" t="s">
        <v>1026</v>
      </c>
      <c r="AE1897" s="1" t="s">
        <v>17513</v>
      </c>
      <c r="AF1897" s="1">
        <v>1973</v>
      </c>
      <c r="AG1897" s="1" t="s">
        <v>213</v>
      </c>
      <c r="AH1897" s="1" t="s">
        <v>903</v>
      </c>
      <c r="AI1897" s="1" t="s">
        <v>206</v>
      </c>
      <c r="AJ1897" s="1" t="s">
        <v>903</v>
      </c>
      <c r="AK1897" s="1" t="s">
        <v>17514</v>
      </c>
      <c r="AL1897" s="1">
        <v>5</v>
      </c>
      <c r="AM1897" s="1">
        <v>2</v>
      </c>
      <c r="AN1897" s="1">
        <v>1</v>
      </c>
      <c r="AO1897" s="1">
        <v>1</v>
      </c>
      <c r="AP1897" s="1" t="s">
        <v>210</v>
      </c>
      <c r="AQ1897" s="1">
        <v>1</v>
      </c>
      <c r="AR1897" s="1" t="s">
        <v>210</v>
      </c>
      <c r="AS1897" s="1" t="s">
        <v>204</v>
      </c>
      <c r="AT1897" s="1" t="s">
        <v>375</v>
      </c>
      <c r="AU1897" s="1">
        <v>1</v>
      </c>
      <c r="AV1897" s="1">
        <v>1</v>
      </c>
      <c r="AW1897" s="1" t="s">
        <v>204</v>
      </c>
      <c r="AX1897" s="1" t="s">
        <v>212</v>
      </c>
      <c r="AZ1897" s="1">
        <v>3128</v>
      </c>
      <c r="BA1897" s="1">
        <v>2013</v>
      </c>
      <c r="BB1897" s="1" t="s">
        <v>405</v>
      </c>
      <c r="BE1897" s="1">
        <v>1064</v>
      </c>
      <c r="BF1897" s="1">
        <v>1</v>
      </c>
      <c r="BG1897" s="1">
        <v>0</v>
      </c>
      <c r="BL1897" s="1">
        <v>210</v>
      </c>
      <c r="BM1897" s="1" t="s">
        <v>413</v>
      </c>
      <c r="BN1897" s="1" t="s">
        <v>213</v>
      </c>
      <c r="BO1897" s="1">
        <v>999</v>
      </c>
      <c r="BP1897" s="1" t="s">
        <v>204</v>
      </c>
      <c r="BR1897" s="1" t="str">
        <f>"0928316016"</f>
        <v>0928316016</v>
      </c>
      <c r="BT1897" s="1" t="s">
        <v>17515</v>
      </c>
      <c r="BU1897" s="1" t="s">
        <v>3998</v>
      </c>
      <c r="BV1897" s="1" t="s">
        <v>3999</v>
      </c>
      <c r="BW1897" s="1" t="s">
        <v>3099</v>
      </c>
      <c r="BX1897" s="1">
        <v>66</v>
      </c>
      <c r="BY1897" s="1">
        <v>66</v>
      </c>
      <c r="BZ1897" s="1">
        <v>99</v>
      </c>
      <c r="CB1897" s="1" t="str">
        <f t="shared" si="1441"/>
        <v>0</v>
      </c>
      <c r="CC1897" s="1" t="str">
        <f t="shared" si="1442"/>
        <v>0</v>
      </c>
      <c r="CD1897" s="1">
        <v>18</v>
      </c>
      <c r="CE1897" s="1">
        <v>9</v>
      </c>
      <c r="CG1897" s="1" t="s">
        <v>1155</v>
      </c>
      <c r="CH1897" s="1" t="s">
        <v>219</v>
      </c>
      <c r="CI1897" s="1" t="s">
        <v>220</v>
      </c>
      <c r="CJ1897" s="1" t="s">
        <v>343</v>
      </c>
      <c r="CK1897" s="1" t="s">
        <v>757</v>
      </c>
      <c r="CL1897" s="1" t="s">
        <v>219</v>
      </c>
      <c r="CN1897" s="1" t="s">
        <v>343</v>
      </c>
      <c r="CO1897" s="1" t="s">
        <v>346</v>
      </c>
      <c r="CP1897" s="1" t="s">
        <v>219</v>
      </c>
      <c r="CQ1897" s="1" t="s">
        <v>220</v>
      </c>
      <c r="CR1897" s="1" t="s">
        <v>343</v>
      </c>
      <c r="CS1897" s="1" t="s">
        <v>317</v>
      </c>
      <c r="CT1897" s="1" t="s">
        <v>219</v>
      </c>
      <c r="CU1897" s="1" t="s">
        <v>220</v>
      </c>
      <c r="CX1897" s="1" t="s">
        <v>224</v>
      </c>
      <c r="DB1897" s="1" t="s">
        <v>224</v>
      </c>
      <c r="DE1897" s="1" t="s">
        <v>465</v>
      </c>
      <c r="DF1897" s="1" t="s">
        <v>219</v>
      </c>
      <c r="DG1897" s="1" t="s">
        <v>347</v>
      </c>
      <c r="DH1897" s="1" t="s">
        <v>343</v>
      </c>
      <c r="DJ1897" s="1" t="s">
        <v>224</v>
      </c>
      <c r="DS1897" s="1" t="s">
        <v>230</v>
      </c>
      <c r="DW1897" s="1" t="s">
        <v>230</v>
      </c>
      <c r="EA1897" s="1" t="s">
        <v>230</v>
      </c>
      <c r="EE1897" s="1" t="s">
        <v>230</v>
      </c>
      <c r="EI1897" s="1" t="s">
        <v>230</v>
      </c>
      <c r="EL1897" s="1" t="s">
        <v>605</v>
      </c>
      <c r="EM1897" s="1" t="s">
        <v>319</v>
      </c>
      <c r="EN1897" s="1" t="s">
        <v>282</v>
      </c>
      <c r="EO1897" s="1" t="s">
        <v>234</v>
      </c>
      <c r="EP1897" s="1" t="s">
        <v>650</v>
      </c>
      <c r="EQ1897" s="1" t="s">
        <v>468</v>
      </c>
      <c r="ER1897" s="1" t="s">
        <v>1269</v>
      </c>
      <c r="ES1897" s="1" t="s">
        <v>545</v>
      </c>
      <c r="ET1897" s="1" t="s">
        <v>1161</v>
      </c>
      <c r="EU1897" s="1" t="s">
        <v>239</v>
      </c>
      <c r="EV1897" s="1" t="s">
        <v>240</v>
      </c>
      <c r="EW1897" s="1" t="s">
        <v>286</v>
      </c>
      <c r="EY1897" s="1" t="s">
        <v>242</v>
      </c>
      <c r="EZ1897" s="1" t="s">
        <v>287</v>
      </c>
      <c r="FA1897" s="1" t="s">
        <v>714</v>
      </c>
      <c r="FB1897" s="1" t="s">
        <v>289</v>
      </c>
      <c r="FC1897" s="1" t="s">
        <v>548</v>
      </c>
      <c r="FD1897" s="1" t="s">
        <v>495</v>
      </c>
      <c r="FE1897" s="1" t="s">
        <v>247</v>
      </c>
      <c r="FF1897" s="1" t="s">
        <v>248</v>
      </c>
      <c r="FG1897" s="1" t="s">
        <v>2292</v>
      </c>
      <c r="FH1897" s="1" t="s">
        <v>1205</v>
      </c>
      <c r="FI1897" s="1" t="s">
        <v>473</v>
      </c>
      <c r="FJ1897" s="1" t="s">
        <v>197</v>
      </c>
      <c r="FK1897" s="1" t="s">
        <v>2309</v>
      </c>
      <c r="FL1897" s="1" t="s">
        <v>358</v>
      </c>
      <c r="FM1897" s="1" t="s">
        <v>252</v>
      </c>
      <c r="FN1897" s="1" t="s">
        <v>213</v>
      </c>
      <c r="FO1897" s="1" t="s">
        <v>213</v>
      </c>
      <c r="FQ1897" s="1" t="s">
        <v>3616</v>
      </c>
      <c r="FR1897" s="1" t="s">
        <v>210</v>
      </c>
      <c r="FS1897" s="1" t="s">
        <v>17516</v>
      </c>
      <c r="FT1897" s="1" t="s">
        <v>295</v>
      </c>
      <c r="FU1897" s="1" t="s">
        <v>204</v>
      </c>
      <c r="FV1897" s="1" t="s">
        <v>17517</v>
      </c>
      <c r="FW1897" s="1" t="s">
        <v>554</v>
      </c>
      <c r="FX1897" s="1">
        <v>25215</v>
      </c>
      <c r="FY1897" s="1" t="s">
        <v>1508</v>
      </c>
      <c r="FZ1897" s="1" t="s">
        <v>17518</v>
      </c>
      <c r="GA1897" s="1">
        <v>236610</v>
      </c>
      <c r="GB1897" s="1" t="s">
        <v>17519</v>
      </c>
      <c r="GC1897" s="1">
        <v>878</v>
      </c>
      <c r="GD1897" s="1" t="s">
        <v>17520</v>
      </c>
      <c r="GE1897" s="1" t="s">
        <v>210</v>
      </c>
      <c r="GI1897" s="1" t="s">
        <v>213</v>
      </c>
      <c r="GJ1897" s="1" t="s">
        <v>260</v>
      </c>
      <c r="GK1897" s="1" t="s">
        <v>210</v>
      </c>
      <c r="GL1897" s="2">
        <v>42029</v>
      </c>
      <c r="GM1897" s="1" t="s">
        <v>17521</v>
      </c>
    </row>
    <row r="1898" spans="1:195">
      <c r="A1898" s="1">
        <v>309000</v>
      </c>
      <c r="B1898" s="1" t="s">
        <v>195</v>
      </c>
      <c r="C1898" s="1" t="str">
        <f>"08726282"</f>
        <v>08726282</v>
      </c>
      <c r="D1898" s="1" t="s">
        <v>196</v>
      </c>
      <c r="F1898" s="1" t="str">
        <f>"61"</f>
        <v>61</v>
      </c>
      <c r="G1898" s="2">
        <v>41894</v>
      </c>
      <c r="H1898" s="1">
        <v>339000</v>
      </c>
      <c r="I1898" s="1">
        <v>321900</v>
      </c>
      <c r="J1898" s="1">
        <v>309000</v>
      </c>
      <c r="K1898" s="2">
        <v>41894</v>
      </c>
      <c r="L1898" s="1">
        <v>57</v>
      </c>
      <c r="M1898" s="2">
        <v>41950</v>
      </c>
      <c r="N1898" s="1">
        <v>57</v>
      </c>
      <c r="O1898" s="2">
        <v>41950</v>
      </c>
      <c r="P1898" s="1">
        <v>3770</v>
      </c>
      <c r="Q1898" s="1" t="s">
        <v>197</v>
      </c>
      <c r="R1898" s="2">
        <v>41995</v>
      </c>
      <c r="S1898" s="1">
        <v>33774</v>
      </c>
      <c r="U1898" s="1">
        <v>418</v>
      </c>
      <c r="V1898" s="1" t="s">
        <v>17522</v>
      </c>
      <c r="W1898" s="1" t="s">
        <v>449</v>
      </c>
      <c r="Y1898" s="1">
        <v>6</v>
      </c>
      <c r="Z1898" s="1" t="s">
        <v>370</v>
      </c>
      <c r="AA1898" s="1" t="s">
        <v>505</v>
      </c>
      <c r="AB1898" s="1">
        <v>60061</v>
      </c>
      <c r="AE1898" s="1" t="s">
        <v>17523</v>
      </c>
      <c r="AF1898" s="1">
        <v>2002</v>
      </c>
      <c r="AG1898" s="1" t="s">
        <v>204</v>
      </c>
      <c r="AH1898" s="1" t="s">
        <v>508</v>
      </c>
      <c r="AI1898" s="1" t="s">
        <v>509</v>
      </c>
      <c r="AJ1898" s="1" t="s">
        <v>510</v>
      </c>
      <c r="AL1898" s="1">
        <v>9</v>
      </c>
      <c r="AM1898" s="1">
        <v>2</v>
      </c>
      <c r="AN1898" s="1">
        <v>2</v>
      </c>
      <c r="AO1898" s="1">
        <v>2</v>
      </c>
      <c r="AP1898" s="1" t="s">
        <v>209</v>
      </c>
      <c r="AR1898" s="1" t="s">
        <v>1483</v>
      </c>
      <c r="AS1898" s="1" t="s">
        <v>213</v>
      </c>
      <c r="AT1898" s="1" t="s">
        <v>211</v>
      </c>
      <c r="AU1898" s="1">
        <v>2</v>
      </c>
      <c r="AW1898" s="1" t="s">
        <v>204</v>
      </c>
      <c r="AX1898" s="1" t="s">
        <v>1581</v>
      </c>
      <c r="AZ1898" s="1">
        <v>7783.89</v>
      </c>
      <c r="BA1898" s="1">
        <v>2013</v>
      </c>
      <c r="BB1898" s="1" t="s">
        <v>405</v>
      </c>
      <c r="BE1898" s="1">
        <v>1913</v>
      </c>
      <c r="BF1898" s="1">
        <v>1</v>
      </c>
      <c r="BG1898" s="1">
        <v>0</v>
      </c>
      <c r="BL1898" s="1">
        <v>268</v>
      </c>
      <c r="BM1898" s="1" t="s">
        <v>204</v>
      </c>
      <c r="BN1898" s="1" t="s">
        <v>213</v>
      </c>
      <c r="BO1898" s="1">
        <v>100</v>
      </c>
      <c r="BP1898" s="1" t="s">
        <v>204</v>
      </c>
      <c r="BR1898" s="1" t="str">
        <f>"11332080190000"</f>
        <v>11332080190000</v>
      </c>
      <c r="BT1898" s="1" t="s">
        <v>17524</v>
      </c>
      <c r="BU1898" s="1" t="s">
        <v>512</v>
      </c>
      <c r="BV1898" s="1" t="s">
        <v>513</v>
      </c>
      <c r="BW1898" s="1" t="s">
        <v>514</v>
      </c>
      <c r="BX1898" s="1">
        <v>73</v>
      </c>
      <c r="BY1898" s="1">
        <v>73</v>
      </c>
      <c r="BZ1898" s="1">
        <v>128</v>
      </c>
      <c r="CB1898" s="1" t="str">
        <f t="shared" ref="CB1898:CC1898" si="1443">""</f>
        <v/>
      </c>
      <c r="CC1898" s="1" t="str">
        <f t="shared" si="1443"/>
        <v/>
      </c>
      <c r="CG1898" s="1" t="s">
        <v>932</v>
      </c>
      <c r="CH1898" s="1" t="s">
        <v>219</v>
      </c>
      <c r="CI1898" s="1" t="s">
        <v>438</v>
      </c>
      <c r="CK1898" s="1" t="s">
        <v>5678</v>
      </c>
      <c r="CL1898" s="1" t="s">
        <v>277</v>
      </c>
      <c r="CM1898" s="1" t="s">
        <v>220</v>
      </c>
      <c r="CP1898" s="1" t="s">
        <v>224</v>
      </c>
      <c r="CQ1898" s="1" t="s">
        <v>438</v>
      </c>
      <c r="CS1898" s="1" t="s">
        <v>346</v>
      </c>
      <c r="CT1898" s="1" t="s">
        <v>277</v>
      </c>
      <c r="CX1898" s="1" t="s">
        <v>224</v>
      </c>
      <c r="DB1898" s="1" t="s">
        <v>224</v>
      </c>
      <c r="DE1898" s="1" t="s">
        <v>1454</v>
      </c>
      <c r="DF1898" s="1" t="s">
        <v>219</v>
      </c>
      <c r="DG1898" s="1" t="s">
        <v>438</v>
      </c>
      <c r="DJ1898" s="1" t="s">
        <v>224</v>
      </c>
      <c r="DM1898" s="1" t="s">
        <v>13023</v>
      </c>
      <c r="DN1898" s="1" t="s">
        <v>464</v>
      </c>
      <c r="DO1898" s="1" t="s">
        <v>934</v>
      </c>
      <c r="DP1898" s="1" t="s">
        <v>12913</v>
      </c>
      <c r="DQ1898" s="1" t="s">
        <v>709</v>
      </c>
      <c r="DR1898" s="1" t="s">
        <v>6226</v>
      </c>
      <c r="DS1898" s="1" t="s">
        <v>43</v>
      </c>
      <c r="DV1898" s="1" t="s">
        <v>932</v>
      </c>
      <c r="DW1898" s="1" t="s">
        <v>277</v>
      </c>
      <c r="DZ1898" s="1" t="s">
        <v>17525</v>
      </c>
      <c r="EA1898" s="1" t="s">
        <v>43</v>
      </c>
      <c r="EB1898" s="1" t="s">
        <v>220</v>
      </c>
      <c r="ED1898" s="1" t="s">
        <v>932</v>
      </c>
      <c r="EE1898" s="1" t="s">
        <v>43</v>
      </c>
      <c r="EF1898" s="1" t="s">
        <v>438</v>
      </c>
      <c r="EH1898" s="1" t="s">
        <v>17526</v>
      </c>
      <c r="EI1898" s="1" t="s">
        <v>219</v>
      </c>
      <c r="EL1898" s="1" t="s">
        <v>466</v>
      </c>
      <c r="EM1898" s="1" t="s">
        <v>232</v>
      </c>
      <c r="EN1898" s="1" t="s">
        <v>282</v>
      </c>
      <c r="EO1898" s="1" t="s">
        <v>234</v>
      </c>
      <c r="EQ1898" s="1" t="s">
        <v>17527</v>
      </c>
      <c r="ER1898" s="1" t="s">
        <v>544</v>
      </c>
      <c r="ES1898" s="1" t="s">
        <v>824</v>
      </c>
      <c r="ET1898" s="1" t="s">
        <v>1201</v>
      </c>
      <c r="EW1898" s="1" t="s">
        <v>887</v>
      </c>
      <c r="EY1898" s="1" t="s">
        <v>1315</v>
      </c>
      <c r="EZ1898" s="1" t="s">
        <v>17528</v>
      </c>
      <c r="FA1898" s="1" t="s">
        <v>17529</v>
      </c>
      <c r="FB1898" s="1" t="s">
        <v>4027</v>
      </c>
      <c r="FC1898" s="1" t="s">
        <v>2073</v>
      </c>
      <c r="FD1898" s="1" t="s">
        <v>9497</v>
      </c>
      <c r="FE1898" s="1" t="s">
        <v>975</v>
      </c>
      <c r="FF1898" s="1" t="s">
        <v>7408</v>
      </c>
      <c r="FH1898" s="1" t="s">
        <v>550</v>
      </c>
      <c r="FI1898" s="1" t="s">
        <v>473</v>
      </c>
      <c r="FJ1898" s="1" t="s">
        <v>518</v>
      </c>
      <c r="FL1898" s="1" t="s">
        <v>358</v>
      </c>
      <c r="FM1898" s="1" t="s">
        <v>252</v>
      </c>
      <c r="FN1898" s="1" t="s">
        <v>213</v>
      </c>
      <c r="FO1898" s="1" t="s">
        <v>213</v>
      </c>
      <c r="FQ1898" s="1" t="s">
        <v>1473</v>
      </c>
      <c r="FR1898" s="1" t="s">
        <v>210</v>
      </c>
      <c r="FS1898" s="1" t="s">
        <v>17530</v>
      </c>
      <c r="FT1898" s="1" t="s">
        <v>295</v>
      </c>
      <c r="FU1898" s="1" t="s">
        <v>204</v>
      </c>
      <c r="FV1898" s="1" t="s">
        <v>15235</v>
      </c>
      <c r="FW1898" s="1" t="s">
        <v>256</v>
      </c>
      <c r="FX1898" s="1">
        <v>2648</v>
      </c>
      <c r="FY1898" s="1" t="s">
        <v>1022</v>
      </c>
      <c r="FZ1898" s="1" t="s">
        <v>17531</v>
      </c>
      <c r="GA1898" s="1">
        <v>19057</v>
      </c>
      <c r="GB1898" s="1" t="s">
        <v>17532</v>
      </c>
      <c r="GD1898" s="1" t="s">
        <v>17533</v>
      </c>
      <c r="GE1898" s="1" t="s">
        <v>658</v>
      </c>
      <c r="GI1898" s="1" t="s">
        <v>213</v>
      </c>
      <c r="GJ1898" s="1" t="s">
        <v>260</v>
      </c>
      <c r="GK1898" s="1" t="s">
        <v>210</v>
      </c>
      <c r="GL1898" s="2">
        <v>41995</v>
      </c>
      <c r="GM1898" s="1" t="s">
        <v>17534</v>
      </c>
    </row>
    <row r="1899" spans="1:195">
      <c r="A1899" s="1">
        <v>229000</v>
      </c>
      <c r="B1899" s="1" t="s">
        <v>195</v>
      </c>
      <c r="C1899" s="1" t="str">
        <f>"08728632"</f>
        <v>08728632</v>
      </c>
      <c r="D1899" s="1" t="s">
        <v>196</v>
      </c>
      <c r="F1899" s="1" t="str">
        <f t="shared" ref="F1899:F1900" si="1444">"118"</f>
        <v>118</v>
      </c>
      <c r="G1899" s="2">
        <v>41897</v>
      </c>
      <c r="H1899" s="1">
        <v>229000</v>
      </c>
      <c r="I1899" s="1">
        <v>229000</v>
      </c>
      <c r="J1899" s="1">
        <v>229000</v>
      </c>
      <c r="K1899" s="2">
        <v>41897</v>
      </c>
      <c r="L1899" s="1">
        <v>153</v>
      </c>
      <c r="M1899" s="2">
        <v>42049</v>
      </c>
      <c r="N1899" s="1">
        <v>153</v>
      </c>
      <c r="O1899" s="2">
        <v>42049</v>
      </c>
      <c r="P1899" s="1">
        <v>4317</v>
      </c>
      <c r="Q1899" s="1" t="s">
        <v>302</v>
      </c>
      <c r="R1899" s="2">
        <v>42131</v>
      </c>
      <c r="S1899" s="1">
        <v>39485</v>
      </c>
      <c r="U1899" s="1">
        <v>110</v>
      </c>
      <c r="V1899" s="1" t="s">
        <v>17535</v>
      </c>
      <c r="W1899" s="1" t="s">
        <v>725</v>
      </c>
      <c r="X1899" s="1">
        <v>3</v>
      </c>
      <c r="Y1899" s="1">
        <v>6</v>
      </c>
      <c r="Z1899" s="1" t="s">
        <v>249</v>
      </c>
      <c r="AA1899" s="1" t="s">
        <v>8447</v>
      </c>
      <c r="AB1899" s="1">
        <v>60118</v>
      </c>
      <c r="AD1899" s="1" t="s">
        <v>17536</v>
      </c>
      <c r="AE1899" s="1" t="s">
        <v>17537</v>
      </c>
      <c r="AF1899" s="1">
        <v>2004</v>
      </c>
      <c r="AG1899" s="1" t="s">
        <v>204</v>
      </c>
      <c r="AH1899" s="1" t="s">
        <v>8450</v>
      </c>
      <c r="AI1899" s="1" t="s">
        <v>665</v>
      </c>
      <c r="AJ1899" s="1" t="s">
        <v>805</v>
      </c>
      <c r="AL1899" s="1">
        <v>5</v>
      </c>
      <c r="AM1899" s="1">
        <v>2</v>
      </c>
      <c r="AN1899" s="1">
        <v>2</v>
      </c>
      <c r="AO1899" s="1">
        <v>0</v>
      </c>
      <c r="AP1899" s="1" t="s">
        <v>209</v>
      </c>
      <c r="AQ1899" s="1">
        <v>1</v>
      </c>
      <c r="AR1899" s="1" t="s">
        <v>210</v>
      </c>
      <c r="AS1899" s="1" t="s">
        <v>204</v>
      </c>
      <c r="AT1899" s="1" t="s">
        <v>211</v>
      </c>
      <c r="AU1899" s="1">
        <v>2</v>
      </c>
      <c r="AW1899" s="1" t="s">
        <v>204</v>
      </c>
      <c r="AX1899" s="1" t="s">
        <v>212</v>
      </c>
      <c r="AZ1899" s="1">
        <v>5663.54</v>
      </c>
      <c r="BA1899" s="1">
        <v>2013</v>
      </c>
      <c r="BB1899" s="1" t="s">
        <v>405</v>
      </c>
      <c r="BC1899" s="1">
        <v>0</v>
      </c>
      <c r="BE1899" s="1">
        <v>1650</v>
      </c>
      <c r="BF1899" s="1">
        <v>2</v>
      </c>
      <c r="BG1899" s="1">
        <v>0</v>
      </c>
      <c r="BL1899" s="1">
        <v>300</v>
      </c>
      <c r="BM1899" s="1" t="s">
        <v>204</v>
      </c>
      <c r="BN1899" s="1" t="s">
        <v>213</v>
      </c>
      <c r="BO1899" s="1">
        <v>25</v>
      </c>
      <c r="BP1899" s="1" t="s">
        <v>204</v>
      </c>
      <c r="BR1899" s="1" t="str">
        <f>"0322478009"</f>
        <v>0322478009</v>
      </c>
      <c r="BT1899" s="1" t="s">
        <v>17538</v>
      </c>
      <c r="BU1899" s="1" t="s">
        <v>2666</v>
      </c>
      <c r="BV1899" s="1" t="s">
        <v>2667</v>
      </c>
      <c r="BW1899" s="1" t="s">
        <v>809</v>
      </c>
      <c r="BX1899" s="1">
        <v>300</v>
      </c>
      <c r="BY1899" s="1">
        <v>300</v>
      </c>
      <c r="BZ1899" s="1">
        <v>300</v>
      </c>
      <c r="CB1899" s="1" t="str">
        <f>"16"</f>
        <v>16</v>
      </c>
      <c r="CC1899" s="1" t="str">
        <f t="shared" ref="CC1899:CC1900" si="1445">"0"</f>
        <v>0</v>
      </c>
      <c r="CD1899" s="1">
        <v>34</v>
      </c>
      <c r="CE1899" s="1">
        <v>0</v>
      </c>
      <c r="CG1899" s="1" t="s">
        <v>707</v>
      </c>
      <c r="CH1899" s="1" t="s">
        <v>219</v>
      </c>
      <c r="CI1899" s="1" t="s">
        <v>347</v>
      </c>
      <c r="CK1899" s="1" t="s">
        <v>2747</v>
      </c>
      <c r="CL1899" s="1" t="s">
        <v>219</v>
      </c>
      <c r="CM1899" s="1" t="s">
        <v>220</v>
      </c>
      <c r="CO1899" s="1" t="s">
        <v>951</v>
      </c>
      <c r="CP1899" s="1" t="s">
        <v>219</v>
      </c>
      <c r="CQ1899" s="1" t="s">
        <v>347</v>
      </c>
      <c r="CS1899" s="1" t="s">
        <v>461</v>
      </c>
      <c r="CT1899" s="1" t="s">
        <v>219</v>
      </c>
      <c r="CU1899" s="1" t="s">
        <v>220</v>
      </c>
      <c r="CX1899" s="1" t="s">
        <v>224</v>
      </c>
      <c r="DB1899" s="1" t="s">
        <v>224</v>
      </c>
      <c r="DE1899" s="1" t="s">
        <v>346</v>
      </c>
      <c r="DF1899" s="1" t="s">
        <v>219</v>
      </c>
      <c r="DG1899" s="1" t="s">
        <v>347</v>
      </c>
      <c r="DJ1899" s="1" t="s">
        <v>224</v>
      </c>
      <c r="DM1899" s="1" t="s">
        <v>709</v>
      </c>
      <c r="DN1899" s="1" t="s">
        <v>1771</v>
      </c>
      <c r="DR1899" s="1" t="s">
        <v>7812</v>
      </c>
      <c r="DS1899" s="1" t="s">
        <v>219</v>
      </c>
      <c r="DT1899" s="1" t="s">
        <v>347</v>
      </c>
      <c r="DV1899" s="1" t="s">
        <v>910</v>
      </c>
      <c r="DW1899" s="1" t="s">
        <v>219</v>
      </c>
      <c r="EA1899" s="1" t="s">
        <v>230</v>
      </c>
      <c r="EE1899" s="1" t="s">
        <v>230</v>
      </c>
      <c r="EI1899" s="1" t="s">
        <v>230</v>
      </c>
      <c r="EL1899" s="1" t="s">
        <v>491</v>
      </c>
      <c r="EM1899" s="1" t="s">
        <v>319</v>
      </c>
      <c r="EN1899" s="1" t="s">
        <v>282</v>
      </c>
      <c r="EO1899" s="1" t="s">
        <v>840</v>
      </c>
      <c r="EP1899" s="1" t="s">
        <v>17539</v>
      </c>
      <c r="EQ1899" s="1" t="s">
        <v>1094</v>
      </c>
      <c r="ER1899" s="1" t="s">
        <v>210</v>
      </c>
      <c r="ET1899" s="1" t="s">
        <v>1201</v>
      </c>
      <c r="EU1899" s="1" t="s">
        <v>239</v>
      </c>
      <c r="EV1899" s="1" t="s">
        <v>240</v>
      </c>
      <c r="EW1899" s="1" t="s">
        <v>16650</v>
      </c>
      <c r="EY1899" s="1" t="s">
        <v>242</v>
      </c>
      <c r="EZ1899" s="1" t="s">
        <v>2948</v>
      </c>
      <c r="FA1899" s="1" t="s">
        <v>17540</v>
      </c>
      <c r="FD1899" s="1" t="s">
        <v>246</v>
      </c>
      <c r="FE1899" s="1" t="s">
        <v>247</v>
      </c>
      <c r="FF1899" s="1" t="s">
        <v>248</v>
      </c>
      <c r="FG1899" s="1" t="s">
        <v>871</v>
      </c>
      <c r="FH1899" s="1" t="s">
        <v>6474</v>
      </c>
      <c r="FI1899" s="1" t="s">
        <v>634</v>
      </c>
      <c r="FJ1899" s="1" t="s">
        <v>197</v>
      </c>
      <c r="FL1899" s="1" t="s">
        <v>414</v>
      </c>
      <c r="FM1899" s="1" t="s">
        <v>252</v>
      </c>
      <c r="FN1899" s="1" t="s">
        <v>213</v>
      </c>
      <c r="FO1899" s="1" t="s">
        <v>213</v>
      </c>
      <c r="FQ1899" s="1" t="s">
        <v>793</v>
      </c>
      <c r="FR1899" s="1" t="s">
        <v>210</v>
      </c>
      <c r="FS1899" s="1" t="s">
        <v>17541</v>
      </c>
      <c r="FT1899" s="1" t="s">
        <v>295</v>
      </c>
      <c r="FU1899" s="1" t="s">
        <v>204</v>
      </c>
      <c r="FW1899" s="1" t="s">
        <v>8625</v>
      </c>
      <c r="FX1899" s="1">
        <v>37</v>
      </c>
      <c r="FY1899" s="1" t="s">
        <v>8626</v>
      </c>
      <c r="FZ1899" s="1" t="s">
        <v>17542</v>
      </c>
      <c r="GA1899" s="1">
        <v>77100</v>
      </c>
      <c r="GB1899" s="1" t="s">
        <v>17543</v>
      </c>
      <c r="GC1899" s="1">
        <v>164</v>
      </c>
      <c r="GD1899" s="1" t="s">
        <v>17544</v>
      </c>
      <c r="GE1899" s="1" t="s">
        <v>210</v>
      </c>
      <c r="GH1899" s="1" t="s">
        <v>230</v>
      </c>
      <c r="GI1899" s="1" t="s">
        <v>213</v>
      </c>
      <c r="GJ1899" s="1" t="s">
        <v>260</v>
      </c>
      <c r="GK1899" s="1" t="s">
        <v>261</v>
      </c>
      <c r="GL1899" s="2">
        <v>42131</v>
      </c>
      <c r="GM1899" s="1" t="s">
        <v>17545</v>
      </c>
    </row>
    <row r="1900" spans="1:195">
      <c r="A1900" s="1">
        <v>116000</v>
      </c>
      <c r="B1900" s="1" t="s">
        <v>195</v>
      </c>
      <c r="C1900" s="1" t="str">
        <f>"08725801"</f>
        <v>08725801</v>
      </c>
      <c r="D1900" s="1" t="s">
        <v>196</v>
      </c>
      <c r="F1900" s="1" t="str">
        <f t="shared" si="1444"/>
        <v>118</v>
      </c>
      <c r="G1900" s="2">
        <v>41893</v>
      </c>
      <c r="H1900" s="1">
        <v>125000</v>
      </c>
      <c r="I1900" s="1">
        <v>114000</v>
      </c>
      <c r="J1900" s="1">
        <v>116000</v>
      </c>
      <c r="K1900" s="2">
        <v>41893</v>
      </c>
      <c r="L1900" s="1">
        <v>1118</v>
      </c>
      <c r="M1900" s="2">
        <v>41948</v>
      </c>
      <c r="N1900" s="1">
        <v>56</v>
      </c>
      <c r="O1900" s="2">
        <v>41948</v>
      </c>
      <c r="P1900" s="1">
        <v>8965</v>
      </c>
      <c r="Q1900" s="1" t="s">
        <v>197</v>
      </c>
      <c r="R1900" s="2">
        <v>41988</v>
      </c>
      <c r="S1900" s="1">
        <v>82080</v>
      </c>
      <c r="U1900" s="1">
        <v>611</v>
      </c>
      <c r="V1900" s="1" t="s">
        <v>17546</v>
      </c>
      <c r="W1900" s="1" t="s">
        <v>425</v>
      </c>
      <c r="Y1900" s="1">
        <v>6</v>
      </c>
      <c r="Z1900" s="1" t="s">
        <v>370</v>
      </c>
      <c r="AA1900" s="1" t="s">
        <v>4079</v>
      </c>
      <c r="AB1900" s="1">
        <v>60118</v>
      </c>
      <c r="AC1900" s="1">
        <v>3042</v>
      </c>
      <c r="AD1900" s="1" t="s">
        <v>17547</v>
      </c>
      <c r="AE1900" s="1" t="s">
        <v>17548</v>
      </c>
      <c r="AF1900" s="1">
        <v>1997</v>
      </c>
      <c r="AG1900" s="1" t="s">
        <v>204</v>
      </c>
      <c r="AH1900" s="1" t="s">
        <v>7861</v>
      </c>
      <c r="AI1900" s="1" t="s">
        <v>665</v>
      </c>
      <c r="AJ1900" s="1" t="s">
        <v>805</v>
      </c>
      <c r="AK1900" s="1" t="s">
        <v>17549</v>
      </c>
      <c r="AL1900" s="1">
        <v>6</v>
      </c>
      <c r="AM1900" s="1">
        <v>2</v>
      </c>
      <c r="AN1900" s="1">
        <v>1</v>
      </c>
      <c r="AO1900" s="1">
        <v>1</v>
      </c>
      <c r="AP1900" s="1" t="s">
        <v>667</v>
      </c>
      <c r="AQ1900" s="1">
        <v>0</v>
      </c>
      <c r="AR1900" s="1" t="s">
        <v>210</v>
      </c>
      <c r="AT1900" s="1" t="s">
        <v>211</v>
      </c>
      <c r="AU1900" s="1">
        <v>2</v>
      </c>
      <c r="AW1900" s="1" t="s">
        <v>204</v>
      </c>
      <c r="AX1900" s="1" t="s">
        <v>212</v>
      </c>
      <c r="AZ1900" s="1">
        <v>4363.4399999999996</v>
      </c>
      <c r="BA1900" s="1">
        <v>2012</v>
      </c>
      <c r="BB1900" s="1" t="s">
        <v>210</v>
      </c>
      <c r="BE1900" s="1">
        <v>1433</v>
      </c>
      <c r="BF1900" s="1">
        <v>1</v>
      </c>
      <c r="BG1900" s="1">
        <v>0</v>
      </c>
      <c r="BL1900" s="1">
        <v>159</v>
      </c>
      <c r="BM1900" s="1" t="s">
        <v>413</v>
      </c>
      <c r="BN1900" s="1" t="s">
        <v>213</v>
      </c>
      <c r="BO1900" s="1">
        <v>999</v>
      </c>
      <c r="BP1900" s="1" t="s">
        <v>204</v>
      </c>
      <c r="BR1900" s="1" t="str">
        <f>"0326204070"</f>
        <v>0326204070</v>
      </c>
      <c r="BT1900" s="1" t="s">
        <v>17550</v>
      </c>
      <c r="BV1900" s="1" t="s">
        <v>17551</v>
      </c>
      <c r="BW1900" s="1" t="s">
        <v>809</v>
      </c>
      <c r="BX1900" s="1">
        <v>300</v>
      </c>
      <c r="BY1900" s="1">
        <v>300</v>
      </c>
      <c r="BZ1900" s="1">
        <v>300</v>
      </c>
      <c r="CB1900" s="1" t="str">
        <f>"15"</f>
        <v>15</v>
      </c>
      <c r="CC1900" s="1" t="str">
        <f t="shared" si="1445"/>
        <v>0</v>
      </c>
      <c r="CD1900" s="1">
        <v>33</v>
      </c>
      <c r="CE1900" s="1">
        <v>0</v>
      </c>
      <c r="CG1900" s="1" t="s">
        <v>315</v>
      </c>
      <c r="CH1900" s="1" t="s">
        <v>219</v>
      </c>
      <c r="CI1900" s="1" t="s">
        <v>220</v>
      </c>
      <c r="CJ1900" s="1" t="s">
        <v>343</v>
      </c>
      <c r="CK1900" s="1" t="s">
        <v>757</v>
      </c>
      <c r="CL1900" s="1" t="s">
        <v>277</v>
      </c>
      <c r="CM1900" s="1" t="s">
        <v>220</v>
      </c>
      <c r="CN1900" s="1" t="s">
        <v>343</v>
      </c>
      <c r="CO1900" s="1" t="s">
        <v>1046</v>
      </c>
      <c r="CP1900" s="1" t="s">
        <v>219</v>
      </c>
      <c r="CQ1900" s="1" t="s">
        <v>220</v>
      </c>
      <c r="CR1900" s="1" t="s">
        <v>343</v>
      </c>
      <c r="CS1900" s="1" t="s">
        <v>318</v>
      </c>
      <c r="CT1900" s="1" t="s">
        <v>277</v>
      </c>
      <c r="CU1900" s="1" t="s">
        <v>220</v>
      </c>
      <c r="CV1900" s="1" t="s">
        <v>343</v>
      </c>
      <c r="CX1900" s="1" t="s">
        <v>224</v>
      </c>
      <c r="DB1900" s="1" t="s">
        <v>224</v>
      </c>
      <c r="DE1900" s="1" t="s">
        <v>317</v>
      </c>
      <c r="DF1900" s="1" t="s">
        <v>219</v>
      </c>
      <c r="DG1900" s="1" t="s">
        <v>342</v>
      </c>
      <c r="DH1900" s="1" t="s">
        <v>210</v>
      </c>
      <c r="DJ1900" s="1" t="s">
        <v>224</v>
      </c>
      <c r="DM1900" s="1" t="s">
        <v>464</v>
      </c>
      <c r="DR1900" s="1" t="s">
        <v>346</v>
      </c>
      <c r="DS1900" s="1" t="s">
        <v>277</v>
      </c>
      <c r="DT1900" s="1" t="s">
        <v>220</v>
      </c>
      <c r="DU1900" s="1" t="s">
        <v>210</v>
      </c>
      <c r="DW1900" s="1" t="s">
        <v>230</v>
      </c>
      <c r="EA1900" s="1" t="s">
        <v>230</v>
      </c>
      <c r="EE1900" s="1" t="s">
        <v>230</v>
      </c>
      <c r="EI1900" s="1" t="s">
        <v>230</v>
      </c>
      <c r="EL1900" s="1" t="s">
        <v>670</v>
      </c>
      <c r="EM1900" s="1" t="s">
        <v>319</v>
      </c>
      <c r="EN1900" s="1" t="s">
        <v>282</v>
      </c>
      <c r="EO1900" s="1" t="s">
        <v>234</v>
      </c>
      <c r="EP1900" s="1" t="s">
        <v>650</v>
      </c>
      <c r="EQ1900" s="1" t="s">
        <v>236</v>
      </c>
      <c r="ER1900" s="1" t="s">
        <v>210</v>
      </c>
      <c r="ES1900" s="1" t="s">
        <v>824</v>
      </c>
      <c r="EV1900" s="1" t="s">
        <v>352</v>
      </c>
      <c r="EW1900" s="1" t="s">
        <v>353</v>
      </c>
      <c r="EY1900" s="1" t="s">
        <v>242</v>
      </c>
      <c r="EZ1900" s="1" t="s">
        <v>464</v>
      </c>
      <c r="FA1900" s="1" t="s">
        <v>4285</v>
      </c>
      <c r="FB1900" s="1" t="s">
        <v>289</v>
      </c>
      <c r="FC1900" s="1" t="s">
        <v>633</v>
      </c>
      <c r="FD1900" s="1" t="s">
        <v>246</v>
      </c>
      <c r="FE1900" s="1" t="s">
        <v>1006</v>
      </c>
      <c r="FF1900" s="1" t="s">
        <v>248</v>
      </c>
      <c r="FH1900" s="1" t="s">
        <v>550</v>
      </c>
      <c r="FI1900" s="1" t="s">
        <v>473</v>
      </c>
      <c r="FJ1900" s="1" t="s">
        <v>3943</v>
      </c>
      <c r="FL1900" s="1" t="s">
        <v>358</v>
      </c>
      <c r="FM1900" s="1" t="s">
        <v>252</v>
      </c>
      <c r="FN1900" s="1" t="s">
        <v>213</v>
      </c>
      <c r="FO1900" s="1" t="s">
        <v>213</v>
      </c>
      <c r="FQ1900" s="1" t="s">
        <v>582</v>
      </c>
      <c r="FR1900" s="1" t="s">
        <v>210</v>
      </c>
      <c r="FS1900" s="1" t="s">
        <v>3944</v>
      </c>
      <c r="FT1900" s="1" t="s">
        <v>362</v>
      </c>
      <c r="FU1900" s="1" t="s">
        <v>204</v>
      </c>
      <c r="FW1900" s="1" t="s">
        <v>2144</v>
      </c>
      <c r="FX1900" s="1">
        <v>23163</v>
      </c>
      <c r="FY1900" s="1" t="s">
        <v>2145</v>
      </c>
      <c r="FZ1900" s="1" t="s">
        <v>3945</v>
      </c>
      <c r="GA1900" s="1">
        <v>256811</v>
      </c>
      <c r="GB1900" s="1" t="s">
        <v>3946</v>
      </c>
      <c r="GE1900" s="1" t="s">
        <v>210</v>
      </c>
      <c r="GI1900" s="1" t="s">
        <v>204</v>
      </c>
      <c r="GJ1900" s="1" t="s">
        <v>260</v>
      </c>
      <c r="GK1900" s="1" t="s">
        <v>210</v>
      </c>
      <c r="GL1900" s="2">
        <v>41991</v>
      </c>
      <c r="GM1900" s="1" t="s">
        <v>17552</v>
      </c>
    </row>
    <row r="1901" spans="1:195">
      <c r="A1901" s="1">
        <v>165700</v>
      </c>
      <c r="B1901" s="1" t="s">
        <v>195</v>
      </c>
      <c r="C1901" s="1" t="str">
        <f>"08727956"</f>
        <v>08727956</v>
      </c>
      <c r="D1901" s="1" t="s">
        <v>196</v>
      </c>
      <c r="F1901" s="1" t="str">
        <f>"562"</f>
        <v>562</v>
      </c>
      <c r="G1901" s="2">
        <v>41897</v>
      </c>
      <c r="H1901" s="1">
        <v>175000</v>
      </c>
      <c r="I1901" s="1">
        <v>175000</v>
      </c>
      <c r="J1901" s="1">
        <v>165700</v>
      </c>
      <c r="K1901" s="2">
        <v>41896</v>
      </c>
      <c r="L1901" s="1">
        <v>53</v>
      </c>
      <c r="M1901" s="2">
        <v>41948</v>
      </c>
      <c r="N1901" s="1">
        <v>53</v>
      </c>
      <c r="O1901" s="2">
        <v>41948</v>
      </c>
      <c r="P1901" s="1">
        <v>20001</v>
      </c>
      <c r="Q1901" s="1" t="s">
        <v>197</v>
      </c>
      <c r="R1901" s="2">
        <v>41983</v>
      </c>
      <c r="S1901" s="1">
        <v>214345</v>
      </c>
      <c r="U1901" s="1">
        <v>714</v>
      </c>
      <c r="V1901" s="1" t="s">
        <v>6232</v>
      </c>
      <c r="W1901" s="1" t="s">
        <v>264</v>
      </c>
      <c r="X1901" s="1">
        <v>202</v>
      </c>
      <c r="Y1901" s="1">
        <v>40</v>
      </c>
      <c r="Z1901" s="1" t="s">
        <v>249</v>
      </c>
      <c r="AA1901" s="1" t="s">
        <v>899</v>
      </c>
      <c r="AB1901" s="1">
        <v>60561</v>
      </c>
      <c r="AD1901" s="1" t="s">
        <v>17553</v>
      </c>
      <c r="AE1901" s="1" t="s">
        <v>17554</v>
      </c>
      <c r="AF1901" s="1">
        <v>1977</v>
      </c>
      <c r="AG1901" s="1" t="s">
        <v>213</v>
      </c>
      <c r="AH1901" s="1" t="s">
        <v>902</v>
      </c>
      <c r="AI1901" s="1" t="s">
        <v>206</v>
      </c>
      <c r="AJ1901" s="1" t="s">
        <v>903</v>
      </c>
      <c r="AL1901" s="1">
        <v>5</v>
      </c>
      <c r="AM1901" s="1">
        <v>2</v>
      </c>
      <c r="AN1901" s="1">
        <v>2</v>
      </c>
      <c r="AO1901" s="1">
        <v>0</v>
      </c>
      <c r="AP1901" s="1" t="s">
        <v>209</v>
      </c>
      <c r="AR1901" s="1" t="s">
        <v>210</v>
      </c>
      <c r="AS1901" s="1" t="s">
        <v>204</v>
      </c>
      <c r="AT1901" s="1" t="s">
        <v>211</v>
      </c>
      <c r="AU1901" s="1">
        <v>1</v>
      </c>
      <c r="AW1901" s="1" t="s">
        <v>204</v>
      </c>
      <c r="AX1901" s="1" t="s">
        <v>270</v>
      </c>
      <c r="AZ1901" s="1">
        <v>2890</v>
      </c>
      <c r="BA1901" s="1">
        <v>2013</v>
      </c>
      <c r="BB1901" s="1" t="s">
        <v>210</v>
      </c>
      <c r="BE1901" s="1">
        <v>1081</v>
      </c>
      <c r="BF1901" s="1">
        <v>2</v>
      </c>
      <c r="BG1901" s="1">
        <v>0</v>
      </c>
      <c r="BL1901" s="1">
        <v>268</v>
      </c>
      <c r="BM1901" s="1" t="s">
        <v>413</v>
      </c>
      <c r="BN1901" s="1" t="s">
        <v>213</v>
      </c>
      <c r="BO1901" s="1">
        <v>20</v>
      </c>
      <c r="BP1901" s="1" t="s">
        <v>204</v>
      </c>
      <c r="BR1901" s="1" t="str">
        <f>"0927320092"</f>
        <v>0927320092</v>
      </c>
      <c r="BT1901" s="1" t="s">
        <v>17555</v>
      </c>
      <c r="BU1901" s="1" t="s">
        <v>3097</v>
      </c>
      <c r="BV1901" s="1" t="s">
        <v>3098</v>
      </c>
      <c r="BW1901" s="1" t="s">
        <v>907</v>
      </c>
      <c r="BX1901" s="1">
        <v>61</v>
      </c>
      <c r="BY1901" s="1">
        <v>61</v>
      </c>
      <c r="BZ1901" s="1">
        <v>86</v>
      </c>
      <c r="CB1901" s="1" t="str">
        <f t="shared" ref="CB1901:CC1901" si="1446">"0"</f>
        <v>0</v>
      </c>
      <c r="CC1901" s="1" t="str">
        <f t="shared" si="1446"/>
        <v>0</v>
      </c>
      <c r="CD1901" s="1">
        <v>17</v>
      </c>
      <c r="CE1901" s="1">
        <v>8</v>
      </c>
      <c r="CG1901" s="1" t="s">
        <v>1936</v>
      </c>
      <c r="CH1901" s="1" t="s">
        <v>219</v>
      </c>
      <c r="CI1901" s="1" t="s">
        <v>229</v>
      </c>
      <c r="CK1901" s="1" t="s">
        <v>1045</v>
      </c>
      <c r="CL1901" s="1" t="s">
        <v>219</v>
      </c>
      <c r="CM1901" s="1" t="s">
        <v>229</v>
      </c>
      <c r="CO1901" s="1" t="s">
        <v>346</v>
      </c>
      <c r="CP1901" s="1" t="s">
        <v>219</v>
      </c>
      <c r="CQ1901" s="1" t="s">
        <v>229</v>
      </c>
      <c r="CS1901" s="1" t="s">
        <v>379</v>
      </c>
      <c r="CT1901" s="1" t="s">
        <v>219</v>
      </c>
      <c r="CU1901" s="1" t="s">
        <v>229</v>
      </c>
      <c r="CX1901" s="1" t="s">
        <v>224</v>
      </c>
      <c r="DB1901" s="1" t="s">
        <v>224</v>
      </c>
      <c r="DE1901" s="1" t="s">
        <v>465</v>
      </c>
      <c r="DF1901" s="1" t="s">
        <v>219</v>
      </c>
      <c r="DG1901" s="1" t="s">
        <v>17556</v>
      </c>
      <c r="DJ1901" s="1" t="s">
        <v>224</v>
      </c>
      <c r="DS1901" s="1" t="s">
        <v>230</v>
      </c>
      <c r="DW1901" s="1" t="s">
        <v>230</v>
      </c>
      <c r="EA1901" s="1" t="s">
        <v>230</v>
      </c>
      <c r="EE1901" s="1" t="s">
        <v>230</v>
      </c>
      <c r="EI1901" s="1" t="s">
        <v>230</v>
      </c>
      <c r="EL1901" s="1" t="s">
        <v>231</v>
      </c>
      <c r="EM1901" s="1" t="s">
        <v>730</v>
      </c>
      <c r="EN1901" s="1" t="s">
        <v>282</v>
      </c>
      <c r="EO1901" s="1" t="s">
        <v>234</v>
      </c>
      <c r="ER1901" s="1" t="s">
        <v>210</v>
      </c>
      <c r="EV1901" s="1" t="s">
        <v>240</v>
      </c>
      <c r="EW1901" s="1" t="s">
        <v>13063</v>
      </c>
      <c r="EZ1901" s="1" t="s">
        <v>287</v>
      </c>
      <c r="FA1901" s="1" t="s">
        <v>2723</v>
      </c>
      <c r="FD1901" s="1" t="s">
        <v>888</v>
      </c>
      <c r="FE1901" s="1" t="s">
        <v>247</v>
      </c>
      <c r="FF1901" s="1" t="s">
        <v>248</v>
      </c>
      <c r="FH1901" s="1" t="s">
        <v>249</v>
      </c>
      <c r="FL1901" s="1" t="s">
        <v>292</v>
      </c>
      <c r="FM1901" s="1" t="s">
        <v>252</v>
      </c>
      <c r="FN1901" s="1" t="s">
        <v>213</v>
      </c>
      <c r="FO1901" s="1" t="s">
        <v>213</v>
      </c>
      <c r="FQ1901" s="1" t="s">
        <v>956</v>
      </c>
      <c r="FR1901" s="1" t="s">
        <v>652</v>
      </c>
      <c r="FS1901" s="1" t="s">
        <v>17557</v>
      </c>
      <c r="FT1901" s="1" t="s">
        <v>1139</v>
      </c>
      <c r="FU1901" s="1" t="s">
        <v>204</v>
      </c>
      <c r="FW1901" s="1" t="s">
        <v>9076</v>
      </c>
      <c r="FX1901" s="1">
        <v>2512</v>
      </c>
      <c r="FY1901" s="1" t="s">
        <v>9077</v>
      </c>
      <c r="FZ1901" s="1" t="s">
        <v>17558</v>
      </c>
      <c r="GA1901" s="1">
        <v>239528</v>
      </c>
      <c r="GE1901" s="1" t="s">
        <v>210</v>
      </c>
      <c r="GI1901" s="1" t="s">
        <v>213</v>
      </c>
      <c r="GJ1901" s="1" t="s">
        <v>300</v>
      </c>
      <c r="GK1901" s="1" t="s">
        <v>210</v>
      </c>
      <c r="GL1901" s="2">
        <v>41984</v>
      </c>
    </row>
    <row r="1902" spans="1:195">
      <c r="A1902" s="1">
        <v>209900</v>
      </c>
      <c r="B1902" s="1" t="s">
        <v>195</v>
      </c>
      <c r="C1902" s="1" t="str">
        <f>"08789334"</f>
        <v>08789334</v>
      </c>
      <c r="D1902" s="1" t="s">
        <v>196</v>
      </c>
      <c r="F1902" s="1" t="str">
        <f>"190"</f>
        <v>190</v>
      </c>
      <c r="G1902" s="2">
        <v>41962</v>
      </c>
      <c r="H1902" s="1">
        <v>282000</v>
      </c>
      <c r="I1902" s="1">
        <v>209900</v>
      </c>
      <c r="J1902" s="1">
        <v>209900</v>
      </c>
      <c r="K1902" s="2">
        <v>41962</v>
      </c>
      <c r="L1902" s="1">
        <v>137</v>
      </c>
      <c r="M1902" s="2">
        <v>42098</v>
      </c>
      <c r="N1902" s="1">
        <v>137</v>
      </c>
      <c r="O1902" s="2">
        <v>42098</v>
      </c>
      <c r="P1902" s="1">
        <v>289</v>
      </c>
      <c r="Q1902" s="1" t="s">
        <v>197</v>
      </c>
      <c r="R1902" s="2">
        <v>42142</v>
      </c>
      <c r="S1902" s="1">
        <v>8590</v>
      </c>
      <c r="U1902" s="1" t="s">
        <v>17559</v>
      </c>
      <c r="V1902" s="1" t="s">
        <v>17560</v>
      </c>
      <c r="W1902" s="1" t="s">
        <v>304</v>
      </c>
      <c r="Y1902" s="1">
        <v>4</v>
      </c>
      <c r="Z1902" s="1" t="s">
        <v>370</v>
      </c>
      <c r="AA1902" s="1" t="s">
        <v>1915</v>
      </c>
      <c r="AB1902" s="1">
        <v>60190</v>
      </c>
      <c r="AD1902" s="1" t="s">
        <v>17561</v>
      </c>
      <c r="AE1902" s="1" t="s">
        <v>17562</v>
      </c>
      <c r="AF1902" s="1">
        <v>2003</v>
      </c>
      <c r="AG1902" s="1" t="s">
        <v>204</v>
      </c>
      <c r="AH1902" s="1" t="s">
        <v>987</v>
      </c>
      <c r="AI1902" s="1" t="s">
        <v>206</v>
      </c>
      <c r="AJ1902" s="1" t="s">
        <v>987</v>
      </c>
      <c r="AK1902" s="1" t="s">
        <v>9664</v>
      </c>
      <c r="AL1902" s="1">
        <v>7</v>
      </c>
      <c r="AM1902" s="1">
        <v>2</v>
      </c>
      <c r="AN1902" s="1">
        <v>2</v>
      </c>
      <c r="AO1902" s="1">
        <v>1</v>
      </c>
      <c r="AP1902" s="1" t="s">
        <v>209</v>
      </c>
      <c r="AQ1902" s="1">
        <v>1</v>
      </c>
      <c r="AR1902" s="1" t="s">
        <v>2165</v>
      </c>
      <c r="AS1902" s="1" t="s">
        <v>204</v>
      </c>
      <c r="AT1902" s="1" t="s">
        <v>211</v>
      </c>
      <c r="AU1902" s="1">
        <v>2</v>
      </c>
      <c r="AW1902" s="1" t="s">
        <v>204</v>
      </c>
      <c r="AX1902" s="1" t="s">
        <v>212</v>
      </c>
      <c r="AZ1902" s="1">
        <v>6050</v>
      </c>
      <c r="BA1902" s="1">
        <v>2013</v>
      </c>
      <c r="BE1902" s="1">
        <v>1361</v>
      </c>
      <c r="BF1902" s="1">
        <v>1</v>
      </c>
      <c r="BG1902" s="1">
        <v>1</v>
      </c>
      <c r="BL1902" s="1">
        <v>197</v>
      </c>
      <c r="BM1902" s="1" t="s">
        <v>204</v>
      </c>
      <c r="BN1902" s="1" t="s">
        <v>213</v>
      </c>
      <c r="BO1902" s="1">
        <v>999</v>
      </c>
      <c r="BP1902" s="1" t="s">
        <v>204</v>
      </c>
      <c r="BR1902" s="1" t="str">
        <f>"0413201075"</f>
        <v>0413201075</v>
      </c>
      <c r="BT1902" s="1" t="s">
        <v>17563</v>
      </c>
      <c r="BX1902" s="1">
        <v>34</v>
      </c>
      <c r="BY1902" s="1">
        <v>34</v>
      </c>
      <c r="BZ1902" s="1">
        <v>94</v>
      </c>
      <c r="CB1902" s="1" t="str">
        <f t="shared" ref="CB1902:CC1902" si="1447">""</f>
        <v/>
      </c>
      <c r="CC1902" s="1" t="str">
        <f t="shared" si="1447"/>
        <v/>
      </c>
      <c r="CD1902" s="1">
        <v>27</v>
      </c>
      <c r="CG1902" s="1" t="s">
        <v>314</v>
      </c>
      <c r="CH1902" s="1" t="s">
        <v>219</v>
      </c>
      <c r="CK1902" s="1" t="s">
        <v>1533</v>
      </c>
      <c r="CL1902" s="1" t="s">
        <v>277</v>
      </c>
      <c r="CO1902" s="1" t="s">
        <v>2560</v>
      </c>
      <c r="CP1902" s="1" t="s">
        <v>219</v>
      </c>
      <c r="CS1902" s="1" t="s">
        <v>315</v>
      </c>
      <c r="CT1902" s="1" t="s">
        <v>277</v>
      </c>
      <c r="CX1902" s="1" t="s">
        <v>224</v>
      </c>
      <c r="DB1902" s="1" t="s">
        <v>224</v>
      </c>
      <c r="DE1902" s="1" t="s">
        <v>228</v>
      </c>
      <c r="DF1902" s="1" t="s">
        <v>219</v>
      </c>
      <c r="DI1902" s="1" t="s">
        <v>669</v>
      </c>
      <c r="DJ1902" s="1" t="s">
        <v>822</v>
      </c>
      <c r="DM1902" s="1" t="s">
        <v>227</v>
      </c>
      <c r="DR1902" s="1" t="s">
        <v>281</v>
      </c>
      <c r="DS1902" s="1" t="s">
        <v>822</v>
      </c>
      <c r="DW1902" s="1" t="s">
        <v>230</v>
      </c>
      <c r="EA1902" s="1" t="s">
        <v>230</v>
      </c>
      <c r="EE1902" s="1" t="s">
        <v>230</v>
      </c>
      <c r="EI1902" s="1" t="s">
        <v>230</v>
      </c>
      <c r="EL1902" s="1" t="s">
        <v>466</v>
      </c>
      <c r="EM1902" s="1" t="s">
        <v>232</v>
      </c>
      <c r="EN1902" s="1" t="s">
        <v>282</v>
      </c>
      <c r="EO1902" s="1" t="s">
        <v>234</v>
      </c>
      <c r="ER1902" s="1" t="s">
        <v>544</v>
      </c>
      <c r="ES1902" s="1" t="s">
        <v>322</v>
      </c>
      <c r="EU1902" s="1" t="s">
        <v>1110</v>
      </c>
      <c r="EV1902" s="1" t="s">
        <v>324</v>
      </c>
      <c r="EW1902" s="1" t="s">
        <v>1372</v>
      </c>
      <c r="EZ1902" s="1" t="s">
        <v>227</v>
      </c>
      <c r="FD1902" s="1" t="s">
        <v>246</v>
      </c>
      <c r="FE1902" s="1" t="s">
        <v>549</v>
      </c>
      <c r="FF1902" s="1" t="s">
        <v>248</v>
      </c>
      <c r="FH1902" s="1" t="s">
        <v>550</v>
      </c>
      <c r="FL1902" s="1" t="s">
        <v>358</v>
      </c>
      <c r="FM1902" s="1" t="s">
        <v>252</v>
      </c>
      <c r="FN1902" s="1" t="s">
        <v>213</v>
      </c>
      <c r="FO1902" s="1" t="s">
        <v>213</v>
      </c>
      <c r="FQ1902" s="1" t="s">
        <v>689</v>
      </c>
      <c r="FR1902" s="1" t="s">
        <v>210</v>
      </c>
      <c r="FS1902" s="1" t="s">
        <v>1575</v>
      </c>
      <c r="FT1902" s="1" t="s">
        <v>584</v>
      </c>
      <c r="FU1902" s="1" t="s">
        <v>204</v>
      </c>
      <c r="FW1902" s="1" t="s">
        <v>1388</v>
      </c>
      <c r="FX1902" s="1">
        <v>23948</v>
      </c>
      <c r="FY1902" s="1" t="s">
        <v>1389</v>
      </c>
      <c r="FZ1902" s="1" t="s">
        <v>1390</v>
      </c>
      <c r="GA1902" s="1">
        <v>214765</v>
      </c>
      <c r="GB1902" s="1" t="s">
        <v>1391</v>
      </c>
      <c r="GE1902" s="1" t="s">
        <v>480</v>
      </c>
      <c r="GI1902" s="1" t="s">
        <v>213</v>
      </c>
      <c r="GJ1902" s="1" t="s">
        <v>260</v>
      </c>
      <c r="GK1902" s="1" t="s">
        <v>210</v>
      </c>
      <c r="GL1902" s="2">
        <v>42143</v>
      </c>
      <c r="GM1902" s="1" t="s">
        <v>17564</v>
      </c>
    </row>
    <row r="1903" spans="1:195">
      <c r="A1903" s="1">
        <v>86000</v>
      </c>
      <c r="B1903" s="1" t="s">
        <v>195</v>
      </c>
      <c r="C1903" s="1" t="str">
        <f>"08727573"</f>
        <v>08727573</v>
      </c>
      <c r="D1903" s="1" t="s">
        <v>196</v>
      </c>
      <c r="F1903" s="1" t="str">
        <f>"177"</f>
        <v>177</v>
      </c>
      <c r="G1903" s="2">
        <v>41895</v>
      </c>
      <c r="H1903" s="1">
        <v>119000</v>
      </c>
      <c r="I1903" s="1">
        <v>102000</v>
      </c>
      <c r="J1903" s="1">
        <v>86000</v>
      </c>
      <c r="K1903" s="2">
        <v>41895</v>
      </c>
      <c r="L1903" s="1">
        <v>54</v>
      </c>
      <c r="M1903" s="2">
        <v>41948</v>
      </c>
      <c r="N1903" s="1">
        <v>54</v>
      </c>
      <c r="O1903" s="2">
        <v>41948</v>
      </c>
      <c r="P1903" s="1">
        <v>7450</v>
      </c>
      <c r="Q1903" s="1" t="s">
        <v>302</v>
      </c>
      <c r="R1903" s="2">
        <v>42044</v>
      </c>
      <c r="S1903" s="1">
        <v>77290</v>
      </c>
      <c r="U1903" s="1">
        <v>221</v>
      </c>
      <c r="V1903" s="1" t="s">
        <v>8218</v>
      </c>
      <c r="W1903" s="1" t="s">
        <v>264</v>
      </c>
      <c r="X1903" s="1" t="s">
        <v>483</v>
      </c>
      <c r="Y1903" s="1">
        <v>6</v>
      </c>
      <c r="Z1903" s="1" t="s">
        <v>370</v>
      </c>
      <c r="AA1903" s="1" t="s">
        <v>1461</v>
      </c>
      <c r="AB1903" s="1">
        <v>60177</v>
      </c>
      <c r="AD1903" s="1" t="s">
        <v>10678</v>
      </c>
      <c r="AE1903" s="1" t="s">
        <v>17565</v>
      </c>
      <c r="AF1903" s="1">
        <v>2003</v>
      </c>
      <c r="AG1903" s="1" t="s">
        <v>204</v>
      </c>
      <c r="AH1903" s="1" t="s">
        <v>1464</v>
      </c>
      <c r="AI1903" s="1" t="s">
        <v>665</v>
      </c>
      <c r="AJ1903" s="1" t="s">
        <v>1175</v>
      </c>
      <c r="AL1903" s="1">
        <v>4</v>
      </c>
      <c r="AM1903" s="1">
        <v>2</v>
      </c>
      <c r="AN1903" s="1">
        <v>2</v>
      </c>
      <c r="AO1903" s="1">
        <v>1</v>
      </c>
      <c r="AP1903" s="1" t="s">
        <v>209</v>
      </c>
      <c r="AR1903" s="1" t="s">
        <v>210</v>
      </c>
      <c r="AS1903" s="1" t="s">
        <v>204</v>
      </c>
      <c r="AT1903" s="1" t="s">
        <v>211</v>
      </c>
      <c r="AU1903" s="1">
        <v>1</v>
      </c>
      <c r="AW1903" s="1" t="s">
        <v>204</v>
      </c>
      <c r="AX1903" s="1" t="s">
        <v>212</v>
      </c>
      <c r="AZ1903" s="1">
        <v>3077.93</v>
      </c>
      <c r="BA1903" s="1">
        <v>2013</v>
      </c>
      <c r="BB1903" s="1" t="s">
        <v>6874</v>
      </c>
      <c r="BE1903" s="1">
        <v>1213</v>
      </c>
      <c r="BF1903" s="1">
        <v>1</v>
      </c>
      <c r="BG1903" s="1">
        <v>0</v>
      </c>
      <c r="BL1903" s="1">
        <v>140</v>
      </c>
      <c r="BM1903" s="1" t="s">
        <v>204</v>
      </c>
      <c r="BN1903" s="1" t="s">
        <v>213</v>
      </c>
      <c r="BO1903" s="1">
        <v>50</v>
      </c>
      <c r="BP1903" s="1" t="s">
        <v>204</v>
      </c>
      <c r="BR1903" s="1" t="str">
        <f>"0632402110"</f>
        <v>0632402110</v>
      </c>
      <c r="BT1903" s="1" t="s">
        <v>17566</v>
      </c>
      <c r="BU1903" s="1" t="s">
        <v>8222</v>
      </c>
      <c r="BV1903" s="1" t="s">
        <v>11579</v>
      </c>
      <c r="BX1903" s="1">
        <v>303</v>
      </c>
      <c r="BY1903" s="1">
        <v>303</v>
      </c>
      <c r="BZ1903" s="1">
        <v>303</v>
      </c>
      <c r="CB1903" s="1" t="str">
        <f t="shared" ref="CB1903:CC1903" si="1448">""</f>
        <v/>
      </c>
      <c r="CC1903" s="1" t="str">
        <f t="shared" si="1448"/>
        <v/>
      </c>
      <c r="CG1903" s="1" t="s">
        <v>885</v>
      </c>
      <c r="CH1903" s="1" t="s">
        <v>219</v>
      </c>
      <c r="CK1903" s="1" t="s">
        <v>564</v>
      </c>
      <c r="CL1903" s="1" t="s">
        <v>277</v>
      </c>
      <c r="CP1903" s="1" t="s">
        <v>224</v>
      </c>
      <c r="CS1903" s="1" t="s">
        <v>346</v>
      </c>
      <c r="CT1903" s="1" t="s">
        <v>277</v>
      </c>
      <c r="CX1903" s="1" t="s">
        <v>224</v>
      </c>
      <c r="DB1903" s="1" t="s">
        <v>224</v>
      </c>
      <c r="DE1903" s="1" t="s">
        <v>1133</v>
      </c>
      <c r="DF1903" s="1" t="s">
        <v>219</v>
      </c>
      <c r="DJ1903" s="1" t="s">
        <v>224</v>
      </c>
      <c r="DS1903" s="1" t="s">
        <v>230</v>
      </c>
      <c r="DW1903" s="1" t="s">
        <v>230</v>
      </c>
      <c r="EA1903" s="1" t="s">
        <v>230</v>
      </c>
      <c r="EE1903" s="1" t="s">
        <v>230</v>
      </c>
      <c r="EI1903" s="1" t="s">
        <v>230</v>
      </c>
      <c r="EL1903" s="1" t="s">
        <v>466</v>
      </c>
      <c r="EM1903" s="1" t="s">
        <v>319</v>
      </c>
      <c r="EN1903" s="1" t="s">
        <v>282</v>
      </c>
      <c r="EO1903" s="1" t="s">
        <v>234</v>
      </c>
      <c r="ER1903" s="1" t="s">
        <v>383</v>
      </c>
      <c r="EW1903" s="1" t="s">
        <v>6645</v>
      </c>
      <c r="EZ1903" s="1" t="s">
        <v>287</v>
      </c>
      <c r="FB1903" s="1" t="s">
        <v>289</v>
      </c>
      <c r="FD1903" s="1" t="s">
        <v>246</v>
      </c>
      <c r="FE1903" s="1" t="s">
        <v>975</v>
      </c>
      <c r="FF1903" s="1" t="s">
        <v>248</v>
      </c>
      <c r="FH1903" s="1" t="s">
        <v>249</v>
      </c>
      <c r="FJ1903" s="1" t="s">
        <v>1472</v>
      </c>
      <c r="FL1903" s="1" t="s">
        <v>358</v>
      </c>
      <c r="FM1903" s="1" t="s">
        <v>252</v>
      </c>
      <c r="FN1903" s="1" t="s">
        <v>213</v>
      </c>
      <c r="FO1903" s="1" t="s">
        <v>213</v>
      </c>
      <c r="FQ1903" s="1" t="s">
        <v>17567</v>
      </c>
      <c r="FR1903" s="1" t="s">
        <v>210</v>
      </c>
      <c r="FS1903" s="1" t="s">
        <v>17568</v>
      </c>
      <c r="FT1903" s="1" t="s">
        <v>520</v>
      </c>
      <c r="FU1903" s="1" t="s">
        <v>204</v>
      </c>
      <c r="FW1903" s="1" t="s">
        <v>3291</v>
      </c>
      <c r="FX1903" s="1">
        <v>7450</v>
      </c>
      <c r="FY1903" s="1" t="s">
        <v>3292</v>
      </c>
      <c r="FZ1903" s="1" t="s">
        <v>17569</v>
      </c>
      <c r="GA1903" s="1">
        <v>77290</v>
      </c>
      <c r="GB1903" s="1" t="s">
        <v>17570</v>
      </c>
      <c r="GE1903" s="1" t="s">
        <v>210</v>
      </c>
      <c r="GI1903" s="1" t="s">
        <v>213</v>
      </c>
      <c r="GJ1903" s="1" t="s">
        <v>260</v>
      </c>
      <c r="GK1903" s="1" t="s">
        <v>210</v>
      </c>
      <c r="GL1903" s="2">
        <v>42044</v>
      </c>
      <c r="GM1903" s="1" t="s">
        <v>17571</v>
      </c>
    </row>
    <row r="1904" spans="1:195">
      <c r="A1904" s="1">
        <v>86450</v>
      </c>
      <c r="B1904" s="1" t="s">
        <v>195</v>
      </c>
      <c r="C1904" s="1" t="str">
        <f>"08734347"</f>
        <v>08734347</v>
      </c>
      <c r="D1904" s="1" t="s">
        <v>196</v>
      </c>
      <c r="F1904" s="1" t="str">
        <f>"85"</f>
        <v>85</v>
      </c>
      <c r="G1904" s="2">
        <v>41904</v>
      </c>
      <c r="H1904" s="1">
        <v>99000</v>
      </c>
      <c r="I1904" s="1">
        <v>99000</v>
      </c>
      <c r="J1904" s="1">
        <v>86450</v>
      </c>
      <c r="K1904" s="2">
        <v>41904</v>
      </c>
      <c r="L1904" s="1">
        <v>74</v>
      </c>
      <c r="M1904" s="2">
        <v>41977</v>
      </c>
      <c r="N1904" s="1">
        <v>74</v>
      </c>
      <c r="O1904" s="2">
        <v>41977</v>
      </c>
      <c r="P1904" s="1">
        <v>25113</v>
      </c>
      <c r="Q1904" s="1" t="s">
        <v>197</v>
      </c>
      <c r="R1904" s="2">
        <v>42041</v>
      </c>
      <c r="S1904" s="1">
        <v>239805</v>
      </c>
      <c r="U1904" s="1">
        <v>4390</v>
      </c>
      <c r="V1904" s="1" t="s">
        <v>15575</v>
      </c>
      <c r="W1904" s="1" t="s">
        <v>3006</v>
      </c>
      <c r="X1904" s="1">
        <v>4390</v>
      </c>
      <c r="Y1904" s="1">
        <v>6</v>
      </c>
      <c r="Z1904" s="1" t="s">
        <v>249</v>
      </c>
      <c r="AA1904" s="1" t="s">
        <v>2507</v>
      </c>
      <c r="AB1904" s="1">
        <v>60085</v>
      </c>
      <c r="AE1904" s="1" t="s">
        <v>17572</v>
      </c>
      <c r="AF1904" s="1">
        <v>1994</v>
      </c>
      <c r="AG1904" s="1" t="s">
        <v>204</v>
      </c>
      <c r="AH1904" s="1" t="s">
        <v>2509</v>
      </c>
      <c r="AI1904" s="1" t="s">
        <v>509</v>
      </c>
      <c r="AJ1904" s="1" t="s">
        <v>2509</v>
      </c>
      <c r="AL1904" s="1">
        <v>4</v>
      </c>
      <c r="AM1904" s="1">
        <v>2</v>
      </c>
      <c r="AN1904" s="1">
        <v>1</v>
      </c>
      <c r="AO1904" s="1">
        <v>1</v>
      </c>
      <c r="AP1904" s="1" t="s">
        <v>210</v>
      </c>
      <c r="AR1904" s="1" t="s">
        <v>210</v>
      </c>
      <c r="AS1904" s="1" t="s">
        <v>204</v>
      </c>
      <c r="AT1904" s="1" t="s">
        <v>211</v>
      </c>
      <c r="AU1904" s="1">
        <v>1</v>
      </c>
      <c r="AW1904" s="1" t="s">
        <v>204</v>
      </c>
      <c r="AX1904" s="1" t="s">
        <v>212</v>
      </c>
      <c r="AZ1904" s="1">
        <v>4841.51</v>
      </c>
      <c r="BA1904" s="1">
        <v>2013</v>
      </c>
      <c r="BB1904" s="1" t="s">
        <v>405</v>
      </c>
      <c r="BE1904" s="1">
        <v>1243</v>
      </c>
      <c r="BF1904" s="1">
        <v>1</v>
      </c>
      <c r="BG1904" s="1">
        <v>0</v>
      </c>
      <c r="BL1904" s="1">
        <v>166</v>
      </c>
      <c r="BM1904" s="1" t="s">
        <v>204</v>
      </c>
      <c r="BN1904" s="1" t="s">
        <v>213</v>
      </c>
      <c r="BO1904" s="1">
        <v>0</v>
      </c>
      <c r="BP1904" s="1" t="s">
        <v>204</v>
      </c>
      <c r="BR1904" s="1" t="str">
        <f>"07352081100000"</f>
        <v>07352081100000</v>
      </c>
      <c r="BT1904" s="1" t="s">
        <v>17573</v>
      </c>
      <c r="BX1904" s="1">
        <v>50</v>
      </c>
      <c r="BY1904" s="1">
        <v>50</v>
      </c>
      <c r="BZ1904" s="1">
        <v>121</v>
      </c>
      <c r="CB1904" s="1" t="str">
        <f>"32"</f>
        <v>32</v>
      </c>
      <c r="CC1904" s="1" t="str">
        <f>"0"</f>
        <v>0</v>
      </c>
      <c r="CD1904" s="1">
        <v>14</v>
      </c>
      <c r="CE1904" s="1">
        <v>0</v>
      </c>
      <c r="CG1904" s="1" t="s">
        <v>2402</v>
      </c>
      <c r="CH1904" s="1" t="s">
        <v>219</v>
      </c>
      <c r="CI1904" s="1" t="s">
        <v>347</v>
      </c>
      <c r="CJ1904" s="1" t="s">
        <v>210</v>
      </c>
      <c r="CK1904" s="1" t="s">
        <v>1737</v>
      </c>
      <c r="CL1904" s="1" t="s">
        <v>277</v>
      </c>
      <c r="CM1904" s="1" t="s">
        <v>347</v>
      </c>
      <c r="CN1904" s="1" t="s">
        <v>210</v>
      </c>
      <c r="CP1904" s="1" t="s">
        <v>224</v>
      </c>
      <c r="CR1904" s="1" t="s">
        <v>210</v>
      </c>
      <c r="CS1904" s="1" t="s">
        <v>465</v>
      </c>
      <c r="CT1904" s="1" t="s">
        <v>277</v>
      </c>
      <c r="CU1904" s="1" t="s">
        <v>347</v>
      </c>
      <c r="CV1904" s="1" t="s">
        <v>210</v>
      </c>
      <c r="CX1904" s="1" t="s">
        <v>224</v>
      </c>
      <c r="DB1904" s="1" t="s">
        <v>224</v>
      </c>
      <c r="DE1904" s="1" t="s">
        <v>465</v>
      </c>
      <c r="DF1904" s="1" t="s">
        <v>219</v>
      </c>
      <c r="DJ1904" s="1" t="s">
        <v>224</v>
      </c>
      <c r="DL1904" s="1" t="s">
        <v>210</v>
      </c>
      <c r="DS1904" s="1" t="s">
        <v>230</v>
      </c>
      <c r="DW1904" s="1" t="s">
        <v>230</v>
      </c>
      <c r="EA1904" s="1" t="s">
        <v>230</v>
      </c>
      <c r="EE1904" s="1" t="s">
        <v>230</v>
      </c>
      <c r="EI1904" s="1" t="s">
        <v>230</v>
      </c>
      <c r="EL1904" s="1" t="s">
        <v>670</v>
      </c>
      <c r="EM1904" s="1" t="s">
        <v>319</v>
      </c>
      <c r="EN1904" s="1" t="s">
        <v>282</v>
      </c>
      <c r="EO1904" s="1" t="s">
        <v>234</v>
      </c>
      <c r="EQ1904" s="1" t="s">
        <v>468</v>
      </c>
      <c r="ER1904" s="1" t="s">
        <v>383</v>
      </c>
      <c r="ES1904" s="1" t="s">
        <v>493</v>
      </c>
      <c r="EU1904" s="1" t="s">
        <v>239</v>
      </c>
      <c r="EW1904" s="1" t="s">
        <v>887</v>
      </c>
      <c r="EY1904" s="1" t="s">
        <v>242</v>
      </c>
      <c r="EZ1904" s="1" t="s">
        <v>287</v>
      </c>
      <c r="FA1904" s="1" t="s">
        <v>1427</v>
      </c>
      <c r="FB1904" s="1" t="s">
        <v>289</v>
      </c>
      <c r="FD1904" s="1" t="s">
        <v>246</v>
      </c>
      <c r="FE1904" s="1" t="s">
        <v>472</v>
      </c>
      <c r="FF1904" s="1" t="s">
        <v>248</v>
      </c>
      <c r="FH1904" s="1" t="s">
        <v>249</v>
      </c>
      <c r="FJ1904" s="1" t="s">
        <v>197</v>
      </c>
      <c r="FL1904" s="1" t="s">
        <v>358</v>
      </c>
      <c r="FM1904" s="1" t="s">
        <v>252</v>
      </c>
      <c r="FN1904" s="1" t="s">
        <v>213</v>
      </c>
      <c r="FO1904" s="1" t="s">
        <v>213</v>
      </c>
      <c r="FQ1904" s="1" t="s">
        <v>2091</v>
      </c>
      <c r="FR1904" s="1" t="s">
        <v>360</v>
      </c>
      <c r="FS1904" s="1" t="s">
        <v>17574</v>
      </c>
      <c r="FT1904" s="1" t="s">
        <v>17575</v>
      </c>
      <c r="FU1904" s="1" t="s">
        <v>204</v>
      </c>
      <c r="FW1904" s="1" t="s">
        <v>16827</v>
      </c>
      <c r="FX1904" s="1">
        <v>1515</v>
      </c>
      <c r="FY1904" s="1" t="s">
        <v>16828</v>
      </c>
      <c r="FZ1904" s="1" t="s">
        <v>17576</v>
      </c>
      <c r="GA1904" s="1">
        <v>88761</v>
      </c>
      <c r="GB1904" s="1" t="s">
        <v>17577</v>
      </c>
      <c r="GD1904" s="1" t="s">
        <v>17578</v>
      </c>
      <c r="GE1904" s="1" t="s">
        <v>480</v>
      </c>
      <c r="GH1904" s="1" t="s">
        <v>589</v>
      </c>
      <c r="GI1904" s="1" t="s">
        <v>213</v>
      </c>
      <c r="GJ1904" s="1" t="s">
        <v>260</v>
      </c>
      <c r="GK1904" s="1" t="s">
        <v>210</v>
      </c>
      <c r="GL1904" s="2">
        <v>42041</v>
      </c>
      <c r="GM1904" s="1" t="s">
        <v>17579</v>
      </c>
    </row>
    <row r="1905" spans="1:195">
      <c r="A1905" s="1">
        <v>147000</v>
      </c>
      <c r="B1905" s="1" t="s">
        <v>195</v>
      </c>
      <c r="C1905" s="1" t="str">
        <f>"08728748"</f>
        <v>08728748</v>
      </c>
      <c r="D1905" s="1" t="s">
        <v>196</v>
      </c>
      <c r="F1905" s="1" t="str">
        <f>"190"</f>
        <v>190</v>
      </c>
      <c r="G1905" s="2">
        <v>41897</v>
      </c>
      <c r="H1905" s="1">
        <v>154000</v>
      </c>
      <c r="I1905" s="1">
        <v>154000</v>
      </c>
      <c r="J1905" s="1">
        <v>147000</v>
      </c>
      <c r="K1905" s="2">
        <v>41897</v>
      </c>
      <c r="L1905" s="1">
        <v>42</v>
      </c>
      <c r="M1905" s="2">
        <v>41935</v>
      </c>
      <c r="N1905" s="1">
        <v>39</v>
      </c>
      <c r="O1905" s="2">
        <v>41935</v>
      </c>
      <c r="P1905" s="1">
        <v>25266</v>
      </c>
      <c r="Q1905" s="1" t="s">
        <v>302</v>
      </c>
      <c r="R1905" s="2">
        <v>41985</v>
      </c>
      <c r="S1905" s="1">
        <v>231049</v>
      </c>
      <c r="U1905" s="1" t="s">
        <v>5938</v>
      </c>
      <c r="V1905" s="1" t="s">
        <v>3159</v>
      </c>
      <c r="W1905" s="1" t="s">
        <v>304</v>
      </c>
      <c r="X1905" s="1">
        <v>501</v>
      </c>
      <c r="Y1905" s="1">
        <v>4</v>
      </c>
      <c r="Z1905" s="1" t="s">
        <v>249</v>
      </c>
      <c r="AA1905" s="1" t="s">
        <v>1915</v>
      </c>
      <c r="AB1905" s="1">
        <v>60190</v>
      </c>
      <c r="AD1905" s="1" t="s">
        <v>1916</v>
      </c>
      <c r="AE1905" s="1" t="s">
        <v>17580</v>
      </c>
      <c r="AF1905" s="1">
        <v>1979</v>
      </c>
      <c r="AG1905" s="1" t="s">
        <v>204</v>
      </c>
      <c r="AH1905" s="1" t="s">
        <v>987</v>
      </c>
      <c r="AI1905" s="1" t="s">
        <v>206</v>
      </c>
      <c r="AJ1905" s="1" t="s">
        <v>987</v>
      </c>
      <c r="AL1905" s="1">
        <v>6</v>
      </c>
      <c r="AM1905" s="1">
        <v>2</v>
      </c>
      <c r="AN1905" s="1">
        <v>2</v>
      </c>
      <c r="AO1905" s="1">
        <v>0</v>
      </c>
      <c r="AP1905" s="1" t="s">
        <v>209</v>
      </c>
      <c r="AQ1905" s="1">
        <v>1</v>
      </c>
      <c r="AR1905" s="1" t="s">
        <v>210</v>
      </c>
      <c r="AS1905" s="1" t="s">
        <v>204</v>
      </c>
      <c r="AT1905" s="1" t="s">
        <v>211</v>
      </c>
      <c r="AU1905" s="1">
        <v>1</v>
      </c>
      <c r="AW1905" s="1" t="s">
        <v>213</v>
      </c>
      <c r="AX1905" s="1" t="s">
        <v>212</v>
      </c>
      <c r="AZ1905" s="5">
        <v>3612.02</v>
      </c>
      <c r="BA1905" s="1">
        <v>2013</v>
      </c>
      <c r="BC1905" s="1">
        <v>0</v>
      </c>
      <c r="BE1905" s="1">
        <v>1331</v>
      </c>
      <c r="BF1905" s="1">
        <v>1</v>
      </c>
      <c r="BG1905" s="1">
        <v>30</v>
      </c>
      <c r="BL1905" s="1">
        <v>247</v>
      </c>
      <c r="BM1905" s="1" t="s">
        <v>204</v>
      </c>
      <c r="BN1905" s="1" t="s">
        <v>213</v>
      </c>
      <c r="BO1905" s="1">
        <v>30</v>
      </c>
      <c r="BP1905" s="1" t="s">
        <v>204</v>
      </c>
      <c r="BR1905" s="1" t="str">
        <f>"0412307033"</f>
        <v>0412307033</v>
      </c>
      <c r="BT1905" s="1" t="s">
        <v>17581</v>
      </c>
      <c r="BU1905" s="1" t="s">
        <v>3162</v>
      </c>
      <c r="BV1905" s="1" t="s">
        <v>3163</v>
      </c>
      <c r="BW1905" s="1" t="s">
        <v>1675</v>
      </c>
      <c r="BX1905" s="1">
        <v>34</v>
      </c>
      <c r="BY1905" s="1">
        <v>34</v>
      </c>
      <c r="BZ1905" s="1">
        <v>94</v>
      </c>
      <c r="CB1905" s="1" t="str">
        <f t="shared" ref="CB1905:CC1905" si="1449">""</f>
        <v/>
      </c>
      <c r="CC1905" s="1" t="str">
        <f t="shared" si="1449"/>
        <v/>
      </c>
      <c r="CG1905" s="1" t="s">
        <v>861</v>
      </c>
      <c r="CH1905" s="1" t="s">
        <v>219</v>
      </c>
      <c r="CI1905" s="1" t="s">
        <v>220</v>
      </c>
      <c r="CK1905" s="1" t="s">
        <v>932</v>
      </c>
      <c r="CL1905" s="1" t="s">
        <v>219</v>
      </c>
      <c r="CM1905" s="1" t="s">
        <v>220</v>
      </c>
      <c r="CO1905" s="1" t="s">
        <v>409</v>
      </c>
      <c r="CP1905" s="1" t="s">
        <v>219</v>
      </c>
      <c r="CQ1905" s="1" t="s">
        <v>220</v>
      </c>
      <c r="CS1905" s="1" t="s">
        <v>344</v>
      </c>
      <c r="CT1905" s="1" t="s">
        <v>219</v>
      </c>
      <c r="CU1905" s="1" t="s">
        <v>220</v>
      </c>
      <c r="CX1905" s="1" t="s">
        <v>224</v>
      </c>
      <c r="DB1905" s="1" t="s">
        <v>224</v>
      </c>
      <c r="DE1905" s="1" t="s">
        <v>3888</v>
      </c>
      <c r="DF1905" s="1" t="s">
        <v>219</v>
      </c>
      <c r="DJ1905" s="1" t="s">
        <v>224</v>
      </c>
      <c r="DM1905" s="1" t="s">
        <v>1005</v>
      </c>
      <c r="DR1905" s="1" t="s">
        <v>379</v>
      </c>
      <c r="DS1905" s="1" t="s">
        <v>219</v>
      </c>
      <c r="DT1905" s="1" t="s">
        <v>220</v>
      </c>
      <c r="DW1905" s="1" t="s">
        <v>230</v>
      </c>
      <c r="EA1905" s="1" t="s">
        <v>230</v>
      </c>
      <c r="EE1905" s="1" t="s">
        <v>230</v>
      </c>
      <c r="EI1905" s="1" t="s">
        <v>230</v>
      </c>
      <c r="EL1905" s="1" t="s">
        <v>231</v>
      </c>
      <c r="EM1905" s="1" t="s">
        <v>232</v>
      </c>
      <c r="EN1905" s="1" t="s">
        <v>282</v>
      </c>
      <c r="EO1905" s="1" t="s">
        <v>234</v>
      </c>
      <c r="EP1905" s="1" t="s">
        <v>5942</v>
      </c>
      <c r="EQ1905" s="1" t="s">
        <v>492</v>
      </c>
      <c r="ER1905" s="1" t="s">
        <v>210</v>
      </c>
      <c r="ES1905" s="1" t="s">
        <v>824</v>
      </c>
      <c r="EU1905" s="1" t="s">
        <v>7601</v>
      </c>
      <c r="EV1905" s="1" t="s">
        <v>352</v>
      </c>
      <c r="EW1905" s="1" t="s">
        <v>11631</v>
      </c>
      <c r="EZ1905" s="1" t="s">
        <v>1005</v>
      </c>
      <c r="FA1905" s="1" t="s">
        <v>1270</v>
      </c>
      <c r="FC1905" s="1" t="s">
        <v>3976</v>
      </c>
      <c r="FD1905" s="1" t="s">
        <v>246</v>
      </c>
      <c r="FE1905" s="1" t="s">
        <v>975</v>
      </c>
      <c r="FF1905" s="1" t="s">
        <v>248</v>
      </c>
      <c r="FH1905" s="1" t="s">
        <v>249</v>
      </c>
      <c r="FI1905" s="1" t="s">
        <v>473</v>
      </c>
      <c r="FJ1905" s="1" t="s">
        <v>1251</v>
      </c>
      <c r="FL1905" s="1" t="s">
        <v>358</v>
      </c>
      <c r="FM1905" s="1" t="s">
        <v>252</v>
      </c>
      <c r="FN1905" s="1" t="s">
        <v>213</v>
      </c>
      <c r="FO1905" s="1" t="s">
        <v>213</v>
      </c>
      <c r="FQ1905" s="1" t="s">
        <v>793</v>
      </c>
      <c r="FR1905" s="1" t="s">
        <v>210</v>
      </c>
      <c r="FS1905" s="1" t="s">
        <v>3061</v>
      </c>
      <c r="FT1905" s="1" t="s">
        <v>362</v>
      </c>
      <c r="FU1905" s="1" t="s">
        <v>204</v>
      </c>
      <c r="FW1905" s="1" t="s">
        <v>915</v>
      </c>
      <c r="FX1905" s="1">
        <v>25088</v>
      </c>
      <c r="FY1905" s="1" t="s">
        <v>1761</v>
      </c>
      <c r="FZ1905" s="1" t="s">
        <v>5945</v>
      </c>
      <c r="GA1905" s="1">
        <v>255038</v>
      </c>
      <c r="GB1905" s="1" t="s">
        <v>5946</v>
      </c>
      <c r="GE1905" s="1" t="s">
        <v>1256</v>
      </c>
      <c r="GI1905" s="1" t="s">
        <v>213</v>
      </c>
      <c r="GJ1905" s="1" t="s">
        <v>260</v>
      </c>
      <c r="GK1905" s="1" t="s">
        <v>210</v>
      </c>
      <c r="GL1905" s="2">
        <v>41985</v>
      </c>
      <c r="GM1905" s="1" t="s">
        <v>17582</v>
      </c>
    </row>
    <row r="1906" spans="1:195">
      <c r="A1906" s="1">
        <v>104000</v>
      </c>
      <c r="B1906" s="1" t="s">
        <v>195</v>
      </c>
      <c r="C1906" s="1" t="str">
        <f>"08731025"</f>
        <v>08731025</v>
      </c>
      <c r="D1906" s="1" t="s">
        <v>196</v>
      </c>
      <c r="F1906" s="1" t="str">
        <f>"8041"</f>
        <v>8041</v>
      </c>
      <c r="G1906" s="2">
        <v>41899</v>
      </c>
      <c r="H1906" s="1">
        <v>104000</v>
      </c>
      <c r="I1906" s="1">
        <v>104000</v>
      </c>
      <c r="J1906" s="1">
        <v>104000</v>
      </c>
      <c r="K1906" s="2">
        <v>41899</v>
      </c>
      <c r="L1906" s="1">
        <v>85</v>
      </c>
      <c r="M1906" s="2">
        <v>41983</v>
      </c>
      <c r="N1906" s="1">
        <v>85</v>
      </c>
      <c r="O1906" s="2">
        <v>41983</v>
      </c>
      <c r="P1906" s="1">
        <v>17665</v>
      </c>
      <c r="Q1906" s="1" t="s">
        <v>302</v>
      </c>
      <c r="R1906" s="2">
        <v>42080</v>
      </c>
      <c r="S1906" s="1">
        <v>840089</v>
      </c>
      <c r="U1906" s="1">
        <v>5532</v>
      </c>
      <c r="V1906" s="1" t="s">
        <v>9062</v>
      </c>
      <c r="W1906" s="1" t="s">
        <v>264</v>
      </c>
      <c r="X1906" s="1" t="s">
        <v>17583</v>
      </c>
      <c r="Y1906" s="1">
        <v>121</v>
      </c>
      <c r="Z1906" s="1" t="s">
        <v>2811</v>
      </c>
      <c r="AA1906" s="1" t="s">
        <v>400</v>
      </c>
      <c r="AB1906" s="1">
        <v>60637</v>
      </c>
      <c r="AD1906" s="1" t="s">
        <v>17584</v>
      </c>
      <c r="AE1906" s="1" t="s">
        <v>17585</v>
      </c>
      <c r="AF1906" s="1">
        <v>1949</v>
      </c>
      <c r="AG1906" s="1" t="s">
        <v>213</v>
      </c>
      <c r="AH1906" s="1" t="s">
        <v>403</v>
      </c>
      <c r="AI1906" s="1" t="s">
        <v>310</v>
      </c>
      <c r="AJ1906" s="1" t="s">
        <v>562</v>
      </c>
      <c r="AL1906" s="1">
        <v>5</v>
      </c>
      <c r="AM1906" s="1">
        <v>2</v>
      </c>
      <c r="AN1906" s="1">
        <v>1</v>
      </c>
      <c r="AO1906" s="1">
        <v>0</v>
      </c>
      <c r="AP1906" s="1" t="s">
        <v>667</v>
      </c>
      <c r="AQ1906" s="1">
        <v>0</v>
      </c>
      <c r="AR1906" s="1" t="s">
        <v>210</v>
      </c>
      <c r="AS1906" s="1" t="s">
        <v>204</v>
      </c>
      <c r="AT1906" s="1" t="s">
        <v>271</v>
      </c>
      <c r="AV1906" s="1">
        <v>1</v>
      </c>
      <c r="AW1906" s="1" t="s">
        <v>213</v>
      </c>
      <c r="AX1906" s="1" t="s">
        <v>212</v>
      </c>
      <c r="AZ1906" s="1">
        <v>1495.21</v>
      </c>
      <c r="BA1906" s="1">
        <v>2013</v>
      </c>
      <c r="BB1906" s="1" t="s">
        <v>210</v>
      </c>
      <c r="BC1906" s="1">
        <v>1495</v>
      </c>
      <c r="BD1906" s="1">
        <v>2013</v>
      </c>
      <c r="BE1906" s="1">
        <v>1100</v>
      </c>
      <c r="BF1906" s="1">
        <v>15</v>
      </c>
      <c r="BG1906" s="1">
        <v>30</v>
      </c>
      <c r="BH1906" s="1">
        <v>60</v>
      </c>
      <c r="BI1906" s="1">
        <v>60</v>
      </c>
      <c r="BL1906" s="1">
        <v>868</v>
      </c>
      <c r="BM1906" s="1" t="s">
        <v>204</v>
      </c>
      <c r="BN1906" s="1" t="s">
        <v>213</v>
      </c>
      <c r="BO1906" s="1">
        <v>999</v>
      </c>
      <c r="BP1906" s="1" t="s">
        <v>204</v>
      </c>
      <c r="BR1906" s="1" t="str">
        <f>"20131030090000"</f>
        <v>20131030090000</v>
      </c>
      <c r="BT1906" s="1" t="s">
        <v>17586</v>
      </c>
      <c r="BX1906" s="1">
        <v>299</v>
      </c>
      <c r="BY1906" s="1">
        <v>299</v>
      </c>
      <c r="BZ1906" s="1">
        <v>299</v>
      </c>
      <c r="CB1906" s="1" t="str">
        <f>"0"</f>
        <v>0</v>
      </c>
      <c r="CC1906" s="1" t="str">
        <f>"1800"</f>
        <v>1800</v>
      </c>
      <c r="CD1906" s="1">
        <v>0</v>
      </c>
      <c r="CE1906" s="1">
        <v>5530</v>
      </c>
      <c r="CG1906" s="1" t="s">
        <v>16874</v>
      </c>
      <c r="CH1906" s="1" t="s">
        <v>219</v>
      </c>
      <c r="CI1906" s="1" t="s">
        <v>220</v>
      </c>
      <c r="CJ1906" s="1" t="s">
        <v>439</v>
      </c>
      <c r="CK1906" s="1" t="s">
        <v>1177</v>
      </c>
      <c r="CL1906" s="1" t="s">
        <v>219</v>
      </c>
      <c r="CM1906" s="1" t="s">
        <v>220</v>
      </c>
      <c r="CN1906" s="1" t="s">
        <v>439</v>
      </c>
      <c r="CO1906" s="1" t="s">
        <v>2982</v>
      </c>
      <c r="CP1906" s="1" t="s">
        <v>219</v>
      </c>
      <c r="CQ1906" s="1" t="s">
        <v>220</v>
      </c>
      <c r="CS1906" s="1" t="s">
        <v>3591</v>
      </c>
      <c r="CT1906" s="1" t="s">
        <v>219</v>
      </c>
      <c r="CU1906" s="1" t="s">
        <v>220</v>
      </c>
      <c r="CV1906" s="1" t="s">
        <v>439</v>
      </c>
      <c r="CX1906" s="1" t="s">
        <v>224</v>
      </c>
      <c r="DB1906" s="1" t="s">
        <v>224</v>
      </c>
      <c r="DE1906" s="1" t="s">
        <v>16207</v>
      </c>
      <c r="DF1906" s="1" t="s">
        <v>219</v>
      </c>
      <c r="DG1906" s="1" t="s">
        <v>342</v>
      </c>
      <c r="DH1906" s="1" t="s">
        <v>439</v>
      </c>
      <c r="DJ1906" s="1" t="s">
        <v>224</v>
      </c>
      <c r="DM1906" s="1" t="s">
        <v>1614</v>
      </c>
      <c r="DR1906" s="1" t="s">
        <v>7164</v>
      </c>
      <c r="DS1906" s="1" t="s">
        <v>43</v>
      </c>
      <c r="DW1906" s="1" t="s">
        <v>230</v>
      </c>
      <c r="EA1906" s="1" t="s">
        <v>230</v>
      </c>
      <c r="EE1906" s="1" t="s">
        <v>230</v>
      </c>
      <c r="EI1906" s="1" t="s">
        <v>230</v>
      </c>
      <c r="EL1906" s="1" t="s">
        <v>3717</v>
      </c>
      <c r="EM1906" s="1" t="s">
        <v>319</v>
      </c>
      <c r="EN1906" s="1" t="s">
        <v>1158</v>
      </c>
      <c r="EO1906" s="1" t="s">
        <v>234</v>
      </c>
      <c r="EP1906" s="1" t="s">
        <v>17587</v>
      </c>
      <c r="EQ1906" s="1" t="s">
        <v>350</v>
      </c>
      <c r="ER1906" s="1" t="s">
        <v>210</v>
      </c>
      <c r="ES1906" s="1" t="s">
        <v>545</v>
      </c>
      <c r="EV1906" s="1" t="s">
        <v>324</v>
      </c>
      <c r="EW1906" s="1" t="s">
        <v>17588</v>
      </c>
      <c r="EZ1906" s="1" t="s">
        <v>1614</v>
      </c>
      <c r="FB1906" s="1" t="s">
        <v>1755</v>
      </c>
      <c r="FC1906" s="1" t="s">
        <v>17589</v>
      </c>
      <c r="FD1906" s="1" t="s">
        <v>246</v>
      </c>
      <c r="FE1906" s="1" t="s">
        <v>247</v>
      </c>
      <c r="FF1906" s="1" t="s">
        <v>1113</v>
      </c>
      <c r="FH1906" s="1" t="s">
        <v>8075</v>
      </c>
      <c r="FK1906" s="1" t="s">
        <v>291</v>
      </c>
      <c r="FL1906" s="1" t="s">
        <v>17590</v>
      </c>
      <c r="FM1906" s="1" t="s">
        <v>252</v>
      </c>
      <c r="FN1906" s="1" t="s">
        <v>213</v>
      </c>
      <c r="FO1906" s="1" t="s">
        <v>213</v>
      </c>
      <c r="FQ1906" s="1" t="s">
        <v>2142</v>
      </c>
      <c r="FR1906" s="1" t="s">
        <v>210</v>
      </c>
      <c r="FS1906" s="1" t="s">
        <v>17591</v>
      </c>
      <c r="FT1906" s="1" t="s">
        <v>17592</v>
      </c>
      <c r="FU1906" s="1" t="s">
        <v>204</v>
      </c>
      <c r="FW1906" s="1" t="s">
        <v>2006</v>
      </c>
      <c r="FX1906" s="1">
        <v>17665</v>
      </c>
      <c r="FY1906" s="1" t="s">
        <v>10880</v>
      </c>
      <c r="FZ1906" s="1" t="s">
        <v>17593</v>
      </c>
      <c r="GA1906" s="1">
        <v>840089</v>
      </c>
      <c r="GB1906" s="1" t="s">
        <v>17594</v>
      </c>
      <c r="GC1906" s="1">
        <v>109819</v>
      </c>
      <c r="GE1906" s="1" t="s">
        <v>210</v>
      </c>
      <c r="GH1906" s="1" t="s">
        <v>421</v>
      </c>
      <c r="GI1906" s="1" t="s">
        <v>213</v>
      </c>
      <c r="GJ1906" s="1" t="s">
        <v>260</v>
      </c>
      <c r="GK1906" s="1" t="s">
        <v>210</v>
      </c>
      <c r="GL1906" s="2">
        <v>42083</v>
      </c>
      <c r="GM1906" s="1" t="s">
        <v>17595</v>
      </c>
    </row>
    <row r="1907" spans="1:195">
      <c r="A1907" s="1">
        <v>185000</v>
      </c>
      <c r="B1907" s="1" t="s">
        <v>195</v>
      </c>
      <c r="C1907" s="1" t="str">
        <f>"08727599"</f>
        <v>08727599</v>
      </c>
      <c r="D1907" s="1" t="s">
        <v>196</v>
      </c>
      <c r="F1907" s="1" t="str">
        <f t="shared" ref="F1907:F1908" si="1450">"515"</f>
        <v>515</v>
      </c>
      <c r="G1907" s="2">
        <v>41895</v>
      </c>
      <c r="H1907" s="1">
        <v>194900</v>
      </c>
      <c r="I1907" s="1">
        <v>189900</v>
      </c>
      <c r="J1907" s="1">
        <v>185000</v>
      </c>
      <c r="K1907" s="2">
        <v>41895</v>
      </c>
      <c r="L1907" s="1">
        <v>36</v>
      </c>
      <c r="M1907" s="2">
        <v>41930</v>
      </c>
      <c r="N1907" s="1">
        <v>36</v>
      </c>
      <c r="O1907" s="2">
        <v>41930</v>
      </c>
      <c r="P1907" s="1">
        <v>25244</v>
      </c>
      <c r="Q1907" s="1" t="s">
        <v>197</v>
      </c>
      <c r="R1907" s="2">
        <v>41978</v>
      </c>
      <c r="S1907" s="1">
        <v>243406</v>
      </c>
      <c r="U1907" s="1">
        <v>2309</v>
      </c>
      <c r="V1907" s="1" t="s">
        <v>17596</v>
      </c>
      <c r="W1907" s="1" t="s">
        <v>264</v>
      </c>
      <c r="Y1907" s="1">
        <v>4</v>
      </c>
      <c r="Z1907" s="1" t="s">
        <v>370</v>
      </c>
      <c r="AA1907" s="1" t="s">
        <v>1294</v>
      </c>
      <c r="AB1907" s="1">
        <v>60515</v>
      </c>
      <c r="AD1907" s="1" t="s">
        <v>17597</v>
      </c>
      <c r="AE1907" s="1" t="s">
        <v>17598</v>
      </c>
      <c r="AF1907" s="1">
        <v>1994</v>
      </c>
      <c r="AG1907" s="1" t="s">
        <v>204</v>
      </c>
      <c r="AH1907" s="1" t="s">
        <v>903</v>
      </c>
      <c r="AI1907" s="1" t="s">
        <v>206</v>
      </c>
      <c r="AJ1907" s="1" t="s">
        <v>925</v>
      </c>
      <c r="AL1907" s="1">
        <v>6</v>
      </c>
      <c r="AM1907" s="1">
        <v>2</v>
      </c>
      <c r="AN1907" s="1">
        <v>2</v>
      </c>
      <c r="AO1907" s="1">
        <v>0</v>
      </c>
      <c r="AP1907" s="1" t="s">
        <v>209</v>
      </c>
      <c r="AR1907" s="1" t="s">
        <v>209</v>
      </c>
      <c r="AS1907" s="1" t="s">
        <v>204</v>
      </c>
      <c r="AT1907" s="1" t="s">
        <v>211</v>
      </c>
      <c r="AU1907" s="1">
        <v>2</v>
      </c>
      <c r="AW1907" s="1" t="s">
        <v>204</v>
      </c>
      <c r="AX1907" s="1" t="s">
        <v>17599</v>
      </c>
      <c r="AZ1907" s="1">
        <v>3517</v>
      </c>
      <c r="BA1907" s="1">
        <v>2013</v>
      </c>
      <c r="BB1907" s="1" t="s">
        <v>405</v>
      </c>
      <c r="BE1907" s="1">
        <v>1186</v>
      </c>
      <c r="BF1907" s="1">
        <v>1</v>
      </c>
      <c r="BG1907" s="1">
        <v>30</v>
      </c>
      <c r="BL1907" s="1">
        <v>277</v>
      </c>
      <c r="BM1907" s="1" t="s">
        <v>204</v>
      </c>
      <c r="BN1907" s="1" t="s">
        <v>213</v>
      </c>
      <c r="BO1907" s="1">
        <v>999</v>
      </c>
      <c r="BP1907" s="1" t="s">
        <v>204</v>
      </c>
      <c r="BR1907" s="1" t="str">
        <f>"0813220013"</f>
        <v>0813220013</v>
      </c>
      <c r="BT1907" s="1" t="s">
        <v>17600</v>
      </c>
      <c r="BU1907" s="1" t="s">
        <v>12420</v>
      </c>
      <c r="BV1907" s="1" t="s">
        <v>2761</v>
      </c>
      <c r="BW1907" s="1" t="s">
        <v>2762</v>
      </c>
      <c r="BX1907" s="1">
        <v>58</v>
      </c>
      <c r="BY1907" s="1">
        <v>58</v>
      </c>
      <c r="BZ1907" s="1">
        <v>99</v>
      </c>
      <c r="CB1907" s="1" t="str">
        <f t="shared" ref="CB1907:CC1907" si="1451">""</f>
        <v/>
      </c>
      <c r="CC1907" s="1" t="str">
        <f t="shared" si="1451"/>
        <v/>
      </c>
      <c r="CG1907" s="1" t="s">
        <v>1045</v>
      </c>
      <c r="CH1907" s="1" t="s">
        <v>219</v>
      </c>
      <c r="CI1907" s="1" t="s">
        <v>220</v>
      </c>
      <c r="CJ1907" s="1" t="s">
        <v>463</v>
      </c>
      <c r="CK1907" s="1" t="s">
        <v>437</v>
      </c>
      <c r="CL1907" s="1" t="s">
        <v>219</v>
      </c>
      <c r="CM1907" s="1" t="s">
        <v>220</v>
      </c>
      <c r="CN1907" s="1" t="s">
        <v>343</v>
      </c>
      <c r="CO1907" s="1" t="s">
        <v>281</v>
      </c>
      <c r="CP1907" s="1" t="s">
        <v>219</v>
      </c>
      <c r="CQ1907" s="1" t="s">
        <v>220</v>
      </c>
      <c r="CR1907" s="1" t="s">
        <v>463</v>
      </c>
      <c r="CS1907" s="1" t="s">
        <v>318</v>
      </c>
      <c r="CT1907" s="1" t="s">
        <v>219</v>
      </c>
      <c r="CU1907" s="1" t="s">
        <v>220</v>
      </c>
      <c r="CV1907" s="1" t="s">
        <v>343</v>
      </c>
      <c r="CX1907" s="1" t="s">
        <v>224</v>
      </c>
      <c r="DB1907" s="1" t="s">
        <v>224</v>
      </c>
      <c r="DE1907" s="1" t="s">
        <v>281</v>
      </c>
      <c r="DF1907" s="1" t="s">
        <v>219</v>
      </c>
      <c r="DG1907" s="1" t="s">
        <v>229</v>
      </c>
      <c r="DJ1907" s="1" t="s">
        <v>224</v>
      </c>
      <c r="DM1907" s="1" t="s">
        <v>464</v>
      </c>
      <c r="DR1907" s="1" t="s">
        <v>1297</v>
      </c>
      <c r="DS1907" s="1" t="s">
        <v>219</v>
      </c>
      <c r="DT1907" s="1" t="s">
        <v>220</v>
      </c>
      <c r="DU1907" s="1" t="s">
        <v>343</v>
      </c>
      <c r="DW1907" s="1" t="s">
        <v>230</v>
      </c>
      <c r="EA1907" s="1" t="s">
        <v>230</v>
      </c>
      <c r="EE1907" s="1" t="s">
        <v>230</v>
      </c>
      <c r="EI1907" s="1" t="s">
        <v>230</v>
      </c>
      <c r="EL1907" s="1" t="s">
        <v>670</v>
      </c>
      <c r="EM1907" s="1" t="s">
        <v>232</v>
      </c>
      <c r="EN1907" s="1" t="s">
        <v>282</v>
      </c>
      <c r="EO1907" s="1" t="s">
        <v>234</v>
      </c>
      <c r="EQ1907" s="1" t="s">
        <v>468</v>
      </c>
      <c r="ER1907" s="1" t="s">
        <v>1249</v>
      </c>
      <c r="ES1907" s="1" t="s">
        <v>322</v>
      </c>
      <c r="EW1907" s="1" t="s">
        <v>353</v>
      </c>
      <c r="EZ1907" s="1" t="s">
        <v>464</v>
      </c>
      <c r="FA1907" s="1" t="s">
        <v>7111</v>
      </c>
      <c r="FD1907" s="1" t="s">
        <v>246</v>
      </c>
      <c r="FE1907" s="1" t="s">
        <v>386</v>
      </c>
      <c r="FF1907" s="1" t="s">
        <v>248</v>
      </c>
      <c r="FH1907" s="1" t="s">
        <v>550</v>
      </c>
      <c r="FI1907" s="1" t="s">
        <v>473</v>
      </c>
      <c r="FL1907" s="1" t="s">
        <v>358</v>
      </c>
      <c r="FM1907" s="1" t="s">
        <v>252</v>
      </c>
      <c r="FN1907" s="1" t="s">
        <v>213</v>
      </c>
      <c r="FO1907" s="1" t="s">
        <v>213</v>
      </c>
      <c r="FQ1907" s="1" t="s">
        <v>293</v>
      </c>
      <c r="FR1907" s="1" t="s">
        <v>210</v>
      </c>
      <c r="FS1907" s="1" t="s">
        <v>17601</v>
      </c>
      <c r="FT1907" s="1" t="s">
        <v>362</v>
      </c>
      <c r="FU1907" s="1" t="s">
        <v>204</v>
      </c>
      <c r="FW1907" s="1" t="s">
        <v>256</v>
      </c>
      <c r="FX1907" s="1">
        <v>25244</v>
      </c>
      <c r="FY1907" s="1" t="s">
        <v>1365</v>
      </c>
      <c r="FZ1907" s="1" t="s">
        <v>17602</v>
      </c>
      <c r="GA1907" s="1">
        <v>253833</v>
      </c>
      <c r="GB1907" s="1" t="s">
        <v>17603</v>
      </c>
      <c r="GC1907" s="1">
        <v>214434</v>
      </c>
      <c r="GE1907" s="1" t="s">
        <v>1333</v>
      </c>
      <c r="GI1907" s="1" t="s">
        <v>213</v>
      </c>
      <c r="GJ1907" s="1" t="s">
        <v>260</v>
      </c>
      <c r="GK1907" s="1" t="s">
        <v>210</v>
      </c>
      <c r="GL1907" s="2">
        <v>41978</v>
      </c>
      <c r="GM1907" s="1" t="s">
        <v>17604</v>
      </c>
    </row>
    <row r="1908" spans="1:195">
      <c r="A1908" s="1">
        <v>159950</v>
      </c>
      <c r="B1908" s="1" t="s">
        <v>195</v>
      </c>
      <c r="C1908" s="1" t="str">
        <f>"08728747"</f>
        <v>08728747</v>
      </c>
      <c r="D1908" s="1" t="s">
        <v>196</v>
      </c>
      <c r="F1908" s="1" t="str">
        <f t="shared" si="1450"/>
        <v>515</v>
      </c>
      <c r="G1908" s="2">
        <v>41897</v>
      </c>
      <c r="H1908" s="1">
        <v>164900</v>
      </c>
      <c r="I1908" s="1">
        <v>164900</v>
      </c>
      <c r="J1908" s="1">
        <v>159950</v>
      </c>
      <c r="K1908" s="2">
        <v>41897</v>
      </c>
      <c r="L1908" s="1">
        <v>132</v>
      </c>
      <c r="M1908" s="2">
        <v>42028</v>
      </c>
      <c r="N1908" s="1">
        <v>132</v>
      </c>
      <c r="O1908" s="2">
        <v>42028</v>
      </c>
      <c r="P1908" s="1">
        <v>20179</v>
      </c>
      <c r="Q1908" s="1" t="s">
        <v>197</v>
      </c>
      <c r="R1908" s="2">
        <v>42086</v>
      </c>
      <c r="S1908" s="1">
        <v>224544</v>
      </c>
      <c r="U1908" s="1">
        <v>6585</v>
      </c>
      <c r="V1908" s="1" t="s">
        <v>4253</v>
      </c>
      <c r="W1908" s="1" t="s">
        <v>725</v>
      </c>
      <c r="X1908" s="1">
        <v>306</v>
      </c>
      <c r="Y1908" s="1">
        <v>24</v>
      </c>
      <c r="Z1908" s="1" t="s">
        <v>249</v>
      </c>
      <c r="AA1908" s="1" t="s">
        <v>1294</v>
      </c>
      <c r="AB1908" s="1">
        <v>60516</v>
      </c>
      <c r="AC1908" s="1">
        <v>2861</v>
      </c>
      <c r="AD1908" s="1" t="s">
        <v>17605</v>
      </c>
      <c r="AE1908" s="1" t="s">
        <v>17606</v>
      </c>
      <c r="AF1908" s="1">
        <v>1978</v>
      </c>
      <c r="AG1908" s="1" t="s">
        <v>204</v>
      </c>
      <c r="AH1908" s="1" t="s">
        <v>903</v>
      </c>
      <c r="AI1908" s="1" t="s">
        <v>206</v>
      </c>
      <c r="AJ1908" s="1" t="s">
        <v>903</v>
      </c>
      <c r="AL1908" s="1">
        <v>5</v>
      </c>
      <c r="AM1908" s="1">
        <v>2</v>
      </c>
      <c r="AN1908" s="1">
        <v>2</v>
      </c>
      <c r="AO1908" s="1">
        <v>0</v>
      </c>
      <c r="AP1908" s="1" t="s">
        <v>209</v>
      </c>
      <c r="AR1908" s="1" t="s">
        <v>210</v>
      </c>
      <c r="AT1908" s="1" t="s">
        <v>271</v>
      </c>
      <c r="AV1908" s="1">
        <v>1</v>
      </c>
      <c r="AW1908" s="1" t="s">
        <v>204</v>
      </c>
      <c r="AX1908" s="1" t="s">
        <v>212</v>
      </c>
      <c r="AZ1908" s="1">
        <v>2295.42</v>
      </c>
      <c r="BA1908" s="1">
        <v>2013</v>
      </c>
      <c r="BB1908" s="1" t="s">
        <v>599</v>
      </c>
      <c r="BE1908" s="1">
        <v>1131</v>
      </c>
      <c r="BF1908" s="1">
        <v>3</v>
      </c>
      <c r="BG1908" s="1">
        <v>30</v>
      </c>
      <c r="BL1908" s="1">
        <v>311</v>
      </c>
      <c r="BM1908" s="1" t="s">
        <v>204</v>
      </c>
      <c r="BN1908" s="1" t="s">
        <v>213</v>
      </c>
      <c r="BO1908" s="1">
        <v>30</v>
      </c>
      <c r="BP1908" s="1" t="s">
        <v>204</v>
      </c>
      <c r="BR1908" s="1" t="str">
        <f>"0920123086"</f>
        <v>0920123086</v>
      </c>
      <c r="BT1908" s="1" t="s">
        <v>17607</v>
      </c>
      <c r="BW1908" s="1" t="s">
        <v>3099</v>
      </c>
      <c r="BX1908" s="1">
        <v>58</v>
      </c>
      <c r="BY1908" s="1">
        <v>58</v>
      </c>
      <c r="BZ1908" s="1">
        <v>99</v>
      </c>
      <c r="CB1908" s="1" t="str">
        <f t="shared" ref="CB1908:CC1908" si="1452">"0"</f>
        <v>0</v>
      </c>
      <c r="CC1908" s="1" t="str">
        <f t="shared" si="1452"/>
        <v>0</v>
      </c>
      <c r="CD1908" s="1">
        <v>19</v>
      </c>
      <c r="CE1908" s="1">
        <v>7</v>
      </c>
      <c r="CG1908" s="1" t="s">
        <v>2992</v>
      </c>
      <c r="CH1908" s="1" t="s">
        <v>219</v>
      </c>
      <c r="CI1908" s="1" t="s">
        <v>220</v>
      </c>
      <c r="CJ1908" s="1" t="s">
        <v>210</v>
      </c>
      <c r="CK1908" s="1" t="s">
        <v>1045</v>
      </c>
      <c r="CL1908" s="1" t="s">
        <v>219</v>
      </c>
      <c r="CM1908" s="1" t="s">
        <v>220</v>
      </c>
      <c r="CN1908" s="1" t="s">
        <v>210</v>
      </c>
      <c r="CO1908" s="1" t="s">
        <v>346</v>
      </c>
      <c r="CP1908" s="1" t="s">
        <v>219</v>
      </c>
      <c r="CQ1908" s="1" t="s">
        <v>220</v>
      </c>
      <c r="CR1908" s="1" t="s">
        <v>210</v>
      </c>
      <c r="CS1908" s="1" t="s">
        <v>346</v>
      </c>
      <c r="CT1908" s="1" t="s">
        <v>219</v>
      </c>
      <c r="CU1908" s="1" t="s">
        <v>220</v>
      </c>
      <c r="CV1908" s="1" t="s">
        <v>210</v>
      </c>
      <c r="CX1908" s="1" t="s">
        <v>224</v>
      </c>
      <c r="DB1908" s="1" t="s">
        <v>224</v>
      </c>
      <c r="DE1908" s="1" t="s">
        <v>951</v>
      </c>
      <c r="DF1908" s="1" t="s">
        <v>219</v>
      </c>
      <c r="DG1908" s="1" t="s">
        <v>226</v>
      </c>
      <c r="DH1908" s="1" t="s">
        <v>210</v>
      </c>
      <c r="DJ1908" s="1" t="s">
        <v>224</v>
      </c>
      <c r="DS1908" s="1" t="s">
        <v>230</v>
      </c>
      <c r="DW1908" s="1" t="s">
        <v>230</v>
      </c>
      <c r="EA1908" s="1" t="s">
        <v>230</v>
      </c>
      <c r="EE1908" s="1" t="s">
        <v>230</v>
      </c>
      <c r="EI1908" s="1" t="s">
        <v>230</v>
      </c>
      <c r="EL1908" s="1" t="s">
        <v>231</v>
      </c>
      <c r="EM1908" s="1" t="s">
        <v>232</v>
      </c>
      <c r="EN1908" s="1" t="s">
        <v>282</v>
      </c>
      <c r="EO1908" s="1" t="s">
        <v>840</v>
      </c>
      <c r="EQ1908" s="1" t="s">
        <v>236</v>
      </c>
      <c r="ER1908" s="1" t="s">
        <v>210</v>
      </c>
      <c r="ES1908" s="1" t="s">
        <v>1552</v>
      </c>
      <c r="EU1908" s="1" t="s">
        <v>17608</v>
      </c>
      <c r="EV1908" s="1" t="s">
        <v>324</v>
      </c>
      <c r="EW1908" s="1" t="s">
        <v>1940</v>
      </c>
      <c r="EZ1908" s="1" t="s">
        <v>287</v>
      </c>
      <c r="FB1908" s="1" t="s">
        <v>289</v>
      </c>
      <c r="FD1908" s="1" t="s">
        <v>246</v>
      </c>
      <c r="FE1908" s="1" t="s">
        <v>247</v>
      </c>
      <c r="FF1908" s="1" t="s">
        <v>248</v>
      </c>
      <c r="FH1908" s="1" t="s">
        <v>249</v>
      </c>
      <c r="FK1908" s="1" t="s">
        <v>10913</v>
      </c>
      <c r="FL1908" s="1" t="s">
        <v>1073</v>
      </c>
      <c r="FM1908" s="1" t="s">
        <v>252</v>
      </c>
      <c r="FN1908" s="1" t="s">
        <v>213</v>
      </c>
      <c r="FO1908" s="1" t="s">
        <v>213</v>
      </c>
      <c r="FQ1908" s="1" t="s">
        <v>17609</v>
      </c>
      <c r="FR1908" s="1" t="s">
        <v>210</v>
      </c>
      <c r="FS1908" s="1" t="s">
        <v>17610</v>
      </c>
      <c r="FT1908" s="1" t="s">
        <v>295</v>
      </c>
      <c r="FU1908" s="1" t="s">
        <v>204</v>
      </c>
      <c r="FW1908" s="1" t="s">
        <v>11216</v>
      </c>
      <c r="FX1908" s="1">
        <v>23426</v>
      </c>
      <c r="FY1908" s="1" t="s">
        <v>11217</v>
      </c>
      <c r="FZ1908" s="1" t="s">
        <v>17611</v>
      </c>
      <c r="GA1908" s="1">
        <v>224374</v>
      </c>
      <c r="GB1908" s="1" t="s">
        <v>17612</v>
      </c>
      <c r="GE1908" s="1" t="s">
        <v>658</v>
      </c>
      <c r="GI1908" s="1" t="s">
        <v>213</v>
      </c>
      <c r="GJ1908" s="1" t="s">
        <v>260</v>
      </c>
      <c r="GK1908" s="1" t="s">
        <v>210</v>
      </c>
      <c r="GL1908" s="2">
        <v>42086</v>
      </c>
      <c r="GM1908" s="1" t="s">
        <v>17613</v>
      </c>
    </row>
    <row r="1909" spans="1:195">
      <c r="A1909" s="1">
        <v>150000</v>
      </c>
      <c r="B1909" s="1" t="s">
        <v>195</v>
      </c>
      <c r="C1909" s="1" t="str">
        <f>"08728494"</f>
        <v>08728494</v>
      </c>
      <c r="D1909" s="1" t="s">
        <v>196</v>
      </c>
      <c r="F1909" s="1" t="str">
        <f>"123"</f>
        <v>123</v>
      </c>
      <c r="G1909" s="2">
        <v>41897</v>
      </c>
      <c r="H1909" s="1">
        <v>149900</v>
      </c>
      <c r="I1909" s="1">
        <v>149900</v>
      </c>
      <c r="J1909" s="1">
        <v>150000</v>
      </c>
      <c r="K1909" s="2">
        <v>41894</v>
      </c>
      <c r="L1909" s="1">
        <v>207</v>
      </c>
      <c r="M1909" s="2">
        <v>42100</v>
      </c>
      <c r="N1909" s="1">
        <v>207</v>
      </c>
      <c r="O1909" s="2">
        <v>42100</v>
      </c>
      <c r="P1909" s="1">
        <v>212</v>
      </c>
      <c r="Q1909" s="1" t="s">
        <v>197</v>
      </c>
      <c r="R1909" s="2">
        <v>42111</v>
      </c>
      <c r="S1909" s="1">
        <v>295</v>
      </c>
      <c r="U1909" s="1">
        <v>910</v>
      </c>
      <c r="V1909" s="1" t="s">
        <v>17614</v>
      </c>
      <c r="W1909" s="1" t="s">
        <v>264</v>
      </c>
      <c r="Y1909" s="1">
        <v>4</v>
      </c>
      <c r="Z1909" s="1" t="s">
        <v>370</v>
      </c>
      <c r="AA1909" s="1" t="s">
        <v>1173</v>
      </c>
      <c r="AB1909" s="1">
        <v>60123</v>
      </c>
      <c r="AD1909" s="1" t="s">
        <v>15229</v>
      </c>
      <c r="AE1909" s="1" t="s">
        <v>17615</v>
      </c>
      <c r="AF1909" s="1">
        <v>1991</v>
      </c>
      <c r="AG1909" s="1" t="s">
        <v>204</v>
      </c>
      <c r="AH1909" s="1" t="s">
        <v>1175</v>
      </c>
      <c r="AI1909" s="1" t="s">
        <v>665</v>
      </c>
      <c r="AJ1909" s="1" t="s">
        <v>1175</v>
      </c>
      <c r="AK1909" s="1" t="s">
        <v>1688</v>
      </c>
      <c r="AL1909" s="1">
        <v>6</v>
      </c>
      <c r="AM1909" s="1">
        <v>2</v>
      </c>
      <c r="AN1909" s="1">
        <v>2</v>
      </c>
      <c r="AO1909" s="1">
        <v>0</v>
      </c>
      <c r="AP1909" s="1" t="s">
        <v>209</v>
      </c>
      <c r="AQ1909" s="1">
        <v>1</v>
      </c>
      <c r="AR1909" s="1" t="s">
        <v>1421</v>
      </c>
      <c r="AS1909" s="1" t="s">
        <v>213</v>
      </c>
      <c r="AT1909" s="1" t="s">
        <v>211</v>
      </c>
      <c r="AU1909" s="1">
        <v>2</v>
      </c>
      <c r="AW1909" s="1" t="s">
        <v>204</v>
      </c>
      <c r="AX1909" s="1" t="s">
        <v>17616</v>
      </c>
      <c r="AZ1909" s="1">
        <v>4093.44</v>
      </c>
      <c r="BA1909" s="1">
        <v>2013</v>
      </c>
      <c r="BB1909" s="1" t="s">
        <v>210</v>
      </c>
      <c r="BE1909" s="1">
        <v>1449</v>
      </c>
      <c r="BF1909" s="1">
        <v>1</v>
      </c>
      <c r="BG1909" s="1">
        <v>0</v>
      </c>
      <c r="BL1909" s="1">
        <v>205</v>
      </c>
      <c r="BM1909" s="1" t="s">
        <v>204</v>
      </c>
      <c r="BN1909" s="1" t="s">
        <v>213</v>
      </c>
      <c r="BO1909" s="1">
        <v>99</v>
      </c>
      <c r="BP1909" s="1" t="s">
        <v>204</v>
      </c>
      <c r="BR1909" s="1" t="str">
        <f>"0627176080"</f>
        <v>0627176080</v>
      </c>
      <c r="BT1909" s="1" t="s">
        <v>17617</v>
      </c>
      <c r="BX1909" s="1">
        <v>46</v>
      </c>
      <c r="BY1909" s="1">
        <v>46</v>
      </c>
      <c r="BZ1909" s="1">
        <v>46</v>
      </c>
      <c r="CB1909" s="1" t="str">
        <f t="shared" ref="CB1909:CC1909" si="1453">""</f>
        <v/>
      </c>
      <c r="CC1909" s="1" t="str">
        <f t="shared" si="1453"/>
        <v/>
      </c>
      <c r="CG1909" s="1" t="s">
        <v>2511</v>
      </c>
      <c r="CH1909" s="1" t="s">
        <v>219</v>
      </c>
      <c r="CI1909" s="1" t="s">
        <v>220</v>
      </c>
      <c r="CJ1909" s="1" t="s">
        <v>343</v>
      </c>
      <c r="CK1909" s="1" t="s">
        <v>708</v>
      </c>
      <c r="CL1909" s="1" t="s">
        <v>277</v>
      </c>
      <c r="CM1909" s="1" t="s">
        <v>220</v>
      </c>
      <c r="CN1909" s="1" t="s">
        <v>343</v>
      </c>
      <c r="CP1909" s="1" t="s">
        <v>224</v>
      </c>
      <c r="CS1909" s="1" t="s">
        <v>407</v>
      </c>
      <c r="CT1909" s="1" t="s">
        <v>822</v>
      </c>
      <c r="CU1909" s="1" t="s">
        <v>220</v>
      </c>
      <c r="CV1909" s="1" t="s">
        <v>343</v>
      </c>
      <c r="CX1909" s="1" t="s">
        <v>224</v>
      </c>
      <c r="DB1909" s="1" t="s">
        <v>224</v>
      </c>
      <c r="DE1909" s="1" t="s">
        <v>318</v>
      </c>
      <c r="DF1909" s="1" t="s">
        <v>219</v>
      </c>
      <c r="DG1909" s="1" t="s">
        <v>342</v>
      </c>
      <c r="DH1909" s="1" t="s">
        <v>343</v>
      </c>
      <c r="DI1909" s="1" t="s">
        <v>538</v>
      </c>
      <c r="DJ1909" s="1" t="s">
        <v>822</v>
      </c>
      <c r="DK1909" s="1" t="s">
        <v>220</v>
      </c>
      <c r="DL1909" s="1" t="s">
        <v>343</v>
      </c>
      <c r="DM1909" s="1" t="s">
        <v>464</v>
      </c>
      <c r="DN1909" s="1" t="s">
        <v>709</v>
      </c>
      <c r="DR1909" s="1" t="s">
        <v>17511</v>
      </c>
      <c r="DS1909" s="1" t="s">
        <v>277</v>
      </c>
      <c r="DT1909" s="1" t="s">
        <v>220</v>
      </c>
      <c r="DU1909" s="1" t="s">
        <v>210</v>
      </c>
      <c r="DV1909" s="1" t="s">
        <v>225</v>
      </c>
      <c r="DW1909" s="1" t="s">
        <v>219</v>
      </c>
      <c r="DX1909" s="1" t="s">
        <v>226</v>
      </c>
      <c r="DY1909" s="1" t="s">
        <v>210</v>
      </c>
      <c r="EA1909" s="1" t="s">
        <v>230</v>
      </c>
      <c r="EE1909" s="1" t="s">
        <v>230</v>
      </c>
      <c r="EI1909" s="1" t="s">
        <v>230</v>
      </c>
      <c r="EL1909" s="1" t="s">
        <v>382</v>
      </c>
      <c r="EM1909" s="1" t="s">
        <v>319</v>
      </c>
      <c r="EN1909" s="1" t="s">
        <v>282</v>
      </c>
      <c r="EO1909" s="1" t="s">
        <v>234</v>
      </c>
      <c r="EP1909" s="1" t="s">
        <v>650</v>
      </c>
      <c r="EQ1909" s="1" t="s">
        <v>236</v>
      </c>
      <c r="ER1909" s="1" t="s">
        <v>544</v>
      </c>
      <c r="ES1909" s="1" t="s">
        <v>954</v>
      </c>
      <c r="ET1909" s="1" t="s">
        <v>2404</v>
      </c>
      <c r="EU1909" s="1" t="s">
        <v>239</v>
      </c>
      <c r="EW1909" s="1" t="s">
        <v>353</v>
      </c>
      <c r="EY1909" s="1" t="s">
        <v>242</v>
      </c>
      <c r="EZ1909" s="1" t="s">
        <v>2549</v>
      </c>
      <c r="FA1909" s="1" t="s">
        <v>5059</v>
      </c>
      <c r="FB1909" s="1" t="s">
        <v>289</v>
      </c>
      <c r="FD1909" s="1" t="s">
        <v>888</v>
      </c>
      <c r="FE1909" s="1" t="s">
        <v>549</v>
      </c>
      <c r="FF1909" s="1" t="s">
        <v>248</v>
      </c>
      <c r="FG1909" s="1" t="s">
        <v>2739</v>
      </c>
      <c r="FH1909" s="1" t="s">
        <v>1428</v>
      </c>
      <c r="FI1909" s="1" t="s">
        <v>357</v>
      </c>
      <c r="FJ1909" s="1" t="s">
        <v>518</v>
      </c>
      <c r="FL1909" s="1" t="s">
        <v>358</v>
      </c>
      <c r="FM1909" s="1" t="s">
        <v>252</v>
      </c>
      <c r="FN1909" s="1" t="s">
        <v>213</v>
      </c>
      <c r="FO1909" s="1" t="s">
        <v>213</v>
      </c>
      <c r="FQ1909" s="1" t="s">
        <v>8137</v>
      </c>
      <c r="FR1909" s="1" t="s">
        <v>210</v>
      </c>
      <c r="FS1909" s="1" t="s">
        <v>17618</v>
      </c>
      <c r="FT1909" s="1" t="s">
        <v>295</v>
      </c>
      <c r="FU1909" s="1" t="s">
        <v>204</v>
      </c>
      <c r="FW1909" s="1" t="s">
        <v>1097</v>
      </c>
      <c r="FX1909" s="1">
        <v>7661</v>
      </c>
      <c r="FY1909" s="1" t="s">
        <v>7072</v>
      </c>
      <c r="FZ1909" s="1" t="s">
        <v>17619</v>
      </c>
      <c r="GA1909" s="1">
        <v>77134</v>
      </c>
      <c r="GB1909" s="1" t="s">
        <v>17620</v>
      </c>
      <c r="GE1909" s="1" t="s">
        <v>480</v>
      </c>
      <c r="GI1909" s="1" t="s">
        <v>213</v>
      </c>
      <c r="GJ1909" s="1" t="s">
        <v>260</v>
      </c>
      <c r="GK1909" s="1" t="s">
        <v>210</v>
      </c>
      <c r="GL1909" s="2">
        <v>42111</v>
      </c>
      <c r="GM1909" s="1" t="s">
        <v>17621</v>
      </c>
    </row>
    <row r="1910" spans="1:195">
      <c r="A1910" s="1">
        <v>67300</v>
      </c>
      <c r="B1910" s="1" t="s">
        <v>195</v>
      </c>
      <c r="C1910" s="1" t="str">
        <f>"08728606"</f>
        <v>08728606</v>
      </c>
      <c r="D1910" s="1" t="s">
        <v>196</v>
      </c>
      <c r="F1910" s="1" t="str">
        <f>"517"</f>
        <v>517</v>
      </c>
      <c r="G1910" s="2">
        <v>41897</v>
      </c>
      <c r="H1910" s="1">
        <v>103000</v>
      </c>
      <c r="I1910" s="1">
        <v>72500</v>
      </c>
      <c r="J1910" s="1">
        <v>67300</v>
      </c>
      <c r="K1910" s="2">
        <v>41897</v>
      </c>
      <c r="L1910" s="1">
        <v>218</v>
      </c>
      <c r="M1910" s="2">
        <v>42114</v>
      </c>
      <c r="N1910" s="1">
        <v>218</v>
      </c>
      <c r="O1910" s="2">
        <v>42114</v>
      </c>
      <c r="P1910" s="1">
        <v>24383</v>
      </c>
      <c r="Q1910" s="1" t="s">
        <v>302</v>
      </c>
      <c r="R1910" s="2">
        <v>42124</v>
      </c>
      <c r="S1910" s="1">
        <v>245133</v>
      </c>
      <c r="U1910" s="1">
        <v>8312</v>
      </c>
      <c r="V1910" s="1" t="s">
        <v>8608</v>
      </c>
      <c r="W1910" s="1" t="s">
        <v>264</v>
      </c>
      <c r="X1910" s="1">
        <v>1101</v>
      </c>
      <c r="Y1910" s="1">
        <v>4</v>
      </c>
      <c r="Z1910" s="1" t="s">
        <v>249</v>
      </c>
      <c r="AA1910" s="1" t="s">
        <v>2850</v>
      </c>
      <c r="AB1910" s="1">
        <v>60517</v>
      </c>
      <c r="AD1910" s="1" t="s">
        <v>17622</v>
      </c>
      <c r="AE1910" s="1" t="s">
        <v>17623</v>
      </c>
      <c r="AF1910" s="1">
        <v>1982</v>
      </c>
      <c r="AG1910" s="1" t="s">
        <v>204</v>
      </c>
      <c r="AH1910" s="1" t="s">
        <v>2853</v>
      </c>
      <c r="AI1910" s="1" t="s">
        <v>206</v>
      </c>
      <c r="AJ1910" s="1" t="s">
        <v>925</v>
      </c>
      <c r="AL1910" s="1">
        <v>5</v>
      </c>
      <c r="AM1910" s="1">
        <v>2</v>
      </c>
      <c r="AN1910" s="1">
        <v>1</v>
      </c>
      <c r="AO1910" s="1">
        <v>0</v>
      </c>
      <c r="AP1910" s="1" t="s">
        <v>667</v>
      </c>
      <c r="AR1910" s="1" t="s">
        <v>210</v>
      </c>
      <c r="AS1910" s="1" t="s">
        <v>204</v>
      </c>
      <c r="AT1910" s="1" t="s">
        <v>211</v>
      </c>
      <c r="AU1910" s="1">
        <v>1</v>
      </c>
      <c r="AW1910" s="1" t="s">
        <v>204</v>
      </c>
      <c r="AX1910" s="1" t="s">
        <v>212</v>
      </c>
      <c r="AZ1910" s="1">
        <v>2718</v>
      </c>
      <c r="BA1910" s="1">
        <v>2013</v>
      </c>
      <c r="BE1910" s="1">
        <v>856</v>
      </c>
      <c r="BF1910" s="1">
        <v>1</v>
      </c>
      <c r="BG1910" s="1">
        <v>0</v>
      </c>
      <c r="BL1910" s="1">
        <v>295</v>
      </c>
      <c r="BM1910" s="1" t="s">
        <v>204</v>
      </c>
      <c r="BN1910" s="1" t="s">
        <v>213</v>
      </c>
      <c r="BO1910" s="1" t="s">
        <v>402</v>
      </c>
      <c r="BP1910" s="1" t="s">
        <v>204</v>
      </c>
      <c r="BR1910" s="1" t="str">
        <f>"0836316033"</f>
        <v>0836316033</v>
      </c>
      <c r="BT1910" s="1" t="s">
        <v>17624</v>
      </c>
      <c r="BX1910" s="1">
        <v>68</v>
      </c>
      <c r="BY1910" s="1">
        <v>68</v>
      </c>
      <c r="BZ1910" s="1">
        <v>99</v>
      </c>
      <c r="CB1910" s="1" t="str">
        <f t="shared" ref="CB1910:CC1910" si="1454">""</f>
        <v/>
      </c>
      <c r="CC1910" s="1" t="str">
        <f t="shared" si="1454"/>
        <v/>
      </c>
      <c r="CD1910" s="1">
        <v>22</v>
      </c>
      <c r="CE1910" s="1">
        <v>9</v>
      </c>
      <c r="CG1910" s="1" t="s">
        <v>757</v>
      </c>
      <c r="CH1910" s="1" t="s">
        <v>219</v>
      </c>
      <c r="CK1910" s="1" t="s">
        <v>317</v>
      </c>
      <c r="CL1910" s="1" t="s">
        <v>219</v>
      </c>
      <c r="CO1910" s="1" t="s">
        <v>516</v>
      </c>
      <c r="CP1910" s="1" t="s">
        <v>219</v>
      </c>
      <c r="CS1910" s="1" t="s">
        <v>346</v>
      </c>
      <c r="CT1910" s="1" t="s">
        <v>219</v>
      </c>
      <c r="CX1910" s="1" t="s">
        <v>224</v>
      </c>
      <c r="DB1910" s="1" t="s">
        <v>224</v>
      </c>
      <c r="DE1910" s="1" t="s">
        <v>2138</v>
      </c>
      <c r="DF1910" s="1" t="s">
        <v>219</v>
      </c>
      <c r="DJ1910" s="1" t="s">
        <v>224</v>
      </c>
      <c r="DS1910" s="1" t="s">
        <v>230</v>
      </c>
      <c r="DW1910" s="1" t="s">
        <v>230</v>
      </c>
      <c r="EA1910" s="1" t="s">
        <v>230</v>
      </c>
      <c r="EE1910" s="1" t="s">
        <v>230</v>
      </c>
      <c r="EI1910" s="1" t="s">
        <v>230</v>
      </c>
      <c r="EL1910" s="1" t="s">
        <v>231</v>
      </c>
      <c r="EM1910" s="1" t="s">
        <v>232</v>
      </c>
      <c r="EN1910" s="1" t="s">
        <v>1158</v>
      </c>
      <c r="EO1910" s="1" t="s">
        <v>234</v>
      </c>
      <c r="ER1910" s="1" t="s">
        <v>210</v>
      </c>
      <c r="EU1910" s="1" t="s">
        <v>239</v>
      </c>
      <c r="EW1910" s="1" t="s">
        <v>17625</v>
      </c>
      <c r="EZ1910" s="1" t="s">
        <v>287</v>
      </c>
      <c r="FD1910" s="1" t="s">
        <v>246</v>
      </c>
      <c r="FE1910" s="1" t="s">
        <v>247</v>
      </c>
      <c r="FF1910" s="1" t="s">
        <v>248</v>
      </c>
      <c r="FH1910" s="1" t="s">
        <v>249</v>
      </c>
      <c r="FL1910" s="1" t="s">
        <v>328</v>
      </c>
      <c r="FM1910" s="1" t="s">
        <v>252</v>
      </c>
      <c r="FN1910" s="1" t="s">
        <v>213</v>
      </c>
      <c r="FO1910" s="1" t="s">
        <v>213</v>
      </c>
      <c r="FQ1910" s="1" t="s">
        <v>689</v>
      </c>
      <c r="FR1910" s="1" t="s">
        <v>210</v>
      </c>
      <c r="FS1910" s="1" t="s">
        <v>1908</v>
      </c>
      <c r="FT1910" s="1" t="s">
        <v>584</v>
      </c>
      <c r="FU1910" s="1" t="s">
        <v>204</v>
      </c>
      <c r="FW1910" s="1" t="s">
        <v>915</v>
      </c>
      <c r="FX1910" s="1">
        <v>23076</v>
      </c>
      <c r="FY1910" s="1" t="s">
        <v>1909</v>
      </c>
      <c r="FZ1910" s="1" t="s">
        <v>1910</v>
      </c>
      <c r="GA1910" s="1">
        <v>213408</v>
      </c>
      <c r="GB1910" s="1" t="s">
        <v>1911</v>
      </c>
      <c r="GE1910" s="1" t="s">
        <v>335</v>
      </c>
      <c r="GI1910" s="1" t="s">
        <v>213</v>
      </c>
      <c r="GJ1910" s="1" t="s">
        <v>300</v>
      </c>
      <c r="GK1910" s="1" t="s">
        <v>210</v>
      </c>
      <c r="GL1910" s="2">
        <v>42125</v>
      </c>
      <c r="GM1910" s="1" t="s">
        <v>1912</v>
      </c>
    </row>
    <row r="1911" spans="1:195">
      <c r="A1911" s="1">
        <v>84500</v>
      </c>
      <c r="B1911" s="1" t="s">
        <v>195</v>
      </c>
      <c r="C1911" s="1" t="str">
        <f>"08731041"</f>
        <v>08731041</v>
      </c>
      <c r="D1911" s="1" t="s">
        <v>196</v>
      </c>
      <c r="F1911" s="1" t="str">
        <f>"123"</f>
        <v>123</v>
      </c>
      <c r="G1911" s="2">
        <v>41899</v>
      </c>
      <c r="H1911" s="1">
        <v>84900</v>
      </c>
      <c r="I1911" s="1">
        <v>84900</v>
      </c>
      <c r="J1911" s="1">
        <v>84500</v>
      </c>
      <c r="K1911" s="2">
        <v>41899</v>
      </c>
      <c r="L1911" s="1">
        <v>48</v>
      </c>
      <c r="M1911" s="2">
        <v>41946</v>
      </c>
      <c r="N1911" s="1">
        <v>48</v>
      </c>
      <c r="O1911" s="2">
        <v>41946</v>
      </c>
      <c r="P1911" s="1">
        <v>8363</v>
      </c>
      <c r="Q1911" s="1" t="s">
        <v>302</v>
      </c>
      <c r="R1911" s="2">
        <v>41974</v>
      </c>
      <c r="S1911" s="1">
        <v>238320</v>
      </c>
      <c r="U1911" s="1">
        <v>402</v>
      </c>
      <c r="V1911" s="1" t="s">
        <v>17626</v>
      </c>
      <c r="W1911" s="1" t="s">
        <v>425</v>
      </c>
      <c r="X1911" s="1">
        <v>402</v>
      </c>
      <c r="Y1911" s="1">
        <v>8</v>
      </c>
      <c r="Z1911" s="1" t="s">
        <v>249</v>
      </c>
      <c r="AA1911" s="1" t="s">
        <v>1173</v>
      </c>
      <c r="AB1911" s="1">
        <v>60123</v>
      </c>
      <c r="AE1911" s="1" t="s">
        <v>17627</v>
      </c>
      <c r="AF1911" s="1">
        <v>1990</v>
      </c>
      <c r="AG1911" s="1" t="s">
        <v>204</v>
      </c>
      <c r="AH1911" s="1" t="s">
        <v>1175</v>
      </c>
      <c r="AI1911" s="1" t="s">
        <v>665</v>
      </c>
      <c r="AJ1911" s="1" t="s">
        <v>1175</v>
      </c>
      <c r="AK1911" s="1" t="s">
        <v>17628</v>
      </c>
      <c r="AL1911" s="1">
        <v>5</v>
      </c>
      <c r="AM1911" s="1">
        <v>2</v>
      </c>
      <c r="AN1911" s="1">
        <v>1</v>
      </c>
      <c r="AO1911" s="1">
        <v>0</v>
      </c>
      <c r="AP1911" s="1" t="s">
        <v>210</v>
      </c>
      <c r="AQ1911" s="1">
        <v>0</v>
      </c>
      <c r="AR1911" s="1" t="s">
        <v>210</v>
      </c>
      <c r="AS1911" s="1" t="s">
        <v>204</v>
      </c>
      <c r="AT1911" s="1" t="s">
        <v>211</v>
      </c>
      <c r="AU1911" s="1">
        <v>1</v>
      </c>
      <c r="AW1911" s="1" t="s">
        <v>204</v>
      </c>
      <c r="AX1911" s="1" t="s">
        <v>212</v>
      </c>
      <c r="AZ1911" s="1">
        <v>1237.08</v>
      </c>
      <c r="BA1911" s="1">
        <v>2013</v>
      </c>
      <c r="BB1911" s="1" t="s">
        <v>3996</v>
      </c>
      <c r="BE1911" s="1">
        <v>1200</v>
      </c>
      <c r="BF1911" s="1">
        <v>1</v>
      </c>
      <c r="BG1911" s="1">
        <v>0</v>
      </c>
      <c r="BL1911" s="1">
        <v>130</v>
      </c>
      <c r="BM1911" s="1" t="s">
        <v>204</v>
      </c>
      <c r="BN1911" s="1" t="s">
        <v>213</v>
      </c>
      <c r="BO1911" s="1">
        <v>200</v>
      </c>
      <c r="BP1911" s="1" t="s">
        <v>204</v>
      </c>
      <c r="BR1911" s="1" t="str">
        <f>"0610378160"</f>
        <v>0610378160</v>
      </c>
      <c r="BT1911" s="1" t="s">
        <v>17629</v>
      </c>
      <c r="BU1911" s="1" t="s">
        <v>16890</v>
      </c>
      <c r="BV1911" s="1" t="s">
        <v>1487</v>
      </c>
      <c r="BW1911" s="1" t="s">
        <v>1488</v>
      </c>
      <c r="BX1911" s="1">
        <v>46</v>
      </c>
      <c r="BY1911" s="1">
        <v>46</v>
      </c>
      <c r="BZ1911" s="1">
        <v>46</v>
      </c>
      <c r="CB1911" s="1" t="str">
        <f>"11"</f>
        <v>11</v>
      </c>
      <c r="CC1911" s="1" t="str">
        <f>"0"</f>
        <v>0</v>
      </c>
      <c r="CD1911" s="1">
        <v>35</v>
      </c>
      <c r="CE1911" s="1">
        <v>0</v>
      </c>
      <c r="CF1911" s="1" t="s">
        <v>17630</v>
      </c>
      <c r="CG1911" s="1" t="s">
        <v>861</v>
      </c>
      <c r="CH1911" s="1" t="s">
        <v>219</v>
      </c>
      <c r="CI1911" s="1" t="s">
        <v>220</v>
      </c>
      <c r="CK1911" s="1" t="s">
        <v>228</v>
      </c>
      <c r="CL1911" s="1" t="s">
        <v>219</v>
      </c>
      <c r="CM1911" s="1" t="s">
        <v>220</v>
      </c>
      <c r="CP1911" s="1" t="s">
        <v>224</v>
      </c>
      <c r="CS1911" s="1" t="s">
        <v>465</v>
      </c>
      <c r="CT1911" s="1" t="s">
        <v>219</v>
      </c>
      <c r="CU1911" s="1" t="s">
        <v>220</v>
      </c>
      <c r="CX1911" s="1" t="s">
        <v>224</v>
      </c>
      <c r="DB1911" s="1" t="s">
        <v>224</v>
      </c>
      <c r="DE1911" s="1" t="s">
        <v>1178</v>
      </c>
      <c r="DF1911" s="1" t="s">
        <v>219</v>
      </c>
      <c r="DG1911" s="1" t="s">
        <v>342</v>
      </c>
      <c r="DJ1911" s="1" t="s">
        <v>224</v>
      </c>
      <c r="DM1911" s="1" t="s">
        <v>3011</v>
      </c>
      <c r="DN1911" s="1" t="s">
        <v>381</v>
      </c>
      <c r="DR1911" s="1" t="s">
        <v>17290</v>
      </c>
      <c r="DS1911" s="1" t="s">
        <v>219</v>
      </c>
      <c r="DT1911" s="1" t="s">
        <v>342</v>
      </c>
      <c r="DV1911" s="1" t="s">
        <v>318</v>
      </c>
      <c r="DW1911" s="1" t="s">
        <v>219</v>
      </c>
      <c r="DX1911" s="1" t="s">
        <v>342</v>
      </c>
      <c r="EA1911" s="1" t="s">
        <v>230</v>
      </c>
      <c r="EE1911" s="1" t="s">
        <v>230</v>
      </c>
      <c r="EI1911" s="1" t="s">
        <v>230</v>
      </c>
      <c r="EL1911" s="1" t="s">
        <v>382</v>
      </c>
      <c r="EM1911" s="1" t="s">
        <v>319</v>
      </c>
      <c r="EN1911" s="1" t="s">
        <v>282</v>
      </c>
      <c r="EO1911" s="1" t="s">
        <v>234</v>
      </c>
      <c r="EP1911" s="1" t="s">
        <v>210</v>
      </c>
      <c r="EQ1911" s="1" t="s">
        <v>468</v>
      </c>
      <c r="ER1911" s="1" t="s">
        <v>210</v>
      </c>
      <c r="ES1911" s="1" t="s">
        <v>824</v>
      </c>
      <c r="EU1911" s="1" t="s">
        <v>4524</v>
      </c>
      <c r="EW1911" s="1" t="s">
        <v>887</v>
      </c>
      <c r="EY1911" s="1" t="s">
        <v>242</v>
      </c>
      <c r="EZ1911" s="1" t="s">
        <v>14328</v>
      </c>
      <c r="FA1911" s="1" t="s">
        <v>672</v>
      </c>
      <c r="FB1911" s="1" t="s">
        <v>289</v>
      </c>
      <c r="FC1911" s="1" t="s">
        <v>245</v>
      </c>
      <c r="FD1911" s="1" t="s">
        <v>246</v>
      </c>
      <c r="FE1911" s="1" t="s">
        <v>247</v>
      </c>
      <c r="FF1911" s="1" t="s">
        <v>248</v>
      </c>
      <c r="FH1911" s="1" t="s">
        <v>1316</v>
      </c>
      <c r="FI1911" s="1" t="s">
        <v>473</v>
      </c>
      <c r="FJ1911" s="1" t="s">
        <v>197</v>
      </c>
      <c r="FL1911" s="1" t="s">
        <v>358</v>
      </c>
      <c r="FM1911" s="1" t="s">
        <v>252</v>
      </c>
      <c r="FN1911" s="1" t="s">
        <v>213</v>
      </c>
      <c r="FO1911" s="1" t="s">
        <v>213</v>
      </c>
      <c r="FQ1911" s="1" t="s">
        <v>913</v>
      </c>
      <c r="FR1911" s="1" t="s">
        <v>210</v>
      </c>
      <c r="FS1911" s="1" t="s">
        <v>17631</v>
      </c>
      <c r="FT1911" s="1" t="s">
        <v>1408</v>
      </c>
      <c r="FU1911" s="1" t="s">
        <v>204</v>
      </c>
      <c r="FW1911" s="1" t="s">
        <v>873</v>
      </c>
      <c r="FX1911" s="1">
        <v>25309</v>
      </c>
      <c r="FY1911" s="1" t="s">
        <v>874</v>
      </c>
      <c r="FZ1911" s="1" t="s">
        <v>17632</v>
      </c>
      <c r="GA1911" s="1">
        <v>259522</v>
      </c>
      <c r="GB1911" s="1" t="s">
        <v>17633</v>
      </c>
      <c r="GE1911" s="1" t="s">
        <v>335</v>
      </c>
      <c r="GI1911" s="1" t="s">
        <v>213</v>
      </c>
      <c r="GJ1911" s="1" t="s">
        <v>260</v>
      </c>
      <c r="GK1911" s="1" t="s">
        <v>210</v>
      </c>
      <c r="GL1911" s="2">
        <v>41974</v>
      </c>
      <c r="GM1911" s="1" t="s">
        <v>17634</v>
      </c>
    </row>
    <row r="1912" spans="1:195">
      <c r="A1912" s="1">
        <v>95500</v>
      </c>
      <c r="B1912" s="1" t="s">
        <v>195</v>
      </c>
      <c r="C1912" s="1" t="str">
        <f>"08732376"</f>
        <v>08732376</v>
      </c>
      <c r="D1912" s="1" t="s">
        <v>196</v>
      </c>
      <c r="F1912" s="1" t="str">
        <f>"517"</f>
        <v>517</v>
      </c>
      <c r="G1912" s="2">
        <v>41901</v>
      </c>
      <c r="H1912" s="1">
        <v>99900</v>
      </c>
      <c r="I1912" s="1">
        <v>99900</v>
      </c>
      <c r="J1912" s="1">
        <v>95500</v>
      </c>
      <c r="K1912" s="2">
        <v>41901</v>
      </c>
      <c r="L1912" s="1">
        <v>10</v>
      </c>
      <c r="M1912" s="2">
        <v>41910</v>
      </c>
      <c r="N1912" s="1">
        <v>10</v>
      </c>
      <c r="O1912" s="2">
        <v>41910</v>
      </c>
      <c r="P1912" s="1">
        <v>20001</v>
      </c>
      <c r="Q1912" s="1" t="s">
        <v>197</v>
      </c>
      <c r="R1912" s="2">
        <v>41969</v>
      </c>
      <c r="S1912" s="1">
        <v>215336</v>
      </c>
      <c r="U1912" s="1">
        <v>8105</v>
      </c>
      <c r="V1912" s="1" t="s">
        <v>7707</v>
      </c>
      <c r="W1912" s="1" t="s">
        <v>264</v>
      </c>
      <c r="X1912" s="1">
        <v>1702</v>
      </c>
      <c r="Y1912" s="1">
        <v>8</v>
      </c>
      <c r="Z1912" s="1" t="s">
        <v>249</v>
      </c>
      <c r="AA1912" s="1" t="s">
        <v>2850</v>
      </c>
      <c r="AB1912" s="1">
        <v>60517</v>
      </c>
      <c r="AD1912" s="1" t="s">
        <v>5731</v>
      </c>
      <c r="AE1912" s="1" t="s">
        <v>17635</v>
      </c>
      <c r="AF1912" s="1">
        <v>1986</v>
      </c>
      <c r="AG1912" s="1" t="s">
        <v>204</v>
      </c>
      <c r="AH1912" s="1" t="s">
        <v>2853</v>
      </c>
      <c r="AI1912" s="1" t="s">
        <v>206</v>
      </c>
      <c r="AJ1912" s="1" t="s">
        <v>925</v>
      </c>
      <c r="AL1912" s="1">
        <v>5</v>
      </c>
      <c r="AM1912" s="1">
        <v>2</v>
      </c>
      <c r="AN1912" s="1">
        <v>2</v>
      </c>
      <c r="AO1912" s="1">
        <v>0</v>
      </c>
      <c r="AP1912" s="1" t="s">
        <v>209</v>
      </c>
      <c r="AQ1912" s="1">
        <v>1</v>
      </c>
      <c r="AR1912" s="1" t="s">
        <v>210</v>
      </c>
      <c r="AS1912" s="1" t="s">
        <v>204</v>
      </c>
      <c r="AT1912" s="1" t="s">
        <v>211</v>
      </c>
      <c r="AU1912" s="1">
        <v>1</v>
      </c>
      <c r="AW1912" s="1" t="s">
        <v>204</v>
      </c>
      <c r="AX1912" s="1" t="s">
        <v>212</v>
      </c>
      <c r="AZ1912" s="1">
        <v>2329</v>
      </c>
      <c r="BA1912" s="1">
        <v>2013</v>
      </c>
      <c r="BB1912" s="1" t="s">
        <v>405</v>
      </c>
      <c r="BE1912" s="1">
        <v>1100</v>
      </c>
      <c r="BF1912" s="1">
        <v>1</v>
      </c>
      <c r="BG1912" s="1">
        <v>0</v>
      </c>
      <c r="BL1912" s="1">
        <v>214</v>
      </c>
      <c r="BM1912" s="1" t="s">
        <v>204</v>
      </c>
      <c r="BN1912" s="1" t="s">
        <v>213</v>
      </c>
      <c r="BO1912" s="1">
        <v>30</v>
      </c>
      <c r="BP1912" s="1" t="s">
        <v>204</v>
      </c>
      <c r="BR1912" s="1" t="str">
        <f>"0836210178"</f>
        <v>0836210178</v>
      </c>
      <c r="BT1912" s="1" t="s">
        <v>17636</v>
      </c>
      <c r="BU1912" s="1" t="s">
        <v>5734</v>
      </c>
      <c r="BV1912" s="1" t="s">
        <v>2856</v>
      </c>
      <c r="BW1912" s="1" t="s">
        <v>3099</v>
      </c>
      <c r="BX1912" s="1">
        <v>68</v>
      </c>
      <c r="BY1912" s="1">
        <v>68</v>
      </c>
      <c r="BZ1912" s="1">
        <v>99</v>
      </c>
      <c r="CB1912" s="1" t="str">
        <f t="shared" ref="CB1912:CC1912" si="1455">"0"</f>
        <v>0</v>
      </c>
      <c r="CC1912" s="1" t="str">
        <f t="shared" si="1455"/>
        <v>0</v>
      </c>
      <c r="CD1912" s="1">
        <v>21</v>
      </c>
      <c r="CE1912" s="1">
        <v>9</v>
      </c>
      <c r="CG1912" s="1" t="s">
        <v>729</v>
      </c>
      <c r="CH1912" s="1" t="s">
        <v>219</v>
      </c>
      <c r="CI1912" s="1" t="s">
        <v>220</v>
      </c>
      <c r="CK1912" s="1" t="s">
        <v>461</v>
      </c>
      <c r="CL1912" s="1" t="s">
        <v>219</v>
      </c>
      <c r="CM1912" s="1" t="s">
        <v>220</v>
      </c>
      <c r="CO1912" s="1" t="s">
        <v>1297</v>
      </c>
      <c r="CP1912" s="1" t="s">
        <v>219</v>
      </c>
      <c r="CQ1912" s="1" t="s">
        <v>220</v>
      </c>
      <c r="CR1912" s="1" t="s">
        <v>210</v>
      </c>
      <c r="CS1912" s="1" t="s">
        <v>1358</v>
      </c>
      <c r="CT1912" s="1" t="s">
        <v>219</v>
      </c>
      <c r="CU1912" s="1" t="s">
        <v>220</v>
      </c>
      <c r="CX1912" s="1" t="s">
        <v>224</v>
      </c>
      <c r="DB1912" s="1" t="s">
        <v>224</v>
      </c>
      <c r="DE1912" s="1" t="s">
        <v>932</v>
      </c>
      <c r="DF1912" s="1" t="s">
        <v>219</v>
      </c>
      <c r="DG1912" s="1" t="s">
        <v>226</v>
      </c>
      <c r="DJ1912" s="1" t="s">
        <v>224</v>
      </c>
      <c r="DM1912" s="1" t="s">
        <v>3011</v>
      </c>
      <c r="DR1912" s="1" t="s">
        <v>4829</v>
      </c>
      <c r="DS1912" s="1" t="s">
        <v>219</v>
      </c>
      <c r="DW1912" s="1" t="s">
        <v>230</v>
      </c>
      <c r="EA1912" s="1" t="s">
        <v>230</v>
      </c>
      <c r="EE1912" s="1" t="s">
        <v>230</v>
      </c>
      <c r="EI1912" s="1" t="s">
        <v>230</v>
      </c>
      <c r="EL1912" s="1" t="s">
        <v>542</v>
      </c>
      <c r="EM1912" s="1" t="s">
        <v>232</v>
      </c>
      <c r="EN1912" s="1" t="s">
        <v>282</v>
      </c>
      <c r="EO1912" s="1" t="s">
        <v>234</v>
      </c>
      <c r="EQ1912" s="1" t="s">
        <v>492</v>
      </c>
      <c r="ER1912" s="1" t="s">
        <v>210</v>
      </c>
      <c r="ES1912" s="1" t="s">
        <v>824</v>
      </c>
      <c r="EV1912" s="1" t="s">
        <v>240</v>
      </c>
      <c r="EW1912" s="1" t="s">
        <v>2205</v>
      </c>
      <c r="EY1912" s="1" t="s">
        <v>790</v>
      </c>
      <c r="EZ1912" s="1" t="s">
        <v>3011</v>
      </c>
      <c r="FA1912" s="1" t="s">
        <v>17064</v>
      </c>
      <c r="FC1912" s="1" t="s">
        <v>1386</v>
      </c>
      <c r="FD1912" s="1" t="s">
        <v>290</v>
      </c>
      <c r="FE1912" s="1" t="s">
        <v>247</v>
      </c>
      <c r="FF1912" s="1" t="s">
        <v>248</v>
      </c>
      <c r="FG1912" s="1" t="s">
        <v>1204</v>
      </c>
      <c r="FH1912" s="1" t="s">
        <v>716</v>
      </c>
      <c r="FI1912" s="1" t="s">
        <v>473</v>
      </c>
      <c r="FL1912" s="1" t="s">
        <v>358</v>
      </c>
      <c r="FM1912" s="1" t="s">
        <v>252</v>
      </c>
      <c r="FN1912" s="1" t="s">
        <v>213</v>
      </c>
      <c r="FO1912" s="1" t="s">
        <v>213</v>
      </c>
      <c r="FQ1912" s="1" t="s">
        <v>1599</v>
      </c>
      <c r="FR1912" s="1" t="s">
        <v>210</v>
      </c>
      <c r="FS1912" s="1" t="s">
        <v>1709</v>
      </c>
      <c r="FT1912" s="1" t="s">
        <v>362</v>
      </c>
      <c r="FU1912" s="1" t="s">
        <v>204</v>
      </c>
      <c r="FW1912" s="1" t="s">
        <v>1475</v>
      </c>
      <c r="FX1912" s="1">
        <v>23265</v>
      </c>
      <c r="FY1912" s="1" t="s">
        <v>1476</v>
      </c>
      <c r="FZ1912" s="1" t="s">
        <v>3606</v>
      </c>
      <c r="GA1912" s="1">
        <v>232884</v>
      </c>
      <c r="GB1912" s="1" t="s">
        <v>3607</v>
      </c>
      <c r="GE1912" s="1" t="s">
        <v>480</v>
      </c>
      <c r="GI1912" s="1" t="s">
        <v>213</v>
      </c>
      <c r="GJ1912" s="1" t="s">
        <v>260</v>
      </c>
      <c r="GK1912" s="1" t="s">
        <v>210</v>
      </c>
      <c r="GL1912" s="2">
        <v>41969</v>
      </c>
    </row>
    <row r="1913" spans="1:195">
      <c r="A1913" s="1">
        <v>133000</v>
      </c>
      <c r="B1913" s="1" t="s">
        <v>195</v>
      </c>
      <c r="C1913" s="1" t="str">
        <f>"08729559"</f>
        <v>08729559</v>
      </c>
      <c r="D1913" s="1" t="s">
        <v>196</v>
      </c>
      <c r="F1913" s="1" t="str">
        <f>"562"</f>
        <v>562</v>
      </c>
      <c r="G1913" s="2">
        <v>41898</v>
      </c>
      <c r="H1913" s="1">
        <v>139900</v>
      </c>
      <c r="I1913" s="1">
        <v>139900</v>
      </c>
      <c r="J1913" s="1">
        <v>133000</v>
      </c>
      <c r="K1913" s="2">
        <v>41898</v>
      </c>
      <c r="L1913" s="1">
        <v>147</v>
      </c>
      <c r="M1913" s="2">
        <v>42044</v>
      </c>
      <c r="N1913" s="1">
        <v>147</v>
      </c>
      <c r="O1913" s="2">
        <v>42044</v>
      </c>
      <c r="P1913" s="1">
        <v>72509</v>
      </c>
      <c r="Q1913" s="1" t="s">
        <v>197</v>
      </c>
      <c r="R1913" s="2">
        <v>42089</v>
      </c>
      <c r="S1913" s="1">
        <v>702737</v>
      </c>
      <c r="U1913" s="1">
        <v>1902</v>
      </c>
      <c r="V1913" s="1" t="s">
        <v>17637</v>
      </c>
      <c r="W1913" s="1" t="s">
        <v>304</v>
      </c>
      <c r="X1913" s="1" t="s">
        <v>17638</v>
      </c>
      <c r="Y1913" s="1">
        <v>4</v>
      </c>
      <c r="Z1913" s="1" t="s">
        <v>249</v>
      </c>
      <c r="AA1913" s="1" t="s">
        <v>899</v>
      </c>
      <c r="AB1913" s="1">
        <v>60561</v>
      </c>
      <c r="AE1913" s="1" t="s">
        <v>17639</v>
      </c>
      <c r="AF1913" s="1">
        <v>1973</v>
      </c>
      <c r="AG1913" s="1" t="s">
        <v>213</v>
      </c>
      <c r="AH1913" s="1" t="s">
        <v>902</v>
      </c>
      <c r="AI1913" s="1" t="s">
        <v>206</v>
      </c>
      <c r="AJ1913" s="1" t="s">
        <v>903</v>
      </c>
      <c r="AL1913" s="1">
        <v>5</v>
      </c>
      <c r="AM1913" s="1">
        <v>2</v>
      </c>
      <c r="AN1913" s="1">
        <v>2</v>
      </c>
      <c r="AO1913" s="1">
        <v>0</v>
      </c>
      <c r="AP1913" s="1" t="s">
        <v>209</v>
      </c>
      <c r="AQ1913" s="1">
        <v>1</v>
      </c>
      <c r="AR1913" s="1" t="s">
        <v>210</v>
      </c>
      <c r="AS1913" s="1" t="s">
        <v>204</v>
      </c>
      <c r="AT1913" s="1" t="s">
        <v>375</v>
      </c>
      <c r="AU1913" s="1">
        <v>1</v>
      </c>
      <c r="AV1913" s="1">
        <v>1</v>
      </c>
      <c r="AW1913" s="1" t="s">
        <v>204</v>
      </c>
      <c r="AX1913" s="1" t="s">
        <v>212</v>
      </c>
      <c r="AZ1913" s="1">
        <v>3128.32</v>
      </c>
      <c r="BA1913" s="1">
        <v>2013</v>
      </c>
      <c r="BB1913" s="1" t="s">
        <v>405</v>
      </c>
      <c r="BE1913" s="1">
        <v>1144</v>
      </c>
      <c r="BF1913" s="1">
        <v>2</v>
      </c>
      <c r="BG1913" s="1">
        <v>0</v>
      </c>
      <c r="BL1913" s="1">
        <v>224</v>
      </c>
      <c r="BM1913" s="1" t="s">
        <v>204</v>
      </c>
      <c r="BN1913" s="1" t="s">
        <v>213</v>
      </c>
      <c r="BO1913" s="1">
        <v>999</v>
      </c>
      <c r="BP1913" s="1" t="s">
        <v>204</v>
      </c>
      <c r="BR1913" s="1" t="str">
        <f>"0928316009"</f>
        <v>0928316009</v>
      </c>
      <c r="BT1913" s="1" t="s">
        <v>17640</v>
      </c>
      <c r="BU1913" s="1" t="s">
        <v>3998</v>
      </c>
      <c r="BV1913" s="1" t="s">
        <v>3999</v>
      </c>
      <c r="BW1913" s="1" t="s">
        <v>3099</v>
      </c>
      <c r="BX1913" s="1">
        <v>66</v>
      </c>
      <c r="BY1913" s="1">
        <v>66</v>
      </c>
      <c r="BZ1913" s="1">
        <v>99</v>
      </c>
      <c r="CB1913" s="1" t="str">
        <f t="shared" ref="CB1913:CC1913" si="1456">""</f>
        <v/>
      </c>
      <c r="CC1913" s="1" t="str">
        <f t="shared" si="1456"/>
        <v/>
      </c>
      <c r="CG1913" s="1" t="s">
        <v>3057</v>
      </c>
      <c r="CH1913" s="1" t="s">
        <v>277</v>
      </c>
      <c r="CI1913" s="1" t="s">
        <v>438</v>
      </c>
      <c r="CJ1913" s="1" t="s">
        <v>252</v>
      </c>
      <c r="CK1913" s="1" t="s">
        <v>3071</v>
      </c>
      <c r="CL1913" s="1" t="s">
        <v>277</v>
      </c>
      <c r="CM1913" s="1" t="s">
        <v>220</v>
      </c>
      <c r="CN1913" s="1" t="s">
        <v>252</v>
      </c>
      <c r="CO1913" s="1" t="s">
        <v>407</v>
      </c>
      <c r="CP1913" s="1" t="s">
        <v>277</v>
      </c>
      <c r="CQ1913" s="1" t="s">
        <v>438</v>
      </c>
      <c r="CR1913" s="1" t="s">
        <v>252</v>
      </c>
      <c r="CS1913" s="1" t="s">
        <v>2170</v>
      </c>
      <c r="CT1913" s="1" t="s">
        <v>277</v>
      </c>
      <c r="CU1913" s="1" t="s">
        <v>220</v>
      </c>
      <c r="CV1913" s="1" t="s">
        <v>252</v>
      </c>
      <c r="CX1913" s="1" t="s">
        <v>224</v>
      </c>
      <c r="DB1913" s="1" t="s">
        <v>224</v>
      </c>
      <c r="DE1913" s="1" t="s">
        <v>1470</v>
      </c>
      <c r="DF1913" s="1" t="s">
        <v>277</v>
      </c>
      <c r="DG1913" s="1" t="s">
        <v>438</v>
      </c>
      <c r="DJ1913" s="1" t="s">
        <v>224</v>
      </c>
      <c r="DS1913" s="1" t="s">
        <v>230</v>
      </c>
      <c r="DW1913" s="1" t="s">
        <v>230</v>
      </c>
      <c r="EA1913" s="1" t="s">
        <v>230</v>
      </c>
      <c r="EE1913" s="1" t="s">
        <v>230</v>
      </c>
      <c r="EI1913" s="1" t="s">
        <v>230</v>
      </c>
      <c r="EL1913" s="1" t="s">
        <v>605</v>
      </c>
      <c r="EM1913" s="1" t="s">
        <v>232</v>
      </c>
      <c r="EN1913" s="1" t="s">
        <v>282</v>
      </c>
      <c r="EO1913" s="1" t="s">
        <v>234</v>
      </c>
      <c r="EP1913" s="1" t="s">
        <v>2172</v>
      </c>
      <c r="EQ1913" s="1" t="s">
        <v>492</v>
      </c>
      <c r="ER1913" s="1" t="s">
        <v>210</v>
      </c>
      <c r="EW1913" s="1" t="s">
        <v>14464</v>
      </c>
      <c r="EZ1913" s="1" t="s">
        <v>287</v>
      </c>
      <c r="FD1913" s="1" t="s">
        <v>246</v>
      </c>
      <c r="FE1913" s="1" t="s">
        <v>247</v>
      </c>
      <c r="FF1913" s="1" t="s">
        <v>248</v>
      </c>
      <c r="FG1913" s="1" t="s">
        <v>912</v>
      </c>
      <c r="FH1913" s="1" t="s">
        <v>249</v>
      </c>
      <c r="FI1913" s="1" t="s">
        <v>473</v>
      </c>
      <c r="FJ1913" s="1" t="s">
        <v>1472</v>
      </c>
      <c r="FK1913" s="1" t="s">
        <v>291</v>
      </c>
      <c r="FL1913" s="1" t="s">
        <v>358</v>
      </c>
      <c r="FM1913" s="1" t="s">
        <v>252</v>
      </c>
      <c r="FN1913" s="1" t="s">
        <v>213</v>
      </c>
      <c r="FO1913" s="1" t="s">
        <v>213</v>
      </c>
      <c r="FQ1913" s="1" t="s">
        <v>17641</v>
      </c>
      <c r="FR1913" s="1" t="s">
        <v>210</v>
      </c>
      <c r="FS1913" s="1" t="s">
        <v>17642</v>
      </c>
      <c r="FT1913" s="1" t="s">
        <v>295</v>
      </c>
      <c r="FU1913" s="1" t="s">
        <v>204</v>
      </c>
      <c r="FW1913" s="1" t="s">
        <v>4007</v>
      </c>
      <c r="FX1913" s="1">
        <v>21754</v>
      </c>
      <c r="FY1913" s="1" t="s">
        <v>4008</v>
      </c>
      <c r="FZ1913" s="1" t="s">
        <v>17643</v>
      </c>
      <c r="GA1913" s="1">
        <v>228928</v>
      </c>
      <c r="GB1913" s="1" t="s">
        <v>17644</v>
      </c>
      <c r="GD1913" s="1" t="s">
        <v>17645</v>
      </c>
      <c r="GE1913" s="1" t="s">
        <v>210</v>
      </c>
      <c r="GI1913" s="1" t="s">
        <v>213</v>
      </c>
      <c r="GJ1913" s="1" t="s">
        <v>260</v>
      </c>
      <c r="GK1913" s="1" t="s">
        <v>210</v>
      </c>
      <c r="GL1913" s="2">
        <v>42090</v>
      </c>
      <c r="GM1913" s="1" t="s">
        <v>17646</v>
      </c>
    </row>
    <row r="1914" spans="1:195">
      <c r="A1914" s="1">
        <v>26000</v>
      </c>
      <c r="B1914" s="1" t="s">
        <v>195</v>
      </c>
      <c r="C1914" s="1" t="str">
        <f>"08730302"</f>
        <v>08730302</v>
      </c>
      <c r="D1914" s="1" t="s">
        <v>196</v>
      </c>
      <c r="F1914" s="1" t="str">
        <f>"188"</f>
        <v>188</v>
      </c>
      <c r="G1914" s="2">
        <v>41899</v>
      </c>
      <c r="H1914" s="1">
        <v>32000</v>
      </c>
      <c r="I1914" s="1">
        <v>29000</v>
      </c>
      <c r="J1914" s="1">
        <v>26000</v>
      </c>
      <c r="K1914" s="2">
        <v>41899</v>
      </c>
      <c r="L1914" s="1">
        <v>150</v>
      </c>
      <c r="M1914" s="2">
        <v>41957</v>
      </c>
      <c r="N1914" s="1">
        <v>59</v>
      </c>
      <c r="O1914" s="2">
        <v>41957</v>
      </c>
      <c r="P1914" s="1">
        <v>21944</v>
      </c>
      <c r="Q1914" s="1" t="s">
        <v>302</v>
      </c>
      <c r="R1914" s="2">
        <v>41985</v>
      </c>
      <c r="S1914" s="1">
        <v>256869</v>
      </c>
      <c r="U1914" s="1">
        <v>143</v>
      </c>
      <c r="V1914" s="1" t="s">
        <v>17647</v>
      </c>
      <c r="W1914" s="1" t="s">
        <v>526</v>
      </c>
      <c r="X1914" s="1">
        <v>340</v>
      </c>
      <c r="Y1914" s="1">
        <v>12</v>
      </c>
      <c r="Z1914" s="1" t="s">
        <v>249</v>
      </c>
      <c r="AA1914" s="1" t="s">
        <v>1084</v>
      </c>
      <c r="AB1914" s="1">
        <v>60188</v>
      </c>
      <c r="AD1914" s="1" t="s">
        <v>17648</v>
      </c>
      <c r="AE1914" s="1" t="s">
        <v>17649</v>
      </c>
      <c r="AF1914" s="1">
        <v>1980</v>
      </c>
      <c r="AG1914" s="1" t="s">
        <v>204</v>
      </c>
      <c r="AH1914" s="1" t="s">
        <v>1087</v>
      </c>
      <c r="AI1914" s="1" t="s">
        <v>206</v>
      </c>
      <c r="AJ1914" s="1" t="s">
        <v>269</v>
      </c>
      <c r="AL1914" s="1">
        <v>5</v>
      </c>
      <c r="AM1914" s="1">
        <v>2</v>
      </c>
      <c r="AN1914" s="1">
        <v>1</v>
      </c>
      <c r="AO1914" s="1">
        <v>1</v>
      </c>
      <c r="AP1914" s="1" t="s">
        <v>1234</v>
      </c>
      <c r="AR1914" s="1" t="s">
        <v>210</v>
      </c>
      <c r="AS1914" s="1" t="s">
        <v>204</v>
      </c>
      <c r="AT1914" s="1" t="s">
        <v>271</v>
      </c>
      <c r="AV1914" s="1">
        <v>2</v>
      </c>
      <c r="AW1914" s="1" t="s">
        <v>204</v>
      </c>
      <c r="AX1914" s="1" t="s">
        <v>212</v>
      </c>
      <c r="AZ1914" s="1">
        <v>1323.36</v>
      </c>
      <c r="BA1914" s="1">
        <v>2013</v>
      </c>
      <c r="BB1914" s="1" t="s">
        <v>405</v>
      </c>
      <c r="BE1914" s="1">
        <v>981</v>
      </c>
      <c r="BF1914" s="1">
        <v>3</v>
      </c>
      <c r="BG1914" s="1">
        <v>5</v>
      </c>
      <c r="BL1914" s="1">
        <v>343</v>
      </c>
      <c r="BM1914" s="1" t="s">
        <v>413</v>
      </c>
      <c r="BN1914" s="1" t="s">
        <v>204</v>
      </c>
      <c r="BP1914" s="1" t="s">
        <v>204</v>
      </c>
      <c r="BR1914" s="1" t="str">
        <f>"0229111197"</f>
        <v>0229111197</v>
      </c>
      <c r="BT1914" s="1" t="s">
        <v>17650</v>
      </c>
      <c r="BX1914" s="1">
        <v>93</v>
      </c>
      <c r="BY1914" s="1">
        <v>93</v>
      </c>
      <c r="BZ1914" s="1">
        <v>87</v>
      </c>
      <c r="CB1914" s="1" t="str">
        <f t="shared" ref="CB1914:CC1914" si="1457">""</f>
        <v/>
      </c>
      <c r="CC1914" s="1" t="str">
        <f t="shared" si="1457"/>
        <v/>
      </c>
      <c r="CG1914" s="1" t="s">
        <v>228</v>
      </c>
      <c r="CH1914" s="1" t="s">
        <v>219</v>
      </c>
      <c r="CI1914" s="1" t="s">
        <v>220</v>
      </c>
      <c r="CK1914" s="1" t="s">
        <v>461</v>
      </c>
      <c r="CL1914" s="1" t="s">
        <v>219</v>
      </c>
      <c r="CM1914" s="1" t="s">
        <v>220</v>
      </c>
      <c r="CO1914" s="1" t="s">
        <v>2231</v>
      </c>
      <c r="CP1914" s="1" t="s">
        <v>219</v>
      </c>
      <c r="CQ1914" s="1" t="s">
        <v>220</v>
      </c>
      <c r="CS1914" s="1" t="s">
        <v>378</v>
      </c>
      <c r="CT1914" s="1" t="s">
        <v>219</v>
      </c>
      <c r="CU1914" s="1" t="s">
        <v>220</v>
      </c>
      <c r="CX1914" s="1" t="s">
        <v>224</v>
      </c>
      <c r="DB1914" s="1" t="s">
        <v>224</v>
      </c>
      <c r="DE1914" s="1" t="s">
        <v>2231</v>
      </c>
      <c r="DF1914" s="1" t="s">
        <v>219</v>
      </c>
      <c r="DJ1914" s="1" t="s">
        <v>224</v>
      </c>
      <c r="DS1914" s="1" t="s">
        <v>230</v>
      </c>
      <c r="DW1914" s="1" t="s">
        <v>230</v>
      </c>
      <c r="EA1914" s="1" t="s">
        <v>230</v>
      </c>
      <c r="EE1914" s="1" t="s">
        <v>230</v>
      </c>
      <c r="EI1914" s="1" t="s">
        <v>230</v>
      </c>
      <c r="EL1914" s="1" t="s">
        <v>231</v>
      </c>
      <c r="EM1914" s="1" t="s">
        <v>232</v>
      </c>
      <c r="EN1914" s="1" t="s">
        <v>731</v>
      </c>
      <c r="EO1914" s="1" t="s">
        <v>234</v>
      </c>
      <c r="ER1914" s="1" t="s">
        <v>210</v>
      </c>
      <c r="EV1914" s="1" t="s">
        <v>240</v>
      </c>
      <c r="EW1914" s="1" t="s">
        <v>4815</v>
      </c>
      <c r="EZ1914" s="1" t="s">
        <v>287</v>
      </c>
      <c r="FB1914" s="1" t="s">
        <v>289</v>
      </c>
      <c r="FD1914" s="1" t="s">
        <v>1112</v>
      </c>
      <c r="FE1914" s="1" t="s">
        <v>247</v>
      </c>
      <c r="FF1914" s="1" t="s">
        <v>248</v>
      </c>
      <c r="FH1914" s="1" t="s">
        <v>249</v>
      </c>
      <c r="FK1914" s="1" t="s">
        <v>291</v>
      </c>
      <c r="FL1914" s="1" t="s">
        <v>810</v>
      </c>
      <c r="FM1914" s="1" t="s">
        <v>252</v>
      </c>
      <c r="FN1914" s="1" t="s">
        <v>213</v>
      </c>
      <c r="FO1914" s="1" t="s">
        <v>213</v>
      </c>
      <c r="FQ1914" s="1" t="s">
        <v>689</v>
      </c>
      <c r="FR1914" s="1" t="s">
        <v>210</v>
      </c>
      <c r="FS1914" s="1" t="s">
        <v>3448</v>
      </c>
      <c r="FT1914" s="1" t="s">
        <v>584</v>
      </c>
      <c r="FU1914" s="1" t="s">
        <v>204</v>
      </c>
      <c r="FW1914" s="1" t="s">
        <v>3449</v>
      </c>
      <c r="FX1914" s="1">
        <v>605</v>
      </c>
      <c r="FY1914" s="1" t="s">
        <v>3450</v>
      </c>
      <c r="FZ1914" s="1" t="s">
        <v>3451</v>
      </c>
      <c r="GA1914" s="1">
        <v>170</v>
      </c>
      <c r="GB1914" s="1" t="s">
        <v>3450</v>
      </c>
      <c r="GC1914" s="1">
        <v>40</v>
      </c>
      <c r="GD1914" s="1" t="s">
        <v>3452</v>
      </c>
      <c r="GE1914" s="1" t="s">
        <v>210</v>
      </c>
      <c r="GH1914" s="1" t="s">
        <v>589</v>
      </c>
      <c r="GI1914" s="1" t="s">
        <v>213</v>
      </c>
      <c r="GJ1914" s="1" t="s">
        <v>260</v>
      </c>
      <c r="GK1914" s="1" t="s">
        <v>210</v>
      </c>
      <c r="GL1914" s="2">
        <v>41986</v>
      </c>
      <c r="GM1914" s="1" t="s">
        <v>17651</v>
      </c>
    </row>
    <row r="1915" spans="1:195">
      <c r="A1915" s="1">
        <v>172000</v>
      </c>
      <c r="B1915" s="1" t="s">
        <v>195</v>
      </c>
      <c r="C1915" s="1" t="str">
        <f>"08730667"</f>
        <v>08730667</v>
      </c>
      <c r="D1915" s="1" t="s">
        <v>196</v>
      </c>
      <c r="F1915" s="1" t="str">
        <f>"139"</f>
        <v>139</v>
      </c>
      <c r="G1915" s="2">
        <v>41899</v>
      </c>
      <c r="H1915" s="1">
        <v>175000</v>
      </c>
      <c r="I1915" s="1">
        <v>175000</v>
      </c>
      <c r="J1915" s="1">
        <v>172000</v>
      </c>
      <c r="K1915" s="2">
        <v>41899</v>
      </c>
      <c r="L1915" s="1">
        <v>9</v>
      </c>
      <c r="M1915" s="2">
        <v>41907</v>
      </c>
      <c r="N1915" s="1">
        <v>9</v>
      </c>
      <c r="O1915" s="2">
        <v>41907</v>
      </c>
      <c r="P1915" s="1">
        <v>23163</v>
      </c>
      <c r="Q1915" s="1" t="s">
        <v>197</v>
      </c>
      <c r="R1915" s="2">
        <v>41973</v>
      </c>
      <c r="S1915" s="1">
        <v>232883</v>
      </c>
      <c r="U1915" s="1">
        <v>182</v>
      </c>
      <c r="V1915" s="1" t="s">
        <v>8536</v>
      </c>
      <c r="W1915" s="1" t="s">
        <v>264</v>
      </c>
      <c r="X1915" s="1">
        <v>182</v>
      </c>
      <c r="Y1915" s="1">
        <v>8</v>
      </c>
      <c r="Z1915" s="1" t="s">
        <v>370</v>
      </c>
      <c r="AA1915" s="1" t="s">
        <v>1732</v>
      </c>
      <c r="AB1915" s="1">
        <v>60139</v>
      </c>
      <c r="AE1915" s="1" t="s">
        <v>17652</v>
      </c>
      <c r="AF1915" s="1">
        <v>1988</v>
      </c>
      <c r="AG1915" s="1" t="s">
        <v>204</v>
      </c>
      <c r="AH1915" s="1" t="s">
        <v>1735</v>
      </c>
      <c r="AI1915" s="1" t="s">
        <v>206</v>
      </c>
      <c r="AJ1915" s="1" t="s">
        <v>269</v>
      </c>
      <c r="AK1915" s="1" t="s">
        <v>17653</v>
      </c>
      <c r="AL1915" s="1">
        <v>6</v>
      </c>
      <c r="AM1915" s="1">
        <v>2</v>
      </c>
      <c r="AN1915" s="1">
        <v>2</v>
      </c>
      <c r="AO1915" s="1">
        <v>1</v>
      </c>
      <c r="AP1915" s="1" t="s">
        <v>209</v>
      </c>
      <c r="AQ1915" s="1">
        <v>1</v>
      </c>
      <c r="AR1915" s="1" t="s">
        <v>210</v>
      </c>
      <c r="AS1915" s="1" t="s">
        <v>204</v>
      </c>
      <c r="AT1915" s="1" t="s">
        <v>211</v>
      </c>
      <c r="AU1915" s="1">
        <v>1</v>
      </c>
      <c r="AW1915" s="1" t="s">
        <v>204</v>
      </c>
      <c r="AX1915" s="1" t="s">
        <v>17654</v>
      </c>
      <c r="AZ1915" s="1">
        <v>5074.38</v>
      </c>
      <c r="BA1915" s="1">
        <v>2013</v>
      </c>
      <c r="BB1915" s="1" t="s">
        <v>405</v>
      </c>
      <c r="BE1915" s="1">
        <v>1332</v>
      </c>
      <c r="BF1915" s="1">
        <v>1</v>
      </c>
      <c r="BG1915" s="1">
        <v>0</v>
      </c>
      <c r="BL1915" s="1">
        <v>196</v>
      </c>
      <c r="BM1915" s="1" t="s">
        <v>204</v>
      </c>
      <c r="BN1915" s="1" t="s">
        <v>213</v>
      </c>
      <c r="BO1915" s="1">
        <v>999</v>
      </c>
      <c r="BP1915" s="1" t="s">
        <v>204</v>
      </c>
      <c r="BR1915" s="1" t="str">
        <f>"0233204192"</f>
        <v>0233204192</v>
      </c>
      <c r="BT1915" s="1" t="s">
        <v>17655</v>
      </c>
      <c r="BU1915" s="1" t="s">
        <v>6319</v>
      </c>
      <c r="BV1915" s="1" t="s">
        <v>3645</v>
      </c>
      <c r="BW1915" s="1" t="s">
        <v>1092</v>
      </c>
      <c r="BX1915" s="1">
        <v>16</v>
      </c>
      <c r="BY1915" s="1">
        <v>16</v>
      </c>
      <c r="BZ1915" s="1">
        <v>87</v>
      </c>
      <c r="CB1915" s="1" t="str">
        <f>"2"</f>
        <v>2</v>
      </c>
      <c r="CC1915" s="1" t="str">
        <f>"0"</f>
        <v>0</v>
      </c>
      <c r="CD1915" s="1">
        <v>24</v>
      </c>
      <c r="CE1915" s="1">
        <v>0</v>
      </c>
      <c r="CG1915" s="1" t="s">
        <v>315</v>
      </c>
      <c r="CH1915" s="1" t="s">
        <v>219</v>
      </c>
      <c r="CI1915" s="1" t="s">
        <v>220</v>
      </c>
      <c r="CK1915" s="1" t="s">
        <v>317</v>
      </c>
      <c r="CL1915" s="1" t="s">
        <v>277</v>
      </c>
      <c r="CM1915" s="1" t="s">
        <v>220</v>
      </c>
      <c r="CO1915" s="1" t="s">
        <v>318</v>
      </c>
      <c r="CP1915" s="1" t="s">
        <v>219</v>
      </c>
      <c r="CQ1915" s="1" t="s">
        <v>220</v>
      </c>
      <c r="CS1915" s="1" t="s">
        <v>465</v>
      </c>
      <c r="CT1915" s="1" t="s">
        <v>277</v>
      </c>
      <c r="CU1915" s="1" t="s">
        <v>220</v>
      </c>
      <c r="CX1915" s="1" t="s">
        <v>224</v>
      </c>
      <c r="DB1915" s="1" t="s">
        <v>224</v>
      </c>
      <c r="DE1915" s="1" t="s">
        <v>1854</v>
      </c>
      <c r="DF1915" s="1" t="s">
        <v>219</v>
      </c>
      <c r="DG1915" s="1" t="s">
        <v>438</v>
      </c>
      <c r="DH1915" s="1" t="s">
        <v>210</v>
      </c>
      <c r="DJ1915" s="1" t="s">
        <v>224</v>
      </c>
      <c r="DM1915" s="1" t="s">
        <v>464</v>
      </c>
      <c r="DN1915" s="1" t="s">
        <v>3011</v>
      </c>
      <c r="DR1915" s="1" t="s">
        <v>346</v>
      </c>
      <c r="DS1915" s="1" t="s">
        <v>277</v>
      </c>
      <c r="DT1915" s="1" t="s">
        <v>220</v>
      </c>
      <c r="DV1915" s="1" t="s">
        <v>410</v>
      </c>
      <c r="DW1915" s="1" t="s">
        <v>219</v>
      </c>
      <c r="DX1915" s="1" t="s">
        <v>342</v>
      </c>
      <c r="DY1915" s="1" t="s">
        <v>210</v>
      </c>
      <c r="EA1915" s="1" t="s">
        <v>230</v>
      </c>
      <c r="EE1915" s="1" t="s">
        <v>230</v>
      </c>
      <c r="EI1915" s="1" t="s">
        <v>230</v>
      </c>
      <c r="EL1915" s="1" t="s">
        <v>542</v>
      </c>
      <c r="EM1915" s="1" t="s">
        <v>232</v>
      </c>
      <c r="EN1915" s="1" t="s">
        <v>282</v>
      </c>
      <c r="EO1915" s="1" t="s">
        <v>840</v>
      </c>
      <c r="EP1915" s="1" t="s">
        <v>6745</v>
      </c>
      <c r="EQ1915" s="1" t="s">
        <v>1094</v>
      </c>
      <c r="ER1915" s="1" t="s">
        <v>210</v>
      </c>
      <c r="ES1915" s="1" t="s">
        <v>3932</v>
      </c>
      <c r="EU1915" s="1" t="s">
        <v>13900</v>
      </c>
      <c r="EV1915" s="1" t="s">
        <v>352</v>
      </c>
      <c r="EW1915" s="1" t="s">
        <v>1504</v>
      </c>
      <c r="EY1915" s="1" t="s">
        <v>242</v>
      </c>
      <c r="EZ1915" s="1" t="s">
        <v>7165</v>
      </c>
      <c r="FA1915" s="1" t="s">
        <v>4742</v>
      </c>
      <c r="FB1915" s="1" t="s">
        <v>289</v>
      </c>
      <c r="FC1915" s="1" t="s">
        <v>4152</v>
      </c>
      <c r="FD1915" s="1" t="s">
        <v>246</v>
      </c>
      <c r="FE1915" s="1" t="s">
        <v>247</v>
      </c>
      <c r="FF1915" s="1" t="s">
        <v>248</v>
      </c>
      <c r="FG1915" s="1" t="s">
        <v>2406</v>
      </c>
      <c r="FH1915" s="1" t="s">
        <v>550</v>
      </c>
      <c r="FI1915" s="1" t="s">
        <v>473</v>
      </c>
      <c r="FL1915" s="1" t="s">
        <v>358</v>
      </c>
      <c r="FM1915" s="1" t="s">
        <v>252</v>
      </c>
      <c r="FN1915" s="1" t="s">
        <v>213</v>
      </c>
      <c r="FO1915" s="1" t="s">
        <v>213</v>
      </c>
      <c r="FQ1915" s="1" t="s">
        <v>2004</v>
      </c>
      <c r="FR1915" s="1" t="s">
        <v>210</v>
      </c>
      <c r="FS1915" s="1" t="s">
        <v>17656</v>
      </c>
      <c r="FT1915" s="1" t="s">
        <v>295</v>
      </c>
      <c r="FU1915" s="1" t="s">
        <v>204</v>
      </c>
      <c r="FW1915" s="1" t="s">
        <v>13879</v>
      </c>
      <c r="FX1915" s="1">
        <v>11062</v>
      </c>
      <c r="FY1915" s="1" t="s">
        <v>13880</v>
      </c>
      <c r="FZ1915" s="1" t="s">
        <v>17657</v>
      </c>
      <c r="GA1915" s="1">
        <v>151045</v>
      </c>
      <c r="GB1915" s="1" t="s">
        <v>17658</v>
      </c>
      <c r="GE1915" s="1" t="s">
        <v>210</v>
      </c>
      <c r="GI1915" s="1" t="s">
        <v>213</v>
      </c>
      <c r="GJ1915" s="1" t="s">
        <v>260</v>
      </c>
      <c r="GK1915" s="1" t="s">
        <v>210</v>
      </c>
      <c r="GL1915" s="2">
        <v>41973</v>
      </c>
    </row>
    <row r="1916" spans="1:195">
      <c r="A1916" s="1">
        <v>145000</v>
      </c>
      <c r="B1916" s="1" t="s">
        <v>195</v>
      </c>
      <c r="C1916" s="1" t="str">
        <f>"08729464"</f>
        <v>08729464</v>
      </c>
      <c r="D1916" s="1" t="s">
        <v>196</v>
      </c>
      <c r="F1916" s="1" t="str">
        <f>"543"</f>
        <v>543</v>
      </c>
      <c r="G1916" s="2">
        <v>41898</v>
      </c>
      <c r="H1916" s="1">
        <v>152900</v>
      </c>
      <c r="I1916" s="1">
        <v>152900</v>
      </c>
      <c r="J1916" s="1">
        <v>145000</v>
      </c>
      <c r="K1916" s="2">
        <v>41897</v>
      </c>
      <c r="L1916" s="1">
        <v>14</v>
      </c>
      <c r="M1916" s="2">
        <v>41910</v>
      </c>
      <c r="N1916" s="1">
        <v>14</v>
      </c>
      <c r="O1916" s="2">
        <v>41910</v>
      </c>
      <c r="P1916" s="1">
        <v>72504</v>
      </c>
      <c r="Q1916" s="1" t="s">
        <v>423</v>
      </c>
      <c r="R1916" s="2">
        <v>41990</v>
      </c>
      <c r="S1916" s="1">
        <v>703194</v>
      </c>
      <c r="U1916" s="1">
        <v>619</v>
      </c>
      <c r="V1916" s="1" t="s">
        <v>17659</v>
      </c>
      <c r="W1916" s="1" t="s">
        <v>526</v>
      </c>
      <c r="Y1916" s="1">
        <v>2</v>
      </c>
      <c r="Z1916" s="1" t="s">
        <v>370</v>
      </c>
      <c r="AA1916" s="1" t="s">
        <v>2639</v>
      </c>
      <c r="AB1916" s="1">
        <v>60543</v>
      </c>
      <c r="AD1916" s="1" t="s">
        <v>17660</v>
      </c>
      <c r="AE1916" s="1" t="s">
        <v>17661</v>
      </c>
      <c r="AF1916" s="1">
        <v>2005</v>
      </c>
      <c r="AG1916" s="1" t="s">
        <v>204</v>
      </c>
      <c r="AH1916" s="1" t="s">
        <v>1397</v>
      </c>
      <c r="AI1916" s="1" t="s">
        <v>453</v>
      </c>
      <c r="AJ1916" s="1" t="s">
        <v>1397</v>
      </c>
      <c r="AL1916" s="1">
        <v>6</v>
      </c>
      <c r="AM1916" s="1">
        <v>2</v>
      </c>
      <c r="AN1916" s="1">
        <v>1</v>
      </c>
      <c r="AO1916" s="1">
        <v>1</v>
      </c>
      <c r="AP1916" s="1" t="s">
        <v>667</v>
      </c>
      <c r="AR1916" s="1" t="s">
        <v>210</v>
      </c>
      <c r="AS1916" s="1" t="s">
        <v>204</v>
      </c>
      <c r="AT1916" s="1" t="s">
        <v>211</v>
      </c>
      <c r="AU1916" s="1">
        <v>2</v>
      </c>
      <c r="AW1916" s="1" t="s">
        <v>213</v>
      </c>
      <c r="AX1916" s="1" t="s">
        <v>17662</v>
      </c>
      <c r="AZ1916" s="1">
        <v>4089.94</v>
      </c>
      <c r="BA1916" s="1">
        <v>2012</v>
      </c>
      <c r="BE1916" s="1">
        <v>1536</v>
      </c>
      <c r="BF1916" s="1">
        <v>1</v>
      </c>
      <c r="BG1916" s="1">
        <v>0</v>
      </c>
      <c r="BL1916" s="1">
        <v>145</v>
      </c>
      <c r="BM1916" s="1" t="s">
        <v>204</v>
      </c>
      <c r="BN1916" s="1" t="s">
        <v>213</v>
      </c>
      <c r="BO1916" s="1">
        <v>999</v>
      </c>
      <c r="BP1916" s="1" t="s">
        <v>204</v>
      </c>
      <c r="BR1916" s="1" t="str">
        <f>"0303375012"</f>
        <v>0303375012</v>
      </c>
      <c r="BT1916" s="1" t="s">
        <v>17663</v>
      </c>
      <c r="BX1916" s="1">
        <v>308</v>
      </c>
      <c r="BY1916" s="1">
        <v>308</v>
      </c>
      <c r="BZ1916" s="1">
        <v>308</v>
      </c>
      <c r="CB1916" s="1" t="str">
        <f t="shared" ref="CB1916:CC1916" si="1458">""</f>
        <v/>
      </c>
      <c r="CC1916" s="1" t="str">
        <f t="shared" si="1458"/>
        <v/>
      </c>
      <c r="CG1916" s="1" t="s">
        <v>931</v>
      </c>
      <c r="CH1916" s="1" t="s">
        <v>219</v>
      </c>
      <c r="CI1916" s="1" t="s">
        <v>220</v>
      </c>
      <c r="CJ1916" s="1" t="s">
        <v>343</v>
      </c>
      <c r="CK1916" s="1" t="s">
        <v>932</v>
      </c>
      <c r="CL1916" s="1" t="s">
        <v>277</v>
      </c>
      <c r="CM1916" s="1" t="s">
        <v>220</v>
      </c>
      <c r="CN1916" s="1" t="s">
        <v>343</v>
      </c>
      <c r="CO1916" s="1" t="s">
        <v>837</v>
      </c>
      <c r="CP1916" s="1" t="s">
        <v>219</v>
      </c>
      <c r="CQ1916" s="1" t="s">
        <v>220</v>
      </c>
      <c r="CR1916" s="1" t="s">
        <v>343</v>
      </c>
      <c r="CS1916" s="1" t="s">
        <v>346</v>
      </c>
      <c r="CT1916" s="1" t="s">
        <v>277</v>
      </c>
      <c r="CU1916" s="1" t="s">
        <v>220</v>
      </c>
      <c r="CV1916" s="1" t="s">
        <v>343</v>
      </c>
      <c r="CX1916" s="1" t="s">
        <v>224</v>
      </c>
      <c r="DB1916" s="1" t="s">
        <v>224</v>
      </c>
      <c r="DE1916" s="1" t="s">
        <v>1046</v>
      </c>
      <c r="DF1916" s="1" t="s">
        <v>219</v>
      </c>
      <c r="DG1916" s="1" t="s">
        <v>342</v>
      </c>
      <c r="DH1916" s="1" t="s">
        <v>210</v>
      </c>
      <c r="DJ1916" s="1" t="s">
        <v>224</v>
      </c>
      <c r="DM1916" s="1" t="s">
        <v>464</v>
      </c>
      <c r="DR1916" s="1" t="s">
        <v>707</v>
      </c>
      <c r="DS1916" s="1" t="s">
        <v>277</v>
      </c>
      <c r="DT1916" s="1" t="s">
        <v>220</v>
      </c>
      <c r="DU1916" s="1" t="s">
        <v>343</v>
      </c>
      <c r="DW1916" s="1" t="s">
        <v>230</v>
      </c>
      <c r="EA1916" s="1" t="s">
        <v>230</v>
      </c>
      <c r="EE1916" s="1" t="s">
        <v>230</v>
      </c>
      <c r="EI1916" s="1" t="s">
        <v>230</v>
      </c>
      <c r="EL1916" s="1" t="s">
        <v>491</v>
      </c>
      <c r="EM1916" s="1" t="s">
        <v>232</v>
      </c>
      <c r="EN1916" s="1" t="s">
        <v>282</v>
      </c>
      <c r="EO1916" s="1" t="s">
        <v>234</v>
      </c>
      <c r="EP1916" s="1" t="s">
        <v>3012</v>
      </c>
      <c r="EQ1916" s="1" t="s">
        <v>236</v>
      </c>
      <c r="ER1916" s="1" t="s">
        <v>210</v>
      </c>
      <c r="ES1916" s="1" t="s">
        <v>493</v>
      </c>
      <c r="EU1916" s="1" t="s">
        <v>17664</v>
      </c>
      <c r="EV1916" s="1" t="s">
        <v>352</v>
      </c>
      <c r="EW1916" s="1" t="s">
        <v>867</v>
      </c>
      <c r="EZ1916" s="1" t="s">
        <v>464</v>
      </c>
      <c r="FA1916" s="1" t="s">
        <v>1586</v>
      </c>
      <c r="FB1916" s="1" t="s">
        <v>289</v>
      </c>
      <c r="FD1916" s="1" t="s">
        <v>246</v>
      </c>
      <c r="FE1916" s="1" t="s">
        <v>472</v>
      </c>
      <c r="FF1916" s="1" t="s">
        <v>248</v>
      </c>
      <c r="FH1916" s="1" t="s">
        <v>442</v>
      </c>
      <c r="FI1916" s="1" t="s">
        <v>357</v>
      </c>
      <c r="FJ1916" s="1" t="s">
        <v>518</v>
      </c>
      <c r="FL1916" s="1" t="s">
        <v>414</v>
      </c>
      <c r="FM1916" s="1" t="s">
        <v>252</v>
      </c>
      <c r="FN1916" s="1" t="s">
        <v>213</v>
      </c>
      <c r="FO1916" s="1" t="s">
        <v>213</v>
      </c>
      <c r="FQ1916" s="1" t="s">
        <v>849</v>
      </c>
      <c r="FR1916" s="1" t="s">
        <v>210</v>
      </c>
      <c r="FS1916" s="1" t="s">
        <v>17665</v>
      </c>
      <c r="FT1916" s="1" t="s">
        <v>295</v>
      </c>
      <c r="FU1916" s="1" t="s">
        <v>204</v>
      </c>
      <c r="FW1916" s="1" t="s">
        <v>813</v>
      </c>
      <c r="FX1916" s="1">
        <v>22588</v>
      </c>
      <c r="FY1916" s="1" t="s">
        <v>2685</v>
      </c>
      <c r="FZ1916" s="1" t="s">
        <v>17666</v>
      </c>
      <c r="GA1916" s="1">
        <v>217863</v>
      </c>
      <c r="GB1916" s="1" t="s">
        <v>17667</v>
      </c>
      <c r="GE1916" s="1" t="s">
        <v>480</v>
      </c>
      <c r="GI1916" s="1" t="s">
        <v>213</v>
      </c>
      <c r="GJ1916" s="1" t="s">
        <v>260</v>
      </c>
      <c r="GK1916" s="1" t="s">
        <v>210</v>
      </c>
      <c r="GL1916" s="2">
        <v>41992</v>
      </c>
      <c r="GM1916" s="1" t="s">
        <v>17668</v>
      </c>
    </row>
    <row r="1917" spans="1:195">
      <c r="A1917" s="1">
        <v>75000</v>
      </c>
      <c r="B1917" s="1" t="s">
        <v>195</v>
      </c>
      <c r="C1917" s="1" t="str">
        <f>"08773626"</f>
        <v>08773626</v>
      </c>
      <c r="D1917" s="1" t="s">
        <v>196</v>
      </c>
      <c r="F1917" s="1" t="str">
        <f>"527"</f>
        <v>527</v>
      </c>
      <c r="G1917" s="2">
        <v>41954</v>
      </c>
      <c r="H1917" s="1">
        <v>82500</v>
      </c>
      <c r="I1917" s="1">
        <v>82500</v>
      </c>
      <c r="J1917" s="1">
        <v>75000</v>
      </c>
      <c r="K1917" s="2">
        <v>41954</v>
      </c>
      <c r="L1917" s="1">
        <v>1200</v>
      </c>
      <c r="M1917" s="2">
        <v>41958</v>
      </c>
      <c r="N1917" s="1">
        <v>5</v>
      </c>
      <c r="O1917" s="2">
        <v>41958</v>
      </c>
      <c r="P1917" s="1">
        <v>79764</v>
      </c>
      <c r="Q1917" s="1" t="s">
        <v>197</v>
      </c>
      <c r="R1917" s="2">
        <v>42020</v>
      </c>
      <c r="S1917" s="1">
        <v>704761</v>
      </c>
      <c r="U1917" s="1">
        <v>10735</v>
      </c>
      <c r="V1917" s="1" t="s">
        <v>7139</v>
      </c>
      <c r="W1917" s="1" t="s">
        <v>425</v>
      </c>
      <c r="X1917" s="1">
        <v>309</v>
      </c>
      <c r="Y1917" s="1">
        <v>44</v>
      </c>
      <c r="Z1917" s="1" t="s">
        <v>249</v>
      </c>
      <c r="AA1917" s="1" t="s">
        <v>5962</v>
      </c>
      <c r="AB1917" s="1">
        <v>60525</v>
      </c>
      <c r="AD1917" s="1" t="s">
        <v>17669</v>
      </c>
      <c r="AE1917" s="1" t="s">
        <v>17670</v>
      </c>
      <c r="AF1917" s="1">
        <v>1973</v>
      </c>
      <c r="AG1917" s="1" t="s">
        <v>213</v>
      </c>
      <c r="AH1917" s="1" t="s">
        <v>5964</v>
      </c>
      <c r="AI1917" s="1" t="s">
        <v>310</v>
      </c>
      <c r="AJ1917" s="1" t="s">
        <v>702</v>
      </c>
      <c r="AL1917" s="1">
        <v>5</v>
      </c>
      <c r="AM1917" s="1">
        <v>2</v>
      </c>
      <c r="AN1917" s="1">
        <v>1</v>
      </c>
      <c r="AO1917" s="1">
        <v>0</v>
      </c>
      <c r="AP1917" s="1" t="s">
        <v>210</v>
      </c>
      <c r="AR1917" s="1" t="s">
        <v>210</v>
      </c>
      <c r="AS1917" s="1" t="s">
        <v>204</v>
      </c>
      <c r="AT1917" s="1" t="s">
        <v>271</v>
      </c>
      <c r="AV1917" s="1">
        <v>1</v>
      </c>
      <c r="AW1917" s="1" t="s">
        <v>204</v>
      </c>
      <c r="AX1917" s="1" t="s">
        <v>212</v>
      </c>
      <c r="AZ1917" s="1">
        <v>2017</v>
      </c>
      <c r="BA1917" s="1">
        <v>2013</v>
      </c>
      <c r="BB1917" s="1" t="s">
        <v>210</v>
      </c>
      <c r="BE1917" s="1">
        <v>850</v>
      </c>
      <c r="BF1917" s="1">
        <v>3</v>
      </c>
      <c r="BG1917" s="1">
        <v>10</v>
      </c>
      <c r="BL1917" s="1">
        <v>210</v>
      </c>
      <c r="BM1917" s="1" t="s">
        <v>204</v>
      </c>
      <c r="BN1917" s="1" t="s">
        <v>213</v>
      </c>
      <c r="BP1917" s="1" t="s">
        <v>204</v>
      </c>
      <c r="BR1917" s="1" t="str">
        <f>"18292020381027"</f>
        <v>18292020381027</v>
      </c>
      <c r="BT1917" s="1" t="s">
        <v>17671</v>
      </c>
      <c r="BU1917" s="1" t="s">
        <v>704</v>
      </c>
      <c r="BV1917" s="1" t="s">
        <v>705</v>
      </c>
      <c r="BW1917" s="1" t="s">
        <v>706</v>
      </c>
      <c r="BX1917" s="1">
        <v>107</v>
      </c>
      <c r="BY1917" s="1">
        <v>107</v>
      </c>
      <c r="BZ1917" s="1">
        <v>204</v>
      </c>
      <c r="CB1917" s="1" t="str">
        <f t="shared" ref="CB1917:CC1917" si="1459">"0"</f>
        <v>0</v>
      </c>
      <c r="CC1917" s="1" t="str">
        <f t="shared" si="1459"/>
        <v>0</v>
      </c>
      <c r="CD1917" s="1">
        <v>13</v>
      </c>
      <c r="CE1917" s="1">
        <v>8</v>
      </c>
      <c r="CG1917" s="1" t="s">
        <v>1004</v>
      </c>
      <c r="CH1917" s="1" t="s">
        <v>219</v>
      </c>
      <c r="CI1917" s="1" t="s">
        <v>220</v>
      </c>
      <c r="CJ1917" s="1" t="s">
        <v>252</v>
      </c>
      <c r="CK1917" s="1" t="s">
        <v>317</v>
      </c>
      <c r="CL1917" s="1" t="s">
        <v>219</v>
      </c>
      <c r="CM1917" s="1" t="s">
        <v>220</v>
      </c>
      <c r="CN1917" s="1" t="s">
        <v>252</v>
      </c>
      <c r="CO1917" s="1" t="s">
        <v>281</v>
      </c>
      <c r="CP1917" s="1" t="s">
        <v>219</v>
      </c>
      <c r="CQ1917" s="1" t="s">
        <v>220</v>
      </c>
      <c r="CR1917" s="1" t="s">
        <v>252</v>
      </c>
      <c r="CS1917" s="1" t="s">
        <v>465</v>
      </c>
      <c r="CT1917" s="1" t="s">
        <v>219</v>
      </c>
      <c r="CU1917" s="1" t="s">
        <v>220</v>
      </c>
      <c r="CV1917" s="1" t="s">
        <v>252</v>
      </c>
      <c r="CX1917" s="1" t="s">
        <v>224</v>
      </c>
      <c r="DB1917" s="1" t="s">
        <v>224</v>
      </c>
      <c r="DE1917" s="1" t="s">
        <v>951</v>
      </c>
      <c r="DF1917" s="1" t="s">
        <v>219</v>
      </c>
      <c r="DG1917" s="1" t="s">
        <v>226</v>
      </c>
      <c r="DH1917" s="1" t="s">
        <v>210</v>
      </c>
      <c r="DJ1917" s="1" t="s">
        <v>224</v>
      </c>
      <c r="DS1917" s="1" t="s">
        <v>230</v>
      </c>
      <c r="DW1917" s="1" t="s">
        <v>230</v>
      </c>
      <c r="EA1917" s="1" t="s">
        <v>230</v>
      </c>
      <c r="EE1917" s="1" t="s">
        <v>230</v>
      </c>
      <c r="EI1917" s="1" t="s">
        <v>230</v>
      </c>
      <c r="EL1917" s="1" t="s">
        <v>605</v>
      </c>
      <c r="EM1917" s="1" t="s">
        <v>232</v>
      </c>
      <c r="EN1917" s="1" t="s">
        <v>282</v>
      </c>
      <c r="EO1917" s="1" t="s">
        <v>234</v>
      </c>
      <c r="EP1917" s="1" t="s">
        <v>17672</v>
      </c>
      <c r="EQ1917" s="1" t="s">
        <v>17673</v>
      </c>
      <c r="ER1917" s="1" t="s">
        <v>210</v>
      </c>
      <c r="ES1917" s="1" t="s">
        <v>3719</v>
      </c>
      <c r="EV1917" s="1" t="s">
        <v>324</v>
      </c>
      <c r="EW1917" s="1" t="s">
        <v>1940</v>
      </c>
      <c r="EY1917" s="1" t="s">
        <v>242</v>
      </c>
      <c r="EZ1917" s="1" t="s">
        <v>287</v>
      </c>
      <c r="FB1917" s="1" t="s">
        <v>244</v>
      </c>
      <c r="FC1917" s="1" t="s">
        <v>633</v>
      </c>
      <c r="FD1917" s="1" t="s">
        <v>736</v>
      </c>
      <c r="FE1917" s="1" t="s">
        <v>247</v>
      </c>
      <c r="FF1917" s="1" t="s">
        <v>248</v>
      </c>
      <c r="FH1917" s="1" t="s">
        <v>249</v>
      </c>
      <c r="FJ1917" s="1" t="s">
        <v>197</v>
      </c>
      <c r="FL1917" s="1" t="s">
        <v>1073</v>
      </c>
      <c r="FM1917" s="1" t="s">
        <v>252</v>
      </c>
      <c r="FN1917" s="1" t="s">
        <v>213</v>
      </c>
      <c r="FO1917" s="1" t="s">
        <v>213</v>
      </c>
      <c r="FQ1917" s="1" t="s">
        <v>10975</v>
      </c>
      <c r="FR1917" s="1" t="s">
        <v>210</v>
      </c>
      <c r="FS1917" s="1" t="s">
        <v>17674</v>
      </c>
      <c r="FT1917" s="1" t="s">
        <v>362</v>
      </c>
      <c r="FU1917" s="1" t="s">
        <v>204</v>
      </c>
      <c r="FW1917" s="1" t="s">
        <v>719</v>
      </c>
      <c r="FX1917" s="1">
        <v>22029</v>
      </c>
      <c r="FY1917" s="1" t="s">
        <v>720</v>
      </c>
      <c r="FZ1917" s="1" t="s">
        <v>17675</v>
      </c>
      <c r="GA1917" s="1">
        <v>220457</v>
      </c>
      <c r="GB1917" s="1" t="s">
        <v>17676</v>
      </c>
      <c r="GE1917" s="1" t="s">
        <v>480</v>
      </c>
      <c r="GI1917" s="1" t="s">
        <v>204</v>
      </c>
      <c r="GJ1917" s="1" t="s">
        <v>260</v>
      </c>
      <c r="GK1917" s="1" t="s">
        <v>210</v>
      </c>
      <c r="GL1917" s="2">
        <v>42020</v>
      </c>
      <c r="GM1917" s="1" t="s">
        <v>17677</v>
      </c>
    </row>
    <row r="1918" spans="1:195">
      <c r="A1918" s="1">
        <v>32500</v>
      </c>
      <c r="B1918" s="1" t="s">
        <v>195</v>
      </c>
      <c r="C1918" s="1" t="str">
        <f>"08732298"</f>
        <v>08732298</v>
      </c>
      <c r="D1918" s="1" t="s">
        <v>196</v>
      </c>
      <c r="F1918" s="1" t="str">
        <f>"8038"</f>
        <v>8038</v>
      </c>
      <c r="G1918" s="2">
        <v>41900</v>
      </c>
      <c r="H1918" s="1">
        <v>35250</v>
      </c>
      <c r="I1918" s="1">
        <v>35250</v>
      </c>
      <c r="J1918" s="1">
        <v>32500</v>
      </c>
      <c r="K1918" s="2">
        <v>41900</v>
      </c>
      <c r="L1918" s="1">
        <v>13</v>
      </c>
      <c r="M1918" s="2">
        <v>41912</v>
      </c>
      <c r="N1918" s="1">
        <v>13</v>
      </c>
      <c r="O1918" s="2">
        <v>41912</v>
      </c>
      <c r="P1918" s="1">
        <v>85127</v>
      </c>
      <c r="Q1918" s="1" t="s">
        <v>302</v>
      </c>
      <c r="R1918" s="2">
        <v>41983</v>
      </c>
      <c r="S1918" s="1">
        <v>164584</v>
      </c>
      <c r="U1918" s="1">
        <v>4950</v>
      </c>
      <c r="V1918" s="1" t="s">
        <v>4078</v>
      </c>
      <c r="W1918" s="1" t="s">
        <v>264</v>
      </c>
      <c r="X1918" s="1" t="s">
        <v>11029</v>
      </c>
      <c r="Y1918" s="1">
        <v>24</v>
      </c>
      <c r="Z1918" s="1" t="s">
        <v>249</v>
      </c>
      <c r="AA1918" s="1" t="s">
        <v>400</v>
      </c>
      <c r="AB1918" s="1">
        <v>60615</v>
      </c>
      <c r="AE1918" s="1" t="s">
        <v>17678</v>
      </c>
      <c r="AF1918" s="1">
        <v>2007</v>
      </c>
      <c r="AG1918" s="1" t="s">
        <v>204</v>
      </c>
      <c r="AH1918" s="1" t="s">
        <v>403</v>
      </c>
      <c r="AI1918" s="1" t="s">
        <v>310</v>
      </c>
      <c r="AJ1918" s="1" t="s">
        <v>562</v>
      </c>
      <c r="AL1918" s="1">
        <v>2</v>
      </c>
      <c r="AM1918" s="1">
        <v>2</v>
      </c>
      <c r="AN1918" s="1">
        <v>1</v>
      </c>
      <c r="AO1918" s="1">
        <v>0</v>
      </c>
      <c r="AP1918" s="1" t="s">
        <v>210</v>
      </c>
      <c r="AR1918" s="1" t="s">
        <v>210</v>
      </c>
      <c r="AT1918" s="1" t="s">
        <v>210</v>
      </c>
      <c r="AW1918" s="1" t="s">
        <v>204</v>
      </c>
      <c r="AX1918" s="1" t="s">
        <v>212</v>
      </c>
      <c r="AZ1918" s="1">
        <v>1982.78</v>
      </c>
      <c r="BA1918" s="1">
        <v>2013</v>
      </c>
      <c r="BE1918" s="1">
        <v>800</v>
      </c>
      <c r="BF1918" s="1">
        <v>3</v>
      </c>
      <c r="BG1918" s="1">
        <v>0</v>
      </c>
      <c r="BL1918" s="1">
        <v>210</v>
      </c>
      <c r="BM1918" s="1" t="s">
        <v>204</v>
      </c>
      <c r="BN1918" s="1" t="s">
        <v>204</v>
      </c>
      <c r="BP1918" s="1" t="s">
        <v>204</v>
      </c>
      <c r="BR1918" s="1" t="str">
        <f>"20101170221020"</f>
        <v>20101170221020</v>
      </c>
      <c r="BT1918" s="1" t="s">
        <v>17679</v>
      </c>
      <c r="BX1918" s="1">
        <v>299</v>
      </c>
      <c r="BY1918" s="1">
        <v>299</v>
      </c>
      <c r="BZ1918" s="1">
        <v>299</v>
      </c>
      <c r="CB1918" s="1" t="str">
        <f>"0"</f>
        <v>0</v>
      </c>
      <c r="CC1918" s="1" t="str">
        <f>"400"</f>
        <v>400</v>
      </c>
      <c r="CD1918" s="1">
        <v>0</v>
      </c>
      <c r="CE1918" s="1">
        <v>4950</v>
      </c>
      <c r="CH1918" s="1" t="s">
        <v>224</v>
      </c>
      <c r="CK1918" s="1" t="s">
        <v>602</v>
      </c>
      <c r="CL1918" s="1" t="s">
        <v>219</v>
      </c>
      <c r="CP1918" s="1" t="s">
        <v>224</v>
      </c>
      <c r="CS1918" s="1" t="s">
        <v>318</v>
      </c>
      <c r="CT1918" s="1" t="s">
        <v>219</v>
      </c>
      <c r="CX1918" s="1" t="s">
        <v>224</v>
      </c>
      <c r="DB1918" s="1" t="s">
        <v>224</v>
      </c>
      <c r="DF1918" s="1" t="s">
        <v>224</v>
      </c>
      <c r="DJ1918" s="1" t="s">
        <v>224</v>
      </c>
      <c r="DS1918" s="1" t="s">
        <v>230</v>
      </c>
      <c r="DW1918" s="1" t="s">
        <v>230</v>
      </c>
      <c r="EA1918" s="1" t="s">
        <v>230</v>
      </c>
      <c r="EE1918" s="1" t="s">
        <v>230</v>
      </c>
      <c r="EI1918" s="1" t="s">
        <v>230</v>
      </c>
      <c r="EL1918" s="1" t="s">
        <v>491</v>
      </c>
      <c r="EM1918" s="1" t="s">
        <v>232</v>
      </c>
      <c r="EN1918" s="1" t="s">
        <v>210</v>
      </c>
      <c r="EO1918" s="1" t="s">
        <v>234</v>
      </c>
      <c r="ER1918" s="1" t="s">
        <v>210</v>
      </c>
      <c r="EW1918" s="1" t="s">
        <v>937</v>
      </c>
      <c r="EZ1918" s="1" t="s">
        <v>287</v>
      </c>
      <c r="FD1918" s="1" t="s">
        <v>1112</v>
      </c>
      <c r="FE1918" s="1" t="s">
        <v>247</v>
      </c>
      <c r="FF1918" s="1" t="s">
        <v>248</v>
      </c>
      <c r="FH1918" s="1" t="s">
        <v>249</v>
      </c>
      <c r="FL1918" s="1" t="s">
        <v>414</v>
      </c>
      <c r="FM1918" s="1" t="s">
        <v>210</v>
      </c>
      <c r="FN1918" s="1" t="s">
        <v>204</v>
      </c>
      <c r="FO1918" s="1" t="s">
        <v>204</v>
      </c>
      <c r="FQ1918" s="1" t="s">
        <v>17680</v>
      </c>
      <c r="FR1918" s="1" t="s">
        <v>360</v>
      </c>
      <c r="FS1918" s="1" t="s">
        <v>17681</v>
      </c>
      <c r="FT1918" s="1" t="s">
        <v>362</v>
      </c>
      <c r="FU1918" s="1" t="s">
        <v>204</v>
      </c>
      <c r="FW1918" s="1" t="s">
        <v>1637</v>
      </c>
      <c r="FX1918" s="1">
        <v>12293</v>
      </c>
      <c r="FY1918" s="1" t="s">
        <v>10402</v>
      </c>
      <c r="FZ1918" s="1" t="s">
        <v>17682</v>
      </c>
      <c r="GA1918" s="1">
        <v>869884</v>
      </c>
      <c r="GE1918" s="1" t="s">
        <v>210</v>
      </c>
      <c r="GH1918" s="1" t="s">
        <v>421</v>
      </c>
      <c r="GI1918" s="1" t="s">
        <v>213</v>
      </c>
      <c r="GJ1918" s="1" t="s">
        <v>260</v>
      </c>
      <c r="GK1918" s="1" t="s">
        <v>210</v>
      </c>
      <c r="GL1918" s="2">
        <v>41983</v>
      </c>
      <c r="GM1918" s="1" t="s">
        <v>397</v>
      </c>
    </row>
    <row r="1919" spans="1:195">
      <c r="A1919" s="1">
        <v>160000</v>
      </c>
      <c r="B1919" s="1" t="s">
        <v>195</v>
      </c>
      <c r="C1919" s="1" t="str">
        <f>"08732086"</f>
        <v>08732086</v>
      </c>
      <c r="D1919" s="1" t="s">
        <v>196</v>
      </c>
      <c r="F1919" s="1" t="str">
        <f>"515"</f>
        <v>515</v>
      </c>
      <c r="G1919" s="2">
        <v>41900</v>
      </c>
      <c r="H1919" s="1">
        <v>179900</v>
      </c>
      <c r="I1919" s="1">
        <v>179900</v>
      </c>
      <c r="J1919" s="1">
        <v>160000</v>
      </c>
      <c r="K1919" s="2">
        <v>41900</v>
      </c>
      <c r="L1919" s="1">
        <v>88</v>
      </c>
      <c r="M1919" s="2">
        <v>41987</v>
      </c>
      <c r="N1919" s="1">
        <v>88</v>
      </c>
      <c r="O1919" s="2">
        <v>41987</v>
      </c>
      <c r="P1919" s="1">
        <v>13691</v>
      </c>
      <c r="Q1919" s="1" t="s">
        <v>197</v>
      </c>
      <c r="R1919" s="2">
        <v>42026</v>
      </c>
      <c r="S1919" s="1">
        <v>129067</v>
      </c>
      <c r="U1919" s="1">
        <v>7308</v>
      </c>
      <c r="V1919" s="1" t="s">
        <v>17683</v>
      </c>
      <c r="W1919" s="1" t="s">
        <v>1056</v>
      </c>
      <c r="X1919" s="7">
        <v>42279</v>
      </c>
      <c r="Y1919" s="1">
        <v>6</v>
      </c>
      <c r="Z1919" s="1" t="s">
        <v>249</v>
      </c>
      <c r="AA1919" s="1" t="s">
        <v>1294</v>
      </c>
      <c r="AB1919" s="1">
        <v>60516</v>
      </c>
      <c r="AD1919" s="1" t="s">
        <v>17684</v>
      </c>
      <c r="AE1919" s="1" t="s">
        <v>17685</v>
      </c>
      <c r="AF1919" s="1">
        <v>1985</v>
      </c>
      <c r="AG1919" s="1" t="s">
        <v>204</v>
      </c>
      <c r="AH1919" s="1" t="s">
        <v>903</v>
      </c>
      <c r="AI1919" s="1" t="s">
        <v>206</v>
      </c>
      <c r="AJ1919" s="1" t="s">
        <v>903</v>
      </c>
      <c r="AL1919" s="1">
        <v>5</v>
      </c>
      <c r="AM1919" s="1">
        <v>2</v>
      </c>
      <c r="AN1919" s="1">
        <v>2</v>
      </c>
      <c r="AO1919" s="1">
        <v>0</v>
      </c>
      <c r="AP1919" s="1" t="s">
        <v>209</v>
      </c>
      <c r="AQ1919" s="1">
        <v>1</v>
      </c>
      <c r="AR1919" s="1" t="s">
        <v>210</v>
      </c>
      <c r="AS1919" s="1" t="s">
        <v>204</v>
      </c>
      <c r="AT1919" s="1" t="s">
        <v>211</v>
      </c>
      <c r="AU1919" s="1">
        <v>1</v>
      </c>
      <c r="AW1919" s="1" t="s">
        <v>204</v>
      </c>
      <c r="AX1919" s="1" t="s">
        <v>212</v>
      </c>
      <c r="AZ1919" s="1">
        <v>2831</v>
      </c>
      <c r="BA1919" s="1">
        <v>2013</v>
      </c>
      <c r="BB1919" s="1" t="s">
        <v>405</v>
      </c>
      <c r="BE1919" s="1">
        <v>0</v>
      </c>
      <c r="BF1919" s="1">
        <v>2</v>
      </c>
      <c r="BG1919" s="1">
        <v>0</v>
      </c>
      <c r="BL1919" s="1">
        <v>168</v>
      </c>
      <c r="BM1919" s="1" t="s">
        <v>204</v>
      </c>
      <c r="BN1919" s="1" t="s">
        <v>213</v>
      </c>
      <c r="BO1919" s="1">
        <v>0</v>
      </c>
      <c r="BP1919" s="1" t="s">
        <v>204</v>
      </c>
      <c r="BR1919" s="1" t="str">
        <f>"0929112056"</f>
        <v>0929112056</v>
      </c>
      <c r="BT1919" s="1" t="s">
        <v>17686</v>
      </c>
      <c r="BU1919" s="1" t="s">
        <v>4257</v>
      </c>
      <c r="BV1919" s="1" t="s">
        <v>4258</v>
      </c>
      <c r="BW1919" s="1" t="s">
        <v>3099</v>
      </c>
      <c r="BX1919" s="1">
        <v>58</v>
      </c>
      <c r="BY1919" s="1">
        <v>58</v>
      </c>
      <c r="BZ1919" s="1">
        <v>99</v>
      </c>
      <c r="CB1919" s="1" t="str">
        <f t="shared" ref="CB1919:CC1919" si="1460">""</f>
        <v/>
      </c>
      <c r="CC1919" s="1" t="str">
        <f t="shared" si="1460"/>
        <v/>
      </c>
      <c r="CG1919" s="1" t="s">
        <v>9164</v>
      </c>
      <c r="CH1919" s="1" t="s">
        <v>277</v>
      </c>
      <c r="CI1919" s="1" t="s">
        <v>229</v>
      </c>
      <c r="CK1919" s="1" t="s">
        <v>221</v>
      </c>
      <c r="CL1919" s="1" t="s">
        <v>277</v>
      </c>
      <c r="CM1919" s="1" t="s">
        <v>220</v>
      </c>
      <c r="CO1919" s="1" t="s">
        <v>316</v>
      </c>
      <c r="CP1919" s="1" t="s">
        <v>277</v>
      </c>
      <c r="CQ1919" s="1" t="s">
        <v>229</v>
      </c>
      <c r="CS1919" s="1" t="s">
        <v>379</v>
      </c>
      <c r="CT1919" s="1" t="s">
        <v>277</v>
      </c>
      <c r="CU1919" s="1" t="s">
        <v>220</v>
      </c>
      <c r="CX1919" s="1" t="s">
        <v>224</v>
      </c>
      <c r="DB1919" s="1" t="s">
        <v>224</v>
      </c>
      <c r="DE1919" s="1" t="s">
        <v>409</v>
      </c>
      <c r="DF1919" s="1" t="s">
        <v>277</v>
      </c>
      <c r="DG1919" s="1" t="s">
        <v>226</v>
      </c>
      <c r="DJ1919" s="1" t="s">
        <v>224</v>
      </c>
      <c r="DS1919" s="1" t="s">
        <v>230</v>
      </c>
      <c r="DW1919" s="1" t="s">
        <v>230</v>
      </c>
      <c r="EA1919" s="1" t="s">
        <v>230</v>
      </c>
      <c r="EE1919" s="1" t="s">
        <v>230</v>
      </c>
      <c r="EI1919" s="1" t="s">
        <v>230</v>
      </c>
      <c r="EL1919" s="1" t="s">
        <v>542</v>
      </c>
      <c r="EM1919" s="1" t="s">
        <v>232</v>
      </c>
      <c r="EN1919" s="1" t="s">
        <v>282</v>
      </c>
      <c r="EO1919" s="1" t="s">
        <v>234</v>
      </c>
      <c r="EP1919" s="1" t="s">
        <v>283</v>
      </c>
      <c r="EQ1919" s="1" t="s">
        <v>492</v>
      </c>
      <c r="ER1919" s="1" t="s">
        <v>210</v>
      </c>
      <c r="EU1919" s="1" t="s">
        <v>239</v>
      </c>
      <c r="EV1919" s="1" t="s">
        <v>324</v>
      </c>
      <c r="EW1919" s="1" t="s">
        <v>353</v>
      </c>
      <c r="EY1919" s="1" t="s">
        <v>242</v>
      </c>
      <c r="EZ1919" s="1" t="s">
        <v>287</v>
      </c>
      <c r="FA1919" s="1" t="s">
        <v>471</v>
      </c>
      <c r="FD1919" s="1" t="s">
        <v>246</v>
      </c>
      <c r="FE1919" s="1" t="s">
        <v>889</v>
      </c>
      <c r="FF1919" s="1" t="s">
        <v>248</v>
      </c>
      <c r="FG1919" s="1" t="s">
        <v>912</v>
      </c>
      <c r="FH1919" s="1" t="s">
        <v>825</v>
      </c>
      <c r="FI1919" s="1" t="s">
        <v>357</v>
      </c>
      <c r="FL1919" s="1" t="s">
        <v>414</v>
      </c>
      <c r="FM1919" s="1" t="s">
        <v>252</v>
      </c>
      <c r="FN1919" s="1" t="s">
        <v>213</v>
      </c>
      <c r="FO1919" s="1" t="s">
        <v>213</v>
      </c>
      <c r="FQ1919" s="1" t="s">
        <v>2142</v>
      </c>
      <c r="FR1919" s="1" t="s">
        <v>210</v>
      </c>
      <c r="FS1919" s="1" t="s">
        <v>17687</v>
      </c>
      <c r="FT1919" s="1" t="s">
        <v>295</v>
      </c>
      <c r="FU1919" s="1" t="s">
        <v>204</v>
      </c>
      <c r="FW1919" s="1" t="s">
        <v>585</v>
      </c>
      <c r="FX1919" s="1">
        <v>20001</v>
      </c>
      <c r="FY1919" s="1" t="s">
        <v>5002</v>
      </c>
      <c r="FZ1919" s="1" t="s">
        <v>17688</v>
      </c>
      <c r="GA1919" s="1">
        <v>224841</v>
      </c>
      <c r="GB1919" s="1" t="s">
        <v>17689</v>
      </c>
      <c r="GD1919" s="1" t="s">
        <v>17690</v>
      </c>
      <c r="GE1919" s="1" t="s">
        <v>2504</v>
      </c>
      <c r="GI1919" s="1" t="s">
        <v>213</v>
      </c>
      <c r="GJ1919" s="1" t="s">
        <v>260</v>
      </c>
      <c r="GK1919" s="1" t="s">
        <v>210</v>
      </c>
      <c r="GL1919" s="2">
        <v>42026</v>
      </c>
      <c r="GM1919" s="1" t="s">
        <v>17691</v>
      </c>
    </row>
    <row r="1920" spans="1:195">
      <c r="A1920" s="1">
        <v>286000</v>
      </c>
      <c r="B1920" s="1" t="s">
        <v>195</v>
      </c>
      <c r="C1920" s="1" t="str">
        <f>"08733960"</f>
        <v>08733960</v>
      </c>
      <c r="D1920" s="1" t="s">
        <v>196</v>
      </c>
      <c r="F1920" s="1" t="str">
        <f>"480"</f>
        <v>480</v>
      </c>
      <c r="G1920" s="2">
        <v>41903</v>
      </c>
      <c r="H1920" s="1">
        <v>299000</v>
      </c>
      <c r="I1920" s="1">
        <v>299000</v>
      </c>
      <c r="J1920" s="1">
        <v>286000</v>
      </c>
      <c r="K1920" s="2">
        <v>41903</v>
      </c>
      <c r="L1920" s="1">
        <v>83</v>
      </c>
      <c r="M1920" s="2">
        <v>41985</v>
      </c>
      <c r="N1920" s="1">
        <v>83</v>
      </c>
      <c r="O1920" s="2">
        <v>41985</v>
      </c>
      <c r="P1920" s="1">
        <v>85320</v>
      </c>
      <c r="Q1920" s="1" t="s">
        <v>197</v>
      </c>
      <c r="R1920" s="2">
        <v>42018</v>
      </c>
      <c r="S1920" s="1">
        <v>143319</v>
      </c>
      <c r="U1920" s="1">
        <v>115</v>
      </c>
      <c r="V1920" s="1" t="s">
        <v>10160</v>
      </c>
      <c r="W1920" s="1" t="s">
        <v>504</v>
      </c>
      <c r="X1920" s="1">
        <v>115</v>
      </c>
      <c r="Y1920" s="1">
        <v>6</v>
      </c>
      <c r="Z1920" s="1" t="s">
        <v>370</v>
      </c>
      <c r="AA1920" s="1" t="s">
        <v>3145</v>
      </c>
      <c r="AB1920" s="1">
        <v>60480</v>
      </c>
      <c r="AD1920" s="1" t="s">
        <v>17692</v>
      </c>
      <c r="AE1920" s="1" t="s">
        <v>17693</v>
      </c>
      <c r="AF1920" s="1">
        <v>2004</v>
      </c>
      <c r="AG1920" s="1" t="s">
        <v>204</v>
      </c>
      <c r="AH1920" s="1" t="s">
        <v>3147</v>
      </c>
      <c r="AI1920" s="1" t="s">
        <v>310</v>
      </c>
      <c r="AJ1920" s="1" t="s">
        <v>702</v>
      </c>
      <c r="AL1920" s="1">
        <v>7</v>
      </c>
      <c r="AM1920" s="1">
        <v>2</v>
      </c>
      <c r="AN1920" s="1">
        <v>2</v>
      </c>
      <c r="AO1920" s="1">
        <v>1</v>
      </c>
      <c r="AP1920" s="1" t="s">
        <v>209</v>
      </c>
      <c r="AQ1920" s="1">
        <v>1</v>
      </c>
      <c r="AR1920" s="1" t="s">
        <v>1421</v>
      </c>
      <c r="AS1920" s="1" t="s">
        <v>204</v>
      </c>
      <c r="AT1920" s="1" t="s">
        <v>211</v>
      </c>
      <c r="AU1920" s="1">
        <v>2</v>
      </c>
      <c r="AW1920" s="1" t="s">
        <v>204</v>
      </c>
      <c r="AX1920" s="1" t="s">
        <v>212</v>
      </c>
      <c r="AZ1920" s="1">
        <v>4976.1499999999996</v>
      </c>
      <c r="BA1920" s="1">
        <v>2013</v>
      </c>
      <c r="BB1920" s="1" t="s">
        <v>2694</v>
      </c>
      <c r="BE1920" s="1">
        <v>0</v>
      </c>
      <c r="BF1920" s="1">
        <v>1</v>
      </c>
      <c r="BG1920" s="1">
        <v>30</v>
      </c>
      <c r="BL1920" s="1">
        <v>230</v>
      </c>
      <c r="BM1920" s="1" t="s">
        <v>204</v>
      </c>
      <c r="BN1920" s="1" t="s">
        <v>213</v>
      </c>
      <c r="BO1920" s="1">
        <v>999</v>
      </c>
      <c r="BP1920" s="1" t="s">
        <v>204</v>
      </c>
      <c r="BR1920" s="1" t="str">
        <f>"23064020130000"</f>
        <v>23064020130000</v>
      </c>
      <c r="BT1920" s="1" t="s">
        <v>17694</v>
      </c>
      <c r="BU1920" s="1" t="s">
        <v>704</v>
      </c>
      <c r="BV1920" s="1" t="s">
        <v>705</v>
      </c>
      <c r="BW1920" s="1" t="s">
        <v>706</v>
      </c>
      <c r="BX1920" s="1">
        <v>107</v>
      </c>
      <c r="BY1920" s="1">
        <v>107</v>
      </c>
      <c r="BZ1920" s="1">
        <v>204</v>
      </c>
      <c r="CB1920" s="1" t="str">
        <f t="shared" ref="CB1920:CC1920" si="1461">"0"</f>
        <v>0</v>
      </c>
      <c r="CC1920" s="1" t="str">
        <f t="shared" si="1461"/>
        <v>0</v>
      </c>
      <c r="CD1920" s="1">
        <v>14</v>
      </c>
      <c r="CE1920" s="1">
        <v>10</v>
      </c>
      <c r="CG1920" s="1" t="s">
        <v>9164</v>
      </c>
      <c r="CH1920" s="1" t="s">
        <v>219</v>
      </c>
      <c r="CI1920" s="1" t="s">
        <v>220</v>
      </c>
      <c r="CK1920" s="1" t="s">
        <v>3900</v>
      </c>
      <c r="CL1920" s="1" t="s">
        <v>277</v>
      </c>
      <c r="CM1920" s="1" t="s">
        <v>220</v>
      </c>
      <c r="CO1920" s="1" t="s">
        <v>461</v>
      </c>
      <c r="CP1920" s="1" t="s">
        <v>219</v>
      </c>
      <c r="CQ1920" s="1" t="s">
        <v>220</v>
      </c>
      <c r="CS1920" s="1" t="s">
        <v>1267</v>
      </c>
      <c r="CT1920" s="1" t="s">
        <v>277</v>
      </c>
      <c r="CU1920" s="1" t="s">
        <v>220</v>
      </c>
      <c r="CX1920" s="1" t="s">
        <v>224</v>
      </c>
      <c r="DB1920" s="1" t="s">
        <v>224</v>
      </c>
      <c r="DE1920" s="1" t="s">
        <v>346</v>
      </c>
      <c r="DF1920" s="1" t="s">
        <v>219</v>
      </c>
      <c r="DG1920" s="1" t="s">
        <v>438</v>
      </c>
      <c r="DJ1920" s="1" t="s">
        <v>224</v>
      </c>
      <c r="DM1920" s="1" t="s">
        <v>1548</v>
      </c>
      <c r="DN1920" s="1" t="s">
        <v>464</v>
      </c>
      <c r="DR1920" s="1" t="s">
        <v>379</v>
      </c>
      <c r="DS1920" s="1" t="s">
        <v>219</v>
      </c>
      <c r="DT1920" s="1" t="s">
        <v>438</v>
      </c>
      <c r="DV1920" s="1" t="s">
        <v>379</v>
      </c>
      <c r="DW1920" s="1" t="s">
        <v>277</v>
      </c>
      <c r="DX1920" s="1" t="s">
        <v>220</v>
      </c>
      <c r="EA1920" s="1" t="s">
        <v>230</v>
      </c>
      <c r="EE1920" s="1" t="s">
        <v>230</v>
      </c>
      <c r="EI1920" s="1" t="s">
        <v>230</v>
      </c>
      <c r="EL1920" s="1" t="s">
        <v>491</v>
      </c>
      <c r="EM1920" s="1" t="s">
        <v>232</v>
      </c>
      <c r="EN1920" s="1" t="s">
        <v>282</v>
      </c>
      <c r="EO1920" s="1" t="s">
        <v>234</v>
      </c>
      <c r="EP1920" s="1" t="s">
        <v>650</v>
      </c>
      <c r="EQ1920" s="1" t="s">
        <v>13414</v>
      </c>
      <c r="ER1920" s="1" t="s">
        <v>1249</v>
      </c>
      <c r="ES1920" s="1" t="s">
        <v>322</v>
      </c>
      <c r="ET1920" s="1" t="s">
        <v>238</v>
      </c>
      <c r="EU1920" s="1" t="s">
        <v>7046</v>
      </c>
      <c r="EV1920" s="1" t="s">
        <v>352</v>
      </c>
      <c r="EW1920" s="1" t="s">
        <v>353</v>
      </c>
      <c r="EY1920" s="1" t="s">
        <v>242</v>
      </c>
      <c r="EZ1920" s="1" t="s">
        <v>3544</v>
      </c>
      <c r="FD1920" s="1" t="s">
        <v>246</v>
      </c>
      <c r="FE1920" s="1" t="s">
        <v>549</v>
      </c>
      <c r="FF1920" s="1" t="s">
        <v>248</v>
      </c>
      <c r="FG1920" s="1" t="s">
        <v>871</v>
      </c>
      <c r="FH1920" s="1" t="s">
        <v>550</v>
      </c>
      <c r="FI1920" s="1" t="s">
        <v>2827</v>
      </c>
      <c r="FL1920" s="1" t="s">
        <v>358</v>
      </c>
      <c r="FM1920" s="1" t="s">
        <v>252</v>
      </c>
      <c r="FN1920" s="1" t="s">
        <v>213</v>
      </c>
      <c r="FO1920" s="1" t="s">
        <v>213</v>
      </c>
      <c r="FQ1920" s="1" t="s">
        <v>11194</v>
      </c>
      <c r="FR1920" s="1" t="s">
        <v>210</v>
      </c>
      <c r="FS1920" s="1" t="s">
        <v>17695</v>
      </c>
      <c r="FT1920" s="1" t="s">
        <v>362</v>
      </c>
      <c r="FU1920" s="1" t="s">
        <v>204</v>
      </c>
      <c r="FW1920" s="1" t="s">
        <v>915</v>
      </c>
      <c r="FX1920" s="1">
        <v>22205</v>
      </c>
      <c r="FY1920" s="1" t="s">
        <v>2484</v>
      </c>
      <c r="FZ1920" s="1" t="s">
        <v>17696</v>
      </c>
      <c r="GA1920" s="1">
        <v>224579</v>
      </c>
      <c r="GB1920" s="1" t="s">
        <v>17697</v>
      </c>
      <c r="GE1920" s="1" t="s">
        <v>210</v>
      </c>
      <c r="GI1920" s="1" t="s">
        <v>213</v>
      </c>
      <c r="GJ1920" s="1" t="s">
        <v>260</v>
      </c>
      <c r="GK1920" s="1" t="s">
        <v>210</v>
      </c>
      <c r="GL1920" s="2">
        <v>42018</v>
      </c>
      <c r="GM1920" s="1" t="s">
        <v>17698</v>
      </c>
    </row>
    <row r="1921" spans="1:195">
      <c r="A1921" s="1">
        <v>100000</v>
      </c>
      <c r="B1921" s="1" t="s">
        <v>195</v>
      </c>
      <c r="C1921" s="1" t="str">
        <f>"08732647"</f>
        <v>08732647</v>
      </c>
      <c r="D1921" s="1" t="s">
        <v>196</v>
      </c>
      <c r="F1921" s="1" t="str">
        <f>"83"</f>
        <v>83</v>
      </c>
      <c r="G1921" s="2">
        <v>41901</v>
      </c>
      <c r="H1921" s="1">
        <v>98900</v>
      </c>
      <c r="I1921" s="1">
        <v>98900</v>
      </c>
      <c r="J1921" s="1">
        <v>100000</v>
      </c>
      <c r="K1921" s="2">
        <v>41901</v>
      </c>
      <c r="L1921" s="1">
        <v>13</v>
      </c>
      <c r="M1921" s="2">
        <v>41913</v>
      </c>
      <c r="N1921" s="1">
        <v>13</v>
      </c>
      <c r="O1921" s="2">
        <v>41913</v>
      </c>
      <c r="P1921" s="1">
        <v>22549</v>
      </c>
      <c r="Q1921" s="1" t="s">
        <v>302</v>
      </c>
      <c r="R1921" s="2">
        <v>42025</v>
      </c>
      <c r="S1921" s="1">
        <v>230034</v>
      </c>
      <c r="U1921" s="1">
        <v>2914</v>
      </c>
      <c r="V1921" s="1" t="s">
        <v>3639</v>
      </c>
      <c r="W1921" s="1" t="s">
        <v>504</v>
      </c>
      <c r="X1921" s="1">
        <v>2914</v>
      </c>
      <c r="Y1921" s="1">
        <v>8</v>
      </c>
      <c r="Z1921" s="1" t="s">
        <v>249</v>
      </c>
      <c r="AA1921" s="1" t="s">
        <v>3371</v>
      </c>
      <c r="AB1921" s="1">
        <v>60083</v>
      </c>
      <c r="AE1921" s="1" t="s">
        <v>17699</v>
      </c>
      <c r="AF1921" s="1">
        <v>2005</v>
      </c>
      <c r="AG1921" s="1" t="s">
        <v>204</v>
      </c>
      <c r="AH1921" s="1" t="s">
        <v>2509</v>
      </c>
      <c r="AI1921" s="1" t="s">
        <v>509</v>
      </c>
      <c r="AJ1921" s="1" t="s">
        <v>1061</v>
      </c>
      <c r="AL1921" s="1">
        <v>4</v>
      </c>
      <c r="AM1921" s="1">
        <v>2</v>
      </c>
      <c r="AN1921" s="1">
        <v>2</v>
      </c>
      <c r="AO1921" s="1">
        <v>0</v>
      </c>
      <c r="AP1921" s="1" t="s">
        <v>209</v>
      </c>
      <c r="AR1921" s="1" t="s">
        <v>210</v>
      </c>
      <c r="AS1921" s="1" t="s">
        <v>204</v>
      </c>
      <c r="AT1921" s="1" t="s">
        <v>211</v>
      </c>
      <c r="AU1921" s="1">
        <v>2</v>
      </c>
      <c r="AW1921" s="1" t="s">
        <v>204</v>
      </c>
      <c r="AX1921" s="1" t="s">
        <v>212</v>
      </c>
      <c r="AZ1921" s="1">
        <v>4515.7</v>
      </c>
      <c r="BA1921" s="1">
        <v>2012</v>
      </c>
      <c r="BE1921" s="1">
        <v>1410</v>
      </c>
      <c r="BF1921" s="1">
        <v>2</v>
      </c>
      <c r="BG1921" s="1">
        <v>0</v>
      </c>
      <c r="BL1921" s="1">
        <v>210</v>
      </c>
      <c r="BM1921" s="1" t="s">
        <v>204</v>
      </c>
      <c r="BN1921" s="1" t="s">
        <v>213</v>
      </c>
      <c r="BO1921" s="1">
        <v>999</v>
      </c>
      <c r="BP1921" s="1" t="s">
        <v>204</v>
      </c>
      <c r="BR1921" s="1" t="str">
        <f>"07023070210000"</f>
        <v>07023070210000</v>
      </c>
      <c r="BT1921" s="1" t="s">
        <v>17700</v>
      </c>
      <c r="BX1921" s="1">
        <v>56</v>
      </c>
      <c r="BY1921" s="1">
        <v>56</v>
      </c>
      <c r="BZ1921" s="1">
        <v>121</v>
      </c>
      <c r="CB1921" s="1" t="str">
        <f t="shared" ref="CB1921:CC1921" si="1462">""</f>
        <v/>
      </c>
      <c r="CC1921" s="1" t="str">
        <f t="shared" si="1462"/>
        <v/>
      </c>
      <c r="CG1921" s="1" t="s">
        <v>908</v>
      </c>
      <c r="CH1921" s="1" t="s">
        <v>277</v>
      </c>
      <c r="CI1921" s="1" t="s">
        <v>220</v>
      </c>
      <c r="CJ1921" s="1" t="s">
        <v>463</v>
      </c>
      <c r="CK1921" s="1" t="s">
        <v>315</v>
      </c>
      <c r="CL1921" s="1" t="s">
        <v>277</v>
      </c>
      <c r="CM1921" s="1" t="s">
        <v>220</v>
      </c>
      <c r="CP1921" s="1" t="s">
        <v>224</v>
      </c>
      <c r="CS1921" s="1" t="s">
        <v>223</v>
      </c>
      <c r="CT1921" s="1" t="s">
        <v>277</v>
      </c>
      <c r="CU1921" s="1" t="s">
        <v>220</v>
      </c>
      <c r="CX1921" s="1" t="s">
        <v>224</v>
      </c>
      <c r="DB1921" s="1" t="s">
        <v>224</v>
      </c>
      <c r="DE1921" s="1" t="s">
        <v>3100</v>
      </c>
      <c r="DF1921" s="1" t="s">
        <v>277</v>
      </c>
      <c r="DG1921" s="1" t="s">
        <v>6120</v>
      </c>
      <c r="DJ1921" s="1" t="s">
        <v>224</v>
      </c>
      <c r="DS1921" s="1" t="s">
        <v>230</v>
      </c>
      <c r="DW1921" s="1" t="s">
        <v>230</v>
      </c>
      <c r="EA1921" s="1" t="s">
        <v>230</v>
      </c>
      <c r="EE1921" s="1" t="s">
        <v>230</v>
      </c>
      <c r="EI1921" s="1" t="s">
        <v>230</v>
      </c>
      <c r="EL1921" s="1" t="s">
        <v>491</v>
      </c>
      <c r="EM1921" s="1" t="s">
        <v>232</v>
      </c>
      <c r="EN1921" s="1" t="s">
        <v>282</v>
      </c>
      <c r="EO1921" s="1" t="s">
        <v>1020</v>
      </c>
      <c r="ER1921" s="1" t="s">
        <v>210</v>
      </c>
      <c r="EW1921" s="1" t="s">
        <v>4236</v>
      </c>
      <c r="EZ1921" s="1" t="s">
        <v>287</v>
      </c>
      <c r="FD1921" s="1" t="s">
        <v>246</v>
      </c>
      <c r="FE1921" s="1" t="s">
        <v>1006</v>
      </c>
      <c r="FF1921" s="1" t="s">
        <v>3103</v>
      </c>
      <c r="FH1921" s="1" t="s">
        <v>550</v>
      </c>
      <c r="FL1921" s="1" t="s">
        <v>358</v>
      </c>
      <c r="FM1921" s="1" t="s">
        <v>252</v>
      </c>
      <c r="FN1921" s="1" t="s">
        <v>213</v>
      </c>
      <c r="FO1921" s="1" t="s">
        <v>213</v>
      </c>
      <c r="FQ1921" s="1" t="s">
        <v>1032</v>
      </c>
      <c r="FR1921" s="1" t="s">
        <v>360</v>
      </c>
      <c r="FS1921" s="1" t="s">
        <v>17701</v>
      </c>
      <c r="FT1921" s="1" t="s">
        <v>295</v>
      </c>
      <c r="FU1921" s="1" t="s">
        <v>204</v>
      </c>
      <c r="FW1921" s="1" t="s">
        <v>2179</v>
      </c>
      <c r="FX1921" s="1">
        <v>22039</v>
      </c>
      <c r="FY1921" s="1" t="s">
        <v>2180</v>
      </c>
      <c r="FZ1921" s="1" t="s">
        <v>14433</v>
      </c>
      <c r="GA1921" s="1">
        <v>240348</v>
      </c>
      <c r="GB1921" s="1" t="s">
        <v>14434</v>
      </c>
      <c r="GC1921" s="1">
        <v>216850</v>
      </c>
      <c r="GE1921" s="1" t="s">
        <v>210</v>
      </c>
      <c r="GI1921" s="1" t="s">
        <v>213</v>
      </c>
      <c r="GJ1921" s="1" t="s">
        <v>260</v>
      </c>
      <c r="GK1921" s="1" t="s">
        <v>261</v>
      </c>
      <c r="GL1921" s="2">
        <v>42028</v>
      </c>
      <c r="GM1921" s="2" t="s">
        <v>17702</v>
      </c>
    </row>
    <row r="1922" spans="1:195">
      <c r="A1922" s="1">
        <v>130000</v>
      </c>
      <c r="B1922" s="1" t="s">
        <v>195</v>
      </c>
      <c r="C1922" s="1" t="str">
        <f>"08736400"</f>
        <v>08736400</v>
      </c>
      <c r="D1922" s="1" t="s">
        <v>196</v>
      </c>
      <c r="F1922" s="1" t="str">
        <f>"61"</f>
        <v>61</v>
      </c>
      <c r="G1922" s="2">
        <v>41906</v>
      </c>
      <c r="H1922" s="1">
        <v>139900</v>
      </c>
      <c r="I1922" s="1">
        <v>139900</v>
      </c>
      <c r="J1922" s="1">
        <v>130000</v>
      </c>
      <c r="K1922" s="2">
        <v>41905</v>
      </c>
      <c r="L1922" s="1">
        <v>387</v>
      </c>
      <c r="M1922" s="2">
        <v>41929</v>
      </c>
      <c r="N1922" s="1">
        <v>25</v>
      </c>
      <c r="O1922" s="2">
        <v>41929</v>
      </c>
      <c r="P1922" s="1">
        <v>2700</v>
      </c>
      <c r="Q1922" s="1" t="s">
        <v>197</v>
      </c>
      <c r="R1922" s="2">
        <v>41969</v>
      </c>
      <c r="S1922" s="1">
        <v>81000</v>
      </c>
      <c r="U1922" s="1">
        <v>913</v>
      </c>
      <c r="V1922" s="1" t="s">
        <v>11140</v>
      </c>
      <c r="W1922" s="1" t="s">
        <v>304</v>
      </c>
      <c r="Y1922" s="1">
        <v>4</v>
      </c>
      <c r="Z1922" s="1" t="s">
        <v>249</v>
      </c>
      <c r="AA1922" s="1" t="s">
        <v>505</v>
      </c>
      <c r="AB1922" s="1">
        <v>60061</v>
      </c>
      <c r="AD1922" s="1" t="s">
        <v>5040</v>
      </c>
      <c r="AE1922" s="1" t="s">
        <v>17703</v>
      </c>
      <c r="AF1922" s="1">
        <v>1993</v>
      </c>
      <c r="AG1922" s="1" t="s">
        <v>204</v>
      </c>
      <c r="AH1922" s="1" t="s">
        <v>508</v>
      </c>
      <c r="AI1922" s="1" t="s">
        <v>509</v>
      </c>
      <c r="AJ1922" s="1" t="s">
        <v>510</v>
      </c>
      <c r="AK1922" s="1" t="s">
        <v>17704</v>
      </c>
      <c r="AL1922" s="1">
        <v>5</v>
      </c>
      <c r="AM1922" s="1">
        <v>2</v>
      </c>
      <c r="AN1922" s="1">
        <v>2</v>
      </c>
      <c r="AO1922" s="1">
        <v>0</v>
      </c>
      <c r="AP1922" s="1" t="s">
        <v>209</v>
      </c>
      <c r="AQ1922" s="1">
        <v>1</v>
      </c>
      <c r="AR1922" s="1" t="s">
        <v>210</v>
      </c>
      <c r="AS1922" s="1" t="s">
        <v>204</v>
      </c>
      <c r="AT1922" s="1" t="s">
        <v>211</v>
      </c>
      <c r="AU1922" s="1">
        <v>1</v>
      </c>
      <c r="AW1922" s="1" t="s">
        <v>204</v>
      </c>
      <c r="AX1922" s="1" t="s">
        <v>212</v>
      </c>
      <c r="AZ1922" s="1">
        <v>5384.88</v>
      </c>
      <c r="BA1922" s="1">
        <v>2013</v>
      </c>
      <c r="BB1922" s="1" t="s">
        <v>210</v>
      </c>
      <c r="BE1922" s="1">
        <v>1268</v>
      </c>
      <c r="BF1922" s="1">
        <v>2</v>
      </c>
      <c r="BG1922" s="1">
        <v>0</v>
      </c>
      <c r="BL1922" s="1">
        <v>313</v>
      </c>
      <c r="BM1922" s="1" t="s">
        <v>204</v>
      </c>
      <c r="BN1922" s="1" t="s">
        <v>213</v>
      </c>
      <c r="BO1922" s="1">
        <v>0</v>
      </c>
      <c r="BP1922" s="1" t="s">
        <v>204</v>
      </c>
      <c r="BR1922" s="1" t="str">
        <f>"15062061400000"</f>
        <v>15062061400000</v>
      </c>
      <c r="BT1922" s="1" t="s">
        <v>17705</v>
      </c>
      <c r="BU1922" s="1" t="s">
        <v>1530</v>
      </c>
      <c r="BV1922" s="1" t="s">
        <v>1531</v>
      </c>
      <c r="BW1922" s="1" t="s">
        <v>1532</v>
      </c>
      <c r="BX1922" s="1">
        <v>76</v>
      </c>
      <c r="BY1922" s="1">
        <v>76</v>
      </c>
      <c r="BZ1922" s="1">
        <v>125</v>
      </c>
      <c r="CB1922" s="1" t="str">
        <f>"25"</f>
        <v>25</v>
      </c>
      <c r="CC1922" s="1" t="str">
        <f>""</f>
        <v/>
      </c>
      <c r="CD1922" s="1">
        <v>18</v>
      </c>
      <c r="CG1922" s="1" t="s">
        <v>1004</v>
      </c>
      <c r="CH1922" s="1" t="s">
        <v>219</v>
      </c>
      <c r="CI1922" s="1" t="s">
        <v>220</v>
      </c>
      <c r="CJ1922" s="1" t="s">
        <v>252</v>
      </c>
      <c r="CK1922" s="1" t="s">
        <v>1533</v>
      </c>
      <c r="CL1922" s="1" t="s">
        <v>219</v>
      </c>
      <c r="CM1922" s="1" t="s">
        <v>220</v>
      </c>
      <c r="CN1922" s="1" t="s">
        <v>252</v>
      </c>
      <c r="CO1922" s="1" t="s">
        <v>1534</v>
      </c>
      <c r="CP1922" s="1" t="s">
        <v>219</v>
      </c>
      <c r="CQ1922" s="1" t="s">
        <v>220</v>
      </c>
      <c r="CR1922" s="1" t="s">
        <v>252</v>
      </c>
      <c r="CS1922" s="1" t="s">
        <v>379</v>
      </c>
      <c r="CT1922" s="1" t="s">
        <v>219</v>
      </c>
      <c r="CU1922" s="1" t="s">
        <v>220</v>
      </c>
      <c r="CV1922" s="1" t="s">
        <v>252</v>
      </c>
      <c r="CX1922" s="1" t="s">
        <v>224</v>
      </c>
      <c r="DB1922" s="1" t="s">
        <v>224</v>
      </c>
      <c r="DE1922" s="1" t="s">
        <v>378</v>
      </c>
      <c r="DF1922" s="1" t="s">
        <v>219</v>
      </c>
      <c r="DG1922" s="1" t="s">
        <v>342</v>
      </c>
      <c r="DH1922" s="1" t="s">
        <v>252</v>
      </c>
      <c r="DJ1922" s="1" t="s">
        <v>224</v>
      </c>
      <c r="DS1922" s="1" t="s">
        <v>230</v>
      </c>
      <c r="DW1922" s="1" t="s">
        <v>230</v>
      </c>
      <c r="EA1922" s="1" t="s">
        <v>230</v>
      </c>
      <c r="EE1922" s="1" t="s">
        <v>230</v>
      </c>
      <c r="EI1922" s="1" t="s">
        <v>230</v>
      </c>
      <c r="EL1922" s="1" t="s">
        <v>382</v>
      </c>
      <c r="EM1922" s="1" t="s">
        <v>319</v>
      </c>
      <c r="EN1922" s="1" t="s">
        <v>282</v>
      </c>
      <c r="EO1922" s="1" t="s">
        <v>234</v>
      </c>
      <c r="EP1922" s="1" t="s">
        <v>1268</v>
      </c>
      <c r="EQ1922" s="1" t="s">
        <v>1094</v>
      </c>
      <c r="ER1922" s="1" t="s">
        <v>210</v>
      </c>
      <c r="ES1922" s="1" t="s">
        <v>322</v>
      </c>
      <c r="EU1922" s="1" t="s">
        <v>610</v>
      </c>
      <c r="EV1922" s="1" t="s">
        <v>240</v>
      </c>
      <c r="EW1922" s="1" t="s">
        <v>937</v>
      </c>
      <c r="EZ1922" s="1" t="s">
        <v>287</v>
      </c>
      <c r="FA1922" s="1" t="s">
        <v>471</v>
      </c>
      <c r="FB1922" s="1" t="s">
        <v>1505</v>
      </c>
      <c r="FD1922" s="1" t="s">
        <v>246</v>
      </c>
      <c r="FE1922" s="1" t="s">
        <v>975</v>
      </c>
      <c r="FF1922" s="1" t="s">
        <v>248</v>
      </c>
      <c r="FG1922" s="1" t="s">
        <v>2406</v>
      </c>
      <c r="FH1922" s="1" t="s">
        <v>17706</v>
      </c>
      <c r="FI1922" s="1" t="s">
        <v>473</v>
      </c>
      <c r="FL1922" s="1" t="s">
        <v>358</v>
      </c>
      <c r="FM1922" s="1" t="s">
        <v>252</v>
      </c>
      <c r="FN1922" s="1" t="s">
        <v>213</v>
      </c>
      <c r="FO1922" s="1" t="s">
        <v>213</v>
      </c>
      <c r="FQ1922" s="1" t="s">
        <v>293</v>
      </c>
      <c r="FR1922" s="1" t="s">
        <v>652</v>
      </c>
      <c r="FS1922" s="1" t="s">
        <v>17707</v>
      </c>
      <c r="FT1922" s="1" t="s">
        <v>520</v>
      </c>
      <c r="FU1922" s="1" t="s">
        <v>204</v>
      </c>
      <c r="FW1922" s="1" t="s">
        <v>5046</v>
      </c>
      <c r="FX1922" s="1">
        <v>2280</v>
      </c>
      <c r="FY1922" s="1" t="s">
        <v>5047</v>
      </c>
      <c r="FZ1922" s="1" t="s">
        <v>5048</v>
      </c>
      <c r="GA1922" s="1">
        <v>85534</v>
      </c>
      <c r="GB1922" s="1" t="s">
        <v>5049</v>
      </c>
      <c r="GD1922" s="1" t="s">
        <v>5050</v>
      </c>
      <c r="GE1922" s="1" t="s">
        <v>1256</v>
      </c>
      <c r="GI1922" s="1" t="s">
        <v>213</v>
      </c>
      <c r="GJ1922" s="1" t="s">
        <v>260</v>
      </c>
      <c r="GK1922" s="1" t="s">
        <v>210</v>
      </c>
      <c r="GL1922" s="2">
        <v>41969</v>
      </c>
      <c r="GM1922" s="1" t="s">
        <v>17708</v>
      </c>
    </row>
    <row r="1923" spans="1:195">
      <c r="A1923" s="1">
        <v>91000</v>
      </c>
      <c r="B1923" s="1" t="s">
        <v>195</v>
      </c>
      <c r="C1923" s="1" t="str">
        <f>"08737271"</f>
        <v>08737271</v>
      </c>
      <c r="D1923" s="1" t="s">
        <v>196</v>
      </c>
      <c r="F1923" s="1" t="str">
        <f>"516"</f>
        <v>516</v>
      </c>
      <c r="G1923" s="2">
        <v>41907</v>
      </c>
      <c r="H1923" s="1">
        <v>99900</v>
      </c>
      <c r="I1923" s="1">
        <v>99000</v>
      </c>
      <c r="J1923" s="1">
        <v>91000</v>
      </c>
      <c r="K1923" s="2">
        <v>41907</v>
      </c>
      <c r="L1923" s="1">
        <v>187</v>
      </c>
      <c r="M1923" s="2">
        <v>42093</v>
      </c>
      <c r="N1923" s="1">
        <v>187</v>
      </c>
      <c r="O1923" s="2">
        <v>42093</v>
      </c>
      <c r="P1923" s="1">
        <v>21196</v>
      </c>
      <c r="Q1923" s="1" t="s">
        <v>197</v>
      </c>
      <c r="R1923" s="2">
        <v>42145</v>
      </c>
      <c r="S1923" s="1">
        <v>605662</v>
      </c>
      <c r="U1923" s="8">
        <v>0.41666666666666669</v>
      </c>
      <c r="V1923" s="1" t="s">
        <v>10484</v>
      </c>
      <c r="X1923" s="1">
        <v>101</v>
      </c>
      <c r="Y1923" s="1">
        <v>16</v>
      </c>
      <c r="Z1923" s="1" t="s">
        <v>249</v>
      </c>
      <c r="AA1923" s="1" t="s">
        <v>1417</v>
      </c>
      <c r="AB1923" s="1">
        <v>60527</v>
      </c>
      <c r="AD1923" s="1" t="s">
        <v>10485</v>
      </c>
      <c r="AE1923" s="1" t="s">
        <v>17709</v>
      </c>
      <c r="AF1923" s="1">
        <v>1977</v>
      </c>
      <c r="AG1923" s="1" t="s">
        <v>213</v>
      </c>
      <c r="AH1923" s="1" t="s">
        <v>1419</v>
      </c>
      <c r="AI1923" s="1" t="s">
        <v>206</v>
      </c>
      <c r="AJ1923" s="1" t="s">
        <v>903</v>
      </c>
      <c r="AL1923" s="1">
        <v>5</v>
      </c>
      <c r="AM1923" s="1">
        <v>2</v>
      </c>
      <c r="AN1923" s="1">
        <v>1</v>
      </c>
      <c r="AO1923" s="1">
        <v>0</v>
      </c>
      <c r="AP1923" s="1" t="s">
        <v>210</v>
      </c>
      <c r="AR1923" s="1" t="s">
        <v>210</v>
      </c>
      <c r="AT1923" s="1" t="s">
        <v>271</v>
      </c>
      <c r="AV1923" s="1">
        <v>2</v>
      </c>
      <c r="AW1923" s="1" t="s">
        <v>204</v>
      </c>
      <c r="AX1923" s="1" t="s">
        <v>3387</v>
      </c>
      <c r="AZ1923" s="1">
        <v>992</v>
      </c>
      <c r="BA1923" s="1">
        <v>2013</v>
      </c>
      <c r="BB1923" s="1" t="s">
        <v>405</v>
      </c>
      <c r="BE1923" s="1">
        <v>0</v>
      </c>
      <c r="BF1923" s="1">
        <v>101</v>
      </c>
      <c r="BG1923" s="1">
        <v>30</v>
      </c>
      <c r="BL1923" s="1">
        <v>283</v>
      </c>
      <c r="BM1923" s="1" t="s">
        <v>204</v>
      </c>
      <c r="BN1923" s="1" t="s">
        <v>213</v>
      </c>
      <c r="BO1923" s="1">
        <v>75</v>
      </c>
      <c r="BP1923" s="1" t="s">
        <v>204</v>
      </c>
      <c r="BR1923" s="1" t="str">
        <f>"1002307289"</f>
        <v>1002307289</v>
      </c>
      <c r="BT1923" s="1" t="s">
        <v>17710</v>
      </c>
      <c r="BW1923" s="1" t="s">
        <v>907</v>
      </c>
      <c r="BX1923" s="1">
        <v>63</v>
      </c>
      <c r="BY1923" s="1">
        <v>66</v>
      </c>
      <c r="BZ1923" s="1">
        <v>86</v>
      </c>
      <c r="CB1923" s="1" t="str">
        <f t="shared" ref="CB1923:CC1923" si="1463">"0"</f>
        <v>0</v>
      </c>
      <c r="CC1923" s="1" t="str">
        <f t="shared" si="1463"/>
        <v>0</v>
      </c>
      <c r="CD1923" s="1">
        <v>16</v>
      </c>
      <c r="CE1923" s="1">
        <v>10</v>
      </c>
      <c r="CG1923" s="1" t="s">
        <v>628</v>
      </c>
      <c r="CH1923" s="1" t="s">
        <v>219</v>
      </c>
      <c r="CI1923" s="1" t="s">
        <v>229</v>
      </c>
      <c r="CK1923" s="1" t="s">
        <v>1533</v>
      </c>
      <c r="CL1923" s="1" t="s">
        <v>219</v>
      </c>
      <c r="CM1923" s="1" t="s">
        <v>229</v>
      </c>
      <c r="CO1923" s="1" t="s">
        <v>630</v>
      </c>
      <c r="CP1923" s="1" t="s">
        <v>219</v>
      </c>
      <c r="CQ1923" s="1" t="s">
        <v>229</v>
      </c>
      <c r="CR1923" s="1" t="s">
        <v>210</v>
      </c>
      <c r="CS1923" s="1" t="s">
        <v>539</v>
      </c>
      <c r="CT1923" s="1" t="s">
        <v>219</v>
      </c>
      <c r="CU1923" s="1" t="s">
        <v>229</v>
      </c>
      <c r="CX1923" s="1" t="s">
        <v>224</v>
      </c>
      <c r="DB1923" s="1" t="s">
        <v>224</v>
      </c>
      <c r="DE1923" s="1" t="s">
        <v>3284</v>
      </c>
      <c r="DF1923" s="1" t="s">
        <v>219</v>
      </c>
      <c r="DG1923" s="1" t="s">
        <v>229</v>
      </c>
      <c r="DH1923" s="1" t="s">
        <v>210</v>
      </c>
      <c r="DJ1923" s="1" t="s">
        <v>224</v>
      </c>
      <c r="DS1923" s="1" t="s">
        <v>230</v>
      </c>
      <c r="DW1923" s="1" t="s">
        <v>230</v>
      </c>
      <c r="EA1923" s="1" t="s">
        <v>230</v>
      </c>
      <c r="EE1923" s="1" t="s">
        <v>230</v>
      </c>
      <c r="EI1923" s="1" t="s">
        <v>230</v>
      </c>
      <c r="EL1923" s="1" t="s">
        <v>231</v>
      </c>
      <c r="EM1923" s="1" t="s">
        <v>319</v>
      </c>
      <c r="EN1923" s="1" t="s">
        <v>282</v>
      </c>
      <c r="EO1923" s="1" t="s">
        <v>234</v>
      </c>
      <c r="EP1923" s="1" t="s">
        <v>17711</v>
      </c>
      <c r="EQ1923" s="1" t="s">
        <v>1109</v>
      </c>
      <c r="ER1923" s="1" t="s">
        <v>210</v>
      </c>
      <c r="EU1923" s="1" t="s">
        <v>17712</v>
      </c>
      <c r="EW1923" s="1" t="s">
        <v>17713</v>
      </c>
      <c r="EZ1923" s="1" t="s">
        <v>287</v>
      </c>
      <c r="FB1923" s="1" t="s">
        <v>244</v>
      </c>
      <c r="FC1923" s="1" t="s">
        <v>1362</v>
      </c>
      <c r="FD1923" s="1" t="s">
        <v>246</v>
      </c>
      <c r="FE1923" s="1" t="s">
        <v>651</v>
      </c>
      <c r="FF1923" s="1" t="s">
        <v>248</v>
      </c>
      <c r="FH1923" s="1" t="s">
        <v>249</v>
      </c>
      <c r="FJ1923" s="1" t="s">
        <v>1179</v>
      </c>
      <c r="FK1923" s="1" t="s">
        <v>291</v>
      </c>
      <c r="FL1923" s="1" t="s">
        <v>358</v>
      </c>
      <c r="FM1923" s="1" t="s">
        <v>252</v>
      </c>
      <c r="FN1923" s="1" t="s">
        <v>213</v>
      </c>
      <c r="FO1923" s="1" t="s">
        <v>213</v>
      </c>
      <c r="FQ1923" s="1" t="s">
        <v>4699</v>
      </c>
      <c r="FR1923" s="1" t="s">
        <v>210</v>
      </c>
      <c r="FS1923" s="1" t="s">
        <v>17714</v>
      </c>
      <c r="FT1923" s="1" t="s">
        <v>17715</v>
      </c>
      <c r="FU1923" s="1" t="s">
        <v>213</v>
      </c>
      <c r="FW1923" s="1" t="s">
        <v>1898</v>
      </c>
      <c r="FX1923" s="1">
        <v>23030</v>
      </c>
      <c r="FY1923" s="1" t="s">
        <v>1899</v>
      </c>
      <c r="FZ1923" s="1" t="s">
        <v>10492</v>
      </c>
      <c r="GA1923" s="1">
        <v>230061</v>
      </c>
      <c r="GB1923" s="1" t="s">
        <v>10493</v>
      </c>
      <c r="GE1923" s="1" t="s">
        <v>210</v>
      </c>
      <c r="GI1923" s="1" t="s">
        <v>213</v>
      </c>
      <c r="GJ1923" s="1" t="s">
        <v>260</v>
      </c>
      <c r="GK1923" s="1" t="s">
        <v>210</v>
      </c>
      <c r="GL1923" s="2">
        <v>42145</v>
      </c>
      <c r="GM1923" s="1" t="s">
        <v>17716</v>
      </c>
    </row>
    <row r="1924" spans="1:195">
      <c r="A1924" s="1">
        <v>57009</v>
      </c>
      <c r="B1924" s="1" t="s">
        <v>195</v>
      </c>
      <c r="C1924" s="1" t="str">
        <f>"08741478"</f>
        <v>08741478</v>
      </c>
      <c r="D1924" s="1" t="s">
        <v>196</v>
      </c>
      <c r="F1924" s="1" t="str">
        <f>"555"</f>
        <v>555</v>
      </c>
      <c r="G1924" s="2">
        <v>41912</v>
      </c>
      <c r="H1924" s="1">
        <v>55650</v>
      </c>
      <c r="I1924" s="1">
        <v>55650</v>
      </c>
      <c r="J1924" s="1">
        <v>57009</v>
      </c>
      <c r="K1924" s="2">
        <v>41912</v>
      </c>
      <c r="L1924" s="1">
        <v>74</v>
      </c>
      <c r="M1924" s="2">
        <v>41985</v>
      </c>
      <c r="N1924" s="1">
        <v>74</v>
      </c>
      <c r="O1924" s="2">
        <v>41985</v>
      </c>
      <c r="P1924" s="1">
        <v>22993</v>
      </c>
      <c r="Q1924" s="1" t="s">
        <v>302</v>
      </c>
      <c r="R1924" s="2">
        <v>42059</v>
      </c>
      <c r="S1924" s="1">
        <v>235152</v>
      </c>
      <c r="U1924" s="1" t="s">
        <v>17717</v>
      </c>
      <c r="V1924" s="1" t="s">
        <v>2134</v>
      </c>
      <c r="W1924" s="1" t="s">
        <v>449</v>
      </c>
      <c r="X1924" s="1">
        <v>2</v>
      </c>
      <c r="Y1924" s="1">
        <v>4</v>
      </c>
      <c r="Z1924" s="1" t="s">
        <v>249</v>
      </c>
      <c r="AA1924" s="1" t="s">
        <v>984</v>
      </c>
      <c r="AB1924" s="1">
        <v>60555</v>
      </c>
      <c r="AE1924" s="1" t="s">
        <v>17718</v>
      </c>
      <c r="AF1924" s="1">
        <v>1978</v>
      </c>
      <c r="AG1924" s="1" t="s">
        <v>204</v>
      </c>
      <c r="AH1924" s="1" t="s">
        <v>986</v>
      </c>
      <c r="AI1924" s="1" t="s">
        <v>206</v>
      </c>
      <c r="AJ1924" s="1" t="s">
        <v>987</v>
      </c>
      <c r="AL1924" s="1">
        <v>5</v>
      </c>
      <c r="AM1924" s="1">
        <v>2</v>
      </c>
      <c r="AN1924" s="1">
        <v>1</v>
      </c>
      <c r="AO1924" s="1">
        <v>0</v>
      </c>
      <c r="AP1924" s="1" t="s">
        <v>667</v>
      </c>
      <c r="AQ1924" s="1">
        <v>0</v>
      </c>
      <c r="AR1924" s="1" t="s">
        <v>209</v>
      </c>
      <c r="AS1924" s="1" t="s">
        <v>213</v>
      </c>
      <c r="AT1924" s="1" t="s">
        <v>211</v>
      </c>
      <c r="AU1924" s="1">
        <v>1</v>
      </c>
      <c r="AW1924" s="1" t="s">
        <v>204</v>
      </c>
      <c r="AX1924" s="1" t="s">
        <v>212</v>
      </c>
      <c r="AZ1924" s="1">
        <v>1676</v>
      </c>
      <c r="BA1924" s="1">
        <v>2013</v>
      </c>
      <c r="BE1924" s="1">
        <v>966</v>
      </c>
      <c r="BF1924" s="1">
        <v>1</v>
      </c>
      <c r="BG1924" s="1">
        <v>0</v>
      </c>
      <c r="BL1924" s="1">
        <v>189</v>
      </c>
      <c r="BM1924" s="1" t="s">
        <v>204</v>
      </c>
      <c r="BN1924" s="1" t="s">
        <v>213</v>
      </c>
      <c r="BO1924" s="1">
        <v>100</v>
      </c>
      <c r="BP1924" s="1" t="s">
        <v>204</v>
      </c>
      <c r="BR1924" s="1" t="str">
        <f>"0427307218"</f>
        <v>0427307218</v>
      </c>
      <c r="BT1924" s="1" t="s">
        <v>17719</v>
      </c>
      <c r="BX1924" s="1">
        <v>200</v>
      </c>
      <c r="BY1924" s="1">
        <v>200</v>
      </c>
      <c r="BZ1924" s="1">
        <v>200</v>
      </c>
      <c r="CB1924" s="1" t="str">
        <f t="shared" ref="CB1924:CC1924" si="1464">""</f>
        <v/>
      </c>
      <c r="CC1924" s="1" t="str">
        <f t="shared" si="1464"/>
        <v/>
      </c>
      <c r="CG1924" s="1" t="s">
        <v>1533</v>
      </c>
      <c r="CH1924" s="1" t="s">
        <v>219</v>
      </c>
      <c r="CI1924" s="1" t="s">
        <v>438</v>
      </c>
      <c r="CK1924" s="1" t="s">
        <v>757</v>
      </c>
      <c r="CL1924" s="1" t="s">
        <v>277</v>
      </c>
      <c r="CM1924" s="1" t="s">
        <v>220</v>
      </c>
      <c r="CO1924" s="1" t="s">
        <v>318</v>
      </c>
      <c r="CP1924" s="1" t="s">
        <v>219</v>
      </c>
      <c r="CQ1924" s="1" t="s">
        <v>226</v>
      </c>
      <c r="CS1924" s="1" t="s">
        <v>378</v>
      </c>
      <c r="CT1924" s="1" t="s">
        <v>277</v>
      </c>
      <c r="CU1924" s="1" t="s">
        <v>220</v>
      </c>
      <c r="CX1924" s="1" t="s">
        <v>224</v>
      </c>
      <c r="DB1924" s="1" t="s">
        <v>224</v>
      </c>
      <c r="DE1924" s="1" t="s">
        <v>972</v>
      </c>
      <c r="DF1924" s="1" t="s">
        <v>219</v>
      </c>
      <c r="DG1924" s="1" t="s">
        <v>226</v>
      </c>
      <c r="DJ1924" s="1" t="s">
        <v>224</v>
      </c>
      <c r="DS1924" s="1" t="s">
        <v>230</v>
      </c>
      <c r="DW1924" s="1" t="s">
        <v>230</v>
      </c>
      <c r="EA1924" s="1" t="s">
        <v>230</v>
      </c>
      <c r="EE1924" s="1" t="s">
        <v>230</v>
      </c>
      <c r="EI1924" s="1" t="s">
        <v>230</v>
      </c>
      <c r="EL1924" s="1" t="s">
        <v>231</v>
      </c>
      <c r="EM1924" s="1" t="s">
        <v>319</v>
      </c>
      <c r="EN1924" s="1" t="s">
        <v>282</v>
      </c>
      <c r="EO1924" s="1" t="s">
        <v>234</v>
      </c>
      <c r="ER1924" s="1" t="s">
        <v>544</v>
      </c>
      <c r="EW1924" s="1" t="s">
        <v>9701</v>
      </c>
      <c r="EZ1924" s="1" t="s">
        <v>287</v>
      </c>
      <c r="FD1924" s="1" t="s">
        <v>246</v>
      </c>
      <c r="FE1924" s="1" t="s">
        <v>6086</v>
      </c>
      <c r="FF1924" s="1" t="s">
        <v>248</v>
      </c>
      <c r="FH1924" s="1" t="s">
        <v>17720</v>
      </c>
      <c r="FL1924" s="1" t="s">
        <v>358</v>
      </c>
      <c r="FM1924" s="1" t="s">
        <v>252</v>
      </c>
      <c r="FN1924" s="1" t="s">
        <v>213</v>
      </c>
      <c r="FO1924" s="1" t="s">
        <v>213</v>
      </c>
      <c r="FQ1924" s="1" t="s">
        <v>689</v>
      </c>
      <c r="FR1924" s="1" t="s">
        <v>652</v>
      </c>
      <c r="FS1924" s="1" t="s">
        <v>6634</v>
      </c>
      <c r="FT1924" s="1" t="s">
        <v>654</v>
      </c>
      <c r="FU1924" s="1" t="s">
        <v>204</v>
      </c>
      <c r="FW1924" s="1" t="s">
        <v>1857</v>
      </c>
      <c r="FX1924" s="1">
        <v>22993</v>
      </c>
      <c r="FY1924" s="1" t="s">
        <v>1858</v>
      </c>
      <c r="FZ1924" s="1" t="s">
        <v>1859</v>
      </c>
      <c r="GA1924" s="1">
        <v>233401</v>
      </c>
      <c r="GB1924" s="1" t="s">
        <v>1858</v>
      </c>
      <c r="GD1924" s="1" t="s">
        <v>1860</v>
      </c>
      <c r="GE1924" s="1" t="s">
        <v>1145</v>
      </c>
      <c r="GI1924" s="1" t="s">
        <v>213</v>
      </c>
      <c r="GJ1924" s="1" t="s">
        <v>260</v>
      </c>
      <c r="GK1924" s="1" t="s">
        <v>210</v>
      </c>
      <c r="GL1924" s="2">
        <v>42059</v>
      </c>
      <c r="GM1924" s="1" t="s">
        <v>17721</v>
      </c>
    </row>
    <row r="1925" spans="1:195">
      <c r="A1925" s="1">
        <v>275000</v>
      </c>
      <c r="B1925" s="1" t="s">
        <v>195</v>
      </c>
      <c r="C1925" s="1" t="str">
        <f>"08733868"</f>
        <v>08733868</v>
      </c>
      <c r="D1925" s="1" t="s">
        <v>196</v>
      </c>
      <c r="F1925" s="1" t="str">
        <f>"154"</f>
        <v>154</v>
      </c>
      <c r="G1925" s="2">
        <v>41903</v>
      </c>
      <c r="H1925" s="1">
        <v>295000</v>
      </c>
      <c r="I1925" s="1">
        <v>295000</v>
      </c>
      <c r="J1925" s="1">
        <v>275000</v>
      </c>
      <c r="K1925" s="2">
        <v>41902</v>
      </c>
      <c r="L1925" s="1">
        <v>94</v>
      </c>
      <c r="M1925" s="2">
        <v>41995</v>
      </c>
      <c r="N1925" s="1">
        <v>94</v>
      </c>
      <c r="O1925" s="2">
        <v>41995</v>
      </c>
      <c r="P1925" s="1">
        <v>22300</v>
      </c>
      <c r="Q1925" s="1" t="s">
        <v>302</v>
      </c>
      <c r="R1925" s="2">
        <v>42025</v>
      </c>
      <c r="S1925" s="1">
        <v>224014</v>
      </c>
      <c r="U1925" s="1">
        <v>2</v>
      </c>
      <c r="V1925" s="1" t="s">
        <v>3358</v>
      </c>
      <c r="W1925" s="1" t="s">
        <v>304</v>
      </c>
      <c r="Y1925" s="1">
        <v>7</v>
      </c>
      <c r="Z1925" s="1" t="s">
        <v>249</v>
      </c>
      <c r="AA1925" s="1" t="s">
        <v>1190</v>
      </c>
      <c r="AB1925" s="1">
        <v>60154</v>
      </c>
      <c r="AC1925" s="1">
        <v>5631</v>
      </c>
      <c r="AD1925" s="1" t="s">
        <v>1191</v>
      </c>
      <c r="AE1925" s="1" t="s">
        <v>17722</v>
      </c>
      <c r="AF1925" s="1">
        <v>1986</v>
      </c>
      <c r="AG1925" s="1" t="s">
        <v>204</v>
      </c>
      <c r="AH1925" s="1" t="s">
        <v>1193</v>
      </c>
      <c r="AI1925" s="1" t="s">
        <v>310</v>
      </c>
      <c r="AJ1925" s="1" t="s">
        <v>429</v>
      </c>
      <c r="AK1925" s="1" t="s">
        <v>17723</v>
      </c>
      <c r="AL1925" s="1">
        <v>7</v>
      </c>
      <c r="AM1925" s="1">
        <v>2</v>
      </c>
      <c r="AN1925" s="1">
        <v>2</v>
      </c>
      <c r="AO1925" s="1">
        <v>0</v>
      </c>
      <c r="AP1925" s="1" t="s">
        <v>209</v>
      </c>
      <c r="AQ1925" s="1">
        <v>1</v>
      </c>
      <c r="AR1925" s="1" t="s">
        <v>210</v>
      </c>
      <c r="AS1925" s="1" t="s">
        <v>204</v>
      </c>
      <c r="AT1925" s="1" t="s">
        <v>211</v>
      </c>
      <c r="AU1925" s="1">
        <v>2</v>
      </c>
      <c r="AW1925" s="1" t="s">
        <v>204</v>
      </c>
      <c r="AX1925" s="1" t="s">
        <v>270</v>
      </c>
      <c r="AZ1925" s="1">
        <v>4384.95</v>
      </c>
      <c r="BA1925" s="1">
        <v>2013</v>
      </c>
      <c r="BB1925" s="1" t="s">
        <v>599</v>
      </c>
      <c r="BE1925" s="1">
        <v>1682</v>
      </c>
      <c r="BF1925" s="1">
        <v>1</v>
      </c>
      <c r="BG1925" s="1">
        <v>10</v>
      </c>
      <c r="BJ1925" s="1">
        <v>100</v>
      </c>
      <c r="BK1925" s="1">
        <v>1</v>
      </c>
      <c r="BL1925" s="1">
        <v>246</v>
      </c>
      <c r="BM1925" s="1" t="s">
        <v>204</v>
      </c>
      <c r="BN1925" s="1" t="s">
        <v>213</v>
      </c>
      <c r="BO1925" s="1">
        <v>25</v>
      </c>
      <c r="BP1925" s="1" t="s">
        <v>204</v>
      </c>
      <c r="BR1925" s="1" t="str">
        <f>"15293000291053"</f>
        <v>15293000291053</v>
      </c>
      <c r="BT1925" s="1" t="s">
        <v>17724</v>
      </c>
      <c r="BU1925" s="1" t="s">
        <v>1198</v>
      </c>
      <c r="BV1925" s="1" t="s">
        <v>1196</v>
      </c>
      <c r="BW1925" s="1" t="s">
        <v>1197</v>
      </c>
      <c r="BX1925" s="1">
        <v>92.5</v>
      </c>
      <c r="BY1925" s="1">
        <v>92.5</v>
      </c>
      <c r="BZ1925" s="1">
        <v>209</v>
      </c>
      <c r="CB1925" s="1" t="str">
        <f t="shared" ref="CB1925:CC1925" si="1465">""</f>
        <v/>
      </c>
      <c r="CC1925" s="1" t="str">
        <f t="shared" si="1465"/>
        <v/>
      </c>
      <c r="CG1925" s="1" t="s">
        <v>515</v>
      </c>
      <c r="CH1925" s="1" t="s">
        <v>219</v>
      </c>
      <c r="CI1925" s="1" t="s">
        <v>220</v>
      </c>
      <c r="CK1925" s="1" t="s">
        <v>581</v>
      </c>
      <c r="CL1925" s="1" t="s">
        <v>219</v>
      </c>
      <c r="CM1925" s="1" t="s">
        <v>220</v>
      </c>
      <c r="CO1925" s="1" t="s">
        <v>346</v>
      </c>
      <c r="CP1925" s="1" t="s">
        <v>219</v>
      </c>
      <c r="CQ1925" s="1" t="s">
        <v>220</v>
      </c>
      <c r="CS1925" s="1" t="s">
        <v>223</v>
      </c>
      <c r="CT1925" s="1" t="s">
        <v>219</v>
      </c>
      <c r="CU1925" s="1" t="s">
        <v>220</v>
      </c>
      <c r="CX1925" s="1" t="s">
        <v>224</v>
      </c>
      <c r="DB1925" s="1" t="s">
        <v>224</v>
      </c>
      <c r="DE1925" s="1" t="s">
        <v>1297</v>
      </c>
      <c r="DF1925" s="1" t="s">
        <v>219</v>
      </c>
      <c r="DG1925" s="1" t="s">
        <v>347</v>
      </c>
      <c r="DI1925" s="1" t="s">
        <v>315</v>
      </c>
      <c r="DJ1925" s="1" t="s">
        <v>219</v>
      </c>
      <c r="DK1925" s="1" t="s">
        <v>438</v>
      </c>
      <c r="DM1925" s="1" t="s">
        <v>1548</v>
      </c>
      <c r="DR1925" s="1" t="s">
        <v>318</v>
      </c>
      <c r="DS1925" s="1" t="s">
        <v>219</v>
      </c>
      <c r="DT1925" s="1" t="s">
        <v>347</v>
      </c>
      <c r="DW1925" s="1" t="s">
        <v>230</v>
      </c>
      <c r="EA1925" s="1" t="s">
        <v>230</v>
      </c>
      <c r="EE1925" s="1" t="s">
        <v>230</v>
      </c>
      <c r="EI1925" s="1" t="s">
        <v>230</v>
      </c>
      <c r="EL1925" s="1" t="s">
        <v>542</v>
      </c>
      <c r="EM1925" s="1" t="s">
        <v>232</v>
      </c>
      <c r="EN1925" s="1" t="s">
        <v>282</v>
      </c>
      <c r="EO1925" s="1" t="s">
        <v>840</v>
      </c>
      <c r="EP1925" s="1" t="s">
        <v>17725</v>
      </c>
      <c r="EQ1925" s="1" t="s">
        <v>236</v>
      </c>
      <c r="ER1925" s="1" t="s">
        <v>1069</v>
      </c>
      <c r="ES1925" s="1" t="s">
        <v>824</v>
      </c>
      <c r="ET1925" s="1" t="s">
        <v>1201</v>
      </c>
      <c r="EU1925" s="1" t="s">
        <v>5417</v>
      </c>
      <c r="EV1925" s="1" t="s">
        <v>324</v>
      </c>
      <c r="EW1925" s="1" t="s">
        <v>17726</v>
      </c>
      <c r="EY1925" s="1" t="s">
        <v>242</v>
      </c>
      <c r="EZ1925" s="1" t="s">
        <v>1548</v>
      </c>
      <c r="FA1925" s="1" t="s">
        <v>17727</v>
      </c>
      <c r="FB1925" s="1" t="s">
        <v>734</v>
      </c>
      <c r="FC1925" s="1" t="s">
        <v>9602</v>
      </c>
      <c r="FD1925" s="1" t="s">
        <v>17728</v>
      </c>
      <c r="FE1925" s="1" t="s">
        <v>549</v>
      </c>
      <c r="FF1925" s="1" t="s">
        <v>3574</v>
      </c>
      <c r="FG1925" s="1" t="s">
        <v>912</v>
      </c>
      <c r="FH1925" s="1" t="s">
        <v>825</v>
      </c>
      <c r="FI1925" s="1" t="s">
        <v>473</v>
      </c>
      <c r="FJ1925" s="1" t="s">
        <v>197</v>
      </c>
      <c r="FL1925" s="1" t="s">
        <v>414</v>
      </c>
      <c r="FM1925" s="1" t="s">
        <v>252</v>
      </c>
      <c r="FN1925" s="1" t="s">
        <v>213</v>
      </c>
      <c r="FO1925" s="1" t="s">
        <v>213</v>
      </c>
      <c r="FQ1925" s="1" t="s">
        <v>11194</v>
      </c>
      <c r="FR1925" s="1" t="s">
        <v>652</v>
      </c>
      <c r="FS1925" s="1" t="s">
        <v>17729</v>
      </c>
      <c r="FT1925" s="1" t="s">
        <v>17730</v>
      </c>
      <c r="FU1925" s="1" t="s">
        <v>213</v>
      </c>
      <c r="FW1925" s="1" t="s">
        <v>915</v>
      </c>
      <c r="FX1925" s="1">
        <v>22205</v>
      </c>
      <c r="FY1925" s="1" t="s">
        <v>2484</v>
      </c>
      <c r="FZ1925" s="1" t="s">
        <v>17731</v>
      </c>
      <c r="GA1925" s="1">
        <v>211443</v>
      </c>
      <c r="GB1925" s="1" t="s">
        <v>17732</v>
      </c>
      <c r="GE1925" s="1" t="s">
        <v>210</v>
      </c>
      <c r="GI1925" s="1" t="s">
        <v>213</v>
      </c>
      <c r="GJ1925" s="1" t="s">
        <v>260</v>
      </c>
      <c r="GK1925" s="1" t="s">
        <v>210</v>
      </c>
      <c r="GL1925" s="2">
        <v>42030</v>
      </c>
      <c r="GM1925" s="1" t="s">
        <v>17733</v>
      </c>
    </row>
    <row r="1926" spans="1:195">
      <c r="A1926" s="1">
        <v>163000</v>
      </c>
      <c r="B1926" s="1" t="s">
        <v>195</v>
      </c>
      <c r="C1926" s="1" t="str">
        <f>"08731884"</f>
        <v>08731884</v>
      </c>
      <c r="D1926" s="1" t="s">
        <v>196</v>
      </c>
      <c r="F1926" s="1" t="str">
        <f>"177"</f>
        <v>177</v>
      </c>
      <c r="G1926" s="2">
        <v>41900</v>
      </c>
      <c r="H1926" s="1">
        <v>165000</v>
      </c>
      <c r="I1926" s="1">
        <v>165000</v>
      </c>
      <c r="J1926" s="1">
        <v>163000</v>
      </c>
      <c r="K1926" s="2">
        <v>41900</v>
      </c>
      <c r="L1926" s="1">
        <v>75</v>
      </c>
      <c r="M1926" s="2">
        <v>41974</v>
      </c>
      <c r="N1926" s="1">
        <v>75</v>
      </c>
      <c r="O1926" s="2">
        <v>41974</v>
      </c>
      <c r="P1926" s="1">
        <v>143</v>
      </c>
      <c r="Q1926" s="1" t="s">
        <v>423</v>
      </c>
      <c r="R1926" s="2">
        <v>42097</v>
      </c>
      <c r="S1926" s="1">
        <v>78168</v>
      </c>
      <c r="T1926" s="1">
        <v>3000</v>
      </c>
      <c r="U1926" s="1">
        <v>200</v>
      </c>
      <c r="V1926" s="1" t="s">
        <v>8218</v>
      </c>
      <c r="W1926" s="1" t="s">
        <v>264</v>
      </c>
      <c r="X1926" s="1" t="s">
        <v>3349</v>
      </c>
      <c r="Y1926" s="1">
        <v>4</v>
      </c>
      <c r="Z1926" s="1" t="s">
        <v>249</v>
      </c>
      <c r="AA1926" s="1" t="s">
        <v>1461</v>
      </c>
      <c r="AB1926" s="1">
        <v>60177</v>
      </c>
      <c r="AE1926" s="1" t="s">
        <v>17734</v>
      </c>
      <c r="AF1926" s="1">
        <v>2000</v>
      </c>
      <c r="AG1926" s="1" t="s">
        <v>204</v>
      </c>
      <c r="AH1926" s="1" t="s">
        <v>1464</v>
      </c>
      <c r="AI1926" s="1" t="s">
        <v>665</v>
      </c>
      <c r="AJ1926" s="1" t="s">
        <v>883</v>
      </c>
      <c r="AL1926" s="1">
        <v>6</v>
      </c>
      <c r="AM1926" s="1">
        <v>2</v>
      </c>
      <c r="AN1926" s="1">
        <v>3</v>
      </c>
      <c r="AO1926" s="1">
        <v>1</v>
      </c>
      <c r="AP1926" s="1" t="s">
        <v>209</v>
      </c>
      <c r="AR1926" s="1" t="s">
        <v>210</v>
      </c>
      <c r="AS1926" s="1" t="s">
        <v>204</v>
      </c>
      <c r="AT1926" s="1" t="s">
        <v>211</v>
      </c>
      <c r="AU1926" s="1">
        <v>2</v>
      </c>
      <c r="AW1926" s="1" t="s">
        <v>204</v>
      </c>
      <c r="AX1926" s="1" t="s">
        <v>212</v>
      </c>
      <c r="AZ1926" s="1">
        <v>4014</v>
      </c>
      <c r="BA1926" s="1">
        <v>2013</v>
      </c>
      <c r="BE1926" s="1">
        <v>1620</v>
      </c>
      <c r="BF1926" s="1">
        <v>1</v>
      </c>
      <c r="BG1926" s="1">
        <v>0</v>
      </c>
      <c r="BL1926" s="1">
        <v>188</v>
      </c>
      <c r="BM1926" s="1" t="s">
        <v>413</v>
      </c>
      <c r="BN1926" s="1" t="s">
        <v>213</v>
      </c>
      <c r="BO1926" s="1">
        <v>0</v>
      </c>
      <c r="BP1926" s="1" t="s">
        <v>204</v>
      </c>
      <c r="BR1926" s="1" t="str">
        <f>"0632329127"</f>
        <v>0632329127</v>
      </c>
      <c r="BT1926" s="1" t="s">
        <v>17735</v>
      </c>
      <c r="BX1926" s="1">
        <v>46</v>
      </c>
      <c r="BY1926" s="1">
        <v>46</v>
      </c>
      <c r="BZ1926" s="1">
        <v>46</v>
      </c>
      <c r="CB1926" s="1" t="str">
        <f t="shared" ref="CB1926:CC1926" si="1466">""</f>
        <v/>
      </c>
      <c r="CC1926" s="1" t="str">
        <f t="shared" si="1466"/>
        <v/>
      </c>
      <c r="CG1926" s="1" t="s">
        <v>1046</v>
      </c>
      <c r="CH1926" s="1" t="s">
        <v>219</v>
      </c>
      <c r="CK1926" s="1" t="s">
        <v>315</v>
      </c>
      <c r="CL1926" s="1" t="s">
        <v>277</v>
      </c>
      <c r="CP1926" s="1" t="s">
        <v>224</v>
      </c>
      <c r="CS1926" s="1" t="s">
        <v>1469</v>
      </c>
      <c r="CT1926" s="1" t="s">
        <v>277</v>
      </c>
      <c r="CX1926" s="1" t="s">
        <v>224</v>
      </c>
      <c r="DB1926" s="1" t="s">
        <v>224</v>
      </c>
      <c r="DE1926" s="1" t="s">
        <v>278</v>
      </c>
      <c r="DF1926" s="1" t="s">
        <v>219</v>
      </c>
      <c r="DI1926" s="1" t="s">
        <v>602</v>
      </c>
      <c r="DJ1926" s="1" t="s">
        <v>219</v>
      </c>
      <c r="DM1926" s="1" t="s">
        <v>464</v>
      </c>
      <c r="DR1926" s="1" t="s">
        <v>1046</v>
      </c>
      <c r="DS1926" s="1" t="s">
        <v>277</v>
      </c>
      <c r="DW1926" s="1" t="s">
        <v>230</v>
      </c>
      <c r="EA1926" s="1" t="s">
        <v>230</v>
      </c>
      <c r="EE1926" s="1" t="s">
        <v>230</v>
      </c>
      <c r="EI1926" s="1" t="s">
        <v>230</v>
      </c>
      <c r="EL1926" s="1" t="s">
        <v>466</v>
      </c>
      <c r="EM1926" s="1" t="s">
        <v>319</v>
      </c>
      <c r="EN1926" s="1" t="s">
        <v>282</v>
      </c>
      <c r="EO1926" s="1" t="s">
        <v>234</v>
      </c>
      <c r="ER1926" s="1" t="s">
        <v>210</v>
      </c>
      <c r="EW1926" s="1" t="s">
        <v>347</v>
      </c>
      <c r="EZ1926" s="1" t="s">
        <v>464</v>
      </c>
      <c r="FD1926" s="1" t="s">
        <v>1649</v>
      </c>
      <c r="FE1926" s="1" t="s">
        <v>496</v>
      </c>
      <c r="FF1926" s="1" t="s">
        <v>248</v>
      </c>
      <c r="FH1926" s="1" t="s">
        <v>550</v>
      </c>
      <c r="FL1926" s="1" t="s">
        <v>358</v>
      </c>
      <c r="FM1926" s="1" t="s">
        <v>252</v>
      </c>
      <c r="FN1926" s="1" t="s">
        <v>213</v>
      </c>
      <c r="FO1926" s="1" t="s">
        <v>213</v>
      </c>
      <c r="FQ1926" s="1" t="s">
        <v>689</v>
      </c>
      <c r="FR1926" s="1" t="s">
        <v>210</v>
      </c>
      <c r="FS1926" s="1" t="s">
        <v>2541</v>
      </c>
      <c r="FT1926" s="1" t="s">
        <v>654</v>
      </c>
      <c r="FU1926" s="1" t="s">
        <v>204</v>
      </c>
      <c r="FW1926" s="1" t="s">
        <v>4399</v>
      </c>
      <c r="FX1926" s="1">
        <v>8698</v>
      </c>
      <c r="FY1926" s="1" t="s">
        <v>4400</v>
      </c>
      <c r="FZ1926" s="1" t="s">
        <v>4401</v>
      </c>
      <c r="GA1926" s="1">
        <v>85273</v>
      </c>
      <c r="GB1926" s="1" t="s">
        <v>4400</v>
      </c>
      <c r="GE1926" s="1" t="s">
        <v>210</v>
      </c>
      <c r="GI1926" s="1" t="s">
        <v>213</v>
      </c>
      <c r="GJ1926" s="1" t="s">
        <v>260</v>
      </c>
      <c r="GK1926" s="1" t="s">
        <v>210</v>
      </c>
      <c r="GL1926" s="2">
        <v>42099</v>
      </c>
      <c r="GM1926" s="1" t="s">
        <v>17736</v>
      </c>
    </row>
    <row r="1927" spans="1:195">
      <c r="A1927" s="1">
        <v>144000</v>
      </c>
      <c r="B1927" s="1" t="s">
        <v>195</v>
      </c>
      <c r="C1927" s="1" t="str">
        <f>"08737598"</f>
        <v>08737598</v>
      </c>
      <c r="D1927" s="1" t="s">
        <v>196</v>
      </c>
      <c r="F1927" s="1" t="str">
        <f t="shared" ref="F1927:F1929" si="1467">"540"</f>
        <v>540</v>
      </c>
      <c r="G1927" s="2">
        <v>41907</v>
      </c>
      <c r="H1927" s="1">
        <v>169900</v>
      </c>
      <c r="I1927" s="1">
        <v>159000</v>
      </c>
      <c r="J1927" s="1">
        <v>144000</v>
      </c>
      <c r="K1927" s="2">
        <v>41907</v>
      </c>
      <c r="L1927" s="1">
        <v>123</v>
      </c>
      <c r="M1927" s="2">
        <v>42029</v>
      </c>
      <c r="N1927" s="1">
        <v>123</v>
      </c>
      <c r="O1927" s="2">
        <v>42029</v>
      </c>
      <c r="P1927" s="1">
        <v>4475</v>
      </c>
      <c r="Q1927" s="1" t="s">
        <v>197</v>
      </c>
      <c r="R1927" s="2">
        <v>42083</v>
      </c>
      <c r="S1927" s="1">
        <v>38351</v>
      </c>
      <c r="T1927" s="1">
        <v>750</v>
      </c>
      <c r="U1927" s="1">
        <v>2927</v>
      </c>
      <c r="V1927" s="1" t="s">
        <v>2212</v>
      </c>
      <c r="W1927" s="1" t="s">
        <v>449</v>
      </c>
      <c r="X1927" s="1">
        <v>203</v>
      </c>
      <c r="Y1927" s="1">
        <v>8</v>
      </c>
      <c r="Z1927" s="1" t="s">
        <v>370</v>
      </c>
      <c r="AA1927" s="1" t="s">
        <v>921</v>
      </c>
      <c r="AB1927" s="1">
        <v>60564</v>
      </c>
      <c r="AD1927" s="1" t="s">
        <v>5178</v>
      </c>
      <c r="AE1927" s="1" t="s">
        <v>17737</v>
      </c>
      <c r="AF1927" s="1">
        <v>2002</v>
      </c>
      <c r="AG1927" s="1" t="s">
        <v>204</v>
      </c>
      <c r="AH1927" s="1" t="s">
        <v>924</v>
      </c>
      <c r="AI1927" s="1" t="s">
        <v>1800</v>
      </c>
      <c r="AJ1927" s="1" t="s">
        <v>1801</v>
      </c>
      <c r="AL1927" s="1">
        <v>5</v>
      </c>
      <c r="AM1927" s="1">
        <v>2</v>
      </c>
      <c r="AN1927" s="1">
        <v>2</v>
      </c>
      <c r="AO1927" s="1">
        <v>0</v>
      </c>
      <c r="AP1927" s="1" t="s">
        <v>209</v>
      </c>
      <c r="AR1927" s="1" t="s">
        <v>210</v>
      </c>
      <c r="AS1927" s="1" t="s">
        <v>204</v>
      </c>
      <c r="AT1927" s="1" t="s">
        <v>211</v>
      </c>
      <c r="AU1927" s="1">
        <v>1</v>
      </c>
      <c r="AW1927" s="1" t="s">
        <v>204</v>
      </c>
      <c r="AX1927" s="1" t="s">
        <v>212</v>
      </c>
      <c r="AZ1927" s="1">
        <v>3691</v>
      </c>
      <c r="BA1927" s="1">
        <v>2013</v>
      </c>
      <c r="BE1927" s="1">
        <v>1315</v>
      </c>
      <c r="BF1927" s="1">
        <v>1</v>
      </c>
      <c r="BG1927" s="1">
        <v>1</v>
      </c>
      <c r="BL1927" s="1">
        <v>254</v>
      </c>
      <c r="BM1927" s="1" t="s">
        <v>204</v>
      </c>
      <c r="BN1927" s="1" t="s">
        <v>213</v>
      </c>
      <c r="BO1927" s="1">
        <v>50</v>
      </c>
      <c r="BP1927" s="1" t="s">
        <v>204</v>
      </c>
      <c r="BR1927" s="1" t="str">
        <f>"01031020561007"</f>
        <v>01031020561007</v>
      </c>
      <c r="BT1927" s="1" t="s">
        <v>17738</v>
      </c>
      <c r="BX1927" s="1">
        <v>204</v>
      </c>
      <c r="BY1927" s="1">
        <v>204</v>
      </c>
      <c r="BZ1927" s="1">
        <v>204</v>
      </c>
      <c r="CB1927" s="1" t="str">
        <f t="shared" ref="CB1927:CC1927" si="1468">"0"</f>
        <v>0</v>
      </c>
      <c r="CC1927" s="1" t="str">
        <f t="shared" si="1468"/>
        <v>0</v>
      </c>
      <c r="CD1927" s="1">
        <v>29</v>
      </c>
      <c r="CE1927" s="1">
        <v>10</v>
      </c>
      <c r="CG1927" s="1" t="s">
        <v>669</v>
      </c>
      <c r="CH1927" s="1" t="s">
        <v>277</v>
      </c>
      <c r="CI1927" s="1" t="s">
        <v>438</v>
      </c>
      <c r="CJ1927" s="1" t="s">
        <v>909</v>
      </c>
      <c r="CK1927" s="1" t="s">
        <v>539</v>
      </c>
      <c r="CL1927" s="1" t="s">
        <v>277</v>
      </c>
      <c r="CM1927" s="1" t="s">
        <v>220</v>
      </c>
      <c r="CN1927" s="1" t="s">
        <v>210</v>
      </c>
      <c r="CO1927" s="1" t="s">
        <v>379</v>
      </c>
      <c r="CP1927" s="1" t="s">
        <v>277</v>
      </c>
      <c r="CQ1927" s="1" t="s">
        <v>438</v>
      </c>
      <c r="CR1927" s="1" t="s">
        <v>463</v>
      </c>
      <c r="CS1927" s="1" t="s">
        <v>972</v>
      </c>
      <c r="CT1927" s="1" t="s">
        <v>277</v>
      </c>
      <c r="CV1927" s="1" t="s">
        <v>463</v>
      </c>
      <c r="CX1927" s="1" t="s">
        <v>224</v>
      </c>
      <c r="DB1927" s="1" t="s">
        <v>224</v>
      </c>
      <c r="DE1927" s="1" t="s">
        <v>1612</v>
      </c>
      <c r="DF1927" s="1" t="s">
        <v>277</v>
      </c>
      <c r="DG1927" s="1" t="s">
        <v>438</v>
      </c>
      <c r="DH1927" s="1" t="s">
        <v>463</v>
      </c>
      <c r="DJ1927" s="1" t="s">
        <v>224</v>
      </c>
      <c r="DM1927" s="1" t="s">
        <v>1771</v>
      </c>
      <c r="DN1927" s="1" t="s">
        <v>838</v>
      </c>
      <c r="DO1927" s="1" t="s">
        <v>709</v>
      </c>
      <c r="DR1927" s="1" t="s">
        <v>4260</v>
      </c>
      <c r="DS1927" s="1" t="s">
        <v>277</v>
      </c>
      <c r="DT1927" s="1" t="s">
        <v>220</v>
      </c>
      <c r="DV1927" s="1" t="s">
        <v>316</v>
      </c>
      <c r="DW1927" s="1" t="s">
        <v>277</v>
      </c>
      <c r="DX1927" s="1" t="s">
        <v>438</v>
      </c>
      <c r="DZ1927" s="1" t="s">
        <v>5717</v>
      </c>
      <c r="EA1927" s="1" t="s">
        <v>219</v>
      </c>
      <c r="EB1927" s="1" t="s">
        <v>226</v>
      </c>
      <c r="EE1927" s="1" t="s">
        <v>230</v>
      </c>
      <c r="EI1927" s="1" t="s">
        <v>230</v>
      </c>
      <c r="EL1927" s="1" t="s">
        <v>466</v>
      </c>
      <c r="EM1927" s="1" t="s">
        <v>232</v>
      </c>
      <c r="EN1927" s="1" t="s">
        <v>282</v>
      </c>
      <c r="EO1927" s="1" t="s">
        <v>234</v>
      </c>
      <c r="EP1927" s="1" t="s">
        <v>650</v>
      </c>
      <c r="EQ1927" s="1" t="s">
        <v>2188</v>
      </c>
      <c r="ER1927" s="1" t="s">
        <v>210</v>
      </c>
      <c r="ES1927" s="1" t="s">
        <v>608</v>
      </c>
      <c r="EU1927" s="1" t="s">
        <v>1314</v>
      </c>
      <c r="EV1927" s="1" t="s">
        <v>324</v>
      </c>
      <c r="EW1927" s="1" t="s">
        <v>887</v>
      </c>
      <c r="EZ1927" s="1" t="s">
        <v>14034</v>
      </c>
      <c r="FA1927" s="1" t="s">
        <v>17739</v>
      </c>
      <c r="FD1927" s="1" t="s">
        <v>246</v>
      </c>
      <c r="FE1927" s="1" t="s">
        <v>472</v>
      </c>
      <c r="FF1927" s="1" t="s">
        <v>248</v>
      </c>
      <c r="FH1927" s="1" t="s">
        <v>249</v>
      </c>
      <c r="FI1927" s="1" t="s">
        <v>473</v>
      </c>
      <c r="FL1927" s="1" t="s">
        <v>414</v>
      </c>
      <c r="FM1927" s="1" t="s">
        <v>252</v>
      </c>
      <c r="FN1927" s="1" t="s">
        <v>213</v>
      </c>
      <c r="FO1927" s="1" t="s">
        <v>213</v>
      </c>
      <c r="FQ1927" s="1" t="s">
        <v>8948</v>
      </c>
      <c r="FR1927" s="1" t="s">
        <v>210</v>
      </c>
      <c r="FS1927" s="1" t="s">
        <v>17740</v>
      </c>
      <c r="FT1927" s="1" t="s">
        <v>295</v>
      </c>
      <c r="FU1927" s="1" t="s">
        <v>204</v>
      </c>
      <c r="FW1927" s="1" t="s">
        <v>15428</v>
      </c>
      <c r="FX1927" s="1">
        <v>23905</v>
      </c>
      <c r="FY1927" s="1" t="s">
        <v>15429</v>
      </c>
      <c r="FZ1927" s="1" t="s">
        <v>17741</v>
      </c>
      <c r="GA1927" s="1">
        <v>236691</v>
      </c>
      <c r="GB1927" s="1" t="s">
        <v>17742</v>
      </c>
      <c r="GE1927" s="1" t="s">
        <v>480</v>
      </c>
      <c r="GI1927" s="1" t="s">
        <v>204</v>
      </c>
      <c r="GJ1927" s="1" t="s">
        <v>260</v>
      </c>
      <c r="GK1927" s="1" t="s">
        <v>261</v>
      </c>
      <c r="GL1927" s="2">
        <v>42083</v>
      </c>
      <c r="GM1927" s="1" t="s">
        <v>17743</v>
      </c>
    </row>
    <row r="1928" spans="1:195">
      <c r="A1928" s="1">
        <v>135000</v>
      </c>
      <c r="B1928" s="1" t="s">
        <v>195</v>
      </c>
      <c r="C1928" s="1" t="str">
        <f>"08732244"</f>
        <v>08732244</v>
      </c>
      <c r="D1928" s="1" t="s">
        <v>196</v>
      </c>
      <c r="F1928" s="1" t="str">
        <f t="shared" si="1467"/>
        <v>540</v>
      </c>
      <c r="G1928" s="2">
        <v>41900</v>
      </c>
      <c r="H1928" s="1">
        <v>167900</v>
      </c>
      <c r="I1928" s="1">
        <v>144900</v>
      </c>
      <c r="J1928" s="1">
        <v>135000</v>
      </c>
      <c r="K1928" s="2">
        <v>41900</v>
      </c>
      <c r="L1928" s="1">
        <v>80</v>
      </c>
      <c r="M1928" s="2">
        <v>41979</v>
      </c>
      <c r="N1928" s="1">
        <v>80</v>
      </c>
      <c r="O1928" s="2">
        <v>41979</v>
      </c>
      <c r="P1928" s="1">
        <v>22029</v>
      </c>
      <c r="Q1928" s="1" t="s">
        <v>302</v>
      </c>
      <c r="R1928" s="2">
        <v>42030</v>
      </c>
      <c r="S1928" s="1">
        <v>219587</v>
      </c>
      <c r="U1928" s="1">
        <v>735</v>
      </c>
      <c r="V1928" s="1" t="s">
        <v>7411</v>
      </c>
      <c r="W1928" s="1" t="s">
        <v>264</v>
      </c>
      <c r="Y1928" s="1">
        <v>3</v>
      </c>
      <c r="Z1928" s="1" t="s">
        <v>370</v>
      </c>
      <c r="AA1928" s="1" t="s">
        <v>921</v>
      </c>
      <c r="AB1928" s="1">
        <v>60563</v>
      </c>
      <c r="AD1928" s="1" t="s">
        <v>5950</v>
      </c>
      <c r="AE1928" s="1" t="s">
        <v>17744</v>
      </c>
      <c r="AF1928" s="1">
        <v>1999</v>
      </c>
      <c r="AG1928" s="1" t="s">
        <v>204</v>
      </c>
      <c r="AH1928" s="1" t="s">
        <v>924</v>
      </c>
      <c r="AI1928" s="1" t="s">
        <v>206</v>
      </c>
      <c r="AJ1928" s="1" t="s">
        <v>924</v>
      </c>
      <c r="AK1928" s="1" t="s">
        <v>17745</v>
      </c>
      <c r="AL1928" s="1">
        <v>6</v>
      </c>
      <c r="AM1928" s="1">
        <v>2</v>
      </c>
      <c r="AN1928" s="1">
        <v>2</v>
      </c>
      <c r="AO1928" s="1">
        <v>0</v>
      </c>
      <c r="AP1928" s="1" t="s">
        <v>209</v>
      </c>
      <c r="AQ1928" s="1">
        <v>1</v>
      </c>
      <c r="AR1928" s="1" t="s">
        <v>210</v>
      </c>
      <c r="AS1928" s="1" t="s">
        <v>204</v>
      </c>
      <c r="AT1928" s="1" t="s">
        <v>211</v>
      </c>
      <c r="AU1928" s="1">
        <v>1</v>
      </c>
      <c r="AW1928" s="1" t="s">
        <v>204</v>
      </c>
      <c r="AX1928" s="1" t="s">
        <v>212</v>
      </c>
      <c r="AZ1928" s="1">
        <v>3374.72</v>
      </c>
      <c r="BA1928" s="1">
        <v>2013</v>
      </c>
      <c r="BE1928" s="1">
        <v>1426</v>
      </c>
      <c r="BF1928" s="1">
        <v>2</v>
      </c>
      <c r="BG1928" s="1">
        <v>30</v>
      </c>
      <c r="BL1928" s="1">
        <v>185</v>
      </c>
      <c r="BM1928" s="1" t="s">
        <v>413</v>
      </c>
      <c r="BN1928" s="1" t="s">
        <v>213</v>
      </c>
      <c r="BO1928" s="1">
        <v>0</v>
      </c>
      <c r="BP1928" s="1" t="s">
        <v>204</v>
      </c>
      <c r="BR1928" s="1" t="str">
        <f>"0709310015"</f>
        <v>0709310015</v>
      </c>
      <c r="BT1928" s="1" t="s">
        <v>17746</v>
      </c>
      <c r="BX1928" s="1">
        <v>204</v>
      </c>
      <c r="BY1928" s="1">
        <v>204</v>
      </c>
      <c r="BZ1928" s="1">
        <v>204</v>
      </c>
      <c r="CB1928" s="1" t="str">
        <f t="shared" ref="CB1928:CC1928" si="1469">"0"</f>
        <v>0</v>
      </c>
      <c r="CC1928" s="1" t="str">
        <f t="shared" si="1469"/>
        <v>0</v>
      </c>
      <c r="CD1928" s="1">
        <v>30</v>
      </c>
      <c r="CE1928" s="1">
        <v>6</v>
      </c>
      <c r="CG1928" s="1" t="s">
        <v>686</v>
      </c>
      <c r="CH1928" s="1" t="s">
        <v>277</v>
      </c>
      <c r="CK1928" s="1" t="s">
        <v>539</v>
      </c>
      <c r="CL1928" s="1" t="s">
        <v>277</v>
      </c>
      <c r="CO1928" s="1" t="s">
        <v>409</v>
      </c>
      <c r="CP1928" s="1" t="s">
        <v>277</v>
      </c>
      <c r="CS1928" s="1" t="s">
        <v>1046</v>
      </c>
      <c r="CT1928" s="1" t="s">
        <v>277</v>
      </c>
      <c r="CX1928" s="1" t="s">
        <v>224</v>
      </c>
      <c r="DB1928" s="1" t="s">
        <v>224</v>
      </c>
      <c r="DE1928" s="1" t="s">
        <v>346</v>
      </c>
      <c r="DF1928" s="1" t="s">
        <v>277</v>
      </c>
      <c r="DI1928" s="1" t="s">
        <v>278</v>
      </c>
      <c r="DJ1928" s="1" t="s">
        <v>277</v>
      </c>
      <c r="DM1928" s="1" t="s">
        <v>1770</v>
      </c>
      <c r="DR1928" s="1" t="s">
        <v>409</v>
      </c>
      <c r="DS1928" s="1" t="s">
        <v>277</v>
      </c>
      <c r="DW1928" s="1" t="s">
        <v>230</v>
      </c>
      <c r="EA1928" s="1" t="s">
        <v>230</v>
      </c>
      <c r="EE1928" s="1" t="s">
        <v>230</v>
      </c>
      <c r="EI1928" s="1" t="s">
        <v>230</v>
      </c>
      <c r="EL1928" s="1" t="s">
        <v>466</v>
      </c>
      <c r="EM1928" s="1" t="s">
        <v>319</v>
      </c>
      <c r="EN1928" s="1" t="s">
        <v>282</v>
      </c>
      <c r="EO1928" s="1" t="s">
        <v>234</v>
      </c>
      <c r="EP1928" s="1" t="s">
        <v>1268</v>
      </c>
      <c r="ER1928" s="1" t="s">
        <v>210</v>
      </c>
      <c r="ES1928" s="1" t="s">
        <v>608</v>
      </c>
      <c r="EU1928" s="1" t="s">
        <v>239</v>
      </c>
      <c r="EW1928" s="1" t="s">
        <v>937</v>
      </c>
      <c r="EZ1928" s="1" t="s">
        <v>1770</v>
      </c>
      <c r="FD1928" s="1" t="s">
        <v>246</v>
      </c>
      <c r="FE1928" s="1" t="s">
        <v>3783</v>
      </c>
      <c r="FF1928" s="1" t="s">
        <v>248</v>
      </c>
      <c r="FH1928" s="1" t="s">
        <v>2221</v>
      </c>
      <c r="FL1928" s="1" t="s">
        <v>358</v>
      </c>
      <c r="FM1928" s="1" t="s">
        <v>252</v>
      </c>
      <c r="FN1928" s="1" t="s">
        <v>213</v>
      </c>
      <c r="FO1928" s="1" t="s">
        <v>213</v>
      </c>
      <c r="FQ1928" s="1" t="s">
        <v>689</v>
      </c>
      <c r="FR1928" s="1" t="s">
        <v>210</v>
      </c>
      <c r="FS1928" s="1" t="s">
        <v>17747</v>
      </c>
      <c r="FT1928" s="1" t="s">
        <v>295</v>
      </c>
      <c r="FU1928" s="1" t="s">
        <v>204</v>
      </c>
      <c r="FW1928" s="1" t="s">
        <v>1961</v>
      </c>
      <c r="FX1928" s="1">
        <v>20150</v>
      </c>
      <c r="FY1928" s="1" t="s">
        <v>1962</v>
      </c>
      <c r="FZ1928" s="1" t="s">
        <v>1963</v>
      </c>
      <c r="GA1928" s="1">
        <v>211012</v>
      </c>
      <c r="GB1928" s="1" t="s">
        <v>1964</v>
      </c>
      <c r="GE1928" s="1" t="s">
        <v>210</v>
      </c>
      <c r="GI1928" s="1" t="s">
        <v>213</v>
      </c>
      <c r="GJ1928" s="1" t="s">
        <v>260</v>
      </c>
      <c r="GK1928" s="1" t="s">
        <v>261</v>
      </c>
      <c r="GL1928" s="2">
        <v>42031</v>
      </c>
      <c r="GM1928" s="1" t="s">
        <v>17748</v>
      </c>
    </row>
    <row r="1929" spans="1:195">
      <c r="A1929" s="1">
        <v>136000</v>
      </c>
      <c r="B1929" s="1" t="s">
        <v>195</v>
      </c>
      <c r="C1929" s="1" t="str">
        <f>"08738242"</f>
        <v>08738242</v>
      </c>
      <c r="D1929" s="1" t="s">
        <v>196</v>
      </c>
      <c r="F1929" s="1" t="str">
        <f t="shared" si="1467"/>
        <v>540</v>
      </c>
      <c r="G1929" s="2">
        <v>41908</v>
      </c>
      <c r="H1929" s="1">
        <v>145000</v>
      </c>
      <c r="I1929" s="1">
        <v>142500</v>
      </c>
      <c r="J1929" s="1">
        <v>136000</v>
      </c>
      <c r="K1929" s="2">
        <v>41907</v>
      </c>
      <c r="L1929" s="1">
        <v>82</v>
      </c>
      <c r="M1929" s="2">
        <v>41988</v>
      </c>
      <c r="N1929" s="1">
        <v>82</v>
      </c>
      <c r="O1929" s="2">
        <v>41988</v>
      </c>
      <c r="P1929" s="1">
        <v>23030</v>
      </c>
      <c r="Q1929" s="1" t="s">
        <v>302</v>
      </c>
      <c r="R1929" s="2">
        <v>42034</v>
      </c>
      <c r="S1929" s="1">
        <v>227706</v>
      </c>
      <c r="U1929" s="1">
        <v>79</v>
      </c>
      <c r="V1929" s="1" t="s">
        <v>10204</v>
      </c>
      <c r="W1929" s="1" t="s">
        <v>304</v>
      </c>
      <c r="X1929" s="1" t="s">
        <v>17749</v>
      </c>
      <c r="Y1929" s="1">
        <v>4</v>
      </c>
      <c r="Z1929" s="1" t="s">
        <v>249</v>
      </c>
      <c r="AA1929" s="1" t="s">
        <v>921</v>
      </c>
      <c r="AB1929" s="1">
        <v>60565</v>
      </c>
      <c r="AD1929" s="1" t="s">
        <v>1889</v>
      </c>
      <c r="AE1929" s="1" t="s">
        <v>17750</v>
      </c>
      <c r="AF1929" s="1">
        <v>1988</v>
      </c>
      <c r="AG1929" s="1" t="s">
        <v>204</v>
      </c>
      <c r="AH1929" s="1" t="s">
        <v>924</v>
      </c>
      <c r="AI1929" s="1" t="s">
        <v>1800</v>
      </c>
      <c r="AJ1929" s="1" t="s">
        <v>17751</v>
      </c>
      <c r="AL1929" s="1">
        <v>5</v>
      </c>
      <c r="AM1929" s="1">
        <v>2</v>
      </c>
      <c r="AN1929" s="1">
        <v>2</v>
      </c>
      <c r="AO1929" s="1">
        <v>0</v>
      </c>
      <c r="AP1929" s="1" t="s">
        <v>209</v>
      </c>
      <c r="AQ1929" s="1">
        <v>1</v>
      </c>
      <c r="AR1929" s="1" t="s">
        <v>210</v>
      </c>
      <c r="AS1929" s="1" t="s">
        <v>204</v>
      </c>
      <c r="AT1929" s="1" t="s">
        <v>211</v>
      </c>
      <c r="AU1929" s="1">
        <v>1</v>
      </c>
      <c r="AW1929" s="1" t="s">
        <v>204</v>
      </c>
      <c r="AX1929" s="1" t="s">
        <v>212</v>
      </c>
      <c r="AZ1929" s="1">
        <v>2983</v>
      </c>
      <c r="BA1929" s="1">
        <v>2012</v>
      </c>
      <c r="BB1929" s="1" t="s">
        <v>405</v>
      </c>
      <c r="BE1929" s="1">
        <v>1263</v>
      </c>
      <c r="BF1929" s="1">
        <v>2</v>
      </c>
      <c r="BG1929" s="1">
        <v>30</v>
      </c>
      <c r="BL1929" s="1">
        <v>236</v>
      </c>
      <c r="BM1929" s="1" t="s">
        <v>204</v>
      </c>
      <c r="BN1929" s="1" t="s">
        <v>213</v>
      </c>
      <c r="BO1929" s="1">
        <v>100</v>
      </c>
      <c r="BP1929" s="1" t="s">
        <v>204</v>
      </c>
      <c r="BR1929" s="1" t="str">
        <f>"02062030021002"</f>
        <v>02062030021002</v>
      </c>
      <c r="BT1929" s="1" t="s">
        <v>17752</v>
      </c>
      <c r="BU1929" s="1" t="s">
        <v>1892</v>
      </c>
      <c r="BV1929" s="1" t="s">
        <v>929</v>
      </c>
      <c r="BW1929" s="1" t="s">
        <v>930</v>
      </c>
      <c r="BX1929" s="1">
        <v>203</v>
      </c>
      <c r="BY1929" s="1">
        <v>203</v>
      </c>
      <c r="BZ1929" s="1">
        <v>203</v>
      </c>
      <c r="CB1929" s="1" t="str">
        <f t="shared" ref="CB1929:CC1929" si="1470">"0"</f>
        <v>0</v>
      </c>
      <c r="CC1929" s="1" t="str">
        <f t="shared" si="1470"/>
        <v>0</v>
      </c>
      <c r="CD1929" s="1">
        <v>26</v>
      </c>
      <c r="CE1929" s="1">
        <v>10</v>
      </c>
      <c r="CG1929" s="1" t="s">
        <v>538</v>
      </c>
      <c r="CH1929" s="1" t="s">
        <v>277</v>
      </c>
      <c r="CI1929" s="1" t="s">
        <v>220</v>
      </c>
      <c r="CK1929" s="1" t="s">
        <v>315</v>
      </c>
      <c r="CL1929" s="1" t="s">
        <v>277</v>
      </c>
      <c r="CM1929" s="1" t="s">
        <v>220</v>
      </c>
      <c r="CO1929" s="1" t="s">
        <v>379</v>
      </c>
      <c r="CP1929" s="1" t="s">
        <v>277</v>
      </c>
      <c r="CQ1929" s="1" t="s">
        <v>220</v>
      </c>
      <c r="CS1929" s="1" t="s">
        <v>465</v>
      </c>
      <c r="CT1929" s="1" t="s">
        <v>277</v>
      </c>
      <c r="CU1929" s="1" t="s">
        <v>220</v>
      </c>
      <c r="CX1929" s="1" t="s">
        <v>224</v>
      </c>
      <c r="DB1929" s="1" t="s">
        <v>224</v>
      </c>
      <c r="DE1929" s="1" t="s">
        <v>686</v>
      </c>
      <c r="DF1929" s="1" t="s">
        <v>277</v>
      </c>
      <c r="DG1929" s="1" t="s">
        <v>226</v>
      </c>
      <c r="DH1929" s="1" t="s">
        <v>463</v>
      </c>
      <c r="DJ1929" s="1" t="s">
        <v>224</v>
      </c>
      <c r="DM1929" s="1" t="s">
        <v>1770</v>
      </c>
      <c r="DR1929" s="1" t="s">
        <v>837</v>
      </c>
      <c r="DS1929" s="1" t="s">
        <v>277</v>
      </c>
      <c r="DT1929" s="1" t="s">
        <v>342</v>
      </c>
      <c r="DW1929" s="1" t="s">
        <v>230</v>
      </c>
      <c r="EA1929" s="1" t="s">
        <v>230</v>
      </c>
      <c r="EE1929" s="1" t="s">
        <v>230</v>
      </c>
      <c r="EI1929" s="1" t="s">
        <v>230</v>
      </c>
      <c r="EL1929" s="1" t="s">
        <v>542</v>
      </c>
      <c r="EM1929" s="1" t="s">
        <v>232</v>
      </c>
      <c r="EN1929" s="1" t="s">
        <v>282</v>
      </c>
      <c r="EO1929" s="1" t="s">
        <v>234</v>
      </c>
      <c r="EP1929" s="1" t="s">
        <v>283</v>
      </c>
      <c r="EQ1929" s="1" t="s">
        <v>236</v>
      </c>
      <c r="ER1929" s="1" t="s">
        <v>210</v>
      </c>
      <c r="ES1929" s="1" t="s">
        <v>954</v>
      </c>
      <c r="EU1929" s="1" t="s">
        <v>1894</v>
      </c>
      <c r="EV1929" s="1" t="s">
        <v>240</v>
      </c>
      <c r="EW1929" s="1" t="s">
        <v>1895</v>
      </c>
      <c r="EY1929" s="1" t="s">
        <v>242</v>
      </c>
      <c r="EZ1929" s="1" t="s">
        <v>1770</v>
      </c>
      <c r="FA1929" s="1" t="s">
        <v>3462</v>
      </c>
      <c r="FB1929" s="1" t="s">
        <v>289</v>
      </c>
      <c r="FC1929" s="1" t="s">
        <v>633</v>
      </c>
      <c r="FD1929" s="1" t="s">
        <v>290</v>
      </c>
      <c r="FE1929" s="1" t="s">
        <v>14877</v>
      </c>
      <c r="FF1929" s="1" t="s">
        <v>248</v>
      </c>
      <c r="FG1929" s="1" t="s">
        <v>1682</v>
      </c>
      <c r="FH1929" s="1" t="s">
        <v>249</v>
      </c>
      <c r="FI1929" s="1" t="s">
        <v>473</v>
      </c>
      <c r="FJ1929" s="1" t="s">
        <v>197</v>
      </c>
      <c r="FL1929" s="1" t="s">
        <v>358</v>
      </c>
      <c r="FM1929" s="1" t="s">
        <v>252</v>
      </c>
      <c r="FN1929" s="1" t="s">
        <v>213</v>
      </c>
      <c r="FO1929" s="1" t="s">
        <v>213</v>
      </c>
      <c r="FQ1929" s="1" t="s">
        <v>913</v>
      </c>
      <c r="FR1929" s="1" t="s">
        <v>210</v>
      </c>
      <c r="FS1929" s="1" t="s">
        <v>17753</v>
      </c>
      <c r="FT1929" s="1" t="s">
        <v>295</v>
      </c>
      <c r="FU1929" s="1" t="s">
        <v>204</v>
      </c>
      <c r="FW1929" s="1" t="s">
        <v>17754</v>
      </c>
      <c r="FX1929" s="1">
        <v>21244</v>
      </c>
      <c r="FY1929" s="1" t="s">
        <v>17755</v>
      </c>
      <c r="FZ1929" s="1" t="s">
        <v>17756</v>
      </c>
      <c r="GA1929" s="1">
        <v>217777</v>
      </c>
      <c r="GB1929" s="1" t="s">
        <v>17755</v>
      </c>
      <c r="GE1929" s="1" t="s">
        <v>658</v>
      </c>
      <c r="GI1929" s="1" t="s">
        <v>213</v>
      </c>
      <c r="GJ1929" s="1" t="s">
        <v>260</v>
      </c>
      <c r="GK1929" s="1" t="s">
        <v>210</v>
      </c>
      <c r="GL1929" s="2">
        <v>42034</v>
      </c>
      <c r="GM1929" s="1" t="s">
        <v>17757</v>
      </c>
    </row>
    <row r="1930" spans="1:195">
      <c r="A1930" s="1">
        <v>143000</v>
      </c>
      <c r="B1930" s="1" t="s">
        <v>195</v>
      </c>
      <c r="C1930" s="1" t="str">
        <f>"08727404"</f>
        <v>08727404</v>
      </c>
      <c r="D1930" s="1" t="s">
        <v>196</v>
      </c>
      <c r="F1930" s="1" t="str">
        <f>"139"</f>
        <v>139</v>
      </c>
      <c r="G1930" s="2">
        <v>41895</v>
      </c>
      <c r="H1930" s="1">
        <v>150000</v>
      </c>
      <c r="I1930" s="1">
        <v>145000</v>
      </c>
      <c r="J1930" s="1">
        <v>143000</v>
      </c>
      <c r="K1930" s="2">
        <v>41895</v>
      </c>
      <c r="L1930" s="1">
        <v>70</v>
      </c>
      <c r="M1930" s="2">
        <v>41964</v>
      </c>
      <c r="N1930" s="1">
        <v>70</v>
      </c>
      <c r="O1930" s="2">
        <v>41964</v>
      </c>
      <c r="P1930" s="1">
        <v>25266</v>
      </c>
      <c r="Q1930" s="1" t="s">
        <v>423</v>
      </c>
      <c r="R1930" s="2">
        <v>42020</v>
      </c>
      <c r="S1930" s="1">
        <v>231049</v>
      </c>
      <c r="T1930" s="1">
        <v>3000</v>
      </c>
      <c r="U1930" s="1">
        <v>157</v>
      </c>
      <c r="V1930" s="1" t="s">
        <v>8536</v>
      </c>
      <c r="W1930" s="1" t="s">
        <v>264</v>
      </c>
      <c r="X1930" s="1">
        <v>157</v>
      </c>
      <c r="Y1930" s="1">
        <v>4</v>
      </c>
      <c r="Z1930" s="1" t="s">
        <v>370</v>
      </c>
      <c r="AA1930" s="1" t="s">
        <v>1732</v>
      </c>
      <c r="AB1930" s="1">
        <v>60139</v>
      </c>
      <c r="AD1930" s="1" t="s">
        <v>8696</v>
      </c>
      <c r="AE1930" s="1" t="s">
        <v>17758</v>
      </c>
      <c r="AF1930" s="1">
        <v>1987</v>
      </c>
      <c r="AG1930" s="1" t="s">
        <v>204</v>
      </c>
      <c r="AH1930" s="1" t="s">
        <v>1735</v>
      </c>
      <c r="AI1930" s="1" t="s">
        <v>206</v>
      </c>
      <c r="AJ1930" s="1" t="s">
        <v>269</v>
      </c>
      <c r="AL1930" s="1">
        <v>5</v>
      </c>
      <c r="AM1930" s="1">
        <v>2</v>
      </c>
      <c r="AN1930" s="1">
        <v>2</v>
      </c>
      <c r="AO1930" s="1">
        <v>1</v>
      </c>
      <c r="AP1930" s="1" t="s">
        <v>209</v>
      </c>
      <c r="AQ1930" s="1">
        <v>1</v>
      </c>
      <c r="AR1930" s="1" t="s">
        <v>210</v>
      </c>
      <c r="AS1930" s="1" t="s">
        <v>204</v>
      </c>
      <c r="AT1930" s="1" t="s">
        <v>211</v>
      </c>
      <c r="AU1930" s="1">
        <v>1</v>
      </c>
      <c r="AW1930" s="1" t="s">
        <v>204</v>
      </c>
      <c r="AX1930" s="1" t="s">
        <v>212</v>
      </c>
      <c r="AZ1930" s="1">
        <v>4605.62</v>
      </c>
      <c r="BA1930" s="1">
        <v>2013</v>
      </c>
      <c r="BB1930" s="1" t="s">
        <v>405</v>
      </c>
      <c r="BC1930" s="1">
        <v>0</v>
      </c>
      <c r="BE1930" s="1">
        <v>1248</v>
      </c>
      <c r="BF1930" s="1">
        <v>1</v>
      </c>
      <c r="BG1930" s="1">
        <v>0</v>
      </c>
      <c r="BL1930" s="1">
        <v>196</v>
      </c>
      <c r="BM1930" s="1" t="s">
        <v>204</v>
      </c>
      <c r="BN1930" s="1" t="s">
        <v>213</v>
      </c>
      <c r="BO1930" s="1">
        <v>100</v>
      </c>
      <c r="BP1930" s="1" t="s">
        <v>204</v>
      </c>
      <c r="BR1930" s="1" t="str">
        <f>"0233206141"</f>
        <v>0233206141</v>
      </c>
      <c r="BT1930" s="1" t="s">
        <v>17759</v>
      </c>
      <c r="BU1930" s="1" t="s">
        <v>3644</v>
      </c>
      <c r="BV1930" s="1" t="s">
        <v>3645</v>
      </c>
      <c r="BW1930" s="1" t="s">
        <v>1092</v>
      </c>
      <c r="BX1930" s="1">
        <v>16</v>
      </c>
      <c r="BY1930" s="1">
        <v>16</v>
      </c>
      <c r="BZ1930" s="1">
        <v>87</v>
      </c>
      <c r="CB1930" s="1" t="str">
        <f>"2"</f>
        <v>2</v>
      </c>
      <c r="CC1930" s="1" t="str">
        <f>"0"</f>
        <v>0</v>
      </c>
      <c r="CD1930" s="1">
        <v>24</v>
      </c>
      <c r="CE1930" s="1">
        <v>0</v>
      </c>
      <c r="CG1930" s="1" t="s">
        <v>2042</v>
      </c>
      <c r="CH1930" s="1" t="s">
        <v>219</v>
      </c>
      <c r="CI1930" s="1" t="s">
        <v>438</v>
      </c>
      <c r="CK1930" s="1" t="s">
        <v>757</v>
      </c>
      <c r="CL1930" s="1" t="s">
        <v>277</v>
      </c>
      <c r="CM1930" s="1" t="s">
        <v>220</v>
      </c>
      <c r="CO1930" s="1" t="s">
        <v>629</v>
      </c>
      <c r="CP1930" s="1" t="s">
        <v>219</v>
      </c>
      <c r="CS1930" s="1" t="s">
        <v>465</v>
      </c>
      <c r="CT1930" s="1" t="s">
        <v>277</v>
      </c>
      <c r="CU1930" s="1" t="s">
        <v>220</v>
      </c>
      <c r="CX1930" s="1" t="s">
        <v>224</v>
      </c>
      <c r="DB1930" s="1" t="s">
        <v>224</v>
      </c>
      <c r="DE1930" s="1" t="s">
        <v>837</v>
      </c>
      <c r="DF1930" s="1" t="s">
        <v>219</v>
      </c>
      <c r="DG1930" s="1" t="s">
        <v>226</v>
      </c>
      <c r="DH1930" s="1" t="s">
        <v>210</v>
      </c>
      <c r="DJ1930" s="1" t="s">
        <v>224</v>
      </c>
      <c r="DS1930" s="1" t="s">
        <v>230</v>
      </c>
      <c r="DW1930" s="1" t="s">
        <v>230</v>
      </c>
      <c r="EA1930" s="1" t="s">
        <v>230</v>
      </c>
      <c r="EE1930" s="1" t="s">
        <v>230</v>
      </c>
      <c r="EI1930" s="1" t="s">
        <v>230</v>
      </c>
      <c r="EL1930" s="1" t="s">
        <v>542</v>
      </c>
      <c r="EM1930" s="1" t="s">
        <v>232</v>
      </c>
      <c r="EN1930" s="1" t="s">
        <v>282</v>
      </c>
      <c r="EO1930" s="1" t="s">
        <v>234</v>
      </c>
      <c r="EP1930" s="1" t="s">
        <v>17760</v>
      </c>
      <c r="EQ1930" s="1" t="s">
        <v>236</v>
      </c>
      <c r="ER1930" s="1" t="s">
        <v>210</v>
      </c>
      <c r="ES1930" s="1" t="s">
        <v>954</v>
      </c>
      <c r="EU1930" s="1" t="s">
        <v>3377</v>
      </c>
      <c r="EW1930" s="1" t="s">
        <v>991</v>
      </c>
      <c r="EY1930" s="1" t="s">
        <v>441</v>
      </c>
      <c r="EZ1930" s="1" t="s">
        <v>287</v>
      </c>
      <c r="FA1930" s="1" t="s">
        <v>1072</v>
      </c>
      <c r="FD1930" s="1" t="s">
        <v>246</v>
      </c>
      <c r="FE1930" s="1" t="s">
        <v>247</v>
      </c>
      <c r="FF1930" s="1" t="s">
        <v>248</v>
      </c>
      <c r="FH1930" s="1" t="s">
        <v>550</v>
      </c>
      <c r="FI1930" s="1" t="s">
        <v>357</v>
      </c>
      <c r="FL1930" s="1" t="s">
        <v>358</v>
      </c>
      <c r="FM1930" s="1" t="s">
        <v>252</v>
      </c>
      <c r="FN1930" s="1" t="s">
        <v>213</v>
      </c>
      <c r="FO1930" s="1" t="s">
        <v>213</v>
      </c>
      <c r="FQ1930" s="1" t="s">
        <v>11915</v>
      </c>
      <c r="FR1930" s="1" t="s">
        <v>210</v>
      </c>
      <c r="FS1930" s="1" t="s">
        <v>2624</v>
      </c>
      <c r="FT1930" s="1" t="s">
        <v>13660</v>
      </c>
      <c r="FU1930" s="1" t="s">
        <v>204</v>
      </c>
      <c r="FW1930" s="1" t="s">
        <v>813</v>
      </c>
      <c r="FX1930" s="1">
        <v>23177</v>
      </c>
      <c r="FY1930" s="1" t="s">
        <v>5258</v>
      </c>
      <c r="FZ1930" s="1" t="s">
        <v>13661</v>
      </c>
      <c r="GA1930" s="1">
        <v>230115</v>
      </c>
      <c r="GB1930" s="1" t="s">
        <v>13662</v>
      </c>
      <c r="GE1930" s="1" t="s">
        <v>210</v>
      </c>
      <c r="GI1930" s="1" t="s">
        <v>213</v>
      </c>
      <c r="GJ1930" s="1" t="s">
        <v>260</v>
      </c>
      <c r="GK1930" s="1" t="s">
        <v>210</v>
      </c>
      <c r="GL1930" s="2">
        <v>42024</v>
      </c>
    </row>
    <row r="1931" spans="1:195">
      <c r="A1931" s="1">
        <v>123500</v>
      </c>
      <c r="B1931" s="1" t="s">
        <v>195</v>
      </c>
      <c r="C1931" s="1" t="str">
        <f>"08727034"</f>
        <v>08727034</v>
      </c>
      <c r="D1931" s="1" t="s">
        <v>196</v>
      </c>
      <c r="F1931" s="1" t="str">
        <f>"2"</f>
        <v>2</v>
      </c>
      <c r="G1931" s="2">
        <v>41894</v>
      </c>
      <c r="H1931" s="1">
        <v>129900</v>
      </c>
      <c r="I1931" s="1">
        <v>127500</v>
      </c>
      <c r="J1931" s="1">
        <v>123500</v>
      </c>
      <c r="K1931" s="2">
        <v>41894</v>
      </c>
      <c r="L1931" s="1">
        <v>235</v>
      </c>
      <c r="M1931" s="2">
        <v>42015</v>
      </c>
      <c r="N1931" s="1">
        <v>122</v>
      </c>
      <c r="O1931" s="2">
        <v>42015</v>
      </c>
      <c r="P1931" s="1">
        <v>1886</v>
      </c>
      <c r="Q1931" s="1" t="s">
        <v>197</v>
      </c>
      <c r="R1931" s="2">
        <v>42052</v>
      </c>
      <c r="S1931" s="1">
        <v>16933</v>
      </c>
      <c r="U1931" s="1">
        <v>39854</v>
      </c>
      <c r="V1931" s="1" t="s">
        <v>1040</v>
      </c>
      <c r="W1931" s="1" t="s">
        <v>304</v>
      </c>
      <c r="Y1931" s="1">
        <v>3</v>
      </c>
      <c r="Z1931" s="1" t="s">
        <v>370</v>
      </c>
      <c r="AA1931" s="1" t="s">
        <v>5713</v>
      </c>
      <c r="AB1931" s="1">
        <v>60002</v>
      </c>
      <c r="AD1931" s="1" t="s">
        <v>17761</v>
      </c>
      <c r="AE1931" s="1" t="s">
        <v>17762</v>
      </c>
      <c r="AF1931" s="1">
        <v>1978</v>
      </c>
      <c r="AG1931" s="1" t="s">
        <v>204</v>
      </c>
      <c r="AH1931" s="1" t="s">
        <v>882</v>
      </c>
      <c r="AI1931" s="1" t="s">
        <v>509</v>
      </c>
      <c r="AJ1931" s="1" t="s">
        <v>1437</v>
      </c>
      <c r="AL1931" s="1">
        <v>6</v>
      </c>
      <c r="AM1931" s="1">
        <v>2</v>
      </c>
      <c r="AN1931" s="1">
        <v>2</v>
      </c>
      <c r="AO1931" s="1">
        <v>0</v>
      </c>
      <c r="AP1931" s="1" t="s">
        <v>667</v>
      </c>
      <c r="AQ1931" s="1">
        <v>1</v>
      </c>
      <c r="AR1931" s="1" t="s">
        <v>209</v>
      </c>
      <c r="AS1931" s="1" t="s">
        <v>213</v>
      </c>
      <c r="AT1931" s="1" t="s">
        <v>211</v>
      </c>
      <c r="AU1931" s="1">
        <v>2</v>
      </c>
      <c r="AW1931" s="1" t="s">
        <v>204</v>
      </c>
      <c r="AX1931" s="1" t="s">
        <v>1265</v>
      </c>
      <c r="AZ1931" s="1">
        <v>1989.87</v>
      </c>
      <c r="BA1931" s="1">
        <v>2013</v>
      </c>
      <c r="BB1931" s="1" t="s">
        <v>599</v>
      </c>
      <c r="BE1931" s="1">
        <v>1185</v>
      </c>
      <c r="BF1931" s="1">
        <v>1</v>
      </c>
      <c r="BG1931" s="1">
        <v>0</v>
      </c>
      <c r="BL1931" s="1">
        <v>253</v>
      </c>
      <c r="BM1931" s="1" t="s">
        <v>204</v>
      </c>
      <c r="BN1931" s="1" t="s">
        <v>213</v>
      </c>
      <c r="BO1931" s="1">
        <v>50</v>
      </c>
      <c r="BP1931" s="1" t="s">
        <v>204</v>
      </c>
      <c r="BR1931" s="1" t="str">
        <f>"02301000160000"</f>
        <v>02301000160000</v>
      </c>
      <c r="BT1931" s="1" t="s">
        <v>17763</v>
      </c>
      <c r="BX1931" s="1">
        <v>33</v>
      </c>
      <c r="BY1931" s="1">
        <v>33</v>
      </c>
      <c r="BZ1931" s="1">
        <v>117</v>
      </c>
      <c r="CB1931" s="1" t="str">
        <f t="shared" ref="CB1931:CC1931" si="1471">""</f>
        <v/>
      </c>
      <c r="CC1931" s="1" t="str">
        <f t="shared" si="1471"/>
        <v/>
      </c>
      <c r="CG1931" s="1" t="s">
        <v>931</v>
      </c>
      <c r="CH1931" s="1" t="s">
        <v>219</v>
      </c>
      <c r="CI1931" s="1" t="s">
        <v>438</v>
      </c>
      <c r="CK1931" s="1" t="s">
        <v>461</v>
      </c>
      <c r="CL1931" s="1" t="s">
        <v>219</v>
      </c>
      <c r="CM1931" s="1" t="s">
        <v>220</v>
      </c>
      <c r="CO1931" s="1" t="s">
        <v>461</v>
      </c>
      <c r="CP1931" s="1" t="s">
        <v>219</v>
      </c>
      <c r="CQ1931" s="1" t="s">
        <v>438</v>
      </c>
      <c r="CS1931" s="1" t="s">
        <v>1297</v>
      </c>
      <c r="CT1931" s="1" t="s">
        <v>219</v>
      </c>
      <c r="CU1931" s="1" t="s">
        <v>220</v>
      </c>
      <c r="CX1931" s="1" t="s">
        <v>224</v>
      </c>
      <c r="DB1931" s="1" t="s">
        <v>224</v>
      </c>
      <c r="DE1931" s="1" t="s">
        <v>837</v>
      </c>
      <c r="DF1931" s="1" t="s">
        <v>219</v>
      </c>
      <c r="DG1931" s="1" t="s">
        <v>226</v>
      </c>
      <c r="DI1931" s="1" t="s">
        <v>10469</v>
      </c>
      <c r="DJ1931" s="1" t="s">
        <v>43</v>
      </c>
      <c r="DK1931" s="1" t="s">
        <v>220</v>
      </c>
      <c r="DS1931" s="1" t="s">
        <v>230</v>
      </c>
      <c r="DW1931" s="1" t="s">
        <v>230</v>
      </c>
      <c r="EA1931" s="1" t="s">
        <v>230</v>
      </c>
      <c r="EE1931" s="1" t="s">
        <v>230</v>
      </c>
      <c r="EI1931" s="1" t="s">
        <v>230</v>
      </c>
      <c r="EL1931" s="1" t="s">
        <v>231</v>
      </c>
      <c r="EM1931" s="1" t="s">
        <v>761</v>
      </c>
      <c r="EN1931" s="1" t="s">
        <v>282</v>
      </c>
      <c r="EO1931" s="1" t="s">
        <v>234</v>
      </c>
      <c r="EQ1931" s="1" t="s">
        <v>468</v>
      </c>
      <c r="ER1931" s="1" t="s">
        <v>544</v>
      </c>
      <c r="ES1931" s="1" t="s">
        <v>545</v>
      </c>
      <c r="EU1931" s="1" t="s">
        <v>3377</v>
      </c>
      <c r="EV1931" s="1" t="s">
        <v>324</v>
      </c>
      <c r="EW1931" s="1" t="s">
        <v>1250</v>
      </c>
      <c r="EZ1931" s="1" t="s">
        <v>287</v>
      </c>
      <c r="FA1931" s="1" t="s">
        <v>17764</v>
      </c>
      <c r="FD1931" s="1" t="s">
        <v>495</v>
      </c>
      <c r="FE1931" s="1" t="s">
        <v>549</v>
      </c>
      <c r="FF1931" s="1" t="s">
        <v>248</v>
      </c>
      <c r="FH1931" s="1" t="s">
        <v>825</v>
      </c>
      <c r="FI1931" s="1" t="s">
        <v>473</v>
      </c>
      <c r="FL1931" s="1" t="s">
        <v>358</v>
      </c>
      <c r="FM1931" s="1" t="s">
        <v>252</v>
      </c>
      <c r="FN1931" s="1" t="s">
        <v>213</v>
      </c>
      <c r="FO1931" s="1" t="s">
        <v>213</v>
      </c>
      <c r="FQ1931" s="1" t="s">
        <v>253</v>
      </c>
      <c r="FR1931" s="1" t="s">
        <v>210</v>
      </c>
      <c r="FS1931" s="1" t="s">
        <v>14592</v>
      </c>
      <c r="FT1931" s="1" t="s">
        <v>691</v>
      </c>
      <c r="FU1931" s="1" t="s">
        <v>204</v>
      </c>
      <c r="FW1931" s="1" t="s">
        <v>1637</v>
      </c>
      <c r="FX1931" s="1">
        <v>2626</v>
      </c>
      <c r="FY1931" s="1" t="s">
        <v>1638</v>
      </c>
      <c r="FZ1931" s="1" t="s">
        <v>14593</v>
      </c>
      <c r="GA1931" s="1">
        <v>16373</v>
      </c>
      <c r="GB1931" s="1" t="s">
        <v>14594</v>
      </c>
      <c r="GD1931" s="1" t="s">
        <v>14595</v>
      </c>
      <c r="GE1931" s="1" t="s">
        <v>210</v>
      </c>
      <c r="GI1931" s="1" t="s">
        <v>213</v>
      </c>
      <c r="GJ1931" s="1" t="s">
        <v>260</v>
      </c>
      <c r="GK1931" s="1" t="s">
        <v>210</v>
      </c>
      <c r="GL1931" s="2">
        <v>42055</v>
      </c>
      <c r="GM1931" s="1" t="s">
        <v>17765</v>
      </c>
    </row>
    <row r="1932" spans="1:195">
      <c r="A1932" s="1">
        <v>11001</v>
      </c>
      <c r="B1932" s="1" t="s">
        <v>195</v>
      </c>
      <c r="C1932" s="1" t="str">
        <f>"08726548"</f>
        <v>08726548</v>
      </c>
      <c r="D1932" s="1" t="s">
        <v>196</v>
      </c>
      <c r="F1932" s="1" t="str">
        <f>"2104"</f>
        <v>2104</v>
      </c>
      <c r="G1932" s="2">
        <v>41894</v>
      </c>
      <c r="H1932" s="1">
        <v>21900</v>
      </c>
      <c r="I1932" s="1">
        <v>21900</v>
      </c>
      <c r="J1932" s="1">
        <v>11001</v>
      </c>
      <c r="K1932" s="2">
        <v>41894</v>
      </c>
      <c r="L1932" s="1">
        <v>50</v>
      </c>
      <c r="M1932" s="2">
        <v>41943</v>
      </c>
      <c r="N1932" s="1">
        <v>50</v>
      </c>
      <c r="O1932" s="2">
        <v>41943</v>
      </c>
      <c r="P1932" s="1">
        <v>15693</v>
      </c>
      <c r="Q1932" s="1" t="s">
        <v>302</v>
      </c>
      <c r="R1932" s="2">
        <v>42024</v>
      </c>
      <c r="S1932" s="1">
        <v>113511</v>
      </c>
      <c r="U1932" s="1">
        <v>3600</v>
      </c>
      <c r="V1932" s="1" t="s">
        <v>1061</v>
      </c>
      <c r="W1932" s="1" t="s">
        <v>425</v>
      </c>
      <c r="X1932" s="1" t="s">
        <v>17766</v>
      </c>
      <c r="Y1932" s="1">
        <v>5</v>
      </c>
      <c r="Z1932" s="1" t="s">
        <v>249</v>
      </c>
      <c r="AA1932" s="1" t="s">
        <v>3029</v>
      </c>
      <c r="AB1932" s="1">
        <v>60104</v>
      </c>
      <c r="AE1932" s="1" t="s">
        <v>12692</v>
      </c>
      <c r="AF1932" s="1">
        <v>1965</v>
      </c>
      <c r="AG1932" s="1" t="s">
        <v>213</v>
      </c>
      <c r="AH1932" s="1" t="s">
        <v>3031</v>
      </c>
      <c r="AI1932" s="1" t="s">
        <v>310</v>
      </c>
      <c r="AJ1932" s="1" t="s">
        <v>429</v>
      </c>
      <c r="AL1932" s="1">
        <v>4</v>
      </c>
      <c r="AM1932" s="1">
        <v>2</v>
      </c>
      <c r="AN1932" s="1">
        <v>1</v>
      </c>
      <c r="AO1932" s="1">
        <v>0</v>
      </c>
      <c r="AP1932" s="1" t="s">
        <v>210</v>
      </c>
      <c r="AR1932" s="1" t="s">
        <v>210</v>
      </c>
      <c r="AS1932" s="1" t="s">
        <v>204</v>
      </c>
      <c r="AT1932" s="1" t="s">
        <v>210</v>
      </c>
      <c r="AW1932" s="1" t="s">
        <v>204</v>
      </c>
      <c r="AX1932" s="1">
        <v>0</v>
      </c>
      <c r="AZ1932" s="1">
        <v>2000</v>
      </c>
      <c r="BA1932" s="1">
        <v>2012</v>
      </c>
      <c r="BE1932" s="1">
        <v>750</v>
      </c>
      <c r="BF1932" s="1">
        <v>1</v>
      </c>
      <c r="BG1932" s="1">
        <v>0</v>
      </c>
      <c r="BL1932" s="1">
        <v>0</v>
      </c>
      <c r="BM1932" s="1" t="s">
        <v>204</v>
      </c>
      <c r="BN1932" s="1" t="s">
        <v>213</v>
      </c>
      <c r="BO1932" s="1">
        <v>0</v>
      </c>
      <c r="BP1932" s="1" t="s">
        <v>204</v>
      </c>
      <c r="BR1932" s="1" t="str">
        <f>"15093211481004"</f>
        <v>15093211481004</v>
      </c>
      <c r="BT1932" s="1" t="s">
        <v>17767</v>
      </c>
      <c r="BX1932" s="1">
        <v>88</v>
      </c>
      <c r="BY1932" s="1">
        <v>88</v>
      </c>
      <c r="BZ1932" s="1">
        <v>209</v>
      </c>
      <c r="CB1932" s="1" t="str">
        <f t="shared" ref="CB1932:CC1932" si="1472">""</f>
        <v/>
      </c>
      <c r="CC1932" s="1" t="str">
        <f t="shared" si="1472"/>
        <v/>
      </c>
      <c r="CD1932" s="1">
        <v>13</v>
      </c>
      <c r="CG1932" s="1" t="s">
        <v>538</v>
      </c>
      <c r="CH1932" s="1" t="s">
        <v>219</v>
      </c>
      <c r="CK1932" s="1" t="s">
        <v>378</v>
      </c>
      <c r="CL1932" s="1" t="s">
        <v>219</v>
      </c>
      <c r="CP1932" s="1" t="s">
        <v>224</v>
      </c>
      <c r="CS1932" s="1" t="s">
        <v>465</v>
      </c>
      <c r="CT1932" s="1" t="s">
        <v>219</v>
      </c>
      <c r="CX1932" s="1" t="s">
        <v>224</v>
      </c>
      <c r="DB1932" s="1" t="s">
        <v>224</v>
      </c>
      <c r="DE1932" s="1" t="s">
        <v>757</v>
      </c>
      <c r="DF1932" s="1" t="s">
        <v>219</v>
      </c>
      <c r="DJ1932" s="1" t="s">
        <v>224</v>
      </c>
      <c r="DS1932" s="1" t="s">
        <v>230</v>
      </c>
      <c r="DW1932" s="1" t="s">
        <v>230</v>
      </c>
      <c r="EA1932" s="1" t="s">
        <v>230</v>
      </c>
      <c r="EE1932" s="1" t="s">
        <v>230</v>
      </c>
      <c r="EI1932" s="1" t="s">
        <v>230</v>
      </c>
      <c r="EL1932" s="1" t="s">
        <v>605</v>
      </c>
      <c r="EM1932" s="1" t="s">
        <v>319</v>
      </c>
      <c r="EN1932" s="1" t="s">
        <v>210</v>
      </c>
      <c r="EO1932" s="1" t="s">
        <v>234</v>
      </c>
      <c r="ER1932" s="1" t="s">
        <v>210</v>
      </c>
      <c r="EW1932" s="1" t="s">
        <v>210</v>
      </c>
      <c r="EZ1932" s="1" t="s">
        <v>287</v>
      </c>
      <c r="FD1932" s="1" t="s">
        <v>246</v>
      </c>
      <c r="FE1932" s="1" t="s">
        <v>247</v>
      </c>
      <c r="FF1932" s="1" t="s">
        <v>248</v>
      </c>
      <c r="FH1932" s="1" t="s">
        <v>249</v>
      </c>
      <c r="FL1932" s="1" t="s">
        <v>810</v>
      </c>
      <c r="FM1932" s="1" t="s">
        <v>252</v>
      </c>
      <c r="FN1932" s="1" t="s">
        <v>204</v>
      </c>
      <c r="FO1932" s="1" t="s">
        <v>213</v>
      </c>
      <c r="FQ1932" s="1" t="s">
        <v>17768</v>
      </c>
      <c r="FR1932" s="1" t="s">
        <v>210</v>
      </c>
      <c r="FS1932" s="1" t="s">
        <v>17769</v>
      </c>
      <c r="FT1932" s="1" t="s">
        <v>17770</v>
      </c>
      <c r="FU1932" s="1" t="s">
        <v>204</v>
      </c>
      <c r="FW1932" s="1" t="s">
        <v>2563</v>
      </c>
      <c r="FX1932" s="1">
        <v>24093</v>
      </c>
      <c r="FY1932" s="1" t="s">
        <v>2564</v>
      </c>
      <c r="FZ1932" s="1" t="s">
        <v>17771</v>
      </c>
      <c r="GA1932" s="1">
        <v>224640</v>
      </c>
      <c r="GB1932" s="1" t="s">
        <v>17772</v>
      </c>
      <c r="GE1932" s="1" t="s">
        <v>210</v>
      </c>
      <c r="GI1932" s="1" t="s">
        <v>204</v>
      </c>
      <c r="GJ1932" s="1" t="s">
        <v>260</v>
      </c>
      <c r="GK1932" s="1" t="s">
        <v>210</v>
      </c>
      <c r="GL1932" s="2">
        <v>42025</v>
      </c>
      <c r="GM1932" s="1" t="s">
        <v>17773</v>
      </c>
    </row>
    <row r="1933" spans="1:195">
      <c r="A1933" s="1">
        <v>53000</v>
      </c>
      <c r="B1933" s="1" t="s">
        <v>195</v>
      </c>
      <c r="C1933" s="1" t="str">
        <f>"08726623"</f>
        <v>08726623</v>
      </c>
      <c r="D1933" s="1" t="s">
        <v>196</v>
      </c>
      <c r="F1933" s="1" t="str">
        <f>"107"</f>
        <v>107</v>
      </c>
      <c r="G1933" s="2">
        <v>41894</v>
      </c>
      <c r="H1933" s="1">
        <v>44900</v>
      </c>
      <c r="I1933" s="1">
        <v>44900</v>
      </c>
      <c r="J1933" s="1">
        <v>53000</v>
      </c>
      <c r="K1933" s="2">
        <v>41894</v>
      </c>
      <c r="L1933" s="1">
        <v>12</v>
      </c>
      <c r="M1933" s="2">
        <v>41905</v>
      </c>
      <c r="N1933" s="1">
        <v>12</v>
      </c>
      <c r="O1933" s="2">
        <v>41905</v>
      </c>
      <c r="P1933" s="1">
        <v>25792</v>
      </c>
      <c r="Q1933" s="1" t="s">
        <v>302</v>
      </c>
      <c r="R1933" s="2">
        <v>41992</v>
      </c>
      <c r="S1933" s="1">
        <v>222669</v>
      </c>
      <c r="U1933" s="1">
        <v>1054</v>
      </c>
      <c r="V1933" s="1" t="s">
        <v>7829</v>
      </c>
      <c r="W1933" s="1" t="s">
        <v>304</v>
      </c>
      <c r="Y1933" s="1">
        <v>5</v>
      </c>
      <c r="Z1933" s="1" t="s">
        <v>370</v>
      </c>
      <c r="AA1933" s="1" t="s">
        <v>1211</v>
      </c>
      <c r="AB1933" s="1">
        <v>60107</v>
      </c>
      <c r="AD1933" s="1" t="s">
        <v>5383</v>
      </c>
      <c r="AE1933" s="1" t="s">
        <v>17774</v>
      </c>
      <c r="AF1933" s="1">
        <v>1965</v>
      </c>
      <c r="AG1933" s="1" t="s">
        <v>213</v>
      </c>
      <c r="AH1933" s="1" t="s">
        <v>1214</v>
      </c>
      <c r="AI1933" s="1" t="s">
        <v>310</v>
      </c>
      <c r="AJ1933" s="1" t="s">
        <v>374</v>
      </c>
      <c r="AL1933" s="1">
        <v>5</v>
      </c>
      <c r="AM1933" s="1">
        <v>2</v>
      </c>
      <c r="AN1933" s="1">
        <v>1</v>
      </c>
      <c r="AO1933" s="1">
        <v>1</v>
      </c>
      <c r="AP1933" s="1" t="s">
        <v>210</v>
      </c>
      <c r="AQ1933" s="1">
        <v>0</v>
      </c>
      <c r="AR1933" s="1" t="s">
        <v>209</v>
      </c>
      <c r="AS1933" s="1" t="s">
        <v>204</v>
      </c>
      <c r="AT1933" s="1" t="s">
        <v>271</v>
      </c>
      <c r="AV1933" s="1">
        <v>2</v>
      </c>
      <c r="AW1933" s="1" t="s">
        <v>204</v>
      </c>
      <c r="AX1933" s="1" t="s">
        <v>212</v>
      </c>
      <c r="AZ1933" s="1">
        <v>2712.32</v>
      </c>
      <c r="BA1933" s="1">
        <v>2013</v>
      </c>
      <c r="BB1933" s="1" t="s">
        <v>210</v>
      </c>
      <c r="BE1933" s="1">
        <v>900</v>
      </c>
      <c r="BF1933" s="1">
        <v>1</v>
      </c>
      <c r="BG1933" s="1">
        <v>0</v>
      </c>
      <c r="BL1933" s="1">
        <v>185</v>
      </c>
      <c r="BM1933" s="1" t="s">
        <v>204</v>
      </c>
      <c r="BN1933" s="1" t="s">
        <v>213</v>
      </c>
      <c r="BO1933" s="1">
        <v>99</v>
      </c>
      <c r="BP1933" s="1" t="s">
        <v>204</v>
      </c>
      <c r="BR1933" s="1" t="str">
        <f>"06274050280000"</f>
        <v>06274050280000</v>
      </c>
      <c r="BT1933" s="1" t="s">
        <v>17775</v>
      </c>
      <c r="BX1933" s="1">
        <v>46</v>
      </c>
      <c r="BY1933" s="1">
        <v>46</v>
      </c>
      <c r="BZ1933" s="1">
        <v>46</v>
      </c>
      <c r="CB1933" s="1" t="str">
        <f>"9"</f>
        <v>9</v>
      </c>
      <c r="CC1933" s="1" t="str">
        <f t="shared" ref="CC1933:CC1934" si="1473">"0"</f>
        <v>0</v>
      </c>
      <c r="CD1933" s="1">
        <v>28</v>
      </c>
      <c r="CE1933" s="1">
        <v>0</v>
      </c>
      <c r="CG1933" s="1" t="s">
        <v>1533</v>
      </c>
      <c r="CH1933" s="1" t="s">
        <v>219</v>
      </c>
      <c r="CK1933" s="1" t="s">
        <v>539</v>
      </c>
      <c r="CL1933" s="1" t="s">
        <v>277</v>
      </c>
      <c r="CP1933" s="1" t="s">
        <v>224</v>
      </c>
      <c r="CS1933" s="1" t="s">
        <v>318</v>
      </c>
      <c r="CT1933" s="1" t="s">
        <v>277</v>
      </c>
      <c r="CX1933" s="1" t="s">
        <v>224</v>
      </c>
      <c r="DB1933" s="1" t="s">
        <v>224</v>
      </c>
      <c r="DE1933" s="1" t="s">
        <v>378</v>
      </c>
      <c r="DF1933" s="1" t="s">
        <v>219</v>
      </c>
      <c r="DI1933" s="1" t="s">
        <v>1533</v>
      </c>
      <c r="DJ1933" s="1" t="s">
        <v>43</v>
      </c>
      <c r="DS1933" s="1" t="s">
        <v>230</v>
      </c>
      <c r="DW1933" s="1" t="s">
        <v>230</v>
      </c>
      <c r="EA1933" s="1" t="s">
        <v>230</v>
      </c>
      <c r="EE1933" s="1" t="s">
        <v>230</v>
      </c>
      <c r="EI1933" s="1" t="s">
        <v>230</v>
      </c>
      <c r="EL1933" s="1" t="s">
        <v>605</v>
      </c>
      <c r="EM1933" s="1" t="s">
        <v>319</v>
      </c>
      <c r="EN1933" s="1" t="s">
        <v>282</v>
      </c>
      <c r="EO1933" s="1" t="s">
        <v>234</v>
      </c>
      <c r="ER1933" s="1" t="s">
        <v>351</v>
      </c>
      <c r="EW1933" s="1" t="s">
        <v>867</v>
      </c>
      <c r="EZ1933" s="1" t="s">
        <v>287</v>
      </c>
      <c r="FD1933" s="1" t="s">
        <v>495</v>
      </c>
      <c r="FE1933" s="1" t="s">
        <v>651</v>
      </c>
      <c r="FF1933" s="1" t="s">
        <v>248</v>
      </c>
      <c r="FH1933" s="1" t="s">
        <v>550</v>
      </c>
      <c r="FK1933" s="1" t="s">
        <v>291</v>
      </c>
      <c r="FL1933" s="1" t="s">
        <v>358</v>
      </c>
      <c r="FM1933" s="1" t="s">
        <v>252</v>
      </c>
      <c r="FN1933" s="1" t="s">
        <v>213</v>
      </c>
      <c r="FO1933" s="1" t="s">
        <v>213</v>
      </c>
      <c r="FQ1933" s="1" t="s">
        <v>582</v>
      </c>
      <c r="FR1933" s="1" t="s">
        <v>210</v>
      </c>
      <c r="FS1933" s="1" t="s">
        <v>2844</v>
      </c>
      <c r="FT1933" s="1" t="s">
        <v>295</v>
      </c>
      <c r="FU1933" s="1" t="s">
        <v>204</v>
      </c>
      <c r="FW1933" s="1" t="s">
        <v>2845</v>
      </c>
      <c r="FX1933" s="1">
        <v>5293</v>
      </c>
      <c r="FY1933" s="1" t="s">
        <v>2846</v>
      </c>
      <c r="FZ1933" s="1" t="s">
        <v>2847</v>
      </c>
      <c r="GA1933" s="1">
        <v>53957</v>
      </c>
      <c r="GE1933" s="1" t="s">
        <v>480</v>
      </c>
      <c r="GI1933" s="1" t="s">
        <v>213</v>
      </c>
      <c r="GJ1933" s="1" t="s">
        <v>260</v>
      </c>
      <c r="GK1933" s="1" t="s">
        <v>210</v>
      </c>
      <c r="GL1933" s="2">
        <v>41992</v>
      </c>
      <c r="GM1933" s="1" t="s">
        <v>17776</v>
      </c>
    </row>
    <row r="1934" spans="1:195">
      <c r="A1934" s="1">
        <v>134250</v>
      </c>
      <c r="B1934" s="1" t="s">
        <v>195</v>
      </c>
      <c r="C1934" s="1" t="str">
        <f>"08726355"</f>
        <v>08726355</v>
      </c>
      <c r="D1934" s="1" t="s">
        <v>196</v>
      </c>
      <c r="F1934" s="1" t="str">
        <f>"139"</f>
        <v>139</v>
      </c>
      <c r="G1934" s="2">
        <v>41894</v>
      </c>
      <c r="H1934" s="1">
        <v>144500</v>
      </c>
      <c r="I1934" s="1">
        <v>139900</v>
      </c>
      <c r="J1934" s="1">
        <v>134250</v>
      </c>
      <c r="K1934" s="2">
        <v>41894</v>
      </c>
      <c r="L1934" s="1">
        <v>96</v>
      </c>
      <c r="M1934" s="2">
        <v>41953</v>
      </c>
      <c r="N1934" s="1">
        <v>60</v>
      </c>
      <c r="O1934" s="2">
        <v>41953</v>
      </c>
      <c r="P1934" s="1">
        <v>25005</v>
      </c>
      <c r="Q1934" s="1" t="s">
        <v>197</v>
      </c>
      <c r="R1934" s="2">
        <v>41992</v>
      </c>
      <c r="S1934" s="1">
        <v>236644</v>
      </c>
      <c r="U1934" s="1">
        <v>110</v>
      </c>
      <c r="V1934" s="1" t="s">
        <v>8536</v>
      </c>
      <c r="W1934" s="1" t="s">
        <v>264</v>
      </c>
      <c r="X1934" s="1">
        <v>110</v>
      </c>
      <c r="Y1934" s="1">
        <v>6</v>
      </c>
      <c r="Z1934" s="1" t="s">
        <v>370</v>
      </c>
      <c r="AA1934" s="1" t="s">
        <v>1732</v>
      </c>
      <c r="AB1934" s="1">
        <v>60139</v>
      </c>
      <c r="AD1934" s="1" t="s">
        <v>8696</v>
      </c>
      <c r="AE1934" s="1" t="s">
        <v>17777</v>
      </c>
      <c r="AF1934" s="1">
        <v>1987</v>
      </c>
      <c r="AG1934" s="1" t="s">
        <v>204</v>
      </c>
      <c r="AH1934" s="1" t="s">
        <v>1735</v>
      </c>
      <c r="AI1934" s="1" t="s">
        <v>206</v>
      </c>
      <c r="AJ1934" s="1" t="s">
        <v>269</v>
      </c>
      <c r="AK1934" s="1" t="s">
        <v>6170</v>
      </c>
      <c r="AL1934" s="1">
        <v>5</v>
      </c>
      <c r="AM1934" s="1">
        <v>2</v>
      </c>
      <c r="AN1934" s="1">
        <v>2</v>
      </c>
      <c r="AO1934" s="1">
        <v>1</v>
      </c>
      <c r="AP1934" s="1" t="s">
        <v>209</v>
      </c>
      <c r="AQ1934" s="1">
        <v>1</v>
      </c>
      <c r="AR1934" s="1" t="s">
        <v>210</v>
      </c>
      <c r="AS1934" s="1" t="s">
        <v>204</v>
      </c>
      <c r="AT1934" s="1" t="s">
        <v>211</v>
      </c>
      <c r="AU1934" s="1">
        <v>1</v>
      </c>
      <c r="AW1934" s="1" t="s">
        <v>204</v>
      </c>
      <c r="AX1934" s="1" t="s">
        <v>1813</v>
      </c>
      <c r="AZ1934" s="1">
        <v>4178</v>
      </c>
      <c r="BA1934" s="1">
        <v>2013</v>
      </c>
      <c r="BB1934" s="1" t="s">
        <v>405</v>
      </c>
      <c r="BE1934" s="1">
        <v>1010</v>
      </c>
      <c r="BF1934" s="1">
        <v>1</v>
      </c>
      <c r="BG1934" s="1">
        <v>0</v>
      </c>
      <c r="BL1934" s="1">
        <v>196</v>
      </c>
      <c r="BM1934" s="1" t="s">
        <v>204</v>
      </c>
      <c r="BN1934" s="1" t="s">
        <v>213</v>
      </c>
      <c r="BO1934" s="1">
        <v>0</v>
      </c>
      <c r="BP1934" s="1" t="s">
        <v>204</v>
      </c>
      <c r="BR1934" s="1" t="str">
        <f>"0233204234"</f>
        <v>0233204234</v>
      </c>
      <c r="BT1934" s="1" t="s">
        <v>17778</v>
      </c>
      <c r="BU1934" s="1" t="s">
        <v>7513</v>
      </c>
      <c r="BV1934" s="1" t="s">
        <v>3645</v>
      </c>
      <c r="BW1934" s="1" t="s">
        <v>2169</v>
      </c>
      <c r="BX1934" s="1">
        <v>16</v>
      </c>
      <c r="BY1934" s="1">
        <v>16</v>
      </c>
      <c r="BZ1934" s="1">
        <v>87</v>
      </c>
      <c r="CB1934" s="1" t="str">
        <f>"2"</f>
        <v>2</v>
      </c>
      <c r="CC1934" s="1" t="str">
        <f t="shared" si="1473"/>
        <v>0</v>
      </c>
      <c r="CD1934" s="1">
        <v>24</v>
      </c>
      <c r="CE1934" s="1">
        <v>0</v>
      </c>
      <c r="CG1934" s="1" t="s">
        <v>2070</v>
      </c>
      <c r="CH1934" s="1" t="s">
        <v>219</v>
      </c>
      <c r="CI1934" s="1" t="s">
        <v>220</v>
      </c>
      <c r="CK1934" s="1" t="s">
        <v>2170</v>
      </c>
      <c r="CL1934" s="1" t="s">
        <v>277</v>
      </c>
      <c r="CM1934" s="1" t="s">
        <v>220</v>
      </c>
      <c r="CO1934" s="1" t="s">
        <v>17779</v>
      </c>
      <c r="CP1934" s="1" t="s">
        <v>219</v>
      </c>
      <c r="CQ1934" s="1" t="s">
        <v>220</v>
      </c>
      <c r="CR1934" s="1" t="s">
        <v>210</v>
      </c>
      <c r="CS1934" s="1" t="s">
        <v>1469</v>
      </c>
      <c r="CT1934" s="1" t="s">
        <v>277</v>
      </c>
      <c r="CU1934" s="1" t="s">
        <v>220</v>
      </c>
      <c r="CX1934" s="1" t="s">
        <v>224</v>
      </c>
      <c r="DB1934" s="1" t="s">
        <v>224</v>
      </c>
      <c r="DE1934" s="1" t="s">
        <v>516</v>
      </c>
      <c r="DF1934" s="1" t="s">
        <v>219</v>
      </c>
      <c r="DG1934" s="1" t="s">
        <v>229</v>
      </c>
      <c r="DH1934" s="1" t="s">
        <v>210</v>
      </c>
      <c r="DJ1934" s="1" t="s">
        <v>224</v>
      </c>
      <c r="DS1934" s="1" t="s">
        <v>230</v>
      </c>
      <c r="DW1934" s="1" t="s">
        <v>230</v>
      </c>
      <c r="EA1934" s="1" t="s">
        <v>230</v>
      </c>
      <c r="EE1934" s="1" t="s">
        <v>230</v>
      </c>
      <c r="EI1934" s="1" t="s">
        <v>230</v>
      </c>
      <c r="EL1934" s="1" t="s">
        <v>542</v>
      </c>
      <c r="EM1934" s="1" t="s">
        <v>232</v>
      </c>
      <c r="EN1934" s="1" t="s">
        <v>282</v>
      </c>
      <c r="EO1934" s="1" t="s">
        <v>234</v>
      </c>
      <c r="EP1934" s="1" t="s">
        <v>17780</v>
      </c>
      <c r="EQ1934" s="1" t="s">
        <v>1094</v>
      </c>
      <c r="ER1934" s="1" t="s">
        <v>210</v>
      </c>
      <c r="ES1934" s="1" t="s">
        <v>493</v>
      </c>
      <c r="EU1934" s="1" t="s">
        <v>3377</v>
      </c>
      <c r="EV1934" s="1" t="s">
        <v>240</v>
      </c>
      <c r="EW1934" s="1" t="s">
        <v>12685</v>
      </c>
      <c r="EZ1934" s="1" t="s">
        <v>287</v>
      </c>
      <c r="FA1934" s="1" t="s">
        <v>471</v>
      </c>
      <c r="FB1934" s="1" t="s">
        <v>289</v>
      </c>
      <c r="FD1934" s="1" t="s">
        <v>495</v>
      </c>
      <c r="FE1934" s="1" t="s">
        <v>975</v>
      </c>
      <c r="FF1934" s="1" t="s">
        <v>248</v>
      </c>
      <c r="FG1934" s="1" t="s">
        <v>871</v>
      </c>
      <c r="FH1934" s="1" t="s">
        <v>550</v>
      </c>
      <c r="FI1934" s="1" t="s">
        <v>473</v>
      </c>
      <c r="FJ1934" s="1" t="s">
        <v>518</v>
      </c>
      <c r="FL1934" s="1" t="s">
        <v>414</v>
      </c>
      <c r="FM1934" s="1" t="s">
        <v>252</v>
      </c>
      <c r="FN1934" s="1" t="s">
        <v>213</v>
      </c>
      <c r="FO1934" s="1" t="s">
        <v>213</v>
      </c>
      <c r="FQ1934" s="1" t="s">
        <v>1599</v>
      </c>
      <c r="FR1934" s="1" t="s">
        <v>210</v>
      </c>
      <c r="FS1934" s="1" t="s">
        <v>17781</v>
      </c>
      <c r="FT1934" s="1" t="s">
        <v>295</v>
      </c>
      <c r="FU1934" s="1" t="s">
        <v>204</v>
      </c>
      <c r="FW1934" s="1" t="s">
        <v>17782</v>
      </c>
      <c r="FX1934" s="1">
        <v>23848</v>
      </c>
      <c r="FY1934" s="1" t="s">
        <v>17783</v>
      </c>
      <c r="FZ1934" s="1" t="s">
        <v>17784</v>
      </c>
      <c r="GA1934" s="1">
        <v>235098</v>
      </c>
      <c r="GB1934" s="1" t="s">
        <v>17785</v>
      </c>
      <c r="GE1934" s="1" t="s">
        <v>210</v>
      </c>
      <c r="GI1934" s="1" t="s">
        <v>213</v>
      </c>
      <c r="GJ1934" s="1" t="s">
        <v>260</v>
      </c>
      <c r="GK1934" s="1" t="s">
        <v>210</v>
      </c>
      <c r="GL1934" s="2">
        <v>41992</v>
      </c>
      <c r="GM1934" s="1" t="s">
        <v>17786</v>
      </c>
    </row>
    <row r="1935" spans="1:195">
      <c r="A1935" s="1">
        <v>211000</v>
      </c>
      <c r="B1935" s="1" t="s">
        <v>195</v>
      </c>
      <c r="C1935" s="1" t="str">
        <f>"08752481"</f>
        <v>08752481</v>
      </c>
      <c r="D1935" s="1" t="s">
        <v>196</v>
      </c>
      <c r="F1935" s="1" t="str">
        <f>"154"</f>
        <v>154</v>
      </c>
      <c r="G1935" s="2">
        <v>41926</v>
      </c>
      <c r="H1935" s="1">
        <v>210000</v>
      </c>
      <c r="I1935" s="1">
        <v>210000</v>
      </c>
      <c r="J1935" s="1">
        <v>211000</v>
      </c>
      <c r="K1935" s="2">
        <v>41926</v>
      </c>
      <c r="L1935" s="1">
        <v>154</v>
      </c>
      <c r="M1935" s="2">
        <v>42079</v>
      </c>
      <c r="N1935" s="1">
        <v>154</v>
      </c>
      <c r="O1935" s="2">
        <v>42079</v>
      </c>
      <c r="P1935" s="1">
        <v>22375</v>
      </c>
      <c r="Q1935" s="1" t="s">
        <v>197</v>
      </c>
      <c r="R1935" s="2">
        <v>42121</v>
      </c>
      <c r="S1935" s="1">
        <v>217196</v>
      </c>
      <c r="U1935" s="1">
        <v>11144</v>
      </c>
      <c r="V1935" s="1" t="s">
        <v>17787</v>
      </c>
      <c r="W1935" s="1" t="s">
        <v>304</v>
      </c>
      <c r="Y1935" s="1">
        <v>4</v>
      </c>
      <c r="Z1935" s="1" t="s">
        <v>370</v>
      </c>
      <c r="AA1935" s="1" t="s">
        <v>1190</v>
      </c>
      <c r="AB1935" s="1">
        <v>60154</v>
      </c>
      <c r="AD1935" s="1" t="s">
        <v>4727</v>
      </c>
      <c r="AE1935" s="1" t="s">
        <v>17788</v>
      </c>
      <c r="AF1935" s="1">
        <v>1985</v>
      </c>
      <c r="AG1935" s="1" t="s">
        <v>204</v>
      </c>
      <c r="AH1935" s="1" t="s">
        <v>1193</v>
      </c>
      <c r="AI1935" s="1" t="s">
        <v>310</v>
      </c>
      <c r="AJ1935" s="1" t="s">
        <v>429</v>
      </c>
      <c r="AK1935" s="1" t="s">
        <v>6170</v>
      </c>
      <c r="AL1935" s="1">
        <v>6</v>
      </c>
      <c r="AM1935" s="1">
        <v>2</v>
      </c>
      <c r="AN1935" s="1">
        <v>2</v>
      </c>
      <c r="AO1935" s="1">
        <v>0</v>
      </c>
      <c r="AP1935" s="1" t="s">
        <v>455</v>
      </c>
      <c r="AQ1935" s="1">
        <v>1</v>
      </c>
      <c r="AR1935" s="1" t="s">
        <v>209</v>
      </c>
      <c r="AS1935" s="1" t="s">
        <v>204</v>
      </c>
      <c r="AT1935" s="1" t="s">
        <v>211</v>
      </c>
      <c r="AU1935" s="1">
        <v>1</v>
      </c>
      <c r="AW1935" s="1" t="s">
        <v>204</v>
      </c>
      <c r="AX1935" s="1" t="s">
        <v>17789</v>
      </c>
      <c r="AZ1935" s="1">
        <v>5091.4799999999996</v>
      </c>
      <c r="BA1935" s="1">
        <v>2013</v>
      </c>
      <c r="BE1935" s="1">
        <v>0</v>
      </c>
      <c r="BF1935" s="1">
        <v>1</v>
      </c>
      <c r="BG1935" s="1">
        <v>30</v>
      </c>
      <c r="BL1935" s="1">
        <v>140</v>
      </c>
      <c r="BM1935" s="1" t="s">
        <v>204</v>
      </c>
      <c r="BN1935" s="1" t="s">
        <v>213</v>
      </c>
      <c r="BO1935" s="1">
        <v>999</v>
      </c>
      <c r="BP1935" s="1" t="s">
        <v>204</v>
      </c>
      <c r="BR1935" s="1" t="str">
        <f>"15293180010000"</f>
        <v>15293180010000</v>
      </c>
      <c r="BT1935" s="1" t="s">
        <v>17790</v>
      </c>
      <c r="BU1935" s="1" t="s">
        <v>1198</v>
      </c>
      <c r="BV1935" s="1" t="s">
        <v>1196</v>
      </c>
      <c r="BW1935" s="1" t="s">
        <v>1197</v>
      </c>
      <c r="BX1935" s="1">
        <v>92.5</v>
      </c>
      <c r="BY1935" s="1">
        <v>92.5</v>
      </c>
      <c r="BZ1935" s="1">
        <v>209</v>
      </c>
      <c r="CB1935" s="1" t="str">
        <f t="shared" ref="CB1935:CC1935" si="1474">""</f>
        <v/>
      </c>
      <c r="CC1935" s="1" t="str">
        <f t="shared" si="1474"/>
        <v/>
      </c>
      <c r="CG1935" s="1" t="s">
        <v>228</v>
      </c>
      <c r="CH1935" s="1" t="s">
        <v>219</v>
      </c>
      <c r="CI1935" s="1" t="s">
        <v>229</v>
      </c>
      <c r="CK1935" s="1" t="s">
        <v>932</v>
      </c>
      <c r="CL1935" s="1" t="s">
        <v>277</v>
      </c>
      <c r="CM1935" s="1" t="s">
        <v>229</v>
      </c>
      <c r="CO1935" s="1" t="s">
        <v>758</v>
      </c>
      <c r="CP1935" s="1" t="s">
        <v>219</v>
      </c>
      <c r="CQ1935" s="1" t="s">
        <v>229</v>
      </c>
      <c r="CS1935" s="1" t="s">
        <v>461</v>
      </c>
      <c r="CT1935" s="1" t="s">
        <v>219</v>
      </c>
      <c r="CU1935" s="1" t="s">
        <v>220</v>
      </c>
      <c r="CX1935" s="1" t="s">
        <v>224</v>
      </c>
      <c r="DB1935" s="1" t="s">
        <v>224</v>
      </c>
      <c r="DE1935" s="1" t="s">
        <v>317</v>
      </c>
      <c r="DF1935" s="1" t="s">
        <v>219</v>
      </c>
      <c r="DG1935" s="1" t="s">
        <v>229</v>
      </c>
      <c r="DJ1935" s="1" t="s">
        <v>224</v>
      </c>
      <c r="DM1935" s="1" t="s">
        <v>2450</v>
      </c>
      <c r="DN1935" s="1" t="s">
        <v>464</v>
      </c>
      <c r="DR1935" s="1" t="s">
        <v>1919</v>
      </c>
      <c r="DS1935" s="1" t="s">
        <v>219</v>
      </c>
      <c r="DT1935" s="1" t="s">
        <v>342</v>
      </c>
      <c r="DV1935" s="1" t="s">
        <v>1425</v>
      </c>
      <c r="DW1935" s="1" t="s">
        <v>277</v>
      </c>
      <c r="DX1935" s="1" t="s">
        <v>229</v>
      </c>
      <c r="EA1935" s="1" t="s">
        <v>230</v>
      </c>
      <c r="EE1935" s="1" t="s">
        <v>230</v>
      </c>
      <c r="EI1935" s="1" t="s">
        <v>230</v>
      </c>
      <c r="EL1935" s="1" t="s">
        <v>542</v>
      </c>
      <c r="EM1935" s="1" t="s">
        <v>232</v>
      </c>
      <c r="EN1935" s="1" t="s">
        <v>282</v>
      </c>
      <c r="EO1935" s="1" t="s">
        <v>234</v>
      </c>
      <c r="EQ1935" s="1" t="s">
        <v>1094</v>
      </c>
      <c r="ER1935" s="1" t="s">
        <v>1249</v>
      </c>
      <c r="ES1935" s="1" t="s">
        <v>322</v>
      </c>
      <c r="ET1935" s="1" t="s">
        <v>323</v>
      </c>
      <c r="EW1935" s="1" t="s">
        <v>547</v>
      </c>
      <c r="EZ1935" s="1" t="s">
        <v>17791</v>
      </c>
      <c r="FD1935" s="1" t="s">
        <v>246</v>
      </c>
      <c r="FE1935" s="1" t="s">
        <v>651</v>
      </c>
      <c r="FF1935" s="1" t="s">
        <v>248</v>
      </c>
      <c r="FH1935" s="1" t="s">
        <v>550</v>
      </c>
      <c r="FL1935" s="1" t="s">
        <v>358</v>
      </c>
      <c r="FM1935" s="1" t="s">
        <v>252</v>
      </c>
      <c r="FN1935" s="1" t="s">
        <v>213</v>
      </c>
      <c r="FO1935" s="1" t="s">
        <v>213</v>
      </c>
      <c r="FQ1935" s="1" t="s">
        <v>913</v>
      </c>
      <c r="FR1935" s="1" t="s">
        <v>652</v>
      </c>
      <c r="FS1935" s="1" t="s">
        <v>17101</v>
      </c>
      <c r="FT1935" s="1" t="s">
        <v>362</v>
      </c>
      <c r="FU1935" s="1" t="s">
        <v>204</v>
      </c>
      <c r="FW1935" s="1" t="s">
        <v>915</v>
      </c>
      <c r="FX1935" s="1">
        <v>22205</v>
      </c>
      <c r="FY1935" s="1" t="s">
        <v>2484</v>
      </c>
      <c r="FZ1935" s="1" t="s">
        <v>17102</v>
      </c>
      <c r="GA1935" s="1">
        <v>243904</v>
      </c>
      <c r="GB1935" s="1" t="s">
        <v>17103</v>
      </c>
      <c r="GE1935" s="1" t="s">
        <v>210</v>
      </c>
      <c r="GI1935" s="1" t="s">
        <v>204</v>
      </c>
      <c r="GJ1935" s="1" t="s">
        <v>260</v>
      </c>
      <c r="GK1935" s="1" t="s">
        <v>210</v>
      </c>
      <c r="GL1935" s="2">
        <v>42123</v>
      </c>
      <c r="GM1935" s="1" t="s">
        <v>17792</v>
      </c>
    </row>
    <row r="1936" spans="1:195">
      <c r="A1936" s="1">
        <v>368500</v>
      </c>
      <c r="B1936" s="1" t="s">
        <v>195</v>
      </c>
      <c r="C1936" s="1" t="str">
        <f>"08731165"</f>
        <v>08731165</v>
      </c>
      <c r="D1936" s="1" t="s">
        <v>196</v>
      </c>
      <c r="F1936" s="1" t="str">
        <f>"101"</f>
        <v>101</v>
      </c>
      <c r="G1936" s="2">
        <v>41899</v>
      </c>
      <c r="H1936" s="1">
        <v>409900</v>
      </c>
      <c r="I1936" s="1">
        <v>389999</v>
      </c>
      <c r="J1936" s="1">
        <v>368500</v>
      </c>
      <c r="K1936" s="2">
        <v>41899</v>
      </c>
      <c r="L1936" s="1">
        <v>171</v>
      </c>
      <c r="M1936" s="2">
        <v>41989</v>
      </c>
      <c r="N1936" s="1">
        <v>171</v>
      </c>
      <c r="O1936" s="2">
        <v>41989</v>
      </c>
      <c r="P1936" s="1">
        <v>1109</v>
      </c>
      <c r="Q1936" s="1" t="s">
        <v>197</v>
      </c>
      <c r="R1936" s="2">
        <v>42067</v>
      </c>
      <c r="S1936" s="1">
        <v>89704</v>
      </c>
      <c r="U1936" s="1">
        <v>2453</v>
      </c>
      <c r="V1936" s="1" t="s">
        <v>14180</v>
      </c>
      <c r="W1936" s="1" t="s">
        <v>304</v>
      </c>
      <c r="X1936" s="1">
        <v>16</v>
      </c>
      <c r="Y1936" s="1">
        <v>4</v>
      </c>
      <c r="Z1936" s="1" t="s">
        <v>370</v>
      </c>
      <c r="AA1936" s="1" t="s">
        <v>2631</v>
      </c>
      <c r="AB1936" s="1">
        <v>60101</v>
      </c>
      <c r="AE1936" s="1" t="s">
        <v>17793</v>
      </c>
      <c r="AF1936" s="1">
        <v>2007</v>
      </c>
      <c r="AG1936" s="1" t="s">
        <v>204</v>
      </c>
      <c r="AH1936" s="1" t="s">
        <v>1233</v>
      </c>
      <c r="AI1936" s="1" t="s">
        <v>206</v>
      </c>
      <c r="AJ1936" s="1" t="s">
        <v>1233</v>
      </c>
      <c r="AK1936" s="1" t="s">
        <v>17794</v>
      </c>
      <c r="AL1936" s="1">
        <v>6</v>
      </c>
      <c r="AM1936" s="1">
        <v>2</v>
      </c>
      <c r="AN1936" s="1">
        <v>2</v>
      </c>
      <c r="AO1936" s="1">
        <v>1</v>
      </c>
      <c r="AP1936" s="1" t="s">
        <v>209</v>
      </c>
      <c r="AQ1936" s="1">
        <v>0</v>
      </c>
      <c r="AR1936" s="1" t="s">
        <v>209</v>
      </c>
      <c r="AS1936" s="1" t="s">
        <v>204</v>
      </c>
      <c r="AT1936" s="1" t="s">
        <v>211</v>
      </c>
      <c r="AU1936" s="1">
        <v>2</v>
      </c>
      <c r="AW1936" s="1" t="s">
        <v>204</v>
      </c>
      <c r="AX1936" s="1" t="s">
        <v>1813</v>
      </c>
      <c r="AZ1936" s="1">
        <v>9106</v>
      </c>
      <c r="BA1936" s="1">
        <v>2013</v>
      </c>
      <c r="BB1936" s="1" t="s">
        <v>405</v>
      </c>
      <c r="BE1936" s="1">
        <v>2280</v>
      </c>
      <c r="BF1936" s="1">
        <v>1</v>
      </c>
      <c r="BG1936" s="1">
        <v>0</v>
      </c>
      <c r="BJ1936" s="1">
        <v>100</v>
      </c>
      <c r="BL1936" s="1">
        <v>170</v>
      </c>
      <c r="BM1936" s="1" t="s">
        <v>204</v>
      </c>
      <c r="BN1936" s="1" t="s">
        <v>213</v>
      </c>
      <c r="BO1936" s="1">
        <v>500</v>
      </c>
      <c r="BP1936" s="1" t="s">
        <v>204</v>
      </c>
      <c r="BR1936" s="1" t="str">
        <f>"0213302065"</f>
        <v>0213302065</v>
      </c>
      <c r="BT1936" s="1" t="s">
        <v>17795</v>
      </c>
      <c r="BX1936" s="1">
        <v>13</v>
      </c>
      <c r="BY1936" s="1">
        <v>13</v>
      </c>
      <c r="BZ1936" s="1">
        <v>108</v>
      </c>
      <c r="CB1936" s="1" t="str">
        <f>"6"</f>
        <v>6</v>
      </c>
      <c r="CC1936" s="1" t="str">
        <f>"0"</f>
        <v>0</v>
      </c>
      <c r="CD1936" s="1">
        <v>23</v>
      </c>
      <c r="CE1936" s="1">
        <v>0</v>
      </c>
      <c r="CG1936" s="1" t="s">
        <v>2121</v>
      </c>
      <c r="CH1936" s="1" t="s">
        <v>219</v>
      </c>
      <c r="CI1936" s="1" t="s">
        <v>229</v>
      </c>
      <c r="CK1936" s="1" t="s">
        <v>648</v>
      </c>
      <c r="CL1936" s="1" t="s">
        <v>277</v>
      </c>
      <c r="CM1936" s="1" t="s">
        <v>220</v>
      </c>
      <c r="CO1936" s="1" t="s">
        <v>490</v>
      </c>
      <c r="CP1936" s="1" t="s">
        <v>219</v>
      </c>
      <c r="CQ1936" s="1" t="s">
        <v>229</v>
      </c>
      <c r="CS1936" s="1" t="s">
        <v>462</v>
      </c>
      <c r="CT1936" s="1" t="s">
        <v>277</v>
      </c>
      <c r="CU1936" s="1" t="s">
        <v>220</v>
      </c>
      <c r="CX1936" s="1" t="s">
        <v>224</v>
      </c>
      <c r="DB1936" s="1" t="s">
        <v>224</v>
      </c>
      <c r="DE1936" s="1" t="s">
        <v>461</v>
      </c>
      <c r="DF1936" s="1" t="s">
        <v>219</v>
      </c>
      <c r="DG1936" s="1" t="s">
        <v>15003</v>
      </c>
      <c r="DH1936" s="1" t="s">
        <v>210</v>
      </c>
      <c r="DJ1936" s="1" t="s">
        <v>224</v>
      </c>
      <c r="DM1936" s="1" t="s">
        <v>464</v>
      </c>
      <c r="DR1936" s="1" t="s">
        <v>461</v>
      </c>
      <c r="DS1936" s="1" t="s">
        <v>277</v>
      </c>
      <c r="DT1936" s="1" t="s">
        <v>220</v>
      </c>
      <c r="DW1936" s="1" t="s">
        <v>230</v>
      </c>
      <c r="EA1936" s="1" t="s">
        <v>230</v>
      </c>
      <c r="EE1936" s="1" t="s">
        <v>230</v>
      </c>
      <c r="EI1936" s="1" t="s">
        <v>230</v>
      </c>
      <c r="EL1936" s="1" t="s">
        <v>491</v>
      </c>
      <c r="EM1936" s="1" t="s">
        <v>319</v>
      </c>
      <c r="EN1936" s="1" t="s">
        <v>282</v>
      </c>
      <c r="EO1936" s="1" t="s">
        <v>1020</v>
      </c>
      <c r="EP1936" s="1" t="s">
        <v>650</v>
      </c>
      <c r="ER1936" s="1" t="s">
        <v>2453</v>
      </c>
      <c r="ET1936" s="1" t="s">
        <v>1201</v>
      </c>
      <c r="EU1936" s="1" t="s">
        <v>610</v>
      </c>
      <c r="EW1936" s="1" t="s">
        <v>17796</v>
      </c>
      <c r="EY1936" s="1" t="s">
        <v>1315</v>
      </c>
      <c r="EZ1936" s="1" t="s">
        <v>464</v>
      </c>
      <c r="FA1936" s="1" t="s">
        <v>17797</v>
      </c>
      <c r="FD1936" s="1" t="s">
        <v>246</v>
      </c>
      <c r="FE1936" s="1" t="s">
        <v>5428</v>
      </c>
      <c r="FF1936" s="1" t="s">
        <v>248</v>
      </c>
      <c r="FH1936" s="1" t="s">
        <v>550</v>
      </c>
      <c r="FI1936" s="1" t="s">
        <v>473</v>
      </c>
      <c r="FL1936" s="1" t="s">
        <v>810</v>
      </c>
      <c r="FM1936" s="1" t="s">
        <v>252</v>
      </c>
      <c r="FN1936" s="1" t="s">
        <v>213</v>
      </c>
      <c r="FO1936" s="1" t="s">
        <v>213</v>
      </c>
      <c r="FQ1936" s="1" t="s">
        <v>1599</v>
      </c>
      <c r="FR1936" s="1" t="s">
        <v>210</v>
      </c>
      <c r="FS1936" s="1" t="s">
        <v>17798</v>
      </c>
      <c r="FT1936" s="1" t="s">
        <v>17799</v>
      </c>
      <c r="FU1936" s="1" t="s">
        <v>204</v>
      </c>
      <c r="FW1936" s="1" t="s">
        <v>2726</v>
      </c>
      <c r="FX1936" s="1">
        <v>1109</v>
      </c>
      <c r="FY1936" s="1" t="s">
        <v>2727</v>
      </c>
      <c r="FZ1936" s="1" t="s">
        <v>15366</v>
      </c>
      <c r="GA1936" s="1">
        <v>89704</v>
      </c>
      <c r="GB1936" s="1" t="s">
        <v>15367</v>
      </c>
      <c r="GC1936" s="1">
        <v>28904</v>
      </c>
      <c r="GE1936" s="1" t="s">
        <v>210</v>
      </c>
      <c r="GI1936" s="1" t="s">
        <v>213</v>
      </c>
      <c r="GJ1936" s="1" t="s">
        <v>260</v>
      </c>
      <c r="GK1936" s="1" t="s">
        <v>261</v>
      </c>
      <c r="GL1936" s="2">
        <v>42069</v>
      </c>
    </row>
    <row r="1937" spans="1:195">
      <c r="A1937" s="1">
        <v>110000</v>
      </c>
      <c r="B1937" s="1" t="s">
        <v>195</v>
      </c>
      <c r="C1937" s="1" t="str">
        <f>"08728166"</f>
        <v>08728166</v>
      </c>
      <c r="D1937" s="1" t="s">
        <v>196</v>
      </c>
      <c r="F1937" s="1" t="str">
        <f>"543"</f>
        <v>543</v>
      </c>
      <c r="G1937" s="2">
        <v>41897</v>
      </c>
      <c r="H1937" s="1">
        <v>119900</v>
      </c>
      <c r="I1937" s="1">
        <v>108900</v>
      </c>
      <c r="J1937" s="1">
        <v>110000</v>
      </c>
      <c r="K1937" s="2">
        <v>41897</v>
      </c>
      <c r="L1937" s="1">
        <v>45</v>
      </c>
      <c r="M1937" s="2">
        <v>41941</v>
      </c>
      <c r="N1937" s="1">
        <v>45</v>
      </c>
      <c r="O1937" s="2">
        <v>41941</v>
      </c>
      <c r="P1937" s="1">
        <v>349</v>
      </c>
      <c r="Q1937" s="1" t="s">
        <v>197</v>
      </c>
      <c r="R1937" s="2">
        <v>41981</v>
      </c>
      <c r="S1937" s="1">
        <v>8808</v>
      </c>
      <c r="T1937" s="1">
        <v>3150</v>
      </c>
      <c r="U1937" s="1">
        <v>349</v>
      </c>
      <c r="V1937" s="1" t="s">
        <v>17800</v>
      </c>
      <c r="W1937" s="1" t="s">
        <v>526</v>
      </c>
      <c r="Y1937" s="1">
        <v>5</v>
      </c>
      <c r="Z1937" s="1" t="s">
        <v>370</v>
      </c>
      <c r="AA1937" s="1" t="s">
        <v>2639</v>
      </c>
      <c r="AB1937" s="1">
        <v>60543</v>
      </c>
      <c r="AE1937" s="1" t="s">
        <v>17801</v>
      </c>
      <c r="AF1937" s="1">
        <v>2005</v>
      </c>
      <c r="AG1937" s="1" t="s">
        <v>204</v>
      </c>
      <c r="AH1937" s="1" t="s">
        <v>1397</v>
      </c>
      <c r="AI1937" s="1" t="s">
        <v>453</v>
      </c>
      <c r="AJ1937" s="1" t="s">
        <v>1397</v>
      </c>
      <c r="AL1937" s="1">
        <v>6</v>
      </c>
      <c r="AM1937" s="1">
        <v>2</v>
      </c>
      <c r="AN1937" s="1">
        <v>2</v>
      </c>
      <c r="AO1937" s="1">
        <v>1</v>
      </c>
      <c r="AP1937" s="1" t="s">
        <v>209</v>
      </c>
      <c r="AQ1937" s="1">
        <v>1</v>
      </c>
      <c r="AR1937" s="1" t="s">
        <v>210</v>
      </c>
      <c r="AS1937" s="1" t="s">
        <v>204</v>
      </c>
      <c r="AT1937" s="1" t="s">
        <v>211</v>
      </c>
      <c r="AU1937" s="1">
        <v>2</v>
      </c>
      <c r="AW1937" s="1" t="s">
        <v>204</v>
      </c>
      <c r="AX1937" s="1" t="s">
        <v>212</v>
      </c>
      <c r="AZ1937" s="1">
        <v>4318</v>
      </c>
      <c r="BA1937" s="1">
        <v>2013</v>
      </c>
      <c r="BB1937" s="1" t="s">
        <v>405</v>
      </c>
      <c r="BE1937" s="1">
        <v>1600</v>
      </c>
      <c r="BF1937" s="1">
        <v>1</v>
      </c>
      <c r="BG1937" s="1">
        <v>0</v>
      </c>
      <c r="BL1937" s="1">
        <v>168</v>
      </c>
      <c r="BM1937" s="1" t="s">
        <v>204</v>
      </c>
      <c r="BN1937" s="1" t="s">
        <v>213</v>
      </c>
      <c r="BO1937" s="1">
        <v>150</v>
      </c>
      <c r="BP1937" s="1" t="s">
        <v>204</v>
      </c>
      <c r="BR1937" s="1" t="str">
        <f>"0201360035"</f>
        <v>0201360035</v>
      </c>
      <c r="BT1937" s="1" t="s">
        <v>17802</v>
      </c>
      <c r="BX1937" s="1">
        <v>308</v>
      </c>
      <c r="BY1937" s="1">
        <v>308</v>
      </c>
      <c r="BZ1937" s="1">
        <v>308</v>
      </c>
      <c r="CB1937" s="1" t="str">
        <f t="shared" ref="CB1937:CC1937" si="1475">""</f>
        <v/>
      </c>
      <c r="CC1937" s="1" t="str">
        <f t="shared" si="1475"/>
        <v/>
      </c>
      <c r="CG1937" s="1" t="s">
        <v>602</v>
      </c>
      <c r="CH1937" s="1" t="s">
        <v>219</v>
      </c>
      <c r="CK1937" s="1" t="s">
        <v>538</v>
      </c>
      <c r="CL1937" s="1" t="s">
        <v>277</v>
      </c>
      <c r="CO1937" s="1" t="s">
        <v>318</v>
      </c>
      <c r="CP1937" s="1" t="s">
        <v>219</v>
      </c>
      <c r="CS1937" s="1" t="s">
        <v>379</v>
      </c>
      <c r="CT1937" s="1" t="s">
        <v>277</v>
      </c>
      <c r="CX1937" s="1" t="s">
        <v>224</v>
      </c>
      <c r="DB1937" s="1" t="s">
        <v>224</v>
      </c>
      <c r="DE1937" s="1" t="s">
        <v>380</v>
      </c>
      <c r="DF1937" s="1" t="s">
        <v>219</v>
      </c>
      <c r="DJ1937" s="1" t="s">
        <v>224</v>
      </c>
      <c r="DM1937" s="1" t="s">
        <v>464</v>
      </c>
      <c r="DR1937" s="1" t="s">
        <v>602</v>
      </c>
      <c r="DS1937" s="1" t="s">
        <v>277</v>
      </c>
      <c r="DW1937" s="1" t="s">
        <v>230</v>
      </c>
      <c r="EA1937" s="1" t="s">
        <v>230</v>
      </c>
      <c r="EE1937" s="1" t="s">
        <v>230</v>
      </c>
      <c r="EI1937" s="1" t="s">
        <v>230</v>
      </c>
      <c r="EL1937" s="1" t="s">
        <v>491</v>
      </c>
      <c r="EM1937" s="1" t="s">
        <v>319</v>
      </c>
      <c r="EN1937" s="1" t="s">
        <v>282</v>
      </c>
      <c r="EO1937" s="1" t="s">
        <v>234</v>
      </c>
      <c r="EQ1937" s="1" t="s">
        <v>5566</v>
      </c>
      <c r="ER1937" s="1" t="s">
        <v>383</v>
      </c>
      <c r="EW1937" s="1" t="s">
        <v>867</v>
      </c>
      <c r="EZ1937" s="1" t="s">
        <v>464</v>
      </c>
      <c r="FD1937" s="1" t="s">
        <v>246</v>
      </c>
      <c r="FE1937" s="1" t="s">
        <v>472</v>
      </c>
      <c r="FF1937" s="1" t="s">
        <v>248</v>
      </c>
      <c r="FG1937" s="1" t="s">
        <v>912</v>
      </c>
      <c r="FH1937" s="1" t="s">
        <v>550</v>
      </c>
      <c r="FL1937" s="1" t="s">
        <v>414</v>
      </c>
      <c r="FM1937" s="1" t="s">
        <v>252</v>
      </c>
      <c r="FN1937" s="1" t="s">
        <v>213</v>
      </c>
      <c r="FO1937" s="1" t="s">
        <v>213</v>
      </c>
      <c r="FQ1937" s="1" t="s">
        <v>582</v>
      </c>
      <c r="FR1937" s="1" t="s">
        <v>210</v>
      </c>
      <c r="FS1937" s="1" t="s">
        <v>1347</v>
      </c>
      <c r="FT1937" s="1" t="s">
        <v>17803</v>
      </c>
      <c r="FU1937" s="1" t="s">
        <v>204</v>
      </c>
      <c r="FW1937" s="1" t="s">
        <v>1348</v>
      </c>
      <c r="FX1937" s="1">
        <v>83</v>
      </c>
      <c r="FY1937" s="1" t="s">
        <v>1349</v>
      </c>
      <c r="FZ1937" s="1" t="s">
        <v>1350</v>
      </c>
      <c r="GA1937" s="1">
        <v>287</v>
      </c>
      <c r="GB1937" s="1" t="s">
        <v>1351</v>
      </c>
      <c r="GE1937" s="1" t="s">
        <v>210</v>
      </c>
      <c r="GI1937" s="1" t="s">
        <v>213</v>
      </c>
      <c r="GJ1937" s="1" t="s">
        <v>260</v>
      </c>
      <c r="GK1937" s="1" t="s">
        <v>261</v>
      </c>
      <c r="GL1937" s="2">
        <v>41982</v>
      </c>
      <c r="GM1937" s="1" t="s">
        <v>17804</v>
      </c>
    </row>
    <row r="1938" spans="1:195">
      <c r="A1938" s="1">
        <v>118000</v>
      </c>
      <c r="B1938" s="1" t="s">
        <v>195</v>
      </c>
      <c r="C1938" s="1" t="str">
        <f>"08728555"</f>
        <v>08728555</v>
      </c>
      <c r="D1938" s="1" t="s">
        <v>196</v>
      </c>
      <c r="F1938" s="1" t="str">
        <f>"126"</f>
        <v>126</v>
      </c>
      <c r="G1938" s="2">
        <v>41897</v>
      </c>
      <c r="H1938" s="1">
        <v>125000</v>
      </c>
      <c r="I1938" s="1">
        <v>125000</v>
      </c>
      <c r="J1938" s="1">
        <v>118000</v>
      </c>
      <c r="K1938" s="2">
        <v>41894</v>
      </c>
      <c r="L1938" s="1">
        <v>131</v>
      </c>
      <c r="M1938" s="2">
        <v>42024</v>
      </c>
      <c r="N1938" s="1">
        <v>131</v>
      </c>
      <c r="O1938" s="2">
        <v>42024</v>
      </c>
      <c r="P1938" s="1">
        <v>24330</v>
      </c>
      <c r="Q1938" s="1" t="s">
        <v>197</v>
      </c>
      <c r="R1938" s="2">
        <v>42076</v>
      </c>
      <c r="S1938" s="1">
        <v>242384</v>
      </c>
      <c r="U1938" s="1">
        <v>197</v>
      </c>
      <c r="V1938" s="1" t="s">
        <v>17805</v>
      </c>
      <c r="W1938" s="1" t="s">
        <v>425</v>
      </c>
      <c r="X1938" s="1">
        <v>304</v>
      </c>
      <c r="Y1938" s="1">
        <v>32</v>
      </c>
      <c r="Z1938" s="1" t="s">
        <v>249</v>
      </c>
      <c r="AA1938" s="1" t="s">
        <v>3169</v>
      </c>
      <c r="AB1938" s="1">
        <v>60126</v>
      </c>
      <c r="AE1938" s="1" t="s">
        <v>17806</v>
      </c>
      <c r="AF1938" s="1">
        <v>1976</v>
      </c>
      <c r="AG1938" s="1" t="s">
        <v>213</v>
      </c>
      <c r="AH1938" s="1" t="s">
        <v>3172</v>
      </c>
      <c r="AI1938" s="1" t="s">
        <v>206</v>
      </c>
      <c r="AJ1938" s="1" t="s">
        <v>1608</v>
      </c>
      <c r="AL1938" s="1">
        <v>5</v>
      </c>
      <c r="AM1938" s="1">
        <v>2</v>
      </c>
      <c r="AN1938" s="1">
        <v>1</v>
      </c>
      <c r="AO1938" s="1">
        <v>1</v>
      </c>
      <c r="AP1938" s="1" t="s">
        <v>1234</v>
      </c>
      <c r="AR1938" s="1" t="s">
        <v>210</v>
      </c>
      <c r="AT1938" s="1" t="s">
        <v>271</v>
      </c>
      <c r="AV1938" s="1">
        <v>2</v>
      </c>
      <c r="AW1938" s="1" t="s">
        <v>204</v>
      </c>
      <c r="AX1938" s="1" t="s">
        <v>212</v>
      </c>
      <c r="AZ1938" s="1">
        <v>2778</v>
      </c>
      <c r="BA1938" s="1">
        <v>2013</v>
      </c>
      <c r="BB1938" s="1" t="s">
        <v>405</v>
      </c>
      <c r="BE1938" s="1">
        <v>870</v>
      </c>
      <c r="BF1938" s="1">
        <v>3</v>
      </c>
      <c r="BG1938" s="1">
        <v>0</v>
      </c>
      <c r="BL1938" s="1">
        <v>210</v>
      </c>
      <c r="BM1938" s="1" t="s">
        <v>204</v>
      </c>
      <c r="BN1938" s="1" t="s">
        <v>213</v>
      </c>
      <c r="BO1938" s="1">
        <v>999</v>
      </c>
      <c r="BP1938" s="1" t="s">
        <v>204</v>
      </c>
      <c r="BR1938" s="1" t="str">
        <f>"0335217016"</f>
        <v>0335217016</v>
      </c>
      <c r="BT1938" s="1" t="s">
        <v>17807</v>
      </c>
      <c r="BU1938" s="1" t="s">
        <v>17808</v>
      </c>
      <c r="BV1938" s="1" t="s">
        <v>5584</v>
      </c>
      <c r="BW1938" s="1" t="s">
        <v>3176</v>
      </c>
      <c r="BX1938" s="1">
        <v>205</v>
      </c>
      <c r="BY1938" s="1">
        <v>205</v>
      </c>
      <c r="BZ1938" s="1">
        <v>205</v>
      </c>
      <c r="CB1938" s="1" t="str">
        <f t="shared" ref="CB1938:CC1938" si="1476">""</f>
        <v/>
      </c>
      <c r="CC1938" s="1" t="str">
        <f t="shared" si="1476"/>
        <v/>
      </c>
      <c r="CG1938" s="1" t="s">
        <v>729</v>
      </c>
      <c r="CH1938" s="1" t="s">
        <v>784</v>
      </c>
      <c r="CJ1938" s="1" t="s">
        <v>210</v>
      </c>
      <c r="CK1938" s="1" t="s">
        <v>1403</v>
      </c>
      <c r="CL1938" s="1" t="s">
        <v>784</v>
      </c>
      <c r="CM1938" s="1" t="s">
        <v>220</v>
      </c>
      <c r="CN1938" s="1" t="s">
        <v>210</v>
      </c>
      <c r="CO1938" s="1" t="s">
        <v>837</v>
      </c>
      <c r="CP1938" s="1" t="s">
        <v>784</v>
      </c>
      <c r="CQ1938" s="1" t="s">
        <v>220</v>
      </c>
      <c r="CR1938" s="1" t="s">
        <v>210</v>
      </c>
      <c r="CS1938" s="1" t="s">
        <v>379</v>
      </c>
      <c r="CT1938" s="1" t="s">
        <v>784</v>
      </c>
      <c r="CU1938" s="1" t="s">
        <v>220</v>
      </c>
      <c r="CV1938" s="1" t="s">
        <v>210</v>
      </c>
      <c r="CX1938" s="1" t="s">
        <v>224</v>
      </c>
      <c r="DB1938" s="1" t="s">
        <v>224</v>
      </c>
      <c r="DE1938" s="1" t="s">
        <v>1046</v>
      </c>
      <c r="DF1938" s="1" t="s">
        <v>784</v>
      </c>
      <c r="DG1938" s="1" t="s">
        <v>226</v>
      </c>
      <c r="DJ1938" s="1" t="s">
        <v>224</v>
      </c>
      <c r="DS1938" s="1" t="s">
        <v>230</v>
      </c>
      <c r="DW1938" s="1" t="s">
        <v>230</v>
      </c>
      <c r="EA1938" s="1" t="s">
        <v>230</v>
      </c>
      <c r="EE1938" s="1" t="s">
        <v>230</v>
      </c>
      <c r="EI1938" s="1" t="s">
        <v>230</v>
      </c>
      <c r="EL1938" s="1" t="s">
        <v>231</v>
      </c>
      <c r="EM1938" s="1" t="s">
        <v>232</v>
      </c>
      <c r="EN1938" s="1" t="s">
        <v>282</v>
      </c>
      <c r="EO1938" s="1" t="s">
        <v>234</v>
      </c>
      <c r="EP1938" s="1" t="s">
        <v>17809</v>
      </c>
      <c r="EQ1938" s="1" t="s">
        <v>1109</v>
      </c>
      <c r="ER1938" s="1" t="s">
        <v>210</v>
      </c>
      <c r="ES1938" s="1" t="s">
        <v>322</v>
      </c>
      <c r="EV1938" s="1" t="s">
        <v>352</v>
      </c>
      <c r="EW1938" s="1" t="s">
        <v>17810</v>
      </c>
      <c r="EZ1938" s="1" t="s">
        <v>287</v>
      </c>
      <c r="FB1938" s="1" t="s">
        <v>734</v>
      </c>
      <c r="FD1938" s="1" t="s">
        <v>736</v>
      </c>
      <c r="FE1938" s="1" t="s">
        <v>247</v>
      </c>
      <c r="FF1938" s="1" t="s">
        <v>248</v>
      </c>
      <c r="FH1938" s="1" t="s">
        <v>249</v>
      </c>
      <c r="FK1938" s="1" t="s">
        <v>17811</v>
      </c>
      <c r="FL1938" s="1" t="s">
        <v>1073</v>
      </c>
      <c r="FM1938" s="1" t="s">
        <v>252</v>
      </c>
      <c r="FN1938" s="1" t="s">
        <v>213</v>
      </c>
      <c r="FO1938" s="1" t="s">
        <v>213</v>
      </c>
      <c r="FQ1938" s="1" t="s">
        <v>3616</v>
      </c>
      <c r="FR1938" s="1" t="s">
        <v>210</v>
      </c>
      <c r="FS1938" s="1" t="s">
        <v>17812</v>
      </c>
      <c r="FT1938" s="1" t="s">
        <v>362</v>
      </c>
      <c r="FU1938" s="1" t="s">
        <v>204</v>
      </c>
      <c r="FW1938" s="1" t="s">
        <v>3328</v>
      </c>
      <c r="FX1938" s="1">
        <v>24330</v>
      </c>
      <c r="FY1938" s="1" t="s">
        <v>3329</v>
      </c>
      <c r="FZ1938" s="1" t="s">
        <v>17813</v>
      </c>
      <c r="GA1938" s="1">
        <v>245802</v>
      </c>
      <c r="GB1938" s="1" t="s">
        <v>17814</v>
      </c>
      <c r="GC1938" s="1">
        <v>242281</v>
      </c>
      <c r="GE1938" s="1" t="s">
        <v>776</v>
      </c>
      <c r="GH1938" s="1" t="s">
        <v>589</v>
      </c>
      <c r="GI1938" s="1" t="s">
        <v>204</v>
      </c>
      <c r="GJ1938" s="1" t="s">
        <v>260</v>
      </c>
      <c r="GK1938" s="1" t="s">
        <v>210</v>
      </c>
      <c r="GL1938" s="2">
        <v>42077</v>
      </c>
      <c r="GM1938" s="1" t="s">
        <v>10144</v>
      </c>
    </row>
    <row r="1939" spans="1:195">
      <c r="A1939" s="1">
        <v>319000</v>
      </c>
      <c r="B1939" s="1" t="s">
        <v>195</v>
      </c>
      <c r="C1939" s="1" t="str">
        <f>"08729938"</f>
        <v>08729938</v>
      </c>
      <c r="D1939" s="1" t="s">
        <v>196</v>
      </c>
      <c r="F1939" s="1" t="str">
        <f>"540"</f>
        <v>540</v>
      </c>
      <c r="G1939" s="2">
        <v>41898</v>
      </c>
      <c r="H1939" s="1">
        <v>329900</v>
      </c>
      <c r="I1939" s="1">
        <v>327500</v>
      </c>
      <c r="J1939" s="1">
        <v>319000</v>
      </c>
      <c r="K1939" s="2">
        <v>41898</v>
      </c>
      <c r="L1939" s="1">
        <v>190</v>
      </c>
      <c r="M1939" s="2">
        <v>41977</v>
      </c>
      <c r="N1939" s="1">
        <v>80</v>
      </c>
      <c r="O1939" s="2">
        <v>41977</v>
      </c>
      <c r="P1939" s="1">
        <v>21324</v>
      </c>
      <c r="Q1939" s="1" t="s">
        <v>302</v>
      </c>
      <c r="R1939" s="2">
        <v>42009</v>
      </c>
      <c r="S1939" s="1">
        <v>234654</v>
      </c>
      <c r="U1939" s="1">
        <v>511</v>
      </c>
      <c r="V1939" s="1" t="s">
        <v>1126</v>
      </c>
      <c r="W1939" s="1" t="s">
        <v>425</v>
      </c>
      <c r="X1939" s="1">
        <v>304</v>
      </c>
      <c r="Y1939" s="1">
        <v>120</v>
      </c>
      <c r="Z1939" s="1" t="s">
        <v>249</v>
      </c>
      <c r="AA1939" s="1" t="s">
        <v>921</v>
      </c>
      <c r="AB1939" s="1">
        <v>60540</v>
      </c>
      <c r="AD1939" s="1" t="s">
        <v>4486</v>
      </c>
      <c r="AE1939" s="1" t="s">
        <v>4487</v>
      </c>
      <c r="AF1939" s="1">
        <v>1986</v>
      </c>
      <c r="AG1939" s="1" t="s">
        <v>204</v>
      </c>
      <c r="AH1939" s="1" t="s">
        <v>924</v>
      </c>
      <c r="AI1939" s="1" t="s">
        <v>206</v>
      </c>
      <c r="AJ1939" s="1" t="s">
        <v>924</v>
      </c>
      <c r="AK1939" s="1" t="s">
        <v>4488</v>
      </c>
      <c r="AL1939" s="1">
        <v>5</v>
      </c>
      <c r="AM1939" s="1">
        <v>2</v>
      </c>
      <c r="AN1939" s="1">
        <v>2</v>
      </c>
      <c r="AO1939" s="1">
        <v>0</v>
      </c>
      <c r="AP1939" s="1" t="s">
        <v>209</v>
      </c>
      <c r="AQ1939" s="1">
        <v>1</v>
      </c>
      <c r="AR1939" s="1" t="s">
        <v>210</v>
      </c>
      <c r="AT1939" s="1" t="s">
        <v>211</v>
      </c>
      <c r="AU1939" s="1">
        <v>1</v>
      </c>
      <c r="AW1939" s="1" t="s">
        <v>213</v>
      </c>
      <c r="AX1939" s="1" t="s">
        <v>212</v>
      </c>
      <c r="AZ1939" s="1">
        <v>5191</v>
      </c>
      <c r="BA1939" s="1">
        <v>2013</v>
      </c>
      <c r="BB1939" s="1" t="s">
        <v>405</v>
      </c>
      <c r="BE1939" s="1">
        <v>1192</v>
      </c>
      <c r="BF1939" s="1">
        <v>3</v>
      </c>
      <c r="BG1939" s="1">
        <v>0</v>
      </c>
      <c r="BL1939" s="1">
        <v>594</v>
      </c>
      <c r="BM1939" s="1" t="s">
        <v>204</v>
      </c>
      <c r="BN1939" s="1" t="s">
        <v>213</v>
      </c>
      <c r="BP1939" s="1" t="s">
        <v>204</v>
      </c>
      <c r="BR1939" s="1" t="str">
        <f>"0724124044"</f>
        <v>0724124044</v>
      </c>
      <c r="BT1939" s="1" t="s">
        <v>17815</v>
      </c>
      <c r="BU1939" s="1" t="s">
        <v>928</v>
      </c>
      <c r="BV1939" s="1" t="s">
        <v>929</v>
      </c>
      <c r="BW1939" s="1" t="s">
        <v>930</v>
      </c>
      <c r="BX1939" s="1">
        <v>203</v>
      </c>
      <c r="BY1939" s="1">
        <v>203</v>
      </c>
      <c r="BZ1939" s="1">
        <v>203</v>
      </c>
      <c r="CB1939" s="1" t="str">
        <f t="shared" ref="CB1939:CC1939" si="1477">"0"</f>
        <v>0</v>
      </c>
      <c r="CC1939" s="1" t="str">
        <f t="shared" si="1477"/>
        <v>0</v>
      </c>
      <c r="CD1939" s="1">
        <v>27</v>
      </c>
      <c r="CE1939" s="1">
        <v>7</v>
      </c>
      <c r="CG1939" s="1" t="s">
        <v>861</v>
      </c>
      <c r="CH1939" s="1" t="s">
        <v>219</v>
      </c>
      <c r="CI1939" s="1" t="s">
        <v>220</v>
      </c>
      <c r="CJ1939" s="1" t="s">
        <v>343</v>
      </c>
      <c r="CK1939" s="1" t="s">
        <v>221</v>
      </c>
      <c r="CL1939" s="1" t="s">
        <v>219</v>
      </c>
      <c r="CM1939" s="1" t="s">
        <v>220</v>
      </c>
      <c r="CN1939" s="1" t="s">
        <v>343</v>
      </c>
      <c r="CO1939" s="1" t="s">
        <v>316</v>
      </c>
      <c r="CP1939" s="1" t="s">
        <v>219</v>
      </c>
      <c r="CQ1939" s="1" t="s">
        <v>220</v>
      </c>
      <c r="CR1939" s="1" t="s">
        <v>343</v>
      </c>
      <c r="CS1939" s="1" t="s">
        <v>1046</v>
      </c>
      <c r="CT1939" s="1" t="s">
        <v>219</v>
      </c>
      <c r="CU1939" s="1" t="s">
        <v>220</v>
      </c>
      <c r="CV1939" s="1" t="s">
        <v>343</v>
      </c>
      <c r="CX1939" s="1" t="s">
        <v>224</v>
      </c>
      <c r="DB1939" s="1" t="s">
        <v>224</v>
      </c>
      <c r="DE1939" s="1" t="s">
        <v>2031</v>
      </c>
      <c r="DF1939" s="1" t="s">
        <v>219</v>
      </c>
      <c r="DG1939" s="1" t="s">
        <v>226</v>
      </c>
      <c r="DH1939" s="1" t="s">
        <v>210</v>
      </c>
      <c r="DJ1939" s="1" t="s">
        <v>224</v>
      </c>
      <c r="DS1939" s="1" t="s">
        <v>230</v>
      </c>
      <c r="DW1939" s="1" t="s">
        <v>230</v>
      </c>
      <c r="EA1939" s="1" t="s">
        <v>230</v>
      </c>
      <c r="EE1939" s="1" t="s">
        <v>230</v>
      </c>
      <c r="EI1939" s="1" t="s">
        <v>230</v>
      </c>
      <c r="EL1939" s="1" t="s">
        <v>542</v>
      </c>
      <c r="EM1939" s="1" t="s">
        <v>232</v>
      </c>
      <c r="EN1939" s="1" t="s">
        <v>282</v>
      </c>
      <c r="EO1939" s="1" t="s">
        <v>234</v>
      </c>
      <c r="EP1939" s="1" t="s">
        <v>4490</v>
      </c>
      <c r="EQ1939" s="1" t="s">
        <v>236</v>
      </c>
      <c r="ER1939" s="1" t="s">
        <v>210</v>
      </c>
      <c r="ES1939" s="1" t="s">
        <v>545</v>
      </c>
      <c r="EU1939" s="1" t="s">
        <v>17816</v>
      </c>
      <c r="EV1939" s="1" t="s">
        <v>240</v>
      </c>
      <c r="EW1939" s="1" t="s">
        <v>17817</v>
      </c>
      <c r="EY1939" s="1" t="s">
        <v>242</v>
      </c>
      <c r="EZ1939" s="1" t="s">
        <v>287</v>
      </c>
      <c r="FA1939" s="1" t="s">
        <v>4493</v>
      </c>
      <c r="FB1939" s="1" t="s">
        <v>4494</v>
      </c>
      <c r="FD1939" s="1" t="s">
        <v>4003</v>
      </c>
      <c r="FE1939" s="1" t="s">
        <v>247</v>
      </c>
      <c r="FF1939" s="1" t="s">
        <v>387</v>
      </c>
      <c r="FG1939" s="1" t="s">
        <v>939</v>
      </c>
      <c r="FH1939" s="1" t="s">
        <v>1942</v>
      </c>
      <c r="FI1939" s="1" t="s">
        <v>3300</v>
      </c>
      <c r="FL1939" s="1" t="s">
        <v>1907</v>
      </c>
      <c r="FM1939" s="1" t="s">
        <v>252</v>
      </c>
      <c r="FN1939" s="1" t="s">
        <v>213</v>
      </c>
      <c r="FO1939" s="1" t="s">
        <v>213</v>
      </c>
      <c r="FQ1939" s="1" t="s">
        <v>293</v>
      </c>
      <c r="FR1939" s="1" t="s">
        <v>210</v>
      </c>
      <c r="FS1939" s="1" t="s">
        <v>17818</v>
      </c>
      <c r="FT1939" s="1" t="s">
        <v>2589</v>
      </c>
      <c r="FU1939" s="1" t="s">
        <v>204</v>
      </c>
      <c r="FW1939" s="1" t="s">
        <v>3890</v>
      </c>
      <c r="FX1939" s="1">
        <v>21927</v>
      </c>
      <c r="FY1939" s="1" t="s">
        <v>3891</v>
      </c>
      <c r="FZ1939" s="1" t="s">
        <v>3892</v>
      </c>
      <c r="GA1939" s="1">
        <v>220029</v>
      </c>
      <c r="GB1939" s="1" t="s">
        <v>3893</v>
      </c>
      <c r="GE1939" s="1" t="s">
        <v>335</v>
      </c>
      <c r="GI1939" s="1" t="s">
        <v>213</v>
      </c>
      <c r="GJ1939" s="1" t="s">
        <v>260</v>
      </c>
      <c r="GK1939" s="1" t="s">
        <v>210</v>
      </c>
      <c r="GL1939" s="2">
        <v>42010</v>
      </c>
    </row>
    <row r="1940" spans="1:195">
      <c r="A1940" s="1">
        <v>161900</v>
      </c>
      <c r="B1940" s="1" t="s">
        <v>195</v>
      </c>
      <c r="C1940" s="1" t="str">
        <f>"08728773"</f>
        <v>08728773</v>
      </c>
      <c r="D1940" s="1" t="s">
        <v>196</v>
      </c>
      <c r="F1940" s="1" t="str">
        <f>"164"</f>
        <v>164</v>
      </c>
      <c r="G1940" s="2">
        <v>41897</v>
      </c>
      <c r="H1940" s="1">
        <v>165900</v>
      </c>
      <c r="I1940" s="1">
        <v>165900</v>
      </c>
      <c r="J1940" s="1">
        <v>161900</v>
      </c>
      <c r="K1940" s="2">
        <v>41897</v>
      </c>
      <c r="L1940" s="1">
        <v>52</v>
      </c>
      <c r="M1940" s="2">
        <v>41948</v>
      </c>
      <c r="N1940" s="1">
        <v>52</v>
      </c>
      <c r="O1940" s="2">
        <v>41948</v>
      </c>
      <c r="P1940" s="1">
        <v>7032</v>
      </c>
      <c r="Q1940" s="1" t="s">
        <v>423</v>
      </c>
      <c r="R1940" s="2">
        <v>41983</v>
      </c>
      <c r="S1940" s="1">
        <v>8659</v>
      </c>
      <c r="U1940" s="1">
        <v>77</v>
      </c>
      <c r="V1940" s="1" t="s">
        <v>2489</v>
      </c>
      <c r="W1940" s="1" t="s">
        <v>1056</v>
      </c>
      <c r="X1940" s="1">
        <v>207</v>
      </c>
      <c r="Y1940" s="1">
        <v>60</v>
      </c>
      <c r="Z1940" s="1" t="s">
        <v>249</v>
      </c>
      <c r="AA1940" s="1" t="s">
        <v>5771</v>
      </c>
      <c r="AB1940" s="1">
        <v>60164</v>
      </c>
      <c r="AD1940" s="1" t="s">
        <v>10908</v>
      </c>
      <c r="AE1940" s="1" t="s">
        <v>17819</v>
      </c>
      <c r="AF1940" s="1">
        <v>2008</v>
      </c>
      <c r="AG1940" s="1" t="s">
        <v>204</v>
      </c>
      <c r="AH1940" s="1" t="s">
        <v>5773</v>
      </c>
      <c r="AI1940" s="1" t="s">
        <v>310</v>
      </c>
      <c r="AJ1940" s="1" t="s">
        <v>311</v>
      </c>
      <c r="AL1940" s="1">
        <v>5</v>
      </c>
      <c r="AM1940" s="1">
        <v>2</v>
      </c>
      <c r="AN1940" s="1">
        <v>2</v>
      </c>
      <c r="AO1940" s="1">
        <v>0</v>
      </c>
      <c r="AP1940" s="1" t="s">
        <v>209</v>
      </c>
      <c r="AR1940" s="1" t="s">
        <v>210</v>
      </c>
      <c r="AS1940" s="1" t="s">
        <v>204</v>
      </c>
      <c r="AT1940" s="1" t="s">
        <v>375</v>
      </c>
      <c r="AU1940" s="1">
        <v>1</v>
      </c>
      <c r="AV1940" s="1">
        <v>2</v>
      </c>
      <c r="AW1940" s="1" t="s">
        <v>204</v>
      </c>
      <c r="AX1940" s="1" t="s">
        <v>270</v>
      </c>
      <c r="AZ1940" s="1" t="s">
        <v>751</v>
      </c>
      <c r="BA1940" s="1">
        <v>2013</v>
      </c>
      <c r="BB1940" s="1" t="s">
        <v>210</v>
      </c>
      <c r="BE1940" s="1">
        <v>1336</v>
      </c>
      <c r="BF1940" s="1">
        <v>2</v>
      </c>
      <c r="BG1940" s="1">
        <v>0</v>
      </c>
      <c r="BL1940" s="1">
        <v>260</v>
      </c>
      <c r="BM1940" s="1" t="s">
        <v>204</v>
      </c>
      <c r="BN1940" s="1" t="s">
        <v>213</v>
      </c>
      <c r="BO1940" s="1">
        <v>50</v>
      </c>
      <c r="BP1940" s="1" t="s">
        <v>204</v>
      </c>
      <c r="BR1940" s="1" t="str">
        <f>"12323210201007"</f>
        <v>12323210201007</v>
      </c>
      <c r="BT1940" s="1" t="s">
        <v>17820</v>
      </c>
      <c r="BV1940" s="1" t="s">
        <v>2760</v>
      </c>
      <c r="BW1940" s="1" t="s">
        <v>5776</v>
      </c>
      <c r="BX1940" s="1">
        <v>87</v>
      </c>
      <c r="BY1940" s="1">
        <v>87</v>
      </c>
      <c r="BZ1940" s="1">
        <v>212</v>
      </c>
      <c r="CB1940" s="1" t="str">
        <f t="shared" ref="CB1940:CC1940" si="1478">""</f>
        <v/>
      </c>
      <c r="CC1940" s="1" t="str">
        <f t="shared" si="1478"/>
        <v/>
      </c>
      <c r="CG1940" s="1" t="s">
        <v>5931</v>
      </c>
      <c r="CH1940" s="1" t="s">
        <v>219</v>
      </c>
      <c r="CI1940" s="1" t="s">
        <v>220</v>
      </c>
      <c r="CJ1940" s="1" t="s">
        <v>210</v>
      </c>
      <c r="CK1940" s="1" t="s">
        <v>1403</v>
      </c>
      <c r="CL1940" s="1" t="s">
        <v>219</v>
      </c>
      <c r="CM1940" s="1" t="s">
        <v>220</v>
      </c>
      <c r="CO1940" s="1" t="s">
        <v>629</v>
      </c>
      <c r="CP1940" s="1" t="s">
        <v>219</v>
      </c>
      <c r="CS1940" s="1" t="s">
        <v>1046</v>
      </c>
      <c r="CT1940" s="1" t="s">
        <v>219</v>
      </c>
      <c r="CU1940" s="1" t="s">
        <v>220</v>
      </c>
      <c r="CX1940" s="1" t="s">
        <v>224</v>
      </c>
      <c r="DB1940" s="1" t="s">
        <v>224</v>
      </c>
      <c r="DE1940" s="1" t="s">
        <v>1107</v>
      </c>
      <c r="DF1940" s="1" t="s">
        <v>219</v>
      </c>
      <c r="DG1940" s="1" t="s">
        <v>342</v>
      </c>
      <c r="DJ1940" s="1" t="s">
        <v>224</v>
      </c>
      <c r="DM1940" s="1" t="s">
        <v>1771</v>
      </c>
      <c r="DN1940" s="1" t="s">
        <v>838</v>
      </c>
      <c r="DR1940" s="1" t="s">
        <v>412</v>
      </c>
      <c r="DS1940" s="1" t="s">
        <v>219</v>
      </c>
      <c r="DV1940" s="1" t="s">
        <v>8909</v>
      </c>
      <c r="DW1940" s="1" t="s">
        <v>219</v>
      </c>
      <c r="EA1940" s="1" t="s">
        <v>230</v>
      </c>
      <c r="EE1940" s="1" t="s">
        <v>230</v>
      </c>
      <c r="EI1940" s="1" t="s">
        <v>230</v>
      </c>
      <c r="EL1940" s="1" t="s">
        <v>491</v>
      </c>
      <c r="EM1940" s="1" t="s">
        <v>319</v>
      </c>
      <c r="EN1940" s="1" t="s">
        <v>282</v>
      </c>
      <c r="EO1940" s="1" t="s">
        <v>234</v>
      </c>
      <c r="EP1940" s="1" t="s">
        <v>6681</v>
      </c>
      <c r="ER1940" s="1" t="s">
        <v>210</v>
      </c>
      <c r="ET1940" s="1" t="s">
        <v>866</v>
      </c>
      <c r="EW1940" s="1" t="s">
        <v>17821</v>
      </c>
      <c r="EZ1940" s="1" t="s">
        <v>1941</v>
      </c>
      <c r="FB1940" s="1" t="s">
        <v>289</v>
      </c>
      <c r="FC1940" s="1" t="s">
        <v>1386</v>
      </c>
      <c r="FD1940" s="1" t="s">
        <v>246</v>
      </c>
      <c r="FE1940" s="1" t="s">
        <v>247</v>
      </c>
      <c r="FF1940" s="1" t="s">
        <v>248</v>
      </c>
      <c r="FH1940" s="1" t="s">
        <v>1942</v>
      </c>
      <c r="FI1940" s="1" t="s">
        <v>634</v>
      </c>
      <c r="FK1940" s="1" t="s">
        <v>389</v>
      </c>
      <c r="FL1940" s="1" t="s">
        <v>414</v>
      </c>
      <c r="FM1940" s="1" t="s">
        <v>252</v>
      </c>
      <c r="FN1940" s="1" t="s">
        <v>213</v>
      </c>
      <c r="FO1940" s="1" t="s">
        <v>213</v>
      </c>
      <c r="FQ1940" s="1" t="s">
        <v>1221</v>
      </c>
      <c r="FR1940" s="1" t="s">
        <v>210</v>
      </c>
      <c r="FS1940" s="1" t="s">
        <v>17822</v>
      </c>
      <c r="FT1940" s="1" t="s">
        <v>295</v>
      </c>
      <c r="FU1940" s="1" t="s">
        <v>204</v>
      </c>
      <c r="FW1940" s="1" t="s">
        <v>5780</v>
      </c>
      <c r="FX1940" s="1">
        <v>85391</v>
      </c>
      <c r="FY1940" s="1" t="s">
        <v>5781</v>
      </c>
      <c r="FZ1940" s="1" t="s">
        <v>5782</v>
      </c>
      <c r="GA1940" s="1">
        <v>103362</v>
      </c>
      <c r="GB1940" s="1" t="s">
        <v>5783</v>
      </c>
      <c r="GE1940" s="1" t="s">
        <v>1120</v>
      </c>
      <c r="GH1940" s="1" t="s">
        <v>230</v>
      </c>
      <c r="GI1940" s="1" t="s">
        <v>213</v>
      </c>
      <c r="GJ1940" s="1" t="s">
        <v>260</v>
      </c>
      <c r="GK1940" s="1" t="s">
        <v>210</v>
      </c>
      <c r="GL1940" s="2">
        <v>41985</v>
      </c>
    </row>
    <row r="1941" spans="1:195">
      <c r="A1941" s="1">
        <v>288000</v>
      </c>
      <c r="B1941" s="1" t="s">
        <v>195</v>
      </c>
      <c r="C1941" s="1" t="str">
        <f>"08729119"</f>
        <v>08729119</v>
      </c>
      <c r="D1941" s="1" t="s">
        <v>196</v>
      </c>
      <c r="F1941" s="1" t="str">
        <f>"126"</f>
        <v>126</v>
      </c>
      <c r="G1941" s="2">
        <v>41898</v>
      </c>
      <c r="H1941" s="1">
        <v>295900</v>
      </c>
      <c r="I1941" s="1">
        <v>295900</v>
      </c>
      <c r="J1941" s="1">
        <v>288000</v>
      </c>
      <c r="K1941" s="2">
        <v>41898</v>
      </c>
      <c r="L1941" s="1">
        <v>213</v>
      </c>
      <c r="M1941" s="2">
        <v>42047</v>
      </c>
      <c r="N1941" s="1">
        <v>150</v>
      </c>
      <c r="O1941" s="2">
        <v>42047</v>
      </c>
      <c r="P1941" s="1">
        <v>84917</v>
      </c>
      <c r="Q1941" s="1" t="s">
        <v>302</v>
      </c>
      <c r="R1941" s="2">
        <v>42065</v>
      </c>
      <c r="S1941" s="1">
        <v>119360</v>
      </c>
      <c r="U1941" s="1">
        <v>145</v>
      </c>
      <c r="V1941" s="1" t="s">
        <v>3168</v>
      </c>
      <c r="W1941" s="1" t="s">
        <v>725</v>
      </c>
      <c r="X1941" s="1">
        <v>432</v>
      </c>
      <c r="Y1941" s="1">
        <v>50</v>
      </c>
      <c r="Z1941" s="1" t="s">
        <v>249</v>
      </c>
      <c r="AA1941" s="1" t="s">
        <v>3169</v>
      </c>
      <c r="AB1941" s="1">
        <v>60126</v>
      </c>
      <c r="AD1941" s="1" t="s">
        <v>3170</v>
      </c>
      <c r="AE1941" s="1" t="s">
        <v>17823</v>
      </c>
      <c r="AF1941" s="1">
        <v>2005</v>
      </c>
      <c r="AG1941" s="1" t="s">
        <v>204</v>
      </c>
      <c r="AH1941" s="1" t="s">
        <v>3172</v>
      </c>
      <c r="AI1941" s="1" t="s">
        <v>206</v>
      </c>
      <c r="AJ1941" s="1" t="s">
        <v>1608</v>
      </c>
      <c r="AL1941" s="1">
        <v>4</v>
      </c>
      <c r="AM1941" s="1">
        <v>2</v>
      </c>
      <c r="AN1941" s="1">
        <v>2</v>
      </c>
      <c r="AO1941" s="1">
        <v>0</v>
      </c>
      <c r="AP1941" s="1" t="s">
        <v>209</v>
      </c>
      <c r="AR1941" s="1" t="s">
        <v>210</v>
      </c>
      <c r="AS1941" s="1" t="s">
        <v>204</v>
      </c>
      <c r="AT1941" s="1" t="s">
        <v>211</v>
      </c>
      <c r="AU1941" s="1">
        <v>1</v>
      </c>
      <c r="AW1941" s="1" t="s">
        <v>204</v>
      </c>
      <c r="AX1941" s="1" t="s">
        <v>212</v>
      </c>
      <c r="AZ1941" s="1">
        <v>5300</v>
      </c>
      <c r="BA1941" s="1">
        <v>2013</v>
      </c>
      <c r="BB1941" s="1" t="s">
        <v>210</v>
      </c>
      <c r="BE1941" s="1">
        <v>1320</v>
      </c>
      <c r="BF1941" s="1">
        <v>4</v>
      </c>
      <c r="BG1941" s="1">
        <v>0</v>
      </c>
      <c r="BL1941" s="1">
        <v>217</v>
      </c>
      <c r="BM1941" s="1" t="s">
        <v>204</v>
      </c>
      <c r="BN1941" s="1" t="s">
        <v>213</v>
      </c>
      <c r="BO1941" s="1">
        <v>100</v>
      </c>
      <c r="BP1941" s="1" t="s">
        <v>204</v>
      </c>
      <c r="BR1941" s="1" t="str">
        <f>"0601326072"</f>
        <v>0601326072</v>
      </c>
      <c r="BT1941" s="1" t="s">
        <v>17824</v>
      </c>
      <c r="BU1941" s="1" t="s">
        <v>3174</v>
      </c>
      <c r="BV1941" s="1" t="s">
        <v>3175</v>
      </c>
      <c r="BW1941" s="1" t="s">
        <v>3176</v>
      </c>
      <c r="BX1941" s="1">
        <v>205</v>
      </c>
      <c r="BY1941" s="1">
        <v>205</v>
      </c>
      <c r="BZ1941" s="1">
        <v>205</v>
      </c>
      <c r="CB1941" s="1" t="str">
        <f t="shared" ref="CB1941:CC1941" si="1479">""</f>
        <v/>
      </c>
      <c r="CC1941" s="1" t="str">
        <f t="shared" si="1479"/>
        <v/>
      </c>
      <c r="CG1941" s="1" t="s">
        <v>3100</v>
      </c>
      <c r="CH1941" s="1" t="s">
        <v>219</v>
      </c>
      <c r="CI1941" s="1" t="s">
        <v>438</v>
      </c>
      <c r="CJ1941" s="1" t="s">
        <v>252</v>
      </c>
      <c r="CK1941" s="1" t="s">
        <v>1737</v>
      </c>
      <c r="CL1941" s="1" t="s">
        <v>219</v>
      </c>
      <c r="CM1941" s="1" t="s">
        <v>220</v>
      </c>
      <c r="CN1941" s="1" t="s">
        <v>252</v>
      </c>
      <c r="CP1941" s="1" t="s">
        <v>224</v>
      </c>
      <c r="CS1941" s="1" t="s">
        <v>378</v>
      </c>
      <c r="CT1941" s="1" t="s">
        <v>219</v>
      </c>
      <c r="CU1941" s="1" t="s">
        <v>220</v>
      </c>
      <c r="CV1941" s="1" t="s">
        <v>252</v>
      </c>
      <c r="CX1941" s="1" t="s">
        <v>224</v>
      </c>
      <c r="DB1941" s="1" t="s">
        <v>224</v>
      </c>
      <c r="DE1941" s="1" t="s">
        <v>379</v>
      </c>
      <c r="DF1941" s="1" t="s">
        <v>219</v>
      </c>
      <c r="DG1941" s="1" t="s">
        <v>438</v>
      </c>
      <c r="DH1941" s="1" t="s">
        <v>252</v>
      </c>
      <c r="DJ1941" s="1" t="s">
        <v>224</v>
      </c>
      <c r="DS1941" s="1" t="s">
        <v>230</v>
      </c>
      <c r="DW1941" s="1" t="s">
        <v>230</v>
      </c>
      <c r="EA1941" s="1" t="s">
        <v>230</v>
      </c>
      <c r="EE1941" s="1" t="s">
        <v>230</v>
      </c>
      <c r="EI1941" s="1" t="s">
        <v>230</v>
      </c>
      <c r="EL1941" s="1" t="s">
        <v>491</v>
      </c>
      <c r="EM1941" s="1" t="s">
        <v>319</v>
      </c>
      <c r="EN1941" s="1" t="s">
        <v>282</v>
      </c>
      <c r="EO1941" s="1" t="s">
        <v>234</v>
      </c>
      <c r="EQ1941" s="1" t="s">
        <v>492</v>
      </c>
      <c r="ER1941" s="1" t="s">
        <v>210</v>
      </c>
      <c r="ES1941" s="1" t="s">
        <v>322</v>
      </c>
      <c r="EW1941" s="1" t="s">
        <v>17825</v>
      </c>
      <c r="EZ1941" s="1" t="s">
        <v>287</v>
      </c>
      <c r="FD1941" s="1" t="s">
        <v>246</v>
      </c>
      <c r="FE1941" s="1" t="s">
        <v>247</v>
      </c>
      <c r="FF1941" s="1" t="s">
        <v>248</v>
      </c>
      <c r="FH1941" s="1" t="s">
        <v>249</v>
      </c>
      <c r="FI1941" s="1" t="s">
        <v>848</v>
      </c>
      <c r="FL1941" s="1" t="s">
        <v>358</v>
      </c>
      <c r="FM1941" s="1" t="s">
        <v>252</v>
      </c>
      <c r="FN1941" s="1" t="s">
        <v>213</v>
      </c>
      <c r="FO1941" s="1" t="s">
        <v>213</v>
      </c>
      <c r="FQ1941" s="1" t="s">
        <v>11787</v>
      </c>
      <c r="FR1941" s="1" t="s">
        <v>210</v>
      </c>
      <c r="FS1941" s="1" t="s">
        <v>10852</v>
      </c>
      <c r="FT1941" s="1" t="s">
        <v>362</v>
      </c>
      <c r="FU1941" s="1" t="s">
        <v>204</v>
      </c>
      <c r="FW1941" s="1" t="s">
        <v>873</v>
      </c>
      <c r="FX1941" s="1">
        <v>25309</v>
      </c>
      <c r="FY1941" s="1" t="s">
        <v>874</v>
      </c>
      <c r="FZ1941" s="1" t="s">
        <v>10853</v>
      </c>
      <c r="GA1941" s="1">
        <v>256580</v>
      </c>
      <c r="GB1941" s="1" t="s">
        <v>10854</v>
      </c>
      <c r="GE1941" s="1" t="s">
        <v>210</v>
      </c>
      <c r="GH1941" s="1" t="s">
        <v>421</v>
      </c>
      <c r="GI1941" s="1" t="s">
        <v>213</v>
      </c>
      <c r="GJ1941" s="1" t="s">
        <v>260</v>
      </c>
      <c r="GK1941" s="1" t="s">
        <v>210</v>
      </c>
      <c r="GL1941" s="2">
        <v>42065</v>
      </c>
      <c r="GM1941" s="1" t="s">
        <v>17826</v>
      </c>
    </row>
    <row r="1942" spans="1:195">
      <c r="A1942" s="1">
        <v>123000</v>
      </c>
      <c r="B1942" s="1" t="s">
        <v>195</v>
      </c>
      <c r="C1942" s="1" t="str">
        <f>"08746681"</f>
        <v>08746681</v>
      </c>
      <c r="D1942" s="1" t="s">
        <v>196</v>
      </c>
      <c r="F1942" s="1" t="str">
        <f>"61"</f>
        <v>61</v>
      </c>
      <c r="G1942" s="2">
        <v>41919</v>
      </c>
      <c r="H1942" s="1">
        <v>135900</v>
      </c>
      <c r="I1942" s="1">
        <v>129000</v>
      </c>
      <c r="J1942" s="1">
        <v>123000</v>
      </c>
      <c r="K1942" s="2">
        <v>41918</v>
      </c>
      <c r="L1942" s="1">
        <v>74</v>
      </c>
      <c r="M1942" s="2">
        <v>41991</v>
      </c>
      <c r="N1942" s="1">
        <v>74</v>
      </c>
      <c r="O1942" s="2">
        <v>41991</v>
      </c>
      <c r="P1942" s="1">
        <v>4997</v>
      </c>
      <c r="Q1942" s="1" t="s">
        <v>197</v>
      </c>
      <c r="R1942" s="2">
        <v>42024</v>
      </c>
      <c r="S1942" s="1">
        <v>39362</v>
      </c>
      <c r="U1942" s="1">
        <v>939</v>
      </c>
      <c r="V1942" s="1" t="s">
        <v>17827</v>
      </c>
      <c r="W1942" s="1" t="s">
        <v>304</v>
      </c>
      <c r="X1942" s="1" t="s">
        <v>11060</v>
      </c>
      <c r="Y1942" s="1">
        <v>4</v>
      </c>
      <c r="Z1942" s="1" t="s">
        <v>249</v>
      </c>
      <c r="AA1942" s="1" t="s">
        <v>505</v>
      </c>
      <c r="AB1942" s="1">
        <v>60061</v>
      </c>
      <c r="AC1942" s="1">
        <v>1100</v>
      </c>
      <c r="AD1942" s="1" t="s">
        <v>4034</v>
      </c>
      <c r="AE1942" s="1" t="s">
        <v>17828</v>
      </c>
      <c r="AF1942" s="1">
        <v>1975</v>
      </c>
      <c r="AG1942" s="1" t="s">
        <v>213</v>
      </c>
      <c r="AH1942" s="1" t="s">
        <v>508</v>
      </c>
      <c r="AI1942" s="1" t="s">
        <v>509</v>
      </c>
      <c r="AJ1942" s="1" t="s">
        <v>1693</v>
      </c>
      <c r="AK1942" s="1" t="s">
        <v>1688</v>
      </c>
      <c r="AL1942" s="1">
        <v>5</v>
      </c>
      <c r="AM1942" s="1">
        <v>2</v>
      </c>
      <c r="AN1942" s="1">
        <v>2</v>
      </c>
      <c r="AO1942" s="1">
        <v>0</v>
      </c>
      <c r="AP1942" s="1" t="s">
        <v>209</v>
      </c>
      <c r="AR1942" s="1" t="s">
        <v>210</v>
      </c>
      <c r="AS1942" s="1" t="s">
        <v>204</v>
      </c>
      <c r="AT1942" s="1" t="s">
        <v>211</v>
      </c>
      <c r="AU1942" s="1">
        <v>1</v>
      </c>
      <c r="AW1942" s="1" t="s">
        <v>213</v>
      </c>
      <c r="AX1942" s="1" t="s">
        <v>212</v>
      </c>
      <c r="AZ1942" s="1">
        <v>2237.4899999999998</v>
      </c>
      <c r="BA1942" s="1">
        <v>2012</v>
      </c>
      <c r="BB1942" s="1" t="s">
        <v>405</v>
      </c>
      <c r="BE1942" s="1">
        <v>995</v>
      </c>
      <c r="BF1942" s="1">
        <v>1</v>
      </c>
      <c r="BG1942" s="1">
        <v>15</v>
      </c>
      <c r="BL1942" s="1">
        <v>338</v>
      </c>
      <c r="BM1942" s="1" t="s">
        <v>204</v>
      </c>
      <c r="BN1942" s="1" t="s">
        <v>213</v>
      </c>
      <c r="BO1942" s="1">
        <v>50</v>
      </c>
      <c r="BP1942" s="1" t="s">
        <v>204</v>
      </c>
      <c r="BR1942" s="1" t="str">
        <f>"11324140240000"</f>
        <v>11324140240000</v>
      </c>
      <c r="BT1942" s="1" t="s">
        <v>17829</v>
      </c>
      <c r="BX1942" s="1">
        <v>73</v>
      </c>
      <c r="BY1942" s="1">
        <v>73</v>
      </c>
      <c r="BZ1942" s="1">
        <v>128</v>
      </c>
      <c r="CB1942" s="1" t="str">
        <f>"26"</f>
        <v>26</v>
      </c>
      <c r="CC1942" s="1" t="str">
        <f t="shared" ref="CC1942:CC1943" si="1480">"0"</f>
        <v>0</v>
      </c>
      <c r="CD1942" s="1">
        <v>16</v>
      </c>
      <c r="CE1942" s="1">
        <v>0</v>
      </c>
      <c r="CG1942" s="1" t="s">
        <v>2935</v>
      </c>
      <c r="CH1942" s="1" t="s">
        <v>219</v>
      </c>
      <c r="CI1942" s="1" t="s">
        <v>220</v>
      </c>
      <c r="CJ1942" s="1" t="s">
        <v>463</v>
      </c>
      <c r="CK1942" s="1" t="s">
        <v>2170</v>
      </c>
      <c r="CL1942" s="1" t="s">
        <v>219</v>
      </c>
      <c r="CM1942" s="1" t="s">
        <v>220</v>
      </c>
      <c r="CN1942" s="1" t="s">
        <v>439</v>
      </c>
      <c r="CO1942" s="1" t="s">
        <v>2031</v>
      </c>
      <c r="CP1942" s="1" t="s">
        <v>219</v>
      </c>
      <c r="CQ1942" s="1" t="s">
        <v>220</v>
      </c>
      <c r="CR1942" s="1" t="s">
        <v>463</v>
      </c>
      <c r="CS1942" s="1" t="s">
        <v>1469</v>
      </c>
      <c r="CT1942" s="1" t="s">
        <v>219</v>
      </c>
      <c r="CU1942" s="1" t="s">
        <v>220</v>
      </c>
      <c r="CV1942" s="1" t="s">
        <v>439</v>
      </c>
      <c r="CX1942" s="1" t="s">
        <v>224</v>
      </c>
      <c r="DB1942" s="1" t="s">
        <v>224</v>
      </c>
      <c r="DE1942" s="1" t="s">
        <v>11482</v>
      </c>
      <c r="DF1942" s="1" t="s">
        <v>219</v>
      </c>
      <c r="DG1942" s="1" t="s">
        <v>229</v>
      </c>
      <c r="DH1942" s="1" t="s">
        <v>210</v>
      </c>
      <c r="DJ1942" s="1" t="s">
        <v>224</v>
      </c>
      <c r="DS1942" s="1" t="s">
        <v>230</v>
      </c>
      <c r="DW1942" s="1" t="s">
        <v>230</v>
      </c>
      <c r="EA1942" s="1" t="s">
        <v>230</v>
      </c>
      <c r="EE1942" s="1" t="s">
        <v>230</v>
      </c>
      <c r="EI1942" s="1" t="s">
        <v>230</v>
      </c>
      <c r="EL1942" s="1" t="s">
        <v>231</v>
      </c>
      <c r="EM1942" s="1" t="s">
        <v>232</v>
      </c>
      <c r="EN1942" s="1" t="s">
        <v>282</v>
      </c>
      <c r="EO1942" s="1" t="s">
        <v>234</v>
      </c>
      <c r="EP1942" s="1" t="s">
        <v>17830</v>
      </c>
      <c r="EQ1942" s="1" t="s">
        <v>492</v>
      </c>
      <c r="ER1942" s="1" t="s">
        <v>383</v>
      </c>
      <c r="ES1942" s="1" t="s">
        <v>1160</v>
      </c>
      <c r="EU1942" s="1" t="s">
        <v>12206</v>
      </c>
      <c r="EV1942" s="1" t="s">
        <v>324</v>
      </c>
      <c r="EW1942" s="1" t="s">
        <v>1698</v>
      </c>
      <c r="EY1942" s="1" t="s">
        <v>242</v>
      </c>
      <c r="EZ1942" s="1" t="s">
        <v>287</v>
      </c>
      <c r="FA1942" s="1" t="s">
        <v>938</v>
      </c>
      <c r="FD1942" s="1" t="s">
        <v>495</v>
      </c>
      <c r="FE1942" s="1" t="s">
        <v>355</v>
      </c>
      <c r="FF1942" s="1" t="s">
        <v>248</v>
      </c>
      <c r="FH1942" s="1" t="s">
        <v>249</v>
      </c>
      <c r="FI1942" s="1" t="s">
        <v>473</v>
      </c>
      <c r="FJ1942" s="1" t="s">
        <v>197</v>
      </c>
      <c r="FL1942" s="1" t="s">
        <v>358</v>
      </c>
      <c r="FM1942" s="1" t="s">
        <v>252</v>
      </c>
      <c r="FN1942" s="1" t="s">
        <v>213</v>
      </c>
      <c r="FO1942" s="1" t="s">
        <v>213</v>
      </c>
      <c r="FQ1942" s="1" t="s">
        <v>1441</v>
      </c>
      <c r="FR1942" s="1" t="s">
        <v>210</v>
      </c>
      <c r="FS1942" s="1" t="s">
        <v>636</v>
      </c>
      <c r="FT1942" s="1" t="s">
        <v>17831</v>
      </c>
      <c r="FU1942" s="1" t="s">
        <v>204</v>
      </c>
      <c r="FW1942" s="1" t="s">
        <v>256</v>
      </c>
      <c r="FX1942" s="1">
        <v>8101</v>
      </c>
      <c r="FY1942" s="1" t="s">
        <v>11342</v>
      </c>
      <c r="FZ1942" s="1" t="s">
        <v>17832</v>
      </c>
      <c r="GA1942" s="1">
        <v>81747</v>
      </c>
      <c r="GB1942" s="1" t="s">
        <v>17833</v>
      </c>
      <c r="GE1942" s="1" t="s">
        <v>1145</v>
      </c>
      <c r="GI1942" s="1" t="s">
        <v>213</v>
      </c>
      <c r="GJ1942" s="1" t="s">
        <v>260</v>
      </c>
      <c r="GK1942" s="1" t="s">
        <v>261</v>
      </c>
      <c r="GL1942" s="2">
        <v>42024</v>
      </c>
      <c r="GM1942" s="1" t="s">
        <v>17834</v>
      </c>
    </row>
    <row r="1943" spans="1:195">
      <c r="A1943" s="1">
        <v>140000</v>
      </c>
      <c r="B1943" s="1" t="s">
        <v>195</v>
      </c>
      <c r="C1943" s="1" t="str">
        <f>"08731574"</f>
        <v>08731574</v>
      </c>
      <c r="D1943" s="1" t="s">
        <v>196</v>
      </c>
      <c r="F1943" s="1" t="str">
        <f>"172"</f>
        <v>172</v>
      </c>
      <c r="G1943" s="2">
        <v>41900</v>
      </c>
      <c r="H1943" s="1">
        <v>171500</v>
      </c>
      <c r="I1943" s="1">
        <v>147200</v>
      </c>
      <c r="J1943" s="1">
        <v>140000</v>
      </c>
      <c r="K1943" s="2">
        <v>41900</v>
      </c>
      <c r="L1943" s="1">
        <v>77</v>
      </c>
      <c r="M1943" s="2">
        <v>41976</v>
      </c>
      <c r="N1943" s="1">
        <v>77</v>
      </c>
      <c r="O1943" s="2">
        <v>41976</v>
      </c>
      <c r="P1943" s="1">
        <v>25168</v>
      </c>
      <c r="Q1943" s="1" t="s">
        <v>302</v>
      </c>
      <c r="R1943" s="2">
        <v>42006</v>
      </c>
      <c r="S1943" s="1">
        <v>85583</v>
      </c>
      <c r="U1943" s="1">
        <v>156</v>
      </c>
      <c r="V1943" s="1" t="s">
        <v>17835</v>
      </c>
      <c r="W1943" s="1" t="s">
        <v>304</v>
      </c>
      <c r="X1943" s="1">
        <v>156</v>
      </c>
      <c r="Y1943" s="1">
        <v>4</v>
      </c>
      <c r="Z1943" s="1" t="s">
        <v>370</v>
      </c>
      <c r="AA1943" s="1" t="s">
        <v>266</v>
      </c>
      <c r="AB1943" s="1">
        <v>60172</v>
      </c>
      <c r="AD1943" s="1" t="s">
        <v>4280</v>
      </c>
      <c r="AE1943" s="1" t="s">
        <v>17836</v>
      </c>
      <c r="AF1943" s="1">
        <v>1997</v>
      </c>
      <c r="AG1943" s="1" t="s">
        <v>204</v>
      </c>
      <c r="AH1943" s="1" t="s">
        <v>3952</v>
      </c>
      <c r="AI1943" s="1" t="s">
        <v>206</v>
      </c>
      <c r="AJ1943" s="1" t="s">
        <v>269</v>
      </c>
      <c r="AK1943" s="1" t="s">
        <v>17837</v>
      </c>
      <c r="AL1943" s="1">
        <v>7</v>
      </c>
      <c r="AM1943" s="1">
        <v>2</v>
      </c>
      <c r="AN1943" s="1">
        <v>1</v>
      </c>
      <c r="AO1943" s="1">
        <v>1</v>
      </c>
      <c r="AP1943" s="1" t="s">
        <v>667</v>
      </c>
      <c r="AR1943" s="1" t="s">
        <v>210</v>
      </c>
      <c r="AS1943" s="1" t="s">
        <v>204</v>
      </c>
      <c r="AT1943" s="1" t="s">
        <v>211</v>
      </c>
      <c r="AU1943" s="1">
        <v>2</v>
      </c>
      <c r="AW1943" s="1" t="s">
        <v>204</v>
      </c>
      <c r="AX1943" s="1" t="s">
        <v>4740</v>
      </c>
      <c r="AZ1943" s="1">
        <v>4883</v>
      </c>
      <c r="BA1943" s="1">
        <v>2013</v>
      </c>
      <c r="BB1943" s="1" t="s">
        <v>405</v>
      </c>
      <c r="BE1943" s="1">
        <v>1525</v>
      </c>
      <c r="BF1943" s="1">
        <v>1</v>
      </c>
      <c r="BG1943" s="1">
        <v>0</v>
      </c>
      <c r="BL1943" s="1">
        <v>200</v>
      </c>
      <c r="BM1943" s="1" t="s">
        <v>204</v>
      </c>
      <c r="BN1943" s="1" t="s">
        <v>213</v>
      </c>
      <c r="BO1943" s="1">
        <v>100</v>
      </c>
      <c r="BP1943" s="1" t="s">
        <v>204</v>
      </c>
      <c r="BR1943" s="1" t="str">
        <f>"0205220222"</f>
        <v>0205220222</v>
      </c>
      <c r="BT1943" s="1" t="s">
        <v>17838</v>
      </c>
      <c r="BU1943" s="1" t="s">
        <v>273</v>
      </c>
      <c r="BV1943" s="1" t="s">
        <v>274</v>
      </c>
      <c r="BW1943" s="1" t="s">
        <v>275</v>
      </c>
      <c r="BX1943" s="1">
        <v>20</v>
      </c>
      <c r="BY1943" s="1">
        <v>20</v>
      </c>
      <c r="BZ1943" s="1">
        <v>108</v>
      </c>
      <c r="CB1943" s="1" t="str">
        <f>"7"</f>
        <v>7</v>
      </c>
      <c r="CC1943" s="1" t="str">
        <f t="shared" si="1480"/>
        <v>0</v>
      </c>
      <c r="CD1943" s="1">
        <v>25</v>
      </c>
      <c r="CE1943" s="1">
        <v>0</v>
      </c>
      <c r="CG1943" s="1" t="s">
        <v>379</v>
      </c>
      <c r="CH1943" s="1" t="s">
        <v>219</v>
      </c>
      <c r="CI1943" s="1" t="s">
        <v>220</v>
      </c>
      <c r="CK1943" s="1" t="s">
        <v>708</v>
      </c>
      <c r="CL1943" s="1" t="s">
        <v>277</v>
      </c>
      <c r="CM1943" s="1" t="s">
        <v>220</v>
      </c>
      <c r="CO1943" s="1" t="s">
        <v>281</v>
      </c>
      <c r="CP1943" s="1" t="s">
        <v>219</v>
      </c>
      <c r="CQ1943" s="1" t="s">
        <v>220</v>
      </c>
      <c r="CR1943" s="1" t="s">
        <v>210</v>
      </c>
      <c r="CS1943" s="1" t="s">
        <v>346</v>
      </c>
      <c r="CT1943" s="1" t="s">
        <v>277</v>
      </c>
      <c r="CU1943" s="1" t="s">
        <v>220</v>
      </c>
      <c r="CX1943" s="1" t="s">
        <v>224</v>
      </c>
      <c r="DB1943" s="1" t="s">
        <v>224</v>
      </c>
      <c r="DE1943" s="1" t="s">
        <v>409</v>
      </c>
      <c r="DF1943" s="1" t="s">
        <v>219</v>
      </c>
      <c r="DG1943" s="1" t="s">
        <v>438</v>
      </c>
      <c r="DH1943" s="1" t="s">
        <v>210</v>
      </c>
      <c r="DJ1943" s="1" t="s">
        <v>224</v>
      </c>
      <c r="DM1943" s="1" t="s">
        <v>381</v>
      </c>
      <c r="DN1943" s="1" t="s">
        <v>464</v>
      </c>
      <c r="DO1943" s="1" t="s">
        <v>1770</v>
      </c>
      <c r="DR1943" s="1" t="s">
        <v>516</v>
      </c>
      <c r="DS1943" s="1" t="s">
        <v>219</v>
      </c>
      <c r="DT1943" s="1" t="s">
        <v>438</v>
      </c>
      <c r="DV1943" s="1" t="s">
        <v>318</v>
      </c>
      <c r="DW1943" s="1" t="s">
        <v>277</v>
      </c>
      <c r="DX1943" s="1" t="s">
        <v>220</v>
      </c>
      <c r="DZ1943" s="1" t="s">
        <v>2279</v>
      </c>
      <c r="EA1943" s="1" t="s">
        <v>277</v>
      </c>
      <c r="EB1943" s="1" t="s">
        <v>342</v>
      </c>
      <c r="EE1943" s="1" t="s">
        <v>230</v>
      </c>
      <c r="EI1943" s="1" t="s">
        <v>230</v>
      </c>
      <c r="EL1943" s="1" t="s">
        <v>670</v>
      </c>
      <c r="EM1943" s="1" t="s">
        <v>232</v>
      </c>
      <c r="EN1943" s="1" t="s">
        <v>282</v>
      </c>
      <c r="EO1943" s="1" t="s">
        <v>234</v>
      </c>
      <c r="EP1943" s="1" t="s">
        <v>650</v>
      </c>
      <c r="EQ1943" s="1" t="s">
        <v>1738</v>
      </c>
      <c r="ER1943" s="1" t="s">
        <v>210</v>
      </c>
      <c r="ES1943" s="1" t="s">
        <v>322</v>
      </c>
      <c r="EU1943" s="1" t="s">
        <v>1894</v>
      </c>
      <c r="EV1943" s="1" t="s">
        <v>1553</v>
      </c>
      <c r="EW1943" s="1" t="s">
        <v>887</v>
      </c>
      <c r="EY1943" s="1" t="s">
        <v>1315</v>
      </c>
      <c r="EZ1943" s="1" t="s">
        <v>17839</v>
      </c>
      <c r="FA1943" s="1" t="s">
        <v>1427</v>
      </c>
      <c r="FB1943" s="1" t="s">
        <v>289</v>
      </c>
      <c r="FD1943" s="1" t="s">
        <v>246</v>
      </c>
      <c r="FE1943" s="1" t="s">
        <v>975</v>
      </c>
      <c r="FF1943" s="1" t="s">
        <v>248</v>
      </c>
      <c r="FH1943" s="1" t="s">
        <v>550</v>
      </c>
      <c r="FI1943" s="1" t="s">
        <v>473</v>
      </c>
      <c r="FL1943" s="1" t="s">
        <v>414</v>
      </c>
      <c r="FM1943" s="1" t="s">
        <v>252</v>
      </c>
      <c r="FN1943" s="1" t="s">
        <v>213</v>
      </c>
      <c r="FO1943" s="1" t="s">
        <v>213</v>
      </c>
      <c r="FQ1943" s="1" t="s">
        <v>689</v>
      </c>
      <c r="FR1943" s="1" t="s">
        <v>210</v>
      </c>
      <c r="FS1943" s="1" t="s">
        <v>17840</v>
      </c>
      <c r="FT1943" s="1" t="s">
        <v>1182</v>
      </c>
      <c r="FU1943" s="1" t="s">
        <v>204</v>
      </c>
      <c r="FW1943" s="1" t="s">
        <v>5979</v>
      </c>
      <c r="FX1943" s="1">
        <v>8340</v>
      </c>
      <c r="FY1943" s="1" t="s">
        <v>5980</v>
      </c>
      <c r="FZ1943" s="1" t="s">
        <v>17841</v>
      </c>
      <c r="GA1943" s="1">
        <v>252035</v>
      </c>
      <c r="GE1943" s="1" t="s">
        <v>1226</v>
      </c>
      <c r="GI1943" s="1" t="s">
        <v>213</v>
      </c>
      <c r="GJ1943" s="1" t="s">
        <v>260</v>
      </c>
      <c r="GK1943" s="1" t="s">
        <v>210</v>
      </c>
      <c r="GL1943" s="2">
        <v>42012</v>
      </c>
      <c r="GM1943" s="1" t="s">
        <v>17842</v>
      </c>
    </row>
    <row r="1944" spans="1:195">
      <c r="A1944" s="1">
        <v>427000</v>
      </c>
      <c r="B1944" s="1" t="s">
        <v>195</v>
      </c>
      <c r="C1944" s="1" t="str">
        <f>"08732262"</f>
        <v>08732262</v>
      </c>
      <c r="D1944" s="1" t="s">
        <v>196</v>
      </c>
      <c r="F1944" s="1" t="str">
        <f>"540"</f>
        <v>540</v>
      </c>
      <c r="G1944" s="2">
        <v>41900</v>
      </c>
      <c r="H1944" s="1">
        <v>438000</v>
      </c>
      <c r="I1944" s="1">
        <v>438000</v>
      </c>
      <c r="J1944" s="1">
        <v>427000</v>
      </c>
      <c r="K1944" s="2">
        <v>41900</v>
      </c>
      <c r="L1944" s="1">
        <v>12</v>
      </c>
      <c r="M1944" s="2">
        <v>41911</v>
      </c>
      <c r="N1944" s="1">
        <v>12</v>
      </c>
      <c r="O1944" s="2">
        <v>41911</v>
      </c>
      <c r="P1944" s="1">
        <v>23076</v>
      </c>
      <c r="Q1944" s="1" t="s">
        <v>197</v>
      </c>
      <c r="R1944" s="2">
        <v>42017</v>
      </c>
      <c r="S1944" s="1">
        <v>235427</v>
      </c>
      <c r="U1944" s="1">
        <v>1285</v>
      </c>
      <c r="V1944" s="1" t="s">
        <v>17843</v>
      </c>
      <c r="W1944" s="1" t="s">
        <v>304</v>
      </c>
      <c r="Y1944" s="1">
        <v>2</v>
      </c>
      <c r="Z1944" s="1" t="s">
        <v>370</v>
      </c>
      <c r="AA1944" s="1" t="s">
        <v>921</v>
      </c>
      <c r="AB1944" s="1">
        <v>60540</v>
      </c>
      <c r="AD1944" s="1" t="s">
        <v>17844</v>
      </c>
      <c r="AE1944" s="1" t="s">
        <v>17845</v>
      </c>
      <c r="AF1944" s="1">
        <v>2004</v>
      </c>
      <c r="AG1944" s="1" t="s">
        <v>204</v>
      </c>
      <c r="AH1944" s="1" t="s">
        <v>924</v>
      </c>
      <c r="AI1944" s="1" t="s">
        <v>206</v>
      </c>
      <c r="AJ1944" s="1" t="s">
        <v>925</v>
      </c>
      <c r="AK1944" s="1" t="s">
        <v>7829</v>
      </c>
      <c r="AL1944" s="1">
        <v>5</v>
      </c>
      <c r="AM1944" s="1">
        <v>2</v>
      </c>
      <c r="AN1944" s="1">
        <v>2</v>
      </c>
      <c r="AO1944" s="1">
        <v>0</v>
      </c>
      <c r="AP1944" s="1" t="s">
        <v>209</v>
      </c>
      <c r="AQ1944" s="1">
        <v>1</v>
      </c>
      <c r="AR1944" s="1" t="s">
        <v>209</v>
      </c>
      <c r="AS1944" s="1" t="s">
        <v>204</v>
      </c>
      <c r="AT1944" s="1" t="s">
        <v>211</v>
      </c>
      <c r="AU1944" s="1">
        <v>2</v>
      </c>
      <c r="AW1944" s="1" t="s">
        <v>204</v>
      </c>
      <c r="AX1944" s="1" t="s">
        <v>17846</v>
      </c>
      <c r="AZ1944" s="1">
        <v>8625</v>
      </c>
      <c r="BA1944" s="1">
        <v>2013</v>
      </c>
      <c r="BE1944" s="1">
        <v>1668</v>
      </c>
      <c r="BF1944" s="1">
        <v>1</v>
      </c>
      <c r="BG1944" s="1">
        <v>0</v>
      </c>
      <c r="BL1944" s="1">
        <v>285</v>
      </c>
      <c r="BM1944" s="1" t="s">
        <v>204</v>
      </c>
      <c r="BN1944" s="1" t="s">
        <v>213</v>
      </c>
      <c r="BO1944" s="1" t="s">
        <v>230</v>
      </c>
      <c r="BP1944" s="1" t="s">
        <v>204</v>
      </c>
      <c r="BR1944" s="1" t="str">
        <f>"0828101082"</f>
        <v>0828101082</v>
      </c>
      <c r="BT1944" s="1" t="s">
        <v>17847</v>
      </c>
      <c r="BU1944" s="1" t="s">
        <v>17848</v>
      </c>
      <c r="BV1944" s="1" t="s">
        <v>4937</v>
      </c>
      <c r="BW1944" s="1" t="s">
        <v>930</v>
      </c>
      <c r="BX1944" s="1">
        <v>203</v>
      </c>
      <c r="BY1944" s="1">
        <v>203</v>
      </c>
      <c r="BZ1944" s="1">
        <v>203</v>
      </c>
      <c r="CB1944" s="1" t="str">
        <f t="shared" ref="CB1944:CC1944" si="1481">""</f>
        <v/>
      </c>
      <c r="CC1944" s="1" t="str">
        <f t="shared" si="1481"/>
        <v/>
      </c>
      <c r="CD1944" s="1">
        <v>24</v>
      </c>
      <c r="CE1944" s="1">
        <v>8</v>
      </c>
      <c r="CH1944" s="1" t="s">
        <v>224</v>
      </c>
      <c r="CK1944" s="1" t="s">
        <v>729</v>
      </c>
      <c r="CL1944" s="1" t="s">
        <v>219</v>
      </c>
      <c r="CM1944" s="1" t="s">
        <v>220</v>
      </c>
      <c r="CN1944" s="1" t="s">
        <v>343</v>
      </c>
      <c r="CO1944" s="1" t="s">
        <v>836</v>
      </c>
      <c r="CP1944" s="1" t="s">
        <v>219</v>
      </c>
      <c r="CQ1944" s="1" t="s">
        <v>438</v>
      </c>
      <c r="CR1944" s="1" t="s">
        <v>343</v>
      </c>
      <c r="CS1944" s="1" t="s">
        <v>461</v>
      </c>
      <c r="CT1944" s="1" t="s">
        <v>219</v>
      </c>
      <c r="CU1944" s="1" t="s">
        <v>220</v>
      </c>
      <c r="CV1944" s="1" t="s">
        <v>343</v>
      </c>
      <c r="CX1944" s="1" t="s">
        <v>224</v>
      </c>
      <c r="DB1944" s="1" t="s">
        <v>224</v>
      </c>
      <c r="DE1944" s="1" t="s">
        <v>1178</v>
      </c>
      <c r="DF1944" s="1" t="s">
        <v>219</v>
      </c>
      <c r="DG1944" s="1" t="s">
        <v>438</v>
      </c>
      <c r="DH1944" s="1" t="s">
        <v>210</v>
      </c>
      <c r="DI1944" s="1" t="s">
        <v>228</v>
      </c>
      <c r="DJ1944" s="1" t="s">
        <v>219</v>
      </c>
      <c r="DK1944" s="1" t="s">
        <v>438</v>
      </c>
      <c r="DL1944" s="1" t="s">
        <v>343</v>
      </c>
      <c r="DM1944" s="1" t="s">
        <v>8453</v>
      </c>
      <c r="DR1944" s="1" t="s">
        <v>836</v>
      </c>
      <c r="DS1944" s="1" t="s">
        <v>219</v>
      </c>
      <c r="DT1944" s="1" t="s">
        <v>347</v>
      </c>
      <c r="DU1944" s="1" t="s">
        <v>210</v>
      </c>
      <c r="DW1944" s="1" t="s">
        <v>230</v>
      </c>
      <c r="EA1944" s="1" t="s">
        <v>230</v>
      </c>
      <c r="EE1944" s="1" t="s">
        <v>230</v>
      </c>
      <c r="EI1944" s="1" t="s">
        <v>230</v>
      </c>
      <c r="EL1944" s="1" t="s">
        <v>491</v>
      </c>
      <c r="EM1944" s="1" t="s">
        <v>232</v>
      </c>
      <c r="EN1944" s="1" t="s">
        <v>282</v>
      </c>
      <c r="EO1944" s="1" t="s">
        <v>234</v>
      </c>
      <c r="EQ1944" s="1" t="s">
        <v>1867</v>
      </c>
      <c r="ER1944" s="1" t="s">
        <v>2453</v>
      </c>
      <c r="ES1944" s="1" t="s">
        <v>865</v>
      </c>
      <c r="EU1944" s="1" t="s">
        <v>5043</v>
      </c>
      <c r="EV1944" s="1" t="s">
        <v>324</v>
      </c>
      <c r="EW1944" s="1" t="s">
        <v>867</v>
      </c>
      <c r="EZ1944" s="1" t="s">
        <v>8453</v>
      </c>
      <c r="FD1944" s="1" t="s">
        <v>246</v>
      </c>
      <c r="FE1944" s="1" t="s">
        <v>17849</v>
      </c>
      <c r="FF1944" s="1" t="s">
        <v>248</v>
      </c>
      <c r="FG1944" s="1" t="s">
        <v>912</v>
      </c>
      <c r="FH1944" s="1" t="s">
        <v>825</v>
      </c>
      <c r="FI1944" s="1" t="s">
        <v>357</v>
      </c>
      <c r="FL1944" s="1" t="s">
        <v>358</v>
      </c>
      <c r="FM1944" s="1" t="s">
        <v>252</v>
      </c>
      <c r="FN1944" s="1" t="s">
        <v>213</v>
      </c>
      <c r="FO1944" s="1" t="s">
        <v>213</v>
      </c>
      <c r="FQ1944" s="1" t="s">
        <v>17850</v>
      </c>
      <c r="FR1944" s="1" t="s">
        <v>210</v>
      </c>
      <c r="FS1944" s="1" t="s">
        <v>17851</v>
      </c>
      <c r="FT1944" s="1" t="s">
        <v>295</v>
      </c>
      <c r="FU1944" s="1" t="s">
        <v>204</v>
      </c>
      <c r="FV1944" s="1" t="s">
        <v>17852</v>
      </c>
      <c r="FW1944" s="1" t="s">
        <v>1898</v>
      </c>
      <c r="FX1944" s="1">
        <v>23030</v>
      </c>
      <c r="FY1944" s="1" t="s">
        <v>1899</v>
      </c>
      <c r="FZ1944" s="1" t="s">
        <v>17853</v>
      </c>
      <c r="GA1944" s="1">
        <v>255006</v>
      </c>
      <c r="GB1944" s="1" t="s">
        <v>17854</v>
      </c>
      <c r="GE1944" s="1" t="s">
        <v>210</v>
      </c>
      <c r="GI1944" s="1" t="s">
        <v>213</v>
      </c>
      <c r="GJ1944" s="1" t="s">
        <v>260</v>
      </c>
      <c r="GK1944" s="1" t="s">
        <v>210</v>
      </c>
      <c r="GL1944" s="2">
        <v>42017</v>
      </c>
    </row>
    <row r="1945" spans="1:195">
      <c r="A1945" s="1">
        <v>105500</v>
      </c>
      <c r="B1945" s="1" t="s">
        <v>195</v>
      </c>
      <c r="C1945" s="1" t="str">
        <f>"08728548"</f>
        <v>08728548</v>
      </c>
      <c r="D1945" s="1" t="s">
        <v>196</v>
      </c>
      <c r="F1945" s="1" t="str">
        <f>"73"</f>
        <v>73</v>
      </c>
      <c r="G1945" s="2">
        <v>41897</v>
      </c>
      <c r="H1945" s="1">
        <v>104900</v>
      </c>
      <c r="I1945" s="1">
        <v>104900</v>
      </c>
      <c r="J1945" s="1">
        <v>105500</v>
      </c>
      <c r="K1945" s="2">
        <v>41895</v>
      </c>
      <c r="L1945" s="1">
        <v>32</v>
      </c>
      <c r="M1945" s="2">
        <v>41926</v>
      </c>
      <c r="N1945" s="1">
        <v>32</v>
      </c>
      <c r="O1945" s="2">
        <v>41926</v>
      </c>
      <c r="P1945" s="1">
        <v>1693</v>
      </c>
      <c r="Q1945" s="1" t="s">
        <v>197</v>
      </c>
      <c r="R1945" s="2">
        <v>41988</v>
      </c>
      <c r="S1945" s="1">
        <v>240694</v>
      </c>
      <c r="T1945" s="1">
        <v>3000</v>
      </c>
      <c r="U1945" s="1">
        <v>124</v>
      </c>
      <c r="V1945" s="1" t="s">
        <v>17855</v>
      </c>
      <c r="W1945" s="1" t="s">
        <v>504</v>
      </c>
      <c r="Y1945" s="1">
        <v>5</v>
      </c>
      <c r="Z1945" s="1" t="s">
        <v>370</v>
      </c>
      <c r="AA1945" s="1" t="s">
        <v>1259</v>
      </c>
      <c r="AB1945" s="1">
        <v>60073</v>
      </c>
      <c r="AD1945" s="1" t="s">
        <v>2732</v>
      </c>
      <c r="AE1945" s="1" t="s">
        <v>17856</v>
      </c>
      <c r="AF1945" s="1">
        <v>2002</v>
      </c>
      <c r="AG1945" s="1" t="s">
        <v>204</v>
      </c>
      <c r="AH1945" s="1" t="s">
        <v>1262</v>
      </c>
      <c r="AI1945" s="1" t="s">
        <v>509</v>
      </c>
      <c r="AJ1945" s="1" t="s">
        <v>1263</v>
      </c>
      <c r="AL1945" s="1">
        <v>5</v>
      </c>
      <c r="AM1945" s="1">
        <v>2</v>
      </c>
      <c r="AN1945" s="1">
        <v>2</v>
      </c>
      <c r="AO1945" s="1">
        <v>1</v>
      </c>
      <c r="AP1945" s="1" t="s">
        <v>209</v>
      </c>
      <c r="AR1945" s="1" t="s">
        <v>210</v>
      </c>
      <c r="AS1945" s="1" t="s">
        <v>204</v>
      </c>
      <c r="AT1945" s="1" t="s">
        <v>211</v>
      </c>
      <c r="AU1945" s="1">
        <v>1</v>
      </c>
      <c r="AW1945" s="1" t="s">
        <v>204</v>
      </c>
      <c r="AX1945" s="1" t="s">
        <v>17857</v>
      </c>
      <c r="AZ1945" s="1">
        <v>5086.58</v>
      </c>
      <c r="BA1945" s="1">
        <v>2013</v>
      </c>
      <c r="BB1945" s="1" t="s">
        <v>405</v>
      </c>
      <c r="BE1945" s="1">
        <v>1300</v>
      </c>
      <c r="BF1945" s="1">
        <v>1</v>
      </c>
      <c r="BG1945" s="1">
        <v>0</v>
      </c>
      <c r="BL1945" s="1">
        <v>62</v>
      </c>
      <c r="BM1945" s="1" t="s">
        <v>204</v>
      </c>
      <c r="BN1945" s="1" t="s">
        <v>213</v>
      </c>
      <c r="BO1945" s="1">
        <v>0</v>
      </c>
      <c r="BP1945" s="1" t="s">
        <v>204</v>
      </c>
      <c r="BR1945" s="1" t="str">
        <f>"06324070270000"</f>
        <v>06324070270000</v>
      </c>
      <c r="BT1945" s="1" t="s">
        <v>17858</v>
      </c>
      <c r="BX1945" s="1">
        <v>46</v>
      </c>
      <c r="BY1945" s="1">
        <v>46</v>
      </c>
      <c r="BZ1945" s="1">
        <v>127</v>
      </c>
      <c r="CB1945" s="1" t="str">
        <f t="shared" ref="CB1945:CC1945" si="1482">""</f>
        <v/>
      </c>
      <c r="CC1945" s="1" t="str">
        <f t="shared" si="1482"/>
        <v/>
      </c>
      <c r="CG1945" s="1" t="s">
        <v>378</v>
      </c>
      <c r="CH1945" s="1" t="s">
        <v>219</v>
      </c>
      <c r="CI1945" s="1" t="s">
        <v>220</v>
      </c>
      <c r="CK1945" s="1" t="s">
        <v>1403</v>
      </c>
      <c r="CL1945" s="1" t="s">
        <v>277</v>
      </c>
      <c r="CM1945" s="1" t="s">
        <v>220</v>
      </c>
      <c r="CO1945" s="1" t="s">
        <v>1469</v>
      </c>
      <c r="CP1945" s="1" t="s">
        <v>219</v>
      </c>
      <c r="CQ1945" s="1" t="s">
        <v>220</v>
      </c>
      <c r="CS1945" s="1" t="s">
        <v>378</v>
      </c>
      <c r="CT1945" s="1" t="s">
        <v>277</v>
      </c>
      <c r="CU1945" s="1" t="s">
        <v>220</v>
      </c>
      <c r="CX1945" s="1" t="s">
        <v>224</v>
      </c>
      <c r="DB1945" s="1" t="s">
        <v>224</v>
      </c>
      <c r="DE1945" s="1" t="s">
        <v>3716</v>
      </c>
      <c r="DF1945" s="1" t="s">
        <v>219</v>
      </c>
      <c r="DG1945" s="1" t="s">
        <v>342</v>
      </c>
      <c r="DJ1945" s="1" t="s">
        <v>224</v>
      </c>
      <c r="DS1945" s="1" t="s">
        <v>230</v>
      </c>
      <c r="DW1945" s="1" t="s">
        <v>230</v>
      </c>
      <c r="EA1945" s="1" t="s">
        <v>230</v>
      </c>
      <c r="EE1945" s="1" t="s">
        <v>230</v>
      </c>
      <c r="EI1945" s="1" t="s">
        <v>230</v>
      </c>
      <c r="EL1945" s="1" t="s">
        <v>466</v>
      </c>
      <c r="EM1945" s="1" t="s">
        <v>319</v>
      </c>
      <c r="EN1945" s="1" t="s">
        <v>282</v>
      </c>
      <c r="EO1945" s="1" t="s">
        <v>234</v>
      </c>
      <c r="EQ1945" s="1" t="s">
        <v>17859</v>
      </c>
      <c r="ER1945" s="1" t="s">
        <v>210</v>
      </c>
      <c r="ES1945" s="1" t="s">
        <v>322</v>
      </c>
      <c r="EV1945" s="1" t="s">
        <v>240</v>
      </c>
      <c r="EW1945" s="1" t="s">
        <v>347</v>
      </c>
      <c r="EY1945" s="1" t="s">
        <v>1315</v>
      </c>
      <c r="EZ1945" s="1" t="s">
        <v>287</v>
      </c>
      <c r="FC1945" s="1" t="s">
        <v>548</v>
      </c>
      <c r="FD1945" s="1" t="s">
        <v>246</v>
      </c>
      <c r="FE1945" s="1" t="s">
        <v>472</v>
      </c>
      <c r="FF1945" s="1" t="s">
        <v>248</v>
      </c>
      <c r="FH1945" s="1" t="s">
        <v>442</v>
      </c>
      <c r="FI1945" s="1" t="s">
        <v>357</v>
      </c>
      <c r="FL1945" s="1" t="s">
        <v>358</v>
      </c>
      <c r="FM1945" s="1" t="s">
        <v>252</v>
      </c>
      <c r="FN1945" s="1" t="s">
        <v>213</v>
      </c>
      <c r="FO1945" s="1" t="s">
        <v>213</v>
      </c>
      <c r="FQ1945" s="1" t="s">
        <v>673</v>
      </c>
      <c r="FR1945" s="1" t="s">
        <v>210</v>
      </c>
      <c r="FS1945" s="1" t="s">
        <v>17860</v>
      </c>
      <c r="FT1945" s="1" t="s">
        <v>13495</v>
      </c>
      <c r="FU1945" s="1" t="s">
        <v>204</v>
      </c>
      <c r="FW1945" s="1" t="s">
        <v>13496</v>
      </c>
      <c r="FX1945" s="1">
        <v>2666</v>
      </c>
      <c r="FY1945" s="1" t="s">
        <v>13497</v>
      </c>
      <c r="FZ1945" s="1" t="s">
        <v>17861</v>
      </c>
      <c r="GA1945" s="1">
        <v>20101</v>
      </c>
      <c r="GB1945" s="1" t="s">
        <v>17862</v>
      </c>
      <c r="GE1945" s="1" t="s">
        <v>480</v>
      </c>
      <c r="GH1945" s="1" t="s">
        <v>589</v>
      </c>
      <c r="GI1945" s="1" t="s">
        <v>213</v>
      </c>
      <c r="GJ1945" s="1" t="s">
        <v>260</v>
      </c>
      <c r="GK1945" s="1" t="s">
        <v>210</v>
      </c>
      <c r="GL1945" s="2">
        <v>41988</v>
      </c>
      <c r="GM1945" s="1" t="s">
        <v>17863</v>
      </c>
    </row>
    <row r="1946" spans="1:195">
      <c r="A1946" s="1">
        <v>119500</v>
      </c>
      <c r="B1946" s="1" t="s">
        <v>195</v>
      </c>
      <c r="C1946" s="1" t="str">
        <f>"08735826"</f>
        <v>08735826</v>
      </c>
      <c r="D1946" s="1" t="s">
        <v>196</v>
      </c>
      <c r="F1946" s="1" t="str">
        <f>"540"</f>
        <v>540</v>
      </c>
      <c r="G1946" s="2">
        <v>41905</v>
      </c>
      <c r="H1946" s="1">
        <v>133400</v>
      </c>
      <c r="I1946" s="1">
        <v>133400</v>
      </c>
      <c r="J1946" s="1">
        <v>119500</v>
      </c>
      <c r="K1946" s="2">
        <v>41904</v>
      </c>
      <c r="L1946" s="1">
        <v>52</v>
      </c>
      <c r="M1946" s="2">
        <v>41955</v>
      </c>
      <c r="N1946" s="1">
        <v>52</v>
      </c>
      <c r="O1946" s="2">
        <v>41955</v>
      </c>
      <c r="P1946" s="1">
        <v>24695</v>
      </c>
      <c r="Q1946" s="1" t="s">
        <v>302</v>
      </c>
      <c r="R1946" s="2">
        <v>41991</v>
      </c>
      <c r="S1946" s="1">
        <v>233647</v>
      </c>
      <c r="U1946" s="1">
        <v>2435</v>
      </c>
      <c r="V1946" s="1" t="s">
        <v>4860</v>
      </c>
      <c r="W1946" s="1" t="s">
        <v>264</v>
      </c>
      <c r="X1946" s="1">
        <v>103</v>
      </c>
      <c r="Y1946" s="1">
        <v>8</v>
      </c>
      <c r="Z1946" s="1" t="s">
        <v>370</v>
      </c>
      <c r="AA1946" s="1" t="s">
        <v>921</v>
      </c>
      <c r="AB1946" s="1">
        <v>60564</v>
      </c>
      <c r="AD1946" s="1" t="s">
        <v>2213</v>
      </c>
      <c r="AE1946" s="1" t="s">
        <v>17864</v>
      </c>
      <c r="AF1946" s="1">
        <v>2000</v>
      </c>
      <c r="AG1946" s="1" t="s">
        <v>204</v>
      </c>
      <c r="AH1946" s="1" t="s">
        <v>924</v>
      </c>
      <c r="AI1946" s="1" t="s">
        <v>1800</v>
      </c>
      <c r="AJ1946" s="1" t="s">
        <v>1801</v>
      </c>
      <c r="AL1946" s="1">
        <v>5</v>
      </c>
      <c r="AM1946" s="1">
        <v>2</v>
      </c>
      <c r="AN1946" s="1">
        <v>2</v>
      </c>
      <c r="AO1946" s="1">
        <v>0</v>
      </c>
      <c r="AP1946" s="1" t="s">
        <v>209</v>
      </c>
      <c r="AR1946" s="1" t="s">
        <v>210</v>
      </c>
      <c r="AS1946" s="1" t="s">
        <v>204</v>
      </c>
      <c r="AT1946" s="1" t="s">
        <v>211</v>
      </c>
      <c r="AU1946" s="1">
        <v>1</v>
      </c>
      <c r="AW1946" s="1" t="s">
        <v>204</v>
      </c>
      <c r="AX1946" s="1" t="s">
        <v>17865</v>
      </c>
      <c r="AZ1946" s="1">
        <v>3197</v>
      </c>
      <c r="BA1946" s="1">
        <v>2012</v>
      </c>
      <c r="BB1946" s="1" t="s">
        <v>210</v>
      </c>
      <c r="BE1946" s="1">
        <v>1101</v>
      </c>
      <c r="BF1946" s="1">
        <v>1</v>
      </c>
      <c r="BG1946" s="1">
        <v>30</v>
      </c>
      <c r="BL1946" s="1">
        <v>219</v>
      </c>
      <c r="BM1946" s="1" t="s">
        <v>413</v>
      </c>
      <c r="BN1946" s="1" t="s">
        <v>213</v>
      </c>
      <c r="BO1946" s="1">
        <v>999</v>
      </c>
      <c r="BP1946" s="1" t="s">
        <v>204</v>
      </c>
      <c r="BR1946" s="1" t="str">
        <f>"01031020431003"</f>
        <v>01031020431003</v>
      </c>
      <c r="BT1946" s="1" t="s">
        <v>17866</v>
      </c>
      <c r="BX1946" s="1">
        <v>204</v>
      </c>
      <c r="BY1946" s="1">
        <v>204</v>
      </c>
      <c r="BZ1946" s="1">
        <v>204</v>
      </c>
      <c r="CB1946" s="1" t="str">
        <f t="shared" ref="CB1946:CC1946" si="1483">""</f>
        <v/>
      </c>
      <c r="CC1946" s="1" t="str">
        <f t="shared" si="1483"/>
        <v/>
      </c>
      <c r="CG1946" s="1" t="s">
        <v>1469</v>
      </c>
      <c r="CH1946" s="1" t="s">
        <v>219</v>
      </c>
      <c r="CI1946" s="1" t="s">
        <v>342</v>
      </c>
      <c r="CJ1946" s="1" t="s">
        <v>210</v>
      </c>
      <c r="CK1946" s="1" t="s">
        <v>280</v>
      </c>
      <c r="CL1946" s="1" t="s">
        <v>219</v>
      </c>
      <c r="CM1946" s="1" t="s">
        <v>220</v>
      </c>
      <c r="CN1946" s="1" t="s">
        <v>210</v>
      </c>
      <c r="CO1946" s="1" t="s">
        <v>1107</v>
      </c>
      <c r="CP1946" s="1" t="s">
        <v>219</v>
      </c>
      <c r="CQ1946" s="1" t="s">
        <v>342</v>
      </c>
      <c r="CR1946" s="1" t="s">
        <v>210</v>
      </c>
      <c r="CS1946" s="1" t="s">
        <v>630</v>
      </c>
      <c r="CT1946" s="1" t="s">
        <v>219</v>
      </c>
      <c r="CU1946" s="1" t="s">
        <v>220</v>
      </c>
      <c r="CX1946" s="1" t="s">
        <v>224</v>
      </c>
      <c r="DB1946" s="1" t="s">
        <v>224</v>
      </c>
      <c r="DE1946" s="1" t="s">
        <v>489</v>
      </c>
      <c r="DF1946" s="1" t="s">
        <v>219</v>
      </c>
      <c r="DG1946" s="1" t="s">
        <v>342</v>
      </c>
      <c r="DH1946" s="1" t="s">
        <v>210</v>
      </c>
      <c r="DJ1946" s="1" t="s">
        <v>224</v>
      </c>
      <c r="DS1946" s="1" t="s">
        <v>230</v>
      </c>
      <c r="DW1946" s="1" t="s">
        <v>230</v>
      </c>
      <c r="EA1946" s="1" t="s">
        <v>230</v>
      </c>
      <c r="EE1946" s="1" t="s">
        <v>230</v>
      </c>
      <c r="EI1946" s="1" t="s">
        <v>230</v>
      </c>
      <c r="EL1946" s="1" t="s">
        <v>466</v>
      </c>
      <c r="EM1946" s="1" t="s">
        <v>319</v>
      </c>
      <c r="EN1946" s="1" t="s">
        <v>282</v>
      </c>
      <c r="EO1946" s="1" t="s">
        <v>234</v>
      </c>
      <c r="ER1946" s="1" t="s">
        <v>383</v>
      </c>
      <c r="ES1946" s="1" t="s">
        <v>322</v>
      </c>
      <c r="EU1946" s="1" t="s">
        <v>239</v>
      </c>
      <c r="EV1946" s="1" t="s">
        <v>240</v>
      </c>
      <c r="EW1946" s="1" t="s">
        <v>2089</v>
      </c>
      <c r="EY1946" s="1" t="s">
        <v>242</v>
      </c>
      <c r="EZ1946" s="1" t="s">
        <v>287</v>
      </c>
      <c r="FC1946" s="1" t="s">
        <v>326</v>
      </c>
      <c r="FD1946" s="1" t="s">
        <v>246</v>
      </c>
      <c r="FE1946" s="1" t="s">
        <v>247</v>
      </c>
      <c r="FF1946" s="1" t="s">
        <v>387</v>
      </c>
      <c r="FH1946" s="1" t="s">
        <v>249</v>
      </c>
      <c r="FI1946" s="1" t="s">
        <v>473</v>
      </c>
      <c r="FJ1946" s="1" t="s">
        <v>197</v>
      </c>
      <c r="FL1946" s="1" t="s">
        <v>358</v>
      </c>
      <c r="FM1946" s="1" t="s">
        <v>252</v>
      </c>
      <c r="FN1946" s="1" t="s">
        <v>204</v>
      </c>
      <c r="FO1946" s="1" t="s">
        <v>213</v>
      </c>
      <c r="FQ1946" s="1" t="s">
        <v>17867</v>
      </c>
      <c r="FR1946" s="1" t="s">
        <v>210</v>
      </c>
      <c r="FS1946" s="1" t="s">
        <v>1709</v>
      </c>
      <c r="FT1946" s="1" t="s">
        <v>255</v>
      </c>
      <c r="FU1946" s="1" t="s">
        <v>204</v>
      </c>
      <c r="FW1946" s="1" t="s">
        <v>2563</v>
      </c>
      <c r="FX1946" s="1">
        <v>25558</v>
      </c>
      <c r="FY1946" s="1" t="s">
        <v>4051</v>
      </c>
      <c r="FZ1946" s="1" t="s">
        <v>17868</v>
      </c>
      <c r="GA1946" s="1">
        <v>220342</v>
      </c>
      <c r="GB1946" s="1" t="s">
        <v>17869</v>
      </c>
      <c r="GE1946" s="1" t="s">
        <v>210</v>
      </c>
      <c r="GI1946" s="1" t="s">
        <v>204</v>
      </c>
      <c r="GJ1946" s="1" t="s">
        <v>260</v>
      </c>
      <c r="GK1946" s="1" t="s">
        <v>210</v>
      </c>
      <c r="GL1946" s="2">
        <v>41992</v>
      </c>
      <c r="GM1946" s="1" t="s">
        <v>17870</v>
      </c>
    </row>
    <row r="1947" spans="1:195">
      <c r="A1947" s="1">
        <v>162500</v>
      </c>
      <c r="B1947" s="1" t="s">
        <v>195</v>
      </c>
      <c r="C1947" s="1" t="str">
        <f>"08729196"</f>
        <v>08729196</v>
      </c>
      <c r="D1947" s="1" t="s">
        <v>196</v>
      </c>
      <c r="F1947" s="1" t="str">
        <f t="shared" ref="F1947:F1949" si="1484">"507"</f>
        <v>507</v>
      </c>
      <c r="G1947" s="2">
        <v>41898</v>
      </c>
      <c r="H1947" s="1">
        <v>175000</v>
      </c>
      <c r="I1947" s="1">
        <v>175000</v>
      </c>
      <c r="J1947" s="1">
        <v>162500</v>
      </c>
      <c r="K1947" s="2">
        <v>41898</v>
      </c>
      <c r="L1947" s="1">
        <v>102</v>
      </c>
      <c r="M1947" s="2">
        <v>41933</v>
      </c>
      <c r="N1947" s="1">
        <v>36</v>
      </c>
      <c r="O1947" s="2">
        <v>41933</v>
      </c>
      <c r="P1947" s="1">
        <v>22029</v>
      </c>
      <c r="Q1947" s="1" t="s">
        <v>197</v>
      </c>
      <c r="R1947" s="2">
        <v>41978</v>
      </c>
      <c r="S1947" s="1">
        <v>219587</v>
      </c>
      <c r="U1947" s="1">
        <v>3240</v>
      </c>
      <c r="V1947" s="1" t="s">
        <v>17871</v>
      </c>
      <c r="W1947" s="1" t="s">
        <v>504</v>
      </c>
      <c r="Y1947" s="1">
        <v>4</v>
      </c>
      <c r="Z1947" s="1" t="s">
        <v>249</v>
      </c>
      <c r="AA1947" s="1" t="s">
        <v>1123</v>
      </c>
      <c r="AB1947" s="1">
        <v>60502</v>
      </c>
      <c r="AE1947" s="1" t="s">
        <v>17872</v>
      </c>
      <c r="AF1947" s="1">
        <v>2002</v>
      </c>
      <c r="AG1947" s="1" t="s">
        <v>204</v>
      </c>
      <c r="AH1947" s="1" t="s">
        <v>1126</v>
      </c>
      <c r="AI1947" s="1" t="s">
        <v>206</v>
      </c>
      <c r="AJ1947" s="1" t="s">
        <v>924</v>
      </c>
      <c r="AL1947" s="1">
        <v>6</v>
      </c>
      <c r="AM1947" s="1">
        <v>2</v>
      </c>
      <c r="AN1947" s="1">
        <v>2</v>
      </c>
      <c r="AO1947" s="1">
        <v>1</v>
      </c>
      <c r="AP1947" s="1" t="s">
        <v>210</v>
      </c>
      <c r="AR1947" s="1" t="s">
        <v>210</v>
      </c>
      <c r="AT1947" s="1" t="s">
        <v>211</v>
      </c>
      <c r="AU1947" s="1">
        <v>2</v>
      </c>
      <c r="AW1947" s="1" t="s">
        <v>204</v>
      </c>
      <c r="AX1947" s="1" t="s">
        <v>212</v>
      </c>
      <c r="AZ1947" s="1">
        <v>4882.22</v>
      </c>
      <c r="BA1947" s="1">
        <v>2013</v>
      </c>
      <c r="BB1947" s="1" t="s">
        <v>405</v>
      </c>
      <c r="BE1947" s="1">
        <v>1560</v>
      </c>
      <c r="BF1947" s="1">
        <v>1</v>
      </c>
      <c r="BG1947" s="1">
        <v>30</v>
      </c>
      <c r="BL1947" s="1">
        <v>149</v>
      </c>
      <c r="BM1947" s="1" t="s">
        <v>204</v>
      </c>
      <c r="BN1947" s="1" t="s">
        <v>213</v>
      </c>
      <c r="BO1947" s="1">
        <v>0</v>
      </c>
      <c r="BP1947" s="1" t="s">
        <v>204</v>
      </c>
      <c r="BR1947" s="1" t="str">
        <f>"0717121103"</f>
        <v>0717121103</v>
      </c>
      <c r="BT1947" s="1" t="s">
        <v>17873</v>
      </c>
      <c r="BX1947" s="1">
        <v>204</v>
      </c>
      <c r="BY1947" s="1">
        <v>204</v>
      </c>
      <c r="BZ1947" s="1">
        <v>204</v>
      </c>
      <c r="CB1947" s="1" t="str">
        <f t="shared" ref="CB1947:CC1947" si="1485">""</f>
        <v/>
      </c>
      <c r="CC1947" s="1" t="str">
        <f t="shared" si="1485"/>
        <v/>
      </c>
      <c r="CG1947" s="1" t="s">
        <v>1155</v>
      </c>
      <c r="CH1947" s="1" t="s">
        <v>219</v>
      </c>
      <c r="CI1947" s="1" t="s">
        <v>220</v>
      </c>
      <c r="CK1947" s="1" t="s">
        <v>1004</v>
      </c>
      <c r="CL1947" s="1" t="s">
        <v>277</v>
      </c>
      <c r="CM1947" s="1" t="s">
        <v>220</v>
      </c>
      <c r="CO1947" s="1" t="s">
        <v>837</v>
      </c>
      <c r="CP1947" s="1" t="s">
        <v>219</v>
      </c>
      <c r="CQ1947" s="1" t="s">
        <v>226</v>
      </c>
      <c r="CS1947" s="1" t="s">
        <v>317</v>
      </c>
      <c r="CT1947" s="1" t="s">
        <v>277</v>
      </c>
      <c r="CU1947" s="1" t="s">
        <v>220</v>
      </c>
      <c r="CX1947" s="1" t="s">
        <v>224</v>
      </c>
      <c r="DB1947" s="1" t="s">
        <v>224</v>
      </c>
      <c r="DE1947" s="1" t="s">
        <v>837</v>
      </c>
      <c r="DF1947" s="1" t="s">
        <v>219</v>
      </c>
      <c r="DG1947" s="1" t="s">
        <v>226</v>
      </c>
      <c r="DJ1947" s="1" t="s">
        <v>224</v>
      </c>
      <c r="DM1947" s="1" t="s">
        <v>464</v>
      </c>
      <c r="DR1947" s="1" t="s">
        <v>465</v>
      </c>
      <c r="DS1947" s="1" t="s">
        <v>277</v>
      </c>
      <c r="DT1947" s="1" t="s">
        <v>220</v>
      </c>
      <c r="DW1947" s="1" t="s">
        <v>230</v>
      </c>
      <c r="EA1947" s="1" t="s">
        <v>230</v>
      </c>
      <c r="EE1947" s="1" t="s">
        <v>230</v>
      </c>
      <c r="EI1947" s="1" t="s">
        <v>230</v>
      </c>
      <c r="EL1947" s="1" t="s">
        <v>466</v>
      </c>
      <c r="EM1947" s="1" t="s">
        <v>319</v>
      </c>
      <c r="EN1947" s="1" t="s">
        <v>282</v>
      </c>
      <c r="EO1947" s="1" t="s">
        <v>234</v>
      </c>
      <c r="ER1947" s="1" t="s">
        <v>383</v>
      </c>
      <c r="EV1947" s="1" t="s">
        <v>324</v>
      </c>
      <c r="EW1947" s="1" t="s">
        <v>353</v>
      </c>
      <c r="EZ1947" s="1" t="s">
        <v>464</v>
      </c>
      <c r="FD1947" s="1" t="s">
        <v>246</v>
      </c>
      <c r="FE1947" s="1" t="s">
        <v>472</v>
      </c>
      <c r="FF1947" s="1" t="s">
        <v>248</v>
      </c>
      <c r="FH1947" s="1" t="s">
        <v>550</v>
      </c>
      <c r="FL1947" s="1" t="s">
        <v>358</v>
      </c>
      <c r="FM1947" s="1" t="s">
        <v>252</v>
      </c>
      <c r="FN1947" s="1" t="s">
        <v>213</v>
      </c>
      <c r="FO1947" s="1" t="s">
        <v>213</v>
      </c>
      <c r="FQ1947" s="1" t="s">
        <v>17874</v>
      </c>
      <c r="FR1947" s="1" t="s">
        <v>652</v>
      </c>
      <c r="FS1947" s="1" t="s">
        <v>1709</v>
      </c>
      <c r="FT1947" s="1" t="s">
        <v>362</v>
      </c>
      <c r="FU1947" s="1" t="s">
        <v>204</v>
      </c>
      <c r="FW1947" s="1" t="s">
        <v>17875</v>
      </c>
      <c r="FX1947" s="1">
        <v>1101</v>
      </c>
      <c r="FY1947" s="1" t="s">
        <v>17876</v>
      </c>
      <c r="FZ1947" s="1" t="s">
        <v>17877</v>
      </c>
      <c r="GA1947" s="1">
        <v>20099</v>
      </c>
      <c r="GB1947" s="1" t="s">
        <v>17878</v>
      </c>
      <c r="GE1947" s="1" t="s">
        <v>210</v>
      </c>
      <c r="GI1947" s="1" t="s">
        <v>213</v>
      </c>
      <c r="GJ1947" s="1" t="s">
        <v>260</v>
      </c>
      <c r="GK1947" s="1" t="s">
        <v>210</v>
      </c>
      <c r="GL1947" s="2">
        <v>41978</v>
      </c>
      <c r="GM1947" s="1" t="s">
        <v>17879</v>
      </c>
    </row>
    <row r="1948" spans="1:195">
      <c r="A1948" s="1">
        <v>119900</v>
      </c>
      <c r="B1948" s="1" t="s">
        <v>195</v>
      </c>
      <c r="C1948" s="1" t="str">
        <f>"08733413"</f>
        <v>08733413</v>
      </c>
      <c r="D1948" s="1" t="s">
        <v>196</v>
      </c>
      <c r="F1948" s="1" t="str">
        <f t="shared" si="1484"/>
        <v>507</v>
      </c>
      <c r="G1948" s="2">
        <v>41901</v>
      </c>
      <c r="H1948" s="1">
        <v>129900</v>
      </c>
      <c r="I1948" s="1">
        <v>119900</v>
      </c>
      <c r="J1948" s="1">
        <v>119900</v>
      </c>
      <c r="K1948" s="2">
        <v>41901</v>
      </c>
      <c r="L1948" s="1">
        <v>29</v>
      </c>
      <c r="M1948" s="2">
        <v>41929</v>
      </c>
      <c r="N1948" s="1">
        <v>29</v>
      </c>
      <c r="O1948" s="2">
        <v>41929</v>
      </c>
      <c r="P1948" s="1">
        <v>23156</v>
      </c>
      <c r="Q1948" s="1" t="s">
        <v>197</v>
      </c>
      <c r="R1948" s="2">
        <v>41969</v>
      </c>
      <c r="S1948" s="1">
        <v>240262</v>
      </c>
      <c r="U1948" s="1">
        <v>1758</v>
      </c>
      <c r="V1948" s="1" t="s">
        <v>17880</v>
      </c>
      <c r="W1948" s="1" t="s">
        <v>264</v>
      </c>
      <c r="X1948" s="1">
        <v>1758</v>
      </c>
      <c r="Y1948" s="1">
        <v>4</v>
      </c>
      <c r="Z1948" s="1" t="s">
        <v>370</v>
      </c>
      <c r="AA1948" s="1" t="s">
        <v>1123</v>
      </c>
      <c r="AB1948" s="1">
        <v>60506</v>
      </c>
      <c r="AD1948" s="1" t="s">
        <v>17881</v>
      </c>
      <c r="AE1948" s="1" t="s">
        <v>17882</v>
      </c>
      <c r="AF1948" s="1">
        <v>1994</v>
      </c>
      <c r="AG1948" s="1" t="s">
        <v>204</v>
      </c>
      <c r="AH1948" s="1" t="s">
        <v>1126</v>
      </c>
      <c r="AI1948" s="1" t="s">
        <v>665</v>
      </c>
      <c r="AJ1948" s="1" t="s">
        <v>1126</v>
      </c>
      <c r="AL1948" s="1">
        <v>7</v>
      </c>
      <c r="AM1948" s="1">
        <v>2</v>
      </c>
      <c r="AN1948" s="1">
        <v>1</v>
      </c>
      <c r="AO1948" s="1">
        <v>1</v>
      </c>
      <c r="AP1948" s="1" t="s">
        <v>667</v>
      </c>
      <c r="AQ1948" s="1">
        <v>1</v>
      </c>
      <c r="AR1948" s="1" t="s">
        <v>209</v>
      </c>
      <c r="AS1948" s="1" t="s">
        <v>204</v>
      </c>
      <c r="AT1948" s="1" t="s">
        <v>211</v>
      </c>
      <c r="AU1948" s="1">
        <v>1</v>
      </c>
      <c r="AW1948" s="1" t="s">
        <v>204</v>
      </c>
      <c r="AX1948" s="1" t="s">
        <v>212</v>
      </c>
      <c r="AZ1948" s="1">
        <v>3994</v>
      </c>
      <c r="BA1948" s="1">
        <v>2012</v>
      </c>
      <c r="BE1948" s="1">
        <v>1162</v>
      </c>
      <c r="BF1948" s="1">
        <v>1</v>
      </c>
      <c r="BG1948" s="1">
        <v>0</v>
      </c>
      <c r="BL1948" s="1">
        <v>158</v>
      </c>
      <c r="BM1948" s="1" t="s">
        <v>204</v>
      </c>
      <c r="BN1948" s="1" t="s">
        <v>213</v>
      </c>
      <c r="BO1948" s="1">
        <v>999</v>
      </c>
      <c r="BP1948" s="1" t="s">
        <v>204</v>
      </c>
      <c r="BR1948" s="1" t="str">
        <f>"1517101021"</f>
        <v>1517101021</v>
      </c>
      <c r="BT1948" s="1" t="s">
        <v>17883</v>
      </c>
      <c r="BX1948" s="1">
        <v>129</v>
      </c>
      <c r="BY1948" s="1">
        <v>129</v>
      </c>
      <c r="BZ1948" s="1">
        <v>129</v>
      </c>
      <c r="CB1948" s="1" t="str">
        <f t="shared" ref="CB1948:CC1948" si="1486">"0"</f>
        <v>0</v>
      </c>
      <c r="CC1948" s="1" t="str">
        <f t="shared" si="1486"/>
        <v>0</v>
      </c>
      <c r="CD1948" s="1">
        <v>37</v>
      </c>
      <c r="CE1948" s="1">
        <v>6</v>
      </c>
      <c r="CG1948" s="1" t="s">
        <v>729</v>
      </c>
      <c r="CH1948" s="1" t="s">
        <v>219</v>
      </c>
      <c r="CI1948" s="1" t="s">
        <v>229</v>
      </c>
      <c r="CJ1948" s="1" t="s">
        <v>343</v>
      </c>
      <c r="CK1948" s="1" t="s">
        <v>218</v>
      </c>
      <c r="CL1948" s="1" t="s">
        <v>277</v>
      </c>
      <c r="CM1948" s="1" t="s">
        <v>220</v>
      </c>
      <c r="CN1948" s="1" t="s">
        <v>343</v>
      </c>
      <c r="CO1948" s="1" t="s">
        <v>837</v>
      </c>
      <c r="CP1948" s="1" t="s">
        <v>219</v>
      </c>
      <c r="CQ1948" s="1" t="s">
        <v>229</v>
      </c>
      <c r="CR1948" s="1" t="s">
        <v>343</v>
      </c>
      <c r="CS1948" s="1" t="s">
        <v>379</v>
      </c>
      <c r="CT1948" s="1" t="s">
        <v>277</v>
      </c>
      <c r="CU1948" s="1" t="s">
        <v>220</v>
      </c>
      <c r="CV1948" s="1" t="s">
        <v>343</v>
      </c>
      <c r="CX1948" s="1" t="s">
        <v>224</v>
      </c>
      <c r="DB1948" s="1" t="s">
        <v>224</v>
      </c>
      <c r="DE1948" s="1" t="s">
        <v>837</v>
      </c>
      <c r="DF1948" s="1" t="s">
        <v>219</v>
      </c>
      <c r="DG1948" s="1" t="s">
        <v>229</v>
      </c>
      <c r="DH1948" s="1" t="s">
        <v>210</v>
      </c>
      <c r="DJ1948" s="1" t="s">
        <v>224</v>
      </c>
      <c r="DM1948" s="1" t="s">
        <v>934</v>
      </c>
      <c r="DN1948" s="1" t="s">
        <v>709</v>
      </c>
      <c r="DO1948" s="1" t="s">
        <v>17884</v>
      </c>
      <c r="DR1948" s="1" t="s">
        <v>1425</v>
      </c>
      <c r="DS1948" s="1" t="s">
        <v>43</v>
      </c>
      <c r="DT1948" s="1" t="s">
        <v>229</v>
      </c>
      <c r="DV1948" s="1" t="s">
        <v>1750</v>
      </c>
      <c r="DW1948" s="1" t="s">
        <v>219</v>
      </c>
      <c r="DX1948" s="1" t="s">
        <v>229</v>
      </c>
      <c r="DZ1948" s="1" t="s">
        <v>837</v>
      </c>
      <c r="EA1948" s="1" t="s">
        <v>43</v>
      </c>
      <c r="EB1948" s="1" t="s">
        <v>229</v>
      </c>
      <c r="EE1948" s="1" t="s">
        <v>230</v>
      </c>
      <c r="EI1948" s="1" t="s">
        <v>230</v>
      </c>
      <c r="EL1948" s="1" t="s">
        <v>670</v>
      </c>
      <c r="EM1948" s="1" t="s">
        <v>319</v>
      </c>
      <c r="EN1948" s="1" t="s">
        <v>282</v>
      </c>
      <c r="EO1948" s="1" t="s">
        <v>234</v>
      </c>
      <c r="EP1948" s="1" t="s">
        <v>788</v>
      </c>
      <c r="EQ1948" s="1" t="s">
        <v>953</v>
      </c>
      <c r="ER1948" s="1" t="s">
        <v>544</v>
      </c>
      <c r="ES1948" s="1" t="s">
        <v>824</v>
      </c>
      <c r="ET1948" s="1" t="s">
        <v>842</v>
      </c>
      <c r="EU1948" s="1" t="s">
        <v>712</v>
      </c>
      <c r="EV1948" s="1" t="s">
        <v>324</v>
      </c>
      <c r="EW1948" s="1" t="s">
        <v>911</v>
      </c>
      <c r="EY1948" s="1" t="s">
        <v>242</v>
      </c>
      <c r="EZ1948" s="1" t="s">
        <v>17885</v>
      </c>
      <c r="FA1948" s="1" t="s">
        <v>17886</v>
      </c>
      <c r="FB1948" s="1" t="s">
        <v>289</v>
      </c>
      <c r="FD1948" s="1" t="s">
        <v>246</v>
      </c>
      <c r="FE1948" s="1" t="s">
        <v>355</v>
      </c>
      <c r="FF1948" s="1" t="s">
        <v>248</v>
      </c>
      <c r="FG1948" s="1" t="s">
        <v>17887</v>
      </c>
      <c r="FH1948" s="1" t="s">
        <v>249</v>
      </c>
      <c r="FI1948" s="1" t="s">
        <v>473</v>
      </c>
      <c r="FJ1948" s="1" t="s">
        <v>518</v>
      </c>
      <c r="FL1948" s="1" t="s">
        <v>358</v>
      </c>
      <c r="FM1948" s="1" t="s">
        <v>252</v>
      </c>
      <c r="FN1948" s="1" t="s">
        <v>213</v>
      </c>
      <c r="FO1948" s="1" t="s">
        <v>213</v>
      </c>
      <c r="FQ1948" s="1" t="s">
        <v>1758</v>
      </c>
      <c r="FR1948" s="1" t="s">
        <v>210</v>
      </c>
      <c r="FS1948" s="1" t="s">
        <v>17888</v>
      </c>
      <c r="FT1948" s="1" t="s">
        <v>17889</v>
      </c>
      <c r="FU1948" s="1" t="s">
        <v>213</v>
      </c>
      <c r="FW1948" s="1" t="s">
        <v>915</v>
      </c>
      <c r="FX1948" s="1">
        <v>23076</v>
      </c>
      <c r="FY1948" s="1" t="s">
        <v>1909</v>
      </c>
      <c r="FZ1948" s="1" t="s">
        <v>17890</v>
      </c>
      <c r="GA1948" s="1">
        <v>228466</v>
      </c>
      <c r="GB1948" s="1" t="s">
        <v>17891</v>
      </c>
      <c r="GE1948" s="1" t="s">
        <v>480</v>
      </c>
      <c r="GI1948" s="1" t="s">
        <v>213</v>
      </c>
      <c r="GJ1948" s="1" t="s">
        <v>260</v>
      </c>
      <c r="GK1948" s="1" t="s">
        <v>210</v>
      </c>
      <c r="GL1948" s="2">
        <v>41969</v>
      </c>
      <c r="GM1948" s="1" t="s">
        <v>17892</v>
      </c>
    </row>
    <row r="1949" spans="1:195">
      <c r="A1949" s="1">
        <v>142000</v>
      </c>
      <c r="B1949" s="1" t="s">
        <v>195</v>
      </c>
      <c r="C1949" s="1" t="str">
        <f>"08735474"</f>
        <v>08735474</v>
      </c>
      <c r="D1949" s="1" t="s">
        <v>196</v>
      </c>
      <c r="F1949" s="1" t="str">
        <f t="shared" si="1484"/>
        <v>507</v>
      </c>
      <c r="G1949" s="2">
        <v>41905</v>
      </c>
      <c r="H1949" s="1">
        <v>144900</v>
      </c>
      <c r="I1949" s="1">
        <v>144900</v>
      </c>
      <c r="J1949" s="1">
        <v>142000</v>
      </c>
      <c r="K1949" s="2">
        <v>41905</v>
      </c>
      <c r="L1949" s="1">
        <v>209</v>
      </c>
      <c r="M1949" s="2">
        <v>41922</v>
      </c>
      <c r="N1949" s="1">
        <v>18</v>
      </c>
      <c r="O1949" s="2">
        <v>41922</v>
      </c>
      <c r="P1949" s="1">
        <v>75503</v>
      </c>
      <c r="Q1949" s="1" t="s">
        <v>197</v>
      </c>
      <c r="R1949" s="2">
        <v>41985</v>
      </c>
      <c r="S1949" s="1">
        <v>701980</v>
      </c>
      <c r="U1949" s="1">
        <v>2438</v>
      </c>
      <c r="V1949" s="1" t="s">
        <v>17893</v>
      </c>
      <c r="W1949" s="1" t="s">
        <v>264</v>
      </c>
      <c r="Y1949" s="1">
        <v>4</v>
      </c>
      <c r="Z1949" s="1" t="s">
        <v>249</v>
      </c>
      <c r="AA1949" s="1" t="s">
        <v>1123</v>
      </c>
      <c r="AB1949" s="1">
        <v>60503</v>
      </c>
      <c r="AD1949" s="1" t="s">
        <v>13683</v>
      </c>
      <c r="AE1949" s="1" t="s">
        <v>17894</v>
      </c>
      <c r="AF1949" s="1">
        <v>2002</v>
      </c>
      <c r="AG1949" s="1" t="s">
        <v>204</v>
      </c>
      <c r="AH1949" s="1" t="s">
        <v>1126</v>
      </c>
      <c r="AI1949" s="1" t="s">
        <v>1800</v>
      </c>
      <c r="AJ1949" s="1" t="s">
        <v>1801</v>
      </c>
      <c r="AL1949" s="1">
        <v>7</v>
      </c>
      <c r="AM1949" s="1">
        <v>2</v>
      </c>
      <c r="AN1949" s="1">
        <v>2</v>
      </c>
      <c r="AO1949" s="1">
        <v>0</v>
      </c>
      <c r="AP1949" s="1" t="s">
        <v>455</v>
      </c>
      <c r="AR1949" s="1" t="s">
        <v>1483</v>
      </c>
      <c r="AS1949" s="1" t="s">
        <v>213</v>
      </c>
      <c r="AT1949" s="1" t="s">
        <v>211</v>
      </c>
      <c r="AU1949" s="1">
        <v>2</v>
      </c>
      <c r="AW1949" s="1" t="s">
        <v>204</v>
      </c>
      <c r="AX1949" s="1" t="s">
        <v>212</v>
      </c>
      <c r="AZ1949" s="1">
        <v>4297.0200000000004</v>
      </c>
      <c r="BA1949" s="1">
        <v>2013</v>
      </c>
      <c r="BB1949" s="1" t="s">
        <v>405</v>
      </c>
      <c r="BE1949" s="1">
        <v>1352</v>
      </c>
      <c r="BF1949" s="1">
        <v>1</v>
      </c>
      <c r="BG1949" s="1">
        <v>0</v>
      </c>
      <c r="BL1949" s="1">
        <v>248</v>
      </c>
      <c r="BM1949" s="1" t="s">
        <v>213</v>
      </c>
      <c r="BN1949" s="1" t="s">
        <v>213</v>
      </c>
      <c r="BO1949" s="1">
        <v>50</v>
      </c>
      <c r="BP1949" s="1" t="s">
        <v>204</v>
      </c>
      <c r="BR1949" s="1" t="str">
        <f>"01061090561004"</f>
        <v>01061090561004</v>
      </c>
      <c r="BT1949" s="1" t="s">
        <v>17895</v>
      </c>
      <c r="BU1949" s="1" t="s">
        <v>1400</v>
      </c>
      <c r="BV1949" s="1" t="s">
        <v>7954</v>
      </c>
      <c r="BW1949" s="1" t="s">
        <v>1401</v>
      </c>
      <c r="BX1949" s="1">
        <v>308</v>
      </c>
      <c r="BY1949" s="1">
        <v>308</v>
      </c>
      <c r="BZ1949" s="1">
        <v>308</v>
      </c>
      <c r="CB1949" s="1" t="str">
        <f t="shared" ref="CB1949:CC1949" si="1487">""</f>
        <v/>
      </c>
      <c r="CC1949" s="1" t="str">
        <f t="shared" si="1487"/>
        <v/>
      </c>
      <c r="CG1949" s="1" t="s">
        <v>280</v>
      </c>
      <c r="CH1949" s="1" t="s">
        <v>219</v>
      </c>
      <c r="CI1949" s="1" t="s">
        <v>438</v>
      </c>
      <c r="CJ1949" s="1" t="s">
        <v>252</v>
      </c>
      <c r="CK1949" s="1" t="s">
        <v>3083</v>
      </c>
      <c r="CL1949" s="1" t="s">
        <v>219</v>
      </c>
      <c r="CM1949" s="1" t="s">
        <v>220</v>
      </c>
      <c r="CN1949" s="1" t="s">
        <v>252</v>
      </c>
      <c r="CO1949" s="1" t="s">
        <v>379</v>
      </c>
      <c r="CP1949" s="1" t="s">
        <v>219</v>
      </c>
      <c r="CQ1949" s="1" t="s">
        <v>438</v>
      </c>
      <c r="CR1949" s="1" t="s">
        <v>252</v>
      </c>
      <c r="CS1949" s="1" t="s">
        <v>379</v>
      </c>
      <c r="CT1949" s="1" t="s">
        <v>219</v>
      </c>
      <c r="CU1949" s="1" t="s">
        <v>220</v>
      </c>
      <c r="CV1949" s="1" t="s">
        <v>252</v>
      </c>
      <c r="CX1949" s="1" t="s">
        <v>224</v>
      </c>
      <c r="DB1949" s="1" t="s">
        <v>224</v>
      </c>
      <c r="DE1949" s="1" t="s">
        <v>1469</v>
      </c>
      <c r="DF1949" s="1" t="s">
        <v>219</v>
      </c>
      <c r="DG1949" s="1" t="s">
        <v>438</v>
      </c>
      <c r="DH1949" s="1" t="s">
        <v>210</v>
      </c>
      <c r="DI1949" s="1" t="s">
        <v>9164</v>
      </c>
      <c r="DJ1949" s="1" t="s">
        <v>822</v>
      </c>
      <c r="DK1949" s="1" t="s">
        <v>220</v>
      </c>
      <c r="DL1949" s="1" t="s">
        <v>252</v>
      </c>
      <c r="DM1949" s="1" t="s">
        <v>464</v>
      </c>
      <c r="DR1949" s="1" t="s">
        <v>281</v>
      </c>
      <c r="DS1949" s="1" t="s">
        <v>219</v>
      </c>
      <c r="DT1949" s="1" t="s">
        <v>220</v>
      </c>
      <c r="DU1949" s="1" t="s">
        <v>252</v>
      </c>
      <c r="DW1949" s="1" t="s">
        <v>230</v>
      </c>
      <c r="EA1949" s="1" t="s">
        <v>230</v>
      </c>
      <c r="EE1949" s="1" t="s">
        <v>230</v>
      </c>
      <c r="EI1949" s="1" t="s">
        <v>230</v>
      </c>
      <c r="EL1949" s="1" t="s">
        <v>466</v>
      </c>
      <c r="EM1949" s="1" t="s">
        <v>319</v>
      </c>
      <c r="EN1949" s="1" t="s">
        <v>282</v>
      </c>
      <c r="EO1949" s="1" t="s">
        <v>234</v>
      </c>
      <c r="EQ1949" s="1" t="s">
        <v>236</v>
      </c>
      <c r="ER1949" s="1" t="s">
        <v>544</v>
      </c>
      <c r="ES1949" s="1" t="s">
        <v>493</v>
      </c>
      <c r="EV1949" s="1" t="s">
        <v>324</v>
      </c>
      <c r="EW1949" s="1" t="s">
        <v>1804</v>
      </c>
      <c r="EZ1949" s="1" t="s">
        <v>464</v>
      </c>
      <c r="FA1949" s="1" t="s">
        <v>1726</v>
      </c>
      <c r="FD1949" s="1" t="s">
        <v>246</v>
      </c>
      <c r="FE1949" s="1" t="s">
        <v>472</v>
      </c>
      <c r="FF1949" s="1" t="s">
        <v>248</v>
      </c>
      <c r="FH1949" s="1" t="s">
        <v>550</v>
      </c>
      <c r="FI1949" s="1" t="s">
        <v>473</v>
      </c>
      <c r="FJ1949" s="1" t="s">
        <v>197</v>
      </c>
      <c r="FL1949" s="1" t="s">
        <v>358</v>
      </c>
      <c r="FM1949" s="1" t="s">
        <v>252</v>
      </c>
      <c r="FN1949" s="1" t="s">
        <v>213</v>
      </c>
      <c r="FO1949" s="1" t="s">
        <v>213</v>
      </c>
      <c r="FQ1949" s="1" t="s">
        <v>11090</v>
      </c>
      <c r="FR1949" s="1" t="s">
        <v>210</v>
      </c>
      <c r="FS1949" s="1" t="s">
        <v>17896</v>
      </c>
      <c r="FT1949" s="1" t="s">
        <v>1408</v>
      </c>
      <c r="FU1949" s="1" t="s">
        <v>204</v>
      </c>
      <c r="FW1949" s="1" t="s">
        <v>1409</v>
      </c>
      <c r="FX1949" s="1">
        <v>22667</v>
      </c>
      <c r="FY1949" s="1" t="s">
        <v>1410</v>
      </c>
      <c r="FZ1949" s="1" t="s">
        <v>1411</v>
      </c>
      <c r="GA1949" s="1">
        <v>220614</v>
      </c>
      <c r="GB1949" s="1" t="s">
        <v>1412</v>
      </c>
      <c r="GC1949" s="1">
        <v>228882</v>
      </c>
      <c r="GD1949" s="1">
        <v>220614</v>
      </c>
      <c r="GE1949" s="1" t="s">
        <v>480</v>
      </c>
      <c r="GI1949" s="1" t="s">
        <v>204</v>
      </c>
      <c r="GJ1949" s="1" t="s">
        <v>260</v>
      </c>
      <c r="GK1949" s="1" t="s">
        <v>1413</v>
      </c>
      <c r="GL1949" s="2">
        <v>41988</v>
      </c>
      <c r="GM1949" s="1" t="s">
        <v>17897</v>
      </c>
    </row>
    <row r="1950" spans="1:195">
      <c r="A1950" s="1">
        <v>179000</v>
      </c>
      <c r="B1950" s="1" t="s">
        <v>195</v>
      </c>
      <c r="C1950" s="1" t="str">
        <f>"08734860"</f>
        <v>08734860</v>
      </c>
      <c r="D1950" s="1" t="s">
        <v>196</v>
      </c>
      <c r="F1950" s="1" t="str">
        <f>"515"</f>
        <v>515</v>
      </c>
      <c r="G1950" s="2">
        <v>41904</v>
      </c>
      <c r="H1950" s="1">
        <v>195000</v>
      </c>
      <c r="I1950" s="1">
        <v>188000</v>
      </c>
      <c r="J1950" s="1">
        <v>179000</v>
      </c>
      <c r="K1950" s="2">
        <v>41904</v>
      </c>
      <c r="L1950" s="1">
        <v>182</v>
      </c>
      <c r="M1950" s="2">
        <v>42085</v>
      </c>
      <c r="N1950" s="1">
        <v>182</v>
      </c>
      <c r="O1950" s="2">
        <v>42085</v>
      </c>
      <c r="P1950" s="1">
        <v>23030</v>
      </c>
      <c r="Q1950" s="1" t="s">
        <v>302</v>
      </c>
      <c r="R1950" s="2">
        <v>42103</v>
      </c>
      <c r="S1950" s="1">
        <v>231618</v>
      </c>
      <c r="T1950" s="1">
        <v>1700</v>
      </c>
      <c r="U1950" s="1">
        <v>1903</v>
      </c>
      <c r="V1950" s="1" t="s">
        <v>4726</v>
      </c>
      <c r="W1950" s="1" t="s">
        <v>725</v>
      </c>
      <c r="Y1950" s="1">
        <v>5</v>
      </c>
      <c r="Z1950" s="1" t="s">
        <v>370</v>
      </c>
      <c r="AA1950" s="1" t="s">
        <v>1294</v>
      </c>
      <c r="AB1950" s="1">
        <v>60516</v>
      </c>
      <c r="AD1950" s="1" t="s">
        <v>17898</v>
      </c>
      <c r="AE1950" s="1" t="s">
        <v>17899</v>
      </c>
      <c r="AF1950" s="1">
        <v>1988</v>
      </c>
      <c r="AG1950" s="1" t="s">
        <v>204</v>
      </c>
      <c r="AH1950" s="1" t="s">
        <v>903</v>
      </c>
      <c r="AI1950" s="1" t="s">
        <v>206</v>
      </c>
      <c r="AJ1950" s="1" t="s">
        <v>903</v>
      </c>
      <c r="AK1950" s="1" t="s">
        <v>13518</v>
      </c>
      <c r="AL1950" s="1">
        <v>5</v>
      </c>
      <c r="AM1950" s="1">
        <v>2</v>
      </c>
      <c r="AN1950" s="1">
        <v>2</v>
      </c>
      <c r="AO1950" s="1">
        <v>1</v>
      </c>
      <c r="AP1950" s="1" t="s">
        <v>209</v>
      </c>
      <c r="AQ1950" s="1">
        <v>1</v>
      </c>
      <c r="AR1950" s="1" t="s">
        <v>210</v>
      </c>
      <c r="AT1950" s="1" t="s">
        <v>375</v>
      </c>
      <c r="AU1950" s="1">
        <v>1</v>
      </c>
      <c r="AV1950" s="1">
        <v>2</v>
      </c>
      <c r="AW1950" s="1" t="s">
        <v>204</v>
      </c>
      <c r="AX1950" s="1" t="s">
        <v>17900</v>
      </c>
      <c r="AZ1950" s="1">
        <v>3370</v>
      </c>
      <c r="BA1950" s="1">
        <v>2013</v>
      </c>
      <c r="BE1950" s="1">
        <v>1394</v>
      </c>
      <c r="BF1950" s="1">
        <v>1</v>
      </c>
      <c r="BG1950" s="1">
        <v>0</v>
      </c>
      <c r="BL1950" s="1">
        <v>200</v>
      </c>
      <c r="BM1950" s="1" t="s">
        <v>204</v>
      </c>
      <c r="BN1950" s="1" t="s">
        <v>213</v>
      </c>
      <c r="BO1950" s="1">
        <v>60</v>
      </c>
      <c r="BP1950" s="1" t="s">
        <v>204</v>
      </c>
      <c r="BR1950" s="1" t="str">
        <f>"0919117024"</f>
        <v>0919117024</v>
      </c>
      <c r="BT1950" s="1" t="s">
        <v>17901</v>
      </c>
      <c r="BU1950" s="1" t="s">
        <v>16731</v>
      </c>
      <c r="BV1950" s="1" t="s">
        <v>4258</v>
      </c>
      <c r="BW1950" s="1" t="s">
        <v>3099</v>
      </c>
      <c r="BX1950" s="1">
        <v>58</v>
      </c>
      <c r="BY1950" s="1">
        <v>58</v>
      </c>
      <c r="BZ1950" s="1">
        <v>99</v>
      </c>
      <c r="CB1950" s="1" t="str">
        <f t="shared" ref="CB1950:CC1950" si="1488">""</f>
        <v/>
      </c>
      <c r="CC1950" s="1" t="str">
        <f t="shared" si="1488"/>
        <v/>
      </c>
      <c r="CG1950" s="1" t="s">
        <v>2402</v>
      </c>
      <c r="CH1950" s="1" t="s">
        <v>219</v>
      </c>
      <c r="CI1950" s="1" t="s">
        <v>220</v>
      </c>
      <c r="CJ1950" s="1" t="s">
        <v>343</v>
      </c>
      <c r="CK1950" s="1" t="s">
        <v>377</v>
      </c>
      <c r="CL1950" s="1" t="s">
        <v>277</v>
      </c>
      <c r="CM1950" s="1" t="s">
        <v>220</v>
      </c>
      <c r="CN1950" s="1" t="s">
        <v>343</v>
      </c>
      <c r="CO1950" s="1" t="s">
        <v>839</v>
      </c>
      <c r="CP1950" s="1" t="s">
        <v>219</v>
      </c>
      <c r="CQ1950" s="1" t="s">
        <v>220</v>
      </c>
      <c r="CR1950" s="1" t="s">
        <v>343</v>
      </c>
      <c r="CS1950" s="1" t="s">
        <v>437</v>
      </c>
      <c r="CT1950" s="1" t="s">
        <v>277</v>
      </c>
      <c r="CU1950" s="1" t="s">
        <v>220</v>
      </c>
      <c r="CV1950" s="1" t="s">
        <v>343</v>
      </c>
      <c r="CX1950" s="1" t="s">
        <v>224</v>
      </c>
      <c r="DB1950" s="1" t="s">
        <v>224</v>
      </c>
      <c r="DE1950" s="1" t="s">
        <v>7848</v>
      </c>
      <c r="DF1950" s="1" t="s">
        <v>219</v>
      </c>
      <c r="DG1950" s="1" t="s">
        <v>226</v>
      </c>
      <c r="DH1950" s="1" t="s">
        <v>343</v>
      </c>
      <c r="DJ1950" s="1" t="s">
        <v>224</v>
      </c>
      <c r="DS1950" s="1" t="s">
        <v>230</v>
      </c>
      <c r="DW1950" s="1" t="s">
        <v>230</v>
      </c>
      <c r="EA1950" s="1" t="s">
        <v>230</v>
      </c>
      <c r="EE1950" s="1" t="s">
        <v>230</v>
      </c>
      <c r="EI1950" s="1" t="s">
        <v>230</v>
      </c>
      <c r="EL1950" s="1" t="s">
        <v>542</v>
      </c>
      <c r="EM1950" s="1" t="s">
        <v>232</v>
      </c>
      <c r="EN1950" s="1" t="s">
        <v>282</v>
      </c>
      <c r="EO1950" s="1" t="s">
        <v>234</v>
      </c>
      <c r="EQ1950" s="1" t="s">
        <v>284</v>
      </c>
      <c r="ER1950" s="1" t="s">
        <v>210</v>
      </c>
      <c r="ES1950" s="1" t="s">
        <v>493</v>
      </c>
      <c r="ET1950" s="1" t="s">
        <v>4177</v>
      </c>
      <c r="EV1950" s="1" t="s">
        <v>352</v>
      </c>
      <c r="EW1950" s="1" t="s">
        <v>1372</v>
      </c>
      <c r="EY1950" s="1" t="s">
        <v>242</v>
      </c>
      <c r="EZ1950" s="1" t="s">
        <v>287</v>
      </c>
      <c r="FB1950" s="1" t="s">
        <v>289</v>
      </c>
      <c r="FD1950" s="1" t="s">
        <v>246</v>
      </c>
      <c r="FE1950" s="1" t="s">
        <v>975</v>
      </c>
      <c r="FF1950" s="1" t="s">
        <v>248</v>
      </c>
      <c r="FG1950" s="1" t="s">
        <v>5121</v>
      </c>
      <c r="FH1950" s="1" t="s">
        <v>550</v>
      </c>
      <c r="FI1950" s="1" t="s">
        <v>473</v>
      </c>
      <c r="FJ1950" s="1" t="s">
        <v>197</v>
      </c>
      <c r="FK1950" s="1" t="s">
        <v>1136</v>
      </c>
      <c r="FL1950" s="1" t="s">
        <v>358</v>
      </c>
      <c r="FM1950" s="1" t="s">
        <v>252</v>
      </c>
      <c r="FN1950" s="1" t="s">
        <v>213</v>
      </c>
      <c r="FO1950" s="1" t="s">
        <v>204</v>
      </c>
      <c r="FQ1950" s="1" t="s">
        <v>2142</v>
      </c>
      <c r="FR1950" s="1" t="s">
        <v>210</v>
      </c>
      <c r="FS1950" s="1" t="s">
        <v>17902</v>
      </c>
      <c r="FT1950" s="1" t="s">
        <v>362</v>
      </c>
      <c r="FU1950" s="1" t="s">
        <v>204</v>
      </c>
      <c r="FW1950" s="1" t="s">
        <v>3116</v>
      </c>
      <c r="FX1950" s="1">
        <v>21823</v>
      </c>
      <c r="FY1950" s="1" t="s">
        <v>3117</v>
      </c>
      <c r="FZ1950" s="1" t="s">
        <v>17903</v>
      </c>
      <c r="GA1950" s="1">
        <v>214542</v>
      </c>
      <c r="GB1950" s="1" t="s">
        <v>17904</v>
      </c>
      <c r="GD1950" s="1" t="s">
        <v>17905</v>
      </c>
      <c r="GE1950" s="1" t="s">
        <v>210</v>
      </c>
      <c r="GI1950" s="1" t="s">
        <v>213</v>
      </c>
      <c r="GJ1950" s="1" t="s">
        <v>260</v>
      </c>
      <c r="GK1950" s="1" t="s">
        <v>210</v>
      </c>
      <c r="GL1950" s="2">
        <v>42103</v>
      </c>
      <c r="GM1950" s="1" t="s">
        <v>17906</v>
      </c>
    </row>
    <row r="1951" spans="1:195">
      <c r="A1951" s="1">
        <v>88079</v>
      </c>
      <c r="B1951" s="1" t="s">
        <v>195</v>
      </c>
      <c r="C1951" s="1" t="str">
        <f>"08737434"</f>
        <v>08737434</v>
      </c>
      <c r="D1951" s="1" t="s">
        <v>196</v>
      </c>
      <c r="F1951" s="1" t="str">
        <f>"543"</f>
        <v>543</v>
      </c>
      <c r="G1951" s="2">
        <v>41907</v>
      </c>
      <c r="H1951" s="1">
        <v>133560</v>
      </c>
      <c r="I1951" s="1">
        <v>88079</v>
      </c>
      <c r="J1951" s="1">
        <v>88079</v>
      </c>
      <c r="K1951" s="2">
        <v>41907</v>
      </c>
      <c r="L1951" s="1">
        <v>138</v>
      </c>
      <c r="M1951" s="2">
        <v>42044</v>
      </c>
      <c r="N1951" s="1">
        <v>138</v>
      </c>
      <c r="O1951" s="2">
        <v>42044</v>
      </c>
      <c r="P1951" s="1">
        <v>25547</v>
      </c>
      <c r="Q1951" s="1" t="s">
        <v>302</v>
      </c>
      <c r="R1951" s="2">
        <v>42080</v>
      </c>
      <c r="S1951" s="1">
        <v>237887</v>
      </c>
      <c r="U1951" s="1">
        <v>247</v>
      </c>
      <c r="V1951" s="1" t="s">
        <v>17907</v>
      </c>
      <c r="W1951" s="1" t="s">
        <v>264</v>
      </c>
      <c r="X1951" s="1">
        <v>247</v>
      </c>
      <c r="Y1951" s="1">
        <v>4</v>
      </c>
      <c r="Z1951" s="1" t="s">
        <v>249</v>
      </c>
      <c r="AA1951" s="1" t="s">
        <v>2639</v>
      </c>
      <c r="AB1951" s="1">
        <v>60543</v>
      </c>
      <c r="AE1951" s="1" t="s">
        <v>17908</v>
      </c>
      <c r="AF1951" s="1">
        <v>1996</v>
      </c>
      <c r="AG1951" s="1" t="s">
        <v>204</v>
      </c>
      <c r="AH1951" s="1" t="s">
        <v>1397</v>
      </c>
      <c r="AI1951" s="1" t="s">
        <v>453</v>
      </c>
      <c r="AJ1951" s="1" t="s">
        <v>1397</v>
      </c>
      <c r="AL1951" s="1">
        <v>6</v>
      </c>
      <c r="AM1951" s="1">
        <v>2</v>
      </c>
      <c r="AN1951" s="1">
        <v>2</v>
      </c>
      <c r="AO1951" s="1">
        <v>1</v>
      </c>
      <c r="AP1951" s="1" t="s">
        <v>210</v>
      </c>
      <c r="AR1951" s="1" t="s">
        <v>210</v>
      </c>
      <c r="AS1951" s="1" t="s">
        <v>204</v>
      </c>
      <c r="AT1951" s="1" t="s">
        <v>211</v>
      </c>
      <c r="AU1951" s="1">
        <v>2</v>
      </c>
      <c r="AW1951" s="1" t="s">
        <v>204</v>
      </c>
      <c r="AX1951" s="1" t="s">
        <v>212</v>
      </c>
      <c r="AZ1951" s="1">
        <v>3630.44</v>
      </c>
      <c r="BA1951" s="1">
        <v>2012</v>
      </c>
      <c r="BE1951" s="1">
        <v>1576</v>
      </c>
      <c r="BF1951" s="1">
        <v>1</v>
      </c>
      <c r="BG1951" s="1">
        <v>0</v>
      </c>
      <c r="BL1951" s="1">
        <v>190</v>
      </c>
      <c r="BM1951" s="1" t="s">
        <v>413</v>
      </c>
      <c r="BN1951" s="1" t="s">
        <v>204</v>
      </c>
      <c r="BP1951" s="1" t="s">
        <v>204</v>
      </c>
      <c r="BR1951" s="1" t="str">
        <f>"0309455007"</f>
        <v>0309455007</v>
      </c>
      <c r="BT1951" s="1" t="s">
        <v>3770</v>
      </c>
      <c r="BX1951" s="1">
        <v>308</v>
      </c>
      <c r="BY1951" s="1">
        <v>308</v>
      </c>
      <c r="BZ1951" s="1">
        <v>308</v>
      </c>
      <c r="CB1951" s="1" t="str">
        <f t="shared" ref="CB1951:CC1951" si="1489">""</f>
        <v/>
      </c>
      <c r="CC1951" s="1" t="str">
        <f t="shared" si="1489"/>
        <v/>
      </c>
      <c r="CG1951" s="1" t="s">
        <v>5269</v>
      </c>
      <c r="CH1951" s="1" t="s">
        <v>219</v>
      </c>
      <c r="CK1951" s="1" t="s">
        <v>280</v>
      </c>
      <c r="CL1951" s="1" t="s">
        <v>219</v>
      </c>
      <c r="CO1951" s="1" t="s">
        <v>1046</v>
      </c>
      <c r="CP1951" s="1" t="s">
        <v>219</v>
      </c>
      <c r="CS1951" s="1" t="s">
        <v>539</v>
      </c>
      <c r="CT1951" s="1" t="s">
        <v>219</v>
      </c>
      <c r="CX1951" s="1" t="s">
        <v>224</v>
      </c>
      <c r="DB1951" s="1" t="s">
        <v>224</v>
      </c>
      <c r="DE1951" s="1" t="s">
        <v>2122</v>
      </c>
      <c r="DF1951" s="1" t="s">
        <v>219</v>
      </c>
      <c r="DI1951" s="1" t="s">
        <v>2992</v>
      </c>
      <c r="DJ1951" s="1" t="s">
        <v>219</v>
      </c>
      <c r="DS1951" s="1" t="s">
        <v>230</v>
      </c>
      <c r="DW1951" s="1" t="s">
        <v>230</v>
      </c>
      <c r="EA1951" s="1" t="s">
        <v>230</v>
      </c>
      <c r="EE1951" s="1" t="s">
        <v>230</v>
      </c>
      <c r="EI1951" s="1" t="s">
        <v>230</v>
      </c>
      <c r="EL1951" s="1" t="s">
        <v>670</v>
      </c>
      <c r="EM1951" s="1" t="s">
        <v>319</v>
      </c>
      <c r="EN1951" s="1" t="s">
        <v>282</v>
      </c>
      <c r="EO1951" s="1" t="s">
        <v>234</v>
      </c>
      <c r="ER1951" s="1" t="s">
        <v>210</v>
      </c>
      <c r="EW1951" s="1" t="s">
        <v>347</v>
      </c>
      <c r="EZ1951" s="1" t="s">
        <v>287</v>
      </c>
      <c r="FD1951" s="1" t="s">
        <v>1112</v>
      </c>
      <c r="FE1951" s="1" t="s">
        <v>347</v>
      </c>
      <c r="FF1951" s="1" t="s">
        <v>248</v>
      </c>
      <c r="FH1951" s="1" t="s">
        <v>249</v>
      </c>
      <c r="FJ1951" s="1" t="s">
        <v>1472</v>
      </c>
      <c r="FL1951" s="1" t="s">
        <v>347</v>
      </c>
      <c r="FM1951" s="1" t="s">
        <v>252</v>
      </c>
      <c r="FN1951" s="1" t="s">
        <v>213</v>
      </c>
      <c r="FO1951" s="1" t="s">
        <v>213</v>
      </c>
      <c r="FQ1951" s="1" t="s">
        <v>582</v>
      </c>
      <c r="FR1951" s="1" t="s">
        <v>210</v>
      </c>
      <c r="FS1951" s="1" t="s">
        <v>3772</v>
      </c>
      <c r="FT1951" s="1" t="s">
        <v>4186</v>
      </c>
      <c r="FU1951" s="1" t="s">
        <v>204</v>
      </c>
      <c r="FW1951" s="1" t="s">
        <v>3774</v>
      </c>
      <c r="FX1951" s="1">
        <v>1984</v>
      </c>
      <c r="FY1951" s="1" t="s">
        <v>3775</v>
      </c>
      <c r="FZ1951" s="1" t="s">
        <v>3776</v>
      </c>
      <c r="GA1951" s="1">
        <v>922950</v>
      </c>
      <c r="GE1951" s="1" t="s">
        <v>210</v>
      </c>
      <c r="GI1951" s="1" t="s">
        <v>204</v>
      </c>
      <c r="GJ1951" s="1" t="s">
        <v>260</v>
      </c>
      <c r="GK1951" s="1" t="s">
        <v>210</v>
      </c>
      <c r="GL1951" s="2">
        <v>42082</v>
      </c>
      <c r="GM1951" s="1" t="s">
        <v>3777</v>
      </c>
    </row>
    <row r="1952" spans="1:195">
      <c r="A1952" s="1">
        <v>81000</v>
      </c>
      <c r="B1952" s="1" t="s">
        <v>195</v>
      </c>
      <c r="C1952" s="1" t="str">
        <f>"08729545"</f>
        <v>08729545</v>
      </c>
      <c r="D1952" s="1" t="s">
        <v>196</v>
      </c>
      <c r="F1952" s="1" t="str">
        <f>"540"</f>
        <v>540</v>
      </c>
      <c r="G1952" s="2">
        <v>41898</v>
      </c>
      <c r="H1952" s="1">
        <v>89000</v>
      </c>
      <c r="I1952" s="1">
        <v>89000</v>
      </c>
      <c r="J1952" s="1">
        <v>81000</v>
      </c>
      <c r="K1952" s="2">
        <v>41897</v>
      </c>
      <c r="L1952" s="1">
        <v>52</v>
      </c>
      <c r="M1952" s="2">
        <v>41948</v>
      </c>
      <c r="N1952" s="1">
        <v>52</v>
      </c>
      <c r="O1952" s="2">
        <v>41948</v>
      </c>
      <c r="P1952" s="1">
        <v>23156</v>
      </c>
      <c r="Q1952" s="1" t="s">
        <v>197</v>
      </c>
      <c r="R1952" s="2">
        <v>41981</v>
      </c>
      <c r="S1952" s="1">
        <v>270983</v>
      </c>
      <c r="U1952" s="1">
        <v>248</v>
      </c>
      <c r="V1952" s="1" t="s">
        <v>10812</v>
      </c>
      <c r="W1952" s="1" t="s">
        <v>1056</v>
      </c>
      <c r="X1952" s="1" t="s">
        <v>4627</v>
      </c>
      <c r="Y1952" s="1">
        <v>12</v>
      </c>
      <c r="Z1952" s="1" t="s">
        <v>249</v>
      </c>
      <c r="AA1952" s="1" t="s">
        <v>921</v>
      </c>
      <c r="AB1952" s="1">
        <v>60565</v>
      </c>
      <c r="AD1952" s="1" t="s">
        <v>11613</v>
      </c>
      <c r="AE1952" s="1" t="s">
        <v>17909</v>
      </c>
      <c r="AF1952" s="1">
        <v>1972</v>
      </c>
      <c r="AG1952" s="1" t="s">
        <v>213</v>
      </c>
      <c r="AH1952" s="1" t="s">
        <v>924</v>
      </c>
      <c r="AI1952" s="1" t="s">
        <v>206</v>
      </c>
      <c r="AJ1952" s="1" t="s">
        <v>925</v>
      </c>
      <c r="AL1952" s="1">
        <v>5</v>
      </c>
      <c r="AM1952" s="1">
        <v>2</v>
      </c>
      <c r="AN1952" s="1">
        <v>1</v>
      </c>
      <c r="AO1952" s="1">
        <v>1</v>
      </c>
      <c r="AP1952" s="1" t="s">
        <v>210</v>
      </c>
      <c r="AQ1952" s="1">
        <v>0</v>
      </c>
      <c r="AR1952" s="1" t="s">
        <v>210</v>
      </c>
      <c r="AS1952" s="1" t="s">
        <v>204</v>
      </c>
      <c r="AT1952" s="1" t="s">
        <v>271</v>
      </c>
      <c r="AV1952" s="1">
        <v>2</v>
      </c>
      <c r="AW1952" s="1" t="s">
        <v>204</v>
      </c>
      <c r="AX1952" s="1" t="s">
        <v>212</v>
      </c>
      <c r="AZ1952" s="1">
        <v>1727</v>
      </c>
      <c r="BA1952" s="1">
        <v>2013</v>
      </c>
      <c r="BB1952" s="1" t="s">
        <v>405</v>
      </c>
      <c r="BE1952" s="1">
        <v>885</v>
      </c>
      <c r="BF1952" s="1">
        <v>1</v>
      </c>
      <c r="BG1952" s="1">
        <v>30</v>
      </c>
      <c r="BL1952" s="1">
        <v>310</v>
      </c>
      <c r="BM1952" s="1" t="s">
        <v>413</v>
      </c>
      <c r="BN1952" s="1" t="s">
        <v>213</v>
      </c>
      <c r="BO1952" s="1">
        <v>999</v>
      </c>
      <c r="BP1952" s="1" t="s">
        <v>204</v>
      </c>
      <c r="BR1952" s="1" t="str">
        <f>"0832110243"</f>
        <v>0832110243</v>
      </c>
      <c r="BT1952" s="1" t="s">
        <v>17910</v>
      </c>
      <c r="BU1952" s="1" t="s">
        <v>8878</v>
      </c>
      <c r="BV1952" s="1" t="s">
        <v>8879</v>
      </c>
      <c r="BW1952" s="1" t="s">
        <v>930</v>
      </c>
      <c r="BX1952" s="1">
        <v>203</v>
      </c>
      <c r="BY1952" s="1">
        <v>203</v>
      </c>
      <c r="BZ1952" s="1">
        <v>203</v>
      </c>
      <c r="CB1952" s="1" t="str">
        <f t="shared" ref="CB1952:CC1952" si="1490">"0"</f>
        <v>0</v>
      </c>
      <c r="CC1952" s="1" t="str">
        <f t="shared" si="1490"/>
        <v>0</v>
      </c>
      <c r="CD1952" s="1">
        <v>25</v>
      </c>
      <c r="CE1952" s="1">
        <v>8</v>
      </c>
      <c r="CG1952" s="1" t="s">
        <v>669</v>
      </c>
      <c r="CH1952" s="1" t="s">
        <v>219</v>
      </c>
      <c r="CI1952" s="1" t="s">
        <v>220</v>
      </c>
      <c r="CK1952" s="1" t="s">
        <v>539</v>
      </c>
      <c r="CL1952" s="1" t="s">
        <v>219</v>
      </c>
      <c r="CM1952" s="1" t="s">
        <v>220</v>
      </c>
      <c r="CO1952" s="1" t="s">
        <v>379</v>
      </c>
      <c r="CP1952" s="1" t="s">
        <v>219</v>
      </c>
      <c r="CQ1952" s="1" t="s">
        <v>220</v>
      </c>
      <c r="CR1952" s="1" t="s">
        <v>210</v>
      </c>
      <c r="CS1952" s="1" t="s">
        <v>379</v>
      </c>
      <c r="CT1952" s="1" t="s">
        <v>219</v>
      </c>
      <c r="CU1952" s="1" t="s">
        <v>220</v>
      </c>
      <c r="CX1952" s="1" t="s">
        <v>224</v>
      </c>
      <c r="DB1952" s="1" t="s">
        <v>224</v>
      </c>
      <c r="DE1952" s="1" t="s">
        <v>516</v>
      </c>
      <c r="DF1952" s="1" t="s">
        <v>219</v>
      </c>
      <c r="DG1952" s="1" t="s">
        <v>342</v>
      </c>
      <c r="DH1952" s="1" t="s">
        <v>210</v>
      </c>
      <c r="DJ1952" s="1" t="s">
        <v>224</v>
      </c>
      <c r="DS1952" s="1" t="s">
        <v>230</v>
      </c>
      <c r="DW1952" s="1" t="s">
        <v>230</v>
      </c>
      <c r="EA1952" s="1" t="s">
        <v>230</v>
      </c>
      <c r="EE1952" s="1" t="s">
        <v>230</v>
      </c>
      <c r="EI1952" s="1" t="s">
        <v>230</v>
      </c>
      <c r="EL1952" s="1" t="s">
        <v>605</v>
      </c>
      <c r="EM1952" s="1" t="s">
        <v>232</v>
      </c>
      <c r="EN1952" s="1" t="s">
        <v>1158</v>
      </c>
      <c r="EO1952" s="1" t="s">
        <v>840</v>
      </c>
      <c r="EP1952" s="1" t="s">
        <v>17911</v>
      </c>
      <c r="EQ1952" s="1" t="s">
        <v>284</v>
      </c>
      <c r="ER1952" s="1" t="s">
        <v>210</v>
      </c>
      <c r="ET1952" s="1" t="s">
        <v>842</v>
      </c>
      <c r="EU1952" s="1" t="s">
        <v>712</v>
      </c>
      <c r="EV1952" s="1" t="s">
        <v>352</v>
      </c>
      <c r="EW1952" s="1" t="s">
        <v>1753</v>
      </c>
      <c r="EY1952" s="1" t="s">
        <v>242</v>
      </c>
      <c r="EZ1952" s="1" t="s">
        <v>287</v>
      </c>
      <c r="FA1952" s="1" t="s">
        <v>3462</v>
      </c>
      <c r="FB1952" s="1" t="s">
        <v>244</v>
      </c>
      <c r="FC1952" s="1" t="s">
        <v>633</v>
      </c>
      <c r="FD1952" s="1" t="s">
        <v>246</v>
      </c>
      <c r="FE1952" s="1" t="s">
        <v>247</v>
      </c>
      <c r="FF1952" s="1" t="s">
        <v>248</v>
      </c>
      <c r="FH1952" s="1" t="s">
        <v>249</v>
      </c>
      <c r="FK1952" s="1" t="s">
        <v>4663</v>
      </c>
      <c r="FL1952" s="1" t="s">
        <v>2233</v>
      </c>
      <c r="FM1952" s="1" t="s">
        <v>252</v>
      </c>
      <c r="FN1952" s="1" t="s">
        <v>213</v>
      </c>
      <c r="FO1952" s="1" t="s">
        <v>213</v>
      </c>
      <c r="FQ1952" s="1" t="s">
        <v>17912</v>
      </c>
      <c r="FR1952" s="1" t="s">
        <v>210</v>
      </c>
      <c r="FS1952" s="1" t="s">
        <v>3516</v>
      </c>
      <c r="FT1952" s="1" t="s">
        <v>255</v>
      </c>
      <c r="FU1952" s="1" t="s">
        <v>204</v>
      </c>
      <c r="FW1952" s="1" t="s">
        <v>3517</v>
      </c>
      <c r="FX1952" s="1">
        <v>20114</v>
      </c>
      <c r="FY1952" s="1" t="s">
        <v>3518</v>
      </c>
      <c r="FZ1952" s="1" t="s">
        <v>3519</v>
      </c>
      <c r="GA1952" s="1">
        <v>216033</v>
      </c>
      <c r="GB1952" s="1" t="s">
        <v>3520</v>
      </c>
      <c r="GC1952" s="1">
        <v>212437</v>
      </c>
      <c r="GD1952" s="1" t="s">
        <v>3521</v>
      </c>
      <c r="GE1952" s="1" t="s">
        <v>658</v>
      </c>
      <c r="GH1952" s="1" t="s">
        <v>800</v>
      </c>
      <c r="GI1952" s="1" t="s">
        <v>213</v>
      </c>
      <c r="GJ1952" s="1" t="s">
        <v>260</v>
      </c>
      <c r="GK1952" s="1" t="s">
        <v>261</v>
      </c>
      <c r="GL1952" s="2">
        <v>41982</v>
      </c>
      <c r="GM1952" s="1" t="s">
        <v>3516</v>
      </c>
    </row>
    <row r="1953" spans="1:195">
      <c r="A1953" s="1">
        <v>322000</v>
      </c>
      <c r="B1953" s="1" t="s">
        <v>195</v>
      </c>
      <c r="C1953" s="1" t="str">
        <f>"08860518"</f>
        <v>08860518</v>
      </c>
      <c r="D1953" s="1" t="s">
        <v>196</v>
      </c>
      <c r="F1953" s="1" t="str">
        <f>"525"</f>
        <v>525</v>
      </c>
      <c r="G1953" s="2">
        <v>42076</v>
      </c>
      <c r="H1953" s="1">
        <v>329900</v>
      </c>
      <c r="I1953" s="1">
        <v>329900</v>
      </c>
      <c r="J1953" s="1">
        <v>322000</v>
      </c>
      <c r="K1953" s="2">
        <v>42073</v>
      </c>
      <c r="L1953" s="1">
        <v>10</v>
      </c>
      <c r="M1953" s="2">
        <v>42082</v>
      </c>
      <c r="N1953" s="1">
        <v>10</v>
      </c>
      <c r="O1953" s="2">
        <v>42082</v>
      </c>
      <c r="P1953" s="1">
        <v>22375</v>
      </c>
      <c r="Q1953" s="1" t="s">
        <v>302</v>
      </c>
      <c r="R1953" s="2">
        <v>42125</v>
      </c>
      <c r="S1953" s="1">
        <v>225063</v>
      </c>
      <c r="T1953" s="1">
        <v>450</v>
      </c>
      <c r="U1953" s="1">
        <v>14</v>
      </c>
      <c r="V1953" s="1" t="s">
        <v>11134</v>
      </c>
      <c r="W1953" s="1" t="s">
        <v>425</v>
      </c>
      <c r="X1953" s="1">
        <v>405</v>
      </c>
      <c r="Y1953" s="1">
        <v>40</v>
      </c>
      <c r="Z1953" s="1" t="s">
        <v>249</v>
      </c>
      <c r="AA1953" s="1" t="s">
        <v>1148</v>
      </c>
      <c r="AB1953" s="1">
        <v>60525</v>
      </c>
      <c r="AD1953" s="1" t="s">
        <v>17913</v>
      </c>
      <c r="AE1953" s="1" t="s">
        <v>17914</v>
      </c>
      <c r="AF1953" s="1">
        <v>1995</v>
      </c>
      <c r="AG1953" s="1" t="s">
        <v>204</v>
      </c>
      <c r="AH1953" s="1" t="s">
        <v>1150</v>
      </c>
      <c r="AI1953" s="1" t="s">
        <v>310</v>
      </c>
      <c r="AJ1953" s="1" t="s">
        <v>702</v>
      </c>
      <c r="AL1953" s="1">
        <v>5</v>
      </c>
      <c r="AM1953" s="1">
        <v>2</v>
      </c>
      <c r="AN1953" s="1">
        <v>2</v>
      </c>
      <c r="AO1953" s="1">
        <v>0</v>
      </c>
      <c r="AP1953" s="1" t="s">
        <v>209</v>
      </c>
      <c r="AR1953" s="1" t="s">
        <v>210</v>
      </c>
      <c r="AS1953" s="1" t="s">
        <v>204</v>
      </c>
      <c r="AT1953" s="1" t="s">
        <v>211</v>
      </c>
      <c r="AU1953" s="1">
        <v>1</v>
      </c>
      <c r="AW1953" s="1" t="s">
        <v>204</v>
      </c>
      <c r="AX1953" s="1" t="s">
        <v>212</v>
      </c>
      <c r="AZ1953" s="1">
        <v>3562.4</v>
      </c>
      <c r="BA1953" s="1">
        <v>2013</v>
      </c>
      <c r="BB1953" s="1" t="s">
        <v>3996</v>
      </c>
      <c r="BE1953" s="1">
        <v>0</v>
      </c>
      <c r="BF1953" s="1">
        <v>4</v>
      </c>
      <c r="BG1953" s="1">
        <v>15</v>
      </c>
      <c r="BL1953" s="1">
        <v>345</v>
      </c>
      <c r="BM1953" s="1" t="s">
        <v>204</v>
      </c>
      <c r="BN1953" s="1" t="s">
        <v>213</v>
      </c>
      <c r="BO1953" s="1">
        <v>25</v>
      </c>
      <c r="BP1953" s="1" t="s">
        <v>204</v>
      </c>
      <c r="BR1953" s="1" t="str">
        <f>"18041220291025"</f>
        <v>18041220291025</v>
      </c>
      <c r="BT1953" s="1" t="s">
        <v>17915</v>
      </c>
      <c r="BU1953" s="1" t="s">
        <v>1153</v>
      </c>
      <c r="BV1953" s="1" t="s">
        <v>1154</v>
      </c>
      <c r="BW1953" s="1" t="s">
        <v>706</v>
      </c>
      <c r="BX1953" s="1">
        <v>102</v>
      </c>
      <c r="BY1953" s="1">
        <v>102</v>
      </c>
      <c r="BZ1953" s="1">
        <v>204</v>
      </c>
      <c r="CB1953" s="1" t="str">
        <f t="shared" ref="CB1953:CC1953" si="1491">""</f>
        <v/>
      </c>
      <c r="CC1953" s="1" t="str">
        <f t="shared" si="1491"/>
        <v/>
      </c>
      <c r="CG1953" s="1" t="s">
        <v>344</v>
      </c>
      <c r="CH1953" s="1" t="s">
        <v>219</v>
      </c>
      <c r="CI1953" s="1" t="s">
        <v>220</v>
      </c>
      <c r="CJ1953" s="1" t="s">
        <v>343</v>
      </c>
      <c r="CK1953" s="1" t="s">
        <v>437</v>
      </c>
      <c r="CL1953" s="1" t="s">
        <v>219</v>
      </c>
      <c r="CM1953" s="1" t="s">
        <v>220</v>
      </c>
      <c r="CN1953" s="1" t="s">
        <v>343</v>
      </c>
      <c r="CO1953" s="1" t="s">
        <v>346</v>
      </c>
      <c r="CP1953" s="1" t="s">
        <v>219</v>
      </c>
      <c r="CQ1953" s="1" t="s">
        <v>220</v>
      </c>
      <c r="CR1953" s="1" t="s">
        <v>343</v>
      </c>
      <c r="CS1953" s="1" t="s">
        <v>346</v>
      </c>
      <c r="CT1953" s="1" t="s">
        <v>219</v>
      </c>
      <c r="CU1953" s="1" t="s">
        <v>220</v>
      </c>
      <c r="CV1953" s="1" t="s">
        <v>343</v>
      </c>
      <c r="CX1953" s="1" t="s">
        <v>224</v>
      </c>
      <c r="DB1953" s="1" t="s">
        <v>224</v>
      </c>
      <c r="DE1953" s="1" t="s">
        <v>1133</v>
      </c>
      <c r="DF1953" s="1" t="s">
        <v>219</v>
      </c>
      <c r="DG1953" s="1" t="s">
        <v>4958</v>
      </c>
      <c r="DH1953" s="1" t="s">
        <v>343</v>
      </c>
      <c r="DJ1953" s="1" t="s">
        <v>224</v>
      </c>
      <c r="DS1953" s="1" t="s">
        <v>230</v>
      </c>
      <c r="DW1953" s="1" t="s">
        <v>230</v>
      </c>
      <c r="EA1953" s="1" t="s">
        <v>230</v>
      </c>
      <c r="EE1953" s="1" t="s">
        <v>230</v>
      </c>
      <c r="EI1953" s="1" t="s">
        <v>230</v>
      </c>
      <c r="EL1953" s="1" t="s">
        <v>670</v>
      </c>
      <c r="EM1953" s="1" t="s">
        <v>232</v>
      </c>
      <c r="EN1953" s="1" t="s">
        <v>282</v>
      </c>
      <c r="EO1953" s="1" t="s">
        <v>234</v>
      </c>
      <c r="EP1953" s="1" t="s">
        <v>17916</v>
      </c>
      <c r="EQ1953" s="1" t="s">
        <v>2188</v>
      </c>
      <c r="ER1953" s="1" t="s">
        <v>210</v>
      </c>
      <c r="ES1953" s="1" t="s">
        <v>322</v>
      </c>
      <c r="EV1953" s="1" t="s">
        <v>240</v>
      </c>
      <c r="EW1953" s="1" t="s">
        <v>17917</v>
      </c>
      <c r="EZ1953" s="1" t="s">
        <v>287</v>
      </c>
      <c r="FC1953" s="1" t="s">
        <v>245</v>
      </c>
      <c r="FD1953" s="1" t="s">
        <v>290</v>
      </c>
      <c r="FE1953" s="1" t="s">
        <v>247</v>
      </c>
      <c r="FF1953" s="1" t="s">
        <v>387</v>
      </c>
      <c r="FH1953" s="1" t="s">
        <v>249</v>
      </c>
      <c r="FI1953" s="1" t="s">
        <v>848</v>
      </c>
      <c r="FL1953" s="1" t="s">
        <v>358</v>
      </c>
      <c r="FM1953" s="1" t="s">
        <v>252</v>
      </c>
      <c r="FN1953" s="1" t="s">
        <v>213</v>
      </c>
      <c r="FO1953" s="1" t="s">
        <v>213</v>
      </c>
      <c r="FQ1953" s="1" t="s">
        <v>615</v>
      </c>
      <c r="FR1953" s="1" t="s">
        <v>210</v>
      </c>
      <c r="FS1953" s="1" t="s">
        <v>17918</v>
      </c>
      <c r="FT1953" s="1" t="s">
        <v>362</v>
      </c>
      <c r="FU1953" s="1" t="s">
        <v>204</v>
      </c>
      <c r="FW1953" s="1" t="s">
        <v>915</v>
      </c>
      <c r="FX1953" s="1">
        <v>22049</v>
      </c>
      <c r="FY1953" s="1" t="s">
        <v>4731</v>
      </c>
      <c r="FZ1953" s="1" t="s">
        <v>17919</v>
      </c>
      <c r="GA1953" s="1">
        <v>238996</v>
      </c>
      <c r="GE1953" s="1" t="s">
        <v>1333</v>
      </c>
      <c r="GH1953" s="1" t="s">
        <v>421</v>
      </c>
      <c r="GI1953" s="1" t="s">
        <v>213</v>
      </c>
      <c r="GJ1953" s="1" t="s">
        <v>260</v>
      </c>
      <c r="GK1953" s="1" t="s">
        <v>210</v>
      </c>
      <c r="GL1953" s="2">
        <v>42125</v>
      </c>
      <c r="GM1953" s="1" t="s">
        <v>17920</v>
      </c>
    </row>
    <row r="1954" spans="1:195">
      <c r="A1954" s="1">
        <v>185000</v>
      </c>
      <c r="B1954" s="1" t="s">
        <v>195</v>
      </c>
      <c r="C1954" s="1" t="str">
        <f>"08735742"</f>
        <v>08735742</v>
      </c>
      <c r="D1954" s="1" t="s">
        <v>196</v>
      </c>
      <c r="F1954" s="1" t="str">
        <f t="shared" ref="F1954:F1955" si="1492">"188"</f>
        <v>188</v>
      </c>
      <c r="G1954" s="2">
        <v>41905</v>
      </c>
      <c r="H1954" s="1">
        <v>189900</v>
      </c>
      <c r="I1954" s="1">
        <v>189900</v>
      </c>
      <c r="J1954" s="1">
        <v>185000</v>
      </c>
      <c r="K1954" s="2">
        <v>41905</v>
      </c>
      <c r="L1954" s="1">
        <v>37</v>
      </c>
      <c r="M1954" s="2">
        <v>41941</v>
      </c>
      <c r="N1954" s="1">
        <v>37</v>
      </c>
      <c r="O1954" s="2">
        <v>41941</v>
      </c>
      <c r="P1954" s="1">
        <v>85115</v>
      </c>
      <c r="Q1954" s="1" t="s">
        <v>423</v>
      </c>
      <c r="R1954" s="2">
        <v>41985</v>
      </c>
      <c r="S1954" s="1">
        <v>168502</v>
      </c>
      <c r="T1954" s="1">
        <v>5000</v>
      </c>
      <c r="U1954" s="1">
        <v>1300</v>
      </c>
      <c r="V1954" s="1" t="s">
        <v>17921</v>
      </c>
      <c r="W1954" s="1" t="s">
        <v>264</v>
      </c>
      <c r="Y1954" s="1">
        <v>3</v>
      </c>
      <c r="Z1954" s="1" t="s">
        <v>370</v>
      </c>
      <c r="AA1954" s="1" t="s">
        <v>1084</v>
      </c>
      <c r="AB1954" s="1">
        <v>60188</v>
      </c>
      <c r="AD1954" s="1" t="s">
        <v>16118</v>
      </c>
      <c r="AE1954" s="1" t="s">
        <v>17922</v>
      </c>
      <c r="AF1954" s="1">
        <v>1989</v>
      </c>
      <c r="AG1954" s="1" t="s">
        <v>204</v>
      </c>
      <c r="AH1954" s="1" t="s">
        <v>1087</v>
      </c>
      <c r="AI1954" s="1" t="s">
        <v>206</v>
      </c>
      <c r="AJ1954" s="1" t="s">
        <v>2654</v>
      </c>
      <c r="AL1954" s="1">
        <v>7</v>
      </c>
      <c r="AM1954" s="1">
        <v>2</v>
      </c>
      <c r="AN1954" s="1">
        <v>2</v>
      </c>
      <c r="AO1954" s="1">
        <v>1</v>
      </c>
      <c r="AP1954" s="1" t="s">
        <v>209</v>
      </c>
      <c r="AQ1954" s="1">
        <v>1</v>
      </c>
      <c r="AR1954" s="1" t="s">
        <v>210</v>
      </c>
      <c r="AS1954" s="1" t="s">
        <v>204</v>
      </c>
      <c r="AT1954" s="1" t="s">
        <v>211</v>
      </c>
      <c r="AU1954" s="1">
        <v>2</v>
      </c>
      <c r="AW1954" s="1" t="s">
        <v>204</v>
      </c>
      <c r="AX1954" s="1">
        <v>2503</v>
      </c>
      <c r="AZ1954" s="1">
        <v>4214</v>
      </c>
      <c r="BA1954" s="1">
        <v>2013</v>
      </c>
      <c r="BB1954" s="1" t="s">
        <v>210</v>
      </c>
      <c r="BE1954" s="1">
        <v>1605</v>
      </c>
      <c r="BF1954" s="1">
        <v>1</v>
      </c>
      <c r="BG1954" s="1">
        <v>0</v>
      </c>
      <c r="BL1954" s="1">
        <v>208</v>
      </c>
      <c r="BM1954" s="1" t="s">
        <v>204</v>
      </c>
      <c r="BN1954" s="1" t="s">
        <v>213</v>
      </c>
      <c r="BO1954" s="1">
        <v>999</v>
      </c>
      <c r="BP1954" s="1" t="s">
        <v>204</v>
      </c>
      <c r="BR1954" s="1" t="str">
        <f>"0124127032"</f>
        <v>0124127032</v>
      </c>
      <c r="BT1954" s="1" t="s">
        <v>17923</v>
      </c>
      <c r="BU1954" s="1" t="s">
        <v>3438</v>
      </c>
      <c r="BV1954" s="1" t="s">
        <v>1502</v>
      </c>
      <c r="BW1954" s="1" t="s">
        <v>1092</v>
      </c>
      <c r="BX1954" s="1">
        <v>93</v>
      </c>
      <c r="BY1954" s="1">
        <v>93</v>
      </c>
      <c r="BZ1954" s="1">
        <v>87</v>
      </c>
      <c r="CB1954" s="1" t="str">
        <f t="shared" ref="CB1954:CC1954" si="1493">""</f>
        <v/>
      </c>
      <c r="CC1954" s="1" t="str">
        <f t="shared" si="1493"/>
        <v/>
      </c>
      <c r="CG1954" s="1" t="s">
        <v>862</v>
      </c>
      <c r="CH1954" s="1" t="s">
        <v>219</v>
      </c>
      <c r="CI1954" s="1" t="s">
        <v>226</v>
      </c>
      <c r="CJ1954" s="1" t="s">
        <v>343</v>
      </c>
      <c r="CK1954" s="1" t="s">
        <v>1267</v>
      </c>
      <c r="CL1954" s="1" t="s">
        <v>277</v>
      </c>
      <c r="CM1954" s="1" t="s">
        <v>220</v>
      </c>
      <c r="CN1954" s="1" t="s">
        <v>909</v>
      </c>
      <c r="CO1954" s="1" t="s">
        <v>409</v>
      </c>
      <c r="CP1954" s="1" t="s">
        <v>219</v>
      </c>
      <c r="CQ1954" s="1" t="s">
        <v>226</v>
      </c>
      <c r="CR1954" s="1" t="s">
        <v>909</v>
      </c>
      <c r="CS1954" s="1" t="s">
        <v>317</v>
      </c>
      <c r="CT1954" s="1" t="s">
        <v>277</v>
      </c>
      <c r="CU1954" s="1" t="s">
        <v>220</v>
      </c>
      <c r="CV1954" s="1" t="s">
        <v>909</v>
      </c>
      <c r="CX1954" s="1" t="s">
        <v>224</v>
      </c>
      <c r="DB1954" s="1" t="s">
        <v>224</v>
      </c>
      <c r="DE1954" s="1" t="s">
        <v>465</v>
      </c>
      <c r="DF1954" s="1" t="s">
        <v>219</v>
      </c>
      <c r="DG1954" s="1" t="s">
        <v>226</v>
      </c>
      <c r="DH1954" s="1" t="s">
        <v>210</v>
      </c>
      <c r="DJ1954" s="1" t="s">
        <v>224</v>
      </c>
      <c r="DM1954" s="1" t="s">
        <v>1548</v>
      </c>
      <c r="DN1954" s="1" t="s">
        <v>709</v>
      </c>
      <c r="DO1954" s="1" t="s">
        <v>464</v>
      </c>
      <c r="DR1954" s="1" t="s">
        <v>379</v>
      </c>
      <c r="DS1954" s="1" t="s">
        <v>219</v>
      </c>
      <c r="DT1954" s="1" t="s">
        <v>226</v>
      </c>
      <c r="DU1954" s="1" t="s">
        <v>909</v>
      </c>
      <c r="DV1954" s="1" t="s">
        <v>6362</v>
      </c>
      <c r="DW1954" s="1" t="s">
        <v>219</v>
      </c>
      <c r="DX1954" s="1" t="s">
        <v>226</v>
      </c>
      <c r="DY1954" s="1" t="s">
        <v>210</v>
      </c>
      <c r="DZ1954" s="1" t="s">
        <v>1046</v>
      </c>
      <c r="EA1954" s="1" t="s">
        <v>277</v>
      </c>
      <c r="EB1954" s="1" t="s">
        <v>220</v>
      </c>
      <c r="EC1954" s="1" t="s">
        <v>909</v>
      </c>
      <c r="EE1954" s="1" t="s">
        <v>230</v>
      </c>
      <c r="EI1954" s="1" t="s">
        <v>230</v>
      </c>
      <c r="EL1954" s="1" t="s">
        <v>382</v>
      </c>
      <c r="EM1954" s="1" t="s">
        <v>319</v>
      </c>
      <c r="EN1954" s="1" t="s">
        <v>282</v>
      </c>
      <c r="EO1954" s="1" t="s">
        <v>234</v>
      </c>
      <c r="EP1954" s="1" t="s">
        <v>2738</v>
      </c>
      <c r="EQ1954" s="1" t="s">
        <v>236</v>
      </c>
      <c r="ER1954" s="1" t="s">
        <v>210</v>
      </c>
      <c r="ES1954" s="1" t="s">
        <v>3218</v>
      </c>
      <c r="ET1954" s="1" t="s">
        <v>2404</v>
      </c>
      <c r="EU1954" s="1" t="s">
        <v>1894</v>
      </c>
      <c r="EV1954" s="1" t="s">
        <v>352</v>
      </c>
      <c r="EW1954" s="1" t="s">
        <v>887</v>
      </c>
      <c r="EY1954" s="1" t="s">
        <v>242</v>
      </c>
      <c r="EZ1954" s="1" t="s">
        <v>2815</v>
      </c>
      <c r="FA1954" s="1" t="s">
        <v>471</v>
      </c>
      <c r="FB1954" s="1" t="s">
        <v>1505</v>
      </c>
      <c r="FC1954" s="1" t="s">
        <v>548</v>
      </c>
      <c r="FD1954" s="1" t="s">
        <v>246</v>
      </c>
      <c r="FE1954" s="1" t="s">
        <v>386</v>
      </c>
      <c r="FF1954" s="1" t="s">
        <v>248</v>
      </c>
      <c r="FG1954" s="1" t="s">
        <v>871</v>
      </c>
      <c r="FH1954" s="1" t="s">
        <v>550</v>
      </c>
      <c r="FI1954" s="1" t="s">
        <v>357</v>
      </c>
      <c r="FJ1954" s="1" t="s">
        <v>518</v>
      </c>
      <c r="FL1954" s="1" t="s">
        <v>358</v>
      </c>
      <c r="FM1954" s="1" t="s">
        <v>252</v>
      </c>
      <c r="FN1954" s="1" t="s">
        <v>213</v>
      </c>
      <c r="FO1954" s="1" t="s">
        <v>213</v>
      </c>
      <c r="FQ1954" s="1" t="s">
        <v>849</v>
      </c>
      <c r="FR1954" s="1" t="s">
        <v>210</v>
      </c>
      <c r="FS1954" s="1" t="s">
        <v>7087</v>
      </c>
      <c r="FT1954" s="1" t="s">
        <v>295</v>
      </c>
      <c r="FU1954" s="1" t="s">
        <v>213</v>
      </c>
      <c r="FW1954" s="1" t="s">
        <v>2420</v>
      </c>
      <c r="FX1954" s="1">
        <v>41</v>
      </c>
      <c r="FY1954" s="1" t="s">
        <v>2421</v>
      </c>
      <c r="FZ1954" s="1" t="s">
        <v>17924</v>
      </c>
      <c r="GA1954" s="1">
        <v>8222</v>
      </c>
      <c r="GB1954" s="1" t="s">
        <v>17925</v>
      </c>
      <c r="GD1954" s="1" t="s">
        <v>17926</v>
      </c>
      <c r="GE1954" s="1" t="s">
        <v>210</v>
      </c>
      <c r="GI1954" s="1" t="s">
        <v>213</v>
      </c>
      <c r="GJ1954" s="1" t="s">
        <v>260</v>
      </c>
      <c r="GK1954" s="1" t="s">
        <v>210</v>
      </c>
      <c r="GL1954" s="2">
        <v>41985</v>
      </c>
      <c r="GM1954" s="1" t="s">
        <v>17927</v>
      </c>
    </row>
    <row r="1955" spans="1:195">
      <c r="A1955" s="1">
        <v>180000</v>
      </c>
      <c r="B1955" s="1" t="s">
        <v>195</v>
      </c>
      <c r="C1955" s="1" t="str">
        <f>"08734256"</f>
        <v>08734256</v>
      </c>
      <c r="D1955" s="1" t="s">
        <v>196</v>
      </c>
      <c r="F1955" s="1" t="str">
        <f t="shared" si="1492"/>
        <v>188</v>
      </c>
      <c r="G1955" s="2">
        <v>41904</v>
      </c>
      <c r="H1955" s="1">
        <v>199900</v>
      </c>
      <c r="I1955" s="1">
        <v>189000</v>
      </c>
      <c r="J1955" s="1">
        <v>180000</v>
      </c>
      <c r="K1955" s="2">
        <v>41904</v>
      </c>
      <c r="L1955" s="1">
        <v>29</v>
      </c>
      <c r="M1955" s="2">
        <v>41932</v>
      </c>
      <c r="N1955" s="1">
        <v>29</v>
      </c>
      <c r="O1955" s="2">
        <v>41932</v>
      </c>
      <c r="P1955" s="1">
        <v>8059</v>
      </c>
      <c r="Q1955" s="1" t="s">
        <v>423</v>
      </c>
      <c r="R1955" s="2">
        <v>41996</v>
      </c>
      <c r="S1955" s="1">
        <v>82949</v>
      </c>
      <c r="U1955" s="1">
        <v>1108</v>
      </c>
      <c r="V1955" s="1" t="s">
        <v>17928</v>
      </c>
      <c r="W1955" s="1" t="s">
        <v>304</v>
      </c>
      <c r="X1955" s="1">
        <v>1108</v>
      </c>
      <c r="Y1955" s="1">
        <v>4</v>
      </c>
      <c r="Z1955" s="1" t="s">
        <v>370</v>
      </c>
      <c r="AA1955" s="1" t="s">
        <v>1084</v>
      </c>
      <c r="AB1955" s="1">
        <v>60188</v>
      </c>
      <c r="AD1955" s="1" t="s">
        <v>17929</v>
      </c>
      <c r="AE1955" s="1" t="s">
        <v>17930</v>
      </c>
      <c r="AF1955" s="1">
        <v>1986</v>
      </c>
      <c r="AG1955" s="1" t="s">
        <v>204</v>
      </c>
      <c r="AH1955" s="1" t="s">
        <v>1087</v>
      </c>
      <c r="AI1955" s="1" t="s">
        <v>206</v>
      </c>
      <c r="AJ1955" s="1" t="s">
        <v>2654</v>
      </c>
      <c r="AL1955" s="1">
        <v>6</v>
      </c>
      <c r="AM1955" s="1">
        <v>2</v>
      </c>
      <c r="AN1955" s="1">
        <v>2</v>
      </c>
      <c r="AO1955" s="1">
        <v>0</v>
      </c>
      <c r="AP1955" s="1" t="s">
        <v>209</v>
      </c>
      <c r="AQ1955" s="1">
        <v>1</v>
      </c>
      <c r="AR1955" s="1" t="s">
        <v>209</v>
      </c>
      <c r="AS1955" s="1" t="s">
        <v>204</v>
      </c>
      <c r="AT1955" s="1" t="s">
        <v>211</v>
      </c>
      <c r="AU1955" s="1">
        <v>1</v>
      </c>
      <c r="AW1955" s="1" t="s">
        <v>204</v>
      </c>
      <c r="AX1955" s="1" t="s">
        <v>212</v>
      </c>
      <c r="AZ1955" s="1">
        <v>5233</v>
      </c>
      <c r="BA1955" s="1">
        <v>2013</v>
      </c>
      <c r="BB1955" s="1" t="s">
        <v>405</v>
      </c>
      <c r="BE1955" s="1">
        <v>1340</v>
      </c>
      <c r="BF1955" s="1">
        <v>1</v>
      </c>
      <c r="BG1955" s="1">
        <v>30</v>
      </c>
      <c r="BL1955" s="1">
        <v>283</v>
      </c>
      <c r="BM1955" s="1" t="s">
        <v>204</v>
      </c>
      <c r="BN1955" s="1" t="s">
        <v>213</v>
      </c>
      <c r="BO1955" s="1">
        <v>999</v>
      </c>
      <c r="BP1955" s="1" t="s">
        <v>204</v>
      </c>
      <c r="BR1955" s="1" t="str">
        <f>"0124114008"</f>
        <v>0124114008</v>
      </c>
      <c r="BT1955" s="1" t="s">
        <v>17931</v>
      </c>
      <c r="BX1955" s="1">
        <v>46</v>
      </c>
      <c r="BY1955" s="1">
        <v>46</v>
      </c>
      <c r="BZ1955" s="1">
        <v>46</v>
      </c>
      <c r="CB1955" s="1" t="str">
        <f>"3"</f>
        <v>3</v>
      </c>
      <c r="CC1955" s="1" t="str">
        <f>"0"</f>
        <v>0</v>
      </c>
      <c r="CD1955" s="1">
        <v>27</v>
      </c>
      <c r="CE1955" s="1">
        <v>0</v>
      </c>
      <c r="CG1955" s="1" t="s">
        <v>377</v>
      </c>
      <c r="CH1955" s="1" t="s">
        <v>219</v>
      </c>
      <c r="CI1955" s="1" t="s">
        <v>438</v>
      </c>
      <c r="CK1955" s="1" t="s">
        <v>757</v>
      </c>
      <c r="CL1955" s="1" t="s">
        <v>277</v>
      </c>
      <c r="CM1955" s="1" t="s">
        <v>220</v>
      </c>
      <c r="CO1955" s="1" t="s">
        <v>6343</v>
      </c>
      <c r="CP1955" s="1" t="s">
        <v>219</v>
      </c>
      <c r="CQ1955" s="1" t="s">
        <v>438</v>
      </c>
      <c r="CS1955" s="1" t="s">
        <v>461</v>
      </c>
      <c r="CT1955" s="1" t="s">
        <v>219</v>
      </c>
      <c r="CU1955" s="1" t="s">
        <v>229</v>
      </c>
      <c r="CX1955" s="1" t="s">
        <v>224</v>
      </c>
      <c r="DB1955" s="1" t="s">
        <v>224</v>
      </c>
      <c r="DE1955" s="1" t="s">
        <v>1046</v>
      </c>
      <c r="DF1955" s="1" t="s">
        <v>219</v>
      </c>
      <c r="DG1955" s="1" t="s">
        <v>226</v>
      </c>
      <c r="DJ1955" s="1" t="s">
        <v>224</v>
      </c>
      <c r="DM1955" s="1" t="s">
        <v>464</v>
      </c>
      <c r="DR1955" s="1" t="s">
        <v>686</v>
      </c>
      <c r="DS1955" s="1" t="s">
        <v>277</v>
      </c>
      <c r="DT1955" s="1" t="s">
        <v>220</v>
      </c>
      <c r="DW1955" s="1" t="s">
        <v>230</v>
      </c>
      <c r="EA1955" s="1" t="s">
        <v>230</v>
      </c>
      <c r="EE1955" s="1" t="s">
        <v>230</v>
      </c>
      <c r="EI1955" s="1" t="s">
        <v>230</v>
      </c>
      <c r="EL1955" s="1" t="s">
        <v>542</v>
      </c>
      <c r="EM1955" s="1" t="s">
        <v>319</v>
      </c>
      <c r="EN1955" s="1" t="s">
        <v>282</v>
      </c>
      <c r="EO1955" s="1" t="s">
        <v>234</v>
      </c>
      <c r="EQ1955" s="1" t="s">
        <v>284</v>
      </c>
      <c r="ER1955" s="1" t="s">
        <v>544</v>
      </c>
      <c r="ES1955" s="1" t="s">
        <v>322</v>
      </c>
      <c r="ET1955" s="1" t="s">
        <v>1752</v>
      </c>
      <c r="EV1955" s="1" t="s">
        <v>240</v>
      </c>
      <c r="EW1955" s="1" t="s">
        <v>353</v>
      </c>
      <c r="EY1955" s="1" t="s">
        <v>242</v>
      </c>
      <c r="EZ1955" s="1" t="s">
        <v>464</v>
      </c>
      <c r="FA1955" s="1" t="s">
        <v>17797</v>
      </c>
      <c r="FD1955" s="1" t="s">
        <v>246</v>
      </c>
      <c r="FE1955" s="1" t="s">
        <v>765</v>
      </c>
      <c r="FF1955" s="1" t="s">
        <v>248</v>
      </c>
      <c r="FH1955" s="1" t="s">
        <v>550</v>
      </c>
      <c r="FI1955" s="1" t="s">
        <v>357</v>
      </c>
      <c r="FL1955" s="1" t="s">
        <v>358</v>
      </c>
      <c r="FM1955" s="1" t="s">
        <v>252</v>
      </c>
      <c r="FN1955" s="1" t="s">
        <v>213</v>
      </c>
      <c r="FO1955" s="1" t="s">
        <v>213</v>
      </c>
      <c r="FQ1955" s="1" t="s">
        <v>15681</v>
      </c>
      <c r="FR1955" s="1" t="s">
        <v>210</v>
      </c>
      <c r="FS1955" s="1" t="s">
        <v>17932</v>
      </c>
      <c r="FT1955" s="1" t="s">
        <v>362</v>
      </c>
      <c r="FU1955" s="1" t="s">
        <v>204</v>
      </c>
      <c r="FW1955" s="1" t="s">
        <v>4125</v>
      </c>
      <c r="FX1955" s="1">
        <v>8073</v>
      </c>
      <c r="FY1955" s="1" t="s">
        <v>4126</v>
      </c>
      <c r="FZ1955" s="1" t="s">
        <v>17933</v>
      </c>
      <c r="GA1955" s="1">
        <v>237275</v>
      </c>
      <c r="GB1955" s="1" t="s">
        <v>17934</v>
      </c>
      <c r="GC1955" s="1">
        <v>254834</v>
      </c>
      <c r="GE1955" s="1" t="s">
        <v>210</v>
      </c>
      <c r="GI1955" s="1" t="s">
        <v>213</v>
      </c>
      <c r="GJ1955" s="1" t="s">
        <v>260</v>
      </c>
      <c r="GK1955" s="1" t="s">
        <v>210</v>
      </c>
      <c r="GL1955" s="2">
        <v>41997</v>
      </c>
    </row>
    <row r="1956" spans="1:195">
      <c r="A1956" s="1">
        <v>48000</v>
      </c>
      <c r="B1956" s="1" t="s">
        <v>195</v>
      </c>
      <c r="C1956" s="1" t="str">
        <f>"08734307"</f>
        <v>08734307</v>
      </c>
      <c r="D1956" s="1" t="s">
        <v>196</v>
      </c>
      <c r="F1956" s="1" t="str">
        <f>"635"</f>
        <v>635</v>
      </c>
      <c r="G1956" s="2">
        <v>41904</v>
      </c>
      <c r="H1956" s="1">
        <v>97900</v>
      </c>
      <c r="I1956" s="1">
        <v>74900</v>
      </c>
      <c r="J1956" s="1">
        <v>48000</v>
      </c>
      <c r="K1956" s="2">
        <v>41904</v>
      </c>
      <c r="L1956" s="1">
        <v>197</v>
      </c>
      <c r="M1956" s="2">
        <v>42100</v>
      </c>
      <c r="N1956" s="1">
        <v>197</v>
      </c>
      <c r="O1956" s="2">
        <v>42100</v>
      </c>
      <c r="P1956" s="1">
        <v>20114</v>
      </c>
      <c r="Q1956" s="1" t="s">
        <v>302</v>
      </c>
      <c r="R1956" s="2">
        <v>42109</v>
      </c>
      <c r="S1956" s="1">
        <v>216033</v>
      </c>
      <c r="U1956" s="1">
        <v>2800</v>
      </c>
      <c r="V1956" s="1" t="s">
        <v>5684</v>
      </c>
      <c r="W1956" s="1" t="s">
        <v>304</v>
      </c>
      <c r="X1956" s="1">
        <v>2</v>
      </c>
      <c r="Y1956" s="1">
        <v>9</v>
      </c>
      <c r="Z1956" s="1" t="s">
        <v>249</v>
      </c>
      <c r="AA1956" s="1" t="s">
        <v>2377</v>
      </c>
      <c r="AB1956" s="1">
        <v>60707</v>
      </c>
      <c r="AE1956" s="1" t="s">
        <v>17935</v>
      </c>
      <c r="AF1956" s="1">
        <v>2001</v>
      </c>
      <c r="AG1956" s="1" t="s">
        <v>204</v>
      </c>
      <c r="AH1956" s="1" t="s">
        <v>5686</v>
      </c>
      <c r="AI1956" s="1" t="s">
        <v>310</v>
      </c>
      <c r="AJ1956" s="1" t="s">
        <v>311</v>
      </c>
      <c r="AL1956" s="1">
        <v>4</v>
      </c>
      <c r="AM1956" s="1">
        <v>2</v>
      </c>
      <c r="AN1956" s="1">
        <v>1</v>
      </c>
      <c r="AO1956" s="1">
        <v>0</v>
      </c>
      <c r="AP1956" s="1" t="s">
        <v>210</v>
      </c>
      <c r="AQ1956" s="1">
        <v>0</v>
      </c>
      <c r="AR1956" s="1" t="s">
        <v>210</v>
      </c>
      <c r="AS1956" s="1" t="s">
        <v>204</v>
      </c>
      <c r="AT1956" s="1" t="s">
        <v>210</v>
      </c>
      <c r="AW1956" s="1" t="s">
        <v>204</v>
      </c>
      <c r="AX1956" s="1" t="s">
        <v>212</v>
      </c>
      <c r="AZ1956" s="1">
        <v>2301.8000000000002</v>
      </c>
      <c r="BA1956" s="1">
        <v>2013</v>
      </c>
      <c r="BE1956" s="1">
        <v>0</v>
      </c>
      <c r="BF1956" s="1" t="s">
        <v>4806</v>
      </c>
      <c r="BG1956" s="1">
        <v>0</v>
      </c>
      <c r="BL1956" s="1">
        <v>219</v>
      </c>
      <c r="BM1956" s="1" t="s">
        <v>204</v>
      </c>
      <c r="BN1956" s="1" t="s">
        <v>213</v>
      </c>
      <c r="BO1956" s="1">
        <v>30</v>
      </c>
      <c r="BP1956" s="1" t="s">
        <v>204</v>
      </c>
      <c r="BR1956" s="1" t="str">
        <f>"12252300451002"</f>
        <v>12252300451002</v>
      </c>
      <c r="BT1956" s="1" t="s">
        <v>17936</v>
      </c>
      <c r="BX1956" s="1">
        <v>401</v>
      </c>
      <c r="BY1956" s="1">
        <v>401</v>
      </c>
      <c r="BZ1956" s="1">
        <v>401</v>
      </c>
      <c r="CB1956" s="1" t="str">
        <f>"2800"</f>
        <v>2800</v>
      </c>
      <c r="CC1956" s="1" t="str">
        <f>""</f>
        <v/>
      </c>
      <c r="CD1956" s="1">
        <v>7200</v>
      </c>
      <c r="CG1956" s="1" t="s">
        <v>861</v>
      </c>
      <c r="CH1956" s="1" t="s">
        <v>219</v>
      </c>
      <c r="CI1956" s="1" t="s">
        <v>220</v>
      </c>
      <c r="CJ1956" s="1" t="s">
        <v>343</v>
      </c>
      <c r="CK1956" s="1" t="s">
        <v>3151</v>
      </c>
      <c r="CL1956" s="1" t="s">
        <v>219</v>
      </c>
      <c r="CM1956" s="1" t="s">
        <v>220</v>
      </c>
      <c r="CN1956" s="1" t="s">
        <v>343</v>
      </c>
      <c r="CP1956" s="1" t="s">
        <v>224</v>
      </c>
      <c r="CS1956" s="1" t="s">
        <v>836</v>
      </c>
      <c r="CT1956" s="1" t="s">
        <v>219</v>
      </c>
      <c r="CU1956" s="1" t="s">
        <v>220</v>
      </c>
      <c r="CV1956" s="1" t="s">
        <v>343</v>
      </c>
      <c r="CX1956" s="1" t="s">
        <v>224</v>
      </c>
      <c r="DB1956" s="1" t="s">
        <v>224</v>
      </c>
      <c r="DE1956" s="1" t="s">
        <v>1358</v>
      </c>
      <c r="DF1956" s="1" t="s">
        <v>219</v>
      </c>
      <c r="DG1956" s="1" t="s">
        <v>226</v>
      </c>
      <c r="DH1956" s="1" t="s">
        <v>343</v>
      </c>
      <c r="DJ1956" s="1" t="s">
        <v>224</v>
      </c>
      <c r="DS1956" s="1" t="s">
        <v>230</v>
      </c>
      <c r="DW1956" s="1" t="s">
        <v>230</v>
      </c>
      <c r="EA1956" s="1" t="s">
        <v>230</v>
      </c>
      <c r="EE1956" s="1" t="s">
        <v>230</v>
      </c>
      <c r="EI1956" s="1" t="s">
        <v>230</v>
      </c>
      <c r="EL1956" s="1" t="s">
        <v>466</v>
      </c>
      <c r="EM1956" s="1" t="s">
        <v>232</v>
      </c>
      <c r="EN1956" s="1" t="s">
        <v>210</v>
      </c>
      <c r="EO1956" s="1" t="s">
        <v>234</v>
      </c>
      <c r="EP1956" s="1" t="s">
        <v>17937</v>
      </c>
      <c r="ER1956" s="1" t="s">
        <v>210</v>
      </c>
      <c r="ES1956" s="1" t="s">
        <v>322</v>
      </c>
      <c r="EU1956" s="1" t="s">
        <v>1820</v>
      </c>
      <c r="EV1956" s="1" t="s">
        <v>240</v>
      </c>
      <c r="EW1956" s="1" t="s">
        <v>2792</v>
      </c>
      <c r="EZ1956" s="1" t="s">
        <v>287</v>
      </c>
      <c r="FB1956" s="1" t="s">
        <v>244</v>
      </c>
      <c r="FC1956" s="1" t="s">
        <v>1386</v>
      </c>
      <c r="FD1956" s="1" t="s">
        <v>246</v>
      </c>
      <c r="FE1956" s="1" t="s">
        <v>247</v>
      </c>
      <c r="FF1956" s="1" t="s">
        <v>248</v>
      </c>
      <c r="FH1956" s="1" t="s">
        <v>249</v>
      </c>
      <c r="FL1956" s="1" t="s">
        <v>414</v>
      </c>
      <c r="FM1956" s="1" t="s">
        <v>252</v>
      </c>
      <c r="FN1956" s="1" t="s">
        <v>213</v>
      </c>
      <c r="FO1956" s="1" t="s">
        <v>213</v>
      </c>
      <c r="FQ1956" s="1" t="s">
        <v>2562</v>
      </c>
      <c r="FR1956" s="1" t="s">
        <v>210</v>
      </c>
      <c r="FS1956" s="1" t="s">
        <v>15808</v>
      </c>
      <c r="FT1956" s="1" t="s">
        <v>295</v>
      </c>
      <c r="FU1956" s="1" t="s">
        <v>204</v>
      </c>
      <c r="FW1956" s="1" t="s">
        <v>15809</v>
      </c>
      <c r="FX1956" s="1">
        <v>1693</v>
      </c>
      <c r="FY1956" s="1" t="s">
        <v>15810</v>
      </c>
      <c r="FZ1956" s="1" t="s">
        <v>15811</v>
      </c>
      <c r="GA1956" s="1">
        <v>88121</v>
      </c>
      <c r="GB1956" s="1" t="s">
        <v>15810</v>
      </c>
      <c r="GC1956" s="1">
        <v>241590</v>
      </c>
      <c r="GD1956" s="1" t="s">
        <v>17938</v>
      </c>
      <c r="GE1956" s="1" t="s">
        <v>210</v>
      </c>
      <c r="GH1956" s="1" t="s">
        <v>230</v>
      </c>
      <c r="GI1956" s="1" t="s">
        <v>204</v>
      </c>
      <c r="GJ1956" s="1" t="s">
        <v>260</v>
      </c>
      <c r="GK1956" s="1" t="s">
        <v>210</v>
      </c>
      <c r="GL1956" s="2">
        <v>42110</v>
      </c>
      <c r="GM1956" s="1" t="s">
        <v>17939</v>
      </c>
    </row>
    <row r="1957" spans="1:195">
      <c r="A1957" s="1">
        <v>57500</v>
      </c>
      <c r="B1957" s="1" t="s">
        <v>195</v>
      </c>
      <c r="C1957" s="1" t="str">
        <f>"08797221"</f>
        <v>08797221</v>
      </c>
      <c r="D1957" s="1" t="s">
        <v>196</v>
      </c>
      <c r="F1957" s="1" t="str">
        <f>"73"</f>
        <v>73</v>
      </c>
      <c r="G1957" s="2">
        <v>41977</v>
      </c>
      <c r="H1957" s="1">
        <v>63000</v>
      </c>
      <c r="I1957" s="1">
        <v>54900</v>
      </c>
      <c r="J1957" s="1">
        <v>57500</v>
      </c>
      <c r="K1957" s="2">
        <v>41977</v>
      </c>
      <c r="L1957" s="1">
        <v>56</v>
      </c>
      <c r="M1957" s="2">
        <v>42032</v>
      </c>
      <c r="N1957" s="1">
        <v>56</v>
      </c>
      <c r="O1957" s="2">
        <v>42032</v>
      </c>
      <c r="P1957" s="1">
        <v>2648</v>
      </c>
      <c r="Q1957" s="1" t="s">
        <v>197</v>
      </c>
      <c r="R1957" s="2">
        <v>42073</v>
      </c>
      <c r="S1957" s="1">
        <v>18965</v>
      </c>
      <c r="U1957" s="1">
        <v>1574</v>
      </c>
      <c r="V1957" s="1" t="s">
        <v>10999</v>
      </c>
      <c r="W1957" s="1" t="s">
        <v>304</v>
      </c>
      <c r="X1957" s="1" t="s">
        <v>1382</v>
      </c>
      <c r="Y1957" s="1">
        <v>12</v>
      </c>
      <c r="Z1957" s="1" t="s">
        <v>249</v>
      </c>
      <c r="AA1957" s="1" t="s">
        <v>1027</v>
      </c>
      <c r="AB1957" s="1">
        <v>60073</v>
      </c>
      <c r="AE1957" s="1" t="s">
        <v>17940</v>
      </c>
      <c r="AF1957" s="1">
        <v>2001</v>
      </c>
      <c r="AG1957" s="1" t="s">
        <v>204</v>
      </c>
      <c r="AH1957" s="1" t="s">
        <v>1029</v>
      </c>
      <c r="AI1957" s="1" t="s">
        <v>509</v>
      </c>
      <c r="AJ1957" s="1" t="s">
        <v>1263</v>
      </c>
      <c r="AL1957" s="1">
        <v>5</v>
      </c>
      <c r="AM1957" s="1">
        <v>2</v>
      </c>
      <c r="AN1957" s="1">
        <v>1</v>
      </c>
      <c r="AO1957" s="1">
        <v>0</v>
      </c>
      <c r="AP1957" s="1" t="s">
        <v>210</v>
      </c>
      <c r="AR1957" s="1" t="s">
        <v>210</v>
      </c>
      <c r="AS1957" s="1" t="s">
        <v>204</v>
      </c>
      <c r="AT1957" s="1" t="s">
        <v>211</v>
      </c>
      <c r="AU1957" s="1">
        <v>1</v>
      </c>
      <c r="AW1957" s="1" t="s">
        <v>204</v>
      </c>
      <c r="AX1957" s="1" t="s">
        <v>212</v>
      </c>
      <c r="AZ1957" s="1">
        <v>1985</v>
      </c>
      <c r="BA1957" s="1">
        <v>2013</v>
      </c>
      <c r="BE1957" s="1">
        <v>944</v>
      </c>
      <c r="BF1957" s="1">
        <v>1</v>
      </c>
      <c r="BG1957" s="1">
        <v>0</v>
      </c>
      <c r="BL1957" s="1">
        <v>185</v>
      </c>
      <c r="BM1957" s="1" t="s">
        <v>413</v>
      </c>
      <c r="BN1957" s="1" t="s">
        <v>213</v>
      </c>
      <c r="BO1957" s="1">
        <v>0</v>
      </c>
      <c r="BP1957" s="1" t="s">
        <v>204</v>
      </c>
      <c r="BR1957" s="1" t="str">
        <f>"06191051790000"</f>
        <v>06191051790000</v>
      </c>
      <c r="BT1957" s="1" t="s">
        <v>17941</v>
      </c>
      <c r="BX1957" s="1">
        <v>116</v>
      </c>
      <c r="BY1957" s="1">
        <v>116</v>
      </c>
      <c r="BZ1957" s="1">
        <v>116</v>
      </c>
      <c r="CB1957" s="1" t="str">
        <f t="shared" ref="CB1957:CC1957" si="1494">""</f>
        <v/>
      </c>
      <c r="CC1957" s="1" t="str">
        <f t="shared" si="1494"/>
        <v/>
      </c>
      <c r="CG1957" s="1" t="s">
        <v>1360</v>
      </c>
      <c r="CH1957" s="1" t="s">
        <v>219</v>
      </c>
      <c r="CI1957" s="1" t="s">
        <v>220</v>
      </c>
      <c r="CK1957" s="1" t="s">
        <v>1297</v>
      </c>
      <c r="CL1957" s="1" t="s">
        <v>219</v>
      </c>
      <c r="CM1957" s="1" t="s">
        <v>220</v>
      </c>
      <c r="CO1957" s="1" t="s">
        <v>409</v>
      </c>
      <c r="CP1957" s="1" t="s">
        <v>219</v>
      </c>
      <c r="CQ1957" s="1" t="s">
        <v>220</v>
      </c>
      <c r="CS1957" s="1" t="s">
        <v>346</v>
      </c>
      <c r="CT1957" s="1" t="s">
        <v>219</v>
      </c>
      <c r="CU1957" s="1" t="s">
        <v>220</v>
      </c>
      <c r="CX1957" s="1" t="s">
        <v>224</v>
      </c>
      <c r="DB1957" s="1" t="s">
        <v>224</v>
      </c>
      <c r="DE1957" s="1" t="s">
        <v>281</v>
      </c>
      <c r="DF1957" s="1" t="s">
        <v>219</v>
      </c>
      <c r="DG1957" s="1" t="s">
        <v>342</v>
      </c>
      <c r="DJ1957" s="1" t="s">
        <v>224</v>
      </c>
      <c r="DS1957" s="1" t="s">
        <v>230</v>
      </c>
      <c r="DW1957" s="1" t="s">
        <v>230</v>
      </c>
      <c r="EA1957" s="1" t="s">
        <v>230</v>
      </c>
      <c r="EE1957" s="1" t="s">
        <v>230</v>
      </c>
      <c r="EI1957" s="1" t="s">
        <v>230</v>
      </c>
      <c r="EL1957" s="1" t="s">
        <v>466</v>
      </c>
      <c r="EM1957" s="1" t="s">
        <v>319</v>
      </c>
      <c r="EN1957" s="1" t="s">
        <v>282</v>
      </c>
      <c r="EO1957" s="1" t="s">
        <v>234</v>
      </c>
      <c r="ER1957" s="1" t="s">
        <v>210</v>
      </c>
      <c r="EW1957" s="1" t="s">
        <v>5888</v>
      </c>
      <c r="EY1957" s="1" t="s">
        <v>242</v>
      </c>
      <c r="EZ1957" s="1" t="s">
        <v>287</v>
      </c>
      <c r="FD1957" s="1" t="s">
        <v>246</v>
      </c>
      <c r="FE1957" s="1" t="s">
        <v>386</v>
      </c>
      <c r="FF1957" s="1" t="s">
        <v>248</v>
      </c>
      <c r="FH1957" s="1" t="s">
        <v>17942</v>
      </c>
      <c r="FL1957" s="1" t="s">
        <v>292</v>
      </c>
      <c r="FM1957" s="1" t="s">
        <v>252</v>
      </c>
      <c r="FN1957" s="1" t="s">
        <v>213</v>
      </c>
      <c r="FO1957" s="1" t="s">
        <v>213</v>
      </c>
      <c r="FQ1957" s="1" t="s">
        <v>582</v>
      </c>
      <c r="FR1957" s="1" t="s">
        <v>210</v>
      </c>
      <c r="FS1957" s="1" t="s">
        <v>583</v>
      </c>
      <c r="FT1957" s="1" t="s">
        <v>1828</v>
      </c>
      <c r="FU1957" s="1" t="s">
        <v>204</v>
      </c>
      <c r="FW1957" s="1" t="s">
        <v>585</v>
      </c>
      <c r="FX1957" s="1">
        <v>2050</v>
      </c>
      <c r="FY1957" s="1" t="s">
        <v>4207</v>
      </c>
      <c r="FZ1957" s="1" t="s">
        <v>5766</v>
      </c>
      <c r="GA1957" s="1">
        <v>18950</v>
      </c>
      <c r="GB1957" s="1" t="s">
        <v>5767</v>
      </c>
      <c r="GC1957" s="1">
        <v>35055</v>
      </c>
      <c r="GD1957" s="1" t="s">
        <v>5768</v>
      </c>
      <c r="GE1957" s="1" t="s">
        <v>210</v>
      </c>
      <c r="GH1957" s="1" t="s">
        <v>589</v>
      </c>
      <c r="GI1957" s="1" t="s">
        <v>213</v>
      </c>
      <c r="GJ1957" s="1" t="s">
        <v>260</v>
      </c>
      <c r="GK1957" s="1" t="s">
        <v>210</v>
      </c>
      <c r="GL1957" s="2">
        <v>42074</v>
      </c>
      <c r="GM1957" s="1" t="s">
        <v>17943</v>
      </c>
    </row>
    <row r="1958" spans="1:195">
      <c r="A1958" s="1">
        <v>40000</v>
      </c>
      <c r="B1958" s="1" t="s">
        <v>195</v>
      </c>
      <c r="C1958" s="1" t="str">
        <f>"08736839"</f>
        <v>08736839</v>
      </c>
      <c r="D1958" s="1" t="s">
        <v>196</v>
      </c>
      <c r="F1958" s="1" t="str">
        <f>"8052"</f>
        <v>8052</v>
      </c>
      <c r="G1958" s="2">
        <v>41906</v>
      </c>
      <c r="H1958" s="1">
        <v>55000</v>
      </c>
      <c r="I1958" s="1">
        <v>47000</v>
      </c>
      <c r="J1958" s="1">
        <v>40000</v>
      </c>
      <c r="K1958" s="2">
        <v>41905</v>
      </c>
      <c r="L1958" s="1">
        <v>14</v>
      </c>
      <c r="M1958" s="2">
        <v>41918</v>
      </c>
      <c r="N1958" s="1">
        <v>14</v>
      </c>
      <c r="O1958" s="2">
        <v>41918</v>
      </c>
      <c r="P1958" s="1">
        <v>14066</v>
      </c>
      <c r="Q1958" s="1" t="s">
        <v>302</v>
      </c>
      <c r="R1958" s="2">
        <v>41977</v>
      </c>
      <c r="S1958" s="1">
        <v>129751</v>
      </c>
      <c r="U1958" s="1">
        <v>11227</v>
      </c>
      <c r="V1958" s="1" t="s">
        <v>17944</v>
      </c>
      <c r="Y1958" s="1">
        <v>1</v>
      </c>
      <c r="Z1958" s="1" t="s">
        <v>200</v>
      </c>
      <c r="AA1958" s="1" t="s">
        <v>400</v>
      </c>
      <c r="AB1958" s="1">
        <v>60617</v>
      </c>
      <c r="AE1958" s="1" t="s">
        <v>17945</v>
      </c>
      <c r="AF1958" s="1">
        <v>1940</v>
      </c>
      <c r="AG1958" s="1" t="s">
        <v>213</v>
      </c>
      <c r="AH1958" s="1" t="s">
        <v>403</v>
      </c>
      <c r="AI1958" s="1" t="s">
        <v>310</v>
      </c>
      <c r="AJ1958" s="1" t="s">
        <v>562</v>
      </c>
      <c r="AL1958" s="1">
        <v>5</v>
      </c>
      <c r="AM1958" s="1">
        <v>2</v>
      </c>
      <c r="AN1958" s="1">
        <v>1</v>
      </c>
      <c r="AO1958" s="1">
        <v>0</v>
      </c>
      <c r="AP1958" s="1" t="s">
        <v>210</v>
      </c>
      <c r="AR1958" s="1" t="s">
        <v>209</v>
      </c>
      <c r="AS1958" s="1" t="s">
        <v>204</v>
      </c>
      <c r="AT1958" s="1" t="s">
        <v>211</v>
      </c>
      <c r="AU1958" s="1">
        <v>2</v>
      </c>
      <c r="AW1958" s="1" t="s">
        <v>204</v>
      </c>
      <c r="AX1958" s="1" t="s">
        <v>2379</v>
      </c>
      <c r="AZ1958" s="1">
        <v>1395</v>
      </c>
      <c r="BA1958" s="1">
        <v>2013</v>
      </c>
      <c r="BB1958" s="1" t="s">
        <v>405</v>
      </c>
      <c r="BE1958" s="1">
        <v>500</v>
      </c>
      <c r="BF1958" s="1">
        <v>1</v>
      </c>
      <c r="BG1958" s="1">
        <v>10</v>
      </c>
      <c r="BL1958" s="1">
        <v>0</v>
      </c>
      <c r="BM1958" s="1" t="s">
        <v>413</v>
      </c>
      <c r="BN1958" s="1" t="s">
        <v>213</v>
      </c>
      <c r="BO1958" s="1">
        <v>999</v>
      </c>
      <c r="BP1958" s="1" t="s">
        <v>204</v>
      </c>
      <c r="BR1958" s="1" t="str">
        <f>"26173200550000"</f>
        <v>26173200550000</v>
      </c>
      <c r="BT1958" s="1" t="s">
        <v>17946</v>
      </c>
      <c r="BX1958" s="1">
        <v>299</v>
      </c>
      <c r="BY1958" s="1">
        <v>299</v>
      </c>
      <c r="BZ1958" s="1">
        <v>299</v>
      </c>
      <c r="CB1958" s="1" t="str">
        <f t="shared" ref="CB1958:CB1959" si="1495">"0"</f>
        <v>0</v>
      </c>
      <c r="CC1958" s="1" t="str">
        <f>"3600"</f>
        <v>3600</v>
      </c>
      <c r="CD1958" s="1">
        <v>0</v>
      </c>
      <c r="CE1958" s="1">
        <v>11200</v>
      </c>
      <c r="CG1958" s="1" t="s">
        <v>379</v>
      </c>
      <c r="CH1958" s="1" t="s">
        <v>219</v>
      </c>
      <c r="CI1958" s="1" t="s">
        <v>438</v>
      </c>
      <c r="CK1958" s="1" t="s">
        <v>378</v>
      </c>
      <c r="CL1958" s="1" t="s">
        <v>277</v>
      </c>
      <c r="CM1958" s="1" t="s">
        <v>438</v>
      </c>
      <c r="CO1958" s="1" t="s">
        <v>2547</v>
      </c>
      <c r="CP1958" s="1" t="s">
        <v>219</v>
      </c>
      <c r="CS1958" s="1" t="s">
        <v>346</v>
      </c>
      <c r="CT1958" s="1" t="s">
        <v>277</v>
      </c>
      <c r="CX1958" s="1" t="s">
        <v>224</v>
      </c>
      <c r="DB1958" s="1" t="s">
        <v>224</v>
      </c>
      <c r="DE1958" s="1" t="s">
        <v>345</v>
      </c>
      <c r="DF1958" s="1" t="s">
        <v>219</v>
      </c>
      <c r="DJ1958" s="1" t="s">
        <v>224</v>
      </c>
      <c r="DS1958" s="1" t="s">
        <v>230</v>
      </c>
      <c r="DW1958" s="1" t="s">
        <v>230</v>
      </c>
      <c r="EA1958" s="1" t="s">
        <v>230</v>
      </c>
      <c r="EE1958" s="1" t="s">
        <v>230</v>
      </c>
      <c r="EI1958" s="1" t="s">
        <v>230</v>
      </c>
      <c r="EL1958" s="1" t="s">
        <v>440</v>
      </c>
      <c r="EM1958" s="1" t="s">
        <v>730</v>
      </c>
      <c r="EN1958" s="1" t="s">
        <v>210</v>
      </c>
      <c r="EO1958" s="1" t="s">
        <v>234</v>
      </c>
      <c r="ER1958" s="1" t="s">
        <v>1249</v>
      </c>
      <c r="EW1958" s="1" t="s">
        <v>210</v>
      </c>
      <c r="EY1958" s="1" t="s">
        <v>242</v>
      </c>
      <c r="EZ1958" s="1" t="s">
        <v>287</v>
      </c>
      <c r="FD1958" s="1" t="s">
        <v>246</v>
      </c>
      <c r="FE1958" s="1" t="s">
        <v>247</v>
      </c>
      <c r="FF1958" s="1" t="s">
        <v>3103</v>
      </c>
      <c r="FH1958" s="1" t="s">
        <v>347</v>
      </c>
      <c r="FJ1958" s="1" t="s">
        <v>2046</v>
      </c>
      <c r="FL1958" s="1" t="s">
        <v>358</v>
      </c>
      <c r="FM1958" s="1" t="s">
        <v>252</v>
      </c>
      <c r="FN1958" s="1" t="s">
        <v>213</v>
      </c>
      <c r="FO1958" s="1" t="s">
        <v>213</v>
      </c>
      <c r="FQ1958" s="1" t="s">
        <v>689</v>
      </c>
      <c r="FR1958" s="1" t="s">
        <v>210</v>
      </c>
      <c r="FS1958" s="1" t="s">
        <v>3507</v>
      </c>
      <c r="FT1958" s="1" t="s">
        <v>1182</v>
      </c>
      <c r="FU1958" s="1" t="s">
        <v>204</v>
      </c>
      <c r="FW1958" s="1" t="s">
        <v>17947</v>
      </c>
      <c r="FX1958" s="1">
        <v>14066</v>
      </c>
      <c r="FY1958" s="1" t="s">
        <v>17948</v>
      </c>
      <c r="FZ1958" s="1" t="s">
        <v>17949</v>
      </c>
      <c r="GA1958" s="1">
        <v>129751</v>
      </c>
      <c r="GB1958" s="1" t="s">
        <v>17948</v>
      </c>
      <c r="GD1958" s="1" t="s">
        <v>17950</v>
      </c>
      <c r="GE1958" s="1" t="s">
        <v>210</v>
      </c>
      <c r="GH1958" s="1" t="s">
        <v>421</v>
      </c>
      <c r="GI1958" s="1" t="s">
        <v>213</v>
      </c>
      <c r="GJ1958" s="1" t="s">
        <v>260</v>
      </c>
      <c r="GK1958" s="1" t="s">
        <v>210</v>
      </c>
      <c r="GL1958" s="2">
        <v>41977</v>
      </c>
    </row>
    <row r="1959" spans="1:195">
      <c r="A1959" s="1">
        <v>150000</v>
      </c>
      <c r="B1959" s="1" t="s">
        <v>195</v>
      </c>
      <c r="C1959" s="1" t="str">
        <f>"08739316"</f>
        <v>08739316</v>
      </c>
      <c r="D1959" s="1" t="s">
        <v>196</v>
      </c>
      <c r="F1959" s="1" t="str">
        <f>"540"</f>
        <v>540</v>
      </c>
      <c r="G1959" s="2">
        <v>41909</v>
      </c>
      <c r="H1959" s="1">
        <v>157500</v>
      </c>
      <c r="I1959" s="1">
        <v>157500</v>
      </c>
      <c r="J1959" s="1">
        <v>150000</v>
      </c>
      <c r="K1959" s="2">
        <v>41909</v>
      </c>
      <c r="L1959" s="1">
        <v>36</v>
      </c>
      <c r="M1959" s="2">
        <v>41944</v>
      </c>
      <c r="N1959" s="1">
        <v>36</v>
      </c>
      <c r="O1959" s="2">
        <v>41944</v>
      </c>
      <c r="P1959" s="1">
        <v>21682</v>
      </c>
      <c r="Q1959" s="1" t="s">
        <v>197</v>
      </c>
      <c r="R1959" s="2">
        <v>41975</v>
      </c>
      <c r="S1959" s="1">
        <v>232384</v>
      </c>
      <c r="U1959" s="1">
        <v>2624</v>
      </c>
      <c r="V1959" s="1" t="s">
        <v>17951</v>
      </c>
      <c r="W1959" s="1" t="s">
        <v>1056</v>
      </c>
      <c r="Y1959" s="1">
        <v>6</v>
      </c>
      <c r="Z1959" s="1" t="s">
        <v>249</v>
      </c>
      <c r="AA1959" s="1" t="s">
        <v>921</v>
      </c>
      <c r="AB1959" s="1">
        <v>60540</v>
      </c>
      <c r="AD1959" s="1" t="s">
        <v>17952</v>
      </c>
      <c r="AE1959" s="1" t="s">
        <v>17953</v>
      </c>
      <c r="AF1959" s="1">
        <v>1998</v>
      </c>
      <c r="AG1959" s="1" t="s">
        <v>204</v>
      </c>
      <c r="AH1959" s="1" t="s">
        <v>924</v>
      </c>
      <c r="AI1959" s="1" t="s">
        <v>206</v>
      </c>
      <c r="AJ1959" s="1" t="s">
        <v>924</v>
      </c>
      <c r="AL1959" s="1">
        <v>6</v>
      </c>
      <c r="AM1959" s="1">
        <v>2</v>
      </c>
      <c r="AN1959" s="1">
        <v>2</v>
      </c>
      <c r="AO1959" s="1">
        <v>1</v>
      </c>
      <c r="AP1959" s="1" t="s">
        <v>209</v>
      </c>
      <c r="AR1959" s="1" t="s">
        <v>210</v>
      </c>
      <c r="AS1959" s="1" t="s">
        <v>204</v>
      </c>
      <c r="AT1959" s="1" t="s">
        <v>211</v>
      </c>
      <c r="AU1959" s="1">
        <v>1</v>
      </c>
      <c r="AW1959" s="1" t="s">
        <v>204</v>
      </c>
      <c r="AX1959" s="1" t="s">
        <v>212</v>
      </c>
      <c r="AZ1959" s="1">
        <v>4105</v>
      </c>
      <c r="BA1959" s="1">
        <v>2013</v>
      </c>
      <c r="BE1959" s="1">
        <v>1326</v>
      </c>
      <c r="BF1959" s="1">
        <v>1</v>
      </c>
      <c r="BG1959" s="1">
        <v>0</v>
      </c>
      <c r="BL1959" s="1">
        <v>217</v>
      </c>
      <c r="BM1959" s="1" t="s">
        <v>204</v>
      </c>
      <c r="BN1959" s="1" t="s">
        <v>213</v>
      </c>
      <c r="BO1959" s="1">
        <v>0</v>
      </c>
      <c r="BP1959" s="1" t="s">
        <v>204</v>
      </c>
      <c r="BR1959" s="1" t="str">
        <f>"0722311115"</f>
        <v>0722311115</v>
      </c>
      <c r="BT1959" s="1" t="s">
        <v>17954</v>
      </c>
      <c r="BU1959" s="1" t="s">
        <v>3988</v>
      </c>
      <c r="BV1959" s="1" t="s">
        <v>1248</v>
      </c>
      <c r="BW1959" s="1" t="s">
        <v>1131</v>
      </c>
      <c r="BX1959" s="1">
        <v>204</v>
      </c>
      <c r="BY1959" s="1">
        <v>204</v>
      </c>
      <c r="BZ1959" s="1">
        <v>204</v>
      </c>
      <c r="CB1959" s="1" t="str">
        <f t="shared" si="1495"/>
        <v>0</v>
      </c>
      <c r="CC1959" s="1" t="str">
        <f t="shared" ref="CC1959:CC1960" si="1496">"0"</f>
        <v>0</v>
      </c>
      <c r="CD1959" s="1">
        <v>29</v>
      </c>
      <c r="CE1959" s="1">
        <v>7</v>
      </c>
      <c r="CG1959" s="1" t="s">
        <v>9820</v>
      </c>
      <c r="CH1959" s="1" t="s">
        <v>219</v>
      </c>
      <c r="CI1959" s="1" t="s">
        <v>220</v>
      </c>
      <c r="CK1959" s="1" t="s">
        <v>221</v>
      </c>
      <c r="CL1959" s="1" t="s">
        <v>277</v>
      </c>
      <c r="CM1959" s="1" t="s">
        <v>220</v>
      </c>
      <c r="CO1959" s="1" t="s">
        <v>629</v>
      </c>
      <c r="CP1959" s="1" t="s">
        <v>219</v>
      </c>
      <c r="CQ1959" s="1" t="s">
        <v>220</v>
      </c>
      <c r="CS1959" s="1" t="s">
        <v>379</v>
      </c>
      <c r="CT1959" s="1" t="s">
        <v>277</v>
      </c>
      <c r="CU1959" s="1" t="s">
        <v>220</v>
      </c>
      <c r="CX1959" s="1" t="s">
        <v>224</v>
      </c>
      <c r="DB1959" s="1" t="s">
        <v>224</v>
      </c>
      <c r="DE1959" s="1" t="s">
        <v>1046</v>
      </c>
      <c r="DF1959" s="1" t="s">
        <v>219</v>
      </c>
      <c r="DG1959" s="1" t="s">
        <v>226</v>
      </c>
      <c r="DJ1959" s="1" t="s">
        <v>224</v>
      </c>
      <c r="DM1959" s="1" t="s">
        <v>464</v>
      </c>
      <c r="DR1959" s="1" t="s">
        <v>1297</v>
      </c>
      <c r="DS1959" s="1" t="s">
        <v>277</v>
      </c>
      <c r="DT1959" s="1" t="s">
        <v>220</v>
      </c>
      <c r="DW1959" s="1" t="s">
        <v>230</v>
      </c>
      <c r="EA1959" s="1" t="s">
        <v>230</v>
      </c>
      <c r="EE1959" s="1" t="s">
        <v>230</v>
      </c>
      <c r="EI1959" s="1" t="s">
        <v>230</v>
      </c>
      <c r="EL1959" s="1" t="s">
        <v>670</v>
      </c>
      <c r="EM1959" s="1" t="s">
        <v>232</v>
      </c>
      <c r="EN1959" s="1" t="s">
        <v>282</v>
      </c>
      <c r="EO1959" s="1" t="s">
        <v>234</v>
      </c>
      <c r="EP1959" s="1" t="s">
        <v>650</v>
      </c>
      <c r="EQ1959" s="1" t="s">
        <v>17955</v>
      </c>
      <c r="ER1959" s="1" t="s">
        <v>210</v>
      </c>
      <c r="ES1959" s="1" t="s">
        <v>16628</v>
      </c>
      <c r="EV1959" s="1" t="s">
        <v>240</v>
      </c>
      <c r="EW1959" s="1" t="s">
        <v>353</v>
      </c>
      <c r="EZ1959" s="1" t="s">
        <v>464</v>
      </c>
      <c r="FD1959" s="1" t="s">
        <v>495</v>
      </c>
      <c r="FE1959" s="1" t="s">
        <v>472</v>
      </c>
      <c r="FF1959" s="1" t="s">
        <v>248</v>
      </c>
      <c r="FH1959" s="1" t="s">
        <v>550</v>
      </c>
      <c r="FI1959" s="1" t="s">
        <v>473</v>
      </c>
      <c r="FL1959" s="1" t="s">
        <v>358</v>
      </c>
      <c r="FM1959" s="1" t="s">
        <v>252</v>
      </c>
      <c r="FN1959" s="1" t="s">
        <v>213</v>
      </c>
      <c r="FO1959" s="1" t="s">
        <v>213</v>
      </c>
      <c r="FQ1959" s="1" t="s">
        <v>793</v>
      </c>
      <c r="FR1959" s="1" t="s">
        <v>210</v>
      </c>
      <c r="FS1959" s="1" t="s">
        <v>17956</v>
      </c>
      <c r="FT1959" s="1" t="s">
        <v>295</v>
      </c>
      <c r="FU1959" s="1" t="s">
        <v>204</v>
      </c>
      <c r="FW1959" s="1" t="s">
        <v>3407</v>
      </c>
      <c r="FX1959" s="1">
        <v>20131</v>
      </c>
      <c r="FY1959" s="1" t="s">
        <v>3408</v>
      </c>
      <c r="FZ1959" s="1" t="s">
        <v>17957</v>
      </c>
      <c r="GA1959" s="1">
        <v>222169</v>
      </c>
      <c r="GB1959" s="1" t="s">
        <v>17958</v>
      </c>
      <c r="GE1959" s="1" t="s">
        <v>210</v>
      </c>
      <c r="GI1959" s="1" t="s">
        <v>213</v>
      </c>
      <c r="GJ1959" s="1" t="s">
        <v>260</v>
      </c>
      <c r="GK1959" s="1" t="s">
        <v>210</v>
      </c>
      <c r="GL1959" s="2">
        <v>41976</v>
      </c>
    </row>
    <row r="1960" spans="1:195">
      <c r="A1960" s="1">
        <v>89500</v>
      </c>
      <c r="B1960" s="1" t="s">
        <v>195</v>
      </c>
      <c r="C1960" s="1" t="str">
        <f>"08738027"</f>
        <v>08738027</v>
      </c>
      <c r="D1960" s="1" t="s">
        <v>196</v>
      </c>
      <c r="F1960" s="1" t="str">
        <f>"104"</f>
        <v>104</v>
      </c>
      <c r="G1960" s="2">
        <v>41907</v>
      </c>
      <c r="H1960" s="1">
        <v>94900</v>
      </c>
      <c r="I1960" s="1">
        <v>94900</v>
      </c>
      <c r="J1960" s="1">
        <v>89500</v>
      </c>
      <c r="K1960" s="2">
        <v>41907</v>
      </c>
      <c r="L1960" s="1">
        <v>23</v>
      </c>
      <c r="M1960" s="2">
        <v>41929</v>
      </c>
      <c r="N1960" s="1">
        <v>23</v>
      </c>
      <c r="O1960" s="2">
        <v>41929</v>
      </c>
      <c r="P1960" s="1">
        <v>1408</v>
      </c>
      <c r="Q1960" s="1" t="s">
        <v>197</v>
      </c>
      <c r="R1960" s="2">
        <v>41983</v>
      </c>
      <c r="S1960" s="1">
        <v>84246</v>
      </c>
      <c r="T1960" s="1">
        <v>2685</v>
      </c>
      <c r="U1960" s="1">
        <v>319</v>
      </c>
      <c r="V1960" s="1" t="s">
        <v>17959</v>
      </c>
      <c r="W1960" s="1" t="s">
        <v>504</v>
      </c>
      <c r="X1960" s="1" t="s">
        <v>4751</v>
      </c>
      <c r="Y1960" s="1">
        <v>4</v>
      </c>
      <c r="Z1960" s="1" t="s">
        <v>249</v>
      </c>
      <c r="AA1960" s="1" t="s">
        <v>371</v>
      </c>
      <c r="AB1960" s="1">
        <v>60103</v>
      </c>
      <c r="AD1960" s="1" t="s">
        <v>5971</v>
      </c>
      <c r="AE1960" s="1" t="s">
        <v>17960</v>
      </c>
      <c r="AF1960" s="1">
        <v>1989</v>
      </c>
      <c r="AG1960" s="1" t="s">
        <v>204</v>
      </c>
      <c r="AH1960" s="1" t="s">
        <v>373</v>
      </c>
      <c r="AI1960" s="1" t="s">
        <v>310</v>
      </c>
      <c r="AJ1960" s="1" t="s">
        <v>374</v>
      </c>
      <c r="AL1960" s="1">
        <v>5</v>
      </c>
      <c r="AM1960" s="1">
        <v>2</v>
      </c>
      <c r="AN1960" s="1">
        <v>2</v>
      </c>
      <c r="AO1960" s="1">
        <v>0</v>
      </c>
      <c r="AP1960" s="1" t="s">
        <v>209</v>
      </c>
      <c r="AR1960" s="1" t="s">
        <v>210</v>
      </c>
      <c r="AS1960" s="1" t="s">
        <v>204</v>
      </c>
      <c r="AT1960" s="1" t="s">
        <v>211</v>
      </c>
      <c r="AU1960" s="1">
        <v>1</v>
      </c>
      <c r="AW1960" s="1" t="s">
        <v>204</v>
      </c>
      <c r="AX1960" s="1" t="s">
        <v>212</v>
      </c>
      <c r="AZ1960" s="1">
        <v>1484.47</v>
      </c>
      <c r="BA1960" s="1">
        <v>2012</v>
      </c>
      <c r="BE1960" s="1">
        <v>1100</v>
      </c>
      <c r="BF1960" s="1">
        <v>2</v>
      </c>
      <c r="BG1960" s="1">
        <v>0</v>
      </c>
      <c r="BL1960" s="1">
        <v>211</v>
      </c>
      <c r="BM1960" s="1" t="s">
        <v>413</v>
      </c>
      <c r="BN1960" s="1" t="s">
        <v>213</v>
      </c>
      <c r="BO1960" s="1">
        <v>999</v>
      </c>
      <c r="BP1960" s="1" t="s">
        <v>204</v>
      </c>
      <c r="BR1960" s="1" t="str">
        <f>"06354000971008"</f>
        <v>06354000971008</v>
      </c>
      <c r="BT1960" s="1" t="s">
        <v>17961</v>
      </c>
      <c r="BU1960" s="1" t="s">
        <v>1815</v>
      </c>
      <c r="BV1960" s="1" t="s">
        <v>1816</v>
      </c>
      <c r="BW1960" s="1" t="s">
        <v>4121</v>
      </c>
      <c r="BX1960" s="1">
        <v>46</v>
      </c>
      <c r="BY1960" s="1">
        <v>46</v>
      </c>
      <c r="BZ1960" s="1">
        <v>46</v>
      </c>
      <c r="CB1960" s="1" t="str">
        <f>"8"</f>
        <v>8</v>
      </c>
      <c r="CC1960" s="1" t="str">
        <f t="shared" si="1496"/>
        <v>0</v>
      </c>
      <c r="CD1960" s="1">
        <v>28</v>
      </c>
      <c r="CE1960" s="1">
        <v>0</v>
      </c>
      <c r="CG1960" s="1" t="s">
        <v>1403</v>
      </c>
      <c r="CH1960" s="1" t="s">
        <v>277</v>
      </c>
      <c r="CK1960" s="1" t="s">
        <v>1469</v>
      </c>
      <c r="CL1960" s="1" t="s">
        <v>277</v>
      </c>
      <c r="CO1960" s="1" t="s">
        <v>316</v>
      </c>
      <c r="CP1960" s="1" t="s">
        <v>277</v>
      </c>
      <c r="CS1960" s="1" t="s">
        <v>318</v>
      </c>
      <c r="CT1960" s="1" t="s">
        <v>277</v>
      </c>
      <c r="CX1960" s="1" t="s">
        <v>224</v>
      </c>
      <c r="DB1960" s="1" t="s">
        <v>224</v>
      </c>
      <c r="DE1960" s="1" t="s">
        <v>516</v>
      </c>
      <c r="DF1960" s="1" t="s">
        <v>277</v>
      </c>
      <c r="DJ1960" s="1" t="s">
        <v>224</v>
      </c>
      <c r="DS1960" s="1" t="s">
        <v>230</v>
      </c>
      <c r="DW1960" s="1" t="s">
        <v>230</v>
      </c>
      <c r="EA1960" s="1" t="s">
        <v>230</v>
      </c>
      <c r="EE1960" s="1" t="s">
        <v>230</v>
      </c>
      <c r="EI1960" s="1" t="s">
        <v>230</v>
      </c>
      <c r="EL1960" s="1" t="s">
        <v>382</v>
      </c>
      <c r="EM1960" s="1" t="s">
        <v>319</v>
      </c>
      <c r="EN1960" s="1" t="s">
        <v>210</v>
      </c>
      <c r="EO1960" s="1" t="s">
        <v>234</v>
      </c>
      <c r="ER1960" s="1" t="s">
        <v>210</v>
      </c>
      <c r="EW1960" s="1" t="s">
        <v>2105</v>
      </c>
      <c r="EZ1960" s="1" t="s">
        <v>287</v>
      </c>
      <c r="FD1960" s="1" t="s">
        <v>246</v>
      </c>
      <c r="FE1960" s="1" t="s">
        <v>549</v>
      </c>
      <c r="FF1960" s="1" t="s">
        <v>248</v>
      </c>
      <c r="FH1960" s="1" t="s">
        <v>249</v>
      </c>
      <c r="FL1960" s="1" t="s">
        <v>358</v>
      </c>
      <c r="FM1960" s="1" t="s">
        <v>252</v>
      </c>
      <c r="FN1960" s="1" t="s">
        <v>213</v>
      </c>
      <c r="FO1960" s="1" t="s">
        <v>213</v>
      </c>
      <c r="FQ1960" s="1" t="s">
        <v>689</v>
      </c>
      <c r="FR1960" s="1" t="s">
        <v>210</v>
      </c>
      <c r="FS1960" s="1" t="s">
        <v>8256</v>
      </c>
      <c r="FT1960" s="1" t="s">
        <v>1828</v>
      </c>
      <c r="FU1960" s="1" t="s">
        <v>204</v>
      </c>
      <c r="FW1960" s="1" t="s">
        <v>8257</v>
      </c>
      <c r="FX1960" s="1">
        <v>16339</v>
      </c>
      <c r="FY1960" s="1" t="s">
        <v>8258</v>
      </c>
      <c r="FZ1960" s="1" t="s">
        <v>16836</v>
      </c>
      <c r="GA1960" s="1">
        <v>106496</v>
      </c>
      <c r="GC1960" s="1">
        <v>165879</v>
      </c>
      <c r="GE1960" s="1" t="s">
        <v>210</v>
      </c>
      <c r="GI1960" s="1" t="s">
        <v>204</v>
      </c>
      <c r="GJ1960" s="1" t="s">
        <v>260</v>
      </c>
      <c r="GK1960" s="1" t="s">
        <v>210</v>
      </c>
      <c r="GL1960" s="2">
        <v>41984</v>
      </c>
      <c r="GM1960" s="1" t="s">
        <v>8260</v>
      </c>
    </row>
    <row r="1961" spans="1:195">
      <c r="A1961" s="1">
        <v>118000</v>
      </c>
      <c r="B1961" s="1" t="s">
        <v>195</v>
      </c>
      <c r="C1961" s="1" t="str">
        <f>"08739680"</f>
        <v>08739680</v>
      </c>
      <c r="D1961" s="1" t="s">
        <v>196</v>
      </c>
      <c r="F1961" s="1" t="str">
        <f>"30"</f>
        <v>30</v>
      </c>
      <c r="G1961" s="2">
        <v>41910</v>
      </c>
      <c r="H1961" s="1">
        <v>124900</v>
      </c>
      <c r="I1961" s="1">
        <v>119900</v>
      </c>
      <c r="J1961" s="1">
        <v>118000</v>
      </c>
      <c r="K1961" s="2">
        <v>41910</v>
      </c>
      <c r="L1961" s="1">
        <v>53</v>
      </c>
      <c r="M1961" s="2">
        <v>41962</v>
      </c>
      <c r="N1961" s="1">
        <v>53</v>
      </c>
      <c r="O1961" s="2">
        <v>41962</v>
      </c>
      <c r="P1961" s="1">
        <v>25752</v>
      </c>
      <c r="Q1961" s="1" t="s">
        <v>197</v>
      </c>
      <c r="R1961" s="2">
        <v>41989</v>
      </c>
      <c r="S1961" s="1">
        <v>17010</v>
      </c>
      <c r="U1961" s="1">
        <v>1370</v>
      </c>
      <c r="V1961" s="1" t="s">
        <v>17962</v>
      </c>
      <c r="W1961" s="1" t="s">
        <v>304</v>
      </c>
      <c r="Y1961" s="1">
        <v>4</v>
      </c>
      <c r="Z1961" s="1" t="s">
        <v>370</v>
      </c>
      <c r="AA1961" s="1" t="s">
        <v>1834</v>
      </c>
      <c r="AB1961" s="1">
        <v>60030</v>
      </c>
      <c r="AE1961" s="1" t="s">
        <v>17963</v>
      </c>
      <c r="AF1961" s="1">
        <v>1998</v>
      </c>
      <c r="AG1961" s="1" t="s">
        <v>204</v>
      </c>
      <c r="AH1961" s="1" t="s">
        <v>1837</v>
      </c>
      <c r="AI1961" s="1" t="s">
        <v>509</v>
      </c>
      <c r="AJ1961" s="1" t="s">
        <v>1263</v>
      </c>
      <c r="AL1961" s="1">
        <v>5</v>
      </c>
      <c r="AM1961" s="1">
        <v>2</v>
      </c>
      <c r="AN1961" s="1">
        <v>2</v>
      </c>
      <c r="AO1961" s="1">
        <v>1</v>
      </c>
      <c r="AP1961" s="1" t="s">
        <v>209</v>
      </c>
      <c r="AR1961" s="1" t="s">
        <v>210</v>
      </c>
      <c r="AS1961" s="1" t="s">
        <v>204</v>
      </c>
      <c r="AT1961" s="1" t="s">
        <v>375</v>
      </c>
      <c r="AU1961" s="1">
        <v>1</v>
      </c>
      <c r="AV1961" s="1">
        <v>1</v>
      </c>
      <c r="AW1961" s="1" t="s">
        <v>204</v>
      </c>
      <c r="AX1961" s="1" t="s">
        <v>212</v>
      </c>
      <c r="AZ1961" s="1">
        <v>4818</v>
      </c>
      <c r="BA1961" s="1">
        <v>2013</v>
      </c>
      <c r="BB1961" s="1" t="s">
        <v>405</v>
      </c>
      <c r="BE1961" s="1">
        <v>1423</v>
      </c>
      <c r="BF1961" s="1">
        <v>1</v>
      </c>
      <c r="BG1961" s="1">
        <v>0</v>
      </c>
      <c r="BL1961" s="1">
        <v>125</v>
      </c>
      <c r="BM1961" s="1" t="s">
        <v>204</v>
      </c>
      <c r="BN1961" s="1" t="s">
        <v>213</v>
      </c>
      <c r="BO1961" s="1">
        <v>0</v>
      </c>
      <c r="BP1961" s="1" t="s">
        <v>204</v>
      </c>
      <c r="BR1961" s="1" t="str">
        <f>"06222081370000"</f>
        <v>06222081370000</v>
      </c>
      <c r="BT1961" s="1" t="s">
        <v>17964</v>
      </c>
      <c r="BU1961" s="1" t="s">
        <v>1841</v>
      </c>
      <c r="BV1961" s="1" t="s">
        <v>1842</v>
      </c>
      <c r="BW1961" s="1" t="s">
        <v>1843</v>
      </c>
      <c r="BX1961" s="1">
        <v>46</v>
      </c>
      <c r="BY1961" s="1">
        <v>46</v>
      </c>
      <c r="BZ1961" s="1">
        <v>127</v>
      </c>
      <c r="CB1961" s="1" t="str">
        <f t="shared" ref="CB1961:CC1961" si="1497">""</f>
        <v/>
      </c>
      <c r="CC1961" s="1" t="str">
        <f t="shared" si="1497"/>
        <v/>
      </c>
      <c r="CG1961" s="1" t="s">
        <v>278</v>
      </c>
      <c r="CH1961" s="1" t="s">
        <v>219</v>
      </c>
      <c r="CI1961" s="1" t="s">
        <v>226</v>
      </c>
      <c r="CK1961" s="1" t="s">
        <v>437</v>
      </c>
      <c r="CL1961" s="1" t="s">
        <v>277</v>
      </c>
      <c r="CM1961" s="1" t="s">
        <v>220</v>
      </c>
      <c r="CO1961" s="1" t="s">
        <v>316</v>
      </c>
      <c r="CP1961" s="1" t="s">
        <v>219</v>
      </c>
      <c r="CQ1961" s="1" t="s">
        <v>226</v>
      </c>
      <c r="CS1961" s="1" t="s">
        <v>1297</v>
      </c>
      <c r="CT1961" s="1" t="s">
        <v>277</v>
      </c>
      <c r="CU1961" s="1" t="s">
        <v>220</v>
      </c>
      <c r="CX1961" s="1" t="s">
        <v>224</v>
      </c>
      <c r="DB1961" s="1" t="s">
        <v>224</v>
      </c>
      <c r="DE1961" s="1" t="s">
        <v>378</v>
      </c>
      <c r="DF1961" s="1" t="s">
        <v>219</v>
      </c>
      <c r="DG1961" s="1" t="s">
        <v>229</v>
      </c>
      <c r="DJ1961" s="1" t="s">
        <v>224</v>
      </c>
      <c r="DS1961" s="1" t="s">
        <v>230</v>
      </c>
      <c r="DW1961" s="1" t="s">
        <v>230</v>
      </c>
      <c r="EA1961" s="1" t="s">
        <v>230</v>
      </c>
      <c r="EE1961" s="1" t="s">
        <v>230</v>
      </c>
      <c r="EI1961" s="1" t="s">
        <v>230</v>
      </c>
      <c r="EL1961" s="1" t="s">
        <v>670</v>
      </c>
      <c r="EM1961" s="1" t="s">
        <v>319</v>
      </c>
      <c r="EN1961" s="1" t="s">
        <v>282</v>
      </c>
      <c r="EO1961" s="1" t="s">
        <v>234</v>
      </c>
      <c r="EP1961" s="1" t="s">
        <v>650</v>
      </c>
      <c r="EQ1961" s="1" t="s">
        <v>1109</v>
      </c>
      <c r="ER1961" s="1" t="s">
        <v>210</v>
      </c>
      <c r="ES1961" s="1" t="s">
        <v>322</v>
      </c>
      <c r="ET1961" s="1" t="s">
        <v>4523</v>
      </c>
      <c r="EU1961" s="1" t="s">
        <v>1894</v>
      </c>
      <c r="EV1961" s="1" t="s">
        <v>240</v>
      </c>
      <c r="EW1961" s="1" t="s">
        <v>353</v>
      </c>
      <c r="EY1961" s="1" t="s">
        <v>242</v>
      </c>
      <c r="EZ1961" s="1" t="s">
        <v>287</v>
      </c>
      <c r="FA1961" s="1" t="s">
        <v>471</v>
      </c>
      <c r="FD1961" s="1" t="s">
        <v>246</v>
      </c>
      <c r="FE1961" s="1" t="s">
        <v>975</v>
      </c>
      <c r="FF1961" s="1" t="s">
        <v>248</v>
      </c>
      <c r="FH1961" s="1" t="s">
        <v>550</v>
      </c>
      <c r="FI1961" s="1" t="s">
        <v>357</v>
      </c>
      <c r="FK1961" s="1" t="s">
        <v>768</v>
      </c>
      <c r="FL1961" s="1" t="s">
        <v>358</v>
      </c>
      <c r="FM1961" s="1" t="s">
        <v>252</v>
      </c>
      <c r="FN1961" s="1" t="s">
        <v>213</v>
      </c>
      <c r="FO1961" s="1" t="s">
        <v>213</v>
      </c>
      <c r="FQ1961" s="1" t="s">
        <v>17965</v>
      </c>
      <c r="FR1961" s="1" t="s">
        <v>210</v>
      </c>
      <c r="FS1961" s="1" t="s">
        <v>17966</v>
      </c>
      <c r="FT1961" s="1" t="s">
        <v>362</v>
      </c>
      <c r="FU1961" s="1" t="s">
        <v>204</v>
      </c>
      <c r="FW1961" s="1" t="s">
        <v>17967</v>
      </c>
      <c r="FX1961" s="1">
        <v>1706</v>
      </c>
      <c r="FY1961" s="1" t="s">
        <v>17968</v>
      </c>
      <c r="FZ1961" s="1" t="s">
        <v>17969</v>
      </c>
      <c r="GA1961" s="1">
        <v>26762</v>
      </c>
      <c r="GB1961" s="1" t="s">
        <v>17970</v>
      </c>
      <c r="GC1961" s="1">
        <v>26550</v>
      </c>
      <c r="GD1961" s="1" t="s">
        <v>17971</v>
      </c>
      <c r="GE1961" s="1" t="s">
        <v>480</v>
      </c>
      <c r="GI1961" s="1" t="s">
        <v>213</v>
      </c>
      <c r="GJ1961" s="1" t="s">
        <v>300</v>
      </c>
      <c r="GK1961" s="1" t="s">
        <v>210</v>
      </c>
      <c r="GL1961" s="2">
        <v>41990</v>
      </c>
      <c r="GM1961" s="1" t="s">
        <v>17972</v>
      </c>
    </row>
    <row r="1962" spans="1:195">
      <c r="A1962" s="1">
        <v>74000</v>
      </c>
      <c r="B1962" s="1" t="s">
        <v>195</v>
      </c>
      <c r="C1962" s="1" t="str">
        <f>"08737944"</f>
        <v>08737944</v>
      </c>
      <c r="D1962" s="1" t="s">
        <v>196</v>
      </c>
      <c r="F1962" s="1" t="str">
        <f>"73"</f>
        <v>73</v>
      </c>
      <c r="G1962" s="2">
        <v>41907</v>
      </c>
      <c r="H1962" s="1">
        <v>82500</v>
      </c>
      <c r="I1962" s="1">
        <v>79900</v>
      </c>
      <c r="J1962" s="1">
        <v>74000</v>
      </c>
      <c r="K1962" s="2">
        <v>41907</v>
      </c>
      <c r="L1962" s="1">
        <v>31</v>
      </c>
      <c r="M1962" s="2">
        <v>41937</v>
      </c>
      <c r="N1962" s="1">
        <v>31</v>
      </c>
      <c r="O1962" s="2">
        <v>41937</v>
      </c>
      <c r="P1962" s="1">
        <v>2512</v>
      </c>
      <c r="Q1962" s="1" t="s">
        <v>423</v>
      </c>
      <c r="R1962" s="2">
        <v>41974</v>
      </c>
      <c r="S1962" s="1">
        <v>13314</v>
      </c>
      <c r="U1962" s="1">
        <v>1291</v>
      </c>
      <c r="V1962" s="1" t="s">
        <v>17973</v>
      </c>
      <c r="W1962" s="1" t="s">
        <v>449</v>
      </c>
      <c r="X1962" s="1">
        <v>4</v>
      </c>
      <c r="Y1962" s="1">
        <v>4</v>
      </c>
      <c r="Z1962" s="1" t="s">
        <v>370</v>
      </c>
      <c r="AA1962" s="1" t="s">
        <v>1027</v>
      </c>
      <c r="AB1962" s="1">
        <v>60073</v>
      </c>
      <c r="AD1962" s="1" t="s">
        <v>7669</v>
      </c>
      <c r="AE1962" s="1" t="s">
        <v>17974</v>
      </c>
      <c r="AF1962" s="1">
        <v>2002</v>
      </c>
      <c r="AG1962" s="1" t="s">
        <v>204</v>
      </c>
      <c r="AH1962" s="1" t="s">
        <v>1029</v>
      </c>
      <c r="AI1962" s="1" t="s">
        <v>509</v>
      </c>
      <c r="AJ1962" s="1" t="s">
        <v>1263</v>
      </c>
      <c r="AK1962" s="1" t="s">
        <v>15548</v>
      </c>
      <c r="AL1962" s="1">
        <v>5</v>
      </c>
      <c r="AM1962" s="1">
        <v>2</v>
      </c>
      <c r="AN1962" s="1">
        <v>2</v>
      </c>
      <c r="AO1962" s="1">
        <v>0</v>
      </c>
      <c r="AP1962" s="1" t="s">
        <v>209</v>
      </c>
      <c r="AR1962" s="1" t="s">
        <v>210</v>
      </c>
      <c r="AS1962" s="1" t="s">
        <v>204</v>
      </c>
      <c r="AT1962" s="1" t="s">
        <v>211</v>
      </c>
      <c r="AU1962" s="1">
        <v>1</v>
      </c>
      <c r="AW1962" s="1" t="s">
        <v>204</v>
      </c>
      <c r="AX1962" s="1" t="s">
        <v>579</v>
      </c>
      <c r="AZ1962" s="6">
        <v>2819</v>
      </c>
      <c r="BA1962" s="1">
        <v>2013</v>
      </c>
      <c r="BB1962" s="1" t="s">
        <v>405</v>
      </c>
      <c r="BE1962" s="1">
        <v>974</v>
      </c>
      <c r="BF1962" s="1">
        <v>2</v>
      </c>
      <c r="BG1962" s="1">
        <v>0</v>
      </c>
      <c r="BJ1962" s="1">
        <v>74</v>
      </c>
      <c r="BL1962" s="1">
        <v>185</v>
      </c>
      <c r="BM1962" s="1" t="s">
        <v>204</v>
      </c>
      <c r="BN1962" s="1" t="s">
        <v>213</v>
      </c>
      <c r="BO1962" s="1">
        <v>999</v>
      </c>
      <c r="BP1962" s="1" t="s">
        <v>204</v>
      </c>
      <c r="BR1962" s="1" t="str">
        <f>"06191090800000"</f>
        <v>06191090800000</v>
      </c>
      <c r="BT1962" s="1" t="s">
        <v>17975</v>
      </c>
      <c r="BX1962" s="1">
        <v>116</v>
      </c>
      <c r="BY1962" s="1">
        <v>116</v>
      </c>
      <c r="BZ1962" s="1">
        <v>116</v>
      </c>
      <c r="CB1962" s="1" t="str">
        <f t="shared" ref="CB1962:CB1965" si="1498">""</f>
        <v/>
      </c>
      <c r="CC1962" s="1" t="str">
        <f>"0"</f>
        <v>0</v>
      </c>
      <c r="CE1962" s="1">
        <v>0</v>
      </c>
      <c r="CG1962" s="1" t="s">
        <v>729</v>
      </c>
      <c r="CH1962" s="1" t="s">
        <v>277</v>
      </c>
      <c r="CI1962" s="1" t="s">
        <v>220</v>
      </c>
      <c r="CJ1962" s="1" t="s">
        <v>463</v>
      </c>
      <c r="CK1962" s="1" t="s">
        <v>729</v>
      </c>
      <c r="CL1962" s="1" t="s">
        <v>277</v>
      </c>
      <c r="CM1962" s="1" t="s">
        <v>220</v>
      </c>
      <c r="CN1962" s="1" t="s">
        <v>463</v>
      </c>
      <c r="CO1962" s="1" t="s">
        <v>346</v>
      </c>
      <c r="CP1962" s="1" t="s">
        <v>277</v>
      </c>
      <c r="CQ1962" s="1" t="s">
        <v>220</v>
      </c>
      <c r="CS1962" s="1" t="s">
        <v>346</v>
      </c>
      <c r="CT1962" s="1" t="s">
        <v>277</v>
      </c>
      <c r="CU1962" s="1" t="s">
        <v>220</v>
      </c>
      <c r="CV1962" s="1" t="s">
        <v>463</v>
      </c>
      <c r="CX1962" s="1" t="s">
        <v>224</v>
      </c>
      <c r="DB1962" s="1" t="s">
        <v>224</v>
      </c>
      <c r="DE1962" s="1" t="s">
        <v>409</v>
      </c>
      <c r="DF1962" s="1" t="s">
        <v>277</v>
      </c>
      <c r="DG1962" s="1" t="s">
        <v>342</v>
      </c>
      <c r="DH1962" s="1" t="s">
        <v>210</v>
      </c>
      <c r="DJ1962" s="1" t="s">
        <v>224</v>
      </c>
      <c r="DM1962" s="1" t="s">
        <v>838</v>
      </c>
      <c r="DR1962" s="1" t="s">
        <v>7326</v>
      </c>
      <c r="DS1962" s="1" t="s">
        <v>277</v>
      </c>
      <c r="DT1962" s="1" t="s">
        <v>347</v>
      </c>
      <c r="DU1962" s="1" t="s">
        <v>210</v>
      </c>
      <c r="DW1962" s="1" t="s">
        <v>230</v>
      </c>
      <c r="EA1962" s="1" t="s">
        <v>230</v>
      </c>
      <c r="EE1962" s="1" t="s">
        <v>230</v>
      </c>
      <c r="EI1962" s="1" t="s">
        <v>230</v>
      </c>
      <c r="EL1962" s="1" t="s">
        <v>466</v>
      </c>
      <c r="EM1962" s="1" t="s">
        <v>232</v>
      </c>
      <c r="EN1962" s="1" t="s">
        <v>282</v>
      </c>
      <c r="EO1962" s="1" t="s">
        <v>234</v>
      </c>
      <c r="EP1962" s="1" t="s">
        <v>3782</v>
      </c>
      <c r="EQ1962" s="1" t="s">
        <v>236</v>
      </c>
      <c r="ER1962" s="1" t="s">
        <v>210</v>
      </c>
      <c r="EU1962" s="1" t="s">
        <v>1202</v>
      </c>
      <c r="EW1962" s="1" t="s">
        <v>887</v>
      </c>
      <c r="EY1962" s="1" t="s">
        <v>790</v>
      </c>
      <c r="EZ1962" s="1" t="s">
        <v>838</v>
      </c>
      <c r="FA1962" s="1" t="s">
        <v>1754</v>
      </c>
      <c r="FB1962" s="1" t="s">
        <v>1505</v>
      </c>
      <c r="FD1962" s="1" t="s">
        <v>246</v>
      </c>
      <c r="FE1962" s="1" t="s">
        <v>975</v>
      </c>
      <c r="FF1962" s="1" t="s">
        <v>248</v>
      </c>
      <c r="FH1962" s="1" t="s">
        <v>388</v>
      </c>
      <c r="FI1962" s="1" t="s">
        <v>473</v>
      </c>
      <c r="FL1962" s="1" t="s">
        <v>358</v>
      </c>
      <c r="FM1962" s="1" t="s">
        <v>252</v>
      </c>
      <c r="FN1962" s="1" t="s">
        <v>213</v>
      </c>
      <c r="FO1962" s="1" t="s">
        <v>213</v>
      </c>
      <c r="FQ1962" s="1" t="s">
        <v>1074</v>
      </c>
      <c r="FR1962" s="1" t="s">
        <v>210</v>
      </c>
      <c r="FS1962" s="1" t="s">
        <v>17976</v>
      </c>
      <c r="FT1962" s="1" t="s">
        <v>295</v>
      </c>
      <c r="FU1962" s="1" t="s">
        <v>204</v>
      </c>
      <c r="FW1962" s="1" t="s">
        <v>1077</v>
      </c>
      <c r="FX1962" s="1">
        <v>2752</v>
      </c>
      <c r="FY1962" s="1" t="s">
        <v>1078</v>
      </c>
      <c r="FZ1962" s="1" t="s">
        <v>17977</v>
      </c>
      <c r="GA1962" s="1">
        <v>238923</v>
      </c>
      <c r="GE1962" s="1" t="s">
        <v>1256</v>
      </c>
      <c r="GH1962" s="1" t="s">
        <v>230</v>
      </c>
      <c r="GI1962" s="1" t="s">
        <v>213</v>
      </c>
      <c r="GJ1962" s="1" t="s">
        <v>260</v>
      </c>
      <c r="GK1962" s="1" t="s">
        <v>210</v>
      </c>
      <c r="GL1962" s="2">
        <v>41975</v>
      </c>
      <c r="GM1962" s="1" t="s">
        <v>17978</v>
      </c>
    </row>
    <row r="1963" spans="1:195">
      <c r="A1963" s="1">
        <v>113500</v>
      </c>
      <c r="B1963" s="1" t="s">
        <v>195</v>
      </c>
      <c r="C1963" s="1" t="str">
        <f>"08742932"</f>
        <v>08742932</v>
      </c>
      <c r="D1963" s="1" t="s">
        <v>196</v>
      </c>
      <c r="F1963" s="1" t="str">
        <f>"532"</f>
        <v>532</v>
      </c>
      <c r="G1963" s="2">
        <v>41914</v>
      </c>
      <c r="H1963" s="1">
        <v>119000</v>
      </c>
      <c r="I1963" s="1">
        <v>115000</v>
      </c>
      <c r="J1963" s="1">
        <v>113500</v>
      </c>
      <c r="K1963" s="2">
        <v>41914</v>
      </c>
      <c r="L1963" s="1">
        <v>27</v>
      </c>
      <c r="M1963" s="2">
        <v>41940</v>
      </c>
      <c r="N1963" s="1">
        <v>27</v>
      </c>
      <c r="O1963" s="2">
        <v>41940</v>
      </c>
      <c r="P1963" s="1">
        <v>24695</v>
      </c>
      <c r="Q1963" s="1" t="s">
        <v>197</v>
      </c>
      <c r="R1963" s="2">
        <v>41996</v>
      </c>
      <c r="S1963" s="1">
        <v>240973</v>
      </c>
      <c r="T1963" s="1">
        <v>2000</v>
      </c>
      <c r="U1963" s="1">
        <v>1833</v>
      </c>
      <c r="V1963" s="1" t="s">
        <v>2908</v>
      </c>
      <c r="W1963" s="1" t="s">
        <v>425</v>
      </c>
      <c r="X1963" s="1" t="s">
        <v>17979</v>
      </c>
      <c r="Y1963" s="1">
        <v>48</v>
      </c>
      <c r="Z1963" s="1" t="s">
        <v>249</v>
      </c>
      <c r="AA1963" s="1" t="s">
        <v>1566</v>
      </c>
      <c r="AB1963" s="1">
        <v>60532</v>
      </c>
      <c r="AE1963" s="1" t="s">
        <v>17980</v>
      </c>
      <c r="AF1963" s="1">
        <v>1974</v>
      </c>
      <c r="AG1963" s="1" t="s">
        <v>213</v>
      </c>
      <c r="AH1963" s="1" t="s">
        <v>882</v>
      </c>
      <c r="AI1963" s="1" t="s">
        <v>206</v>
      </c>
      <c r="AJ1963" s="1" t="s">
        <v>925</v>
      </c>
      <c r="AL1963" s="1">
        <v>5</v>
      </c>
      <c r="AM1963" s="1">
        <v>2</v>
      </c>
      <c r="AN1963" s="1">
        <v>1</v>
      </c>
      <c r="AO1963" s="1">
        <v>0</v>
      </c>
      <c r="AP1963" s="1" t="s">
        <v>210</v>
      </c>
      <c r="AQ1963" s="1">
        <v>1</v>
      </c>
      <c r="AR1963" s="1" t="s">
        <v>210</v>
      </c>
      <c r="AT1963" s="1" t="s">
        <v>271</v>
      </c>
      <c r="AV1963" s="1">
        <v>2</v>
      </c>
      <c r="AW1963" s="1" t="s">
        <v>204</v>
      </c>
      <c r="AX1963" s="1">
        <v>980</v>
      </c>
      <c r="AZ1963" s="1">
        <v>2697.32</v>
      </c>
      <c r="BA1963" s="1">
        <v>2013</v>
      </c>
      <c r="BE1963" s="1">
        <v>980</v>
      </c>
      <c r="BF1963" s="1">
        <v>4</v>
      </c>
      <c r="BG1963" s="1">
        <v>0</v>
      </c>
      <c r="BL1963" s="1">
        <v>296</v>
      </c>
      <c r="BM1963" s="1" t="s">
        <v>204</v>
      </c>
      <c r="BN1963" s="1" t="s">
        <v>213</v>
      </c>
      <c r="BO1963" s="1">
        <v>60</v>
      </c>
      <c r="BP1963" s="1" t="s">
        <v>204</v>
      </c>
      <c r="BR1963" s="1" t="str">
        <f>"0815108323"</f>
        <v>0815108323</v>
      </c>
      <c r="BT1963" s="1" t="s">
        <v>17981</v>
      </c>
      <c r="BX1963" s="1">
        <v>68</v>
      </c>
      <c r="BY1963" s="1">
        <v>68</v>
      </c>
      <c r="BZ1963" s="1">
        <v>99</v>
      </c>
      <c r="CB1963" s="1" t="str">
        <f t="shared" si="1498"/>
        <v/>
      </c>
      <c r="CC1963" s="1" t="str">
        <f t="shared" ref="CC1963:CC1965" si="1499">""</f>
        <v/>
      </c>
      <c r="CG1963" s="1" t="s">
        <v>10292</v>
      </c>
      <c r="CH1963" s="1" t="s">
        <v>219</v>
      </c>
      <c r="CI1963" s="1" t="s">
        <v>229</v>
      </c>
      <c r="CJ1963" s="1" t="s">
        <v>343</v>
      </c>
      <c r="CK1963" s="1" t="s">
        <v>462</v>
      </c>
      <c r="CL1963" s="1" t="s">
        <v>219</v>
      </c>
      <c r="CO1963" s="1" t="s">
        <v>3657</v>
      </c>
      <c r="CP1963" s="1" t="s">
        <v>219</v>
      </c>
      <c r="CQ1963" s="1" t="s">
        <v>229</v>
      </c>
      <c r="CR1963" s="1" t="s">
        <v>343</v>
      </c>
      <c r="CS1963" s="1" t="s">
        <v>461</v>
      </c>
      <c r="CT1963" s="1" t="s">
        <v>219</v>
      </c>
      <c r="CX1963" s="1" t="s">
        <v>224</v>
      </c>
      <c r="DB1963" s="1" t="s">
        <v>224</v>
      </c>
      <c r="DE1963" s="1" t="s">
        <v>3657</v>
      </c>
      <c r="DF1963" s="1" t="s">
        <v>219</v>
      </c>
      <c r="DG1963" s="1" t="s">
        <v>229</v>
      </c>
      <c r="DH1963" s="1" t="s">
        <v>343</v>
      </c>
      <c r="DJ1963" s="1" t="s">
        <v>224</v>
      </c>
      <c r="DM1963" s="1" t="s">
        <v>838</v>
      </c>
      <c r="DS1963" s="1" t="s">
        <v>230</v>
      </c>
      <c r="DW1963" s="1" t="s">
        <v>230</v>
      </c>
      <c r="EA1963" s="1" t="s">
        <v>230</v>
      </c>
      <c r="EE1963" s="1" t="s">
        <v>230</v>
      </c>
      <c r="EI1963" s="1" t="s">
        <v>230</v>
      </c>
      <c r="EL1963" s="1" t="s">
        <v>231</v>
      </c>
      <c r="EM1963" s="1" t="s">
        <v>232</v>
      </c>
      <c r="EN1963" s="1" t="s">
        <v>282</v>
      </c>
      <c r="EO1963" s="1" t="s">
        <v>234</v>
      </c>
      <c r="EP1963" s="1" t="s">
        <v>17982</v>
      </c>
      <c r="ER1963" s="1" t="s">
        <v>210</v>
      </c>
      <c r="ET1963" s="1" t="s">
        <v>842</v>
      </c>
      <c r="EU1963" s="1" t="s">
        <v>17983</v>
      </c>
      <c r="EW1963" s="1" t="s">
        <v>17984</v>
      </c>
      <c r="EZ1963" s="1" t="s">
        <v>838</v>
      </c>
      <c r="FC1963" s="1" t="s">
        <v>735</v>
      </c>
      <c r="FD1963" s="1" t="s">
        <v>290</v>
      </c>
      <c r="FE1963" s="1" t="s">
        <v>17985</v>
      </c>
      <c r="FF1963" s="1" t="s">
        <v>17986</v>
      </c>
      <c r="FG1963" s="1" t="s">
        <v>939</v>
      </c>
      <c r="FH1963" s="1" t="s">
        <v>1942</v>
      </c>
      <c r="FK1963" s="1" t="s">
        <v>2309</v>
      </c>
      <c r="FL1963" s="1" t="s">
        <v>358</v>
      </c>
      <c r="FM1963" s="1" t="s">
        <v>252</v>
      </c>
      <c r="FN1963" s="1" t="s">
        <v>213</v>
      </c>
      <c r="FO1963" s="1" t="s">
        <v>213</v>
      </c>
      <c r="FQ1963" s="1" t="s">
        <v>582</v>
      </c>
      <c r="FR1963" s="1" t="s">
        <v>210</v>
      </c>
      <c r="FS1963" s="1" t="s">
        <v>17987</v>
      </c>
      <c r="FT1963" s="1" t="s">
        <v>295</v>
      </c>
      <c r="FU1963" s="1" t="s">
        <v>213</v>
      </c>
      <c r="FW1963" s="1" t="s">
        <v>719</v>
      </c>
      <c r="FX1963" s="1">
        <v>22029</v>
      </c>
      <c r="FY1963" s="1" t="s">
        <v>720</v>
      </c>
      <c r="FZ1963" s="1" t="s">
        <v>17988</v>
      </c>
      <c r="GA1963" s="1">
        <v>237947</v>
      </c>
      <c r="GB1963" s="1" t="s">
        <v>17989</v>
      </c>
      <c r="GD1963" s="1" t="s">
        <v>17990</v>
      </c>
      <c r="GE1963" s="1" t="s">
        <v>1764</v>
      </c>
      <c r="GI1963" s="1" t="s">
        <v>204</v>
      </c>
      <c r="GJ1963" s="1" t="s">
        <v>260</v>
      </c>
      <c r="GK1963" s="1" t="s">
        <v>1413</v>
      </c>
      <c r="GL1963" s="2">
        <v>41998</v>
      </c>
    </row>
    <row r="1964" spans="1:195">
      <c r="A1964" s="1">
        <v>87250</v>
      </c>
      <c r="B1964" s="1" t="s">
        <v>195</v>
      </c>
      <c r="C1964" s="1" t="str">
        <f>"08736137"</f>
        <v>08736137</v>
      </c>
      <c r="D1964" s="1" t="s">
        <v>196</v>
      </c>
      <c r="F1964" s="1" t="str">
        <f>"515"</f>
        <v>515</v>
      </c>
      <c r="G1964" s="2">
        <v>41905</v>
      </c>
      <c r="H1964" s="1">
        <v>87000</v>
      </c>
      <c r="I1964" s="1">
        <v>87000</v>
      </c>
      <c r="J1964" s="1">
        <v>87250</v>
      </c>
      <c r="K1964" s="2">
        <v>41905</v>
      </c>
      <c r="L1964" s="1">
        <v>35</v>
      </c>
      <c r="M1964" s="2">
        <v>41939</v>
      </c>
      <c r="N1964" s="1">
        <v>35</v>
      </c>
      <c r="O1964" s="2">
        <v>41939</v>
      </c>
      <c r="P1964" s="1">
        <v>25678</v>
      </c>
      <c r="Q1964" s="1" t="s">
        <v>302</v>
      </c>
      <c r="R1964" s="2">
        <v>41981</v>
      </c>
      <c r="S1964" s="1">
        <v>236327</v>
      </c>
      <c r="U1964" s="1">
        <v>7420</v>
      </c>
      <c r="V1964" s="1" t="s">
        <v>3296</v>
      </c>
      <c r="W1964" s="1" t="s">
        <v>425</v>
      </c>
      <c r="X1964" s="1">
        <v>106</v>
      </c>
      <c r="Y1964" s="1">
        <v>36</v>
      </c>
      <c r="Z1964" s="1" t="s">
        <v>370</v>
      </c>
      <c r="AA1964" s="1" t="s">
        <v>1294</v>
      </c>
      <c r="AB1964" s="1">
        <v>60516</v>
      </c>
      <c r="AE1964" s="1" t="s">
        <v>17991</v>
      </c>
      <c r="AF1964" s="1">
        <v>1971</v>
      </c>
      <c r="AG1964" s="1" t="s">
        <v>213</v>
      </c>
      <c r="AH1964" s="1" t="s">
        <v>903</v>
      </c>
      <c r="AI1964" s="1" t="s">
        <v>206</v>
      </c>
      <c r="AJ1964" s="1" t="s">
        <v>903</v>
      </c>
      <c r="AL1964" s="1">
        <v>5</v>
      </c>
      <c r="AM1964" s="1">
        <v>2</v>
      </c>
      <c r="AN1964" s="1">
        <v>2</v>
      </c>
      <c r="AO1964" s="1">
        <v>0</v>
      </c>
      <c r="AP1964" s="1" t="s">
        <v>209</v>
      </c>
      <c r="AR1964" s="1" t="s">
        <v>210</v>
      </c>
      <c r="AS1964" s="1" t="s">
        <v>204</v>
      </c>
      <c r="AT1964" s="1" t="s">
        <v>271</v>
      </c>
      <c r="AV1964" s="1">
        <v>1</v>
      </c>
      <c r="AW1964" s="1" t="s">
        <v>204</v>
      </c>
      <c r="AX1964" s="1" t="s">
        <v>212</v>
      </c>
      <c r="AZ1964" s="1">
        <v>1515</v>
      </c>
      <c r="BA1964" s="1">
        <v>2013</v>
      </c>
      <c r="BE1964" s="1">
        <v>1162</v>
      </c>
      <c r="BF1964" s="1">
        <v>1</v>
      </c>
      <c r="BG1964" s="1">
        <v>1</v>
      </c>
      <c r="BL1964" s="1">
        <v>305</v>
      </c>
      <c r="BM1964" s="1" t="s">
        <v>204</v>
      </c>
      <c r="BN1964" s="1" t="s">
        <v>204</v>
      </c>
      <c r="BP1964" s="1" t="s">
        <v>204</v>
      </c>
      <c r="BR1964" s="1" t="str">
        <f>"0929215018"</f>
        <v>0929215018</v>
      </c>
      <c r="BT1964" s="1" t="s">
        <v>17992</v>
      </c>
      <c r="BX1964" s="1">
        <v>61</v>
      </c>
      <c r="BY1964" s="1">
        <v>61</v>
      </c>
      <c r="BZ1964" s="1">
        <v>99</v>
      </c>
      <c r="CB1964" s="1" t="str">
        <f t="shared" si="1498"/>
        <v/>
      </c>
      <c r="CC1964" s="1" t="str">
        <f t="shared" si="1499"/>
        <v/>
      </c>
      <c r="CG1964" s="1" t="s">
        <v>1267</v>
      </c>
      <c r="CH1964" s="1" t="s">
        <v>219</v>
      </c>
      <c r="CK1964" s="1" t="s">
        <v>437</v>
      </c>
      <c r="CL1964" s="1" t="s">
        <v>219</v>
      </c>
      <c r="CO1964" s="1" t="s">
        <v>409</v>
      </c>
      <c r="CP1964" s="1" t="s">
        <v>219</v>
      </c>
      <c r="CS1964" s="1" t="s">
        <v>539</v>
      </c>
      <c r="CT1964" s="1" t="s">
        <v>219</v>
      </c>
      <c r="CX1964" s="1" t="s">
        <v>224</v>
      </c>
      <c r="DB1964" s="1" t="s">
        <v>224</v>
      </c>
      <c r="DE1964" s="1" t="s">
        <v>3034</v>
      </c>
      <c r="DF1964" s="1" t="s">
        <v>219</v>
      </c>
      <c r="DJ1964" s="1" t="s">
        <v>224</v>
      </c>
      <c r="DS1964" s="1" t="s">
        <v>230</v>
      </c>
      <c r="DW1964" s="1" t="s">
        <v>230</v>
      </c>
      <c r="EA1964" s="1" t="s">
        <v>230</v>
      </c>
      <c r="EE1964" s="1" t="s">
        <v>230</v>
      </c>
      <c r="EI1964" s="1" t="s">
        <v>230</v>
      </c>
      <c r="EL1964" s="1" t="s">
        <v>605</v>
      </c>
      <c r="EM1964" s="1" t="s">
        <v>319</v>
      </c>
      <c r="EN1964" s="1" t="s">
        <v>282</v>
      </c>
      <c r="EO1964" s="1" t="s">
        <v>234</v>
      </c>
      <c r="ER1964" s="1" t="s">
        <v>210</v>
      </c>
      <c r="EW1964" s="1" t="s">
        <v>17993</v>
      </c>
      <c r="EZ1964" s="1" t="s">
        <v>287</v>
      </c>
      <c r="FD1964" s="1" t="s">
        <v>1112</v>
      </c>
      <c r="FE1964" s="1" t="s">
        <v>247</v>
      </c>
      <c r="FF1964" s="1" t="s">
        <v>248</v>
      </c>
      <c r="FH1964" s="1" t="s">
        <v>249</v>
      </c>
      <c r="FL1964" s="1" t="s">
        <v>810</v>
      </c>
      <c r="FM1964" s="1" t="s">
        <v>769</v>
      </c>
      <c r="FN1964" s="1" t="s">
        <v>213</v>
      </c>
      <c r="FO1964" s="1" t="s">
        <v>213</v>
      </c>
      <c r="FQ1964" s="1" t="s">
        <v>582</v>
      </c>
      <c r="FR1964" s="1" t="s">
        <v>210</v>
      </c>
      <c r="FS1964" s="1" t="s">
        <v>17994</v>
      </c>
      <c r="FT1964" s="1" t="s">
        <v>295</v>
      </c>
      <c r="FU1964" s="1" t="s">
        <v>204</v>
      </c>
      <c r="FW1964" s="1" t="s">
        <v>17995</v>
      </c>
      <c r="FX1964" s="1">
        <v>23071</v>
      </c>
      <c r="FY1964" s="1" t="s">
        <v>17996</v>
      </c>
      <c r="FZ1964" s="1" t="s">
        <v>17997</v>
      </c>
      <c r="GA1964" s="1">
        <v>228165</v>
      </c>
      <c r="GB1964" s="1" t="s">
        <v>17996</v>
      </c>
      <c r="GE1964" s="1" t="s">
        <v>210</v>
      </c>
      <c r="GI1964" s="1" t="s">
        <v>204</v>
      </c>
      <c r="GJ1964" s="1" t="s">
        <v>260</v>
      </c>
      <c r="GK1964" s="1" t="s">
        <v>210</v>
      </c>
      <c r="GL1964" s="2">
        <v>41983</v>
      </c>
      <c r="GM1964" s="1" t="s">
        <v>17998</v>
      </c>
    </row>
    <row r="1965" spans="1:195">
      <c r="A1965" s="1">
        <v>79000</v>
      </c>
      <c r="B1965" s="1" t="s">
        <v>195</v>
      </c>
      <c r="C1965" s="1" t="str">
        <f>"08735427"</f>
        <v>08735427</v>
      </c>
      <c r="D1965" s="1" t="s">
        <v>196</v>
      </c>
      <c r="F1965" s="1" t="str">
        <f>"527"</f>
        <v>527</v>
      </c>
      <c r="G1965" s="2">
        <v>41905</v>
      </c>
      <c r="H1965" s="1">
        <v>85000</v>
      </c>
      <c r="I1965" s="1">
        <v>80000</v>
      </c>
      <c r="J1965" s="1">
        <v>79000</v>
      </c>
      <c r="K1965" s="2">
        <v>41905</v>
      </c>
      <c r="L1965" s="1">
        <v>35</v>
      </c>
      <c r="M1965" s="2">
        <v>41939</v>
      </c>
      <c r="N1965" s="1">
        <v>35</v>
      </c>
      <c r="O1965" s="2">
        <v>41939</v>
      </c>
      <c r="P1965" s="1">
        <v>10520</v>
      </c>
      <c r="Q1965" s="1" t="s">
        <v>197</v>
      </c>
      <c r="R1965" s="2">
        <v>41991</v>
      </c>
      <c r="S1965" s="1">
        <v>147839</v>
      </c>
      <c r="U1965" s="1">
        <v>6150</v>
      </c>
      <c r="V1965" s="1" t="s">
        <v>17999</v>
      </c>
      <c r="W1965" s="1" t="s">
        <v>425</v>
      </c>
      <c r="X1965" s="1" t="s">
        <v>1688</v>
      </c>
      <c r="Y1965" s="1">
        <v>8</v>
      </c>
      <c r="Z1965" s="1" t="s">
        <v>249</v>
      </c>
      <c r="AA1965" s="1" t="s">
        <v>5962</v>
      </c>
      <c r="AB1965" s="1">
        <v>60525</v>
      </c>
      <c r="AC1965" s="1">
        <v>3933</v>
      </c>
      <c r="AD1965" s="1" t="s">
        <v>18000</v>
      </c>
      <c r="AE1965" s="1" t="s">
        <v>18001</v>
      </c>
      <c r="AF1965" s="1">
        <v>1968</v>
      </c>
      <c r="AG1965" s="1" t="s">
        <v>213</v>
      </c>
      <c r="AH1965" s="1" t="s">
        <v>5964</v>
      </c>
      <c r="AI1965" s="1" t="s">
        <v>310</v>
      </c>
      <c r="AJ1965" s="1" t="s">
        <v>702</v>
      </c>
      <c r="AK1965" s="1" t="s">
        <v>270</v>
      </c>
      <c r="AL1965" s="1">
        <v>4</v>
      </c>
      <c r="AM1965" s="1">
        <v>2</v>
      </c>
      <c r="AN1965" s="1">
        <v>1</v>
      </c>
      <c r="AO1965" s="1">
        <v>1</v>
      </c>
      <c r="AP1965" s="1" t="s">
        <v>210</v>
      </c>
      <c r="AR1965" s="1" t="s">
        <v>209</v>
      </c>
      <c r="AS1965" s="1" t="s">
        <v>213</v>
      </c>
      <c r="AT1965" s="1" t="s">
        <v>271</v>
      </c>
      <c r="AV1965" s="1">
        <v>1</v>
      </c>
      <c r="AW1965" s="1" t="s">
        <v>204</v>
      </c>
      <c r="AX1965" s="1" t="s">
        <v>212</v>
      </c>
      <c r="AZ1965" s="1">
        <v>385</v>
      </c>
      <c r="BA1965" s="1">
        <v>2012</v>
      </c>
      <c r="BB1965" s="1" t="s">
        <v>599</v>
      </c>
      <c r="BE1965" s="1">
        <v>900</v>
      </c>
      <c r="BF1965" s="1">
        <v>2</v>
      </c>
      <c r="BG1965" s="1">
        <v>0</v>
      </c>
      <c r="BJ1965" s="1">
        <v>100</v>
      </c>
      <c r="BL1965" s="1">
        <v>325</v>
      </c>
      <c r="BM1965" s="1" t="s">
        <v>204</v>
      </c>
      <c r="BN1965" s="1" t="s">
        <v>213</v>
      </c>
      <c r="BO1965" s="1">
        <v>30</v>
      </c>
      <c r="BP1965" s="1" t="s">
        <v>204</v>
      </c>
      <c r="BR1965" s="1" t="str">
        <f>"18163020321012"</f>
        <v>18163020321012</v>
      </c>
      <c r="BT1965" s="1" t="s">
        <v>18002</v>
      </c>
      <c r="BU1965" s="1" t="s">
        <v>8165</v>
      </c>
      <c r="BV1965" s="1" t="s">
        <v>8166</v>
      </c>
      <c r="BW1965" s="1" t="s">
        <v>706</v>
      </c>
      <c r="BX1965" s="1">
        <v>105</v>
      </c>
      <c r="BY1965" s="1">
        <v>105</v>
      </c>
      <c r="BZ1965" s="1">
        <v>204</v>
      </c>
      <c r="CB1965" s="1" t="str">
        <f t="shared" si="1498"/>
        <v/>
      </c>
      <c r="CC1965" s="1" t="str">
        <f t="shared" si="1499"/>
        <v/>
      </c>
      <c r="CG1965" s="1" t="s">
        <v>1723</v>
      </c>
      <c r="CH1965" s="1" t="s">
        <v>219</v>
      </c>
      <c r="CI1965" s="1" t="s">
        <v>220</v>
      </c>
      <c r="CK1965" s="1" t="s">
        <v>344</v>
      </c>
      <c r="CL1965" s="1" t="s">
        <v>219</v>
      </c>
      <c r="CM1965" s="1" t="s">
        <v>220</v>
      </c>
      <c r="CP1965" s="1" t="s">
        <v>224</v>
      </c>
      <c r="CS1965" s="1" t="s">
        <v>379</v>
      </c>
      <c r="CT1965" s="1" t="s">
        <v>219</v>
      </c>
      <c r="CU1965" s="1" t="s">
        <v>1236</v>
      </c>
      <c r="CX1965" s="1" t="s">
        <v>224</v>
      </c>
      <c r="DB1965" s="1" t="s">
        <v>224</v>
      </c>
      <c r="DE1965" s="1" t="s">
        <v>315</v>
      </c>
      <c r="DF1965" s="1" t="s">
        <v>219</v>
      </c>
      <c r="DG1965" s="1" t="s">
        <v>342</v>
      </c>
      <c r="DJ1965" s="1" t="s">
        <v>224</v>
      </c>
      <c r="DS1965" s="1" t="s">
        <v>230</v>
      </c>
      <c r="DW1965" s="1" t="s">
        <v>230</v>
      </c>
      <c r="EA1965" s="1" t="s">
        <v>230</v>
      </c>
      <c r="EE1965" s="1" t="s">
        <v>230</v>
      </c>
      <c r="EI1965" s="1" t="s">
        <v>230</v>
      </c>
      <c r="EL1965" s="1" t="s">
        <v>605</v>
      </c>
      <c r="EM1965" s="1" t="s">
        <v>232</v>
      </c>
      <c r="EN1965" s="1" t="s">
        <v>1158</v>
      </c>
      <c r="EO1965" s="1" t="s">
        <v>234</v>
      </c>
      <c r="EP1965" s="1" t="s">
        <v>17937</v>
      </c>
      <c r="ER1965" s="1" t="s">
        <v>1249</v>
      </c>
      <c r="ES1965" s="1" t="s">
        <v>322</v>
      </c>
      <c r="EW1965" s="1" t="s">
        <v>2765</v>
      </c>
      <c r="EY1965" s="1" t="s">
        <v>242</v>
      </c>
      <c r="EZ1965" s="1" t="s">
        <v>287</v>
      </c>
      <c r="FA1965" s="1" t="s">
        <v>714</v>
      </c>
      <c r="FB1965" s="1" t="s">
        <v>289</v>
      </c>
      <c r="FD1965" s="1" t="s">
        <v>246</v>
      </c>
      <c r="FE1965" s="1" t="s">
        <v>247</v>
      </c>
      <c r="FF1965" s="1" t="s">
        <v>248</v>
      </c>
      <c r="FH1965" s="1" t="s">
        <v>249</v>
      </c>
      <c r="FK1965" s="1" t="s">
        <v>291</v>
      </c>
      <c r="FL1965" s="1" t="s">
        <v>1164</v>
      </c>
      <c r="FM1965" s="1" t="s">
        <v>252</v>
      </c>
      <c r="FN1965" s="1" t="s">
        <v>213</v>
      </c>
      <c r="FO1965" s="1" t="s">
        <v>213</v>
      </c>
      <c r="FQ1965" s="1" t="s">
        <v>956</v>
      </c>
      <c r="FR1965" s="1" t="s">
        <v>210</v>
      </c>
      <c r="FS1965" s="1" t="s">
        <v>1709</v>
      </c>
      <c r="FT1965" s="1" t="s">
        <v>18003</v>
      </c>
      <c r="FU1965" s="1" t="s">
        <v>204</v>
      </c>
      <c r="FW1965" s="1" t="s">
        <v>915</v>
      </c>
      <c r="FX1965" s="1">
        <v>22049</v>
      </c>
      <c r="FY1965" s="1" t="s">
        <v>4731</v>
      </c>
      <c r="FZ1965" s="1" t="s">
        <v>18004</v>
      </c>
      <c r="GA1965" s="1">
        <v>222454</v>
      </c>
      <c r="GB1965" s="1" t="s">
        <v>18005</v>
      </c>
      <c r="GD1965" s="1" t="s">
        <v>210</v>
      </c>
      <c r="GE1965" s="1" t="s">
        <v>210</v>
      </c>
      <c r="GH1965" s="1" t="s">
        <v>421</v>
      </c>
      <c r="GI1965" s="1" t="s">
        <v>213</v>
      </c>
      <c r="GJ1965" s="1" t="s">
        <v>260</v>
      </c>
      <c r="GK1965" s="1" t="s">
        <v>210</v>
      </c>
      <c r="GL1965" s="2">
        <v>41991</v>
      </c>
      <c r="GM1965" s="1" t="s">
        <v>18006</v>
      </c>
    </row>
    <row r="1966" spans="1:195">
      <c r="A1966" s="1">
        <v>300000</v>
      </c>
      <c r="B1966" s="1" t="s">
        <v>195</v>
      </c>
      <c r="C1966" s="1" t="str">
        <f>"08739207"</f>
        <v>08739207</v>
      </c>
      <c r="D1966" s="1" t="s">
        <v>196</v>
      </c>
      <c r="F1966" s="1" t="str">
        <f>"540"</f>
        <v>540</v>
      </c>
      <c r="G1966" s="2">
        <v>41908</v>
      </c>
      <c r="H1966" s="1">
        <v>350000</v>
      </c>
      <c r="I1966" s="1">
        <v>325000</v>
      </c>
      <c r="J1966" s="1">
        <v>300000</v>
      </c>
      <c r="K1966" s="2">
        <v>41908</v>
      </c>
      <c r="L1966" s="1">
        <v>162</v>
      </c>
      <c r="M1966" s="2">
        <v>42069</v>
      </c>
      <c r="N1966" s="1">
        <v>162</v>
      </c>
      <c r="O1966" s="2">
        <v>42069</v>
      </c>
      <c r="P1966" s="1">
        <v>23030</v>
      </c>
      <c r="Q1966" s="1" t="s">
        <v>197</v>
      </c>
      <c r="R1966" s="2">
        <v>42094</v>
      </c>
      <c r="S1966" s="1">
        <v>219257</v>
      </c>
      <c r="U1966" s="1">
        <v>1510</v>
      </c>
      <c r="V1966" s="1" t="s">
        <v>6117</v>
      </c>
      <c r="W1966" s="1" t="s">
        <v>779</v>
      </c>
      <c r="Y1966" s="1">
        <v>4</v>
      </c>
      <c r="Z1966" s="1" t="s">
        <v>370</v>
      </c>
      <c r="AA1966" s="1" t="s">
        <v>921</v>
      </c>
      <c r="AB1966" s="1">
        <v>60564</v>
      </c>
      <c r="AD1966" s="1" t="s">
        <v>2531</v>
      </c>
      <c r="AE1966" s="1" t="s">
        <v>18007</v>
      </c>
      <c r="AF1966" s="1">
        <v>1992</v>
      </c>
      <c r="AG1966" s="1" t="s">
        <v>204</v>
      </c>
      <c r="AH1966" s="1" t="s">
        <v>1126</v>
      </c>
      <c r="AI1966" s="1" t="s">
        <v>206</v>
      </c>
      <c r="AJ1966" s="1" t="s">
        <v>924</v>
      </c>
      <c r="AK1966" s="1" t="s">
        <v>16985</v>
      </c>
      <c r="AL1966" s="1">
        <v>7</v>
      </c>
      <c r="AM1966" s="1">
        <v>2</v>
      </c>
      <c r="AN1966" s="1">
        <v>2</v>
      </c>
      <c r="AO1966" s="1">
        <v>1</v>
      </c>
      <c r="AP1966" s="1" t="s">
        <v>209</v>
      </c>
      <c r="AQ1966" s="1">
        <v>1</v>
      </c>
      <c r="AR1966" s="1" t="s">
        <v>209</v>
      </c>
      <c r="AS1966" s="1" t="s">
        <v>204</v>
      </c>
      <c r="AT1966" s="1" t="s">
        <v>211</v>
      </c>
      <c r="AU1966" s="1">
        <v>2</v>
      </c>
      <c r="AW1966" s="1" t="s">
        <v>204</v>
      </c>
      <c r="AX1966" s="1" t="s">
        <v>18008</v>
      </c>
      <c r="AZ1966" s="1">
        <v>9903</v>
      </c>
      <c r="BA1966" s="1">
        <v>2013</v>
      </c>
      <c r="BB1966" s="1" t="s">
        <v>405</v>
      </c>
      <c r="BE1966" s="1">
        <v>2227</v>
      </c>
      <c r="BF1966" s="1">
        <v>1</v>
      </c>
      <c r="BG1966" s="1">
        <v>0</v>
      </c>
      <c r="BL1966" s="1">
        <v>330</v>
      </c>
      <c r="BM1966" s="1" t="s">
        <v>204</v>
      </c>
      <c r="BN1966" s="1" t="s">
        <v>213</v>
      </c>
      <c r="BO1966" s="1">
        <v>0</v>
      </c>
      <c r="BP1966" s="1" t="s">
        <v>204</v>
      </c>
      <c r="BR1966" s="1" t="str">
        <f>"0733406075"</f>
        <v>0733406075</v>
      </c>
      <c r="BT1966" s="1" t="s">
        <v>18009</v>
      </c>
      <c r="BU1966" s="1" t="s">
        <v>2534</v>
      </c>
      <c r="BV1966" s="1" t="s">
        <v>2535</v>
      </c>
      <c r="BW1966" s="1" t="s">
        <v>1312</v>
      </c>
      <c r="BX1966" s="1">
        <v>204</v>
      </c>
      <c r="BY1966" s="1">
        <v>204</v>
      </c>
      <c r="BZ1966" s="1">
        <v>204</v>
      </c>
      <c r="CB1966" s="1" t="str">
        <f t="shared" ref="CB1966:CC1966" si="1500">"0"</f>
        <v>0</v>
      </c>
      <c r="CC1966" s="1" t="str">
        <f t="shared" si="1500"/>
        <v>0</v>
      </c>
      <c r="CD1966" s="1">
        <v>30</v>
      </c>
      <c r="CE1966" s="1">
        <v>9</v>
      </c>
      <c r="CG1966" s="1" t="s">
        <v>538</v>
      </c>
      <c r="CH1966" s="1" t="s">
        <v>219</v>
      </c>
      <c r="CI1966" s="1" t="s">
        <v>438</v>
      </c>
      <c r="CK1966" s="1" t="s">
        <v>729</v>
      </c>
      <c r="CL1966" s="1" t="s">
        <v>277</v>
      </c>
      <c r="CM1966" s="1" t="s">
        <v>220</v>
      </c>
      <c r="CO1966" s="1" t="s">
        <v>461</v>
      </c>
      <c r="CP1966" s="1" t="s">
        <v>219</v>
      </c>
      <c r="CQ1966" s="1" t="s">
        <v>438</v>
      </c>
      <c r="CS1966" s="1" t="s">
        <v>465</v>
      </c>
      <c r="CT1966" s="1" t="s">
        <v>277</v>
      </c>
      <c r="CU1966" s="1" t="s">
        <v>220</v>
      </c>
      <c r="CX1966" s="1" t="s">
        <v>224</v>
      </c>
      <c r="DB1966" s="1" t="s">
        <v>224</v>
      </c>
      <c r="DE1966" s="1" t="s">
        <v>908</v>
      </c>
      <c r="DF1966" s="1" t="s">
        <v>219</v>
      </c>
      <c r="DG1966" s="1" t="s">
        <v>438</v>
      </c>
      <c r="DJ1966" s="1" t="s">
        <v>224</v>
      </c>
      <c r="DM1966" s="1" t="s">
        <v>1005</v>
      </c>
      <c r="DN1966" s="1" t="s">
        <v>464</v>
      </c>
      <c r="DR1966" s="1" t="s">
        <v>379</v>
      </c>
      <c r="DS1966" s="1" t="s">
        <v>219</v>
      </c>
      <c r="DT1966" s="1" t="s">
        <v>438</v>
      </c>
      <c r="DV1966" s="1" t="s">
        <v>317</v>
      </c>
      <c r="DW1966" s="1" t="s">
        <v>277</v>
      </c>
      <c r="DX1966" s="1" t="s">
        <v>220</v>
      </c>
      <c r="EA1966" s="1" t="s">
        <v>230</v>
      </c>
      <c r="EE1966" s="1" t="s">
        <v>230</v>
      </c>
      <c r="EI1966" s="1" t="s">
        <v>230</v>
      </c>
      <c r="EL1966" s="1" t="s">
        <v>382</v>
      </c>
      <c r="EM1966" s="1" t="s">
        <v>319</v>
      </c>
      <c r="EN1966" s="1" t="s">
        <v>282</v>
      </c>
      <c r="EO1966" s="1" t="s">
        <v>234</v>
      </c>
      <c r="EQ1966" s="1" t="s">
        <v>1094</v>
      </c>
      <c r="ER1966" s="1" t="s">
        <v>1249</v>
      </c>
      <c r="ES1966" s="1" t="s">
        <v>3850</v>
      </c>
      <c r="EU1966" s="1" t="s">
        <v>16697</v>
      </c>
      <c r="EV1966" s="1" t="s">
        <v>324</v>
      </c>
      <c r="EW1966" s="1" t="s">
        <v>18010</v>
      </c>
      <c r="EZ1966" s="1" t="s">
        <v>6712</v>
      </c>
      <c r="FA1966" s="1" t="s">
        <v>18011</v>
      </c>
      <c r="FB1966" s="1" t="s">
        <v>289</v>
      </c>
      <c r="FD1966" s="1" t="s">
        <v>495</v>
      </c>
      <c r="FE1966" s="1" t="s">
        <v>549</v>
      </c>
      <c r="FF1966" s="1" t="s">
        <v>248</v>
      </c>
      <c r="FG1966" s="1" t="s">
        <v>912</v>
      </c>
      <c r="FH1966" s="1" t="s">
        <v>550</v>
      </c>
      <c r="FI1966" s="1" t="s">
        <v>357</v>
      </c>
      <c r="FL1966" s="1" t="s">
        <v>414</v>
      </c>
      <c r="FM1966" s="1" t="s">
        <v>252</v>
      </c>
      <c r="FN1966" s="1" t="s">
        <v>213</v>
      </c>
      <c r="FO1966" s="1" t="s">
        <v>213</v>
      </c>
      <c r="FQ1966" s="1" t="s">
        <v>11638</v>
      </c>
      <c r="FR1966" s="1" t="s">
        <v>652</v>
      </c>
      <c r="FS1966" s="1" t="s">
        <v>18012</v>
      </c>
      <c r="FT1966" s="1" t="s">
        <v>295</v>
      </c>
      <c r="FU1966" s="1" t="s">
        <v>204</v>
      </c>
      <c r="FW1966" s="1" t="s">
        <v>1475</v>
      </c>
      <c r="FX1966" s="1">
        <v>23265</v>
      </c>
      <c r="FY1966" s="1" t="s">
        <v>1476</v>
      </c>
      <c r="FZ1966" s="1" t="s">
        <v>11640</v>
      </c>
      <c r="GA1966" s="1">
        <v>233530</v>
      </c>
      <c r="GB1966" s="1" t="s">
        <v>11641</v>
      </c>
      <c r="GC1966" s="1">
        <v>236423</v>
      </c>
      <c r="GE1966" s="1" t="s">
        <v>1256</v>
      </c>
      <c r="GI1966" s="1" t="s">
        <v>213</v>
      </c>
      <c r="GJ1966" s="1" t="s">
        <v>260</v>
      </c>
      <c r="GK1966" s="1" t="s">
        <v>210</v>
      </c>
      <c r="GL1966" s="2">
        <v>42094</v>
      </c>
    </row>
    <row r="1967" spans="1:195">
      <c r="A1967" s="1">
        <v>55200</v>
      </c>
      <c r="B1967" s="1" t="s">
        <v>195</v>
      </c>
      <c r="C1967" s="1" t="str">
        <f>"08743245"</f>
        <v>08743245</v>
      </c>
      <c r="D1967" s="1" t="s">
        <v>196</v>
      </c>
      <c r="F1967" s="1" t="str">
        <f>"560"</f>
        <v>560</v>
      </c>
      <c r="G1967" s="2">
        <v>41914</v>
      </c>
      <c r="H1967" s="1">
        <v>74900</v>
      </c>
      <c r="I1967" s="1">
        <v>54900</v>
      </c>
      <c r="J1967" s="1">
        <v>55200</v>
      </c>
      <c r="K1967" s="2">
        <v>41913</v>
      </c>
      <c r="L1967" s="1">
        <v>92</v>
      </c>
      <c r="M1967" s="2">
        <v>42004</v>
      </c>
      <c r="N1967" s="1">
        <v>92</v>
      </c>
      <c r="O1967" s="2">
        <v>42004</v>
      </c>
      <c r="P1967" s="1">
        <v>22039</v>
      </c>
      <c r="Q1967" s="1" t="s">
        <v>302</v>
      </c>
      <c r="R1967" s="2">
        <v>42026</v>
      </c>
      <c r="S1967" s="1">
        <v>244485</v>
      </c>
      <c r="U1967" s="1">
        <v>132</v>
      </c>
      <c r="V1967" s="1" t="s">
        <v>18013</v>
      </c>
      <c r="W1967" s="1" t="s">
        <v>264</v>
      </c>
      <c r="X1967" s="1" t="s">
        <v>8874</v>
      </c>
      <c r="Y1967" s="1">
        <v>8</v>
      </c>
      <c r="Z1967" s="1" t="s">
        <v>249</v>
      </c>
      <c r="AA1967" s="1" t="s">
        <v>484</v>
      </c>
      <c r="AB1967" s="1">
        <v>60560</v>
      </c>
      <c r="AD1967" s="1" t="s">
        <v>485</v>
      </c>
      <c r="AE1967" s="1" t="s">
        <v>18014</v>
      </c>
      <c r="AF1967" s="1">
        <v>2006</v>
      </c>
      <c r="AG1967" s="1" t="s">
        <v>204</v>
      </c>
      <c r="AH1967" s="1" t="s">
        <v>487</v>
      </c>
      <c r="AI1967" s="1" t="s">
        <v>453</v>
      </c>
      <c r="AJ1967" s="1" t="s">
        <v>454</v>
      </c>
      <c r="AK1967" s="1" t="s">
        <v>3124</v>
      </c>
      <c r="AL1967" s="1">
        <v>5</v>
      </c>
      <c r="AM1967" s="1">
        <v>2</v>
      </c>
      <c r="AN1967" s="1">
        <v>2</v>
      </c>
      <c r="AO1967" s="1">
        <v>0</v>
      </c>
      <c r="AP1967" s="1" t="s">
        <v>209</v>
      </c>
      <c r="AR1967" s="1" t="s">
        <v>210</v>
      </c>
      <c r="AS1967" s="1" t="s">
        <v>204</v>
      </c>
      <c r="AT1967" s="1" t="s">
        <v>211</v>
      </c>
      <c r="AU1967" s="1">
        <v>1</v>
      </c>
      <c r="AW1967" s="1" t="s">
        <v>204</v>
      </c>
      <c r="AX1967" s="1" t="s">
        <v>212</v>
      </c>
      <c r="AZ1967" s="1">
        <v>4442.83</v>
      </c>
      <c r="BA1967" s="1">
        <v>2013</v>
      </c>
      <c r="BB1967" s="1" t="s">
        <v>210</v>
      </c>
      <c r="BE1967" s="1">
        <v>1150</v>
      </c>
      <c r="BF1967" s="1">
        <v>1</v>
      </c>
      <c r="BG1967" s="1">
        <v>0</v>
      </c>
      <c r="BL1967" s="1">
        <v>212</v>
      </c>
      <c r="BM1967" s="1" t="s">
        <v>204</v>
      </c>
      <c r="BN1967" s="1" t="s">
        <v>213</v>
      </c>
      <c r="BO1967" s="1">
        <v>999</v>
      </c>
      <c r="BP1967" s="1" t="s">
        <v>204</v>
      </c>
      <c r="BR1967" s="1" t="str">
        <f>"9204390423"</f>
        <v>9204390423</v>
      </c>
      <c r="BT1967" s="1" t="s">
        <v>18015</v>
      </c>
      <c r="BU1967" s="1" t="s">
        <v>10610</v>
      </c>
      <c r="BV1967" s="1" t="s">
        <v>18016</v>
      </c>
      <c r="BW1967" s="1" t="s">
        <v>9633</v>
      </c>
      <c r="BX1967" s="1">
        <v>115</v>
      </c>
      <c r="BY1967" s="1">
        <v>115</v>
      </c>
      <c r="BZ1967" s="1">
        <v>115</v>
      </c>
      <c r="CB1967" s="1" t="str">
        <f t="shared" ref="CB1967:CC1967" si="1501">"0"</f>
        <v>0</v>
      </c>
      <c r="CC1967" s="1" t="str">
        <f t="shared" si="1501"/>
        <v>0</v>
      </c>
      <c r="CD1967" s="1">
        <v>42</v>
      </c>
      <c r="CE1967" s="1">
        <v>10</v>
      </c>
      <c r="CG1967" s="1" t="s">
        <v>18017</v>
      </c>
      <c r="CH1967" s="1" t="s">
        <v>277</v>
      </c>
      <c r="CK1967" s="1" t="s">
        <v>223</v>
      </c>
      <c r="CL1967" s="1" t="s">
        <v>277</v>
      </c>
      <c r="CO1967" s="1" t="s">
        <v>516</v>
      </c>
      <c r="CP1967" s="1" t="s">
        <v>277</v>
      </c>
      <c r="CS1967" s="1" t="s">
        <v>602</v>
      </c>
      <c r="CT1967" s="1" t="s">
        <v>277</v>
      </c>
      <c r="CX1967" s="1" t="s">
        <v>224</v>
      </c>
      <c r="DB1967" s="1" t="s">
        <v>224</v>
      </c>
      <c r="DE1967" s="1" t="s">
        <v>379</v>
      </c>
      <c r="DF1967" s="1" t="s">
        <v>277</v>
      </c>
      <c r="DJ1967" s="1" t="s">
        <v>224</v>
      </c>
      <c r="DS1967" s="1" t="s">
        <v>230</v>
      </c>
      <c r="DW1967" s="1" t="s">
        <v>230</v>
      </c>
      <c r="EA1967" s="1" t="s">
        <v>230</v>
      </c>
      <c r="EE1967" s="1" t="s">
        <v>230</v>
      </c>
      <c r="EI1967" s="1" t="s">
        <v>230</v>
      </c>
      <c r="EL1967" s="1" t="s">
        <v>491</v>
      </c>
      <c r="EM1967" s="1" t="s">
        <v>319</v>
      </c>
      <c r="EN1967" s="1" t="s">
        <v>233</v>
      </c>
      <c r="EO1967" s="1" t="s">
        <v>234</v>
      </c>
      <c r="EP1967" s="1" t="s">
        <v>18018</v>
      </c>
      <c r="ER1967" s="1" t="s">
        <v>210</v>
      </c>
      <c r="ES1967" s="1" t="s">
        <v>322</v>
      </c>
      <c r="EW1967" s="1" t="s">
        <v>4151</v>
      </c>
      <c r="EY1967" s="1" t="s">
        <v>242</v>
      </c>
      <c r="EZ1967" s="1" t="s">
        <v>287</v>
      </c>
      <c r="FB1967" s="1" t="s">
        <v>244</v>
      </c>
      <c r="FD1967" s="1" t="s">
        <v>246</v>
      </c>
      <c r="FE1967" s="1" t="s">
        <v>1031</v>
      </c>
      <c r="FF1967" s="1" t="s">
        <v>248</v>
      </c>
      <c r="FH1967" s="1" t="s">
        <v>249</v>
      </c>
      <c r="FL1967" s="1" t="s">
        <v>358</v>
      </c>
      <c r="FM1967" s="1" t="s">
        <v>252</v>
      </c>
      <c r="FN1967" s="1" t="s">
        <v>213</v>
      </c>
      <c r="FO1967" s="1" t="s">
        <v>213</v>
      </c>
      <c r="FQ1967" s="1" t="s">
        <v>673</v>
      </c>
      <c r="FR1967" s="1" t="s">
        <v>13319</v>
      </c>
      <c r="FS1967" s="1" t="s">
        <v>2753</v>
      </c>
      <c r="FT1967" s="1" t="s">
        <v>8191</v>
      </c>
      <c r="FU1967" s="1" t="s">
        <v>204</v>
      </c>
      <c r="FW1967" s="1" t="s">
        <v>9811</v>
      </c>
      <c r="FX1967" s="1">
        <v>23187</v>
      </c>
      <c r="FY1967" s="1" t="s">
        <v>9812</v>
      </c>
      <c r="FZ1967" s="1" t="s">
        <v>9813</v>
      </c>
      <c r="GA1967" s="1">
        <v>233406</v>
      </c>
      <c r="GB1967" s="1" t="s">
        <v>9814</v>
      </c>
      <c r="GC1967" s="1">
        <v>232524</v>
      </c>
      <c r="GE1967" s="1" t="s">
        <v>210</v>
      </c>
      <c r="GI1967" s="1" t="s">
        <v>213</v>
      </c>
      <c r="GJ1967" s="1" t="s">
        <v>260</v>
      </c>
      <c r="GK1967" s="1" t="s">
        <v>210</v>
      </c>
      <c r="GL1967" s="2">
        <v>42026</v>
      </c>
      <c r="GM1967" s="1" t="s">
        <v>18019</v>
      </c>
    </row>
    <row r="1968" spans="1:195">
      <c r="A1968" s="1">
        <v>311837</v>
      </c>
      <c r="B1968" s="1" t="s">
        <v>195</v>
      </c>
      <c r="C1968" s="1" t="str">
        <f>"08744338"</f>
        <v>08744338</v>
      </c>
      <c r="D1968" s="1" t="s">
        <v>196</v>
      </c>
      <c r="F1968" s="1" t="str">
        <f>"522"</f>
        <v>522</v>
      </c>
      <c r="G1968" s="2">
        <v>41915</v>
      </c>
      <c r="H1968" s="1">
        <v>345000</v>
      </c>
      <c r="I1968" s="1">
        <v>334900</v>
      </c>
      <c r="J1968" s="1">
        <v>311837</v>
      </c>
      <c r="K1968" s="2">
        <v>41914</v>
      </c>
      <c r="L1968" s="1">
        <v>36</v>
      </c>
      <c r="M1968" s="2">
        <v>41949</v>
      </c>
      <c r="N1968" s="1">
        <v>36</v>
      </c>
      <c r="O1968" s="2">
        <v>41949</v>
      </c>
      <c r="P1968" s="1" t="s">
        <v>1039</v>
      </c>
      <c r="Q1968" s="1" t="s">
        <v>197</v>
      </c>
      <c r="R1968" s="2">
        <v>41989</v>
      </c>
      <c r="S1968" s="1">
        <v>99999</v>
      </c>
      <c r="U1968" s="1">
        <v>197</v>
      </c>
      <c r="V1968" s="1" t="s">
        <v>7130</v>
      </c>
      <c r="W1968" s="1" t="s">
        <v>779</v>
      </c>
      <c r="X1968" s="1">
        <v>197</v>
      </c>
      <c r="Y1968" s="1">
        <v>190</v>
      </c>
      <c r="Z1968" s="1" t="s">
        <v>249</v>
      </c>
      <c r="AA1968" s="1" t="s">
        <v>698</v>
      </c>
      <c r="AB1968" s="1">
        <v>60527</v>
      </c>
      <c r="AD1968" s="1" t="s">
        <v>18020</v>
      </c>
      <c r="AE1968" s="1" t="s">
        <v>18021</v>
      </c>
      <c r="AF1968" s="1">
        <v>1989</v>
      </c>
      <c r="AG1968" s="1" t="s">
        <v>204</v>
      </c>
      <c r="AH1968" s="1" t="s">
        <v>701</v>
      </c>
      <c r="AI1968" s="1" t="s">
        <v>310</v>
      </c>
      <c r="AJ1968" s="1" t="s">
        <v>702</v>
      </c>
      <c r="AK1968" s="1" t="s">
        <v>5693</v>
      </c>
      <c r="AL1968" s="1">
        <v>7</v>
      </c>
      <c r="AM1968" s="1">
        <v>2</v>
      </c>
      <c r="AN1968" s="1">
        <v>2</v>
      </c>
      <c r="AO1968" s="1">
        <v>0</v>
      </c>
      <c r="AP1968" s="1" t="s">
        <v>209</v>
      </c>
      <c r="AQ1968" s="1">
        <v>1</v>
      </c>
      <c r="AR1968" s="1" t="s">
        <v>210</v>
      </c>
      <c r="AS1968" s="1" t="s">
        <v>204</v>
      </c>
      <c r="AT1968" s="1" t="s">
        <v>211</v>
      </c>
      <c r="AU1968" s="1">
        <v>2</v>
      </c>
      <c r="AW1968" s="1" t="s">
        <v>213</v>
      </c>
      <c r="AX1968" s="1" t="s">
        <v>212</v>
      </c>
      <c r="AZ1968" s="1">
        <v>5111</v>
      </c>
      <c r="BA1968" s="1">
        <v>2012</v>
      </c>
      <c r="BB1968" s="1" t="s">
        <v>405</v>
      </c>
      <c r="BE1968" s="1">
        <v>2100</v>
      </c>
      <c r="BF1968" s="1">
        <v>2</v>
      </c>
      <c r="BG1968" s="1">
        <v>30</v>
      </c>
      <c r="BL1968" s="1">
        <v>362</v>
      </c>
      <c r="BM1968" s="1" t="s">
        <v>204</v>
      </c>
      <c r="BN1968" s="1" t="s">
        <v>213</v>
      </c>
      <c r="BO1968" s="1">
        <v>0</v>
      </c>
      <c r="BP1968" s="1" t="s">
        <v>204</v>
      </c>
      <c r="BR1968" s="1" t="str">
        <f>"18303000271062"</f>
        <v>18303000271062</v>
      </c>
      <c r="BT1968" s="1" t="s">
        <v>18022</v>
      </c>
      <c r="BU1968" s="1" t="s">
        <v>704</v>
      </c>
      <c r="BV1968" s="1" t="s">
        <v>705</v>
      </c>
      <c r="BW1968" s="1" t="s">
        <v>706</v>
      </c>
      <c r="BX1968" s="1">
        <v>107</v>
      </c>
      <c r="BY1968" s="1">
        <v>107</v>
      </c>
      <c r="BZ1968" s="1">
        <v>204</v>
      </c>
      <c r="CB1968" s="1" t="str">
        <f t="shared" ref="CB1968:CC1968" si="1502">""</f>
        <v/>
      </c>
      <c r="CC1968" s="1" t="str">
        <f t="shared" si="1502"/>
        <v/>
      </c>
      <c r="CG1968" s="1" t="s">
        <v>932</v>
      </c>
      <c r="CH1968" s="1" t="s">
        <v>277</v>
      </c>
      <c r="CI1968" s="1" t="s">
        <v>220</v>
      </c>
      <c r="CJ1968" s="1" t="s">
        <v>463</v>
      </c>
      <c r="CK1968" s="1" t="s">
        <v>221</v>
      </c>
      <c r="CL1968" s="1" t="s">
        <v>277</v>
      </c>
      <c r="CM1968" s="1" t="s">
        <v>220</v>
      </c>
      <c r="CN1968" s="1" t="s">
        <v>463</v>
      </c>
      <c r="CO1968" s="1" t="s">
        <v>602</v>
      </c>
      <c r="CP1968" s="1" t="s">
        <v>277</v>
      </c>
      <c r="CQ1968" s="1" t="s">
        <v>220</v>
      </c>
      <c r="CR1968" s="1" t="s">
        <v>463</v>
      </c>
      <c r="CS1968" s="1" t="s">
        <v>1297</v>
      </c>
      <c r="CT1968" s="1" t="s">
        <v>277</v>
      </c>
      <c r="CU1968" s="1" t="s">
        <v>220</v>
      </c>
      <c r="CV1968" s="1" t="s">
        <v>463</v>
      </c>
      <c r="CX1968" s="1" t="s">
        <v>224</v>
      </c>
      <c r="DB1968" s="1" t="s">
        <v>224</v>
      </c>
      <c r="DE1968" s="1" t="s">
        <v>379</v>
      </c>
      <c r="DF1968" s="1" t="s">
        <v>277</v>
      </c>
      <c r="DG1968" s="1" t="s">
        <v>438</v>
      </c>
      <c r="DH1968" s="1" t="s">
        <v>463</v>
      </c>
      <c r="DI1968" s="1" t="s">
        <v>1737</v>
      </c>
      <c r="DJ1968" s="1" t="s">
        <v>277</v>
      </c>
      <c r="DK1968" s="1" t="s">
        <v>220</v>
      </c>
      <c r="DL1968" s="1" t="s">
        <v>463</v>
      </c>
      <c r="DM1968" s="1" t="s">
        <v>1548</v>
      </c>
      <c r="DO1968" s="1" t="s">
        <v>1359</v>
      </c>
      <c r="DP1968" s="1" t="s">
        <v>8767</v>
      </c>
      <c r="DR1968" s="1" t="s">
        <v>1107</v>
      </c>
      <c r="DS1968" s="1" t="s">
        <v>277</v>
      </c>
      <c r="DT1968" s="1" t="s">
        <v>229</v>
      </c>
      <c r="DU1968" s="1" t="s">
        <v>343</v>
      </c>
      <c r="DW1968" s="1" t="s">
        <v>230</v>
      </c>
      <c r="DZ1968" s="1" t="s">
        <v>5954</v>
      </c>
      <c r="EA1968" s="1" t="s">
        <v>277</v>
      </c>
      <c r="EB1968" s="1" t="s">
        <v>347</v>
      </c>
      <c r="ED1968" s="1" t="s">
        <v>540</v>
      </c>
      <c r="EE1968" s="1" t="s">
        <v>277</v>
      </c>
      <c r="EF1968" s="1" t="s">
        <v>347</v>
      </c>
      <c r="EI1968" s="1" t="s">
        <v>230</v>
      </c>
      <c r="EL1968" s="1" t="s">
        <v>382</v>
      </c>
      <c r="EM1968" s="1" t="s">
        <v>232</v>
      </c>
      <c r="EN1968" s="1" t="s">
        <v>282</v>
      </c>
      <c r="EO1968" s="1" t="s">
        <v>234</v>
      </c>
      <c r="EP1968" s="1" t="s">
        <v>210</v>
      </c>
      <c r="EQ1968" s="1" t="s">
        <v>1094</v>
      </c>
      <c r="ER1968" s="1" t="s">
        <v>210</v>
      </c>
      <c r="ES1968" s="1" t="s">
        <v>3218</v>
      </c>
      <c r="ET1968" s="1" t="s">
        <v>1201</v>
      </c>
      <c r="EV1968" s="1" t="s">
        <v>324</v>
      </c>
      <c r="EW1968" s="1" t="s">
        <v>887</v>
      </c>
      <c r="EY1968" s="1" t="s">
        <v>1315</v>
      </c>
      <c r="EZ1968" s="1" t="s">
        <v>18023</v>
      </c>
      <c r="FB1968" s="1" t="s">
        <v>289</v>
      </c>
      <c r="FC1968" s="1" t="s">
        <v>2470</v>
      </c>
      <c r="FD1968" s="1" t="s">
        <v>246</v>
      </c>
      <c r="FE1968" s="1" t="s">
        <v>549</v>
      </c>
      <c r="FF1968" s="1" t="s">
        <v>248</v>
      </c>
      <c r="FG1968" s="1" t="s">
        <v>871</v>
      </c>
      <c r="FH1968" s="1" t="s">
        <v>249</v>
      </c>
      <c r="FI1968" s="1" t="s">
        <v>357</v>
      </c>
      <c r="FL1968" s="1" t="s">
        <v>358</v>
      </c>
      <c r="FM1968" s="1" t="s">
        <v>252</v>
      </c>
      <c r="FN1968" s="1" t="s">
        <v>213</v>
      </c>
      <c r="FO1968" s="1" t="s">
        <v>204</v>
      </c>
      <c r="FQ1968" s="1" t="s">
        <v>2293</v>
      </c>
      <c r="FR1968" s="1" t="s">
        <v>210</v>
      </c>
      <c r="FS1968" s="1" t="s">
        <v>18024</v>
      </c>
      <c r="FT1968" s="1" t="s">
        <v>255</v>
      </c>
      <c r="FU1968" s="1" t="s">
        <v>204</v>
      </c>
      <c r="FW1968" s="1" t="s">
        <v>1559</v>
      </c>
      <c r="FX1968" s="1">
        <v>24587</v>
      </c>
      <c r="FY1968" s="1" t="s">
        <v>6179</v>
      </c>
      <c r="FZ1968" s="1" t="s">
        <v>18025</v>
      </c>
      <c r="GA1968" s="1">
        <v>224731</v>
      </c>
      <c r="GB1968" s="1" t="s">
        <v>18026</v>
      </c>
      <c r="GE1968" s="1" t="s">
        <v>4021</v>
      </c>
      <c r="GI1968" s="1" t="s">
        <v>213</v>
      </c>
      <c r="GJ1968" s="1" t="s">
        <v>260</v>
      </c>
      <c r="GK1968" s="1" t="s">
        <v>210</v>
      </c>
      <c r="GL1968" s="2">
        <v>41990</v>
      </c>
      <c r="GM1968" s="1" t="s">
        <v>18027</v>
      </c>
    </row>
    <row r="1969" spans="1:195">
      <c r="A1969" s="1">
        <v>125000</v>
      </c>
      <c r="B1969" s="1" t="s">
        <v>195</v>
      </c>
      <c r="C1969" s="1" t="str">
        <f>"08737452"</f>
        <v>08737452</v>
      </c>
      <c r="D1969" s="1" t="s">
        <v>196</v>
      </c>
      <c r="F1969" s="1" t="str">
        <f t="shared" ref="F1969:F1971" si="1503">"108"</f>
        <v>108</v>
      </c>
      <c r="G1969" s="2">
        <v>41907</v>
      </c>
      <c r="H1969" s="1">
        <v>138500</v>
      </c>
      <c r="I1969" s="1">
        <v>134000</v>
      </c>
      <c r="J1969" s="1">
        <v>125000</v>
      </c>
      <c r="K1969" s="2">
        <v>41907</v>
      </c>
      <c r="L1969" s="1">
        <v>197</v>
      </c>
      <c r="M1969" s="2">
        <v>42103</v>
      </c>
      <c r="N1969" s="1">
        <v>197</v>
      </c>
      <c r="O1969" s="2">
        <v>42103</v>
      </c>
      <c r="P1969" s="1">
        <v>22029</v>
      </c>
      <c r="Q1969" s="1" t="s">
        <v>197</v>
      </c>
      <c r="R1969" s="2">
        <v>42144</v>
      </c>
      <c r="S1969" s="1">
        <v>240667</v>
      </c>
      <c r="U1969" s="1">
        <v>155</v>
      </c>
      <c r="V1969" s="1" t="s">
        <v>4781</v>
      </c>
      <c r="W1969" s="1" t="s">
        <v>304</v>
      </c>
      <c r="X1969" s="1" t="s">
        <v>527</v>
      </c>
      <c r="Y1969" s="1">
        <v>4</v>
      </c>
      <c r="Z1969" s="1" t="s">
        <v>249</v>
      </c>
      <c r="AA1969" s="1" t="s">
        <v>829</v>
      </c>
      <c r="AB1969" s="1">
        <v>60108</v>
      </c>
      <c r="AD1969" s="1" t="s">
        <v>18028</v>
      </c>
      <c r="AE1969" s="1" t="s">
        <v>18029</v>
      </c>
      <c r="AF1969" s="1">
        <v>1976</v>
      </c>
      <c r="AG1969" s="1" t="s">
        <v>213</v>
      </c>
      <c r="AH1969" s="1" t="s">
        <v>269</v>
      </c>
      <c r="AI1969" s="1" t="s">
        <v>206</v>
      </c>
      <c r="AJ1969" s="1" t="s">
        <v>269</v>
      </c>
      <c r="AL1969" s="1">
        <v>5</v>
      </c>
      <c r="AM1969" s="1">
        <v>2</v>
      </c>
      <c r="AN1969" s="1">
        <v>1</v>
      </c>
      <c r="AO1969" s="1">
        <v>0</v>
      </c>
      <c r="AP1969" s="1" t="s">
        <v>209</v>
      </c>
      <c r="AR1969" s="1" t="s">
        <v>210</v>
      </c>
      <c r="AS1969" s="1" t="s">
        <v>204</v>
      </c>
      <c r="AT1969" s="1" t="s">
        <v>211</v>
      </c>
      <c r="AU1969" s="1">
        <v>1</v>
      </c>
      <c r="AW1969" s="1" t="s">
        <v>213</v>
      </c>
      <c r="AX1969" s="1" t="s">
        <v>4740</v>
      </c>
      <c r="AZ1969" s="1">
        <v>1834.9</v>
      </c>
      <c r="BA1969" s="1">
        <v>2013</v>
      </c>
      <c r="BB1969" s="1" t="s">
        <v>405</v>
      </c>
      <c r="BE1969" s="1">
        <v>1200</v>
      </c>
      <c r="BF1969" s="1">
        <v>1</v>
      </c>
      <c r="BG1969" s="1">
        <v>0</v>
      </c>
      <c r="BL1969" s="1">
        <v>167</v>
      </c>
      <c r="BM1969" s="1" t="s">
        <v>204</v>
      </c>
      <c r="BN1969" s="1" t="s">
        <v>213</v>
      </c>
      <c r="BO1969" s="1">
        <v>999</v>
      </c>
      <c r="BP1969" s="1" t="s">
        <v>204</v>
      </c>
      <c r="BR1969" s="1" t="str">
        <f>"0215407059"</f>
        <v>0215407059</v>
      </c>
      <c r="BT1969" s="1" t="s">
        <v>18030</v>
      </c>
      <c r="BU1969" s="1" t="s">
        <v>833</v>
      </c>
      <c r="BV1969" s="1" t="s">
        <v>834</v>
      </c>
      <c r="BW1969" s="1" t="s">
        <v>275</v>
      </c>
      <c r="BX1969" s="1">
        <v>13</v>
      </c>
      <c r="BY1969" s="1">
        <v>13</v>
      </c>
      <c r="BZ1969" s="1">
        <v>108</v>
      </c>
      <c r="CB1969" s="1" t="str">
        <f>"5"</f>
        <v>5</v>
      </c>
      <c r="CC1969" s="1" t="str">
        <f>""</f>
        <v/>
      </c>
      <c r="CD1969" s="1">
        <v>23</v>
      </c>
      <c r="CG1969" s="1" t="s">
        <v>729</v>
      </c>
      <c r="CH1969" s="1" t="s">
        <v>277</v>
      </c>
      <c r="CI1969" s="1" t="s">
        <v>220</v>
      </c>
      <c r="CJ1969" s="1" t="s">
        <v>252</v>
      </c>
      <c r="CK1969" s="1" t="s">
        <v>221</v>
      </c>
      <c r="CL1969" s="1" t="s">
        <v>277</v>
      </c>
      <c r="CM1969" s="1" t="s">
        <v>220</v>
      </c>
      <c r="CO1969" s="1" t="s">
        <v>837</v>
      </c>
      <c r="CP1969" s="1" t="s">
        <v>277</v>
      </c>
      <c r="CQ1969" s="1" t="s">
        <v>226</v>
      </c>
      <c r="CS1969" s="1" t="s">
        <v>378</v>
      </c>
      <c r="CT1969" s="1" t="s">
        <v>277</v>
      </c>
      <c r="CX1969" s="1" t="s">
        <v>224</v>
      </c>
      <c r="DB1969" s="1" t="s">
        <v>224</v>
      </c>
      <c r="DE1969" s="1" t="s">
        <v>837</v>
      </c>
      <c r="DF1969" s="1" t="s">
        <v>277</v>
      </c>
      <c r="DG1969" s="1" t="s">
        <v>226</v>
      </c>
      <c r="DJ1969" s="1" t="s">
        <v>224</v>
      </c>
      <c r="DM1969" s="1" t="s">
        <v>709</v>
      </c>
      <c r="DR1969" s="1" t="s">
        <v>2308</v>
      </c>
      <c r="DS1969" s="1" t="s">
        <v>219</v>
      </c>
      <c r="DW1969" s="1" t="s">
        <v>230</v>
      </c>
      <c r="EA1969" s="1" t="s">
        <v>230</v>
      </c>
      <c r="EE1969" s="1" t="s">
        <v>230</v>
      </c>
      <c r="EI1969" s="1" t="s">
        <v>230</v>
      </c>
      <c r="EL1969" s="1" t="s">
        <v>231</v>
      </c>
      <c r="EM1969" s="1" t="s">
        <v>232</v>
      </c>
      <c r="EN1969" s="1" t="s">
        <v>282</v>
      </c>
      <c r="EO1969" s="1" t="s">
        <v>234</v>
      </c>
      <c r="EP1969" s="1" t="s">
        <v>7792</v>
      </c>
      <c r="EQ1969" s="1" t="s">
        <v>468</v>
      </c>
      <c r="ER1969" s="1" t="s">
        <v>383</v>
      </c>
      <c r="ES1969" s="1" t="s">
        <v>322</v>
      </c>
      <c r="EW1969" s="1" t="s">
        <v>14464</v>
      </c>
      <c r="EY1969" s="1" t="s">
        <v>242</v>
      </c>
      <c r="EZ1969" s="1" t="s">
        <v>709</v>
      </c>
      <c r="FD1969" s="1" t="s">
        <v>246</v>
      </c>
      <c r="FE1969" s="1" t="s">
        <v>975</v>
      </c>
      <c r="FF1969" s="1" t="s">
        <v>248</v>
      </c>
      <c r="FH1969" s="1" t="s">
        <v>356</v>
      </c>
      <c r="FJ1969" s="1" t="s">
        <v>1179</v>
      </c>
      <c r="FL1969" s="1" t="s">
        <v>414</v>
      </c>
      <c r="FM1969" s="1" t="s">
        <v>252</v>
      </c>
      <c r="FN1969" s="1" t="s">
        <v>213</v>
      </c>
      <c r="FO1969" s="1" t="s">
        <v>213</v>
      </c>
      <c r="FQ1969" s="1" t="s">
        <v>3545</v>
      </c>
      <c r="FR1969" s="1" t="s">
        <v>210</v>
      </c>
      <c r="FS1969" s="1" t="s">
        <v>18031</v>
      </c>
      <c r="FT1969" s="1" t="s">
        <v>295</v>
      </c>
      <c r="FU1969" s="1" t="s">
        <v>204</v>
      </c>
      <c r="FW1969" s="1" t="s">
        <v>18032</v>
      </c>
      <c r="FX1969" s="1">
        <v>25645</v>
      </c>
      <c r="FY1969" s="1" t="s">
        <v>18033</v>
      </c>
      <c r="FZ1969" s="1" t="s">
        <v>18034</v>
      </c>
      <c r="GA1969" s="1">
        <v>86776</v>
      </c>
      <c r="GD1969" s="1" t="s">
        <v>18035</v>
      </c>
      <c r="GE1969" s="1" t="s">
        <v>210</v>
      </c>
      <c r="GI1969" s="1" t="s">
        <v>213</v>
      </c>
      <c r="GJ1969" s="1" t="s">
        <v>260</v>
      </c>
      <c r="GK1969" s="1" t="s">
        <v>210</v>
      </c>
      <c r="GL1969" s="2">
        <v>42145</v>
      </c>
      <c r="GM1969" s="1" t="s">
        <v>18036</v>
      </c>
    </row>
    <row r="1970" spans="1:195">
      <c r="A1970" s="1">
        <v>105000</v>
      </c>
      <c r="B1970" s="1" t="s">
        <v>195</v>
      </c>
      <c r="C1970" s="1" t="str">
        <f>"08737142"</f>
        <v>08737142</v>
      </c>
      <c r="D1970" s="1" t="s">
        <v>196</v>
      </c>
      <c r="F1970" s="1" t="str">
        <f t="shared" si="1503"/>
        <v>108</v>
      </c>
      <c r="G1970" s="2">
        <v>41906</v>
      </c>
      <c r="H1970" s="1">
        <v>94900</v>
      </c>
      <c r="I1970" s="1">
        <v>105000</v>
      </c>
      <c r="J1970" s="1">
        <v>105000</v>
      </c>
      <c r="K1970" s="2">
        <v>41906</v>
      </c>
      <c r="L1970" s="1">
        <v>237</v>
      </c>
      <c r="M1970" s="2">
        <v>42142</v>
      </c>
      <c r="N1970" s="1">
        <v>237</v>
      </c>
      <c r="O1970" s="2">
        <v>42142</v>
      </c>
      <c r="P1970" s="1">
        <v>2472</v>
      </c>
      <c r="Q1970" s="1" t="s">
        <v>197</v>
      </c>
      <c r="R1970" s="2">
        <v>42144</v>
      </c>
      <c r="S1970" s="1">
        <v>87078</v>
      </c>
      <c r="U1970" s="1">
        <v>259</v>
      </c>
      <c r="V1970" s="1" t="s">
        <v>1381</v>
      </c>
      <c r="W1970" s="1" t="s">
        <v>504</v>
      </c>
      <c r="X1970" s="1" t="s">
        <v>577</v>
      </c>
      <c r="Y1970" s="1">
        <v>20</v>
      </c>
      <c r="Z1970" s="1" t="s">
        <v>249</v>
      </c>
      <c r="AA1970" s="1" t="s">
        <v>829</v>
      </c>
      <c r="AB1970" s="1">
        <v>60108</v>
      </c>
      <c r="AC1970" s="1">
        <v>2825</v>
      </c>
      <c r="AD1970" s="1" t="s">
        <v>18037</v>
      </c>
      <c r="AE1970" s="1" t="s">
        <v>18038</v>
      </c>
      <c r="AF1970" s="1">
        <v>1982</v>
      </c>
      <c r="AG1970" s="1" t="s">
        <v>204</v>
      </c>
      <c r="AH1970" s="1" t="s">
        <v>269</v>
      </c>
      <c r="AI1970" s="1" t="s">
        <v>206</v>
      </c>
      <c r="AJ1970" s="1" t="s">
        <v>269</v>
      </c>
      <c r="AL1970" s="1">
        <v>5</v>
      </c>
      <c r="AM1970" s="1">
        <v>2</v>
      </c>
      <c r="AN1970" s="1">
        <v>2</v>
      </c>
      <c r="AO1970" s="1">
        <v>0</v>
      </c>
      <c r="AP1970" s="1" t="s">
        <v>209</v>
      </c>
      <c r="AQ1970" s="1">
        <v>1</v>
      </c>
      <c r="AR1970" s="1" t="s">
        <v>210</v>
      </c>
      <c r="AS1970" s="1" t="s">
        <v>204</v>
      </c>
      <c r="AT1970" s="1" t="s">
        <v>375</v>
      </c>
      <c r="AU1970" s="1">
        <v>1</v>
      </c>
      <c r="AV1970" s="1">
        <v>1</v>
      </c>
      <c r="AW1970" s="1" t="s">
        <v>204</v>
      </c>
      <c r="AX1970" s="1" t="s">
        <v>212</v>
      </c>
      <c r="AZ1970" s="1">
        <v>3697.8</v>
      </c>
      <c r="BA1970" s="1">
        <v>2013</v>
      </c>
      <c r="BB1970" s="1" t="s">
        <v>599</v>
      </c>
      <c r="BE1970" s="1">
        <v>0</v>
      </c>
      <c r="BF1970" s="1">
        <v>2</v>
      </c>
      <c r="BG1970" s="1">
        <v>30</v>
      </c>
      <c r="BL1970" s="1">
        <v>220</v>
      </c>
      <c r="BM1970" s="1" t="s">
        <v>204</v>
      </c>
      <c r="BN1970" s="1" t="s">
        <v>213</v>
      </c>
      <c r="BO1970" s="1">
        <v>999</v>
      </c>
      <c r="BP1970" s="1" t="s">
        <v>204</v>
      </c>
      <c r="BR1970" s="1" t="str">
        <f>"0223214017"</f>
        <v>0223214017</v>
      </c>
      <c r="BT1970" s="1" t="s">
        <v>18039</v>
      </c>
      <c r="BU1970" s="1" t="s">
        <v>2014</v>
      </c>
      <c r="BV1970" s="1" t="s">
        <v>2015</v>
      </c>
      <c r="BX1970" s="1">
        <v>15</v>
      </c>
      <c r="BY1970" s="1">
        <v>15</v>
      </c>
      <c r="BZ1970" s="1">
        <v>87</v>
      </c>
      <c r="CB1970" s="1" t="str">
        <f t="shared" ref="CB1970:CC1970" si="1504">""</f>
        <v/>
      </c>
      <c r="CC1970" s="1" t="str">
        <f t="shared" si="1504"/>
        <v/>
      </c>
      <c r="CG1970" s="1" t="s">
        <v>437</v>
      </c>
      <c r="CH1970" s="1" t="s">
        <v>277</v>
      </c>
      <c r="CK1970" s="1" t="s">
        <v>564</v>
      </c>
      <c r="CL1970" s="1" t="s">
        <v>277</v>
      </c>
      <c r="CO1970" s="1" t="s">
        <v>516</v>
      </c>
      <c r="CP1970" s="1" t="s">
        <v>277</v>
      </c>
      <c r="CS1970" s="1" t="s">
        <v>539</v>
      </c>
      <c r="CT1970" s="1" t="s">
        <v>277</v>
      </c>
      <c r="CX1970" s="1" t="s">
        <v>224</v>
      </c>
      <c r="DB1970" s="1" t="s">
        <v>224</v>
      </c>
      <c r="DE1970" s="1" t="s">
        <v>380</v>
      </c>
      <c r="DF1970" s="1" t="s">
        <v>277</v>
      </c>
      <c r="DJ1970" s="1" t="s">
        <v>224</v>
      </c>
      <c r="DM1970" s="1" t="s">
        <v>838</v>
      </c>
      <c r="DR1970" s="1" t="s">
        <v>1938</v>
      </c>
      <c r="DS1970" s="1" t="s">
        <v>219</v>
      </c>
      <c r="DW1970" s="1" t="s">
        <v>230</v>
      </c>
      <c r="EA1970" s="1" t="s">
        <v>230</v>
      </c>
      <c r="EE1970" s="1" t="s">
        <v>230</v>
      </c>
      <c r="EI1970" s="1" t="s">
        <v>230</v>
      </c>
      <c r="EL1970" s="1" t="s">
        <v>231</v>
      </c>
      <c r="EM1970" s="1" t="s">
        <v>232</v>
      </c>
      <c r="EN1970" s="1" t="s">
        <v>282</v>
      </c>
      <c r="EO1970" s="1" t="s">
        <v>234</v>
      </c>
      <c r="EQ1970" s="1" t="s">
        <v>468</v>
      </c>
      <c r="ER1970" s="1" t="s">
        <v>210</v>
      </c>
      <c r="ES1970" s="1" t="s">
        <v>322</v>
      </c>
      <c r="EV1970" s="1" t="s">
        <v>240</v>
      </c>
      <c r="EW1970" s="1" t="s">
        <v>286</v>
      </c>
      <c r="EZ1970" s="1" t="s">
        <v>838</v>
      </c>
      <c r="FB1970" s="1" t="s">
        <v>289</v>
      </c>
      <c r="FD1970" s="1" t="s">
        <v>736</v>
      </c>
      <c r="FE1970" s="1" t="s">
        <v>651</v>
      </c>
      <c r="FF1970" s="1" t="s">
        <v>248</v>
      </c>
      <c r="FG1970" s="1" t="s">
        <v>1271</v>
      </c>
      <c r="FH1970" s="1" t="s">
        <v>249</v>
      </c>
      <c r="FI1970" s="1" t="s">
        <v>848</v>
      </c>
      <c r="FK1970" s="1" t="s">
        <v>18040</v>
      </c>
      <c r="FL1970" s="1" t="s">
        <v>358</v>
      </c>
      <c r="FM1970" s="1" t="s">
        <v>252</v>
      </c>
      <c r="FN1970" s="1" t="s">
        <v>213</v>
      </c>
      <c r="FO1970" s="1" t="s">
        <v>213</v>
      </c>
      <c r="FQ1970" s="1" t="s">
        <v>1599</v>
      </c>
      <c r="FR1970" s="1" t="s">
        <v>360</v>
      </c>
      <c r="FS1970" s="1" t="s">
        <v>18041</v>
      </c>
      <c r="FT1970" s="1" t="s">
        <v>295</v>
      </c>
      <c r="FU1970" s="1" t="s">
        <v>204</v>
      </c>
      <c r="FW1970" s="1" t="s">
        <v>1443</v>
      </c>
      <c r="FX1970" s="1">
        <v>85115</v>
      </c>
      <c r="FY1970" s="1" t="s">
        <v>1444</v>
      </c>
      <c r="FZ1970" s="1" t="s">
        <v>18042</v>
      </c>
      <c r="GA1970" s="1">
        <v>143115</v>
      </c>
      <c r="GB1970" s="1" t="s">
        <v>18043</v>
      </c>
      <c r="GE1970" s="1" t="s">
        <v>210</v>
      </c>
      <c r="GI1970" s="1" t="s">
        <v>213</v>
      </c>
      <c r="GJ1970" s="1" t="s">
        <v>260</v>
      </c>
      <c r="GK1970" s="1" t="s">
        <v>210</v>
      </c>
      <c r="GL1970" s="2">
        <v>42144</v>
      </c>
      <c r="GM1970" s="2" t="s">
        <v>18044</v>
      </c>
    </row>
    <row r="1971" spans="1:195">
      <c r="A1971" s="1">
        <v>217040</v>
      </c>
      <c r="B1971" s="1" t="s">
        <v>195</v>
      </c>
      <c r="C1971" s="1" t="str">
        <f>"08734975"</f>
        <v>08734975</v>
      </c>
      <c r="D1971" s="1" t="s">
        <v>196</v>
      </c>
      <c r="F1971" s="1" t="str">
        <f t="shared" si="1503"/>
        <v>108</v>
      </c>
      <c r="G1971" s="2">
        <v>41904</v>
      </c>
      <c r="H1971" s="1">
        <v>228500</v>
      </c>
      <c r="I1971" s="1">
        <v>226000</v>
      </c>
      <c r="J1971" s="1">
        <v>217040</v>
      </c>
      <c r="K1971" s="2">
        <v>41904</v>
      </c>
      <c r="L1971" s="1">
        <v>81</v>
      </c>
      <c r="M1971" s="2">
        <v>41984</v>
      </c>
      <c r="N1971" s="1">
        <v>81</v>
      </c>
      <c r="O1971" s="2">
        <v>41984</v>
      </c>
      <c r="P1971" s="1">
        <v>24007</v>
      </c>
      <c r="Q1971" s="1" t="s">
        <v>197</v>
      </c>
      <c r="R1971" s="2">
        <v>42066</v>
      </c>
      <c r="S1971" s="1">
        <v>241255</v>
      </c>
      <c r="U1971" s="1">
        <v>53</v>
      </c>
      <c r="V1971" s="1" t="s">
        <v>12230</v>
      </c>
      <c r="W1971" s="1" t="s">
        <v>504</v>
      </c>
      <c r="Y1971" s="1">
        <v>2</v>
      </c>
      <c r="Z1971" s="1" t="s">
        <v>249</v>
      </c>
      <c r="AA1971" s="1" t="s">
        <v>829</v>
      </c>
      <c r="AB1971" s="1">
        <v>60108</v>
      </c>
      <c r="AD1971" s="1" t="s">
        <v>5496</v>
      </c>
      <c r="AE1971" s="1" t="s">
        <v>18045</v>
      </c>
      <c r="AF1971" s="1">
        <v>1988</v>
      </c>
      <c r="AG1971" s="1" t="s">
        <v>204</v>
      </c>
      <c r="AH1971" s="1" t="s">
        <v>269</v>
      </c>
      <c r="AI1971" s="1" t="s">
        <v>206</v>
      </c>
      <c r="AJ1971" s="1" t="s">
        <v>269</v>
      </c>
      <c r="AK1971" s="1" t="s">
        <v>8317</v>
      </c>
      <c r="AL1971" s="1">
        <v>6</v>
      </c>
      <c r="AM1971" s="1">
        <v>2</v>
      </c>
      <c r="AN1971" s="1">
        <v>2</v>
      </c>
      <c r="AO1971" s="1">
        <v>0</v>
      </c>
      <c r="AP1971" s="1" t="s">
        <v>209</v>
      </c>
      <c r="AR1971" s="1" t="s">
        <v>1631</v>
      </c>
      <c r="AS1971" s="1" t="s">
        <v>204</v>
      </c>
      <c r="AT1971" s="1" t="s">
        <v>211</v>
      </c>
      <c r="AU1971" s="1">
        <v>2</v>
      </c>
      <c r="AW1971" s="1" t="s">
        <v>204</v>
      </c>
      <c r="AX1971" s="1" t="s">
        <v>212</v>
      </c>
      <c r="AZ1971" s="1">
        <v>5143.7</v>
      </c>
      <c r="BA1971" s="1">
        <v>2013</v>
      </c>
      <c r="BB1971" s="1" t="s">
        <v>18046</v>
      </c>
      <c r="BE1971" s="1">
        <v>1901</v>
      </c>
      <c r="BF1971" s="1">
        <v>1</v>
      </c>
      <c r="BG1971" s="1">
        <v>0</v>
      </c>
      <c r="BJ1971" s="1">
        <v>100</v>
      </c>
      <c r="BK1971" s="1">
        <v>100</v>
      </c>
      <c r="BL1971" s="1">
        <v>240</v>
      </c>
      <c r="BM1971" s="1" t="s">
        <v>204</v>
      </c>
      <c r="BN1971" s="1" t="s">
        <v>213</v>
      </c>
      <c r="BO1971" s="1">
        <v>999</v>
      </c>
      <c r="BP1971" s="1" t="s">
        <v>204</v>
      </c>
      <c r="BR1971" s="1" t="str">
        <f>"0216209038"</f>
        <v>0216209038</v>
      </c>
      <c r="BT1971" s="1" t="s">
        <v>18047</v>
      </c>
      <c r="BU1971" s="1" t="s">
        <v>1611</v>
      </c>
      <c r="BV1971" s="1" t="s">
        <v>834</v>
      </c>
      <c r="BW1971" s="1" t="s">
        <v>275</v>
      </c>
      <c r="BX1971" s="1">
        <v>13</v>
      </c>
      <c r="BY1971" s="1">
        <v>13</v>
      </c>
      <c r="BZ1971" s="1">
        <v>108</v>
      </c>
      <c r="CB1971" s="1" t="str">
        <f t="shared" ref="CB1971:CC1971" si="1505">""</f>
        <v/>
      </c>
      <c r="CC1971" s="1" t="str">
        <f t="shared" si="1505"/>
        <v/>
      </c>
      <c r="CG1971" s="1" t="s">
        <v>218</v>
      </c>
      <c r="CH1971" s="1" t="s">
        <v>219</v>
      </c>
      <c r="CI1971" s="1" t="s">
        <v>220</v>
      </c>
      <c r="CK1971" s="1" t="s">
        <v>581</v>
      </c>
      <c r="CL1971" s="1" t="s">
        <v>219</v>
      </c>
      <c r="CM1971" s="1" t="s">
        <v>220</v>
      </c>
      <c r="CO1971" s="1" t="s">
        <v>317</v>
      </c>
      <c r="CP1971" s="1" t="s">
        <v>219</v>
      </c>
      <c r="CQ1971" s="1" t="s">
        <v>220</v>
      </c>
      <c r="CS1971" s="1" t="s">
        <v>317</v>
      </c>
      <c r="CT1971" s="1" t="s">
        <v>219</v>
      </c>
      <c r="CU1971" s="1" t="s">
        <v>220</v>
      </c>
      <c r="CX1971" s="1" t="s">
        <v>224</v>
      </c>
      <c r="DB1971" s="1" t="s">
        <v>224</v>
      </c>
      <c r="DE1971" s="1" t="s">
        <v>861</v>
      </c>
      <c r="DF1971" s="1" t="s">
        <v>219</v>
      </c>
      <c r="DG1971" s="1" t="s">
        <v>342</v>
      </c>
      <c r="DI1971" s="1" t="s">
        <v>602</v>
      </c>
      <c r="DJ1971" s="1" t="s">
        <v>219</v>
      </c>
      <c r="DK1971" s="1" t="s">
        <v>342</v>
      </c>
      <c r="DM1971" s="1" t="s">
        <v>709</v>
      </c>
      <c r="DR1971" s="1" t="s">
        <v>18048</v>
      </c>
      <c r="DS1971" s="1" t="s">
        <v>219</v>
      </c>
      <c r="DT1971" s="1" t="s">
        <v>220</v>
      </c>
      <c r="DW1971" s="1" t="s">
        <v>230</v>
      </c>
      <c r="EA1971" s="1" t="s">
        <v>230</v>
      </c>
      <c r="EE1971" s="1" t="s">
        <v>230</v>
      </c>
      <c r="EI1971" s="1" t="s">
        <v>230</v>
      </c>
      <c r="EL1971" s="1" t="s">
        <v>542</v>
      </c>
      <c r="EM1971" s="1" t="s">
        <v>232</v>
      </c>
      <c r="EN1971" s="1" t="s">
        <v>282</v>
      </c>
      <c r="EO1971" s="1" t="s">
        <v>840</v>
      </c>
      <c r="EP1971" s="1" t="s">
        <v>283</v>
      </c>
      <c r="EQ1971" s="1" t="s">
        <v>1819</v>
      </c>
      <c r="ER1971" s="1" t="s">
        <v>7700</v>
      </c>
      <c r="ES1971" s="1" t="s">
        <v>865</v>
      </c>
      <c r="ET1971" s="1" t="s">
        <v>238</v>
      </c>
      <c r="EU1971" s="1" t="s">
        <v>1202</v>
      </c>
      <c r="EV1971" s="1" t="s">
        <v>324</v>
      </c>
      <c r="EW1971" s="1" t="s">
        <v>547</v>
      </c>
      <c r="EY1971" s="1" t="s">
        <v>242</v>
      </c>
      <c r="EZ1971" s="1" t="s">
        <v>709</v>
      </c>
      <c r="FB1971" s="1" t="s">
        <v>289</v>
      </c>
      <c r="FD1971" s="1" t="s">
        <v>246</v>
      </c>
      <c r="FE1971" s="1" t="s">
        <v>549</v>
      </c>
      <c r="FF1971" s="1" t="s">
        <v>248</v>
      </c>
      <c r="FH1971" s="1" t="s">
        <v>442</v>
      </c>
      <c r="FI1971" s="1" t="s">
        <v>3300</v>
      </c>
      <c r="FJ1971" s="1" t="s">
        <v>197</v>
      </c>
      <c r="FL1971" s="1" t="s">
        <v>358</v>
      </c>
      <c r="FM1971" s="1" t="s">
        <v>252</v>
      </c>
      <c r="FN1971" s="1" t="s">
        <v>213</v>
      </c>
      <c r="FO1971" s="1" t="s">
        <v>213</v>
      </c>
      <c r="FQ1971" s="1" t="s">
        <v>2017</v>
      </c>
      <c r="FR1971" s="1" t="s">
        <v>210</v>
      </c>
      <c r="FS1971" s="1" t="s">
        <v>18049</v>
      </c>
      <c r="FT1971" s="1" t="s">
        <v>295</v>
      </c>
      <c r="FU1971" s="1" t="s">
        <v>204</v>
      </c>
      <c r="FW1971" s="1" t="s">
        <v>2019</v>
      </c>
      <c r="FX1971" s="1">
        <v>24007</v>
      </c>
      <c r="FY1971" s="1" t="s">
        <v>2020</v>
      </c>
      <c r="FZ1971" s="1" t="s">
        <v>18050</v>
      </c>
      <c r="GA1971" s="1">
        <v>241255</v>
      </c>
      <c r="GB1971" s="1" t="s">
        <v>18051</v>
      </c>
      <c r="GE1971" s="1" t="s">
        <v>335</v>
      </c>
      <c r="GI1971" s="1" t="s">
        <v>213</v>
      </c>
      <c r="GJ1971" s="1" t="s">
        <v>260</v>
      </c>
      <c r="GK1971" s="1" t="s">
        <v>210</v>
      </c>
      <c r="GL1971" s="2">
        <v>42066</v>
      </c>
      <c r="GM1971" s="1" t="s">
        <v>18052</v>
      </c>
    </row>
    <row r="1972" spans="1:195">
      <c r="A1972" s="1">
        <v>155000</v>
      </c>
      <c r="B1972" s="1" t="s">
        <v>195</v>
      </c>
      <c r="C1972" s="1" t="str">
        <f>"08732955"</f>
        <v>08732955</v>
      </c>
      <c r="D1972" s="1" t="s">
        <v>196</v>
      </c>
      <c r="F1972" s="1" t="str">
        <f>"510"</f>
        <v>510</v>
      </c>
      <c r="G1972" s="2">
        <v>41901</v>
      </c>
      <c r="H1972" s="1">
        <v>159800</v>
      </c>
      <c r="I1972" s="1">
        <v>159800</v>
      </c>
      <c r="J1972" s="1">
        <v>155000</v>
      </c>
      <c r="K1972" s="2">
        <v>41901</v>
      </c>
      <c r="L1972" s="1">
        <v>129</v>
      </c>
      <c r="M1972" s="2">
        <v>42029</v>
      </c>
      <c r="N1972" s="1">
        <v>129</v>
      </c>
      <c r="O1972" s="2">
        <v>42029</v>
      </c>
      <c r="P1972" s="1">
        <v>662</v>
      </c>
      <c r="Q1972" s="1" t="s">
        <v>197</v>
      </c>
      <c r="R1972" s="2">
        <v>42061</v>
      </c>
      <c r="S1972" s="1">
        <v>8746</v>
      </c>
      <c r="U1972" s="1">
        <v>541</v>
      </c>
      <c r="V1972" s="1" t="s">
        <v>18053</v>
      </c>
      <c r="W1972" s="1" t="s">
        <v>304</v>
      </c>
      <c r="Y1972" s="1">
        <v>4</v>
      </c>
      <c r="Z1972" s="1" t="s">
        <v>249</v>
      </c>
      <c r="AA1972" s="1" t="s">
        <v>947</v>
      </c>
      <c r="AB1972" s="1">
        <v>60510</v>
      </c>
      <c r="AD1972" s="1" t="s">
        <v>18054</v>
      </c>
      <c r="AE1972" s="1" t="s">
        <v>18055</v>
      </c>
      <c r="AF1972" s="1">
        <v>1993</v>
      </c>
      <c r="AG1972" s="1" t="s">
        <v>204</v>
      </c>
      <c r="AH1972" s="1" t="s">
        <v>949</v>
      </c>
      <c r="AI1972" s="1" t="s">
        <v>665</v>
      </c>
      <c r="AJ1972" s="1" t="s">
        <v>664</v>
      </c>
      <c r="AL1972" s="1">
        <v>6</v>
      </c>
      <c r="AM1972" s="1">
        <v>2</v>
      </c>
      <c r="AN1972" s="1">
        <v>2</v>
      </c>
      <c r="AO1972" s="1">
        <v>1</v>
      </c>
      <c r="AP1972" s="1" t="s">
        <v>209</v>
      </c>
      <c r="AQ1972" s="1">
        <v>1</v>
      </c>
      <c r="AR1972" s="1" t="s">
        <v>210</v>
      </c>
      <c r="AT1972" s="1" t="s">
        <v>211</v>
      </c>
      <c r="AU1972" s="1">
        <v>1</v>
      </c>
      <c r="AW1972" s="1" t="s">
        <v>204</v>
      </c>
      <c r="AX1972" s="1" t="s">
        <v>212</v>
      </c>
      <c r="AZ1972" s="1">
        <v>3939.42</v>
      </c>
      <c r="BA1972" s="1">
        <v>2013</v>
      </c>
      <c r="BB1972" s="1" t="s">
        <v>405</v>
      </c>
      <c r="BE1972" s="1">
        <v>1513</v>
      </c>
      <c r="BF1972" s="1">
        <v>1</v>
      </c>
      <c r="BG1972" s="1">
        <v>0</v>
      </c>
      <c r="BL1972" s="1">
        <v>207</v>
      </c>
      <c r="BM1972" s="1" t="s">
        <v>204</v>
      </c>
      <c r="BN1972" s="1" t="s">
        <v>213</v>
      </c>
      <c r="BO1972" s="1">
        <v>0</v>
      </c>
      <c r="BP1972" s="1" t="s">
        <v>204</v>
      </c>
      <c r="BR1972" s="1" t="str">
        <f>"1216363038"</f>
        <v>1216363038</v>
      </c>
      <c r="BT1972" s="1" t="s">
        <v>18056</v>
      </c>
      <c r="BX1972" s="1">
        <v>101</v>
      </c>
      <c r="BY1972" s="1">
        <v>101</v>
      </c>
      <c r="BZ1972" s="1">
        <v>101</v>
      </c>
      <c r="CB1972" s="1" t="str">
        <f t="shared" ref="CB1972:CC1972" si="1506">""</f>
        <v/>
      </c>
      <c r="CC1972" s="1" t="str">
        <f t="shared" si="1506"/>
        <v/>
      </c>
      <c r="CG1972" s="1" t="s">
        <v>581</v>
      </c>
      <c r="CH1972" s="1" t="s">
        <v>219</v>
      </c>
      <c r="CI1972" s="1" t="s">
        <v>220</v>
      </c>
      <c r="CJ1972" s="1" t="s">
        <v>252</v>
      </c>
      <c r="CK1972" s="1" t="s">
        <v>708</v>
      </c>
      <c r="CL1972" s="1" t="s">
        <v>277</v>
      </c>
      <c r="CM1972" s="1" t="s">
        <v>220</v>
      </c>
      <c r="CO1972" s="1" t="s">
        <v>346</v>
      </c>
      <c r="CP1972" s="1" t="s">
        <v>219</v>
      </c>
      <c r="CQ1972" s="1" t="s">
        <v>220</v>
      </c>
      <c r="CR1972" s="1" t="s">
        <v>252</v>
      </c>
      <c r="CS1972" s="1" t="s">
        <v>465</v>
      </c>
      <c r="CT1972" s="1" t="s">
        <v>277</v>
      </c>
      <c r="CU1972" s="1" t="s">
        <v>220</v>
      </c>
      <c r="CX1972" s="1" t="s">
        <v>224</v>
      </c>
      <c r="DB1972" s="1" t="s">
        <v>224</v>
      </c>
      <c r="DE1972" s="1" t="s">
        <v>1454</v>
      </c>
      <c r="DF1972" s="1" t="s">
        <v>219</v>
      </c>
      <c r="DG1972" s="1" t="s">
        <v>226</v>
      </c>
      <c r="DJ1972" s="1" t="s">
        <v>224</v>
      </c>
      <c r="DM1972" s="1" t="s">
        <v>464</v>
      </c>
      <c r="DR1972" s="1" t="s">
        <v>757</v>
      </c>
      <c r="DS1972" s="1" t="s">
        <v>277</v>
      </c>
      <c r="DT1972" s="1" t="s">
        <v>220</v>
      </c>
      <c r="DU1972" s="1" t="s">
        <v>252</v>
      </c>
      <c r="DW1972" s="1" t="s">
        <v>230</v>
      </c>
      <c r="EA1972" s="1" t="s">
        <v>230</v>
      </c>
      <c r="EE1972" s="1" t="s">
        <v>230</v>
      </c>
      <c r="EI1972" s="1" t="s">
        <v>230</v>
      </c>
      <c r="EL1972" s="1" t="s">
        <v>382</v>
      </c>
      <c r="EM1972" s="1" t="s">
        <v>319</v>
      </c>
      <c r="EN1972" s="1" t="s">
        <v>282</v>
      </c>
      <c r="EO1972" s="1" t="s">
        <v>234</v>
      </c>
      <c r="EP1972" s="1" t="s">
        <v>650</v>
      </c>
      <c r="EQ1972" s="1" t="s">
        <v>1109</v>
      </c>
      <c r="ER1972" s="1" t="s">
        <v>383</v>
      </c>
      <c r="ES1972" s="1" t="s">
        <v>322</v>
      </c>
      <c r="EU1972" s="1" t="s">
        <v>10522</v>
      </c>
      <c r="EV1972" s="1" t="s">
        <v>240</v>
      </c>
      <c r="EW1972" s="1" t="s">
        <v>353</v>
      </c>
      <c r="EY1972" s="1" t="s">
        <v>242</v>
      </c>
      <c r="EZ1972" s="1" t="s">
        <v>464</v>
      </c>
      <c r="FA1972" s="1" t="s">
        <v>471</v>
      </c>
      <c r="FB1972" s="1" t="s">
        <v>289</v>
      </c>
      <c r="FD1972" s="1" t="s">
        <v>246</v>
      </c>
      <c r="FE1972" s="1" t="s">
        <v>472</v>
      </c>
      <c r="FF1972" s="1" t="s">
        <v>248</v>
      </c>
      <c r="FG1972" s="1" t="s">
        <v>939</v>
      </c>
      <c r="FH1972" s="1" t="s">
        <v>550</v>
      </c>
      <c r="FI1972" s="1" t="s">
        <v>357</v>
      </c>
      <c r="FL1972" s="1" t="s">
        <v>358</v>
      </c>
      <c r="FM1972" s="1" t="s">
        <v>252</v>
      </c>
      <c r="FN1972" s="1" t="s">
        <v>213</v>
      </c>
      <c r="FO1972" s="1" t="s">
        <v>213</v>
      </c>
      <c r="FQ1972" s="1" t="s">
        <v>4853</v>
      </c>
      <c r="FR1972" s="1" t="s">
        <v>210</v>
      </c>
      <c r="FS1972" s="1" t="s">
        <v>13751</v>
      </c>
      <c r="FT1972" s="1" t="s">
        <v>295</v>
      </c>
      <c r="FU1972" s="1" t="s">
        <v>204</v>
      </c>
      <c r="FW1972" s="1" t="s">
        <v>676</v>
      </c>
      <c r="FX1972" s="1">
        <v>30</v>
      </c>
      <c r="FY1972" s="1" t="s">
        <v>677</v>
      </c>
      <c r="FZ1972" s="1" t="s">
        <v>678</v>
      </c>
      <c r="GA1972" s="1">
        <v>329</v>
      </c>
      <c r="GB1972" s="1" t="s">
        <v>679</v>
      </c>
      <c r="GC1972" s="1">
        <v>7526</v>
      </c>
      <c r="GE1972" s="1" t="s">
        <v>480</v>
      </c>
      <c r="GI1972" s="1" t="s">
        <v>213</v>
      </c>
      <c r="GJ1972" s="1" t="s">
        <v>260</v>
      </c>
      <c r="GK1972" s="1" t="s">
        <v>210</v>
      </c>
      <c r="GL1972" s="2">
        <v>42061</v>
      </c>
    </row>
    <row r="1973" spans="1:195">
      <c r="A1973" s="1">
        <v>50000</v>
      </c>
      <c r="B1973" s="1" t="s">
        <v>195</v>
      </c>
      <c r="C1973" s="1" t="str">
        <f>"08733015"</f>
        <v>08733015</v>
      </c>
      <c r="D1973" s="1" t="s">
        <v>196</v>
      </c>
      <c r="F1973" s="1" t="str">
        <f>"8056"</f>
        <v>8056</v>
      </c>
      <c r="G1973" s="2">
        <v>41901</v>
      </c>
      <c r="H1973" s="1">
        <v>49900</v>
      </c>
      <c r="I1973" s="1">
        <v>49900</v>
      </c>
      <c r="J1973" s="1">
        <v>50000</v>
      </c>
      <c r="K1973" s="2">
        <v>41900</v>
      </c>
      <c r="L1973" s="1">
        <v>17</v>
      </c>
      <c r="M1973" s="2">
        <v>41916</v>
      </c>
      <c r="N1973" s="1">
        <v>17</v>
      </c>
      <c r="O1973" s="2">
        <v>41916</v>
      </c>
      <c r="P1973" s="1">
        <v>60321</v>
      </c>
      <c r="Q1973" s="1" t="s">
        <v>302</v>
      </c>
      <c r="R1973" s="2">
        <v>41984</v>
      </c>
      <c r="S1973" s="1">
        <v>228059</v>
      </c>
      <c r="U1973" s="1">
        <v>6113</v>
      </c>
      <c r="V1973" s="1" t="s">
        <v>3144</v>
      </c>
      <c r="W1973" s="1" t="s">
        <v>425</v>
      </c>
      <c r="X1973" s="1" t="s">
        <v>9641</v>
      </c>
      <c r="Y1973" s="1">
        <v>12</v>
      </c>
      <c r="Z1973" s="1" t="s">
        <v>249</v>
      </c>
      <c r="AA1973" s="1" t="s">
        <v>400</v>
      </c>
      <c r="AB1973" s="1">
        <v>60638</v>
      </c>
      <c r="AE1973" s="1" t="s">
        <v>18057</v>
      </c>
      <c r="AF1973" s="1">
        <v>1980</v>
      </c>
      <c r="AG1973" s="1" t="s">
        <v>204</v>
      </c>
      <c r="AH1973" s="1" t="s">
        <v>403</v>
      </c>
      <c r="AI1973" s="1" t="s">
        <v>310</v>
      </c>
      <c r="AJ1973" s="1" t="s">
        <v>683</v>
      </c>
      <c r="AL1973" s="1">
        <v>5</v>
      </c>
      <c r="AM1973" s="1">
        <v>2</v>
      </c>
      <c r="AN1973" s="1">
        <v>1</v>
      </c>
      <c r="AO1973" s="1">
        <v>0</v>
      </c>
      <c r="AP1973" s="1" t="s">
        <v>210</v>
      </c>
      <c r="AR1973" s="1" t="s">
        <v>210</v>
      </c>
      <c r="AS1973" s="1" t="s">
        <v>204</v>
      </c>
      <c r="AT1973" s="1" t="s">
        <v>271</v>
      </c>
      <c r="AV1973" s="1">
        <v>1</v>
      </c>
      <c r="AW1973" s="1" t="s">
        <v>204</v>
      </c>
      <c r="AX1973" s="1" t="s">
        <v>212</v>
      </c>
      <c r="AZ1973" s="1">
        <v>1052.8900000000001</v>
      </c>
      <c r="BA1973" s="1">
        <v>2012</v>
      </c>
      <c r="BB1973" s="1" t="s">
        <v>405</v>
      </c>
      <c r="BE1973" s="1">
        <v>0</v>
      </c>
      <c r="BF1973" s="1">
        <v>1</v>
      </c>
      <c r="BG1973" s="1">
        <v>0</v>
      </c>
      <c r="BL1973" s="1">
        <v>130</v>
      </c>
      <c r="BM1973" s="1" t="s">
        <v>204</v>
      </c>
      <c r="BN1973" s="1" t="s">
        <v>213</v>
      </c>
      <c r="BP1973" s="1" t="s">
        <v>204</v>
      </c>
      <c r="BR1973" s="1" t="str">
        <f>"19084241321002"</f>
        <v>19084241321002</v>
      </c>
      <c r="BT1973" s="1" t="s">
        <v>18058</v>
      </c>
      <c r="BX1973" s="1">
        <v>299</v>
      </c>
      <c r="BY1973" s="1">
        <v>299</v>
      </c>
      <c r="BZ1973" s="1">
        <v>299</v>
      </c>
      <c r="CB1973" s="1" t="str">
        <f t="shared" ref="CB1973:CC1973" si="1507">"0"</f>
        <v>0</v>
      </c>
      <c r="CC1973" s="1" t="str">
        <f t="shared" si="1507"/>
        <v>0</v>
      </c>
      <c r="CD1973" s="1">
        <v>5900</v>
      </c>
      <c r="CE1973" s="1">
        <v>6100</v>
      </c>
      <c r="CG1973" s="1" t="s">
        <v>885</v>
      </c>
      <c r="CH1973" s="1" t="s">
        <v>219</v>
      </c>
      <c r="CI1973" s="1" t="s">
        <v>229</v>
      </c>
      <c r="CJ1973" s="1" t="s">
        <v>343</v>
      </c>
      <c r="CK1973" s="1" t="s">
        <v>932</v>
      </c>
      <c r="CL1973" s="1" t="s">
        <v>219</v>
      </c>
      <c r="CM1973" s="1" t="s">
        <v>229</v>
      </c>
      <c r="CN1973" s="1" t="s">
        <v>463</v>
      </c>
      <c r="CO1973" s="1" t="s">
        <v>951</v>
      </c>
      <c r="CP1973" s="1" t="s">
        <v>219</v>
      </c>
      <c r="CQ1973" s="1" t="s">
        <v>226</v>
      </c>
      <c r="CR1973" s="1" t="s">
        <v>343</v>
      </c>
      <c r="CS1973" s="1" t="s">
        <v>379</v>
      </c>
      <c r="CT1973" s="1" t="s">
        <v>219</v>
      </c>
      <c r="CU1973" s="1" t="s">
        <v>229</v>
      </c>
      <c r="CV1973" s="1" t="s">
        <v>463</v>
      </c>
      <c r="CX1973" s="1" t="s">
        <v>224</v>
      </c>
      <c r="DB1973" s="1" t="s">
        <v>224</v>
      </c>
      <c r="DE1973" s="1" t="s">
        <v>951</v>
      </c>
      <c r="DF1973" s="1" t="s">
        <v>219</v>
      </c>
      <c r="DG1973" s="1" t="s">
        <v>226</v>
      </c>
      <c r="DH1973" s="1" t="s">
        <v>343</v>
      </c>
      <c r="DJ1973" s="1" t="s">
        <v>224</v>
      </c>
      <c r="DS1973" s="1" t="s">
        <v>230</v>
      </c>
      <c r="DW1973" s="1" t="s">
        <v>230</v>
      </c>
      <c r="EA1973" s="1" t="s">
        <v>230</v>
      </c>
      <c r="EE1973" s="1" t="s">
        <v>230</v>
      </c>
      <c r="EI1973" s="1" t="s">
        <v>230</v>
      </c>
      <c r="EL1973" s="1" t="s">
        <v>231</v>
      </c>
      <c r="EM1973" s="1" t="s">
        <v>232</v>
      </c>
      <c r="EN1973" s="1" t="s">
        <v>282</v>
      </c>
      <c r="EO1973" s="1" t="s">
        <v>234</v>
      </c>
      <c r="EP1973" s="1" t="s">
        <v>762</v>
      </c>
      <c r="ER1973" s="1" t="s">
        <v>210</v>
      </c>
      <c r="EW1973" s="1" t="s">
        <v>1134</v>
      </c>
      <c r="EZ1973" s="1" t="s">
        <v>287</v>
      </c>
      <c r="FB1973" s="1" t="s">
        <v>734</v>
      </c>
      <c r="FD1973" s="1" t="s">
        <v>3287</v>
      </c>
      <c r="FE1973" s="1" t="s">
        <v>247</v>
      </c>
      <c r="FF1973" s="1" t="s">
        <v>248</v>
      </c>
      <c r="FH1973" s="1" t="s">
        <v>249</v>
      </c>
      <c r="FJ1973" s="1" t="s">
        <v>197</v>
      </c>
      <c r="FL1973" s="1" t="s">
        <v>292</v>
      </c>
      <c r="FM1973" s="1" t="s">
        <v>252</v>
      </c>
      <c r="FN1973" s="1" t="s">
        <v>213</v>
      </c>
      <c r="FO1973" s="1" t="s">
        <v>213</v>
      </c>
      <c r="FQ1973" s="1" t="s">
        <v>18059</v>
      </c>
      <c r="FR1973" s="1" t="s">
        <v>360</v>
      </c>
      <c r="FS1973" s="1" t="s">
        <v>18060</v>
      </c>
      <c r="FT1973" s="1" t="s">
        <v>295</v>
      </c>
      <c r="FU1973" s="1" t="s">
        <v>204</v>
      </c>
      <c r="FW1973" s="1" t="s">
        <v>18061</v>
      </c>
      <c r="FX1973" s="1">
        <v>1685</v>
      </c>
      <c r="FY1973" s="1" t="s">
        <v>18062</v>
      </c>
      <c r="FZ1973" s="1" t="s">
        <v>18063</v>
      </c>
      <c r="GA1973" s="1">
        <v>26849</v>
      </c>
      <c r="GB1973" s="1" t="s">
        <v>18064</v>
      </c>
      <c r="GE1973" s="1" t="s">
        <v>1379</v>
      </c>
      <c r="GH1973" s="1" t="s">
        <v>421</v>
      </c>
      <c r="GI1973" s="1" t="s">
        <v>213</v>
      </c>
      <c r="GJ1973" s="1" t="s">
        <v>260</v>
      </c>
      <c r="GK1973" s="1" t="s">
        <v>210</v>
      </c>
      <c r="GL1973" s="2">
        <v>41984</v>
      </c>
      <c r="GM1973" s="1" t="s">
        <v>18065</v>
      </c>
    </row>
    <row r="1974" spans="1:195">
      <c r="A1974" s="1">
        <v>115299</v>
      </c>
      <c r="B1974" s="1" t="s">
        <v>195</v>
      </c>
      <c r="C1974" s="1" t="str">
        <f>"08736662"</f>
        <v>08736662</v>
      </c>
      <c r="D1974" s="1" t="s">
        <v>196</v>
      </c>
      <c r="F1974" s="1" t="str">
        <f>"538"</f>
        <v>538</v>
      </c>
      <c r="G1974" s="2">
        <v>41906</v>
      </c>
      <c r="H1974" s="1">
        <v>120000</v>
      </c>
      <c r="I1974" s="1">
        <v>114000</v>
      </c>
      <c r="J1974" s="1">
        <v>115299</v>
      </c>
      <c r="K1974" s="2">
        <v>41906</v>
      </c>
      <c r="L1974" s="1">
        <v>41</v>
      </c>
      <c r="M1974" s="2">
        <v>41946</v>
      </c>
      <c r="N1974" s="1">
        <v>41</v>
      </c>
      <c r="O1974" s="2">
        <v>41946</v>
      </c>
      <c r="P1974" s="1">
        <v>22588</v>
      </c>
      <c r="Q1974" s="1" t="s">
        <v>197</v>
      </c>
      <c r="R1974" s="2">
        <v>41978</v>
      </c>
      <c r="S1974" s="1">
        <v>223009</v>
      </c>
      <c r="U1974" s="1">
        <v>1892</v>
      </c>
      <c r="V1974" s="1" t="s">
        <v>5892</v>
      </c>
      <c r="W1974" s="1" t="s">
        <v>3006</v>
      </c>
      <c r="Y1974" s="1">
        <v>4</v>
      </c>
      <c r="Z1974" s="1" t="s">
        <v>370</v>
      </c>
      <c r="AA1974" s="1" t="s">
        <v>450</v>
      </c>
      <c r="AB1974" s="1">
        <v>60538</v>
      </c>
      <c r="AE1974" s="1" t="s">
        <v>18066</v>
      </c>
      <c r="AF1974" s="1">
        <v>2003</v>
      </c>
      <c r="AG1974" s="1" t="s">
        <v>204</v>
      </c>
      <c r="AH1974" s="1" t="s">
        <v>452</v>
      </c>
      <c r="AI1974" s="1" t="s">
        <v>665</v>
      </c>
      <c r="AJ1974" s="1" t="s">
        <v>3240</v>
      </c>
      <c r="AL1974" s="1">
        <v>7</v>
      </c>
      <c r="AM1974" s="1">
        <v>2</v>
      </c>
      <c r="AN1974" s="1">
        <v>2</v>
      </c>
      <c r="AO1974" s="1">
        <v>1</v>
      </c>
      <c r="AP1974" s="1" t="s">
        <v>209</v>
      </c>
      <c r="AR1974" s="1" t="s">
        <v>210</v>
      </c>
      <c r="AS1974" s="1" t="s">
        <v>204</v>
      </c>
      <c r="AT1974" s="1" t="s">
        <v>211</v>
      </c>
      <c r="AU1974" s="1">
        <v>2</v>
      </c>
      <c r="AW1974" s="1" t="s">
        <v>204</v>
      </c>
      <c r="AX1974" s="1" t="s">
        <v>212</v>
      </c>
      <c r="AZ1974" s="1">
        <v>4688.54</v>
      </c>
      <c r="BA1974" s="1">
        <v>2012</v>
      </c>
      <c r="BE1974" s="1">
        <v>1621</v>
      </c>
      <c r="BF1974" s="1">
        <v>1</v>
      </c>
      <c r="BG1974" s="1">
        <v>10</v>
      </c>
      <c r="BL1974" s="1">
        <v>140</v>
      </c>
      <c r="BM1974" s="1" t="s">
        <v>413</v>
      </c>
      <c r="BN1974" s="1" t="s">
        <v>213</v>
      </c>
      <c r="BO1974" s="1">
        <v>999</v>
      </c>
      <c r="BP1974" s="1" t="s">
        <v>204</v>
      </c>
      <c r="BR1974" s="1" t="str">
        <f>"1435458032"</f>
        <v>1435458032</v>
      </c>
      <c r="BT1974" s="1" t="s">
        <v>18067</v>
      </c>
      <c r="BX1974" s="1">
        <v>302</v>
      </c>
      <c r="BY1974" s="1">
        <v>302</v>
      </c>
      <c r="BZ1974" s="1">
        <v>302</v>
      </c>
      <c r="CB1974" s="1" t="str">
        <f t="shared" ref="CB1974:CC1974" si="1508">""</f>
        <v/>
      </c>
      <c r="CC1974" s="1" t="str">
        <f t="shared" si="1508"/>
        <v/>
      </c>
      <c r="CG1974" s="1" t="s">
        <v>461</v>
      </c>
      <c r="CH1974" s="1" t="s">
        <v>219</v>
      </c>
      <c r="CK1974" s="1" t="s">
        <v>278</v>
      </c>
      <c r="CL1974" s="1" t="s">
        <v>277</v>
      </c>
      <c r="CO1974" s="1" t="s">
        <v>379</v>
      </c>
      <c r="CP1974" s="1" t="s">
        <v>219</v>
      </c>
      <c r="CS1974" s="1" t="s">
        <v>465</v>
      </c>
      <c r="CT1974" s="1" t="s">
        <v>277</v>
      </c>
      <c r="CX1974" s="1" t="s">
        <v>224</v>
      </c>
      <c r="DB1974" s="1" t="s">
        <v>224</v>
      </c>
      <c r="DE1974" s="1" t="s">
        <v>1297</v>
      </c>
      <c r="DF1974" s="1" t="s">
        <v>219</v>
      </c>
      <c r="DI1974" s="1" t="s">
        <v>539</v>
      </c>
      <c r="DJ1974" s="1" t="s">
        <v>219</v>
      </c>
      <c r="DM1974" s="1" t="s">
        <v>464</v>
      </c>
      <c r="DR1974" s="1" t="s">
        <v>465</v>
      </c>
      <c r="DS1974" s="1" t="s">
        <v>277</v>
      </c>
      <c r="DW1974" s="1" t="s">
        <v>230</v>
      </c>
      <c r="EA1974" s="1" t="s">
        <v>230</v>
      </c>
      <c r="EE1974" s="1" t="s">
        <v>230</v>
      </c>
      <c r="EI1974" s="1" t="s">
        <v>230</v>
      </c>
      <c r="EL1974" s="1" t="s">
        <v>466</v>
      </c>
      <c r="EM1974" s="1" t="s">
        <v>319</v>
      </c>
      <c r="EN1974" s="1" t="s">
        <v>282</v>
      </c>
      <c r="EO1974" s="1" t="s">
        <v>234</v>
      </c>
      <c r="ER1974" s="1" t="s">
        <v>210</v>
      </c>
      <c r="EW1974" s="1" t="s">
        <v>353</v>
      </c>
      <c r="EZ1974" s="1" t="s">
        <v>464</v>
      </c>
      <c r="FD1974" s="1" t="s">
        <v>246</v>
      </c>
      <c r="FE1974" s="1" t="s">
        <v>1006</v>
      </c>
      <c r="FF1974" s="1" t="s">
        <v>248</v>
      </c>
      <c r="FH1974" s="1" t="s">
        <v>550</v>
      </c>
      <c r="FL1974" s="1" t="s">
        <v>358</v>
      </c>
      <c r="FM1974" s="1" t="s">
        <v>252</v>
      </c>
      <c r="FN1974" s="1" t="s">
        <v>213</v>
      </c>
      <c r="FO1974" s="1" t="s">
        <v>213</v>
      </c>
      <c r="FQ1974" s="1" t="s">
        <v>582</v>
      </c>
      <c r="FR1974" s="1" t="s">
        <v>210</v>
      </c>
      <c r="FS1974" s="1" t="s">
        <v>3516</v>
      </c>
      <c r="FT1974" s="1" t="s">
        <v>255</v>
      </c>
      <c r="FU1974" s="1" t="s">
        <v>204</v>
      </c>
      <c r="FW1974" s="1" t="s">
        <v>3517</v>
      </c>
      <c r="FX1974" s="1">
        <v>20114</v>
      </c>
      <c r="FY1974" s="1" t="s">
        <v>3518</v>
      </c>
      <c r="FZ1974" s="1" t="s">
        <v>3519</v>
      </c>
      <c r="GA1974" s="1">
        <v>216033</v>
      </c>
      <c r="GB1974" s="1" t="s">
        <v>3520</v>
      </c>
      <c r="GD1974" s="1" t="s">
        <v>3521</v>
      </c>
      <c r="GE1974" s="1" t="s">
        <v>480</v>
      </c>
      <c r="GI1974" s="1" t="s">
        <v>204</v>
      </c>
      <c r="GJ1974" s="1" t="s">
        <v>260</v>
      </c>
      <c r="GK1974" s="1" t="s">
        <v>261</v>
      </c>
      <c r="GL1974" s="2">
        <v>41982</v>
      </c>
      <c r="GM1974" s="1" t="s">
        <v>18068</v>
      </c>
    </row>
    <row r="1975" spans="1:195">
      <c r="A1975" s="1">
        <v>110000</v>
      </c>
      <c r="B1975" s="1" t="s">
        <v>195</v>
      </c>
      <c r="C1975" s="1" t="str">
        <f>"08744689"</f>
        <v>08744689</v>
      </c>
      <c r="D1975" s="1" t="s">
        <v>196</v>
      </c>
      <c r="F1975" s="1" t="str">
        <f>"46"</f>
        <v>46</v>
      </c>
      <c r="G1975" s="2">
        <v>41915</v>
      </c>
      <c r="H1975" s="1">
        <v>115000</v>
      </c>
      <c r="I1975" s="1">
        <v>115000</v>
      </c>
      <c r="J1975" s="1">
        <v>110000</v>
      </c>
      <c r="K1975" s="2">
        <v>41915</v>
      </c>
      <c r="L1975" s="1">
        <v>20</v>
      </c>
      <c r="M1975" s="2">
        <v>41934</v>
      </c>
      <c r="N1975" s="1">
        <v>20</v>
      </c>
      <c r="O1975" s="2">
        <v>41934</v>
      </c>
      <c r="P1975" s="1">
        <v>2101</v>
      </c>
      <c r="Q1975" s="1" t="s">
        <v>197</v>
      </c>
      <c r="R1975" s="2">
        <v>41978</v>
      </c>
      <c r="S1975" s="1">
        <v>922922</v>
      </c>
      <c r="T1975" s="1">
        <v>850</v>
      </c>
      <c r="U1975" s="1">
        <v>3157</v>
      </c>
      <c r="V1975" s="1" t="s">
        <v>2771</v>
      </c>
      <c r="W1975" s="1" t="s">
        <v>504</v>
      </c>
      <c r="X1975" s="1">
        <v>3157</v>
      </c>
      <c r="Y1975" s="1">
        <v>6</v>
      </c>
      <c r="Z1975" s="1" t="s">
        <v>370</v>
      </c>
      <c r="AA1975" s="1" t="s">
        <v>2772</v>
      </c>
      <c r="AB1975" s="1">
        <v>60046</v>
      </c>
      <c r="AD1975" s="1" t="s">
        <v>2773</v>
      </c>
      <c r="AE1975" s="1" t="s">
        <v>18069</v>
      </c>
      <c r="AF1975" s="1">
        <v>1999</v>
      </c>
      <c r="AG1975" s="1" t="s">
        <v>204</v>
      </c>
      <c r="AH1975" s="1" t="s">
        <v>2775</v>
      </c>
      <c r="AI1975" s="1" t="s">
        <v>509</v>
      </c>
      <c r="AJ1975" s="1" t="s">
        <v>1437</v>
      </c>
      <c r="AK1975" s="1" t="s">
        <v>18070</v>
      </c>
      <c r="AL1975" s="1">
        <v>6</v>
      </c>
      <c r="AM1975" s="1">
        <v>2</v>
      </c>
      <c r="AN1975" s="1">
        <v>2</v>
      </c>
      <c r="AO1975" s="1">
        <v>0</v>
      </c>
      <c r="AP1975" s="1" t="s">
        <v>209</v>
      </c>
      <c r="AQ1975" s="1">
        <v>1</v>
      </c>
      <c r="AR1975" s="1" t="s">
        <v>210</v>
      </c>
      <c r="AS1975" s="1" t="s">
        <v>204</v>
      </c>
      <c r="AT1975" s="1" t="s">
        <v>211</v>
      </c>
      <c r="AU1975" s="1">
        <v>1</v>
      </c>
      <c r="AW1975" s="1" t="s">
        <v>204</v>
      </c>
      <c r="AX1975" s="1" t="s">
        <v>1265</v>
      </c>
      <c r="AZ1975" s="1">
        <v>4052</v>
      </c>
      <c r="BA1975" s="1">
        <v>2013</v>
      </c>
      <c r="BB1975" s="1" t="s">
        <v>405</v>
      </c>
      <c r="BE1975" s="1">
        <v>1415</v>
      </c>
      <c r="BF1975" s="1">
        <v>2</v>
      </c>
      <c r="BG1975" s="1">
        <v>0</v>
      </c>
      <c r="BL1975" s="1">
        <v>265</v>
      </c>
      <c r="BM1975" s="1" t="s">
        <v>204</v>
      </c>
      <c r="BN1975" s="1" t="s">
        <v>213</v>
      </c>
      <c r="BO1975" s="1">
        <v>999</v>
      </c>
      <c r="BP1975" s="1" t="s">
        <v>204</v>
      </c>
      <c r="BR1975" s="1" t="str">
        <f>"06014040260000"</f>
        <v>06014040260000</v>
      </c>
      <c r="BT1975" s="1" t="s">
        <v>18071</v>
      </c>
      <c r="BU1975" s="1" t="s">
        <v>9591</v>
      </c>
      <c r="BV1975" s="1" t="s">
        <v>9591</v>
      </c>
      <c r="BW1975" s="1" t="s">
        <v>1843</v>
      </c>
      <c r="BX1975" s="1">
        <v>24</v>
      </c>
      <c r="BY1975" s="1">
        <v>24</v>
      </c>
      <c r="BZ1975" s="1">
        <v>127</v>
      </c>
      <c r="CB1975" s="1" t="str">
        <f>"37"</f>
        <v>37</v>
      </c>
      <c r="CC1975" s="1" t="str">
        <f>"0"</f>
        <v>0</v>
      </c>
      <c r="CD1975" s="1">
        <v>19</v>
      </c>
      <c r="CE1975" s="1">
        <v>0</v>
      </c>
      <c r="CG1975" s="1" t="s">
        <v>4571</v>
      </c>
      <c r="CH1975" s="1" t="s">
        <v>277</v>
      </c>
      <c r="CI1975" s="1" t="s">
        <v>220</v>
      </c>
      <c r="CJ1975" s="1" t="s">
        <v>343</v>
      </c>
      <c r="CK1975" s="1" t="s">
        <v>539</v>
      </c>
      <c r="CL1975" s="1" t="s">
        <v>277</v>
      </c>
      <c r="CM1975" s="1" t="s">
        <v>220</v>
      </c>
      <c r="CN1975" s="1" t="s">
        <v>343</v>
      </c>
      <c r="CO1975" s="1" t="s">
        <v>629</v>
      </c>
      <c r="CP1975" s="1" t="s">
        <v>277</v>
      </c>
      <c r="CQ1975" s="1" t="s">
        <v>220</v>
      </c>
      <c r="CR1975" s="1" t="s">
        <v>343</v>
      </c>
      <c r="CS1975" s="1" t="s">
        <v>1046</v>
      </c>
      <c r="CT1975" s="1" t="s">
        <v>277</v>
      </c>
      <c r="CU1975" s="1" t="s">
        <v>220</v>
      </c>
      <c r="CV1975" s="1" t="s">
        <v>439</v>
      </c>
      <c r="CX1975" s="1" t="s">
        <v>224</v>
      </c>
      <c r="DB1975" s="1" t="s">
        <v>224</v>
      </c>
      <c r="DE1975" s="1" t="s">
        <v>346</v>
      </c>
      <c r="DF1975" s="1" t="s">
        <v>277</v>
      </c>
      <c r="DG1975" s="1" t="s">
        <v>342</v>
      </c>
      <c r="DH1975" s="1" t="s">
        <v>210</v>
      </c>
      <c r="DI1975" s="1" t="s">
        <v>315</v>
      </c>
      <c r="DJ1975" s="1" t="s">
        <v>277</v>
      </c>
      <c r="DK1975" s="1" t="s">
        <v>220</v>
      </c>
      <c r="DL1975" s="1" t="s">
        <v>343</v>
      </c>
      <c r="DS1975" s="1" t="s">
        <v>230</v>
      </c>
      <c r="DW1975" s="1" t="s">
        <v>230</v>
      </c>
      <c r="EA1975" s="1" t="s">
        <v>230</v>
      </c>
      <c r="EE1975" s="1" t="s">
        <v>230</v>
      </c>
      <c r="EI1975" s="1" t="s">
        <v>230</v>
      </c>
      <c r="EL1975" s="1" t="s">
        <v>466</v>
      </c>
      <c r="EM1975" s="1" t="s">
        <v>761</v>
      </c>
      <c r="EN1975" s="1" t="s">
        <v>282</v>
      </c>
      <c r="EO1975" s="1" t="s">
        <v>234</v>
      </c>
      <c r="EP1975" s="1" t="s">
        <v>18072</v>
      </c>
      <c r="EQ1975" s="1" t="s">
        <v>236</v>
      </c>
      <c r="ER1975" s="1" t="s">
        <v>210</v>
      </c>
      <c r="ES1975" s="1" t="s">
        <v>3285</v>
      </c>
      <c r="EV1975" s="1" t="s">
        <v>352</v>
      </c>
      <c r="EW1975" s="1" t="s">
        <v>3255</v>
      </c>
      <c r="EZ1975" s="1" t="s">
        <v>287</v>
      </c>
      <c r="FB1975" s="1" t="s">
        <v>289</v>
      </c>
      <c r="FD1975" s="1" t="s">
        <v>246</v>
      </c>
      <c r="FE1975" s="1" t="s">
        <v>472</v>
      </c>
      <c r="FF1975" s="1" t="s">
        <v>248</v>
      </c>
      <c r="FG1975" s="1" t="s">
        <v>912</v>
      </c>
      <c r="FH1975" s="1" t="s">
        <v>249</v>
      </c>
      <c r="FI1975" s="1" t="s">
        <v>473</v>
      </c>
      <c r="FL1975" s="1" t="s">
        <v>358</v>
      </c>
      <c r="FM1975" s="1" t="s">
        <v>252</v>
      </c>
      <c r="FN1975" s="1" t="s">
        <v>213</v>
      </c>
      <c r="FO1975" s="1" t="s">
        <v>213</v>
      </c>
      <c r="FQ1975" s="1" t="s">
        <v>329</v>
      </c>
      <c r="FR1975" s="1" t="s">
        <v>210</v>
      </c>
      <c r="FS1975" s="1" t="s">
        <v>5243</v>
      </c>
      <c r="FT1975" s="1" t="s">
        <v>1139</v>
      </c>
      <c r="FU1975" s="1" t="s">
        <v>204</v>
      </c>
      <c r="FW1975" s="1" t="s">
        <v>2006</v>
      </c>
      <c r="FX1975" s="1">
        <v>4694</v>
      </c>
      <c r="FY1975" s="1" t="s">
        <v>4745</v>
      </c>
      <c r="FZ1975" s="1" t="s">
        <v>18073</v>
      </c>
      <c r="GA1975" s="1">
        <v>41424</v>
      </c>
      <c r="GB1975" s="1" t="s">
        <v>18074</v>
      </c>
      <c r="GC1975" s="1">
        <v>34563</v>
      </c>
      <c r="GE1975" s="1" t="s">
        <v>210</v>
      </c>
      <c r="GI1975" s="1" t="s">
        <v>213</v>
      </c>
      <c r="GJ1975" s="1" t="s">
        <v>260</v>
      </c>
      <c r="GK1975" s="1" t="s">
        <v>210</v>
      </c>
      <c r="GL1975" s="2">
        <v>41979</v>
      </c>
    </row>
    <row r="1976" spans="1:195">
      <c r="A1976" s="1">
        <v>67000</v>
      </c>
      <c r="B1976" s="1" t="s">
        <v>195</v>
      </c>
      <c r="C1976" s="1" t="str">
        <f>"08737202"</f>
        <v>08737202</v>
      </c>
      <c r="D1976" s="1" t="s">
        <v>196</v>
      </c>
      <c r="F1976" s="1" t="str">
        <f>"8038"</f>
        <v>8038</v>
      </c>
      <c r="G1976" s="2">
        <v>41907</v>
      </c>
      <c r="H1976" s="1">
        <v>84900</v>
      </c>
      <c r="I1976" s="1">
        <v>74900</v>
      </c>
      <c r="J1976" s="1">
        <v>67000</v>
      </c>
      <c r="K1976" s="2">
        <v>41906</v>
      </c>
      <c r="L1976" s="1">
        <v>41</v>
      </c>
      <c r="M1976" s="2">
        <v>41941</v>
      </c>
      <c r="N1976" s="1">
        <v>36</v>
      </c>
      <c r="O1976" s="2">
        <v>41941</v>
      </c>
      <c r="P1976" s="1">
        <v>10900</v>
      </c>
      <c r="Q1976" s="1" t="s">
        <v>14233</v>
      </c>
      <c r="R1976" s="2">
        <v>42033</v>
      </c>
      <c r="S1976" s="1">
        <v>105093</v>
      </c>
      <c r="U1976" s="1">
        <v>700</v>
      </c>
      <c r="V1976" s="1" t="s">
        <v>18075</v>
      </c>
      <c r="W1976" s="1" t="s">
        <v>725</v>
      </c>
      <c r="X1976" s="1" t="s">
        <v>5917</v>
      </c>
      <c r="Y1976" s="1">
        <v>6</v>
      </c>
      <c r="Z1976" s="1" t="s">
        <v>249</v>
      </c>
      <c r="AA1976" s="1" t="s">
        <v>400</v>
      </c>
      <c r="AB1976" s="1">
        <v>60615</v>
      </c>
      <c r="AE1976" s="1" t="s">
        <v>18076</v>
      </c>
      <c r="AF1976" s="1">
        <v>1906</v>
      </c>
      <c r="AG1976" s="1" t="s">
        <v>213</v>
      </c>
      <c r="AH1976" s="1" t="s">
        <v>403</v>
      </c>
      <c r="AI1976" s="1" t="s">
        <v>310</v>
      </c>
      <c r="AJ1976" s="1" t="s">
        <v>562</v>
      </c>
      <c r="AL1976" s="1">
        <v>6</v>
      </c>
      <c r="AM1976" s="1">
        <v>2</v>
      </c>
      <c r="AN1976" s="1">
        <v>3</v>
      </c>
      <c r="AO1976" s="1">
        <v>0</v>
      </c>
      <c r="AP1976" s="1" t="s">
        <v>455</v>
      </c>
      <c r="AR1976" s="1" t="s">
        <v>1631</v>
      </c>
      <c r="AS1976" s="1" t="s">
        <v>213</v>
      </c>
      <c r="AT1976" s="1" t="s">
        <v>271</v>
      </c>
      <c r="AV1976" s="1">
        <v>1</v>
      </c>
      <c r="AW1976" s="1" t="s">
        <v>204</v>
      </c>
      <c r="AX1976" s="1" t="s">
        <v>212</v>
      </c>
      <c r="AZ1976" s="1">
        <v>2099.8200000000002</v>
      </c>
      <c r="BA1976" s="1">
        <v>2013</v>
      </c>
      <c r="BE1976" s="1">
        <v>1700</v>
      </c>
      <c r="BF1976" s="1">
        <v>1</v>
      </c>
      <c r="BG1976" s="1">
        <v>7</v>
      </c>
      <c r="BJ1976" s="1">
        <v>100</v>
      </c>
      <c r="BL1976" s="1">
        <v>409</v>
      </c>
      <c r="BM1976" s="1" t="s">
        <v>413</v>
      </c>
      <c r="BN1976" s="1" t="s">
        <v>213</v>
      </c>
      <c r="BO1976" s="1">
        <v>999</v>
      </c>
      <c r="BP1976" s="1" t="s">
        <v>204</v>
      </c>
      <c r="BR1976" s="1" t="str">
        <f>"20102320301001"</f>
        <v>20102320301001</v>
      </c>
      <c r="BT1976" s="1" t="s">
        <v>18077</v>
      </c>
      <c r="BX1976" s="1">
        <v>299</v>
      </c>
      <c r="BY1976" s="1">
        <v>299</v>
      </c>
      <c r="BZ1976" s="1">
        <v>299</v>
      </c>
      <c r="CB1976" s="1" t="str">
        <f>"0"</f>
        <v>0</v>
      </c>
      <c r="CC1976" s="1" t="str">
        <f>"700"</f>
        <v>700</v>
      </c>
      <c r="CD1976" s="1">
        <v>0</v>
      </c>
      <c r="CE1976" s="1">
        <v>5100</v>
      </c>
      <c r="CG1976" s="1" t="s">
        <v>1004</v>
      </c>
      <c r="CH1976" s="1" t="s">
        <v>219</v>
      </c>
      <c r="CK1976" s="1" t="s">
        <v>280</v>
      </c>
      <c r="CL1976" s="1" t="s">
        <v>219</v>
      </c>
      <c r="CO1976" s="1" t="s">
        <v>629</v>
      </c>
      <c r="CP1976" s="1" t="s">
        <v>219</v>
      </c>
      <c r="CS1976" s="1" t="s">
        <v>2122</v>
      </c>
      <c r="CT1976" s="1" t="s">
        <v>219</v>
      </c>
      <c r="CX1976" s="1" t="s">
        <v>224</v>
      </c>
      <c r="DB1976" s="1" t="s">
        <v>224</v>
      </c>
      <c r="DE1976" s="1" t="s">
        <v>16874</v>
      </c>
      <c r="DF1976" s="1" t="s">
        <v>219</v>
      </c>
      <c r="DI1976" s="1" t="s">
        <v>581</v>
      </c>
      <c r="DJ1976" s="1" t="s">
        <v>822</v>
      </c>
      <c r="DS1976" s="1" t="s">
        <v>230</v>
      </c>
      <c r="DW1976" s="1" t="s">
        <v>230</v>
      </c>
      <c r="EA1976" s="1" t="s">
        <v>230</v>
      </c>
      <c r="EE1976" s="1" t="s">
        <v>230</v>
      </c>
      <c r="EI1976" s="1" t="s">
        <v>230</v>
      </c>
      <c r="EL1976" s="1" t="s">
        <v>787</v>
      </c>
      <c r="EM1976" s="1" t="s">
        <v>232</v>
      </c>
      <c r="EN1976" s="1" t="s">
        <v>282</v>
      </c>
      <c r="EO1976" s="1" t="s">
        <v>234</v>
      </c>
      <c r="ER1976" s="1" t="s">
        <v>544</v>
      </c>
      <c r="ET1976" s="1" t="s">
        <v>1752</v>
      </c>
      <c r="EW1976" s="1" t="s">
        <v>7034</v>
      </c>
      <c r="EZ1976" s="1" t="s">
        <v>287</v>
      </c>
      <c r="FC1976" s="1" t="s">
        <v>548</v>
      </c>
      <c r="FD1976" s="1" t="s">
        <v>246</v>
      </c>
      <c r="FE1976" s="1" t="s">
        <v>247</v>
      </c>
      <c r="FF1976" s="1" t="s">
        <v>248</v>
      </c>
      <c r="FH1976" s="1" t="s">
        <v>249</v>
      </c>
      <c r="FL1976" s="1" t="s">
        <v>358</v>
      </c>
      <c r="FM1976" s="1" t="s">
        <v>252</v>
      </c>
      <c r="FN1976" s="1" t="s">
        <v>204</v>
      </c>
      <c r="FO1976" s="1" t="s">
        <v>213</v>
      </c>
      <c r="FQ1976" s="1" t="s">
        <v>18078</v>
      </c>
      <c r="FR1976" s="1" t="s">
        <v>210</v>
      </c>
      <c r="FS1976" s="1" t="s">
        <v>18079</v>
      </c>
      <c r="FT1976" s="1" t="s">
        <v>1139</v>
      </c>
      <c r="FU1976" s="1" t="s">
        <v>204</v>
      </c>
      <c r="FW1976" s="1" t="s">
        <v>2563</v>
      </c>
      <c r="FX1976" s="1">
        <v>24093</v>
      </c>
      <c r="FY1976" s="1" t="s">
        <v>2564</v>
      </c>
      <c r="FZ1976" s="1" t="s">
        <v>18080</v>
      </c>
      <c r="GA1976" s="1">
        <v>84146</v>
      </c>
      <c r="GB1976" s="1" t="s">
        <v>18081</v>
      </c>
      <c r="GE1976" s="1" t="s">
        <v>210</v>
      </c>
      <c r="GH1976" s="1" t="s">
        <v>800</v>
      </c>
      <c r="GI1976" s="1" t="s">
        <v>204</v>
      </c>
      <c r="GJ1976" s="1" t="s">
        <v>260</v>
      </c>
      <c r="GK1976" s="1" t="s">
        <v>210</v>
      </c>
      <c r="GL1976" s="2">
        <v>42033</v>
      </c>
      <c r="GM1976" s="1" t="s">
        <v>18082</v>
      </c>
    </row>
    <row r="1977" spans="1:195">
      <c r="A1977" s="1">
        <v>90000</v>
      </c>
      <c r="B1977" s="1" t="s">
        <v>195</v>
      </c>
      <c r="C1977" s="1" t="str">
        <f>"08739077"</f>
        <v>08739077</v>
      </c>
      <c r="D1977" s="1" t="s">
        <v>196</v>
      </c>
      <c r="F1977" s="1" t="str">
        <f>"635"</f>
        <v>635</v>
      </c>
      <c r="G1977" s="2">
        <v>41908</v>
      </c>
      <c r="H1977" s="1">
        <v>80000</v>
      </c>
      <c r="I1977" s="1">
        <v>80000</v>
      </c>
      <c r="J1977" s="1">
        <v>90000</v>
      </c>
      <c r="K1977" s="2">
        <v>41907</v>
      </c>
      <c r="L1977" s="1">
        <v>13</v>
      </c>
      <c r="M1977" s="2">
        <v>41919</v>
      </c>
      <c r="N1977" s="1">
        <v>13</v>
      </c>
      <c r="O1977" s="2">
        <v>41919</v>
      </c>
      <c r="P1977" s="1">
        <v>14316</v>
      </c>
      <c r="Q1977" s="1" t="s">
        <v>302</v>
      </c>
      <c r="R1977" s="2">
        <v>42007</v>
      </c>
      <c r="S1977" s="1">
        <v>133470</v>
      </c>
      <c r="U1977" s="1">
        <v>2930</v>
      </c>
      <c r="V1977" s="1" t="s">
        <v>11813</v>
      </c>
      <c r="W1977" s="1" t="s">
        <v>425</v>
      </c>
      <c r="X1977" s="1" t="s">
        <v>4505</v>
      </c>
      <c r="Y1977" s="1">
        <v>6</v>
      </c>
      <c r="Z1977" s="1" t="s">
        <v>249</v>
      </c>
      <c r="AA1977" s="1" t="s">
        <v>2377</v>
      </c>
      <c r="AB1977" s="1">
        <v>60707</v>
      </c>
      <c r="AE1977" s="1" t="s">
        <v>18083</v>
      </c>
      <c r="AF1977" s="1">
        <v>1972</v>
      </c>
      <c r="AG1977" s="1" t="s">
        <v>213</v>
      </c>
      <c r="AH1977" s="1" t="s">
        <v>5686</v>
      </c>
      <c r="AI1977" s="1" t="s">
        <v>310</v>
      </c>
      <c r="AJ1977" s="1" t="s">
        <v>311</v>
      </c>
      <c r="AL1977" s="1">
        <v>5</v>
      </c>
      <c r="AM1977" s="1">
        <v>2</v>
      </c>
      <c r="AN1977" s="1">
        <v>2</v>
      </c>
      <c r="AO1977" s="1">
        <v>0</v>
      </c>
      <c r="AP1977" s="1" t="s">
        <v>209</v>
      </c>
      <c r="AR1977" s="1" t="s">
        <v>210</v>
      </c>
      <c r="AS1977" s="1" t="s">
        <v>204</v>
      </c>
      <c r="AT1977" s="1" t="s">
        <v>271</v>
      </c>
      <c r="AV1977" s="1">
        <v>1</v>
      </c>
      <c r="AW1977" s="1" t="s">
        <v>204</v>
      </c>
      <c r="AX1977" s="1" t="s">
        <v>212</v>
      </c>
      <c r="AZ1977" s="1">
        <v>3217</v>
      </c>
      <c r="BA1977" s="1">
        <v>2012</v>
      </c>
      <c r="BE1977" s="1">
        <v>1103</v>
      </c>
      <c r="BF1977" s="1">
        <v>5</v>
      </c>
      <c r="BG1977" s="1">
        <v>30</v>
      </c>
      <c r="BL1977" s="1">
        <v>115</v>
      </c>
      <c r="BM1977" s="1" t="s">
        <v>413</v>
      </c>
      <c r="BN1977" s="1" t="s">
        <v>213</v>
      </c>
      <c r="BO1977" s="1">
        <v>15</v>
      </c>
      <c r="BP1977" s="1" t="s">
        <v>204</v>
      </c>
      <c r="BR1977" s="1" t="str">
        <f>"12252230371018"</f>
        <v>12252230371018</v>
      </c>
      <c r="BT1977" s="1" t="s">
        <v>18084</v>
      </c>
      <c r="BX1977" s="1">
        <v>401</v>
      </c>
      <c r="BY1977" s="1">
        <v>401</v>
      </c>
      <c r="BZ1977" s="1">
        <v>401</v>
      </c>
      <c r="CB1977" s="1" t="str">
        <f>"2930"</f>
        <v>2930</v>
      </c>
      <c r="CC1977" s="1" t="str">
        <f>"0"</f>
        <v>0</v>
      </c>
      <c r="CD1977" s="1">
        <v>7200</v>
      </c>
      <c r="CE1977" s="1">
        <v>0</v>
      </c>
      <c r="CG1977" s="1" t="s">
        <v>861</v>
      </c>
      <c r="CH1977" s="1" t="s">
        <v>219</v>
      </c>
      <c r="CK1977" s="1" t="s">
        <v>344</v>
      </c>
      <c r="CL1977" s="1" t="s">
        <v>219</v>
      </c>
      <c r="CO1977" s="1" t="s">
        <v>346</v>
      </c>
      <c r="CP1977" s="1" t="s">
        <v>219</v>
      </c>
      <c r="CS1977" s="1" t="s">
        <v>757</v>
      </c>
      <c r="CT1977" s="1" t="s">
        <v>219</v>
      </c>
      <c r="CX1977" s="1" t="s">
        <v>224</v>
      </c>
      <c r="DB1977" s="1" t="s">
        <v>224</v>
      </c>
      <c r="DE1977" s="1" t="s">
        <v>281</v>
      </c>
      <c r="DF1977" s="1" t="s">
        <v>219</v>
      </c>
      <c r="DJ1977" s="1" t="s">
        <v>224</v>
      </c>
      <c r="DS1977" s="1" t="s">
        <v>230</v>
      </c>
      <c r="DW1977" s="1" t="s">
        <v>230</v>
      </c>
      <c r="EA1977" s="1" t="s">
        <v>230</v>
      </c>
      <c r="EE1977" s="1" t="s">
        <v>230</v>
      </c>
      <c r="EI1977" s="1" t="s">
        <v>230</v>
      </c>
      <c r="EL1977" s="1" t="s">
        <v>605</v>
      </c>
      <c r="EM1977" s="1" t="s">
        <v>319</v>
      </c>
      <c r="EN1977" s="1" t="s">
        <v>282</v>
      </c>
      <c r="EO1977" s="1" t="s">
        <v>234</v>
      </c>
      <c r="ER1977" s="1" t="s">
        <v>210</v>
      </c>
      <c r="EV1977" s="1" t="s">
        <v>240</v>
      </c>
      <c r="EW1977" s="1" t="s">
        <v>937</v>
      </c>
      <c r="EZ1977" s="1" t="s">
        <v>287</v>
      </c>
      <c r="FB1977" s="1" t="s">
        <v>734</v>
      </c>
      <c r="FD1977" s="1" t="s">
        <v>246</v>
      </c>
      <c r="FE1977" s="1" t="s">
        <v>247</v>
      </c>
      <c r="FF1977" s="1" t="s">
        <v>248</v>
      </c>
      <c r="FH1977" s="1" t="s">
        <v>249</v>
      </c>
      <c r="FK1977" s="1" t="s">
        <v>291</v>
      </c>
      <c r="FL1977" s="1" t="s">
        <v>810</v>
      </c>
      <c r="FM1977" s="1" t="s">
        <v>252</v>
      </c>
      <c r="FN1977" s="1" t="s">
        <v>213</v>
      </c>
      <c r="FO1977" s="1" t="s">
        <v>213</v>
      </c>
      <c r="FQ1977" s="1" t="s">
        <v>582</v>
      </c>
      <c r="FR1977" s="1" t="s">
        <v>652</v>
      </c>
      <c r="FS1977" s="1" t="s">
        <v>653</v>
      </c>
      <c r="FT1977" s="1" t="s">
        <v>654</v>
      </c>
      <c r="FU1977" s="1" t="s">
        <v>204</v>
      </c>
      <c r="FW1977" s="1" t="s">
        <v>655</v>
      </c>
      <c r="FX1977" s="1">
        <v>10841</v>
      </c>
      <c r="FY1977" s="1" t="s">
        <v>656</v>
      </c>
      <c r="FZ1977" s="1" t="s">
        <v>657</v>
      </c>
      <c r="GA1977" s="1">
        <v>109860</v>
      </c>
      <c r="GB1977" s="1" t="s">
        <v>656</v>
      </c>
      <c r="GE1977" s="1" t="s">
        <v>1576</v>
      </c>
      <c r="GH1977" s="1" t="s">
        <v>230</v>
      </c>
      <c r="GI1977" s="1" t="s">
        <v>213</v>
      </c>
      <c r="GJ1977" s="1" t="s">
        <v>260</v>
      </c>
      <c r="GK1977" s="1" t="s">
        <v>210</v>
      </c>
      <c r="GL1977" s="2">
        <v>42009</v>
      </c>
      <c r="GM1977" s="1" t="s">
        <v>18085</v>
      </c>
    </row>
    <row r="1978" spans="1:195">
      <c r="A1978" s="1">
        <v>137500</v>
      </c>
      <c r="B1978" s="1" t="s">
        <v>195</v>
      </c>
      <c r="C1978" s="1" t="str">
        <f>"08738159"</f>
        <v>08738159</v>
      </c>
      <c r="D1978" s="1" t="s">
        <v>196</v>
      </c>
      <c r="F1978" s="1" t="str">
        <f>"172"</f>
        <v>172</v>
      </c>
      <c r="G1978" s="2">
        <v>41908</v>
      </c>
      <c r="H1978" s="1">
        <v>150000</v>
      </c>
      <c r="I1978" s="1">
        <v>139900</v>
      </c>
      <c r="J1978" s="1">
        <v>137500</v>
      </c>
      <c r="K1978" s="2">
        <v>41908</v>
      </c>
      <c r="L1978" s="1">
        <v>48</v>
      </c>
      <c r="M1978" s="2">
        <v>41955</v>
      </c>
      <c r="N1978" s="1">
        <v>48</v>
      </c>
      <c r="O1978" s="2">
        <v>41955</v>
      </c>
      <c r="P1978" s="1">
        <v>8411</v>
      </c>
      <c r="Q1978" s="1" t="s">
        <v>197</v>
      </c>
      <c r="R1978" s="2">
        <v>41989</v>
      </c>
      <c r="S1978" s="1">
        <v>85164</v>
      </c>
      <c r="U1978" s="1">
        <v>190</v>
      </c>
      <c r="V1978" s="1" t="s">
        <v>1513</v>
      </c>
      <c r="W1978" s="1" t="s">
        <v>1056</v>
      </c>
      <c r="Y1978" s="1">
        <v>4</v>
      </c>
      <c r="Z1978" s="1" t="s">
        <v>370</v>
      </c>
      <c r="AA1978" s="1" t="s">
        <v>266</v>
      </c>
      <c r="AB1978" s="1">
        <v>60172</v>
      </c>
      <c r="AC1978" s="1">
        <v>1679</v>
      </c>
      <c r="AD1978" s="1" t="s">
        <v>267</v>
      </c>
      <c r="AE1978" s="1" t="s">
        <v>18086</v>
      </c>
      <c r="AF1978" s="1">
        <v>1978</v>
      </c>
      <c r="AG1978" s="1" t="s">
        <v>204</v>
      </c>
      <c r="AH1978" s="1" t="s">
        <v>3952</v>
      </c>
      <c r="AI1978" s="1" t="s">
        <v>206</v>
      </c>
      <c r="AJ1978" s="1" t="s">
        <v>269</v>
      </c>
      <c r="AK1978" s="1" t="s">
        <v>18087</v>
      </c>
      <c r="AL1978" s="1">
        <v>5</v>
      </c>
      <c r="AM1978" s="1">
        <v>2</v>
      </c>
      <c r="AN1978" s="1">
        <v>1</v>
      </c>
      <c r="AO1978" s="1">
        <v>1</v>
      </c>
      <c r="AP1978" s="1" t="s">
        <v>210</v>
      </c>
      <c r="AR1978" s="1" t="s">
        <v>210</v>
      </c>
      <c r="AS1978" s="1" t="s">
        <v>204</v>
      </c>
      <c r="AT1978" s="1" t="s">
        <v>211</v>
      </c>
      <c r="AU1978" s="1">
        <v>1</v>
      </c>
      <c r="AW1978" s="1" t="s">
        <v>204</v>
      </c>
      <c r="AX1978" s="1" t="s">
        <v>212</v>
      </c>
      <c r="AZ1978" s="1">
        <v>2483</v>
      </c>
      <c r="BA1978" s="1">
        <v>2013</v>
      </c>
      <c r="BE1978" s="1">
        <v>1152</v>
      </c>
      <c r="BF1978" s="1">
        <v>1</v>
      </c>
      <c r="BG1978" s="1">
        <v>1</v>
      </c>
      <c r="BL1978" s="1">
        <v>178</v>
      </c>
      <c r="BM1978" s="1" t="s">
        <v>204</v>
      </c>
      <c r="BN1978" s="1" t="s">
        <v>213</v>
      </c>
      <c r="BO1978" s="1">
        <v>100</v>
      </c>
      <c r="BP1978" s="1" t="s">
        <v>204</v>
      </c>
      <c r="BR1978" s="1" t="str">
        <f>"0205407047"</f>
        <v>0205407047</v>
      </c>
      <c r="BT1978" s="1" t="s">
        <v>18088</v>
      </c>
      <c r="BU1978" s="1" t="s">
        <v>273</v>
      </c>
      <c r="BV1978" s="1" t="s">
        <v>274</v>
      </c>
      <c r="BW1978" s="1" t="s">
        <v>275</v>
      </c>
      <c r="BX1978" s="1">
        <v>20</v>
      </c>
      <c r="BY1978" s="1">
        <v>20</v>
      </c>
      <c r="BZ1978" s="1">
        <v>108</v>
      </c>
      <c r="CB1978" s="1" t="str">
        <f t="shared" ref="CB1978:CC1978" si="1509">"0"</f>
        <v>0</v>
      </c>
      <c r="CC1978" s="1" t="str">
        <f t="shared" si="1509"/>
        <v>0</v>
      </c>
      <c r="CD1978" s="1">
        <v>0</v>
      </c>
      <c r="CE1978" s="1">
        <v>0</v>
      </c>
      <c r="CG1978" s="1" t="s">
        <v>228</v>
      </c>
      <c r="CH1978" s="1" t="s">
        <v>219</v>
      </c>
      <c r="CI1978" s="1" t="s">
        <v>438</v>
      </c>
      <c r="CJ1978" s="1" t="s">
        <v>343</v>
      </c>
      <c r="CK1978" s="1" t="s">
        <v>221</v>
      </c>
      <c r="CL1978" s="1" t="s">
        <v>277</v>
      </c>
      <c r="CM1978" s="1" t="s">
        <v>220</v>
      </c>
      <c r="CN1978" s="1" t="s">
        <v>343</v>
      </c>
      <c r="CO1978" s="1" t="s">
        <v>316</v>
      </c>
      <c r="CP1978" s="1" t="s">
        <v>219</v>
      </c>
      <c r="CQ1978" s="1" t="s">
        <v>438</v>
      </c>
      <c r="CR1978" s="1" t="s">
        <v>343</v>
      </c>
      <c r="CS1978" s="1" t="s">
        <v>757</v>
      </c>
      <c r="CT1978" s="1" t="s">
        <v>277</v>
      </c>
      <c r="CU1978" s="1" t="s">
        <v>220</v>
      </c>
      <c r="CV1978" s="1" t="s">
        <v>343</v>
      </c>
      <c r="CX1978" s="1" t="s">
        <v>224</v>
      </c>
      <c r="DB1978" s="1" t="s">
        <v>224</v>
      </c>
      <c r="DE1978" s="1" t="s">
        <v>1598</v>
      </c>
      <c r="DF1978" s="1" t="s">
        <v>219</v>
      </c>
      <c r="DG1978" s="1" t="s">
        <v>438</v>
      </c>
      <c r="DH1978" s="1" t="s">
        <v>343</v>
      </c>
      <c r="DJ1978" s="1" t="s">
        <v>224</v>
      </c>
      <c r="DS1978" s="1" t="s">
        <v>230</v>
      </c>
      <c r="DW1978" s="1" t="s">
        <v>230</v>
      </c>
      <c r="EA1978" s="1" t="s">
        <v>230</v>
      </c>
      <c r="EE1978" s="1" t="s">
        <v>230</v>
      </c>
      <c r="EI1978" s="1" t="s">
        <v>230</v>
      </c>
      <c r="EL1978" s="1" t="s">
        <v>231</v>
      </c>
      <c r="EM1978" s="1" t="s">
        <v>232</v>
      </c>
      <c r="EN1978" s="1" t="s">
        <v>282</v>
      </c>
      <c r="EO1978" s="1" t="s">
        <v>234</v>
      </c>
      <c r="EP1978" s="1" t="s">
        <v>1489</v>
      </c>
      <c r="EQ1978" s="1" t="s">
        <v>11523</v>
      </c>
      <c r="ER1978" s="1" t="s">
        <v>210</v>
      </c>
      <c r="ES1978" s="1" t="s">
        <v>322</v>
      </c>
      <c r="EU1978" s="1" t="s">
        <v>239</v>
      </c>
      <c r="EW1978" s="1" t="s">
        <v>353</v>
      </c>
      <c r="EY1978" s="1" t="s">
        <v>242</v>
      </c>
      <c r="EZ1978" s="1" t="s">
        <v>287</v>
      </c>
      <c r="FA1978" s="1" t="s">
        <v>714</v>
      </c>
      <c r="FC1978" s="1" t="s">
        <v>1386</v>
      </c>
      <c r="FD1978" s="1" t="s">
        <v>246</v>
      </c>
      <c r="FE1978" s="1" t="s">
        <v>472</v>
      </c>
      <c r="FF1978" s="1" t="s">
        <v>248</v>
      </c>
      <c r="FH1978" s="1" t="s">
        <v>550</v>
      </c>
      <c r="FL1978" s="1" t="s">
        <v>358</v>
      </c>
      <c r="FM1978" s="1" t="s">
        <v>252</v>
      </c>
      <c r="FN1978" s="1" t="s">
        <v>213</v>
      </c>
      <c r="FO1978" s="1" t="s">
        <v>213</v>
      </c>
      <c r="FQ1978" s="1" t="s">
        <v>1441</v>
      </c>
      <c r="FR1978" s="1" t="s">
        <v>210</v>
      </c>
      <c r="FS1978" s="1" t="s">
        <v>18089</v>
      </c>
      <c r="FT1978" s="1" t="s">
        <v>295</v>
      </c>
      <c r="FU1978" s="1" t="s">
        <v>204</v>
      </c>
      <c r="FW1978" s="1" t="s">
        <v>256</v>
      </c>
      <c r="FX1978" s="1">
        <v>25244</v>
      </c>
      <c r="FY1978" s="1" t="s">
        <v>1365</v>
      </c>
      <c r="FZ1978" s="1" t="s">
        <v>18090</v>
      </c>
      <c r="GA1978" s="1">
        <v>242079</v>
      </c>
      <c r="GE1978" s="1" t="s">
        <v>658</v>
      </c>
      <c r="GI1978" s="1" t="s">
        <v>213</v>
      </c>
      <c r="GJ1978" s="1" t="s">
        <v>260</v>
      </c>
      <c r="GK1978" s="1" t="s">
        <v>261</v>
      </c>
      <c r="GL1978" s="2">
        <v>41991</v>
      </c>
      <c r="GM1978" s="1" t="s">
        <v>18091</v>
      </c>
    </row>
    <row r="1979" spans="1:195">
      <c r="A1979" s="1">
        <v>140329</v>
      </c>
      <c r="B1979" s="1" t="s">
        <v>195</v>
      </c>
      <c r="C1979" s="1" t="str">
        <f>"08742937"</f>
        <v>08742937</v>
      </c>
      <c r="D1979" s="1" t="s">
        <v>196</v>
      </c>
      <c r="F1979" s="1" t="str">
        <f>"507"</f>
        <v>507</v>
      </c>
      <c r="G1979" s="2">
        <v>41914</v>
      </c>
      <c r="H1979" s="1">
        <v>175960</v>
      </c>
      <c r="I1979" s="1">
        <v>135960</v>
      </c>
      <c r="J1979" s="1">
        <v>140329</v>
      </c>
      <c r="K1979" s="2">
        <v>41914</v>
      </c>
      <c r="L1979" s="1">
        <v>169</v>
      </c>
      <c r="M1979" s="2">
        <v>42082</v>
      </c>
      <c r="N1979" s="1">
        <v>169</v>
      </c>
      <c r="O1979" s="2">
        <v>42082</v>
      </c>
      <c r="P1979" s="1">
        <v>25879</v>
      </c>
      <c r="Q1979" s="1" t="s">
        <v>302</v>
      </c>
      <c r="R1979" s="2">
        <v>42107</v>
      </c>
      <c r="S1979" s="1">
        <v>237676</v>
      </c>
      <c r="U1979" s="1">
        <v>3941</v>
      </c>
      <c r="V1979" s="1" t="s">
        <v>11689</v>
      </c>
      <c r="W1979" s="1" t="s">
        <v>264</v>
      </c>
      <c r="Y1979" s="1">
        <v>5</v>
      </c>
      <c r="Z1979" s="1" t="s">
        <v>370</v>
      </c>
      <c r="AA1979" s="1" t="s">
        <v>1123</v>
      </c>
      <c r="AB1979" s="1">
        <v>60504</v>
      </c>
      <c r="AD1979" s="1" t="s">
        <v>11689</v>
      </c>
      <c r="AE1979" s="1" t="s">
        <v>18092</v>
      </c>
      <c r="AF1979" s="1">
        <v>2001</v>
      </c>
      <c r="AG1979" s="1" t="s">
        <v>204</v>
      </c>
      <c r="AH1979" s="1" t="s">
        <v>1126</v>
      </c>
      <c r="AI1979" s="1" t="s">
        <v>206</v>
      </c>
      <c r="AJ1979" s="1" t="s">
        <v>924</v>
      </c>
      <c r="AL1979" s="1">
        <v>6</v>
      </c>
      <c r="AM1979" s="1">
        <v>2</v>
      </c>
      <c r="AN1979" s="1">
        <v>1</v>
      </c>
      <c r="AO1979" s="1">
        <v>1</v>
      </c>
      <c r="AP1979" s="1" t="s">
        <v>210</v>
      </c>
      <c r="AQ1979" s="1">
        <v>1</v>
      </c>
      <c r="AR1979" s="1" t="s">
        <v>210</v>
      </c>
      <c r="AS1979" s="1" t="s">
        <v>204</v>
      </c>
      <c r="AT1979" s="1" t="s">
        <v>211</v>
      </c>
      <c r="AU1979" s="1">
        <v>2</v>
      </c>
      <c r="AW1979" s="1" t="s">
        <v>204</v>
      </c>
      <c r="AX1979" s="1" t="s">
        <v>18093</v>
      </c>
      <c r="AZ1979" s="1">
        <v>4323</v>
      </c>
      <c r="BA1979" s="1">
        <v>2013</v>
      </c>
      <c r="BE1979" s="1">
        <v>1600</v>
      </c>
      <c r="BF1979" s="1">
        <v>1</v>
      </c>
      <c r="BG1979" s="1">
        <v>0</v>
      </c>
      <c r="BL1979" s="1">
        <v>130</v>
      </c>
      <c r="BM1979" s="1" t="s">
        <v>413</v>
      </c>
      <c r="BN1979" s="1" t="s">
        <v>213</v>
      </c>
      <c r="BO1979" s="1">
        <v>0</v>
      </c>
      <c r="BP1979" s="1" t="s">
        <v>204</v>
      </c>
      <c r="BR1979" s="1" t="str">
        <f>"0728305074"</f>
        <v>0728305074</v>
      </c>
      <c r="BT1979" s="1" t="s">
        <v>3770</v>
      </c>
      <c r="BX1979" s="1">
        <v>204</v>
      </c>
      <c r="BY1979" s="1">
        <v>204</v>
      </c>
      <c r="BZ1979" s="1">
        <v>204</v>
      </c>
      <c r="CB1979" s="1" t="str">
        <f t="shared" ref="CB1979:CC1979" si="1510">""</f>
        <v/>
      </c>
      <c r="CC1979" s="1" t="str">
        <f t="shared" si="1510"/>
        <v/>
      </c>
      <c r="CG1979" s="1" t="s">
        <v>1004</v>
      </c>
      <c r="CH1979" s="1" t="s">
        <v>219</v>
      </c>
      <c r="CI1979" s="1" t="s">
        <v>220</v>
      </c>
      <c r="CK1979" s="1" t="s">
        <v>932</v>
      </c>
      <c r="CL1979" s="1" t="s">
        <v>277</v>
      </c>
      <c r="CM1979" s="1" t="s">
        <v>220</v>
      </c>
      <c r="CO1979" s="1" t="s">
        <v>951</v>
      </c>
      <c r="CP1979" s="1" t="s">
        <v>219</v>
      </c>
      <c r="CQ1979" s="1" t="s">
        <v>220</v>
      </c>
      <c r="CS1979" s="1" t="s">
        <v>346</v>
      </c>
      <c r="CT1979" s="1" t="s">
        <v>277</v>
      </c>
      <c r="CU1979" s="1" t="s">
        <v>220</v>
      </c>
      <c r="CX1979" s="1" t="s">
        <v>224</v>
      </c>
      <c r="DB1979" s="1" t="s">
        <v>224</v>
      </c>
      <c r="DE1979" s="1" t="s">
        <v>837</v>
      </c>
      <c r="DF1979" s="1" t="s">
        <v>219</v>
      </c>
      <c r="DG1979" s="1" t="s">
        <v>229</v>
      </c>
      <c r="DJ1979" s="1" t="s">
        <v>224</v>
      </c>
      <c r="DM1979" s="1" t="s">
        <v>464</v>
      </c>
      <c r="DR1979" s="1" t="s">
        <v>10475</v>
      </c>
      <c r="DS1979" s="1" t="s">
        <v>277</v>
      </c>
      <c r="DT1979" s="1" t="s">
        <v>229</v>
      </c>
      <c r="DW1979" s="1" t="s">
        <v>230</v>
      </c>
      <c r="EA1979" s="1" t="s">
        <v>230</v>
      </c>
      <c r="EE1979" s="1" t="s">
        <v>230</v>
      </c>
      <c r="EI1979" s="1" t="s">
        <v>230</v>
      </c>
      <c r="EL1979" s="1" t="s">
        <v>466</v>
      </c>
      <c r="EM1979" s="1" t="s">
        <v>319</v>
      </c>
      <c r="EN1979" s="1" t="s">
        <v>282</v>
      </c>
      <c r="EO1979" s="1" t="s">
        <v>234</v>
      </c>
      <c r="ER1979" s="1" t="s">
        <v>210</v>
      </c>
      <c r="EV1979" s="1" t="s">
        <v>240</v>
      </c>
      <c r="EW1979" s="1" t="s">
        <v>353</v>
      </c>
      <c r="EZ1979" s="1" t="s">
        <v>464</v>
      </c>
      <c r="FD1979" s="1" t="s">
        <v>246</v>
      </c>
      <c r="FE1979" s="1" t="s">
        <v>9187</v>
      </c>
      <c r="FF1979" s="1" t="s">
        <v>248</v>
      </c>
      <c r="FG1979" s="1" t="s">
        <v>871</v>
      </c>
      <c r="FH1979" s="1" t="s">
        <v>550</v>
      </c>
      <c r="FI1979" s="1" t="s">
        <v>357</v>
      </c>
      <c r="FJ1979" s="1" t="s">
        <v>1472</v>
      </c>
      <c r="FL1979" s="1" t="s">
        <v>358</v>
      </c>
      <c r="FM1979" s="1" t="s">
        <v>252</v>
      </c>
      <c r="FN1979" s="1" t="s">
        <v>213</v>
      </c>
      <c r="FO1979" s="1" t="s">
        <v>213</v>
      </c>
      <c r="FQ1979" s="1" t="s">
        <v>582</v>
      </c>
      <c r="FR1979" s="1" t="s">
        <v>210</v>
      </c>
      <c r="FS1979" s="1" t="s">
        <v>3772</v>
      </c>
      <c r="FT1979" s="1" t="s">
        <v>3773</v>
      </c>
      <c r="FU1979" s="1" t="s">
        <v>204</v>
      </c>
      <c r="FW1979" s="1" t="s">
        <v>3774</v>
      </c>
      <c r="FX1979" s="1">
        <v>1984</v>
      </c>
      <c r="FY1979" s="1" t="s">
        <v>3775</v>
      </c>
      <c r="FZ1979" s="1" t="s">
        <v>3776</v>
      </c>
      <c r="GA1979" s="1">
        <v>922950</v>
      </c>
      <c r="GE1979" s="1" t="s">
        <v>210</v>
      </c>
      <c r="GI1979" s="1" t="s">
        <v>204</v>
      </c>
      <c r="GJ1979" s="1" t="s">
        <v>260</v>
      </c>
      <c r="GK1979" s="1" t="s">
        <v>210</v>
      </c>
      <c r="GL1979" s="2">
        <v>42109</v>
      </c>
      <c r="GM1979" s="1" t="s">
        <v>3777</v>
      </c>
    </row>
    <row r="1980" spans="1:195">
      <c r="A1980" s="1">
        <v>124000</v>
      </c>
      <c r="B1980" s="1" t="s">
        <v>195</v>
      </c>
      <c r="C1980" s="1" t="str">
        <f>"08738212"</f>
        <v>08738212</v>
      </c>
      <c r="D1980" s="1" t="s">
        <v>196</v>
      </c>
      <c r="F1980" s="1" t="str">
        <f>"140"</f>
        <v>140</v>
      </c>
      <c r="G1980" s="2">
        <v>41908</v>
      </c>
      <c r="H1980" s="1">
        <v>131500</v>
      </c>
      <c r="I1980" s="1">
        <v>125000</v>
      </c>
      <c r="J1980" s="1">
        <v>124000</v>
      </c>
      <c r="K1980" s="2">
        <v>41908</v>
      </c>
      <c r="L1980" s="1">
        <v>38</v>
      </c>
      <c r="M1980" s="2">
        <v>41945</v>
      </c>
      <c r="N1980" s="1">
        <v>38</v>
      </c>
      <c r="O1980" s="2">
        <v>41945</v>
      </c>
      <c r="P1980" s="1">
        <v>7630</v>
      </c>
      <c r="Q1980" s="1" t="s">
        <v>197</v>
      </c>
      <c r="R1980" s="2">
        <v>41974</v>
      </c>
      <c r="S1980" s="1">
        <v>70092</v>
      </c>
      <c r="U1980" s="1">
        <v>822</v>
      </c>
      <c r="V1980" s="1" t="s">
        <v>18094</v>
      </c>
      <c r="W1980" s="1" t="s">
        <v>504</v>
      </c>
      <c r="Y1980" s="1">
        <v>4</v>
      </c>
      <c r="Z1980" s="1" t="s">
        <v>370</v>
      </c>
      <c r="AA1980" s="1" t="s">
        <v>1658</v>
      </c>
      <c r="AB1980" s="1">
        <v>60140</v>
      </c>
      <c r="AD1980" s="1" t="s">
        <v>18095</v>
      </c>
      <c r="AE1980" s="1" t="s">
        <v>18096</v>
      </c>
      <c r="AF1980" s="1">
        <v>1998</v>
      </c>
      <c r="AG1980" s="1" t="s">
        <v>204</v>
      </c>
      <c r="AH1980" s="1" t="s">
        <v>1660</v>
      </c>
      <c r="AI1980" s="1" t="s">
        <v>665</v>
      </c>
      <c r="AJ1980" s="1" t="s">
        <v>1660</v>
      </c>
      <c r="AL1980" s="1">
        <v>6</v>
      </c>
      <c r="AM1980" s="1">
        <v>2</v>
      </c>
      <c r="AN1980" s="1">
        <v>3</v>
      </c>
      <c r="AO1980" s="1">
        <v>0</v>
      </c>
      <c r="AP1980" s="1" t="s">
        <v>209</v>
      </c>
      <c r="AQ1980" s="1">
        <v>0</v>
      </c>
      <c r="AR1980" s="1" t="s">
        <v>209</v>
      </c>
      <c r="AS1980" s="1" t="s">
        <v>213</v>
      </c>
      <c r="AT1980" s="1" t="s">
        <v>211</v>
      </c>
      <c r="AU1980" s="1">
        <v>2</v>
      </c>
      <c r="AW1980" s="1" t="s">
        <v>204</v>
      </c>
      <c r="AX1980" s="1" t="s">
        <v>212</v>
      </c>
      <c r="AZ1980" s="1">
        <v>4516.28</v>
      </c>
      <c r="BA1980" s="1">
        <v>2013</v>
      </c>
      <c r="BE1980" s="1">
        <v>1468</v>
      </c>
      <c r="BF1980" s="1">
        <v>1</v>
      </c>
      <c r="BG1980" s="1">
        <v>30</v>
      </c>
      <c r="BL1980" s="1">
        <v>110</v>
      </c>
      <c r="BM1980" s="1" t="s">
        <v>204</v>
      </c>
      <c r="BN1980" s="1" t="s">
        <v>213</v>
      </c>
      <c r="BO1980" s="1">
        <v>30</v>
      </c>
      <c r="BP1980" s="1" t="s">
        <v>204</v>
      </c>
      <c r="BR1980" s="1" t="str">
        <f>"0127152043"</f>
        <v>0127152043</v>
      </c>
      <c r="BT1980" s="1" t="s">
        <v>18097</v>
      </c>
      <c r="BX1980" s="1">
        <v>300</v>
      </c>
      <c r="BY1980" s="1">
        <v>300</v>
      </c>
      <c r="BZ1980" s="1">
        <v>300</v>
      </c>
      <c r="CB1980" s="1" t="str">
        <f t="shared" ref="CB1980:CC1980" si="1511">""</f>
        <v/>
      </c>
      <c r="CC1980" s="1" t="str">
        <f t="shared" si="1511"/>
        <v/>
      </c>
      <c r="CG1980" s="1" t="s">
        <v>1570</v>
      </c>
      <c r="CH1980" s="1" t="s">
        <v>219</v>
      </c>
      <c r="CI1980" s="1" t="s">
        <v>220</v>
      </c>
      <c r="CJ1980" s="1" t="s">
        <v>909</v>
      </c>
      <c r="CK1980" s="1" t="s">
        <v>228</v>
      </c>
      <c r="CL1980" s="1" t="s">
        <v>219</v>
      </c>
      <c r="CM1980" s="1" t="s">
        <v>220</v>
      </c>
      <c r="CN1980" s="1" t="s">
        <v>343</v>
      </c>
      <c r="CO1980" s="1" t="s">
        <v>346</v>
      </c>
      <c r="CP1980" s="1" t="s">
        <v>219</v>
      </c>
      <c r="CQ1980" s="1" t="s">
        <v>226</v>
      </c>
      <c r="CR1980" s="1" t="s">
        <v>343</v>
      </c>
      <c r="CS1980" s="1" t="s">
        <v>1358</v>
      </c>
      <c r="CT1980" s="1" t="s">
        <v>219</v>
      </c>
      <c r="CU1980" s="1" t="s">
        <v>220</v>
      </c>
      <c r="CV1980" s="1" t="s">
        <v>343</v>
      </c>
      <c r="CX1980" s="1" t="s">
        <v>224</v>
      </c>
      <c r="DB1980" s="1" t="s">
        <v>224</v>
      </c>
      <c r="DE1980" s="1" t="s">
        <v>318</v>
      </c>
      <c r="DF1980" s="1" t="s">
        <v>219</v>
      </c>
      <c r="DG1980" s="1" t="s">
        <v>226</v>
      </c>
      <c r="DI1980" s="1" t="s">
        <v>2992</v>
      </c>
      <c r="DJ1980" s="1" t="s">
        <v>43</v>
      </c>
      <c r="DK1980" s="1" t="s">
        <v>220</v>
      </c>
      <c r="DS1980" s="1" t="s">
        <v>230</v>
      </c>
      <c r="DW1980" s="1" t="s">
        <v>230</v>
      </c>
      <c r="EA1980" s="1" t="s">
        <v>230</v>
      </c>
      <c r="EE1980" s="1" t="s">
        <v>230</v>
      </c>
      <c r="EI1980" s="1" t="s">
        <v>230</v>
      </c>
      <c r="EL1980" s="1" t="s">
        <v>670</v>
      </c>
      <c r="EM1980" s="1" t="s">
        <v>319</v>
      </c>
      <c r="EN1980" s="1" t="s">
        <v>282</v>
      </c>
      <c r="EO1980" s="1" t="s">
        <v>234</v>
      </c>
      <c r="EQ1980" s="1" t="s">
        <v>236</v>
      </c>
      <c r="ER1980" s="1" t="s">
        <v>351</v>
      </c>
      <c r="ES1980" s="1" t="s">
        <v>3850</v>
      </c>
      <c r="EV1980" s="1" t="s">
        <v>324</v>
      </c>
      <c r="EW1980" s="1" t="s">
        <v>887</v>
      </c>
      <c r="EZ1980" s="1" t="s">
        <v>287</v>
      </c>
      <c r="FA1980" s="1" t="s">
        <v>471</v>
      </c>
      <c r="FD1980" s="1" t="s">
        <v>246</v>
      </c>
      <c r="FE1980" s="1" t="s">
        <v>1006</v>
      </c>
      <c r="FF1980" s="1" t="s">
        <v>248</v>
      </c>
      <c r="FH1980" s="1" t="s">
        <v>442</v>
      </c>
      <c r="FI1980" s="1" t="s">
        <v>473</v>
      </c>
      <c r="FL1980" s="1" t="s">
        <v>358</v>
      </c>
      <c r="FM1980" s="1" t="s">
        <v>252</v>
      </c>
      <c r="FN1980" s="1" t="s">
        <v>213</v>
      </c>
      <c r="FO1980" s="1" t="s">
        <v>213</v>
      </c>
      <c r="FQ1980" s="1" t="s">
        <v>5956</v>
      </c>
      <c r="FR1980" s="1" t="s">
        <v>210</v>
      </c>
      <c r="FS1980" s="1" t="s">
        <v>18098</v>
      </c>
      <c r="FT1980" s="1" t="s">
        <v>295</v>
      </c>
      <c r="FU1980" s="1" t="s">
        <v>204</v>
      </c>
      <c r="FW1980" s="1" t="s">
        <v>585</v>
      </c>
      <c r="FX1980" s="1">
        <v>49</v>
      </c>
      <c r="FY1980" s="1" t="s">
        <v>2408</v>
      </c>
      <c r="FZ1980" s="1" t="s">
        <v>10583</v>
      </c>
      <c r="GA1980" s="1">
        <v>8384</v>
      </c>
      <c r="GD1980" s="1" t="s">
        <v>10584</v>
      </c>
      <c r="GE1980" s="1" t="s">
        <v>480</v>
      </c>
      <c r="GI1980" s="1" t="s">
        <v>213</v>
      </c>
      <c r="GJ1980" s="1" t="s">
        <v>260</v>
      </c>
      <c r="GK1980" s="1" t="s">
        <v>210</v>
      </c>
      <c r="GL1980" s="2">
        <v>41974</v>
      </c>
      <c r="GM1980" s="1" t="s">
        <v>18099</v>
      </c>
    </row>
    <row r="1981" spans="1:195">
      <c r="A1981" s="1">
        <v>165000</v>
      </c>
      <c r="B1981" s="1" t="s">
        <v>195</v>
      </c>
      <c r="C1981" s="1" t="str">
        <f>"08735429"</f>
        <v>08735429</v>
      </c>
      <c r="D1981" s="1" t="s">
        <v>196</v>
      </c>
      <c r="F1981" s="1" t="str">
        <f>"148"</f>
        <v>148</v>
      </c>
      <c r="G1981" s="2">
        <v>41905</v>
      </c>
      <c r="H1981" s="1">
        <v>165000</v>
      </c>
      <c r="I1981" s="1">
        <v>165000</v>
      </c>
      <c r="J1981" s="1">
        <v>165000</v>
      </c>
      <c r="K1981" s="2">
        <v>41905</v>
      </c>
      <c r="L1981" s="1">
        <v>1</v>
      </c>
      <c r="M1981" s="2">
        <v>41905</v>
      </c>
      <c r="N1981" s="1">
        <v>1</v>
      </c>
      <c r="O1981" s="2">
        <v>41905</v>
      </c>
      <c r="P1981" s="1">
        <v>16548</v>
      </c>
      <c r="Q1981" s="1" t="s">
        <v>197</v>
      </c>
      <c r="R1981" s="2">
        <v>41996</v>
      </c>
      <c r="S1981" s="1">
        <v>132820</v>
      </c>
      <c r="U1981" s="1">
        <v>500</v>
      </c>
      <c r="V1981" s="1" t="s">
        <v>8049</v>
      </c>
      <c r="W1981" s="1" t="s">
        <v>1056</v>
      </c>
      <c r="X1981" s="1">
        <v>207</v>
      </c>
      <c r="Y1981" s="1">
        <v>40</v>
      </c>
      <c r="Z1981" s="1" t="s">
        <v>249</v>
      </c>
      <c r="AA1981" s="1" t="s">
        <v>1927</v>
      </c>
      <c r="AB1981" s="1">
        <v>60148</v>
      </c>
      <c r="AD1981" s="1" t="s">
        <v>7401</v>
      </c>
      <c r="AE1981" s="1" t="s">
        <v>18100</v>
      </c>
      <c r="AF1981" s="1">
        <v>2006</v>
      </c>
      <c r="AG1981" s="1" t="s">
        <v>204</v>
      </c>
      <c r="AH1981" s="1" t="s">
        <v>1930</v>
      </c>
      <c r="AI1981" s="1" t="s">
        <v>206</v>
      </c>
      <c r="AJ1981" s="1" t="s">
        <v>1608</v>
      </c>
      <c r="AK1981" s="1" t="s">
        <v>9664</v>
      </c>
      <c r="AL1981" s="1">
        <v>4</v>
      </c>
      <c r="AM1981" s="1">
        <v>2</v>
      </c>
      <c r="AN1981" s="1">
        <v>2</v>
      </c>
      <c r="AO1981" s="1">
        <v>0</v>
      </c>
      <c r="AP1981" s="1" t="s">
        <v>209</v>
      </c>
      <c r="AR1981" s="1" t="s">
        <v>210</v>
      </c>
      <c r="AS1981" s="1" t="s">
        <v>204</v>
      </c>
      <c r="AT1981" s="1" t="s">
        <v>211</v>
      </c>
      <c r="AU1981" s="1">
        <v>1</v>
      </c>
      <c r="AW1981" s="1" t="s">
        <v>204</v>
      </c>
      <c r="AX1981" s="1" t="s">
        <v>212</v>
      </c>
      <c r="AZ1981" s="1">
        <v>3296.46</v>
      </c>
      <c r="BA1981" s="1">
        <v>2012</v>
      </c>
      <c r="BB1981" s="1" t="s">
        <v>405</v>
      </c>
      <c r="BE1981" s="1">
        <v>1320</v>
      </c>
      <c r="BF1981" s="1">
        <v>2</v>
      </c>
      <c r="BG1981" s="1">
        <v>0</v>
      </c>
      <c r="BL1981" s="1">
        <v>212</v>
      </c>
      <c r="BM1981" s="1" t="s">
        <v>204</v>
      </c>
      <c r="BN1981" s="1" t="s">
        <v>213</v>
      </c>
      <c r="BO1981" s="1">
        <v>30</v>
      </c>
      <c r="BP1981" s="1" t="s">
        <v>204</v>
      </c>
      <c r="BR1981" s="1" t="str">
        <f>"0605429007"</f>
        <v>0605429007</v>
      </c>
      <c r="BT1981" s="1" t="s">
        <v>18101</v>
      </c>
      <c r="BU1981" s="1" t="s">
        <v>7404</v>
      </c>
      <c r="BV1981" s="1" t="s">
        <v>3929</v>
      </c>
      <c r="BW1981" s="1" t="s">
        <v>2201</v>
      </c>
      <c r="BX1981" s="1">
        <v>45</v>
      </c>
      <c r="BY1981" s="1">
        <v>45</v>
      </c>
      <c r="BZ1981" s="1">
        <v>88</v>
      </c>
      <c r="CB1981" s="1" t="str">
        <f t="shared" ref="CB1981:CC1981" si="1512">"0"</f>
        <v>0</v>
      </c>
      <c r="CC1981" s="1" t="str">
        <f t="shared" si="1512"/>
        <v>0</v>
      </c>
      <c r="CD1981" s="1">
        <v>19</v>
      </c>
      <c r="CE1981" s="1">
        <v>0</v>
      </c>
      <c r="CG1981" s="1" t="s">
        <v>931</v>
      </c>
      <c r="CH1981" s="1" t="s">
        <v>219</v>
      </c>
      <c r="CI1981" s="1" t="s">
        <v>220</v>
      </c>
      <c r="CK1981" s="1" t="s">
        <v>437</v>
      </c>
      <c r="CL1981" s="1" t="s">
        <v>219</v>
      </c>
      <c r="CM1981" s="1" t="s">
        <v>220</v>
      </c>
      <c r="CP1981" s="1" t="s">
        <v>224</v>
      </c>
      <c r="CS1981" s="1" t="s">
        <v>346</v>
      </c>
      <c r="CT1981" s="1" t="s">
        <v>219</v>
      </c>
      <c r="CU1981" s="1" t="s">
        <v>220</v>
      </c>
      <c r="CX1981" s="1" t="s">
        <v>224</v>
      </c>
      <c r="DB1981" s="1" t="s">
        <v>224</v>
      </c>
      <c r="DE1981" s="1" t="s">
        <v>2231</v>
      </c>
      <c r="DF1981" s="1" t="s">
        <v>219</v>
      </c>
      <c r="DG1981" s="1" t="s">
        <v>342</v>
      </c>
      <c r="DJ1981" s="1" t="s">
        <v>224</v>
      </c>
      <c r="DM1981" s="1" t="s">
        <v>838</v>
      </c>
      <c r="DR1981" s="1" t="s">
        <v>5875</v>
      </c>
      <c r="DS1981" s="1" t="s">
        <v>219</v>
      </c>
      <c r="DT1981" s="1" t="s">
        <v>347</v>
      </c>
      <c r="DW1981" s="1" t="s">
        <v>230</v>
      </c>
      <c r="EA1981" s="1" t="s">
        <v>230</v>
      </c>
      <c r="EE1981" s="1" t="s">
        <v>230</v>
      </c>
      <c r="EI1981" s="1" t="s">
        <v>230</v>
      </c>
      <c r="EL1981" s="1" t="s">
        <v>491</v>
      </c>
      <c r="EM1981" s="1" t="s">
        <v>232</v>
      </c>
      <c r="EN1981" s="1" t="s">
        <v>282</v>
      </c>
      <c r="EO1981" s="1" t="s">
        <v>234</v>
      </c>
      <c r="EP1981" s="1" t="s">
        <v>10476</v>
      </c>
      <c r="EQ1981" s="1" t="s">
        <v>1109</v>
      </c>
      <c r="ER1981" s="1" t="s">
        <v>210</v>
      </c>
      <c r="ES1981" s="1" t="s">
        <v>322</v>
      </c>
      <c r="EW1981" s="1" t="s">
        <v>2765</v>
      </c>
      <c r="EY1981" s="1" t="s">
        <v>441</v>
      </c>
      <c r="EZ1981" s="1" t="s">
        <v>838</v>
      </c>
      <c r="FA1981" s="1" t="s">
        <v>3615</v>
      </c>
      <c r="FD1981" s="1" t="s">
        <v>246</v>
      </c>
      <c r="FE1981" s="1" t="s">
        <v>247</v>
      </c>
      <c r="FF1981" s="1" t="s">
        <v>248</v>
      </c>
      <c r="FH1981" s="1" t="s">
        <v>249</v>
      </c>
      <c r="FL1981" s="1" t="s">
        <v>1907</v>
      </c>
      <c r="FM1981" s="1" t="s">
        <v>252</v>
      </c>
      <c r="FN1981" s="1" t="s">
        <v>213</v>
      </c>
      <c r="FO1981" s="1" t="s">
        <v>213</v>
      </c>
      <c r="FQ1981" s="1" t="s">
        <v>14088</v>
      </c>
      <c r="FR1981" s="1" t="s">
        <v>210</v>
      </c>
      <c r="FS1981" s="1" t="s">
        <v>18102</v>
      </c>
      <c r="FT1981" s="1" t="s">
        <v>675</v>
      </c>
      <c r="FU1981" s="1" t="s">
        <v>204</v>
      </c>
      <c r="FW1981" s="1" t="s">
        <v>12021</v>
      </c>
      <c r="FX1981" s="1">
        <v>16548</v>
      </c>
      <c r="FY1981" s="1" t="s">
        <v>12022</v>
      </c>
      <c r="FZ1981" s="1" t="s">
        <v>18103</v>
      </c>
      <c r="GA1981" s="1">
        <v>132820</v>
      </c>
      <c r="GB1981" s="1" t="s">
        <v>18104</v>
      </c>
      <c r="GE1981" s="1" t="s">
        <v>210</v>
      </c>
      <c r="GH1981" s="1" t="s">
        <v>800</v>
      </c>
      <c r="GI1981" s="1" t="s">
        <v>204</v>
      </c>
      <c r="GJ1981" s="1" t="s">
        <v>260</v>
      </c>
      <c r="GK1981" s="1" t="s">
        <v>210</v>
      </c>
      <c r="GL1981" s="2">
        <v>41996</v>
      </c>
    </row>
    <row r="1982" spans="1:195">
      <c r="A1982" s="1">
        <v>240000</v>
      </c>
      <c r="B1982" s="1" t="s">
        <v>195</v>
      </c>
      <c r="C1982" s="1" t="str">
        <f>"08738566"</f>
        <v>08738566</v>
      </c>
      <c r="D1982" s="1" t="s">
        <v>196</v>
      </c>
      <c r="F1982" s="1" t="str">
        <f>"101"</f>
        <v>101</v>
      </c>
      <c r="G1982" s="2">
        <v>41908</v>
      </c>
      <c r="H1982" s="1">
        <v>254900</v>
      </c>
      <c r="I1982" s="1">
        <v>249900</v>
      </c>
      <c r="J1982" s="1">
        <v>240000</v>
      </c>
      <c r="K1982" s="2">
        <v>41908</v>
      </c>
      <c r="L1982" s="1">
        <v>56</v>
      </c>
      <c r="M1982" s="2">
        <v>41963</v>
      </c>
      <c r="N1982" s="1">
        <v>56</v>
      </c>
      <c r="O1982" s="2">
        <v>41963</v>
      </c>
      <c r="P1982" s="1">
        <v>4793</v>
      </c>
      <c r="Q1982" s="1" t="s">
        <v>197</v>
      </c>
      <c r="R1982" s="2">
        <v>42002</v>
      </c>
      <c r="S1982" s="1">
        <v>37771</v>
      </c>
      <c r="U1982" s="1">
        <v>1210</v>
      </c>
      <c r="V1982" s="1" t="s">
        <v>9937</v>
      </c>
      <c r="W1982" s="1" t="s">
        <v>264</v>
      </c>
      <c r="X1982" s="1">
        <v>304</v>
      </c>
      <c r="Y1982" s="1">
        <v>42</v>
      </c>
      <c r="Z1982" s="1" t="s">
        <v>370</v>
      </c>
      <c r="AA1982" s="1" t="s">
        <v>2631</v>
      </c>
      <c r="AB1982" s="1">
        <v>60101</v>
      </c>
      <c r="AE1982" s="1" t="s">
        <v>18105</v>
      </c>
      <c r="AF1982" s="1">
        <v>2005</v>
      </c>
      <c r="AG1982" s="1" t="s">
        <v>204</v>
      </c>
      <c r="AH1982" s="1" t="s">
        <v>1233</v>
      </c>
      <c r="AI1982" s="1" t="s">
        <v>206</v>
      </c>
      <c r="AJ1982" s="1" t="s">
        <v>1233</v>
      </c>
      <c r="AL1982" s="1">
        <v>5</v>
      </c>
      <c r="AM1982" s="1">
        <v>2</v>
      </c>
      <c r="AN1982" s="1">
        <v>2</v>
      </c>
      <c r="AO1982" s="1">
        <v>0</v>
      </c>
      <c r="AP1982" s="1" t="s">
        <v>209</v>
      </c>
      <c r="AR1982" s="1" t="s">
        <v>210</v>
      </c>
      <c r="AS1982" s="1" t="s">
        <v>204</v>
      </c>
      <c r="AT1982" s="1" t="s">
        <v>211</v>
      </c>
      <c r="AU1982" s="1">
        <v>1</v>
      </c>
      <c r="AW1982" s="1" t="s">
        <v>213</v>
      </c>
      <c r="AX1982" s="1" t="s">
        <v>212</v>
      </c>
      <c r="AZ1982" s="5">
        <v>5180.74</v>
      </c>
      <c r="BA1982" s="1">
        <v>2013</v>
      </c>
      <c r="BB1982" s="1" t="s">
        <v>405</v>
      </c>
      <c r="BE1982" s="1">
        <v>1546</v>
      </c>
      <c r="BF1982" s="1">
        <v>3</v>
      </c>
      <c r="BG1982" s="1">
        <v>0</v>
      </c>
      <c r="BL1982" s="1">
        <v>331</v>
      </c>
      <c r="BM1982" s="1" t="s">
        <v>204</v>
      </c>
      <c r="BN1982" s="1" t="s">
        <v>213</v>
      </c>
      <c r="BO1982" s="1">
        <v>30</v>
      </c>
      <c r="BP1982" s="1" t="s">
        <v>204</v>
      </c>
      <c r="BR1982" s="1" t="str">
        <f>"0319215101"</f>
        <v>0319215101</v>
      </c>
      <c r="BT1982" s="1" t="s">
        <v>18106</v>
      </c>
      <c r="BU1982" s="1" t="s">
        <v>7033</v>
      </c>
      <c r="BV1982" s="1" t="s">
        <v>2720</v>
      </c>
      <c r="BW1982" s="1" t="s">
        <v>2721</v>
      </c>
      <c r="BX1982" s="1">
        <v>4</v>
      </c>
      <c r="BY1982" s="1">
        <v>4</v>
      </c>
      <c r="BZ1982" s="1">
        <v>88</v>
      </c>
      <c r="CB1982" s="1" t="str">
        <f t="shared" ref="CB1982:CC1982" si="1513">""</f>
        <v/>
      </c>
      <c r="CC1982" s="1" t="str">
        <f t="shared" si="1513"/>
        <v/>
      </c>
      <c r="CG1982" s="1" t="s">
        <v>1737</v>
      </c>
      <c r="CH1982" s="1" t="s">
        <v>784</v>
      </c>
      <c r="CI1982" s="1" t="s">
        <v>438</v>
      </c>
      <c r="CJ1982" s="1" t="s">
        <v>252</v>
      </c>
      <c r="CK1982" s="1" t="s">
        <v>581</v>
      </c>
      <c r="CL1982" s="1" t="s">
        <v>784</v>
      </c>
      <c r="CM1982" s="1" t="s">
        <v>438</v>
      </c>
      <c r="CN1982" s="1" t="s">
        <v>252</v>
      </c>
      <c r="CO1982" s="1" t="s">
        <v>581</v>
      </c>
      <c r="CP1982" s="1" t="s">
        <v>784</v>
      </c>
      <c r="CQ1982" s="1" t="s">
        <v>438</v>
      </c>
      <c r="CR1982" s="1" t="s">
        <v>252</v>
      </c>
      <c r="CS1982" s="1" t="s">
        <v>378</v>
      </c>
      <c r="CT1982" s="1" t="s">
        <v>784</v>
      </c>
      <c r="CU1982" s="1" t="s">
        <v>438</v>
      </c>
      <c r="CV1982" s="1" t="s">
        <v>343</v>
      </c>
      <c r="CX1982" s="1" t="s">
        <v>224</v>
      </c>
      <c r="DB1982" s="1" t="s">
        <v>224</v>
      </c>
      <c r="DE1982" s="1" t="s">
        <v>346</v>
      </c>
      <c r="DF1982" s="1" t="s">
        <v>784</v>
      </c>
      <c r="DG1982" s="1" t="s">
        <v>438</v>
      </c>
      <c r="DH1982" s="1" t="s">
        <v>210</v>
      </c>
      <c r="DJ1982" s="1" t="s">
        <v>224</v>
      </c>
      <c r="DS1982" s="1" t="s">
        <v>230</v>
      </c>
      <c r="DW1982" s="1" t="s">
        <v>230</v>
      </c>
      <c r="EA1982" s="1" t="s">
        <v>230</v>
      </c>
      <c r="EE1982" s="1" t="s">
        <v>230</v>
      </c>
      <c r="EI1982" s="1" t="s">
        <v>230</v>
      </c>
      <c r="EL1982" s="1" t="s">
        <v>491</v>
      </c>
      <c r="EM1982" s="1" t="s">
        <v>232</v>
      </c>
      <c r="EN1982" s="1" t="s">
        <v>282</v>
      </c>
      <c r="EO1982" s="1" t="s">
        <v>1020</v>
      </c>
      <c r="EP1982" s="1" t="s">
        <v>18107</v>
      </c>
      <c r="EQ1982" s="1" t="s">
        <v>492</v>
      </c>
      <c r="ER1982" s="1" t="s">
        <v>210</v>
      </c>
      <c r="ES1982" s="1" t="s">
        <v>608</v>
      </c>
      <c r="ET1982" s="1" t="s">
        <v>1752</v>
      </c>
      <c r="EU1982" s="1" t="s">
        <v>239</v>
      </c>
      <c r="EV1982" s="1" t="s">
        <v>240</v>
      </c>
      <c r="EW1982" s="1" t="s">
        <v>18108</v>
      </c>
      <c r="EZ1982" s="1" t="s">
        <v>287</v>
      </c>
      <c r="FA1982" s="1" t="s">
        <v>11868</v>
      </c>
      <c r="FB1982" s="1" t="s">
        <v>4027</v>
      </c>
      <c r="FD1982" s="1" t="s">
        <v>18109</v>
      </c>
      <c r="FE1982" s="1" t="s">
        <v>247</v>
      </c>
      <c r="FF1982" s="1" t="s">
        <v>248</v>
      </c>
      <c r="FH1982" s="1" t="s">
        <v>249</v>
      </c>
      <c r="FI1982" s="1" t="s">
        <v>250</v>
      </c>
      <c r="FJ1982" s="1" t="s">
        <v>18110</v>
      </c>
      <c r="FL1982" s="1" t="s">
        <v>1907</v>
      </c>
      <c r="FM1982" s="1" t="s">
        <v>252</v>
      </c>
      <c r="FN1982" s="1" t="s">
        <v>213</v>
      </c>
      <c r="FO1982" s="1" t="s">
        <v>213</v>
      </c>
      <c r="FQ1982" s="1" t="s">
        <v>18111</v>
      </c>
      <c r="FR1982" s="1" t="s">
        <v>210</v>
      </c>
      <c r="FS1982" s="1" t="s">
        <v>18112</v>
      </c>
      <c r="FT1982" s="1" t="s">
        <v>520</v>
      </c>
      <c r="FU1982" s="1" t="s">
        <v>204</v>
      </c>
      <c r="FW1982" s="1" t="s">
        <v>2726</v>
      </c>
      <c r="FX1982" s="1">
        <v>1109</v>
      </c>
      <c r="FY1982" s="1" t="s">
        <v>2727</v>
      </c>
      <c r="FZ1982" s="1" t="s">
        <v>18113</v>
      </c>
      <c r="GA1982" s="1">
        <v>923543</v>
      </c>
      <c r="GB1982" s="1" t="s">
        <v>18114</v>
      </c>
      <c r="GC1982" s="1">
        <v>243396</v>
      </c>
      <c r="GE1982" s="1" t="s">
        <v>210</v>
      </c>
      <c r="GH1982" s="1" t="s">
        <v>230</v>
      </c>
      <c r="GI1982" s="1" t="s">
        <v>213</v>
      </c>
      <c r="GJ1982" s="1" t="s">
        <v>260</v>
      </c>
      <c r="GK1982" s="1" t="s">
        <v>261</v>
      </c>
      <c r="GL1982" s="2">
        <v>42002</v>
      </c>
      <c r="GM1982" s="1" t="s">
        <v>18115</v>
      </c>
    </row>
    <row r="1983" spans="1:195">
      <c r="A1983" s="1">
        <v>102709</v>
      </c>
      <c r="B1983" s="1" t="s">
        <v>195</v>
      </c>
      <c r="C1983" s="1" t="str">
        <f>"08737516"</f>
        <v>08737516</v>
      </c>
      <c r="D1983" s="1" t="s">
        <v>196</v>
      </c>
      <c r="F1983" s="1" t="str">
        <f>"540"</f>
        <v>540</v>
      </c>
      <c r="G1983" s="2">
        <v>41907</v>
      </c>
      <c r="H1983" s="1">
        <v>138860</v>
      </c>
      <c r="I1983" s="1">
        <v>108860</v>
      </c>
      <c r="J1983" s="1">
        <v>102709</v>
      </c>
      <c r="K1983" s="2">
        <v>41907</v>
      </c>
      <c r="L1983" s="1">
        <v>134</v>
      </c>
      <c r="M1983" s="2">
        <v>42040</v>
      </c>
      <c r="N1983" s="1">
        <v>134</v>
      </c>
      <c r="O1983" s="2">
        <v>42040</v>
      </c>
      <c r="P1983" s="1">
        <v>24695</v>
      </c>
      <c r="Q1983" s="1" t="s">
        <v>302</v>
      </c>
      <c r="R1983" s="2">
        <v>42062</v>
      </c>
      <c r="S1983" s="1">
        <v>228623</v>
      </c>
      <c r="U1983" s="1">
        <v>1201</v>
      </c>
      <c r="V1983" s="1" t="s">
        <v>11167</v>
      </c>
      <c r="W1983" s="1" t="s">
        <v>504</v>
      </c>
      <c r="Y1983" s="1">
        <v>4</v>
      </c>
      <c r="Z1983" s="1" t="s">
        <v>370</v>
      </c>
      <c r="AA1983" s="1" t="s">
        <v>921</v>
      </c>
      <c r="AB1983" s="1">
        <v>60540</v>
      </c>
      <c r="AE1983" s="1" t="s">
        <v>18116</v>
      </c>
      <c r="AF1983" s="1">
        <v>1990</v>
      </c>
      <c r="AG1983" s="1" t="s">
        <v>204</v>
      </c>
      <c r="AH1983" s="1" t="s">
        <v>924</v>
      </c>
      <c r="AI1983" s="1" t="s">
        <v>206</v>
      </c>
      <c r="AJ1983" s="1" t="s">
        <v>924</v>
      </c>
      <c r="AL1983" s="1">
        <v>5</v>
      </c>
      <c r="AM1983" s="1">
        <v>2</v>
      </c>
      <c r="AN1983" s="1">
        <v>2</v>
      </c>
      <c r="AO1983" s="1">
        <v>0</v>
      </c>
      <c r="AP1983" s="1" t="s">
        <v>1234</v>
      </c>
      <c r="AR1983" s="1" t="s">
        <v>210</v>
      </c>
      <c r="AS1983" s="1" t="s">
        <v>204</v>
      </c>
      <c r="AT1983" s="1" t="s">
        <v>211</v>
      </c>
      <c r="AU1983" s="1">
        <v>1</v>
      </c>
      <c r="AW1983" s="1" t="s">
        <v>204</v>
      </c>
      <c r="AX1983" s="1" t="s">
        <v>212</v>
      </c>
      <c r="AZ1983" s="1">
        <v>3331</v>
      </c>
      <c r="BA1983" s="1">
        <v>2013</v>
      </c>
      <c r="BE1983" s="1">
        <v>1149</v>
      </c>
      <c r="BF1983" s="1">
        <v>1</v>
      </c>
      <c r="BG1983" s="1">
        <v>0</v>
      </c>
      <c r="BL1983" s="1">
        <v>200</v>
      </c>
      <c r="BM1983" s="1" t="s">
        <v>413</v>
      </c>
      <c r="BN1983" s="1" t="s">
        <v>213</v>
      </c>
      <c r="BO1983" s="1">
        <v>0</v>
      </c>
      <c r="BP1983" s="1" t="s">
        <v>204</v>
      </c>
      <c r="BR1983" s="1" t="str">
        <f>"0726206105"</f>
        <v>0726206105</v>
      </c>
      <c r="BT1983" s="1" t="s">
        <v>3770</v>
      </c>
      <c r="BX1983" s="1">
        <v>204</v>
      </c>
      <c r="BY1983" s="1">
        <v>204</v>
      </c>
      <c r="BZ1983" s="1">
        <v>204</v>
      </c>
      <c r="CB1983" s="1" t="str">
        <f t="shared" ref="CB1983:CC1983" si="1514">""</f>
        <v/>
      </c>
      <c r="CC1983" s="1" t="str">
        <f t="shared" si="1514"/>
        <v/>
      </c>
      <c r="CG1983" s="1" t="s">
        <v>3525</v>
      </c>
      <c r="CH1983" s="1" t="s">
        <v>219</v>
      </c>
      <c r="CK1983" s="1" t="s">
        <v>564</v>
      </c>
      <c r="CL1983" s="1" t="s">
        <v>219</v>
      </c>
      <c r="CP1983" s="1" t="s">
        <v>224</v>
      </c>
      <c r="CS1983" s="1" t="s">
        <v>379</v>
      </c>
      <c r="CT1983" s="1" t="s">
        <v>219</v>
      </c>
      <c r="CX1983" s="1" t="s">
        <v>224</v>
      </c>
      <c r="DB1983" s="1" t="s">
        <v>224</v>
      </c>
      <c r="DE1983" s="1" t="s">
        <v>379</v>
      </c>
      <c r="DF1983" s="1" t="s">
        <v>219</v>
      </c>
      <c r="DI1983" s="1" t="s">
        <v>8089</v>
      </c>
      <c r="DJ1983" s="1" t="s">
        <v>219</v>
      </c>
      <c r="DS1983" s="1" t="s">
        <v>230</v>
      </c>
      <c r="DW1983" s="1" t="s">
        <v>230</v>
      </c>
      <c r="EA1983" s="1" t="s">
        <v>230</v>
      </c>
      <c r="EE1983" s="1" t="s">
        <v>230</v>
      </c>
      <c r="EI1983" s="1" t="s">
        <v>230</v>
      </c>
      <c r="EL1983" s="1" t="s">
        <v>382</v>
      </c>
      <c r="EM1983" s="1" t="s">
        <v>319</v>
      </c>
      <c r="EN1983" s="1" t="s">
        <v>282</v>
      </c>
      <c r="EO1983" s="1" t="s">
        <v>234</v>
      </c>
      <c r="ER1983" s="1" t="s">
        <v>210</v>
      </c>
      <c r="EW1983" s="1" t="s">
        <v>347</v>
      </c>
      <c r="EZ1983" s="1" t="s">
        <v>287</v>
      </c>
      <c r="FD1983" s="1" t="s">
        <v>246</v>
      </c>
      <c r="FE1983" s="1" t="s">
        <v>18117</v>
      </c>
      <c r="FF1983" s="1" t="s">
        <v>248</v>
      </c>
      <c r="FH1983" s="1" t="s">
        <v>825</v>
      </c>
      <c r="FJ1983" s="1" t="s">
        <v>1472</v>
      </c>
      <c r="FL1983" s="1" t="s">
        <v>358</v>
      </c>
      <c r="FM1983" s="1" t="s">
        <v>252</v>
      </c>
      <c r="FN1983" s="1" t="s">
        <v>213</v>
      </c>
      <c r="FO1983" s="1" t="s">
        <v>213</v>
      </c>
      <c r="FQ1983" s="1" t="s">
        <v>582</v>
      </c>
      <c r="FR1983" s="1" t="s">
        <v>210</v>
      </c>
      <c r="FS1983" s="1" t="s">
        <v>3772</v>
      </c>
      <c r="FT1983" s="1" t="s">
        <v>4186</v>
      </c>
      <c r="FU1983" s="1" t="s">
        <v>204</v>
      </c>
      <c r="FW1983" s="1" t="s">
        <v>3774</v>
      </c>
      <c r="FX1983" s="1">
        <v>1984</v>
      </c>
      <c r="FY1983" s="1" t="s">
        <v>3775</v>
      </c>
      <c r="FZ1983" s="1" t="s">
        <v>3776</v>
      </c>
      <c r="GA1983" s="1">
        <v>922950</v>
      </c>
      <c r="GE1983" s="1" t="s">
        <v>210</v>
      </c>
      <c r="GI1983" s="1" t="s">
        <v>204</v>
      </c>
      <c r="GJ1983" s="1" t="s">
        <v>260</v>
      </c>
      <c r="GK1983" s="1" t="s">
        <v>210</v>
      </c>
      <c r="GL1983" s="2">
        <v>42065</v>
      </c>
      <c r="GM1983" s="1" t="s">
        <v>5508</v>
      </c>
    </row>
    <row r="1984" spans="1:195">
      <c r="A1984" s="1">
        <v>176000</v>
      </c>
      <c r="B1984" s="1" t="s">
        <v>195</v>
      </c>
      <c r="C1984" s="1" t="str">
        <f>"08738137"</f>
        <v>08738137</v>
      </c>
      <c r="D1984" s="1" t="s">
        <v>196</v>
      </c>
      <c r="F1984" s="1" t="str">
        <f>"178"</f>
        <v>178</v>
      </c>
      <c r="G1984" s="2">
        <v>41907</v>
      </c>
      <c r="H1984" s="1">
        <v>183000</v>
      </c>
      <c r="I1984" s="1">
        <v>179900</v>
      </c>
      <c r="J1984" s="1">
        <v>176000</v>
      </c>
      <c r="K1984" s="2">
        <v>41907</v>
      </c>
      <c r="L1984" s="1">
        <v>120</v>
      </c>
      <c r="M1984" s="2">
        <v>42026</v>
      </c>
      <c r="N1984" s="1">
        <v>120</v>
      </c>
      <c r="O1984" s="2">
        <v>42026</v>
      </c>
      <c r="P1984" s="1">
        <v>24809</v>
      </c>
      <c r="Q1984" s="1" t="s">
        <v>197</v>
      </c>
      <c r="R1984" s="2">
        <v>42069</v>
      </c>
      <c r="S1984" s="1">
        <v>237415</v>
      </c>
      <c r="U1984" s="1">
        <v>1731</v>
      </c>
      <c r="V1984" s="1" t="s">
        <v>18118</v>
      </c>
      <c r="W1984" s="1" t="s">
        <v>449</v>
      </c>
      <c r="X1984" s="1">
        <v>1731</v>
      </c>
      <c r="Y1984" s="1">
        <v>3</v>
      </c>
      <c r="Z1984" s="1" t="s">
        <v>370</v>
      </c>
      <c r="AA1984" s="1" t="s">
        <v>3334</v>
      </c>
      <c r="AB1984" s="1">
        <v>60178</v>
      </c>
      <c r="AE1984" s="1" t="s">
        <v>18119</v>
      </c>
      <c r="AF1984" s="1">
        <v>1998</v>
      </c>
      <c r="AG1984" s="1" t="s">
        <v>204</v>
      </c>
      <c r="AH1984" s="1" t="s">
        <v>3336</v>
      </c>
      <c r="AI1984" s="1" t="s">
        <v>2246</v>
      </c>
      <c r="AJ1984" s="1" t="s">
        <v>3336</v>
      </c>
      <c r="AL1984" s="1">
        <v>8</v>
      </c>
      <c r="AM1984" s="1">
        <v>2</v>
      </c>
      <c r="AN1984" s="1">
        <v>3</v>
      </c>
      <c r="AO1984" s="1">
        <v>0</v>
      </c>
      <c r="AP1984" s="1" t="s">
        <v>209</v>
      </c>
      <c r="AQ1984" s="1">
        <v>1</v>
      </c>
      <c r="AR1984" s="1" t="s">
        <v>209</v>
      </c>
      <c r="AS1984" s="1" t="s">
        <v>213</v>
      </c>
      <c r="AT1984" s="1" t="s">
        <v>375</v>
      </c>
      <c r="AU1984" s="1">
        <v>2</v>
      </c>
      <c r="AV1984" s="1">
        <v>2</v>
      </c>
      <c r="AW1984" s="1" t="s">
        <v>204</v>
      </c>
      <c r="AX1984" s="1" t="s">
        <v>18120</v>
      </c>
      <c r="AZ1984" s="1">
        <v>5598</v>
      </c>
      <c r="BA1984" s="1">
        <v>2013</v>
      </c>
      <c r="BB1984" s="1" t="s">
        <v>405</v>
      </c>
      <c r="BE1984" s="1">
        <v>1900</v>
      </c>
      <c r="BF1984" s="1">
        <v>1</v>
      </c>
      <c r="BG1984" s="1">
        <v>0</v>
      </c>
      <c r="BL1984" s="1">
        <v>150</v>
      </c>
      <c r="BM1984" s="1" t="s">
        <v>204</v>
      </c>
      <c r="BN1984" s="1" t="s">
        <v>213</v>
      </c>
      <c r="BO1984" s="1">
        <v>0</v>
      </c>
      <c r="BP1984" s="1" t="s">
        <v>204</v>
      </c>
      <c r="BR1984" s="1" t="str">
        <f>"0631367069"</f>
        <v>0631367069</v>
      </c>
      <c r="BT1984" s="1" t="s">
        <v>18121</v>
      </c>
      <c r="BX1984" s="1">
        <v>427</v>
      </c>
      <c r="BY1984" s="1">
        <v>427</v>
      </c>
      <c r="BZ1984" s="1">
        <v>427</v>
      </c>
      <c r="CB1984" s="1" t="str">
        <f t="shared" ref="CB1984:CC1984" si="1515">""</f>
        <v/>
      </c>
      <c r="CC1984" s="1" t="str">
        <f t="shared" si="1515"/>
        <v/>
      </c>
      <c r="CG1984" s="1" t="s">
        <v>1155</v>
      </c>
      <c r="CH1984" s="1" t="s">
        <v>219</v>
      </c>
      <c r="CI1984" s="1" t="s">
        <v>220</v>
      </c>
      <c r="CK1984" s="1" t="s">
        <v>538</v>
      </c>
      <c r="CL1984" s="1" t="s">
        <v>219</v>
      </c>
      <c r="CM1984" s="1" t="s">
        <v>220</v>
      </c>
      <c r="CO1984" s="1" t="s">
        <v>539</v>
      </c>
      <c r="CP1984" s="1" t="s">
        <v>219</v>
      </c>
      <c r="CQ1984" s="1" t="s">
        <v>220</v>
      </c>
      <c r="CS1984" s="1" t="s">
        <v>317</v>
      </c>
      <c r="CT1984" s="1" t="s">
        <v>219</v>
      </c>
      <c r="CU1984" s="1" t="s">
        <v>220</v>
      </c>
      <c r="CW1984" s="1" t="s">
        <v>378</v>
      </c>
      <c r="CX1984" s="1" t="s">
        <v>43</v>
      </c>
      <c r="CY1984" s="1" t="s">
        <v>220</v>
      </c>
      <c r="DB1984" s="1" t="s">
        <v>224</v>
      </c>
      <c r="DE1984" s="1" t="s">
        <v>581</v>
      </c>
      <c r="DF1984" s="1" t="s">
        <v>219</v>
      </c>
      <c r="DG1984" s="1" t="s">
        <v>438</v>
      </c>
      <c r="DJ1984" s="1" t="s">
        <v>224</v>
      </c>
      <c r="DM1984" s="1" t="s">
        <v>411</v>
      </c>
      <c r="DN1984" s="1" t="s">
        <v>1789</v>
      </c>
      <c r="DO1984" s="1" t="s">
        <v>709</v>
      </c>
      <c r="DR1984" s="1" t="s">
        <v>539</v>
      </c>
      <c r="DS1984" s="1" t="s">
        <v>219</v>
      </c>
      <c r="DT1984" s="1" t="s">
        <v>220</v>
      </c>
      <c r="DV1984" s="1" t="s">
        <v>538</v>
      </c>
      <c r="DW1984" s="1" t="s">
        <v>219</v>
      </c>
      <c r="DX1984" s="1" t="s">
        <v>220</v>
      </c>
      <c r="DY1984" s="1" t="s">
        <v>252</v>
      </c>
      <c r="DZ1984" s="1" t="s">
        <v>2899</v>
      </c>
      <c r="EA1984" s="1" t="s">
        <v>219</v>
      </c>
      <c r="EB1984" s="1" t="s">
        <v>438</v>
      </c>
      <c r="EE1984" s="1" t="s">
        <v>230</v>
      </c>
      <c r="EI1984" s="1" t="s">
        <v>230</v>
      </c>
      <c r="EL1984" s="1" t="s">
        <v>670</v>
      </c>
      <c r="EM1984" s="1" t="s">
        <v>319</v>
      </c>
      <c r="EN1984" s="1" t="s">
        <v>282</v>
      </c>
      <c r="EO1984" s="1" t="s">
        <v>234</v>
      </c>
      <c r="EQ1984" s="1" t="s">
        <v>236</v>
      </c>
      <c r="ER1984" s="1" t="s">
        <v>351</v>
      </c>
      <c r="ES1984" s="1" t="s">
        <v>322</v>
      </c>
      <c r="ET1984" s="1" t="s">
        <v>1752</v>
      </c>
      <c r="EV1984" s="1" t="s">
        <v>240</v>
      </c>
      <c r="EW1984" s="1" t="s">
        <v>1250</v>
      </c>
      <c r="EZ1984" s="1" t="s">
        <v>18122</v>
      </c>
      <c r="FA1984" s="1" t="s">
        <v>4917</v>
      </c>
      <c r="FD1984" s="1" t="s">
        <v>246</v>
      </c>
      <c r="FE1984" s="1" t="s">
        <v>247</v>
      </c>
      <c r="FF1984" s="1" t="s">
        <v>248</v>
      </c>
      <c r="FG1984" s="1" t="s">
        <v>912</v>
      </c>
      <c r="FH1984" s="1" t="s">
        <v>3013</v>
      </c>
      <c r="FI1984" s="1" t="s">
        <v>473</v>
      </c>
      <c r="FL1984" s="1" t="s">
        <v>358</v>
      </c>
      <c r="FM1984" s="1" t="s">
        <v>252</v>
      </c>
      <c r="FN1984" s="1" t="s">
        <v>213</v>
      </c>
      <c r="FO1984" s="1" t="s">
        <v>213</v>
      </c>
      <c r="FQ1984" s="1" t="s">
        <v>2253</v>
      </c>
      <c r="FR1984" s="1" t="s">
        <v>210</v>
      </c>
      <c r="FS1984" s="1" t="s">
        <v>18123</v>
      </c>
      <c r="FT1984" s="1" t="s">
        <v>18124</v>
      </c>
      <c r="FU1984" s="1" t="s">
        <v>204</v>
      </c>
      <c r="FW1984" s="1" t="s">
        <v>958</v>
      </c>
      <c r="FX1984" s="1">
        <v>93094</v>
      </c>
      <c r="FY1984" s="1" t="s">
        <v>959</v>
      </c>
      <c r="FZ1984" s="1" t="s">
        <v>10626</v>
      </c>
      <c r="GA1984" s="1">
        <v>930255</v>
      </c>
      <c r="GB1984" s="1" t="s">
        <v>10627</v>
      </c>
      <c r="GD1984" s="1" t="s">
        <v>18125</v>
      </c>
      <c r="GE1984" s="1" t="s">
        <v>1145</v>
      </c>
      <c r="GI1984" s="1" t="s">
        <v>213</v>
      </c>
      <c r="GJ1984" s="1" t="s">
        <v>260</v>
      </c>
      <c r="GK1984" s="1" t="s">
        <v>210</v>
      </c>
      <c r="GL1984" s="2">
        <v>42069</v>
      </c>
      <c r="GM1984" s="1" t="s">
        <v>18126</v>
      </c>
    </row>
    <row r="1985" spans="1:195">
      <c r="A1985" s="1">
        <v>170000</v>
      </c>
      <c r="B1985" s="1" t="s">
        <v>195</v>
      </c>
      <c r="C1985" s="1" t="str">
        <f>"08739019"</f>
        <v>08739019</v>
      </c>
      <c r="D1985" s="1" t="s">
        <v>196</v>
      </c>
      <c r="F1985" s="1" t="str">
        <f>"134"</f>
        <v>134</v>
      </c>
      <c r="G1985" s="2">
        <v>41908</v>
      </c>
      <c r="H1985" s="1">
        <v>195000</v>
      </c>
      <c r="I1985" s="1">
        <v>174900</v>
      </c>
      <c r="J1985" s="1">
        <v>170000</v>
      </c>
      <c r="K1985" s="2">
        <v>41908</v>
      </c>
      <c r="L1985" s="1">
        <v>84</v>
      </c>
      <c r="M1985" s="2">
        <v>41991</v>
      </c>
      <c r="N1985" s="1">
        <v>84</v>
      </c>
      <c r="O1985" s="2">
        <v>41991</v>
      </c>
      <c r="P1985" s="1">
        <v>280</v>
      </c>
      <c r="Q1985" s="1" t="s">
        <v>197</v>
      </c>
      <c r="R1985" s="2">
        <v>42094</v>
      </c>
      <c r="S1985" s="1">
        <v>1127</v>
      </c>
      <c r="T1985" s="1">
        <v>2000</v>
      </c>
      <c r="U1985" s="1">
        <v>804</v>
      </c>
      <c r="V1985" s="1" t="s">
        <v>18127</v>
      </c>
      <c r="W1985" s="1" t="s">
        <v>304</v>
      </c>
      <c r="Y1985" s="1">
        <v>4</v>
      </c>
      <c r="Z1985" s="1" t="s">
        <v>370</v>
      </c>
      <c r="AA1985" s="1" t="s">
        <v>661</v>
      </c>
      <c r="AB1985" s="1">
        <v>60134</v>
      </c>
      <c r="AE1985" s="1" t="s">
        <v>18128</v>
      </c>
      <c r="AF1985" s="1">
        <v>1985</v>
      </c>
      <c r="AG1985" s="1" t="s">
        <v>204</v>
      </c>
      <c r="AH1985" s="1" t="s">
        <v>664</v>
      </c>
      <c r="AI1985" s="1" t="s">
        <v>665</v>
      </c>
      <c r="AJ1985" s="1" t="s">
        <v>664</v>
      </c>
      <c r="AL1985" s="1">
        <v>5</v>
      </c>
      <c r="AM1985" s="1">
        <v>2</v>
      </c>
      <c r="AN1985" s="1">
        <v>2</v>
      </c>
      <c r="AO1985" s="1">
        <v>0</v>
      </c>
      <c r="AP1985" s="1" t="s">
        <v>209</v>
      </c>
      <c r="AQ1985" s="1">
        <v>1</v>
      </c>
      <c r="AR1985" s="1" t="s">
        <v>210</v>
      </c>
      <c r="AS1985" s="1" t="s">
        <v>204</v>
      </c>
      <c r="AT1985" s="1" t="s">
        <v>211</v>
      </c>
      <c r="AU1985" s="1">
        <v>2</v>
      </c>
      <c r="AW1985" s="1" t="s">
        <v>204</v>
      </c>
      <c r="AX1985" s="1">
        <v>2146</v>
      </c>
      <c r="AZ1985" s="1">
        <v>2593</v>
      </c>
      <c r="BA1985" s="1">
        <v>2013</v>
      </c>
      <c r="BB1985" s="1" t="s">
        <v>3996</v>
      </c>
      <c r="BE1985" s="1">
        <v>975</v>
      </c>
      <c r="BF1985" s="1">
        <v>2</v>
      </c>
      <c r="BG1985" s="1">
        <v>0</v>
      </c>
      <c r="BL1985" s="1">
        <v>175</v>
      </c>
      <c r="BM1985" s="1" t="s">
        <v>204</v>
      </c>
      <c r="BN1985" s="1" t="s">
        <v>213</v>
      </c>
      <c r="BO1985" s="1">
        <v>999</v>
      </c>
      <c r="BP1985" s="1" t="s">
        <v>204</v>
      </c>
      <c r="BR1985" s="1" t="str">
        <f>"1203202023"</f>
        <v>1203202023</v>
      </c>
      <c r="BT1985" s="1" t="s">
        <v>18129</v>
      </c>
      <c r="BU1985" s="1" t="s">
        <v>16542</v>
      </c>
      <c r="BV1985" s="1" t="s">
        <v>2447</v>
      </c>
      <c r="BW1985" s="1" t="s">
        <v>2448</v>
      </c>
      <c r="BX1985" s="1">
        <v>304</v>
      </c>
      <c r="BY1985" s="1">
        <v>304</v>
      </c>
      <c r="BZ1985" s="1">
        <v>304</v>
      </c>
      <c r="CB1985" s="1" t="str">
        <f t="shared" ref="CB1985:CC1985" si="1516">""</f>
        <v/>
      </c>
      <c r="CC1985" s="1" t="str">
        <f t="shared" si="1516"/>
        <v/>
      </c>
      <c r="CG1985" s="1" t="s">
        <v>3071</v>
      </c>
      <c r="CH1985" s="1" t="s">
        <v>277</v>
      </c>
      <c r="CI1985" s="1" t="s">
        <v>220</v>
      </c>
      <c r="CJ1985" s="1" t="s">
        <v>252</v>
      </c>
      <c r="CK1985" s="1" t="s">
        <v>669</v>
      </c>
      <c r="CL1985" s="1" t="s">
        <v>277</v>
      </c>
      <c r="CM1985" s="1" t="s">
        <v>220</v>
      </c>
      <c r="CN1985" s="1" t="s">
        <v>252</v>
      </c>
      <c r="CO1985" s="1" t="s">
        <v>489</v>
      </c>
      <c r="CP1985" s="1" t="s">
        <v>277</v>
      </c>
      <c r="CQ1985" s="1" t="s">
        <v>220</v>
      </c>
      <c r="CR1985" s="1" t="s">
        <v>252</v>
      </c>
      <c r="CS1985" s="1" t="s">
        <v>1046</v>
      </c>
      <c r="CT1985" s="1" t="s">
        <v>277</v>
      </c>
      <c r="CU1985" s="1" t="s">
        <v>220</v>
      </c>
      <c r="CV1985" s="1" t="s">
        <v>252</v>
      </c>
      <c r="CX1985" s="1" t="s">
        <v>224</v>
      </c>
      <c r="DB1985" s="1" t="s">
        <v>224</v>
      </c>
      <c r="DE1985" s="1" t="s">
        <v>3284</v>
      </c>
      <c r="DF1985" s="1" t="s">
        <v>277</v>
      </c>
      <c r="DG1985" s="1" t="s">
        <v>342</v>
      </c>
      <c r="DH1985" s="1" t="s">
        <v>252</v>
      </c>
      <c r="DJ1985" s="1" t="s">
        <v>224</v>
      </c>
      <c r="DM1985" s="1" t="s">
        <v>709</v>
      </c>
      <c r="DN1985" s="1" t="s">
        <v>1771</v>
      </c>
      <c r="DO1985" s="1" t="s">
        <v>838</v>
      </c>
      <c r="DR1985" s="1" t="s">
        <v>18130</v>
      </c>
      <c r="DS1985" s="1" t="s">
        <v>219</v>
      </c>
      <c r="DT1985" s="1" t="s">
        <v>220</v>
      </c>
      <c r="DU1985" s="1" t="s">
        <v>210</v>
      </c>
      <c r="DV1985" s="1" t="s">
        <v>5954</v>
      </c>
      <c r="DW1985" s="1" t="s">
        <v>277</v>
      </c>
      <c r="DX1985" s="1" t="s">
        <v>220</v>
      </c>
      <c r="DZ1985" s="1" t="s">
        <v>5233</v>
      </c>
      <c r="EA1985" s="1" t="s">
        <v>277</v>
      </c>
      <c r="EB1985" s="1" t="s">
        <v>347</v>
      </c>
      <c r="EC1985" s="1" t="s">
        <v>210</v>
      </c>
      <c r="EE1985" s="1" t="s">
        <v>230</v>
      </c>
      <c r="EI1985" s="1" t="s">
        <v>230</v>
      </c>
      <c r="EL1985" s="1" t="s">
        <v>542</v>
      </c>
      <c r="EM1985" s="1" t="s">
        <v>319</v>
      </c>
      <c r="EN1985" s="1" t="s">
        <v>282</v>
      </c>
      <c r="EO1985" s="1" t="s">
        <v>234</v>
      </c>
      <c r="EQ1985" s="1" t="s">
        <v>2416</v>
      </c>
      <c r="ER1985" s="1" t="s">
        <v>210</v>
      </c>
      <c r="ES1985" s="1" t="s">
        <v>545</v>
      </c>
      <c r="EV1985" s="1" t="s">
        <v>240</v>
      </c>
      <c r="EW1985" s="1" t="s">
        <v>8084</v>
      </c>
      <c r="EZ1985" s="1" t="s">
        <v>14034</v>
      </c>
      <c r="FA1985" s="1" t="s">
        <v>1072</v>
      </c>
      <c r="FC1985" s="1" t="s">
        <v>1386</v>
      </c>
      <c r="FD1985" s="1" t="s">
        <v>246</v>
      </c>
      <c r="FE1985" s="1" t="s">
        <v>889</v>
      </c>
      <c r="FF1985" s="1" t="s">
        <v>248</v>
      </c>
      <c r="FG1985" s="1" t="s">
        <v>2406</v>
      </c>
      <c r="FH1985" s="1" t="s">
        <v>550</v>
      </c>
      <c r="FI1985" s="1" t="s">
        <v>473</v>
      </c>
      <c r="FL1985" s="1" t="s">
        <v>414</v>
      </c>
      <c r="FM1985" s="1" t="s">
        <v>252</v>
      </c>
      <c r="FN1985" s="1" t="s">
        <v>213</v>
      </c>
      <c r="FO1985" s="1" t="s">
        <v>213</v>
      </c>
      <c r="FQ1985" s="1" t="s">
        <v>17874</v>
      </c>
      <c r="FR1985" s="1" t="s">
        <v>210</v>
      </c>
      <c r="FS1985" s="1" t="s">
        <v>15358</v>
      </c>
      <c r="FT1985" s="1" t="s">
        <v>295</v>
      </c>
      <c r="FU1985" s="1" t="s">
        <v>204</v>
      </c>
      <c r="FW1985" s="1" t="s">
        <v>13153</v>
      </c>
      <c r="FX1985" s="1">
        <v>280</v>
      </c>
      <c r="FY1985" s="1" t="s">
        <v>13154</v>
      </c>
      <c r="FZ1985" s="1" t="s">
        <v>13155</v>
      </c>
      <c r="GA1985" s="1">
        <v>1127</v>
      </c>
      <c r="GB1985" s="1" t="s">
        <v>13156</v>
      </c>
      <c r="GC1985" s="1">
        <v>2089</v>
      </c>
      <c r="GD1985" s="1" t="s">
        <v>15474</v>
      </c>
      <c r="GE1985" s="1" t="s">
        <v>658</v>
      </c>
      <c r="GI1985" s="1" t="s">
        <v>213</v>
      </c>
      <c r="GJ1985" s="1" t="s">
        <v>260</v>
      </c>
      <c r="GK1985" s="1" t="s">
        <v>210</v>
      </c>
      <c r="GL1985" s="2">
        <v>42094</v>
      </c>
      <c r="GM1985" s="1" t="s">
        <v>18131</v>
      </c>
    </row>
    <row r="1986" spans="1:195">
      <c r="A1986" s="1">
        <v>158000</v>
      </c>
      <c r="B1986" s="1" t="s">
        <v>195</v>
      </c>
      <c r="C1986" s="1" t="str">
        <f>"08738332"</f>
        <v>08738332</v>
      </c>
      <c r="D1986" s="1" t="s">
        <v>196</v>
      </c>
      <c r="F1986" s="1" t="str">
        <f>"554"</f>
        <v>554</v>
      </c>
      <c r="G1986" s="2">
        <v>41908</v>
      </c>
      <c r="H1986" s="1">
        <v>169900</v>
      </c>
      <c r="I1986" s="1">
        <v>164900</v>
      </c>
      <c r="J1986" s="1">
        <v>158000</v>
      </c>
      <c r="K1986" s="2">
        <v>41906</v>
      </c>
      <c r="L1986" s="1">
        <v>127</v>
      </c>
      <c r="M1986" s="2">
        <v>42032</v>
      </c>
      <c r="N1986" s="1">
        <v>127</v>
      </c>
      <c r="O1986" s="2">
        <v>42032</v>
      </c>
      <c r="P1986" s="1">
        <v>30</v>
      </c>
      <c r="Q1986" s="1" t="s">
        <v>197</v>
      </c>
      <c r="R1986" s="2">
        <v>42076</v>
      </c>
      <c r="S1986" s="1">
        <v>523</v>
      </c>
      <c r="U1986" s="1">
        <v>1240</v>
      </c>
      <c r="V1986" s="1" t="s">
        <v>18132</v>
      </c>
      <c r="W1986" s="1" t="s">
        <v>1056</v>
      </c>
      <c r="X1986" s="1" t="s">
        <v>800</v>
      </c>
      <c r="Y1986" s="1">
        <v>4</v>
      </c>
      <c r="Z1986" s="1" t="s">
        <v>370</v>
      </c>
      <c r="AA1986" s="1" t="s">
        <v>3443</v>
      </c>
      <c r="AB1986" s="1">
        <v>60554</v>
      </c>
      <c r="AD1986" s="1" t="s">
        <v>18133</v>
      </c>
      <c r="AE1986" s="1" t="s">
        <v>18134</v>
      </c>
      <c r="AF1986" s="1">
        <v>2006</v>
      </c>
      <c r="AG1986" s="1" t="s">
        <v>204</v>
      </c>
      <c r="AH1986" s="1" t="s">
        <v>882</v>
      </c>
      <c r="AI1986" s="1" t="s">
        <v>665</v>
      </c>
      <c r="AJ1986" s="1" t="s">
        <v>3240</v>
      </c>
      <c r="AK1986" s="1" t="s">
        <v>18135</v>
      </c>
      <c r="AL1986" s="1">
        <v>6</v>
      </c>
      <c r="AM1986" s="1">
        <v>2</v>
      </c>
      <c r="AN1986" s="1">
        <v>2</v>
      </c>
      <c r="AO1986" s="1">
        <v>1</v>
      </c>
      <c r="AP1986" s="1" t="s">
        <v>209</v>
      </c>
      <c r="AQ1986" s="1">
        <v>1</v>
      </c>
      <c r="AR1986" s="1" t="s">
        <v>210</v>
      </c>
      <c r="AT1986" s="1" t="s">
        <v>211</v>
      </c>
      <c r="AU1986" s="1">
        <v>2</v>
      </c>
      <c r="AW1986" s="1" t="s">
        <v>204</v>
      </c>
      <c r="AX1986" s="1" t="s">
        <v>1632</v>
      </c>
      <c r="AZ1986" s="1">
        <v>5629</v>
      </c>
      <c r="BA1986" s="1">
        <v>2013</v>
      </c>
      <c r="BB1986" s="1" t="s">
        <v>405</v>
      </c>
      <c r="BE1986" s="1">
        <v>1588</v>
      </c>
      <c r="BF1986" s="1">
        <v>1</v>
      </c>
      <c r="BG1986" s="1">
        <v>0</v>
      </c>
      <c r="BL1986" s="1">
        <v>166</v>
      </c>
      <c r="BM1986" s="1" t="s">
        <v>204</v>
      </c>
      <c r="BN1986" s="1" t="s">
        <v>213</v>
      </c>
      <c r="BO1986" s="1">
        <v>999</v>
      </c>
      <c r="BP1986" s="1" t="s">
        <v>204</v>
      </c>
      <c r="BR1986" s="1" t="str">
        <f>"1423151006"</f>
        <v>1423151006</v>
      </c>
      <c r="BT1986" s="1" t="s">
        <v>18136</v>
      </c>
      <c r="BU1986" s="1" t="s">
        <v>18137</v>
      </c>
      <c r="BV1986" s="1" t="s">
        <v>13189</v>
      </c>
      <c r="BW1986" s="1" t="s">
        <v>13190</v>
      </c>
      <c r="BX1986" s="1">
        <v>302</v>
      </c>
      <c r="BY1986" s="1">
        <v>302</v>
      </c>
      <c r="BZ1986" s="1">
        <v>302</v>
      </c>
      <c r="CB1986" s="1" t="str">
        <f>"0"</f>
        <v>0</v>
      </c>
      <c r="CC1986" s="1" t="str">
        <f>""</f>
        <v/>
      </c>
      <c r="CD1986" s="1">
        <v>42</v>
      </c>
      <c r="CE1986" s="1">
        <v>6</v>
      </c>
      <c r="CH1986" s="1" t="s">
        <v>224</v>
      </c>
      <c r="CK1986" s="1" t="s">
        <v>1737</v>
      </c>
      <c r="CL1986" s="1" t="s">
        <v>277</v>
      </c>
      <c r="CM1986" s="1" t="s">
        <v>220</v>
      </c>
      <c r="CN1986" s="1" t="s">
        <v>252</v>
      </c>
      <c r="CO1986" s="1" t="s">
        <v>539</v>
      </c>
      <c r="CP1986" s="1" t="s">
        <v>219</v>
      </c>
      <c r="CQ1986" s="1" t="s">
        <v>226</v>
      </c>
      <c r="CR1986" s="1" t="s">
        <v>252</v>
      </c>
      <c r="CS1986" s="1" t="s">
        <v>378</v>
      </c>
      <c r="CT1986" s="1" t="s">
        <v>277</v>
      </c>
      <c r="CU1986" s="1" t="s">
        <v>220</v>
      </c>
      <c r="CV1986" s="1" t="s">
        <v>252</v>
      </c>
      <c r="CX1986" s="1" t="s">
        <v>224</v>
      </c>
      <c r="DB1986" s="1" t="s">
        <v>224</v>
      </c>
      <c r="DE1986" s="1" t="s">
        <v>931</v>
      </c>
      <c r="DF1986" s="1" t="s">
        <v>219</v>
      </c>
      <c r="DG1986" s="1" t="s">
        <v>438</v>
      </c>
      <c r="DH1986" s="1" t="s">
        <v>252</v>
      </c>
      <c r="DJ1986" s="1" t="s">
        <v>224</v>
      </c>
      <c r="DM1986" s="1" t="s">
        <v>1676</v>
      </c>
      <c r="DN1986" s="1" t="s">
        <v>464</v>
      </c>
      <c r="DR1986" s="1" t="s">
        <v>3035</v>
      </c>
      <c r="DS1986" s="1" t="s">
        <v>219</v>
      </c>
      <c r="DT1986" s="1" t="s">
        <v>226</v>
      </c>
      <c r="DU1986" s="1" t="s">
        <v>252</v>
      </c>
      <c r="DV1986" s="1" t="s">
        <v>346</v>
      </c>
      <c r="DW1986" s="1" t="s">
        <v>277</v>
      </c>
      <c r="DX1986" s="1" t="s">
        <v>220</v>
      </c>
      <c r="DY1986" s="1" t="s">
        <v>252</v>
      </c>
      <c r="EA1986" s="1" t="s">
        <v>230</v>
      </c>
      <c r="EE1986" s="1" t="s">
        <v>230</v>
      </c>
      <c r="EI1986" s="1" t="s">
        <v>230</v>
      </c>
      <c r="EL1986" s="1" t="s">
        <v>491</v>
      </c>
      <c r="EM1986" s="1" t="s">
        <v>319</v>
      </c>
      <c r="EN1986" s="1" t="s">
        <v>282</v>
      </c>
      <c r="EO1986" s="1" t="s">
        <v>840</v>
      </c>
      <c r="EP1986" s="1" t="s">
        <v>1268</v>
      </c>
      <c r="EQ1986" s="1" t="s">
        <v>3849</v>
      </c>
      <c r="ER1986" s="1" t="s">
        <v>210</v>
      </c>
      <c r="ES1986" s="1" t="s">
        <v>3850</v>
      </c>
      <c r="ET1986" s="1" t="s">
        <v>18138</v>
      </c>
      <c r="EU1986" s="1" t="s">
        <v>1820</v>
      </c>
      <c r="EV1986" s="1" t="s">
        <v>1553</v>
      </c>
      <c r="EW1986" s="1" t="s">
        <v>867</v>
      </c>
      <c r="EZ1986" s="1" t="s">
        <v>1680</v>
      </c>
      <c r="FA1986" s="1" t="s">
        <v>672</v>
      </c>
      <c r="FB1986" s="1" t="s">
        <v>289</v>
      </c>
      <c r="FC1986" s="1" t="s">
        <v>548</v>
      </c>
      <c r="FD1986" s="1" t="s">
        <v>246</v>
      </c>
      <c r="FE1986" s="1" t="s">
        <v>472</v>
      </c>
      <c r="FF1986" s="1" t="s">
        <v>1113</v>
      </c>
      <c r="FG1986" s="1" t="s">
        <v>1682</v>
      </c>
      <c r="FH1986" s="1" t="s">
        <v>550</v>
      </c>
      <c r="FI1986" s="1" t="s">
        <v>357</v>
      </c>
      <c r="FJ1986" s="1" t="s">
        <v>197</v>
      </c>
      <c r="FL1986" s="1" t="s">
        <v>358</v>
      </c>
      <c r="FM1986" s="1" t="s">
        <v>252</v>
      </c>
      <c r="FN1986" s="1" t="s">
        <v>213</v>
      </c>
      <c r="FO1986" s="1" t="s">
        <v>213</v>
      </c>
      <c r="FQ1986" s="1" t="s">
        <v>1896</v>
      </c>
      <c r="FR1986" s="1" t="s">
        <v>652</v>
      </c>
      <c r="FS1986" s="1" t="s">
        <v>18139</v>
      </c>
      <c r="FT1986" s="1" t="s">
        <v>18140</v>
      </c>
      <c r="FU1986" s="1" t="s">
        <v>204</v>
      </c>
      <c r="FV1986" s="1" t="s">
        <v>18141</v>
      </c>
      <c r="FW1986" s="1" t="s">
        <v>1652</v>
      </c>
      <c r="FX1986" s="1">
        <v>25617</v>
      </c>
      <c r="FY1986" s="1" t="s">
        <v>18142</v>
      </c>
      <c r="FZ1986" s="1" t="s">
        <v>18143</v>
      </c>
      <c r="GA1986" s="1">
        <v>245209</v>
      </c>
      <c r="GB1986" s="1" t="s">
        <v>18144</v>
      </c>
      <c r="GC1986" s="1">
        <v>245139</v>
      </c>
      <c r="GE1986" s="1" t="s">
        <v>776</v>
      </c>
      <c r="GI1986" s="1" t="s">
        <v>213</v>
      </c>
      <c r="GJ1986" s="1" t="s">
        <v>260</v>
      </c>
      <c r="GK1986" s="1" t="s">
        <v>210</v>
      </c>
      <c r="GL1986" s="2">
        <v>42076</v>
      </c>
      <c r="GM1986" s="1" t="s">
        <v>18145</v>
      </c>
    </row>
    <row r="1987" spans="1:195">
      <c r="A1987" s="1">
        <v>72900</v>
      </c>
      <c r="B1987" s="1" t="s">
        <v>195</v>
      </c>
      <c r="C1987" s="1" t="str">
        <f>"08736920"</f>
        <v>08736920</v>
      </c>
      <c r="D1987" s="1" t="s">
        <v>196</v>
      </c>
      <c r="F1987" s="1" t="str">
        <f>"635"</f>
        <v>635</v>
      </c>
      <c r="G1987" s="2">
        <v>41906</v>
      </c>
      <c r="H1987" s="1">
        <v>74900</v>
      </c>
      <c r="I1987" s="1">
        <v>74900</v>
      </c>
      <c r="J1987" s="1">
        <v>72900</v>
      </c>
      <c r="K1987" s="2">
        <v>41904</v>
      </c>
      <c r="L1987" s="1">
        <v>46</v>
      </c>
      <c r="M1987" s="2">
        <v>41949</v>
      </c>
      <c r="N1987" s="1">
        <v>46</v>
      </c>
      <c r="O1987" s="2">
        <v>41949</v>
      </c>
      <c r="P1987" s="1">
        <v>84157</v>
      </c>
      <c r="Q1987" s="1" t="s">
        <v>302</v>
      </c>
      <c r="R1987" s="2">
        <v>41983</v>
      </c>
      <c r="S1987" s="1">
        <v>103284</v>
      </c>
      <c r="U1987" s="1">
        <v>7234</v>
      </c>
      <c r="V1987" s="1" t="s">
        <v>79</v>
      </c>
      <c r="W1987" s="1" t="s">
        <v>425</v>
      </c>
      <c r="X1987" s="1">
        <v>1001</v>
      </c>
      <c r="Y1987" s="1">
        <v>198</v>
      </c>
      <c r="Z1987" s="1" t="s">
        <v>249</v>
      </c>
      <c r="AA1987" s="1" t="s">
        <v>2377</v>
      </c>
      <c r="AB1987" s="1">
        <v>60707</v>
      </c>
      <c r="AE1987" s="1" t="s">
        <v>18146</v>
      </c>
      <c r="AF1987" s="1">
        <v>1973</v>
      </c>
      <c r="AG1987" s="1" t="s">
        <v>213</v>
      </c>
      <c r="AH1987" s="1" t="s">
        <v>5686</v>
      </c>
      <c r="AI1987" s="1" t="s">
        <v>310</v>
      </c>
      <c r="AJ1987" s="1" t="s">
        <v>311</v>
      </c>
      <c r="AL1987" s="1">
        <v>5</v>
      </c>
      <c r="AM1987" s="1">
        <v>2</v>
      </c>
      <c r="AN1987" s="1">
        <v>1</v>
      </c>
      <c r="AO1987" s="1">
        <v>0</v>
      </c>
      <c r="AP1987" s="1" t="s">
        <v>210</v>
      </c>
      <c r="AR1987" s="1" t="s">
        <v>210</v>
      </c>
      <c r="AS1987" s="1" t="s">
        <v>204</v>
      </c>
      <c r="AT1987" s="1" t="s">
        <v>211</v>
      </c>
      <c r="AU1987" s="1">
        <v>1</v>
      </c>
      <c r="AW1987" s="1" t="s">
        <v>204</v>
      </c>
      <c r="AX1987" s="1" t="s">
        <v>212</v>
      </c>
      <c r="AZ1987" s="1">
        <v>1611</v>
      </c>
      <c r="BA1987" s="1">
        <v>2013</v>
      </c>
      <c r="BE1987" s="1">
        <v>0</v>
      </c>
      <c r="BF1987" s="1">
        <v>10</v>
      </c>
      <c r="BG1987" s="1">
        <v>30</v>
      </c>
      <c r="BL1987" s="1">
        <v>450</v>
      </c>
      <c r="BM1987" s="1" t="s">
        <v>413</v>
      </c>
      <c r="BN1987" s="1" t="s">
        <v>213</v>
      </c>
      <c r="BO1987" s="1">
        <v>999</v>
      </c>
      <c r="BP1987" s="1" t="s">
        <v>204</v>
      </c>
      <c r="BR1987" s="1" t="str">
        <f>"12364300411094"</f>
        <v>12364300411094</v>
      </c>
      <c r="BT1987" s="1" t="s">
        <v>18147</v>
      </c>
      <c r="BX1987" s="1">
        <v>401</v>
      </c>
      <c r="BY1987" s="1">
        <v>401</v>
      </c>
      <c r="BZ1987" s="1">
        <v>401</v>
      </c>
      <c r="CB1987" s="1" t="str">
        <f t="shared" ref="CB1987:CC1987" si="1517">""</f>
        <v/>
      </c>
      <c r="CC1987" s="1" t="str">
        <f t="shared" si="1517"/>
        <v/>
      </c>
      <c r="CG1987" s="1" t="s">
        <v>1803</v>
      </c>
      <c r="CH1987" s="1" t="s">
        <v>219</v>
      </c>
      <c r="CK1987" s="1" t="s">
        <v>378</v>
      </c>
      <c r="CL1987" s="1" t="s">
        <v>219</v>
      </c>
      <c r="CO1987" s="1" t="s">
        <v>629</v>
      </c>
      <c r="CP1987" s="1" t="s">
        <v>219</v>
      </c>
      <c r="CS1987" s="1" t="s">
        <v>379</v>
      </c>
      <c r="CT1987" s="1" t="s">
        <v>219</v>
      </c>
      <c r="CX1987" s="1" t="s">
        <v>224</v>
      </c>
      <c r="DB1987" s="1" t="s">
        <v>224</v>
      </c>
      <c r="DE1987" s="1" t="s">
        <v>630</v>
      </c>
      <c r="DF1987" s="1" t="s">
        <v>219</v>
      </c>
      <c r="DJ1987" s="1" t="s">
        <v>224</v>
      </c>
      <c r="DS1987" s="1" t="s">
        <v>230</v>
      </c>
      <c r="DW1987" s="1" t="s">
        <v>230</v>
      </c>
      <c r="EA1987" s="1" t="s">
        <v>230</v>
      </c>
      <c r="EE1987" s="1" t="s">
        <v>230</v>
      </c>
      <c r="EI1987" s="1" t="s">
        <v>230</v>
      </c>
      <c r="EL1987" s="1" t="s">
        <v>605</v>
      </c>
      <c r="EM1987" s="1" t="s">
        <v>319</v>
      </c>
      <c r="EN1987" s="1" t="s">
        <v>210</v>
      </c>
      <c r="EO1987" s="1" t="s">
        <v>234</v>
      </c>
      <c r="ER1987" s="1" t="s">
        <v>210</v>
      </c>
      <c r="EW1987" s="1" t="s">
        <v>18148</v>
      </c>
      <c r="EZ1987" s="1" t="s">
        <v>287</v>
      </c>
      <c r="FD1987" s="1" t="s">
        <v>246</v>
      </c>
      <c r="FE1987" s="1" t="s">
        <v>247</v>
      </c>
      <c r="FF1987" s="1" t="s">
        <v>248</v>
      </c>
      <c r="FH1987" s="1" t="s">
        <v>249</v>
      </c>
      <c r="FL1987" s="1" t="s">
        <v>414</v>
      </c>
      <c r="FM1987" s="1" t="s">
        <v>252</v>
      </c>
      <c r="FN1987" s="1" t="s">
        <v>213</v>
      </c>
      <c r="FO1987" s="1" t="s">
        <v>213</v>
      </c>
      <c r="FQ1987" s="1" t="s">
        <v>689</v>
      </c>
      <c r="FR1987" s="1" t="s">
        <v>210</v>
      </c>
      <c r="FS1987" s="1" t="s">
        <v>690</v>
      </c>
      <c r="FT1987" s="1" t="s">
        <v>362</v>
      </c>
      <c r="FU1987" s="1" t="s">
        <v>204</v>
      </c>
      <c r="FW1987" s="1" t="s">
        <v>692</v>
      </c>
      <c r="FX1987" s="1">
        <v>3510</v>
      </c>
      <c r="FY1987" s="1" t="s">
        <v>693</v>
      </c>
      <c r="FZ1987" s="1" t="s">
        <v>694</v>
      </c>
      <c r="GA1987" s="1">
        <v>36019</v>
      </c>
      <c r="GB1987" s="1" t="s">
        <v>693</v>
      </c>
      <c r="GE1987" s="1" t="s">
        <v>210</v>
      </c>
      <c r="GH1987" s="1" t="s">
        <v>589</v>
      </c>
      <c r="GI1987" s="1" t="s">
        <v>213</v>
      </c>
      <c r="GJ1987" s="1" t="s">
        <v>260</v>
      </c>
      <c r="GK1987" s="1" t="s">
        <v>210</v>
      </c>
      <c r="GL1987" s="2">
        <v>41983</v>
      </c>
      <c r="GM1987" s="1" t="s">
        <v>18149</v>
      </c>
    </row>
    <row r="1988" spans="1:195">
      <c r="A1988" s="1">
        <v>50000</v>
      </c>
      <c r="B1988" s="1" t="s">
        <v>195</v>
      </c>
      <c r="C1988" s="1" t="str">
        <f>"08745033"</f>
        <v>08745033</v>
      </c>
      <c r="D1988" s="1" t="s">
        <v>196</v>
      </c>
      <c r="F1988" s="1" t="str">
        <f>"8043"</f>
        <v>8043</v>
      </c>
      <c r="G1988" s="2">
        <v>41916</v>
      </c>
      <c r="H1988" s="1">
        <v>60000</v>
      </c>
      <c r="I1988" s="1">
        <v>60000</v>
      </c>
      <c r="J1988" s="1">
        <v>50000</v>
      </c>
      <c r="K1988" s="2">
        <v>41914</v>
      </c>
      <c r="L1988" s="1">
        <v>236</v>
      </c>
      <c r="M1988" s="2">
        <v>42113</v>
      </c>
      <c r="N1988" s="1">
        <v>200</v>
      </c>
      <c r="O1988" s="2">
        <v>42113</v>
      </c>
      <c r="P1988" s="1">
        <v>16734</v>
      </c>
      <c r="Q1988" s="1" t="s">
        <v>302</v>
      </c>
      <c r="R1988" s="2">
        <v>42132</v>
      </c>
      <c r="S1988" s="1">
        <v>145617</v>
      </c>
      <c r="U1988" s="1">
        <v>7141</v>
      </c>
      <c r="V1988" s="1" t="s">
        <v>18150</v>
      </c>
      <c r="W1988" s="1" t="s">
        <v>425</v>
      </c>
      <c r="X1988" s="1">
        <v>1</v>
      </c>
      <c r="Y1988" s="1">
        <v>18</v>
      </c>
      <c r="Z1988" s="1" t="s">
        <v>249</v>
      </c>
      <c r="AA1988" s="1" t="s">
        <v>400</v>
      </c>
      <c r="AB1988" s="1">
        <v>60649</v>
      </c>
      <c r="AE1988" s="1" t="s">
        <v>18151</v>
      </c>
      <c r="AF1988" s="1">
        <v>1928</v>
      </c>
      <c r="AG1988" s="1" t="s">
        <v>213</v>
      </c>
      <c r="AH1988" s="1" t="s">
        <v>403</v>
      </c>
      <c r="AI1988" s="1" t="s">
        <v>310</v>
      </c>
      <c r="AJ1988" s="1" t="s">
        <v>562</v>
      </c>
      <c r="AL1988" s="1">
        <v>6</v>
      </c>
      <c r="AM1988" s="1">
        <v>2</v>
      </c>
      <c r="AN1988" s="1">
        <v>2</v>
      </c>
      <c r="AO1988" s="1">
        <v>0</v>
      </c>
      <c r="AP1988" s="1" t="s">
        <v>209</v>
      </c>
      <c r="AR1988" s="1" t="s">
        <v>210</v>
      </c>
      <c r="AS1988" s="1" t="s">
        <v>204</v>
      </c>
      <c r="AT1988" s="1" t="s">
        <v>271</v>
      </c>
      <c r="AV1988" s="1">
        <v>1</v>
      </c>
      <c r="AW1988" s="1" t="s">
        <v>204</v>
      </c>
      <c r="AX1988" s="1" t="s">
        <v>212</v>
      </c>
      <c r="AZ1988" s="1">
        <v>2358.75</v>
      </c>
      <c r="BA1988" s="1">
        <v>2013</v>
      </c>
      <c r="BE1988" s="1">
        <v>1500</v>
      </c>
      <c r="BF1988" s="1">
        <v>2</v>
      </c>
      <c r="BG1988" s="1">
        <v>30</v>
      </c>
      <c r="BL1988" s="1">
        <v>299</v>
      </c>
      <c r="BM1988" s="1" t="s">
        <v>204</v>
      </c>
      <c r="BN1988" s="1" t="s">
        <v>204</v>
      </c>
      <c r="BP1988" s="1" t="s">
        <v>204</v>
      </c>
      <c r="BR1988" s="1" t="str">
        <f>"20251090201013"</f>
        <v>20251090201013</v>
      </c>
      <c r="BT1988" s="1" t="s">
        <v>18152</v>
      </c>
      <c r="BX1988" s="1">
        <v>299</v>
      </c>
      <c r="BY1988" s="1">
        <v>299</v>
      </c>
      <c r="BZ1988" s="1">
        <v>299</v>
      </c>
      <c r="CB1988" s="1" t="str">
        <f t="shared" ref="CB1988:CB1989" si="1518">"0"</f>
        <v>0</v>
      </c>
      <c r="CC1988" s="1" t="str">
        <f>"1900"</f>
        <v>1900</v>
      </c>
      <c r="CD1988" s="1">
        <v>0</v>
      </c>
      <c r="CE1988" s="1">
        <v>7100</v>
      </c>
      <c r="CG1988" s="1" t="s">
        <v>1615</v>
      </c>
      <c r="CH1988" s="1" t="s">
        <v>219</v>
      </c>
      <c r="CI1988" s="1" t="s">
        <v>438</v>
      </c>
      <c r="CK1988" s="1" t="s">
        <v>10469</v>
      </c>
      <c r="CL1988" s="1" t="s">
        <v>219</v>
      </c>
      <c r="CM1988" s="1" t="s">
        <v>220</v>
      </c>
      <c r="CO1988" s="1" t="s">
        <v>1358</v>
      </c>
      <c r="CP1988" s="1" t="s">
        <v>219</v>
      </c>
      <c r="CQ1988" s="1" t="s">
        <v>438</v>
      </c>
      <c r="CS1988" s="1" t="s">
        <v>1454</v>
      </c>
      <c r="CT1988" s="1" t="s">
        <v>219</v>
      </c>
      <c r="CU1988" s="1" t="s">
        <v>220</v>
      </c>
      <c r="CX1988" s="1" t="s">
        <v>224</v>
      </c>
      <c r="DB1988" s="1" t="s">
        <v>224</v>
      </c>
      <c r="DE1988" s="1" t="s">
        <v>1358</v>
      </c>
      <c r="DF1988" s="1" t="s">
        <v>219</v>
      </c>
      <c r="DG1988" s="1" t="s">
        <v>226</v>
      </c>
      <c r="DJ1988" s="1" t="s">
        <v>224</v>
      </c>
      <c r="DM1988" s="1" t="s">
        <v>10762</v>
      </c>
      <c r="DR1988" s="1" t="s">
        <v>7326</v>
      </c>
      <c r="DS1988" s="1" t="s">
        <v>219</v>
      </c>
      <c r="DT1988" s="1" t="s">
        <v>220</v>
      </c>
      <c r="DW1988" s="1" t="s">
        <v>230</v>
      </c>
      <c r="EA1988" s="1" t="s">
        <v>230</v>
      </c>
      <c r="EE1988" s="1" t="s">
        <v>230</v>
      </c>
      <c r="EI1988" s="1" t="s">
        <v>230</v>
      </c>
      <c r="EL1988" s="1" t="s">
        <v>2154</v>
      </c>
      <c r="EM1988" s="1" t="s">
        <v>319</v>
      </c>
      <c r="EN1988" s="1" t="s">
        <v>282</v>
      </c>
      <c r="EO1988" s="1" t="s">
        <v>234</v>
      </c>
      <c r="EQ1988" s="1" t="s">
        <v>350</v>
      </c>
      <c r="ER1988" s="1" t="s">
        <v>210</v>
      </c>
      <c r="ES1988" s="1" t="s">
        <v>322</v>
      </c>
      <c r="EV1988" s="1" t="s">
        <v>324</v>
      </c>
      <c r="EW1988" s="1" t="s">
        <v>937</v>
      </c>
      <c r="EZ1988" s="1" t="s">
        <v>10762</v>
      </c>
      <c r="FB1988" s="1" t="s">
        <v>734</v>
      </c>
      <c r="FD1988" s="1" t="s">
        <v>1112</v>
      </c>
      <c r="FE1988" s="1" t="s">
        <v>247</v>
      </c>
      <c r="FF1988" s="1" t="s">
        <v>248</v>
      </c>
      <c r="FH1988" s="1" t="s">
        <v>249</v>
      </c>
      <c r="FK1988" s="1" t="s">
        <v>291</v>
      </c>
      <c r="FL1988" s="1" t="s">
        <v>358</v>
      </c>
      <c r="FM1988" s="1" t="s">
        <v>252</v>
      </c>
      <c r="FN1988" s="1" t="s">
        <v>213</v>
      </c>
      <c r="FO1988" s="1" t="s">
        <v>204</v>
      </c>
      <c r="FQ1988" s="1" t="s">
        <v>1032</v>
      </c>
      <c r="FR1988" s="1" t="s">
        <v>210</v>
      </c>
      <c r="FS1988" s="1" t="s">
        <v>1709</v>
      </c>
      <c r="FT1988" s="1" t="s">
        <v>362</v>
      </c>
      <c r="FU1988" s="1" t="s">
        <v>204</v>
      </c>
      <c r="FW1988" s="1" t="s">
        <v>18153</v>
      </c>
      <c r="FX1988" s="1">
        <v>61080</v>
      </c>
      <c r="FY1988" s="1" t="s">
        <v>18154</v>
      </c>
      <c r="FZ1988" s="1" t="s">
        <v>18155</v>
      </c>
      <c r="GA1988" s="1">
        <v>242437</v>
      </c>
      <c r="GD1988" s="1" t="s">
        <v>18156</v>
      </c>
      <c r="GE1988" s="1" t="s">
        <v>210</v>
      </c>
      <c r="GH1988" s="1" t="s">
        <v>421</v>
      </c>
      <c r="GI1988" s="1" t="s">
        <v>213</v>
      </c>
      <c r="GJ1988" s="1" t="s">
        <v>260</v>
      </c>
      <c r="GK1988" s="1" t="s">
        <v>210</v>
      </c>
      <c r="GL1988" s="2">
        <v>42132</v>
      </c>
      <c r="GM1988" s="1" t="s">
        <v>18157</v>
      </c>
    </row>
    <row r="1989" spans="1:195">
      <c r="A1989" s="1">
        <v>180000</v>
      </c>
      <c r="B1989" s="1" t="s">
        <v>195</v>
      </c>
      <c r="C1989" s="1" t="str">
        <f>"08743363"</f>
        <v>08743363</v>
      </c>
      <c r="D1989" s="1" t="s">
        <v>196</v>
      </c>
      <c r="F1989" s="1" t="str">
        <f>"148"</f>
        <v>148</v>
      </c>
      <c r="G1989" s="2">
        <v>41914</v>
      </c>
      <c r="H1989" s="1">
        <v>189900</v>
      </c>
      <c r="I1989" s="1">
        <v>184900</v>
      </c>
      <c r="J1989" s="1">
        <v>180000</v>
      </c>
      <c r="K1989" s="2">
        <v>41914</v>
      </c>
      <c r="L1989" s="1">
        <v>174</v>
      </c>
      <c r="M1989" s="2">
        <v>42087</v>
      </c>
      <c r="N1989" s="1">
        <v>174</v>
      </c>
      <c r="O1989" s="2">
        <v>42087</v>
      </c>
      <c r="P1989" s="1">
        <v>24213</v>
      </c>
      <c r="Q1989" s="1" t="s">
        <v>197</v>
      </c>
      <c r="R1989" s="2">
        <v>42132</v>
      </c>
      <c r="S1989" s="1">
        <v>228245</v>
      </c>
      <c r="U1989" s="1">
        <v>1146</v>
      </c>
      <c r="V1989" s="1" t="s">
        <v>1233</v>
      </c>
      <c r="W1989" s="1" t="s">
        <v>425</v>
      </c>
      <c r="Y1989" s="1">
        <v>6</v>
      </c>
      <c r="Z1989" s="1" t="s">
        <v>370</v>
      </c>
      <c r="AA1989" s="1" t="s">
        <v>1927</v>
      </c>
      <c r="AB1989" s="1">
        <v>60148</v>
      </c>
      <c r="AD1989" s="1" t="s">
        <v>14125</v>
      </c>
      <c r="AE1989" s="1" t="s">
        <v>18158</v>
      </c>
      <c r="AF1989" s="1">
        <v>1992</v>
      </c>
      <c r="AG1989" s="1" t="s">
        <v>204</v>
      </c>
      <c r="AH1989" s="1" t="s">
        <v>1930</v>
      </c>
      <c r="AI1989" s="1" t="s">
        <v>206</v>
      </c>
      <c r="AJ1989" s="1" t="s">
        <v>1608</v>
      </c>
      <c r="AK1989" s="1" t="s">
        <v>8565</v>
      </c>
      <c r="AL1989" s="1">
        <v>5</v>
      </c>
      <c r="AM1989" s="1">
        <v>2</v>
      </c>
      <c r="AN1989" s="1">
        <v>2</v>
      </c>
      <c r="AO1989" s="1">
        <v>1</v>
      </c>
      <c r="AP1989" s="1" t="s">
        <v>209</v>
      </c>
      <c r="AR1989" s="1" t="s">
        <v>210</v>
      </c>
      <c r="AS1989" s="1" t="s">
        <v>204</v>
      </c>
      <c r="AT1989" s="1" t="s">
        <v>211</v>
      </c>
      <c r="AU1989" s="1">
        <v>1</v>
      </c>
      <c r="AW1989" s="1" t="s">
        <v>204</v>
      </c>
      <c r="AX1989" s="1" t="s">
        <v>212</v>
      </c>
      <c r="AZ1989" s="6">
        <v>3870</v>
      </c>
      <c r="BA1989" s="1">
        <v>2014</v>
      </c>
      <c r="BB1989" s="1" t="s">
        <v>210</v>
      </c>
      <c r="BE1989" s="1">
        <v>1079</v>
      </c>
      <c r="BF1989" s="1">
        <v>1</v>
      </c>
      <c r="BG1989" s="1">
        <v>0</v>
      </c>
      <c r="BL1989" s="1">
        <v>172</v>
      </c>
      <c r="BM1989" s="1" t="s">
        <v>204</v>
      </c>
      <c r="BN1989" s="1" t="s">
        <v>213</v>
      </c>
      <c r="BO1989" s="1">
        <v>999</v>
      </c>
      <c r="BP1989" s="1" t="s">
        <v>204</v>
      </c>
      <c r="BR1989" s="1" t="str">
        <f>"0616119080"</f>
        <v>0616119080</v>
      </c>
      <c r="BT1989" s="1" t="s">
        <v>18159</v>
      </c>
      <c r="BU1989" s="1" t="s">
        <v>4603</v>
      </c>
      <c r="BV1989" s="1" t="s">
        <v>2200</v>
      </c>
      <c r="BW1989" s="1" t="s">
        <v>2201</v>
      </c>
      <c r="BX1989" s="1">
        <v>45</v>
      </c>
      <c r="BY1989" s="1">
        <v>45</v>
      </c>
      <c r="BZ1989" s="1">
        <v>88</v>
      </c>
      <c r="CB1989" s="1" t="str">
        <f t="shared" si="1518"/>
        <v>0</v>
      </c>
      <c r="CC1989" s="1" t="str">
        <f>"0"</f>
        <v>0</v>
      </c>
      <c r="CD1989" s="1">
        <v>18</v>
      </c>
      <c r="CE1989" s="1">
        <v>0</v>
      </c>
      <c r="CG1989" s="1" t="s">
        <v>729</v>
      </c>
      <c r="CH1989" s="1" t="s">
        <v>219</v>
      </c>
      <c r="CI1989" s="1" t="s">
        <v>220</v>
      </c>
      <c r="CK1989" s="1" t="s">
        <v>669</v>
      </c>
      <c r="CL1989" s="1" t="s">
        <v>277</v>
      </c>
      <c r="CM1989" s="1" t="s">
        <v>220</v>
      </c>
      <c r="CO1989" s="1" t="s">
        <v>516</v>
      </c>
      <c r="CP1989" s="1" t="s">
        <v>219</v>
      </c>
      <c r="CQ1989" s="1" t="s">
        <v>220</v>
      </c>
      <c r="CS1989" s="1" t="s">
        <v>1046</v>
      </c>
      <c r="CT1989" s="1" t="s">
        <v>277</v>
      </c>
      <c r="CU1989" s="1" t="s">
        <v>220</v>
      </c>
      <c r="CX1989" s="1" t="s">
        <v>224</v>
      </c>
      <c r="DB1989" s="1" t="s">
        <v>224</v>
      </c>
      <c r="DE1989" s="1" t="s">
        <v>758</v>
      </c>
      <c r="DF1989" s="1" t="s">
        <v>219</v>
      </c>
      <c r="DG1989" s="1" t="s">
        <v>226</v>
      </c>
      <c r="DJ1989" s="1" t="s">
        <v>224</v>
      </c>
      <c r="DS1989" s="1" t="s">
        <v>230</v>
      </c>
      <c r="DW1989" s="1" t="s">
        <v>230</v>
      </c>
      <c r="EA1989" s="1" t="s">
        <v>230</v>
      </c>
      <c r="EE1989" s="1" t="s">
        <v>230</v>
      </c>
      <c r="EI1989" s="1" t="s">
        <v>230</v>
      </c>
      <c r="EL1989" s="1" t="s">
        <v>382</v>
      </c>
      <c r="EM1989" s="1" t="s">
        <v>232</v>
      </c>
      <c r="EN1989" s="1" t="s">
        <v>282</v>
      </c>
      <c r="EO1989" s="1" t="s">
        <v>234</v>
      </c>
      <c r="EP1989" s="1" t="s">
        <v>650</v>
      </c>
      <c r="EQ1989" s="1" t="s">
        <v>492</v>
      </c>
      <c r="ER1989" s="1" t="s">
        <v>210</v>
      </c>
      <c r="ES1989" s="1" t="s">
        <v>322</v>
      </c>
      <c r="EV1989" s="1" t="s">
        <v>240</v>
      </c>
      <c r="EW1989" s="1" t="s">
        <v>2778</v>
      </c>
      <c r="EZ1989" s="1" t="s">
        <v>287</v>
      </c>
      <c r="FD1989" s="1" t="s">
        <v>246</v>
      </c>
      <c r="FE1989" s="1" t="s">
        <v>870</v>
      </c>
      <c r="FF1989" s="1" t="s">
        <v>248</v>
      </c>
      <c r="FH1989" s="1" t="s">
        <v>550</v>
      </c>
      <c r="FL1989" s="1" t="s">
        <v>358</v>
      </c>
      <c r="FM1989" s="1" t="s">
        <v>252</v>
      </c>
      <c r="FN1989" s="1" t="s">
        <v>213</v>
      </c>
      <c r="FO1989" s="1" t="s">
        <v>213</v>
      </c>
      <c r="FQ1989" s="1" t="s">
        <v>18160</v>
      </c>
      <c r="FR1989" s="1" t="s">
        <v>210</v>
      </c>
      <c r="FS1989" s="1" t="s">
        <v>18161</v>
      </c>
      <c r="FT1989" s="1" t="s">
        <v>362</v>
      </c>
      <c r="FU1989" s="1" t="s">
        <v>204</v>
      </c>
      <c r="FW1989" s="1" t="s">
        <v>256</v>
      </c>
      <c r="FX1989" s="1">
        <v>25163</v>
      </c>
      <c r="FY1989" s="1" t="s">
        <v>257</v>
      </c>
      <c r="FZ1989" s="1" t="s">
        <v>4684</v>
      </c>
      <c r="GA1989" s="1">
        <v>253931</v>
      </c>
      <c r="GB1989" s="1" t="s">
        <v>4685</v>
      </c>
      <c r="GC1989" s="1">
        <v>256662</v>
      </c>
      <c r="GE1989" s="1" t="s">
        <v>210</v>
      </c>
      <c r="GH1989" s="1" t="s">
        <v>800</v>
      </c>
      <c r="GI1989" s="1" t="s">
        <v>213</v>
      </c>
      <c r="GJ1989" s="1" t="s">
        <v>260</v>
      </c>
      <c r="GK1989" s="1" t="s">
        <v>261</v>
      </c>
      <c r="GL1989" s="2">
        <v>42132</v>
      </c>
    </row>
    <row r="1990" spans="1:195">
      <c r="A1990" s="1">
        <v>160000</v>
      </c>
      <c r="B1990" s="1" t="s">
        <v>195</v>
      </c>
      <c r="C1990" s="1" t="str">
        <f>"08743545"</f>
        <v>08743545</v>
      </c>
      <c r="D1990" s="1" t="s">
        <v>196</v>
      </c>
      <c r="F1990" s="1" t="str">
        <f>"510"</f>
        <v>510</v>
      </c>
      <c r="G1990" s="2">
        <v>41914</v>
      </c>
      <c r="H1990" s="1">
        <v>169900</v>
      </c>
      <c r="I1990" s="1">
        <v>164900</v>
      </c>
      <c r="J1990" s="1">
        <v>160000</v>
      </c>
      <c r="K1990" s="2">
        <v>41914</v>
      </c>
      <c r="L1990" s="1">
        <v>30</v>
      </c>
      <c r="M1990" s="2">
        <v>41943</v>
      </c>
      <c r="N1990" s="1">
        <v>30</v>
      </c>
      <c r="O1990" s="2">
        <v>41943</v>
      </c>
      <c r="P1990" s="1">
        <v>25309</v>
      </c>
      <c r="Q1990" s="1" t="s">
        <v>197</v>
      </c>
      <c r="R1990" s="2">
        <v>41985</v>
      </c>
      <c r="S1990" s="1">
        <v>241919</v>
      </c>
      <c r="U1990" s="1">
        <v>521</v>
      </c>
      <c r="V1990" s="1" t="s">
        <v>4587</v>
      </c>
      <c r="W1990" s="1" t="s">
        <v>725</v>
      </c>
      <c r="Y1990" s="1">
        <v>2</v>
      </c>
      <c r="Z1990" s="1" t="s">
        <v>200</v>
      </c>
      <c r="AA1990" s="1" t="s">
        <v>947</v>
      </c>
      <c r="AB1990" s="1">
        <v>60510</v>
      </c>
      <c r="AE1990" s="1" t="s">
        <v>18162</v>
      </c>
      <c r="AF1990" s="1">
        <v>1971</v>
      </c>
      <c r="AG1990" s="1" t="s">
        <v>213</v>
      </c>
      <c r="AH1990" s="1" t="s">
        <v>949</v>
      </c>
      <c r="AI1990" s="1" t="s">
        <v>665</v>
      </c>
      <c r="AJ1990" s="1" t="s">
        <v>949</v>
      </c>
      <c r="AK1990" s="1" t="s">
        <v>13072</v>
      </c>
      <c r="AL1990" s="1">
        <v>5</v>
      </c>
      <c r="AM1990" s="1">
        <v>2</v>
      </c>
      <c r="AN1990" s="1">
        <v>1</v>
      </c>
      <c r="AO1990" s="1">
        <v>1</v>
      </c>
      <c r="AP1990" s="1" t="s">
        <v>210</v>
      </c>
      <c r="AR1990" s="1" t="s">
        <v>210</v>
      </c>
      <c r="AS1990" s="1" t="s">
        <v>204</v>
      </c>
      <c r="AT1990" s="1" t="s">
        <v>211</v>
      </c>
      <c r="AU1990" s="1">
        <v>1</v>
      </c>
      <c r="AW1990" s="1" t="s">
        <v>204</v>
      </c>
      <c r="AX1990" s="1" t="s">
        <v>18163</v>
      </c>
      <c r="AZ1990" s="1">
        <v>3528.08</v>
      </c>
      <c r="BA1990" s="1">
        <v>2012</v>
      </c>
      <c r="BB1990" s="1" t="s">
        <v>210</v>
      </c>
      <c r="BE1990" s="1">
        <v>1058</v>
      </c>
      <c r="BF1990" s="1">
        <v>1</v>
      </c>
      <c r="BG1990" s="1">
        <v>0</v>
      </c>
      <c r="BL1990" s="1">
        <v>0</v>
      </c>
      <c r="BM1990" s="1" t="s">
        <v>204</v>
      </c>
      <c r="BN1990" s="1" t="s">
        <v>213</v>
      </c>
      <c r="BO1990" s="1">
        <v>999</v>
      </c>
      <c r="BP1990" s="1" t="s">
        <v>204</v>
      </c>
      <c r="BR1990" s="1" t="str">
        <f>"1222306031"</f>
        <v>1222306031</v>
      </c>
      <c r="BT1990" s="1" t="s">
        <v>18164</v>
      </c>
      <c r="BU1990" s="1" t="s">
        <v>11447</v>
      </c>
      <c r="BV1990" s="1" t="s">
        <v>6404</v>
      </c>
      <c r="BW1990" s="1" t="s">
        <v>6405</v>
      </c>
      <c r="BX1990" s="1">
        <v>101</v>
      </c>
      <c r="BY1990" s="1">
        <v>101</v>
      </c>
      <c r="BZ1990" s="1">
        <v>101</v>
      </c>
      <c r="CB1990" s="1" t="str">
        <f t="shared" ref="CB1990:CC1990" si="1519">""</f>
        <v/>
      </c>
      <c r="CC1990" s="1" t="str">
        <f t="shared" si="1519"/>
        <v/>
      </c>
      <c r="CG1990" s="1" t="s">
        <v>515</v>
      </c>
      <c r="CH1990" s="1" t="s">
        <v>219</v>
      </c>
      <c r="CI1990" s="1" t="s">
        <v>438</v>
      </c>
      <c r="CK1990" s="1" t="s">
        <v>317</v>
      </c>
      <c r="CL1990" s="1" t="s">
        <v>219</v>
      </c>
      <c r="CM1990" s="1" t="s">
        <v>438</v>
      </c>
      <c r="CO1990" s="1" t="s">
        <v>629</v>
      </c>
      <c r="CP1990" s="1" t="s">
        <v>219</v>
      </c>
      <c r="CQ1990" s="1" t="s">
        <v>226</v>
      </c>
      <c r="CS1990" s="1" t="s">
        <v>465</v>
      </c>
      <c r="CT1990" s="1" t="s">
        <v>219</v>
      </c>
      <c r="CU1990" s="1" t="s">
        <v>438</v>
      </c>
      <c r="CX1990" s="1" t="s">
        <v>224</v>
      </c>
      <c r="DB1990" s="1" t="s">
        <v>224</v>
      </c>
      <c r="DE1990" s="1" t="s">
        <v>1178</v>
      </c>
      <c r="DF1990" s="1" t="s">
        <v>219</v>
      </c>
      <c r="DG1990" s="1" t="s">
        <v>438</v>
      </c>
      <c r="DJ1990" s="1" t="s">
        <v>224</v>
      </c>
      <c r="DS1990" s="1" t="s">
        <v>230</v>
      </c>
      <c r="DW1990" s="1" t="s">
        <v>230</v>
      </c>
      <c r="EA1990" s="1" t="s">
        <v>230</v>
      </c>
      <c r="EE1990" s="1" t="s">
        <v>230</v>
      </c>
      <c r="EI1990" s="1" t="s">
        <v>230</v>
      </c>
      <c r="EL1990" s="1" t="s">
        <v>605</v>
      </c>
      <c r="EM1990" s="1" t="s">
        <v>319</v>
      </c>
      <c r="EN1990" s="1" t="s">
        <v>282</v>
      </c>
      <c r="EO1990" s="1" t="s">
        <v>234</v>
      </c>
      <c r="EP1990" s="1" t="s">
        <v>650</v>
      </c>
      <c r="EQ1990" s="1" t="s">
        <v>2416</v>
      </c>
      <c r="ER1990" s="1" t="s">
        <v>210</v>
      </c>
      <c r="ES1990" s="1" t="s">
        <v>322</v>
      </c>
      <c r="ET1990" s="1" t="s">
        <v>609</v>
      </c>
      <c r="EU1990" s="1" t="s">
        <v>13574</v>
      </c>
      <c r="EW1990" s="1" t="s">
        <v>210</v>
      </c>
      <c r="EY1990" s="1" t="s">
        <v>18165</v>
      </c>
      <c r="EZ1990" s="1" t="s">
        <v>287</v>
      </c>
      <c r="FA1990" s="1" t="s">
        <v>1554</v>
      </c>
      <c r="FC1990" s="1" t="s">
        <v>548</v>
      </c>
      <c r="FD1990" s="1" t="s">
        <v>246</v>
      </c>
      <c r="FE1990" s="1" t="s">
        <v>549</v>
      </c>
      <c r="FF1990" s="1" t="s">
        <v>387</v>
      </c>
      <c r="FH1990" s="1" t="s">
        <v>442</v>
      </c>
      <c r="FI1990" s="1" t="s">
        <v>473</v>
      </c>
      <c r="FJ1990" s="1" t="s">
        <v>518</v>
      </c>
      <c r="FL1990" s="1" t="s">
        <v>358</v>
      </c>
      <c r="FM1990" s="1" t="s">
        <v>252</v>
      </c>
      <c r="FN1990" s="1" t="s">
        <v>213</v>
      </c>
      <c r="FO1990" s="1" t="s">
        <v>213</v>
      </c>
      <c r="FQ1990" s="1" t="s">
        <v>849</v>
      </c>
      <c r="FR1990" s="1" t="s">
        <v>1301</v>
      </c>
      <c r="FS1990" s="1" t="s">
        <v>18166</v>
      </c>
      <c r="FT1990" s="1" t="s">
        <v>18167</v>
      </c>
      <c r="FU1990" s="1" t="s">
        <v>204</v>
      </c>
      <c r="FW1990" s="1" t="s">
        <v>676</v>
      </c>
      <c r="FX1990" s="1">
        <v>30</v>
      </c>
      <c r="FY1990" s="1" t="s">
        <v>677</v>
      </c>
      <c r="FZ1990" s="1" t="s">
        <v>10566</v>
      </c>
      <c r="GA1990" s="1">
        <v>185</v>
      </c>
      <c r="GB1990" s="1" t="s">
        <v>10567</v>
      </c>
      <c r="GE1990" s="1" t="s">
        <v>480</v>
      </c>
      <c r="GI1990" s="1" t="s">
        <v>213</v>
      </c>
      <c r="GJ1990" s="1" t="s">
        <v>260</v>
      </c>
      <c r="GK1990" s="1" t="s">
        <v>210</v>
      </c>
      <c r="GL1990" s="2">
        <v>41985</v>
      </c>
      <c r="GM1990" s="1" t="s">
        <v>18168</v>
      </c>
    </row>
    <row r="1991" spans="1:195">
      <c r="A1991" s="1">
        <v>105000</v>
      </c>
      <c r="B1991" s="1" t="s">
        <v>195</v>
      </c>
      <c r="C1991" s="1" t="str">
        <f>"08740428"</f>
        <v>08740428</v>
      </c>
      <c r="D1991" s="1" t="s">
        <v>196</v>
      </c>
      <c r="F1991" s="1" t="str">
        <f>"107"</f>
        <v>107</v>
      </c>
      <c r="G1991" s="2">
        <v>41911</v>
      </c>
      <c r="H1991" s="1">
        <v>119900</v>
      </c>
      <c r="I1991" s="1">
        <v>114900</v>
      </c>
      <c r="J1991" s="1">
        <v>105000</v>
      </c>
      <c r="K1991" s="2">
        <v>41911</v>
      </c>
      <c r="L1991" s="1">
        <v>51</v>
      </c>
      <c r="M1991" s="2">
        <v>41961</v>
      </c>
      <c r="N1991" s="1">
        <v>51</v>
      </c>
      <c r="O1991" s="2">
        <v>41961</v>
      </c>
      <c r="P1991" s="1">
        <v>7032</v>
      </c>
      <c r="Q1991" s="1" t="s">
        <v>197</v>
      </c>
      <c r="R1991" s="2">
        <v>41992</v>
      </c>
      <c r="S1991" s="1">
        <v>8659</v>
      </c>
      <c r="U1991" s="1">
        <v>223</v>
      </c>
      <c r="V1991" s="1" t="s">
        <v>18169</v>
      </c>
      <c r="W1991" s="1" t="s">
        <v>304</v>
      </c>
      <c r="X1991" s="1">
        <v>223</v>
      </c>
      <c r="Y1991" s="1">
        <v>4</v>
      </c>
      <c r="Z1991" s="1" t="s">
        <v>370</v>
      </c>
      <c r="AA1991" s="1" t="s">
        <v>1211</v>
      </c>
      <c r="AB1991" s="1">
        <v>60107</v>
      </c>
      <c r="AD1991" s="1" t="s">
        <v>5137</v>
      </c>
      <c r="AE1991" s="1" t="s">
        <v>18170</v>
      </c>
      <c r="AF1991" s="1">
        <v>1987</v>
      </c>
      <c r="AG1991" s="1" t="s">
        <v>204</v>
      </c>
      <c r="AH1991" s="1" t="s">
        <v>1214</v>
      </c>
      <c r="AI1991" s="1" t="s">
        <v>310</v>
      </c>
      <c r="AJ1991" s="1" t="s">
        <v>374</v>
      </c>
      <c r="AK1991" s="1" t="s">
        <v>3188</v>
      </c>
      <c r="AL1991" s="1">
        <v>5</v>
      </c>
      <c r="AM1991" s="1">
        <v>2</v>
      </c>
      <c r="AN1991" s="1">
        <v>1</v>
      </c>
      <c r="AO1991" s="1">
        <v>1</v>
      </c>
      <c r="AP1991" s="1" t="s">
        <v>209</v>
      </c>
      <c r="AR1991" s="1" t="s">
        <v>210</v>
      </c>
      <c r="AS1991" s="1" t="s">
        <v>204</v>
      </c>
      <c r="AT1991" s="1" t="s">
        <v>211</v>
      </c>
      <c r="AU1991" s="1">
        <v>1</v>
      </c>
      <c r="AW1991" s="1" t="s">
        <v>204</v>
      </c>
      <c r="AX1991" s="1" t="s">
        <v>212</v>
      </c>
      <c r="AZ1991" s="1">
        <v>3108</v>
      </c>
      <c r="BA1991" s="1">
        <v>2013</v>
      </c>
      <c r="BB1991" s="1" t="s">
        <v>405</v>
      </c>
      <c r="BE1991" s="1">
        <v>1133</v>
      </c>
      <c r="BF1991" s="1">
        <v>2</v>
      </c>
      <c r="BG1991" s="1">
        <v>0</v>
      </c>
      <c r="BL1991" s="1">
        <v>225</v>
      </c>
      <c r="BM1991" s="1" t="s">
        <v>204</v>
      </c>
      <c r="BN1991" s="1" t="s">
        <v>213</v>
      </c>
      <c r="BO1991" s="1">
        <v>999</v>
      </c>
      <c r="BP1991" s="1" t="s">
        <v>204</v>
      </c>
      <c r="BR1991" s="1" t="str">
        <f>"06243130570000"</f>
        <v>06243130570000</v>
      </c>
      <c r="BT1991" s="1" t="s">
        <v>18171</v>
      </c>
      <c r="BU1991" s="1" t="s">
        <v>10704</v>
      </c>
      <c r="BV1991" s="1" t="s">
        <v>3557</v>
      </c>
      <c r="BW1991" s="1" t="s">
        <v>1217</v>
      </c>
      <c r="BX1991" s="1">
        <v>46</v>
      </c>
      <c r="BY1991" s="1">
        <v>46</v>
      </c>
      <c r="BZ1991" s="1">
        <v>46</v>
      </c>
      <c r="CB1991" s="1" t="str">
        <f>"27"</f>
        <v>27</v>
      </c>
      <c r="CC1991" s="1" t="str">
        <f>"0"</f>
        <v>0</v>
      </c>
      <c r="CD1991" s="1">
        <v>10</v>
      </c>
      <c r="CE1991" s="1">
        <v>0</v>
      </c>
      <c r="CG1991" s="1" t="s">
        <v>538</v>
      </c>
      <c r="CH1991" s="1" t="s">
        <v>219</v>
      </c>
      <c r="CI1991" s="1" t="s">
        <v>229</v>
      </c>
      <c r="CJ1991" s="1" t="s">
        <v>463</v>
      </c>
      <c r="CK1991" s="1" t="s">
        <v>729</v>
      </c>
      <c r="CL1991" s="1" t="s">
        <v>277</v>
      </c>
      <c r="CM1991" s="1" t="s">
        <v>220</v>
      </c>
      <c r="CN1991" s="1" t="s">
        <v>343</v>
      </c>
      <c r="CO1991" s="1" t="s">
        <v>316</v>
      </c>
      <c r="CP1991" s="1" t="s">
        <v>219</v>
      </c>
      <c r="CQ1991" s="1" t="s">
        <v>229</v>
      </c>
      <c r="CR1991" s="1" t="s">
        <v>343</v>
      </c>
      <c r="CS1991" s="1" t="s">
        <v>1358</v>
      </c>
      <c r="CT1991" s="1" t="s">
        <v>277</v>
      </c>
      <c r="CU1991" s="1" t="s">
        <v>220</v>
      </c>
      <c r="CX1991" s="1" t="s">
        <v>224</v>
      </c>
      <c r="DB1991" s="1" t="s">
        <v>224</v>
      </c>
      <c r="DE1991" s="1" t="s">
        <v>316</v>
      </c>
      <c r="DF1991" s="1" t="s">
        <v>219</v>
      </c>
      <c r="DG1991" s="1" t="s">
        <v>342</v>
      </c>
      <c r="DJ1991" s="1" t="s">
        <v>224</v>
      </c>
      <c r="DS1991" s="1" t="s">
        <v>230</v>
      </c>
      <c r="DW1991" s="1" t="s">
        <v>230</v>
      </c>
      <c r="EA1991" s="1" t="s">
        <v>230</v>
      </c>
      <c r="EE1991" s="1" t="s">
        <v>230</v>
      </c>
      <c r="EI1991" s="1" t="s">
        <v>230</v>
      </c>
      <c r="EL1991" s="1" t="s">
        <v>542</v>
      </c>
      <c r="EM1991" s="1" t="s">
        <v>232</v>
      </c>
      <c r="EN1991" s="1" t="s">
        <v>282</v>
      </c>
      <c r="EO1991" s="1" t="s">
        <v>234</v>
      </c>
      <c r="EP1991" s="1" t="s">
        <v>936</v>
      </c>
      <c r="EQ1991" s="1" t="s">
        <v>1094</v>
      </c>
      <c r="ER1991" s="1" t="s">
        <v>210</v>
      </c>
      <c r="ET1991" s="1" t="s">
        <v>5118</v>
      </c>
      <c r="EV1991" s="1" t="s">
        <v>240</v>
      </c>
      <c r="EW1991" s="1" t="s">
        <v>1679</v>
      </c>
      <c r="EY1991" s="1" t="s">
        <v>242</v>
      </c>
      <c r="EZ1991" s="1" t="s">
        <v>287</v>
      </c>
      <c r="FB1991" s="1" t="s">
        <v>289</v>
      </c>
      <c r="FC1991" s="1" t="s">
        <v>2690</v>
      </c>
      <c r="FD1991" s="1" t="s">
        <v>246</v>
      </c>
      <c r="FE1991" s="1" t="s">
        <v>355</v>
      </c>
      <c r="FF1991" s="1" t="s">
        <v>387</v>
      </c>
      <c r="FH1991" s="1" t="s">
        <v>550</v>
      </c>
      <c r="FJ1991" s="1" t="s">
        <v>518</v>
      </c>
      <c r="FL1991" s="1" t="s">
        <v>358</v>
      </c>
      <c r="FM1991" s="1" t="s">
        <v>252</v>
      </c>
      <c r="FN1991" s="1" t="s">
        <v>213</v>
      </c>
      <c r="FO1991" s="1" t="s">
        <v>213</v>
      </c>
      <c r="FQ1991" s="1" t="s">
        <v>1758</v>
      </c>
      <c r="FR1991" s="1" t="s">
        <v>210</v>
      </c>
      <c r="FS1991" s="1" t="s">
        <v>18172</v>
      </c>
      <c r="FT1991" s="1" t="s">
        <v>295</v>
      </c>
      <c r="FU1991" s="1" t="s">
        <v>204</v>
      </c>
      <c r="FW1991" s="1" t="s">
        <v>2726</v>
      </c>
      <c r="FX1991" s="1">
        <v>1109</v>
      </c>
      <c r="FY1991" s="1" t="s">
        <v>2727</v>
      </c>
      <c r="FZ1991" s="1" t="s">
        <v>18173</v>
      </c>
      <c r="GA1991" s="1">
        <v>84713</v>
      </c>
      <c r="GB1991" s="1" t="s">
        <v>18174</v>
      </c>
      <c r="GC1991" s="1">
        <v>27789</v>
      </c>
      <c r="GE1991" s="1" t="s">
        <v>776</v>
      </c>
      <c r="GI1991" s="1" t="s">
        <v>213</v>
      </c>
      <c r="GJ1991" s="1" t="s">
        <v>260</v>
      </c>
      <c r="GK1991" s="1" t="s">
        <v>210</v>
      </c>
      <c r="GL1991" s="2">
        <v>41992</v>
      </c>
    </row>
    <row r="1992" spans="1:195">
      <c r="A1992" s="1">
        <v>160000</v>
      </c>
      <c r="B1992" s="1" t="s">
        <v>195</v>
      </c>
      <c r="C1992" s="1" t="str">
        <f>"08769306"</f>
        <v>08769306</v>
      </c>
      <c r="D1992" s="1" t="s">
        <v>196</v>
      </c>
      <c r="F1992" s="1" t="str">
        <f>"531"</f>
        <v>531</v>
      </c>
      <c r="G1992" s="2">
        <v>41948</v>
      </c>
      <c r="H1992" s="1">
        <v>167900</v>
      </c>
      <c r="I1992" s="1">
        <v>167900</v>
      </c>
      <c r="J1992" s="1">
        <v>160000</v>
      </c>
      <c r="K1992" s="2">
        <v>41948</v>
      </c>
      <c r="L1992" s="1">
        <v>97</v>
      </c>
      <c r="M1992" s="2">
        <v>42044</v>
      </c>
      <c r="N1992" s="1">
        <v>97</v>
      </c>
      <c r="O1992" s="2">
        <v>42044</v>
      </c>
      <c r="P1992" s="1">
        <v>74002</v>
      </c>
      <c r="Q1992" s="1" t="s">
        <v>197</v>
      </c>
      <c r="R1992" s="2">
        <v>42101</v>
      </c>
      <c r="S1992" s="1">
        <v>705620</v>
      </c>
      <c r="T1992" s="1">
        <v>1500</v>
      </c>
      <c r="U1992" s="1">
        <v>13</v>
      </c>
      <c r="V1992" s="1" t="s">
        <v>18175</v>
      </c>
      <c r="W1992" s="1" t="s">
        <v>526</v>
      </c>
      <c r="X1992" s="1">
        <v>4</v>
      </c>
      <c r="Y1992" s="1">
        <v>4</v>
      </c>
      <c r="Z1992" s="1" t="s">
        <v>249</v>
      </c>
      <c r="AA1992" s="1" t="s">
        <v>2326</v>
      </c>
      <c r="AB1992" s="1">
        <v>60525</v>
      </c>
      <c r="AD1992" s="1" t="s">
        <v>18176</v>
      </c>
      <c r="AE1992" s="1" t="s">
        <v>18177</v>
      </c>
      <c r="AF1992" s="1">
        <v>1980</v>
      </c>
      <c r="AG1992" s="1" t="s">
        <v>204</v>
      </c>
      <c r="AH1992" s="1" t="s">
        <v>2329</v>
      </c>
      <c r="AI1992" s="1" t="s">
        <v>310</v>
      </c>
      <c r="AJ1992" s="1" t="s">
        <v>702</v>
      </c>
      <c r="AL1992" s="1">
        <v>5</v>
      </c>
      <c r="AM1992" s="1">
        <v>2</v>
      </c>
      <c r="AN1992" s="1">
        <v>2</v>
      </c>
      <c r="AO1992" s="1">
        <v>0</v>
      </c>
      <c r="AP1992" s="1" t="s">
        <v>209</v>
      </c>
      <c r="AQ1992" s="1">
        <v>1</v>
      </c>
      <c r="AR1992" s="1" t="s">
        <v>210</v>
      </c>
      <c r="AT1992" s="1" t="s">
        <v>211</v>
      </c>
      <c r="AU1992" s="1">
        <v>1</v>
      </c>
      <c r="AW1992" s="1" t="s">
        <v>204</v>
      </c>
      <c r="AX1992" s="1" t="s">
        <v>212</v>
      </c>
      <c r="AZ1992" s="1">
        <v>4233</v>
      </c>
      <c r="BA1992" s="1">
        <v>2013</v>
      </c>
      <c r="BB1992" s="1" t="s">
        <v>210</v>
      </c>
      <c r="BE1992" s="1">
        <v>1250</v>
      </c>
      <c r="BF1992" s="1">
        <v>2</v>
      </c>
      <c r="BG1992" s="1">
        <v>30</v>
      </c>
      <c r="BJ1992" s="1">
        <v>100</v>
      </c>
      <c r="BL1992" s="1">
        <v>232</v>
      </c>
      <c r="BM1992" s="1" t="s">
        <v>204</v>
      </c>
      <c r="BN1992" s="1" t="s">
        <v>213</v>
      </c>
      <c r="BO1992" s="1">
        <v>25</v>
      </c>
      <c r="BP1992" s="1" t="s">
        <v>204</v>
      </c>
      <c r="BR1992" s="1" t="str">
        <f>"18201000511102"</f>
        <v>18201000511102</v>
      </c>
      <c r="BT1992" s="1" t="s">
        <v>18178</v>
      </c>
      <c r="BU1992" s="1" t="s">
        <v>2495</v>
      </c>
      <c r="BV1992" s="1" t="s">
        <v>2496</v>
      </c>
      <c r="BW1992" s="1" t="s">
        <v>706</v>
      </c>
      <c r="BX1992" s="1">
        <v>106</v>
      </c>
      <c r="BY1992" s="1">
        <v>106</v>
      </c>
      <c r="BZ1992" s="1">
        <v>204</v>
      </c>
      <c r="CB1992" s="1" t="str">
        <f t="shared" ref="CB1992:CC1992" si="1520">"0"</f>
        <v>0</v>
      </c>
      <c r="CC1992" s="1" t="str">
        <f t="shared" si="1520"/>
        <v>0</v>
      </c>
      <c r="CD1992" s="1">
        <v>13</v>
      </c>
      <c r="CE1992" s="1">
        <v>7</v>
      </c>
      <c r="CG1992" s="1" t="s">
        <v>281</v>
      </c>
      <c r="CH1992" s="1" t="s">
        <v>219</v>
      </c>
      <c r="CI1992" s="1" t="s">
        <v>220</v>
      </c>
      <c r="CJ1992" s="1" t="s">
        <v>463</v>
      </c>
      <c r="CK1992" s="1" t="s">
        <v>729</v>
      </c>
      <c r="CL1992" s="1" t="s">
        <v>219</v>
      </c>
      <c r="CM1992" s="1" t="s">
        <v>220</v>
      </c>
      <c r="CN1992" s="1" t="s">
        <v>210</v>
      </c>
      <c r="CO1992" s="1" t="s">
        <v>379</v>
      </c>
      <c r="CP1992" s="1" t="s">
        <v>219</v>
      </c>
      <c r="CQ1992" s="1" t="s">
        <v>220</v>
      </c>
      <c r="CR1992" s="1" t="s">
        <v>463</v>
      </c>
      <c r="CS1992" s="1" t="s">
        <v>602</v>
      </c>
      <c r="CT1992" s="1" t="s">
        <v>219</v>
      </c>
      <c r="CU1992" s="1" t="s">
        <v>220</v>
      </c>
      <c r="CV1992" s="1" t="s">
        <v>210</v>
      </c>
      <c r="CX1992" s="1" t="s">
        <v>224</v>
      </c>
      <c r="DB1992" s="1" t="s">
        <v>224</v>
      </c>
      <c r="DE1992" s="1" t="s">
        <v>837</v>
      </c>
      <c r="DF1992" s="1" t="s">
        <v>219</v>
      </c>
      <c r="DG1992" s="1" t="s">
        <v>342</v>
      </c>
      <c r="DJ1992" s="1" t="s">
        <v>224</v>
      </c>
      <c r="DM1992" s="1" t="s">
        <v>709</v>
      </c>
      <c r="DR1992" s="1" t="s">
        <v>5954</v>
      </c>
      <c r="DS1992" s="1" t="s">
        <v>219</v>
      </c>
      <c r="DT1992" s="1" t="s">
        <v>1236</v>
      </c>
      <c r="DU1992" s="1" t="s">
        <v>210</v>
      </c>
      <c r="DW1992" s="1" t="s">
        <v>230</v>
      </c>
      <c r="EA1992" s="1" t="s">
        <v>230</v>
      </c>
      <c r="EE1992" s="1" t="s">
        <v>230</v>
      </c>
      <c r="EI1992" s="1" t="s">
        <v>230</v>
      </c>
      <c r="EL1992" s="1" t="s">
        <v>231</v>
      </c>
      <c r="EM1992" s="1" t="s">
        <v>232</v>
      </c>
      <c r="EN1992" s="1" t="s">
        <v>282</v>
      </c>
      <c r="EO1992" s="1" t="s">
        <v>234</v>
      </c>
      <c r="EP1992" s="1" t="s">
        <v>3864</v>
      </c>
      <c r="EQ1992" s="1" t="s">
        <v>1094</v>
      </c>
      <c r="ER1992" s="1" t="s">
        <v>210</v>
      </c>
      <c r="ES1992" s="1" t="s">
        <v>322</v>
      </c>
      <c r="EU1992" s="1" t="s">
        <v>239</v>
      </c>
      <c r="EV1992" s="1" t="s">
        <v>240</v>
      </c>
      <c r="EW1992" s="1" t="s">
        <v>937</v>
      </c>
      <c r="EY1992" s="1" t="s">
        <v>242</v>
      </c>
      <c r="EZ1992" s="1" t="s">
        <v>709</v>
      </c>
      <c r="FA1992" s="1" t="s">
        <v>2723</v>
      </c>
      <c r="FB1992" s="1" t="s">
        <v>1505</v>
      </c>
      <c r="FC1992" s="1" t="s">
        <v>1405</v>
      </c>
      <c r="FD1992" s="1" t="s">
        <v>246</v>
      </c>
      <c r="FE1992" s="1" t="s">
        <v>651</v>
      </c>
      <c r="FF1992" s="1" t="s">
        <v>248</v>
      </c>
      <c r="FH1992" s="1" t="s">
        <v>18179</v>
      </c>
      <c r="FI1992" s="1" t="s">
        <v>3300</v>
      </c>
      <c r="FJ1992" s="1" t="s">
        <v>197</v>
      </c>
      <c r="FL1992" s="1" t="s">
        <v>358</v>
      </c>
      <c r="FM1992" s="1" t="s">
        <v>252</v>
      </c>
      <c r="FN1992" s="1" t="s">
        <v>213</v>
      </c>
      <c r="FO1992" s="1" t="s">
        <v>213</v>
      </c>
      <c r="FQ1992" s="1" t="s">
        <v>7855</v>
      </c>
      <c r="FR1992" s="1" t="s">
        <v>210</v>
      </c>
      <c r="FS1992" s="1" t="s">
        <v>18180</v>
      </c>
      <c r="FT1992" s="1" t="s">
        <v>362</v>
      </c>
      <c r="FU1992" s="1" t="s">
        <v>204</v>
      </c>
      <c r="FW1992" s="1" t="s">
        <v>915</v>
      </c>
      <c r="FX1992" s="1">
        <v>22049</v>
      </c>
      <c r="FY1992" s="1" t="s">
        <v>4731</v>
      </c>
      <c r="FZ1992" s="1" t="s">
        <v>18181</v>
      </c>
      <c r="GA1992" s="1">
        <v>222447</v>
      </c>
      <c r="GB1992" s="1" t="s">
        <v>18182</v>
      </c>
      <c r="GD1992" s="1" t="s">
        <v>18183</v>
      </c>
      <c r="GE1992" s="1" t="s">
        <v>4021</v>
      </c>
      <c r="GI1992" s="1" t="s">
        <v>213</v>
      </c>
      <c r="GJ1992" s="1" t="s">
        <v>260</v>
      </c>
      <c r="GK1992" s="1" t="s">
        <v>210</v>
      </c>
      <c r="GL1992" s="2">
        <v>42101</v>
      </c>
      <c r="GM1992" s="1" t="s">
        <v>18184</v>
      </c>
    </row>
    <row r="1993" spans="1:195">
      <c r="A1993" s="1">
        <v>264000</v>
      </c>
      <c r="B1993" s="1" t="s">
        <v>195</v>
      </c>
      <c r="C1993" s="1" t="str">
        <f>"08738653"</f>
        <v>08738653</v>
      </c>
      <c r="D1993" s="1" t="s">
        <v>196</v>
      </c>
      <c r="F1993" s="1" t="str">
        <f>"108"</f>
        <v>108</v>
      </c>
      <c r="G1993" s="2">
        <v>41908</v>
      </c>
      <c r="H1993" s="1">
        <v>275000</v>
      </c>
      <c r="I1993" s="1">
        <v>269500</v>
      </c>
      <c r="J1993" s="1">
        <v>264000</v>
      </c>
      <c r="K1993" s="2">
        <v>41908</v>
      </c>
      <c r="L1993" s="1">
        <v>57</v>
      </c>
      <c r="M1993" s="2">
        <v>41964</v>
      </c>
      <c r="N1993" s="1">
        <v>57</v>
      </c>
      <c r="O1993" s="2">
        <v>41964</v>
      </c>
      <c r="P1993" s="1">
        <v>23076</v>
      </c>
      <c r="Q1993" s="1" t="s">
        <v>197</v>
      </c>
      <c r="R1993" s="2">
        <v>42027</v>
      </c>
      <c r="S1993" s="1">
        <v>234937</v>
      </c>
      <c r="U1993" s="1">
        <v>285</v>
      </c>
      <c r="V1993" s="1" t="s">
        <v>18185</v>
      </c>
      <c r="W1993" s="1" t="s">
        <v>449</v>
      </c>
      <c r="X1993" s="1">
        <v>285</v>
      </c>
      <c r="Y1993" s="1">
        <v>4</v>
      </c>
      <c r="Z1993" s="1" t="s">
        <v>370</v>
      </c>
      <c r="AA1993" s="1" t="s">
        <v>829</v>
      </c>
      <c r="AB1993" s="1">
        <v>60108</v>
      </c>
      <c r="AD1993" s="1" t="s">
        <v>18186</v>
      </c>
      <c r="AE1993" s="1" t="s">
        <v>18187</v>
      </c>
      <c r="AF1993" s="1">
        <v>1990</v>
      </c>
      <c r="AG1993" s="1" t="s">
        <v>204</v>
      </c>
      <c r="AH1993" s="1" t="s">
        <v>269</v>
      </c>
      <c r="AI1993" s="1" t="s">
        <v>206</v>
      </c>
      <c r="AJ1993" s="1" t="s">
        <v>269</v>
      </c>
      <c r="AK1993" s="1" t="s">
        <v>7839</v>
      </c>
      <c r="AL1993" s="1">
        <v>8</v>
      </c>
      <c r="AM1993" s="1">
        <v>2</v>
      </c>
      <c r="AN1993" s="1">
        <v>2</v>
      </c>
      <c r="AO1993" s="1">
        <v>1</v>
      </c>
      <c r="AP1993" s="1" t="s">
        <v>209</v>
      </c>
      <c r="AQ1993" s="1">
        <v>1</v>
      </c>
      <c r="AR1993" s="1" t="s">
        <v>209</v>
      </c>
      <c r="AS1993" s="1" t="s">
        <v>204</v>
      </c>
      <c r="AT1993" s="1" t="s">
        <v>211</v>
      </c>
      <c r="AU1993" s="1">
        <v>2</v>
      </c>
      <c r="AW1993" s="1" t="s">
        <v>204</v>
      </c>
      <c r="AX1993" s="1" t="s">
        <v>212</v>
      </c>
      <c r="AZ1993" s="1">
        <v>5711.22</v>
      </c>
      <c r="BA1993" s="1">
        <v>2013</v>
      </c>
      <c r="BB1993" s="1" t="s">
        <v>405</v>
      </c>
      <c r="BE1993" s="1">
        <v>1492</v>
      </c>
      <c r="BF1993" s="1">
        <v>1</v>
      </c>
      <c r="BG1993" s="1">
        <v>0</v>
      </c>
      <c r="BL1993" s="1">
        <v>310</v>
      </c>
      <c r="BM1993" s="1" t="s">
        <v>204</v>
      </c>
      <c r="BN1993" s="1" t="s">
        <v>213</v>
      </c>
      <c r="BO1993" s="1" t="s">
        <v>432</v>
      </c>
      <c r="BP1993" s="1" t="s">
        <v>204</v>
      </c>
      <c r="BR1993" s="1" t="str">
        <f>"0216116017"</f>
        <v>0216116017</v>
      </c>
      <c r="BT1993" s="1" t="s">
        <v>18188</v>
      </c>
      <c r="BU1993" s="1" t="s">
        <v>1611</v>
      </c>
      <c r="BV1993" s="1" t="s">
        <v>834</v>
      </c>
      <c r="BW1993" s="1" t="s">
        <v>275</v>
      </c>
      <c r="BX1993" s="1">
        <v>13</v>
      </c>
      <c r="BY1993" s="1">
        <v>13</v>
      </c>
      <c r="BZ1993" s="1">
        <v>108</v>
      </c>
      <c r="CB1993" s="1" t="str">
        <f>"5"</f>
        <v>5</v>
      </c>
      <c r="CC1993" s="1" t="str">
        <f>"0"</f>
        <v>0</v>
      </c>
      <c r="CD1993" s="1">
        <v>24</v>
      </c>
      <c r="CE1993" s="1">
        <v>0</v>
      </c>
      <c r="CG1993" s="1" t="s">
        <v>9820</v>
      </c>
      <c r="CH1993" s="1" t="s">
        <v>219</v>
      </c>
      <c r="CI1993" s="1" t="s">
        <v>438</v>
      </c>
      <c r="CJ1993" s="1" t="s">
        <v>343</v>
      </c>
      <c r="CK1993" s="1" t="s">
        <v>437</v>
      </c>
      <c r="CL1993" s="1" t="s">
        <v>277</v>
      </c>
      <c r="CM1993" s="1" t="s">
        <v>220</v>
      </c>
      <c r="CN1993" s="1" t="s">
        <v>343</v>
      </c>
      <c r="CO1993" s="1" t="s">
        <v>1297</v>
      </c>
      <c r="CP1993" s="1" t="s">
        <v>219</v>
      </c>
      <c r="CQ1993" s="1" t="s">
        <v>438</v>
      </c>
      <c r="CR1993" s="1" t="s">
        <v>343</v>
      </c>
      <c r="CS1993" s="1" t="s">
        <v>687</v>
      </c>
      <c r="CT1993" s="1" t="s">
        <v>277</v>
      </c>
      <c r="CU1993" s="1" t="s">
        <v>220</v>
      </c>
      <c r="CV1993" s="1" t="s">
        <v>343</v>
      </c>
      <c r="CW1993" s="1" t="s">
        <v>317</v>
      </c>
      <c r="CX1993" s="1" t="s">
        <v>43</v>
      </c>
      <c r="CY1993" s="1" t="s">
        <v>220</v>
      </c>
      <c r="CZ1993" s="1" t="s">
        <v>210</v>
      </c>
      <c r="DB1993" s="1" t="s">
        <v>224</v>
      </c>
      <c r="DE1993" s="1" t="s">
        <v>5519</v>
      </c>
      <c r="DF1993" s="1" t="s">
        <v>219</v>
      </c>
      <c r="DG1993" s="1" t="s">
        <v>226</v>
      </c>
      <c r="DH1993" s="1" t="s">
        <v>210</v>
      </c>
      <c r="DI1993" s="1" t="s">
        <v>931</v>
      </c>
      <c r="DJ1993" s="1" t="s">
        <v>43</v>
      </c>
      <c r="DK1993" s="1" t="s">
        <v>220</v>
      </c>
      <c r="DL1993" s="1" t="s">
        <v>343</v>
      </c>
      <c r="DM1993" s="1" t="s">
        <v>227</v>
      </c>
      <c r="DR1993" s="1" t="s">
        <v>379</v>
      </c>
      <c r="DS1993" s="1" t="s">
        <v>43</v>
      </c>
      <c r="DT1993" s="1" t="s">
        <v>220</v>
      </c>
      <c r="DU1993" s="1" t="s">
        <v>210</v>
      </c>
      <c r="DW1993" s="1" t="s">
        <v>230</v>
      </c>
      <c r="EA1993" s="1" t="s">
        <v>230</v>
      </c>
      <c r="EE1993" s="1" t="s">
        <v>230</v>
      </c>
      <c r="EI1993" s="1" t="s">
        <v>230</v>
      </c>
      <c r="EL1993" s="1" t="s">
        <v>382</v>
      </c>
      <c r="EM1993" s="1" t="s">
        <v>232</v>
      </c>
      <c r="EN1993" s="1" t="s">
        <v>282</v>
      </c>
      <c r="EO1993" s="1" t="s">
        <v>234</v>
      </c>
      <c r="EP1993" s="1" t="s">
        <v>650</v>
      </c>
      <c r="EQ1993" s="1" t="s">
        <v>236</v>
      </c>
      <c r="ER1993" s="1" t="s">
        <v>544</v>
      </c>
      <c r="ES1993" s="1" t="s">
        <v>3932</v>
      </c>
      <c r="EU1993" s="1" t="s">
        <v>610</v>
      </c>
      <c r="EV1993" s="1" t="s">
        <v>324</v>
      </c>
      <c r="EW1993" s="1" t="s">
        <v>353</v>
      </c>
      <c r="EY1993" s="1" t="s">
        <v>2455</v>
      </c>
      <c r="EZ1993" s="1" t="s">
        <v>227</v>
      </c>
      <c r="FA1993" s="1" t="s">
        <v>18189</v>
      </c>
      <c r="FD1993" s="1" t="s">
        <v>246</v>
      </c>
      <c r="FE1993" s="1" t="s">
        <v>549</v>
      </c>
      <c r="FF1993" s="1" t="s">
        <v>248</v>
      </c>
      <c r="FG1993" s="1" t="s">
        <v>912</v>
      </c>
      <c r="FH1993" s="1" t="s">
        <v>550</v>
      </c>
      <c r="FI1993" s="1" t="s">
        <v>473</v>
      </c>
      <c r="FL1993" s="1" t="s">
        <v>358</v>
      </c>
      <c r="FM1993" s="1" t="s">
        <v>252</v>
      </c>
      <c r="FN1993" s="1" t="s">
        <v>213</v>
      </c>
      <c r="FO1993" s="1" t="s">
        <v>213</v>
      </c>
      <c r="FQ1993" s="1" t="s">
        <v>18190</v>
      </c>
      <c r="FR1993" s="1" t="s">
        <v>210</v>
      </c>
      <c r="FS1993" s="1" t="s">
        <v>18191</v>
      </c>
      <c r="FT1993" s="1" t="s">
        <v>675</v>
      </c>
      <c r="FU1993" s="1" t="s">
        <v>204</v>
      </c>
      <c r="FW1993" s="1" t="s">
        <v>9279</v>
      </c>
      <c r="FX1993" s="1">
        <v>22739</v>
      </c>
      <c r="FY1993" s="1" t="s">
        <v>9280</v>
      </c>
      <c r="FZ1993" s="1" t="s">
        <v>11228</v>
      </c>
      <c r="GA1993" s="1">
        <v>221406</v>
      </c>
      <c r="GB1993" s="1" t="s">
        <v>11229</v>
      </c>
      <c r="GE1993" s="1" t="s">
        <v>480</v>
      </c>
      <c r="GI1993" s="1" t="s">
        <v>213</v>
      </c>
      <c r="GJ1993" s="1" t="s">
        <v>260</v>
      </c>
      <c r="GK1993" s="1" t="s">
        <v>210</v>
      </c>
      <c r="GL1993" s="2">
        <v>42030</v>
      </c>
      <c r="GM1993" s="1" t="s">
        <v>2132</v>
      </c>
    </row>
    <row r="1994" spans="1:195">
      <c r="A1994" s="1">
        <v>172000</v>
      </c>
      <c r="B1994" s="1" t="s">
        <v>195</v>
      </c>
      <c r="C1994" s="1" t="str">
        <f>"08742740"</f>
        <v>08742740</v>
      </c>
      <c r="D1994" s="1" t="s">
        <v>196</v>
      </c>
      <c r="F1994" s="1" t="str">
        <f>"187"</f>
        <v>187</v>
      </c>
      <c r="G1994" s="2">
        <v>41913</v>
      </c>
      <c r="H1994" s="1">
        <v>179900</v>
      </c>
      <c r="I1994" s="1">
        <v>179900</v>
      </c>
      <c r="J1994" s="1">
        <v>172000</v>
      </c>
      <c r="K1994" s="2">
        <v>41913</v>
      </c>
      <c r="L1994" s="1">
        <v>123</v>
      </c>
      <c r="M1994" s="2">
        <v>42035</v>
      </c>
      <c r="N1994" s="1">
        <v>123</v>
      </c>
      <c r="O1994" s="2">
        <v>42035</v>
      </c>
      <c r="P1994" s="1">
        <v>25832</v>
      </c>
      <c r="Q1994" s="1" t="s">
        <v>302</v>
      </c>
      <c r="R1994" s="2">
        <v>42081</v>
      </c>
      <c r="S1994" s="1">
        <v>215012</v>
      </c>
      <c r="U1994" s="1">
        <v>1913</v>
      </c>
      <c r="V1994" s="1" t="s">
        <v>18192</v>
      </c>
      <c r="W1994" s="1" t="s">
        <v>449</v>
      </c>
      <c r="X1994" s="1" t="s">
        <v>483</v>
      </c>
      <c r="Y1994" s="1">
        <v>3</v>
      </c>
      <c r="Z1994" s="1" t="s">
        <v>249</v>
      </c>
      <c r="AA1994" s="1" t="s">
        <v>964</v>
      </c>
      <c r="AB1994" s="1">
        <v>60189</v>
      </c>
      <c r="AE1994" s="1" t="s">
        <v>18193</v>
      </c>
      <c r="AF1994" s="1">
        <v>1984</v>
      </c>
      <c r="AG1994" s="1" t="s">
        <v>204</v>
      </c>
      <c r="AH1994" s="1" t="s">
        <v>967</v>
      </c>
      <c r="AI1994" s="1" t="s">
        <v>206</v>
      </c>
      <c r="AJ1994" s="1" t="s">
        <v>207</v>
      </c>
      <c r="AL1994" s="1">
        <v>5</v>
      </c>
      <c r="AM1994" s="1">
        <v>2</v>
      </c>
      <c r="AN1994" s="1">
        <v>1</v>
      </c>
      <c r="AO1994" s="1">
        <v>1</v>
      </c>
      <c r="AP1994" s="1" t="s">
        <v>1234</v>
      </c>
      <c r="AQ1994" s="1">
        <v>1</v>
      </c>
      <c r="AR1994" s="1" t="s">
        <v>210</v>
      </c>
      <c r="AS1994" s="1" t="s">
        <v>204</v>
      </c>
      <c r="AT1994" s="1" t="s">
        <v>211</v>
      </c>
      <c r="AU1994" s="1">
        <v>1</v>
      </c>
      <c r="AW1994" s="1" t="s">
        <v>204</v>
      </c>
      <c r="AX1994" s="1" t="s">
        <v>212</v>
      </c>
      <c r="AZ1994" s="1">
        <v>3266</v>
      </c>
      <c r="BA1994" s="1">
        <v>2013</v>
      </c>
      <c r="BE1994" s="1">
        <v>1151</v>
      </c>
      <c r="BF1994" s="1">
        <v>2</v>
      </c>
      <c r="BG1994" s="1">
        <v>0</v>
      </c>
      <c r="BL1994" s="1">
        <v>287</v>
      </c>
      <c r="BM1994" s="1" t="s">
        <v>204</v>
      </c>
      <c r="BN1994" s="1" t="s">
        <v>213</v>
      </c>
      <c r="BO1994" s="1">
        <v>50</v>
      </c>
      <c r="BP1994" s="1" t="s">
        <v>204</v>
      </c>
      <c r="BR1994" s="1" t="str">
        <f>"0519211032"</f>
        <v>0519211032</v>
      </c>
      <c r="BT1994" s="1" t="s">
        <v>18194</v>
      </c>
      <c r="BU1994" s="1" t="s">
        <v>1327</v>
      </c>
      <c r="BV1994" s="1" t="s">
        <v>14865</v>
      </c>
      <c r="BW1994" s="1" t="s">
        <v>971</v>
      </c>
      <c r="BX1994" s="1">
        <v>200</v>
      </c>
      <c r="BY1994" s="1">
        <v>200</v>
      </c>
      <c r="BZ1994" s="1">
        <v>200</v>
      </c>
      <c r="CA1994" s="1">
        <v>502</v>
      </c>
      <c r="CB1994" s="1" t="str">
        <f t="shared" ref="CB1994:CC1994" si="1521">""</f>
        <v/>
      </c>
      <c r="CC1994" s="1" t="str">
        <f t="shared" si="1521"/>
        <v/>
      </c>
      <c r="CF1994" s="1" t="s">
        <v>18195</v>
      </c>
      <c r="CG1994" s="1" t="s">
        <v>1004</v>
      </c>
      <c r="CH1994" s="1" t="s">
        <v>219</v>
      </c>
      <c r="CI1994" s="1" t="s">
        <v>229</v>
      </c>
      <c r="CK1994" s="1" t="s">
        <v>729</v>
      </c>
      <c r="CL1994" s="1" t="s">
        <v>219</v>
      </c>
      <c r="CM1994" s="1" t="s">
        <v>220</v>
      </c>
      <c r="CO1994" s="1" t="s">
        <v>409</v>
      </c>
      <c r="CP1994" s="1" t="s">
        <v>219</v>
      </c>
      <c r="CQ1994" s="1" t="s">
        <v>229</v>
      </c>
      <c r="CS1994" s="1" t="s">
        <v>932</v>
      </c>
      <c r="CT1994" s="1" t="s">
        <v>219</v>
      </c>
      <c r="CU1994" s="1" t="s">
        <v>220</v>
      </c>
      <c r="CX1994" s="1" t="s">
        <v>224</v>
      </c>
      <c r="DB1994" s="1" t="s">
        <v>224</v>
      </c>
      <c r="DE1994" s="1" t="s">
        <v>346</v>
      </c>
      <c r="DF1994" s="1" t="s">
        <v>219</v>
      </c>
      <c r="DG1994" s="1" t="s">
        <v>229</v>
      </c>
      <c r="DJ1994" s="1" t="s">
        <v>224</v>
      </c>
      <c r="DS1994" s="1" t="s">
        <v>230</v>
      </c>
      <c r="DW1994" s="1" t="s">
        <v>230</v>
      </c>
      <c r="EA1994" s="1" t="s">
        <v>230</v>
      </c>
      <c r="EE1994" s="1" t="s">
        <v>230</v>
      </c>
      <c r="EI1994" s="1" t="s">
        <v>230</v>
      </c>
      <c r="EL1994" s="1" t="s">
        <v>231</v>
      </c>
      <c r="EM1994" s="1" t="s">
        <v>319</v>
      </c>
      <c r="EN1994" s="1" t="s">
        <v>282</v>
      </c>
      <c r="EO1994" s="1" t="s">
        <v>234</v>
      </c>
      <c r="EQ1994" s="1" t="s">
        <v>350</v>
      </c>
      <c r="ER1994" s="1" t="s">
        <v>210</v>
      </c>
      <c r="ES1994" s="1" t="s">
        <v>469</v>
      </c>
      <c r="EV1994" s="1" t="s">
        <v>240</v>
      </c>
      <c r="EW1994" s="1" t="s">
        <v>353</v>
      </c>
      <c r="EZ1994" s="1" t="s">
        <v>287</v>
      </c>
      <c r="FD1994" s="1" t="s">
        <v>246</v>
      </c>
      <c r="FE1994" s="1" t="s">
        <v>386</v>
      </c>
      <c r="FF1994" s="1" t="s">
        <v>248</v>
      </c>
      <c r="FG1994" s="1" t="s">
        <v>912</v>
      </c>
      <c r="FH1994" s="1" t="s">
        <v>249</v>
      </c>
      <c r="FL1994" s="1" t="s">
        <v>414</v>
      </c>
      <c r="FM1994" s="1" t="s">
        <v>252</v>
      </c>
      <c r="FN1994" s="1" t="s">
        <v>213</v>
      </c>
      <c r="FO1994" s="1" t="s">
        <v>213</v>
      </c>
      <c r="FQ1994" s="1" t="s">
        <v>793</v>
      </c>
      <c r="FR1994" s="1" t="s">
        <v>210</v>
      </c>
      <c r="FS1994" s="1" t="s">
        <v>2541</v>
      </c>
      <c r="FT1994" s="1" t="s">
        <v>295</v>
      </c>
      <c r="FU1994" s="1" t="s">
        <v>204</v>
      </c>
      <c r="FW1994" s="1" t="s">
        <v>915</v>
      </c>
      <c r="FX1994" s="1">
        <v>25088</v>
      </c>
      <c r="FY1994" s="1" t="s">
        <v>1761</v>
      </c>
      <c r="FZ1994" s="1" t="s">
        <v>9797</v>
      </c>
      <c r="GA1994" s="1">
        <v>253914</v>
      </c>
      <c r="GB1994" s="1" t="s">
        <v>9798</v>
      </c>
      <c r="GE1994" s="1" t="s">
        <v>1256</v>
      </c>
      <c r="GI1994" s="1" t="s">
        <v>213</v>
      </c>
      <c r="GJ1994" s="1" t="s">
        <v>260</v>
      </c>
      <c r="GK1994" s="1" t="s">
        <v>210</v>
      </c>
      <c r="GL1994" s="2">
        <v>42081</v>
      </c>
    </row>
    <row r="1995" spans="1:195">
      <c r="A1995" s="1">
        <v>111000</v>
      </c>
      <c r="B1995" s="1" t="s">
        <v>195</v>
      </c>
      <c r="C1995" s="1" t="str">
        <f>"08740527"</f>
        <v>08740527</v>
      </c>
      <c r="D1995" s="1" t="s">
        <v>196</v>
      </c>
      <c r="F1995" s="1" t="str">
        <f>"30"</f>
        <v>30</v>
      </c>
      <c r="G1995" s="2">
        <v>41911</v>
      </c>
      <c r="H1995" s="1">
        <v>119900</v>
      </c>
      <c r="I1995" s="1">
        <v>117500</v>
      </c>
      <c r="J1995" s="1">
        <v>111000</v>
      </c>
      <c r="K1995" s="2">
        <v>41910</v>
      </c>
      <c r="L1995" s="1">
        <v>43</v>
      </c>
      <c r="M1995" s="2">
        <v>41952</v>
      </c>
      <c r="N1995" s="1">
        <v>43</v>
      </c>
      <c r="O1995" s="2">
        <v>41952</v>
      </c>
      <c r="P1995" s="1">
        <v>1196</v>
      </c>
      <c r="Q1995" s="1" t="s">
        <v>197</v>
      </c>
      <c r="R1995" s="2">
        <v>42034</v>
      </c>
      <c r="S1995" s="1">
        <v>89170</v>
      </c>
      <c r="U1995" s="1">
        <v>824</v>
      </c>
      <c r="V1995" s="1" t="s">
        <v>2708</v>
      </c>
      <c r="W1995" s="1" t="s">
        <v>264</v>
      </c>
      <c r="Y1995" s="1">
        <v>5</v>
      </c>
      <c r="Z1995" s="1" t="s">
        <v>200</v>
      </c>
      <c r="AA1995" s="1" t="s">
        <v>1834</v>
      </c>
      <c r="AB1995" s="1">
        <v>60030</v>
      </c>
      <c r="AD1995" s="1" t="s">
        <v>2708</v>
      </c>
      <c r="AE1995" s="1" t="s">
        <v>18196</v>
      </c>
      <c r="AF1995" s="1">
        <v>1999</v>
      </c>
      <c r="AG1995" s="1" t="s">
        <v>204</v>
      </c>
      <c r="AH1995" s="1" t="s">
        <v>1837</v>
      </c>
      <c r="AI1995" s="1" t="s">
        <v>509</v>
      </c>
      <c r="AJ1995" s="1" t="s">
        <v>1263</v>
      </c>
      <c r="AL1995" s="1">
        <v>5</v>
      </c>
      <c r="AM1995" s="1">
        <v>2</v>
      </c>
      <c r="AN1995" s="1">
        <v>1</v>
      </c>
      <c r="AO1995" s="1">
        <v>1</v>
      </c>
      <c r="AP1995" s="1" t="s">
        <v>667</v>
      </c>
      <c r="AR1995" s="1" t="s">
        <v>210</v>
      </c>
      <c r="AT1995" s="1" t="s">
        <v>211</v>
      </c>
      <c r="AU1995" s="1">
        <v>2</v>
      </c>
      <c r="AW1995" s="1" t="s">
        <v>204</v>
      </c>
      <c r="AX1995" s="1" t="s">
        <v>18197</v>
      </c>
      <c r="AZ1995" s="1">
        <v>4657</v>
      </c>
      <c r="BA1995" s="1">
        <v>2012</v>
      </c>
      <c r="BB1995" s="1" t="s">
        <v>405</v>
      </c>
      <c r="BE1995" s="1">
        <v>1236</v>
      </c>
      <c r="BF1995" s="1">
        <v>1</v>
      </c>
      <c r="BG1995" s="1">
        <v>0</v>
      </c>
      <c r="BL1995" s="1">
        <v>135</v>
      </c>
      <c r="BM1995" s="1" t="s">
        <v>204</v>
      </c>
      <c r="BN1995" s="1" t="s">
        <v>213</v>
      </c>
      <c r="BO1995" s="1">
        <v>25</v>
      </c>
      <c r="BP1995" s="1" t="s">
        <v>204</v>
      </c>
      <c r="BR1995" s="1" t="str">
        <f>"06234060390000"</f>
        <v>06234060390000</v>
      </c>
      <c r="BT1995" s="1" t="s">
        <v>18198</v>
      </c>
      <c r="BU1995" s="1" t="s">
        <v>14227</v>
      </c>
      <c r="BV1995" s="1" t="s">
        <v>5333</v>
      </c>
      <c r="BW1995" s="1" t="s">
        <v>2737</v>
      </c>
      <c r="BX1995" s="1">
        <v>46</v>
      </c>
      <c r="BY1995" s="1">
        <v>46</v>
      </c>
      <c r="BZ1995" s="1">
        <v>127</v>
      </c>
      <c r="CB1995" s="1" t="str">
        <f t="shared" ref="CB1995:CC1995" si="1522">""</f>
        <v/>
      </c>
      <c r="CC1995" s="1" t="str">
        <f t="shared" si="1522"/>
        <v/>
      </c>
      <c r="CG1995" s="1" t="s">
        <v>2935</v>
      </c>
      <c r="CH1995" s="1" t="s">
        <v>219</v>
      </c>
      <c r="CI1995" s="1" t="s">
        <v>220</v>
      </c>
      <c r="CJ1995" s="1" t="s">
        <v>463</v>
      </c>
      <c r="CK1995" s="1" t="s">
        <v>461</v>
      </c>
      <c r="CL1995" s="1" t="s">
        <v>277</v>
      </c>
      <c r="CM1995" s="1" t="s">
        <v>220</v>
      </c>
      <c r="CN1995" s="1" t="s">
        <v>210</v>
      </c>
      <c r="CO1995" s="1" t="s">
        <v>408</v>
      </c>
      <c r="CP1995" s="1" t="s">
        <v>219</v>
      </c>
      <c r="CQ1995" s="1" t="s">
        <v>342</v>
      </c>
      <c r="CS1995" s="1" t="s">
        <v>408</v>
      </c>
      <c r="CT1995" s="1" t="s">
        <v>277</v>
      </c>
      <c r="CU1995" s="1" t="s">
        <v>220</v>
      </c>
      <c r="CX1995" s="1" t="s">
        <v>224</v>
      </c>
      <c r="DB1995" s="1" t="s">
        <v>224</v>
      </c>
      <c r="DE1995" s="1" t="s">
        <v>836</v>
      </c>
      <c r="DF1995" s="1" t="s">
        <v>219</v>
      </c>
      <c r="DG1995" s="1" t="s">
        <v>342</v>
      </c>
      <c r="DJ1995" s="1" t="s">
        <v>224</v>
      </c>
      <c r="DS1995" s="1" t="s">
        <v>230</v>
      </c>
      <c r="DW1995" s="1" t="s">
        <v>230</v>
      </c>
      <c r="EA1995" s="1" t="s">
        <v>230</v>
      </c>
      <c r="EE1995" s="1" t="s">
        <v>230</v>
      </c>
      <c r="EI1995" s="1" t="s">
        <v>230</v>
      </c>
      <c r="EL1995" s="1" t="s">
        <v>466</v>
      </c>
      <c r="EM1995" s="1" t="s">
        <v>319</v>
      </c>
      <c r="EN1995" s="1" t="s">
        <v>282</v>
      </c>
      <c r="EO1995" s="1" t="s">
        <v>234</v>
      </c>
      <c r="EQ1995" s="1" t="s">
        <v>468</v>
      </c>
      <c r="ER1995" s="1" t="s">
        <v>210</v>
      </c>
      <c r="ES1995" s="1" t="s">
        <v>322</v>
      </c>
      <c r="EV1995" s="1" t="s">
        <v>324</v>
      </c>
      <c r="EW1995" s="1" t="s">
        <v>1895</v>
      </c>
      <c r="EZ1995" s="1" t="s">
        <v>287</v>
      </c>
      <c r="FD1995" s="1" t="s">
        <v>246</v>
      </c>
      <c r="FE1995" s="1" t="s">
        <v>386</v>
      </c>
      <c r="FF1995" s="1" t="s">
        <v>248</v>
      </c>
      <c r="FH1995" s="1" t="s">
        <v>550</v>
      </c>
      <c r="FL1995" s="1" t="s">
        <v>358</v>
      </c>
      <c r="FM1995" s="1" t="s">
        <v>252</v>
      </c>
      <c r="FN1995" s="1" t="s">
        <v>213</v>
      </c>
      <c r="FO1995" s="1" t="s">
        <v>213</v>
      </c>
      <c r="FQ1995" s="1" t="s">
        <v>8495</v>
      </c>
      <c r="FR1995" s="1" t="s">
        <v>210</v>
      </c>
      <c r="FS1995" s="1" t="s">
        <v>18199</v>
      </c>
      <c r="FT1995" s="1" t="s">
        <v>295</v>
      </c>
      <c r="FU1995" s="1" t="s">
        <v>204</v>
      </c>
      <c r="FW1995" s="1" t="s">
        <v>18032</v>
      </c>
      <c r="FX1995" s="1">
        <v>4773</v>
      </c>
      <c r="FY1995" s="1" t="s">
        <v>18033</v>
      </c>
      <c r="FZ1995" s="1" t="s">
        <v>18200</v>
      </c>
      <c r="GA1995" s="1">
        <v>36471</v>
      </c>
      <c r="GB1995" s="1" t="s">
        <v>18201</v>
      </c>
      <c r="GE1995" s="1" t="s">
        <v>1256</v>
      </c>
      <c r="GI1995" s="1" t="s">
        <v>213</v>
      </c>
      <c r="GJ1995" s="1" t="s">
        <v>260</v>
      </c>
      <c r="GK1995" s="1" t="s">
        <v>210</v>
      </c>
      <c r="GL1995" s="2">
        <v>42040</v>
      </c>
    </row>
    <row r="1996" spans="1:195">
      <c r="A1996" s="1">
        <v>59854</v>
      </c>
      <c r="B1996" s="1" t="s">
        <v>195</v>
      </c>
      <c r="C1996" s="1" t="str">
        <f>"08742514"</f>
        <v>08742514</v>
      </c>
      <c r="D1996" s="1" t="s">
        <v>196</v>
      </c>
      <c r="F1996" s="1" t="str">
        <f>"103"</f>
        <v>103</v>
      </c>
      <c r="G1996" s="2">
        <v>41913</v>
      </c>
      <c r="H1996" s="1">
        <v>64500</v>
      </c>
      <c r="I1996" s="1">
        <v>64500</v>
      </c>
      <c r="J1996" s="1">
        <v>59854</v>
      </c>
      <c r="K1996" s="2">
        <v>41913</v>
      </c>
      <c r="L1996" s="1">
        <v>277</v>
      </c>
      <c r="M1996" s="2">
        <v>41935</v>
      </c>
      <c r="N1996" s="1">
        <v>23</v>
      </c>
      <c r="O1996" s="2">
        <v>41935</v>
      </c>
      <c r="P1996" s="1">
        <v>8073</v>
      </c>
      <c r="Q1996" s="1" t="s">
        <v>302</v>
      </c>
      <c r="R1996" s="2">
        <v>41978</v>
      </c>
      <c r="S1996" s="1">
        <v>81723</v>
      </c>
      <c r="U1996" s="1">
        <v>1427</v>
      </c>
      <c r="V1996" s="1" t="s">
        <v>18202</v>
      </c>
      <c r="W1996" s="1" t="s">
        <v>264</v>
      </c>
      <c r="X1996" s="1" t="s">
        <v>1688</v>
      </c>
      <c r="Y1996" s="1">
        <v>4</v>
      </c>
      <c r="Z1996" s="1" t="s">
        <v>370</v>
      </c>
      <c r="AA1996" s="1" t="s">
        <v>337</v>
      </c>
      <c r="AB1996" s="1">
        <v>60133</v>
      </c>
      <c r="AE1996" s="1" t="s">
        <v>18203</v>
      </c>
      <c r="AF1996" s="1">
        <v>1972</v>
      </c>
      <c r="AG1996" s="1" t="s">
        <v>213</v>
      </c>
      <c r="AH1996" s="1" t="s">
        <v>339</v>
      </c>
      <c r="AI1996" s="1" t="s">
        <v>206</v>
      </c>
      <c r="AJ1996" s="1" t="s">
        <v>269</v>
      </c>
      <c r="AL1996" s="1">
        <v>5</v>
      </c>
      <c r="AM1996" s="1">
        <v>2</v>
      </c>
      <c r="AN1996" s="1">
        <v>1</v>
      </c>
      <c r="AO1996" s="1">
        <v>1</v>
      </c>
      <c r="AP1996" s="1" t="s">
        <v>210</v>
      </c>
      <c r="AR1996" s="1" t="s">
        <v>210</v>
      </c>
      <c r="AT1996" s="1" t="s">
        <v>211</v>
      </c>
      <c r="AU1996" s="1">
        <v>1</v>
      </c>
      <c r="AW1996" s="1" t="s">
        <v>204</v>
      </c>
      <c r="AX1996" s="1">
        <v>0</v>
      </c>
      <c r="AZ1996" s="1">
        <v>2492</v>
      </c>
      <c r="BA1996" s="1">
        <v>2013</v>
      </c>
      <c r="BE1996" s="1">
        <v>944</v>
      </c>
      <c r="BF1996" s="1">
        <v>1</v>
      </c>
      <c r="BG1996" s="1">
        <v>1</v>
      </c>
      <c r="BL1996" s="1">
        <v>238</v>
      </c>
      <c r="BM1996" s="1" t="s">
        <v>204</v>
      </c>
      <c r="BN1996" s="1" t="s">
        <v>213</v>
      </c>
      <c r="BO1996" s="1">
        <v>40</v>
      </c>
      <c r="BP1996" s="1" t="s">
        <v>204</v>
      </c>
      <c r="BR1996" s="1" t="str">
        <f>"0206104123"</f>
        <v>0206104123</v>
      </c>
      <c r="BT1996" s="1" t="s">
        <v>18204</v>
      </c>
      <c r="BX1996" s="1">
        <v>20</v>
      </c>
      <c r="BY1996" s="1">
        <v>108</v>
      </c>
      <c r="BZ1996" s="1">
        <v>108</v>
      </c>
      <c r="CB1996" s="1" t="str">
        <f t="shared" ref="CB1996:CC1996" si="1523">""</f>
        <v/>
      </c>
      <c r="CC1996" s="1" t="str">
        <f t="shared" si="1523"/>
        <v/>
      </c>
      <c r="CG1996" s="1" t="s">
        <v>1267</v>
      </c>
      <c r="CH1996" s="1" t="s">
        <v>219</v>
      </c>
      <c r="CK1996" s="1" t="s">
        <v>465</v>
      </c>
      <c r="CL1996" s="1" t="s">
        <v>277</v>
      </c>
      <c r="CO1996" s="1" t="s">
        <v>318</v>
      </c>
      <c r="CP1996" s="1" t="s">
        <v>219</v>
      </c>
      <c r="CS1996" s="1" t="s">
        <v>2231</v>
      </c>
      <c r="CT1996" s="1" t="s">
        <v>277</v>
      </c>
      <c r="CX1996" s="1" t="s">
        <v>224</v>
      </c>
      <c r="DB1996" s="1" t="s">
        <v>224</v>
      </c>
      <c r="DE1996" s="1" t="s">
        <v>2842</v>
      </c>
      <c r="DF1996" s="1" t="s">
        <v>219</v>
      </c>
      <c r="DJ1996" s="1" t="s">
        <v>224</v>
      </c>
      <c r="DS1996" s="1" t="s">
        <v>230</v>
      </c>
      <c r="DW1996" s="1" t="s">
        <v>230</v>
      </c>
      <c r="EA1996" s="1" t="s">
        <v>230</v>
      </c>
      <c r="EE1996" s="1" t="s">
        <v>230</v>
      </c>
      <c r="EI1996" s="1" t="s">
        <v>230</v>
      </c>
      <c r="EL1996" s="1" t="s">
        <v>605</v>
      </c>
      <c r="EM1996" s="1" t="s">
        <v>319</v>
      </c>
      <c r="EN1996" s="1" t="s">
        <v>282</v>
      </c>
      <c r="EO1996" s="1" t="s">
        <v>234</v>
      </c>
      <c r="ER1996" s="1" t="s">
        <v>383</v>
      </c>
      <c r="EW1996" s="1" t="s">
        <v>353</v>
      </c>
      <c r="EY1996" s="1" t="s">
        <v>242</v>
      </c>
      <c r="EZ1996" s="1" t="s">
        <v>287</v>
      </c>
      <c r="FB1996" s="1" t="s">
        <v>289</v>
      </c>
      <c r="FD1996" s="1" t="s">
        <v>246</v>
      </c>
      <c r="FE1996" s="1" t="s">
        <v>1031</v>
      </c>
      <c r="FF1996" s="1" t="s">
        <v>387</v>
      </c>
      <c r="FH1996" s="1" t="s">
        <v>550</v>
      </c>
      <c r="FJ1996" s="1" t="s">
        <v>197</v>
      </c>
      <c r="FL1996" s="1" t="s">
        <v>358</v>
      </c>
      <c r="FM1996" s="1" t="s">
        <v>252</v>
      </c>
      <c r="FN1996" s="1" t="s">
        <v>213</v>
      </c>
      <c r="FO1996" s="1" t="s">
        <v>213</v>
      </c>
      <c r="FQ1996" s="1" t="s">
        <v>582</v>
      </c>
      <c r="FR1996" s="1" t="s">
        <v>210</v>
      </c>
      <c r="FS1996" s="1" t="s">
        <v>2106</v>
      </c>
      <c r="FT1996" s="1" t="s">
        <v>3773</v>
      </c>
      <c r="FU1996" s="1" t="s">
        <v>204</v>
      </c>
      <c r="FV1996" s="1" t="s">
        <v>18205</v>
      </c>
      <c r="FW1996" s="1" t="s">
        <v>2108</v>
      </c>
      <c r="FX1996" s="1">
        <v>5085</v>
      </c>
      <c r="FY1996" s="1" t="s">
        <v>2109</v>
      </c>
      <c r="FZ1996" s="1" t="s">
        <v>3142</v>
      </c>
      <c r="GA1996" s="1">
        <v>55547</v>
      </c>
      <c r="GE1996" s="1" t="s">
        <v>210</v>
      </c>
      <c r="GI1996" s="1" t="s">
        <v>204</v>
      </c>
      <c r="GJ1996" s="1" t="s">
        <v>260</v>
      </c>
      <c r="GK1996" s="1" t="s">
        <v>210</v>
      </c>
      <c r="GL1996" s="2">
        <v>41978</v>
      </c>
      <c r="GM1996" s="1" t="s">
        <v>18206</v>
      </c>
    </row>
    <row r="1997" spans="1:195">
      <c r="A1997" s="1">
        <v>37750</v>
      </c>
      <c r="B1997" s="1" t="s">
        <v>195</v>
      </c>
      <c r="C1997" s="1" t="str">
        <f>"08743187"</f>
        <v>08743187</v>
      </c>
      <c r="D1997" s="1" t="s">
        <v>196</v>
      </c>
      <c r="F1997" s="1" t="str">
        <f>"64"</f>
        <v>64</v>
      </c>
      <c r="G1997" s="2">
        <v>41914</v>
      </c>
      <c r="H1997" s="1">
        <v>49900</v>
      </c>
      <c r="I1997" s="1">
        <v>39900</v>
      </c>
      <c r="J1997" s="1">
        <v>37750</v>
      </c>
      <c r="K1997" s="2">
        <v>41913</v>
      </c>
      <c r="L1997" s="1">
        <v>83</v>
      </c>
      <c r="M1997" s="2">
        <v>41995</v>
      </c>
      <c r="N1997" s="1">
        <v>83</v>
      </c>
      <c r="O1997" s="2">
        <v>41995</v>
      </c>
      <c r="P1997" s="1">
        <v>3750</v>
      </c>
      <c r="Q1997" s="1" t="s">
        <v>302</v>
      </c>
      <c r="R1997" s="2">
        <v>42027</v>
      </c>
      <c r="S1997" s="1">
        <v>33152</v>
      </c>
      <c r="T1997" s="1">
        <v>886.33</v>
      </c>
      <c r="U1997" s="1">
        <v>3318</v>
      </c>
      <c r="V1997" s="1" t="s">
        <v>18207</v>
      </c>
      <c r="W1997" s="1" t="s">
        <v>425</v>
      </c>
      <c r="X1997" s="1">
        <v>114</v>
      </c>
      <c r="Y1997" s="1">
        <v>8</v>
      </c>
      <c r="Z1997" s="1" t="s">
        <v>370</v>
      </c>
      <c r="AA1997" s="1" t="s">
        <v>18208</v>
      </c>
      <c r="AB1997" s="1">
        <v>60064</v>
      </c>
      <c r="AD1997" s="1" t="s">
        <v>18209</v>
      </c>
      <c r="AE1997" s="1" t="s">
        <v>18210</v>
      </c>
      <c r="AF1997" s="1">
        <v>1972</v>
      </c>
      <c r="AG1997" s="1" t="s">
        <v>213</v>
      </c>
      <c r="AH1997" s="1" t="s">
        <v>7637</v>
      </c>
      <c r="AI1997" s="1" t="s">
        <v>509</v>
      </c>
      <c r="AJ1997" s="1" t="s">
        <v>18211</v>
      </c>
      <c r="AL1997" s="1">
        <v>4</v>
      </c>
      <c r="AM1997" s="1">
        <v>2</v>
      </c>
      <c r="AN1997" s="1">
        <v>1</v>
      </c>
      <c r="AO1997" s="1">
        <v>1</v>
      </c>
      <c r="AP1997" s="1" t="s">
        <v>209</v>
      </c>
      <c r="AQ1997" s="1">
        <v>2</v>
      </c>
      <c r="AR1997" s="1" t="s">
        <v>210</v>
      </c>
      <c r="AS1997" s="1" t="s">
        <v>204</v>
      </c>
      <c r="AT1997" s="1" t="s">
        <v>271</v>
      </c>
      <c r="AV1997" s="1">
        <v>1</v>
      </c>
      <c r="AW1997" s="1" t="s">
        <v>204</v>
      </c>
      <c r="AX1997" s="1" t="s">
        <v>212</v>
      </c>
      <c r="AZ1997" s="1">
        <v>1898</v>
      </c>
      <c r="BA1997" s="1">
        <v>2013</v>
      </c>
      <c r="BB1997" s="1" t="s">
        <v>599</v>
      </c>
      <c r="BE1997" s="1">
        <v>1108</v>
      </c>
      <c r="BF1997" s="1">
        <v>1</v>
      </c>
      <c r="BG1997" s="1">
        <v>0</v>
      </c>
      <c r="BL1997" s="1">
        <v>265</v>
      </c>
      <c r="BM1997" s="1" t="s">
        <v>204</v>
      </c>
      <c r="BN1997" s="1" t="s">
        <v>213</v>
      </c>
      <c r="BO1997" s="1">
        <v>999</v>
      </c>
      <c r="BP1997" s="1" t="s">
        <v>204</v>
      </c>
      <c r="BR1997" s="1" t="str">
        <f>"12071001160000"</f>
        <v>12071001160000</v>
      </c>
      <c r="BT1997" s="1" t="s">
        <v>18212</v>
      </c>
      <c r="BX1997" s="1">
        <v>187</v>
      </c>
      <c r="BY1997" s="1">
        <v>187</v>
      </c>
      <c r="BZ1997" s="1">
        <v>187</v>
      </c>
      <c r="CB1997" s="1" t="str">
        <f t="shared" ref="CB1997:CC1997" si="1524">""</f>
        <v/>
      </c>
      <c r="CC1997" s="1" t="str">
        <f t="shared" si="1524"/>
        <v/>
      </c>
      <c r="CG1997" s="1" t="s">
        <v>1936</v>
      </c>
      <c r="CH1997" s="1" t="s">
        <v>219</v>
      </c>
      <c r="CK1997" s="1" t="s">
        <v>3684</v>
      </c>
      <c r="CL1997" s="1" t="s">
        <v>219</v>
      </c>
      <c r="CP1997" s="1" t="s">
        <v>224</v>
      </c>
      <c r="CS1997" s="1" t="s">
        <v>346</v>
      </c>
      <c r="CT1997" s="1" t="s">
        <v>219</v>
      </c>
      <c r="CX1997" s="1" t="s">
        <v>224</v>
      </c>
      <c r="DB1997" s="1" t="s">
        <v>224</v>
      </c>
      <c r="DE1997" s="1" t="s">
        <v>2138</v>
      </c>
      <c r="DF1997" s="1" t="s">
        <v>219</v>
      </c>
      <c r="DJ1997" s="1" t="s">
        <v>224</v>
      </c>
      <c r="DS1997" s="1" t="s">
        <v>230</v>
      </c>
      <c r="DW1997" s="1" t="s">
        <v>230</v>
      </c>
      <c r="EA1997" s="1" t="s">
        <v>230</v>
      </c>
      <c r="EE1997" s="1" t="s">
        <v>230</v>
      </c>
      <c r="EI1997" s="1" t="s">
        <v>230</v>
      </c>
      <c r="EL1997" s="1" t="s">
        <v>605</v>
      </c>
      <c r="EM1997" s="1" t="s">
        <v>319</v>
      </c>
      <c r="EN1997" s="1" t="s">
        <v>282</v>
      </c>
      <c r="EO1997" s="1" t="s">
        <v>234</v>
      </c>
      <c r="EP1997" s="1" t="s">
        <v>18213</v>
      </c>
      <c r="ER1997" s="1" t="s">
        <v>383</v>
      </c>
      <c r="ES1997" s="1" t="s">
        <v>545</v>
      </c>
      <c r="EW1997" s="1" t="s">
        <v>4607</v>
      </c>
      <c r="EY1997" s="1" t="s">
        <v>242</v>
      </c>
      <c r="EZ1997" s="1" t="s">
        <v>287</v>
      </c>
      <c r="FC1997" s="1" t="s">
        <v>633</v>
      </c>
      <c r="FD1997" s="1" t="s">
        <v>246</v>
      </c>
      <c r="FE1997" s="1" t="s">
        <v>18214</v>
      </c>
      <c r="FF1997" s="1" t="s">
        <v>248</v>
      </c>
      <c r="FH1997" s="1" t="s">
        <v>249</v>
      </c>
      <c r="FK1997" s="1" t="s">
        <v>291</v>
      </c>
      <c r="FL1997" s="1" t="s">
        <v>292</v>
      </c>
      <c r="FM1997" s="1" t="s">
        <v>252</v>
      </c>
      <c r="FN1997" s="1" t="s">
        <v>213</v>
      </c>
      <c r="FO1997" s="1" t="s">
        <v>213</v>
      </c>
      <c r="FQ1997" s="1" t="s">
        <v>689</v>
      </c>
      <c r="FR1997" s="1" t="s">
        <v>210</v>
      </c>
      <c r="FS1997" s="1" t="s">
        <v>18215</v>
      </c>
      <c r="FT1997" s="1" t="s">
        <v>295</v>
      </c>
      <c r="FU1997" s="1" t="s">
        <v>204</v>
      </c>
      <c r="FW1997" s="1" t="s">
        <v>1637</v>
      </c>
      <c r="FX1997" s="1">
        <v>2626</v>
      </c>
      <c r="FY1997" s="1" t="s">
        <v>1638</v>
      </c>
      <c r="FZ1997" s="1" t="s">
        <v>18216</v>
      </c>
      <c r="GA1997" s="1">
        <v>18451</v>
      </c>
      <c r="GB1997" s="1" t="s">
        <v>18217</v>
      </c>
      <c r="GE1997" s="1" t="s">
        <v>1256</v>
      </c>
      <c r="GI1997" s="1" t="s">
        <v>213</v>
      </c>
      <c r="GJ1997" s="1" t="s">
        <v>260</v>
      </c>
      <c r="GK1997" s="1" t="s">
        <v>210</v>
      </c>
      <c r="GL1997" s="2">
        <v>42028</v>
      </c>
      <c r="GM1997" s="1" t="s">
        <v>18218</v>
      </c>
    </row>
    <row r="1998" spans="1:195">
      <c r="A1998" s="1">
        <v>115750</v>
      </c>
      <c r="B1998" s="1" t="s">
        <v>195</v>
      </c>
      <c r="C1998" s="1" t="str">
        <f>"08747404"</f>
        <v>08747404</v>
      </c>
      <c r="D1998" s="1" t="s">
        <v>196</v>
      </c>
      <c r="F1998" s="1" t="str">
        <f>"555"</f>
        <v>555</v>
      </c>
      <c r="G1998" s="2">
        <v>41919</v>
      </c>
      <c r="H1998" s="1">
        <v>119900</v>
      </c>
      <c r="I1998" s="1">
        <v>115000</v>
      </c>
      <c r="J1998" s="1">
        <v>115750</v>
      </c>
      <c r="K1998" s="2">
        <v>41919</v>
      </c>
      <c r="L1998" s="1">
        <v>107</v>
      </c>
      <c r="M1998" s="2">
        <v>42025</v>
      </c>
      <c r="N1998" s="1">
        <v>107</v>
      </c>
      <c r="O1998" s="2">
        <v>42025</v>
      </c>
      <c r="P1998" s="1">
        <v>23830</v>
      </c>
      <c r="Q1998" s="1" t="s">
        <v>423</v>
      </c>
      <c r="R1998" s="2">
        <v>42090</v>
      </c>
      <c r="S1998" s="1">
        <v>242687</v>
      </c>
      <c r="T1998" s="1">
        <v>3450</v>
      </c>
      <c r="U1998" s="1" t="s">
        <v>18219</v>
      </c>
      <c r="V1998" s="1" t="s">
        <v>18220</v>
      </c>
      <c r="W1998" s="1" t="s">
        <v>504</v>
      </c>
      <c r="X1998" s="1" t="s">
        <v>9400</v>
      </c>
      <c r="Y1998" s="1">
        <v>4</v>
      </c>
      <c r="Z1998" s="1" t="s">
        <v>370</v>
      </c>
      <c r="AA1998" s="1" t="s">
        <v>984</v>
      </c>
      <c r="AB1998" s="1">
        <v>60555</v>
      </c>
      <c r="AE1998" s="1" t="s">
        <v>18221</v>
      </c>
      <c r="AF1998" s="1">
        <v>1978</v>
      </c>
      <c r="AG1998" s="1" t="s">
        <v>204</v>
      </c>
      <c r="AH1998" s="1" t="s">
        <v>986</v>
      </c>
      <c r="AI1998" s="1" t="s">
        <v>206</v>
      </c>
      <c r="AJ1998" s="1" t="s">
        <v>987</v>
      </c>
      <c r="AK1998" s="1" t="s">
        <v>18222</v>
      </c>
      <c r="AL1998" s="1">
        <v>5</v>
      </c>
      <c r="AM1998" s="1">
        <v>2</v>
      </c>
      <c r="AN1998" s="1">
        <v>1</v>
      </c>
      <c r="AO1998" s="1">
        <v>1</v>
      </c>
      <c r="AP1998" s="1" t="s">
        <v>210</v>
      </c>
      <c r="AQ1998" s="1">
        <v>1</v>
      </c>
      <c r="AR1998" s="1" t="s">
        <v>209</v>
      </c>
      <c r="AS1998" s="1" t="s">
        <v>204</v>
      </c>
      <c r="AT1998" s="1" t="s">
        <v>211</v>
      </c>
      <c r="AU1998" s="1">
        <v>1</v>
      </c>
      <c r="AW1998" s="1" t="s">
        <v>204</v>
      </c>
      <c r="AX1998" s="1" t="s">
        <v>18223</v>
      </c>
      <c r="AZ1998" s="1">
        <v>2950</v>
      </c>
      <c r="BA1998" s="1">
        <v>2013</v>
      </c>
      <c r="BE1998" s="1">
        <v>1200</v>
      </c>
      <c r="BF1998" s="1">
        <v>1</v>
      </c>
      <c r="BG1998" s="1">
        <v>0</v>
      </c>
      <c r="BL1998" s="1">
        <v>267</v>
      </c>
      <c r="BM1998" s="1" t="s">
        <v>204</v>
      </c>
      <c r="BN1998" s="1" t="s">
        <v>213</v>
      </c>
      <c r="BO1998" s="1">
        <v>99</v>
      </c>
      <c r="BP1998" s="1" t="s">
        <v>204</v>
      </c>
      <c r="BR1998" s="1" t="str">
        <f>"0427413032"</f>
        <v>0427413032</v>
      </c>
      <c r="BT1998" s="1" t="s">
        <v>18224</v>
      </c>
      <c r="BU1998" s="1" t="s">
        <v>3228</v>
      </c>
      <c r="BW1998" s="1" t="s">
        <v>971</v>
      </c>
      <c r="BX1998" s="1">
        <v>200</v>
      </c>
      <c r="BY1998" s="1">
        <v>200</v>
      </c>
      <c r="BZ1998" s="1">
        <v>200</v>
      </c>
      <c r="CB1998" s="1" t="str">
        <f t="shared" ref="CB1998:CC1998" si="1525">"0"</f>
        <v>0</v>
      </c>
      <c r="CC1998" s="1" t="str">
        <f t="shared" si="1525"/>
        <v>0</v>
      </c>
      <c r="CD1998" s="1">
        <v>29</v>
      </c>
      <c r="CE1998" s="1">
        <v>2</v>
      </c>
      <c r="CG1998" s="1" t="s">
        <v>581</v>
      </c>
      <c r="CH1998" s="1" t="s">
        <v>219</v>
      </c>
      <c r="CI1998" s="1" t="s">
        <v>229</v>
      </c>
      <c r="CJ1998" s="1" t="s">
        <v>210</v>
      </c>
      <c r="CK1998" s="1" t="s">
        <v>539</v>
      </c>
      <c r="CL1998" s="1" t="s">
        <v>277</v>
      </c>
      <c r="CM1998" s="1" t="s">
        <v>220</v>
      </c>
      <c r="CO1998" s="1" t="s">
        <v>2547</v>
      </c>
      <c r="CP1998" s="1" t="s">
        <v>219</v>
      </c>
      <c r="CQ1998" s="1" t="s">
        <v>229</v>
      </c>
      <c r="CR1998" s="1" t="s">
        <v>343</v>
      </c>
      <c r="CS1998" s="1" t="s">
        <v>1046</v>
      </c>
      <c r="CT1998" s="1" t="s">
        <v>277</v>
      </c>
      <c r="CU1998" s="1" t="s">
        <v>220</v>
      </c>
      <c r="CV1998" s="1" t="s">
        <v>343</v>
      </c>
      <c r="CX1998" s="1" t="s">
        <v>224</v>
      </c>
      <c r="DB1998" s="1" t="s">
        <v>224</v>
      </c>
      <c r="DE1998" s="1" t="s">
        <v>1598</v>
      </c>
      <c r="DF1998" s="1" t="s">
        <v>219</v>
      </c>
      <c r="DG1998" s="1" t="s">
        <v>229</v>
      </c>
      <c r="DH1998" s="1" t="s">
        <v>343</v>
      </c>
      <c r="DJ1998" s="1" t="s">
        <v>224</v>
      </c>
      <c r="DS1998" s="1" t="s">
        <v>230</v>
      </c>
      <c r="DW1998" s="1" t="s">
        <v>230</v>
      </c>
      <c r="EA1998" s="1" t="s">
        <v>230</v>
      </c>
      <c r="EE1998" s="1" t="s">
        <v>230</v>
      </c>
      <c r="EI1998" s="1" t="s">
        <v>230</v>
      </c>
      <c r="EL1998" s="1" t="s">
        <v>231</v>
      </c>
      <c r="EM1998" s="1" t="s">
        <v>319</v>
      </c>
      <c r="EN1998" s="1" t="s">
        <v>282</v>
      </c>
      <c r="EO1998" s="1" t="s">
        <v>234</v>
      </c>
      <c r="EP1998" s="1" t="s">
        <v>11645</v>
      </c>
      <c r="EQ1998" s="1" t="s">
        <v>468</v>
      </c>
      <c r="ER1998" s="1" t="s">
        <v>1249</v>
      </c>
      <c r="ES1998" s="1" t="s">
        <v>824</v>
      </c>
      <c r="EV1998" s="1" t="s">
        <v>240</v>
      </c>
      <c r="EW1998" s="1" t="s">
        <v>1617</v>
      </c>
      <c r="EZ1998" s="1" t="s">
        <v>287</v>
      </c>
      <c r="FA1998" s="1" t="s">
        <v>6201</v>
      </c>
      <c r="FD1998" s="1" t="s">
        <v>246</v>
      </c>
      <c r="FE1998" s="1" t="s">
        <v>496</v>
      </c>
      <c r="FF1998" s="1" t="s">
        <v>387</v>
      </c>
      <c r="FG1998" s="1" t="s">
        <v>939</v>
      </c>
      <c r="FH1998" s="1" t="s">
        <v>18225</v>
      </c>
      <c r="FI1998" s="1" t="s">
        <v>357</v>
      </c>
      <c r="FL1998" s="1" t="s">
        <v>358</v>
      </c>
      <c r="FM1998" s="1" t="s">
        <v>252</v>
      </c>
      <c r="FN1998" s="1" t="s">
        <v>213</v>
      </c>
      <c r="FO1998" s="1" t="s">
        <v>213</v>
      </c>
      <c r="FQ1998" s="1" t="s">
        <v>1758</v>
      </c>
      <c r="FR1998" s="1" t="s">
        <v>210</v>
      </c>
      <c r="FS1998" s="1" t="s">
        <v>1429</v>
      </c>
      <c r="FT1998" s="1" t="s">
        <v>255</v>
      </c>
      <c r="FU1998" s="1" t="s">
        <v>204</v>
      </c>
      <c r="FW1998" s="1" t="s">
        <v>915</v>
      </c>
      <c r="FX1998" s="1">
        <v>25088</v>
      </c>
      <c r="FY1998" s="1" t="s">
        <v>1761</v>
      </c>
      <c r="FZ1998" s="1" t="s">
        <v>13455</v>
      </c>
      <c r="GA1998" s="1">
        <v>256862</v>
      </c>
      <c r="GB1998" s="1" t="s">
        <v>13456</v>
      </c>
      <c r="GD1998" s="1" t="s">
        <v>18226</v>
      </c>
      <c r="GE1998" s="1" t="s">
        <v>210</v>
      </c>
      <c r="GI1998" s="1" t="s">
        <v>213</v>
      </c>
      <c r="GJ1998" s="1" t="s">
        <v>260</v>
      </c>
      <c r="GK1998" s="1" t="s">
        <v>210</v>
      </c>
      <c r="GL1998" s="2">
        <v>42090</v>
      </c>
      <c r="GM1998" s="1" t="s">
        <v>18227</v>
      </c>
    </row>
    <row r="1999" spans="1:195">
      <c r="A1999" s="1">
        <v>135000</v>
      </c>
      <c r="B1999" s="1" t="s">
        <v>195</v>
      </c>
      <c r="C1999" s="1" t="str">
        <f>"08741887"</f>
        <v>08741887</v>
      </c>
      <c r="D1999" s="1" t="s">
        <v>196</v>
      </c>
      <c r="F1999" s="1" t="str">
        <f>"188"</f>
        <v>188</v>
      </c>
      <c r="G1999" s="2">
        <v>41913</v>
      </c>
      <c r="H1999" s="1">
        <v>144900</v>
      </c>
      <c r="I1999" s="1">
        <v>139900</v>
      </c>
      <c r="J1999" s="1">
        <v>135000</v>
      </c>
      <c r="K1999" s="2">
        <v>41913</v>
      </c>
      <c r="L1999" s="1">
        <v>26</v>
      </c>
      <c r="M1999" s="2">
        <v>41938</v>
      </c>
      <c r="N1999" s="1">
        <v>26</v>
      </c>
      <c r="O1999" s="2">
        <v>41938</v>
      </c>
      <c r="P1999" s="1">
        <v>21419</v>
      </c>
      <c r="Q1999" s="1" t="s">
        <v>197</v>
      </c>
      <c r="R1999" s="2">
        <v>41975</v>
      </c>
      <c r="S1999" s="1">
        <v>221447</v>
      </c>
      <c r="U1999" s="1">
        <v>1032</v>
      </c>
      <c r="V1999" s="1" t="s">
        <v>16117</v>
      </c>
      <c r="W1999" s="1" t="s">
        <v>264</v>
      </c>
      <c r="X1999" s="1">
        <v>1032</v>
      </c>
      <c r="Y1999" s="1">
        <v>4</v>
      </c>
      <c r="Z1999" s="1" t="s">
        <v>370</v>
      </c>
      <c r="AA1999" s="1" t="s">
        <v>1084</v>
      </c>
      <c r="AB1999" s="1">
        <v>60188</v>
      </c>
      <c r="AD1999" s="1" t="s">
        <v>16118</v>
      </c>
      <c r="AE1999" s="1" t="s">
        <v>18228</v>
      </c>
      <c r="AF1999" s="1">
        <v>1990</v>
      </c>
      <c r="AG1999" s="1" t="s">
        <v>204</v>
      </c>
      <c r="AH1999" s="1" t="s">
        <v>1087</v>
      </c>
      <c r="AI1999" s="1" t="s">
        <v>206</v>
      </c>
      <c r="AJ1999" s="1" t="s">
        <v>2654</v>
      </c>
      <c r="AK1999" s="1" t="s">
        <v>3149</v>
      </c>
      <c r="AL1999" s="1">
        <v>6</v>
      </c>
      <c r="AM1999" s="1">
        <v>2</v>
      </c>
      <c r="AN1999" s="1">
        <v>1</v>
      </c>
      <c r="AO1999" s="1">
        <v>1</v>
      </c>
      <c r="AP1999" s="1" t="s">
        <v>667</v>
      </c>
      <c r="AQ1999" s="1">
        <v>1</v>
      </c>
      <c r="AR1999" s="1" t="s">
        <v>210</v>
      </c>
      <c r="AS1999" s="1" t="s">
        <v>204</v>
      </c>
      <c r="AT1999" s="1" t="s">
        <v>211</v>
      </c>
      <c r="AU1999" s="1">
        <v>1</v>
      </c>
      <c r="AW1999" s="1" t="s">
        <v>204</v>
      </c>
      <c r="AX1999" s="1" t="s">
        <v>212</v>
      </c>
      <c r="AZ1999" s="1">
        <v>4327.2</v>
      </c>
      <c r="BA1999" s="1">
        <v>2013</v>
      </c>
      <c r="BB1999" s="1" t="s">
        <v>405</v>
      </c>
      <c r="BE1999" s="1">
        <v>1336</v>
      </c>
      <c r="BF1999" s="1">
        <v>1</v>
      </c>
      <c r="BG1999" s="1">
        <v>0</v>
      </c>
      <c r="BL1999" s="1">
        <v>259</v>
      </c>
      <c r="BM1999" s="1" t="s">
        <v>204</v>
      </c>
      <c r="BN1999" s="1" t="s">
        <v>213</v>
      </c>
      <c r="BO1999" s="1">
        <v>999</v>
      </c>
      <c r="BP1999" s="1" t="s">
        <v>204</v>
      </c>
      <c r="BR1999" s="1" t="str">
        <f>"0124222029"</f>
        <v>0124222029</v>
      </c>
      <c r="BT1999" s="1" t="s">
        <v>18229</v>
      </c>
      <c r="BU1999" s="1" t="s">
        <v>3438</v>
      </c>
      <c r="BV1999" s="1" t="s">
        <v>1502</v>
      </c>
      <c r="BW1999" s="1" t="s">
        <v>1092</v>
      </c>
      <c r="BX1999" s="1">
        <v>93</v>
      </c>
      <c r="BY1999" s="1">
        <v>93</v>
      </c>
      <c r="BZ1999" s="1">
        <v>87</v>
      </c>
      <c r="CB1999" s="1" t="str">
        <f t="shared" ref="CB1999:CC1999" si="1526">""</f>
        <v/>
      </c>
      <c r="CC1999" s="1" t="str">
        <f t="shared" si="1526"/>
        <v/>
      </c>
      <c r="CG1999" s="1" t="s">
        <v>1045</v>
      </c>
      <c r="CH1999" s="1" t="s">
        <v>219</v>
      </c>
      <c r="CI1999" s="1" t="s">
        <v>220</v>
      </c>
      <c r="CK1999" s="1" t="s">
        <v>278</v>
      </c>
      <c r="CL1999" s="1" t="s">
        <v>277</v>
      </c>
      <c r="CM1999" s="1" t="s">
        <v>220</v>
      </c>
      <c r="CO1999" s="1" t="s">
        <v>1046</v>
      </c>
      <c r="CP1999" s="1" t="s">
        <v>219</v>
      </c>
      <c r="CQ1999" s="1" t="s">
        <v>220</v>
      </c>
      <c r="CS1999" s="1" t="s">
        <v>346</v>
      </c>
      <c r="CT1999" s="1" t="s">
        <v>277</v>
      </c>
      <c r="CU1999" s="1" t="s">
        <v>220</v>
      </c>
      <c r="CX1999" s="1" t="s">
        <v>224</v>
      </c>
      <c r="DB1999" s="1" t="s">
        <v>224</v>
      </c>
      <c r="DE1999" s="1" t="s">
        <v>1107</v>
      </c>
      <c r="DF1999" s="1" t="s">
        <v>219</v>
      </c>
      <c r="DG1999" s="1" t="s">
        <v>229</v>
      </c>
      <c r="DJ1999" s="1" t="s">
        <v>224</v>
      </c>
      <c r="DM1999" s="1" t="s">
        <v>464</v>
      </c>
      <c r="DR1999" s="1" t="s">
        <v>630</v>
      </c>
      <c r="DS1999" s="1" t="s">
        <v>277</v>
      </c>
      <c r="DT1999" s="1" t="s">
        <v>220</v>
      </c>
      <c r="DW1999" s="1" t="s">
        <v>230</v>
      </c>
      <c r="EA1999" s="1" t="s">
        <v>230</v>
      </c>
      <c r="EE1999" s="1" t="s">
        <v>230</v>
      </c>
      <c r="EI1999" s="1" t="s">
        <v>230</v>
      </c>
      <c r="EL1999" s="1" t="s">
        <v>382</v>
      </c>
      <c r="EM1999" s="1" t="s">
        <v>232</v>
      </c>
      <c r="EN1999" s="1" t="s">
        <v>282</v>
      </c>
      <c r="EO1999" s="1" t="s">
        <v>234</v>
      </c>
      <c r="EQ1999" s="1" t="s">
        <v>1094</v>
      </c>
      <c r="ER1999" s="1" t="s">
        <v>210</v>
      </c>
      <c r="ES1999" s="1" t="s">
        <v>493</v>
      </c>
      <c r="ET1999" s="1" t="s">
        <v>842</v>
      </c>
      <c r="EV1999" s="1" t="s">
        <v>352</v>
      </c>
      <c r="EW1999" s="1" t="s">
        <v>4410</v>
      </c>
      <c r="EZ1999" s="1" t="s">
        <v>464</v>
      </c>
      <c r="FD1999" s="1" t="s">
        <v>246</v>
      </c>
      <c r="FE1999" s="1" t="s">
        <v>472</v>
      </c>
      <c r="FF1999" s="1" t="s">
        <v>248</v>
      </c>
      <c r="FG1999" s="1" t="s">
        <v>939</v>
      </c>
      <c r="FH1999" s="1" t="s">
        <v>550</v>
      </c>
      <c r="FL1999" s="1" t="s">
        <v>358</v>
      </c>
      <c r="FM1999" s="1" t="s">
        <v>252</v>
      </c>
      <c r="FN1999" s="1" t="s">
        <v>213</v>
      </c>
      <c r="FO1999" s="1" t="s">
        <v>213</v>
      </c>
      <c r="FQ1999" s="1" t="s">
        <v>18230</v>
      </c>
      <c r="FR1999" s="1" t="s">
        <v>411</v>
      </c>
      <c r="FS1999" s="1" t="s">
        <v>18231</v>
      </c>
      <c r="FT1999" s="1" t="s">
        <v>295</v>
      </c>
      <c r="FU1999" s="1" t="s">
        <v>204</v>
      </c>
      <c r="FW1999" s="1" t="s">
        <v>18232</v>
      </c>
      <c r="FX1999" s="1">
        <v>25269</v>
      </c>
      <c r="FY1999" s="1" t="s">
        <v>18233</v>
      </c>
      <c r="FZ1999" s="1" t="s">
        <v>18234</v>
      </c>
      <c r="GA1999" s="1">
        <v>238312</v>
      </c>
      <c r="GE1999" s="1" t="s">
        <v>210</v>
      </c>
      <c r="GI1999" s="1" t="s">
        <v>213</v>
      </c>
      <c r="GJ1999" s="1" t="s">
        <v>260</v>
      </c>
      <c r="GK1999" s="1" t="s">
        <v>210</v>
      </c>
      <c r="GL1999" s="2">
        <v>41975</v>
      </c>
      <c r="GM1999" s="1" t="s">
        <v>18235</v>
      </c>
    </row>
    <row r="2000" spans="1:195">
      <c r="A2000" s="1">
        <v>140000</v>
      </c>
      <c r="B2000" s="1" t="s">
        <v>195</v>
      </c>
      <c r="C2000" s="1" t="str">
        <f>"08739188"</f>
        <v>08739188</v>
      </c>
      <c r="D2000" s="1" t="s">
        <v>196</v>
      </c>
      <c r="F2000" s="1" t="str">
        <f>"8064"</f>
        <v>8064</v>
      </c>
      <c r="G2000" s="2">
        <v>41908</v>
      </c>
      <c r="H2000" s="1">
        <v>149900</v>
      </c>
      <c r="I2000" s="1">
        <v>145900</v>
      </c>
      <c r="J2000" s="1">
        <v>140000</v>
      </c>
      <c r="K2000" s="2">
        <v>41908</v>
      </c>
      <c r="L2000" s="1">
        <v>191</v>
      </c>
      <c r="M2000" s="2">
        <v>42000</v>
      </c>
      <c r="N2000" s="1">
        <v>93</v>
      </c>
      <c r="O2000" s="2">
        <v>42000</v>
      </c>
      <c r="P2000" s="1">
        <v>84291</v>
      </c>
      <c r="Q2000" s="1" t="s">
        <v>197</v>
      </c>
      <c r="R2000" s="2">
        <v>42017</v>
      </c>
      <c r="S2000" s="1">
        <v>165240</v>
      </c>
      <c r="U2000" s="1">
        <v>6429</v>
      </c>
      <c r="V2000" s="1" t="s">
        <v>2273</v>
      </c>
      <c r="W2000" s="1" t="s">
        <v>425</v>
      </c>
      <c r="Y2000" s="1">
        <v>1</v>
      </c>
      <c r="Z2000" s="1" t="s">
        <v>200</v>
      </c>
      <c r="AA2000" s="1" t="s">
        <v>400</v>
      </c>
      <c r="AB2000" s="1">
        <v>60638</v>
      </c>
      <c r="AE2000" s="1" t="s">
        <v>2274</v>
      </c>
      <c r="AF2000" s="1">
        <v>1941</v>
      </c>
      <c r="AG2000" s="1" t="s">
        <v>213</v>
      </c>
      <c r="AH2000" s="1" t="s">
        <v>403</v>
      </c>
      <c r="AI2000" s="1" t="s">
        <v>310</v>
      </c>
      <c r="AJ2000" s="1" t="s">
        <v>683</v>
      </c>
      <c r="AK2000" s="1" t="s">
        <v>2247</v>
      </c>
      <c r="AL2000" s="1">
        <v>6</v>
      </c>
      <c r="AM2000" s="1">
        <v>2</v>
      </c>
      <c r="AN2000" s="1">
        <v>2</v>
      </c>
      <c r="AO2000" s="1">
        <v>0</v>
      </c>
      <c r="AP2000" s="1" t="s">
        <v>210</v>
      </c>
      <c r="AR2000" s="1" t="s">
        <v>209</v>
      </c>
      <c r="AS2000" s="1" t="s">
        <v>213</v>
      </c>
      <c r="AT2000" s="1" t="s">
        <v>271</v>
      </c>
      <c r="AV2000" s="1">
        <v>2</v>
      </c>
      <c r="AW2000" s="1" t="s">
        <v>204</v>
      </c>
      <c r="AX2000" s="1">
        <v>2000</v>
      </c>
      <c r="AZ2000" s="1">
        <v>1557.97</v>
      </c>
      <c r="BA2000" s="1">
        <v>2012</v>
      </c>
      <c r="BB2000" s="1" t="s">
        <v>405</v>
      </c>
      <c r="BE2000" s="1">
        <v>843</v>
      </c>
      <c r="BF2000" s="1">
        <v>1</v>
      </c>
      <c r="BG2000" s="1">
        <v>0</v>
      </c>
      <c r="BL2000" s="1">
        <v>0</v>
      </c>
      <c r="BM2000" s="1" t="s">
        <v>204</v>
      </c>
      <c r="BN2000" s="1" t="s">
        <v>213</v>
      </c>
      <c r="BO2000" s="1">
        <v>999</v>
      </c>
      <c r="BP2000" s="1" t="s">
        <v>204</v>
      </c>
      <c r="BR2000" s="1" t="str">
        <f>"19211080380000"</f>
        <v>19211080380000</v>
      </c>
      <c r="BT2000" s="1" t="s">
        <v>18236</v>
      </c>
      <c r="BX2000" s="1">
        <v>299</v>
      </c>
      <c r="BY2000" s="1">
        <v>299</v>
      </c>
      <c r="BZ2000" s="1">
        <v>299</v>
      </c>
      <c r="CB2000" s="1" t="str">
        <f t="shared" ref="CB2000:CC2000" si="1527">"0"</f>
        <v>0</v>
      </c>
      <c r="CC2000" s="1" t="str">
        <f t="shared" si="1527"/>
        <v>0</v>
      </c>
      <c r="CD2000" s="1">
        <v>5400</v>
      </c>
      <c r="CE2000" s="1">
        <v>6429</v>
      </c>
      <c r="CG2000" s="1" t="s">
        <v>3591</v>
      </c>
      <c r="CH2000" s="1" t="s">
        <v>219</v>
      </c>
      <c r="CI2000" s="1" t="s">
        <v>229</v>
      </c>
      <c r="CK2000" s="1" t="s">
        <v>346</v>
      </c>
      <c r="CL2000" s="1" t="s">
        <v>277</v>
      </c>
      <c r="CM2000" s="1" t="s">
        <v>229</v>
      </c>
      <c r="CO2000" s="1" t="s">
        <v>5974</v>
      </c>
      <c r="CP2000" s="1" t="s">
        <v>219</v>
      </c>
      <c r="CQ2000" s="1" t="s">
        <v>229</v>
      </c>
      <c r="CS2000" s="1" t="s">
        <v>346</v>
      </c>
      <c r="CT2000" s="1" t="s">
        <v>277</v>
      </c>
      <c r="CU2000" s="1" t="s">
        <v>229</v>
      </c>
      <c r="CX2000" s="1" t="s">
        <v>224</v>
      </c>
      <c r="DB2000" s="1" t="s">
        <v>224</v>
      </c>
      <c r="DE2000" s="1" t="s">
        <v>281</v>
      </c>
      <c r="DF2000" s="1" t="s">
        <v>219</v>
      </c>
      <c r="DG2000" s="1" t="s">
        <v>229</v>
      </c>
      <c r="DI2000" s="1" t="s">
        <v>1469</v>
      </c>
      <c r="DJ2000" s="1" t="s">
        <v>822</v>
      </c>
      <c r="DK2000" s="1" t="s">
        <v>229</v>
      </c>
      <c r="DM2000" s="1" t="s">
        <v>2278</v>
      </c>
      <c r="DN2000" s="1" t="s">
        <v>1359</v>
      </c>
      <c r="DR2000" s="1" t="s">
        <v>2279</v>
      </c>
      <c r="DS2000" s="1" t="s">
        <v>43</v>
      </c>
      <c r="DT2000" s="1" t="s">
        <v>342</v>
      </c>
      <c r="DV2000" s="1" t="s">
        <v>408</v>
      </c>
      <c r="DW2000" s="1" t="s">
        <v>219</v>
      </c>
      <c r="EA2000" s="1" t="s">
        <v>230</v>
      </c>
      <c r="EE2000" s="1" t="s">
        <v>230</v>
      </c>
      <c r="EI2000" s="1" t="s">
        <v>230</v>
      </c>
      <c r="EL2000" s="1" t="s">
        <v>440</v>
      </c>
      <c r="EM2000" s="1" t="s">
        <v>730</v>
      </c>
      <c r="EN2000" s="1" t="s">
        <v>282</v>
      </c>
      <c r="EO2000" s="1" t="s">
        <v>234</v>
      </c>
      <c r="EQ2000" s="1" t="s">
        <v>4356</v>
      </c>
      <c r="ER2000" s="1" t="s">
        <v>823</v>
      </c>
      <c r="ES2000" s="1" t="s">
        <v>493</v>
      </c>
      <c r="ET2000" s="1" t="s">
        <v>323</v>
      </c>
      <c r="EU2000" s="1" t="s">
        <v>18237</v>
      </c>
      <c r="EV2000" s="1" t="s">
        <v>240</v>
      </c>
      <c r="EW2000" s="1" t="s">
        <v>210</v>
      </c>
      <c r="EZ2000" s="1" t="s">
        <v>18238</v>
      </c>
      <c r="FC2000" s="1" t="s">
        <v>633</v>
      </c>
      <c r="FD2000" s="1" t="s">
        <v>246</v>
      </c>
      <c r="FE2000" s="1" t="s">
        <v>247</v>
      </c>
      <c r="FF2000" s="1" t="s">
        <v>248</v>
      </c>
      <c r="FH2000" s="1" t="s">
        <v>550</v>
      </c>
      <c r="FK2000" s="1" t="s">
        <v>18239</v>
      </c>
      <c r="FL2000" s="1" t="s">
        <v>414</v>
      </c>
      <c r="FM2000" s="1" t="s">
        <v>252</v>
      </c>
      <c r="FN2000" s="1" t="s">
        <v>213</v>
      </c>
      <c r="FO2000" s="1" t="s">
        <v>213</v>
      </c>
      <c r="FQ2000" s="1" t="s">
        <v>615</v>
      </c>
      <c r="FR2000" s="1" t="s">
        <v>210</v>
      </c>
      <c r="FS2000" s="1" t="s">
        <v>18240</v>
      </c>
      <c r="FT2000" s="1" t="s">
        <v>1139</v>
      </c>
      <c r="FU2000" s="1" t="s">
        <v>204</v>
      </c>
      <c r="FW2000" s="1" t="s">
        <v>3132</v>
      </c>
      <c r="FX2000" s="1">
        <v>8666</v>
      </c>
      <c r="FY2000" s="1" t="s">
        <v>3133</v>
      </c>
      <c r="FZ2000" s="1" t="s">
        <v>18241</v>
      </c>
      <c r="GA2000" s="1">
        <v>26083</v>
      </c>
      <c r="GB2000" s="1" t="s">
        <v>18242</v>
      </c>
      <c r="GE2000" s="1" t="s">
        <v>480</v>
      </c>
      <c r="GH2000" s="1" t="s">
        <v>421</v>
      </c>
      <c r="GI2000" s="1" t="s">
        <v>213</v>
      </c>
      <c r="GJ2000" s="1" t="s">
        <v>260</v>
      </c>
      <c r="GK2000" s="1" t="s">
        <v>210</v>
      </c>
      <c r="GL2000" s="2">
        <v>42023</v>
      </c>
      <c r="GM2000" s="1" t="s">
        <v>18243</v>
      </c>
    </row>
    <row r="2001" spans="1:195">
      <c r="A2001" s="1">
        <v>105000</v>
      </c>
      <c r="B2001" s="1" t="s">
        <v>195</v>
      </c>
      <c r="C2001" s="1" t="str">
        <f>"08739177"</f>
        <v>08739177</v>
      </c>
      <c r="D2001" s="1" t="s">
        <v>196</v>
      </c>
      <c r="F2001" s="1" t="str">
        <f>"507"</f>
        <v>507</v>
      </c>
      <c r="G2001" s="2">
        <v>41908</v>
      </c>
      <c r="H2001" s="1">
        <v>110000</v>
      </c>
      <c r="I2001" s="1">
        <v>110000</v>
      </c>
      <c r="J2001" s="1">
        <v>105000</v>
      </c>
      <c r="K2001" s="2">
        <v>41908</v>
      </c>
      <c r="L2001" s="1">
        <v>19</v>
      </c>
      <c r="M2001" s="2">
        <v>41926</v>
      </c>
      <c r="N2001" s="1">
        <v>19</v>
      </c>
      <c r="O2001" s="2">
        <v>41926</v>
      </c>
      <c r="P2001" s="1">
        <v>23030</v>
      </c>
      <c r="Q2001" s="1" t="s">
        <v>423</v>
      </c>
      <c r="R2001" s="2">
        <v>41984</v>
      </c>
      <c r="S2001" s="1">
        <v>227106</v>
      </c>
      <c r="U2001" s="1">
        <v>1942</v>
      </c>
      <c r="V2001" s="1" t="s">
        <v>9942</v>
      </c>
      <c r="W2001" s="1" t="s">
        <v>264</v>
      </c>
      <c r="X2001" s="1">
        <v>1942</v>
      </c>
      <c r="Y2001" s="1">
        <v>4</v>
      </c>
      <c r="Z2001" s="1" t="s">
        <v>249</v>
      </c>
      <c r="AA2001" s="1" t="s">
        <v>1123</v>
      </c>
      <c r="AB2001" s="1">
        <v>60503</v>
      </c>
      <c r="AE2001" s="1" t="s">
        <v>18244</v>
      </c>
      <c r="AF2001" s="1">
        <v>2000</v>
      </c>
      <c r="AG2001" s="1" t="s">
        <v>204</v>
      </c>
      <c r="AH2001" s="1" t="s">
        <v>1126</v>
      </c>
      <c r="AI2001" s="1" t="s">
        <v>453</v>
      </c>
      <c r="AJ2001" s="1" t="s">
        <v>1397</v>
      </c>
      <c r="AL2001" s="1">
        <v>5</v>
      </c>
      <c r="AM2001" s="1">
        <v>2</v>
      </c>
      <c r="AN2001" s="1">
        <v>1</v>
      </c>
      <c r="AO2001" s="1">
        <v>0</v>
      </c>
      <c r="AP2001" s="1" t="s">
        <v>667</v>
      </c>
      <c r="AQ2001" s="1">
        <v>0</v>
      </c>
      <c r="AR2001" s="1" t="s">
        <v>210</v>
      </c>
      <c r="AS2001" s="1" t="s">
        <v>204</v>
      </c>
      <c r="AT2001" s="1" t="s">
        <v>211</v>
      </c>
      <c r="AU2001" s="1">
        <v>2</v>
      </c>
      <c r="AW2001" s="1" t="s">
        <v>204</v>
      </c>
      <c r="AX2001" s="1" t="s">
        <v>212</v>
      </c>
      <c r="AZ2001" s="1">
        <v>4462</v>
      </c>
      <c r="BA2001" s="1">
        <v>2012</v>
      </c>
      <c r="BE2001" s="1">
        <v>1493</v>
      </c>
      <c r="BF2001" s="1">
        <v>2</v>
      </c>
      <c r="BG2001" s="1">
        <v>0</v>
      </c>
      <c r="BL2001" s="1">
        <v>145</v>
      </c>
      <c r="BM2001" s="1" t="s">
        <v>413</v>
      </c>
      <c r="BN2001" s="1" t="s">
        <v>213</v>
      </c>
      <c r="BO2001" s="1">
        <v>0</v>
      </c>
      <c r="BP2001" s="1" t="s">
        <v>204</v>
      </c>
      <c r="BR2001" s="1" t="str">
        <f>"0301280006"</f>
        <v>0301280006</v>
      </c>
      <c r="BT2001" s="1" t="s">
        <v>18245</v>
      </c>
      <c r="BX2001" s="1">
        <v>308</v>
      </c>
      <c r="BY2001" s="1">
        <v>308</v>
      </c>
      <c r="BZ2001" s="1">
        <v>308</v>
      </c>
      <c r="CB2001" s="1" t="str">
        <f t="shared" ref="CB2001:CC2001" si="1528">""</f>
        <v/>
      </c>
      <c r="CC2001" s="1" t="str">
        <f t="shared" si="1528"/>
        <v/>
      </c>
      <c r="CG2001" s="1" t="s">
        <v>221</v>
      </c>
      <c r="CH2001" s="1" t="s">
        <v>277</v>
      </c>
      <c r="CK2001" s="1" t="s">
        <v>931</v>
      </c>
      <c r="CL2001" s="1" t="s">
        <v>277</v>
      </c>
      <c r="CO2001" s="1" t="s">
        <v>602</v>
      </c>
      <c r="CP2001" s="1" t="s">
        <v>277</v>
      </c>
      <c r="CS2001" s="1" t="s">
        <v>465</v>
      </c>
      <c r="CT2001" s="1" t="s">
        <v>277</v>
      </c>
      <c r="CX2001" s="1" t="s">
        <v>224</v>
      </c>
      <c r="DB2001" s="1" t="s">
        <v>224</v>
      </c>
      <c r="DE2001" s="1" t="s">
        <v>669</v>
      </c>
      <c r="DF2001" s="1" t="s">
        <v>277</v>
      </c>
      <c r="DJ2001" s="1" t="s">
        <v>224</v>
      </c>
      <c r="DS2001" s="1" t="s">
        <v>230</v>
      </c>
      <c r="DW2001" s="1" t="s">
        <v>230</v>
      </c>
      <c r="EA2001" s="1" t="s">
        <v>230</v>
      </c>
      <c r="EE2001" s="1" t="s">
        <v>230</v>
      </c>
      <c r="EI2001" s="1" t="s">
        <v>230</v>
      </c>
      <c r="EL2001" s="1" t="s">
        <v>466</v>
      </c>
      <c r="EM2001" s="1" t="s">
        <v>319</v>
      </c>
      <c r="EN2001" s="1" t="s">
        <v>282</v>
      </c>
      <c r="EO2001" s="1" t="s">
        <v>234</v>
      </c>
      <c r="ER2001" s="1" t="s">
        <v>210</v>
      </c>
      <c r="EW2001" s="1" t="s">
        <v>347</v>
      </c>
      <c r="EZ2001" s="1" t="s">
        <v>287</v>
      </c>
      <c r="FD2001" s="1" t="s">
        <v>1649</v>
      </c>
      <c r="FE2001" s="1" t="s">
        <v>496</v>
      </c>
      <c r="FF2001" s="1" t="s">
        <v>248</v>
      </c>
      <c r="FH2001" s="1" t="s">
        <v>550</v>
      </c>
      <c r="FL2001" s="1" t="s">
        <v>358</v>
      </c>
      <c r="FM2001" s="1" t="s">
        <v>252</v>
      </c>
      <c r="FN2001" s="1" t="s">
        <v>213</v>
      </c>
      <c r="FO2001" s="1" t="s">
        <v>213</v>
      </c>
      <c r="FQ2001" s="1" t="s">
        <v>689</v>
      </c>
      <c r="FR2001" s="1" t="s">
        <v>210</v>
      </c>
      <c r="FS2001" s="1" t="s">
        <v>2541</v>
      </c>
      <c r="FT2001" s="1" t="s">
        <v>654</v>
      </c>
      <c r="FU2001" s="1" t="s">
        <v>204</v>
      </c>
      <c r="FW2001" s="1" t="s">
        <v>4399</v>
      </c>
      <c r="FX2001" s="1">
        <v>8698</v>
      </c>
      <c r="FY2001" s="1" t="s">
        <v>4400</v>
      </c>
      <c r="FZ2001" s="1" t="s">
        <v>4401</v>
      </c>
      <c r="GA2001" s="1">
        <v>85273</v>
      </c>
      <c r="GB2001" s="1" t="s">
        <v>4400</v>
      </c>
      <c r="GE2001" s="1" t="s">
        <v>210</v>
      </c>
      <c r="GI2001" s="1" t="s">
        <v>204</v>
      </c>
      <c r="GJ2001" s="1" t="s">
        <v>260</v>
      </c>
      <c r="GK2001" s="1" t="s">
        <v>210</v>
      </c>
      <c r="GL2001" s="2">
        <v>41985</v>
      </c>
      <c r="GM2001" s="1" t="s">
        <v>18246</v>
      </c>
    </row>
    <row r="2002" spans="1:195">
      <c r="A2002" s="1">
        <v>154000</v>
      </c>
      <c r="B2002" s="1" t="s">
        <v>195</v>
      </c>
      <c r="C2002" s="1" t="str">
        <f>"08740952"</f>
        <v>08740952</v>
      </c>
      <c r="D2002" s="1" t="s">
        <v>196</v>
      </c>
      <c r="F2002" s="1" t="str">
        <f>"187"</f>
        <v>187</v>
      </c>
      <c r="G2002" s="2">
        <v>41912</v>
      </c>
      <c r="H2002" s="1">
        <v>159900</v>
      </c>
      <c r="I2002" s="1">
        <v>159900</v>
      </c>
      <c r="J2002" s="1">
        <v>154000</v>
      </c>
      <c r="K2002" s="2">
        <v>41911</v>
      </c>
      <c r="L2002" s="1">
        <v>29</v>
      </c>
      <c r="M2002" s="2">
        <v>41939</v>
      </c>
      <c r="N2002" s="1">
        <v>29</v>
      </c>
      <c r="O2002" s="2">
        <v>41939</v>
      </c>
      <c r="P2002" s="1">
        <v>22039</v>
      </c>
      <c r="Q2002" s="1" t="s">
        <v>423</v>
      </c>
      <c r="R2002" s="2">
        <v>41978</v>
      </c>
      <c r="S2002" s="1">
        <v>236237</v>
      </c>
      <c r="U2002" s="1">
        <v>1628</v>
      </c>
      <c r="V2002" s="1" t="s">
        <v>15568</v>
      </c>
      <c r="W2002" s="1" t="s">
        <v>264</v>
      </c>
      <c r="Y2002" s="1">
        <v>1</v>
      </c>
      <c r="Z2002" s="1" t="s">
        <v>370</v>
      </c>
      <c r="AA2002" s="1" t="s">
        <v>964</v>
      </c>
      <c r="AB2002" s="1">
        <v>60189</v>
      </c>
      <c r="AE2002" s="1" t="s">
        <v>18247</v>
      </c>
      <c r="AF2002" s="1">
        <v>1976</v>
      </c>
      <c r="AG2002" s="1" t="s">
        <v>213</v>
      </c>
      <c r="AH2002" s="1" t="s">
        <v>967</v>
      </c>
      <c r="AI2002" s="1" t="s">
        <v>206</v>
      </c>
      <c r="AJ2002" s="1" t="s">
        <v>207</v>
      </c>
      <c r="AL2002" s="1">
        <v>5</v>
      </c>
      <c r="AM2002" s="1">
        <v>2</v>
      </c>
      <c r="AN2002" s="1">
        <v>1</v>
      </c>
      <c r="AO2002" s="1">
        <v>1</v>
      </c>
      <c r="AP2002" s="1" t="s">
        <v>210</v>
      </c>
      <c r="AQ2002" s="1">
        <v>1</v>
      </c>
      <c r="AR2002" s="1" t="s">
        <v>209</v>
      </c>
      <c r="AS2002" s="1" t="s">
        <v>204</v>
      </c>
      <c r="AT2002" s="1" t="s">
        <v>211</v>
      </c>
      <c r="AU2002" s="1">
        <v>1</v>
      </c>
      <c r="AW2002" s="1" t="s">
        <v>204</v>
      </c>
      <c r="AX2002" s="1" t="s">
        <v>18248</v>
      </c>
      <c r="AZ2002" s="1">
        <v>3602</v>
      </c>
      <c r="BA2002" s="1">
        <v>2013</v>
      </c>
      <c r="BE2002" s="1">
        <v>1160</v>
      </c>
      <c r="BF2002" s="1">
        <v>1</v>
      </c>
      <c r="BG2002" s="1">
        <v>5</v>
      </c>
      <c r="BL2002" s="1">
        <v>185</v>
      </c>
      <c r="BM2002" s="1" t="s">
        <v>204</v>
      </c>
      <c r="BN2002" s="1" t="s">
        <v>213</v>
      </c>
      <c r="BO2002" s="1">
        <v>999</v>
      </c>
      <c r="BP2002" s="1" t="s">
        <v>204</v>
      </c>
      <c r="BR2002" s="1" t="str">
        <f>"0522316033"</f>
        <v>0522316033</v>
      </c>
      <c r="BT2002" s="1" t="s">
        <v>18249</v>
      </c>
      <c r="BX2002" s="1">
        <v>89</v>
      </c>
      <c r="BY2002" s="1">
        <v>89</v>
      </c>
      <c r="BZ2002" s="1">
        <v>87</v>
      </c>
      <c r="CB2002" s="1" t="str">
        <f t="shared" ref="CB2002:CC2002" si="1529">""</f>
        <v/>
      </c>
      <c r="CC2002" s="1" t="str">
        <f t="shared" si="1529"/>
        <v/>
      </c>
      <c r="CG2002" s="1" t="s">
        <v>538</v>
      </c>
      <c r="CH2002" s="1" t="s">
        <v>219</v>
      </c>
      <c r="CK2002" s="1" t="s">
        <v>564</v>
      </c>
      <c r="CL2002" s="1" t="s">
        <v>277</v>
      </c>
      <c r="CO2002" s="1" t="s">
        <v>8146</v>
      </c>
      <c r="CP2002" s="1" t="s">
        <v>219</v>
      </c>
      <c r="CS2002" s="1" t="s">
        <v>378</v>
      </c>
      <c r="CT2002" s="1" t="s">
        <v>277</v>
      </c>
      <c r="CX2002" s="1" t="s">
        <v>224</v>
      </c>
      <c r="DB2002" s="1" t="s">
        <v>224</v>
      </c>
      <c r="DE2002" s="1" t="s">
        <v>785</v>
      </c>
      <c r="DF2002" s="1" t="s">
        <v>219</v>
      </c>
      <c r="DJ2002" s="1" t="s">
        <v>224</v>
      </c>
      <c r="DS2002" s="1" t="s">
        <v>230</v>
      </c>
      <c r="DW2002" s="1" t="s">
        <v>230</v>
      </c>
      <c r="EA2002" s="1" t="s">
        <v>230</v>
      </c>
      <c r="EE2002" s="1" t="s">
        <v>230</v>
      </c>
      <c r="EI2002" s="1" t="s">
        <v>230</v>
      </c>
      <c r="EL2002" s="1" t="s">
        <v>231</v>
      </c>
      <c r="EM2002" s="1" t="s">
        <v>319</v>
      </c>
      <c r="EN2002" s="1" t="s">
        <v>282</v>
      </c>
      <c r="EO2002" s="1" t="s">
        <v>234</v>
      </c>
      <c r="ER2002" s="1" t="s">
        <v>544</v>
      </c>
      <c r="EW2002" s="1" t="s">
        <v>1426</v>
      </c>
      <c r="EZ2002" s="1" t="s">
        <v>287</v>
      </c>
      <c r="FD2002" s="1" t="s">
        <v>246</v>
      </c>
      <c r="FE2002" s="1" t="s">
        <v>1006</v>
      </c>
      <c r="FF2002" s="1" t="s">
        <v>248</v>
      </c>
      <c r="FH2002" s="1" t="s">
        <v>550</v>
      </c>
      <c r="FL2002" s="1" t="s">
        <v>358</v>
      </c>
      <c r="FM2002" s="1" t="s">
        <v>252</v>
      </c>
      <c r="FN2002" s="1" t="s">
        <v>213</v>
      </c>
      <c r="FO2002" s="1" t="s">
        <v>213</v>
      </c>
      <c r="FQ2002" s="1" t="s">
        <v>582</v>
      </c>
      <c r="FR2002" s="1" t="s">
        <v>210</v>
      </c>
      <c r="FS2002" s="1" t="s">
        <v>5633</v>
      </c>
      <c r="FT2002" s="1" t="s">
        <v>295</v>
      </c>
      <c r="FU2002" s="1" t="s">
        <v>204</v>
      </c>
      <c r="FW2002" s="1" t="s">
        <v>1050</v>
      </c>
      <c r="FX2002" s="1">
        <v>23025</v>
      </c>
      <c r="FY2002" s="1" t="s">
        <v>1051</v>
      </c>
      <c r="FZ2002" s="1" t="s">
        <v>1052</v>
      </c>
      <c r="GA2002" s="1">
        <v>233762</v>
      </c>
      <c r="GB2002" s="1" t="s">
        <v>1053</v>
      </c>
      <c r="GE2002" s="1" t="s">
        <v>210</v>
      </c>
      <c r="GI2002" s="1" t="s">
        <v>213</v>
      </c>
      <c r="GJ2002" s="1" t="s">
        <v>260</v>
      </c>
      <c r="GK2002" s="1" t="s">
        <v>210</v>
      </c>
      <c r="GL2002" s="2">
        <v>41978</v>
      </c>
      <c r="GM2002" s="1" t="s">
        <v>18250</v>
      </c>
    </row>
    <row r="2003" spans="1:195">
      <c r="A2003" s="1">
        <v>100000</v>
      </c>
      <c r="B2003" s="1" t="s">
        <v>195</v>
      </c>
      <c r="C2003" s="1" t="str">
        <f>"08744232"</f>
        <v>08744232</v>
      </c>
      <c r="D2003" s="1" t="s">
        <v>196</v>
      </c>
      <c r="F2003" s="1" t="str">
        <f>"560"</f>
        <v>560</v>
      </c>
      <c r="G2003" s="2">
        <v>41915</v>
      </c>
      <c r="H2003" s="1">
        <v>109900</v>
      </c>
      <c r="I2003" s="1">
        <v>109900</v>
      </c>
      <c r="J2003" s="1">
        <v>100000</v>
      </c>
      <c r="K2003" s="2">
        <v>41915</v>
      </c>
      <c r="L2003" s="1">
        <v>13</v>
      </c>
      <c r="M2003" s="2">
        <v>41927</v>
      </c>
      <c r="N2003" s="1">
        <v>13</v>
      </c>
      <c r="O2003" s="2">
        <v>41927</v>
      </c>
      <c r="P2003" s="1">
        <v>23030</v>
      </c>
      <c r="Q2003" s="1" t="s">
        <v>197</v>
      </c>
      <c r="R2003" s="2">
        <v>41978</v>
      </c>
      <c r="S2003" s="1">
        <v>212422</v>
      </c>
      <c r="U2003" s="1">
        <v>4565</v>
      </c>
      <c r="V2003" s="1" t="s">
        <v>12644</v>
      </c>
      <c r="W2003" s="1" t="s">
        <v>504</v>
      </c>
      <c r="X2003" s="1" t="s">
        <v>483</v>
      </c>
      <c r="Y2003" s="1">
        <v>4</v>
      </c>
      <c r="Z2003" s="1" t="s">
        <v>249</v>
      </c>
      <c r="AA2003" s="1" t="s">
        <v>484</v>
      </c>
      <c r="AB2003" s="1">
        <v>60560</v>
      </c>
      <c r="AE2003" s="1" t="s">
        <v>18251</v>
      </c>
      <c r="AF2003" s="1">
        <v>2006</v>
      </c>
      <c r="AG2003" s="1" t="s">
        <v>204</v>
      </c>
      <c r="AH2003" s="1" t="s">
        <v>487</v>
      </c>
      <c r="AI2003" s="1" t="s">
        <v>453</v>
      </c>
      <c r="AJ2003" s="1" t="s">
        <v>454</v>
      </c>
      <c r="AL2003" s="1">
        <v>6</v>
      </c>
      <c r="AM2003" s="1">
        <v>2</v>
      </c>
      <c r="AN2003" s="1">
        <v>1</v>
      </c>
      <c r="AO2003" s="1">
        <v>1</v>
      </c>
      <c r="AP2003" s="1" t="s">
        <v>210</v>
      </c>
      <c r="AR2003" s="1" t="s">
        <v>210</v>
      </c>
      <c r="AS2003" s="1" t="s">
        <v>204</v>
      </c>
      <c r="AT2003" s="1" t="s">
        <v>211</v>
      </c>
      <c r="AU2003" s="1">
        <v>1</v>
      </c>
      <c r="AW2003" s="1" t="s">
        <v>204</v>
      </c>
      <c r="AX2003" s="1" t="s">
        <v>212</v>
      </c>
      <c r="AZ2003" s="1">
        <v>4454</v>
      </c>
      <c r="BA2003" s="1">
        <v>2013</v>
      </c>
      <c r="BE2003" s="1">
        <v>1132</v>
      </c>
      <c r="BF2003" s="1">
        <v>1</v>
      </c>
      <c r="BG2003" s="1">
        <v>0</v>
      </c>
      <c r="BL2003" s="1">
        <v>144</v>
      </c>
      <c r="BM2003" s="1" t="s">
        <v>204</v>
      </c>
      <c r="BN2003" s="1" t="s">
        <v>213</v>
      </c>
      <c r="BO2003" s="1">
        <v>0</v>
      </c>
      <c r="BP2003" s="1" t="s">
        <v>204</v>
      </c>
      <c r="BR2003" s="1" t="str">
        <f>"0204327028"</f>
        <v>0204327028</v>
      </c>
      <c r="BT2003" s="1" t="s">
        <v>18252</v>
      </c>
      <c r="BW2003" s="1" t="s">
        <v>9633</v>
      </c>
      <c r="BX2003" s="1">
        <v>115</v>
      </c>
      <c r="BY2003" s="1">
        <v>115</v>
      </c>
      <c r="BZ2003" s="1">
        <v>115</v>
      </c>
      <c r="CB2003" s="1" t="str">
        <f t="shared" ref="CB2003:CC2003" si="1530">""</f>
        <v/>
      </c>
      <c r="CC2003" s="1" t="str">
        <f t="shared" si="1530"/>
        <v/>
      </c>
      <c r="CG2003" s="1" t="s">
        <v>564</v>
      </c>
      <c r="CH2003" s="1" t="s">
        <v>219</v>
      </c>
      <c r="CI2003" s="1" t="s">
        <v>438</v>
      </c>
      <c r="CJ2003" s="1" t="s">
        <v>210</v>
      </c>
      <c r="CK2003" s="1" t="s">
        <v>221</v>
      </c>
      <c r="CL2003" s="1" t="s">
        <v>277</v>
      </c>
      <c r="CM2003" s="1" t="s">
        <v>220</v>
      </c>
      <c r="CO2003" s="1" t="s">
        <v>629</v>
      </c>
      <c r="CP2003" s="1" t="s">
        <v>219</v>
      </c>
      <c r="CQ2003" s="1" t="s">
        <v>438</v>
      </c>
      <c r="CR2003" s="1" t="s">
        <v>210</v>
      </c>
      <c r="CS2003" s="1" t="s">
        <v>346</v>
      </c>
      <c r="CT2003" s="1" t="s">
        <v>277</v>
      </c>
      <c r="CU2003" s="1" t="s">
        <v>220</v>
      </c>
      <c r="CX2003" s="1" t="s">
        <v>224</v>
      </c>
      <c r="DB2003" s="1" t="s">
        <v>224</v>
      </c>
      <c r="DE2003" s="1" t="s">
        <v>379</v>
      </c>
      <c r="DF2003" s="1" t="s">
        <v>219</v>
      </c>
      <c r="DG2003" s="1" t="s">
        <v>438</v>
      </c>
      <c r="DJ2003" s="1" t="s">
        <v>224</v>
      </c>
      <c r="DM2003" s="1" t="s">
        <v>464</v>
      </c>
      <c r="DR2003" s="1" t="s">
        <v>489</v>
      </c>
      <c r="DS2003" s="1" t="s">
        <v>277</v>
      </c>
      <c r="DT2003" s="1" t="s">
        <v>220</v>
      </c>
      <c r="DU2003" s="1" t="s">
        <v>210</v>
      </c>
      <c r="DW2003" s="1" t="s">
        <v>230</v>
      </c>
      <c r="EA2003" s="1" t="s">
        <v>230</v>
      </c>
      <c r="EE2003" s="1" t="s">
        <v>230</v>
      </c>
      <c r="EI2003" s="1" t="s">
        <v>230</v>
      </c>
      <c r="EL2003" s="1" t="s">
        <v>491</v>
      </c>
      <c r="EM2003" s="1" t="s">
        <v>319</v>
      </c>
      <c r="EN2003" s="1" t="s">
        <v>282</v>
      </c>
      <c r="EO2003" s="1" t="s">
        <v>234</v>
      </c>
      <c r="EQ2003" s="1" t="s">
        <v>492</v>
      </c>
      <c r="ER2003" s="1" t="s">
        <v>210</v>
      </c>
      <c r="ES2003" s="1" t="s">
        <v>608</v>
      </c>
      <c r="EV2003" s="1" t="s">
        <v>240</v>
      </c>
      <c r="EW2003" s="1" t="s">
        <v>887</v>
      </c>
      <c r="EZ2003" s="1" t="s">
        <v>464</v>
      </c>
      <c r="FB2003" s="1" t="s">
        <v>289</v>
      </c>
      <c r="FD2003" s="1" t="s">
        <v>1649</v>
      </c>
      <c r="FE2003" s="1" t="s">
        <v>496</v>
      </c>
      <c r="FF2003" s="1" t="s">
        <v>248</v>
      </c>
      <c r="FH2003" s="1" t="s">
        <v>550</v>
      </c>
      <c r="FI2003" s="1" t="s">
        <v>473</v>
      </c>
      <c r="FJ2003" s="1" t="s">
        <v>518</v>
      </c>
      <c r="FL2003" s="1" t="s">
        <v>358</v>
      </c>
      <c r="FM2003" s="1" t="s">
        <v>252</v>
      </c>
      <c r="FN2003" s="1" t="s">
        <v>213</v>
      </c>
      <c r="FO2003" s="1" t="s">
        <v>213</v>
      </c>
      <c r="FQ2003" s="1" t="s">
        <v>18253</v>
      </c>
      <c r="FR2003" s="1" t="s">
        <v>210</v>
      </c>
      <c r="FS2003" s="1" t="s">
        <v>18254</v>
      </c>
      <c r="FT2003" s="1" t="s">
        <v>362</v>
      </c>
      <c r="FU2003" s="1" t="s">
        <v>204</v>
      </c>
      <c r="FW2003" s="1" t="s">
        <v>2726</v>
      </c>
      <c r="FX2003" s="1">
        <v>1109</v>
      </c>
      <c r="FY2003" s="1" t="s">
        <v>2727</v>
      </c>
      <c r="FZ2003" s="1" t="s">
        <v>18173</v>
      </c>
      <c r="GA2003" s="1">
        <v>84713</v>
      </c>
      <c r="GB2003" s="1" t="s">
        <v>18174</v>
      </c>
      <c r="GC2003" s="1">
        <v>27789</v>
      </c>
      <c r="GE2003" s="1" t="s">
        <v>210</v>
      </c>
      <c r="GI2003" s="1" t="s">
        <v>213</v>
      </c>
      <c r="GJ2003" s="1" t="s">
        <v>260</v>
      </c>
      <c r="GK2003" s="1" t="s">
        <v>210</v>
      </c>
      <c r="GL2003" s="2">
        <v>41984</v>
      </c>
    </row>
    <row r="2004" spans="1:195">
      <c r="A2004" s="1">
        <v>223000</v>
      </c>
      <c r="B2004" s="1" t="s">
        <v>195</v>
      </c>
      <c r="C2004" s="1" t="str">
        <f>"08745241"</f>
        <v>08745241</v>
      </c>
      <c r="D2004" s="1" t="s">
        <v>196</v>
      </c>
      <c r="F2004" s="1" t="str">
        <f>"188"</f>
        <v>188</v>
      </c>
      <c r="G2004" s="2">
        <v>41916</v>
      </c>
      <c r="H2004" s="1">
        <v>234900</v>
      </c>
      <c r="I2004" s="1">
        <v>228900</v>
      </c>
      <c r="J2004" s="1">
        <v>223000</v>
      </c>
      <c r="K2004" s="2">
        <v>41914</v>
      </c>
      <c r="L2004" s="1">
        <v>41</v>
      </c>
      <c r="M2004" s="2">
        <v>41954</v>
      </c>
      <c r="N2004" s="1">
        <v>41</v>
      </c>
      <c r="O2004" s="2">
        <v>41954</v>
      </c>
      <c r="P2004" s="1">
        <v>8390</v>
      </c>
      <c r="Q2004" s="1" t="s">
        <v>197</v>
      </c>
      <c r="R2004" s="2">
        <v>41984</v>
      </c>
      <c r="S2004" s="1">
        <v>922576</v>
      </c>
      <c r="U2004" s="1">
        <v>1128</v>
      </c>
      <c r="V2004" s="1" t="s">
        <v>18255</v>
      </c>
      <c r="W2004" s="1" t="s">
        <v>304</v>
      </c>
      <c r="Y2004" s="1">
        <v>3</v>
      </c>
      <c r="Z2004" s="1" t="s">
        <v>249</v>
      </c>
      <c r="AA2004" s="1" t="s">
        <v>1084</v>
      </c>
      <c r="AB2004" s="1">
        <v>60188</v>
      </c>
      <c r="AD2004" s="1" t="s">
        <v>18256</v>
      </c>
      <c r="AE2004" s="1" t="s">
        <v>18257</v>
      </c>
      <c r="AF2004" s="1">
        <v>2006</v>
      </c>
      <c r="AG2004" s="1" t="s">
        <v>204</v>
      </c>
      <c r="AH2004" s="1" t="s">
        <v>1087</v>
      </c>
      <c r="AI2004" s="1" t="s">
        <v>206</v>
      </c>
      <c r="AJ2004" s="1" t="s">
        <v>2654</v>
      </c>
      <c r="AK2004" s="1" t="s">
        <v>10145</v>
      </c>
      <c r="AL2004" s="1">
        <v>7</v>
      </c>
      <c r="AM2004" s="1">
        <v>2</v>
      </c>
      <c r="AN2004" s="1">
        <v>2</v>
      </c>
      <c r="AO2004" s="1">
        <v>1</v>
      </c>
      <c r="AP2004" s="1" t="s">
        <v>209</v>
      </c>
      <c r="AQ2004" s="1">
        <v>1</v>
      </c>
      <c r="AR2004" s="1" t="s">
        <v>4448</v>
      </c>
      <c r="AS2004" s="1" t="s">
        <v>204</v>
      </c>
      <c r="AT2004" s="1" t="s">
        <v>211</v>
      </c>
      <c r="AU2004" s="1">
        <v>2</v>
      </c>
      <c r="AW2004" s="1" t="s">
        <v>204</v>
      </c>
      <c r="AX2004" s="1" t="s">
        <v>212</v>
      </c>
      <c r="AZ2004" s="1">
        <v>4997</v>
      </c>
      <c r="BA2004" s="1">
        <v>2013</v>
      </c>
      <c r="BB2004" s="1" t="s">
        <v>405</v>
      </c>
      <c r="BE2004" s="1">
        <v>2016</v>
      </c>
      <c r="BF2004" s="1">
        <v>1</v>
      </c>
      <c r="BG2004" s="1">
        <v>0</v>
      </c>
      <c r="BL2004" s="1">
        <v>163</v>
      </c>
      <c r="BM2004" s="1" t="s">
        <v>204</v>
      </c>
      <c r="BN2004" s="1" t="s">
        <v>213</v>
      </c>
      <c r="BO2004" s="1">
        <v>100</v>
      </c>
      <c r="BP2004" s="1" t="s">
        <v>204</v>
      </c>
      <c r="BR2004" s="1" t="str">
        <f>"0220312081"</f>
        <v>0220312081</v>
      </c>
      <c r="BT2004" s="1" t="s">
        <v>18258</v>
      </c>
      <c r="BU2004" s="1" t="s">
        <v>1090</v>
      </c>
      <c r="BV2004" s="1" t="s">
        <v>1091</v>
      </c>
      <c r="BW2004" s="1" t="s">
        <v>1092</v>
      </c>
      <c r="BX2004" s="1">
        <v>93</v>
      </c>
      <c r="BY2004" s="1">
        <v>93</v>
      </c>
      <c r="BZ2004" s="1">
        <v>87</v>
      </c>
      <c r="CB2004" s="1" t="str">
        <f t="shared" ref="CB2004:CC2004" si="1531">""</f>
        <v/>
      </c>
      <c r="CC2004" s="1" t="str">
        <f t="shared" si="1531"/>
        <v/>
      </c>
      <c r="CG2004" s="1" t="s">
        <v>861</v>
      </c>
      <c r="CH2004" s="1" t="s">
        <v>277</v>
      </c>
      <c r="CI2004" s="1" t="s">
        <v>220</v>
      </c>
      <c r="CJ2004" s="1" t="s">
        <v>252</v>
      </c>
      <c r="CK2004" s="1" t="s">
        <v>729</v>
      </c>
      <c r="CL2004" s="1" t="s">
        <v>784</v>
      </c>
      <c r="CM2004" s="1" t="s">
        <v>220</v>
      </c>
      <c r="CN2004" s="1" t="s">
        <v>252</v>
      </c>
      <c r="CP2004" s="1" t="s">
        <v>224</v>
      </c>
      <c r="CS2004" s="1" t="s">
        <v>346</v>
      </c>
      <c r="CT2004" s="1" t="s">
        <v>784</v>
      </c>
      <c r="CU2004" s="1" t="s">
        <v>220</v>
      </c>
      <c r="CV2004" s="1" t="s">
        <v>252</v>
      </c>
      <c r="CX2004" s="1" t="s">
        <v>224</v>
      </c>
      <c r="DB2004" s="1" t="s">
        <v>224</v>
      </c>
      <c r="DE2004" s="1" t="s">
        <v>885</v>
      </c>
      <c r="DF2004" s="1" t="s">
        <v>277</v>
      </c>
      <c r="DG2004" s="1" t="s">
        <v>226</v>
      </c>
      <c r="DH2004" s="1" t="s">
        <v>252</v>
      </c>
      <c r="DI2004" s="1" t="s">
        <v>315</v>
      </c>
      <c r="DJ2004" s="1" t="s">
        <v>277</v>
      </c>
      <c r="DK2004" s="1" t="s">
        <v>220</v>
      </c>
      <c r="DL2004" s="1" t="s">
        <v>252</v>
      </c>
      <c r="DM2004" s="1" t="s">
        <v>464</v>
      </c>
      <c r="DN2004" s="1" t="s">
        <v>934</v>
      </c>
      <c r="DR2004" s="1" t="s">
        <v>540</v>
      </c>
      <c r="DS2004" s="1" t="s">
        <v>784</v>
      </c>
      <c r="DT2004" s="1" t="s">
        <v>220</v>
      </c>
      <c r="DU2004" s="1" t="s">
        <v>252</v>
      </c>
      <c r="DV2004" s="1" t="s">
        <v>952</v>
      </c>
      <c r="DW2004" s="1" t="s">
        <v>822</v>
      </c>
      <c r="DX2004" s="1" t="s">
        <v>226</v>
      </c>
      <c r="DY2004" s="1" t="s">
        <v>210</v>
      </c>
      <c r="EA2004" s="1" t="s">
        <v>230</v>
      </c>
      <c r="EE2004" s="1" t="s">
        <v>230</v>
      </c>
      <c r="EI2004" s="1" t="s">
        <v>230</v>
      </c>
      <c r="EL2004" s="1" t="s">
        <v>491</v>
      </c>
      <c r="EM2004" s="1" t="s">
        <v>232</v>
      </c>
      <c r="EN2004" s="1" t="s">
        <v>282</v>
      </c>
      <c r="EO2004" s="1" t="s">
        <v>234</v>
      </c>
      <c r="EP2004" s="1" t="s">
        <v>650</v>
      </c>
      <c r="EQ2004" s="1" t="s">
        <v>1551</v>
      </c>
      <c r="ER2004" s="1" t="s">
        <v>823</v>
      </c>
      <c r="ES2004" s="1" t="s">
        <v>322</v>
      </c>
      <c r="EU2004" s="1" t="s">
        <v>610</v>
      </c>
      <c r="EW2004" s="1" t="s">
        <v>353</v>
      </c>
      <c r="EY2004" s="1" t="s">
        <v>441</v>
      </c>
      <c r="EZ2004" s="1" t="s">
        <v>3875</v>
      </c>
      <c r="FB2004" s="1" t="s">
        <v>289</v>
      </c>
      <c r="FD2004" s="1" t="s">
        <v>246</v>
      </c>
      <c r="FE2004" s="1" t="s">
        <v>975</v>
      </c>
      <c r="FF2004" s="1" t="s">
        <v>1113</v>
      </c>
      <c r="FG2004" s="1" t="s">
        <v>2406</v>
      </c>
      <c r="FH2004" s="1" t="s">
        <v>1428</v>
      </c>
      <c r="FI2004" s="1" t="s">
        <v>473</v>
      </c>
      <c r="FJ2004" s="1" t="s">
        <v>197</v>
      </c>
      <c r="FL2004" s="1" t="s">
        <v>358</v>
      </c>
      <c r="FM2004" s="1" t="s">
        <v>252</v>
      </c>
      <c r="FN2004" s="1" t="s">
        <v>213</v>
      </c>
      <c r="FO2004" s="1" t="s">
        <v>213</v>
      </c>
      <c r="FQ2004" s="1" t="s">
        <v>18259</v>
      </c>
      <c r="FR2004" s="1" t="s">
        <v>210</v>
      </c>
      <c r="FS2004" s="1" t="s">
        <v>18260</v>
      </c>
      <c r="FT2004" s="1" t="s">
        <v>295</v>
      </c>
      <c r="FU2004" s="1" t="s">
        <v>204</v>
      </c>
      <c r="FW2004" s="1" t="s">
        <v>2144</v>
      </c>
      <c r="FX2004" s="1">
        <v>23163</v>
      </c>
      <c r="FY2004" s="1" t="s">
        <v>2145</v>
      </c>
      <c r="FZ2004" s="1" t="s">
        <v>7250</v>
      </c>
      <c r="GA2004" s="1">
        <v>253831</v>
      </c>
      <c r="GB2004" s="1" t="s">
        <v>7251</v>
      </c>
      <c r="GE2004" s="1" t="s">
        <v>210</v>
      </c>
      <c r="GI2004" s="1" t="s">
        <v>213</v>
      </c>
      <c r="GJ2004" s="1" t="s">
        <v>260</v>
      </c>
      <c r="GK2004" s="1" t="s">
        <v>210</v>
      </c>
      <c r="GL2004" s="2">
        <v>41984</v>
      </c>
      <c r="GM2004" s="1" t="s">
        <v>18261</v>
      </c>
    </row>
    <row r="2005" spans="1:195">
      <c r="A2005" s="1">
        <v>232000</v>
      </c>
      <c r="B2005" s="1" t="s">
        <v>195</v>
      </c>
      <c r="C2005" s="1" t="str">
        <f>"08746453"</f>
        <v>08746453</v>
      </c>
      <c r="D2005" s="1" t="s">
        <v>196</v>
      </c>
      <c r="F2005" s="1" t="str">
        <f>"137"</f>
        <v>137</v>
      </c>
      <c r="G2005" s="2">
        <v>41918</v>
      </c>
      <c r="H2005" s="1">
        <v>237500</v>
      </c>
      <c r="I2005" s="1">
        <v>237500</v>
      </c>
      <c r="J2005" s="1">
        <v>232000</v>
      </c>
      <c r="K2005" s="2">
        <v>41918</v>
      </c>
      <c r="L2005" s="1">
        <v>59</v>
      </c>
      <c r="M2005" s="2">
        <v>41976</v>
      </c>
      <c r="N2005" s="1">
        <v>59</v>
      </c>
      <c r="O2005" s="2">
        <v>41976</v>
      </c>
      <c r="P2005" s="1">
        <v>25088</v>
      </c>
      <c r="Q2005" s="1" t="s">
        <v>197</v>
      </c>
      <c r="R2005" s="2">
        <v>42037</v>
      </c>
      <c r="S2005" s="1">
        <v>219533</v>
      </c>
      <c r="T2005" s="1">
        <v>4000</v>
      </c>
      <c r="U2005" s="1">
        <v>115</v>
      </c>
      <c r="V2005" s="1" t="s">
        <v>3693</v>
      </c>
      <c r="W2005" s="1" t="s">
        <v>264</v>
      </c>
      <c r="Y2005" s="1">
        <v>4</v>
      </c>
      <c r="Z2005" s="1" t="s">
        <v>249</v>
      </c>
      <c r="AA2005" s="1" t="s">
        <v>201</v>
      </c>
      <c r="AB2005" s="1">
        <v>60137</v>
      </c>
      <c r="AD2005" s="1" t="s">
        <v>8204</v>
      </c>
      <c r="AE2005" s="1" t="s">
        <v>18262</v>
      </c>
      <c r="AF2005" s="1">
        <v>2000</v>
      </c>
      <c r="AG2005" s="1" t="s">
        <v>204</v>
      </c>
      <c r="AH2005" s="1" t="s">
        <v>205</v>
      </c>
      <c r="AI2005" s="1" t="s">
        <v>206</v>
      </c>
      <c r="AJ2005" s="1" t="s">
        <v>207</v>
      </c>
      <c r="AL2005" s="1">
        <v>7</v>
      </c>
      <c r="AM2005" s="1">
        <v>2</v>
      </c>
      <c r="AN2005" s="1">
        <v>1</v>
      </c>
      <c r="AO2005" s="1">
        <v>1</v>
      </c>
      <c r="AP2005" s="1" t="s">
        <v>667</v>
      </c>
      <c r="AQ2005" s="1">
        <v>1</v>
      </c>
      <c r="AR2005" s="1" t="s">
        <v>209</v>
      </c>
      <c r="AS2005" s="1" t="s">
        <v>204</v>
      </c>
      <c r="AT2005" s="1" t="s">
        <v>211</v>
      </c>
      <c r="AU2005" s="1">
        <v>2</v>
      </c>
      <c r="AW2005" s="1" t="s">
        <v>204</v>
      </c>
      <c r="AX2005" s="1" t="s">
        <v>212</v>
      </c>
      <c r="AZ2005" s="1">
        <v>6510</v>
      </c>
      <c r="BA2005" s="1">
        <v>2013</v>
      </c>
      <c r="BE2005" s="1">
        <v>1461</v>
      </c>
      <c r="BF2005" s="1">
        <v>1</v>
      </c>
      <c r="BG2005" s="1">
        <v>0</v>
      </c>
      <c r="BL2005" s="1">
        <v>196</v>
      </c>
      <c r="BM2005" s="1" t="s">
        <v>204</v>
      </c>
      <c r="BN2005" s="1" t="s">
        <v>213</v>
      </c>
      <c r="BO2005" s="1" t="s">
        <v>2932</v>
      </c>
      <c r="BP2005" s="1" t="s">
        <v>204</v>
      </c>
      <c r="BR2005" s="1" t="str">
        <f>"0513333145"</f>
        <v>0513333145</v>
      </c>
      <c r="BT2005" s="1" t="s">
        <v>18263</v>
      </c>
      <c r="BU2005" s="1" t="s">
        <v>215</v>
      </c>
      <c r="BV2005" s="1" t="s">
        <v>216</v>
      </c>
      <c r="BW2005" s="1" t="s">
        <v>217</v>
      </c>
      <c r="BX2005" s="1">
        <v>89</v>
      </c>
      <c r="BY2005" s="1">
        <v>89</v>
      </c>
      <c r="BZ2005" s="1">
        <v>87</v>
      </c>
      <c r="CB2005" s="1" t="str">
        <f t="shared" ref="CB2005:CC2005" si="1532">""</f>
        <v/>
      </c>
      <c r="CC2005" s="1" t="str">
        <f t="shared" si="1532"/>
        <v/>
      </c>
      <c r="CD2005" s="1">
        <v>21</v>
      </c>
      <c r="CG2005" s="1" t="s">
        <v>315</v>
      </c>
      <c r="CH2005" s="1" t="s">
        <v>219</v>
      </c>
      <c r="CI2005" s="1" t="s">
        <v>220</v>
      </c>
      <c r="CK2005" s="1" t="s">
        <v>221</v>
      </c>
      <c r="CL2005" s="1" t="s">
        <v>277</v>
      </c>
      <c r="CM2005" s="1" t="s">
        <v>220</v>
      </c>
      <c r="CO2005" s="1" t="s">
        <v>465</v>
      </c>
      <c r="CP2005" s="1" t="s">
        <v>219</v>
      </c>
      <c r="CQ2005" s="1" t="s">
        <v>220</v>
      </c>
      <c r="CS2005" s="1" t="s">
        <v>461</v>
      </c>
      <c r="CT2005" s="1" t="s">
        <v>277</v>
      </c>
      <c r="CU2005" s="1" t="s">
        <v>220</v>
      </c>
      <c r="CX2005" s="1" t="s">
        <v>224</v>
      </c>
      <c r="DB2005" s="1" t="s">
        <v>224</v>
      </c>
      <c r="DE2005" s="1" t="s">
        <v>1046</v>
      </c>
      <c r="DF2005" s="1" t="s">
        <v>219</v>
      </c>
      <c r="DG2005" s="1" t="s">
        <v>226</v>
      </c>
      <c r="DJ2005" s="1" t="s">
        <v>224</v>
      </c>
      <c r="DM2005" s="1" t="s">
        <v>464</v>
      </c>
      <c r="DN2005" s="1" t="s">
        <v>934</v>
      </c>
      <c r="DR2005" s="1" t="s">
        <v>2547</v>
      </c>
      <c r="DS2005" s="1" t="s">
        <v>277</v>
      </c>
      <c r="DT2005" s="1" t="s">
        <v>220</v>
      </c>
      <c r="DV2005" s="1" t="s">
        <v>4649</v>
      </c>
      <c r="DW2005" s="1" t="s">
        <v>43</v>
      </c>
      <c r="DX2005" s="1" t="s">
        <v>220</v>
      </c>
      <c r="EA2005" s="1" t="s">
        <v>230</v>
      </c>
      <c r="EE2005" s="1" t="s">
        <v>230</v>
      </c>
      <c r="EI2005" s="1" t="s">
        <v>230</v>
      </c>
      <c r="EL2005" s="1" t="s">
        <v>466</v>
      </c>
      <c r="EM2005" s="1" t="s">
        <v>232</v>
      </c>
      <c r="EN2005" s="1" t="s">
        <v>282</v>
      </c>
      <c r="EO2005" s="1" t="s">
        <v>234</v>
      </c>
      <c r="EP2005" s="1" t="s">
        <v>543</v>
      </c>
      <c r="ER2005" s="1" t="s">
        <v>544</v>
      </c>
      <c r="EW2005" s="1" t="s">
        <v>887</v>
      </c>
      <c r="EY2005" s="1" t="s">
        <v>242</v>
      </c>
      <c r="EZ2005" s="1" t="s">
        <v>3875</v>
      </c>
      <c r="FA2005" s="1" t="s">
        <v>18264</v>
      </c>
      <c r="FD2005" s="1" t="s">
        <v>246</v>
      </c>
      <c r="FE2005" s="1" t="s">
        <v>472</v>
      </c>
      <c r="FF2005" s="1" t="s">
        <v>248</v>
      </c>
      <c r="FH2005" s="1" t="s">
        <v>550</v>
      </c>
      <c r="FI2005" s="1" t="s">
        <v>473</v>
      </c>
      <c r="FJ2005" s="1" t="s">
        <v>197</v>
      </c>
      <c r="FL2005" s="1" t="s">
        <v>358</v>
      </c>
      <c r="FM2005" s="1" t="s">
        <v>252</v>
      </c>
      <c r="FN2005" s="1" t="s">
        <v>213</v>
      </c>
      <c r="FO2005" s="1" t="s">
        <v>213</v>
      </c>
      <c r="FQ2005" s="1" t="s">
        <v>329</v>
      </c>
      <c r="FR2005" s="1" t="s">
        <v>210</v>
      </c>
      <c r="FS2005" s="1" t="s">
        <v>18265</v>
      </c>
      <c r="FT2005" s="1" t="s">
        <v>255</v>
      </c>
      <c r="FU2005" s="1" t="s">
        <v>204</v>
      </c>
      <c r="FV2005" s="1" t="s">
        <v>8561</v>
      </c>
      <c r="FW2005" s="1" t="s">
        <v>1097</v>
      </c>
      <c r="FX2005" s="1">
        <v>25005</v>
      </c>
      <c r="FY2005" s="1" t="s">
        <v>1098</v>
      </c>
      <c r="FZ2005" s="1" t="s">
        <v>1099</v>
      </c>
      <c r="GA2005" s="1">
        <v>254114</v>
      </c>
      <c r="GB2005" s="1" t="s">
        <v>1100</v>
      </c>
      <c r="GC2005" s="1">
        <v>253729</v>
      </c>
      <c r="GE2005" s="1" t="s">
        <v>210</v>
      </c>
      <c r="GI2005" s="1" t="s">
        <v>213</v>
      </c>
      <c r="GJ2005" s="1" t="s">
        <v>260</v>
      </c>
      <c r="GK2005" s="1" t="s">
        <v>210</v>
      </c>
      <c r="GL2005" s="2">
        <v>42037</v>
      </c>
      <c r="GM2005" s="1" t="s">
        <v>18266</v>
      </c>
    </row>
    <row r="2006" spans="1:195">
      <c r="A2006" s="1">
        <v>110000</v>
      </c>
      <c r="B2006" s="1" t="s">
        <v>195</v>
      </c>
      <c r="C2006" s="1" t="str">
        <f>"08745607"</f>
        <v>08745607</v>
      </c>
      <c r="D2006" s="1" t="s">
        <v>196</v>
      </c>
      <c r="F2006" s="1" t="str">
        <f>"562"</f>
        <v>562</v>
      </c>
      <c r="G2006" s="2">
        <v>41918</v>
      </c>
      <c r="H2006" s="1">
        <v>120000</v>
      </c>
      <c r="I2006" s="1">
        <v>115000</v>
      </c>
      <c r="J2006" s="1">
        <v>110000</v>
      </c>
      <c r="K2006" s="2">
        <v>41916</v>
      </c>
      <c r="L2006" s="1">
        <v>117</v>
      </c>
      <c r="M2006" s="2">
        <v>42032</v>
      </c>
      <c r="N2006" s="1">
        <v>117</v>
      </c>
      <c r="O2006" s="2">
        <v>42032</v>
      </c>
      <c r="P2006" s="1">
        <v>20150</v>
      </c>
      <c r="Q2006" s="1" t="s">
        <v>197</v>
      </c>
      <c r="R2006" s="2">
        <v>42088</v>
      </c>
      <c r="S2006" s="1">
        <v>238563</v>
      </c>
      <c r="U2006" s="1">
        <v>7933</v>
      </c>
      <c r="V2006" s="1" t="s">
        <v>8026</v>
      </c>
      <c r="W2006" s="1" t="s">
        <v>449</v>
      </c>
      <c r="X2006" s="1" t="s">
        <v>527</v>
      </c>
      <c r="Y2006" s="1">
        <v>4</v>
      </c>
      <c r="Z2006" s="1" t="s">
        <v>249</v>
      </c>
      <c r="AA2006" s="1" t="s">
        <v>899</v>
      </c>
      <c r="AB2006" s="1">
        <v>60561</v>
      </c>
      <c r="AD2006" s="1" t="s">
        <v>3361</v>
      </c>
      <c r="AE2006" s="1" t="s">
        <v>18267</v>
      </c>
      <c r="AF2006" s="1">
        <v>1985</v>
      </c>
      <c r="AG2006" s="1" t="s">
        <v>204</v>
      </c>
      <c r="AH2006" s="1" t="s">
        <v>902</v>
      </c>
      <c r="AI2006" s="1" t="s">
        <v>206</v>
      </c>
      <c r="AJ2006" s="1" t="s">
        <v>903</v>
      </c>
      <c r="AK2006" s="1" t="s">
        <v>8945</v>
      </c>
      <c r="AL2006" s="1">
        <v>5</v>
      </c>
      <c r="AM2006" s="1">
        <v>2</v>
      </c>
      <c r="AN2006" s="1">
        <v>1</v>
      </c>
      <c r="AO2006" s="1">
        <v>0</v>
      </c>
      <c r="AP2006" s="1" t="s">
        <v>667</v>
      </c>
      <c r="AQ2006" s="1">
        <v>1</v>
      </c>
      <c r="AR2006" s="1" t="s">
        <v>210</v>
      </c>
      <c r="AS2006" s="1" t="s">
        <v>204</v>
      </c>
      <c r="AT2006" s="1" t="s">
        <v>211</v>
      </c>
      <c r="AU2006" s="1">
        <v>1</v>
      </c>
      <c r="AW2006" s="1" t="s">
        <v>204</v>
      </c>
      <c r="AX2006" s="1" t="s">
        <v>212</v>
      </c>
      <c r="AZ2006" s="1">
        <v>2505</v>
      </c>
      <c r="BA2006" s="1">
        <v>2013</v>
      </c>
      <c r="BB2006" s="1" t="s">
        <v>405</v>
      </c>
      <c r="BE2006" s="1">
        <v>1044</v>
      </c>
      <c r="BF2006" s="1">
        <v>2</v>
      </c>
      <c r="BG2006" s="1">
        <v>5</v>
      </c>
      <c r="BL2006" s="1">
        <v>152</v>
      </c>
      <c r="BM2006" s="1" t="s">
        <v>204</v>
      </c>
      <c r="BN2006" s="1" t="s">
        <v>213</v>
      </c>
      <c r="BO2006" s="1">
        <v>0</v>
      </c>
      <c r="BP2006" s="1" t="s">
        <v>204</v>
      </c>
      <c r="BR2006" s="1" t="str">
        <f>"0933115096"</f>
        <v>0933115096</v>
      </c>
      <c r="BT2006" s="1" t="s">
        <v>18268</v>
      </c>
      <c r="BU2006" s="1" t="s">
        <v>3998</v>
      </c>
      <c r="BV2006" s="1" t="s">
        <v>3999</v>
      </c>
      <c r="BW2006" s="1" t="s">
        <v>3099</v>
      </c>
      <c r="BX2006" s="1">
        <v>66</v>
      </c>
      <c r="BY2006" s="1">
        <v>66</v>
      </c>
      <c r="BZ2006" s="1">
        <v>99</v>
      </c>
      <c r="CB2006" s="1" t="str">
        <f t="shared" ref="CB2006:CC2006" si="1533">"0"</f>
        <v>0</v>
      </c>
      <c r="CC2006" s="1" t="str">
        <f t="shared" si="1533"/>
        <v>0</v>
      </c>
      <c r="CD2006" s="1">
        <v>18</v>
      </c>
      <c r="CE2006" s="1">
        <v>9</v>
      </c>
      <c r="CG2006" s="1" t="s">
        <v>861</v>
      </c>
      <c r="CH2006" s="1" t="s">
        <v>277</v>
      </c>
      <c r="CI2006" s="1" t="s">
        <v>220</v>
      </c>
      <c r="CJ2006" s="1" t="s">
        <v>343</v>
      </c>
      <c r="CK2006" s="1" t="s">
        <v>581</v>
      </c>
      <c r="CL2006" s="1" t="s">
        <v>277</v>
      </c>
      <c r="CM2006" s="1" t="s">
        <v>220</v>
      </c>
      <c r="CN2006" s="1" t="s">
        <v>343</v>
      </c>
      <c r="CO2006" s="1" t="s">
        <v>837</v>
      </c>
      <c r="CP2006" s="1" t="s">
        <v>277</v>
      </c>
      <c r="CQ2006" s="1" t="s">
        <v>220</v>
      </c>
      <c r="CR2006" s="1" t="s">
        <v>343</v>
      </c>
      <c r="CS2006" s="1" t="s">
        <v>318</v>
      </c>
      <c r="CT2006" s="1" t="s">
        <v>277</v>
      </c>
      <c r="CU2006" s="1" t="s">
        <v>220</v>
      </c>
      <c r="CV2006" s="1" t="s">
        <v>343</v>
      </c>
      <c r="CX2006" s="1" t="s">
        <v>224</v>
      </c>
      <c r="DB2006" s="1" t="s">
        <v>224</v>
      </c>
      <c r="DE2006" s="1" t="s">
        <v>516</v>
      </c>
      <c r="DF2006" s="1" t="s">
        <v>277</v>
      </c>
      <c r="DG2006" s="1" t="s">
        <v>226</v>
      </c>
      <c r="DH2006" s="1" t="s">
        <v>210</v>
      </c>
      <c r="DJ2006" s="1" t="s">
        <v>224</v>
      </c>
      <c r="DS2006" s="1" t="s">
        <v>230</v>
      </c>
      <c r="DW2006" s="1" t="s">
        <v>230</v>
      </c>
      <c r="EA2006" s="1" t="s">
        <v>230</v>
      </c>
      <c r="EE2006" s="1" t="s">
        <v>230</v>
      </c>
      <c r="EI2006" s="1" t="s">
        <v>230</v>
      </c>
      <c r="EL2006" s="1" t="s">
        <v>542</v>
      </c>
      <c r="EM2006" s="1" t="s">
        <v>232</v>
      </c>
      <c r="EN2006" s="1" t="s">
        <v>282</v>
      </c>
      <c r="EO2006" s="1" t="s">
        <v>234</v>
      </c>
      <c r="EP2006" s="1" t="s">
        <v>650</v>
      </c>
      <c r="EQ2006" s="1" t="s">
        <v>492</v>
      </c>
      <c r="ER2006" s="1" t="s">
        <v>383</v>
      </c>
      <c r="ES2006" s="1" t="s">
        <v>545</v>
      </c>
      <c r="EU2006" s="1" t="s">
        <v>239</v>
      </c>
      <c r="EV2006" s="1" t="s">
        <v>352</v>
      </c>
      <c r="EW2006" s="1" t="s">
        <v>18269</v>
      </c>
      <c r="EY2006" s="1" t="s">
        <v>242</v>
      </c>
      <c r="EZ2006" s="1" t="s">
        <v>287</v>
      </c>
      <c r="FA2006" s="1" t="s">
        <v>471</v>
      </c>
      <c r="FB2006" s="1" t="s">
        <v>289</v>
      </c>
      <c r="FC2006" s="1" t="s">
        <v>245</v>
      </c>
      <c r="FD2006" s="1" t="s">
        <v>495</v>
      </c>
      <c r="FE2006" s="1" t="s">
        <v>355</v>
      </c>
      <c r="FF2006" s="1" t="s">
        <v>248</v>
      </c>
      <c r="FG2006" s="1" t="s">
        <v>2739</v>
      </c>
      <c r="FH2006" s="1" t="s">
        <v>18270</v>
      </c>
      <c r="FI2006" s="1" t="s">
        <v>473</v>
      </c>
      <c r="FJ2006" s="1" t="s">
        <v>197</v>
      </c>
      <c r="FL2006" s="1" t="s">
        <v>358</v>
      </c>
      <c r="FM2006" s="1" t="s">
        <v>252</v>
      </c>
      <c r="FN2006" s="1" t="s">
        <v>204</v>
      </c>
      <c r="FO2006" s="1" t="s">
        <v>213</v>
      </c>
      <c r="FQ2006" s="1" t="s">
        <v>18271</v>
      </c>
      <c r="FR2006" s="1" t="s">
        <v>210</v>
      </c>
      <c r="FS2006" s="1" t="s">
        <v>18272</v>
      </c>
      <c r="FT2006" s="1" t="s">
        <v>1182</v>
      </c>
      <c r="FU2006" s="1" t="s">
        <v>204</v>
      </c>
      <c r="FV2006" s="1" t="s">
        <v>18273</v>
      </c>
      <c r="FW2006" s="1" t="s">
        <v>18274</v>
      </c>
      <c r="FX2006" s="1">
        <v>23921</v>
      </c>
      <c r="FY2006" s="1" t="s">
        <v>18275</v>
      </c>
      <c r="FZ2006" s="1" t="s">
        <v>18276</v>
      </c>
      <c r="GA2006" s="1">
        <v>222651</v>
      </c>
      <c r="GB2006" s="1" t="s">
        <v>18277</v>
      </c>
      <c r="GC2006" s="1">
        <v>214359</v>
      </c>
      <c r="GD2006" s="1" t="s">
        <v>18278</v>
      </c>
      <c r="GE2006" s="1" t="s">
        <v>480</v>
      </c>
      <c r="GI2006" s="1" t="s">
        <v>213</v>
      </c>
      <c r="GJ2006" s="1" t="s">
        <v>260</v>
      </c>
      <c r="GK2006" s="1" t="s">
        <v>210</v>
      </c>
      <c r="GL2006" s="2">
        <v>42088</v>
      </c>
      <c r="GM2006" s="1" t="s">
        <v>18279</v>
      </c>
    </row>
    <row r="2007" spans="1:195">
      <c r="A2007" s="1">
        <v>85000</v>
      </c>
      <c r="B2007" s="1" t="s">
        <v>195</v>
      </c>
      <c r="C2007" s="1" t="str">
        <f>"08738073"</f>
        <v>08738073</v>
      </c>
      <c r="D2007" s="1" t="s">
        <v>196</v>
      </c>
      <c r="F2007" s="1" t="str">
        <f>"540"</f>
        <v>540</v>
      </c>
      <c r="G2007" s="2">
        <v>41907</v>
      </c>
      <c r="H2007" s="1">
        <v>89999</v>
      </c>
      <c r="I2007" s="1">
        <v>87000</v>
      </c>
      <c r="J2007" s="1">
        <v>85000</v>
      </c>
      <c r="K2007" s="2">
        <v>41907</v>
      </c>
      <c r="L2007" s="1">
        <v>62</v>
      </c>
      <c r="M2007" s="2">
        <v>41968</v>
      </c>
      <c r="N2007" s="1">
        <v>62</v>
      </c>
      <c r="O2007" s="2">
        <v>41968</v>
      </c>
      <c r="P2007" s="1">
        <v>22029</v>
      </c>
      <c r="Q2007" s="1" t="s">
        <v>302</v>
      </c>
      <c r="R2007" s="2">
        <v>41988</v>
      </c>
      <c r="S2007" s="1">
        <v>237978</v>
      </c>
      <c r="U2007" s="1" t="s">
        <v>18280</v>
      </c>
      <c r="V2007" s="1" t="s">
        <v>5279</v>
      </c>
      <c r="W2007" s="1" t="s">
        <v>504</v>
      </c>
      <c r="X2007" s="1" t="s">
        <v>18281</v>
      </c>
      <c r="Y2007" s="1">
        <v>12</v>
      </c>
      <c r="Z2007" s="1" t="s">
        <v>370</v>
      </c>
      <c r="AA2007" s="1" t="s">
        <v>921</v>
      </c>
      <c r="AB2007" s="1">
        <v>60540</v>
      </c>
      <c r="AE2007" s="1" t="s">
        <v>18282</v>
      </c>
      <c r="AF2007" s="1">
        <v>1980</v>
      </c>
      <c r="AG2007" s="1" t="s">
        <v>204</v>
      </c>
      <c r="AH2007" s="1" t="s">
        <v>924</v>
      </c>
      <c r="AI2007" s="1" t="s">
        <v>206</v>
      </c>
      <c r="AJ2007" s="1" t="s">
        <v>924</v>
      </c>
      <c r="AL2007" s="1">
        <v>5</v>
      </c>
      <c r="AM2007" s="1">
        <v>2</v>
      </c>
      <c r="AN2007" s="1">
        <v>1</v>
      </c>
      <c r="AO2007" s="1">
        <v>1</v>
      </c>
      <c r="AP2007" s="1" t="s">
        <v>1234</v>
      </c>
      <c r="AR2007" s="1" t="s">
        <v>210</v>
      </c>
      <c r="AS2007" s="1" t="s">
        <v>204</v>
      </c>
      <c r="AT2007" s="1" t="s">
        <v>271</v>
      </c>
      <c r="AV2007" s="1">
        <v>2</v>
      </c>
      <c r="AW2007" s="1" t="s">
        <v>204</v>
      </c>
      <c r="AX2007" s="1" t="s">
        <v>212</v>
      </c>
      <c r="AZ2007" s="4">
        <v>1363.9</v>
      </c>
      <c r="BA2007" s="1">
        <v>2013</v>
      </c>
      <c r="BB2007" s="1" t="s">
        <v>405</v>
      </c>
      <c r="BE2007" s="1">
        <v>1100</v>
      </c>
      <c r="BF2007" s="1">
        <v>1</v>
      </c>
      <c r="BG2007" s="1">
        <v>0</v>
      </c>
      <c r="BL2007" s="1">
        <v>339</v>
      </c>
      <c r="BM2007" s="1" t="s">
        <v>204</v>
      </c>
      <c r="BN2007" s="1" t="s">
        <v>213</v>
      </c>
      <c r="BO2007" s="1">
        <v>35</v>
      </c>
      <c r="BP2007" s="1" t="s">
        <v>204</v>
      </c>
      <c r="BR2007" s="1" t="str">
        <f>"0709220075"</f>
        <v>0709220075</v>
      </c>
      <c r="BT2007" s="1" t="s">
        <v>18283</v>
      </c>
      <c r="BX2007" s="1">
        <v>204</v>
      </c>
      <c r="BY2007" s="1">
        <v>204</v>
      </c>
      <c r="BZ2007" s="1">
        <v>204</v>
      </c>
      <c r="CB2007" s="1" t="str">
        <f t="shared" ref="CB2007:CC2007" si="1534">""</f>
        <v/>
      </c>
      <c r="CC2007" s="1" t="str">
        <f t="shared" si="1534"/>
        <v/>
      </c>
      <c r="CG2007" s="1" t="s">
        <v>7335</v>
      </c>
      <c r="CH2007" s="1" t="s">
        <v>219</v>
      </c>
      <c r="CK2007" s="1" t="s">
        <v>437</v>
      </c>
      <c r="CL2007" s="1" t="s">
        <v>219</v>
      </c>
      <c r="CO2007" s="1" t="s">
        <v>348</v>
      </c>
      <c r="CP2007" s="1" t="s">
        <v>219</v>
      </c>
      <c r="CS2007" s="1" t="s">
        <v>757</v>
      </c>
      <c r="CT2007" s="1" t="s">
        <v>219</v>
      </c>
      <c r="CX2007" s="1" t="s">
        <v>224</v>
      </c>
      <c r="DB2007" s="1" t="s">
        <v>224</v>
      </c>
      <c r="DE2007" s="1" t="s">
        <v>348</v>
      </c>
      <c r="DF2007" s="1" t="s">
        <v>219</v>
      </c>
      <c r="DJ2007" s="1" t="s">
        <v>224</v>
      </c>
      <c r="DS2007" s="1" t="s">
        <v>230</v>
      </c>
      <c r="DW2007" s="1" t="s">
        <v>230</v>
      </c>
      <c r="EA2007" s="1" t="s">
        <v>230</v>
      </c>
      <c r="EE2007" s="1" t="s">
        <v>230</v>
      </c>
      <c r="EI2007" s="1" t="s">
        <v>230</v>
      </c>
      <c r="EL2007" s="1" t="s">
        <v>231</v>
      </c>
      <c r="EM2007" s="1" t="s">
        <v>232</v>
      </c>
      <c r="EN2007" s="1" t="s">
        <v>282</v>
      </c>
      <c r="EO2007" s="1" t="s">
        <v>234</v>
      </c>
      <c r="EP2007" s="1" t="s">
        <v>18284</v>
      </c>
      <c r="EQ2007" s="1" t="s">
        <v>1109</v>
      </c>
      <c r="ER2007" s="1" t="s">
        <v>210</v>
      </c>
      <c r="ES2007" s="1" t="s">
        <v>954</v>
      </c>
      <c r="EU2007" s="1" t="s">
        <v>712</v>
      </c>
      <c r="EV2007" s="1" t="s">
        <v>240</v>
      </c>
      <c r="EW2007" s="1" t="s">
        <v>733</v>
      </c>
      <c r="EZ2007" s="1" t="s">
        <v>287</v>
      </c>
      <c r="FB2007" s="1" t="s">
        <v>289</v>
      </c>
      <c r="FD2007" s="1" t="s">
        <v>18285</v>
      </c>
      <c r="FE2007" s="1" t="s">
        <v>247</v>
      </c>
      <c r="FF2007" s="1" t="s">
        <v>248</v>
      </c>
      <c r="FH2007" s="1" t="s">
        <v>249</v>
      </c>
      <c r="FK2007" s="1" t="s">
        <v>891</v>
      </c>
      <c r="FL2007" s="1" t="s">
        <v>414</v>
      </c>
      <c r="FM2007" s="1" t="s">
        <v>252</v>
      </c>
      <c r="FN2007" s="1" t="s">
        <v>213</v>
      </c>
      <c r="FO2007" s="1" t="s">
        <v>213</v>
      </c>
      <c r="FQ2007" s="1" t="s">
        <v>18286</v>
      </c>
      <c r="FR2007" s="1" t="s">
        <v>210</v>
      </c>
      <c r="FS2007" s="1" t="s">
        <v>18287</v>
      </c>
      <c r="FT2007" s="1" t="s">
        <v>295</v>
      </c>
      <c r="FU2007" s="1" t="s">
        <v>204</v>
      </c>
      <c r="FW2007" s="1" t="s">
        <v>18288</v>
      </c>
      <c r="FX2007" s="1">
        <v>14870</v>
      </c>
      <c r="FY2007" s="1" t="s">
        <v>18289</v>
      </c>
      <c r="FZ2007" s="1" t="s">
        <v>18290</v>
      </c>
      <c r="GA2007" s="1">
        <v>168949</v>
      </c>
      <c r="GB2007" s="1" t="s">
        <v>18291</v>
      </c>
      <c r="GE2007" s="1" t="s">
        <v>210</v>
      </c>
      <c r="GI2007" s="1" t="s">
        <v>213</v>
      </c>
      <c r="GJ2007" s="1" t="s">
        <v>260</v>
      </c>
      <c r="GK2007" s="1" t="s">
        <v>210</v>
      </c>
      <c r="GL2007" s="2">
        <v>41989</v>
      </c>
      <c r="GM2007" s="1" t="s">
        <v>18292</v>
      </c>
    </row>
    <row r="2008" spans="1:195">
      <c r="A2008" s="1">
        <v>185000</v>
      </c>
      <c r="B2008" s="1" t="s">
        <v>195</v>
      </c>
      <c r="C2008" s="1" t="str">
        <f>"08744152"</f>
        <v>08744152</v>
      </c>
      <c r="D2008" s="1" t="s">
        <v>196</v>
      </c>
      <c r="F2008" s="1" t="str">
        <f>"108"</f>
        <v>108</v>
      </c>
      <c r="G2008" s="2">
        <v>41915</v>
      </c>
      <c r="H2008" s="1">
        <v>200000</v>
      </c>
      <c r="I2008" s="1">
        <v>189900</v>
      </c>
      <c r="J2008" s="1">
        <v>185000</v>
      </c>
      <c r="K2008" s="2">
        <v>41915</v>
      </c>
      <c r="L2008" s="1">
        <v>47</v>
      </c>
      <c r="M2008" s="2">
        <v>41961</v>
      </c>
      <c r="N2008" s="1">
        <v>47</v>
      </c>
      <c r="O2008" s="2">
        <v>41961</v>
      </c>
      <c r="P2008" s="1">
        <v>92063</v>
      </c>
      <c r="Q2008" s="1" t="s">
        <v>302</v>
      </c>
      <c r="R2008" s="2">
        <v>41990</v>
      </c>
      <c r="S2008" s="1">
        <v>26265</v>
      </c>
      <c r="U2008" s="1">
        <v>282</v>
      </c>
      <c r="V2008" s="1" t="s">
        <v>18185</v>
      </c>
      <c r="W2008" s="1" t="s">
        <v>449</v>
      </c>
      <c r="Y2008" s="1">
        <v>1</v>
      </c>
      <c r="Z2008" s="1" t="s">
        <v>370</v>
      </c>
      <c r="AA2008" s="1" t="s">
        <v>829</v>
      </c>
      <c r="AB2008" s="1">
        <v>60108</v>
      </c>
      <c r="AC2008" s="1">
        <v>2547</v>
      </c>
      <c r="AD2008" s="1" t="s">
        <v>18186</v>
      </c>
      <c r="AE2008" s="1" t="s">
        <v>18293</v>
      </c>
      <c r="AF2008" s="1">
        <v>1990</v>
      </c>
      <c r="AG2008" s="1" t="s">
        <v>204</v>
      </c>
      <c r="AH2008" s="1" t="s">
        <v>269</v>
      </c>
      <c r="AI2008" s="1" t="s">
        <v>206</v>
      </c>
      <c r="AJ2008" s="1" t="s">
        <v>269</v>
      </c>
      <c r="AL2008" s="1">
        <v>5</v>
      </c>
      <c r="AM2008" s="1">
        <v>2</v>
      </c>
      <c r="AN2008" s="1">
        <v>2</v>
      </c>
      <c r="AO2008" s="1">
        <v>1</v>
      </c>
      <c r="AP2008" s="1" t="s">
        <v>209</v>
      </c>
      <c r="AQ2008" s="1">
        <v>1</v>
      </c>
      <c r="AR2008" s="1" t="s">
        <v>210</v>
      </c>
      <c r="AS2008" s="1" t="s">
        <v>204</v>
      </c>
      <c r="AT2008" s="1" t="s">
        <v>211</v>
      </c>
      <c r="AU2008" s="1">
        <v>2</v>
      </c>
      <c r="AW2008" s="1" t="s">
        <v>204</v>
      </c>
      <c r="AX2008" s="1" t="s">
        <v>18294</v>
      </c>
      <c r="AZ2008" s="1">
        <v>5115</v>
      </c>
      <c r="BA2008" s="1">
        <v>2013</v>
      </c>
      <c r="BB2008" s="1" t="s">
        <v>405</v>
      </c>
      <c r="BE2008" s="1">
        <v>1492</v>
      </c>
      <c r="BF2008" s="1">
        <v>1</v>
      </c>
      <c r="BG2008" s="1">
        <v>0</v>
      </c>
      <c r="BL2008" s="1">
        <v>310</v>
      </c>
      <c r="BM2008" s="1" t="s">
        <v>204</v>
      </c>
      <c r="BN2008" s="1" t="s">
        <v>213</v>
      </c>
      <c r="BO2008" s="1">
        <v>50</v>
      </c>
      <c r="BP2008" s="1" t="s">
        <v>204</v>
      </c>
      <c r="BR2008" s="1" t="str">
        <f>"0216115017"</f>
        <v>0216115017</v>
      </c>
      <c r="BT2008" s="1" t="s">
        <v>18295</v>
      </c>
      <c r="BU2008" s="1" t="s">
        <v>1611</v>
      </c>
      <c r="BV2008" s="1" t="s">
        <v>834</v>
      </c>
      <c r="BW2008" s="1" t="s">
        <v>275</v>
      </c>
      <c r="BX2008" s="1">
        <v>13</v>
      </c>
      <c r="BY2008" s="1">
        <v>13</v>
      </c>
      <c r="BZ2008" s="1">
        <v>108</v>
      </c>
      <c r="CB2008" s="1" t="str">
        <f t="shared" ref="CB2008:CC2008" si="1535">""</f>
        <v/>
      </c>
      <c r="CC2008" s="1" t="str">
        <f t="shared" si="1535"/>
        <v/>
      </c>
      <c r="CG2008" s="1" t="s">
        <v>2511</v>
      </c>
      <c r="CH2008" s="1" t="s">
        <v>219</v>
      </c>
      <c r="CI2008" s="1" t="s">
        <v>220</v>
      </c>
      <c r="CJ2008" s="1" t="s">
        <v>252</v>
      </c>
      <c r="CK2008" s="1" t="s">
        <v>437</v>
      </c>
      <c r="CL2008" s="1" t="s">
        <v>277</v>
      </c>
      <c r="CM2008" s="1" t="s">
        <v>220</v>
      </c>
      <c r="CN2008" s="1" t="s">
        <v>252</v>
      </c>
      <c r="CO2008" s="1" t="s">
        <v>378</v>
      </c>
      <c r="CP2008" s="1" t="s">
        <v>219</v>
      </c>
      <c r="CQ2008" s="1" t="s">
        <v>220</v>
      </c>
      <c r="CR2008" s="1" t="s">
        <v>252</v>
      </c>
      <c r="CS2008" s="1" t="s">
        <v>465</v>
      </c>
      <c r="CT2008" s="1" t="s">
        <v>277</v>
      </c>
      <c r="CU2008" s="1" t="s">
        <v>220</v>
      </c>
      <c r="CV2008" s="1" t="s">
        <v>252</v>
      </c>
      <c r="CX2008" s="1" t="s">
        <v>224</v>
      </c>
      <c r="DB2008" s="1" t="s">
        <v>224</v>
      </c>
      <c r="DE2008" s="1" t="s">
        <v>380</v>
      </c>
      <c r="DF2008" s="1" t="s">
        <v>219</v>
      </c>
      <c r="DG2008" s="1" t="s">
        <v>438</v>
      </c>
      <c r="DH2008" s="1" t="s">
        <v>210</v>
      </c>
      <c r="DJ2008" s="1" t="s">
        <v>224</v>
      </c>
      <c r="DK2008" s="1" t="s">
        <v>226</v>
      </c>
      <c r="DL2008" s="1" t="s">
        <v>210</v>
      </c>
      <c r="DM2008" s="1" t="s">
        <v>709</v>
      </c>
      <c r="DN2008" s="1" t="s">
        <v>1771</v>
      </c>
      <c r="DR2008" s="1" t="s">
        <v>3492</v>
      </c>
      <c r="DS2008" s="1" t="s">
        <v>219</v>
      </c>
      <c r="DT2008" s="1" t="s">
        <v>226</v>
      </c>
      <c r="DU2008" s="1" t="s">
        <v>210</v>
      </c>
      <c r="DV2008" s="1" t="s">
        <v>2031</v>
      </c>
      <c r="DW2008" s="1" t="s">
        <v>277</v>
      </c>
      <c r="DX2008" s="1" t="s">
        <v>220</v>
      </c>
      <c r="DY2008" s="1" t="s">
        <v>210</v>
      </c>
      <c r="EA2008" s="1" t="s">
        <v>230</v>
      </c>
      <c r="EE2008" s="1" t="s">
        <v>230</v>
      </c>
      <c r="EI2008" s="1" t="s">
        <v>230</v>
      </c>
      <c r="EL2008" s="1" t="s">
        <v>382</v>
      </c>
      <c r="EM2008" s="1" t="s">
        <v>232</v>
      </c>
      <c r="EN2008" s="1" t="s">
        <v>282</v>
      </c>
      <c r="EO2008" s="1" t="s">
        <v>1020</v>
      </c>
      <c r="EP2008" s="1" t="s">
        <v>650</v>
      </c>
      <c r="EQ2008" s="1" t="s">
        <v>2188</v>
      </c>
      <c r="ER2008" s="1" t="s">
        <v>1069</v>
      </c>
      <c r="ES2008" s="1" t="s">
        <v>608</v>
      </c>
      <c r="ET2008" s="1" t="s">
        <v>238</v>
      </c>
      <c r="EV2008" s="1" t="s">
        <v>324</v>
      </c>
      <c r="EW2008" s="1" t="s">
        <v>7478</v>
      </c>
      <c r="EZ2008" s="1" t="s">
        <v>2948</v>
      </c>
      <c r="FA2008" s="1" t="s">
        <v>5405</v>
      </c>
      <c r="FB2008" s="1" t="s">
        <v>289</v>
      </c>
      <c r="FD2008" s="1" t="s">
        <v>246</v>
      </c>
      <c r="FE2008" s="1" t="s">
        <v>549</v>
      </c>
      <c r="FF2008" s="1" t="s">
        <v>3103</v>
      </c>
      <c r="FG2008" s="1" t="s">
        <v>2406</v>
      </c>
      <c r="FH2008" s="1" t="s">
        <v>550</v>
      </c>
      <c r="FI2008" s="1" t="s">
        <v>357</v>
      </c>
      <c r="FJ2008" s="1" t="s">
        <v>197</v>
      </c>
      <c r="FL2008" s="1" t="s">
        <v>358</v>
      </c>
      <c r="FM2008" s="1" t="s">
        <v>252</v>
      </c>
      <c r="FN2008" s="1" t="s">
        <v>213</v>
      </c>
      <c r="FO2008" s="1" t="s">
        <v>213</v>
      </c>
      <c r="FQ2008" s="1" t="s">
        <v>913</v>
      </c>
      <c r="FR2008" s="1" t="s">
        <v>210</v>
      </c>
      <c r="FS2008" s="1" t="s">
        <v>18296</v>
      </c>
      <c r="FT2008" s="1" t="s">
        <v>255</v>
      </c>
      <c r="FU2008" s="1" t="s">
        <v>204</v>
      </c>
      <c r="FV2008" s="1" t="s">
        <v>18297</v>
      </c>
      <c r="FW2008" s="1" t="s">
        <v>256</v>
      </c>
      <c r="FX2008" s="1">
        <v>8101</v>
      </c>
      <c r="FY2008" s="1" t="s">
        <v>11342</v>
      </c>
      <c r="FZ2008" s="1" t="s">
        <v>18298</v>
      </c>
      <c r="GA2008" s="1">
        <v>86924</v>
      </c>
      <c r="GB2008" s="1" t="s">
        <v>18299</v>
      </c>
      <c r="GE2008" s="1" t="s">
        <v>480</v>
      </c>
      <c r="GI2008" s="1" t="s">
        <v>213</v>
      </c>
      <c r="GJ2008" s="1" t="s">
        <v>260</v>
      </c>
      <c r="GK2008" s="1" t="s">
        <v>210</v>
      </c>
      <c r="GL2008" s="2">
        <v>41990</v>
      </c>
    </row>
    <row r="2009" spans="1:195">
      <c r="A2009" s="1">
        <v>120665</v>
      </c>
      <c r="B2009" s="1" t="s">
        <v>195</v>
      </c>
      <c r="C2009" s="1" t="str">
        <f>"08739286"</f>
        <v>08739286</v>
      </c>
      <c r="D2009" s="1" t="s">
        <v>196</v>
      </c>
      <c r="F2009" s="1" t="str">
        <f>"177"</f>
        <v>177</v>
      </c>
      <c r="G2009" s="2">
        <v>41909</v>
      </c>
      <c r="H2009" s="1">
        <v>132900</v>
      </c>
      <c r="I2009" s="1">
        <v>124900</v>
      </c>
      <c r="J2009" s="1">
        <v>120665</v>
      </c>
      <c r="K2009" s="2">
        <v>41908</v>
      </c>
      <c r="L2009" s="1">
        <v>67</v>
      </c>
      <c r="M2009" s="2">
        <v>41974</v>
      </c>
      <c r="N2009" s="1">
        <v>67</v>
      </c>
      <c r="O2009" s="2">
        <v>41974</v>
      </c>
      <c r="P2009" s="1">
        <v>7450</v>
      </c>
      <c r="Q2009" s="1" t="s">
        <v>423</v>
      </c>
      <c r="R2009" s="2">
        <v>42034</v>
      </c>
      <c r="S2009" s="1">
        <v>77859</v>
      </c>
      <c r="T2009" s="1">
        <v>3600</v>
      </c>
      <c r="U2009" s="1">
        <v>253</v>
      </c>
      <c r="V2009" s="1" t="s">
        <v>1460</v>
      </c>
      <c r="W2009" s="1" t="s">
        <v>304</v>
      </c>
      <c r="X2009" s="1" t="s">
        <v>1000</v>
      </c>
      <c r="Y2009" s="1">
        <v>4</v>
      </c>
      <c r="Z2009" s="1" t="s">
        <v>370</v>
      </c>
      <c r="AA2009" s="1" t="s">
        <v>1461</v>
      </c>
      <c r="AB2009" s="1">
        <v>60177</v>
      </c>
      <c r="AD2009" s="1" t="s">
        <v>1462</v>
      </c>
      <c r="AE2009" s="1" t="s">
        <v>18300</v>
      </c>
      <c r="AF2009" s="1">
        <v>1998</v>
      </c>
      <c r="AG2009" s="1" t="s">
        <v>204</v>
      </c>
      <c r="AH2009" s="1" t="s">
        <v>1464</v>
      </c>
      <c r="AI2009" s="1" t="s">
        <v>665</v>
      </c>
      <c r="AJ2009" s="1" t="s">
        <v>1175</v>
      </c>
      <c r="AL2009" s="1">
        <v>7</v>
      </c>
      <c r="AM2009" s="1">
        <v>2</v>
      </c>
      <c r="AN2009" s="1">
        <v>1</v>
      </c>
      <c r="AO2009" s="1">
        <v>1</v>
      </c>
      <c r="AP2009" s="1" t="s">
        <v>667</v>
      </c>
      <c r="AQ2009" s="1">
        <v>1</v>
      </c>
      <c r="AR2009" s="1" t="s">
        <v>1483</v>
      </c>
      <c r="AS2009" s="1" t="s">
        <v>204</v>
      </c>
      <c r="AT2009" s="1" t="s">
        <v>211</v>
      </c>
      <c r="AU2009" s="1">
        <v>1</v>
      </c>
      <c r="AW2009" s="1" t="s">
        <v>204</v>
      </c>
      <c r="AX2009" s="1" t="s">
        <v>212</v>
      </c>
      <c r="AZ2009" s="1">
        <v>2816</v>
      </c>
      <c r="BA2009" s="1">
        <v>2013</v>
      </c>
      <c r="BE2009" s="1">
        <v>1395</v>
      </c>
      <c r="BF2009" s="1">
        <v>1</v>
      </c>
      <c r="BG2009" s="1">
        <v>0</v>
      </c>
      <c r="BL2009" s="1">
        <v>130</v>
      </c>
      <c r="BM2009" s="1" t="s">
        <v>204</v>
      </c>
      <c r="BN2009" s="1" t="s">
        <v>213</v>
      </c>
      <c r="BO2009" s="1">
        <v>999</v>
      </c>
      <c r="BP2009" s="1" t="s">
        <v>204</v>
      </c>
      <c r="BR2009" s="1" t="str">
        <f>"0635306049"</f>
        <v>0635306049</v>
      </c>
      <c r="BT2009" s="1" t="s">
        <v>18301</v>
      </c>
      <c r="BU2009" s="1" t="s">
        <v>1466</v>
      </c>
      <c r="BV2009" s="1" t="s">
        <v>3283</v>
      </c>
      <c r="BW2009" s="1" t="s">
        <v>2058</v>
      </c>
      <c r="BX2009" s="1">
        <v>46</v>
      </c>
      <c r="BY2009" s="1">
        <v>46</v>
      </c>
      <c r="BZ2009" s="1">
        <v>46</v>
      </c>
      <c r="CB2009" s="1" t="str">
        <f>"8"</f>
        <v>8</v>
      </c>
      <c r="CC2009" s="1" t="str">
        <f>"0"</f>
        <v>0</v>
      </c>
      <c r="CD2009" s="1">
        <v>34</v>
      </c>
      <c r="CE2009" s="1">
        <v>0</v>
      </c>
      <c r="CG2009" s="1" t="s">
        <v>315</v>
      </c>
      <c r="CH2009" s="1" t="s">
        <v>219</v>
      </c>
      <c r="CI2009" s="1" t="s">
        <v>438</v>
      </c>
      <c r="CK2009" s="1" t="s">
        <v>437</v>
      </c>
      <c r="CL2009" s="1" t="s">
        <v>277</v>
      </c>
      <c r="CM2009" s="1" t="s">
        <v>220</v>
      </c>
      <c r="CO2009" s="1" t="s">
        <v>318</v>
      </c>
      <c r="CP2009" s="1" t="s">
        <v>219</v>
      </c>
      <c r="CQ2009" s="1" t="s">
        <v>438</v>
      </c>
      <c r="CS2009" s="1" t="s">
        <v>378</v>
      </c>
      <c r="CT2009" s="1" t="s">
        <v>277</v>
      </c>
      <c r="CU2009" s="1" t="s">
        <v>220</v>
      </c>
      <c r="CX2009" s="1" t="s">
        <v>224</v>
      </c>
      <c r="DB2009" s="1" t="s">
        <v>224</v>
      </c>
      <c r="DE2009" s="1" t="s">
        <v>3264</v>
      </c>
      <c r="DF2009" s="1" t="s">
        <v>219</v>
      </c>
      <c r="DG2009" s="1" t="s">
        <v>438</v>
      </c>
      <c r="DH2009" s="1" t="s">
        <v>210</v>
      </c>
      <c r="DI2009" s="1" t="s">
        <v>18302</v>
      </c>
      <c r="DJ2009" s="1" t="s">
        <v>822</v>
      </c>
      <c r="DK2009" s="1" t="s">
        <v>220</v>
      </c>
      <c r="DM2009" s="1" t="s">
        <v>464</v>
      </c>
      <c r="DR2009" s="1" t="s">
        <v>378</v>
      </c>
      <c r="DS2009" s="1" t="s">
        <v>277</v>
      </c>
      <c r="DT2009" s="1" t="s">
        <v>220</v>
      </c>
      <c r="DU2009" s="1" t="s">
        <v>210</v>
      </c>
      <c r="DW2009" s="1" t="s">
        <v>230</v>
      </c>
      <c r="EA2009" s="1" t="s">
        <v>230</v>
      </c>
      <c r="EE2009" s="1" t="s">
        <v>230</v>
      </c>
      <c r="EI2009" s="1" t="s">
        <v>230</v>
      </c>
      <c r="EL2009" s="1" t="s">
        <v>670</v>
      </c>
      <c r="EM2009" s="1" t="s">
        <v>232</v>
      </c>
      <c r="EN2009" s="1" t="s">
        <v>282</v>
      </c>
      <c r="EO2009" s="1" t="s">
        <v>234</v>
      </c>
      <c r="EQ2009" s="1" t="s">
        <v>492</v>
      </c>
      <c r="ER2009" s="1" t="s">
        <v>544</v>
      </c>
      <c r="EU2009" s="1" t="s">
        <v>14886</v>
      </c>
      <c r="EV2009" s="1" t="s">
        <v>240</v>
      </c>
      <c r="EW2009" s="1" t="s">
        <v>887</v>
      </c>
      <c r="EZ2009" s="1" t="s">
        <v>464</v>
      </c>
      <c r="FD2009" s="1" t="s">
        <v>246</v>
      </c>
      <c r="FE2009" s="1" t="s">
        <v>472</v>
      </c>
      <c r="FF2009" s="1" t="s">
        <v>248</v>
      </c>
      <c r="FG2009" s="1" t="s">
        <v>2406</v>
      </c>
      <c r="FH2009" s="1" t="s">
        <v>550</v>
      </c>
      <c r="FI2009" s="1" t="s">
        <v>3300</v>
      </c>
      <c r="FL2009" s="1" t="s">
        <v>358</v>
      </c>
      <c r="FM2009" s="1" t="s">
        <v>252</v>
      </c>
      <c r="FN2009" s="1" t="s">
        <v>213</v>
      </c>
      <c r="FO2009" s="1" t="s">
        <v>213</v>
      </c>
      <c r="FQ2009" s="1" t="s">
        <v>582</v>
      </c>
      <c r="FR2009" s="1" t="s">
        <v>210</v>
      </c>
      <c r="FS2009" s="1" t="s">
        <v>7087</v>
      </c>
      <c r="FT2009" s="1" t="s">
        <v>1828</v>
      </c>
      <c r="FU2009" s="1" t="s">
        <v>204</v>
      </c>
      <c r="FV2009" s="1" t="s">
        <v>2419</v>
      </c>
      <c r="FW2009" s="1" t="s">
        <v>2420</v>
      </c>
      <c r="FX2009" s="1">
        <v>41</v>
      </c>
      <c r="FY2009" s="1" t="s">
        <v>2421</v>
      </c>
      <c r="FZ2009" s="1" t="s">
        <v>2422</v>
      </c>
      <c r="GA2009" s="1">
        <v>8483</v>
      </c>
      <c r="GB2009" s="1" t="s">
        <v>2423</v>
      </c>
      <c r="GD2009" s="1" t="s">
        <v>14548</v>
      </c>
      <c r="GE2009" s="1" t="s">
        <v>210</v>
      </c>
      <c r="GI2009" s="1" t="s">
        <v>213</v>
      </c>
      <c r="GJ2009" s="1" t="s">
        <v>260</v>
      </c>
      <c r="GK2009" s="1" t="s">
        <v>210</v>
      </c>
      <c r="GL2009" s="2">
        <v>42037</v>
      </c>
      <c r="GM2009" s="1" t="s">
        <v>18303</v>
      </c>
    </row>
    <row r="2010" spans="1:195">
      <c r="A2010" s="1">
        <v>65000</v>
      </c>
      <c r="B2010" s="1" t="s">
        <v>195</v>
      </c>
      <c r="C2010" s="1" t="str">
        <f>"08740922"</f>
        <v>08740922</v>
      </c>
      <c r="D2010" s="1" t="s">
        <v>196</v>
      </c>
      <c r="F2010" s="1" t="str">
        <f>"148"</f>
        <v>148</v>
      </c>
      <c r="G2010" s="2">
        <v>41912</v>
      </c>
      <c r="H2010" s="1">
        <v>85000</v>
      </c>
      <c r="I2010" s="1">
        <v>85000</v>
      </c>
      <c r="J2010" s="1">
        <v>65000</v>
      </c>
      <c r="K2010" s="2">
        <v>41910</v>
      </c>
      <c r="L2010" s="1">
        <v>133</v>
      </c>
      <c r="M2010" s="2">
        <v>42042</v>
      </c>
      <c r="N2010" s="1">
        <v>133</v>
      </c>
      <c r="O2010" s="2">
        <v>42042</v>
      </c>
      <c r="P2010" s="1">
        <v>1808</v>
      </c>
      <c r="Q2010" s="1" t="s">
        <v>197</v>
      </c>
      <c r="R2010" s="2">
        <v>42065</v>
      </c>
      <c r="S2010" s="1">
        <v>243138</v>
      </c>
      <c r="U2010" s="1">
        <v>2000</v>
      </c>
      <c r="V2010" s="1" t="s">
        <v>1926</v>
      </c>
      <c r="W2010" s="1" t="s">
        <v>264</v>
      </c>
      <c r="X2010" s="1" t="s">
        <v>18304</v>
      </c>
      <c r="Y2010" s="1">
        <v>90</v>
      </c>
      <c r="Z2010" s="1" t="s">
        <v>200</v>
      </c>
      <c r="AA2010" s="1" t="s">
        <v>1927</v>
      </c>
      <c r="AB2010" s="1">
        <v>60148</v>
      </c>
      <c r="AE2010" s="1" t="s">
        <v>18305</v>
      </c>
      <c r="AF2010" s="1">
        <v>1978</v>
      </c>
      <c r="AG2010" s="1" t="s">
        <v>204</v>
      </c>
      <c r="AH2010" s="1" t="s">
        <v>1930</v>
      </c>
      <c r="AI2010" s="1" t="s">
        <v>206</v>
      </c>
      <c r="AJ2010" s="1" t="s">
        <v>1608</v>
      </c>
      <c r="AK2010" s="1" t="s">
        <v>18306</v>
      </c>
      <c r="AL2010" s="1">
        <v>5</v>
      </c>
      <c r="AM2010" s="1">
        <v>2</v>
      </c>
      <c r="AN2010" s="1">
        <v>2</v>
      </c>
      <c r="AO2010" s="1">
        <v>0</v>
      </c>
      <c r="AP2010" s="1" t="s">
        <v>209</v>
      </c>
      <c r="AQ2010" s="1">
        <v>0</v>
      </c>
      <c r="AR2010" s="1" t="s">
        <v>210</v>
      </c>
      <c r="AT2010" s="1" t="s">
        <v>211</v>
      </c>
      <c r="AU2010" s="1">
        <v>1</v>
      </c>
      <c r="AW2010" s="1" t="s">
        <v>204</v>
      </c>
      <c r="AX2010" s="1" t="s">
        <v>212</v>
      </c>
      <c r="AZ2010" s="1">
        <v>1593.94</v>
      </c>
      <c r="BA2010" s="1">
        <v>2013</v>
      </c>
      <c r="BE2010" s="1">
        <v>1160</v>
      </c>
      <c r="BF2010" s="1">
        <v>7</v>
      </c>
      <c r="BG2010" s="1">
        <v>0</v>
      </c>
      <c r="BJ2010" s="1">
        <v>90</v>
      </c>
      <c r="BL2010" s="1">
        <v>402</v>
      </c>
      <c r="BM2010" s="1" t="s">
        <v>213</v>
      </c>
      <c r="BN2010" s="1" t="s">
        <v>204</v>
      </c>
      <c r="BP2010" s="1" t="s">
        <v>204</v>
      </c>
      <c r="BR2010" s="1" t="str">
        <f>"0620409086"</f>
        <v>0620409086</v>
      </c>
      <c r="BT2010" s="1" t="s">
        <v>18307</v>
      </c>
      <c r="BX2010" s="1">
        <v>44</v>
      </c>
      <c r="BY2010" s="1">
        <v>44</v>
      </c>
      <c r="BZ2010" s="1">
        <v>87</v>
      </c>
      <c r="CB2010" s="1" t="str">
        <f t="shared" ref="CB2010:CC2010" si="1536">""</f>
        <v/>
      </c>
      <c r="CC2010" s="1" t="str">
        <f t="shared" si="1536"/>
        <v/>
      </c>
      <c r="CG2010" s="1" t="s">
        <v>5678</v>
      </c>
      <c r="CH2010" s="1" t="s">
        <v>219</v>
      </c>
      <c r="CI2010" s="1" t="s">
        <v>220</v>
      </c>
      <c r="CK2010" s="1" t="s">
        <v>1045</v>
      </c>
      <c r="CL2010" s="1" t="s">
        <v>219</v>
      </c>
      <c r="CM2010" s="1" t="s">
        <v>220</v>
      </c>
      <c r="CO2010" s="1" t="s">
        <v>409</v>
      </c>
      <c r="CP2010" s="1" t="s">
        <v>219</v>
      </c>
      <c r="CQ2010" s="1" t="s">
        <v>220</v>
      </c>
      <c r="CS2010" s="1" t="s">
        <v>317</v>
      </c>
      <c r="CT2010" s="1" t="s">
        <v>219</v>
      </c>
      <c r="CU2010" s="1" t="s">
        <v>220</v>
      </c>
      <c r="CX2010" s="1" t="s">
        <v>224</v>
      </c>
      <c r="DB2010" s="1" t="s">
        <v>224</v>
      </c>
      <c r="DE2010" s="1" t="s">
        <v>837</v>
      </c>
      <c r="DF2010" s="1" t="s">
        <v>219</v>
      </c>
      <c r="DG2010" s="1" t="s">
        <v>342</v>
      </c>
      <c r="DJ2010" s="1" t="s">
        <v>224</v>
      </c>
      <c r="DM2010" s="1" t="s">
        <v>838</v>
      </c>
      <c r="DN2010" s="1" t="s">
        <v>709</v>
      </c>
      <c r="DO2010" s="1" t="s">
        <v>1771</v>
      </c>
      <c r="DR2010" s="1" t="s">
        <v>7812</v>
      </c>
      <c r="DS2010" s="1" t="s">
        <v>219</v>
      </c>
      <c r="DV2010" s="1" t="s">
        <v>3492</v>
      </c>
      <c r="DW2010" s="1" t="s">
        <v>219</v>
      </c>
      <c r="DX2010" s="1" t="s">
        <v>220</v>
      </c>
      <c r="DZ2010" s="1" t="s">
        <v>6174</v>
      </c>
      <c r="EA2010" s="1" t="s">
        <v>219</v>
      </c>
      <c r="EE2010" s="1" t="s">
        <v>230</v>
      </c>
      <c r="EI2010" s="1" t="s">
        <v>230</v>
      </c>
      <c r="EL2010" s="1" t="s">
        <v>231</v>
      </c>
      <c r="EM2010" s="1" t="s">
        <v>232</v>
      </c>
      <c r="EN2010" s="1" t="s">
        <v>282</v>
      </c>
      <c r="EO2010" s="1" t="s">
        <v>5573</v>
      </c>
      <c r="EP2010" s="1" t="s">
        <v>18308</v>
      </c>
      <c r="EQ2010" s="1" t="s">
        <v>1109</v>
      </c>
      <c r="ER2010" s="1" t="s">
        <v>210</v>
      </c>
      <c r="ES2010" s="1" t="s">
        <v>322</v>
      </c>
      <c r="EV2010" s="1" t="s">
        <v>240</v>
      </c>
      <c r="EW2010" s="1" t="s">
        <v>12700</v>
      </c>
      <c r="EZ2010" s="1" t="s">
        <v>14034</v>
      </c>
      <c r="FD2010" s="1" t="s">
        <v>1112</v>
      </c>
      <c r="FE2010" s="1" t="s">
        <v>247</v>
      </c>
      <c r="FF2010" s="1" t="s">
        <v>1113</v>
      </c>
      <c r="FH2010" s="1" t="s">
        <v>249</v>
      </c>
      <c r="FL2010" s="1" t="s">
        <v>292</v>
      </c>
      <c r="FM2010" s="1" t="s">
        <v>252</v>
      </c>
      <c r="FN2010" s="1" t="s">
        <v>213</v>
      </c>
      <c r="FO2010" s="1" t="s">
        <v>213</v>
      </c>
      <c r="FQ2010" s="1" t="s">
        <v>14973</v>
      </c>
      <c r="FR2010" s="1" t="s">
        <v>210</v>
      </c>
      <c r="FS2010" s="1" t="s">
        <v>18309</v>
      </c>
      <c r="FT2010" s="1" t="s">
        <v>362</v>
      </c>
      <c r="FU2010" s="1" t="s">
        <v>204</v>
      </c>
      <c r="FW2010" s="1" t="s">
        <v>3328</v>
      </c>
      <c r="FX2010" s="1">
        <v>24330</v>
      </c>
      <c r="FY2010" s="1" t="s">
        <v>3329</v>
      </c>
      <c r="FZ2010" s="1" t="s">
        <v>18310</v>
      </c>
      <c r="GA2010" s="1">
        <v>230741</v>
      </c>
      <c r="GB2010" s="1" t="s">
        <v>18311</v>
      </c>
      <c r="GE2010" s="1" t="s">
        <v>210</v>
      </c>
      <c r="GI2010" s="1" t="s">
        <v>213</v>
      </c>
      <c r="GJ2010" s="1" t="s">
        <v>260</v>
      </c>
      <c r="GK2010" s="1" t="s">
        <v>210</v>
      </c>
      <c r="GL2010" s="2">
        <v>42065</v>
      </c>
      <c r="GM2010" s="1" t="s">
        <v>18312</v>
      </c>
    </row>
    <row r="2011" spans="1:195">
      <c r="A2011" s="1">
        <v>53000</v>
      </c>
      <c r="B2011" s="1" t="s">
        <v>195</v>
      </c>
      <c r="C2011" s="1" t="str">
        <f>"08744177"</f>
        <v>08744177</v>
      </c>
      <c r="D2011" s="1" t="s">
        <v>196</v>
      </c>
      <c r="F2011" s="1" t="str">
        <f>"8056"</f>
        <v>8056</v>
      </c>
      <c r="G2011" s="2">
        <v>41915</v>
      </c>
      <c r="H2011" s="1">
        <v>59900</v>
      </c>
      <c r="I2011" s="1">
        <v>59900</v>
      </c>
      <c r="J2011" s="1">
        <v>53000</v>
      </c>
      <c r="K2011" s="2">
        <v>41915</v>
      </c>
      <c r="L2011" s="1">
        <v>1052</v>
      </c>
      <c r="M2011" s="2">
        <v>41981</v>
      </c>
      <c r="N2011" s="1">
        <v>67</v>
      </c>
      <c r="O2011" s="2">
        <v>41981</v>
      </c>
      <c r="P2011" s="1">
        <v>23541</v>
      </c>
      <c r="Q2011" s="1" t="s">
        <v>302</v>
      </c>
      <c r="R2011" s="2">
        <v>42041</v>
      </c>
      <c r="S2011" s="1">
        <v>214607</v>
      </c>
      <c r="U2011" s="1">
        <v>5580</v>
      </c>
      <c r="V2011" s="1" t="s">
        <v>18313</v>
      </c>
      <c r="W2011" s="1" t="s">
        <v>425</v>
      </c>
      <c r="X2011" s="1" t="s">
        <v>1382</v>
      </c>
      <c r="Y2011" s="1">
        <v>9</v>
      </c>
      <c r="Z2011" s="1" t="s">
        <v>249</v>
      </c>
      <c r="AA2011" s="1" t="s">
        <v>400</v>
      </c>
      <c r="AB2011" s="1">
        <v>60638</v>
      </c>
      <c r="AE2011" s="1" t="s">
        <v>18314</v>
      </c>
      <c r="AF2011" s="1">
        <v>1972</v>
      </c>
      <c r="AG2011" s="1" t="s">
        <v>213</v>
      </c>
      <c r="AH2011" s="1" t="s">
        <v>403</v>
      </c>
      <c r="AI2011" s="1" t="s">
        <v>310</v>
      </c>
      <c r="AJ2011" s="1" t="s">
        <v>683</v>
      </c>
      <c r="AK2011" s="1" t="s">
        <v>270</v>
      </c>
      <c r="AL2011" s="1">
        <v>4</v>
      </c>
      <c r="AM2011" s="1">
        <v>2</v>
      </c>
      <c r="AN2011" s="1">
        <v>1</v>
      </c>
      <c r="AO2011" s="1">
        <v>0</v>
      </c>
      <c r="AP2011" s="1" t="s">
        <v>210</v>
      </c>
      <c r="AQ2011" s="1">
        <v>0</v>
      </c>
      <c r="AR2011" s="1" t="s">
        <v>210</v>
      </c>
      <c r="AS2011" s="1" t="s">
        <v>204</v>
      </c>
      <c r="AT2011" s="1" t="s">
        <v>271</v>
      </c>
      <c r="AV2011" s="1">
        <v>1</v>
      </c>
      <c r="AW2011" s="1" t="s">
        <v>204</v>
      </c>
      <c r="AX2011" s="1" t="s">
        <v>212</v>
      </c>
      <c r="AZ2011" s="1">
        <v>2047</v>
      </c>
      <c r="BA2011" s="1">
        <v>2013</v>
      </c>
      <c r="BB2011" s="1" t="s">
        <v>405</v>
      </c>
      <c r="BE2011" s="1">
        <v>900</v>
      </c>
      <c r="BF2011" s="1">
        <v>1</v>
      </c>
      <c r="BG2011" s="1">
        <v>7</v>
      </c>
      <c r="BL2011" s="1">
        <v>233</v>
      </c>
      <c r="BM2011" s="1" t="s">
        <v>204</v>
      </c>
      <c r="BN2011" s="1" t="s">
        <v>213</v>
      </c>
      <c r="BO2011" s="1">
        <v>50</v>
      </c>
      <c r="BP2011" s="1" t="s">
        <v>204</v>
      </c>
      <c r="BR2011" s="1" t="str">
        <f>"19094060201009"</f>
        <v>19094060201009</v>
      </c>
      <c r="BT2011" s="1" t="s">
        <v>18315</v>
      </c>
      <c r="BX2011" s="1">
        <v>299</v>
      </c>
      <c r="BY2011" s="1">
        <v>299</v>
      </c>
      <c r="BZ2011" s="1">
        <v>299</v>
      </c>
      <c r="CB2011" s="1" t="str">
        <f t="shared" ref="CB2011:CC2011" si="1537">"0"</f>
        <v>0</v>
      </c>
      <c r="CC2011" s="1" t="str">
        <f t="shared" si="1537"/>
        <v>0</v>
      </c>
      <c r="CD2011" s="1">
        <v>5580</v>
      </c>
      <c r="CE2011" s="1">
        <v>5500</v>
      </c>
      <c r="CG2011" s="1" t="s">
        <v>932</v>
      </c>
      <c r="CH2011" s="1" t="s">
        <v>219</v>
      </c>
      <c r="CI2011" s="1" t="s">
        <v>229</v>
      </c>
      <c r="CJ2011" s="1" t="s">
        <v>343</v>
      </c>
      <c r="CK2011" s="1" t="s">
        <v>757</v>
      </c>
      <c r="CL2011" s="1" t="s">
        <v>219</v>
      </c>
      <c r="CM2011" s="1" t="s">
        <v>229</v>
      </c>
      <c r="CN2011" s="1" t="s">
        <v>210</v>
      </c>
      <c r="CP2011" s="1" t="s">
        <v>224</v>
      </c>
      <c r="CS2011" s="1" t="s">
        <v>1358</v>
      </c>
      <c r="CT2011" s="1" t="s">
        <v>219</v>
      </c>
      <c r="CU2011" s="1" t="s">
        <v>229</v>
      </c>
      <c r="CV2011" s="1" t="s">
        <v>343</v>
      </c>
      <c r="CX2011" s="1" t="s">
        <v>224</v>
      </c>
      <c r="DB2011" s="1" t="s">
        <v>224</v>
      </c>
      <c r="DE2011" s="1" t="s">
        <v>3284</v>
      </c>
      <c r="DF2011" s="1" t="s">
        <v>219</v>
      </c>
      <c r="DG2011" s="1" t="s">
        <v>438</v>
      </c>
      <c r="DH2011" s="1" t="s">
        <v>343</v>
      </c>
      <c r="DJ2011" s="1" t="s">
        <v>224</v>
      </c>
      <c r="DS2011" s="1" t="s">
        <v>230</v>
      </c>
      <c r="DW2011" s="1" t="s">
        <v>230</v>
      </c>
      <c r="EA2011" s="1" t="s">
        <v>230</v>
      </c>
      <c r="EE2011" s="1" t="s">
        <v>230</v>
      </c>
      <c r="EI2011" s="1" t="s">
        <v>230</v>
      </c>
      <c r="EL2011" s="1" t="s">
        <v>605</v>
      </c>
      <c r="EM2011" s="1" t="s">
        <v>730</v>
      </c>
      <c r="EN2011" s="1" t="s">
        <v>731</v>
      </c>
      <c r="EO2011" s="1" t="s">
        <v>234</v>
      </c>
      <c r="EP2011" s="1" t="s">
        <v>18316</v>
      </c>
      <c r="EQ2011" s="1" t="s">
        <v>492</v>
      </c>
      <c r="ER2011" s="1" t="s">
        <v>210</v>
      </c>
      <c r="ES2011" s="1" t="s">
        <v>545</v>
      </c>
      <c r="ET2011" s="1" t="s">
        <v>1752</v>
      </c>
      <c r="EU2011" s="1" t="s">
        <v>239</v>
      </c>
      <c r="EV2011" s="1" t="s">
        <v>240</v>
      </c>
      <c r="EW2011" s="1" t="s">
        <v>1284</v>
      </c>
      <c r="EY2011" s="1" t="s">
        <v>242</v>
      </c>
      <c r="EZ2011" s="1" t="s">
        <v>287</v>
      </c>
      <c r="FA2011" s="1" t="s">
        <v>3573</v>
      </c>
      <c r="FB2011" s="1" t="s">
        <v>18317</v>
      </c>
      <c r="FC2011" s="1" t="s">
        <v>633</v>
      </c>
      <c r="FD2011" s="1" t="s">
        <v>246</v>
      </c>
      <c r="FE2011" s="1" t="s">
        <v>247</v>
      </c>
      <c r="FF2011" s="1" t="s">
        <v>248</v>
      </c>
      <c r="FH2011" s="1" t="s">
        <v>249</v>
      </c>
      <c r="FK2011" s="1" t="s">
        <v>18318</v>
      </c>
      <c r="FL2011" s="1" t="s">
        <v>5090</v>
      </c>
      <c r="FM2011" s="1" t="s">
        <v>252</v>
      </c>
      <c r="FN2011" s="1" t="s">
        <v>213</v>
      </c>
      <c r="FO2011" s="1" t="s">
        <v>213</v>
      </c>
      <c r="FQ2011" s="1" t="s">
        <v>3036</v>
      </c>
      <c r="FR2011" s="1" t="s">
        <v>210</v>
      </c>
      <c r="FS2011" s="1" t="s">
        <v>18319</v>
      </c>
      <c r="FT2011" s="1" t="s">
        <v>1182</v>
      </c>
      <c r="FU2011" s="1" t="s">
        <v>204</v>
      </c>
      <c r="FW2011" s="1" t="s">
        <v>10730</v>
      </c>
      <c r="FX2011" s="1">
        <v>40335</v>
      </c>
      <c r="FY2011" s="1" t="s">
        <v>10731</v>
      </c>
      <c r="FZ2011" s="1" t="s">
        <v>18320</v>
      </c>
      <c r="GA2011" s="1">
        <v>408523</v>
      </c>
      <c r="GB2011" s="1" t="s">
        <v>18321</v>
      </c>
      <c r="GE2011" s="1" t="s">
        <v>335</v>
      </c>
      <c r="GH2011" s="1" t="s">
        <v>421</v>
      </c>
      <c r="GI2011" s="1" t="s">
        <v>213</v>
      </c>
      <c r="GJ2011" s="1" t="s">
        <v>260</v>
      </c>
      <c r="GK2011" s="1" t="s">
        <v>210</v>
      </c>
      <c r="GL2011" s="2">
        <v>42044</v>
      </c>
      <c r="GM2011" s="1" t="s">
        <v>18322</v>
      </c>
    </row>
    <row r="2012" spans="1:195">
      <c r="A2012" s="1">
        <v>185000</v>
      </c>
      <c r="B2012" s="1" t="s">
        <v>195</v>
      </c>
      <c r="C2012" s="1" t="str">
        <f>"08744829"</f>
        <v>08744829</v>
      </c>
      <c r="D2012" s="1" t="s">
        <v>196</v>
      </c>
      <c r="F2012" s="1" t="str">
        <f>"507"</f>
        <v>507</v>
      </c>
      <c r="G2012" s="2">
        <v>41915</v>
      </c>
      <c r="H2012" s="1">
        <v>194500</v>
      </c>
      <c r="I2012" s="1">
        <v>189900</v>
      </c>
      <c r="J2012" s="1">
        <v>185000</v>
      </c>
      <c r="K2012" s="2">
        <v>41915</v>
      </c>
      <c r="L2012" s="1">
        <v>118</v>
      </c>
      <c r="M2012" s="2">
        <v>42032</v>
      </c>
      <c r="N2012" s="1">
        <v>118</v>
      </c>
      <c r="O2012" s="2">
        <v>42032</v>
      </c>
      <c r="P2012" s="1">
        <v>23099</v>
      </c>
      <c r="Q2012" s="1" t="s">
        <v>197</v>
      </c>
      <c r="R2012" s="2">
        <v>42079</v>
      </c>
      <c r="S2012" s="1">
        <v>225037</v>
      </c>
      <c r="U2012" s="1">
        <v>1946</v>
      </c>
      <c r="V2012" s="1" t="s">
        <v>18323</v>
      </c>
      <c r="W2012" s="1" t="s">
        <v>1056</v>
      </c>
      <c r="Y2012" s="1">
        <v>6</v>
      </c>
      <c r="Z2012" s="1" t="s">
        <v>370</v>
      </c>
      <c r="AA2012" s="1" t="s">
        <v>1123</v>
      </c>
      <c r="AB2012" s="1">
        <v>60502</v>
      </c>
      <c r="AE2012" s="1" t="s">
        <v>18324</v>
      </c>
      <c r="AF2012" s="1">
        <v>2007</v>
      </c>
      <c r="AG2012" s="1" t="s">
        <v>204</v>
      </c>
      <c r="AH2012" s="1" t="s">
        <v>1126</v>
      </c>
      <c r="AI2012" s="1" t="s">
        <v>665</v>
      </c>
      <c r="AJ2012" s="1" t="s">
        <v>1126</v>
      </c>
      <c r="AL2012" s="1">
        <v>6</v>
      </c>
      <c r="AM2012" s="1">
        <v>2</v>
      </c>
      <c r="AN2012" s="1">
        <v>2</v>
      </c>
      <c r="AO2012" s="1">
        <v>0</v>
      </c>
      <c r="AP2012" s="1" t="s">
        <v>209</v>
      </c>
      <c r="AR2012" s="1" t="s">
        <v>210</v>
      </c>
      <c r="AS2012" s="1" t="s">
        <v>204</v>
      </c>
      <c r="AT2012" s="1" t="s">
        <v>211</v>
      </c>
      <c r="AU2012" s="1">
        <v>2</v>
      </c>
      <c r="AW2012" s="1" t="s">
        <v>204</v>
      </c>
      <c r="AX2012" s="1">
        <v>0</v>
      </c>
      <c r="AZ2012" s="1">
        <v>4710.62</v>
      </c>
      <c r="BA2012" s="1">
        <v>2013</v>
      </c>
      <c r="BE2012" s="1">
        <v>1655</v>
      </c>
      <c r="BF2012" s="1">
        <v>1</v>
      </c>
      <c r="BG2012" s="1">
        <v>30</v>
      </c>
      <c r="BL2012" s="1">
        <v>160</v>
      </c>
      <c r="BM2012" s="1" t="s">
        <v>204</v>
      </c>
      <c r="BN2012" s="1" t="s">
        <v>213</v>
      </c>
      <c r="BO2012" s="1">
        <v>999</v>
      </c>
      <c r="BP2012" s="1" t="s">
        <v>204</v>
      </c>
      <c r="BR2012" s="1" t="str">
        <f>"1513230048"</f>
        <v>1513230048</v>
      </c>
      <c r="BT2012" s="1" t="s">
        <v>18325</v>
      </c>
      <c r="BX2012" s="1">
        <v>131</v>
      </c>
      <c r="BY2012" s="1">
        <v>131</v>
      </c>
      <c r="BZ2012" s="1">
        <v>131</v>
      </c>
      <c r="CB2012" s="1" t="str">
        <f t="shared" ref="CB2012:CC2012" si="1538">""</f>
        <v/>
      </c>
      <c r="CC2012" s="1" t="str">
        <f t="shared" si="1538"/>
        <v/>
      </c>
      <c r="CH2012" s="1" t="s">
        <v>224</v>
      </c>
      <c r="CK2012" s="1" t="s">
        <v>221</v>
      </c>
      <c r="CL2012" s="1" t="s">
        <v>219</v>
      </c>
      <c r="CM2012" s="1" t="s">
        <v>220</v>
      </c>
      <c r="CO2012" s="1" t="s">
        <v>223</v>
      </c>
      <c r="CP2012" s="1" t="s">
        <v>219</v>
      </c>
      <c r="CQ2012" s="1" t="s">
        <v>220</v>
      </c>
      <c r="CS2012" s="1" t="s">
        <v>465</v>
      </c>
      <c r="CT2012" s="1" t="s">
        <v>219</v>
      </c>
      <c r="CU2012" s="1" t="s">
        <v>220</v>
      </c>
      <c r="CX2012" s="1" t="s">
        <v>224</v>
      </c>
      <c r="DB2012" s="1" t="s">
        <v>224</v>
      </c>
      <c r="DE2012" s="1" t="s">
        <v>539</v>
      </c>
      <c r="DF2012" s="1" t="s">
        <v>219</v>
      </c>
      <c r="DG2012" s="1" t="s">
        <v>438</v>
      </c>
      <c r="DI2012" s="1" t="s">
        <v>1570</v>
      </c>
      <c r="DJ2012" s="1" t="s">
        <v>219</v>
      </c>
      <c r="DK2012" s="1" t="s">
        <v>220</v>
      </c>
      <c r="DM2012" s="1" t="s">
        <v>1548</v>
      </c>
      <c r="DR2012" s="1" t="s">
        <v>346</v>
      </c>
      <c r="DS2012" s="1" t="s">
        <v>219</v>
      </c>
      <c r="DT2012" s="1" t="s">
        <v>438</v>
      </c>
      <c r="DW2012" s="1" t="s">
        <v>230</v>
      </c>
      <c r="EA2012" s="1" t="s">
        <v>230</v>
      </c>
      <c r="EE2012" s="1" t="s">
        <v>230</v>
      </c>
      <c r="EI2012" s="1" t="s">
        <v>230</v>
      </c>
      <c r="EL2012" s="1" t="s">
        <v>491</v>
      </c>
      <c r="EM2012" s="1" t="s">
        <v>319</v>
      </c>
      <c r="EN2012" s="1" t="s">
        <v>282</v>
      </c>
      <c r="EO2012" s="1" t="s">
        <v>234</v>
      </c>
      <c r="ER2012" s="1" t="s">
        <v>210</v>
      </c>
      <c r="ET2012" s="1" t="s">
        <v>238</v>
      </c>
      <c r="EW2012" s="1" t="s">
        <v>3255</v>
      </c>
      <c r="EZ2012" s="1" t="s">
        <v>1548</v>
      </c>
      <c r="FD2012" s="1" t="s">
        <v>246</v>
      </c>
      <c r="FE2012" s="1" t="s">
        <v>765</v>
      </c>
      <c r="FF2012" s="1" t="s">
        <v>248</v>
      </c>
      <c r="FH2012" s="1" t="s">
        <v>825</v>
      </c>
      <c r="FI2012" s="1" t="s">
        <v>473</v>
      </c>
      <c r="FJ2012" s="1" t="s">
        <v>197</v>
      </c>
      <c r="FL2012" s="1" t="s">
        <v>358</v>
      </c>
      <c r="FM2012" s="1" t="s">
        <v>252</v>
      </c>
      <c r="FN2012" s="1" t="s">
        <v>213</v>
      </c>
      <c r="FO2012" s="1" t="s">
        <v>213</v>
      </c>
      <c r="FQ2012" s="1" t="s">
        <v>1115</v>
      </c>
      <c r="FR2012" s="1" t="s">
        <v>210</v>
      </c>
      <c r="FS2012" s="1" t="s">
        <v>18326</v>
      </c>
      <c r="FT2012" s="1" t="s">
        <v>295</v>
      </c>
      <c r="FU2012" s="1" t="s">
        <v>204</v>
      </c>
      <c r="FW2012" s="1" t="s">
        <v>813</v>
      </c>
      <c r="FX2012" s="1">
        <v>771</v>
      </c>
      <c r="FY2012" s="1" t="s">
        <v>5306</v>
      </c>
      <c r="FZ2012" s="1" t="s">
        <v>18327</v>
      </c>
      <c r="GA2012" s="1">
        <v>8131</v>
      </c>
      <c r="GB2012" s="1" t="s">
        <v>18328</v>
      </c>
      <c r="GD2012" s="1" t="s">
        <v>18329</v>
      </c>
      <c r="GE2012" s="1" t="s">
        <v>1226</v>
      </c>
      <c r="GI2012" s="1" t="s">
        <v>213</v>
      </c>
      <c r="GJ2012" s="1" t="s">
        <v>260</v>
      </c>
      <c r="GK2012" s="1" t="s">
        <v>210</v>
      </c>
      <c r="GL2012" s="2">
        <v>42081</v>
      </c>
      <c r="GM2012" s="1" t="s">
        <v>18330</v>
      </c>
    </row>
    <row r="2013" spans="1:195">
      <c r="A2013" s="1">
        <v>95000</v>
      </c>
      <c r="B2013" s="1" t="s">
        <v>195</v>
      </c>
      <c r="C2013" s="1" t="str">
        <f>"08739113"</f>
        <v>08739113</v>
      </c>
      <c r="D2013" s="1" t="s">
        <v>196</v>
      </c>
      <c r="F2013" s="1" t="str">
        <f>"8038"</f>
        <v>8038</v>
      </c>
      <c r="G2013" s="2">
        <v>41908</v>
      </c>
      <c r="H2013" s="1">
        <v>94900</v>
      </c>
      <c r="I2013" s="1">
        <v>94900</v>
      </c>
      <c r="J2013" s="1">
        <v>95000</v>
      </c>
      <c r="K2013" s="2">
        <v>41907</v>
      </c>
      <c r="L2013" s="1">
        <v>6</v>
      </c>
      <c r="M2013" s="2">
        <v>41912</v>
      </c>
      <c r="N2013" s="1">
        <v>6</v>
      </c>
      <c r="O2013" s="2">
        <v>41912</v>
      </c>
      <c r="P2013" s="1">
        <v>18426</v>
      </c>
      <c r="Q2013" s="1" t="s">
        <v>197</v>
      </c>
      <c r="R2013" s="2">
        <v>41984</v>
      </c>
      <c r="S2013" s="1">
        <v>142735</v>
      </c>
      <c r="T2013" s="1">
        <v>3000</v>
      </c>
      <c r="U2013" s="1">
        <v>641</v>
      </c>
      <c r="V2013" s="1" t="s">
        <v>14824</v>
      </c>
      <c r="W2013" s="1" t="s">
        <v>1056</v>
      </c>
      <c r="X2013" s="1">
        <v>303</v>
      </c>
      <c r="Y2013" s="1">
        <v>12</v>
      </c>
      <c r="Z2013" s="1" t="s">
        <v>249</v>
      </c>
      <c r="AA2013" s="1" t="s">
        <v>400</v>
      </c>
      <c r="AB2013" s="1">
        <v>60653</v>
      </c>
      <c r="AE2013" s="1" t="s">
        <v>18331</v>
      </c>
      <c r="AF2013" s="1">
        <v>2005</v>
      </c>
      <c r="AG2013" s="1" t="s">
        <v>204</v>
      </c>
      <c r="AH2013" s="1" t="s">
        <v>403</v>
      </c>
      <c r="AI2013" s="1" t="s">
        <v>310</v>
      </c>
      <c r="AJ2013" s="1" t="s">
        <v>404</v>
      </c>
      <c r="AL2013" s="1">
        <v>5</v>
      </c>
      <c r="AM2013" s="1">
        <v>2</v>
      </c>
      <c r="AN2013" s="1">
        <v>2</v>
      </c>
      <c r="AO2013" s="1">
        <v>0</v>
      </c>
      <c r="AP2013" s="1" t="s">
        <v>209</v>
      </c>
      <c r="AQ2013" s="1">
        <v>1</v>
      </c>
      <c r="AR2013" s="1" t="s">
        <v>210</v>
      </c>
      <c r="AS2013" s="1" t="s">
        <v>204</v>
      </c>
      <c r="AT2013" s="1" t="s">
        <v>271</v>
      </c>
      <c r="AV2013" s="1">
        <v>1</v>
      </c>
      <c r="AW2013" s="1" t="s">
        <v>204</v>
      </c>
      <c r="AX2013" s="1" t="s">
        <v>18332</v>
      </c>
      <c r="AZ2013" s="1">
        <v>3851</v>
      </c>
      <c r="BA2013" s="1">
        <v>2012</v>
      </c>
      <c r="BB2013" s="1" t="s">
        <v>210</v>
      </c>
      <c r="BC2013" s="1">
        <v>0</v>
      </c>
      <c r="BD2013" s="1">
        <v>2012</v>
      </c>
      <c r="BE2013" s="1">
        <v>1250</v>
      </c>
      <c r="BF2013" s="1">
        <v>4</v>
      </c>
      <c r="BG2013" s="1">
        <v>0</v>
      </c>
      <c r="BL2013" s="1">
        <v>161</v>
      </c>
      <c r="BM2013" s="1" t="s">
        <v>204</v>
      </c>
      <c r="BN2013" s="1" t="s">
        <v>213</v>
      </c>
      <c r="BO2013" s="1">
        <v>30</v>
      </c>
      <c r="BP2013" s="1" t="s">
        <v>204</v>
      </c>
      <c r="BR2013" s="1" t="str">
        <f>"20032010761013"</f>
        <v>20032010761013</v>
      </c>
      <c r="BT2013" s="1" t="s">
        <v>18333</v>
      </c>
      <c r="BX2013" s="1">
        <v>299</v>
      </c>
      <c r="BY2013" s="1">
        <v>299</v>
      </c>
      <c r="BZ2013" s="1">
        <v>299</v>
      </c>
      <c r="CB2013" s="1" t="str">
        <f>"0"</f>
        <v>0</v>
      </c>
      <c r="CC2013" s="1" t="str">
        <f>"641"</f>
        <v>641</v>
      </c>
      <c r="CD2013" s="1">
        <v>0</v>
      </c>
      <c r="CE2013" s="1">
        <v>3900</v>
      </c>
      <c r="CG2013" s="1" t="s">
        <v>18334</v>
      </c>
      <c r="CH2013" s="1" t="s">
        <v>219</v>
      </c>
      <c r="CI2013" s="1" t="s">
        <v>438</v>
      </c>
      <c r="CJ2013" s="1" t="s">
        <v>210</v>
      </c>
      <c r="CK2013" s="1" t="s">
        <v>538</v>
      </c>
      <c r="CL2013" s="1" t="s">
        <v>219</v>
      </c>
      <c r="CM2013" s="1" t="s">
        <v>438</v>
      </c>
      <c r="CN2013" s="1" t="s">
        <v>210</v>
      </c>
      <c r="CO2013" s="1" t="s">
        <v>629</v>
      </c>
      <c r="CP2013" s="1" t="s">
        <v>219</v>
      </c>
      <c r="CQ2013" s="1" t="s">
        <v>438</v>
      </c>
      <c r="CR2013" s="1" t="s">
        <v>210</v>
      </c>
      <c r="CS2013" s="1" t="s">
        <v>465</v>
      </c>
      <c r="CT2013" s="1" t="s">
        <v>219</v>
      </c>
      <c r="CU2013" s="1" t="s">
        <v>438</v>
      </c>
      <c r="CV2013" s="1" t="s">
        <v>210</v>
      </c>
      <c r="CX2013" s="1" t="s">
        <v>224</v>
      </c>
      <c r="DB2013" s="1" t="s">
        <v>224</v>
      </c>
      <c r="DE2013" s="1" t="s">
        <v>318</v>
      </c>
      <c r="DF2013" s="1" t="s">
        <v>219</v>
      </c>
      <c r="DG2013" s="1" t="s">
        <v>438</v>
      </c>
      <c r="DH2013" s="1" t="s">
        <v>210</v>
      </c>
      <c r="DJ2013" s="1" t="s">
        <v>224</v>
      </c>
      <c r="DS2013" s="1" t="s">
        <v>230</v>
      </c>
      <c r="DW2013" s="1" t="s">
        <v>230</v>
      </c>
      <c r="EA2013" s="1" t="s">
        <v>230</v>
      </c>
      <c r="EE2013" s="1" t="s">
        <v>230</v>
      </c>
      <c r="EI2013" s="1" t="s">
        <v>230</v>
      </c>
      <c r="EL2013" s="1" t="s">
        <v>491</v>
      </c>
      <c r="EM2013" s="1" t="s">
        <v>232</v>
      </c>
      <c r="EN2013" s="1" t="s">
        <v>282</v>
      </c>
      <c r="EO2013" s="1" t="s">
        <v>18335</v>
      </c>
      <c r="EP2013" s="1" t="s">
        <v>18336</v>
      </c>
      <c r="EQ2013" s="1" t="s">
        <v>10067</v>
      </c>
      <c r="ER2013" s="1" t="s">
        <v>210</v>
      </c>
      <c r="ES2013" s="1" t="s">
        <v>493</v>
      </c>
      <c r="ET2013" s="1" t="s">
        <v>1201</v>
      </c>
      <c r="EU2013" s="1" t="s">
        <v>546</v>
      </c>
      <c r="EV2013" s="1" t="s">
        <v>240</v>
      </c>
      <c r="EW2013" s="1" t="s">
        <v>937</v>
      </c>
      <c r="EY2013" s="1" t="s">
        <v>441</v>
      </c>
      <c r="EZ2013" s="1" t="s">
        <v>287</v>
      </c>
      <c r="FA2013" s="1" t="s">
        <v>18337</v>
      </c>
      <c r="FB2013" s="1" t="s">
        <v>734</v>
      </c>
      <c r="FC2013" s="1" t="s">
        <v>1555</v>
      </c>
      <c r="FD2013" s="1" t="s">
        <v>246</v>
      </c>
      <c r="FE2013" s="1" t="s">
        <v>247</v>
      </c>
      <c r="FF2013" s="1" t="s">
        <v>248</v>
      </c>
      <c r="FG2013" s="1" t="s">
        <v>2406</v>
      </c>
      <c r="FH2013" s="1" t="s">
        <v>249</v>
      </c>
      <c r="FK2013" s="1" t="s">
        <v>2309</v>
      </c>
      <c r="FL2013" s="1" t="s">
        <v>358</v>
      </c>
      <c r="FM2013" s="1" t="s">
        <v>252</v>
      </c>
      <c r="FN2013" s="1" t="s">
        <v>213</v>
      </c>
      <c r="FO2013" s="1" t="s">
        <v>213</v>
      </c>
      <c r="FQ2013" s="1" t="s">
        <v>673</v>
      </c>
      <c r="FR2013" s="1" t="s">
        <v>210</v>
      </c>
      <c r="FS2013" s="1" t="s">
        <v>18338</v>
      </c>
      <c r="FT2013" s="1" t="s">
        <v>9323</v>
      </c>
      <c r="FU2013" s="1" t="s">
        <v>204</v>
      </c>
      <c r="FW2013" s="1" t="s">
        <v>6522</v>
      </c>
      <c r="FX2013" s="1">
        <v>16492</v>
      </c>
      <c r="FY2013" s="1" t="s">
        <v>6523</v>
      </c>
      <c r="FZ2013" s="1" t="s">
        <v>6524</v>
      </c>
      <c r="GA2013" s="1">
        <v>143711</v>
      </c>
      <c r="GB2013" s="1" t="s">
        <v>6525</v>
      </c>
      <c r="GE2013" s="1" t="s">
        <v>210</v>
      </c>
      <c r="GH2013" s="1" t="s">
        <v>800</v>
      </c>
      <c r="GI2013" s="1" t="s">
        <v>213</v>
      </c>
      <c r="GJ2013" s="1" t="s">
        <v>260</v>
      </c>
      <c r="GK2013" s="1" t="s">
        <v>210</v>
      </c>
      <c r="GL2013" s="2">
        <v>41985</v>
      </c>
      <c r="GM2013" s="1" t="s">
        <v>18339</v>
      </c>
    </row>
    <row r="2014" spans="1:195">
      <c r="A2014" s="1">
        <v>187000</v>
      </c>
      <c r="B2014" s="1" t="s">
        <v>195</v>
      </c>
      <c r="C2014" s="1" t="str">
        <f>"08742144"</f>
        <v>08742144</v>
      </c>
      <c r="D2014" s="1" t="s">
        <v>196</v>
      </c>
      <c r="F2014" s="1" t="str">
        <f>"148"</f>
        <v>148</v>
      </c>
      <c r="G2014" s="2">
        <v>41913</v>
      </c>
      <c r="H2014" s="1">
        <v>199900</v>
      </c>
      <c r="I2014" s="1">
        <v>199900</v>
      </c>
      <c r="J2014" s="1">
        <v>187000</v>
      </c>
      <c r="K2014" s="2">
        <v>41913</v>
      </c>
      <c r="L2014" s="1">
        <v>8</v>
      </c>
      <c r="M2014" s="2">
        <v>41920</v>
      </c>
      <c r="N2014" s="1">
        <v>8</v>
      </c>
      <c r="O2014" s="2">
        <v>41920</v>
      </c>
      <c r="P2014" s="1">
        <v>22076</v>
      </c>
      <c r="Q2014" s="1" t="s">
        <v>197</v>
      </c>
      <c r="R2014" s="2">
        <v>41978</v>
      </c>
      <c r="S2014" s="1">
        <v>225570</v>
      </c>
      <c r="U2014" s="1">
        <v>823</v>
      </c>
      <c r="V2014" s="1" t="s">
        <v>2631</v>
      </c>
      <c r="W2014" s="1" t="s">
        <v>425</v>
      </c>
      <c r="Y2014" s="1">
        <v>5</v>
      </c>
      <c r="Z2014" s="1" t="s">
        <v>249</v>
      </c>
      <c r="AA2014" s="1" t="s">
        <v>1927</v>
      </c>
      <c r="AB2014" s="1">
        <v>60148</v>
      </c>
      <c r="AD2014" s="1" t="s">
        <v>14125</v>
      </c>
      <c r="AE2014" s="1" t="s">
        <v>18340</v>
      </c>
      <c r="AF2014" s="1">
        <v>1993</v>
      </c>
      <c r="AG2014" s="1" t="s">
        <v>204</v>
      </c>
      <c r="AH2014" s="1" t="s">
        <v>1930</v>
      </c>
      <c r="AI2014" s="1" t="s">
        <v>206</v>
      </c>
      <c r="AJ2014" s="1" t="s">
        <v>1608</v>
      </c>
      <c r="AK2014" s="1" t="s">
        <v>18341</v>
      </c>
      <c r="AL2014" s="1">
        <v>6</v>
      </c>
      <c r="AM2014" s="1">
        <v>2</v>
      </c>
      <c r="AN2014" s="1">
        <v>2</v>
      </c>
      <c r="AO2014" s="1">
        <v>1</v>
      </c>
      <c r="AP2014" s="1" t="s">
        <v>209</v>
      </c>
      <c r="AQ2014" s="1">
        <v>1</v>
      </c>
      <c r="AR2014" s="1" t="s">
        <v>210</v>
      </c>
      <c r="AS2014" s="1" t="s">
        <v>204</v>
      </c>
      <c r="AT2014" s="1" t="s">
        <v>211</v>
      </c>
      <c r="AU2014" s="1">
        <v>1</v>
      </c>
      <c r="AW2014" s="1" t="s">
        <v>204</v>
      </c>
      <c r="AX2014" s="1" t="s">
        <v>212</v>
      </c>
      <c r="AZ2014" s="1">
        <v>4080</v>
      </c>
      <c r="BA2014" s="1">
        <v>2013</v>
      </c>
      <c r="BB2014" s="1" t="s">
        <v>405</v>
      </c>
      <c r="BE2014" s="1">
        <v>1584</v>
      </c>
      <c r="BF2014" s="1">
        <v>1</v>
      </c>
      <c r="BG2014" s="1">
        <v>0</v>
      </c>
      <c r="BL2014" s="1">
        <v>189</v>
      </c>
      <c r="BM2014" s="1" t="s">
        <v>204</v>
      </c>
      <c r="BN2014" s="1" t="s">
        <v>213</v>
      </c>
      <c r="BO2014" s="1">
        <v>999</v>
      </c>
      <c r="BP2014" s="1" t="s">
        <v>204</v>
      </c>
      <c r="BR2014" s="1" t="str">
        <f>"0616119148"</f>
        <v>0616119148</v>
      </c>
      <c r="BT2014" s="1" t="s">
        <v>18342</v>
      </c>
      <c r="BX2014" s="1">
        <v>45</v>
      </c>
      <c r="BY2014" s="1">
        <v>45</v>
      </c>
      <c r="BZ2014" s="1">
        <v>88</v>
      </c>
      <c r="CB2014" s="1" t="str">
        <f t="shared" ref="CB2014:CC2014" si="1539">""</f>
        <v/>
      </c>
      <c r="CC2014" s="1" t="str">
        <f t="shared" si="1539"/>
        <v/>
      </c>
      <c r="CG2014" s="1" t="s">
        <v>757</v>
      </c>
      <c r="CH2014" s="1" t="s">
        <v>219</v>
      </c>
      <c r="CK2014" s="1" t="s">
        <v>317</v>
      </c>
      <c r="CL2014" s="1" t="s">
        <v>277</v>
      </c>
      <c r="CO2014" s="1" t="s">
        <v>465</v>
      </c>
      <c r="CP2014" s="1" t="s">
        <v>219</v>
      </c>
      <c r="CS2014" s="1" t="s">
        <v>318</v>
      </c>
      <c r="CT2014" s="1" t="s">
        <v>277</v>
      </c>
      <c r="CX2014" s="1" t="s">
        <v>224</v>
      </c>
      <c r="DB2014" s="1" t="s">
        <v>224</v>
      </c>
      <c r="DE2014" s="1" t="s">
        <v>564</v>
      </c>
      <c r="DF2014" s="1" t="s">
        <v>219</v>
      </c>
      <c r="DJ2014" s="1" t="s">
        <v>224</v>
      </c>
      <c r="DM2014" s="1" t="s">
        <v>464</v>
      </c>
      <c r="DR2014" s="1" t="s">
        <v>1297</v>
      </c>
      <c r="DS2014" s="1" t="s">
        <v>277</v>
      </c>
      <c r="DW2014" s="1" t="s">
        <v>230</v>
      </c>
      <c r="EA2014" s="1" t="s">
        <v>230</v>
      </c>
      <c r="EE2014" s="1" t="s">
        <v>230</v>
      </c>
      <c r="EI2014" s="1" t="s">
        <v>230</v>
      </c>
      <c r="EL2014" s="1" t="s">
        <v>382</v>
      </c>
      <c r="EM2014" s="1" t="s">
        <v>319</v>
      </c>
      <c r="EN2014" s="1" t="s">
        <v>282</v>
      </c>
      <c r="EO2014" s="1" t="s">
        <v>234</v>
      </c>
      <c r="EQ2014" s="1" t="s">
        <v>18343</v>
      </c>
      <c r="ER2014" s="1" t="s">
        <v>210</v>
      </c>
      <c r="ES2014" s="1" t="s">
        <v>824</v>
      </c>
      <c r="EV2014" s="1" t="s">
        <v>352</v>
      </c>
      <c r="EW2014" s="1" t="s">
        <v>887</v>
      </c>
      <c r="EZ2014" s="1" t="s">
        <v>464</v>
      </c>
      <c r="FB2014" s="1" t="s">
        <v>289</v>
      </c>
      <c r="FD2014" s="1" t="s">
        <v>246</v>
      </c>
      <c r="FE2014" s="1" t="s">
        <v>472</v>
      </c>
      <c r="FF2014" s="1" t="s">
        <v>248</v>
      </c>
      <c r="FH2014" s="1" t="s">
        <v>550</v>
      </c>
      <c r="FL2014" s="1" t="s">
        <v>358</v>
      </c>
      <c r="FM2014" s="1" t="s">
        <v>252</v>
      </c>
      <c r="FN2014" s="1" t="s">
        <v>213</v>
      </c>
      <c r="FO2014" s="1" t="s">
        <v>213</v>
      </c>
      <c r="FQ2014" s="1" t="s">
        <v>3616</v>
      </c>
      <c r="FR2014" s="1" t="s">
        <v>210</v>
      </c>
      <c r="FS2014" s="1" t="s">
        <v>18344</v>
      </c>
      <c r="FT2014" s="1" t="s">
        <v>18345</v>
      </c>
      <c r="FU2014" s="1" t="s">
        <v>204</v>
      </c>
      <c r="FW2014" s="1" t="s">
        <v>3116</v>
      </c>
      <c r="FX2014" s="1">
        <v>21823</v>
      </c>
      <c r="FY2014" s="1" t="s">
        <v>3117</v>
      </c>
      <c r="FZ2014" s="1" t="s">
        <v>18346</v>
      </c>
      <c r="GA2014" s="1">
        <v>255064</v>
      </c>
      <c r="GB2014" s="1" t="s">
        <v>18347</v>
      </c>
      <c r="GE2014" s="1" t="s">
        <v>210</v>
      </c>
      <c r="GI2014" s="1" t="s">
        <v>213</v>
      </c>
      <c r="GJ2014" s="1" t="s">
        <v>260</v>
      </c>
      <c r="GK2014" s="1" t="s">
        <v>210</v>
      </c>
      <c r="GL2014" s="2">
        <v>41979</v>
      </c>
      <c r="GM2014" s="1" t="s">
        <v>18348</v>
      </c>
    </row>
    <row r="2015" spans="1:195">
      <c r="A2015" s="1">
        <v>130000</v>
      </c>
      <c r="B2015" s="1" t="s">
        <v>195</v>
      </c>
      <c r="C2015" s="1" t="str">
        <f>"08743241"</f>
        <v>08743241</v>
      </c>
      <c r="D2015" s="1" t="s">
        <v>196</v>
      </c>
      <c r="F2015" s="1" t="str">
        <f>"84"</f>
        <v>84</v>
      </c>
      <c r="G2015" s="2">
        <v>41914</v>
      </c>
      <c r="H2015" s="1">
        <v>124900</v>
      </c>
      <c r="I2015" s="1">
        <v>135000</v>
      </c>
      <c r="J2015" s="1">
        <v>130000</v>
      </c>
      <c r="K2015" s="2">
        <v>41914</v>
      </c>
      <c r="L2015" s="1">
        <v>130</v>
      </c>
      <c r="M2015" s="2">
        <v>41958</v>
      </c>
      <c r="N2015" s="1">
        <v>45</v>
      </c>
      <c r="O2015" s="2">
        <v>41958</v>
      </c>
      <c r="P2015" s="1">
        <v>4793</v>
      </c>
      <c r="Q2015" s="1" t="s">
        <v>197</v>
      </c>
      <c r="R2015" s="2">
        <v>42042</v>
      </c>
      <c r="S2015" s="1">
        <v>32261</v>
      </c>
      <c r="U2015" s="1">
        <v>2815</v>
      </c>
      <c r="V2015" s="1" t="s">
        <v>18349</v>
      </c>
      <c r="W2015" s="1" t="s">
        <v>304</v>
      </c>
      <c r="X2015" s="1" t="s">
        <v>527</v>
      </c>
      <c r="Y2015" s="1">
        <v>6</v>
      </c>
      <c r="Z2015" s="1" t="s">
        <v>200</v>
      </c>
      <c r="AA2015" s="1" t="s">
        <v>5871</v>
      </c>
      <c r="AB2015" s="1">
        <v>60084</v>
      </c>
      <c r="AD2015" s="1" t="s">
        <v>7312</v>
      </c>
      <c r="AE2015" s="1" t="s">
        <v>18350</v>
      </c>
      <c r="AF2015" s="1">
        <v>2005</v>
      </c>
      <c r="AG2015" s="1" t="s">
        <v>204</v>
      </c>
      <c r="AH2015" s="1" t="s">
        <v>2599</v>
      </c>
      <c r="AI2015" s="1" t="s">
        <v>509</v>
      </c>
      <c r="AJ2015" s="1" t="s">
        <v>2599</v>
      </c>
      <c r="AK2015" s="1" t="s">
        <v>18351</v>
      </c>
      <c r="AL2015" s="1">
        <v>5</v>
      </c>
      <c r="AM2015" s="1">
        <v>2</v>
      </c>
      <c r="AN2015" s="1">
        <v>2</v>
      </c>
      <c r="AO2015" s="1">
        <v>1</v>
      </c>
      <c r="AP2015" s="1" t="s">
        <v>209</v>
      </c>
      <c r="AR2015" s="1" t="s">
        <v>209</v>
      </c>
      <c r="AS2015" s="1" t="s">
        <v>204</v>
      </c>
      <c r="AT2015" s="1" t="s">
        <v>211</v>
      </c>
      <c r="AU2015" s="1">
        <v>2</v>
      </c>
      <c r="AW2015" s="1" t="s">
        <v>204</v>
      </c>
      <c r="AX2015" s="1" t="s">
        <v>212</v>
      </c>
      <c r="AZ2015" s="1">
        <v>5359</v>
      </c>
      <c r="BA2015" s="1">
        <v>2012</v>
      </c>
      <c r="BB2015" s="1" t="s">
        <v>210</v>
      </c>
      <c r="BE2015" s="1">
        <v>0</v>
      </c>
      <c r="BF2015" s="1">
        <v>1</v>
      </c>
      <c r="BG2015" s="1">
        <v>0</v>
      </c>
      <c r="BL2015" s="1">
        <v>171</v>
      </c>
      <c r="BM2015" s="1" t="s">
        <v>204</v>
      </c>
      <c r="BN2015" s="1" t="s">
        <v>213</v>
      </c>
      <c r="BO2015" s="1">
        <v>0</v>
      </c>
      <c r="BP2015" s="1" t="s">
        <v>204</v>
      </c>
      <c r="BR2015" s="1" t="str">
        <f>"09124060940000"</f>
        <v>09124060940000</v>
      </c>
      <c r="BT2015" s="1" t="s">
        <v>18352</v>
      </c>
      <c r="BX2015" s="1">
        <v>118</v>
      </c>
      <c r="BY2015" s="1">
        <v>118</v>
      </c>
      <c r="BZ2015" s="1">
        <v>118</v>
      </c>
      <c r="CB2015" s="1" t="str">
        <f>"29"</f>
        <v>29</v>
      </c>
      <c r="CC2015" s="1" t="str">
        <f>"0"</f>
        <v>0</v>
      </c>
      <c r="CD2015" s="1">
        <v>24</v>
      </c>
      <c r="CE2015" s="1">
        <v>0</v>
      </c>
      <c r="CG2015" s="1" t="s">
        <v>1155</v>
      </c>
      <c r="CH2015" s="1" t="s">
        <v>219</v>
      </c>
      <c r="CI2015" s="1" t="s">
        <v>220</v>
      </c>
      <c r="CK2015" s="1" t="s">
        <v>228</v>
      </c>
      <c r="CL2015" s="1" t="s">
        <v>277</v>
      </c>
      <c r="CM2015" s="1" t="s">
        <v>220</v>
      </c>
      <c r="CO2015" s="1" t="s">
        <v>221</v>
      </c>
      <c r="CP2015" s="1" t="s">
        <v>219</v>
      </c>
      <c r="CQ2015" s="1" t="s">
        <v>220</v>
      </c>
      <c r="CS2015" s="1" t="s">
        <v>221</v>
      </c>
      <c r="CT2015" s="1" t="s">
        <v>277</v>
      </c>
      <c r="CU2015" s="1" t="s">
        <v>220</v>
      </c>
      <c r="CX2015" s="1" t="s">
        <v>224</v>
      </c>
      <c r="DB2015" s="1" t="s">
        <v>224</v>
      </c>
      <c r="DE2015" s="1" t="s">
        <v>539</v>
      </c>
      <c r="DF2015" s="1" t="s">
        <v>219</v>
      </c>
      <c r="DG2015" s="1" t="s">
        <v>342</v>
      </c>
      <c r="DJ2015" s="1" t="s">
        <v>224</v>
      </c>
      <c r="DS2015" s="1" t="s">
        <v>230</v>
      </c>
      <c r="DW2015" s="1" t="s">
        <v>230</v>
      </c>
      <c r="EA2015" s="1" t="s">
        <v>230</v>
      </c>
      <c r="EE2015" s="1" t="s">
        <v>230</v>
      </c>
      <c r="EI2015" s="1" t="s">
        <v>230</v>
      </c>
      <c r="EL2015" s="1" t="s">
        <v>491</v>
      </c>
      <c r="EM2015" s="1" t="s">
        <v>319</v>
      </c>
      <c r="EN2015" s="1" t="s">
        <v>282</v>
      </c>
      <c r="EO2015" s="1" t="s">
        <v>840</v>
      </c>
      <c r="EP2015" s="1" t="s">
        <v>2682</v>
      </c>
      <c r="EQ2015" s="1" t="s">
        <v>236</v>
      </c>
      <c r="ER2015" s="1" t="s">
        <v>544</v>
      </c>
      <c r="ES2015" s="1" t="s">
        <v>608</v>
      </c>
      <c r="ET2015" s="1" t="s">
        <v>238</v>
      </c>
      <c r="EV2015" s="1" t="s">
        <v>324</v>
      </c>
      <c r="EW2015" s="1" t="s">
        <v>353</v>
      </c>
      <c r="EY2015" s="1" t="s">
        <v>790</v>
      </c>
      <c r="EZ2015" s="1" t="s">
        <v>287</v>
      </c>
      <c r="FA2015" s="1" t="s">
        <v>2291</v>
      </c>
      <c r="FB2015" s="1" t="s">
        <v>734</v>
      </c>
      <c r="FD2015" s="1" t="s">
        <v>495</v>
      </c>
      <c r="FE2015" s="1" t="s">
        <v>870</v>
      </c>
      <c r="FF2015" s="1" t="s">
        <v>248</v>
      </c>
      <c r="FH2015" s="1" t="s">
        <v>550</v>
      </c>
      <c r="FI2015" s="1" t="s">
        <v>473</v>
      </c>
      <c r="FL2015" s="1" t="s">
        <v>358</v>
      </c>
      <c r="FM2015" s="1" t="s">
        <v>252</v>
      </c>
      <c r="FN2015" s="1" t="s">
        <v>213</v>
      </c>
      <c r="FO2015" s="1" t="s">
        <v>213</v>
      </c>
      <c r="FQ2015" s="1" t="s">
        <v>10250</v>
      </c>
      <c r="FR2015" s="1" t="s">
        <v>360</v>
      </c>
      <c r="FS2015" s="1" t="s">
        <v>2483</v>
      </c>
      <c r="FT2015" s="1" t="s">
        <v>18353</v>
      </c>
      <c r="FU2015" s="1" t="s">
        <v>204</v>
      </c>
      <c r="FW2015" s="1" t="s">
        <v>12670</v>
      </c>
      <c r="FX2015" s="1">
        <v>3913</v>
      </c>
      <c r="FY2015" s="1" t="s">
        <v>12671</v>
      </c>
      <c r="FZ2015" s="1" t="s">
        <v>12672</v>
      </c>
      <c r="GA2015" s="1">
        <v>32108</v>
      </c>
      <c r="GB2015" s="1" t="s">
        <v>12673</v>
      </c>
      <c r="GE2015" s="1" t="s">
        <v>480</v>
      </c>
      <c r="GI2015" s="1" t="s">
        <v>213</v>
      </c>
      <c r="GJ2015" s="1" t="s">
        <v>260</v>
      </c>
      <c r="GK2015" s="1" t="s">
        <v>210</v>
      </c>
      <c r="GL2015" s="2">
        <v>42044</v>
      </c>
      <c r="GM2015" s="1" t="s">
        <v>18354</v>
      </c>
    </row>
    <row r="2016" spans="1:195">
      <c r="A2016" s="1">
        <v>78000</v>
      </c>
      <c r="B2016" s="1" t="s">
        <v>195</v>
      </c>
      <c r="C2016" s="1" t="str">
        <f>"08741503"</f>
        <v>08741503</v>
      </c>
      <c r="D2016" s="1" t="s">
        <v>196</v>
      </c>
      <c r="F2016" s="1" t="str">
        <f>"515"</f>
        <v>515</v>
      </c>
      <c r="G2016" s="2">
        <v>41912</v>
      </c>
      <c r="H2016" s="1">
        <v>85000</v>
      </c>
      <c r="I2016" s="1">
        <v>83500</v>
      </c>
      <c r="J2016" s="1">
        <v>78000</v>
      </c>
      <c r="K2016" s="2">
        <v>41912</v>
      </c>
      <c r="L2016" s="1">
        <v>98</v>
      </c>
      <c r="M2016" s="2">
        <v>42009</v>
      </c>
      <c r="N2016" s="1">
        <v>98</v>
      </c>
      <c r="O2016" s="2">
        <v>42009</v>
      </c>
      <c r="P2016" s="1">
        <v>24007</v>
      </c>
      <c r="Q2016" s="1" t="s">
        <v>197</v>
      </c>
      <c r="R2016" s="2">
        <v>42047</v>
      </c>
      <c r="S2016" s="1">
        <v>241613</v>
      </c>
      <c r="U2016" s="1">
        <v>3913</v>
      </c>
      <c r="V2016" s="1" t="s">
        <v>5751</v>
      </c>
      <c r="W2016" s="1" t="s">
        <v>425</v>
      </c>
      <c r="X2016" s="1" t="s">
        <v>18355</v>
      </c>
      <c r="Y2016" s="1">
        <v>45</v>
      </c>
      <c r="Z2016" s="1" t="s">
        <v>249</v>
      </c>
      <c r="AA2016" s="1" t="s">
        <v>1294</v>
      </c>
      <c r="AB2016" s="1">
        <v>60515</v>
      </c>
      <c r="AD2016" s="1" t="s">
        <v>14685</v>
      </c>
      <c r="AE2016" s="1" t="s">
        <v>18356</v>
      </c>
      <c r="AF2016" s="1">
        <v>1968</v>
      </c>
      <c r="AG2016" s="1" t="s">
        <v>213</v>
      </c>
      <c r="AH2016" s="1" t="s">
        <v>903</v>
      </c>
      <c r="AI2016" s="1" t="s">
        <v>206</v>
      </c>
      <c r="AJ2016" s="1" t="s">
        <v>903</v>
      </c>
      <c r="AL2016" s="1">
        <v>5</v>
      </c>
      <c r="AM2016" s="1">
        <v>2</v>
      </c>
      <c r="AN2016" s="1">
        <v>1</v>
      </c>
      <c r="AO2016" s="1">
        <v>0</v>
      </c>
      <c r="AP2016" s="1" t="s">
        <v>210</v>
      </c>
      <c r="AR2016" s="1" t="s">
        <v>210</v>
      </c>
      <c r="AS2016" s="1" t="s">
        <v>204</v>
      </c>
      <c r="AT2016" s="1" t="s">
        <v>271</v>
      </c>
      <c r="AV2016" s="1">
        <v>2</v>
      </c>
      <c r="AW2016" s="1" t="s">
        <v>204</v>
      </c>
      <c r="AX2016" s="1" t="s">
        <v>212</v>
      </c>
      <c r="AZ2016" s="1">
        <v>668.9</v>
      </c>
      <c r="BA2016" s="1">
        <v>2013</v>
      </c>
      <c r="BB2016" s="1" t="s">
        <v>2694</v>
      </c>
      <c r="BE2016" s="1">
        <v>1150</v>
      </c>
      <c r="BF2016" s="1">
        <v>3</v>
      </c>
      <c r="BG2016" s="1">
        <v>30</v>
      </c>
      <c r="BL2016" s="1">
        <v>375</v>
      </c>
      <c r="BM2016" s="1" t="s">
        <v>204</v>
      </c>
      <c r="BN2016" s="1" t="s">
        <v>213</v>
      </c>
      <c r="BP2016" s="1" t="s">
        <v>204</v>
      </c>
      <c r="BR2016" s="1" t="str">
        <f>"0905123197"</f>
        <v>0905123197</v>
      </c>
      <c r="BT2016" s="1" t="s">
        <v>18357</v>
      </c>
      <c r="BU2016" s="1" t="s">
        <v>5757</v>
      </c>
      <c r="BV2016" s="1" t="s">
        <v>2761</v>
      </c>
      <c r="BW2016" s="1" t="s">
        <v>2762</v>
      </c>
      <c r="BX2016" s="1">
        <v>58</v>
      </c>
      <c r="BY2016" s="1">
        <v>58</v>
      </c>
      <c r="BZ2016" s="1">
        <v>99</v>
      </c>
      <c r="CB2016" s="1" t="str">
        <f t="shared" ref="CB2016:CC2016" si="1540">""</f>
        <v/>
      </c>
      <c r="CC2016" s="1" t="str">
        <f t="shared" si="1540"/>
        <v/>
      </c>
      <c r="CG2016" s="1" t="s">
        <v>1723</v>
      </c>
      <c r="CH2016" s="1" t="s">
        <v>784</v>
      </c>
      <c r="CI2016" s="1" t="s">
        <v>220</v>
      </c>
      <c r="CJ2016" s="1" t="s">
        <v>210</v>
      </c>
      <c r="CK2016" s="1" t="s">
        <v>564</v>
      </c>
      <c r="CL2016" s="1" t="s">
        <v>784</v>
      </c>
      <c r="CM2016" s="1" t="s">
        <v>220</v>
      </c>
      <c r="CN2016" s="1" t="s">
        <v>439</v>
      </c>
      <c r="CO2016" s="1" t="s">
        <v>2203</v>
      </c>
      <c r="CP2016" s="1" t="s">
        <v>784</v>
      </c>
      <c r="CQ2016" s="1" t="s">
        <v>220</v>
      </c>
      <c r="CR2016" s="1" t="s">
        <v>343</v>
      </c>
      <c r="CS2016" s="1" t="s">
        <v>317</v>
      </c>
      <c r="CT2016" s="1" t="s">
        <v>784</v>
      </c>
      <c r="CU2016" s="1" t="s">
        <v>220</v>
      </c>
      <c r="CV2016" s="1" t="s">
        <v>439</v>
      </c>
      <c r="CX2016" s="1" t="s">
        <v>224</v>
      </c>
      <c r="DB2016" s="1" t="s">
        <v>224</v>
      </c>
      <c r="DE2016" s="1" t="s">
        <v>786</v>
      </c>
      <c r="DF2016" s="1" t="s">
        <v>784</v>
      </c>
      <c r="DG2016" s="1" t="s">
        <v>342</v>
      </c>
      <c r="DJ2016" s="1" t="s">
        <v>224</v>
      </c>
      <c r="DS2016" s="1" t="s">
        <v>230</v>
      </c>
      <c r="DW2016" s="1" t="s">
        <v>230</v>
      </c>
      <c r="EA2016" s="1" t="s">
        <v>230</v>
      </c>
      <c r="EE2016" s="1" t="s">
        <v>230</v>
      </c>
      <c r="EI2016" s="1" t="s">
        <v>230</v>
      </c>
      <c r="EL2016" s="1" t="s">
        <v>605</v>
      </c>
      <c r="EM2016" s="1" t="s">
        <v>232</v>
      </c>
      <c r="EN2016" s="1" t="s">
        <v>1158</v>
      </c>
      <c r="EO2016" s="1" t="s">
        <v>234</v>
      </c>
      <c r="EP2016" s="1" t="s">
        <v>18358</v>
      </c>
      <c r="EQ2016" s="1" t="s">
        <v>1109</v>
      </c>
      <c r="ER2016" s="1" t="s">
        <v>210</v>
      </c>
      <c r="ES2016" s="1" t="s">
        <v>322</v>
      </c>
      <c r="EU2016" s="1" t="s">
        <v>712</v>
      </c>
      <c r="EV2016" s="1" t="s">
        <v>240</v>
      </c>
      <c r="EW2016" s="1" t="s">
        <v>18359</v>
      </c>
      <c r="EZ2016" s="1" t="s">
        <v>287</v>
      </c>
      <c r="FB2016" s="1" t="s">
        <v>289</v>
      </c>
      <c r="FC2016" s="1" t="s">
        <v>633</v>
      </c>
      <c r="FD2016" s="1" t="s">
        <v>4003</v>
      </c>
      <c r="FE2016" s="1" t="s">
        <v>247</v>
      </c>
      <c r="FF2016" s="1" t="s">
        <v>387</v>
      </c>
      <c r="FH2016" s="1" t="s">
        <v>249</v>
      </c>
      <c r="FJ2016" s="1" t="s">
        <v>197</v>
      </c>
      <c r="FK2016" s="1" t="s">
        <v>891</v>
      </c>
      <c r="FL2016" s="1" t="s">
        <v>414</v>
      </c>
      <c r="FM2016" s="1" t="s">
        <v>252</v>
      </c>
      <c r="FN2016" s="1" t="s">
        <v>213</v>
      </c>
      <c r="FO2016" s="1" t="s">
        <v>213</v>
      </c>
      <c r="FQ2016" s="1" t="s">
        <v>329</v>
      </c>
      <c r="FR2016" s="1" t="s">
        <v>210</v>
      </c>
      <c r="FS2016" s="1" t="s">
        <v>10148</v>
      </c>
      <c r="FT2016" s="1" t="s">
        <v>295</v>
      </c>
      <c r="FU2016" s="1" t="s">
        <v>204</v>
      </c>
      <c r="FW2016" s="1" t="s">
        <v>3116</v>
      </c>
      <c r="FX2016" s="1">
        <v>21823</v>
      </c>
      <c r="FY2016" s="1" t="s">
        <v>3117</v>
      </c>
      <c r="FZ2016" s="1" t="s">
        <v>18360</v>
      </c>
      <c r="GA2016" s="1">
        <v>213115</v>
      </c>
      <c r="GB2016" s="1" t="s">
        <v>18361</v>
      </c>
      <c r="GC2016" s="1">
        <v>224834</v>
      </c>
      <c r="GE2016" s="1" t="s">
        <v>1333</v>
      </c>
      <c r="GI2016" s="1" t="s">
        <v>213</v>
      </c>
      <c r="GJ2016" s="1" t="s">
        <v>260</v>
      </c>
      <c r="GK2016" s="1" t="s">
        <v>210</v>
      </c>
      <c r="GL2016" s="2">
        <v>42048</v>
      </c>
      <c r="GM2016" s="1" t="s">
        <v>18362</v>
      </c>
    </row>
    <row r="2017" spans="1:195">
      <c r="A2017" s="1">
        <v>144000</v>
      </c>
      <c r="B2017" s="1" t="s">
        <v>195</v>
      </c>
      <c r="C2017" s="1" t="str">
        <f>"08742181"</f>
        <v>08742181</v>
      </c>
      <c r="D2017" s="1" t="s">
        <v>196</v>
      </c>
      <c r="F2017" s="1" t="str">
        <f>"540"</f>
        <v>540</v>
      </c>
      <c r="G2017" s="2">
        <v>41913</v>
      </c>
      <c r="H2017" s="1">
        <v>164900</v>
      </c>
      <c r="I2017" s="1">
        <v>159900</v>
      </c>
      <c r="J2017" s="1">
        <v>144000</v>
      </c>
      <c r="K2017" s="2">
        <v>41913</v>
      </c>
      <c r="L2017" s="1">
        <v>151</v>
      </c>
      <c r="M2017" s="2">
        <v>41972</v>
      </c>
      <c r="N2017" s="1">
        <v>60</v>
      </c>
      <c r="O2017" s="2">
        <v>41972</v>
      </c>
      <c r="P2017" s="1">
        <v>25792</v>
      </c>
      <c r="Q2017" s="1" t="s">
        <v>197</v>
      </c>
      <c r="R2017" s="2">
        <v>42011</v>
      </c>
      <c r="S2017" s="1">
        <v>226183</v>
      </c>
      <c r="U2017" s="1">
        <v>1425</v>
      </c>
      <c r="V2017" s="1" t="s">
        <v>14109</v>
      </c>
      <c r="W2017" s="1" t="s">
        <v>449</v>
      </c>
      <c r="Y2017" s="1">
        <v>4</v>
      </c>
      <c r="Z2017" s="1" t="s">
        <v>370</v>
      </c>
      <c r="AA2017" s="1" t="s">
        <v>921</v>
      </c>
      <c r="AB2017" s="1">
        <v>60563</v>
      </c>
      <c r="AE2017" s="1" t="s">
        <v>18363</v>
      </c>
      <c r="AF2017" s="1">
        <v>1986</v>
      </c>
      <c r="AG2017" s="1" t="s">
        <v>204</v>
      </c>
      <c r="AH2017" s="1" t="s">
        <v>924</v>
      </c>
      <c r="AI2017" s="1" t="s">
        <v>206</v>
      </c>
      <c r="AJ2017" s="1" t="s">
        <v>924</v>
      </c>
      <c r="AL2017" s="1">
        <v>6</v>
      </c>
      <c r="AM2017" s="1">
        <v>2</v>
      </c>
      <c r="AN2017" s="1">
        <v>1</v>
      </c>
      <c r="AO2017" s="1">
        <v>1</v>
      </c>
      <c r="AP2017" s="1" t="s">
        <v>455</v>
      </c>
      <c r="AQ2017" s="1">
        <v>1</v>
      </c>
      <c r="AR2017" s="1" t="s">
        <v>210</v>
      </c>
      <c r="AS2017" s="1" t="s">
        <v>204</v>
      </c>
      <c r="AT2017" s="1" t="s">
        <v>211</v>
      </c>
      <c r="AU2017" s="1">
        <v>1</v>
      </c>
      <c r="AW2017" s="1" t="s">
        <v>204</v>
      </c>
      <c r="AX2017" s="1" t="s">
        <v>212</v>
      </c>
      <c r="AZ2017" s="1">
        <v>3261.64</v>
      </c>
      <c r="BA2017" s="1">
        <v>2013</v>
      </c>
      <c r="BE2017" s="1">
        <v>1297</v>
      </c>
      <c r="BF2017" s="1">
        <v>1</v>
      </c>
      <c r="BG2017" s="1">
        <v>0</v>
      </c>
      <c r="BL2017" s="1">
        <v>210</v>
      </c>
      <c r="BM2017" s="1" t="s">
        <v>204</v>
      </c>
      <c r="BN2017" s="1" t="s">
        <v>213</v>
      </c>
      <c r="BO2017" s="1">
        <v>999</v>
      </c>
      <c r="BP2017" s="1" t="s">
        <v>204</v>
      </c>
      <c r="BR2017" s="1" t="str">
        <f>"0710212005"</f>
        <v>0710212005</v>
      </c>
      <c r="BT2017" s="1" t="s">
        <v>18364</v>
      </c>
      <c r="BX2017" s="1">
        <v>204</v>
      </c>
      <c r="BY2017" s="1">
        <v>204</v>
      </c>
      <c r="BZ2017" s="1">
        <v>204</v>
      </c>
      <c r="CB2017" s="1" t="str">
        <f t="shared" ref="CB2017:CC2017" si="1541">""</f>
        <v/>
      </c>
      <c r="CC2017" s="1" t="str">
        <f t="shared" si="1541"/>
        <v/>
      </c>
      <c r="CG2017" s="1" t="s">
        <v>564</v>
      </c>
      <c r="CH2017" s="1" t="s">
        <v>219</v>
      </c>
      <c r="CI2017" s="1" t="s">
        <v>229</v>
      </c>
      <c r="CJ2017" s="1" t="s">
        <v>463</v>
      </c>
      <c r="CK2017" s="1" t="s">
        <v>278</v>
      </c>
      <c r="CL2017" s="1" t="s">
        <v>277</v>
      </c>
      <c r="CM2017" s="1" t="s">
        <v>220</v>
      </c>
      <c r="CN2017" s="1" t="s">
        <v>343</v>
      </c>
      <c r="CO2017" s="1" t="s">
        <v>318</v>
      </c>
      <c r="CP2017" s="1" t="s">
        <v>219</v>
      </c>
      <c r="CQ2017" s="1" t="s">
        <v>229</v>
      </c>
      <c r="CR2017" s="1" t="s">
        <v>343</v>
      </c>
      <c r="CS2017" s="1" t="s">
        <v>318</v>
      </c>
      <c r="CT2017" s="1" t="s">
        <v>277</v>
      </c>
      <c r="CU2017" s="1" t="s">
        <v>220</v>
      </c>
      <c r="CV2017" s="1" t="s">
        <v>343</v>
      </c>
      <c r="CX2017" s="1" t="s">
        <v>224</v>
      </c>
      <c r="DB2017" s="1" t="s">
        <v>224</v>
      </c>
      <c r="DE2017" s="1" t="s">
        <v>951</v>
      </c>
      <c r="DF2017" s="1" t="s">
        <v>219</v>
      </c>
      <c r="DG2017" s="1" t="s">
        <v>5665</v>
      </c>
      <c r="DH2017" s="1" t="s">
        <v>210</v>
      </c>
      <c r="DJ2017" s="1" t="s">
        <v>224</v>
      </c>
      <c r="DM2017" s="1" t="s">
        <v>464</v>
      </c>
      <c r="DN2017" s="1" t="s">
        <v>1771</v>
      </c>
      <c r="DR2017" s="1" t="s">
        <v>317</v>
      </c>
      <c r="DS2017" s="1" t="s">
        <v>277</v>
      </c>
      <c r="DT2017" s="1" t="s">
        <v>220</v>
      </c>
      <c r="DU2017" s="1" t="s">
        <v>343</v>
      </c>
      <c r="DV2017" s="1" t="s">
        <v>5717</v>
      </c>
      <c r="DW2017" s="1" t="s">
        <v>277</v>
      </c>
      <c r="DX2017" s="1" t="s">
        <v>220</v>
      </c>
      <c r="DY2017" s="1" t="s">
        <v>210</v>
      </c>
      <c r="EA2017" s="1" t="s">
        <v>230</v>
      </c>
      <c r="EE2017" s="1" t="s">
        <v>230</v>
      </c>
      <c r="EI2017" s="1" t="s">
        <v>230</v>
      </c>
      <c r="EL2017" s="1" t="s">
        <v>542</v>
      </c>
      <c r="EM2017" s="1" t="s">
        <v>232</v>
      </c>
      <c r="EN2017" s="1" t="s">
        <v>282</v>
      </c>
      <c r="EO2017" s="1" t="s">
        <v>234</v>
      </c>
      <c r="EQ2017" s="1" t="s">
        <v>1094</v>
      </c>
      <c r="ER2017" s="1" t="s">
        <v>210</v>
      </c>
      <c r="EU2017" s="1" t="s">
        <v>239</v>
      </c>
      <c r="EV2017" s="1" t="s">
        <v>324</v>
      </c>
      <c r="EW2017" s="1" t="s">
        <v>353</v>
      </c>
      <c r="EZ2017" s="1" t="s">
        <v>4451</v>
      </c>
      <c r="FB2017" s="1" t="s">
        <v>289</v>
      </c>
      <c r="FD2017" s="1" t="s">
        <v>246</v>
      </c>
      <c r="FE2017" s="1" t="s">
        <v>472</v>
      </c>
      <c r="FF2017" s="1" t="s">
        <v>248</v>
      </c>
      <c r="FG2017" s="1" t="s">
        <v>1682</v>
      </c>
      <c r="FH2017" s="1" t="s">
        <v>550</v>
      </c>
      <c r="FI2017" s="1" t="s">
        <v>357</v>
      </c>
      <c r="FJ2017" s="1" t="s">
        <v>1251</v>
      </c>
      <c r="FL2017" s="1" t="s">
        <v>358</v>
      </c>
      <c r="FM2017" s="1" t="s">
        <v>252</v>
      </c>
      <c r="FN2017" s="1" t="s">
        <v>213</v>
      </c>
      <c r="FO2017" s="1" t="s">
        <v>204</v>
      </c>
      <c r="FQ2017" s="1" t="s">
        <v>12835</v>
      </c>
      <c r="FR2017" s="1" t="s">
        <v>652</v>
      </c>
      <c r="FS2017" s="1" t="s">
        <v>18365</v>
      </c>
      <c r="FT2017" s="1" t="s">
        <v>18366</v>
      </c>
      <c r="FU2017" s="1" t="s">
        <v>204</v>
      </c>
      <c r="FW2017" s="1" t="s">
        <v>3116</v>
      </c>
      <c r="FX2017" s="1">
        <v>21823</v>
      </c>
      <c r="FY2017" s="1" t="s">
        <v>3117</v>
      </c>
      <c r="FZ2017" s="1" t="s">
        <v>18367</v>
      </c>
      <c r="GA2017" s="1">
        <v>239892</v>
      </c>
      <c r="GE2017" s="1" t="s">
        <v>1226</v>
      </c>
      <c r="GI2017" s="1" t="s">
        <v>213</v>
      </c>
      <c r="GJ2017" s="1" t="s">
        <v>260</v>
      </c>
      <c r="GK2017" s="1" t="s">
        <v>210</v>
      </c>
      <c r="GL2017" s="2">
        <v>42011</v>
      </c>
      <c r="GM2017" s="1" t="s">
        <v>18368</v>
      </c>
    </row>
    <row r="2018" spans="1:195">
      <c r="A2018" s="1">
        <v>97000</v>
      </c>
      <c r="B2018" s="1" t="s">
        <v>195</v>
      </c>
      <c r="C2018" s="1" t="str">
        <f>"08748459"</f>
        <v>08748459</v>
      </c>
      <c r="D2018" s="1" t="s">
        <v>196</v>
      </c>
      <c r="F2018" s="1" t="str">
        <f>"507"</f>
        <v>507</v>
      </c>
      <c r="G2018" s="2">
        <v>41920</v>
      </c>
      <c r="H2018" s="1">
        <v>105000</v>
      </c>
      <c r="I2018" s="1">
        <v>93000</v>
      </c>
      <c r="J2018" s="1">
        <v>97000</v>
      </c>
      <c r="K2018" s="2">
        <v>41920</v>
      </c>
      <c r="L2018" s="1">
        <v>162</v>
      </c>
      <c r="M2018" s="2">
        <v>42081</v>
      </c>
      <c r="N2018" s="1">
        <v>162</v>
      </c>
      <c r="O2018" s="2">
        <v>42081</v>
      </c>
      <c r="P2018" s="1">
        <v>74601</v>
      </c>
      <c r="Q2018" s="1" t="s">
        <v>302</v>
      </c>
      <c r="R2018" s="2">
        <v>42121</v>
      </c>
      <c r="S2018" s="1">
        <v>701596</v>
      </c>
      <c r="U2018" s="1">
        <v>2526</v>
      </c>
      <c r="V2018" s="1" t="s">
        <v>18369</v>
      </c>
      <c r="W2018" s="1" t="s">
        <v>425</v>
      </c>
      <c r="Y2018" s="1">
        <v>6</v>
      </c>
      <c r="Z2018" s="1" t="s">
        <v>200</v>
      </c>
      <c r="AA2018" s="1" t="s">
        <v>1123</v>
      </c>
      <c r="AB2018" s="1">
        <v>60503</v>
      </c>
      <c r="AD2018" s="1" t="s">
        <v>14834</v>
      </c>
      <c r="AE2018" s="1" t="s">
        <v>18370</v>
      </c>
      <c r="AF2018" s="1">
        <v>2003</v>
      </c>
      <c r="AG2018" s="1" t="s">
        <v>204</v>
      </c>
      <c r="AH2018" s="1" t="s">
        <v>1126</v>
      </c>
      <c r="AI2018" s="1" t="s">
        <v>1800</v>
      </c>
      <c r="AJ2018" s="1" t="s">
        <v>1801</v>
      </c>
      <c r="AL2018" s="1">
        <v>6</v>
      </c>
      <c r="AM2018" s="1">
        <v>2</v>
      </c>
      <c r="AN2018" s="1">
        <v>1</v>
      </c>
      <c r="AO2018" s="1">
        <v>1</v>
      </c>
      <c r="AP2018" s="1" t="s">
        <v>210</v>
      </c>
      <c r="AQ2018" s="1">
        <v>0</v>
      </c>
      <c r="AR2018" s="1" t="s">
        <v>210</v>
      </c>
      <c r="AS2018" s="1" t="s">
        <v>204</v>
      </c>
      <c r="AT2018" s="1" t="s">
        <v>211</v>
      </c>
      <c r="AU2018" s="1">
        <v>2</v>
      </c>
      <c r="AW2018" s="1" t="s">
        <v>204</v>
      </c>
      <c r="AX2018" s="1" t="s">
        <v>212</v>
      </c>
      <c r="AZ2018" s="1">
        <v>5260.28</v>
      </c>
      <c r="BA2018" s="1">
        <v>2012</v>
      </c>
      <c r="BE2018" s="1">
        <v>1200</v>
      </c>
      <c r="BF2018" s="1">
        <v>1</v>
      </c>
      <c r="BG2018" s="1">
        <v>30</v>
      </c>
      <c r="BJ2018" s="1">
        <v>100</v>
      </c>
      <c r="BK2018" s="1" t="s">
        <v>16169</v>
      </c>
      <c r="BL2018" s="1">
        <v>146</v>
      </c>
      <c r="BM2018" s="1" t="s">
        <v>204</v>
      </c>
      <c r="BN2018" s="1" t="s">
        <v>213</v>
      </c>
      <c r="BO2018" s="1">
        <v>0</v>
      </c>
      <c r="BP2018" s="1" t="s">
        <v>204</v>
      </c>
      <c r="BR2018" s="1" t="str">
        <f>"10641101610000"</f>
        <v>10641101610000</v>
      </c>
      <c r="BT2018" s="1" t="s">
        <v>18371</v>
      </c>
      <c r="BX2018" s="1">
        <v>308</v>
      </c>
      <c r="BY2018" s="1">
        <v>308</v>
      </c>
      <c r="BZ2018" s="1">
        <v>308</v>
      </c>
      <c r="CB2018" s="1" t="str">
        <f t="shared" ref="CB2018:CC2018" si="1542">"0"</f>
        <v>0</v>
      </c>
      <c r="CC2018" s="1" t="str">
        <f t="shared" si="1542"/>
        <v>0</v>
      </c>
      <c r="CD2018" s="1">
        <v>32</v>
      </c>
      <c r="CE2018" s="1">
        <v>10</v>
      </c>
      <c r="CG2018" s="1" t="s">
        <v>932</v>
      </c>
      <c r="CH2018" s="1" t="s">
        <v>219</v>
      </c>
      <c r="CI2018" s="1" t="s">
        <v>220</v>
      </c>
      <c r="CK2018" s="1" t="s">
        <v>539</v>
      </c>
      <c r="CL2018" s="1" t="s">
        <v>277</v>
      </c>
      <c r="CM2018" s="1" t="s">
        <v>220</v>
      </c>
      <c r="CO2018" s="1" t="s">
        <v>346</v>
      </c>
      <c r="CP2018" s="1" t="s">
        <v>219</v>
      </c>
      <c r="CQ2018" s="1" t="s">
        <v>220</v>
      </c>
      <c r="CS2018" s="1" t="s">
        <v>346</v>
      </c>
      <c r="CT2018" s="1" t="s">
        <v>277</v>
      </c>
      <c r="CU2018" s="1" t="s">
        <v>220</v>
      </c>
      <c r="CX2018" s="1" t="s">
        <v>224</v>
      </c>
      <c r="DB2018" s="1" t="s">
        <v>224</v>
      </c>
      <c r="DE2018" s="1" t="s">
        <v>409</v>
      </c>
      <c r="DF2018" s="1" t="s">
        <v>219</v>
      </c>
      <c r="DG2018" s="1" t="s">
        <v>342</v>
      </c>
      <c r="DJ2018" s="1" t="s">
        <v>224</v>
      </c>
      <c r="DM2018" s="1" t="s">
        <v>464</v>
      </c>
      <c r="DR2018" s="1" t="s">
        <v>4260</v>
      </c>
      <c r="DS2018" s="1" t="s">
        <v>277</v>
      </c>
      <c r="DT2018" s="1" t="s">
        <v>220</v>
      </c>
      <c r="DW2018" s="1" t="s">
        <v>230</v>
      </c>
      <c r="EA2018" s="1" t="s">
        <v>230</v>
      </c>
      <c r="EE2018" s="1" t="s">
        <v>230</v>
      </c>
      <c r="EI2018" s="1" t="s">
        <v>230</v>
      </c>
      <c r="EL2018" s="1" t="s">
        <v>466</v>
      </c>
      <c r="EM2018" s="1" t="s">
        <v>319</v>
      </c>
      <c r="EN2018" s="1" t="s">
        <v>282</v>
      </c>
      <c r="EO2018" s="1" t="s">
        <v>18372</v>
      </c>
      <c r="EP2018" s="1" t="s">
        <v>1268</v>
      </c>
      <c r="ER2018" s="1" t="s">
        <v>210</v>
      </c>
      <c r="EV2018" s="1" t="s">
        <v>352</v>
      </c>
      <c r="EW2018" s="1" t="s">
        <v>547</v>
      </c>
      <c r="EY2018" s="1" t="s">
        <v>441</v>
      </c>
      <c r="EZ2018" s="1" t="s">
        <v>464</v>
      </c>
      <c r="FC2018" s="1" t="s">
        <v>548</v>
      </c>
      <c r="FD2018" s="1" t="s">
        <v>246</v>
      </c>
      <c r="FE2018" s="1" t="s">
        <v>870</v>
      </c>
      <c r="FF2018" s="1" t="s">
        <v>387</v>
      </c>
      <c r="FH2018" s="1" t="s">
        <v>249</v>
      </c>
      <c r="FI2018" s="1" t="s">
        <v>3300</v>
      </c>
      <c r="FL2018" s="1" t="s">
        <v>358</v>
      </c>
      <c r="FM2018" s="1" t="s">
        <v>252</v>
      </c>
      <c r="FN2018" s="1" t="s">
        <v>213</v>
      </c>
      <c r="FO2018" s="1" t="s">
        <v>213</v>
      </c>
      <c r="FQ2018" s="1" t="s">
        <v>582</v>
      </c>
      <c r="FR2018" s="1" t="s">
        <v>210</v>
      </c>
      <c r="FS2018" s="1" t="s">
        <v>15243</v>
      </c>
      <c r="FT2018" s="1" t="s">
        <v>18373</v>
      </c>
      <c r="FU2018" s="1" t="s">
        <v>204</v>
      </c>
      <c r="FW2018" s="1" t="s">
        <v>1806</v>
      </c>
      <c r="FX2018" s="1">
        <v>25196</v>
      </c>
      <c r="FY2018" s="1" t="s">
        <v>1807</v>
      </c>
      <c r="FZ2018" s="1" t="s">
        <v>1808</v>
      </c>
      <c r="GA2018" s="1">
        <v>214545</v>
      </c>
      <c r="GB2018" s="1" t="s">
        <v>1807</v>
      </c>
      <c r="GC2018" s="1">
        <v>241120</v>
      </c>
      <c r="GE2018" s="1" t="s">
        <v>210</v>
      </c>
      <c r="GI2018" s="1" t="s">
        <v>213</v>
      </c>
      <c r="GJ2018" s="1" t="s">
        <v>260</v>
      </c>
      <c r="GK2018" s="1" t="s">
        <v>210</v>
      </c>
      <c r="GL2018" s="2">
        <v>42121</v>
      </c>
      <c r="GM2018" s="1" t="s">
        <v>18374</v>
      </c>
    </row>
    <row r="2019" spans="1:195">
      <c r="A2019" s="1">
        <v>97000</v>
      </c>
      <c r="B2019" s="1" t="s">
        <v>195</v>
      </c>
      <c r="C2019" s="1" t="str">
        <f>"08747254"</f>
        <v>08747254</v>
      </c>
      <c r="D2019" s="1" t="s">
        <v>196</v>
      </c>
      <c r="F2019" s="1" t="str">
        <f>"527"</f>
        <v>527</v>
      </c>
      <c r="G2019" s="2">
        <v>41919</v>
      </c>
      <c r="H2019" s="1">
        <v>97000</v>
      </c>
      <c r="I2019" s="1">
        <v>97000</v>
      </c>
      <c r="J2019" s="1">
        <v>97000</v>
      </c>
      <c r="K2019" s="2">
        <v>41919</v>
      </c>
      <c r="L2019" s="1">
        <v>29</v>
      </c>
      <c r="M2019" s="2">
        <v>41947</v>
      </c>
      <c r="N2019" s="1">
        <v>29</v>
      </c>
      <c r="O2019" s="2">
        <v>41947</v>
      </c>
      <c r="P2019" s="1">
        <v>22049</v>
      </c>
      <c r="Q2019" s="1" t="s">
        <v>197</v>
      </c>
      <c r="R2019" s="2">
        <v>41991</v>
      </c>
      <c r="S2019" s="1">
        <v>224513</v>
      </c>
      <c r="U2019" s="1">
        <v>6700</v>
      </c>
      <c r="V2019" s="1" t="s">
        <v>8161</v>
      </c>
      <c r="W2019" s="1" t="s">
        <v>425</v>
      </c>
      <c r="X2019" s="1">
        <v>321</v>
      </c>
      <c r="Y2019" s="1">
        <v>124</v>
      </c>
      <c r="Z2019" s="1" t="s">
        <v>249</v>
      </c>
      <c r="AA2019" s="1" t="s">
        <v>5962</v>
      </c>
      <c r="AB2019" s="1">
        <v>60525</v>
      </c>
      <c r="AE2019" s="1" t="s">
        <v>18375</v>
      </c>
      <c r="AF2019" s="1">
        <v>1968</v>
      </c>
      <c r="AG2019" s="1" t="s">
        <v>213</v>
      </c>
      <c r="AH2019" s="1" t="s">
        <v>5964</v>
      </c>
      <c r="AI2019" s="1" t="s">
        <v>310</v>
      </c>
      <c r="AJ2019" s="1" t="s">
        <v>702</v>
      </c>
      <c r="AL2019" s="1">
        <v>5</v>
      </c>
      <c r="AM2019" s="1">
        <v>2</v>
      </c>
      <c r="AN2019" s="1">
        <v>2</v>
      </c>
      <c r="AO2019" s="1">
        <v>0</v>
      </c>
      <c r="AP2019" s="1" t="s">
        <v>210</v>
      </c>
      <c r="AR2019" s="1" t="s">
        <v>210</v>
      </c>
      <c r="AS2019" s="1" t="s">
        <v>204</v>
      </c>
      <c r="AT2019" s="1" t="s">
        <v>271</v>
      </c>
      <c r="AV2019" s="1">
        <v>1</v>
      </c>
      <c r="AW2019" s="1" t="s">
        <v>204</v>
      </c>
      <c r="AX2019" s="1" t="s">
        <v>212</v>
      </c>
      <c r="AZ2019" s="1">
        <v>3128.31</v>
      </c>
      <c r="BA2019" s="1">
        <v>2012</v>
      </c>
      <c r="BE2019" s="1">
        <v>1150</v>
      </c>
      <c r="BF2019" s="1">
        <v>3</v>
      </c>
      <c r="BG2019" s="1">
        <v>0</v>
      </c>
      <c r="BL2019" s="1">
        <v>224</v>
      </c>
      <c r="BM2019" s="1" t="s">
        <v>413</v>
      </c>
      <c r="BN2019" s="1" t="s">
        <v>204</v>
      </c>
      <c r="BP2019" s="1" t="s">
        <v>204</v>
      </c>
      <c r="BR2019" s="1" t="str">
        <f>"18202010411082"</f>
        <v>18202010411082</v>
      </c>
      <c r="BT2019" s="1" t="s">
        <v>18376</v>
      </c>
      <c r="BX2019" s="1">
        <v>105</v>
      </c>
      <c r="BY2019" s="1">
        <v>105</v>
      </c>
      <c r="BZ2019" s="1">
        <v>204</v>
      </c>
      <c r="CB2019" s="1" t="str">
        <f t="shared" ref="CB2019:CC2019" si="1543">""</f>
        <v/>
      </c>
      <c r="CC2019" s="1" t="str">
        <f t="shared" si="1543"/>
        <v/>
      </c>
      <c r="CG2019" s="1" t="s">
        <v>1046</v>
      </c>
      <c r="CH2019" s="1" t="s">
        <v>219</v>
      </c>
      <c r="CK2019" s="1" t="s">
        <v>408</v>
      </c>
      <c r="CL2019" s="1" t="s">
        <v>219</v>
      </c>
      <c r="CO2019" s="1" t="s">
        <v>318</v>
      </c>
      <c r="CP2019" s="1" t="s">
        <v>219</v>
      </c>
      <c r="CS2019" s="1" t="s">
        <v>1470</v>
      </c>
      <c r="CT2019" s="1" t="s">
        <v>219</v>
      </c>
      <c r="CX2019" s="1" t="s">
        <v>224</v>
      </c>
      <c r="DB2019" s="1" t="s">
        <v>224</v>
      </c>
      <c r="DE2019" s="1" t="s">
        <v>516</v>
      </c>
      <c r="DF2019" s="1" t="s">
        <v>219</v>
      </c>
      <c r="DJ2019" s="1" t="s">
        <v>224</v>
      </c>
      <c r="DS2019" s="1" t="s">
        <v>230</v>
      </c>
      <c r="DW2019" s="1" t="s">
        <v>230</v>
      </c>
      <c r="EA2019" s="1" t="s">
        <v>230</v>
      </c>
      <c r="EE2019" s="1" t="s">
        <v>230</v>
      </c>
      <c r="EI2019" s="1" t="s">
        <v>230</v>
      </c>
      <c r="EL2019" s="1" t="s">
        <v>605</v>
      </c>
      <c r="EM2019" s="1" t="s">
        <v>319</v>
      </c>
      <c r="EN2019" s="1" t="s">
        <v>282</v>
      </c>
      <c r="EO2019" s="1" t="s">
        <v>234</v>
      </c>
      <c r="ER2019" s="1" t="s">
        <v>210</v>
      </c>
      <c r="EW2019" s="1" t="s">
        <v>347</v>
      </c>
      <c r="EZ2019" s="1" t="s">
        <v>287</v>
      </c>
      <c r="FD2019" s="1" t="s">
        <v>1112</v>
      </c>
      <c r="FE2019" s="1" t="s">
        <v>247</v>
      </c>
      <c r="FF2019" s="1" t="s">
        <v>248</v>
      </c>
      <c r="FH2019" s="1" t="s">
        <v>249</v>
      </c>
      <c r="FL2019" s="1" t="s">
        <v>414</v>
      </c>
      <c r="FM2019" s="1" t="s">
        <v>252</v>
      </c>
      <c r="FN2019" s="1" t="s">
        <v>213</v>
      </c>
      <c r="FO2019" s="1" t="s">
        <v>213</v>
      </c>
      <c r="FQ2019" s="1" t="s">
        <v>689</v>
      </c>
      <c r="FR2019" s="1" t="s">
        <v>210</v>
      </c>
      <c r="FS2019" s="1" t="s">
        <v>7166</v>
      </c>
      <c r="FT2019" s="1" t="s">
        <v>584</v>
      </c>
      <c r="FU2019" s="1" t="s">
        <v>204</v>
      </c>
      <c r="FW2019" s="1" t="s">
        <v>7300</v>
      </c>
      <c r="FX2019" s="1">
        <v>16801</v>
      </c>
      <c r="FY2019" s="1" t="s">
        <v>7301</v>
      </c>
      <c r="FZ2019" s="1" t="s">
        <v>7302</v>
      </c>
      <c r="GA2019" s="1">
        <v>184278</v>
      </c>
      <c r="GE2019" s="1" t="s">
        <v>210</v>
      </c>
      <c r="GH2019" s="1" t="s">
        <v>421</v>
      </c>
      <c r="GI2019" s="1" t="s">
        <v>213</v>
      </c>
      <c r="GJ2019" s="1" t="s">
        <v>260</v>
      </c>
      <c r="GK2019" s="1" t="s">
        <v>210</v>
      </c>
      <c r="GL2019" s="2">
        <v>41992</v>
      </c>
      <c r="GM2019" s="1" t="s">
        <v>18377</v>
      </c>
    </row>
    <row r="2020" spans="1:195">
      <c r="A2020" s="1">
        <v>148000</v>
      </c>
      <c r="B2020" s="1" t="s">
        <v>195</v>
      </c>
      <c r="C2020" s="1" t="str">
        <f>"08741483"</f>
        <v>08741483</v>
      </c>
      <c r="D2020" s="1" t="s">
        <v>196</v>
      </c>
      <c r="F2020" s="1" t="str">
        <f>"139"</f>
        <v>139</v>
      </c>
      <c r="G2020" s="2">
        <v>41912</v>
      </c>
      <c r="H2020" s="1">
        <v>154900</v>
      </c>
      <c r="I2020" s="1">
        <v>154900</v>
      </c>
      <c r="J2020" s="1">
        <v>148000</v>
      </c>
      <c r="K2020" s="2">
        <v>41912</v>
      </c>
      <c r="L2020" s="1">
        <v>116</v>
      </c>
      <c r="M2020" s="2">
        <v>41930</v>
      </c>
      <c r="N2020" s="1">
        <v>19</v>
      </c>
      <c r="O2020" s="2">
        <v>41930</v>
      </c>
      <c r="P2020" s="1">
        <v>6264</v>
      </c>
      <c r="Q2020" s="1" t="s">
        <v>423</v>
      </c>
      <c r="R2020" s="2">
        <v>41981</v>
      </c>
      <c r="S2020" s="1">
        <v>62919</v>
      </c>
      <c r="U2020" s="1">
        <v>1515</v>
      </c>
      <c r="V2020" s="1" t="s">
        <v>6460</v>
      </c>
      <c r="W2020" s="1" t="s">
        <v>264</v>
      </c>
      <c r="Y2020" s="1">
        <v>6</v>
      </c>
      <c r="Z2020" s="1" t="s">
        <v>370</v>
      </c>
      <c r="AA2020" s="1" t="s">
        <v>1732</v>
      </c>
      <c r="AB2020" s="1">
        <v>60139</v>
      </c>
      <c r="AE2020" s="1" t="s">
        <v>18378</v>
      </c>
      <c r="AF2020" s="1">
        <v>1988</v>
      </c>
      <c r="AG2020" s="1" t="s">
        <v>204</v>
      </c>
      <c r="AH2020" s="1" t="s">
        <v>1735</v>
      </c>
      <c r="AI2020" s="1" t="s">
        <v>206</v>
      </c>
      <c r="AJ2020" s="1" t="s">
        <v>269</v>
      </c>
      <c r="AL2020" s="1">
        <v>5</v>
      </c>
      <c r="AM2020" s="1">
        <v>2</v>
      </c>
      <c r="AN2020" s="1">
        <v>2</v>
      </c>
      <c r="AO2020" s="1">
        <v>1</v>
      </c>
      <c r="AP2020" s="1" t="s">
        <v>209</v>
      </c>
      <c r="AQ2020" s="1">
        <v>1</v>
      </c>
      <c r="AR2020" s="1" t="s">
        <v>210</v>
      </c>
      <c r="AS2020" s="1" t="s">
        <v>204</v>
      </c>
      <c r="AT2020" s="1" t="s">
        <v>211</v>
      </c>
      <c r="AU2020" s="1">
        <v>1</v>
      </c>
      <c r="AW2020" s="1" t="s">
        <v>204</v>
      </c>
      <c r="AX2020" s="1" t="s">
        <v>212</v>
      </c>
      <c r="AZ2020" s="1">
        <v>4356.1400000000003</v>
      </c>
      <c r="BA2020" s="1">
        <v>2013</v>
      </c>
      <c r="BE2020" s="1">
        <v>0</v>
      </c>
      <c r="BF2020" s="1">
        <v>1</v>
      </c>
      <c r="BG2020" s="1">
        <v>0</v>
      </c>
      <c r="BL2020" s="1">
        <v>188</v>
      </c>
      <c r="BM2020" s="1" t="s">
        <v>204</v>
      </c>
      <c r="BN2020" s="1" t="s">
        <v>213</v>
      </c>
      <c r="BO2020" s="1">
        <v>999</v>
      </c>
      <c r="BP2020" s="1" t="s">
        <v>204</v>
      </c>
      <c r="BR2020" s="1" t="str">
        <f>"0233206108"</f>
        <v>0233206108</v>
      </c>
      <c r="BT2020" s="1" t="s">
        <v>18379</v>
      </c>
      <c r="BU2020" s="1" t="s">
        <v>6319</v>
      </c>
      <c r="BV2020" s="1" t="s">
        <v>3645</v>
      </c>
      <c r="BW2020" s="1" t="s">
        <v>1092</v>
      </c>
      <c r="BX2020" s="1">
        <v>16</v>
      </c>
      <c r="BY2020" s="1">
        <v>16</v>
      </c>
      <c r="BZ2020" s="1">
        <v>87</v>
      </c>
      <c r="CB2020" s="1" t="str">
        <f t="shared" ref="CB2020:CC2020" si="1544">""</f>
        <v/>
      </c>
      <c r="CC2020" s="1" t="str">
        <f t="shared" si="1544"/>
        <v/>
      </c>
      <c r="CG2020" s="1" t="s">
        <v>2042</v>
      </c>
      <c r="CH2020" s="1" t="s">
        <v>219</v>
      </c>
      <c r="CI2020" s="1" t="s">
        <v>438</v>
      </c>
      <c r="CJ2020" s="1" t="s">
        <v>252</v>
      </c>
      <c r="CK2020" s="1" t="s">
        <v>757</v>
      </c>
      <c r="CL2020" s="1" t="s">
        <v>277</v>
      </c>
      <c r="CM2020" s="1" t="s">
        <v>220</v>
      </c>
      <c r="CN2020" s="1" t="s">
        <v>252</v>
      </c>
      <c r="CO2020" s="1" t="s">
        <v>629</v>
      </c>
      <c r="CP2020" s="1" t="s">
        <v>219</v>
      </c>
      <c r="CQ2020" s="1" t="s">
        <v>438</v>
      </c>
      <c r="CS2020" s="1" t="s">
        <v>378</v>
      </c>
      <c r="CT2020" s="1" t="s">
        <v>277</v>
      </c>
      <c r="CU2020" s="1" t="s">
        <v>220</v>
      </c>
      <c r="CV2020" s="1" t="s">
        <v>252</v>
      </c>
      <c r="CX2020" s="1" t="s">
        <v>224</v>
      </c>
      <c r="DB2020" s="1" t="s">
        <v>224</v>
      </c>
      <c r="DE2020" s="1" t="s">
        <v>346</v>
      </c>
      <c r="DF2020" s="1" t="s">
        <v>219</v>
      </c>
      <c r="DG2020" s="1" t="s">
        <v>226</v>
      </c>
      <c r="DH2020" s="1" t="s">
        <v>252</v>
      </c>
      <c r="DJ2020" s="1" t="s">
        <v>224</v>
      </c>
      <c r="DS2020" s="1" t="s">
        <v>230</v>
      </c>
      <c r="DW2020" s="1" t="s">
        <v>230</v>
      </c>
      <c r="EA2020" s="1" t="s">
        <v>230</v>
      </c>
      <c r="EE2020" s="1" t="s">
        <v>230</v>
      </c>
      <c r="EI2020" s="1" t="s">
        <v>230</v>
      </c>
      <c r="EL2020" s="1" t="s">
        <v>542</v>
      </c>
      <c r="EM2020" s="1" t="s">
        <v>319</v>
      </c>
      <c r="EN2020" s="1" t="s">
        <v>282</v>
      </c>
      <c r="EO2020" s="1" t="s">
        <v>234</v>
      </c>
      <c r="EP2020" s="1" t="s">
        <v>4938</v>
      </c>
      <c r="EQ2020" s="1" t="s">
        <v>2188</v>
      </c>
      <c r="ER2020" s="1" t="s">
        <v>210</v>
      </c>
      <c r="EW2020" s="1" t="s">
        <v>991</v>
      </c>
      <c r="EY2020" s="1" t="s">
        <v>441</v>
      </c>
      <c r="EZ2020" s="1" t="s">
        <v>287</v>
      </c>
      <c r="FB2020" s="1" t="s">
        <v>289</v>
      </c>
      <c r="FD2020" s="1" t="s">
        <v>246</v>
      </c>
      <c r="FE2020" s="1" t="s">
        <v>1006</v>
      </c>
      <c r="FF2020" s="1" t="s">
        <v>248</v>
      </c>
      <c r="FG2020" s="1" t="s">
        <v>1682</v>
      </c>
      <c r="FH2020" s="1" t="s">
        <v>550</v>
      </c>
      <c r="FL2020" s="1" t="s">
        <v>358</v>
      </c>
      <c r="FM2020" s="1" t="s">
        <v>252</v>
      </c>
      <c r="FN2020" s="1" t="s">
        <v>213</v>
      </c>
      <c r="FO2020" s="1" t="s">
        <v>213</v>
      </c>
      <c r="FQ2020" s="1" t="s">
        <v>6124</v>
      </c>
      <c r="FR2020" s="1" t="s">
        <v>210</v>
      </c>
      <c r="FS2020" s="1" t="s">
        <v>18380</v>
      </c>
      <c r="FT2020" s="1" t="s">
        <v>295</v>
      </c>
      <c r="FU2020" s="1" t="s">
        <v>204</v>
      </c>
      <c r="FW2020" s="1" t="s">
        <v>4871</v>
      </c>
      <c r="FX2020" s="1">
        <v>1481</v>
      </c>
      <c r="FY2020" s="1" t="s">
        <v>4872</v>
      </c>
      <c r="FZ2020" s="1" t="s">
        <v>18381</v>
      </c>
      <c r="GA2020" s="1">
        <v>236993</v>
      </c>
      <c r="GB2020" s="1" t="s">
        <v>18382</v>
      </c>
      <c r="GE2020" s="1" t="s">
        <v>210</v>
      </c>
      <c r="GI2020" s="1" t="s">
        <v>213</v>
      </c>
      <c r="GJ2020" s="1" t="s">
        <v>260</v>
      </c>
      <c r="GK2020" s="1" t="s">
        <v>210</v>
      </c>
      <c r="GL2020" s="2">
        <v>41984</v>
      </c>
      <c r="GM2020" s="1" t="s">
        <v>18383</v>
      </c>
    </row>
    <row r="2021" spans="1:195">
      <c r="A2021" s="1">
        <v>128500</v>
      </c>
      <c r="B2021" s="1" t="s">
        <v>195</v>
      </c>
      <c r="C2021" s="1" t="str">
        <f>"08739670"</f>
        <v>08739670</v>
      </c>
      <c r="D2021" s="1" t="s">
        <v>196</v>
      </c>
      <c r="F2021" s="1" t="str">
        <f>"507"</f>
        <v>507</v>
      </c>
      <c r="G2021" s="2">
        <v>41910</v>
      </c>
      <c r="H2021" s="1">
        <v>139900</v>
      </c>
      <c r="I2021" s="1">
        <v>133000</v>
      </c>
      <c r="J2021" s="1">
        <v>128500</v>
      </c>
      <c r="K2021" s="2">
        <v>41910</v>
      </c>
      <c r="L2021" s="1">
        <v>33</v>
      </c>
      <c r="M2021" s="2">
        <v>41942</v>
      </c>
      <c r="N2021" s="1">
        <v>33</v>
      </c>
      <c r="O2021" s="2">
        <v>41942</v>
      </c>
      <c r="P2021" s="1">
        <v>21933</v>
      </c>
      <c r="Q2021" s="1" t="s">
        <v>197</v>
      </c>
      <c r="R2021" s="2">
        <v>42025</v>
      </c>
      <c r="S2021" s="1">
        <v>234246</v>
      </c>
      <c r="U2021" s="1">
        <v>4140</v>
      </c>
      <c r="V2021" s="1" t="s">
        <v>11689</v>
      </c>
      <c r="W2021" s="1" t="s">
        <v>264</v>
      </c>
      <c r="Y2021" s="1">
        <v>4</v>
      </c>
      <c r="Z2021" s="1" t="s">
        <v>200</v>
      </c>
      <c r="AA2021" s="1" t="s">
        <v>1123</v>
      </c>
      <c r="AB2021" s="1">
        <v>60504</v>
      </c>
      <c r="AE2021" s="1" t="s">
        <v>18384</v>
      </c>
      <c r="AF2021" s="1">
        <v>2002</v>
      </c>
      <c r="AG2021" s="1" t="s">
        <v>204</v>
      </c>
      <c r="AH2021" s="1" t="s">
        <v>1126</v>
      </c>
      <c r="AI2021" s="1" t="s">
        <v>206</v>
      </c>
      <c r="AJ2021" s="1" t="s">
        <v>924</v>
      </c>
      <c r="AL2021" s="1">
        <v>6</v>
      </c>
      <c r="AM2021" s="1">
        <v>2</v>
      </c>
      <c r="AN2021" s="1">
        <v>1</v>
      </c>
      <c r="AO2021" s="1">
        <v>1</v>
      </c>
      <c r="AP2021" s="1" t="s">
        <v>667</v>
      </c>
      <c r="AR2021" s="1" t="s">
        <v>210</v>
      </c>
      <c r="AT2021" s="1" t="s">
        <v>211</v>
      </c>
      <c r="AU2021" s="1">
        <v>2</v>
      </c>
      <c r="AW2021" s="1" t="s">
        <v>204</v>
      </c>
      <c r="AX2021" s="1" t="s">
        <v>18385</v>
      </c>
      <c r="AZ2021" s="1">
        <v>4248</v>
      </c>
      <c r="BA2021" s="1">
        <v>2013</v>
      </c>
      <c r="BE2021" s="1">
        <v>1600</v>
      </c>
      <c r="BF2021" s="1">
        <v>1</v>
      </c>
      <c r="BG2021" s="1">
        <v>1</v>
      </c>
      <c r="BL2021" s="1">
        <v>140</v>
      </c>
      <c r="BM2021" s="1" t="s">
        <v>204</v>
      </c>
      <c r="BN2021" s="1" t="s">
        <v>213</v>
      </c>
      <c r="BO2021" s="1">
        <v>50</v>
      </c>
      <c r="BP2021" s="1" t="s">
        <v>204</v>
      </c>
      <c r="BR2021" s="1" t="str">
        <f>"0728308098"</f>
        <v>0728308098</v>
      </c>
      <c r="BT2021" s="1" t="s">
        <v>18386</v>
      </c>
      <c r="BX2021" s="1">
        <v>204</v>
      </c>
      <c r="BY2021" s="1">
        <v>204</v>
      </c>
      <c r="BZ2021" s="1">
        <v>204</v>
      </c>
      <c r="CB2021" s="1" t="str">
        <f t="shared" ref="CB2021:CC2021" si="1545">""</f>
        <v/>
      </c>
      <c r="CC2021" s="1" t="str">
        <f t="shared" si="1545"/>
        <v/>
      </c>
      <c r="CG2021" s="1" t="s">
        <v>315</v>
      </c>
      <c r="CH2021" s="1" t="s">
        <v>219</v>
      </c>
      <c r="CI2021" s="1" t="s">
        <v>220</v>
      </c>
      <c r="CK2021" s="1" t="s">
        <v>437</v>
      </c>
      <c r="CL2021" s="1" t="s">
        <v>277</v>
      </c>
      <c r="CM2021" s="1" t="s">
        <v>220</v>
      </c>
      <c r="CO2021" s="1" t="s">
        <v>318</v>
      </c>
      <c r="CP2021" s="1" t="s">
        <v>219</v>
      </c>
      <c r="CQ2021" s="1" t="s">
        <v>229</v>
      </c>
      <c r="CS2021" s="1" t="s">
        <v>379</v>
      </c>
      <c r="CT2021" s="1" t="s">
        <v>277</v>
      </c>
      <c r="CU2021" s="1" t="s">
        <v>220</v>
      </c>
      <c r="CX2021" s="1" t="s">
        <v>224</v>
      </c>
      <c r="DB2021" s="1" t="s">
        <v>224</v>
      </c>
      <c r="DE2021" s="1" t="s">
        <v>379</v>
      </c>
      <c r="DF2021" s="1" t="s">
        <v>219</v>
      </c>
      <c r="DG2021" s="1" t="s">
        <v>342</v>
      </c>
      <c r="DJ2021" s="1" t="s">
        <v>224</v>
      </c>
      <c r="DM2021" s="1" t="s">
        <v>464</v>
      </c>
      <c r="DR2021" s="1" t="s">
        <v>1155</v>
      </c>
      <c r="DS2021" s="1" t="s">
        <v>277</v>
      </c>
      <c r="DT2021" s="1" t="s">
        <v>220</v>
      </c>
      <c r="DW2021" s="1" t="s">
        <v>230</v>
      </c>
      <c r="EA2021" s="1" t="s">
        <v>230</v>
      </c>
      <c r="EE2021" s="1" t="s">
        <v>230</v>
      </c>
      <c r="EI2021" s="1" t="s">
        <v>230</v>
      </c>
      <c r="EL2021" s="1" t="s">
        <v>466</v>
      </c>
      <c r="EM2021" s="1" t="s">
        <v>319</v>
      </c>
      <c r="EN2021" s="1" t="s">
        <v>282</v>
      </c>
      <c r="EO2021" s="1" t="s">
        <v>234</v>
      </c>
      <c r="ER2021" s="1" t="s">
        <v>210</v>
      </c>
      <c r="EW2021" s="1" t="s">
        <v>1250</v>
      </c>
      <c r="EY2021" s="1" t="s">
        <v>242</v>
      </c>
      <c r="EZ2021" s="1" t="s">
        <v>464</v>
      </c>
      <c r="FD2021" s="1" t="s">
        <v>246</v>
      </c>
      <c r="FE2021" s="1" t="s">
        <v>472</v>
      </c>
      <c r="FF2021" s="1" t="s">
        <v>248</v>
      </c>
      <c r="FH2021" s="1" t="s">
        <v>550</v>
      </c>
      <c r="FL2021" s="1" t="s">
        <v>810</v>
      </c>
      <c r="FM2021" s="1" t="s">
        <v>252</v>
      </c>
      <c r="FN2021" s="1" t="s">
        <v>213</v>
      </c>
      <c r="FO2021" s="1" t="s">
        <v>213</v>
      </c>
      <c r="FQ2021" s="1" t="s">
        <v>673</v>
      </c>
      <c r="FR2021" s="1" t="s">
        <v>210</v>
      </c>
      <c r="FS2021" s="1" t="s">
        <v>6852</v>
      </c>
      <c r="FT2021" s="1" t="s">
        <v>255</v>
      </c>
      <c r="FU2021" s="1" t="s">
        <v>204</v>
      </c>
      <c r="FW2021" s="1" t="s">
        <v>6853</v>
      </c>
      <c r="FX2021" s="1">
        <v>25189</v>
      </c>
      <c r="FY2021" s="1" t="s">
        <v>6854</v>
      </c>
      <c r="FZ2021" s="1" t="s">
        <v>6855</v>
      </c>
      <c r="GA2021" s="1">
        <v>217663</v>
      </c>
      <c r="GB2021" s="1" t="s">
        <v>6854</v>
      </c>
      <c r="GD2021" s="1" t="s">
        <v>6856</v>
      </c>
      <c r="GE2021" s="1" t="s">
        <v>210</v>
      </c>
      <c r="GI2021" s="1" t="s">
        <v>213</v>
      </c>
      <c r="GJ2021" s="1" t="s">
        <v>260</v>
      </c>
      <c r="GK2021" s="1" t="s">
        <v>210</v>
      </c>
      <c r="GL2021" s="2">
        <v>42025</v>
      </c>
      <c r="GM2021" s="1" t="s">
        <v>18387</v>
      </c>
    </row>
    <row r="2022" spans="1:195">
      <c r="A2022" s="1">
        <v>48100</v>
      </c>
      <c r="B2022" s="1" t="s">
        <v>195</v>
      </c>
      <c r="C2022" s="1" t="str">
        <f>"08740267"</f>
        <v>08740267</v>
      </c>
      <c r="D2022" s="1" t="s">
        <v>196</v>
      </c>
      <c r="F2022" s="1" t="str">
        <f>"85"</f>
        <v>85</v>
      </c>
      <c r="G2022" s="2">
        <v>41911</v>
      </c>
      <c r="H2022" s="1">
        <v>52000</v>
      </c>
      <c r="I2022" s="1">
        <v>52000</v>
      </c>
      <c r="J2022" s="1">
        <v>48100</v>
      </c>
      <c r="K2022" s="2">
        <v>41911</v>
      </c>
      <c r="L2022" s="1">
        <v>66</v>
      </c>
      <c r="M2022" s="2">
        <v>41976</v>
      </c>
      <c r="N2022" s="1">
        <v>66</v>
      </c>
      <c r="O2022" s="2">
        <v>41976</v>
      </c>
      <c r="P2022" s="1">
        <v>25018</v>
      </c>
      <c r="Q2022" s="1" t="s">
        <v>302</v>
      </c>
      <c r="R2022" s="2">
        <v>42025</v>
      </c>
      <c r="S2022" s="1">
        <v>238229</v>
      </c>
      <c r="T2022" s="1">
        <v>2000</v>
      </c>
      <c r="U2022" s="1">
        <v>4246</v>
      </c>
      <c r="V2022" s="1" t="s">
        <v>18388</v>
      </c>
      <c r="W2022" s="1" t="s">
        <v>504</v>
      </c>
      <c r="Y2022" s="1">
        <v>4</v>
      </c>
      <c r="Z2022" s="1" t="s">
        <v>370</v>
      </c>
      <c r="AA2022" s="1" t="s">
        <v>2507</v>
      </c>
      <c r="AB2022" s="1">
        <v>60087</v>
      </c>
      <c r="AE2022" s="1" t="s">
        <v>18389</v>
      </c>
      <c r="AF2022" s="1">
        <v>1976</v>
      </c>
      <c r="AG2022" s="1" t="s">
        <v>213</v>
      </c>
      <c r="AH2022" s="1" t="s">
        <v>2509</v>
      </c>
      <c r="AI2022" s="1" t="s">
        <v>509</v>
      </c>
      <c r="AJ2022" s="1" t="s">
        <v>2509</v>
      </c>
      <c r="AL2022" s="1">
        <v>5</v>
      </c>
      <c r="AM2022" s="1">
        <v>2</v>
      </c>
      <c r="AN2022" s="1">
        <v>2</v>
      </c>
      <c r="AO2022" s="1">
        <v>0</v>
      </c>
      <c r="AP2022" s="1" t="s">
        <v>210</v>
      </c>
      <c r="AR2022" s="1" t="s">
        <v>2275</v>
      </c>
      <c r="AS2022" s="1" t="s">
        <v>213</v>
      </c>
      <c r="AT2022" s="1" t="s">
        <v>211</v>
      </c>
      <c r="AU2022" s="1">
        <v>1</v>
      </c>
      <c r="AW2022" s="1" t="s">
        <v>204</v>
      </c>
      <c r="AX2022" s="1" t="s">
        <v>1265</v>
      </c>
      <c r="AZ2022" s="1">
        <v>3915.97</v>
      </c>
      <c r="BA2022" s="1">
        <v>2012</v>
      </c>
      <c r="BE2022" s="1">
        <v>1570</v>
      </c>
      <c r="BF2022" s="1">
        <v>1</v>
      </c>
      <c r="BG2022" s="1">
        <v>0</v>
      </c>
      <c r="BL2022" s="1">
        <v>139</v>
      </c>
      <c r="BM2022" s="1" t="s">
        <v>204</v>
      </c>
      <c r="BN2022" s="1" t="s">
        <v>213</v>
      </c>
      <c r="BO2022" s="1">
        <v>0</v>
      </c>
      <c r="BP2022" s="1" t="s">
        <v>204</v>
      </c>
      <c r="BR2022" s="1" t="str">
        <f>"07112011390000"</f>
        <v>07112011390000</v>
      </c>
      <c r="BT2022" s="1" t="s">
        <v>18390</v>
      </c>
      <c r="BX2022" s="1">
        <v>56</v>
      </c>
      <c r="BY2022" s="1">
        <v>56</v>
      </c>
      <c r="BZ2022" s="1">
        <v>121</v>
      </c>
      <c r="CB2022" s="1" t="str">
        <f t="shared" ref="CB2022:CC2022" si="1546">""</f>
        <v/>
      </c>
      <c r="CC2022" s="1" t="str">
        <f t="shared" si="1546"/>
        <v/>
      </c>
      <c r="CG2022" s="1" t="s">
        <v>379</v>
      </c>
      <c r="CH2022" s="1" t="s">
        <v>219</v>
      </c>
      <c r="CK2022" s="1" t="s">
        <v>1358</v>
      </c>
      <c r="CL2022" s="1" t="s">
        <v>277</v>
      </c>
      <c r="CP2022" s="1" t="s">
        <v>224</v>
      </c>
      <c r="CS2022" s="1" t="s">
        <v>379</v>
      </c>
      <c r="CT2022" s="1" t="s">
        <v>277</v>
      </c>
      <c r="CX2022" s="1" t="s">
        <v>224</v>
      </c>
      <c r="DB2022" s="1" t="s">
        <v>224</v>
      </c>
      <c r="DE2022" s="1" t="s">
        <v>972</v>
      </c>
      <c r="DF2022" s="1" t="s">
        <v>219</v>
      </c>
      <c r="DI2022" s="1" t="s">
        <v>5899</v>
      </c>
      <c r="DJ2022" s="1" t="s">
        <v>43</v>
      </c>
      <c r="DS2022" s="1" t="s">
        <v>230</v>
      </c>
      <c r="DW2022" s="1" t="s">
        <v>230</v>
      </c>
      <c r="EA2022" s="1" t="s">
        <v>230</v>
      </c>
      <c r="EE2022" s="1" t="s">
        <v>230</v>
      </c>
      <c r="EI2022" s="1" t="s">
        <v>230</v>
      </c>
      <c r="EL2022" s="1" t="s">
        <v>231</v>
      </c>
      <c r="EM2022" s="1" t="s">
        <v>319</v>
      </c>
      <c r="EN2022" s="1" t="s">
        <v>282</v>
      </c>
      <c r="EO2022" s="1" t="s">
        <v>234</v>
      </c>
      <c r="ER2022" s="1" t="s">
        <v>544</v>
      </c>
      <c r="EW2022" s="1" t="s">
        <v>2205</v>
      </c>
      <c r="EZ2022" s="1" t="s">
        <v>287</v>
      </c>
      <c r="FD2022" s="1" t="s">
        <v>246</v>
      </c>
      <c r="FE2022" s="1" t="s">
        <v>1031</v>
      </c>
      <c r="FF2022" s="1" t="s">
        <v>248</v>
      </c>
      <c r="FH2022" s="1" t="s">
        <v>550</v>
      </c>
      <c r="FL2022" s="1" t="s">
        <v>414</v>
      </c>
      <c r="FM2022" s="1" t="s">
        <v>252</v>
      </c>
      <c r="FN2022" s="1" t="s">
        <v>213</v>
      </c>
      <c r="FO2022" s="1" t="s">
        <v>213</v>
      </c>
      <c r="FQ2022" s="1" t="s">
        <v>4594</v>
      </c>
      <c r="FR2022" s="1" t="s">
        <v>210</v>
      </c>
      <c r="FS2022" s="1" t="s">
        <v>12559</v>
      </c>
      <c r="FT2022" s="1" t="s">
        <v>520</v>
      </c>
      <c r="FU2022" s="1" t="s">
        <v>204</v>
      </c>
      <c r="FW2022" s="1" t="s">
        <v>3740</v>
      </c>
      <c r="FX2022" s="1">
        <v>16276</v>
      </c>
      <c r="FY2022" s="1" t="s">
        <v>3741</v>
      </c>
      <c r="FZ2022" s="1" t="s">
        <v>3742</v>
      </c>
      <c r="GA2022" s="1">
        <v>114173</v>
      </c>
      <c r="GB2022" s="1" t="s">
        <v>3741</v>
      </c>
      <c r="GE2022" s="1" t="s">
        <v>210</v>
      </c>
      <c r="GI2022" s="1" t="s">
        <v>213</v>
      </c>
      <c r="GJ2022" s="1" t="s">
        <v>260</v>
      </c>
      <c r="GK2022" s="1" t="s">
        <v>210</v>
      </c>
      <c r="GL2022" s="2">
        <v>42026</v>
      </c>
      <c r="GM2022" s="1" t="s">
        <v>18391</v>
      </c>
    </row>
    <row r="2023" spans="1:195">
      <c r="A2023" s="1">
        <v>159900</v>
      </c>
      <c r="B2023" s="1" t="s">
        <v>195</v>
      </c>
      <c r="C2023" s="1" t="str">
        <f>"08747022"</f>
        <v>08747022</v>
      </c>
      <c r="D2023" s="1" t="s">
        <v>196</v>
      </c>
      <c r="F2023" s="1" t="str">
        <f>"123"</f>
        <v>123</v>
      </c>
      <c r="G2023" s="2">
        <v>41919</v>
      </c>
      <c r="H2023" s="1">
        <v>174900</v>
      </c>
      <c r="I2023" s="1">
        <v>169900</v>
      </c>
      <c r="J2023" s="1">
        <v>159900</v>
      </c>
      <c r="K2023" s="2">
        <v>41919</v>
      </c>
      <c r="L2023" s="1">
        <v>50</v>
      </c>
      <c r="M2023" s="2">
        <v>41968</v>
      </c>
      <c r="N2023" s="1">
        <v>50</v>
      </c>
      <c r="O2023" s="2">
        <v>41968</v>
      </c>
      <c r="P2023" s="1">
        <v>22970</v>
      </c>
      <c r="Q2023" s="1" t="s">
        <v>423</v>
      </c>
      <c r="R2023" s="2">
        <v>42019</v>
      </c>
      <c r="S2023" s="1">
        <v>237677</v>
      </c>
      <c r="U2023" s="1">
        <v>3126</v>
      </c>
      <c r="V2023" s="1" t="s">
        <v>5635</v>
      </c>
      <c r="W2023" s="1" t="s">
        <v>725</v>
      </c>
      <c r="Y2023" s="1">
        <v>6</v>
      </c>
      <c r="Z2023" s="1" t="s">
        <v>370</v>
      </c>
      <c r="AA2023" s="1" t="s">
        <v>1173</v>
      </c>
      <c r="AB2023" s="1">
        <v>60124</v>
      </c>
      <c r="AD2023" s="1" t="s">
        <v>2731</v>
      </c>
      <c r="AE2023" s="1" t="s">
        <v>18392</v>
      </c>
      <c r="AF2023" s="1">
        <v>2007</v>
      </c>
      <c r="AG2023" s="1" t="s">
        <v>204</v>
      </c>
      <c r="AH2023" s="1" t="s">
        <v>1175</v>
      </c>
      <c r="AI2023" s="1" t="s">
        <v>665</v>
      </c>
      <c r="AJ2023" s="1" t="s">
        <v>1175</v>
      </c>
      <c r="AL2023" s="1">
        <v>7</v>
      </c>
      <c r="AM2023" s="1">
        <v>2</v>
      </c>
      <c r="AN2023" s="1">
        <v>2</v>
      </c>
      <c r="AO2023" s="1">
        <v>1</v>
      </c>
      <c r="AP2023" s="1" t="s">
        <v>209</v>
      </c>
      <c r="AQ2023" s="1">
        <v>1</v>
      </c>
      <c r="AR2023" s="1" t="s">
        <v>1483</v>
      </c>
      <c r="AS2023" s="1" t="s">
        <v>204</v>
      </c>
      <c r="AT2023" s="1" t="s">
        <v>211</v>
      </c>
      <c r="AU2023" s="1">
        <v>2</v>
      </c>
      <c r="AW2023" s="1" t="s">
        <v>204</v>
      </c>
      <c r="AX2023" s="1" t="s">
        <v>212</v>
      </c>
      <c r="AZ2023" s="1">
        <v>4548.6400000000003</v>
      </c>
      <c r="BA2023" s="1">
        <v>2013</v>
      </c>
      <c r="BB2023" s="1" t="s">
        <v>210</v>
      </c>
      <c r="BE2023" s="1">
        <v>1450</v>
      </c>
      <c r="BF2023" s="1">
        <v>1</v>
      </c>
      <c r="BG2023" s="1">
        <v>0</v>
      </c>
      <c r="BL2023" s="1">
        <v>153</v>
      </c>
      <c r="BM2023" s="1" t="s">
        <v>204</v>
      </c>
      <c r="BN2023" s="1" t="s">
        <v>213</v>
      </c>
      <c r="BO2023" s="1">
        <v>0</v>
      </c>
      <c r="BP2023" s="1" t="s">
        <v>204</v>
      </c>
      <c r="BR2023" s="1" t="str">
        <f>"0618464083"</f>
        <v>0618464083</v>
      </c>
      <c r="BT2023" s="1" t="s">
        <v>18393</v>
      </c>
      <c r="BU2023" s="1" t="s">
        <v>9494</v>
      </c>
      <c r="BV2023" s="1" t="s">
        <v>9495</v>
      </c>
      <c r="BW2023" s="1" t="s">
        <v>9496</v>
      </c>
      <c r="BX2023" s="1">
        <v>301</v>
      </c>
      <c r="BY2023" s="1">
        <v>301</v>
      </c>
      <c r="BZ2023" s="1">
        <v>301</v>
      </c>
      <c r="CB2023" s="1" t="str">
        <f>"11"</f>
        <v>11</v>
      </c>
      <c r="CC2023" s="1" t="str">
        <f>""</f>
        <v/>
      </c>
      <c r="CD2023" s="1">
        <v>38</v>
      </c>
      <c r="CG2023" s="1" t="s">
        <v>931</v>
      </c>
      <c r="CH2023" s="1" t="s">
        <v>219</v>
      </c>
      <c r="CI2023" s="1" t="s">
        <v>220</v>
      </c>
      <c r="CJ2023" s="1" t="s">
        <v>252</v>
      </c>
      <c r="CK2023" s="1" t="s">
        <v>228</v>
      </c>
      <c r="CL2023" s="1" t="s">
        <v>277</v>
      </c>
      <c r="CM2023" s="1" t="s">
        <v>220</v>
      </c>
      <c r="CN2023" s="1" t="s">
        <v>252</v>
      </c>
      <c r="CO2023" s="1" t="s">
        <v>316</v>
      </c>
      <c r="CP2023" s="1" t="s">
        <v>219</v>
      </c>
      <c r="CQ2023" s="1" t="s">
        <v>438</v>
      </c>
      <c r="CR2023" s="1" t="s">
        <v>252</v>
      </c>
      <c r="CS2023" s="1" t="s">
        <v>1046</v>
      </c>
      <c r="CT2023" s="1" t="s">
        <v>277</v>
      </c>
      <c r="CU2023" s="1" t="s">
        <v>220</v>
      </c>
      <c r="CV2023" s="1" t="s">
        <v>252</v>
      </c>
      <c r="CX2023" s="1" t="s">
        <v>224</v>
      </c>
      <c r="DB2023" s="1" t="s">
        <v>224</v>
      </c>
      <c r="DE2023" s="1" t="s">
        <v>1297</v>
      </c>
      <c r="DF2023" s="1" t="s">
        <v>219</v>
      </c>
      <c r="DG2023" s="1" t="s">
        <v>438</v>
      </c>
      <c r="DH2023" s="1" t="s">
        <v>252</v>
      </c>
      <c r="DI2023" s="1" t="s">
        <v>379</v>
      </c>
      <c r="DJ2023" s="1" t="s">
        <v>822</v>
      </c>
      <c r="DK2023" s="1" t="s">
        <v>220</v>
      </c>
      <c r="DL2023" s="1" t="s">
        <v>252</v>
      </c>
      <c r="DM2023" s="1" t="s">
        <v>464</v>
      </c>
      <c r="DR2023" s="1" t="s">
        <v>6174</v>
      </c>
      <c r="DS2023" s="1" t="s">
        <v>277</v>
      </c>
      <c r="DT2023" s="1" t="s">
        <v>220</v>
      </c>
      <c r="DU2023" s="1" t="s">
        <v>210</v>
      </c>
      <c r="DW2023" s="1" t="s">
        <v>230</v>
      </c>
      <c r="EA2023" s="1" t="s">
        <v>230</v>
      </c>
      <c r="EE2023" s="1" t="s">
        <v>230</v>
      </c>
      <c r="EI2023" s="1" t="s">
        <v>230</v>
      </c>
      <c r="EL2023" s="1" t="s">
        <v>491</v>
      </c>
      <c r="EM2023" s="1" t="s">
        <v>319</v>
      </c>
      <c r="EN2023" s="1" t="s">
        <v>282</v>
      </c>
      <c r="EO2023" s="1" t="s">
        <v>234</v>
      </c>
      <c r="EP2023" s="1" t="s">
        <v>18394</v>
      </c>
      <c r="EQ2023" s="1" t="s">
        <v>2188</v>
      </c>
      <c r="ER2023" s="1" t="s">
        <v>544</v>
      </c>
      <c r="ES2023" s="1" t="s">
        <v>16182</v>
      </c>
      <c r="ET2023" s="1" t="s">
        <v>1201</v>
      </c>
      <c r="EU2023" s="1" t="s">
        <v>610</v>
      </c>
      <c r="EW2023" s="1" t="s">
        <v>353</v>
      </c>
      <c r="EY2023" s="1" t="s">
        <v>242</v>
      </c>
      <c r="EZ2023" s="1" t="s">
        <v>464</v>
      </c>
      <c r="FA2023" s="1" t="s">
        <v>2358</v>
      </c>
      <c r="FC2023" s="1" t="s">
        <v>1362</v>
      </c>
      <c r="FD2023" s="1" t="s">
        <v>246</v>
      </c>
      <c r="FE2023" s="1" t="s">
        <v>355</v>
      </c>
      <c r="FF2023" s="1" t="s">
        <v>248</v>
      </c>
      <c r="FG2023" s="1" t="s">
        <v>1204</v>
      </c>
      <c r="FH2023" s="1" t="s">
        <v>1428</v>
      </c>
      <c r="FI2023" s="1" t="s">
        <v>473</v>
      </c>
      <c r="FJ2023" s="1" t="s">
        <v>1251</v>
      </c>
      <c r="FL2023" s="1" t="s">
        <v>358</v>
      </c>
      <c r="FM2023" s="1" t="s">
        <v>252</v>
      </c>
      <c r="FN2023" s="1" t="s">
        <v>213</v>
      </c>
      <c r="FO2023" s="1" t="s">
        <v>213</v>
      </c>
      <c r="FQ2023" s="1" t="s">
        <v>359</v>
      </c>
      <c r="FR2023" s="1" t="s">
        <v>210</v>
      </c>
      <c r="FS2023" s="1" t="s">
        <v>7674</v>
      </c>
      <c r="FT2023" s="1" t="s">
        <v>691</v>
      </c>
      <c r="FU2023" s="1" t="s">
        <v>204</v>
      </c>
      <c r="FW2023" s="1" t="s">
        <v>256</v>
      </c>
      <c r="FX2023" s="1">
        <v>2648</v>
      </c>
      <c r="FY2023" s="1" t="s">
        <v>1022</v>
      </c>
      <c r="FZ2023" s="1" t="s">
        <v>7675</v>
      </c>
      <c r="GA2023" s="1">
        <v>18093</v>
      </c>
      <c r="GB2023" s="1" t="s">
        <v>7676</v>
      </c>
      <c r="GC2023" s="1">
        <v>20455</v>
      </c>
      <c r="GD2023" s="1" t="s">
        <v>18395</v>
      </c>
      <c r="GE2023" s="1" t="s">
        <v>480</v>
      </c>
      <c r="GI2023" s="1" t="s">
        <v>213</v>
      </c>
      <c r="GJ2023" s="1" t="s">
        <v>260</v>
      </c>
      <c r="GK2023" s="1" t="s">
        <v>210</v>
      </c>
      <c r="GL2023" s="2">
        <v>42019</v>
      </c>
      <c r="GM2023" s="1" t="s">
        <v>18396</v>
      </c>
    </row>
    <row r="2024" spans="1:195">
      <c r="A2024" s="1">
        <v>410000</v>
      </c>
      <c r="B2024" s="1" t="s">
        <v>195</v>
      </c>
      <c r="C2024" s="1" t="str">
        <f>"08744942"</f>
        <v>08744942</v>
      </c>
      <c r="D2024" s="1" t="s">
        <v>196</v>
      </c>
      <c r="F2024" s="1" t="str">
        <f>"522"</f>
        <v>522</v>
      </c>
      <c r="G2024" s="2">
        <v>41916</v>
      </c>
      <c r="H2024" s="1">
        <v>429900</v>
      </c>
      <c r="I2024" s="1">
        <v>429900</v>
      </c>
      <c r="J2024" s="1">
        <v>410000</v>
      </c>
      <c r="K2024" s="2">
        <v>41915</v>
      </c>
      <c r="L2024" s="1">
        <v>59</v>
      </c>
      <c r="M2024" s="2">
        <v>41973</v>
      </c>
      <c r="N2024" s="1">
        <v>59</v>
      </c>
      <c r="O2024" s="2">
        <v>41973</v>
      </c>
      <c r="P2024" s="1">
        <v>22205</v>
      </c>
      <c r="Q2024" s="1" t="s">
        <v>197</v>
      </c>
      <c r="R2024" s="2">
        <v>42027</v>
      </c>
      <c r="S2024" s="1">
        <v>219626</v>
      </c>
      <c r="U2024" s="1">
        <v>91</v>
      </c>
      <c r="V2024" s="1" t="s">
        <v>18397</v>
      </c>
      <c r="W2024" s="1" t="s">
        <v>304</v>
      </c>
      <c r="Y2024" s="1">
        <v>4</v>
      </c>
      <c r="Z2024" s="1" t="s">
        <v>370</v>
      </c>
      <c r="AA2024" s="1" t="s">
        <v>698</v>
      </c>
      <c r="AB2024" s="1">
        <v>60527</v>
      </c>
      <c r="AD2024" s="1" t="s">
        <v>18398</v>
      </c>
      <c r="AE2024" s="1" t="s">
        <v>18399</v>
      </c>
      <c r="AF2024" s="1">
        <v>1994</v>
      </c>
      <c r="AG2024" s="1" t="s">
        <v>204</v>
      </c>
      <c r="AH2024" s="1" t="s">
        <v>701</v>
      </c>
      <c r="AI2024" s="1" t="s">
        <v>310</v>
      </c>
      <c r="AJ2024" s="1" t="s">
        <v>702</v>
      </c>
      <c r="AK2024" s="1" t="s">
        <v>18400</v>
      </c>
      <c r="AL2024" s="1">
        <v>9</v>
      </c>
      <c r="AM2024" s="1">
        <v>2</v>
      </c>
      <c r="AN2024" s="1">
        <v>3</v>
      </c>
      <c r="AO2024" s="1">
        <v>1</v>
      </c>
      <c r="AP2024" s="1" t="s">
        <v>209</v>
      </c>
      <c r="AQ2024" s="1">
        <v>2</v>
      </c>
      <c r="AR2024" s="1" t="s">
        <v>209</v>
      </c>
      <c r="AS2024" s="1" t="s">
        <v>213</v>
      </c>
      <c r="AT2024" s="1" t="s">
        <v>211</v>
      </c>
      <c r="AU2024" s="1">
        <v>2</v>
      </c>
      <c r="AW2024" s="1" t="s">
        <v>213</v>
      </c>
      <c r="AX2024" s="1" t="s">
        <v>212</v>
      </c>
      <c r="AZ2024" s="6">
        <v>5085</v>
      </c>
      <c r="BA2024" s="1">
        <v>2013</v>
      </c>
      <c r="BB2024" s="1" t="s">
        <v>599</v>
      </c>
      <c r="BE2024" s="1">
        <v>2000</v>
      </c>
      <c r="BF2024" s="1">
        <v>1</v>
      </c>
      <c r="BG2024" s="1">
        <v>0</v>
      </c>
      <c r="BL2024" s="1">
        <v>379</v>
      </c>
      <c r="BM2024" s="1" t="s">
        <v>204</v>
      </c>
      <c r="BN2024" s="1" t="s">
        <v>213</v>
      </c>
      <c r="BO2024" s="1">
        <v>999</v>
      </c>
      <c r="BP2024" s="1" t="s">
        <v>204</v>
      </c>
      <c r="BR2024" s="1" t="str">
        <f>"18303000271160"</f>
        <v>18303000271160</v>
      </c>
      <c r="BT2024" s="1" t="s">
        <v>18401</v>
      </c>
      <c r="BU2024" s="1" t="s">
        <v>704</v>
      </c>
      <c r="BV2024" s="1" t="s">
        <v>705</v>
      </c>
      <c r="BW2024" s="1" t="s">
        <v>706</v>
      </c>
      <c r="BX2024" s="1">
        <v>107</v>
      </c>
      <c r="BY2024" s="1">
        <v>107</v>
      </c>
      <c r="BZ2024" s="1">
        <v>204</v>
      </c>
      <c r="CB2024" s="1" t="str">
        <f t="shared" ref="CB2024:CC2024" si="1547">"0"</f>
        <v>0</v>
      </c>
      <c r="CC2024" s="1" t="str">
        <f t="shared" si="1547"/>
        <v>0</v>
      </c>
      <c r="CD2024" s="1">
        <v>14</v>
      </c>
      <c r="CE2024" s="1">
        <v>8</v>
      </c>
      <c r="CG2024" s="1" t="s">
        <v>1803</v>
      </c>
      <c r="CH2024" s="1" t="s">
        <v>219</v>
      </c>
      <c r="CI2024" s="1" t="s">
        <v>220</v>
      </c>
      <c r="CJ2024" s="1" t="s">
        <v>909</v>
      </c>
      <c r="CK2024" s="1" t="s">
        <v>729</v>
      </c>
      <c r="CL2024" s="1" t="s">
        <v>277</v>
      </c>
      <c r="CM2024" s="1" t="s">
        <v>220</v>
      </c>
      <c r="CN2024" s="1" t="s">
        <v>343</v>
      </c>
      <c r="CO2024" s="1" t="s">
        <v>629</v>
      </c>
      <c r="CP2024" s="1" t="s">
        <v>219</v>
      </c>
      <c r="CQ2024" s="1" t="s">
        <v>220</v>
      </c>
      <c r="CR2024" s="1" t="s">
        <v>210</v>
      </c>
      <c r="CS2024" s="1" t="s">
        <v>757</v>
      </c>
      <c r="CT2024" s="1" t="s">
        <v>277</v>
      </c>
      <c r="CU2024" s="1" t="s">
        <v>220</v>
      </c>
      <c r="CV2024" s="1" t="s">
        <v>439</v>
      </c>
      <c r="CX2024" s="1" t="s">
        <v>224</v>
      </c>
      <c r="DB2024" s="1" t="s">
        <v>224</v>
      </c>
      <c r="DE2024" s="1" t="s">
        <v>602</v>
      </c>
      <c r="DF2024" s="1" t="s">
        <v>219</v>
      </c>
      <c r="DG2024" s="1" t="s">
        <v>226</v>
      </c>
      <c r="DH2024" s="1" t="s">
        <v>210</v>
      </c>
      <c r="DI2024" s="1" t="s">
        <v>932</v>
      </c>
      <c r="DJ2024" s="1" t="s">
        <v>219</v>
      </c>
      <c r="DK2024" s="1" t="s">
        <v>226</v>
      </c>
      <c r="DL2024" s="1" t="s">
        <v>343</v>
      </c>
      <c r="DM2024" s="1" t="s">
        <v>1548</v>
      </c>
      <c r="DN2024" s="1" t="s">
        <v>464</v>
      </c>
      <c r="DO2024" s="1" t="s">
        <v>934</v>
      </c>
      <c r="DP2024" s="1" t="s">
        <v>709</v>
      </c>
      <c r="DQ2024" s="1" t="s">
        <v>2278</v>
      </c>
      <c r="DR2024" s="1" t="s">
        <v>7610</v>
      </c>
      <c r="DS2024" s="1" t="s">
        <v>219</v>
      </c>
      <c r="DT2024" s="1" t="s">
        <v>226</v>
      </c>
      <c r="DU2024" s="1" t="s">
        <v>210</v>
      </c>
      <c r="DV2024" s="1" t="s">
        <v>380</v>
      </c>
      <c r="DW2024" s="1" t="s">
        <v>277</v>
      </c>
      <c r="DX2024" s="1" t="s">
        <v>220</v>
      </c>
      <c r="DY2024" s="1" t="s">
        <v>463</v>
      </c>
      <c r="DZ2024" s="1" t="s">
        <v>18402</v>
      </c>
      <c r="EA2024" s="1" t="s">
        <v>822</v>
      </c>
      <c r="EB2024" s="1" t="s">
        <v>220</v>
      </c>
      <c r="EC2024" s="1" t="s">
        <v>343</v>
      </c>
      <c r="ED2024" s="1" t="s">
        <v>3492</v>
      </c>
      <c r="EE2024" s="1" t="s">
        <v>219</v>
      </c>
      <c r="EF2024" s="1" t="s">
        <v>226</v>
      </c>
      <c r="EG2024" s="1" t="s">
        <v>210</v>
      </c>
      <c r="EH2024" s="1" t="s">
        <v>837</v>
      </c>
      <c r="EI2024" s="1" t="s">
        <v>822</v>
      </c>
      <c r="EJ2024" s="1" t="s">
        <v>342</v>
      </c>
      <c r="EK2024" s="1" t="s">
        <v>210</v>
      </c>
      <c r="EL2024" s="1" t="s">
        <v>670</v>
      </c>
      <c r="EM2024" s="1" t="s">
        <v>730</v>
      </c>
      <c r="EN2024" s="1" t="s">
        <v>282</v>
      </c>
      <c r="EO2024" s="1" t="s">
        <v>840</v>
      </c>
      <c r="EP2024" s="1" t="s">
        <v>1489</v>
      </c>
      <c r="EQ2024" s="1" t="s">
        <v>18403</v>
      </c>
      <c r="ER2024" s="1" t="s">
        <v>544</v>
      </c>
      <c r="ES2024" s="1" t="s">
        <v>3932</v>
      </c>
      <c r="ET2024" s="1" t="s">
        <v>1201</v>
      </c>
      <c r="EU2024" s="1" t="s">
        <v>8851</v>
      </c>
      <c r="EV2024" s="1" t="s">
        <v>240</v>
      </c>
      <c r="EW2024" s="1" t="s">
        <v>887</v>
      </c>
      <c r="EY2024" s="1" t="s">
        <v>242</v>
      </c>
      <c r="EZ2024" s="1" t="s">
        <v>18404</v>
      </c>
      <c r="FA2024" s="1" t="s">
        <v>18405</v>
      </c>
      <c r="FB2024" s="1" t="s">
        <v>289</v>
      </c>
      <c r="FD2024" s="1" t="s">
        <v>246</v>
      </c>
      <c r="FE2024" s="1" t="s">
        <v>549</v>
      </c>
      <c r="FF2024" s="1" t="s">
        <v>248</v>
      </c>
      <c r="FG2024" s="1" t="s">
        <v>6211</v>
      </c>
      <c r="FH2024" s="1" t="s">
        <v>550</v>
      </c>
      <c r="FI2024" s="1" t="s">
        <v>473</v>
      </c>
      <c r="FL2024" s="1" t="s">
        <v>358</v>
      </c>
      <c r="FM2024" s="1" t="s">
        <v>252</v>
      </c>
      <c r="FN2024" s="1" t="s">
        <v>213</v>
      </c>
      <c r="FO2024" s="1" t="s">
        <v>213</v>
      </c>
      <c r="FQ2024" s="1" t="s">
        <v>956</v>
      </c>
      <c r="FR2024" s="1" t="s">
        <v>210</v>
      </c>
      <c r="FS2024" s="1" t="s">
        <v>18406</v>
      </c>
      <c r="FT2024" s="1" t="s">
        <v>362</v>
      </c>
      <c r="FU2024" s="1" t="s">
        <v>204</v>
      </c>
      <c r="FW2024" s="1" t="s">
        <v>915</v>
      </c>
      <c r="FX2024" s="1">
        <v>22205</v>
      </c>
      <c r="FY2024" s="1" t="s">
        <v>2484</v>
      </c>
      <c r="FZ2024" s="1" t="s">
        <v>18407</v>
      </c>
      <c r="GA2024" s="1">
        <v>215711</v>
      </c>
      <c r="GB2024" s="1" t="s">
        <v>18408</v>
      </c>
      <c r="GD2024" s="1" t="s">
        <v>18409</v>
      </c>
      <c r="GE2024" s="1" t="s">
        <v>335</v>
      </c>
      <c r="GI2024" s="1" t="s">
        <v>213</v>
      </c>
      <c r="GJ2024" s="1" t="s">
        <v>260</v>
      </c>
      <c r="GK2024" s="1" t="s">
        <v>210</v>
      </c>
      <c r="GL2024" s="2">
        <v>42027</v>
      </c>
    </row>
    <row r="2025" spans="1:195">
      <c r="A2025" s="1">
        <v>80000</v>
      </c>
      <c r="B2025" s="1" t="s">
        <v>195</v>
      </c>
      <c r="C2025" s="1" t="str">
        <f>"08744874"</f>
        <v>08744874</v>
      </c>
      <c r="D2025" s="1" t="s">
        <v>196</v>
      </c>
      <c r="F2025" s="1" t="str">
        <f>"8041"</f>
        <v>8041</v>
      </c>
      <c r="G2025" s="2">
        <v>41915</v>
      </c>
      <c r="H2025" s="1">
        <v>144900</v>
      </c>
      <c r="I2025" s="1">
        <v>74900</v>
      </c>
      <c r="J2025" s="1">
        <v>80000</v>
      </c>
      <c r="K2025" s="2">
        <v>41913</v>
      </c>
      <c r="L2025" s="1">
        <v>171</v>
      </c>
      <c r="M2025" s="2">
        <v>42083</v>
      </c>
      <c r="N2025" s="1">
        <v>171</v>
      </c>
      <c r="O2025" s="2">
        <v>42083</v>
      </c>
      <c r="P2025" s="1">
        <v>15694</v>
      </c>
      <c r="Q2025" s="1" t="s">
        <v>302</v>
      </c>
      <c r="R2025" s="2">
        <v>42123</v>
      </c>
      <c r="S2025" s="1">
        <v>103385</v>
      </c>
      <c r="U2025" s="1">
        <v>5300</v>
      </c>
      <c r="V2025" s="1" t="s">
        <v>18410</v>
      </c>
      <c r="W2025" s="1" t="s">
        <v>264</v>
      </c>
      <c r="X2025" s="1">
        <v>63</v>
      </c>
      <c r="Y2025" s="1">
        <v>84</v>
      </c>
      <c r="Z2025" s="1" t="s">
        <v>249</v>
      </c>
      <c r="AA2025" s="1" t="s">
        <v>400</v>
      </c>
      <c r="AB2025" s="1">
        <v>60615</v>
      </c>
      <c r="AD2025" s="1" t="s">
        <v>18411</v>
      </c>
      <c r="AE2025" s="1" t="s">
        <v>18412</v>
      </c>
      <c r="AF2025" s="1">
        <v>1918</v>
      </c>
      <c r="AG2025" s="1" t="s">
        <v>213</v>
      </c>
      <c r="AH2025" s="1" t="s">
        <v>403</v>
      </c>
      <c r="AI2025" s="1" t="s">
        <v>310</v>
      </c>
      <c r="AJ2025" s="1" t="s">
        <v>562</v>
      </c>
      <c r="AL2025" s="1">
        <v>6</v>
      </c>
      <c r="AM2025" s="1">
        <v>2</v>
      </c>
      <c r="AN2025" s="1">
        <v>2</v>
      </c>
      <c r="AO2025" s="1">
        <v>0</v>
      </c>
      <c r="AP2025" s="1" t="s">
        <v>209</v>
      </c>
      <c r="AR2025" s="1" t="s">
        <v>210</v>
      </c>
      <c r="AS2025" s="1" t="s">
        <v>204</v>
      </c>
      <c r="AT2025" s="1" t="s">
        <v>210</v>
      </c>
      <c r="AW2025" s="1" t="s">
        <v>204</v>
      </c>
      <c r="AX2025" s="1" t="s">
        <v>212</v>
      </c>
      <c r="AZ2025" s="1">
        <v>1461</v>
      </c>
      <c r="BA2025" s="1">
        <v>2013</v>
      </c>
      <c r="BE2025" s="1">
        <v>0</v>
      </c>
      <c r="BF2025" s="1">
        <v>6</v>
      </c>
      <c r="BG2025" s="1">
        <v>0</v>
      </c>
      <c r="BL2025" s="1">
        <v>1041</v>
      </c>
      <c r="BM2025" s="1" t="s">
        <v>413</v>
      </c>
      <c r="BN2025" s="1" t="s">
        <v>213</v>
      </c>
      <c r="BO2025" s="1">
        <v>25</v>
      </c>
      <c r="BP2025" s="1" t="s">
        <v>204</v>
      </c>
      <c r="BR2025" s="1" t="str">
        <f>"20121120691038"</f>
        <v>20121120691038</v>
      </c>
      <c r="BT2025" s="1" t="s">
        <v>18413</v>
      </c>
      <c r="BX2025" s="1">
        <v>299</v>
      </c>
      <c r="BY2025" s="1">
        <v>299</v>
      </c>
      <c r="BZ2025" s="1">
        <v>299</v>
      </c>
      <c r="CB2025" s="1" t="str">
        <f>"0"</f>
        <v>0</v>
      </c>
      <c r="CC2025" s="1" t="str">
        <f>"1725"</f>
        <v>1725</v>
      </c>
      <c r="CD2025" s="1">
        <v>0</v>
      </c>
      <c r="CE2025" s="1">
        <v>5300</v>
      </c>
      <c r="CG2025" s="1" t="s">
        <v>972</v>
      </c>
      <c r="CH2025" s="1" t="s">
        <v>219</v>
      </c>
      <c r="CI2025" s="1" t="s">
        <v>220</v>
      </c>
      <c r="CK2025" s="1" t="s">
        <v>315</v>
      </c>
      <c r="CL2025" s="1" t="s">
        <v>219</v>
      </c>
      <c r="CM2025" s="1" t="s">
        <v>220</v>
      </c>
      <c r="CO2025" s="1" t="s">
        <v>223</v>
      </c>
      <c r="CP2025" s="1" t="s">
        <v>219</v>
      </c>
      <c r="CQ2025" s="1" t="s">
        <v>220</v>
      </c>
      <c r="CS2025" s="1" t="s">
        <v>437</v>
      </c>
      <c r="CT2025" s="1" t="s">
        <v>219</v>
      </c>
      <c r="CU2025" s="1" t="s">
        <v>220</v>
      </c>
      <c r="CX2025" s="1" t="s">
        <v>224</v>
      </c>
      <c r="DB2025" s="1" t="s">
        <v>224</v>
      </c>
      <c r="DE2025" s="1" t="s">
        <v>316</v>
      </c>
      <c r="DF2025" s="1" t="s">
        <v>219</v>
      </c>
      <c r="DG2025" s="1" t="s">
        <v>226</v>
      </c>
      <c r="DJ2025" s="1" t="s">
        <v>224</v>
      </c>
      <c r="DM2025" s="1" t="s">
        <v>411</v>
      </c>
      <c r="DN2025" s="1" t="s">
        <v>709</v>
      </c>
      <c r="DR2025" s="1" t="s">
        <v>2279</v>
      </c>
      <c r="DS2025" s="1" t="s">
        <v>219</v>
      </c>
      <c r="DT2025" s="1" t="s">
        <v>226</v>
      </c>
      <c r="DV2025" s="1" t="s">
        <v>2899</v>
      </c>
      <c r="DW2025" s="1" t="s">
        <v>219</v>
      </c>
      <c r="DX2025" s="1" t="s">
        <v>226</v>
      </c>
      <c r="EA2025" s="1" t="s">
        <v>230</v>
      </c>
      <c r="EE2025" s="1" t="s">
        <v>230</v>
      </c>
      <c r="EI2025" s="1" t="s">
        <v>230</v>
      </c>
      <c r="EL2025" s="1" t="s">
        <v>2521</v>
      </c>
      <c r="EM2025" s="1" t="s">
        <v>730</v>
      </c>
      <c r="EN2025" s="1" t="s">
        <v>233</v>
      </c>
      <c r="EO2025" s="1" t="s">
        <v>234</v>
      </c>
      <c r="EP2025" s="1" t="s">
        <v>18414</v>
      </c>
      <c r="ER2025" s="1" t="s">
        <v>210</v>
      </c>
      <c r="EV2025" s="1" t="s">
        <v>240</v>
      </c>
      <c r="EW2025" s="1" t="s">
        <v>18415</v>
      </c>
      <c r="EZ2025" s="1" t="s">
        <v>18416</v>
      </c>
      <c r="FD2025" s="1" t="s">
        <v>246</v>
      </c>
      <c r="FE2025" s="1" t="s">
        <v>6051</v>
      </c>
      <c r="FF2025" s="1" t="s">
        <v>248</v>
      </c>
      <c r="FH2025" s="1" t="s">
        <v>249</v>
      </c>
      <c r="FL2025" s="1" t="s">
        <v>6830</v>
      </c>
      <c r="FM2025" s="1" t="s">
        <v>252</v>
      </c>
      <c r="FN2025" s="1" t="s">
        <v>213</v>
      </c>
      <c r="FO2025" s="1" t="s">
        <v>213</v>
      </c>
      <c r="FQ2025" s="1" t="s">
        <v>849</v>
      </c>
      <c r="FR2025" s="1" t="s">
        <v>210</v>
      </c>
      <c r="FS2025" s="1" t="s">
        <v>653</v>
      </c>
      <c r="FT2025" s="1" t="s">
        <v>3796</v>
      </c>
      <c r="FU2025" s="1" t="s">
        <v>204</v>
      </c>
      <c r="FW2025" s="1" t="s">
        <v>655</v>
      </c>
      <c r="FX2025" s="1">
        <v>10841</v>
      </c>
      <c r="FY2025" s="1" t="s">
        <v>656</v>
      </c>
      <c r="FZ2025" s="1" t="s">
        <v>657</v>
      </c>
      <c r="GA2025" s="1">
        <v>109860</v>
      </c>
      <c r="GB2025" s="1" t="s">
        <v>656</v>
      </c>
      <c r="GE2025" s="1" t="s">
        <v>2504</v>
      </c>
      <c r="GH2025" s="1" t="s">
        <v>421</v>
      </c>
      <c r="GI2025" s="1" t="s">
        <v>213</v>
      </c>
      <c r="GJ2025" s="1" t="s">
        <v>260</v>
      </c>
      <c r="GK2025" s="1" t="s">
        <v>210</v>
      </c>
      <c r="GL2025" s="2">
        <v>42124</v>
      </c>
      <c r="GM2025" s="1" t="s">
        <v>18417</v>
      </c>
    </row>
    <row r="2026" spans="1:195">
      <c r="A2026" s="1">
        <v>171000</v>
      </c>
      <c r="B2026" s="1" t="s">
        <v>195</v>
      </c>
      <c r="C2026" s="1" t="str">
        <f>"08744836"</f>
        <v>08744836</v>
      </c>
      <c r="D2026" s="1" t="s">
        <v>196</v>
      </c>
      <c r="F2026" s="1" t="str">
        <f>"123"</f>
        <v>123</v>
      </c>
      <c r="G2026" s="2">
        <v>41915</v>
      </c>
      <c r="H2026" s="1">
        <v>185000</v>
      </c>
      <c r="I2026" s="1">
        <v>179900</v>
      </c>
      <c r="J2026" s="1">
        <v>171000</v>
      </c>
      <c r="K2026" s="2">
        <v>41915</v>
      </c>
      <c r="L2026" s="1">
        <v>408</v>
      </c>
      <c r="M2026" s="2">
        <v>41953</v>
      </c>
      <c r="N2026" s="1">
        <v>39</v>
      </c>
      <c r="O2026" s="2">
        <v>41953</v>
      </c>
      <c r="P2026" s="1">
        <v>372</v>
      </c>
      <c r="Q2026" s="1" t="s">
        <v>197</v>
      </c>
      <c r="R2026" s="2">
        <v>41977</v>
      </c>
      <c r="S2026" s="1">
        <v>7968</v>
      </c>
      <c r="U2026" s="1">
        <v>941</v>
      </c>
      <c r="V2026" s="1" t="s">
        <v>18418</v>
      </c>
      <c r="W2026" s="1" t="s">
        <v>199</v>
      </c>
      <c r="Y2026" s="1">
        <v>4</v>
      </c>
      <c r="Z2026" s="1" t="s">
        <v>370</v>
      </c>
      <c r="AA2026" s="1" t="s">
        <v>1173</v>
      </c>
      <c r="AB2026" s="1">
        <v>60120</v>
      </c>
      <c r="AD2026" s="1" t="s">
        <v>18418</v>
      </c>
      <c r="AE2026" s="1" t="s">
        <v>18419</v>
      </c>
      <c r="AF2026" s="1">
        <v>2007</v>
      </c>
      <c r="AG2026" s="1" t="s">
        <v>204</v>
      </c>
      <c r="AH2026" s="1" t="s">
        <v>1175</v>
      </c>
      <c r="AI2026" s="1" t="s">
        <v>310</v>
      </c>
      <c r="AJ2026" s="1" t="s">
        <v>1175</v>
      </c>
      <c r="AL2026" s="1">
        <v>8</v>
      </c>
      <c r="AM2026" s="1">
        <v>2</v>
      </c>
      <c r="AN2026" s="1">
        <v>2</v>
      </c>
      <c r="AO2026" s="1">
        <v>1</v>
      </c>
      <c r="AP2026" s="1" t="s">
        <v>209</v>
      </c>
      <c r="AR2026" s="1" t="s">
        <v>1631</v>
      </c>
      <c r="AS2026" s="1" t="s">
        <v>213</v>
      </c>
      <c r="AT2026" s="1" t="s">
        <v>211</v>
      </c>
      <c r="AU2026" s="1">
        <v>2</v>
      </c>
      <c r="AW2026" s="1" t="s">
        <v>204</v>
      </c>
      <c r="AX2026" s="1" t="s">
        <v>212</v>
      </c>
      <c r="AZ2026" s="1">
        <v>5743</v>
      </c>
      <c r="BA2026" s="1">
        <v>2012</v>
      </c>
      <c r="BB2026" s="1" t="s">
        <v>210</v>
      </c>
      <c r="BE2026" s="1">
        <v>1820</v>
      </c>
      <c r="BF2026" s="1">
        <v>1</v>
      </c>
      <c r="BG2026" s="1">
        <v>0</v>
      </c>
      <c r="BL2026" s="1">
        <v>200</v>
      </c>
      <c r="BM2026" s="1" t="s">
        <v>204</v>
      </c>
      <c r="BN2026" s="1" t="s">
        <v>213</v>
      </c>
      <c r="BO2026" s="1">
        <v>999</v>
      </c>
      <c r="BP2026" s="1" t="s">
        <v>204</v>
      </c>
      <c r="BR2026" s="1" t="str">
        <f>"06204060160000"</f>
        <v>06204060160000</v>
      </c>
      <c r="BT2026" s="1" t="s">
        <v>18420</v>
      </c>
      <c r="BU2026" s="1" t="s">
        <v>5010</v>
      </c>
      <c r="BV2026" s="1" t="s">
        <v>3557</v>
      </c>
      <c r="BW2026" s="1" t="s">
        <v>1217</v>
      </c>
      <c r="BX2026" s="1">
        <v>46</v>
      </c>
      <c r="BY2026" s="1">
        <v>46</v>
      </c>
      <c r="BZ2026" s="1">
        <v>46</v>
      </c>
      <c r="CB2026" s="1" t="str">
        <f>"10"</f>
        <v>10</v>
      </c>
      <c r="CC2026" s="1" t="str">
        <f>"0"</f>
        <v>0</v>
      </c>
      <c r="CD2026" s="1">
        <v>31</v>
      </c>
      <c r="CE2026" s="1">
        <v>0</v>
      </c>
      <c r="CG2026" s="1" t="s">
        <v>1297</v>
      </c>
      <c r="CH2026" s="1" t="s">
        <v>219</v>
      </c>
      <c r="CI2026" s="1" t="s">
        <v>220</v>
      </c>
      <c r="CK2026" s="1" t="s">
        <v>344</v>
      </c>
      <c r="CL2026" s="1" t="s">
        <v>277</v>
      </c>
      <c r="CM2026" s="1" t="s">
        <v>220</v>
      </c>
      <c r="CO2026" s="1" t="s">
        <v>1297</v>
      </c>
      <c r="CP2026" s="1" t="s">
        <v>219</v>
      </c>
      <c r="CQ2026" s="1" t="s">
        <v>220</v>
      </c>
      <c r="CS2026" s="1" t="s">
        <v>539</v>
      </c>
      <c r="CT2026" s="1" t="s">
        <v>822</v>
      </c>
      <c r="CU2026" s="1" t="s">
        <v>220</v>
      </c>
      <c r="CX2026" s="1" t="s">
        <v>224</v>
      </c>
      <c r="DB2026" s="1" t="s">
        <v>224</v>
      </c>
      <c r="DE2026" s="1" t="s">
        <v>465</v>
      </c>
      <c r="DF2026" s="1" t="s">
        <v>219</v>
      </c>
      <c r="DG2026" s="1" t="s">
        <v>438</v>
      </c>
      <c r="DI2026" s="1" t="s">
        <v>932</v>
      </c>
      <c r="DJ2026" s="1" t="s">
        <v>822</v>
      </c>
      <c r="DK2026" s="1" t="s">
        <v>220</v>
      </c>
      <c r="DM2026" s="1" t="s">
        <v>381</v>
      </c>
      <c r="DN2026" s="1" t="s">
        <v>464</v>
      </c>
      <c r="DR2026" s="1" t="s">
        <v>379</v>
      </c>
      <c r="DS2026" s="1" t="s">
        <v>219</v>
      </c>
      <c r="DT2026" s="1" t="s">
        <v>438</v>
      </c>
      <c r="DV2026" s="1" t="s">
        <v>6174</v>
      </c>
      <c r="DW2026" s="1" t="s">
        <v>277</v>
      </c>
      <c r="DX2026" s="1" t="s">
        <v>220</v>
      </c>
      <c r="EA2026" s="1" t="s">
        <v>230</v>
      </c>
      <c r="EE2026" s="1" t="s">
        <v>230</v>
      </c>
      <c r="EI2026" s="1" t="s">
        <v>230</v>
      </c>
      <c r="EL2026" s="1" t="s">
        <v>491</v>
      </c>
      <c r="EM2026" s="1" t="s">
        <v>319</v>
      </c>
      <c r="EN2026" s="1" t="s">
        <v>282</v>
      </c>
      <c r="EO2026" s="1" t="s">
        <v>234</v>
      </c>
      <c r="EQ2026" s="1" t="s">
        <v>236</v>
      </c>
      <c r="ER2026" s="1" t="s">
        <v>544</v>
      </c>
      <c r="EU2026" s="1" t="s">
        <v>18421</v>
      </c>
      <c r="EW2026" s="1" t="s">
        <v>353</v>
      </c>
      <c r="EZ2026" s="1" t="s">
        <v>4284</v>
      </c>
      <c r="FB2026" s="1" t="s">
        <v>289</v>
      </c>
      <c r="FD2026" s="1" t="s">
        <v>246</v>
      </c>
      <c r="FE2026" s="1" t="s">
        <v>975</v>
      </c>
      <c r="FF2026" s="1" t="s">
        <v>248</v>
      </c>
      <c r="FH2026" s="1" t="s">
        <v>550</v>
      </c>
      <c r="FI2026" s="1" t="s">
        <v>473</v>
      </c>
      <c r="FL2026" s="1" t="s">
        <v>358</v>
      </c>
      <c r="FM2026" s="1" t="s">
        <v>252</v>
      </c>
      <c r="FN2026" s="1" t="s">
        <v>213</v>
      </c>
      <c r="FO2026" s="1" t="s">
        <v>213</v>
      </c>
      <c r="FQ2026" s="1" t="s">
        <v>253</v>
      </c>
      <c r="FR2026" s="1" t="s">
        <v>210</v>
      </c>
      <c r="FS2026" s="1" t="s">
        <v>18422</v>
      </c>
      <c r="FT2026" s="1" t="s">
        <v>18423</v>
      </c>
      <c r="FU2026" s="1" t="s">
        <v>204</v>
      </c>
      <c r="FW2026" s="1" t="s">
        <v>1637</v>
      </c>
      <c r="FX2026" s="1">
        <v>2626</v>
      </c>
      <c r="FY2026" s="1" t="s">
        <v>1638</v>
      </c>
      <c r="FZ2026" s="1" t="s">
        <v>5530</v>
      </c>
      <c r="GA2026" s="1">
        <v>28075</v>
      </c>
      <c r="GB2026" s="1" t="s">
        <v>5531</v>
      </c>
      <c r="GD2026" s="1" t="s">
        <v>18424</v>
      </c>
      <c r="GE2026" s="1" t="s">
        <v>210</v>
      </c>
      <c r="GI2026" s="1" t="s">
        <v>213</v>
      </c>
      <c r="GJ2026" s="1" t="s">
        <v>260</v>
      </c>
      <c r="GK2026" s="1" t="s">
        <v>210</v>
      </c>
      <c r="GL2026" s="2">
        <v>41983</v>
      </c>
      <c r="GM2026" s="1" t="s">
        <v>18425</v>
      </c>
    </row>
    <row r="2027" spans="1:195">
      <c r="A2027" s="1">
        <v>136000</v>
      </c>
      <c r="B2027" s="1" t="s">
        <v>195</v>
      </c>
      <c r="C2027" s="1" t="str">
        <f>"08747856"</f>
        <v>08747856</v>
      </c>
      <c r="D2027" s="1" t="s">
        <v>196</v>
      </c>
      <c r="F2027" s="1" t="str">
        <f>"187"</f>
        <v>187</v>
      </c>
      <c r="G2027" s="2">
        <v>41920</v>
      </c>
      <c r="H2027" s="1">
        <v>139900</v>
      </c>
      <c r="I2027" s="1">
        <v>139900</v>
      </c>
      <c r="J2027" s="1">
        <v>136000</v>
      </c>
      <c r="K2027" s="2">
        <v>41920</v>
      </c>
      <c r="L2027" s="1">
        <v>12</v>
      </c>
      <c r="M2027" s="2">
        <v>41931</v>
      </c>
      <c r="N2027" s="1">
        <v>12</v>
      </c>
      <c r="O2027" s="2">
        <v>41931</v>
      </c>
      <c r="P2027" s="1">
        <v>22039</v>
      </c>
      <c r="Q2027" s="1" t="s">
        <v>302</v>
      </c>
      <c r="R2027" s="2">
        <v>41981</v>
      </c>
      <c r="S2027" s="1">
        <v>245565</v>
      </c>
      <c r="U2027" s="1">
        <v>1479</v>
      </c>
      <c r="V2027" s="1" t="s">
        <v>18426</v>
      </c>
      <c r="W2027" s="1" t="s">
        <v>1056</v>
      </c>
      <c r="X2027" s="7">
        <v>42005</v>
      </c>
      <c r="Y2027" s="1">
        <v>8</v>
      </c>
      <c r="Z2027" s="1" t="s">
        <v>249</v>
      </c>
      <c r="AA2027" s="1" t="s">
        <v>964</v>
      </c>
      <c r="AB2027" s="1">
        <v>60189</v>
      </c>
      <c r="AD2027" s="1" t="s">
        <v>16870</v>
      </c>
      <c r="AE2027" s="1" t="s">
        <v>18427</v>
      </c>
      <c r="AF2027" s="1">
        <v>1975</v>
      </c>
      <c r="AG2027" s="1" t="s">
        <v>213</v>
      </c>
      <c r="AH2027" s="1" t="s">
        <v>967</v>
      </c>
      <c r="AI2027" s="1" t="s">
        <v>206</v>
      </c>
      <c r="AJ2027" s="1" t="s">
        <v>207</v>
      </c>
      <c r="AL2027" s="1">
        <v>6</v>
      </c>
      <c r="AM2027" s="1">
        <v>2</v>
      </c>
      <c r="AN2027" s="1">
        <v>2</v>
      </c>
      <c r="AO2027" s="1">
        <v>0</v>
      </c>
      <c r="AP2027" s="1" t="s">
        <v>209</v>
      </c>
      <c r="AQ2027" s="1">
        <v>1</v>
      </c>
      <c r="AR2027" s="1" t="s">
        <v>210</v>
      </c>
      <c r="AS2027" s="1" t="s">
        <v>204</v>
      </c>
      <c r="AT2027" s="1" t="s">
        <v>211</v>
      </c>
      <c r="AU2027" s="1">
        <v>1</v>
      </c>
      <c r="AW2027" s="1" t="s">
        <v>204</v>
      </c>
      <c r="AX2027" s="1" t="s">
        <v>212</v>
      </c>
      <c r="AZ2027" s="1">
        <v>3008.74</v>
      </c>
      <c r="BA2027" s="1">
        <v>2013</v>
      </c>
      <c r="BE2027" s="1">
        <v>1344</v>
      </c>
      <c r="BF2027" s="1">
        <v>1</v>
      </c>
      <c r="BG2027" s="1">
        <v>0</v>
      </c>
      <c r="BL2027" s="1">
        <v>424</v>
      </c>
      <c r="BM2027" s="1" t="s">
        <v>213</v>
      </c>
      <c r="BN2027" s="1" t="s">
        <v>213</v>
      </c>
      <c r="BO2027" s="1">
        <v>25</v>
      </c>
      <c r="BP2027" s="1" t="s">
        <v>204</v>
      </c>
      <c r="BR2027" s="1" t="str">
        <f>"0519301025"</f>
        <v>0519301025</v>
      </c>
      <c r="BT2027" s="1" t="s">
        <v>18428</v>
      </c>
      <c r="BU2027" s="1" t="s">
        <v>1327</v>
      </c>
      <c r="BV2027" s="1" t="s">
        <v>970</v>
      </c>
      <c r="BW2027" s="1" t="s">
        <v>971</v>
      </c>
      <c r="BX2027" s="1">
        <v>200</v>
      </c>
      <c r="BY2027" s="1">
        <v>200</v>
      </c>
      <c r="BZ2027" s="1">
        <v>200</v>
      </c>
      <c r="CB2027" s="1" t="str">
        <f t="shared" ref="CB2027:CC2027" si="1548">""</f>
        <v/>
      </c>
      <c r="CC2027" s="1" t="str">
        <f t="shared" si="1548"/>
        <v/>
      </c>
      <c r="CD2027" s="1">
        <v>26</v>
      </c>
      <c r="CE2027" s="1">
        <v>1</v>
      </c>
      <c r="CG2027" s="1" t="s">
        <v>18429</v>
      </c>
      <c r="CH2027" s="1" t="s">
        <v>219</v>
      </c>
      <c r="CI2027" s="1" t="s">
        <v>438</v>
      </c>
      <c r="CJ2027" s="1" t="s">
        <v>343</v>
      </c>
      <c r="CK2027" s="1" t="s">
        <v>3316</v>
      </c>
      <c r="CL2027" s="1" t="s">
        <v>219</v>
      </c>
      <c r="CM2027" s="1" t="s">
        <v>220</v>
      </c>
      <c r="CN2027" s="1" t="s">
        <v>343</v>
      </c>
      <c r="CO2027" s="1" t="s">
        <v>836</v>
      </c>
      <c r="CP2027" s="1" t="s">
        <v>219</v>
      </c>
      <c r="CQ2027" s="1" t="s">
        <v>438</v>
      </c>
      <c r="CR2027" s="1" t="s">
        <v>343</v>
      </c>
      <c r="CS2027" s="1" t="s">
        <v>1107</v>
      </c>
      <c r="CT2027" s="1" t="s">
        <v>219</v>
      </c>
      <c r="CU2027" s="1" t="s">
        <v>220</v>
      </c>
      <c r="CV2027" s="1" t="s">
        <v>343</v>
      </c>
      <c r="CX2027" s="1" t="s">
        <v>224</v>
      </c>
      <c r="DB2027" s="1" t="s">
        <v>224</v>
      </c>
      <c r="DE2027" s="1" t="s">
        <v>18430</v>
      </c>
      <c r="DF2027" s="1" t="s">
        <v>219</v>
      </c>
      <c r="DG2027" s="1" t="s">
        <v>438</v>
      </c>
      <c r="DI2027" s="1" t="s">
        <v>2934</v>
      </c>
      <c r="DJ2027" s="1" t="s">
        <v>219</v>
      </c>
      <c r="DK2027" s="1" t="s">
        <v>438</v>
      </c>
      <c r="DN2027" s="1" t="s">
        <v>709</v>
      </c>
      <c r="DS2027" s="1" t="s">
        <v>230</v>
      </c>
      <c r="DV2027" s="1" t="s">
        <v>18431</v>
      </c>
      <c r="DW2027" s="1" t="s">
        <v>219</v>
      </c>
      <c r="DX2027" s="1" t="s">
        <v>438</v>
      </c>
      <c r="EA2027" s="1" t="s">
        <v>230</v>
      </c>
      <c r="EE2027" s="1" t="s">
        <v>230</v>
      </c>
      <c r="EI2027" s="1" t="s">
        <v>230</v>
      </c>
      <c r="EL2027" s="1" t="s">
        <v>231</v>
      </c>
      <c r="EM2027" s="1" t="s">
        <v>232</v>
      </c>
      <c r="EN2027" s="1" t="s">
        <v>282</v>
      </c>
      <c r="EO2027" s="1" t="s">
        <v>234</v>
      </c>
      <c r="EP2027" s="1" t="s">
        <v>18432</v>
      </c>
      <c r="EQ2027" s="1" t="s">
        <v>236</v>
      </c>
      <c r="ER2027" s="1" t="s">
        <v>210</v>
      </c>
      <c r="ES2027" s="1" t="s">
        <v>608</v>
      </c>
      <c r="EU2027" s="1" t="s">
        <v>8340</v>
      </c>
      <c r="EV2027" s="1" t="s">
        <v>324</v>
      </c>
      <c r="EW2027" s="1" t="s">
        <v>4815</v>
      </c>
      <c r="EZ2027" s="1" t="s">
        <v>709</v>
      </c>
      <c r="FA2027" s="1" t="s">
        <v>1048</v>
      </c>
      <c r="FB2027" s="1" t="s">
        <v>289</v>
      </c>
      <c r="FC2027" s="1" t="s">
        <v>1386</v>
      </c>
      <c r="FD2027" s="1" t="s">
        <v>246</v>
      </c>
      <c r="FE2027" s="1" t="s">
        <v>889</v>
      </c>
      <c r="FF2027" s="1" t="s">
        <v>248</v>
      </c>
      <c r="FG2027" s="1" t="s">
        <v>939</v>
      </c>
      <c r="FH2027" s="1" t="s">
        <v>249</v>
      </c>
      <c r="FL2027" s="1" t="s">
        <v>358</v>
      </c>
      <c r="FM2027" s="1" t="s">
        <v>252</v>
      </c>
      <c r="FN2027" s="1" t="s">
        <v>213</v>
      </c>
      <c r="FO2027" s="1" t="s">
        <v>213</v>
      </c>
      <c r="FQ2027" s="1" t="s">
        <v>793</v>
      </c>
      <c r="FR2027" s="1" t="s">
        <v>210</v>
      </c>
      <c r="FS2027" s="1" t="s">
        <v>2483</v>
      </c>
      <c r="FT2027" s="1" t="s">
        <v>255</v>
      </c>
      <c r="FU2027" s="1" t="s">
        <v>204</v>
      </c>
      <c r="FW2027" s="1" t="s">
        <v>915</v>
      </c>
      <c r="FX2027" s="1">
        <v>22205</v>
      </c>
      <c r="FY2027" s="1" t="s">
        <v>2484</v>
      </c>
      <c r="FZ2027" s="1" t="s">
        <v>2485</v>
      </c>
      <c r="GA2027" s="1">
        <v>250467</v>
      </c>
      <c r="GB2027" s="1" t="s">
        <v>2486</v>
      </c>
      <c r="GE2027" s="1" t="s">
        <v>1576</v>
      </c>
      <c r="GH2027" s="1" t="s">
        <v>421</v>
      </c>
      <c r="GI2027" s="1" t="s">
        <v>213</v>
      </c>
      <c r="GJ2027" s="1" t="s">
        <v>260</v>
      </c>
      <c r="GK2027" s="1" t="s">
        <v>210</v>
      </c>
      <c r="GL2027" s="2">
        <v>41981</v>
      </c>
      <c r="GM2027" s="1" t="s">
        <v>18433</v>
      </c>
    </row>
    <row r="2028" spans="1:195">
      <c r="A2028" s="1">
        <v>198000</v>
      </c>
      <c r="B2028" s="1" t="s">
        <v>195</v>
      </c>
      <c r="C2028" s="1" t="str">
        <f>"08744659"</f>
        <v>08744659</v>
      </c>
      <c r="D2028" s="1" t="s">
        <v>196</v>
      </c>
      <c r="F2028" s="1" t="str">
        <f>"540"</f>
        <v>540</v>
      </c>
      <c r="G2028" s="2">
        <v>41915</v>
      </c>
      <c r="H2028" s="1">
        <v>219900</v>
      </c>
      <c r="I2028" s="1">
        <v>219900</v>
      </c>
      <c r="J2028" s="1">
        <v>198000</v>
      </c>
      <c r="K2028" s="2">
        <v>41914</v>
      </c>
      <c r="L2028" s="1">
        <v>117</v>
      </c>
      <c r="M2028" s="2">
        <v>42030</v>
      </c>
      <c r="N2028" s="1">
        <v>117</v>
      </c>
      <c r="O2028" s="2">
        <v>42030</v>
      </c>
      <c r="P2028" s="1" t="s">
        <v>1039</v>
      </c>
      <c r="Q2028" s="1" t="s">
        <v>197</v>
      </c>
      <c r="R2028" s="2">
        <v>42083</v>
      </c>
      <c r="S2028" s="1">
        <v>99999</v>
      </c>
      <c r="U2028" s="1">
        <v>511</v>
      </c>
      <c r="V2028" s="1" t="s">
        <v>1126</v>
      </c>
      <c r="W2028" s="1" t="s">
        <v>425</v>
      </c>
      <c r="X2028" s="1">
        <v>109</v>
      </c>
      <c r="Y2028" s="1">
        <v>120</v>
      </c>
      <c r="Z2028" s="1" t="s">
        <v>249</v>
      </c>
      <c r="AA2028" s="1" t="s">
        <v>921</v>
      </c>
      <c r="AB2028" s="1">
        <v>60540</v>
      </c>
      <c r="AD2028" s="1" t="s">
        <v>4486</v>
      </c>
      <c r="AE2028" s="1" t="s">
        <v>18434</v>
      </c>
      <c r="AF2028" s="1">
        <v>1986</v>
      </c>
      <c r="AG2028" s="1" t="s">
        <v>204</v>
      </c>
      <c r="AH2028" s="1" t="s">
        <v>924</v>
      </c>
      <c r="AI2028" s="1" t="s">
        <v>206</v>
      </c>
      <c r="AJ2028" s="1" t="s">
        <v>924</v>
      </c>
      <c r="AK2028" s="1" t="s">
        <v>4627</v>
      </c>
      <c r="AL2028" s="1">
        <v>5</v>
      </c>
      <c r="AM2028" s="1">
        <v>2</v>
      </c>
      <c r="AN2028" s="1">
        <v>1</v>
      </c>
      <c r="AO2028" s="1">
        <v>0</v>
      </c>
      <c r="AP2028" s="1" t="s">
        <v>210</v>
      </c>
      <c r="AR2028" s="1" t="s">
        <v>210</v>
      </c>
      <c r="AS2028" s="1" t="s">
        <v>204</v>
      </c>
      <c r="AT2028" s="1" t="s">
        <v>271</v>
      </c>
      <c r="AV2028" s="1">
        <v>2</v>
      </c>
      <c r="AW2028" s="1" t="s">
        <v>213</v>
      </c>
      <c r="AX2028" s="1" t="s">
        <v>212</v>
      </c>
      <c r="AZ2028" s="1">
        <v>4432</v>
      </c>
      <c r="BA2028" s="1">
        <v>2013</v>
      </c>
      <c r="BB2028" s="1" t="s">
        <v>210</v>
      </c>
      <c r="BE2028" s="1">
        <v>1048</v>
      </c>
      <c r="BF2028" s="1">
        <v>1</v>
      </c>
      <c r="BG2028" s="1">
        <v>0</v>
      </c>
      <c r="BL2028" s="1">
        <v>468</v>
      </c>
      <c r="BM2028" s="1" t="s">
        <v>204</v>
      </c>
      <c r="BN2028" s="1" t="s">
        <v>213</v>
      </c>
      <c r="BP2028" s="1" t="s">
        <v>204</v>
      </c>
      <c r="BR2028" s="1" t="str">
        <f>"0724124009"</f>
        <v>0724124009</v>
      </c>
      <c r="BT2028" s="1" t="s">
        <v>18435</v>
      </c>
      <c r="BU2028" s="1" t="s">
        <v>928</v>
      </c>
      <c r="BV2028" s="1" t="s">
        <v>929</v>
      </c>
      <c r="BW2028" s="1" t="s">
        <v>930</v>
      </c>
      <c r="BX2028" s="1">
        <v>203</v>
      </c>
      <c r="BY2028" s="1">
        <v>203</v>
      </c>
      <c r="BZ2028" s="1">
        <v>203</v>
      </c>
      <c r="CB2028" s="1" t="str">
        <f t="shared" ref="CB2028:CC2028" si="1549">"0"</f>
        <v>0</v>
      </c>
      <c r="CC2028" s="1" t="str">
        <f t="shared" si="1549"/>
        <v>0</v>
      </c>
      <c r="CD2028" s="1">
        <v>27</v>
      </c>
      <c r="CE2028" s="1">
        <v>7</v>
      </c>
      <c r="CG2028" s="1" t="s">
        <v>344</v>
      </c>
      <c r="CH2028" s="1" t="s">
        <v>219</v>
      </c>
      <c r="CI2028" s="1" t="s">
        <v>220</v>
      </c>
      <c r="CJ2028" s="1" t="s">
        <v>343</v>
      </c>
      <c r="CK2028" s="1" t="s">
        <v>669</v>
      </c>
      <c r="CL2028" s="1" t="s">
        <v>219</v>
      </c>
      <c r="CM2028" s="1" t="s">
        <v>220</v>
      </c>
      <c r="CN2028" s="1" t="s">
        <v>343</v>
      </c>
      <c r="CO2028" s="1" t="s">
        <v>346</v>
      </c>
      <c r="CP2028" s="1" t="s">
        <v>219</v>
      </c>
      <c r="CQ2028" s="1" t="s">
        <v>220</v>
      </c>
      <c r="CR2028" s="1" t="s">
        <v>210</v>
      </c>
      <c r="CS2028" s="1" t="s">
        <v>409</v>
      </c>
      <c r="CT2028" s="1" t="s">
        <v>219</v>
      </c>
      <c r="CU2028" s="1" t="s">
        <v>220</v>
      </c>
      <c r="CV2028" s="1" t="s">
        <v>343</v>
      </c>
      <c r="CX2028" s="1" t="s">
        <v>224</v>
      </c>
      <c r="DB2028" s="1" t="s">
        <v>224</v>
      </c>
      <c r="DE2028" s="1" t="s">
        <v>6342</v>
      </c>
      <c r="DF2028" s="1" t="s">
        <v>219</v>
      </c>
      <c r="DG2028" s="1" t="s">
        <v>438</v>
      </c>
      <c r="DH2028" s="1" t="s">
        <v>210</v>
      </c>
      <c r="DJ2028" s="1" t="s">
        <v>224</v>
      </c>
      <c r="DS2028" s="1" t="s">
        <v>230</v>
      </c>
      <c r="DW2028" s="1" t="s">
        <v>230</v>
      </c>
      <c r="EA2028" s="1" t="s">
        <v>230</v>
      </c>
      <c r="EE2028" s="1" t="s">
        <v>230</v>
      </c>
      <c r="EI2028" s="1" t="s">
        <v>230</v>
      </c>
      <c r="EL2028" s="1" t="s">
        <v>542</v>
      </c>
      <c r="EM2028" s="1" t="s">
        <v>232</v>
      </c>
      <c r="EN2028" s="1" t="s">
        <v>282</v>
      </c>
      <c r="EO2028" s="1" t="s">
        <v>234</v>
      </c>
      <c r="EP2028" s="1" t="s">
        <v>18436</v>
      </c>
      <c r="EQ2028" s="1" t="s">
        <v>236</v>
      </c>
      <c r="ER2028" s="1" t="s">
        <v>210</v>
      </c>
      <c r="ES2028" s="1" t="s">
        <v>545</v>
      </c>
      <c r="EU2028" s="1" t="s">
        <v>17816</v>
      </c>
      <c r="EV2028" s="1" t="s">
        <v>240</v>
      </c>
      <c r="EW2028" s="1" t="s">
        <v>18437</v>
      </c>
      <c r="EY2028" s="1" t="s">
        <v>242</v>
      </c>
      <c r="EZ2028" s="1" t="s">
        <v>287</v>
      </c>
      <c r="FA2028" s="1" t="s">
        <v>18438</v>
      </c>
      <c r="FB2028" s="1" t="s">
        <v>1755</v>
      </c>
      <c r="FD2028" s="1" t="s">
        <v>4003</v>
      </c>
      <c r="FE2028" s="1" t="s">
        <v>247</v>
      </c>
      <c r="FF2028" s="1" t="s">
        <v>248</v>
      </c>
      <c r="FH2028" s="1" t="s">
        <v>1942</v>
      </c>
      <c r="FJ2028" s="1" t="s">
        <v>1251</v>
      </c>
      <c r="FK2028" s="1" t="s">
        <v>4663</v>
      </c>
      <c r="FL2028" s="1" t="s">
        <v>10533</v>
      </c>
      <c r="FM2028" s="1" t="s">
        <v>252</v>
      </c>
      <c r="FN2028" s="1" t="s">
        <v>213</v>
      </c>
      <c r="FO2028" s="1" t="s">
        <v>213</v>
      </c>
      <c r="FQ2028" s="1" t="s">
        <v>8382</v>
      </c>
      <c r="FR2028" s="1" t="s">
        <v>210</v>
      </c>
      <c r="FS2028" s="1" t="s">
        <v>6164</v>
      </c>
      <c r="FT2028" s="1" t="s">
        <v>295</v>
      </c>
      <c r="FU2028" s="1" t="s">
        <v>204</v>
      </c>
      <c r="FV2028" s="1" t="s">
        <v>4496</v>
      </c>
      <c r="FW2028" s="1" t="s">
        <v>1806</v>
      </c>
      <c r="FX2028" s="1">
        <v>21324</v>
      </c>
      <c r="FY2028" s="1" t="s">
        <v>2395</v>
      </c>
      <c r="FZ2028" s="1" t="s">
        <v>4497</v>
      </c>
      <c r="GA2028" s="1">
        <v>234654</v>
      </c>
      <c r="GB2028" s="1" t="s">
        <v>4498</v>
      </c>
      <c r="GD2028" s="1" t="s">
        <v>6165</v>
      </c>
      <c r="GE2028" s="1" t="s">
        <v>658</v>
      </c>
      <c r="GI2028" s="1" t="s">
        <v>213</v>
      </c>
      <c r="GJ2028" s="1" t="s">
        <v>260</v>
      </c>
      <c r="GK2028" s="1" t="s">
        <v>210</v>
      </c>
      <c r="GL2028" s="2">
        <v>42085</v>
      </c>
    </row>
    <row r="2029" spans="1:195">
      <c r="A2029" s="1">
        <v>160000</v>
      </c>
      <c r="B2029" s="1" t="s">
        <v>195</v>
      </c>
      <c r="C2029" s="1" t="str">
        <f>"08743345"</f>
        <v>08743345</v>
      </c>
      <c r="D2029" s="1" t="s">
        <v>196</v>
      </c>
      <c r="F2029" s="1" t="str">
        <f>"562"</f>
        <v>562</v>
      </c>
      <c r="G2029" s="2">
        <v>41914</v>
      </c>
      <c r="H2029" s="1">
        <v>165000</v>
      </c>
      <c r="I2029" s="1">
        <v>165000</v>
      </c>
      <c r="J2029" s="1">
        <v>160000</v>
      </c>
      <c r="K2029" s="2">
        <v>41914</v>
      </c>
      <c r="L2029" s="1">
        <v>1</v>
      </c>
      <c r="M2029" s="2">
        <v>41914</v>
      </c>
      <c r="N2029" s="1">
        <v>1</v>
      </c>
      <c r="O2029" s="2">
        <v>41914</v>
      </c>
      <c r="P2029" s="1">
        <v>23030</v>
      </c>
      <c r="Q2029" s="1" t="s">
        <v>197</v>
      </c>
      <c r="R2029" s="2">
        <v>41985</v>
      </c>
      <c r="S2029" s="1">
        <v>233292</v>
      </c>
      <c r="U2029" s="1">
        <v>1605</v>
      </c>
      <c r="V2029" s="1" t="s">
        <v>18439</v>
      </c>
      <c r="W2029" s="1" t="s">
        <v>779</v>
      </c>
      <c r="X2029" s="1" t="s">
        <v>18440</v>
      </c>
      <c r="Y2029" s="1">
        <v>8</v>
      </c>
      <c r="Z2029" s="1" t="s">
        <v>200</v>
      </c>
      <c r="AA2029" s="1" t="s">
        <v>899</v>
      </c>
      <c r="AB2029" s="1">
        <v>60561</v>
      </c>
      <c r="AD2029" s="1" t="s">
        <v>18441</v>
      </c>
      <c r="AE2029" s="1" t="s">
        <v>18442</v>
      </c>
      <c r="AF2029" s="1">
        <v>1979</v>
      </c>
      <c r="AG2029" s="1" t="s">
        <v>204</v>
      </c>
      <c r="AH2029" s="1" t="s">
        <v>902</v>
      </c>
      <c r="AI2029" s="1" t="s">
        <v>206</v>
      </c>
      <c r="AJ2029" s="1" t="s">
        <v>903</v>
      </c>
      <c r="AL2029" s="1">
        <v>5</v>
      </c>
      <c r="AM2029" s="1">
        <v>2</v>
      </c>
      <c r="AN2029" s="1">
        <v>2</v>
      </c>
      <c r="AO2029" s="1">
        <v>0</v>
      </c>
      <c r="AP2029" s="1" t="s">
        <v>210</v>
      </c>
      <c r="AQ2029" s="1">
        <v>1</v>
      </c>
      <c r="AR2029" s="1" t="s">
        <v>210</v>
      </c>
      <c r="AS2029" s="1" t="s">
        <v>204</v>
      </c>
      <c r="AT2029" s="1" t="s">
        <v>211</v>
      </c>
      <c r="AU2029" s="1">
        <v>1</v>
      </c>
      <c r="AW2029" s="1" t="s">
        <v>204</v>
      </c>
      <c r="AX2029" s="1" t="s">
        <v>212</v>
      </c>
      <c r="AZ2029" s="1">
        <v>2947.84</v>
      </c>
      <c r="BA2029" s="1">
        <v>2012</v>
      </c>
      <c r="BB2029" s="1" t="s">
        <v>210</v>
      </c>
      <c r="BE2029" s="1">
        <v>1100</v>
      </c>
      <c r="BF2029" s="1">
        <v>2</v>
      </c>
      <c r="BG2029" s="1">
        <v>0</v>
      </c>
      <c r="BL2029" s="1">
        <v>257</v>
      </c>
      <c r="BM2029" s="1" t="s">
        <v>204</v>
      </c>
      <c r="BN2029" s="1" t="s">
        <v>213</v>
      </c>
      <c r="BO2029" s="1">
        <v>99</v>
      </c>
      <c r="BP2029" s="1" t="s">
        <v>204</v>
      </c>
      <c r="BR2029" s="1" t="str">
        <f>"1004110008"</f>
        <v>1004110008</v>
      </c>
      <c r="BT2029" s="1" t="s">
        <v>14720</v>
      </c>
      <c r="BX2029" s="1">
        <v>63</v>
      </c>
      <c r="BY2029" s="1">
        <v>63</v>
      </c>
      <c r="BZ2029" s="1">
        <v>86</v>
      </c>
      <c r="CB2029" s="1" t="str">
        <f t="shared" ref="CB2029:CC2029" si="1550">""</f>
        <v/>
      </c>
      <c r="CC2029" s="1" t="str">
        <f t="shared" si="1550"/>
        <v/>
      </c>
      <c r="CG2029" s="1" t="s">
        <v>3684</v>
      </c>
      <c r="CH2029" s="1" t="s">
        <v>219</v>
      </c>
      <c r="CI2029" s="1" t="s">
        <v>438</v>
      </c>
      <c r="CJ2029" s="1" t="s">
        <v>343</v>
      </c>
      <c r="CK2029" s="1" t="s">
        <v>729</v>
      </c>
      <c r="CL2029" s="1" t="s">
        <v>219</v>
      </c>
      <c r="CM2029" s="1" t="s">
        <v>438</v>
      </c>
      <c r="CN2029" s="1" t="s">
        <v>343</v>
      </c>
      <c r="CO2029" s="1" t="s">
        <v>1046</v>
      </c>
      <c r="CP2029" s="1" t="s">
        <v>219</v>
      </c>
      <c r="CQ2029" s="1" t="s">
        <v>438</v>
      </c>
      <c r="CR2029" s="1" t="s">
        <v>343</v>
      </c>
      <c r="CS2029" s="1" t="s">
        <v>317</v>
      </c>
      <c r="CT2029" s="1" t="s">
        <v>219</v>
      </c>
      <c r="CU2029" s="1" t="s">
        <v>438</v>
      </c>
      <c r="CV2029" s="1" t="s">
        <v>343</v>
      </c>
      <c r="CX2029" s="1" t="s">
        <v>224</v>
      </c>
      <c r="DB2029" s="1" t="s">
        <v>224</v>
      </c>
      <c r="DE2029" s="1" t="s">
        <v>7932</v>
      </c>
      <c r="DF2029" s="1" t="s">
        <v>219</v>
      </c>
      <c r="DG2029" s="1" t="s">
        <v>438</v>
      </c>
      <c r="DH2029" s="1" t="s">
        <v>210</v>
      </c>
      <c r="DJ2029" s="1" t="s">
        <v>224</v>
      </c>
      <c r="DS2029" s="1" t="s">
        <v>230</v>
      </c>
      <c r="DW2029" s="1" t="s">
        <v>230</v>
      </c>
      <c r="EA2029" s="1" t="s">
        <v>230</v>
      </c>
      <c r="EE2029" s="1" t="s">
        <v>230</v>
      </c>
      <c r="EI2029" s="1" t="s">
        <v>230</v>
      </c>
      <c r="EL2029" s="1" t="s">
        <v>231</v>
      </c>
      <c r="EM2029" s="1" t="s">
        <v>232</v>
      </c>
      <c r="EN2029" s="1" t="s">
        <v>282</v>
      </c>
      <c r="EO2029" s="1" t="s">
        <v>234</v>
      </c>
      <c r="EP2029" s="1" t="s">
        <v>650</v>
      </c>
      <c r="EQ2029" s="1" t="s">
        <v>236</v>
      </c>
      <c r="ER2029" s="1" t="s">
        <v>210</v>
      </c>
      <c r="ES2029" s="1" t="s">
        <v>545</v>
      </c>
      <c r="EU2029" s="1" t="s">
        <v>239</v>
      </c>
      <c r="EV2029" s="1" t="s">
        <v>240</v>
      </c>
      <c r="EW2029" s="1" t="s">
        <v>1219</v>
      </c>
      <c r="EY2029" s="1" t="s">
        <v>441</v>
      </c>
      <c r="EZ2029" s="1" t="s">
        <v>287</v>
      </c>
      <c r="FA2029" s="1" t="s">
        <v>714</v>
      </c>
      <c r="FB2029" s="1" t="s">
        <v>289</v>
      </c>
      <c r="FD2029" s="1" t="s">
        <v>246</v>
      </c>
      <c r="FE2029" s="1" t="s">
        <v>889</v>
      </c>
      <c r="FF2029" s="1" t="s">
        <v>248</v>
      </c>
      <c r="FG2029" s="1" t="s">
        <v>2406</v>
      </c>
      <c r="FH2029" s="1" t="s">
        <v>249</v>
      </c>
      <c r="FI2029" s="1" t="s">
        <v>473</v>
      </c>
      <c r="FJ2029" s="1" t="s">
        <v>518</v>
      </c>
      <c r="FL2029" s="1" t="s">
        <v>358</v>
      </c>
      <c r="FM2029" s="1" t="s">
        <v>252</v>
      </c>
      <c r="FN2029" s="1" t="s">
        <v>213</v>
      </c>
      <c r="FO2029" s="1" t="s">
        <v>213</v>
      </c>
      <c r="FQ2029" s="1" t="s">
        <v>10975</v>
      </c>
      <c r="FR2029" s="1" t="s">
        <v>210</v>
      </c>
      <c r="FS2029" s="1" t="s">
        <v>18443</v>
      </c>
      <c r="FT2029" s="1" t="s">
        <v>295</v>
      </c>
      <c r="FU2029" s="1" t="s">
        <v>204</v>
      </c>
      <c r="FW2029" s="1" t="s">
        <v>1898</v>
      </c>
      <c r="FX2029" s="1">
        <v>23030</v>
      </c>
      <c r="FY2029" s="1" t="s">
        <v>1899</v>
      </c>
      <c r="FZ2029" s="1" t="s">
        <v>5184</v>
      </c>
      <c r="GA2029" s="1">
        <v>233292</v>
      </c>
      <c r="GB2029" s="1" t="s">
        <v>5185</v>
      </c>
      <c r="GE2029" s="1" t="s">
        <v>480</v>
      </c>
      <c r="GI2029" s="1" t="s">
        <v>213</v>
      </c>
      <c r="GJ2029" s="1" t="s">
        <v>300</v>
      </c>
      <c r="GK2029" s="1" t="s">
        <v>210</v>
      </c>
      <c r="GL2029" s="2">
        <v>41987</v>
      </c>
      <c r="GM2029" s="1" t="s">
        <v>14720</v>
      </c>
    </row>
    <row r="2030" spans="1:195">
      <c r="A2030" s="1">
        <v>49000</v>
      </c>
      <c r="B2030" s="1" t="s">
        <v>195</v>
      </c>
      <c r="C2030" s="1" t="str">
        <f>"08747743"</f>
        <v>08747743</v>
      </c>
      <c r="D2030" s="1" t="s">
        <v>196</v>
      </c>
      <c r="F2030" s="1" t="str">
        <f>"110"</f>
        <v>110</v>
      </c>
      <c r="G2030" s="2">
        <v>41919</v>
      </c>
      <c r="H2030" s="1">
        <v>69000</v>
      </c>
      <c r="I2030" s="1">
        <v>69000</v>
      </c>
      <c r="J2030" s="1">
        <v>49000</v>
      </c>
      <c r="K2030" s="2">
        <v>41919</v>
      </c>
      <c r="L2030" s="1">
        <v>60</v>
      </c>
      <c r="M2030" s="2">
        <v>41978</v>
      </c>
      <c r="N2030" s="1">
        <v>60</v>
      </c>
      <c r="O2030" s="2">
        <v>41978</v>
      </c>
      <c r="P2030" s="1">
        <v>7470</v>
      </c>
      <c r="Q2030" s="1" t="s">
        <v>423</v>
      </c>
      <c r="R2030" s="2">
        <v>42017</v>
      </c>
      <c r="S2030" s="1">
        <v>77577</v>
      </c>
      <c r="U2030" s="1">
        <v>2002</v>
      </c>
      <c r="V2030" s="1" t="s">
        <v>18444</v>
      </c>
      <c r="W2030" s="1" t="s">
        <v>449</v>
      </c>
      <c r="X2030" s="1" t="s">
        <v>1000</v>
      </c>
      <c r="Y2030" s="1">
        <v>10</v>
      </c>
      <c r="Z2030" s="1" t="s">
        <v>200</v>
      </c>
      <c r="AA2030" s="1" t="s">
        <v>803</v>
      </c>
      <c r="AB2030" s="1">
        <v>60110</v>
      </c>
      <c r="AE2030" s="1" t="s">
        <v>18445</v>
      </c>
      <c r="AF2030" s="1">
        <v>1970</v>
      </c>
      <c r="AG2030" s="1" t="s">
        <v>213</v>
      </c>
      <c r="AH2030" s="1" t="s">
        <v>2557</v>
      </c>
      <c r="AI2030" s="1" t="s">
        <v>665</v>
      </c>
      <c r="AJ2030" s="1" t="s">
        <v>805</v>
      </c>
      <c r="AL2030" s="1">
        <v>5</v>
      </c>
      <c r="AM2030" s="1">
        <v>2</v>
      </c>
      <c r="AN2030" s="1">
        <v>1</v>
      </c>
      <c r="AO2030" s="1">
        <v>1</v>
      </c>
      <c r="AP2030" s="1" t="s">
        <v>667</v>
      </c>
      <c r="AR2030" s="1" t="s">
        <v>210</v>
      </c>
      <c r="AS2030" s="1" t="s">
        <v>204</v>
      </c>
      <c r="AT2030" s="1" t="s">
        <v>271</v>
      </c>
      <c r="AV2030" s="1">
        <v>2</v>
      </c>
      <c r="AW2030" s="1" t="s">
        <v>204</v>
      </c>
      <c r="AX2030" s="1" t="s">
        <v>212</v>
      </c>
      <c r="AZ2030" s="1">
        <v>1470.86</v>
      </c>
      <c r="BA2030" s="1">
        <v>2012</v>
      </c>
      <c r="BE2030" s="1">
        <v>0</v>
      </c>
      <c r="BF2030" s="1">
        <v>1</v>
      </c>
      <c r="BG2030" s="1">
        <v>0</v>
      </c>
      <c r="BL2030" s="1">
        <v>0</v>
      </c>
      <c r="BM2030" s="1" t="s">
        <v>204</v>
      </c>
      <c r="BN2030" s="1" t="s">
        <v>213</v>
      </c>
      <c r="BO2030" s="1">
        <v>999</v>
      </c>
      <c r="BP2030" s="1" t="s">
        <v>204</v>
      </c>
      <c r="BR2030" s="1" t="str">
        <f>"0324206003"</f>
        <v>0324206003</v>
      </c>
      <c r="BT2030" s="1" t="s">
        <v>18446</v>
      </c>
      <c r="BU2030" s="1" t="s">
        <v>18447</v>
      </c>
      <c r="BV2030" s="1" t="s">
        <v>8986</v>
      </c>
      <c r="BW2030" s="1" t="s">
        <v>809</v>
      </c>
      <c r="BX2030" s="1">
        <v>300</v>
      </c>
      <c r="BY2030" s="1">
        <v>300</v>
      </c>
      <c r="BZ2030" s="1">
        <v>300</v>
      </c>
      <c r="CB2030" s="1" t="str">
        <f>"15"</f>
        <v>15</v>
      </c>
      <c r="CC2030" s="1" t="str">
        <f>""</f>
        <v/>
      </c>
      <c r="CD2030" s="1">
        <v>31</v>
      </c>
      <c r="CG2030" s="1" t="s">
        <v>18448</v>
      </c>
      <c r="CH2030" s="1" t="s">
        <v>219</v>
      </c>
      <c r="CI2030" s="1" t="s">
        <v>220</v>
      </c>
      <c r="CK2030" s="1" t="s">
        <v>933</v>
      </c>
      <c r="CL2030" s="1" t="s">
        <v>277</v>
      </c>
      <c r="CM2030" s="1" t="s">
        <v>220</v>
      </c>
      <c r="CO2030" s="1" t="s">
        <v>629</v>
      </c>
      <c r="CP2030" s="1" t="s">
        <v>219</v>
      </c>
      <c r="CQ2030" s="1" t="s">
        <v>220</v>
      </c>
      <c r="CS2030" s="1" t="s">
        <v>461</v>
      </c>
      <c r="CT2030" s="1" t="s">
        <v>277</v>
      </c>
      <c r="CU2030" s="1" t="s">
        <v>220</v>
      </c>
      <c r="CX2030" s="1" t="s">
        <v>224</v>
      </c>
      <c r="DB2030" s="1" t="s">
        <v>224</v>
      </c>
      <c r="DE2030" s="1" t="s">
        <v>318</v>
      </c>
      <c r="DF2030" s="1" t="s">
        <v>219</v>
      </c>
      <c r="DG2030" s="1" t="s">
        <v>342</v>
      </c>
      <c r="DJ2030" s="1" t="s">
        <v>224</v>
      </c>
      <c r="DS2030" s="1" t="s">
        <v>230</v>
      </c>
      <c r="DW2030" s="1" t="s">
        <v>230</v>
      </c>
      <c r="EA2030" s="1" t="s">
        <v>230</v>
      </c>
      <c r="EE2030" s="1" t="s">
        <v>230</v>
      </c>
      <c r="EI2030" s="1" t="s">
        <v>230</v>
      </c>
      <c r="EL2030" s="1" t="s">
        <v>605</v>
      </c>
      <c r="EM2030" s="1" t="s">
        <v>232</v>
      </c>
      <c r="EN2030" s="1" t="s">
        <v>282</v>
      </c>
      <c r="EO2030" s="1" t="s">
        <v>234</v>
      </c>
      <c r="EP2030" s="1" t="s">
        <v>650</v>
      </c>
      <c r="EQ2030" s="1" t="s">
        <v>350</v>
      </c>
      <c r="ER2030" s="1" t="s">
        <v>210</v>
      </c>
      <c r="ES2030" s="1" t="s">
        <v>322</v>
      </c>
      <c r="EV2030" s="1" t="s">
        <v>240</v>
      </c>
      <c r="EW2030" s="1" t="s">
        <v>210</v>
      </c>
      <c r="EZ2030" s="1" t="s">
        <v>287</v>
      </c>
      <c r="FD2030" s="1" t="s">
        <v>246</v>
      </c>
      <c r="FE2030" s="1" t="s">
        <v>496</v>
      </c>
      <c r="FF2030" s="1" t="s">
        <v>248</v>
      </c>
      <c r="FH2030" s="1" t="s">
        <v>442</v>
      </c>
      <c r="FK2030" s="1" t="s">
        <v>1136</v>
      </c>
      <c r="FL2030" s="1" t="s">
        <v>358</v>
      </c>
      <c r="FM2030" s="1" t="s">
        <v>252</v>
      </c>
      <c r="FN2030" s="1" t="s">
        <v>213</v>
      </c>
      <c r="FO2030" s="1" t="s">
        <v>213</v>
      </c>
      <c r="FQ2030" s="1" t="s">
        <v>12810</v>
      </c>
      <c r="FR2030" s="1" t="s">
        <v>210</v>
      </c>
      <c r="FS2030" s="1" t="s">
        <v>18449</v>
      </c>
      <c r="FT2030" s="1" t="s">
        <v>295</v>
      </c>
      <c r="FU2030" s="1" t="s">
        <v>204</v>
      </c>
      <c r="FV2030" s="1" t="s">
        <v>295</v>
      </c>
      <c r="FW2030" s="1" t="s">
        <v>5648</v>
      </c>
      <c r="FX2030" s="1">
        <v>23099</v>
      </c>
      <c r="FY2030" s="1" t="s">
        <v>5649</v>
      </c>
      <c r="FZ2030" s="1" t="s">
        <v>13004</v>
      </c>
      <c r="GA2030" s="1">
        <v>224937</v>
      </c>
      <c r="GB2030" s="1" t="s">
        <v>13005</v>
      </c>
      <c r="GD2030" s="1" t="s">
        <v>13006</v>
      </c>
      <c r="GE2030" s="1" t="s">
        <v>210</v>
      </c>
      <c r="GI2030" s="1" t="s">
        <v>213</v>
      </c>
      <c r="GJ2030" s="1" t="s">
        <v>260</v>
      </c>
      <c r="GK2030" s="1" t="s">
        <v>210</v>
      </c>
      <c r="GL2030" s="2">
        <v>42018</v>
      </c>
    </row>
    <row r="2031" spans="1:195">
      <c r="A2031" s="1">
        <v>77000</v>
      </c>
      <c r="B2031" s="1" t="s">
        <v>195</v>
      </c>
      <c r="C2031" s="1" t="str">
        <f>"08746165"</f>
        <v>08746165</v>
      </c>
      <c r="D2031" s="1" t="s">
        <v>196</v>
      </c>
      <c r="F2031" s="1" t="str">
        <f>"103"</f>
        <v>103</v>
      </c>
      <c r="G2031" s="2">
        <v>41918</v>
      </c>
      <c r="H2031" s="1">
        <v>84900</v>
      </c>
      <c r="I2031" s="1">
        <v>84900</v>
      </c>
      <c r="J2031" s="1">
        <v>77000</v>
      </c>
      <c r="K2031" s="2">
        <v>41918</v>
      </c>
      <c r="L2031" s="1">
        <v>142</v>
      </c>
      <c r="M2031" s="2">
        <v>42059</v>
      </c>
      <c r="N2031" s="1">
        <v>142</v>
      </c>
      <c r="O2031" s="2">
        <v>42059</v>
      </c>
      <c r="P2031" s="1">
        <v>24042</v>
      </c>
      <c r="Q2031" s="1" t="s">
        <v>197</v>
      </c>
      <c r="R2031" s="2">
        <v>42086</v>
      </c>
      <c r="S2031" s="1">
        <v>235514</v>
      </c>
      <c r="U2031" s="1">
        <v>6238</v>
      </c>
      <c r="V2031" s="1" t="s">
        <v>14188</v>
      </c>
      <c r="W2031" s="1" t="s">
        <v>449</v>
      </c>
      <c r="Y2031" s="1">
        <v>4</v>
      </c>
      <c r="Z2031" s="1" t="s">
        <v>249</v>
      </c>
      <c r="AA2031" s="1" t="s">
        <v>337</v>
      </c>
      <c r="AB2031" s="1">
        <v>60133</v>
      </c>
      <c r="AD2031" s="1" t="s">
        <v>13205</v>
      </c>
      <c r="AE2031" s="1" t="s">
        <v>18450</v>
      </c>
      <c r="AF2031" s="1">
        <v>1981</v>
      </c>
      <c r="AG2031" s="1" t="s">
        <v>204</v>
      </c>
      <c r="AH2031" s="1" t="s">
        <v>339</v>
      </c>
      <c r="AI2031" s="1" t="s">
        <v>206</v>
      </c>
      <c r="AJ2031" s="1" t="s">
        <v>269</v>
      </c>
      <c r="AK2031" s="1" t="s">
        <v>9373</v>
      </c>
      <c r="AL2031" s="1">
        <v>5</v>
      </c>
      <c r="AM2031" s="1">
        <v>2</v>
      </c>
      <c r="AN2031" s="1">
        <v>1</v>
      </c>
      <c r="AO2031" s="1">
        <v>0</v>
      </c>
      <c r="AP2031" s="1" t="s">
        <v>210</v>
      </c>
      <c r="AR2031" s="1" t="s">
        <v>210</v>
      </c>
      <c r="AS2031" s="1" t="s">
        <v>204</v>
      </c>
      <c r="AT2031" s="1" t="s">
        <v>211</v>
      </c>
      <c r="AU2031" s="1">
        <v>1</v>
      </c>
      <c r="AW2031" s="1" t="s">
        <v>204</v>
      </c>
      <c r="AX2031" s="1" t="s">
        <v>4740</v>
      </c>
      <c r="AZ2031" s="1">
        <v>1488</v>
      </c>
      <c r="BA2031" s="1">
        <v>2013</v>
      </c>
      <c r="BB2031" s="1" t="s">
        <v>405</v>
      </c>
      <c r="BE2031" s="1">
        <v>950</v>
      </c>
      <c r="BF2031" s="1">
        <v>2</v>
      </c>
      <c r="BG2031" s="1">
        <v>0</v>
      </c>
      <c r="BL2031" s="1">
        <v>176</v>
      </c>
      <c r="BM2031" s="1" t="s">
        <v>204</v>
      </c>
      <c r="BN2031" s="1" t="s">
        <v>204</v>
      </c>
      <c r="BP2031" s="1" t="s">
        <v>204</v>
      </c>
      <c r="BR2031" s="1" t="str">
        <f>"0206105188"</f>
        <v>0206105188</v>
      </c>
      <c r="BT2031" s="1" t="s">
        <v>18451</v>
      </c>
      <c r="BU2031" s="1" t="s">
        <v>341</v>
      </c>
      <c r="BV2031" s="1" t="s">
        <v>274</v>
      </c>
      <c r="BW2031" s="1" t="s">
        <v>275</v>
      </c>
      <c r="BX2031" s="1">
        <v>20</v>
      </c>
      <c r="BY2031" s="1">
        <v>20</v>
      </c>
      <c r="BZ2031" s="1">
        <v>108</v>
      </c>
      <c r="CB2031" s="1" t="str">
        <f>"7"</f>
        <v>7</v>
      </c>
      <c r="CC2031" s="1" t="str">
        <f>"0"</f>
        <v>0</v>
      </c>
      <c r="CD2031" s="1">
        <v>26</v>
      </c>
      <c r="CE2031" s="1">
        <v>0</v>
      </c>
      <c r="CG2031" s="1" t="s">
        <v>228</v>
      </c>
      <c r="CH2031" s="1" t="s">
        <v>277</v>
      </c>
      <c r="CI2031" s="1" t="s">
        <v>220</v>
      </c>
      <c r="CK2031" s="1" t="s">
        <v>344</v>
      </c>
      <c r="CL2031" s="1" t="s">
        <v>277</v>
      </c>
      <c r="CM2031" s="1" t="s">
        <v>220</v>
      </c>
      <c r="CO2031" s="1" t="s">
        <v>489</v>
      </c>
      <c r="CP2031" s="1" t="s">
        <v>277</v>
      </c>
      <c r="CQ2031" s="1" t="s">
        <v>220</v>
      </c>
      <c r="CS2031" s="1" t="s">
        <v>346</v>
      </c>
      <c r="CT2031" s="1" t="s">
        <v>277</v>
      </c>
      <c r="CU2031" s="1" t="s">
        <v>220</v>
      </c>
      <c r="CX2031" s="1" t="s">
        <v>224</v>
      </c>
      <c r="DB2031" s="1" t="s">
        <v>224</v>
      </c>
      <c r="DE2031" s="1" t="s">
        <v>489</v>
      </c>
      <c r="DF2031" s="1" t="s">
        <v>277</v>
      </c>
      <c r="DG2031" s="1" t="s">
        <v>226</v>
      </c>
      <c r="DJ2031" s="1" t="s">
        <v>224</v>
      </c>
      <c r="DS2031" s="1" t="s">
        <v>230</v>
      </c>
      <c r="DW2031" s="1" t="s">
        <v>230</v>
      </c>
      <c r="EA2031" s="1" t="s">
        <v>230</v>
      </c>
      <c r="EE2031" s="1" t="s">
        <v>230</v>
      </c>
      <c r="EI2031" s="1" t="s">
        <v>230</v>
      </c>
      <c r="EL2031" s="1" t="s">
        <v>231</v>
      </c>
      <c r="EM2031" s="1" t="s">
        <v>232</v>
      </c>
      <c r="EN2031" s="1" t="s">
        <v>282</v>
      </c>
      <c r="EO2031" s="1" t="s">
        <v>234</v>
      </c>
      <c r="EP2031" s="1" t="s">
        <v>650</v>
      </c>
      <c r="EQ2031" s="1" t="s">
        <v>1094</v>
      </c>
      <c r="ER2031" s="1" t="s">
        <v>210</v>
      </c>
      <c r="ES2031" s="1" t="s">
        <v>545</v>
      </c>
      <c r="EV2031" s="1" t="s">
        <v>352</v>
      </c>
      <c r="EW2031" s="1" t="s">
        <v>353</v>
      </c>
      <c r="EY2031" s="1" t="s">
        <v>242</v>
      </c>
      <c r="EZ2031" s="1" t="s">
        <v>287</v>
      </c>
      <c r="FD2031" s="1" t="s">
        <v>1112</v>
      </c>
      <c r="FE2031" s="1" t="s">
        <v>16980</v>
      </c>
      <c r="FF2031" s="1" t="s">
        <v>248</v>
      </c>
      <c r="FH2031" s="1" t="s">
        <v>249</v>
      </c>
      <c r="FI2031" s="1" t="s">
        <v>473</v>
      </c>
      <c r="FL2031" s="1" t="s">
        <v>358</v>
      </c>
      <c r="FM2031" s="1" t="s">
        <v>252</v>
      </c>
      <c r="FN2031" s="1" t="s">
        <v>213</v>
      </c>
      <c r="FO2031" s="1" t="s">
        <v>213</v>
      </c>
      <c r="FQ2031" s="1" t="s">
        <v>717</v>
      </c>
      <c r="FR2031" s="1" t="s">
        <v>210</v>
      </c>
      <c r="FS2031" s="1" t="s">
        <v>4124</v>
      </c>
      <c r="FT2031" s="1" t="s">
        <v>295</v>
      </c>
      <c r="FU2031" s="1" t="s">
        <v>204</v>
      </c>
      <c r="FW2031" s="1" t="s">
        <v>4125</v>
      </c>
      <c r="FX2031" s="1">
        <v>8073</v>
      </c>
      <c r="FY2031" s="1" t="s">
        <v>4126</v>
      </c>
      <c r="FZ2031" s="1" t="s">
        <v>18452</v>
      </c>
      <c r="GA2031" s="1">
        <v>84847</v>
      </c>
      <c r="GB2031" s="1" t="s">
        <v>18453</v>
      </c>
      <c r="GE2031" s="1" t="s">
        <v>210</v>
      </c>
      <c r="GI2031" s="1" t="s">
        <v>213</v>
      </c>
      <c r="GJ2031" s="1" t="s">
        <v>260</v>
      </c>
      <c r="GK2031" s="1" t="s">
        <v>210</v>
      </c>
      <c r="GL2031" s="2">
        <v>42086</v>
      </c>
    </row>
    <row r="2032" spans="1:195">
      <c r="A2032" s="1">
        <v>190000</v>
      </c>
      <c r="B2032" s="1" t="s">
        <v>195</v>
      </c>
      <c r="C2032" s="1" t="str">
        <f>"08752054"</f>
        <v>08752054</v>
      </c>
      <c r="D2032" s="1" t="s">
        <v>196</v>
      </c>
      <c r="F2032" s="1" t="str">
        <f>"532"</f>
        <v>532</v>
      </c>
      <c r="G2032" s="2">
        <v>41925</v>
      </c>
      <c r="H2032" s="1">
        <v>199900</v>
      </c>
      <c r="I2032" s="1">
        <v>199900</v>
      </c>
      <c r="J2032" s="1">
        <v>190000</v>
      </c>
      <c r="K2032" s="2">
        <v>41922</v>
      </c>
      <c r="L2032" s="1">
        <v>96</v>
      </c>
      <c r="M2032" s="2">
        <v>42017</v>
      </c>
      <c r="N2032" s="1">
        <v>96</v>
      </c>
      <c r="O2032" s="2">
        <v>42017</v>
      </c>
      <c r="P2032" s="1">
        <v>23156</v>
      </c>
      <c r="Q2032" s="1" t="s">
        <v>197</v>
      </c>
      <c r="R2032" s="2">
        <v>42061</v>
      </c>
      <c r="S2032" s="1">
        <v>220636</v>
      </c>
      <c r="U2032" s="1">
        <v>1111</v>
      </c>
      <c r="V2032" s="1" t="s">
        <v>2756</v>
      </c>
      <c r="W2032" s="1" t="s">
        <v>425</v>
      </c>
      <c r="X2032" s="1">
        <v>409</v>
      </c>
      <c r="Y2032" s="1">
        <v>59</v>
      </c>
      <c r="Z2032" s="1" t="s">
        <v>249</v>
      </c>
      <c r="AA2032" s="1" t="s">
        <v>1566</v>
      </c>
      <c r="AB2032" s="1">
        <v>60532</v>
      </c>
      <c r="AE2032" s="1" t="s">
        <v>18454</v>
      </c>
      <c r="AF2032" s="1">
        <v>2001</v>
      </c>
      <c r="AG2032" s="1" t="s">
        <v>204</v>
      </c>
      <c r="AH2032" s="1" t="s">
        <v>925</v>
      </c>
      <c r="AI2032" s="1" t="s">
        <v>206</v>
      </c>
      <c r="AJ2032" s="1" t="s">
        <v>925</v>
      </c>
      <c r="AL2032" s="1">
        <v>5</v>
      </c>
      <c r="AM2032" s="1">
        <v>2</v>
      </c>
      <c r="AN2032" s="1">
        <v>2</v>
      </c>
      <c r="AO2032" s="1">
        <v>0</v>
      </c>
      <c r="AP2032" s="1" t="s">
        <v>209</v>
      </c>
      <c r="AQ2032" s="1">
        <v>1</v>
      </c>
      <c r="AR2032" s="1" t="s">
        <v>210</v>
      </c>
      <c r="AS2032" s="1" t="s">
        <v>204</v>
      </c>
      <c r="AT2032" s="1" t="s">
        <v>375</v>
      </c>
      <c r="AU2032" s="1">
        <v>1</v>
      </c>
      <c r="AV2032" s="1">
        <v>1</v>
      </c>
      <c r="AW2032" s="1" t="s">
        <v>204</v>
      </c>
      <c r="AX2032" s="1" t="s">
        <v>212</v>
      </c>
      <c r="AZ2032" s="1">
        <v>4069</v>
      </c>
      <c r="BA2032" s="1">
        <v>2013</v>
      </c>
      <c r="BB2032" s="1" t="s">
        <v>405</v>
      </c>
      <c r="BE2032" s="1">
        <v>1195</v>
      </c>
      <c r="BF2032" s="1">
        <v>4</v>
      </c>
      <c r="BG2032" s="1">
        <v>30</v>
      </c>
      <c r="BL2032" s="1">
        <v>308</v>
      </c>
      <c r="BM2032" s="1" t="s">
        <v>204</v>
      </c>
      <c r="BN2032" s="1" t="s">
        <v>213</v>
      </c>
      <c r="BO2032" s="1">
        <v>999</v>
      </c>
      <c r="BP2032" s="1" t="s">
        <v>204</v>
      </c>
      <c r="BR2032" s="1" t="str">
        <f>"0810227046"</f>
        <v>0810227046</v>
      </c>
      <c r="BT2032" s="1" t="s">
        <v>18455</v>
      </c>
      <c r="BU2032" s="1" t="s">
        <v>5789</v>
      </c>
      <c r="BV2032" s="1" t="s">
        <v>5790</v>
      </c>
      <c r="BW2032" s="1" t="s">
        <v>5791</v>
      </c>
      <c r="BX2032" s="1">
        <v>202</v>
      </c>
      <c r="BY2032" s="1">
        <v>202</v>
      </c>
      <c r="BZ2032" s="1">
        <v>202</v>
      </c>
      <c r="CB2032" s="1" t="str">
        <f t="shared" ref="CB2032:CC2032" si="1551">""</f>
        <v/>
      </c>
      <c r="CC2032" s="1" t="str">
        <f t="shared" si="1551"/>
        <v/>
      </c>
      <c r="CG2032" s="1" t="s">
        <v>5427</v>
      </c>
      <c r="CH2032" s="1" t="s">
        <v>219</v>
      </c>
      <c r="CI2032" s="1" t="s">
        <v>438</v>
      </c>
      <c r="CJ2032" s="1" t="s">
        <v>909</v>
      </c>
      <c r="CK2032" s="1" t="s">
        <v>757</v>
      </c>
      <c r="CL2032" s="1" t="s">
        <v>277</v>
      </c>
      <c r="CM2032" s="1" t="s">
        <v>220</v>
      </c>
      <c r="CN2032" s="1" t="s">
        <v>210</v>
      </c>
      <c r="CO2032" s="1" t="s">
        <v>629</v>
      </c>
      <c r="CP2032" s="1" t="s">
        <v>219</v>
      </c>
      <c r="CQ2032" s="1" t="s">
        <v>438</v>
      </c>
      <c r="CR2032" s="1" t="s">
        <v>210</v>
      </c>
      <c r="CS2032" s="1" t="s">
        <v>437</v>
      </c>
      <c r="CT2032" s="1" t="s">
        <v>219</v>
      </c>
      <c r="CU2032" s="1" t="s">
        <v>438</v>
      </c>
      <c r="CV2032" s="1" t="s">
        <v>909</v>
      </c>
      <c r="CX2032" s="1" t="s">
        <v>224</v>
      </c>
      <c r="DB2032" s="1" t="s">
        <v>224</v>
      </c>
      <c r="DE2032" s="1" t="s">
        <v>348</v>
      </c>
      <c r="DF2032" s="1" t="s">
        <v>219</v>
      </c>
      <c r="DG2032" s="1" t="s">
        <v>438</v>
      </c>
      <c r="DH2032" s="1" t="s">
        <v>210</v>
      </c>
      <c r="DJ2032" s="1" t="s">
        <v>224</v>
      </c>
      <c r="DS2032" s="1" t="s">
        <v>230</v>
      </c>
      <c r="DW2032" s="1" t="s">
        <v>230</v>
      </c>
      <c r="EA2032" s="1" t="s">
        <v>230</v>
      </c>
      <c r="EE2032" s="1" t="s">
        <v>230</v>
      </c>
      <c r="EI2032" s="1" t="s">
        <v>230</v>
      </c>
      <c r="EL2032" s="1" t="s">
        <v>466</v>
      </c>
      <c r="EM2032" s="1" t="s">
        <v>232</v>
      </c>
      <c r="EN2032" s="1" t="s">
        <v>282</v>
      </c>
      <c r="EO2032" s="1" t="s">
        <v>234</v>
      </c>
      <c r="EP2032" s="1" t="s">
        <v>15528</v>
      </c>
      <c r="EQ2032" s="1" t="s">
        <v>492</v>
      </c>
      <c r="ER2032" s="1" t="s">
        <v>210</v>
      </c>
      <c r="ES2032" s="1" t="s">
        <v>3719</v>
      </c>
      <c r="EU2032" s="1" t="s">
        <v>5503</v>
      </c>
      <c r="EV2032" s="1" t="s">
        <v>240</v>
      </c>
      <c r="EW2032" s="1" t="s">
        <v>18456</v>
      </c>
      <c r="EY2032" s="1" t="s">
        <v>790</v>
      </c>
      <c r="EZ2032" s="1" t="s">
        <v>287</v>
      </c>
      <c r="FB2032" s="1" t="s">
        <v>289</v>
      </c>
      <c r="FC2032" s="1" t="s">
        <v>326</v>
      </c>
      <c r="FD2032" s="1" t="s">
        <v>246</v>
      </c>
      <c r="FE2032" s="1" t="s">
        <v>247</v>
      </c>
      <c r="FF2032" s="1" t="s">
        <v>248</v>
      </c>
      <c r="FG2032" s="1" t="s">
        <v>871</v>
      </c>
      <c r="FH2032" s="1" t="s">
        <v>249</v>
      </c>
      <c r="FI2032" s="1" t="s">
        <v>250</v>
      </c>
      <c r="FJ2032" s="1" t="s">
        <v>197</v>
      </c>
      <c r="FK2032" s="1" t="s">
        <v>891</v>
      </c>
      <c r="FL2032" s="1" t="s">
        <v>358</v>
      </c>
      <c r="FM2032" s="1" t="s">
        <v>252</v>
      </c>
      <c r="FN2032" s="1" t="s">
        <v>213</v>
      </c>
      <c r="FO2032" s="1" t="s">
        <v>213</v>
      </c>
      <c r="FQ2032" s="1" t="s">
        <v>7057</v>
      </c>
      <c r="FR2032" s="1" t="s">
        <v>210</v>
      </c>
      <c r="FS2032" s="1" t="s">
        <v>18457</v>
      </c>
      <c r="FT2032" s="1" t="s">
        <v>675</v>
      </c>
      <c r="FU2032" s="1" t="s">
        <v>204</v>
      </c>
      <c r="FW2032" s="1" t="s">
        <v>3116</v>
      </c>
      <c r="FX2032" s="1">
        <v>21823</v>
      </c>
      <c r="FY2032" s="1" t="s">
        <v>3117</v>
      </c>
      <c r="FZ2032" s="1" t="s">
        <v>18458</v>
      </c>
      <c r="GA2032" s="1">
        <v>239867</v>
      </c>
      <c r="GB2032" s="1" t="s">
        <v>18459</v>
      </c>
      <c r="GE2032" s="1" t="s">
        <v>1764</v>
      </c>
      <c r="GI2032" s="1" t="s">
        <v>213</v>
      </c>
      <c r="GJ2032" s="1" t="s">
        <v>260</v>
      </c>
      <c r="GK2032" s="1" t="s">
        <v>210</v>
      </c>
      <c r="GL2032" s="2">
        <v>42061</v>
      </c>
      <c r="GM2032" s="1" t="s">
        <v>10807</v>
      </c>
    </row>
    <row r="2033" spans="1:195">
      <c r="A2033" s="1">
        <v>172000</v>
      </c>
      <c r="B2033" s="1" t="s">
        <v>195</v>
      </c>
      <c r="C2033" s="1" t="str">
        <f>"08754536"</f>
        <v>08754536</v>
      </c>
      <c r="D2033" s="1" t="s">
        <v>196</v>
      </c>
      <c r="F2033" s="1" t="str">
        <f>"516"</f>
        <v>516</v>
      </c>
      <c r="G2033" s="2">
        <v>41928</v>
      </c>
      <c r="H2033" s="1">
        <v>179900</v>
      </c>
      <c r="I2033" s="1">
        <v>179900</v>
      </c>
      <c r="J2033" s="1">
        <v>172000</v>
      </c>
      <c r="K2033" s="2">
        <v>41928</v>
      </c>
      <c r="L2033" s="1">
        <v>25</v>
      </c>
      <c r="M2033" s="2">
        <v>41952</v>
      </c>
      <c r="N2033" s="1">
        <v>25</v>
      </c>
      <c r="O2033" s="2">
        <v>41952</v>
      </c>
      <c r="P2033" s="1">
        <v>24587</v>
      </c>
      <c r="Q2033" s="1" t="s">
        <v>197</v>
      </c>
      <c r="R2033" s="2">
        <v>41981</v>
      </c>
      <c r="S2033" s="1">
        <v>222546</v>
      </c>
      <c r="U2033" s="1">
        <v>6147</v>
      </c>
      <c r="V2033" s="1" t="s">
        <v>18460</v>
      </c>
      <c r="W2033" s="1" t="s">
        <v>1056</v>
      </c>
      <c r="X2033" s="1" t="s">
        <v>527</v>
      </c>
      <c r="Y2033" s="1">
        <v>4</v>
      </c>
      <c r="Z2033" s="1" t="s">
        <v>249</v>
      </c>
      <c r="AA2033" s="1" t="s">
        <v>1417</v>
      </c>
      <c r="AB2033" s="1">
        <v>60527</v>
      </c>
      <c r="AD2033" s="1" t="s">
        <v>18461</v>
      </c>
      <c r="AE2033" s="1" t="s">
        <v>18462</v>
      </c>
      <c r="AF2033" s="1">
        <v>1981</v>
      </c>
      <c r="AG2033" s="1" t="s">
        <v>204</v>
      </c>
      <c r="AH2033" s="1" t="s">
        <v>1419</v>
      </c>
      <c r="AI2033" s="1" t="s">
        <v>206</v>
      </c>
      <c r="AJ2033" s="1" t="s">
        <v>903</v>
      </c>
      <c r="AK2033" s="1" t="s">
        <v>4036</v>
      </c>
      <c r="AL2033" s="1">
        <v>6</v>
      </c>
      <c r="AM2033" s="1">
        <v>2</v>
      </c>
      <c r="AN2033" s="1">
        <v>2</v>
      </c>
      <c r="AO2033" s="1">
        <v>0</v>
      </c>
      <c r="AP2033" s="1" t="s">
        <v>209</v>
      </c>
      <c r="AR2033" s="1" t="s">
        <v>210</v>
      </c>
      <c r="AS2033" s="1" t="s">
        <v>204</v>
      </c>
      <c r="AT2033" s="1" t="s">
        <v>211</v>
      </c>
      <c r="AU2033" s="1">
        <v>1</v>
      </c>
      <c r="AW2033" s="1" t="s">
        <v>204</v>
      </c>
      <c r="AX2033" s="1" t="s">
        <v>212</v>
      </c>
      <c r="AZ2033" s="1">
        <v>2898</v>
      </c>
      <c r="BA2033" s="1">
        <v>2013</v>
      </c>
      <c r="BB2033" s="1" t="s">
        <v>599</v>
      </c>
      <c r="BE2033" s="1">
        <v>1356</v>
      </c>
      <c r="BF2033" s="1">
        <v>1</v>
      </c>
      <c r="BG2033" s="1">
        <v>0</v>
      </c>
      <c r="BJ2033" s="1">
        <v>100</v>
      </c>
      <c r="BL2033" s="1">
        <v>313</v>
      </c>
      <c r="BM2033" s="1" t="s">
        <v>204</v>
      </c>
      <c r="BN2033" s="1" t="s">
        <v>213</v>
      </c>
      <c r="BO2033" s="1">
        <v>40</v>
      </c>
      <c r="BP2033" s="1" t="s">
        <v>204</v>
      </c>
      <c r="BR2033" s="1" t="str">
        <f>"0914305101"</f>
        <v>0914305101</v>
      </c>
      <c r="BT2033" s="1" t="s">
        <v>18463</v>
      </c>
      <c r="BU2033" s="1" t="s">
        <v>2980</v>
      </c>
      <c r="BV2033" s="1" t="s">
        <v>2981</v>
      </c>
      <c r="BW2033" s="1" t="s">
        <v>1546</v>
      </c>
      <c r="BX2033" s="1">
        <v>60</v>
      </c>
      <c r="BY2033" s="1">
        <v>60</v>
      </c>
      <c r="BZ2033" s="1">
        <v>86</v>
      </c>
      <c r="CB2033" s="1" t="str">
        <f t="shared" ref="CB2033:CC2033" si="1552">"0"</f>
        <v>0</v>
      </c>
      <c r="CC2033" s="1" t="str">
        <f t="shared" si="1552"/>
        <v>0</v>
      </c>
      <c r="CD2033" s="1">
        <v>16</v>
      </c>
      <c r="CE2033" s="1">
        <v>6</v>
      </c>
      <c r="CG2033" s="1" t="s">
        <v>628</v>
      </c>
      <c r="CH2033" s="1" t="s">
        <v>219</v>
      </c>
      <c r="CI2033" s="1" t="s">
        <v>220</v>
      </c>
      <c r="CJ2033" s="1" t="s">
        <v>252</v>
      </c>
      <c r="CK2033" s="1" t="s">
        <v>669</v>
      </c>
      <c r="CL2033" s="1" t="s">
        <v>219</v>
      </c>
      <c r="CM2033" s="1" t="s">
        <v>220</v>
      </c>
      <c r="CN2033" s="1" t="s">
        <v>252</v>
      </c>
      <c r="CO2033" s="1" t="s">
        <v>408</v>
      </c>
      <c r="CP2033" s="1" t="s">
        <v>219</v>
      </c>
      <c r="CQ2033" s="1" t="s">
        <v>220</v>
      </c>
      <c r="CR2033" s="1" t="s">
        <v>210</v>
      </c>
      <c r="CS2033" s="1" t="s">
        <v>539</v>
      </c>
      <c r="CT2033" s="1" t="s">
        <v>219</v>
      </c>
      <c r="CU2033" s="1" t="s">
        <v>220</v>
      </c>
      <c r="CV2033" s="1" t="s">
        <v>252</v>
      </c>
      <c r="CX2033" s="1" t="s">
        <v>224</v>
      </c>
      <c r="DB2033" s="1" t="s">
        <v>224</v>
      </c>
      <c r="DE2033" s="1" t="s">
        <v>1297</v>
      </c>
      <c r="DF2033" s="1" t="s">
        <v>219</v>
      </c>
      <c r="DG2033" s="1" t="s">
        <v>438</v>
      </c>
      <c r="DH2033" s="1" t="s">
        <v>343</v>
      </c>
      <c r="DJ2033" s="1" t="s">
        <v>224</v>
      </c>
      <c r="DM2033" s="1" t="s">
        <v>1005</v>
      </c>
      <c r="DR2033" s="1" t="s">
        <v>379</v>
      </c>
      <c r="DS2033" s="1" t="s">
        <v>219</v>
      </c>
      <c r="DT2033" s="1" t="s">
        <v>220</v>
      </c>
      <c r="DU2033" s="1" t="s">
        <v>252</v>
      </c>
      <c r="DW2033" s="1" t="s">
        <v>230</v>
      </c>
      <c r="EA2033" s="1" t="s">
        <v>230</v>
      </c>
      <c r="EE2033" s="1" t="s">
        <v>230</v>
      </c>
      <c r="EI2033" s="1" t="s">
        <v>230</v>
      </c>
      <c r="EL2033" s="1" t="s">
        <v>231</v>
      </c>
      <c r="EM2033" s="1" t="s">
        <v>232</v>
      </c>
      <c r="EN2033" s="1" t="s">
        <v>282</v>
      </c>
      <c r="EO2033" s="1" t="s">
        <v>1020</v>
      </c>
      <c r="EP2033" s="1" t="s">
        <v>543</v>
      </c>
      <c r="EQ2033" s="1" t="s">
        <v>468</v>
      </c>
      <c r="ER2033" s="1" t="s">
        <v>210</v>
      </c>
      <c r="ES2033" s="1" t="s">
        <v>824</v>
      </c>
      <c r="EV2033" s="1" t="s">
        <v>352</v>
      </c>
      <c r="EW2033" s="1" t="s">
        <v>937</v>
      </c>
      <c r="EZ2033" s="1" t="s">
        <v>1005</v>
      </c>
      <c r="FA2033" s="1" t="s">
        <v>243</v>
      </c>
      <c r="FB2033" s="1" t="s">
        <v>1505</v>
      </c>
      <c r="FC2033" s="1" t="s">
        <v>1555</v>
      </c>
      <c r="FD2033" s="1" t="s">
        <v>888</v>
      </c>
      <c r="FE2033" s="1" t="s">
        <v>2016</v>
      </c>
      <c r="FF2033" s="1" t="s">
        <v>248</v>
      </c>
      <c r="FH2033" s="1" t="s">
        <v>1387</v>
      </c>
      <c r="FI2033" s="1" t="s">
        <v>473</v>
      </c>
      <c r="FJ2033" s="1" t="s">
        <v>197</v>
      </c>
      <c r="FL2033" s="1" t="s">
        <v>358</v>
      </c>
      <c r="FM2033" s="1" t="s">
        <v>252</v>
      </c>
      <c r="FN2033" s="1" t="s">
        <v>213</v>
      </c>
      <c r="FO2033" s="1" t="s">
        <v>213</v>
      </c>
      <c r="FQ2033" s="1" t="s">
        <v>793</v>
      </c>
      <c r="FR2033" s="1" t="s">
        <v>652</v>
      </c>
      <c r="FS2033" s="1" t="s">
        <v>18464</v>
      </c>
      <c r="FT2033" s="1" t="s">
        <v>295</v>
      </c>
      <c r="FU2033" s="1" t="s">
        <v>204</v>
      </c>
      <c r="FW2033" s="1" t="s">
        <v>5648</v>
      </c>
      <c r="FX2033" s="1">
        <v>23099</v>
      </c>
      <c r="FY2033" s="1" t="s">
        <v>5649</v>
      </c>
      <c r="FZ2033" s="1" t="s">
        <v>16407</v>
      </c>
      <c r="GA2033" s="1">
        <v>220929</v>
      </c>
      <c r="GB2033" s="1" t="s">
        <v>16408</v>
      </c>
      <c r="GE2033" s="1" t="s">
        <v>1576</v>
      </c>
      <c r="GI2033" s="1" t="s">
        <v>213</v>
      </c>
      <c r="GJ2033" s="1" t="s">
        <v>260</v>
      </c>
      <c r="GK2033" s="1" t="s">
        <v>261</v>
      </c>
      <c r="GL2033" s="2">
        <v>41981</v>
      </c>
      <c r="GM2033" s="1" t="s">
        <v>18465</v>
      </c>
    </row>
    <row r="2034" spans="1:195">
      <c r="A2034" s="1">
        <v>105000</v>
      </c>
      <c r="B2034" s="1" t="s">
        <v>195</v>
      </c>
      <c r="C2034" s="1" t="str">
        <f>"08745773"</f>
        <v>08745773</v>
      </c>
      <c r="D2034" s="1" t="s">
        <v>196</v>
      </c>
      <c r="F2034" s="1" t="str">
        <f>"515"</f>
        <v>515</v>
      </c>
      <c r="G2034" s="2">
        <v>41918</v>
      </c>
      <c r="H2034" s="1">
        <v>112900</v>
      </c>
      <c r="I2034" s="1">
        <v>109900</v>
      </c>
      <c r="J2034" s="1">
        <v>105000</v>
      </c>
      <c r="K2034" s="2">
        <v>41918</v>
      </c>
      <c r="L2034" s="1">
        <v>123</v>
      </c>
      <c r="M2034" s="2">
        <v>42040</v>
      </c>
      <c r="N2034" s="1">
        <v>123</v>
      </c>
      <c r="O2034" s="2">
        <v>42040</v>
      </c>
      <c r="P2034" s="1">
        <v>24294</v>
      </c>
      <c r="Q2034" s="1" t="s">
        <v>197</v>
      </c>
      <c r="R2034" s="2">
        <v>42104</v>
      </c>
      <c r="S2034" s="1">
        <v>219739</v>
      </c>
      <c r="U2034" s="1">
        <v>505</v>
      </c>
      <c r="V2034" s="1" t="s">
        <v>6039</v>
      </c>
      <c r="W2034" s="1" t="s">
        <v>264</v>
      </c>
      <c r="X2034" s="1">
        <v>409</v>
      </c>
      <c r="Y2034" s="1">
        <v>50</v>
      </c>
      <c r="Z2034" s="1" t="s">
        <v>249</v>
      </c>
      <c r="AA2034" s="1" t="s">
        <v>1294</v>
      </c>
      <c r="AB2034" s="1">
        <v>60516</v>
      </c>
      <c r="AD2034" s="1" t="s">
        <v>7011</v>
      </c>
      <c r="AE2034" s="1" t="s">
        <v>18466</v>
      </c>
      <c r="AF2034" s="1">
        <v>1969</v>
      </c>
      <c r="AG2034" s="1" t="s">
        <v>213</v>
      </c>
      <c r="AH2034" s="1" t="s">
        <v>882</v>
      </c>
      <c r="AI2034" s="1" t="s">
        <v>206</v>
      </c>
      <c r="AJ2034" s="1" t="s">
        <v>903</v>
      </c>
      <c r="AL2034" s="1">
        <v>5</v>
      </c>
      <c r="AM2034" s="1">
        <v>2</v>
      </c>
      <c r="AN2034" s="1">
        <v>1</v>
      </c>
      <c r="AO2034" s="1">
        <v>1</v>
      </c>
      <c r="AP2034" s="1" t="s">
        <v>209</v>
      </c>
      <c r="AR2034" s="1" t="s">
        <v>210</v>
      </c>
      <c r="AT2034" s="1" t="s">
        <v>375</v>
      </c>
      <c r="AU2034" s="1">
        <v>1</v>
      </c>
      <c r="AV2034" s="1">
        <v>2</v>
      </c>
      <c r="AW2034" s="1" t="s">
        <v>213</v>
      </c>
      <c r="AX2034" s="1" t="s">
        <v>212</v>
      </c>
      <c r="AZ2034" s="1">
        <v>1741</v>
      </c>
      <c r="BA2034" s="1">
        <v>2013</v>
      </c>
      <c r="BE2034" s="1">
        <v>1011</v>
      </c>
      <c r="BF2034" s="1">
        <v>4</v>
      </c>
      <c r="BG2034" s="1">
        <v>15</v>
      </c>
      <c r="BJ2034" s="1">
        <v>100</v>
      </c>
      <c r="BL2034" s="1">
        <v>322</v>
      </c>
      <c r="BM2034" s="1" t="s">
        <v>204</v>
      </c>
      <c r="BN2034" s="1" t="s">
        <v>213</v>
      </c>
      <c r="BO2034" s="1" t="s">
        <v>5590</v>
      </c>
      <c r="BP2034" s="1" t="s">
        <v>204</v>
      </c>
      <c r="BR2034" s="1" t="str">
        <f>"0932217042"</f>
        <v>0932217042</v>
      </c>
      <c r="BT2034" s="1" t="s">
        <v>18467</v>
      </c>
      <c r="BX2034" s="1">
        <v>66</v>
      </c>
      <c r="BY2034" s="1">
        <v>66</v>
      </c>
      <c r="BZ2034" s="1">
        <v>99</v>
      </c>
      <c r="CB2034" s="1" t="str">
        <f t="shared" ref="CB2034:CC2034" si="1553">""</f>
        <v/>
      </c>
      <c r="CC2034" s="1" t="str">
        <f t="shared" si="1553"/>
        <v/>
      </c>
      <c r="CG2034" s="1" t="s">
        <v>5267</v>
      </c>
      <c r="CH2034" s="1" t="s">
        <v>219</v>
      </c>
      <c r="CK2034" s="1" t="s">
        <v>757</v>
      </c>
      <c r="CL2034" s="1" t="s">
        <v>219</v>
      </c>
      <c r="CO2034" s="1" t="s">
        <v>516</v>
      </c>
      <c r="CP2034" s="1" t="s">
        <v>219</v>
      </c>
      <c r="CS2034" s="1" t="s">
        <v>346</v>
      </c>
      <c r="CT2034" s="1" t="s">
        <v>219</v>
      </c>
      <c r="CX2034" s="1" t="s">
        <v>224</v>
      </c>
      <c r="DB2034" s="1" t="s">
        <v>224</v>
      </c>
      <c r="DE2034" s="1" t="s">
        <v>2031</v>
      </c>
      <c r="DF2034" s="1" t="s">
        <v>219</v>
      </c>
      <c r="DJ2034" s="1" t="s">
        <v>224</v>
      </c>
      <c r="DS2034" s="1" t="s">
        <v>230</v>
      </c>
      <c r="DW2034" s="1" t="s">
        <v>230</v>
      </c>
      <c r="EA2034" s="1" t="s">
        <v>230</v>
      </c>
      <c r="EE2034" s="1" t="s">
        <v>230</v>
      </c>
      <c r="EI2034" s="1" t="s">
        <v>230</v>
      </c>
      <c r="EL2034" s="1" t="s">
        <v>605</v>
      </c>
      <c r="EM2034" s="1" t="s">
        <v>232</v>
      </c>
      <c r="EN2034" s="1" t="s">
        <v>282</v>
      </c>
      <c r="EO2034" s="1" t="s">
        <v>234</v>
      </c>
      <c r="ER2034" s="1" t="s">
        <v>210</v>
      </c>
      <c r="EU2034" s="1" t="s">
        <v>239</v>
      </c>
      <c r="EW2034" s="1" t="s">
        <v>733</v>
      </c>
      <c r="EZ2034" s="1" t="s">
        <v>287</v>
      </c>
      <c r="FC2034" s="1" t="s">
        <v>1555</v>
      </c>
      <c r="FD2034" s="1" t="s">
        <v>246</v>
      </c>
      <c r="FE2034" s="1" t="s">
        <v>247</v>
      </c>
      <c r="FF2034" s="1" t="s">
        <v>248</v>
      </c>
      <c r="FH2034" s="1" t="s">
        <v>249</v>
      </c>
      <c r="FL2034" s="1" t="s">
        <v>358</v>
      </c>
      <c r="FM2034" s="1" t="s">
        <v>252</v>
      </c>
      <c r="FN2034" s="1" t="s">
        <v>213</v>
      </c>
      <c r="FO2034" s="1" t="s">
        <v>213</v>
      </c>
      <c r="FQ2034" s="1" t="s">
        <v>3545</v>
      </c>
      <c r="FR2034" s="1" t="s">
        <v>210</v>
      </c>
      <c r="FS2034" s="1" t="s">
        <v>18468</v>
      </c>
      <c r="FT2034" s="1" t="s">
        <v>255</v>
      </c>
      <c r="FU2034" s="1" t="s">
        <v>204</v>
      </c>
      <c r="FW2034" s="1" t="s">
        <v>5202</v>
      </c>
      <c r="FX2034" s="1">
        <v>22067</v>
      </c>
      <c r="FY2034" s="1" t="s">
        <v>5203</v>
      </c>
      <c r="FZ2034" s="1" t="s">
        <v>5204</v>
      </c>
      <c r="GA2034" s="1">
        <v>213895</v>
      </c>
      <c r="GB2034" s="1" t="s">
        <v>5203</v>
      </c>
      <c r="GE2034" s="1" t="s">
        <v>210</v>
      </c>
      <c r="GI2034" s="1" t="s">
        <v>213</v>
      </c>
      <c r="GJ2034" s="1" t="s">
        <v>260</v>
      </c>
      <c r="GK2034" s="1" t="s">
        <v>210</v>
      </c>
      <c r="GL2034" s="2">
        <v>42104</v>
      </c>
      <c r="GM2034" s="1" t="s">
        <v>18469</v>
      </c>
    </row>
    <row r="2035" spans="1:195">
      <c r="A2035" s="1">
        <v>125500</v>
      </c>
      <c r="B2035" s="1" t="s">
        <v>195</v>
      </c>
      <c r="C2035" s="1" t="str">
        <f>"08750978"</f>
        <v>08750978</v>
      </c>
      <c r="D2035" s="1" t="s">
        <v>196</v>
      </c>
      <c r="F2035" s="1" t="str">
        <f>"187"</f>
        <v>187</v>
      </c>
      <c r="G2035" s="2">
        <v>41923</v>
      </c>
      <c r="H2035" s="1">
        <v>137900</v>
      </c>
      <c r="I2035" s="1">
        <v>129900</v>
      </c>
      <c r="J2035" s="1">
        <v>125500</v>
      </c>
      <c r="K2035" s="2">
        <v>41922</v>
      </c>
      <c r="L2035" s="1">
        <v>98</v>
      </c>
      <c r="M2035" s="2">
        <v>42019</v>
      </c>
      <c r="N2035" s="1">
        <v>98</v>
      </c>
      <c r="O2035" s="2">
        <v>42019</v>
      </c>
      <c r="P2035" s="1">
        <v>25088</v>
      </c>
      <c r="Q2035" s="1" t="s">
        <v>197</v>
      </c>
      <c r="R2035" s="2">
        <v>42073</v>
      </c>
      <c r="S2035" s="1">
        <v>219533</v>
      </c>
      <c r="U2035" s="1">
        <v>1827</v>
      </c>
      <c r="V2035" s="1" t="s">
        <v>18470</v>
      </c>
      <c r="W2035" s="1" t="s">
        <v>199</v>
      </c>
      <c r="X2035" s="1" t="s">
        <v>483</v>
      </c>
      <c r="Y2035" s="1">
        <v>4</v>
      </c>
      <c r="Z2035" s="1" t="s">
        <v>370</v>
      </c>
      <c r="AA2035" s="1" t="s">
        <v>964</v>
      </c>
      <c r="AB2035" s="1">
        <v>60189</v>
      </c>
      <c r="AE2035" s="1" t="s">
        <v>18471</v>
      </c>
      <c r="AF2035" s="1">
        <v>1977</v>
      </c>
      <c r="AG2035" s="1" t="s">
        <v>213</v>
      </c>
      <c r="AH2035" s="1" t="s">
        <v>967</v>
      </c>
      <c r="AI2035" s="1" t="s">
        <v>206</v>
      </c>
      <c r="AJ2035" s="1" t="s">
        <v>207</v>
      </c>
      <c r="AL2035" s="1">
        <v>5</v>
      </c>
      <c r="AM2035" s="1">
        <v>2</v>
      </c>
      <c r="AN2035" s="1">
        <v>1</v>
      </c>
      <c r="AO2035" s="1">
        <v>0</v>
      </c>
      <c r="AP2035" s="1" t="s">
        <v>667</v>
      </c>
      <c r="AR2035" s="1" t="s">
        <v>210</v>
      </c>
      <c r="AS2035" s="1" t="s">
        <v>204</v>
      </c>
      <c r="AT2035" s="1" t="s">
        <v>211</v>
      </c>
      <c r="AU2035" s="1">
        <v>1</v>
      </c>
      <c r="AW2035" s="1" t="s">
        <v>213</v>
      </c>
      <c r="AX2035" s="1" t="s">
        <v>212</v>
      </c>
      <c r="AZ2035" s="1">
        <v>2645.46</v>
      </c>
      <c r="BA2035" s="1">
        <v>2013</v>
      </c>
      <c r="BE2035" s="1">
        <v>1056</v>
      </c>
      <c r="BF2035" s="1">
        <v>1</v>
      </c>
      <c r="BG2035" s="1">
        <v>0</v>
      </c>
      <c r="BL2035" s="1">
        <v>320</v>
      </c>
      <c r="BM2035" s="1" t="s">
        <v>204</v>
      </c>
      <c r="BN2035" s="1" t="s">
        <v>213</v>
      </c>
      <c r="BO2035" s="1">
        <v>999</v>
      </c>
      <c r="BP2035" s="1" t="s">
        <v>204</v>
      </c>
      <c r="BR2035" s="1" t="str">
        <f>"0527107334"</f>
        <v>0527107334</v>
      </c>
      <c r="BT2035" s="1" t="s">
        <v>18472</v>
      </c>
      <c r="BU2035" s="1" t="s">
        <v>7734</v>
      </c>
      <c r="BV2035" s="1" t="s">
        <v>216</v>
      </c>
      <c r="BW2035" s="1" t="s">
        <v>217</v>
      </c>
      <c r="BX2035" s="1">
        <v>89</v>
      </c>
      <c r="BY2035" s="1">
        <v>89</v>
      </c>
      <c r="BZ2035" s="1">
        <v>87</v>
      </c>
      <c r="CB2035" s="1" t="str">
        <f t="shared" ref="CB2035:CC2035" si="1554">""</f>
        <v/>
      </c>
      <c r="CC2035" s="1" t="str">
        <f t="shared" si="1554"/>
        <v/>
      </c>
      <c r="CG2035" s="1" t="s">
        <v>6628</v>
      </c>
      <c r="CH2035" s="1" t="s">
        <v>219</v>
      </c>
      <c r="CI2035" s="1" t="s">
        <v>229</v>
      </c>
      <c r="CK2035" s="1" t="s">
        <v>602</v>
      </c>
      <c r="CL2035" s="1" t="s">
        <v>219</v>
      </c>
      <c r="CM2035" s="1" t="s">
        <v>220</v>
      </c>
      <c r="CO2035" s="1" t="s">
        <v>2982</v>
      </c>
      <c r="CP2035" s="1" t="s">
        <v>219</v>
      </c>
      <c r="CQ2035" s="1" t="s">
        <v>229</v>
      </c>
      <c r="CS2035" s="1" t="s">
        <v>1107</v>
      </c>
      <c r="CT2035" s="1" t="s">
        <v>219</v>
      </c>
      <c r="CX2035" s="1" t="s">
        <v>224</v>
      </c>
      <c r="DB2035" s="1" t="s">
        <v>224</v>
      </c>
      <c r="DE2035" s="1" t="s">
        <v>409</v>
      </c>
      <c r="DF2035" s="1" t="s">
        <v>219</v>
      </c>
      <c r="DG2035" s="1" t="s">
        <v>566</v>
      </c>
      <c r="DJ2035" s="1" t="s">
        <v>224</v>
      </c>
      <c r="DS2035" s="1" t="s">
        <v>230</v>
      </c>
      <c r="DW2035" s="1" t="s">
        <v>230</v>
      </c>
      <c r="EA2035" s="1" t="s">
        <v>230</v>
      </c>
      <c r="EE2035" s="1" t="s">
        <v>230</v>
      </c>
      <c r="EI2035" s="1" t="s">
        <v>230</v>
      </c>
      <c r="EL2035" s="1" t="s">
        <v>231</v>
      </c>
      <c r="EM2035" s="1" t="s">
        <v>232</v>
      </c>
      <c r="EN2035" s="1" t="s">
        <v>282</v>
      </c>
      <c r="EO2035" s="1" t="s">
        <v>234</v>
      </c>
      <c r="ER2035" s="1" t="s">
        <v>210</v>
      </c>
      <c r="EU2035" s="1" t="s">
        <v>18473</v>
      </c>
      <c r="EV2035" s="1" t="s">
        <v>240</v>
      </c>
      <c r="EW2035" s="1" t="s">
        <v>353</v>
      </c>
      <c r="EZ2035" s="1" t="s">
        <v>287</v>
      </c>
      <c r="FB2035" s="1" t="s">
        <v>289</v>
      </c>
      <c r="FD2035" s="1" t="s">
        <v>246</v>
      </c>
      <c r="FE2035" s="1" t="s">
        <v>18474</v>
      </c>
      <c r="FF2035" s="1" t="s">
        <v>248</v>
      </c>
      <c r="FH2035" s="1" t="s">
        <v>388</v>
      </c>
      <c r="FJ2035" s="1" t="s">
        <v>197</v>
      </c>
      <c r="FL2035" s="1" t="s">
        <v>414</v>
      </c>
      <c r="FM2035" s="1" t="s">
        <v>252</v>
      </c>
      <c r="FN2035" s="1" t="s">
        <v>213</v>
      </c>
      <c r="FO2035" s="1" t="s">
        <v>213</v>
      </c>
      <c r="FQ2035" s="1" t="s">
        <v>1473</v>
      </c>
      <c r="FR2035" s="1" t="s">
        <v>210</v>
      </c>
      <c r="FS2035" s="1" t="s">
        <v>18475</v>
      </c>
      <c r="FT2035" s="1" t="s">
        <v>18476</v>
      </c>
      <c r="FU2035" s="1" t="s">
        <v>204</v>
      </c>
      <c r="FW2035" s="1" t="s">
        <v>17782</v>
      </c>
      <c r="FX2035" s="1">
        <v>23848</v>
      </c>
      <c r="FY2035" s="1" t="s">
        <v>17783</v>
      </c>
      <c r="FZ2035" s="1" t="s">
        <v>18477</v>
      </c>
      <c r="GA2035" s="1">
        <v>253764</v>
      </c>
      <c r="GB2035" s="1" t="s">
        <v>18478</v>
      </c>
      <c r="GE2035" s="1" t="s">
        <v>480</v>
      </c>
      <c r="GI2035" s="1" t="s">
        <v>213</v>
      </c>
      <c r="GJ2035" s="1" t="s">
        <v>260</v>
      </c>
      <c r="GK2035" s="1" t="s">
        <v>210</v>
      </c>
      <c r="GL2035" s="2">
        <v>42073</v>
      </c>
      <c r="GM2035" s="1" t="s">
        <v>18479</v>
      </c>
    </row>
    <row r="2036" spans="1:195">
      <c r="A2036" s="1">
        <v>165000</v>
      </c>
      <c r="B2036" s="1" t="s">
        <v>195</v>
      </c>
      <c r="C2036" s="1" t="str">
        <f>"08747957"</f>
        <v>08747957</v>
      </c>
      <c r="D2036" s="1" t="s">
        <v>196</v>
      </c>
      <c r="F2036" s="1" t="str">
        <f>"60"</f>
        <v>60</v>
      </c>
      <c r="G2036" s="2">
        <v>41920</v>
      </c>
      <c r="H2036" s="1">
        <v>165000</v>
      </c>
      <c r="I2036" s="1">
        <v>165000</v>
      </c>
      <c r="J2036" s="1">
        <v>165000</v>
      </c>
      <c r="K2036" s="2">
        <v>41920</v>
      </c>
      <c r="L2036" s="1">
        <v>65</v>
      </c>
      <c r="M2036" s="2">
        <v>41984</v>
      </c>
      <c r="N2036" s="1">
        <v>65</v>
      </c>
      <c r="O2036" s="2">
        <v>41984</v>
      </c>
      <c r="P2036" s="1">
        <v>5104</v>
      </c>
      <c r="Q2036" s="1" t="s">
        <v>423</v>
      </c>
      <c r="R2036" s="2">
        <v>42038</v>
      </c>
      <c r="S2036" s="1">
        <v>51613</v>
      </c>
      <c r="U2036" s="1">
        <v>224</v>
      </c>
      <c r="V2036" s="1" t="s">
        <v>18480</v>
      </c>
      <c r="W2036" s="1" t="s">
        <v>449</v>
      </c>
      <c r="Y2036" s="1">
        <v>2</v>
      </c>
      <c r="Z2036" s="1" t="s">
        <v>200</v>
      </c>
      <c r="AA2036" s="1" t="s">
        <v>1689</v>
      </c>
      <c r="AB2036" s="1">
        <v>60060</v>
      </c>
      <c r="AD2036" s="1" t="s">
        <v>18481</v>
      </c>
      <c r="AE2036" s="1" t="s">
        <v>18482</v>
      </c>
      <c r="AF2036" s="1">
        <v>1988</v>
      </c>
      <c r="AG2036" s="1" t="s">
        <v>204</v>
      </c>
      <c r="AH2036" s="1" t="s">
        <v>1692</v>
      </c>
      <c r="AI2036" s="1" t="s">
        <v>509</v>
      </c>
      <c r="AJ2036" s="1" t="s">
        <v>9736</v>
      </c>
      <c r="AL2036" s="1">
        <v>6</v>
      </c>
      <c r="AM2036" s="1">
        <v>2</v>
      </c>
      <c r="AN2036" s="1">
        <v>1</v>
      </c>
      <c r="AO2036" s="1">
        <v>1</v>
      </c>
      <c r="AP2036" s="1" t="s">
        <v>667</v>
      </c>
      <c r="AR2036" s="1" t="s">
        <v>210</v>
      </c>
      <c r="AS2036" s="1" t="s">
        <v>204</v>
      </c>
      <c r="AT2036" s="1" t="s">
        <v>211</v>
      </c>
      <c r="AU2036" s="1">
        <v>1</v>
      </c>
      <c r="AW2036" s="1" t="s">
        <v>204</v>
      </c>
      <c r="AX2036" s="1" t="s">
        <v>1528</v>
      </c>
      <c r="AZ2036" s="1">
        <v>5081</v>
      </c>
      <c r="BA2036" s="1">
        <v>2013</v>
      </c>
      <c r="BB2036" s="1" t="s">
        <v>405</v>
      </c>
      <c r="BE2036" s="1">
        <v>1321</v>
      </c>
      <c r="BF2036" s="1">
        <v>1</v>
      </c>
      <c r="BG2036" s="1">
        <v>0</v>
      </c>
      <c r="BL2036" s="1">
        <v>0</v>
      </c>
      <c r="BM2036" s="1" t="s">
        <v>204</v>
      </c>
      <c r="BN2036" s="1" t="s">
        <v>213</v>
      </c>
      <c r="BO2036" s="1">
        <v>999</v>
      </c>
      <c r="BP2036" s="1" t="s">
        <v>204</v>
      </c>
      <c r="BR2036" s="1" t="str">
        <f>"10262030150000"</f>
        <v>10262030150000</v>
      </c>
      <c r="BT2036" s="1" t="s">
        <v>18483</v>
      </c>
      <c r="BU2036" s="1" t="s">
        <v>14024</v>
      </c>
      <c r="BV2036" s="1" t="s">
        <v>14025</v>
      </c>
      <c r="BW2036" s="1" t="s">
        <v>5840</v>
      </c>
      <c r="BX2036" s="1">
        <v>79</v>
      </c>
      <c r="BY2036" s="1">
        <v>79</v>
      </c>
      <c r="BZ2036" s="1">
        <v>120</v>
      </c>
      <c r="CB2036" s="1" t="str">
        <f>"28"</f>
        <v>28</v>
      </c>
      <c r="CC2036" s="1" t="str">
        <f>"0"</f>
        <v>0</v>
      </c>
      <c r="CD2036" s="1">
        <v>20</v>
      </c>
      <c r="CE2036" s="1">
        <v>0</v>
      </c>
      <c r="CG2036" s="1" t="s">
        <v>1178</v>
      </c>
      <c r="CH2036" s="1" t="s">
        <v>219</v>
      </c>
      <c r="CI2036" s="1" t="s">
        <v>220</v>
      </c>
      <c r="CJ2036" s="1" t="s">
        <v>343</v>
      </c>
      <c r="CK2036" s="1" t="s">
        <v>932</v>
      </c>
      <c r="CL2036" s="1" t="s">
        <v>219</v>
      </c>
      <c r="CM2036" s="1" t="s">
        <v>220</v>
      </c>
      <c r="CN2036" s="1" t="s">
        <v>343</v>
      </c>
      <c r="CO2036" s="1" t="s">
        <v>409</v>
      </c>
      <c r="CP2036" s="1" t="s">
        <v>219</v>
      </c>
      <c r="CQ2036" s="1" t="s">
        <v>220</v>
      </c>
      <c r="CR2036" s="1" t="s">
        <v>343</v>
      </c>
      <c r="CS2036" s="1" t="s">
        <v>378</v>
      </c>
      <c r="CT2036" s="1" t="s">
        <v>219</v>
      </c>
      <c r="CU2036" s="1" t="s">
        <v>220</v>
      </c>
      <c r="CV2036" s="1" t="s">
        <v>343</v>
      </c>
      <c r="CX2036" s="1" t="s">
        <v>224</v>
      </c>
      <c r="DB2036" s="1" t="s">
        <v>224</v>
      </c>
      <c r="DE2036" s="1" t="s">
        <v>378</v>
      </c>
      <c r="DF2036" s="1" t="s">
        <v>219</v>
      </c>
      <c r="DG2036" s="1" t="s">
        <v>342</v>
      </c>
      <c r="DH2036" s="1" t="s">
        <v>210</v>
      </c>
      <c r="DI2036" s="1" t="s">
        <v>581</v>
      </c>
      <c r="DJ2036" s="1" t="s">
        <v>219</v>
      </c>
      <c r="DK2036" s="1" t="s">
        <v>220</v>
      </c>
      <c r="DL2036" s="1" t="s">
        <v>343</v>
      </c>
      <c r="DM2036" s="1" t="s">
        <v>8767</v>
      </c>
      <c r="DR2036" s="1" t="s">
        <v>437</v>
      </c>
      <c r="DS2036" s="1" t="s">
        <v>219</v>
      </c>
      <c r="DT2036" s="1" t="s">
        <v>220</v>
      </c>
      <c r="DW2036" s="1" t="s">
        <v>230</v>
      </c>
      <c r="EA2036" s="1" t="s">
        <v>230</v>
      </c>
      <c r="EE2036" s="1" t="s">
        <v>230</v>
      </c>
      <c r="EI2036" s="1" t="s">
        <v>230</v>
      </c>
      <c r="EL2036" s="1" t="s">
        <v>542</v>
      </c>
      <c r="EM2036" s="1" t="s">
        <v>232</v>
      </c>
      <c r="EN2036" s="1" t="s">
        <v>282</v>
      </c>
      <c r="EO2036" s="1" t="s">
        <v>234</v>
      </c>
      <c r="EQ2036" s="1" t="s">
        <v>236</v>
      </c>
      <c r="ER2036" s="1" t="s">
        <v>210</v>
      </c>
      <c r="ES2036" s="1" t="s">
        <v>322</v>
      </c>
      <c r="EU2036" s="1" t="s">
        <v>546</v>
      </c>
      <c r="EV2036" s="1" t="s">
        <v>240</v>
      </c>
      <c r="EW2036" s="1" t="s">
        <v>210</v>
      </c>
      <c r="EZ2036" s="1" t="s">
        <v>8767</v>
      </c>
      <c r="FA2036" s="1" t="s">
        <v>471</v>
      </c>
      <c r="FD2036" s="1" t="s">
        <v>246</v>
      </c>
      <c r="FE2036" s="1" t="s">
        <v>472</v>
      </c>
      <c r="FF2036" s="1" t="s">
        <v>248</v>
      </c>
      <c r="FH2036" s="1" t="s">
        <v>442</v>
      </c>
      <c r="FI2036" s="1" t="s">
        <v>473</v>
      </c>
      <c r="FL2036" s="1" t="s">
        <v>358</v>
      </c>
      <c r="FM2036" s="1" t="s">
        <v>252</v>
      </c>
      <c r="FN2036" s="1" t="s">
        <v>213</v>
      </c>
      <c r="FO2036" s="1" t="s">
        <v>213</v>
      </c>
      <c r="FQ2036" s="1" t="s">
        <v>359</v>
      </c>
      <c r="FR2036" s="1" t="s">
        <v>210</v>
      </c>
      <c r="FS2036" s="1" t="s">
        <v>1535</v>
      </c>
      <c r="FT2036" s="1" t="s">
        <v>1408</v>
      </c>
      <c r="FU2036" s="1" t="s">
        <v>204</v>
      </c>
      <c r="FW2036" s="1" t="s">
        <v>256</v>
      </c>
      <c r="FX2036" s="1">
        <v>2648</v>
      </c>
      <c r="FY2036" s="1" t="s">
        <v>1022</v>
      </c>
      <c r="FZ2036" s="1" t="s">
        <v>1023</v>
      </c>
      <c r="GA2036" s="1">
        <v>13380</v>
      </c>
      <c r="GB2036" s="1" t="s">
        <v>1024</v>
      </c>
      <c r="GE2036" s="1" t="s">
        <v>210</v>
      </c>
      <c r="GI2036" s="1" t="s">
        <v>213</v>
      </c>
      <c r="GJ2036" s="1" t="s">
        <v>260</v>
      </c>
      <c r="GK2036" s="1" t="s">
        <v>210</v>
      </c>
      <c r="GL2036" s="2">
        <v>42040</v>
      </c>
      <c r="GM2036" s="1" t="s">
        <v>18484</v>
      </c>
    </row>
    <row r="2037" spans="1:195">
      <c r="A2037" s="1">
        <v>125000</v>
      </c>
      <c r="B2037" s="1" t="s">
        <v>195</v>
      </c>
      <c r="C2037" s="1" t="str">
        <f>"08742769"</f>
        <v>08742769</v>
      </c>
      <c r="D2037" s="1" t="s">
        <v>196</v>
      </c>
      <c r="F2037" s="1" t="str">
        <f>"172"</f>
        <v>172</v>
      </c>
      <c r="G2037" s="2">
        <v>41913</v>
      </c>
      <c r="H2037" s="1">
        <v>129900</v>
      </c>
      <c r="I2037" s="1">
        <v>129900</v>
      </c>
      <c r="J2037" s="1">
        <v>125000</v>
      </c>
      <c r="K2037" s="2">
        <v>41913</v>
      </c>
      <c r="L2037" s="1">
        <v>39</v>
      </c>
      <c r="M2037" s="2">
        <v>41951</v>
      </c>
      <c r="N2037" s="1">
        <v>39</v>
      </c>
      <c r="O2037" s="2">
        <v>41951</v>
      </c>
      <c r="P2037" s="1">
        <v>8100</v>
      </c>
      <c r="Q2037" s="1" t="s">
        <v>423</v>
      </c>
      <c r="R2037" s="2">
        <v>42013</v>
      </c>
      <c r="S2037" s="1">
        <v>84088</v>
      </c>
      <c r="U2037" s="1">
        <v>971</v>
      </c>
      <c r="V2037" s="1" t="s">
        <v>3948</v>
      </c>
      <c r="W2037" s="1" t="s">
        <v>526</v>
      </c>
      <c r="X2037" s="1" t="s">
        <v>11060</v>
      </c>
      <c r="Y2037" s="1">
        <v>4</v>
      </c>
      <c r="Z2037" s="1" t="s">
        <v>249</v>
      </c>
      <c r="AA2037" s="1" t="s">
        <v>266</v>
      </c>
      <c r="AB2037" s="1">
        <v>60172</v>
      </c>
      <c r="AC2037" s="1">
        <v>1281</v>
      </c>
      <c r="AD2037" s="1" t="s">
        <v>3950</v>
      </c>
      <c r="AE2037" s="1" t="s">
        <v>18485</v>
      </c>
      <c r="AF2037" s="1">
        <v>1982</v>
      </c>
      <c r="AG2037" s="1" t="s">
        <v>204</v>
      </c>
      <c r="AH2037" s="1" t="s">
        <v>3952</v>
      </c>
      <c r="AI2037" s="1" t="s">
        <v>310</v>
      </c>
      <c r="AJ2037" s="1" t="s">
        <v>1717</v>
      </c>
      <c r="AK2037" s="1" t="s">
        <v>1088</v>
      </c>
      <c r="AL2037" s="1">
        <v>5</v>
      </c>
      <c r="AM2037" s="1">
        <v>2</v>
      </c>
      <c r="AN2037" s="1">
        <v>1</v>
      </c>
      <c r="AO2037" s="1">
        <v>1</v>
      </c>
      <c r="AP2037" s="1" t="s">
        <v>209</v>
      </c>
      <c r="AR2037" s="1" t="s">
        <v>210</v>
      </c>
      <c r="AS2037" s="1" t="s">
        <v>204</v>
      </c>
      <c r="AT2037" s="1" t="s">
        <v>211</v>
      </c>
      <c r="AU2037" s="1">
        <v>1</v>
      </c>
      <c r="AW2037" s="1" t="s">
        <v>204</v>
      </c>
      <c r="AX2037" s="1" t="s">
        <v>212</v>
      </c>
      <c r="AZ2037" s="1">
        <v>2204.6799999999998</v>
      </c>
      <c r="BA2037" s="1">
        <v>2013</v>
      </c>
      <c r="BB2037" s="1" t="s">
        <v>405</v>
      </c>
      <c r="BE2037" s="1">
        <v>1200</v>
      </c>
      <c r="BF2037" s="1">
        <v>1</v>
      </c>
      <c r="BG2037" s="1">
        <v>0</v>
      </c>
      <c r="BL2037" s="1">
        <v>199</v>
      </c>
      <c r="BM2037" s="1" t="s">
        <v>204</v>
      </c>
      <c r="BN2037" s="1" t="s">
        <v>213</v>
      </c>
      <c r="BO2037" s="1">
        <v>999</v>
      </c>
      <c r="BP2037" s="1" t="s">
        <v>204</v>
      </c>
      <c r="BR2037" s="1" t="str">
        <f>"07354020091070"</f>
        <v>07354020091070</v>
      </c>
      <c r="BT2037" s="1" t="s">
        <v>18486</v>
      </c>
      <c r="BU2037" s="1" t="s">
        <v>3954</v>
      </c>
      <c r="BV2037" s="1" t="s">
        <v>18487</v>
      </c>
      <c r="BX2037" s="1">
        <v>54</v>
      </c>
      <c r="BY2037" s="1">
        <v>54</v>
      </c>
      <c r="BZ2037" s="1">
        <v>211</v>
      </c>
      <c r="CB2037" s="1" t="str">
        <f t="shared" ref="CB2037:CC2037" si="1555">""</f>
        <v/>
      </c>
      <c r="CC2037" s="1" t="str">
        <f t="shared" si="1555"/>
        <v/>
      </c>
      <c r="CG2037" s="1" t="s">
        <v>6639</v>
      </c>
      <c r="CH2037" s="1" t="s">
        <v>219</v>
      </c>
      <c r="CI2037" s="1" t="s">
        <v>220</v>
      </c>
      <c r="CJ2037" s="1" t="s">
        <v>463</v>
      </c>
      <c r="CK2037" s="1" t="s">
        <v>437</v>
      </c>
      <c r="CL2037" s="1" t="s">
        <v>219</v>
      </c>
      <c r="CM2037" s="1" t="s">
        <v>220</v>
      </c>
      <c r="CN2037" s="1" t="s">
        <v>463</v>
      </c>
      <c r="CO2037" s="1" t="s">
        <v>630</v>
      </c>
      <c r="CP2037" s="1" t="s">
        <v>219</v>
      </c>
      <c r="CQ2037" s="1" t="s">
        <v>220</v>
      </c>
      <c r="CR2037" s="1" t="s">
        <v>343</v>
      </c>
      <c r="CS2037" s="1" t="s">
        <v>346</v>
      </c>
      <c r="CT2037" s="1" t="s">
        <v>219</v>
      </c>
      <c r="CU2037" s="1" t="s">
        <v>220</v>
      </c>
      <c r="CV2037" s="1" t="s">
        <v>343</v>
      </c>
      <c r="CX2037" s="1" t="s">
        <v>224</v>
      </c>
      <c r="DB2037" s="1" t="s">
        <v>224</v>
      </c>
      <c r="DE2037" s="1" t="s">
        <v>318</v>
      </c>
      <c r="DF2037" s="1" t="s">
        <v>219</v>
      </c>
      <c r="DG2037" s="1" t="s">
        <v>226</v>
      </c>
      <c r="DH2037" s="1" t="s">
        <v>210</v>
      </c>
      <c r="DJ2037" s="1" t="s">
        <v>224</v>
      </c>
      <c r="DS2037" s="1" t="s">
        <v>230</v>
      </c>
      <c r="DW2037" s="1" t="s">
        <v>230</v>
      </c>
      <c r="EA2037" s="1" t="s">
        <v>230</v>
      </c>
      <c r="EE2037" s="1" t="s">
        <v>230</v>
      </c>
      <c r="EI2037" s="1" t="s">
        <v>230</v>
      </c>
      <c r="EL2037" s="1" t="s">
        <v>231</v>
      </c>
      <c r="EM2037" s="1" t="s">
        <v>730</v>
      </c>
      <c r="EN2037" s="1" t="s">
        <v>282</v>
      </c>
      <c r="EO2037" s="1" t="s">
        <v>234</v>
      </c>
      <c r="EP2037" s="1" t="s">
        <v>732</v>
      </c>
      <c r="EQ2037" s="1" t="s">
        <v>468</v>
      </c>
      <c r="ER2037" s="1" t="s">
        <v>1269</v>
      </c>
      <c r="ES2037" s="1" t="s">
        <v>608</v>
      </c>
      <c r="EU2037" s="1" t="s">
        <v>239</v>
      </c>
      <c r="EV2037" s="1" t="s">
        <v>352</v>
      </c>
      <c r="EW2037" s="1" t="s">
        <v>384</v>
      </c>
      <c r="EY2037" s="1" t="s">
        <v>242</v>
      </c>
      <c r="EZ2037" s="1" t="s">
        <v>287</v>
      </c>
      <c r="FA2037" s="1" t="s">
        <v>1754</v>
      </c>
      <c r="FB2037" s="1" t="s">
        <v>1505</v>
      </c>
      <c r="FC2037" s="1" t="s">
        <v>1362</v>
      </c>
      <c r="FD2037" s="1" t="s">
        <v>246</v>
      </c>
      <c r="FE2037" s="1" t="s">
        <v>247</v>
      </c>
      <c r="FF2037" s="1" t="s">
        <v>248</v>
      </c>
      <c r="FH2037" s="1" t="s">
        <v>249</v>
      </c>
      <c r="FI2037" s="1" t="s">
        <v>357</v>
      </c>
      <c r="FJ2037" s="1" t="s">
        <v>197</v>
      </c>
      <c r="FL2037" s="1" t="s">
        <v>358</v>
      </c>
      <c r="FM2037" s="1" t="s">
        <v>252</v>
      </c>
      <c r="FN2037" s="1" t="s">
        <v>213</v>
      </c>
      <c r="FO2037" s="1" t="s">
        <v>213</v>
      </c>
      <c r="FQ2037" s="1" t="s">
        <v>8675</v>
      </c>
      <c r="FR2037" s="1" t="s">
        <v>652</v>
      </c>
      <c r="FS2037" s="1" t="s">
        <v>18488</v>
      </c>
      <c r="FT2037" s="1" t="s">
        <v>295</v>
      </c>
      <c r="FU2037" s="1" t="s">
        <v>204</v>
      </c>
      <c r="FV2037" s="1" t="s">
        <v>18489</v>
      </c>
      <c r="FW2037" s="1" t="s">
        <v>17477</v>
      </c>
      <c r="FX2037" s="1">
        <v>24745</v>
      </c>
      <c r="FY2037" s="1" t="s">
        <v>17478</v>
      </c>
      <c r="FZ2037" s="1" t="s">
        <v>17477</v>
      </c>
      <c r="GA2037" s="1">
        <v>229989</v>
      </c>
      <c r="GB2037" s="1" t="s">
        <v>17478</v>
      </c>
      <c r="GD2037" s="1" t="s">
        <v>17479</v>
      </c>
      <c r="GE2037" s="1" t="s">
        <v>210</v>
      </c>
      <c r="GI2037" s="1" t="s">
        <v>204</v>
      </c>
      <c r="GJ2037" s="1" t="s">
        <v>260</v>
      </c>
      <c r="GK2037" s="1" t="s">
        <v>210</v>
      </c>
      <c r="GL2037" s="2">
        <v>42017</v>
      </c>
      <c r="GM2037" s="1" t="s">
        <v>18490</v>
      </c>
    </row>
    <row r="2038" spans="1:195">
      <c r="A2038" s="1">
        <v>86000</v>
      </c>
      <c r="B2038" s="1" t="s">
        <v>195</v>
      </c>
      <c r="C2038" s="1" t="str">
        <f>"08749679"</f>
        <v>08749679</v>
      </c>
      <c r="D2038" s="1" t="s">
        <v>196</v>
      </c>
      <c r="F2038" s="1" t="str">
        <f>"123"</f>
        <v>123</v>
      </c>
      <c r="G2038" s="2">
        <v>41921</v>
      </c>
      <c r="H2038" s="1">
        <v>99900</v>
      </c>
      <c r="I2038" s="1">
        <v>99900</v>
      </c>
      <c r="J2038" s="1">
        <v>86000</v>
      </c>
      <c r="K2038" s="2">
        <v>41921</v>
      </c>
      <c r="L2038" s="1">
        <v>28</v>
      </c>
      <c r="M2038" s="2">
        <v>41940</v>
      </c>
      <c r="N2038" s="1">
        <v>20</v>
      </c>
      <c r="O2038" s="2">
        <v>41940</v>
      </c>
      <c r="P2038" s="1">
        <v>4777</v>
      </c>
      <c r="Q2038" s="1" t="s">
        <v>197</v>
      </c>
      <c r="R2038" s="2">
        <v>41995</v>
      </c>
      <c r="S2038" s="1">
        <v>61410</v>
      </c>
      <c r="U2038" s="1">
        <v>365</v>
      </c>
      <c r="V2038" s="1" t="s">
        <v>3768</v>
      </c>
      <c r="W2038" s="1" t="s">
        <v>449</v>
      </c>
      <c r="X2038" s="1" t="s">
        <v>1688</v>
      </c>
      <c r="Y2038" s="1">
        <v>4</v>
      </c>
      <c r="Z2038" s="1" t="s">
        <v>249</v>
      </c>
      <c r="AA2038" s="1" t="s">
        <v>1173</v>
      </c>
      <c r="AB2038" s="1">
        <v>60120</v>
      </c>
      <c r="AD2038" s="1" t="s">
        <v>4419</v>
      </c>
      <c r="AE2038" s="1" t="s">
        <v>18491</v>
      </c>
      <c r="AF2038" s="1">
        <v>1994</v>
      </c>
      <c r="AG2038" s="1" t="s">
        <v>204</v>
      </c>
      <c r="AH2038" s="1" t="s">
        <v>1175</v>
      </c>
      <c r="AI2038" s="1" t="s">
        <v>310</v>
      </c>
      <c r="AJ2038" s="1" t="s">
        <v>374</v>
      </c>
      <c r="AK2038" s="1" t="s">
        <v>1088</v>
      </c>
      <c r="AL2038" s="1">
        <v>5</v>
      </c>
      <c r="AM2038" s="1">
        <v>2</v>
      </c>
      <c r="AN2038" s="1">
        <v>2</v>
      </c>
      <c r="AO2038" s="1">
        <v>0</v>
      </c>
      <c r="AP2038" s="1" t="s">
        <v>209</v>
      </c>
      <c r="AR2038" s="1" t="s">
        <v>210</v>
      </c>
      <c r="AS2038" s="1" t="s">
        <v>204</v>
      </c>
      <c r="AT2038" s="1" t="s">
        <v>211</v>
      </c>
      <c r="AU2038" s="1">
        <v>1</v>
      </c>
      <c r="AW2038" s="1" t="s">
        <v>204</v>
      </c>
      <c r="AX2038" s="1" t="s">
        <v>212</v>
      </c>
      <c r="AZ2038" s="1">
        <v>1601</v>
      </c>
      <c r="BA2038" s="1">
        <v>2013</v>
      </c>
      <c r="BB2038" s="1" t="s">
        <v>599</v>
      </c>
      <c r="BE2038" s="1">
        <v>1050</v>
      </c>
      <c r="BF2038" s="1">
        <v>1</v>
      </c>
      <c r="BG2038" s="1">
        <v>10</v>
      </c>
      <c r="BL2038" s="1">
        <v>144</v>
      </c>
      <c r="BM2038" s="1" t="s">
        <v>204</v>
      </c>
      <c r="BN2038" s="1" t="s">
        <v>213</v>
      </c>
      <c r="BO2038" s="1">
        <v>0</v>
      </c>
      <c r="BP2038" s="1" t="s">
        <v>204</v>
      </c>
      <c r="BR2038" s="1" t="str">
        <f>"06192100201055"</f>
        <v>06192100201055</v>
      </c>
      <c r="BT2038" s="1" t="s">
        <v>18492</v>
      </c>
      <c r="BX2038" s="1">
        <v>46</v>
      </c>
      <c r="BY2038" s="1">
        <v>46</v>
      </c>
      <c r="BZ2038" s="1">
        <v>46</v>
      </c>
      <c r="CB2038" s="1" t="str">
        <f t="shared" ref="CB2038:CC2038" si="1556">""</f>
        <v/>
      </c>
      <c r="CC2038" s="1" t="str">
        <f t="shared" si="1556"/>
        <v/>
      </c>
      <c r="CG2038" s="1" t="s">
        <v>729</v>
      </c>
      <c r="CH2038" s="1" t="s">
        <v>219</v>
      </c>
      <c r="CI2038" s="1" t="s">
        <v>220</v>
      </c>
      <c r="CK2038" s="1" t="s">
        <v>729</v>
      </c>
      <c r="CL2038" s="1" t="s">
        <v>219</v>
      </c>
      <c r="CM2038" s="1" t="s">
        <v>220</v>
      </c>
      <c r="CO2038" s="1" t="s">
        <v>837</v>
      </c>
      <c r="CP2038" s="1" t="s">
        <v>219</v>
      </c>
      <c r="CQ2038" s="1" t="s">
        <v>226</v>
      </c>
      <c r="CS2038" s="1" t="s">
        <v>379</v>
      </c>
      <c r="CT2038" s="1" t="s">
        <v>219</v>
      </c>
      <c r="CU2038" s="1" t="s">
        <v>220</v>
      </c>
      <c r="CX2038" s="1" t="s">
        <v>224</v>
      </c>
      <c r="DB2038" s="1" t="s">
        <v>224</v>
      </c>
      <c r="DE2038" s="1" t="s">
        <v>348</v>
      </c>
      <c r="DF2038" s="1" t="s">
        <v>219</v>
      </c>
      <c r="DG2038" s="1" t="s">
        <v>226</v>
      </c>
      <c r="DJ2038" s="1" t="s">
        <v>224</v>
      </c>
      <c r="DS2038" s="1" t="s">
        <v>230</v>
      </c>
      <c r="DW2038" s="1" t="s">
        <v>230</v>
      </c>
      <c r="EA2038" s="1" t="s">
        <v>230</v>
      </c>
      <c r="EE2038" s="1" t="s">
        <v>230</v>
      </c>
      <c r="EI2038" s="1" t="s">
        <v>230</v>
      </c>
      <c r="EL2038" s="1" t="s">
        <v>670</v>
      </c>
      <c r="EM2038" s="1" t="s">
        <v>319</v>
      </c>
      <c r="EN2038" s="1" t="s">
        <v>282</v>
      </c>
      <c r="EO2038" s="1" t="s">
        <v>234</v>
      </c>
      <c r="EP2038" s="1" t="s">
        <v>283</v>
      </c>
      <c r="EQ2038" s="1" t="s">
        <v>236</v>
      </c>
      <c r="ER2038" s="1" t="s">
        <v>210</v>
      </c>
      <c r="EU2038" s="1" t="s">
        <v>239</v>
      </c>
      <c r="EW2038" s="1" t="s">
        <v>911</v>
      </c>
      <c r="EZ2038" s="1" t="s">
        <v>287</v>
      </c>
      <c r="FA2038" s="1" t="s">
        <v>3915</v>
      </c>
      <c r="FB2038" s="1" t="s">
        <v>289</v>
      </c>
      <c r="FC2038" s="1" t="s">
        <v>633</v>
      </c>
      <c r="FD2038" s="1" t="s">
        <v>246</v>
      </c>
      <c r="FE2038" s="1" t="s">
        <v>247</v>
      </c>
      <c r="FF2038" s="1" t="s">
        <v>1113</v>
      </c>
      <c r="FH2038" s="1" t="s">
        <v>249</v>
      </c>
      <c r="FI2038" s="1" t="s">
        <v>473</v>
      </c>
      <c r="FL2038" s="1" t="s">
        <v>358</v>
      </c>
      <c r="FM2038" s="1" t="s">
        <v>252</v>
      </c>
      <c r="FN2038" s="1" t="s">
        <v>213</v>
      </c>
      <c r="FO2038" s="1" t="s">
        <v>213</v>
      </c>
      <c r="FQ2038" s="1" t="s">
        <v>1599</v>
      </c>
      <c r="FR2038" s="1" t="s">
        <v>210</v>
      </c>
      <c r="FS2038" s="1" t="s">
        <v>18493</v>
      </c>
      <c r="FT2038" s="1" t="s">
        <v>362</v>
      </c>
      <c r="FU2038" s="1" t="s">
        <v>204</v>
      </c>
      <c r="FW2038" s="1" t="s">
        <v>18494</v>
      </c>
      <c r="FX2038" s="1">
        <v>24746</v>
      </c>
      <c r="FY2038" s="1" t="s">
        <v>18495</v>
      </c>
      <c r="FZ2038" s="1" t="s">
        <v>18496</v>
      </c>
      <c r="GA2038" s="1">
        <v>242254</v>
      </c>
      <c r="GB2038" s="1" t="s">
        <v>18497</v>
      </c>
      <c r="GE2038" s="1" t="s">
        <v>210</v>
      </c>
      <c r="GI2038" s="1" t="s">
        <v>213</v>
      </c>
      <c r="GJ2038" s="1" t="s">
        <v>260</v>
      </c>
      <c r="GK2038" s="1" t="s">
        <v>210</v>
      </c>
      <c r="GL2038" s="2">
        <v>41995</v>
      </c>
      <c r="GM2038" s="1" t="s">
        <v>18498</v>
      </c>
    </row>
    <row r="2039" spans="1:195">
      <c r="A2039" s="1">
        <v>114000</v>
      </c>
      <c r="B2039" s="1" t="s">
        <v>195</v>
      </c>
      <c r="C2039" s="1" t="str">
        <f>"08749174"</f>
        <v>08749174</v>
      </c>
      <c r="D2039" s="1" t="s">
        <v>196</v>
      </c>
      <c r="F2039" s="1" t="str">
        <f>"46"</f>
        <v>46</v>
      </c>
      <c r="G2039" s="2">
        <v>41921</v>
      </c>
      <c r="H2039" s="1">
        <v>125000</v>
      </c>
      <c r="I2039" s="1">
        <v>120000</v>
      </c>
      <c r="J2039" s="1">
        <v>114000</v>
      </c>
      <c r="K2039" s="2">
        <v>41921</v>
      </c>
      <c r="L2039" s="1">
        <v>131</v>
      </c>
      <c r="M2039" s="2">
        <v>42051</v>
      </c>
      <c r="N2039" s="1">
        <v>131</v>
      </c>
      <c r="O2039" s="2">
        <v>42051</v>
      </c>
      <c r="P2039" s="1">
        <v>2648</v>
      </c>
      <c r="Q2039" s="1" t="s">
        <v>197</v>
      </c>
      <c r="R2039" s="2">
        <v>42114</v>
      </c>
      <c r="S2039" s="1">
        <v>13380</v>
      </c>
      <c r="U2039" s="1">
        <v>3098</v>
      </c>
      <c r="V2039" s="1" t="s">
        <v>2771</v>
      </c>
      <c r="W2039" s="1" t="s">
        <v>504</v>
      </c>
      <c r="X2039" s="1">
        <v>47</v>
      </c>
      <c r="Y2039" s="1">
        <v>5</v>
      </c>
      <c r="Z2039" s="1" t="s">
        <v>249</v>
      </c>
      <c r="AA2039" s="1" t="s">
        <v>2772</v>
      </c>
      <c r="AB2039" s="1">
        <v>60046</v>
      </c>
      <c r="AD2039" s="1" t="s">
        <v>2773</v>
      </c>
      <c r="AE2039" s="1" t="s">
        <v>18499</v>
      </c>
      <c r="AF2039" s="1">
        <v>1999</v>
      </c>
      <c r="AG2039" s="1" t="s">
        <v>204</v>
      </c>
      <c r="AH2039" s="1" t="s">
        <v>2775</v>
      </c>
      <c r="AI2039" s="1" t="s">
        <v>509</v>
      </c>
      <c r="AJ2039" s="1" t="s">
        <v>1437</v>
      </c>
      <c r="AL2039" s="1">
        <v>6</v>
      </c>
      <c r="AM2039" s="1">
        <v>2</v>
      </c>
      <c r="AN2039" s="1">
        <v>2</v>
      </c>
      <c r="AO2039" s="1">
        <v>0</v>
      </c>
      <c r="AP2039" s="1" t="s">
        <v>209</v>
      </c>
      <c r="AQ2039" s="1">
        <v>1</v>
      </c>
      <c r="AR2039" s="1" t="s">
        <v>210</v>
      </c>
      <c r="AS2039" s="1" t="s">
        <v>204</v>
      </c>
      <c r="AT2039" s="1" t="s">
        <v>375</v>
      </c>
      <c r="AU2039" s="1">
        <v>1</v>
      </c>
      <c r="AV2039" s="1">
        <v>1</v>
      </c>
      <c r="AW2039" s="1" t="s">
        <v>204</v>
      </c>
      <c r="AX2039" s="1" t="s">
        <v>212</v>
      </c>
      <c r="AZ2039" s="1">
        <v>4052.25</v>
      </c>
      <c r="BA2039" s="1">
        <v>2013</v>
      </c>
      <c r="BE2039" s="1">
        <v>1415</v>
      </c>
      <c r="BF2039" s="1">
        <v>2</v>
      </c>
      <c r="BG2039" s="1">
        <v>1</v>
      </c>
      <c r="BL2039" s="1">
        <v>266</v>
      </c>
      <c r="BM2039" s="1" t="s">
        <v>204</v>
      </c>
      <c r="BN2039" s="1" t="s">
        <v>213</v>
      </c>
      <c r="BO2039" s="1">
        <v>75</v>
      </c>
      <c r="BP2039" s="1" t="s">
        <v>204</v>
      </c>
      <c r="BR2039" s="1" t="str">
        <f>"06014012310000"</f>
        <v>06014012310000</v>
      </c>
      <c r="BT2039" s="1" t="s">
        <v>18500</v>
      </c>
      <c r="BU2039" s="1" t="s">
        <v>9591</v>
      </c>
      <c r="BV2039" s="1" t="s">
        <v>9591</v>
      </c>
      <c r="BW2039" s="1" t="s">
        <v>1843</v>
      </c>
      <c r="BX2039" s="1">
        <v>24</v>
      </c>
      <c r="BY2039" s="1">
        <v>24</v>
      </c>
      <c r="BZ2039" s="1">
        <v>127</v>
      </c>
      <c r="CB2039" s="1" t="str">
        <f t="shared" ref="CB2039:CC2039" si="1557">""</f>
        <v/>
      </c>
      <c r="CC2039" s="1" t="str">
        <f t="shared" si="1557"/>
        <v/>
      </c>
      <c r="CF2039" s="1" t="s">
        <v>7909</v>
      </c>
      <c r="CG2039" s="1" t="s">
        <v>1045</v>
      </c>
      <c r="CH2039" s="1" t="s">
        <v>277</v>
      </c>
      <c r="CI2039" s="1" t="s">
        <v>220</v>
      </c>
      <c r="CJ2039" s="1" t="s">
        <v>252</v>
      </c>
      <c r="CK2039" s="1" t="s">
        <v>538</v>
      </c>
      <c r="CL2039" s="1" t="s">
        <v>277</v>
      </c>
      <c r="CM2039" s="1" t="s">
        <v>220</v>
      </c>
      <c r="CO2039" s="1" t="s">
        <v>346</v>
      </c>
      <c r="CP2039" s="1" t="s">
        <v>277</v>
      </c>
      <c r="CQ2039" s="1" t="s">
        <v>220</v>
      </c>
      <c r="CR2039" s="1" t="s">
        <v>252</v>
      </c>
      <c r="CS2039" s="1" t="s">
        <v>757</v>
      </c>
      <c r="CT2039" s="1" t="s">
        <v>277</v>
      </c>
      <c r="CU2039" s="1" t="s">
        <v>220</v>
      </c>
      <c r="CV2039" s="1" t="s">
        <v>252</v>
      </c>
      <c r="CX2039" s="1" t="s">
        <v>224</v>
      </c>
      <c r="DB2039" s="1" t="s">
        <v>224</v>
      </c>
      <c r="DE2039" s="1" t="s">
        <v>281</v>
      </c>
      <c r="DF2039" s="1" t="s">
        <v>277</v>
      </c>
      <c r="DG2039" s="1" t="s">
        <v>229</v>
      </c>
      <c r="DH2039" s="1" t="s">
        <v>252</v>
      </c>
      <c r="DI2039" s="1" t="s">
        <v>1045</v>
      </c>
      <c r="DJ2039" s="1" t="s">
        <v>277</v>
      </c>
      <c r="DK2039" s="1" t="s">
        <v>220</v>
      </c>
      <c r="DL2039" s="1" t="s">
        <v>252</v>
      </c>
      <c r="DM2039" s="1" t="s">
        <v>709</v>
      </c>
      <c r="DR2039" s="1" t="s">
        <v>18501</v>
      </c>
      <c r="DS2039" s="1" t="s">
        <v>219</v>
      </c>
      <c r="DT2039" s="1" t="s">
        <v>220</v>
      </c>
      <c r="DU2039" s="1" t="s">
        <v>252</v>
      </c>
      <c r="DW2039" s="1" t="s">
        <v>230</v>
      </c>
      <c r="EA2039" s="1" t="s">
        <v>230</v>
      </c>
      <c r="EE2039" s="1" t="s">
        <v>230</v>
      </c>
      <c r="EI2039" s="1" t="s">
        <v>230</v>
      </c>
      <c r="EL2039" s="1" t="s">
        <v>466</v>
      </c>
      <c r="EM2039" s="1" t="s">
        <v>319</v>
      </c>
      <c r="EN2039" s="1" t="s">
        <v>282</v>
      </c>
      <c r="EO2039" s="1" t="s">
        <v>840</v>
      </c>
      <c r="EP2039" s="1" t="s">
        <v>18502</v>
      </c>
      <c r="EQ2039" s="1" t="s">
        <v>236</v>
      </c>
      <c r="ER2039" s="1" t="s">
        <v>383</v>
      </c>
      <c r="ES2039" s="1" t="s">
        <v>18503</v>
      </c>
      <c r="EU2039" s="1" t="s">
        <v>239</v>
      </c>
      <c r="EV2039" s="1" t="s">
        <v>240</v>
      </c>
      <c r="EW2039" s="1" t="s">
        <v>3255</v>
      </c>
      <c r="EY2039" s="1" t="s">
        <v>242</v>
      </c>
      <c r="EZ2039" s="1" t="s">
        <v>709</v>
      </c>
      <c r="FA2039" s="1" t="s">
        <v>714</v>
      </c>
      <c r="FB2039" s="1" t="s">
        <v>18504</v>
      </c>
      <c r="FC2039" s="1" t="s">
        <v>2470</v>
      </c>
      <c r="FD2039" s="1" t="s">
        <v>495</v>
      </c>
      <c r="FE2039" s="1" t="s">
        <v>472</v>
      </c>
      <c r="FF2039" s="1" t="s">
        <v>387</v>
      </c>
      <c r="FG2039" s="1" t="s">
        <v>16759</v>
      </c>
      <c r="FH2039" s="1" t="s">
        <v>249</v>
      </c>
      <c r="FI2039" s="1" t="s">
        <v>473</v>
      </c>
      <c r="FJ2039" s="1" t="s">
        <v>1472</v>
      </c>
      <c r="FK2039" s="1" t="s">
        <v>6365</v>
      </c>
      <c r="FL2039" s="1" t="s">
        <v>358</v>
      </c>
      <c r="FM2039" s="1" t="s">
        <v>252</v>
      </c>
      <c r="FN2039" s="1" t="s">
        <v>213</v>
      </c>
      <c r="FO2039" s="1" t="s">
        <v>213</v>
      </c>
      <c r="FQ2039" s="1" t="s">
        <v>1286</v>
      </c>
      <c r="FR2039" s="1" t="s">
        <v>652</v>
      </c>
      <c r="FS2039" s="1" t="s">
        <v>18505</v>
      </c>
      <c r="FT2039" s="1" t="s">
        <v>520</v>
      </c>
      <c r="FU2039" s="1" t="s">
        <v>204</v>
      </c>
      <c r="FW2039" s="1" t="s">
        <v>256</v>
      </c>
      <c r="FX2039" s="1">
        <v>2648</v>
      </c>
      <c r="FY2039" s="1" t="s">
        <v>1022</v>
      </c>
      <c r="FZ2039" s="1" t="s">
        <v>7914</v>
      </c>
      <c r="GA2039" s="1">
        <v>18414</v>
      </c>
      <c r="GB2039" s="1" t="s">
        <v>7915</v>
      </c>
      <c r="GC2039" s="1">
        <v>21233</v>
      </c>
      <c r="GD2039" s="1" t="s">
        <v>9239</v>
      </c>
      <c r="GE2039" s="1" t="s">
        <v>776</v>
      </c>
      <c r="GI2039" s="1" t="s">
        <v>213</v>
      </c>
      <c r="GJ2039" s="1" t="s">
        <v>260</v>
      </c>
      <c r="GK2039" s="1" t="s">
        <v>210</v>
      </c>
      <c r="GL2039" s="2">
        <v>42114</v>
      </c>
      <c r="GM2039" s="1" t="s">
        <v>18506</v>
      </c>
    </row>
    <row r="2040" spans="1:195">
      <c r="A2040" s="1">
        <v>270500</v>
      </c>
      <c r="B2040" s="1" t="s">
        <v>195</v>
      </c>
      <c r="C2040" s="1" t="str">
        <f>"08751620"</f>
        <v>08751620</v>
      </c>
      <c r="D2040" s="1" t="s">
        <v>196</v>
      </c>
      <c r="F2040" s="1" t="str">
        <f>"540"</f>
        <v>540</v>
      </c>
      <c r="G2040" s="2">
        <v>41925</v>
      </c>
      <c r="H2040" s="1">
        <v>289900</v>
      </c>
      <c r="I2040" s="1">
        <v>279900</v>
      </c>
      <c r="J2040" s="1">
        <v>270500</v>
      </c>
      <c r="K2040" s="2">
        <v>41923</v>
      </c>
      <c r="L2040" s="1">
        <v>340</v>
      </c>
      <c r="M2040" s="2">
        <v>41935</v>
      </c>
      <c r="N2040" s="1">
        <v>13</v>
      </c>
      <c r="O2040" s="2">
        <v>41935</v>
      </c>
      <c r="P2040" s="1">
        <v>23120</v>
      </c>
      <c r="Q2040" s="1" t="s">
        <v>197</v>
      </c>
      <c r="R2040" s="2">
        <v>41974</v>
      </c>
      <c r="S2040" s="1">
        <v>216799</v>
      </c>
      <c r="U2040" s="1">
        <v>1216</v>
      </c>
      <c r="V2040" s="1" t="s">
        <v>18507</v>
      </c>
      <c r="W2040" s="1" t="s">
        <v>304</v>
      </c>
      <c r="Y2040" s="1">
        <v>1</v>
      </c>
      <c r="Z2040" s="1" t="s">
        <v>370</v>
      </c>
      <c r="AA2040" s="1" t="s">
        <v>921</v>
      </c>
      <c r="AB2040" s="1">
        <v>60540</v>
      </c>
      <c r="AD2040" s="1" t="s">
        <v>18508</v>
      </c>
      <c r="AE2040" s="1" t="s">
        <v>18509</v>
      </c>
      <c r="AF2040" s="1">
        <v>1987</v>
      </c>
      <c r="AG2040" s="1" t="s">
        <v>204</v>
      </c>
      <c r="AH2040" s="1" t="s">
        <v>924</v>
      </c>
      <c r="AI2040" s="1" t="s">
        <v>206</v>
      </c>
      <c r="AJ2040" s="1" t="s">
        <v>925</v>
      </c>
      <c r="AL2040" s="1">
        <v>7</v>
      </c>
      <c r="AM2040" s="1">
        <v>2</v>
      </c>
      <c r="AN2040" s="1">
        <v>2</v>
      </c>
      <c r="AO2040" s="1">
        <v>1</v>
      </c>
      <c r="AP2040" s="1" t="s">
        <v>209</v>
      </c>
      <c r="AQ2040" s="1">
        <v>1</v>
      </c>
      <c r="AR2040" s="1" t="s">
        <v>209</v>
      </c>
      <c r="AS2040" s="1" t="s">
        <v>204</v>
      </c>
      <c r="AT2040" s="1" t="s">
        <v>211</v>
      </c>
      <c r="AU2040" s="1">
        <v>2</v>
      </c>
      <c r="AW2040" s="1" t="s">
        <v>204</v>
      </c>
      <c r="AX2040" s="1" t="s">
        <v>18510</v>
      </c>
      <c r="AZ2040" s="1">
        <v>5257</v>
      </c>
      <c r="BA2040" s="1">
        <v>2013</v>
      </c>
      <c r="BE2040" s="1">
        <v>1880</v>
      </c>
      <c r="BF2040" s="1">
        <v>1</v>
      </c>
      <c r="BG2040" s="1">
        <v>0</v>
      </c>
      <c r="BJ2040" s="1">
        <v>100</v>
      </c>
      <c r="BL2040" s="1">
        <v>293</v>
      </c>
      <c r="BM2040" s="1" t="s">
        <v>204</v>
      </c>
      <c r="BN2040" s="1" t="s">
        <v>213</v>
      </c>
      <c r="BO2040" s="1">
        <v>999</v>
      </c>
      <c r="BP2040" s="1" t="s">
        <v>204</v>
      </c>
      <c r="BR2040" s="1" t="str">
        <f>"0829203013"</f>
        <v>0829203013</v>
      </c>
      <c r="BT2040" s="1" t="s">
        <v>18511</v>
      </c>
      <c r="BU2040" s="1" t="s">
        <v>2495</v>
      </c>
      <c r="BV2040" s="1" t="s">
        <v>4937</v>
      </c>
      <c r="BW2040" s="1" t="s">
        <v>2825</v>
      </c>
      <c r="BX2040" s="1">
        <v>203</v>
      </c>
      <c r="BY2040" s="1">
        <v>203</v>
      </c>
      <c r="BZ2040" s="1">
        <v>203</v>
      </c>
      <c r="CB2040" s="1" t="str">
        <f t="shared" ref="CB2040:CC2040" si="1558">""</f>
        <v/>
      </c>
      <c r="CC2040" s="1" t="str">
        <f t="shared" si="1558"/>
        <v/>
      </c>
      <c r="CD2040" s="1">
        <v>25</v>
      </c>
      <c r="CE2040" s="1">
        <v>8</v>
      </c>
      <c r="CG2040" s="1" t="s">
        <v>315</v>
      </c>
      <c r="CH2040" s="1" t="s">
        <v>219</v>
      </c>
      <c r="CI2040" s="1" t="s">
        <v>220</v>
      </c>
      <c r="CJ2040" s="1" t="s">
        <v>210</v>
      </c>
      <c r="CK2040" s="1" t="s">
        <v>221</v>
      </c>
      <c r="CL2040" s="1" t="s">
        <v>277</v>
      </c>
      <c r="CM2040" s="1" t="s">
        <v>220</v>
      </c>
      <c r="CN2040" s="1" t="s">
        <v>463</v>
      </c>
      <c r="CO2040" s="1" t="s">
        <v>346</v>
      </c>
      <c r="CP2040" s="1" t="s">
        <v>219</v>
      </c>
      <c r="CQ2040" s="1" t="s">
        <v>220</v>
      </c>
      <c r="CR2040" s="1" t="s">
        <v>210</v>
      </c>
      <c r="CS2040" s="1" t="s">
        <v>837</v>
      </c>
      <c r="CT2040" s="1" t="s">
        <v>277</v>
      </c>
      <c r="CU2040" s="1" t="s">
        <v>220</v>
      </c>
      <c r="CV2040" s="1" t="s">
        <v>343</v>
      </c>
      <c r="CX2040" s="1" t="s">
        <v>224</v>
      </c>
      <c r="DB2040" s="1" t="s">
        <v>224</v>
      </c>
      <c r="DE2040" s="1" t="s">
        <v>281</v>
      </c>
      <c r="DF2040" s="1" t="s">
        <v>219</v>
      </c>
      <c r="DG2040" s="1" t="s">
        <v>438</v>
      </c>
      <c r="DH2040" s="1" t="s">
        <v>210</v>
      </c>
      <c r="DI2040" s="1" t="s">
        <v>538</v>
      </c>
      <c r="DJ2040" s="1" t="s">
        <v>219</v>
      </c>
      <c r="DK2040" s="1" t="s">
        <v>220</v>
      </c>
      <c r="DL2040" s="1" t="s">
        <v>343</v>
      </c>
      <c r="DM2040" s="1" t="s">
        <v>464</v>
      </c>
      <c r="DR2040" s="1" t="s">
        <v>461</v>
      </c>
      <c r="DS2040" s="1" t="s">
        <v>277</v>
      </c>
      <c r="DT2040" s="1" t="s">
        <v>220</v>
      </c>
      <c r="DW2040" s="1" t="s">
        <v>230</v>
      </c>
      <c r="EA2040" s="1" t="s">
        <v>230</v>
      </c>
      <c r="EE2040" s="1" t="s">
        <v>230</v>
      </c>
      <c r="EI2040" s="1" t="s">
        <v>230</v>
      </c>
      <c r="EL2040" s="1" t="s">
        <v>542</v>
      </c>
      <c r="EM2040" s="1" t="s">
        <v>730</v>
      </c>
      <c r="EN2040" s="1" t="s">
        <v>282</v>
      </c>
      <c r="EO2040" s="1" t="s">
        <v>840</v>
      </c>
      <c r="EP2040" s="1" t="s">
        <v>650</v>
      </c>
      <c r="EQ2040" s="1" t="s">
        <v>18512</v>
      </c>
      <c r="ER2040" s="1" t="s">
        <v>1249</v>
      </c>
      <c r="ES2040" s="1" t="s">
        <v>1791</v>
      </c>
      <c r="ET2040" s="1" t="s">
        <v>4177</v>
      </c>
      <c r="EU2040" s="1" t="s">
        <v>14162</v>
      </c>
      <c r="EV2040" s="1" t="s">
        <v>324</v>
      </c>
      <c r="EW2040" s="1" t="s">
        <v>353</v>
      </c>
      <c r="EY2040" s="1" t="s">
        <v>790</v>
      </c>
      <c r="EZ2040" s="1" t="s">
        <v>464</v>
      </c>
      <c r="FA2040" s="1" t="s">
        <v>18513</v>
      </c>
      <c r="FB2040" s="1" t="s">
        <v>289</v>
      </c>
      <c r="FD2040" s="1" t="s">
        <v>495</v>
      </c>
      <c r="FE2040" s="1" t="s">
        <v>18514</v>
      </c>
      <c r="FF2040" s="1" t="s">
        <v>248</v>
      </c>
      <c r="FG2040" s="1" t="s">
        <v>939</v>
      </c>
      <c r="FH2040" s="1" t="s">
        <v>550</v>
      </c>
      <c r="FI2040" s="1" t="s">
        <v>357</v>
      </c>
      <c r="FL2040" s="1" t="s">
        <v>358</v>
      </c>
      <c r="FM2040" s="1" t="s">
        <v>252</v>
      </c>
      <c r="FN2040" s="1" t="s">
        <v>213</v>
      </c>
      <c r="FO2040" s="1" t="s">
        <v>213</v>
      </c>
      <c r="FQ2040" s="1" t="s">
        <v>14290</v>
      </c>
      <c r="FR2040" s="1" t="s">
        <v>210</v>
      </c>
      <c r="FS2040" s="1" t="s">
        <v>4325</v>
      </c>
      <c r="FT2040" s="1" t="s">
        <v>295</v>
      </c>
      <c r="FU2040" s="1" t="s">
        <v>204</v>
      </c>
      <c r="FW2040" s="1" t="s">
        <v>943</v>
      </c>
      <c r="FX2040" s="1">
        <v>23120</v>
      </c>
      <c r="FY2040" s="1" t="s">
        <v>944</v>
      </c>
      <c r="FZ2040" s="1" t="s">
        <v>18515</v>
      </c>
      <c r="GA2040" s="1">
        <v>220443</v>
      </c>
      <c r="GB2040" s="1" t="s">
        <v>944</v>
      </c>
      <c r="GE2040" s="1" t="s">
        <v>658</v>
      </c>
      <c r="GI2040" s="1" t="s">
        <v>213</v>
      </c>
      <c r="GJ2040" s="1" t="s">
        <v>260</v>
      </c>
      <c r="GK2040" s="1" t="s">
        <v>210</v>
      </c>
      <c r="GL2040" s="2">
        <v>41975</v>
      </c>
      <c r="GM2040" s="1" t="s">
        <v>18516</v>
      </c>
    </row>
    <row r="2041" spans="1:195">
      <c r="A2041" s="1">
        <v>120000</v>
      </c>
      <c r="B2041" s="1" t="s">
        <v>195</v>
      </c>
      <c r="C2041" s="1" t="str">
        <f>"08751309"</f>
        <v>08751309</v>
      </c>
      <c r="D2041" s="1" t="s">
        <v>196</v>
      </c>
      <c r="F2041" s="1" t="str">
        <f>"30"</f>
        <v>30</v>
      </c>
      <c r="G2041" s="2">
        <v>41924</v>
      </c>
      <c r="H2041" s="1">
        <v>129900</v>
      </c>
      <c r="I2041" s="1">
        <v>129900</v>
      </c>
      <c r="J2041" s="1">
        <v>120000</v>
      </c>
      <c r="K2041" s="2">
        <v>41922</v>
      </c>
      <c r="L2041" s="1">
        <v>20</v>
      </c>
      <c r="M2041" s="2">
        <v>41941</v>
      </c>
      <c r="N2041" s="1">
        <v>20</v>
      </c>
      <c r="O2041" s="2">
        <v>41941</v>
      </c>
      <c r="P2041" s="1">
        <v>5027</v>
      </c>
      <c r="Q2041" s="1" t="s">
        <v>423</v>
      </c>
      <c r="R2041" s="2">
        <v>41969</v>
      </c>
      <c r="S2041" s="1">
        <v>55696</v>
      </c>
      <c r="T2041" s="1">
        <v>2000</v>
      </c>
      <c r="U2041" s="1">
        <v>828</v>
      </c>
      <c r="V2041" s="1" t="s">
        <v>6006</v>
      </c>
      <c r="W2041" s="1" t="s">
        <v>264</v>
      </c>
      <c r="Y2041" s="1">
        <v>2</v>
      </c>
      <c r="Z2041" s="1" t="s">
        <v>200</v>
      </c>
      <c r="AA2041" s="1" t="s">
        <v>1834</v>
      </c>
      <c r="AB2041" s="1">
        <v>60030</v>
      </c>
      <c r="AC2041" s="1">
        <v>1693</v>
      </c>
      <c r="AD2041" s="1" t="s">
        <v>7105</v>
      </c>
      <c r="AE2041" s="1" t="s">
        <v>18517</v>
      </c>
      <c r="AF2041" s="1">
        <v>1994</v>
      </c>
      <c r="AG2041" s="1" t="s">
        <v>204</v>
      </c>
      <c r="AH2041" s="1" t="s">
        <v>1837</v>
      </c>
      <c r="AI2041" s="1" t="s">
        <v>509</v>
      </c>
      <c r="AJ2041" s="1" t="s">
        <v>1263</v>
      </c>
      <c r="AL2041" s="1">
        <v>6</v>
      </c>
      <c r="AM2041" s="1">
        <v>2</v>
      </c>
      <c r="AN2041" s="1">
        <v>1</v>
      </c>
      <c r="AO2041" s="1">
        <v>1</v>
      </c>
      <c r="AP2041" s="1" t="s">
        <v>667</v>
      </c>
      <c r="AQ2041" s="1">
        <v>1</v>
      </c>
      <c r="AR2041" s="1" t="s">
        <v>210</v>
      </c>
      <c r="AS2041" s="1" t="s">
        <v>204</v>
      </c>
      <c r="AT2041" s="1" t="s">
        <v>211</v>
      </c>
      <c r="AU2041" s="1">
        <v>1</v>
      </c>
      <c r="AW2041" s="1" t="s">
        <v>204</v>
      </c>
      <c r="AX2041" s="1" t="s">
        <v>18518</v>
      </c>
      <c r="AZ2041" s="5">
        <v>6930.25</v>
      </c>
      <c r="BA2041" s="1">
        <v>2013</v>
      </c>
      <c r="BB2041" s="1" t="s">
        <v>210</v>
      </c>
      <c r="BE2041" s="1">
        <v>1273</v>
      </c>
      <c r="BF2041" s="1">
        <v>1</v>
      </c>
      <c r="BG2041" s="1">
        <v>0</v>
      </c>
      <c r="BL2041" s="1">
        <v>0</v>
      </c>
      <c r="BM2041" s="1" t="s">
        <v>204</v>
      </c>
      <c r="BN2041" s="1" t="s">
        <v>213</v>
      </c>
      <c r="BO2041" s="1">
        <v>0</v>
      </c>
      <c r="BP2041" s="1" t="s">
        <v>204</v>
      </c>
      <c r="BR2041" s="1" t="str">
        <f>"06251110070000"</f>
        <v>06251110070000</v>
      </c>
      <c r="BT2041" s="1" t="s">
        <v>18519</v>
      </c>
      <c r="BV2041" s="1" t="s">
        <v>1842</v>
      </c>
      <c r="BW2041" s="1" t="s">
        <v>2737</v>
      </c>
      <c r="BX2041" s="1">
        <v>46</v>
      </c>
      <c r="BY2041" s="1">
        <v>46</v>
      </c>
      <c r="BZ2041" s="1">
        <v>127</v>
      </c>
      <c r="CB2041" s="1" t="str">
        <f>"33"</f>
        <v>33</v>
      </c>
      <c r="CC2041" s="1" t="str">
        <f t="shared" ref="CC2041:CC2043" si="1559">"0"</f>
        <v>0</v>
      </c>
      <c r="CD2041" s="1">
        <v>19</v>
      </c>
      <c r="CE2041" s="1">
        <v>0</v>
      </c>
      <c r="CG2041" s="1" t="s">
        <v>863</v>
      </c>
      <c r="CH2041" s="1" t="s">
        <v>219</v>
      </c>
      <c r="CI2041" s="1" t="s">
        <v>229</v>
      </c>
      <c r="CK2041" s="1" t="s">
        <v>317</v>
      </c>
      <c r="CL2041" s="1" t="s">
        <v>219</v>
      </c>
      <c r="CM2041" s="1" t="s">
        <v>220</v>
      </c>
      <c r="CO2041" s="1" t="s">
        <v>409</v>
      </c>
      <c r="CP2041" s="1" t="s">
        <v>219</v>
      </c>
      <c r="CQ2041" s="1" t="s">
        <v>229</v>
      </c>
      <c r="CR2041" s="1" t="s">
        <v>210</v>
      </c>
      <c r="CS2041" s="1" t="s">
        <v>1046</v>
      </c>
      <c r="CT2041" s="1" t="s">
        <v>219</v>
      </c>
      <c r="CU2041" s="1" t="s">
        <v>220</v>
      </c>
      <c r="CX2041" s="1" t="s">
        <v>224</v>
      </c>
      <c r="DB2041" s="1" t="s">
        <v>224</v>
      </c>
      <c r="DE2041" s="1" t="s">
        <v>346</v>
      </c>
      <c r="DF2041" s="1" t="s">
        <v>219</v>
      </c>
      <c r="DG2041" s="1" t="s">
        <v>347</v>
      </c>
      <c r="DH2041" s="1" t="s">
        <v>210</v>
      </c>
      <c r="DI2041" s="1" t="s">
        <v>564</v>
      </c>
      <c r="DJ2041" s="1" t="s">
        <v>219</v>
      </c>
      <c r="DK2041" s="1" t="s">
        <v>347</v>
      </c>
      <c r="DM2041" s="1" t="s">
        <v>8767</v>
      </c>
      <c r="DR2041" s="1" t="s">
        <v>344</v>
      </c>
      <c r="DS2041" s="1" t="s">
        <v>219</v>
      </c>
      <c r="DT2041" s="1" t="s">
        <v>347</v>
      </c>
      <c r="DU2041" s="1" t="s">
        <v>210</v>
      </c>
      <c r="DW2041" s="1" t="s">
        <v>230</v>
      </c>
      <c r="EA2041" s="1" t="s">
        <v>230</v>
      </c>
      <c r="EE2041" s="1" t="s">
        <v>230</v>
      </c>
      <c r="EI2041" s="1" t="s">
        <v>230</v>
      </c>
      <c r="EL2041" s="1" t="s">
        <v>670</v>
      </c>
      <c r="EM2041" s="1" t="s">
        <v>319</v>
      </c>
      <c r="EN2041" s="1" t="s">
        <v>282</v>
      </c>
      <c r="EO2041" s="1" t="s">
        <v>234</v>
      </c>
      <c r="EP2041" s="1" t="s">
        <v>936</v>
      </c>
      <c r="EQ2041" s="1" t="s">
        <v>492</v>
      </c>
      <c r="ER2041" s="1" t="s">
        <v>383</v>
      </c>
      <c r="ES2041" s="1" t="s">
        <v>322</v>
      </c>
      <c r="EU2041" s="1" t="s">
        <v>546</v>
      </c>
      <c r="EV2041" s="1" t="s">
        <v>240</v>
      </c>
      <c r="EW2041" s="1" t="s">
        <v>210</v>
      </c>
      <c r="EY2041" s="1" t="s">
        <v>242</v>
      </c>
      <c r="EZ2041" s="1" t="s">
        <v>8767</v>
      </c>
      <c r="FA2041" s="1" t="s">
        <v>1726</v>
      </c>
      <c r="FD2041" s="1" t="s">
        <v>246</v>
      </c>
      <c r="FE2041" s="1" t="s">
        <v>355</v>
      </c>
      <c r="FF2041" s="1" t="s">
        <v>387</v>
      </c>
      <c r="FG2041" s="1" t="s">
        <v>5121</v>
      </c>
      <c r="FH2041" s="1" t="s">
        <v>442</v>
      </c>
      <c r="FI2041" s="1" t="s">
        <v>3300</v>
      </c>
      <c r="FJ2041" s="1" t="s">
        <v>518</v>
      </c>
      <c r="FL2041" s="1" t="s">
        <v>358</v>
      </c>
      <c r="FM2041" s="1" t="s">
        <v>252</v>
      </c>
      <c r="FN2041" s="1" t="s">
        <v>213</v>
      </c>
      <c r="FO2041" s="1" t="s">
        <v>213</v>
      </c>
      <c r="FQ2041" s="1" t="s">
        <v>1286</v>
      </c>
      <c r="FR2041" s="1" t="s">
        <v>210</v>
      </c>
      <c r="FS2041" s="1" t="s">
        <v>3919</v>
      </c>
      <c r="FT2041" s="1" t="s">
        <v>1408</v>
      </c>
      <c r="FU2041" s="1" t="s">
        <v>204</v>
      </c>
      <c r="FW2041" s="1" t="s">
        <v>1275</v>
      </c>
      <c r="FX2041" s="1">
        <v>2700</v>
      </c>
      <c r="FY2041" s="1" t="s">
        <v>1276</v>
      </c>
      <c r="FZ2041" s="1" t="s">
        <v>18520</v>
      </c>
      <c r="GA2041" s="1">
        <v>18303</v>
      </c>
      <c r="GB2041" s="1" t="s">
        <v>18521</v>
      </c>
      <c r="GE2041" s="1" t="s">
        <v>1256</v>
      </c>
      <c r="GI2041" s="1" t="s">
        <v>213</v>
      </c>
      <c r="GJ2041" s="1" t="s">
        <v>260</v>
      </c>
      <c r="GK2041" s="1" t="s">
        <v>210</v>
      </c>
      <c r="GL2041" s="2">
        <v>41969</v>
      </c>
    </row>
    <row r="2042" spans="1:195">
      <c r="A2042" s="1">
        <v>84000</v>
      </c>
      <c r="B2042" s="1" t="s">
        <v>195</v>
      </c>
      <c r="C2042" s="1" t="str">
        <f>"08743774"</f>
        <v>08743774</v>
      </c>
      <c r="D2042" s="1" t="s">
        <v>196</v>
      </c>
      <c r="F2042" s="1" t="str">
        <f>"160"</f>
        <v>160</v>
      </c>
      <c r="G2042" s="2">
        <v>41914</v>
      </c>
      <c r="H2042" s="1">
        <v>104900</v>
      </c>
      <c r="I2042" s="1">
        <v>89900</v>
      </c>
      <c r="J2042" s="1">
        <v>84000</v>
      </c>
      <c r="K2042" s="2">
        <v>41914</v>
      </c>
      <c r="L2042" s="1">
        <v>65</v>
      </c>
      <c r="M2042" s="2">
        <v>41978</v>
      </c>
      <c r="N2042" s="1">
        <v>65</v>
      </c>
      <c r="O2042" s="2">
        <v>41978</v>
      </c>
      <c r="P2042" s="1">
        <v>16634</v>
      </c>
      <c r="Q2042" s="1" t="s">
        <v>302</v>
      </c>
      <c r="R2042" s="2">
        <v>42048</v>
      </c>
      <c r="S2042" s="1">
        <v>150281</v>
      </c>
      <c r="U2042" s="1">
        <v>1620</v>
      </c>
      <c r="V2042" s="1" t="s">
        <v>8033</v>
      </c>
      <c r="W2042" s="1" t="s">
        <v>425</v>
      </c>
      <c r="Y2042" s="1">
        <v>2</v>
      </c>
      <c r="Z2042" s="1" t="s">
        <v>200</v>
      </c>
      <c r="AA2042" s="1" t="s">
        <v>426</v>
      </c>
      <c r="AB2042" s="1">
        <v>60160</v>
      </c>
      <c r="AE2042" s="1" t="s">
        <v>18522</v>
      </c>
      <c r="AF2042" s="1">
        <v>1944</v>
      </c>
      <c r="AG2042" s="1" t="s">
        <v>213</v>
      </c>
      <c r="AH2042" s="1" t="s">
        <v>428</v>
      </c>
      <c r="AI2042" s="1" t="s">
        <v>310</v>
      </c>
      <c r="AJ2042" s="1" t="s">
        <v>429</v>
      </c>
      <c r="AL2042" s="1">
        <v>5</v>
      </c>
      <c r="AM2042" s="1">
        <v>2</v>
      </c>
      <c r="AN2042" s="1">
        <v>1</v>
      </c>
      <c r="AO2042" s="1">
        <v>1</v>
      </c>
      <c r="AP2042" s="1" t="s">
        <v>210</v>
      </c>
      <c r="AR2042" s="1" t="s">
        <v>209</v>
      </c>
      <c r="AS2042" s="1" t="s">
        <v>213</v>
      </c>
      <c r="AT2042" s="1" t="s">
        <v>211</v>
      </c>
      <c r="AU2042" s="1">
        <v>1</v>
      </c>
      <c r="AW2042" s="1" t="s">
        <v>204</v>
      </c>
      <c r="AX2042" s="1" t="s">
        <v>8035</v>
      </c>
      <c r="AZ2042" s="1">
        <v>2756.93</v>
      </c>
      <c r="BA2042" s="1">
        <v>2012</v>
      </c>
      <c r="BE2042" s="1">
        <v>950</v>
      </c>
      <c r="BF2042" s="1">
        <v>1</v>
      </c>
      <c r="BG2042" s="1">
        <v>0</v>
      </c>
      <c r="BL2042" s="1">
        <v>0</v>
      </c>
      <c r="BM2042" s="1" t="s">
        <v>204</v>
      </c>
      <c r="BN2042" s="1" t="s">
        <v>213</v>
      </c>
      <c r="BO2042" s="1">
        <v>0</v>
      </c>
      <c r="BP2042" s="1" t="s">
        <v>204</v>
      </c>
      <c r="BR2042" s="1" t="str">
        <f>"15031190740000"</f>
        <v>15031190740000</v>
      </c>
      <c r="BT2042" s="1" t="s">
        <v>18523</v>
      </c>
      <c r="BX2042" s="1">
        <v>89</v>
      </c>
      <c r="BY2042" s="1">
        <v>89</v>
      </c>
      <c r="BZ2042" s="1">
        <v>209</v>
      </c>
      <c r="CB2042" s="1" t="str">
        <f>"1620"</f>
        <v>1620</v>
      </c>
      <c r="CC2042" s="1" t="str">
        <f t="shared" si="1559"/>
        <v>0</v>
      </c>
      <c r="CD2042" s="1">
        <v>11</v>
      </c>
      <c r="CE2042" s="1">
        <v>0</v>
      </c>
      <c r="CG2042" s="1" t="s">
        <v>437</v>
      </c>
      <c r="CH2042" s="1" t="s">
        <v>219</v>
      </c>
      <c r="CK2042" s="1" t="s">
        <v>437</v>
      </c>
      <c r="CL2042" s="1" t="s">
        <v>277</v>
      </c>
      <c r="CO2042" s="1" t="s">
        <v>786</v>
      </c>
      <c r="CP2042" s="1" t="s">
        <v>219</v>
      </c>
      <c r="CS2042" s="1" t="s">
        <v>1046</v>
      </c>
      <c r="CT2042" s="1" t="s">
        <v>277</v>
      </c>
      <c r="CX2042" s="1" t="s">
        <v>224</v>
      </c>
      <c r="DB2042" s="1" t="s">
        <v>224</v>
      </c>
      <c r="DE2042" s="1" t="s">
        <v>409</v>
      </c>
      <c r="DF2042" s="1" t="s">
        <v>219</v>
      </c>
      <c r="DJ2042" s="1" t="s">
        <v>224</v>
      </c>
      <c r="DS2042" s="1" t="s">
        <v>230</v>
      </c>
      <c r="DW2042" s="1" t="s">
        <v>230</v>
      </c>
      <c r="EA2042" s="1" t="s">
        <v>230</v>
      </c>
      <c r="EE2042" s="1" t="s">
        <v>230</v>
      </c>
      <c r="EI2042" s="1" t="s">
        <v>230</v>
      </c>
      <c r="EL2042" s="1" t="s">
        <v>3717</v>
      </c>
      <c r="EM2042" s="1" t="s">
        <v>730</v>
      </c>
      <c r="EN2042" s="1" t="s">
        <v>282</v>
      </c>
      <c r="EO2042" s="1" t="s">
        <v>3559</v>
      </c>
      <c r="ER2042" s="1" t="s">
        <v>789</v>
      </c>
      <c r="EW2042" s="1" t="s">
        <v>210</v>
      </c>
      <c r="EZ2042" s="1" t="s">
        <v>287</v>
      </c>
      <c r="FD2042" s="1" t="s">
        <v>246</v>
      </c>
      <c r="FE2042" s="1" t="s">
        <v>247</v>
      </c>
      <c r="FF2042" s="1" t="s">
        <v>248</v>
      </c>
      <c r="FH2042" s="1" t="s">
        <v>442</v>
      </c>
      <c r="FJ2042" s="1" t="s">
        <v>1472</v>
      </c>
      <c r="FL2042" s="1" t="s">
        <v>210</v>
      </c>
      <c r="FM2042" s="1" t="s">
        <v>210</v>
      </c>
      <c r="FN2042" s="1" t="s">
        <v>204</v>
      </c>
      <c r="FO2042" s="1" t="s">
        <v>204</v>
      </c>
      <c r="FQ2042" s="1" t="s">
        <v>18524</v>
      </c>
      <c r="FR2042" s="1" t="s">
        <v>210</v>
      </c>
      <c r="FS2042" s="1" t="s">
        <v>18525</v>
      </c>
      <c r="FT2042" s="1" t="s">
        <v>2609</v>
      </c>
      <c r="FU2042" s="1" t="s">
        <v>204</v>
      </c>
      <c r="FW2042" s="1" t="s">
        <v>9067</v>
      </c>
      <c r="FX2042" s="1">
        <v>84036</v>
      </c>
      <c r="FY2042" s="1" t="s">
        <v>9068</v>
      </c>
      <c r="FZ2042" s="1" t="s">
        <v>9069</v>
      </c>
      <c r="GA2042" s="1">
        <v>104172</v>
      </c>
      <c r="GB2042" s="1" t="s">
        <v>9068</v>
      </c>
      <c r="GC2042" s="1">
        <v>189090</v>
      </c>
      <c r="GE2042" s="1" t="s">
        <v>210</v>
      </c>
      <c r="GH2042" s="1" t="s">
        <v>230</v>
      </c>
      <c r="GI2042" s="1" t="s">
        <v>213</v>
      </c>
      <c r="GJ2042" s="1" t="s">
        <v>260</v>
      </c>
      <c r="GK2042" s="1" t="s">
        <v>210</v>
      </c>
      <c r="GL2042" s="2">
        <v>42048</v>
      </c>
      <c r="GM2042" s="1" t="s">
        <v>18526</v>
      </c>
    </row>
    <row r="2043" spans="1:195">
      <c r="A2043" s="1">
        <v>153000</v>
      </c>
      <c r="B2043" s="1" t="s">
        <v>195</v>
      </c>
      <c r="C2043" s="1" t="str">
        <f>"08748220"</f>
        <v>08748220</v>
      </c>
      <c r="D2043" s="1" t="s">
        <v>196</v>
      </c>
      <c r="F2043" s="1" t="str">
        <f>"107"</f>
        <v>107</v>
      </c>
      <c r="G2043" s="2">
        <v>41920</v>
      </c>
      <c r="H2043" s="1">
        <v>159900</v>
      </c>
      <c r="I2043" s="1">
        <v>159900</v>
      </c>
      <c r="J2043" s="1">
        <v>153000</v>
      </c>
      <c r="K2043" s="2">
        <v>41919</v>
      </c>
      <c r="L2043" s="1">
        <v>101</v>
      </c>
      <c r="M2043" s="2">
        <v>42019</v>
      </c>
      <c r="N2043" s="1">
        <v>101</v>
      </c>
      <c r="O2043" s="2">
        <v>42019</v>
      </c>
      <c r="P2043" s="1">
        <v>8079</v>
      </c>
      <c r="Q2043" s="1" t="s">
        <v>197</v>
      </c>
      <c r="R2043" s="2">
        <v>42058</v>
      </c>
      <c r="S2043" s="1">
        <v>241902</v>
      </c>
      <c r="T2043" s="1">
        <v>2.5</v>
      </c>
      <c r="U2043" s="1">
        <v>1920</v>
      </c>
      <c r="V2043" s="1" t="s">
        <v>18527</v>
      </c>
      <c r="W2043" s="1" t="s">
        <v>504</v>
      </c>
      <c r="Y2043" s="1">
        <v>6</v>
      </c>
      <c r="Z2043" s="1" t="s">
        <v>249</v>
      </c>
      <c r="AA2043" s="1" t="s">
        <v>1211</v>
      </c>
      <c r="AB2043" s="1">
        <v>60107</v>
      </c>
      <c r="AD2043" s="1" t="s">
        <v>18528</v>
      </c>
      <c r="AE2043" s="1" t="s">
        <v>18529</v>
      </c>
      <c r="AF2043" s="1">
        <v>1987</v>
      </c>
      <c r="AG2043" s="1" t="s">
        <v>204</v>
      </c>
      <c r="AH2043" s="1" t="s">
        <v>1214</v>
      </c>
      <c r="AI2043" s="1" t="s">
        <v>310</v>
      </c>
      <c r="AJ2043" s="1" t="s">
        <v>1717</v>
      </c>
      <c r="AL2043" s="1">
        <v>5</v>
      </c>
      <c r="AM2043" s="1">
        <v>2</v>
      </c>
      <c r="AN2043" s="1">
        <v>2</v>
      </c>
      <c r="AO2043" s="1">
        <v>0</v>
      </c>
      <c r="AP2043" s="1" t="s">
        <v>209</v>
      </c>
      <c r="AQ2043" s="1">
        <v>1</v>
      </c>
      <c r="AR2043" s="1" t="s">
        <v>210</v>
      </c>
      <c r="AS2043" s="1" t="s">
        <v>204</v>
      </c>
      <c r="AT2043" s="1" t="s">
        <v>211</v>
      </c>
      <c r="AU2043" s="1">
        <v>1</v>
      </c>
      <c r="AW2043" s="1" t="s">
        <v>204</v>
      </c>
      <c r="AX2043" s="1" t="s">
        <v>212</v>
      </c>
      <c r="AZ2043" s="1">
        <v>2400</v>
      </c>
      <c r="BA2043" s="1">
        <v>2013</v>
      </c>
      <c r="BB2043" s="1" t="s">
        <v>210</v>
      </c>
      <c r="BE2043" s="1">
        <v>0</v>
      </c>
      <c r="BF2043" s="1">
        <v>2</v>
      </c>
      <c r="BG2043" s="1">
        <v>0</v>
      </c>
      <c r="BL2043" s="1">
        <v>247</v>
      </c>
      <c r="BM2043" s="1" t="s">
        <v>204</v>
      </c>
      <c r="BN2043" s="1" t="s">
        <v>213</v>
      </c>
      <c r="BO2043" s="1">
        <v>0</v>
      </c>
      <c r="BP2043" s="1" t="s">
        <v>204</v>
      </c>
      <c r="BR2043" s="1" t="str">
        <f>"07183000181075"</f>
        <v>07183000181075</v>
      </c>
      <c r="BT2043" s="1" t="s">
        <v>18530</v>
      </c>
      <c r="BU2043" s="1" t="s">
        <v>2029</v>
      </c>
      <c r="BV2043" s="1" t="s">
        <v>3098</v>
      </c>
      <c r="BW2043" s="1" t="s">
        <v>2030</v>
      </c>
      <c r="BX2043" s="1">
        <v>54</v>
      </c>
      <c r="BY2043" s="1">
        <v>54</v>
      </c>
      <c r="BZ2043" s="1">
        <v>211</v>
      </c>
      <c r="CB2043" s="1" t="str">
        <f>"11"</f>
        <v>11</v>
      </c>
      <c r="CC2043" s="1" t="str">
        <f t="shared" si="1559"/>
        <v>0</v>
      </c>
      <c r="CD2043" s="1">
        <v>26</v>
      </c>
      <c r="CE2043" s="1">
        <v>0</v>
      </c>
      <c r="CG2043" s="1" t="s">
        <v>3808</v>
      </c>
      <c r="CH2043" s="1" t="s">
        <v>277</v>
      </c>
      <c r="CI2043" s="1" t="s">
        <v>229</v>
      </c>
      <c r="CJ2043" s="1" t="s">
        <v>343</v>
      </c>
      <c r="CK2043" s="1" t="s">
        <v>539</v>
      </c>
      <c r="CL2043" s="1" t="s">
        <v>277</v>
      </c>
      <c r="CM2043" s="1" t="s">
        <v>220</v>
      </c>
      <c r="CN2043" s="1" t="s">
        <v>343</v>
      </c>
      <c r="CO2043" s="1" t="s">
        <v>348</v>
      </c>
      <c r="CP2043" s="1" t="s">
        <v>277</v>
      </c>
      <c r="CQ2043" s="1" t="s">
        <v>220</v>
      </c>
      <c r="CS2043" s="1" t="s">
        <v>465</v>
      </c>
      <c r="CT2043" s="1" t="s">
        <v>277</v>
      </c>
      <c r="CU2043" s="1" t="s">
        <v>220</v>
      </c>
      <c r="CX2043" s="1" t="s">
        <v>224</v>
      </c>
      <c r="DB2043" s="1" t="s">
        <v>224</v>
      </c>
      <c r="DE2043" s="1" t="s">
        <v>3888</v>
      </c>
      <c r="DF2043" s="1" t="s">
        <v>277</v>
      </c>
      <c r="DG2043" s="1" t="s">
        <v>226</v>
      </c>
      <c r="DH2043" s="1" t="s">
        <v>343</v>
      </c>
      <c r="DJ2043" s="1" t="s">
        <v>224</v>
      </c>
      <c r="DS2043" s="1" t="s">
        <v>230</v>
      </c>
      <c r="DW2043" s="1" t="s">
        <v>230</v>
      </c>
      <c r="EA2043" s="1" t="s">
        <v>230</v>
      </c>
      <c r="EE2043" s="1" t="s">
        <v>230</v>
      </c>
      <c r="EI2043" s="1" t="s">
        <v>230</v>
      </c>
      <c r="EL2043" s="1" t="s">
        <v>542</v>
      </c>
      <c r="EM2043" s="1" t="s">
        <v>232</v>
      </c>
      <c r="EN2043" s="1" t="s">
        <v>282</v>
      </c>
      <c r="EO2043" s="1" t="s">
        <v>234</v>
      </c>
      <c r="EP2043" s="1" t="s">
        <v>18531</v>
      </c>
      <c r="EQ2043" s="1" t="s">
        <v>1094</v>
      </c>
      <c r="ER2043" s="1" t="s">
        <v>210</v>
      </c>
      <c r="ES2043" s="1" t="s">
        <v>322</v>
      </c>
      <c r="EV2043" s="1" t="s">
        <v>352</v>
      </c>
      <c r="EW2043" s="1" t="s">
        <v>1698</v>
      </c>
      <c r="EZ2043" s="1" t="s">
        <v>287</v>
      </c>
      <c r="FA2043" s="1" t="s">
        <v>714</v>
      </c>
      <c r="FB2043" s="1" t="s">
        <v>289</v>
      </c>
      <c r="FC2043" s="1" t="s">
        <v>548</v>
      </c>
      <c r="FD2043" s="1" t="s">
        <v>246</v>
      </c>
      <c r="FE2043" s="1" t="s">
        <v>386</v>
      </c>
      <c r="FF2043" s="1" t="s">
        <v>248</v>
      </c>
      <c r="FG2043" s="1" t="s">
        <v>2739</v>
      </c>
      <c r="FH2043" s="1" t="s">
        <v>825</v>
      </c>
      <c r="FJ2043" s="1" t="s">
        <v>1620</v>
      </c>
      <c r="FL2043" s="1" t="s">
        <v>358</v>
      </c>
      <c r="FM2043" s="1" t="s">
        <v>252</v>
      </c>
      <c r="FN2043" s="1" t="s">
        <v>213</v>
      </c>
      <c r="FO2043" s="1" t="s">
        <v>213</v>
      </c>
      <c r="FQ2043" s="1" t="s">
        <v>18532</v>
      </c>
      <c r="FR2043" s="1" t="s">
        <v>210</v>
      </c>
      <c r="FS2043" s="1" t="s">
        <v>18533</v>
      </c>
      <c r="FT2043" s="1" t="s">
        <v>295</v>
      </c>
      <c r="FU2043" s="1" t="s">
        <v>204</v>
      </c>
      <c r="FW2043" s="1" t="s">
        <v>4596</v>
      </c>
      <c r="FX2043" s="1">
        <v>8969</v>
      </c>
      <c r="FY2043" s="1" t="s">
        <v>4597</v>
      </c>
      <c r="FZ2043" s="1" t="s">
        <v>18534</v>
      </c>
      <c r="GA2043" s="1">
        <v>29046</v>
      </c>
      <c r="GB2043" s="1" t="s">
        <v>4597</v>
      </c>
      <c r="GE2043" s="1" t="s">
        <v>210</v>
      </c>
      <c r="GI2043" s="1" t="s">
        <v>213</v>
      </c>
      <c r="GJ2043" s="1" t="s">
        <v>260</v>
      </c>
      <c r="GK2043" s="1" t="s">
        <v>210</v>
      </c>
      <c r="GL2043" s="2">
        <v>42058</v>
      </c>
    </row>
    <row r="2044" spans="1:195">
      <c r="A2044" s="1">
        <v>145000</v>
      </c>
      <c r="B2044" s="1" t="s">
        <v>195</v>
      </c>
      <c r="C2044" s="1" t="str">
        <f>"08747781"</f>
        <v>08747781</v>
      </c>
      <c r="D2044" s="1" t="s">
        <v>196</v>
      </c>
      <c r="F2044" s="1" t="str">
        <f>"554"</f>
        <v>554</v>
      </c>
      <c r="G2044" s="2">
        <v>41920</v>
      </c>
      <c r="H2044" s="1">
        <v>159900</v>
      </c>
      <c r="I2044" s="1">
        <v>149900</v>
      </c>
      <c r="J2044" s="1">
        <v>145000</v>
      </c>
      <c r="K2044" s="2">
        <v>41920</v>
      </c>
      <c r="L2044" s="1">
        <v>87</v>
      </c>
      <c r="M2044" s="2">
        <v>42006</v>
      </c>
      <c r="N2044" s="1">
        <v>87</v>
      </c>
      <c r="O2044" s="2">
        <v>42006</v>
      </c>
      <c r="P2044" s="1">
        <v>300</v>
      </c>
      <c r="Q2044" s="1" t="s">
        <v>197</v>
      </c>
      <c r="R2044" s="2">
        <v>42046</v>
      </c>
      <c r="S2044" s="1">
        <v>313816</v>
      </c>
      <c r="U2044" s="1">
        <v>141</v>
      </c>
      <c r="V2044" s="1" t="s">
        <v>12842</v>
      </c>
      <c r="W2044" s="1" t="s">
        <v>425</v>
      </c>
      <c r="X2044" s="1" t="s">
        <v>527</v>
      </c>
      <c r="Y2044" s="1">
        <v>4</v>
      </c>
      <c r="Z2044" s="1" t="s">
        <v>370</v>
      </c>
      <c r="AA2044" s="1" t="s">
        <v>3443</v>
      </c>
      <c r="AB2044" s="1">
        <v>60554</v>
      </c>
      <c r="AD2044" s="1" t="s">
        <v>18535</v>
      </c>
      <c r="AE2044" s="1" t="s">
        <v>18536</v>
      </c>
      <c r="AF2044" s="1">
        <v>2004</v>
      </c>
      <c r="AG2044" s="1" t="s">
        <v>204</v>
      </c>
      <c r="AH2044" s="1" t="s">
        <v>3240</v>
      </c>
      <c r="AI2044" s="1" t="s">
        <v>665</v>
      </c>
      <c r="AJ2044" s="1" t="s">
        <v>3240</v>
      </c>
      <c r="AL2044" s="1">
        <v>5</v>
      </c>
      <c r="AM2044" s="1">
        <v>2</v>
      </c>
      <c r="AN2044" s="1">
        <v>2</v>
      </c>
      <c r="AO2044" s="1">
        <v>1</v>
      </c>
      <c r="AP2044" s="1" t="s">
        <v>209</v>
      </c>
      <c r="AQ2044" s="1">
        <v>0</v>
      </c>
      <c r="AR2044" s="1" t="s">
        <v>210</v>
      </c>
      <c r="AS2044" s="1" t="s">
        <v>204</v>
      </c>
      <c r="AT2044" s="1" t="s">
        <v>211</v>
      </c>
      <c r="AU2044" s="1">
        <v>2</v>
      </c>
      <c r="AW2044" s="1" t="s">
        <v>204</v>
      </c>
      <c r="AX2044" s="1" t="s">
        <v>212</v>
      </c>
      <c r="AZ2044" s="1">
        <v>4547</v>
      </c>
      <c r="BA2044" s="1">
        <v>2013</v>
      </c>
      <c r="BB2044" s="1" t="s">
        <v>405</v>
      </c>
      <c r="BC2044" s="1">
        <v>0</v>
      </c>
      <c r="BE2044" s="1">
        <v>1617</v>
      </c>
      <c r="BF2044" s="1">
        <v>1</v>
      </c>
      <c r="BG2044" s="1">
        <v>0</v>
      </c>
      <c r="BL2044" s="1">
        <v>127</v>
      </c>
      <c r="BM2044" s="1" t="s">
        <v>204</v>
      </c>
      <c r="BN2044" s="1" t="s">
        <v>213</v>
      </c>
      <c r="BO2044" s="1">
        <v>999</v>
      </c>
      <c r="BP2044" s="1" t="s">
        <v>204</v>
      </c>
      <c r="BR2044" s="1" t="str">
        <f>"1416152016"</f>
        <v>1416152016</v>
      </c>
      <c r="BT2044" s="1" t="s">
        <v>18537</v>
      </c>
      <c r="BV2044" s="1" t="s">
        <v>15332</v>
      </c>
      <c r="BW2044" s="1" t="s">
        <v>13190</v>
      </c>
      <c r="BX2044" s="1">
        <v>302</v>
      </c>
      <c r="BY2044" s="1">
        <v>302</v>
      </c>
      <c r="BZ2044" s="1">
        <v>302</v>
      </c>
      <c r="CB2044" s="1" t="str">
        <f t="shared" ref="CB2044:CC2044" si="1560">"0"</f>
        <v>0</v>
      </c>
      <c r="CC2044" s="1" t="str">
        <f t="shared" si="1560"/>
        <v>0</v>
      </c>
      <c r="CD2044" s="1">
        <v>41</v>
      </c>
      <c r="CE2044" s="1">
        <v>4</v>
      </c>
      <c r="CG2044" s="1" t="s">
        <v>5897</v>
      </c>
      <c r="CH2044" s="1" t="s">
        <v>219</v>
      </c>
      <c r="CI2044" s="1" t="s">
        <v>220</v>
      </c>
      <c r="CK2044" s="1" t="s">
        <v>221</v>
      </c>
      <c r="CL2044" s="1" t="s">
        <v>277</v>
      </c>
      <c r="CM2044" s="1" t="s">
        <v>220</v>
      </c>
      <c r="CP2044" s="1" t="s">
        <v>224</v>
      </c>
      <c r="CR2044" s="1" t="s">
        <v>210</v>
      </c>
      <c r="CS2044" s="1" t="s">
        <v>437</v>
      </c>
      <c r="CT2044" s="1" t="s">
        <v>277</v>
      </c>
      <c r="CU2044" s="1" t="s">
        <v>220</v>
      </c>
      <c r="CX2044" s="1" t="s">
        <v>224</v>
      </c>
      <c r="DB2044" s="1" t="s">
        <v>224</v>
      </c>
      <c r="DE2044" s="1" t="s">
        <v>379</v>
      </c>
      <c r="DF2044" s="1" t="s">
        <v>219</v>
      </c>
      <c r="DG2044" s="1" t="s">
        <v>342</v>
      </c>
      <c r="DJ2044" s="1" t="s">
        <v>224</v>
      </c>
      <c r="DM2044" s="1" t="s">
        <v>3011</v>
      </c>
      <c r="DN2044" s="1" t="s">
        <v>381</v>
      </c>
      <c r="DR2044" s="1" t="s">
        <v>18538</v>
      </c>
      <c r="DS2044" s="1" t="s">
        <v>219</v>
      </c>
      <c r="DT2044" s="1" t="s">
        <v>342</v>
      </c>
      <c r="DV2044" s="1" t="s">
        <v>380</v>
      </c>
      <c r="DW2044" s="1" t="s">
        <v>219</v>
      </c>
      <c r="DX2044" s="1" t="s">
        <v>342</v>
      </c>
      <c r="EA2044" s="1" t="s">
        <v>230</v>
      </c>
      <c r="EE2044" s="1" t="s">
        <v>230</v>
      </c>
      <c r="EI2044" s="1" t="s">
        <v>230</v>
      </c>
      <c r="EL2044" s="1" t="s">
        <v>491</v>
      </c>
      <c r="EM2044" s="1" t="s">
        <v>319</v>
      </c>
      <c r="EN2044" s="1" t="s">
        <v>282</v>
      </c>
      <c r="EO2044" s="1" t="s">
        <v>234</v>
      </c>
      <c r="EP2044" s="1" t="s">
        <v>2643</v>
      </c>
      <c r="ER2044" s="1" t="s">
        <v>210</v>
      </c>
      <c r="ES2044" s="1" t="s">
        <v>608</v>
      </c>
      <c r="ET2044" s="1" t="s">
        <v>866</v>
      </c>
      <c r="EU2044" s="1" t="s">
        <v>610</v>
      </c>
      <c r="EW2044" s="1" t="s">
        <v>353</v>
      </c>
      <c r="EY2044" s="1" t="s">
        <v>612</v>
      </c>
      <c r="EZ2044" s="1" t="s">
        <v>14328</v>
      </c>
      <c r="FC2044" s="1" t="s">
        <v>1405</v>
      </c>
      <c r="FD2044" s="1" t="s">
        <v>495</v>
      </c>
      <c r="FE2044" s="1" t="s">
        <v>355</v>
      </c>
      <c r="FF2044" s="1" t="s">
        <v>387</v>
      </c>
      <c r="FH2044" s="1" t="s">
        <v>550</v>
      </c>
      <c r="FI2044" s="1" t="s">
        <v>473</v>
      </c>
      <c r="FJ2044" s="1" t="s">
        <v>197</v>
      </c>
      <c r="FL2044" s="1" t="s">
        <v>358</v>
      </c>
      <c r="FM2044" s="1" t="s">
        <v>252</v>
      </c>
      <c r="FN2044" s="1" t="s">
        <v>213</v>
      </c>
      <c r="FO2044" s="1" t="s">
        <v>213</v>
      </c>
      <c r="FQ2044" s="1" t="s">
        <v>2091</v>
      </c>
      <c r="FR2044" s="1" t="s">
        <v>210</v>
      </c>
      <c r="FS2044" s="1" t="s">
        <v>2483</v>
      </c>
      <c r="FT2044" s="1" t="s">
        <v>295</v>
      </c>
      <c r="FU2044" s="1" t="s">
        <v>204</v>
      </c>
      <c r="FW2044" s="1" t="s">
        <v>813</v>
      </c>
      <c r="FX2044" s="1">
        <v>22588</v>
      </c>
      <c r="FY2044" s="1" t="s">
        <v>2685</v>
      </c>
      <c r="FZ2044" s="1" t="s">
        <v>14629</v>
      </c>
      <c r="GA2044" s="1">
        <v>222996</v>
      </c>
      <c r="GB2044" s="1" t="s">
        <v>14630</v>
      </c>
      <c r="GC2044" s="1">
        <v>222986</v>
      </c>
      <c r="GD2044" s="1" t="s">
        <v>14631</v>
      </c>
      <c r="GE2044" s="1" t="s">
        <v>480</v>
      </c>
      <c r="GH2044" s="1" t="s">
        <v>589</v>
      </c>
      <c r="GI2044" s="1" t="s">
        <v>213</v>
      </c>
      <c r="GJ2044" s="1" t="s">
        <v>260</v>
      </c>
      <c r="GK2044" s="1" t="s">
        <v>210</v>
      </c>
      <c r="GL2044" s="2">
        <v>42046</v>
      </c>
      <c r="GM2044" s="1" t="s">
        <v>18539</v>
      </c>
    </row>
    <row r="2045" spans="1:195">
      <c r="A2045" s="1">
        <v>95000</v>
      </c>
      <c r="B2045" s="1" t="s">
        <v>195</v>
      </c>
      <c r="C2045" s="1" t="str">
        <f>"08749921"</f>
        <v>08749921</v>
      </c>
      <c r="D2045" s="1" t="s">
        <v>196</v>
      </c>
      <c r="F2045" s="1" t="str">
        <f>"8041"</f>
        <v>8041</v>
      </c>
      <c r="G2045" s="2">
        <v>41922</v>
      </c>
      <c r="H2045" s="1">
        <v>153700</v>
      </c>
      <c r="I2045" s="1">
        <v>153700</v>
      </c>
      <c r="J2045" s="1">
        <v>95000</v>
      </c>
      <c r="K2045" s="2">
        <v>41922</v>
      </c>
      <c r="L2045" s="1">
        <v>144</v>
      </c>
      <c r="M2045" s="2">
        <v>42065</v>
      </c>
      <c r="N2045" s="1">
        <v>144</v>
      </c>
      <c r="O2045" s="2">
        <v>42065</v>
      </c>
      <c r="P2045" s="1" t="s">
        <v>1039</v>
      </c>
      <c r="Q2045" s="1" t="s">
        <v>197</v>
      </c>
      <c r="R2045" s="2">
        <v>42142</v>
      </c>
      <c r="S2045" s="1">
        <v>99999</v>
      </c>
      <c r="U2045" s="1">
        <v>1000</v>
      </c>
      <c r="V2045" s="1" t="s">
        <v>13848</v>
      </c>
      <c r="W2045" s="1" t="s">
        <v>725</v>
      </c>
      <c r="X2045" s="1" t="s">
        <v>18540</v>
      </c>
      <c r="Y2045" s="1">
        <v>6</v>
      </c>
      <c r="Z2045" s="1" t="s">
        <v>249</v>
      </c>
      <c r="AA2045" s="1" t="s">
        <v>400</v>
      </c>
      <c r="AB2045" s="1">
        <v>60615</v>
      </c>
      <c r="AE2045" s="1" t="s">
        <v>18541</v>
      </c>
      <c r="AF2045" s="1">
        <v>1975</v>
      </c>
      <c r="AG2045" s="1" t="s">
        <v>213</v>
      </c>
      <c r="AH2045" s="1" t="s">
        <v>403</v>
      </c>
      <c r="AI2045" s="1" t="s">
        <v>310</v>
      </c>
      <c r="AJ2045" s="1" t="s">
        <v>562</v>
      </c>
      <c r="AL2045" s="1">
        <v>5</v>
      </c>
      <c r="AM2045" s="1">
        <v>2</v>
      </c>
      <c r="AN2045" s="1">
        <v>1</v>
      </c>
      <c r="AO2045" s="1">
        <v>0</v>
      </c>
      <c r="AP2045" s="1" t="s">
        <v>210</v>
      </c>
      <c r="AR2045" s="1" t="s">
        <v>210</v>
      </c>
      <c r="AS2045" s="1" t="s">
        <v>204</v>
      </c>
      <c r="AT2045" s="1" t="s">
        <v>211</v>
      </c>
      <c r="AU2045" s="1">
        <v>1</v>
      </c>
      <c r="AW2045" s="1" t="s">
        <v>204</v>
      </c>
      <c r="AX2045" s="1" t="s">
        <v>212</v>
      </c>
      <c r="AZ2045" s="1">
        <v>1997.02</v>
      </c>
      <c r="BA2045" s="1">
        <v>2012</v>
      </c>
      <c r="BE2045" s="1">
        <v>1046</v>
      </c>
      <c r="BF2045" s="1">
        <v>4</v>
      </c>
      <c r="BG2045" s="1">
        <v>0</v>
      </c>
      <c r="BL2045" s="1">
        <v>603</v>
      </c>
      <c r="BM2045" s="1" t="s">
        <v>413</v>
      </c>
      <c r="BN2045" s="1" t="s">
        <v>204</v>
      </c>
      <c r="BP2045" s="1" t="s">
        <v>204</v>
      </c>
      <c r="BR2045" s="1" t="str">
        <f>"20113080621142"</f>
        <v>20113080621142</v>
      </c>
      <c r="BT2045" s="1" t="s">
        <v>3770</v>
      </c>
      <c r="BX2045" s="1">
        <v>299</v>
      </c>
      <c r="BY2045" s="1">
        <v>299</v>
      </c>
      <c r="BZ2045" s="1">
        <v>299</v>
      </c>
      <c r="CB2045" s="1" t="str">
        <f t="shared" ref="CB2045:CB2046" si="1561">"0"</f>
        <v>0</v>
      </c>
      <c r="CC2045" s="1" t="str">
        <f>"1000"</f>
        <v>1000</v>
      </c>
      <c r="CD2045" s="1">
        <v>0</v>
      </c>
      <c r="CE2045" s="1">
        <v>5300</v>
      </c>
      <c r="CG2045" s="1" t="s">
        <v>1267</v>
      </c>
      <c r="CH2045" s="1" t="s">
        <v>219</v>
      </c>
      <c r="CK2045" s="1" t="s">
        <v>437</v>
      </c>
      <c r="CL2045" s="1" t="s">
        <v>219</v>
      </c>
      <c r="CP2045" s="1" t="s">
        <v>224</v>
      </c>
      <c r="CS2045" s="1" t="s">
        <v>379</v>
      </c>
      <c r="CT2045" s="1" t="s">
        <v>219</v>
      </c>
      <c r="CX2045" s="1" t="s">
        <v>224</v>
      </c>
      <c r="DB2045" s="1" t="s">
        <v>224</v>
      </c>
      <c r="DE2045" s="1" t="s">
        <v>437</v>
      </c>
      <c r="DF2045" s="1" t="s">
        <v>219</v>
      </c>
      <c r="DI2045" s="1" t="s">
        <v>3913</v>
      </c>
      <c r="DJ2045" s="1" t="s">
        <v>219</v>
      </c>
      <c r="DS2045" s="1" t="s">
        <v>230</v>
      </c>
      <c r="DW2045" s="1" t="s">
        <v>230</v>
      </c>
      <c r="EA2045" s="1" t="s">
        <v>230</v>
      </c>
      <c r="EE2045" s="1" t="s">
        <v>230</v>
      </c>
      <c r="EI2045" s="1" t="s">
        <v>230</v>
      </c>
      <c r="EL2045" s="1" t="s">
        <v>231</v>
      </c>
      <c r="EM2045" s="1" t="s">
        <v>319</v>
      </c>
      <c r="EN2045" s="1" t="s">
        <v>282</v>
      </c>
      <c r="EO2045" s="1" t="s">
        <v>234</v>
      </c>
      <c r="ER2045" s="1" t="s">
        <v>210</v>
      </c>
      <c r="EW2045" s="1" t="s">
        <v>347</v>
      </c>
      <c r="EZ2045" s="1" t="s">
        <v>287</v>
      </c>
      <c r="FD2045" s="1" t="s">
        <v>1112</v>
      </c>
      <c r="FE2045" s="1" t="s">
        <v>247</v>
      </c>
      <c r="FF2045" s="1" t="s">
        <v>248</v>
      </c>
      <c r="FH2045" s="1" t="s">
        <v>249</v>
      </c>
      <c r="FJ2045" s="1" t="s">
        <v>1472</v>
      </c>
      <c r="FL2045" s="1" t="s">
        <v>358</v>
      </c>
      <c r="FM2045" s="1" t="s">
        <v>252</v>
      </c>
      <c r="FN2045" s="1" t="s">
        <v>213</v>
      </c>
      <c r="FO2045" s="1" t="s">
        <v>213</v>
      </c>
      <c r="FQ2045" s="1" t="s">
        <v>582</v>
      </c>
      <c r="FR2045" s="1" t="s">
        <v>210</v>
      </c>
      <c r="FS2045" s="1" t="s">
        <v>3772</v>
      </c>
      <c r="FT2045" s="1" t="s">
        <v>3773</v>
      </c>
      <c r="FU2045" s="1" t="s">
        <v>204</v>
      </c>
      <c r="FW2045" s="1" t="s">
        <v>3774</v>
      </c>
      <c r="FX2045" s="1">
        <v>1984</v>
      </c>
      <c r="FY2045" s="1" t="s">
        <v>3775</v>
      </c>
      <c r="FZ2045" s="1" t="s">
        <v>3776</v>
      </c>
      <c r="GA2045" s="1">
        <v>922950</v>
      </c>
      <c r="GE2045" s="1" t="s">
        <v>210</v>
      </c>
      <c r="GH2045" s="1" t="s">
        <v>800</v>
      </c>
      <c r="GI2045" s="1" t="s">
        <v>204</v>
      </c>
      <c r="GJ2045" s="1" t="s">
        <v>260</v>
      </c>
      <c r="GK2045" s="1" t="s">
        <v>210</v>
      </c>
      <c r="GL2045" s="2">
        <v>42144</v>
      </c>
      <c r="GM2045" s="1" t="s">
        <v>3777</v>
      </c>
    </row>
    <row r="2046" spans="1:195">
      <c r="A2046" s="1">
        <v>65000</v>
      </c>
      <c r="B2046" s="1" t="s">
        <v>195</v>
      </c>
      <c r="C2046" s="1" t="str">
        <f>"08750995"</f>
        <v>08750995</v>
      </c>
      <c r="D2046" s="1" t="s">
        <v>196</v>
      </c>
      <c r="F2046" s="1" t="str">
        <f>"8064"</f>
        <v>8064</v>
      </c>
      <c r="G2046" s="2">
        <v>41923</v>
      </c>
      <c r="H2046" s="1">
        <v>71900</v>
      </c>
      <c r="I2046" s="1">
        <v>67000</v>
      </c>
      <c r="J2046" s="1">
        <v>65000</v>
      </c>
      <c r="K2046" s="2">
        <v>41922</v>
      </c>
      <c r="L2046" s="1">
        <v>64</v>
      </c>
      <c r="M2046" s="2">
        <v>41985</v>
      </c>
      <c r="N2046" s="1">
        <v>64</v>
      </c>
      <c r="O2046" s="2">
        <v>41985</v>
      </c>
      <c r="P2046" s="1">
        <v>51041</v>
      </c>
      <c r="Q2046" s="1" t="s">
        <v>197</v>
      </c>
      <c r="R2046" s="2">
        <v>42033</v>
      </c>
      <c r="S2046" s="1">
        <v>240419</v>
      </c>
      <c r="U2046" s="1">
        <v>5919</v>
      </c>
      <c r="V2046" s="1" t="s">
        <v>4294</v>
      </c>
      <c r="W2046" s="1" t="s">
        <v>725</v>
      </c>
      <c r="X2046" s="1" t="s">
        <v>5413</v>
      </c>
      <c r="Y2046" s="1">
        <v>12</v>
      </c>
      <c r="Z2046" s="1" t="s">
        <v>249</v>
      </c>
      <c r="AA2046" s="1" t="s">
        <v>400</v>
      </c>
      <c r="AB2046" s="1">
        <v>60638</v>
      </c>
      <c r="AE2046" s="1" t="s">
        <v>18542</v>
      </c>
      <c r="AF2046" s="1" t="s">
        <v>402</v>
      </c>
      <c r="AG2046" s="1" t="s">
        <v>213</v>
      </c>
      <c r="AH2046" s="1" t="s">
        <v>403</v>
      </c>
      <c r="AI2046" s="1" t="s">
        <v>310</v>
      </c>
      <c r="AJ2046" s="1" t="s">
        <v>683</v>
      </c>
      <c r="AK2046" s="1" t="s">
        <v>270</v>
      </c>
      <c r="AL2046" s="1">
        <v>4</v>
      </c>
      <c r="AM2046" s="1">
        <v>2</v>
      </c>
      <c r="AN2046" s="1">
        <v>1</v>
      </c>
      <c r="AO2046" s="1">
        <v>0</v>
      </c>
      <c r="AP2046" s="1" t="s">
        <v>210</v>
      </c>
      <c r="AQ2046" s="1">
        <v>0</v>
      </c>
      <c r="AR2046" s="1" t="s">
        <v>210</v>
      </c>
      <c r="AS2046" s="1" t="s">
        <v>204</v>
      </c>
      <c r="AT2046" s="1" t="s">
        <v>271</v>
      </c>
      <c r="AV2046" s="1">
        <v>1</v>
      </c>
      <c r="AW2046" s="1" t="s">
        <v>204</v>
      </c>
      <c r="AX2046" s="1" t="s">
        <v>212</v>
      </c>
      <c r="AZ2046" s="1">
        <v>1208.72</v>
      </c>
      <c r="BA2046" s="1">
        <v>2012</v>
      </c>
      <c r="BB2046" s="1" t="s">
        <v>405</v>
      </c>
      <c r="BC2046" s="1">
        <v>0</v>
      </c>
      <c r="BE2046" s="1">
        <v>970</v>
      </c>
      <c r="BF2046" s="1">
        <v>2</v>
      </c>
      <c r="BG2046" s="1">
        <v>0</v>
      </c>
      <c r="BK2046" s="1">
        <v>9.6</v>
      </c>
      <c r="BL2046" s="1">
        <v>240</v>
      </c>
      <c r="BM2046" s="1" t="s">
        <v>204</v>
      </c>
      <c r="BN2046" s="1" t="s">
        <v>213</v>
      </c>
      <c r="BO2046" s="1">
        <v>25</v>
      </c>
      <c r="BP2046" s="1" t="s">
        <v>204</v>
      </c>
      <c r="BR2046" s="1" t="str">
        <f>"19202000501007"</f>
        <v>19202000501007</v>
      </c>
      <c r="BT2046" s="1" t="s">
        <v>18543</v>
      </c>
      <c r="BX2046" s="1">
        <v>299</v>
      </c>
      <c r="BY2046" s="1">
        <v>299</v>
      </c>
      <c r="BZ2046" s="1">
        <v>299</v>
      </c>
      <c r="CB2046" s="1" t="str">
        <f t="shared" si="1561"/>
        <v>0</v>
      </c>
      <c r="CC2046" s="1" t="str">
        <f>"0"</f>
        <v>0</v>
      </c>
      <c r="CD2046" s="1">
        <v>5919</v>
      </c>
      <c r="CE2046" s="1">
        <v>6300</v>
      </c>
      <c r="CG2046" s="1" t="s">
        <v>1155</v>
      </c>
      <c r="CH2046" s="1" t="s">
        <v>219</v>
      </c>
      <c r="CI2046" s="1" t="s">
        <v>438</v>
      </c>
      <c r="CK2046" s="1" t="s">
        <v>437</v>
      </c>
      <c r="CL2046" s="1" t="s">
        <v>219</v>
      </c>
      <c r="CM2046" s="1" t="s">
        <v>438</v>
      </c>
      <c r="CP2046" s="1" t="s">
        <v>224</v>
      </c>
      <c r="CQ2046" s="1" t="s">
        <v>438</v>
      </c>
      <c r="CS2046" s="1" t="s">
        <v>465</v>
      </c>
      <c r="CT2046" s="1" t="s">
        <v>219</v>
      </c>
      <c r="CU2046" s="1" t="s">
        <v>438</v>
      </c>
      <c r="CX2046" s="1" t="s">
        <v>224</v>
      </c>
      <c r="DB2046" s="1" t="s">
        <v>224</v>
      </c>
      <c r="DE2046" s="1" t="s">
        <v>344</v>
      </c>
      <c r="DF2046" s="1" t="s">
        <v>219</v>
      </c>
      <c r="DG2046" s="1" t="s">
        <v>438</v>
      </c>
      <c r="DJ2046" s="1" t="s">
        <v>224</v>
      </c>
      <c r="DS2046" s="1" t="s">
        <v>230</v>
      </c>
      <c r="DW2046" s="1" t="s">
        <v>230</v>
      </c>
      <c r="EA2046" s="1" t="s">
        <v>230</v>
      </c>
      <c r="EE2046" s="1" t="s">
        <v>230</v>
      </c>
      <c r="EI2046" s="1" t="s">
        <v>230</v>
      </c>
      <c r="EL2046" s="1" t="s">
        <v>670</v>
      </c>
      <c r="EM2046" s="1" t="s">
        <v>232</v>
      </c>
      <c r="EN2046" s="1" t="s">
        <v>731</v>
      </c>
      <c r="EO2046" s="1" t="s">
        <v>234</v>
      </c>
      <c r="EP2046" s="1" t="s">
        <v>18544</v>
      </c>
      <c r="EQ2046" s="1" t="s">
        <v>492</v>
      </c>
      <c r="ER2046" s="1" t="s">
        <v>210</v>
      </c>
      <c r="ES2046" s="1" t="s">
        <v>322</v>
      </c>
      <c r="ET2046" s="1" t="s">
        <v>1752</v>
      </c>
      <c r="EU2046" s="1" t="s">
        <v>5387</v>
      </c>
      <c r="EW2046" s="1" t="s">
        <v>733</v>
      </c>
      <c r="EZ2046" s="1" t="s">
        <v>287</v>
      </c>
      <c r="FB2046" s="1" t="s">
        <v>734</v>
      </c>
      <c r="FC2046" s="1" t="s">
        <v>326</v>
      </c>
      <c r="FD2046" s="1" t="s">
        <v>495</v>
      </c>
      <c r="FE2046" s="1" t="s">
        <v>247</v>
      </c>
      <c r="FF2046" s="1" t="s">
        <v>387</v>
      </c>
      <c r="FH2046" s="1" t="s">
        <v>249</v>
      </c>
      <c r="FK2046" s="1" t="s">
        <v>10248</v>
      </c>
      <c r="FL2046" s="1" t="s">
        <v>414</v>
      </c>
      <c r="FM2046" s="1" t="s">
        <v>252</v>
      </c>
      <c r="FN2046" s="1" t="s">
        <v>213</v>
      </c>
      <c r="FO2046" s="1" t="s">
        <v>213</v>
      </c>
      <c r="FQ2046" s="1" t="s">
        <v>2417</v>
      </c>
      <c r="FR2046" s="1" t="s">
        <v>210</v>
      </c>
      <c r="FS2046" s="1" t="s">
        <v>4370</v>
      </c>
      <c r="FT2046" s="1" t="s">
        <v>584</v>
      </c>
      <c r="FU2046" s="1" t="s">
        <v>204</v>
      </c>
      <c r="FW2046" s="1" t="s">
        <v>4372</v>
      </c>
      <c r="FX2046" s="1">
        <v>16416</v>
      </c>
      <c r="FY2046" s="1" t="s">
        <v>4373</v>
      </c>
      <c r="FZ2046" s="1" t="s">
        <v>18545</v>
      </c>
      <c r="GA2046" s="1">
        <v>150202</v>
      </c>
      <c r="GB2046" s="1" t="s">
        <v>4373</v>
      </c>
      <c r="GC2046" s="1">
        <v>143061</v>
      </c>
      <c r="GE2046" s="1" t="s">
        <v>1576</v>
      </c>
      <c r="GH2046" s="1" t="s">
        <v>589</v>
      </c>
      <c r="GI2046" s="1" t="s">
        <v>204</v>
      </c>
      <c r="GJ2046" s="1" t="s">
        <v>260</v>
      </c>
      <c r="GK2046" s="1" t="s">
        <v>210</v>
      </c>
      <c r="GL2046" s="2">
        <v>42039</v>
      </c>
      <c r="GM2046" s="1" t="s">
        <v>18546</v>
      </c>
    </row>
    <row r="2047" spans="1:195">
      <c r="A2047" s="1">
        <v>188500</v>
      </c>
      <c r="B2047" s="1" t="s">
        <v>195</v>
      </c>
      <c r="C2047" s="1" t="str">
        <f>"08744229"</f>
        <v>08744229</v>
      </c>
      <c r="D2047" s="1" t="s">
        <v>196</v>
      </c>
      <c r="F2047" s="1" t="str">
        <f>"148"</f>
        <v>148</v>
      </c>
      <c r="G2047" s="2">
        <v>41915</v>
      </c>
      <c r="H2047" s="1">
        <v>207500</v>
      </c>
      <c r="I2047" s="1">
        <v>199500</v>
      </c>
      <c r="J2047" s="1">
        <v>188500</v>
      </c>
      <c r="K2047" s="2">
        <v>41914</v>
      </c>
      <c r="L2047" s="1">
        <v>152</v>
      </c>
      <c r="M2047" s="2">
        <v>42065</v>
      </c>
      <c r="N2047" s="1">
        <v>152</v>
      </c>
      <c r="O2047" s="2">
        <v>42065</v>
      </c>
      <c r="P2047" s="1">
        <v>23099</v>
      </c>
      <c r="Q2047" s="1" t="s">
        <v>197</v>
      </c>
      <c r="R2047" s="2">
        <v>42123</v>
      </c>
      <c r="S2047" s="1">
        <v>236170</v>
      </c>
      <c r="U2047" s="1">
        <v>1125</v>
      </c>
      <c r="V2047" s="1" t="s">
        <v>1233</v>
      </c>
      <c r="W2047" s="1" t="s">
        <v>425</v>
      </c>
      <c r="Y2047" s="1">
        <v>4</v>
      </c>
      <c r="Z2047" s="1" t="s">
        <v>370</v>
      </c>
      <c r="AA2047" s="1" t="s">
        <v>1927</v>
      </c>
      <c r="AB2047" s="1">
        <v>60148</v>
      </c>
      <c r="AD2047" s="1" t="s">
        <v>14125</v>
      </c>
      <c r="AE2047" s="1" t="s">
        <v>18547</v>
      </c>
      <c r="AF2047" s="1">
        <v>1992</v>
      </c>
      <c r="AG2047" s="1" t="s">
        <v>204</v>
      </c>
      <c r="AH2047" s="1" t="s">
        <v>1930</v>
      </c>
      <c r="AI2047" s="1" t="s">
        <v>206</v>
      </c>
      <c r="AJ2047" s="1" t="s">
        <v>1608</v>
      </c>
      <c r="AK2047" s="1" t="s">
        <v>8565</v>
      </c>
      <c r="AL2047" s="1">
        <v>5</v>
      </c>
      <c r="AM2047" s="1">
        <v>2</v>
      </c>
      <c r="AN2047" s="1">
        <v>2</v>
      </c>
      <c r="AO2047" s="1">
        <v>1</v>
      </c>
      <c r="AP2047" s="1" t="s">
        <v>209</v>
      </c>
      <c r="AQ2047" s="1">
        <v>1</v>
      </c>
      <c r="AR2047" s="1" t="s">
        <v>210</v>
      </c>
      <c r="AT2047" s="1" t="s">
        <v>211</v>
      </c>
      <c r="AU2047" s="1">
        <v>1</v>
      </c>
      <c r="AW2047" s="1" t="s">
        <v>204</v>
      </c>
      <c r="AX2047" s="1" t="s">
        <v>212</v>
      </c>
      <c r="AZ2047" s="1">
        <v>3815</v>
      </c>
      <c r="BA2047" s="1">
        <v>2013</v>
      </c>
      <c r="BB2047" s="1" t="s">
        <v>210</v>
      </c>
      <c r="BE2047" s="1">
        <v>1079</v>
      </c>
      <c r="BF2047" s="1">
        <v>1</v>
      </c>
      <c r="BG2047" s="1">
        <v>0</v>
      </c>
      <c r="BL2047" s="1">
        <v>172</v>
      </c>
      <c r="BM2047" s="1" t="s">
        <v>204</v>
      </c>
      <c r="BN2047" s="1" t="s">
        <v>213</v>
      </c>
      <c r="BO2047" s="1">
        <v>999</v>
      </c>
      <c r="BP2047" s="1" t="s">
        <v>204</v>
      </c>
      <c r="BR2047" s="1" t="str">
        <f>"0616119068"</f>
        <v>0616119068</v>
      </c>
      <c r="BT2047" s="1" t="s">
        <v>18548</v>
      </c>
      <c r="BU2047" s="1" t="s">
        <v>4603</v>
      </c>
      <c r="BV2047" s="1" t="s">
        <v>2200</v>
      </c>
      <c r="BW2047" s="1" t="s">
        <v>2201</v>
      </c>
      <c r="BX2047" s="1">
        <v>45</v>
      </c>
      <c r="BY2047" s="1">
        <v>45</v>
      </c>
      <c r="BZ2047" s="1">
        <v>88</v>
      </c>
      <c r="CB2047" s="1" t="str">
        <f t="shared" ref="CB2047:CC2047" si="1562">""</f>
        <v/>
      </c>
      <c r="CC2047" s="1" t="str">
        <f t="shared" si="1562"/>
        <v/>
      </c>
      <c r="CG2047" s="1" t="s">
        <v>2402</v>
      </c>
      <c r="CH2047" s="1" t="s">
        <v>219</v>
      </c>
      <c r="CI2047" s="1" t="s">
        <v>438</v>
      </c>
      <c r="CK2047" s="1" t="s">
        <v>932</v>
      </c>
      <c r="CL2047" s="1" t="s">
        <v>277</v>
      </c>
      <c r="CM2047" s="1" t="s">
        <v>220</v>
      </c>
      <c r="CO2047" s="1" t="s">
        <v>1534</v>
      </c>
      <c r="CP2047" s="1" t="s">
        <v>219</v>
      </c>
      <c r="CQ2047" s="1" t="s">
        <v>438</v>
      </c>
      <c r="CS2047" s="1" t="s">
        <v>346</v>
      </c>
      <c r="CT2047" s="1" t="s">
        <v>277</v>
      </c>
      <c r="CU2047" s="1" t="s">
        <v>220</v>
      </c>
      <c r="CX2047" s="1" t="s">
        <v>224</v>
      </c>
      <c r="DB2047" s="1" t="s">
        <v>224</v>
      </c>
      <c r="DE2047" s="1" t="s">
        <v>18549</v>
      </c>
      <c r="DF2047" s="1" t="s">
        <v>219</v>
      </c>
      <c r="DG2047" s="1" t="s">
        <v>438</v>
      </c>
      <c r="DJ2047" s="1" t="s">
        <v>224</v>
      </c>
      <c r="DS2047" s="1" t="s">
        <v>230</v>
      </c>
      <c r="DW2047" s="1" t="s">
        <v>230</v>
      </c>
      <c r="EA2047" s="1" t="s">
        <v>230</v>
      </c>
      <c r="EE2047" s="1" t="s">
        <v>230</v>
      </c>
      <c r="EI2047" s="1" t="s">
        <v>230</v>
      </c>
      <c r="EL2047" s="1" t="s">
        <v>382</v>
      </c>
      <c r="EM2047" s="1" t="s">
        <v>232</v>
      </c>
      <c r="EN2047" s="1" t="s">
        <v>282</v>
      </c>
      <c r="EO2047" s="1" t="s">
        <v>234</v>
      </c>
      <c r="EQ2047" s="1" t="s">
        <v>236</v>
      </c>
      <c r="ER2047" s="1" t="s">
        <v>210</v>
      </c>
      <c r="ES2047" s="1" t="s">
        <v>322</v>
      </c>
      <c r="EW2047" s="1" t="s">
        <v>1219</v>
      </c>
      <c r="EZ2047" s="1" t="s">
        <v>287</v>
      </c>
      <c r="FA2047" s="1" t="s">
        <v>471</v>
      </c>
      <c r="FB2047" s="1" t="s">
        <v>289</v>
      </c>
      <c r="FD2047" s="1" t="s">
        <v>246</v>
      </c>
      <c r="FE2047" s="1" t="s">
        <v>355</v>
      </c>
      <c r="FF2047" s="1" t="s">
        <v>248</v>
      </c>
      <c r="FG2047" s="1" t="s">
        <v>912</v>
      </c>
      <c r="FH2047" s="1" t="s">
        <v>550</v>
      </c>
      <c r="FI2047" s="1" t="s">
        <v>357</v>
      </c>
      <c r="FL2047" s="1" t="s">
        <v>358</v>
      </c>
      <c r="FM2047" s="1" t="s">
        <v>252</v>
      </c>
      <c r="FN2047" s="1" t="s">
        <v>213</v>
      </c>
      <c r="FO2047" s="1" t="s">
        <v>213</v>
      </c>
      <c r="FQ2047" s="1" t="s">
        <v>18160</v>
      </c>
      <c r="FR2047" s="1" t="s">
        <v>210</v>
      </c>
      <c r="FS2047" s="1" t="s">
        <v>18161</v>
      </c>
      <c r="FT2047" s="1" t="s">
        <v>18550</v>
      </c>
      <c r="FU2047" s="1" t="s">
        <v>204</v>
      </c>
      <c r="FW2047" s="1" t="s">
        <v>256</v>
      </c>
      <c r="FX2047" s="1">
        <v>25163</v>
      </c>
      <c r="FY2047" s="1" t="s">
        <v>257</v>
      </c>
      <c r="FZ2047" s="1" t="s">
        <v>4684</v>
      </c>
      <c r="GA2047" s="1">
        <v>253931</v>
      </c>
      <c r="GB2047" s="1" t="s">
        <v>4685</v>
      </c>
      <c r="GE2047" s="1" t="s">
        <v>210</v>
      </c>
      <c r="GH2047" s="1" t="s">
        <v>800</v>
      </c>
      <c r="GI2047" s="1" t="s">
        <v>213</v>
      </c>
      <c r="GJ2047" s="1" t="s">
        <v>260</v>
      </c>
      <c r="GK2047" s="1" t="s">
        <v>261</v>
      </c>
      <c r="GL2047" s="2">
        <v>42123</v>
      </c>
      <c r="GM2047" s="1" t="s">
        <v>18551</v>
      </c>
    </row>
    <row r="2048" spans="1:195">
      <c r="A2048" s="1">
        <v>123000</v>
      </c>
      <c r="B2048" s="1" t="s">
        <v>195</v>
      </c>
      <c r="C2048" s="1" t="str">
        <f>"08738594"</f>
        <v>08738594</v>
      </c>
      <c r="D2048" s="1" t="s">
        <v>196</v>
      </c>
      <c r="F2048" s="1" t="str">
        <f>"103"</f>
        <v>103</v>
      </c>
      <c r="G2048" s="2">
        <v>41908</v>
      </c>
      <c r="H2048" s="1">
        <v>126900</v>
      </c>
      <c r="I2048" s="1">
        <v>115900</v>
      </c>
      <c r="J2048" s="1">
        <v>123000</v>
      </c>
      <c r="K2048" s="2">
        <v>41908</v>
      </c>
      <c r="L2048" s="1">
        <v>174</v>
      </c>
      <c r="M2048" s="2">
        <v>42081</v>
      </c>
      <c r="N2048" s="1">
        <v>174</v>
      </c>
      <c r="O2048" s="2">
        <v>42081</v>
      </c>
      <c r="P2048" s="1">
        <v>8015</v>
      </c>
      <c r="Q2048" s="1" t="s">
        <v>423</v>
      </c>
      <c r="R2048" s="2">
        <v>42132</v>
      </c>
      <c r="S2048" s="1">
        <v>922532</v>
      </c>
      <c r="T2048" s="1">
        <v>2000</v>
      </c>
      <c r="U2048" s="1">
        <v>730</v>
      </c>
      <c r="V2048" s="1" t="s">
        <v>18552</v>
      </c>
      <c r="W2048" s="1" t="s">
        <v>264</v>
      </c>
      <c r="Y2048" s="1">
        <v>5</v>
      </c>
      <c r="Z2048" s="1" t="s">
        <v>370</v>
      </c>
      <c r="AA2048" s="1" t="s">
        <v>337</v>
      </c>
      <c r="AB2048" s="1">
        <v>60133</v>
      </c>
      <c r="AC2048" s="1">
        <v>2711</v>
      </c>
      <c r="AD2048" s="1" t="s">
        <v>15482</v>
      </c>
      <c r="AE2048" s="1" t="s">
        <v>18553</v>
      </c>
      <c r="AF2048" s="1">
        <v>1983</v>
      </c>
      <c r="AG2048" s="1" t="s">
        <v>204</v>
      </c>
      <c r="AH2048" s="1" t="s">
        <v>339</v>
      </c>
      <c r="AI2048" s="1" t="s">
        <v>310</v>
      </c>
      <c r="AJ2048" s="1" t="s">
        <v>1717</v>
      </c>
      <c r="AL2048" s="1">
        <v>4</v>
      </c>
      <c r="AM2048" s="1">
        <v>2</v>
      </c>
      <c r="AN2048" s="1">
        <v>1</v>
      </c>
      <c r="AO2048" s="1">
        <v>1</v>
      </c>
      <c r="AP2048" s="1" t="s">
        <v>210</v>
      </c>
      <c r="AQ2048" s="1">
        <v>1</v>
      </c>
      <c r="AR2048" s="1" t="s">
        <v>210</v>
      </c>
      <c r="AS2048" s="1" t="s">
        <v>204</v>
      </c>
      <c r="AT2048" s="1" t="s">
        <v>211</v>
      </c>
      <c r="AU2048" s="1">
        <v>1</v>
      </c>
      <c r="AW2048" s="1" t="s">
        <v>204</v>
      </c>
      <c r="AX2048" s="1" t="s">
        <v>18554</v>
      </c>
      <c r="AZ2048" s="4">
        <v>2365.8000000000002</v>
      </c>
      <c r="BA2048" s="1">
        <v>2013</v>
      </c>
      <c r="BE2048" s="1">
        <v>1070</v>
      </c>
      <c r="BF2048" s="1">
        <v>1</v>
      </c>
      <c r="BG2048" s="1">
        <v>0</v>
      </c>
      <c r="BL2048" s="1">
        <v>198</v>
      </c>
      <c r="BM2048" s="1" t="s">
        <v>204</v>
      </c>
      <c r="BN2048" s="1" t="s">
        <v>213</v>
      </c>
      <c r="BO2048" s="1">
        <v>50</v>
      </c>
      <c r="BP2048" s="1" t="s">
        <v>204</v>
      </c>
      <c r="BR2048" s="1" t="str">
        <f>"07293110110000"</f>
        <v>07293110110000</v>
      </c>
      <c r="BT2048" s="1" t="s">
        <v>18555</v>
      </c>
      <c r="BX2048" s="1">
        <v>54</v>
      </c>
      <c r="BY2048" s="1">
        <v>54</v>
      </c>
      <c r="BZ2048" s="1">
        <v>211</v>
      </c>
      <c r="CB2048" s="1" t="str">
        <f>"9"</f>
        <v>9</v>
      </c>
      <c r="CC2048" s="1" t="str">
        <f t="shared" ref="CC2048:CC2050" si="1563">"0"</f>
        <v>0</v>
      </c>
      <c r="CD2048" s="1">
        <v>26</v>
      </c>
      <c r="CE2048" s="1">
        <v>0</v>
      </c>
      <c r="CG2048" s="1" t="s">
        <v>515</v>
      </c>
      <c r="CH2048" s="1" t="s">
        <v>219</v>
      </c>
      <c r="CI2048" s="1" t="s">
        <v>229</v>
      </c>
      <c r="CK2048" s="1" t="s">
        <v>757</v>
      </c>
      <c r="CL2048" s="1" t="s">
        <v>277</v>
      </c>
      <c r="CM2048" s="1" t="s">
        <v>229</v>
      </c>
      <c r="CP2048" s="1" t="s">
        <v>224</v>
      </c>
      <c r="CS2048" s="1" t="s">
        <v>786</v>
      </c>
      <c r="CT2048" s="1" t="s">
        <v>277</v>
      </c>
      <c r="CU2048" s="1" t="s">
        <v>229</v>
      </c>
      <c r="CX2048" s="1" t="s">
        <v>224</v>
      </c>
      <c r="DB2048" s="1" t="s">
        <v>224</v>
      </c>
      <c r="DE2048" s="1" t="s">
        <v>2138</v>
      </c>
      <c r="DF2048" s="1" t="s">
        <v>219</v>
      </c>
      <c r="DG2048" s="1" t="s">
        <v>4958</v>
      </c>
      <c r="DJ2048" s="1" t="s">
        <v>224</v>
      </c>
      <c r="DK2048" s="1" t="s">
        <v>229</v>
      </c>
      <c r="DS2048" s="1" t="s">
        <v>230</v>
      </c>
      <c r="DW2048" s="1" t="s">
        <v>230</v>
      </c>
      <c r="EA2048" s="1" t="s">
        <v>230</v>
      </c>
      <c r="EE2048" s="1" t="s">
        <v>230</v>
      </c>
      <c r="EI2048" s="1" t="s">
        <v>230</v>
      </c>
      <c r="EL2048" s="1" t="s">
        <v>231</v>
      </c>
      <c r="EM2048" s="1" t="s">
        <v>232</v>
      </c>
      <c r="EN2048" s="1" t="s">
        <v>282</v>
      </c>
      <c r="EO2048" s="1" t="s">
        <v>234</v>
      </c>
      <c r="EP2048" s="1" t="s">
        <v>17351</v>
      </c>
      <c r="ER2048" s="1" t="s">
        <v>1069</v>
      </c>
      <c r="ES2048" s="1" t="s">
        <v>322</v>
      </c>
      <c r="EU2048" s="1" t="s">
        <v>3025</v>
      </c>
      <c r="EW2048" s="1" t="s">
        <v>1679</v>
      </c>
      <c r="EY2048" s="1" t="s">
        <v>790</v>
      </c>
      <c r="EZ2048" s="1" t="s">
        <v>287</v>
      </c>
      <c r="FB2048" s="1" t="s">
        <v>289</v>
      </c>
      <c r="FC2048" s="1" t="s">
        <v>326</v>
      </c>
      <c r="FD2048" s="1" t="s">
        <v>13852</v>
      </c>
      <c r="FE2048" s="1" t="s">
        <v>496</v>
      </c>
      <c r="FF2048" s="1" t="s">
        <v>248</v>
      </c>
      <c r="FG2048" s="1" t="s">
        <v>715</v>
      </c>
      <c r="FH2048" s="1" t="s">
        <v>550</v>
      </c>
      <c r="FJ2048" s="1" t="s">
        <v>1251</v>
      </c>
      <c r="FL2048" s="1" t="s">
        <v>358</v>
      </c>
      <c r="FM2048" s="1" t="s">
        <v>252</v>
      </c>
      <c r="FN2048" s="1" t="s">
        <v>213</v>
      </c>
      <c r="FO2048" s="1" t="s">
        <v>213</v>
      </c>
      <c r="FQ2048" s="1" t="s">
        <v>18556</v>
      </c>
      <c r="FR2048" s="1" t="s">
        <v>210</v>
      </c>
      <c r="FS2048" s="1" t="s">
        <v>18557</v>
      </c>
      <c r="FT2048" s="1" t="s">
        <v>362</v>
      </c>
      <c r="FU2048" s="1" t="s">
        <v>204</v>
      </c>
      <c r="FW2048" s="1" t="s">
        <v>18558</v>
      </c>
      <c r="FX2048" s="1">
        <v>1624</v>
      </c>
      <c r="FY2048" s="1" t="s">
        <v>18559</v>
      </c>
      <c r="FZ2048" s="1" t="s">
        <v>18560</v>
      </c>
      <c r="GA2048" s="1">
        <v>923225</v>
      </c>
      <c r="GB2048" s="1" t="s">
        <v>18561</v>
      </c>
      <c r="GD2048" s="1" t="s">
        <v>18562</v>
      </c>
      <c r="GE2048" s="1" t="s">
        <v>1256</v>
      </c>
      <c r="GI2048" s="1" t="s">
        <v>204</v>
      </c>
      <c r="GJ2048" s="1" t="s">
        <v>260</v>
      </c>
      <c r="GK2048" s="1" t="s">
        <v>4920</v>
      </c>
      <c r="GL2048" s="2">
        <v>42137</v>
      </c>
      <c r="GM2048" s="1" t="s">
        <v>18563</v>
      </c>
    </row>
    <row r="2049" spans="1:195">
      <c r="A2049" s="1">
        <v>120000</v>
      </c>
      <c r="B2049" s="1" t="s">
        <v>195</v>
      </c>
      <c r="C2049" s="1" t="str">
        <f>"08739696"</f>
        <v>08739696</v>
      </c>
      <c r="D2049" s="1" t="s">
        <v>196</v>
      </c>
      <c r="F2049" s="1" t="str">
        <f>"61"</f>
        <v>61</v>
      </c>
      <c r="G2049" s="2">
        <v>41910</v>
      </c>
      <c r="H2049" s="1">
        <v>129900</v>
      </c>
      <c r="I2049" s="1">
        <v>120000</v>
      </c>
      <c r="J2049" s="1">
        <v>120000</v>
      </c>
      <c r="K2049" s="2">
        <v>41910</v>
      </c>
      <c r="L2049" s="1">
        <v>73</v>
      </c>
      <c r="M2049" s="2">
        <v>41982</v>
      </c>
      <c r="N2049" s="1">
        <v>73</v>
      </c>
      <c r="O2049" s="2">
        <v>41982</v>
      </c>
      <c r="P2049" s="1">
        <v>2700</v>
      </c>
      <c r="Q2049" s="1" t="s">
        <v>197</v>
      </c>
      <c r="R2049" s="2">
        <v>42026</v>
      </c>
      <c r="S2049" s="1">
        <v>19248</v>
      </c>
      <c r="U2049" s="1">
        <v>939</v>
      </c>
      <c r="V2049" s="1" t="s">
        <v>17827</v>
      </c>
      <c r="W2049" s="1" t="s">
        <v>304</v>
      </c>
      <c r="X2049" s="1" t="s">
        <v>18564</v>
      </c>
      <c r="Y2049" s="1">
        <v>4</v>
      </c>
      <c r="Z2049" s="1" t="s">
        <v>249</v>
      </c>
      <c r="AA2049" s="1" t="s">
        <v>505</v>
      </c>
      <c r="AB2049" s="1">
        <v>60061</v>
      </c>
      <c r="AE2049" s="1" t="s">
        <v>18565</v>
      </c>
      <c r="AF2049" s="1">
        <v>1975</v>
      </c>
      <c r="AG2049" s="1" t="s">
        <v>213</v>
      </c>
      <c r="AH2049" s="1" t="s">
        <v>508</v>
      </c>
      <c r="AI2049" s="1" t="s">
        <v>509</v>
      </c>
      <c r="AJ2049" s="1" t="s">
        <v>1693</v>
      </c>
      <c r="AL2049" s="1">
        <v>5</v>
      </c>
      <c r="AM2049" s="1">
        <v>2</v>
      </c>
      <c r="AN2049" s="1">
        <v>2</v>
      </c>
      <c r="AO2049" s="1">
        <v>0</v>
      </c>
      <c r="AP2049" s="1" t="s">
        <v>209</v>
      </c>
      <c r="AQ2049" s="1">
        <v>1</v>
      </c>
      <c r="AR2049" s="1" t="s">
        <v>210</v>
      </c>
      <c r="AS2049" s="1" t="s">
        <v>204</v>
      </c>
      <c r="AT2049" s="1" t="s">
        <v>211</v>
      </c>
      <c r="AU2049" s="1">
        <v>1</v>
      </c>
      <c r="AW2049" s="1" t="s">
        <v>213</v>
      </c>
      <c r="AX2049" s="1" t="s">
        <v>270</v>
      </c>
      <c r="AZ2049" s="1">
        <v>2569.9</v>
      </c>
      <c r="BA2049" s="1">
        <v>2013</v>
      </c>
      <c r="BB2049" s="1" t="s">
        <v>210</v>
      </c>
      <c r="BE2049" s="1">
        <v>1000</v>
      </c>
      <c r="BF2049" s="1">
        <v>2</v>
      </c>
      <c r="BG2049" s="1">
        <v>15</v>
      </c>
      <c r="BL2049" s="1">
        <v>320</v>
      </c>
      <c r="BM2049" s="1" t="s">
        <v>413</v>
      </c>
      <c r="BN2049" s="1" t="s">
        <v>213</v>
      </c>
      <c r="BO2049" s="1">
        <v>75</v>
      </c>
      <c r="BP2049" s="1" t="s">
        <v>204</v>
      </c>
      <c r="BR2049" s="1" t="str">
        <f>"11324140250000"</f>
        <v>11324140250000</v>
      </c>
      <c r="BT2049" s="1" t="s">
        <v>18566</v>
      </c>
      <c r="BU2049" s="1" t="s">
        <v>1879</v>
      </c>
      <c r="BV2049" s="1" t="s">
        <v>1880</v>
      </c>
      <c r="BW2049" s="1" t="s">
        <v>514</v>
      </c>
      <c r="BX2049" s="1">
        <v>73</v>
      </c>
      <c r="BY2049" s="1">
        <v>73</v>
      </c>
      <c r="BZ2049" s="1">
        <v>128</v>
      </c>
      <c r="CB2049" s="1" t="str">
        <f>"26"</f>
        <v>26</v>
      </c>
      <c r="CC2049" s="1" t="str">
        <f t="shared" si="1563"/>
        <v>0</v>
      </c>
      <c r="CD2049" s="1">
        <v>16</v>
      </c>
      <c r="CE2049" s="1">
        <v>0</v>
      </c>
      <c r="CG2049" s="1" t="s">
        <v>1045</v>
      </c>
      <c r="CH2049" s="1" t="s">
        <v>277</v>
      </c>
      <c r="CI2049" s="1" t="s">
        <v>220</v>
      </c>
      <c r="CK2049" s="1" t="s">
        <v>539</v>
      </c>
      <c r="CL2049" s="1" t="s">
        <v>277</v>
      </c>
      <c r="CM2049" s="1" t="s">
        <v>220</v>
      </c>
      <c r="CO2049" s="1" t="s">
        <v>2031</v>
      </c>
      <c r="CP2049" s="1" t="s">
        <v>277</v>
      </c>
      <c r="CQ2049" s="1" t="s">
        <v>220</v>
      </c>
      <c r="CS2049" s="1" t="s">
        <v>317</v>
      </c>
      <c r="CT2049" s="1" t="s">
        <v>277</v>
      </c>
      <c r="CU2049" s="1" t="s">
        <v>220</v>
      </c>
      <c r="CX2049" s="1" t="s">
        <v>224</v>
      </c>
      <c r="DB2049" s="1" t="s">
        <v>224</v>
      </c>
      <c r="DE2049" s="1" t="s">
        <v>2899</v>
      </c>
      <c r="DF2049" s="1" t="s">
        <v>277</v>
      </c>
      <c r="DG2049" s="1" t="s">
        <v>438</v>
      </c>
      <c r="DJ2049" s="1" t="s">
        <v>224</v>
      </c>
      <c r="DS2049" s="1" t="s">
        <v>230</v>
      </c>
      <c r="DW2049" s="1" t="s">
        <v>230</v>
      </c>
      <c r="EA2049" s="1" t="s">
        <v>230</v>
      </c>
      <c r="EE2049" s="1" t="s">
        <v>230</v>
      </c>
      <c r="EI2049" s="1" t="s">
        <v>230</v>
      </c>
      <c r="EL2049" s="1" t="s">
        <v>231</v>
      </c>
      <c r="EM2049" s="1" t="s">
        <v>319</v>
      </c>
      <c r="EN2049" s="1" t="s">
        <v>282</v>
      </c>
      <c r="EO2049" s="1" t="s">
        <v>234</v>
      </c>
      <c r="EQ2049" s="1" t="s">
        <v>236</v>
      </c>
      <c r="ER2049" s="1" t="s">
        <v>210</v>
      </c>
      <c r="EU2049" s="1" t="s">
        <v>239</v>
      </c>
      <c r="EW2049" s="1" t="s">
        <v>18567</v>
      </c>
      <c r="EY2049" s="1" t="s">
        <v>441</v>
      </c>
      <c r="EZ2049" s="1" t="s">
        <v>287</v>
      </c>
      <c r="FC2049" s="1" t="s">
        <v>18568</v>
      </c>
      <c r="FD2049" s="1" t="s">
        <v>495</v>
      </c>
      <c r="FE2049" s="1" t="s">
        <v>651</v>
      </c>
      <c r="FF2049" s="1" t="s">
        <v>248</v>
      </c>
      <c r="FH2049" s="1" t="s">
        <v>249</v>
      </c>
      <c r="FI2049" s="1" t="s">
        <v>473</v>
      </c>
      <c r="FJ2049" s="1" t="s">
        <v>197</v>
      </c>
      <c r="FL2049" s="1" t="s">
        <v>414</v>
      </c>
      <c r="FM2049" s="1" t="s">
        <v>252</v>
      </c>
      <c r="FN2049" s="1" t="s">
        <v>213</v>
      </c>
      <c r="FO2049" s="1" t="s">
        <v>213</v>
      </c>
      <c r="FQ2049" s="1" t="s">
        <v>359</v>
      </c>
      <c r="FR2049" s="1" t="s">
        <v>210</v>
      </c>
      <c r="FS2049" s="1" t="s">
        <v>18569</v>
      </c>
      <c r="FT2049" s="1" t="s">
        <v>2589</v>
      </c>
      <c r="FU2049" s="1" t="s">
        <v>204</v>
      </c>
      <c r="FW2049" s="1" t="s">
        <v>256</v>
      </c>
      <c r="FX2049" s="1">
        <v>2648</v>
      </c>
      <c r="FY2049" s="1" t="s">
        <v>1022</v>
      </c>
      <c r="FZ2049" s="1" t="s">
        <v>7675</v>
      </c>
      <c r="GA2049" s="1">
        <v>18093</v>
      </c>
      <c r="GB2049" s="1" t="s">
        <v>7676</v>
      </c>
      <c r="GC2049" s="1">
        <v>20455</v>
      </c>
      <c r="GD2049" s="1" t="s">
        <v>18395</v>
      </c>
      <c r="GE2049" s="1" t="s">
        <v>1226</v>
      </c>
      <c r="GI2049" s="1" t="s">
        <v>213</v>
      </c>
      <c r="GJ2049" s="1" t="s">
        <v>260</v>
      </c>
      <c r="GK2049" s="1" t="s">
        <v>210</v>
      </c>
      <c r="GL2049" s="2">
        <v>42026</v>
      </c>
      <c r="GM2049" s="1" t="s">
        <v>18570</v>
      </c>
    </row>
    <row r="2050" spans="1:195">
      <c r="A2050" s="1">
        <v>249500</v>
      </c>
      <c r="B2050" s="1" t="s">
        <v>195</v>
      </c>
      <c r="C2050" s="1" t="str">
        <f>"08746949"</f>
        <v>08746949</v>
      </c>
      <c r="D2050" s="1" t="s">
        <v>196</v>
      </c>
      <c r="F2050" s="1" t="str">
        <f>"174"</f>
        <v>174</v>
      </c>
      <c r="G2050" s="2">
        <v>41919</v>
      </c>
      <c r="H2050" s="1">
        <v>259900</v>
      </c>
      <c r="I2050" s="1">
        <v>259900</v>
      </c>
      <c r="J2050" s="1">
        <v>249500</v>
      </c>
      <c r="K2050" s="2">
        <v>41919</v>
      </c>
      <c r="L2050" s="1">
        <v>14</v>
      </c>
      <c r="M2050" s="2">
        <v>41932</v>
      </c>
      <c r="N2050" s="1">
        <v>14</v>
      </c>
      <c r="O2050" s="2">
        <v>41932</v>
      </c>
      <c r="P2050" s="1">
        <v>383</v>
      </c>
      <c r="Q2050" s="1" t="s">
        <v>302</v>
      </c>
      <c r="R2050" s="2">
        <v>41988</v>
      </c>
      <c r="S2050" s="1">
        <v>335</v>
      </c>
      <c r="U2050" s="1">
        <v>106</v>
      </c>
      <c r="V2050" s="1" t="s">
        <v>13921</v>
      </c>
      <c r="W2050" s="1" t="s">
        <v>304</v>
      </c>
      <c r="Y2050" s="1">
        <v>3</v>
      </c>
      <c r="Z2050" s="1" t="s">
        <v>370</v>
      </c>
      <c r="AA2050" s="1" t="s">
        <v>879</v>
      </c>
      <c r="AB2050" s="1">
        <v>60174</v>
      </c>
      <c r="AD2050" s="1" t="s">
        <v>13797</v>
      </c>
      <c r="AE2050" s="1" t="s">
        <v>18571</v>
      </c>
      <c r="AF2050" s="1">
        <v>1987</v>
      </c>
      <c r="AG2050" s="1" t="s">
        <v>204</v>
      </c>
      <c r="AH2050" s="1" t="s">
        <v>883</v>
      </c>
      <c r="AI2050" s="1" t="s">
        <v>665</v>
      </c>
      <c r="AJ2050" s="1" t="s">
        <v>883</v>
      </c>
      <c r="AK2050" s="1" t="s">
        <v>1088</v>
      </c>
      <c r="AL2050" s="1">
        <v>8</v>
      </c>
      <c r="AM2050" s="1">
        <v>2</v>
      </c>
      <c r="AN2050" s="1">
        <v>3</v>
      </c>
      <c r="AO2050" s="1">
        <v>0</v>
      </c>
      <c r="AP2050" s="1" t="s">
        <v>209</v>
      </c>
      <c r="AQ2050" s="1">
        <v>2</v>
      </c>
      <c r="AR2050" s="1" t="s">
        <v>209</v>
      </c>
      <c r="AS2050" s="1" t="s">
        <v>213</v>
      </c>
      <c r="AT2050" s="1" t="s">
        <v>211</v>
      </c>
      <c r="AU2050" s="1">
        <v>2</v>
      </c>
      <c r="AW2050" s="1" t="s">
        <v>204</v>
      </c>
      <c r="AX2050" s="1" t="s">
        <v>18572</v>
      </c>
      <c r="AZ2050" s="1">
        <v>6776</v>
      </c>
      <c r="BA2050" s="1">
        <v>2013</v>
      </c>
      <c r="BB2050" s="1" t="s">
        <v>599</v>
      </c>
      <c r="BE2050" s="1">
        <v>1390</v>
      </c>
      <c r="BF2050" s="1">
        <v>1</v>
      </c>
      <c r="BG2050" s="1">
        <v>0</v>
      </c>
      <c r="BL2050" s="1">
        <v>290</v>
      </c>
      <c r="BM2050" s="1" t="s">
        <v>204</v>
      </c>
      <c r="BN2050" s="1" t="s">
        <v>213</v>
      </c>
      <c r="BO2050" s="1">
        <v>999</v>
      </c>
      <c r="BP2050" s="1" t="s">
        <v>204</v>
      </c>
      <c r="BR2050" s="1" t="str">
        <f>"0921426077"</f>
        <v>0921426077</v>
      </c>
      <c r="BT2050" s="1" t="s">
        <v>18573</v>
      </c>
      <c r="BU2050" s="1" t="s">
        <v>4718</v>
      </c>
      <c r="BV2050" s="1" t="s">
        <v>11579</v>
      </c>
      <c r="BW2050" s="1" t="s">
        <v>4719</v>
      </c>
      <c r="BX2050" s="1">
        <v>303</v>
      </c>
      <c r="BY2050" s="1">
        <v>303</v>
      </c>
      <c r="BZ2050" s="1">
        <v>303</v>
      </c>
      <c r="CB2050" s="1" t="str">
        <f>"4"</f>
        <v>4</v>
      </c>
      <c r="CC2050" s="1" t="str">
        <f t="shared" si="1563"/>
        <v>0</v>
      </c>
      <c r="CD2050" s="1">
        <v>36</v>
      </c>
      <c r="CE2050" s="1">
        <v>0</v>
      </c>
      <c r="CG2050" s="1" t="s">
        <v>908</v>
      </c>
      <c r="CH2050" s="1" t="s">
        <v>219</v>
      </c>
      <c r="CI2050" s="1" t="s">
        <v>220</v>
      </c>
      <c r="CJ2050" s="1" t="s">
        <v>252</v>
      </c>
      <c r="CK2050" s="1" t="s">
        <v>1045</v>
      </c>
      <c r="CL2050" s="1" t="s">
        <v>219</v>
      </c>
      <c r="CM2050" s="1" t="s">
        <v>220</v>
      </c>
      <c r="CN2050" s="1" t="s">
        <v>252</v>
      </c>
      <c r="CO2050" s="1" t="s">
        <v>461</v>
      </c>
      <c r="CP2050" s="1" t="s">
        <v>219</v>
      </c>
      <c r="CQ2050" s="1" t="s">
        <v>438</v>
      </c>
      <c r="CR2050" s="1" t="s">
        <v>252</v>
      </c>
      <c r="CS2050" s="1" t="s">
        <v>223</v>
      </c>
      <c r="CT2050" s="1" t="s">
        <v>219</v>
      </c>
      <c r="CU2050" s="1" t="s">
        <v>220</v>
      </c>
      <c r="CV2050" s="1" t="s">
        <v>252</v>
      </c>
      <c r="CW2050" s="1" t="s">
        <v>377</v>
      </c>
      <c r="CX2050" s="1" t="s">
        <v>43</v>
      </c>
      <c r="CY2050" s="1" t="s">
        <v>220</v>
      </c>
      <c r="DB2050" s="1" t="s">
        <v>224</v>
      </c>
      <c r="DE2050" s="1" t="s">
        <v>223</v>
      </c>
      <c r="DF2050" s="1" t="s">
        <v>219</v>
      </c>
      <c r="DG2050" s="1" t="s">
        <v>438</v>
      </c>
      <c r="DI2050" s="1" t="s">
        <v>7288</v>
      </c>
      <c r="DJ2050" s="1" t="s">
        <v>822</v>
      </c>
      <c r="DK2050" s="1" t="s">
        <v>220</v>
      </c>
      <c r="DN2050" s="1" t="s">
        <v>4083</v>
      </c>
      <c r="DS2050" s="1" t="s">
        <v>230</v>
      </c>
      <c r="DV2050" s="1" t="s">
        <v>2104</v>
      </c>
      <c r="DW2050" s="1" t="s">
        <v>822</v>
      </c>
      <c r="DX2050" s="1" t="s">
        <v>347</v>
      </c>
      <c r="EA2050" s="1" t="s">
        <v>230</v>
      </c>
      <c r="EE2050" s="1" t="s">
        <v>230</v>
      </c>
      <c r="EI2050" s="1" t="s">
        <v>230</v>
      </c>
      <c r="EL2050" s="1" t="s">
        <v>542</v>
      </c>
      <c r="EM2050" s="1" t="s">
        <v>319</v>
      </c>
      <c r="EN2050" s="1" t="s">
        <v>282</v>
      </c>
      <c r="EO2050" s="1" t="s">
        <v>234</v>
      </c>
      <c r="EP2050" s="1" t="s">
        <v>1268</v>
      </c>
      <c r="EQ2050" s="1" t="s">
        <v>236</v>
      </c>
      <c r="ER2050" s="1" t="s">
        <v>544</v>
      </c>
      <c r="ES2050" s="1" t="s">
        <v>3914</v>
      </c>
      <c r="ET2050" s="1" t="s">
        <v>1201</v>
      </c>
      <c r="EU2050" s="1" t="s">
        <v>18574</v>
      </c>
      <c r="EV2050" s="1" t="s">
        <v>324</v>
      </c>
      <c r="EW2050" s="1" t="s">
        <v>4410</v>
      </c>
      <c r="EY2050" s="1" t="s">
        <v>242</v>
      </c>
      <c r="EZ2050" s="1" t="s">
        <v>4083</v>
      </c>
      <c r="FA2050" s="1" t="s">
        <v>18575</v>
      </c>
      <c r="FB2050" s="1" t="s">
        <v>289</v>
      </c>
      <c r="FD2050" s="1" t="s">
        <v>246</v>
      </c>
      <c r="FE2050" s="1" t="s">
        <v>889</v>
      </c>
      <c r="FF2050" s="1" t="s">
        <v>248</v>
      </c>
      <c r="FG2050" s="1" t="s">
        <v>16759</v>
      </c>
      <c r="FH2050" s="1" t="s">
        <v>825</v>
      </c>
      <c r="FI2050" s="1" t="s">
        <v>473</v>
      </c>
      <c r="FL2050" s="1" t="s">
        <v>358</v>
      </c>
      <c r="FM2050" s="1" t="s">
        <v>252</v>
      </c>
      <c r="FN2050" s="1" t="s">
        <v>213</v>
      </c>
      <c r="FO2050" s="1" t="s">
        <v>213</v>
      </c>
      <c r="FQ2050" s="1" t="s">
        <v>1032</v>
      </c>
      <c r="FR2050" s="1" t="s">
        <v>210</v>
      </c>
      <c r="FS2050" s="1" t="s">
        <v>18576</v>
      </c>
      <c r="FT2050" s="1" t="s">
        <v>295</v>
      </c>
      <c r="FU2050" s="1" t="s">
        <v>213</v>
      </c>
      <c r="FW2050" s="1" t="s">
        <v>18577</v>
      </c>
      <c r="FX2050" s="1">
        <v>357</v>
      </c>
      <c r="FY2050" s="1" t="s">
        <v>18578</v>
      </c>
      <c r="FZ2050" s="1" t="s">
        <v>18579</v>
      </c>
      <c r="GA2050" s="1">
        <v>7203</v>
      </c>
      <c r="GB2050" s="1" t="s">
        <v>18580</v>
      </c>
      <c r="GC2050" s="1">
        <v>581</v>
      </c>
      <c r="GE2050" s="1" t="s">
        <v>480</v>
      </c>
      <c r="GI2050" s="1" t="s">
        <v>213</v>
      </c>
      <c r="GJ2050" s="1" t="s">
        <v>260</v>
      </c>
      <c r="GK2050" s="1" t="s">
        <v>210</v>
      </c>
      <c r="GL2050" s="2">
        <v>41988</v>
      </c>
      <c r="GM2050" s="1" t="s">
        <v>18581</v>
      </c>
    </row>
    <row r="2051" spans="1:195">
      <c r="A2051" s="1">
        <v>275000</v>
      </c>
      <c r="B2051" s="1" t="s">
        <v>195</v>
      </c>
      <c r="C2051" s="1" t="str">
        <f>"08746646"</f>
        <v>08746646</v>
      </c>
      <c r="D2051" s="1" t="s">
        <v>196</v>
      </c>
      <c r="F2051" s="1" t="str">
        <f t="shared" ref="F2051:F2052" si="1564">"540"</f>
        <v>540</v>
      </c>
      <c r="G2051" s="2">
        <v>41918</v>
      </c>
      <c r="H2051" s="1">
        <v>329900</v>
      </c>
      <c r="I2051" s="1">
        <v>299999</v>
      </c>
      <c r="J2051" s="1">
        <v>275000</v>
      </c>
      <c r="K2051" s="2">
        <v>41918</v>
      </c>
      <c r="L2051" s="1">
        <v>172</v>
      </c>
      <c r="M2051" s="2">
        <v>42089</v>
      </c>
      <c r="N2051" s="1">
        <v>172</v>
      </c>
      <c r="O2051" s="2">
        <v>42089</v>
      </c>
      <c r="P2051" s="1">
        <v>25244</v>
      </c>
      <c r="Q2051" s="1" t="s">
        <v>197</v>
      </c>
      <c r="R2051" s="2">
        <v>42125</v>
      </c>
      <c r="S2051" s="1">
        <v>241188</v>
      </c>
      <c r="U2051" s="1">
        <v>1318</v>
      </c>
      <c r="V2051" s="1" t="s">
        <v>18582</v>
      </c>
      <c r="W2051" s="1" t="s">
        <v>304</v>
      </c>
      <c r="Y2051" s="1">
        <v>4</v>
      </c>
      <c r="Z2051" s="1" t="s">
        <v>370</v>
      </c>
      <c r="AA2051" s="1" t="s">
        <v>921</v>
      </c>
      <c r="AB2051" s="1">
        <v>60563</v>
      </c>
      <c r="AD2051" s="1" t="s">
        <v>18583</v>
      </c>
      <c r="AE2051" s="1" t="s">
        <v>18584</v>
      </c>
      <c r="AF2051" s="1">
        <v>2000</v>
      </c>
      <c r="AG2051" s="1" t="s">
        <v>204</v>
      </c>
      <c r="AH2051" s="1" t="s">
        <v>924</v>
      </c>
      <c r="AI2051" s="1" t="s">
        <v>206</v>
      </c>
      <c r="AJ2051" s="1" t="s">
        <v>925</v>
      </c>
      <c r="AL2051" s="1">
        <v>6</v>
      </c>
      <c r="AM2051" s="1">
        <v>2</v>
      </c>
      <c r="AN2051" s="1">
        <v>2</v>
      </c>
      <c r="AO2051" s="1">
        <v>1</v>
      </c>
      <c r="AP2051" s="1" t="s">
        <v>209</v>
      </c>
      <c r="AQ2051" s="1">
        <v>1</v>
      </c>
      <c r="AR2051" s="1" t="s">
        <v>209</v>
      </c>
      <c r="AS2051" s="1" t="s">
        <v>204</v>
      </c>
      <c r="AT2051" s="1" t="s">
        <v>211</v>
      </c>
      <c r="AU2051" s="1">
        <v>2</v>
      </c>
      <c r="AW2051" s="1" t="s">
        <v>204</v>
      </c>
      <c r="AX2051" s="1" t="s">
        <v>212</v>
      </c>
      <c r="AZ2051" s="1">
        <v>6666</v>
      </c>
      <c r="BA2051" s="1">
        <v>2013</v>
      </c>
      <c r="BB2051" s="1" t="s">
        <v>405</v>
      </c>
      <c r="BE2051" s="1">
        <v>1642</v>
      </c>
      <c r="BF2051" s="1">
        <v>1</v>
      </c>
      <c r="BG2051" s="1">
        <v>0</v>
      </c>
      <c r="BL2051" s="1">
        <v>193</v>
      </c>
      <c r="BM2051" s="1" t="s">
        <v>204</v>
      </c>
      <c r="BN2051" s="1" t="s">
        <v>213</v>
      </c>
      <c r="BO2051" s="1">
        <v>0</v>
      </c>
      <c r="BP2051" s="1" t="s">
        <v>204</v>
      </c>
      <c r="BR2051" s="1" t="str">
        <f>"0805207006"</f>
        <v>0805207006</v>
      </c>
      <c r="BT2051" s="1" t="s">
        <v>18585</v>
      </c>
      <c r="BU2051" s="1" t="s">
        <v>14441</v>
      </c>
      <c r="BV2051" s="1" t="s">
        <v>2824</v>
      </c>
      <c r="BW2051" s="1" t="s">
        <v>2825</v>
      </c>
      <c r="BX2051" s="1">
        <v>203</v>
      </c>
      <c r="BY2051" s="1">
        <v>203</v>
      </c>
      <c r="BZ2051" s="1">
        <v>203</v>
      </c>
      <c r="CB2051" s="1" t="str">
        <f t="shared" ref="CB2051:CC2051" si="1565">"0"</f>
        <v>0</v>
      </c>
      <c r="CC2051" s="1" t="str">
        <f t="shared" si="1565"/>
        <v>0</v>
      </c>
      <c r="CD2051" s="1">
        <v>25</v>
      </c>
      <c r="CE2051" s="1">
        <v>4</v>
      </c>
      <c r="CG2051" s="1" t="s">
        <v>729</v>
      </c>
      <c r="CH2051" s="1" t="s">
        <v>219</v>
      </c>
      <c r="CI2051" s="1" t="s">
        <v>220</v>
      </c>
      <c r="CK2051" s="1" t="s">
        <v>538</v>
      </c>
      <c r="CL2051" s="1" t="s">
        <v>277</v>
      </c>
      <c r="CM2051" s="1" t="s">
        <v>220</v>
      </c>
      <c r="CO2051" s="1" t="s">
        <v>379</v>
      </c>
      <c r="CP2051" s="1" t="s">
        <v>219</v>
      </c>
      <c r="CQ2051" s="1" t="s">
        <v>220</v>
      </c>
      <c r="CS2051" s="1" t="s">
        <v>461</v>
      </c>
      <c r="CT2051" s="1" t="s">
        <v>277</v>
      </c>
      <c r="CU2051" s="1" t="s">
        <v>220</v>
      </c>
      <c r="CX2051" s="1" t="s">
        <v>224</v>
      </c>
      <c r="DB2051" s="1" t="s">
        <v>224</v>
      </c>
      <c r="DE2051" s="1" t="s">
        <v>564</v>
      </c>
      <c r="DF2051" s="1" t="s">
        <v>219</v>
      </c>
      <c r="DG2051" s="1" t="s">
        <v>438</v>
      </c>
      <c r="DJ2051" s="1" t="s">
        <v>224</v>
      </c>
      <c r="DM2051" s="1" t="s">
        <v>464</v>
      </c>
      <c r="DR2051" s="1" t="s">
        <v>437</v>
      </c>
      <c r="DS2051" s="1" t="s">
        <v>277</v>
      </c>
      <c r="DT2051" s="1" t="s">
        <v>220</v>
      </c>
      <c r="DW2051" s="1" t="s">
        <v>230</v>
      </c>
      <c r="EA2051" s="1" t="s">
        <v>230</v>
      </c>
      <c r="EE2051" s="1" t="s">
        <v>230</v>
      </c>
      <c r="EI2051" s="1" t="s">
        <v>230</v>
      </c>
      <c r="EL2051" s="1" t="s">
        <v>466</v>
      </c>
      <c r="EM2051" s="1" t="s">
        <v>232</v>
      </c>
      <c r="EN2051" s="1" t="s">
        <v>282</v>
      </c>
      <c r="EO2051" s="1" t="s">
        <v>234</v>
      </c>
      <c r="EP2051" s="1" t="s">
        <v>1489</v>
      </c>
      <c r="EQ2051" s="1" t="s">
        <v>284</v>
      </c>
      <c r="ER2051" s="1" t="s">
        <v>351</v>
      </c>
      <c r="ES2051" s="1" t="s">
        <v>824</v>
      </c>
      <c r="ET2051" s="1" t="s">
        <v>238</v>
      </c>
      <c r="EU2051" s="1" t="s">
        <v>239</v>
      </c>
      <c r="EV2051" s="1" t="s">
        <v>240</v>
      </c>
      <c r="EW2051" s="1" t="s">
        <v>353</v>
      </c>
      <c r="EY2051" s="1" t="s">
        <v>242</v>
      </c>
      <c r="EZ2051" s="1" t="s">
        <v>464</v>
      </c>
      <c r="FA2051" s="1" t="s">
        <v>9249</v>
      </c>
      <c r="FB2051" s="1" t="s">
        <v>289</v>
      </c>
      <c r="FD2051" s="1" t="s">
        <v>246</v>
      </c>
      <c r="FE2051" s="1" t="s">
        <v>549</v>
      </c>
      <c r="FF2051" s="1" t="s">
        <v>248</v>
      </c>
      <c r="FG2051" s="1" t="s">
        <v>2292</v>
      </c>
      <c r="FH2051" s="1" t="s">
        <v>550</v>
      </c>
      <c r="FI2051" s="1" t="s">
        <v>357</v>
      </c>
      <c r="FL2051" s="1" t="s">
        <v>358</v>
      </c>
      <c r="FM2051" s="1" t="s">
        <v>252</v>
      </c>
      <c r="FN2051" s="1" t="s">
        <v>213</v>
      </c>
      <c r="FO2051" s="1" t="s">
        <v>204</v>
      </c>
      <c r="FQ2051" s="1" t="s">
        <v>18586</v>
      </c>
      <c r="FR2051" s="1" t="s">
        <v>210</v>
      </c>
      <c r="FS2051" s="1" t="s">
        <v>18587</v>
      </c>
      <c r="FT2051" s="1" t="s">
        <v>295</v>
      </c>
      <c r="FU2051" s="1" t="s">
        <v>204</v>
      </c>
      <c r="FW2051" s="1" t="s">
        <v>18588</v>
      </c>
      <c r="FX2051" s="1">
        <v>70211</v>
      </c>
      <c r="FY2051" s="1" t="s">
        <v>18589</v>
      </c>
      <c r="FZ2051" s="1" t="s">
        <v>18590</v>
      </c>
      <c r="GA2051" s="1">
        <v>702257</v>
      </c>
      <c r="GB2051" s="1" t="s">
        <v>18591</v>
      </c>
      <c r="GE2051" s="1" t="s">
        <v>210</v>
      </c>
      <c r="GI2051" s="1" t="s">
        <v>213</v>
      </c>
      <c r="GJ2051" s="1" t="s">
        <v>260</v>
      </c>
      <c r="GK2051" s="1" t="s">
        <v>210</v>
      </c>
      <c r="GL2051" s="2">
        <v>42125</v>
      </c>
      <c r="GM2051" s="1" t="s">
        <v>18592</v>
      </c>
    </row>
    <row r="2052" spans="1:195">
      <c r="A2052" s="1">
        <v>192000</v>
      </c>
      <c r="B2052" s="1" t="s">
        <v>195</v>
      </c>
      <c r="C2052" s="1" t="str">
        <f>"08744826"</f>
        <v>08744826</v>
      </c>
      <c r="D2052" s="1" t="s">
        <v>196</v>
      </c>
      <c r="F2052" s="1" t="str">
        <f t="shared" si="1564"/>
        <v>540</v>
      </c>
      <c r="G2052" s="2">
        <v>41915</v>
      </c>
      <c r="H2052" s="1">
        <v>199000</v>
      </c>
      <c r="I2052" s="1">
        <v>199000</v>
      </c>
      <c r="J2052" s="1">
        <v>192000</v>
      </c>
      <c r="K2052" s="2">
        <v>41915</v>
      </c>
      <c r="L2052" s="1">
        <v>13</v>
      </c>
      <c r="M2052" s="2">
        <v>41927</v>
      </c>
      <c r="N2052" s="1">
        <v>13</v>
      </c>
      <c r="O2052" s="2">
        <v>41927</v>
      </c>
      <c r="P2052" s="1">
        <v>4475</v>
      </c>
      <c r="Q2052" s="1" t="s">
        <v>197</v>
      </c>
      <c r="R2052" s="2">
        <v>41974</v>
      </c>
      <c r="S2052" s="1">
        <v>38351</v>
      </c>
      <c r="T2052" s="1">
        <v>200</v>
      </c>
      <c r="U2052" s="1">
        <v>1977</v>
      </c>
      <c r="V2052" s="1" t="s">
        <v>15718</v>
      </c>
      <c r="W2052" s="1" t="s">
        <v>504</v>
      </c>
      <c r="Y2052" s="1">
        <v>4</v>
      </c>
      <c r="Z2052" s="1" t="s">
        <v>200</v>
      </c>
      <c r="AA2052" s="1" t="s">
        <v>921</v>
      </c>
      <c r="AB2052" s="1">
        <v>60563</v>
      </c>
      <c r="AD2052" s="1" t="s">
        <v>1244</v>
      </c>
      <c r="AE2052" s="1" t="s">
        <v>18593</v>
      </c>
      <c r="AF2052" s="1">
        <v>2000</v>
      </c>
      <c r="AG2052" s="1" t="s">
        <v>204</v>
      </c>
      <c r="AH2052" s="1" t="s">
        <v>924</v>
      </c>
      <c r="AI2052" s="1" t="s">
        <v>206</v>
      </c>
      <c r="AJ2052" s="1" t="s">
        <v>924</v>
      </c>
      <c r="AK2052" s="1" t="s">
        <v>18594</v>
      </c>
      <c r="AL2052" s="1">
        <v>5</v>
      </c>
      <c r="AM2052" s="1">
        <v>2</v>
      </c>
      <c r="AN2052" s="1">
        <v>2</v>
      </c>
      <c r="AO2052" s="1">
        <v>1</v>
      </c>
      <c r="AP2052" s="1" t="s">
        <v>209</v>
      </c>
      <c r="AR2052" s="1" t="s">
        <v>210</v>
      </c>
      <c r="AS2052" s="1" t="s">
        <v>204</v>
      </c>
      <c r="AT2052" s="1" t="s">
        <v>211</v>
      </c>
      <c r="AU2052" s="1">
        <v>2</v>
      </c>
      <c r="AW2052" s="1" t="s">
        <v>213</v>
      </c>
      <c r="AX2052" s="1" t="s">
        <v>212</v>
      </c>
      <c r="AZ2052" s="1">
        <v>4179</v>
      </c>
      <c r="BA2052" s="1">
        <v>2013</v>
      </c>
      <c r="BB2052" s="1" t="s">
        <v>405</v>
      </c>
      <c r="BE2052" s="1">
        <v>1552</v>
      </c>
      <c r="BF2052" s="1">
        <v>1</v>
      </c>
      <c r="BG2052" s="1">
        <v>30</v>
      </c>
      <c r="BL2052" s="1">
        <v>185</v>
      </c>
      <c r="BM2052" s="1" t="s">
        <v>204</v>
      </c>
      <c r="BN2052" s="1" t="s">
        <v>213</v>
      </c>
      <c r="BO2052" s="1">
        <v>99</v>
      </c>
      <c r="BP2052" s="1" t="s">
        <v>204</v>
      </c>
      <c r="BR2052" s="1" t="str">
        <f>"0715107014"</f>
        <v>0715107014</v>
      </c>
      <c r="BT2052" s="1" t="s">
        <v>18595</v>
      </c>
      <c r="BU2052" s="1" t="s">
        <v>1247</v>
      </c>
      <c r="BV2052" s="1" t="s">
        <v>1248</v>
      </c>
      <c r="BW2052" s="1" t="s">
        <v>1131</v>
      </c>
      <c r="BX2052" s="1">
        <v>204</v>
      </c>
      <c r="BY2052" s="1">
        <v>204</v>
      </c>
      <c r="BZ2052" s="1">
        <v>204</v>
      </c>
      <c r="CB2052" s="1" t="str">
        <f t="shared" ref="CB2052:CC2052" si="1566">""</f>
        <v/>
      </c>
      <c r="CC2052" s="1" t="str">
        <f t="shared" si="1566"/>
        <v/>
      </c>
      <c r="CG2052" s="1" t="s">
        <v>280</v>
      </c>
      <c r="CH2052" s="1" t="s">
        <v>219</v>
      </c>
      <c r="CI2052" s="1" t="s">
        <v>438</v>
      </c>
      <c r="CK2052" s="1" t="s">
        <v>221</v>
      </c>
      <c r="CL2052" s="1" t="s">
        <v>277</v>
      </c>
      <c r="CM2052" s="1" t="s">
        <v>220</v>
      </c>
      <c r="CO2052" s="1" t="s">
        <v>317</v>
      </c>
      <c r="CP2052" s="1" t="s">
        <v>219</v>
      </c>
      <c r="CQ2052" s="1" t="s">
        <v>438</v>
      </c>
      <c r="CS2052" s="1" t="s">
        <v>465</v>
      </c>
      <c r="CT2052" s="1" t="s">
        <v>277</v>
      </c>
      <c r="CU2052" s="1" t="s">
        <v>220</v>
      </c>
      <c r="CX2052" s="1" t="s">
        <v>224</v>
      </c>
      <c r="DB2052" s="1" t="s">
        <v>224</v>
      </c>
      <c r="DE2052" s="1" t="s">
        <v>2138</v>
      </c>
      <c r="DF2052" s="1" t="s">
        <v>219</v>
      </c>
      <c r="DG2052" s="1" t="s">
        <v>438</v>
      </c>
      <c r="DJ2052" s="1" t="s">
        <v>224</v>
      </c>
      <c r="DS2052" s="1" t="s">
        <v>230</v>
      </c>
      <c r="DW2052" s="1" t="s">
        <v>230</v>
      </c>
      <c r="EA2052" s="1" t="s">
        <v>230</v>
      </c>
      <c r="EE2052" s="1" t="s">
        <v>230</v>
      </c>
      <c r="EI2052" s="1" t="s">
        <v>230</v>
      </c>
      <c r="EL2052" s="1" t="s">
        <v>466</v>
      </c>
      <c r="EM2052" s="1" t="s">
        <v>232</v>
      </c>
      <c r="EN2052" s="1" t="s">
        <v>282</v>
      </c>
      <c r="EO2052" s="1" t="s">
        <v>234</v>
      </c>
      <c r="EP2052" s="1" t="s">
        <v>8987</v>
      </c>
      <c r="EQ2052" s="1" t="s">
        <v>236</v>
      </c>
      <c r="ER2052" s="1" t="s">
        <v>210</v>
      </c>
      <c r="ES2052" s="1" t="s">
        <v>322</v>
      </c>
      <c r="ET2052" s="1" t="s">
        <v>323</v>
      </c>
      <c r="EU2052" s="1" t="s">
        <v>1314</v>
      </c>
      <c r="EV2052" s="1" t="s">
        <v>324</v>
      </c>
      <c r="EW2052" s="1" t="s">
        <v>937</v>
      </c>
      <c r="EZ2052" s="1" t="s">
        <v>287</v>
      </c>
      <c r="FD2052" s="1" t="s">
        <v>246</v>
      </c>
      <c r="FE2052" s="1" t="s">
        <v>975</v>
      </c>
      <c r="FF2052" s="1" t="s">
        <v>3103</v>
      </c>
      <c r="FH2052" s="1" t="s">
        <v>550</v>
      </c>
      <c r="FI2052" s="1" t="s">
        <v>473</v>
      </c>
      <c r="FJ2052" s="1" t="s">
        <v>197</v>
      </c>
      <c r="FL2052" s="1" t="s">
        <v>358</v>
      </c>
      <c r="FM2052" s="1" t="s">
        <v>252</v>
      </c>
      <c r="FN2052" s="1" t="s">
        <v>213</v>
      </c>
      <c r="FO2052" s="1" t="s">
        <v>213</v>
      </c>
      <c r="FQ2052" s="1" t="s">
        <v>2004</v>
      </c>
      <c r="FR2052" s="1" t="s">
        <v>210</v>
      </c>
      <c r="FS2052" s="1" t="s">
        <v>18596</v>
      </c>
      <c r="FT2052" s="1" t="s">
        <v>362</v>
      </c>
      <c r="FU2052" s="1" t="s">
        <v>204</v>
      </c>
      <c r="FW2052" s="1" t="s">
        <v>12618</v>
      </c>
      <c r="FX2052" s="1">
        <v>4475</v>
      </c>
      <c r="FY2052" s="1" t="s">
        <v>12619</v>
      </c>
      <c r="FZ2052" s="1" t="s">
        <v>12620</v>
      </c>
      <c r="GA2052" s="1">
        <v>38351</v>
      </c>
      <c r="GB2052" s="1" t="s">
        <v>12621</v>
      </c>
      <c r="GD2052" s="1" t="s">
        <v>12622</v>
      </c>
      <c r="GE2052" s="1" t="s">
        <v>1333</v>
      </c>
      <c r="GI2052" s="1" t="s">
        <v>204</v>
      </c>
      <c r="GJ2052" s="1" t="s">
        <v>260</v>
      </c>
      <c r="GK2052" s="1" t="s">
        <v>210</v>
      </c>
      <c r="GL2052" s="2">
        <v>41977</v>
      </c>
      <c r="GM2052" s="1" t="s">
        <v>18597</v>
      </c>
    </row>
    <row r="2053" spans="1:195">
      <c r="A2053" s="1">
        <v>39600</v>
      </c>
      <c r="B2053" s="1" t="s">
        <v>195</v>
      </c>
      <c r="C2053" s="1" t="str">
        <f>"08742211"</f>
        <v>08742211</v>
      </c>
      <c r="D2053" s="1" t="s">
        <v>196</v>
      </c>
      <c r="F2053" s="1" t="str">
        <f>"8042"</f>
        <v>8042</v>
      </c>
      <c r="G2053" s="2">
        <v>41913</v>
      </c>
      <c r="H2053" s="1">
        <v>41600</v>
      </c>
      <c r="I2053" s="1">
        <v>37500</v>
      </c>
      <c r="J2053" s="1">
        <v>39600</v>
      </c>
      <c r="K2053" s="2">
        <v>41912</v>
      </c>
      <c r="L2053" s="1">
        <v>81</v>
      </c>
      <c r="M2053" s="2">
        <v>41992</v>
      </c>
      <c r="N2053" s="1">
        <v>81</v>
      </c>
      <c r="O2053" s="2">
        <v>41992</v>
      </c>
      <c r="P2053" s="1">
        <v>85615</v>
      </c>
      <c r="Q2053" s="1" t="s">
        <v>302</v>
      </c>
      <c r="R2053" s="2">
        <v>42033</v>
      </c>
      <c r="S2053" s="1">
        <v>841065</v>
      </c>
      <c r="U2053" s="1">
        <v>6439</v>
      </c>
      <c r="V2053" s="1" t="s">
        <v>18598</v>
      </c>
      <c r="W2053" s="1" t="s">
        <v>425</v>
      </c>
      <c r="X2053" s="1">
        <v>1</v>
      </c>
      <c r="Y2053" s="1">
        <v>4</v>
      </c>
      <c r="Z2053" s="1" t="s">
        <v>200</v>
      </c>
      <c r="AA2053" s="1" t="s">
        <v>400</v>
      </c>
      <c r="AB2053" s="1">
        <v>60637</v>
      </c>
      <c r="AE2053" s="1" t="s">
        <v>18599</v>
      </c>
      <c r="AF2053" s="1">
        <v>2003</v>
      </c>
      <c r="AG2053" s="1" t="s">
        <v>204</v>
      </c>
      <c r="AH2053" s="1" t="s">
        <v>403</v>
      </c>
      <c r="AI2053" s="1" t="s">
        <v>310</v>
      </c>
      <c r="AJ2053" s="1" t="s">
        <v>562</v>
      </c>
      <c r="AL2053" s="1">
        <v>5</v>
      </c>
      <c r="AM2053" s="1">
        <v>2</v>
      </c>
      <c r="AN2053" s="1">
        <v>2</v>
      </c>
      <c r="AO2053" s="1">
        <v>0</v>
      </c>
      <c r="AP2053" s="1" t="s">
        <v>209</v>
      </c>
      <c r="AR2053" s="1" t="s">
        <v>210</v>
      </c>
      <c r="AS2053" s="1" t="s">
        <v>204</v>
      </c>
      <c r="AT2053" s="1" t="s">
        <v>210</v>
      </c>
      <c r="AW2053" s="1" t="s">
        <v>204</v>
      </c>
      <c r="AX2053" s="1" t="s">
        <v>212</v>
      </c>
      <c r="AZ2053" s="1">
        <v>2290.2800000000002</v>
      </c>
      <c r="BA2053" s="1">
        <v>2012</v>
      </c>
      <c r="BE2053" s="1">
        <v>1300</v>
      </c>
      <c r="BF2053" s="1">
        <v>1</v>
      </c>
      <c r="BG2053" s="1">
        <v>30</v>
      </c>
      <c r="BL2053" s="1">
        <v>263</v>
      </c>
      <c r="BM2053" s="1" t="s">
        <v>213</v>
      </c>
      <c r="BN2053" s="1" t="s">
        <v>213</v>
      </c>
      <c r="BO2053" s="1">
        <v>23</v>
      </c>
      <c r="BP2053" s="1" t="s">
        <v>204</v>
      </c>
      <c r="BR2053" s="1" t="str">
        <f>"20231090511002"</f>
        <v>20231090511002</v>
      </c>
      <c r="BT2053" s="1" t="s">
        <v>18600</v>
      </c>
      <c r="BX2053" s="1">
        <v>299</v>
      </c>
      <c r="BY2053" s="1">
        <v>299</v>
      </c>
      <c r="BZ2053" s="1">
        <v>299</v>
      </c>
      <c r="CB2053" s="1" t="str">
        <f>"0"</f>
        <v>0</v>
      </c>
      <c r="CC2053" s="1" t="str">
        <f>"1100"</f>
        <v>1100</v>
      </c>
      <c r="CD2053" s="1">
        <v>0</v>
      </c>
      <c r="CE2053" s="1">
        <v>6439</v>
      </c>
      <c r="CG2053" s="1" t="s">
        <v>314</v>
      </c>
      <c r="CH2053" s="1" t="s">
        <v>219</v>
      </c>
      <c r="CK2053" s="1" t="s">
        <v>221</v>
      </c>
      <c r="CL2053" s="1" t="s">
        <v>219</v>
      </c>
      <c r="CO2053" s="1" t="s">
        <v>346</v>
      </c>
      <c r="CP2053" s="1" t="s">
        <v>219</v>
      </c>
      <c r="CS2053" s="1" t="s">
        <v>465</v>
      </c>
      <c r="CT2053" s="1" t="s">
        <v>219</v>
      </c>
      <c r="DB2053" s="1" t="s">
        <v>224</v>
      </c>
      <c r="DE2053" s="1" t="s">
        <v>222</v>
      </c>
      <c r="DF2053" s="1" t="s">
        <v>219</v>
      </c>
      <c r="DJ2053" s="1" t="s">
        <v>224</v>
      </c>
      <c r="DS2053" s="1" t="s">
        <v>230</v>
      </c>
      <c r="DW2053" s="1" t="s">
        <v>230</v>
      </c>
      <c r="EA2053" s="1" t="s">
        <v>230</v>
      </c>
      <c r="EE2053" s="1" t="s">
        <v>230</v>
      </c>
      <c r="EI2053" s="1" t="s">
        <v>230</v>
      </c>
      <c r="EL2053" s="1" t="s">
        <v>466</v>
      </c>
      <c r="EM2053" s="1" t="s">
        <v>319</v>
      </c>
      <c r="EN2053" s="1" t="s">
        <v>210</v>
      </c>
      <c r="EO2053" s="1" t="s">
        <v>234</v>
      </c>
      <c r="ER2053" s="1" t="s">
        <v>210</v>
      </c>
      <c r="EW2053" s="1" t="s">
        <v>347</v>
      </c>
      <c r="EZ2053" s="1" t="s">
        <v>287</v>
      </c>
      <c r="FD2053" s="1" t="s">
        <v>246</v>
      </c>
      <c r="FE2053" s="1" t="s">
        <v>247</v>
      </c>
      <c r="FF2053" s="1" t="s">
        <v>248</v>
      </c>
      <c r="FH2053" s="1" t="s">
        <v>249</v>
      </c>
      <c r="FL2053" s="1" t="s">
        <v>358</v>
      </c>
      <c r="FM2053" s="1" t="s">
        <v>252</v>
      </c>
      <c r="FN2053" s="1" t="s">
        <v>213</v>
      </c>
      <c r="FO2053" s="1" t="s">
        <v>213</v>
      </c>
      <c r="FQ2053" s="1" t="s">
        <v>6578</v>
      </c>
      <c r="FR2053" s="1" t="s">
        <v>210</v>
      </c>
      <c r="FS2053" s="1" t="s">
        <v>4314</v>
      </c>
      <c r="FT2053" s="1" t="s">
        <v>520</v>
      </c>
      <c r="FU2053" s="1" t="s">
        <v>204</v>
      </c>
      <c r="FW2053" s="1" t="s">
        <v>7446</v>
      </c>
      <c r="FX2053" s="1">
        <v>21139</v>
      </c>
      <c r="FY2053" s="1" t="s">
        <v>7447</v>
      </c>
      <c r="FZ2053" s="1" t="s">
        <v>7448</v>
      </c>
      <c r="GA2053" s="1">
        <v>606494</v>
      </c>
      <c r="GB2053" s="1" t="s">
        <v>7447</v>
      </c>
      <c r="GD2053" s="1" t="s">
        <v>7449</v>
      </c>
      <c r="GE2053" s="1" t="s">
        <v>210</v>
      </c>
      <c r="GH2053" s="1" t="s">
        <v>421</v>
      </c>
      <c r="GI2053" s="1" t="s">
        <v>213</v>
      </c>
      <c r="GJ2053" s="1" t="s">
        <v>260</v>
      </c>
      <c r="GK2053" s="1" t="s">
        <v>210</v>
      </c>
      <c r="GL2053" s="2">
        <v>42034</v>
      </c>
      <c r="GM2053" s="1" t="s">
        <v>18601</v>
      </c>
    </row>
    <row r="2054" spans="1:195">
      <c r="A2054" s="1">
        <v>95250</v>
      </c>
      <c r="B2054" s="1" t="s">
        <v>195</v>
      </c>
      <c r="C2054" s="1" t="str">
        <f>"08742841"</f>
        <v>08742841</v>
      </c>
      <c r="D2054" s="1" t="s">
        <v>196</v>
      </c>
      <c r="F2054" s="1" t="str">
        <f>"61"</f>
        <v>61</v>
      </c>
      <c r="G2054" s="2">
        <v>41913</v>
      </c>
      <c r="H2054" s="1">
        <v>109900</v>
      </c>
      <c r="I2054" s="1">
        <v>99500</v>
      </c>
      <c r="J2054" s="1">
        <v>95250</v>
      </c>
      <c r="K2054" s="2">
        <v>41913</v>
      </c>
      <c r="L2054" s="1">
        <v>68</v>
      </c>
      <c r="M2054" s="2">
        <v>41980</v>
      </c>
      <c r="N2054" s="1">
        <v>68</v>
      </c>
      <c r="O2054" s="2">
        <v>41980</v>
      </c>
      <c r="P2054" s="1">
        <v>4415</v>
      </c>
      <c r="Q2054" s="1" t="s">
        <v>302</v>
      </c>
      <c r="R2054" s="2">
        <v>41995</v>
      </c>
      <c r="S2054" s="1">
        <v>40519</v>
      </c>
      <c r="U2054" s="1">
        <v>980</v>
      </c>
      <c r="V2054" s="1" t="s">
        <v>9999</v>
      </c>
      <c r="W2054" s="1" t="s">
        <v>264</v>
      </c>
      <c r="X2054" s="1" t="s">
        <v>1949</v>
      </c>
      <c r="Y2054" s="1">
        <v>12</v>
      </c>
      <c r="Z2054" s="1" t="s">
        <v>249</v>
      </c>
      <c r="AA2054" s="1" t="s">
        <v>505</v>
      </c>
      <c r="AB2054" s="1">
        <v>60061</v>
      </c>
      <c r="AD2054" s="1" t="s">
        <v>18602</v>
      </c>
      <c r="AE2054" s="1" t="s">
        <v>18603</v>
      </c>
      <c r="AF2054" s="1">
        <v>1995</v>
      </c>
      <c r="AG2054" s="1" t="s">
        <v>204</v>
      </c>
      <c r="AH2054" s="1" t="s">
        <v>508</v>
      </c>
      <c r="AI2054" s="1" t="s">
        <v>509</v>
      </c>
      <c r="AJ2054" s="1" t="s">
        <v>510</v>
      </c>
      <c r="AL2054" s="1">
        <v>5</v>
      </c>
      <c r="AM2054" s="1">
        <v>2</v>
      </c>
      <c r="AN2054" s="1">
        <v>1</v>
      </c>
      <c r="AO2054" s="1">
        <v>0</v>
      </c>
      <c r="AP2054" s="1" t="s">
        <v>667</v>
      </c>
      <c r="AR2054" s="1" t="s">
        <v>210</v>
      </c>
      <c r="AS2054" s="1" t="s">
        <v>204</v>
      </c>
      <c r="AT2054" s="1" t="s">
        <v>211</v>
      </c>
      <c r="AU2054" s="1">
        <v>1</v>
      </c>
      <c r="AW2054" s="1" t="s">
        <v>204</v>
      </c>
      <c r="AX2054" s="1" t="s">
        <v>1265</v>
      </c>
      <c r="AZ2054" s="1">
        <v>1845.39</v>
      </c>
      <c r="BA2054" s="1">
        <v>2012</v>
      </c>
      <c r="BE2054" s="1">
        <v>840</v>
      </c>
      <c r="BF2054" s="1">
        <v>3</v>
      </c>
      <c r="BG2054" s="1">
        <v>0</v>
      </c>
      <c r="BL2054" s="1">
        <v>247</v>
      </c>
      <c r="BM2054" s="1" t="s">
        <v>204</v>
      </c>
      <c r="BN2054" s="1" t="s">
        <v>204</v>
      </c>
      <c r="BP2054" s="1" t="s">
        <v>204</v>
      </c>
      <c r="BR2054" s="1" t="str">
        <f>"15072002140000"</f>
        <v>15072002140000</v>
      </c>
      <c r="BT2054" s="1" t="s">
        <v>18604</v>
      </c>
      <c r="BX2054" s="1">
        <v>96</v>
      </c>
      <c r="BY2054" s="1">
        <v>96</v>
      </c>
      <c r="BZ2054" s="1">
        <v>125</v>
      </c>
      <c r="CB2054" s="1" t="str">
        <f t="shared" ref="CB2054:CC2054" si="1567">""</f>
        <v/>
      </c>
      <c r="CC2054" s="1" t="str">
        <f t="shared" si="1567"/>
        <v/>
      </c>
      <c r="CG2054" s="1" t="s">
        <v>315</v>
      </c>
      <c r="CH2054" s="1" t="s">
        <v>219</v>
      </c>
      <c r="CI2054" s="1" t="s">
        <v>438</v>
      </c>
      <c r="CK2054" s="1" t="s">
        <v>315</v>
      </c>
      <c r="CL2054" s="1" t="s">
        <v>219</v>
      </c>
      <c r="CM2054" s="1" t="s">
        <v>220</v>
      </c>
      <c r="CO2054" s="1" t="s">
        <v>516</v>
      </c>
      <c r="CP2054" s="1" t="s">
        <v>219</v>
      </c>
      <c r="CQ2054" s="1" t="s">
        <v>438</v>
      </c>
      <c r="CS2054" s="1" t="s">
        <v>346</v>
      </c>
      <c r="CT2054" s="1" t="s">
        <v>219</v>
      </c>
      <c r="CU2054" s="1" t="s">
        <v>220</v>
      </c>
      <c r="CX2054" s="1" t="s">
        <v>224</v>
      </c>
      <c r="DB2054" s="1" t="s">
        <v>224</v>
      </c>
      <c r="DE2054" s="1" t="s">
        <v>1919</v>
      </c>
      <c r="DF2054" s="1" t="s">
        <v>219</v>
      </c>
      <c r="DG2054" s="1" t="s">
        <v>226</v>
      </c>
      <c r="DJ2054" s="1" t="s">
        <v>224</v>
      </c>
      <c r="DS2054" s="1" t="s">
        <v>230</v>
      </c>
      <c r="DW2054" s="1" t="s">
        <v>230</v>
      </c>
      <c r="EA2054" s="1" t="s">
        <v>230</v>
      </c>
      <c r="EE2054" s="1" t="s">
        <v>230</v>
      </c>
      <c r="EI2054" s="1" t="s">
        <v>230</v>
      </c>
      <c r="EL2054" s="1" t="s">
        <v>670</v>
      </c>
      <c r="EM2054" s="1" t="s">
        <v>232</v>
      </c>
      <c r="EN2054" s="1" t="s">
        <v>1158</v>
      </c>
      <c r="EO2054" s="1" t="s">
        <v>1020</v>
      </c>
      <c r="ER2054" s="1" t="s">
        <v>210</v>
      </c>
      <c r="EW2054" s="1" t="s">
        <v>142</v>
      </c>
      <c r="EY2054" s="1" t="s">
        <v>1315</v>
      </c>
      <c r="EZ2054" s="1" t="s">
        <v>287</v>
      </c>
      <c r="FD2054" s="1" t="s">
        <v>1112</v>
      </c>
      <c r="FE2054" s="1" t="s">
        <v>247</v>
      </c>
      <c r="FF2054" s="1" t="s">
        <v>248</v>
      </c>
      <c r="FH2054" s="1" t="s">
        <v>249</v>
      </c>
      <c r="FL2054" s="1" t="s">
        <v>292</v>
      </c>
      <c r="FM2054" s="1" t="s">
        <v>252</v>
      </c>
      <c r="FN2054" s="1" t="s">
        <v>213</v>
      </c>
      <c r="FO2054" s="1" t="s">
        <v>213</v>
      </c>
      <c r="FQ2054" s="1" t="s">
        <v>18605</v>
      </c>
      <c r="FR2054" s="1" t="s">
        <v>210</v>
      </c>
      <c r="FS2054" s="1" t="s">
        <v>18606</v>
      </c>
      <c r="FT2054" s="1" t="s">
        <v>18607</v>
      </c>
      <c r="FU2054" s="1" t="s">
        <v>204</v>
      </c>
      <c r="FW2054" s="1" t="s">
        <v>1637</v>
      </c>
      <c r="FX2054" s="1">
        <v>2626</v>
      </c>
      <c r="FY2054" s="1" t="s">
        <v>1638</v>
      </c>
      <c r="FZ2054" s="1" t="s">
        <v>18608</v>
      </c>
      <c r="GA2054" s="1">
        <v>12263</v>
      </c>
      <c r="GB2054" s="1" t="s">
        <v>18609</v>
      </c>
      <c r="GE2054" s="1" t="s">
        <v>480</v>
      </c>
      <c r="GH2054" s="1" t="s">
        <v>230</v>
      </c>
      <c r="GI2054" s="1" t="s">
        <v>213</v>
      </c>
      <c r="GJ2054" s="1" t="s">
        <v>260</v>
      </c>
      <c r="GK2054" s="1" t="s">
        <v>210</v>
      </c>
      <c r="GL2054" s="2">
        <v>41996</v>
      </c>
      <c r="GM2054" s="1" t="s">
        <v>18610</v>
      </c>
    </row>
    <row r="2055" spans="1:195">
      <c r="A2055" s="1">
        <v>169000</v>
      </c>
      <c r="B2055" s="1" t="s">
        <v>195</v>
      </c>
      <c r="C2055" s="1" t="str">
        <f>"08748293"</f>
        <v>08748293</v>
      </c>
      <c r="D2055" s="1" t="s">
        <v>196</v>
      </c>
      <c r="F2055" s="1" t="str">
        <f>"101"</f>
        <v>101</v>
      </c>
      <c r="G2055" s="2">
        <v>41920</v>
      </c>
      <c r="H2055" s="1">
        <v>179900</v>
      </c>
      <c r="I2055" s="1">
        <v>179900</v>
      </c>
      <c r="J2055" s="1">
        <v>169000</v>
      </c>
      <c r="K2055" s="2">
        <v>41920</v>
      </c>
      <c r="L2055" s="1">
        <v>127</v>
      </c>
      <c r="M2055" s="2">
        <v>42046</v>
      </c>
      <c r="N2055" s="1">
        <v>127</v>
      </c>
      <c r="O2055" s="2">
        <v>42046</v>
      </c>
      <c r="P2055" s="1">
        <v>17299</v>
      </c>
      <c r="Q2055" s="1" t="s">
        <v>197</v>
      </c>
      <c r="R2055" s="2">
        <v>42086</v>
      </c>
      <c r="S2055" s="1">
        <v>181306</v>
      </c>
      <c r="U2055" s="1">
        <v>2166</v>
      </c>
      <c r="V2055" s="1" t="s">
        <v>3639</v>
      </c>
      <c r="W2055" s="1" t="s">
        <v>504</v>
      </c>
      <c r="Y2055" s="1">
        <v>6</v>
      </c>
      <c r="Z2055" s="1" t="s">
        <v>249</v>
      </c>
      <c r="AA2055" s="1" t="s">
        <v>2631</v>
      </c>
      <c r="AB2055" s="1">
        <v>60101</v>
      </c>
      <c r="AD2055" s="1" t="s">
        <v>18611</v>
      </c>
      <c r="AE2055" s="1" t="s">
        <v>18612</v>
      </c>
      <c r="AF2055" s="1">
        <v>2002</v>
      </c>
      <c r="AG2055" s="1" t="s">
        <v>204</v>
      </c>
      <c r="AH2055" s="1" t="s">
        <v>1233</v>
      </c>
      <c r="AI2055" s="1" t="s">
        <v>206</v>
      </c>
      <c r="AJ2055" s="1" t="s">
        <v>269</v>
      </c>
      <c r="AL2055" s="1">
        <v>6</v>
      </c>
      <c r="AM2055" s="1">
        <v>2</v>
      </c>
      <c r="AN2055" s="1">
        <v>2</v>
      </c>
      <c r="AO2055" s="1">
        <v>1</v>
      </c>
      <c r="AP2055" s="1" t="s">
        <v>209</v>
      </c>
      <c r="AR2055" s="1" t="s">
        <v>1483</v>
      </c>
      <c r="AS2055" s="1" t="s">
        <v>204</v>
      </c>
      <c r="AT2055" s="1" t="s">
        <v>211</v>
      </c>
      <c r="AU2055" s="1">
        <v>2</v>
      </c>
      <c r="AW2055" s="1" t="s">
        <v>204</v>
      </c>
      <c r="AX2055" s="1" t="s">
        <v>212</v>
      </c>
      <c r="AZ2055" s="1">
        <v>5993.82</v>
      </c>
      <c r="BA2055" s="1">
        <v>2013</v>
      </c>
      <c r="BB2055" s="1" t="s">
        <v>405</v>
      </c>
      <c r="BE2055" s="1">
        <v>1804</v>
      </c>
      <c r="BF2055" s="1">
        <v>1</v>
      </c>
      <c r="BG2055" s="1">
        <v>0</v>
      </c>
      <c r="BL2055" s="1">
        <v>208</v>
      </c>
      <c r="BM2055" s="1" t="s">
        <v>413</v>
      </c>
      <c r="BN2055" s="1" t="s">
        <v>213</v>
      </c>
      <c r="BO2055" s="1">
        <v>999</v>
      </c>
      <c r="BP2055" s="1" t="s">
        <v>204</v>
      </c>
      <c r="BR2055" s="1" t="str">
        <f>"0225309009"</f>
        <v>0225309009</v>
      </c>
      <c r="BT2055" s="1" t="s">
        <v>18613</v>
      </c>
      <c r="BU2055" s="1" t="s">
        <v>3570</v>
      </c>
      <c r="BV2055" s="1" t="s">
        <v>2015</v>
      </c>
      <c r="BW2055" s="1" t="s">
        <v>1092</v>
      </c>
      <c r="BX2055" s="1">
        <v>15</v>
      </c>
      <c r="BY2055" s="1">
        <v>15</v>
      </c>
      <c r="BZ2055" s="1">
        <v>87</v>
      </c>
      <c r="CB2055" s="1" t="str">
        <f>"2"</f>
        <v>2</v>
      </c>
      <c r="CC2055" s="1" t="str">
        <f>"0"</f>
        <v>0</v>
      </c>
      <c r="CD2055" s="1">
        <v>21</v>
      </c>
      <c r="CE2055" s="1">
        <v>0</v>
      </c>
      <c r="CG2055" s="1" t="s">
        <v>602</v>
      </c>
      <c r="CH2055" s="1" t="s">
        <v>277</v>
      </c>
      <c r="CI2055" s="1" t="s">
        <v>220</v>
      </c>
      <c r="CJ2055" s="1" t="s">
        <v>252</v>
      </c>
      <c r="CK2055" s="1" t="s">
        <v>1267</v>
      </c>
      <c r="CL2055" s="1" t="s">
        <v>784</v>
      </c>
      <c r="CM2055" s="1" t="s">
        <v>220</v>
      </c>
      <c r="CN2055" s="1" t="s">
        <v>252</v>
      </c>
      <c r="CO2055" s="1" t="s">
        <v>1297</v>
      </c>
      <c r="CP2055" s="1" t="s">
        <v>277</v>
      </c>
      <c r="CQ2055" s="1" t="s">
        <v>220</v>
      </c>
      <c r="CR2055" s="1" t="s">
        <v>252</v>
      </c>
      <c r="CS2055" s="1" t="s">
        <v>602</v>
      </c>
      <c r="CT2055" s="1" t="s">
        <v>784</v>
      </c>
      <c r="CU2055" s="1" t="s">
        <v>220</v>
      </c>
      <c r="CV2055" s="1" t="s">
        <v>252</v>
      </c>
      <c r="CX2055" s="1" t="s">
        <v>224</v>
      </c>
      <c r="DB2055" s="1" t="s">
        <v>224</v>
      </c>
      <c r="DE2055" s="1" t="s">
        <v>437</v>
      </c>
      <c r="DF2055" s="1" t="s">
        <v>277</v>
      </c>
      <c r="DG2055" s="1" t="s">
        <v>342</v>
      </c>
      <c r="DH2055" s="1" t="s">
        <v>252</v>
      </c>
      <c r="DI2055" s="1" t="s">
        <v>221</v>
      </c>
      <c r="DJ2055" s="1" t="s">
        <v>822</v>
      </c>
      <c r="DK2055" s="1" t="s">
        <v>220</v>
      </c>
      <c r="DL2055" s="1" t="s">
        <v>252</v>
      </c>
      <c r="DS2055" s="1" t="s">
        <v>230</v>
      </c>
      <c r="DW2055" s="1" t="s">
        <v>230</v>
      </c>
      <c r="EA2055" s="1" t="s">
        <v>230</v>
      </c>
      <c r="EE2055" s="1" t="s">
        <v>230</v>
      </c>
      <c r="EI2055" s="1" t="s">
        <v>230</v>
      </c>
      <c r="EL2055" s="1" t="s">
        <v>466</v>
      </c>
      <c r="EM2055" s="1" t="s">
        <v>232</v>
      </c>
      <c r="EN2055" s="1" t="s">
        <v>18614</v>
      </c>
      <c r="EO2055" s="1" t="s">
        <v>234</v>
      </c>
      <c r="EQ2055" s="1" t="s">
        <v>492</v>
      </c>
      <c r="ER2055" s="1" t="s">
        <v>544</v>
      </c>
      <c r="ES2055" s="1" t="s">
        <v>322</v>
      </c>
      <c r="EU2055" s="1" t="s">
        <v>239</v>
      </c>
      <c r="EV2055" s="1" t="s">
        <v>324</v>
      </c>
      <c r="EW2055" s="1" t="s">
        <v>353</v>
      </c>
      <c r="EZ2055" s="1" t="s">
        <v>287</v>
      </c>
      <c r="FA2055" s="1" t="s">
        <v>471</v>
      </c>
      <c r="FD2055" s="1" t="s">
        <v>246</v>
      </c>
      <c r="FE2055" s="1" t="s">
        <v>975</v>
      </c>
      <c r="FF2055" s="1" t="s">
        <v>248</v>
      </c>
      <c r="FH2055" s="1" t="s">
        <v>550</v>
      </c>
      <c r="FI2055" s="1" t="s">
        <v>357</v>
      </c>
      <c r="FL2055" s="1" t="s">
        <v>358</v>
      </c>
      <c r="FM2055" s="1" t="s">
        <v>252</v>
      </c>
      <c r="FN2055" s="1" t="s">
        <v>213</v>
      </c>
      <c r="FO2055" s="1" t="s">
        <v>213</v>
      </c>
      <c r="FQ2055" s="1" t="s">
        <v>849</v>
      </c>
      <c r="FR2055" s="1" t="s">
        <v>652</v>
      </c>
      <c r="FS2055" s="1" t="s">
        <v>13494</v>
      </c>
      <c r="FT2055" s="1" t="s">
        <v>255</v>
      </c>
      <c r="FU2055" s="1" t="s">
        <v>204</v>
      </c>
      <c r="FV2055" s="1" t="s">
        <v>18615</v>
      </c>
      <c r="FW2055" s="1" t="s">
        <v>2235</v>
      </c>
      <c r="FX2055" s="1">
        <v>24321</v>
      </c>
      <c r="FY2055" s="1" t="s">
        <v>2236</v>
      </c>
      <c r="FZ2055" s="1" t="s">
        <v>2237</v>
      </c>
      <c r="GA2055" s="1">
        <v>241778</v>
      </c>
      <c r="GB2055" s="1" t="s">
        <v>2238</v>
      </c>
      <c r="GD2055" s="1" t="s">
        <v>2239</v>
      </c>
      <c r="GE2055" s="1" t="s">
        <v>210</v>
      </c>
      <c r="GH2055" s="1" t="s">
        <v>589</v>
      </c>
      <c r="GI2055" s="1" t="s">
        <v>213</v>
      </c>
      <c r="GJ2055" s="1" t="s">
        <v>260</v>
      </c>
      <c r="GK2055" s="1" t="s">
        <v>210</v>
      </c>
      <c r="GL2055" s="2">
        <v>42086</v>
      </c>
      <c r="GM2055" s="1" t="s">
        <v>18616</v>
      </c>
    </row>
    <row r="2056" spans="1:195">
      <c r="A2056" s="1">
        <v>69100</v>
      </c>
      <c r="B2056" s="1" t="s">
        <v>195</v>
      </c>
      <c r="C2056" s="1" t="str">
        <f>"08744254"</f>
        <v>08744254</v>
      </c>
      <c r="D2056" s="1" t="s">
        <v>196</v>
      </c>
      <c r="F2056" s="1" t="str">
        <f>"515"</f>
        <v>515</v>
      </c>
      <c r="G2056" s="2">
        <v>41915</v>
      </c>
      <c r="H2056" s="1">
        <v>80000</v>
      </c>
      <c r="I2056" s="1">
        <v>69000</v>
      </c>
      <c r="J2056" s="1">
        <v>69100</v>
      </c>
      <c r="K2056" s="2">
        <v>41915</v>
      </c>
      <c r="L2056" s="1">
        <v>88</v>
      </c>
      <c r="M2056" s="2">
        <v>42002</v>
      </c>
      <c r="N2056" s="1">
        <v>88</v>
      </c>
      <c r="O2056" s="2">
        <v>42002</v>
      </c>
      <c r="P2056" s="1">
        <v>23959</v>
      </c>
      <c r="Q2056" s="1" t="s">
        <v>197</v>
      </c>
      <c r="R2056" s="2">
        <v>42061</v>
      </c>
      <c r="S2056" s="1">
        <v>229985</v>
      </c>
      <c r="U2056" s="1">
        <v>3913</v>
      </c>
      <c r="V2056" s="1" t="s">
        <v>5751</v>
      </c>
      <c r="W2056" s="1" t="s">
        <v>425</v>
      </c>
      <c r="X2056" s="1" t="s">
        <v>18617</v>
      </c>
      <c r="Y2056" s="1">
        <v>45</v>
      </c>
      <c r="Z2056" s="1" t="s">
        <v>249</v>
      </c>
      <c r="AA2056" s="1" t="s">
        <v>1294</v>
      </c>
      <c r="AB2056" s="1">
        <v>60515</v>
      </c>
      <c r="AD2056" s="1" t="s">
        <v>14685</v>
      </c>
      <c r="AE2056" s="1" t="s">
        <v>18356</v>
      </c>
      <c r="AF2056" s="1">
        <v>1968</v>
      </c>
      <c r="AG2056" s="1" t="s">
        <v>213</v>
      </c>
      <c r="AH2056" s="1" t="s">
        <v>903</v>
      </c>
      <c r="AI2056" s="1" t="s">
        <v>206</v>
      </c>
      <c r="AJ2056" s="1" t="s">
        <v>903</v>
      </c>
      <c r="AL2056" s="1">
        <v>5</v>
      </c>
      <c r="AM2056" s="1">
        <v>2</v>
      </c>
      <c r="AN2056" s="1">
        <v>1</v>
      </c>
      <c r="AO2056" s="1">
        <v>0</v>
      </c>
      <c r="AP2056" s="1" t="s">
        <v>210</v>
      </c>
      <c r="AR2056" s="1" t="s">
        <v>210</v>
      </c>
      <c r="AS2056" s="1" t="s">
        <v>204</v>
      </c>
      <c r="AT2056" s="1" t="s">
        <v>271</v>
      </c>
      <c r="AV2056" s="1">
        <v>2</v>
      </c>
      <c r="AW2056" s="1" t="s">
        <v>204</v>
      </c>
      <c r="AX2056" s="1" t="s">
        <v>212</v>
      </c>
      <c r="AZ2056" s="1">
        <v>986</v>
      </c>
      <c r="BA2056" s="1">
        <v>2013</v>
      </c>
      <c r="BB2056" s="1" t="s">
        <v>2694</v>
      </c>
      <c r="BE2056" s="1">
        <v>0</v>
      </c>
      <c r="BF2056" s="1">
        <v>3</v>
      </c>
      <c r="BG2056" s="1">
        <v>30</v>
      </c>
      <c r="BL2056" s="1">
        <v>375</v>
      </c>
      <c r="BM2056" s="1" t="s">
        <v>204</v>
      </c>
      <c r="BN2056" s="1" t="s">
        <v>204</v>
      </c>
      <c r="BP2056" s="1" t="s">
        <v>204</v>
      </c>
      <c r="BR2056" s="1" t="str">
        <f>"0905123199"</f>
        <v>0905123199</v>
      </c>
      <c r="BT2056" s="1" t="s">
        <v>18618</v>
      </c>
      <c r="BU2056" s="1" t="s">
        <v>5757</v>
      </c>
      <c r="BV2056" s="1" t="s">
        <v>2761</v>
      </c>
      <c r="BW2056" s="1" t="s">
        <v>2762</v>
      </c>
      <c r="BX2056" s="1">
        <v>58</v>
      </c>
      <c r="BY2056" s="1">
        <v>58</v>
      </c>
      <c r="BZ2056" s="1">
        <v>99</v>
      </c>
      <c r="CB2056" s="1" t="str">
        <f t="shared" ref="CB2056:CC2056" si="1568">""</f>
        <v/>
      </c>
      <c r="CC2056" s="1" t="str">
        <f t="shared" si="1568"/>
        <v/>
      </c>
      <c r="CG2056" s="1" t="s">
        <v>1723</v>
      </c>
      <c r="CH2056" s="1" t="s">
        <v>784</v>
      </c>
      <c r="CK2056" s="1" t="s">
        <v>564</v>
      </c>
      <c r="CL2056" s="1" t="s">
        <v>784</v>
      </c>
      <c r="CO2056" s="1" t="s">
        <v>2203</v>
      </c>
      <c r="CP2056" s="1" t="s">
        <v>784</v>
      </c>
      <c r="CS2056" s="1" t="s">
        <v>317</v>
      </c>
      <c r="CT2056" s="1" t="s">
        <v>784</v>
      </c>
      <c r="CX2056" s="1" t="s">
        <v>224</v>
      </c>
      <c r="DB2056" s="1" t="s">
        <v>224</v>
      </c>
      <c r="DE2056" s="1" t="s">
        <v>786</v>
      </c>
      <c r="DF2056" s="1" t="s">
        <v>784</v>
      </c>
      <c r="DJ2056" s="1" t="s">
        <v>224</v>
      </c>
      <c r="DS2056" s="1" t="s">
        <v>230</v>
      </c>
      <c r="DW2056" s="1" t="s">
        <v>230</v>
      </c>
      <c r="EA2056" s="1" t="s">
        <v>230</v>
      </c>
      <c r="EE2056" s="1" t="s">
        <v>230</v>
      </c>
      <c r="EI2056" s="1" t="s">
        <v>230</v>
      </c>
      <c r="EL2056" s="1" t="s">
        <v>605</v>
      </c>
      <c r="EM2056" s="1" t="s">
        <v>232</v>
      </c>
      <c r="EN2056" s="1" t="s">
        <v>1158</v>
      </c>
      <c r="EO2056" s="1" t="s">
        <v>234</v>
      </c>
      <c r="EP2056" s="1" t="s">
        <v>18358</v>
      </c>
      <c r="ER2056" s="1" t="s">
        <v>210</v>
      </c>
      <c r="ES2056" s="1" t="s">
        <v>322</v>
      </c>
      <c r="EU2056" s="1" t="s">
        <v>712</v>
      </c>
      <c r="EV2056" s="1" t="s">
        <v>240</v>
      </c>
      <c r="EW2056" s="1" t="s">
        <v>18359</v>
      </c>
      <c r="EZ2056" s="1" t="s">
        <v>287</v>
      </c>
      <c r="FB2056" s="1" t="s">
        <v>289</v>
      </c>
      <c r="FC2056" s="1" t="s">
        <v>633</v>
      </c>
      <c r="FD2056" s="1" t="s">
        <v>1112</v>
      </c>
      <c r="FE2056" s="1" t="s">
        <v>247</v>
      </c>
      <c r="FF2056" s="1" t="s">
        <v>248</v>
      </c>
      <c r="FH2056" s="1" t="s">
        <v>249</v>
      </c>
      <c r="FK2056" s="1" t="s">
        <v>891</v>
      </c>
      <c r="FL2056" s="1" t="s">
        <v>414</v>
      </c>
      <c r="FM2056" s="1" t="s">
        <v>252</v>
      </c>
      <c r="FN2056" s="1" t="s">
        <v>213</v>
      </c>
      <c r="FO2056" s="1" t="s">
        <v>213</v>
      </c>
      <c r="FQ2056" s="1" t="s">
        <v>849</v>
      </c>
      <c r="FR2056" s="1" t="s">
        <v>1301</v>
      </c>
      <c r="FS2056" s="1" t="s">
        <v>18619</v>
      </c>
      <c r="FT2056" s="1" t="s">
        <v>295</v>
      </c>
      <c r="FU2056" s="1" t="s">
        <v>204</v>
      </c>
      <c r="FW2056" s="1" t="s">
        <v>1303</v>
      </c>
      <c r="FX2056" s="1">
        <v>24072</v>
      </c>
      <c r="FY2056" s="1" t="s">
        <v>1304</v>
      </c>
      <c r="FZ2056" s="1" t="s">
        <v>1305</v>
      </c>
      <c r="GA2056" s="1">
        <v>222267</v>
      </c>
      <c r="GB2056" s="1" t="s">
        <v>1304</v>
      </c>
      <c r="GC2056" s="1">
        <v>235600</v>
      </c>
      <c r="GD2056" s="1" t="s">
        <v>11657</v>
      </c>
      <c r="GE2056" s="1" t="s">
        <v>1333</v>
      </c>
      <c r="GI2056" s="1" t="s">
        <v>204</v>
      </c>
      <c r="GJ2056" s="1" t="s">
        <v>260</v>
      </c>
      <c r="GK2056" s="1" t="s">
        <v>210</v>
      </c>
      <c r="GL2056" s="2">
        <v>42062</v>
      </c>
      <c r="GM2056" s="1" t="s">
        <v>18620</v>
      </c>
    </row>
    <row r="2057" spans="1:195">
      <c r="A2057" s="1">
        <v>95000</v>
      </c>
      <c r="B2057" s="1" t="s">
        <v>195</v>
      </c>
      <c r="C2057" s="1" t="str">
        <f>"08748758"</f>
        <v>08748758</v>
      </c>
      <c r="D2057" s="1" t="s">
        <v>196</v>
      </c>
      <c r="F2057" s="1" t="str">
        <f>"517"</f>
        <v>517</v>
      </c>
      <c r="G2057" s="2">
        <v>41920</v>
      </c>
      <c r="H2057" s="1">
        <v>99999</v>
      </c>
      <c r="I2057" s="1">
        <v>97000</v>
      </c>
      <c r="J2057" s="1">
        <v>95000</v>
      </c>
      <c r="K2057" s="2">
        <v>41919</v>
      </c>
      <c r="L2057" s="1">
        <v>100</v>
      </c>
      <c r="M2057" s="2">
        <v>42018</v>
      </c>
      <c r="N2057" s="1">
        <v>100</v>
      </c>
      <c r="O2057" s="2">
        <v>42018</v>
      </c>
      <c r="P2057" s="1">
        <v>20179</v>
      </c>
      <c r="Q2057" s="1" t="s">
        <v>197</v>
      </c>
      <c r="R2057" s="2">
        <v>42052</v>
      </c>
      <c r="S2057" s="1">
        <v>217597</v>
      </c>
      <c r="T2057" s="1">
        <v>2200</v>
      </c>
      <c r="U2057" s="1">
        <v>7764</v>
      </c>
      <c r="V2057" s="1" t="s">
        <v>18621</v>
      </c>
      <c r="W2057" s="1" t="s">
        <v>425</v>
      </c>
      <c r="X2057" s="1" t="s">
        <v>18622</v>
      </c>
      <c r="Y2057" s="1">
        <v>8</v>
      </c>
      <c r="Z2057" s="1" t="s">
        <v>370</v>
      </c>
      <c r="AA2057" s="1" t="s">
        <v>2850</v>
      </c>
      <c r="AB2057" s="1">
        <v>60517</v>
      </c>
      <c r="AD2057" s="1" t="s">
        <v>5194</v>
      </c>
      <c r="AE2057" s="1" t="s">
        <v>18623</v>
      </c>
      <c r="AF2057" s="1">
        <v>1974</v>
      </c>
      <c r="AG2057" s="1" t="s">
        <v>213</v>
      </c>
      <c r="AH2057" s="1" t="s">
        <v>2853</v>
      </c>
      <c r="AI2057" s="1" t="s">
        <v>206</v>
      </c>
      <c r="AJ2057" s="1" t="s">
        <v>925</v>
      </c>
      <c r="AL2057" s="1">
        <v>5</v>
      </c>
      <c r="AM2057" s="1">
        <v>2</v>
      </c>
      <c r="AN2057" s="1">
        <v>1</v>
      </c>
      <c r="AO2057" s="1">
        <v>2</v>
      </c>
      <c r="AP2057" s="1" t="s">
        <v>1234</v>
      </c>
      <c r="AR2057" s="1" t="s">
        <v>210</v>
      </c>
      <c r="AS2057" s="1" t="s">
        <v>204</v>
      </c>
      <c r="AT2057" s="1" t="s">
        <v>271</v>
      </c>
      <c r="AV2057" s="1">
        <v>2</v>
      </c>
      <c r="AW2057" s="1" t="s">
        <v>204</v>
      </c>
      <c r="AX2057" s="1" t="s">
        <v>212</v>
      </c>
      <c r="AZ2057" s="1">
        <v>2034</v>
      </c>
      <c r="BA2057" s="1">
        <v>2013</v>
      </c>
      <c r="BB2057" s="1" t="s">
        <v>405</v>
      </c>
      <c r="BE2057" s="1">
        <v>1218</v>
      </c>
      <c r="BF2057" s="1">
        <v>1</v>
      </c>
      <c r="BG2057" s="1">
        <v>0</v>
      </c>
      <c r="BL2057" s="1">
        <v>312</v>
      </c>
      <c r="BM2057" s="1" t="s">
        <v>204</v>
      </c>
      <c r="BN2057" s="1" t="s">
        <v>213</v>
      </c>
      <c r="BO2057" s="1">
        <v>0</v>
      </c>
      <c r="BP2057" s="1" t="s">
        <v>204</v>
      </c>
      <c r="BR2057" s="1" t="str">
        <f>"0825420012"</f>
        <v>0825420012</v>
      </c>
      <c r="BT2057" s="1" t="s">
        <v>18624</v>
      </c>
      <c r="BX2057" s="1">
        <v>68</v>
      </c>
      <c r="BY2057" s="1">
        <v>68</v>
      </c>
      <c r="BZ2057" s="1">
        <v>99</v>
      </c>
      <c r="CB2057" s="1" t="str">
        <f t="shared" ref="CB2057:CC2057" si="1569">"0"</f>
        <v>0</v>
      </c>
      <c r="CC2057" s="1" t="str">
        <f t="shared" si="1569"/>
        <v>0</v>
      </c>
      <c r="CD2057" s="1">
        <v>21</v>
      </c>
      <c r="CE2057" s="1">
        <v>8</v>
      </c>
      <c r="CG2057" s="1" t="s">
        <v>2747</v>
      </c>
      <c r="CH2057" s="1" t="s">
        <v>219</v>
      </c>
      <c r="CI2057" s="1" t="s">
        <v>220</v>
      </c>
      <c r="CK2057" s="1" t="s">
        <v>1178</v>
      </c>
      <c r="CL2057" s="1" t="s">
        <v>277</v>
      </c>
      <c r="CM2057" s="1" t="s">
        <v>220</v>
      </c>
      <c r="CO2057" s="1" t="s">
        <v>409</v>
      </c>
      <c r="CP2057" s="1" t="s">
        <v>219</v>
      </c>
      <c r="CQ2057" s="1" t="s">
        <v>220</v>
      </c>
      <c r="CR2057" s="1" t="s">
        <v>210</v>
      </c>
      <c r="CS2057" s="1" t="s">
        <v>1358</v>
      </c>
      <c r="CT2057" s="1" t="s">
        <v>277</v>
      </c>
      <c r="CU2057" s="1" t="s">
        <v>220</v>
      </c>
      <c r="CX2057" s="1" t="s">
        <v>224</v>
      </c>
      <c r="DB2057" s="1" t="s">
        <v>224</v>
      </c>
      <c r="DE2057" s="1" t="s">
        <v>1297</v>
      </c>
      <c r="DF2057" s="1" t="s">
        <v>219</v>
      </c>
      <c r="DG2057" s="1" t="s">
        <v>342</v>
      </c>
      <c r="DH2057" s="1" t="s">
        <v>210</v>
      </c>
      <c r="DJ2057" s="1" t="s">
        <v>224</v>
      </c>
      <c r="DS2057" s="1" t="s">
        <v>230</v>
      </c>
      <c r="DW2057" s="1" t="s">
        <v>230</v>
      </c>
      <c r="EA2057" s="1" t="s">
        <v>230</v>
      </c>
      <c r="EE2057" s="1" t="s">
        <v>230</v>
      </c>
      <c r="EI2057" s="1" t="s">
        <v>230</v>
      </c>
      <c r="EL2057" s="1" t="s">
        <v>605</v>
      </c>
      <c r="EM2057" s="1" t="s">
        <v>730</v>
      </c>
      <c r="EN2057" s="1" t="s">
        <v>282</v>
      </c>
      <c r="EO2057" s="1" t="s">
        <v>234</v>
      </c>
      <c r="EP2057" s="1" t="s">
        <v>18625</v>
      </c>
      <c r="EQ2057" s="1" t="s">
        <v>350</v>
      </c>
      <c r="ER2057" s="1" t="s">
        <v>210</v>
      </c>
      <c r="ES2057" s="1" t="s">
        <v>824</v>
      </c>
      <c r="EU2057" s="1" t="s">
        <v>239</v>
      </c>
      <c r="EV2057" s="1" t="s">
        <v>324</v>
      </c>
      <c r="EW2057" s="1" t="s">
        <v>844</v>
      </c>
      <c r="EY2057" s="1" t="s">
        <v>242</v>
      </c>
      <c r="EZ2057" s="1" t="s">
        <v>287</v>
      </c>
      <c r="FA2057" s="1" t="s">
        <v>471</v>
      </c>
      <c r="FD2057" s="1" t="s">
        <v>246</v>
      </c>
      <c r="FE2057" s="1" t="s">
        <v>247</v>
      </c>
      <c r="FF2057" s="1" t="s">
        <v>248</v>
      </c>
      <c r="FH2057" s="1" t="s">
        <v>940</v>
      </c>
      <c r="FK2057" s="1" t="s">
        <v>4663</v>
      </c>
      <c r="FL2057" s="1" t="s">
        <v>358</v>
      </c>
      <c r="FM2057" s="1" t="s">
        <v>252</v>
      </c>
      <c r="FN2057" s="1" t="s">
        <v>213</v>
      </c>
      <c r="FO2057" s="1" t="s">
        <v>213</v>
      </c>
      <c r="FQ2057" s="1" t="s">
        <v>956</v>
      </c>
      <c r="FR2057" s="1" t="s">
        <v>210</v>
      </c>
      <c r="FS2057" s="1" t="s">
        <v>18626</v>
      </c>
      <c r="FT2057" s="1" t="s">
        <v>295</v>
      </c>
      <c r="FU2057" s="1" t="s">
        <v>204</v>
      </c>
      <c r="FW2057" s="1" t="s">
        <v>915</v>
      </c>
      <c r="FX2057" s="1">
        <v>20179</v>
      </c>
      <c r="FY2057" s="1" t="s">
        <v>1944</v>
      </c>
      <c r="FZ2057" s="1" t="s">
        <v>18627</v>
      </c>
      <c r="GA2057" s="1">
        <v>236454</v>
      </c>
      <c r="GB2057" s="1" t="s">
        <v>18628</v>
      </c>
      <c r="GD2057" s="1" t="s">
        <v>18629</v>
      </c>
      <c r="GE2057" s="1" t="s">
        <v>335</v>
      </c>
      <c r="GI2057" s="1" t="s">
        <v>213</v>
      </c>
      <c r="GJ2057" s="1" t="s">
        <v>260</v>
      </c>
      <c r="GK2057" s="1" t="s">
        <v>210</v>
      </c>
      <c r="GL2057" s="2">
        <v>42053</v>
      </c>
      <c r="GM2057" s="1" t="s">
        <v>18630</v>
      </c>
    </row>
    <row r="2058" spans="1:195">
      <c r="A2058" s="1">
        <v>201000</v>
      </c>
      <c r="B2058" s="1" t="s">
        <v>195</v>
      </c>
      <c r="C2058" s="1" t="str">
        <f>"08747306"</f>
        <v>08747306</v>
      </c>
      <c r="D2058" s="1" t="s">
        <v>196</v>
      </c>
      <c r="F2058" s="1" t="str">
        <f>"559"</f>
        <v>559</v>
      </c>
      <c r="G2058" s="2">
        <v>41919</v>
      </c>
      <c r="H2058" s="1">
        <v>214950</v>
      </c>
      <c r="I2058" s="1">
        <v>209950</v>
      </c>
      <c r="J2058" s="1">
        <v>201000</v>
      </c>
      <c r="K2058" s="2">
        <v>41919</v>
      </c>
      <c r="L2058" s="1">
        <v>29</v>
      </c>
      <c r="M2058" s="2">
        <v>41947</v>
      </c>
      <c r="N2058" s="1">
        <v>29</v>
      </c>
      <c r="O2058" s="2">
        <v>41947</v>
      </c>
      <c r="P2058" s="1">
        <v>61080</v>
      </c>
      <c r="Q2058" s="1" t="s">
        <v>197</v>
      </c>
      <c r="R2058" s="2">
        <v>41983</v>
      </c>
      <c r="S2058" s="1">
        <v>242946</v>
      </c>
      <c r="U2058" s="1">
        <v>130</v>
      </c>
      <c r="V2058" s="1" t="s">
        <v>18631</v>
      </c>
      <c r="W2058" s="1" t="s">
        <v>264</v>
      </c>
      <c r="Y2058" s="1">
        <v>4</v>
      </c>
      <c r="Z2058" s="1" t="s">
        <v>370</v>
      </c>
      <c r="AA2058" s="1" t="s">
        <v>1950</v>
      </c>
      <c r="AB2058" s="1">
        <v>60559</v>
      </c>
      <c r="AD2058" s="1" t="s">
        <v>15213</v>
      </c>
      <c r="AE2058" s="1" t="s">
        <v>18632</v>
      </c>
      <c r="AF2058" s="1">
        <v>1984</v>
      </c>
      <c r="AG2058" s="1" t="s">
        <v>204</v>
      </c>
      <c r="AH2058" s="1" t="s">
        <v>1952</v>
      </c>
      <c r="AI2058" s="1" t="s">
        <v>206</v>
      </c>
      <c r="AJ2058" s="1" t="s">
        <v>1608</v>
      </c>
      <c r="AL2058" s="1">
        <v>5</v>
      </c>
      <c r="AM2058" s="1">
        <v>2</v>
      </c>
      <c r="AN2058" s="1">
        <v>1</v>
      </c>
      <c r="AO2058" s="1">
        <v>1</v>
      </c>
      <c r="AP2058" s="1" t="s">
        <v>209</v>
      </c>
      <c r="AQ2058" s="1">
        <v>1</v>
      </c>
      <c r="AR2058" s="1" t="s">
        <v>210</v>
      </c>
      <c r="AT2058" s="1" t="s">
        <v>375</v>
      </c>
      <c r="AU2058" s="1">
        <v>2</v>
      </c>
      <c r="AV2058" s="1">
        <v>1</v>
      </c>
      <c r="AW2058" s="1" t="s">
        <v>204</v>
      </c>
      <c r="AX2058" s="1" t="s">
        <v>18633</v>
      </c>
      <c r="AZ2058" s="1">
        <v>3627.34</v>
      </c>
      <c r="BA2058" s="1">
        <v>2013</v>
      </c>
      <c r="BB2058" s="1" t="s">
        <v>405</v>
      </c>
      <c r="BE2058" s="1">
        <v>1300</v>
      </c>
      <c r="BF2058" s="1">
        <v>1</v>
      </c>
      <c r="BG2058" s="1">
        <v>30</v>
      </c>
      <c r="BL2058" s="1">
        <v>285</v>
      </c>
      <c r="BM2058" s="1" t="s">
        <v>204</v>
      </c>
      <c r="BN2058" s="1" t="s">
        <v>213</v>
      </c>
      <c r="BO2058" s="1">
        <v>10</v>
      </c>
      <c r="BP2058" s="1" t="s">
        <v>204</v>
      </c>
      <c r="BR2058" s="1" t="str">
        <f>"0633412054"</f>
        <v>0633412054</v>
      </c>
      <c r="BT2058" s="1" t="s">
        <v>18634</v>
      </c>
      <c r="BX2058" s="1">
        <v>201</v>
      </c>
      <c r="BY2058" s="1">
        <v>201</v>
      </c>
      <c r="BZ2058" s="1">
        <v>201</v>
      </c>
      <c r="CB2058" s="1" t="str">
        <f t="shared" ref="CB2058:CC2058" si="1570">"0"</f>
        <v>0</v>
      </c>
      <c r="CC2058" s="1" t="str">
        <f t="shared" si="1570"/>
        <v>0</v>
      </c>
      <c r="CD2058" s="1">
        <v>18</v>
      </c>
      <c r="CE2058" s="1">
        <v>3</v>
      </c>
      <c r="CH2058" s="1" t="s">
        <v>224</v>
      </c>
      <c r="CK2058" s="1" t="s">
        <v>564</v>
      </c>
      <c r="CL2058" s="1" t="s">
        <v>277</v>
      </c>
      <c r="CM2058" s="1" t="s">
        <v>220</v>
      </c>
      <c r="CN2058" s="1" t="s">
        <v>252</v>
      </c>
      <c r="CO2058" s="1" t="s">
        <v>1046</v>
      </c>
      <c r="CP2058" s="1" t="s">
        <v>219</v>
      </c>
      <c r="CQ2058" s="1" t="s">
        <v>438</v>
      </c>
      <c r="CR2058" s="1" t="s">
        <v>252</v>
      </c>
      <c r="CS2058" s="1" t="s">
        <v>379</v>
      </c>
      <c r="CT2058" s="1" t="s">
        <v>277</v>
      </c>
      <c r="CU2058" s="1" t="s">
        <v>220</v>
      </c>
      <c r="CV2058" s="1" t="s">
        <v>252</v>
      </c>
      <c r="CX2058" s="1" t="s">
        <v>224</v>
      </c>
      <c r="DB2058" s="1" t="s">
        <v>224</v>
      </c>
      <c r="DE2058" s="1" t="s">
        <v>317</v>
      </c>
      <c r="DF2058" s="1" t="s">
        <v>219</v>
      </c>
      <c r="DG2058" s="1" t="s">
        <v>226</v>
      </c>
      <c r="DH2058" s="1" t="s">
        <v>210</v>
      </c>
      <c r="DJ2058" s="1" t="s">
        <v>224</v>
      </c>
      <c r="DM2058" s="1" t="s">
        <v>709</v>
      </c>
      <c r="DN2058" s="1" t="s">
        <v>1676</v>
      </c>
      <c r="DR2058" s="1" t="s">
        <v>6174</v>
      </c>
      <c r="DS2058" s="1" t="s">
        <v>219</v>
      </c>
      <c r="DT2058" s="1" t="s">
        <v>226</v>
      </c>
      <c r="DU2058" s="1" t="s">
        <v>210</v>
      </c>
      <c r="DV2058" s="1" t="s">
        <v>862</v>
      </c>
      <c r="DW2058" s="1" t="s">
        <v>219</v>
      </c>
      <c r="DX2058" s="1" t="s">
        <v>438</v>
      </c>
      <c r="DY2058" s="1" t="s">
        <v>252</v>
      </c>
      <c r="EA2058" s="1" t="s">
        <v>230</v>
      </c>
      <c r="EE2058" s="1" t="s">
        <v>230</v>
      </c>
      <c r="EI2058" s="1" t="s">
        <v>230</v>
      </c>
      <c r="EL2058" s="1" t="s">
        <v>542</v>
      </c>
      <c r="EM2058" s="1" t="s">
        <v>730</v>
      </c>
      <c r="EN2058" s="1" t="s">
        <v>282</v>
      </c>
      <c r="EO2058" s="1" t="s">
        <v>234</v>
      </c>
      <c r="EQ2058" s="1" t="s">
        <v>18635</v>
      </c>
      <c r="ER2058" s="1" t="s">
        <v>210</v>
      </c>
      <c r="ES2058" s="1" t="s">
        <v>469</v>
      </c>
      <c r="EV2058" s="1" t="s">
        <v>324</v>
      </c>
      <c r="EW2058" s="1" t="s">
        <v>353</v>
      </c>
      <c r="EZ2058" s="1" t="s">
        <v>18636</v>
      </c>
      <c r="FB2058" s="1" t="s">
        <v>1505</v>
      </c>
      <c r="FD2058" s="1" t="s">
        <v>246</v>
      </c>
      <c r="FE2058" s="1" t="s">
        <v>347</v>
      </c>
      <c r="FF2058" s="1" t="s">
        <v>248</v>
      </c>
      <c r="FH2058" s="1" t="s">
        <v>550</v>
      </c>
      <c r="FK2058" s="1" t="s">
        <v>1136</v>
      </c>
      <c r="FL2058" s="1" t="s">
        <v>358</v>
      </c>
      <c r="FM2058" s="1" t="s">
        <v>252</v>
      </c>
      <c r="FN2058" s="1" t="s">
        <v>213</v>
      </c>
      <c r="FO2058" s="1" t="s">
        <v>213</v>
      </c>
      <c r="FQ2058" s="1" t="s">
        <v>849</v>
      </c>
      <c r="FR2058" s="1" t="s">
        <v>210</v>
      </c>
      <c r="FS2058" s="1" t="s">
        <v>18637</v>
      </c>
      <c r="FT2058" s="1" t="s">
        <v>18638</v>
      </c>
      <c r="FU2058" s="1" t="s">
        <v>204</v>
      </c>
      <c r="FW2058" s="1" t="s">
        <v>18153</v>
      </c>
      <c r="FX2058" s="1">
        <v>61080</v>
      </c>
      <c r="FY2058" s="1" t="s">
        <v>18154</v>
      </c>
      <c r="FZ2058" s="1" t="s">
        <v>18639</v>
      </c>
      <c r="GA2058" s="1">
        <v>502170</v>
      </c>
      <c r="GB2058" s="1" t="s">
        <v>18640</v>
      </c>
      <c r="GD2058" s="1" t="s">
        <v>18641</v>
      </c>
      <c r="GE2058" s="1" t="s">
        <v>335</v>
      </c>
      <c r="GI2058" s="1" t="s">
        <v>213</v>
      </c>
      <c r="GJ2058" s="1" t="s">
        <v>260</v>
      </c>
      <c r="GK2058" s="1" t="s">
        <v>210</v>
      </c>
      <c r="GL2058" s="2">
        <v>41984</v>
      </c>
      <c r="GM2058" s="1" t="s">
        <v>18642</v>
      </c>
    </row>
    <row r="2059" spans="1:195">
      <c r="A2059" s="1">
        <v>107000</v>
      </c>
      <c r="B2059" s="1" t="s">
        <v>195</v>
      </c>
      <c r="C2059" s="1" t="str">
        <f>"08747819"</f>
        <v>08747819</v>
      </c>
      <c r="D2059" s="1" t="s">
        <v>196</v>
      </c>
      <c r="F2059" s="1" t="str">
        <f>"188"</f>
        <v>188</v>
      </c>
      <c r="G2059" s="2">
        <v>41920</v>
      </c>
      <c r="H2059" s="1">
        <v>119900</v>
      </c>
      <c r="I2059" s="1">
        <v>115900</v>
      </c>
      <c r="J2059" s="1">
        <v>107000</v>
      </c>
      <c r="K2059" s="2">
        <v>41920</v>
      </c>
      <c r="L2059" s="1">
        <v>61</v>
      </c>
      <c r="M2059" s="2">
        <v>41980</v>
      </c>
      <c r="N2059" s="1">
        <v>61</v>
      </c>
      <c r="O2059" s="2">
        <v>41980</v>
      </c>
      <c r="P2059" s="1">
        <v>25309</v>
      </c>
      <c r="Q2059" s="1" t="s">
        <v>197</v>
      </c>
      <c r="R2059" s="2">
        <v>42020</v>
      </c>
      <c r="S2059" s="1">
        <v>242438</v>
      </c>
      <c r="U2059" s="1">
        <v>468</v>
      </c>
      <c r="V2059" s="1" t="s">
        <v>7624</v>
      </c>
      <c r="W2059" s="1" t="s">
        <v>725</v>
      </c>
      <c r="X2059" s="1" t="s">
        <v>18643</v>
      </c>
      <c r="Y2059" s="1">
        <v>12</v>
      </c>
      <c r="Z2059" s="1" t="s">
        <v>249</v>
      </c>
      <c r="AA2059" s="1" t="s">
        <v>1084</v>
      </c>
      <c r="AB2059" s="1">
        <v>60188</v>
      </c>
      <c r="AE2059" s="1" t="s">
        <v>18644</v>
      </c>
      <c r="AF2059" s="1">
        <v>1988</v>
      </c>
      <c r="AG2059" s="1" t="s">
        <v>204</v>
      </c>
      <c r="AH2059" s="1" t="s">
        <v>1087</v>
      </c>
      <c r="AI2059" s="1" t="s">
        <v>206</v>
      </c>
      <c r="AJ2059" s="1" t="s">
        <v>207</v>
      </c>
      <c r="AL2059" s="1">
        <v>5</v>
      </c>
      <c r="AM2059" s="1">
        <v>2</v>
      </c>
      <c r="AN2059" s="1">
        <v>2</v>
      </c>
      <c r="AO2059" s="1">
        <v>0</v>
      </c>
      <c r="AP2059" s="1" t="s">
        <v>209</v>
      </c>
      <c r="AQ2059" s="1">
        <v>1</v>
      </c>
      <c r="AR2059" s="1" t="s">
        <v>210</v>
      </c>
      <c r="AS2059" s="1" t="s">
        <v>204</v>
      </c>
      <c r="AT2059" s="1" t="s">
        <v>211</v>
      </c>
      <c r="AU2059" s="1">
        <v>1</v>
      </c>
      <c r="AW2059" s="1" t="s">
        <v>204</v>
      </c>
      <c r="AX2059" s="1" t="s">
        <v>212</v>
      </c>
      <c r="AZ2059" s="1">
        <v>3858</v>
      </c>
      <c r="BA2059" s="1">
        <v>2013</v>
      </c>
      <c r="BB2059" s="1" t="s">
        <v>405</v>
      </c>
      <c r="BE2059" s="1">
        <v>1170</v>
      </c>
      <c r="BF2059" s="1">
        <v>3</v>
      </c>
      <c r="BG2059" s="1">
        <v>0</v>
      </c>
      <c r="BL2059" s="1">
        <v>251</v>
      </c>
      <c r="BM2059" s="1" t="s">
        <v>204</v>
      </c>
      <c r="BN2059" s="1" t="s">
        <v>213</v>
      </c>
      <c r="BO2059" s="1">
        <v>999</v>
      </c>
      <c r="BP2059" s="1" t="s">
        <v>204</v>
      </c>
      <c r="BR2059" s="1" t="str">
        <f>"0503306047"</f>
        <v>0503306047</v>
      </c>
      <c r="BT2059" s="1" t="s">
        <v>18645</v>
      </c>
      <c r="BX2059" s="1">
        <v>41</v>
      </c>
      <c r="BY2059" s="1">
        <v>41</v>
      </c>
      <c r="BZ2059" s="1">
        <v>87</v>
      </c>
      <c r="CB2059" s="1" t="str">
        <f t="shared" ref="CB2059:CC2059" si="1571">""</f>
        <v/>
      </c>
      <c r="CC2059" s="1" t="str">
        <f t="shared" si="1571"/>
        <v/>
      </c>
      <c r="CG2059" s="1" t="s">
        <v>3035</v>
      </c>
      <c r="CH2059" s="1" t="s">
        <v>219</v>
      </c>
      <c r="CI2059" s="1" t="s">
        <v>220</v>
      </c>
      <c r="CK2059" s="1" t="s">
        <v>757</v>
      </c>
      <c r="CL2059" s="1" t="s">
        <v>219</v>
      </c>
      <c r="CM2059" s="1" t="s">
        <v>220</v>
      </c>
      <c r="CO2059" s="1" t="s">
        <v>346</v>
      </c>
      <c r="CP2059" s="1" t="s">
        <v>219</v>
      </c>
      <c r="CQ2059" s="1" t="s">
        <v>220</v>
      </c>
      <c r="CS2059" s="1" t="s">
        <v>223</v>
      </c>
      <c r="CT2059" s="1" t="s">
        <v>219</v>
      </c>
      <c r="CU2059" s="1" t="s">
        <v>220</v>
      </c>
      <c r="CX2059" s="1" t="s">
        <v>224</v>
      </c>
      <c r="DB2059" s="1" t="s">
        <v>224</v>
      </c>
      <c r="DE2059" s="1" t="s">
        <v>669</v>
      </c>
      <c r="DF2059" s="1" t="s">
        <v>219</v>
      </c>
      <c r="DG2059" s="1" t="s">
        <v>342</v>
      </c>
      <c r="DJ2059" s="1" t="s">
        <v>224</v>
      </c>
      <c r="DS2059" s="1" t="s">
        <v>230</v>
      </c>
      <c r="DW2059" s="1" t="s">
        <v>230</v>
      </c>
      <c r="EA2059" s="1" t="s">
        <v>230</v>
      </c>
      <c r="EE2059" s="1" t="s">
        <v>230</v>
      </c>
      <c r="EI2059" s="1" t="s">
        <v>230</v>
      </c>
      <c r="EL2059" s="1" t="s">
        <v>542</v>
      </c>
      <c r="EM2059" s="1" t="s">
        <v>232</v>
      </c>
      <c r="EN2059" s="1" t="s">
        <v>282</v>
      </c>
      <c r="EO2059" s="1" t="s">
        <v>234</v>
      </c>
      <c r="EQ2059" s="1" t="s">
        <v>1094</v>
      </c>
      <c r="ER2059" s="1" t="s">
        <v>210</v>
      </c>
      <c r="ES2059" s="1" t="s">
        <v>4122</v>
      </c>
      <c r="EV2059" s="1" t="s">
        <v>352</v>
      </c>
      <c r="EW2059" s="1" t="s">
        <v>18646</v>
      </c>
      <c r="EZ2059" s="1" t="s">
        <v>287</v>
      </c>
      <c r="FA2059" s="1" t="s">
        <v>3462</v>
      </c>
      <c r="FB2059" s="1" t="s">
        <v>289</v>
      </c>
      <c r="FD2059" s="1" t="s">
        <v>736</v>
      </c>
      <c r="FE2059" s="1" t="s">
        <v>247</v>
      </c>
      <c r="FF2059" s="1" t="s">
        <v>248</v>
      </c>
      <c r="FG2059" s="1" t="s">
        <v>912</v>
      </c>
      <c r="FH2059" s="1" t="s">
        <v>249</v>
      </c>
      <c r="FI2059" s="1" t="s">
        <v>473</v>
      </c>
      <c r="FL2059" s="1" t="s">
        <v>358</v>
      </c>
      <c r="FM2059" s="1" t="s">
        <v>252</v>
      </c>
      <c r="FN2059" s="1" t="s">
        <v>213</v>
      </c>
      <c r="FO2059" s="1" t="s">
        <v>213</v>
      </c>
      <c r="FQ2059" s="1" t="s">
        <v>2700</v>
      </c>
      <c r="FR2059" s="1" t="s">
        <v>210</v>
      </c>
      <c r="FS2059" s="1" t="s">
        <v>18647</v>
      </c>
      <c r="FT2059" s="1" t="s">
        <v>295</v>
      </c>
      <c r="FU2059" s="1" t="s">
        <v>204</v>
      </c>
      <c r="FW2059" s="1" t="s">
        <v>5556</v>
      </c>
      <c r="FX2059" s="1">
        <v>25769</v>
      </c>
      <c r="FY2059" s="1" t="s">
        <v>5557</v>
      </c>
      <c r="FZ2059" s="1" t="s">
        <v>18648</v>
      </c>
      <c r="GA2059" s="1">
        <v>242768</v>
      </c>
      <c r="GB2059" s="1" t="s">
        <v>18649</v>
      </c>
      <c r="GC2059" s="1">
        <v>242608</v>
      </c>
      <c r="GE2059" s="1" t="s">
        <v>210</v>
      </c>
      <c r="GH2059" s="1" t="s">
        <v>421</v>
      </c>
      <c r="GI2059" s="1" t="s">
        <v>213</v>
      </c>
      <c r="GJ2059" s="1" t="s">
        <v>260</v>
      </c>
      <c r="GK2059" s="1" t="s">
        <v>210</v>
      </c>
      <c r="GL2059" s="2">
        <v>42021</v>
      </c>
      <c r="GM2059" s="1" t="s">
        <v>18650</v>
      </c>
    </row>
    <row r="2060" spans="1:195">
      <c r="A2060" s="1">
        <v>106000</v>
      </c>
      <c r="B2060" s="1" t="s">
        <v>195</v>
      </c>
      <c r="C2060" s="1" t="str">
        <f>"08749667"</f>
        <v>08749667</v>
      </c>
      <c r="D2060" s="1" t="s">
        <v>196</v>
      </c>
      <c r="F2060" s="1" t="str">
        <f>"635"</f>
        <v>635</v>
      </c>
      <c r="G2060" s="2">
        <v>41921</v>
      </c>
      <c r="H2060" s="1">
        <v>104800</v>
      </c>
      <c r="I2060" s="1">
        <v>108900</v>
      </c>
      <c r="J2060" s="1">
        <v>106000</v>
      </c>
      <c r="K2060" s="2">
        <v>41921</v>
      </c>
      <c r="L2060" s="1">
        <v>68</v>
      </c>
      <c r="M2060" s="2">
        <v>41988</v>
      </c>
      <c r="N2060" s="1">
        <v>68</v>
      </c>
      <c r="O2060" s="2">
        <v>41988</v>
      </c>
      <c r="P2060" s="1">
        <v>18477</v>
      </c>
      <c r="Q2060" s="1" t="s">
        <v>197</v>
      </c>
      <c r="R2060" s="2">
        <v>42031</v>
      </c>
      <c r="S2060" s="1">
        <v>121066</v>
      </c>
      <c r="U2060" s="1">
        <v>7218</v>
      </c>
      <c r="V2060" s="1" t="s">
        <v>18651</v>
      </c>
      <c r="W2060" s="1" t="s">
        <v>425</v>
      </c>
      <c r="X2060" s="1">
        <v>208</v>
      </c>
      <c r="Y2060" s="1">
        <v>18</v>
      </c>
      <c r="Z2060" s="1" t="s">
        <v>200</v>
      </c>
      <c r="AA2060" s="1" t="s">
        <v>2377</v>
      </c>
      <c r="AB2060" s="1">
        <v>60707</v>
      </c>
      <c r="AC2060" s="1">
        <v>1600</v>
      </c>
      <c r="AE2060" s="1" t="s">
        <v>18652</v>
      </c>
      <c r="AF2060" s="1">
        <v>1978</v>
      </c>
      <c r="AG2060" s="1" t="s">
        <v>204</v>
      </c>
      <c r="AH2060" s="1" t="s">
        <v>5686</v>
      </c>
      <c r="AI2060" s="1" t="s">
        <v>310</v>
      </c>
      <c r="AJ2060" s="1" t="s">
        <v>311</v>
      </c>
      <c r="AL2060" s="1">
        <v>5</v>
      </c>
      <c r="AM2060" s="1">
        <v>2</v>
      </c>
      <c r="AN2060" s="1">
        <v>1</v>
      </c>
      <c r="AO2060" s="1">
        <v>0</v>
      </c>
      <c r="AP2060" s="1" t="s">
        <v>210</v>
      </c>
      <c r="AR2060" s="1" t="s">
        <v>210</v>
      </c>
      <c r="AS2060" s="1" t="s">
        <v>204</v>
      </c>
      <c r="AT2060" s="1" t="s">
        <v>271</v>
      </c>
      <c r="AV2060" s="1">
        <v>1</v>
      </c>
      <c r="AW2060" s="1" t="s">
        <v>204</v>
      </c>
      <c r="AX2060" s="1" t="s">
        <v>18653</v>
      </c>
      <c r="AZ2060" s="1">
        <v>1425.34</v>
      </c>
      <c r="BA2060" s="1">
        <v>2013</v>
      </c>
      <c r="BE2060" s="1">
        <v>1248</v>
      </c>
      <c r="BF2060" s="1">
        <v>2</v>
      </c>
      <c r="BG2060" s="1">
        <v>0</v>
      </c>
      <c r="BL2060" s="1">
        <v>217</v>
      </c>
      <c r="BM2060" s="1" t="s">
        <v>204</v>
      </c>
      <c r="BN2060" s="1" t="s">
        <v>204</v>
      </c>
      <c r="BP2060" s="1" t="s">
        <v>204</v>
      </c>
      <c r="BR2060" s="1" t="str">
        <f>"12254150431020"</f>
        <v>12254150431020</v>
      </c>
      <c r="BT2060" s="1" t="s">
        <v>18654</v>
      </c>
      <c r="BX2060" s="1">
        <v>401</v>
      </c>
      <c r="BY2060" s="1">
        <v>401</v>
      </c>
      <c r="BZ2060" s="1">
        <v>401</v>
      </c>
      <c r="CB2060" s="1" t="str">
        <f t="shared" ref="CB2060:CC2060" si="1572">""</f>
        <v/>
      </c>
      <c r="CC2060" s="1" t="str">
        <f t="shared" si="1572"/>
        <v/>
      </c>
      <c r="CG2060" s="1" t="s">
        <v>669</v>
      </c>
      <c r="CH2060" s="1" t="s">
        <v>277</v>
      </c>
      <c r="CI2060" s="1" t="s">
        <v>438</v>
      </c>
      <c r="CK2060" s="1" t="s">
        <v>757</v>
      </c>
      <c r="CL2060" s="1" t="s">
        <v>277</v>
      </c>
      <c r="CM2060" s="1" t="s">
        <v>438</v>
      </c>
      <c r="CO2060" s="1" t="s">
        <v>379</v>
      </c>
      <c r="CP2060" s="1" t="s">
        <v>277</v>
      </c>
      <c r="CQ2060" s="1" t="s">
        <v>438</v>
      </c>
      <c r="CS2060" s="1" t="s">
        <v>378</v>
      </c>
      <c r="CT2060" s="1" t="s">
        <v>277</v>
      </c>
      <c r="CU2060" s="1" t="s">
        <v>438</v>
      </c>
      <c r="CX2060" s="1" t="s">
        <v>224</v>
      </c>
      <c r="DB2060" s="1" t="s">
        <v>224</v>
      </c>
      <c r="DE2060" s="1" t="s">
        <v>465</v>
      </c>
      <c r="DF2060" s="1" t="s">
        <v>277</v>
      </c>
      <c r="DG2060" s="1" t="s">
        <v>1236</v>
      </c>
      <c r="DJ2060" s="1" t="s">
        <v>224</v>
      </c>
      <c r="DM2060" s="1" t="s">
        <v>709</v>
      </c>
      <c r="DN2060" s="1" t="s">
        <v>6766</v>
      </c>
      <c r="DR2060" s="1" t="s">
        <v>1772</v>
      </c>
      <c r="DS2060" s="1" t="s">
        <v>277</v>
      </c>
      <c r="DV2060" s="1" t="s">
        <v>5717</v>
      </c>
      <c r="DW2060" s="1" t="s">
        <v>277</v>
      </c>
      <c r="EA2060" s="1" t="s">
        <v>230</v>
      </c>
      <c r="EE2060" s="1" t="s">
        <v>230</v>
      </c>
      <c r="EI2060" s="1" t="s">
        <v>230</v>
      </c>
      <c r="EL2060" s="1" t="s">
        <v>231</v>
      </c>
      <c r="EM2060" s="1" t="s">
        <v>319</v>
      </c>
      <c r="EN2060" s="1" t="s">
        <v>1158</v>
      </c>
      <c r="EO2060" s="1" t="s">
        <v>234</v>
      </c>
      <c r="ER2060" s="1" t="s">
        <v>210</v>
      </c>
      <c r="EW2060" s="1" t="s">
        <v>18655</v>
      </c>
      <c r="EZ2060" s="1" t="s">
        <v>18656</v>
      </c>
      <c r="FD2060" s="1" t="s">
        <v>1112</v>
      </c>
      <c r="FE2060" s="1" t="s">
        <v>247</v>
      </c>
      <c r="FF2060" s="1" t="s">
        <v>248</v>
      </c>
      <c r="FH2060" s="1" t="s">
        <v>249</v>
      </c>
      <c r="FL2060" s="1" t="s">
        <v>328</v>
      </c>
      <c r="FM2060" s="1" t="s">
        <v>252</v>
      </c>
      <c r="FN2060" s="1" t="s">
        <v>213</v>
      </c>
      <c r="FO2060" s="1" t="s">
        <v>213</v>
      </c>
      <c r="FQ2060" s="1" t="s">
        <v>18657</v>
      </c>
      <c r="FR2060" s="1" t="s">
        <v>210</v>
      </c>
      <c r="FS2060" s="1" t="s">
        <v>1777</v>
      </c>
      <c r="FT2060" s="1" t="s">
        <v>13619</v>
      </c>
      <c r="FU2060" s="1" t="s">
        <v>204</v>
      </c>
      <c r="FW2060" s="1" t="s">
        <v>1779</v>
      </c>
      <c r="FX2060" s="1">
        <v>18505</v>
      </c>
      <c r="FY2060" s="1" t="s">
        <v>1780</v>
      </c>
      <c r="FZ2060" s="1" t="s">
        <v>1781</v>
      </c>
      <c r="GA2060" s="1">
        <v>864634</v>
      </c>
      <c r="GB2060" s="1" t="s">
        <v>1782</v>
      </c>
      <c r="GE2060" s="1" t="s">
        <v>210</v>
      </c>
      <c r="GH2060" s="1" t="s">
        <v>589</v>
      </c>
      <c r="GI2060" s="1" t="s">
        <v>204</v>
      </c>
      <c r="GJ2060" s="1" t="s">
        <v>260</v>
      </c>
      <c r="GK2060" s="1" t="s">
        <v>210</v>
      </c>
      <c r="GL2060" s="2">
        <v>42033</v>
      </c>
      <c r="GM2060" s="1" t="s">
        <v>18658</v>
      </c>
    </row>
    <row r="2061" spans="1:195">
      <c r="A2061" s="1">
        <v>113900</v>
      </c>
      <c r="B2061" s="1" t="s">
        <v>195</v>
      </c>
      <c r="C2061" s="1" t="str">
        <f>"08747484"</f>
        <v>08747484</v>
      </c>
      <c r="D2061" s="1" t="s">
        <v>196</v>
      </c>
      <c r="F2061" s="1" t="str">
        <f>"507"</f>
        <v>507</v>
      </c>
      <c r="G2061" s="2">
        <v>41919</v>
      </c>
      <c r="H2061" s="1">
        <v>136900</v>
      </c>
      <c r="I2061" s="1">
        <v>112900</v>
      </c>
      <c r="J2061" s="1">
        <v>113900</v>
      </c>
      <c r="K2061" s="2">
        <v>41919</v>
      </c>
      <c r="L2061" s="1">
        <v>104</v>
      </c>
      <c r="M2061" s="2">
        <v>42022</v>
      </c>
      <c r="N2061" s="1">
        <v>104</v>
      </c>
      <c r="O2061" s="2">
        <v>42022</v>
      </c>
      <c r="P2061" s="1">
        <v>25215</v>
      </c>
      <c r="Q2061" s="1" t="s">
        <v>1393</v>
      </c>
      <c r="R2061" s="2">
        <v>42083</v>
      </c>
      <c r="S2061" s="1">
        <v>252432</v>
      </c>
      <c r="T2061" s="1">
        <v>4973.03</v>
      </c>
      <c r="U2061" s="1">
        <v>1105</v>
      </c>
      <c r="V2061" s="1" t="s">
        <v>11076</v>
      </c>
      <c r="W2061" s="1" t="s">
        <v>4046</v>
      </c>
      <c r="X2061" s="1">
        <v>7</v>
      </c>
      <c r="Y2061" s="1">
        <v>6</v>
      </c>
      <c r="Z2061" s="1" t="s">
        <v>200</v>
      </c>
      <c r="AA2061" s="1" t="s">
        <v>1123</v>
      </c>
      <c r="AB2061" s="1">
        <v>60506</v>
      </c>
      <c r="AD2061" s="1" t="s">
        <v>11077</v>
      </c>
      <c r="AE2061" s="1" t="s">
        <v>18659</v>
      </c>
      <c r="AF2061" s="1">
        <v>1998</v>
      </c>
      <c r="AG2061" s="1" t="s">
        <v>204</v>
      </c>
      <c r="AH2061" s="1" t="s">
        <v>1126</v>
      </c>
      <c r="AI2061" s="1" t="s">
        <v>665</v>
      </c>
      <c r="AJ2061" s="1" t="s">
        <v>3240</v>
      </c>
      <c r="AK2061" s="1" t="s">
        <v>4049</v>
      </c>
      <c r="AL2061" s="1">
        <v>6</v>
      </c>
      <c r="AM2061" s="1">
        <v>2</v>
      </c>
      <c r="AN2061" s="1">
        <v>2</v>
      </c>
      <c r="AO2061" s="1">
        <v>1</v>
      </c>
      <c r="AP2061" s="1" t="s">
        <v>209</v>
      </c>
      <c r="AR2061" s="1" t="s">
        <v>1421</v>
      </c>
      <c r="AS2061" s="1" t="s">
        <v>204</v>
      </c>
      <c r="AT2061" s="1" t="s">
        <v>211</v>
      </c>
      <c r="AU2061" s="1">
        <v>2</v>
      </c>
      <c r="AW2061" s="1" t="s">
        <v>204</v>
      </c>
      <c r="AX2061" s="1" t="s">
        <v>212</v>
      </c>
      <c r="AZ2061" s="1">
        <v>4508.1400000000003</v>
      </c>
      <c r="BA2061" s="1">
        <v>2013</v>
      </c>
      <c r="BE2061" s="1">
        <v>1250</v>
      </c>
      <c r="BF2061" s="1">
        <v>1</v>
      </c>
      <c r="BG2061" s="1">
        <v>0</v>
      </c>
      <c r="BL2061" s="1">
        <v>154</v>
      </c>
      <c r="BM2061" s="1" t="s">
        <v>204</v>
      </c>
      <c r="BN2061" s="1" t="s">
        <v>213</v>
      </c>
      <c r="BO2061" s="1">
        <v>999</v>
      </c>
      <c r="BP2061" s="1" t="s">
        <v>204</v>
      </c>
      <c r="BR2061" s="1" t="str">
        <f>"1413231022"</f>
        <v>1413231022</v>
      </c>
      <c r="BT2061" s="1" t="s">
        <v>18660</v>
      </c>
      <c r="BX2061" s="1">
        <v>129</v>
      </c>
      <c r="BY2061" s="1">
        <v>129</v>
      </c>
      <c r="BZ2061" s="1">
        <v>129</v>
      </c>
      <c r="CB2061" s="1" t="str">
        <f t="shared" ref="CB2061:CC2061" si="1573">"0"</f>
        <v>0</v>
      </c>
      <c r="CC2061" s="1" t="str">
        <f t="shared" si="1573"/>
        <v>0</v>
      </c>
      <c r="CD2061" s="1">
        <v>39</v>
      </c>
      <c r="CE2061" s="1">
        <v>6</v>
      </c>
      <c r="CG2061" s="1" t="s">
        <v>564</v>
      </c>
      <c r="CH2061" s="1" t="s">
        <v>219</v>
      </c>
      <c r="CI2061" s="1" t="s">
        <v>220</v>
      </c>
      <c r="CK2061" s="1" t="s">
        <v>378</v>
      </c>
      <c r="CL2061" s="1" t="s">
        <v>277</v>
      </c>
      <c r="CO2061" s="1" t="s">
        <v>2138</v>
      </c>
      <c r="CP2061" s="1" t="s">
        <v>219</v>
      </c>
      <c r="CS2061" s="1" t="s">
        <v>1046</v>
      </c>
      <c r="CT2061" s="1" t="s">
        <v>277</v>
      </c>
      <c r="CX2061" s="1" t="s">
        <v>224</v>
      </c>
      <c r="DB2061" s="1" t="s">
        <v>224</v>
      </c>
      <c r="DE2061" s="1" t="s">
        <v>380</v>
      </c>
      <c r="DF2061" s="1" t="s">
        <v>219</v>
      </c>
      <c r="DJ2061" s="1" t="s">
        <v>224</v>
      </c>
      <c r="DM2061" s="1" t="s">
        <v>1005</v>
      </c>
      <c r="DR2061" s="1" t="s">
        <v>346</v>
      </c>
      <c r="DS2061" s="1" t="s">
        <v>822</v>
      </c>
      <c r="DW2061" s="1" t="s">
        <v>230</v>
      </c>
      <c r="EA2061" s="1" t="s">
        <v>230</v>
      </c>
      <c r="EE2061" s="1" t="s">
        <v>230</v>
      </c>
      <c r="EI2061" s="1" t="s">
        <v>230</v>
      </c>
      <c r="EL2061" s="1" t="s">
        <v>670</v>
      </c>
      <c r="EM2061" s="1" t="s">
        <v>319</v>
      </c>
      <c r="EN2061" s="1" t="s">
        <v>282</v>
      </c>
      <c r="EO2061" s="1" t="s">
        <v>234</v>
      </c>
      <c r="EQ2061" s="1" t="s">
        <v>468</v>
      </c>
      <c r="ER2061" s="1" t="s">
        <v>544</v>
      </c>
      <c r="ES2061" s="1" t="s">
        <v>608</v>
      </c>
      <c r="EV2061" s="1" t="s">
        <v>324</v>
      </c>
      <c r="EW2061" s="1" t="s">
        <v>867</v>
      </c>
      <c r="EZ2061" s="1" t="s">
        <v>1005</v>
      </c>
      <c r="FD2061" s="1" t="s">
        <v>246</v>
      </c>
      <c r="FE2061" s="1" t="s">
        <v>355</v>
      </c>
      <c r="FF2061" s="1" t="s">
        <v>248</v>
      </c>
      <c r="FH2061" s="1" t="s">
        <v>249</v>
      </c>
      <c r="FL2061" s="1" t="s">
        <v>358</v>
      </c>
      <c r="FM2061" s="1" t="s">
        <v>252</v>
      </c>
      <c r="FN2061" s="1" t="s">
        <v>213</v>
      </c>
      <c r="FO2061" s="1" t="s">
        <v>213</v>
      </c>
      <c r="FQ2061" s="1" t="s">
        <v>2417</v>
      </c>
      <c r="FR2061" s="1" t="s">
        <v>210</v>
      </c>
      <c r="FS2061" s="1" t="s">
        <v>2418</v>
      </c>
      <c r="FT2061" s="1" t="s">
        <v>584</v>
      </c>
      <c r="FU2061" s="1" t="s">
        <v>204</v>
      </c>
      <c r="FV2061" s="1" t="s">
        <v>2419</v>
      </c>
      <c r="FW2061" s="1" t="s">
        <v>2420</v>
      </c>
      <c r="FX2061" s="1">
        <v>41</v>
      </c>
      <c r="FY2061" s="1" t="s">
        <v>2421</v>
      </c>
      <c r="FZ2061" s="1" t="s">
        <v>2422</v>
      </c>
      <c r="GA2061" s="1">
        <v>8483</v>
      </c>
      <c r="GB2061" s="1" t="s">
        <v>2423</v>
      </c>
      <c r="GD2061" s="1" t="s">
        <v>2424</v>
      </c>
      <c r="GE2061" s="1" t="s">
        <v>210</v>
      </c>
      <c r="GI2061" s="1" t="s">
        <v>213</v>
      </c>
      <c r="GJ2061" s="1" t="s">
        <v>260</v>
      </c>
      <c r="GK2061" s="1" t="s">
        <v>210</v>
      </c>
      <c r="GL2061" s="2">
        <v>42083</v>
      </c>
      <c r="GM2061" s="1" t="s">
        <v>2425</v>
      </c>
    </row>
    <row r="2062" spans="1:195">
      <c r="A2062" s="1">
        <v>129450</v>
      </c>
      <c r="B2062" s="1" t="s">
        <v>195</v>
      </c>
      <c r="C2062" s="1" t="str">
        <f>"08742698"</f>
        <v>08742698</v>
      </c>
      <c r="D2062" s="1" t="s">
        <v>196</v>
      </c>
      <c r="F2062" s="1" t="str">
        <f>"123"</f>
        <v>123</v>
      </c>
      <c r="G2062" s="2">
        <v>41913</v>
      </c>
      <c r="H2062" s="1">
        <v>149900</v>
      </c>
      <c r="I2062" s="1">
        <v>139900</v>
      </c>
      <c r="J2062" s="1">
        <v>129450</v>
      </c>
      <c r="K2062" s="2">
        <v>41913</v>
      </c>
      <c r="L2062" s="1">
        <v>36</v>
      </c>
      <c r="M2062" s="2">
        <v>41948</v>
      </c>
      <c r="N2062" s="1">
        <v>36</v>
      </c>
      <c r="O2062" s="2">
        <v>41948</v>
      </c>
      <c r="P2062" s="1">
        <v>25180</v>
      </c>
      <c r="Q2062" s="1" t="s">
        <v>197</v>
      </c>
      <c r="R2062" s="2">
        <v>41996</v>
      </c>
      <c r="S2062" s="1">
        <v>922472</v>
      </c>
      <c r="U2062" s="1">
        <v>574</v>
      </c>
      <c r="V2062" s="1" t="s">
        <v>12609</v>
      </c>
      <c r="W2062" s="1" t="s">
        <v>449</v>
      </c>
      <c r="X2062" s="1">
        <v>574</v>
      </c>
      <c r="Y2062" s="1">
        <v>3</v>
      </c>
      <c r="Z2062" s="1" t="s">
        <v>249</v>
      </c>
      <c r="AA2062" s="1" t="s">
        <v>1173</v>
      </c>
      <c r="AB2062" s="1">
        <v>60123</v>
      </c>
      <c r="AD2062" s="1" t="s">
        <v>12610</v>
      </c>
      <c r="AE2062" s="1" t="s">
        <v>18661</v>
      </c>
      <c r="AF2062" s="1">
        <v>1995</v>
      </c>
      <c r="AG2062" s="1" t="s">
        <v>204</v>
      </c>
      <c r="AH2062" s="1" t="s">
        <v>1175</v>
      </c>
      <c r="AI2062" s="1" t="s">
        <v>665</v>
      </c>
      <c r="AJ2062" s="1" t="s">
        <v>1175</v>
      </c>
      <c r="AK2062" s="1" t="s">
        <v>18662</v>
      </c>
      <c r="AL2062" s="1">
        <v>5</v>
      </c>
      <c r="AM2062" s="1">
        <v>2</v>
      </c>
      <c r="AN2062" s="1">
        <v>1</v>
      </c>
      <c r="AO2062" s="1">
        <v>1</v>
      </c>
      <c r="AP2062" s="1" t="s">
        <v>455</v>
      </c>
      <c r="AR2062" s="1" t="s">
        <v>210</v>
      </c>
      <c r="AS2062" s="1" t="s">
        <v>204</v>
      </c>
      <c r="AT2062" s="1" t="s">
        <v>211</v>
      </c>
      <c r="AU2062" s="1">
        <v>2</v>
      </c>
      <c r="AW2062" s="1" t="s">
        <v>204</v>
      </c>
      <c r="AX2062" s="1" t="s">
        <v>212</v>
      </c>
      <c r="AZ2062" s="1">
        <v>4256.84</v>
      </c>
      <c r="BA2062" s="1">
        <v>2012</v>
      </c>
      <c r="BB2062" s="1" t="s">
        <v>405</v>
      </c>
      <c r="BC2062" s="1">
        <v>0</v>
      </c>
      <c r="BD2062" s="1">
        <v>2012</v>
      </c>
      <c r="BE2062" s="1">
        <v>0</v>
      </c>
      <c r="BF2062" s="1">
        <v>1</v>
      </c>
      <c r="BG2062" s="1">
        <v>0</v>
      </c>
      <c r="BL2062" s="1">
        <v>175</v>
      </c>
      <c r="BM2062" s="1" t="s">
        <v>204</v>
      </c>
      <c r="BN2062" s="1" t="s">
        <v>213</v>
      </c>
      <c r="BO2062" s="1">
        <v>200</v>
      </c>
      <c r="BP2062" s="1" t="s">
        <v>204</v>
      </c>
      <c r="BR2062" s="1" t="str">
        <f>"0621377033"</f>
        <v>0621377033</v>
      </c>
      <c r="BT2062" s="1" t="s">
        <v>18663</v>
      </c>
      <c r="BU2062" s="1" t="s">
        <v>1486</v>
      </c>
      <c r="BV2062" s="1" t="s">
        <v>3283</v>
      </c>
      <c r="BW2062" s="1" t="s">
        <v>1488</v>
      </c>
      <c r="BX2062" s="1">
        <v>46</v>
      </c>
      <c r="BY2062" s="1">
        <v>46</v>
      </c>
      <c r="BZ2062" s="1">
        <v>46</v>
      </c>
      <c r="CB2062" s="1" t="str">
        <f>"10"</f>
        <v>10</v>
      </c>
      <c r="CC2062" s="1" t="str">
        <f>"0"</f>
        <v>0</v>
      </c>
      <c r="CD2062" s="1">
        <v>36</v>
      </c>
      <c r="CE2062" s="1">
        <v>0</v>
      </c>
      <c r="CG2062" s="1" t="s">
        <v>15680</v>
      </c>
      <c r="CH2062" s="1" t="s">
        <v>219</v>
      </c>
      <c r="CI2062" s="1" t="s">
        <v>438</v>
      </c>
      <c r="CJ2062" s="1" t="s">
        <v>343</v>
      </c>
      <c r="CK2062" s="1" t="s">
        <v>437</v>
      </c>
      <c r="CL2062" s="1" t="s">
        <v>277</v>
      </c>
      <c r="CM2062" s="1" t="s">
        <v>220</v>
      </c>
      <c r="CN2062" s="1" t="s">
        <v>343</v>
      </c>
      <c r="CO2062" s="1" t="s">
        <v>465</v>
      </c>
      <c r="CP2062" s="1" t="s">
        <v>219</v>
      </c>
      <c r="CQ2062" s="1" t="s">
        <v>438</v>
      </c>
      <c r="CR2062" s="1" t="s">
        <v>343</v>
      </c>
      <c r="CS2062" s="1" t="s">
        <v>379</v>
      </c>
      <c r="CT2062" s="1" t="s">
        <v>277</v>
      </c>
      <c r="CU2062" s="1" t="s">
        <v>220</v>
      </c>
      <c r="CV2062" s="1" t="s">
        <v>343</v>
      </c>
      <c r="CX2062" s="1" t="s">
        <v>224</v>
      </c>
      <c r="DB2062" s="1" t="s">
        <v>224</v>
      </c>
      <c r="DE2062" s="1" t="s">
        <v>465</v>
      </c>
      <c r="DF2062" s="1" t="s">
        <v>219</v>
      </c>
      <c r="DG2062" s="1" t="s">
        <v>438</v>
      </c>
      <c r="DH2062" s="1" t="s">
        <v>210</v>
      </c>
      <c r="DJ2062" s="1" t="s">
        <v>224</v>
      </c>
      <c r="DS2062" s="1" t="s">
        <v>230</v>
      </c>
      <c r="DW2062" s="1" t="s">
        <v>230</v>
      </c>
      <c r="EA2062" s="1" t="s">
        <v>230</v>
      </c>
      <c r="EE2062" s="1" t="s">
        <v>230</v>
      </c>
      <c r="EI2062" s="1" t="s">
        <v>230</v>
      </c>
      <c r="EL2062" s="1" t="s">
        <v>670</v>
      </c>
      <c r="EM2062" s="1" t="s">
        <v>319</v>
      </c>
      <c r="EN2062" s="1" t="s">
        <v>282</v>
      </c>
      <c r="EO2062" s="1" t="s">
        <v>234</v>
      </c>
      <c r="EP2062" s="1" t="s">
        <v>650</v>
      </c>
      <c r="EQ2062" s="1" t="s">
        <v>11523</v>
      </c>
      <c r="ER2062" s="1" t="s">
        <v>383</v>
      </c>
      <c r="ES2062" s="1" t="s">
        <v>3932</v>
      </c>
      <c r="ET2062" s="1" t="s">
        <v>842</v>
      </c>
      <c r="EU2062" s="1" t="s">
        <v>712</v>
      </c>
      <c r="EV2062" s="1" t="s">
        <v>240</v>
      </c>
      <c r="EW2062" s="1" t="s">
        <v>353</v>
      </c>
      <c r="EY2062" s="1" t="s">
        <v>790</v>
      </c>
      <c r="EZ2062" s="1" t="s">
        <v>287</v>
      </c>
      <c r="FA2062" s="1" t="s">
        <v>18664</v>
      </c>
      <c r="FB2062" s="1" t="s">
        <v>289</v>
      </c>
      <c r="FD2062" s="1" t="s">
        <v>246</v>
      </c>
      <c r="FE2062" s="1" t="s">
        <v>472</v>
      </c>
      <c r="FF2062" s="1" t="s">
        <v>248</v>
      </c>
      <c r="FH2062" s="1" t="s">
        <v>550</v>
      </c>
      <c r="FI2062" s="1" t="s">
        <v>250</v>
      </c>
      <c r="FL2062" s="1" t="s">
        <v>358</v>
      </c>
      <c r="FM2062" s="1" t="s">
        <v>252</v>
      </c>
      <c r="FN2062" s="1" t="s">
        <v>213</v>
      </c>
      <c r="FO2062" s="1" t="s">
        <v>213</v>
      </c>
      <c r="FQ2062" s="1" t="s">
        <v>956</v>
      </c>
      <c r="FR2062" s="1" t="s">
        <v>210</v>
      </c>
      <c r="FS2062" s="1" t="s">
        <v>18665</v>
      </c>
      <c r="FT2062" s="1" t="s">
        <v>362</v>
      </c>
      <c r="FU2062" s="1" t="s">
        <v>204</v>
      </c>
      <c r="FW2062" s="1" t="s">
        <v>5024</v>
      </c>
      <c r="FX2062" s="1">
        <v>1886</v>
      </c>
      <c r="FY2062" s="1" t="s">
        <v>5025</v>
      </c>
      <c r="FZ2062" s="1" t="s">
        <v>18666</v>
      </c>
      <c r="GA2062" s="1">
        <v>240702</v>
      </c>
      <c r="GB2062" s="1" t="s">
        <v>18667</v>
      </c>
      <c r="GE2062" s="1" t="s">
        <v>776</v>
      </c>
      <c r="GI2062" s="1" t="s">
        <v>204</v>
      </c>
      <c r="GJ2062" s="1" t="s">
        <v>260</v>
      </c>
      <c r="GK2062" s="1" t="s">
        <v>210</v>
      </c>
      <c r="GL2062" s="2">
        <v>42021</v>
      </c>
      <c r="GM2062" s="1" t="s">
        <v>18668</v>
      </c>
    </row>
    <row r="2063" spans="1:195">
      <c r="A2063" s="1">
        <v>65000</v>
      </c>
      <c r="B2063" s="1" t="s">
        <v>195</v>
      </c>
      <c r="C2063" s="1" t="str">
        <f>"08752656"</f>
        <v>08752656</v>
      </c>
      <c r="D2063" s="1" t="s">
        <v>196</v>
      </c>
      <c r="F2063" s="1" t="str">
        <f>"540"</f>
        <v>540</v>
      </c>
      <c r="G2063" s="2">
        <v>41926</v>
      </c>
      <c r="H2063" s="1">
        <v>82900</v>
      </c>
      <c r="I2063" s="1">
        <v>76900</v>
      </c>
      <c r="J2063" s="1">
        <v>65000</v>
      </c>
      <c r="K2063" s="2">
        <v>41924</v>
      </c>
      <c r="L2063" s="1">
        <v>85</v>
      </c>
      <c r="M2063" s="2">
        <v>42008</v>
      </c>
      <c r="N2063" s="1">
        <v>85</v>
      </c>
      <c r="O2063" s="2">
        <v>42008</v>
      </c>
      <c r="P2063" s="1">
        <v>22833</v>
      </c>
      <c r="Q2063" s="1" t="s">
        <v>302</v>
      </c>
      <c r="R2063" s="2">
        <v>42034</v>
      </c>
      <c r="S2063" s="1">
        <v>259137</v>
      </c>
      <c r="U2063" s="1">
        <v>254</v>
      </c>
      <c r="V2063" s="1" t="s">
        <v>10812</v>
      </c>
      <c r="W2063" s="1" t="s">
        <v>1056</v>
      </c>
      <c r="X2063" s="1" t="s">
        <v>527</v>
      </c>
      <c r="Y2063" s="1">
        <v>12</v>
      </c>
      <c r="Z2063" s="1" t="s">
        <v>249</v>
      </c>
      <c r="AA2063" s="1" t="s">
        <v>921</v>
      </c>
      <c r="AB2063" s="1">
        <v>60565</v>
      </c>
      <c r="AD2063" s="1" t="s">
        <v>8875</v>
      </c>
      <c r="AE2063" s="1" t="s">
        <v>18669</v>
      </c>
      <c r="AF2063" s="1">
        <v>1972</v>
      </c>
      <c r="AG2063" s="1" t="s">
        <v>213</v>
      </c>
      <c r="AH2063" s="1" t="s">
        <v>924</v>
      </c>
      <c r="AI2063" s="1" t="s">
        <v>206</v>
      </c>
      <c r="AJ2063" s="1" t="s">
        <v>925</v>
      </c>
      <c r="AL2063" s="1">
        <v>5</v>
      </c>
      <c r="AM2063" s="1">
        <v>2</v>
      </c>
      <c r="AN2063" s="1">
        <v>1</v>
      </c>
      <c r="AO2063" s="1">
        <v>1</v>
      </c>
      <c r="AP2063" s="1" t="s">
        <v>210</v>
      </c>
      <c r="AR2063" s="1" t="s">
        <v>210</v>
      </c>
      <c r="AS2063" s="1" t="s">
        <v>204</v>
      </c>
      <c r="AT2063" s="1" t="s">
        <v>271</v>
      </c>
      <c r="AV2063" s="1">
        <v>2</v>
      </c>
      <c r="AW2063" s="1" t="s">
        <v>204</v>
      </c>
      <c r="AX2063" s="1" t="s">
        <v>3542</v>
      </c>
      <c r="AZ2063" s="1">
        <v>1727</v>
      </c>
      <c r="BA2063" s="1">
        <v>2013</v>
      </c>
      <c r="BE2063" s="1">
        <v>885</v>
      </c>
      <c r="BF2063" s="1">
        <v>1</v>
      </c>
      <c r="BG2063" s="1">
        <v>0</v>
      </c>
      <c r="BL2063" s="1">
        <v>271</v>
      </c>
      <c r="BM2063" s="1" t="s">
        <v>204</v>
      </c>
      <c r="BN2063" s="1" t="s">
        <v>204</v>
      </c>
      <c r="BP2063" s="1" t="s">
        <v>204</v>
      </c>
      <c r="BR2063" s="1" t="str">
        <f>"0832110254"</f>
        <v>0832110254</v>
      </c>
      <c r="BT2063" s="1" t="s">
        <v>18670</v>
      </c>
      <c r="BX2063" s="1">
        <v>203</v>
      </c>
      <c r="BY2063" s="1">
        <v>203</v>
      </c>
      <c r="BZ2063" s="1">
        <v>203</v>
      </c>
      <c r="CB2063" s="1" t="str">
        <f t="shared" ref="CB2063:CC2063" si="1574">""</f>
        <v/>
      </c>
      <c r="CC2063" s="1" t="str">
        <f t="shared" si="1574"/>
        <v/>
      </c>
      <c r="CD2063" s="1">
        <v>25</v>
      </c>
      <c r="CE2063" s="1">
        <v>9</v>
      </c>
      <c r="CG2063" s="1" t="s">
        <v>2170</v>
      </c>
      <c r="CH2063" s="1" t="s">
        <v>219</v>
      </c>
      <c r="CK2063" s="1" t="s">
        <v>932</v>
      </c>
      <c r="CL2063" s="1" t="s">
        <v>219</v>
      </c>
      <c r="CO2063" s="1" t="s">
        <v>630</v>
      </c>
      <c r="CP2063" s="1" t="s">
        <v>219</v>
      </c>
      <c r="CS2063" s="1" t="s">
        <v>346</v>
      </c>
      <c r="CT2063" s="1" t="s">
        <v>219</v>
      </c>
      <c r="CX2063" s="1" t="s">
        <v>224</v>
      </c>
      <c r="DB2063" s="1" t="s">
        <v>224</v>
      </c>
      <c r="DE2063" s="1" t="s">
        <v>379</v>
      </c>
      <c r="DF2063" s="1" t="s">
        <v>219</v>
      </c>
      <c r="DJ2063" s="1" t="s">
        <v>224</v>
      </c>
      <c r="DS2063" s="1" t="s">
        <v>230</v>
      </c>
      <c r="DW2063" s="1" t="s">
        <v>230</v>
      </c>
      <c r="EA2063" s="1" t="s">
        <v>230</v>
      </c>
      <c r="EE2063" s="1" t="s">
        <v>230</v>
      </c>
      <c r="EI2063" s="1" t="s">
        <v>230</v>
      </c>
      <c r="EL2063" s="1" t="s">
        <v>605</v>
      </c>
      <c r="EM2063" s="1" t="s">
        <v>232</v>
      </c>
      <c r="EN2063" s="1" t="s">
        <v>1158</v>
      </c>
      <c r="EO2063" s="1" t="s">
        <v>234</v>
      </c>
      <c r="ER2063" s="1" t="s">
        <v>210</v>
      </c>
      <c r="EU2063" s="1" t="s">
        <v>239</v>
      </c>
      <c r="EW2063" s="1" t="s">
        <v>347</v>
      </c>
      <c r="EZ2063" s="1" t="s">
        <v>287</v>
      </c>
      <c r="FD2063" s="1" t="s">
        <v>1112</v>
      </c>
      <c r="FE2063" s="1" t="s">
        <v>247</v>
      </c>
      <c r="FF2063" s="1" t="s">
        <v>248</v>
      </c>
      <c r="FH2063" s="1" t="s">
        <v>249</v>
      </c>
      <c r="FL2063" s="1" t="s">
        <v>328</v>
      </c>
      <c r="FM2063" s="1" t="s">
        <v>252</v>
      </c>
      <c r="FN2063" s="1" t="s">
        <v>213</v>
      </c>
      <c r="FO2063" s="1" t="s">
        <v>213</v>
      </c>
      <c r="FQ2063" s="1" t="s">
        <v>689</v>
      </c>
      <c r="FR2063" s="1" t="s">
        <v>210</v>
      </c>
      <c r="FS2063" s="1" t="s">
        <v>1908</v>
      </c>
      <c r="FT2063" s="1" t="s">
        <v>584</v>
      </c>
      <c r="FU2063" s="1" t="s">
        <v>204</v>
      </c>
      <c r="FW2063" s="1" t="s">
        <v>915</v>
      </c>
      <c r="FX2063" s="1">
        <v>23076</v>
      </c>
      <c r="FY2063" s="1" t="s">
        <v>1909</v>
      </c>
      <c r="FZ2063" s="1" t="s">
        <v>1910</v>
      </c>
      <c r="GA2063" s="1">
        <v>213408</v>
      </c>
      <c r="GB2063" s="1" t="s">
        <v>1911</v>
      </c>
      <c r="GE2063" s="1" t="s">
        <v>480</v>
      </c>
      <c r="GH2063" s="1" t="s">
        <v>800</v>
      </c>
      <c r="GI2063" s="1" t="s">
        <v>213</v>
      </c>
      <c r="GJ2063" s="1" t="s">
        <v>300</v>
      </c>
      <c r="GK2063" s="1" t="s">
        <v>210</v>
      </c>
      <c r="GL2063" s="2">
        <v>42034</v>
      </c>
      <c r="GM2063" s="1" t="s">
        <v>1912</v>
      </c>
    </row>
    <row r="2064" spans="1:195">
      <c r="A2064" s="1">
        <v>126100</v>
      </c>
      <c r="B2064" s="1" t="s">
        <v>195</v>
      </c>
      <c r="C2064" s="1" t="str">
        <f>"08817175"</f>
        <v>08817175</v>
      </c>
      <c r="D2064" s="1" t="s">
        <v>196</v>
      </c>
      <c r="F2064" s="1" t="str">
        <f>"139"</f>
        <v>139</v>
      </c>
      <c r="G2064" s="2">
        <v>42019</v>
      </c>
      <c r="H2064" s="1">
        <v>131900</v>
      </c>
      <c r="I2064" s="1">
        <v>131900</v>
      </c>
      <c r="J2064" s="1">
        <v>126100</v>
      </c>
      <c r="K2064" s="2">
        <v>42019</v>
      </c>
      <c r="L2064" s="1">
        <v>20</v>
      </c>
      <c r="M2064" s="2">
        <v>42038</v>
      </c>
      <c r="N2064" s="1">
        <v>20</v>
      </c>
      <c r="O2064" s="2">
        <v>42038</v>
      </c>
      <c r="P2064" s="1">
        <v>24417</v>
      </c>
      <c r="Q2064" s="1" t="s">
        <v>197</v>
      </c>
      <c r="R2064" s="2">
        <v>42122</v>
      </c>
      <c r="S2064" s="1">
        <v>230336</v>
      </c>
      <c r="U2064" s="1">
        <v>2257</v>
      </c>
      <c r="V2064" s="1" t="s">
        <v>18671</v>
      </c>
      <c r="W2064" s="1" t="s">
        <v>264</v>
      </c>
      <c r="Y2064" s="1">
        <v>6</v>
      </c>
      <c r="Z2064" s="1" t="s">
        <v>370</v>
      </c>
      <c r="AA2064" s="1" t="s">
        <v>1732</v>
      </c>
      <c r="AB2064" s="1">
        <v>60139</v>
      </c>
      <c r="AC2064" s="1">
        <v>1646</v>
      </c>
      <c r="AE2064" s="1" t="s">
        <v>18672</v>
      </c>
      <c r="AF2064" s="1">
        <v>1996</v>
      </c>
      <c r="AG2064" s="1" t="s">
        <v>204</v>
      </c>
      <c r="AH2064" s="1" t="s">
        <v>1735</v>
      </c>
      <c r="AI2064" s="1" t="s">
        <v>206</v>
      </c>
      <c r="AJ2064" s="1" t="s">
        <v>269</v>
      </c>
      <c r="AK2064" s="1" t="s">
        <v>12244</v>
      </c>
      <c r="AL2064" s="1">
        <v>5</v>
      </c>
      <c r="AM2064" s="1">
        <v>2</v>
      </c>
      <c r="AN2064" s="1">
        <v>2</v>
      </c>
      <c r="AO2064" s="1">
        <v>1</v>
      </c>
      <c r="AP2064" s="1" t="s">
        <v>209</v>
      </c>
      <c r="AR2064" s="1" t="s">
        <v>210</v>
      </c>
      <c r="AS2064" s="1" t="s">
        <v>204</v>
      </c>
      <c r="AT2064" s="1" t="s">
        <v>211</v>
      </c>
      <c r="AU2064" s="1">
        <v>1</v>
      </c>
      <c r="AW2064" s="1" t="s">
        <v>204</v>
      </c>
      <c r="AX2064" s="1" t="s">
        <v>212</v>
      </c>
      <c r="AZ2064" s="1">
        <v>2903.88</v>
      </c>
      <c r="BA2064" s="1">
        <v>2013</v>
      </c>
      <c r="BB2064" s="1" t="s">
        <v>405</v>
      </c>
      <c r="BE2064" s="1">
        <v>1378</v>
      </c>
      <c r="BF2064" s="1">
        <v>1</v>
      </c>
      <c r="BG2064" s="1">
        <v>20</v>
      </c>
      <c r="BL2064" s="1">
        <v>265</v>
      </c>
      <c r="BM2064" s="1" t="s">
        <v>204</v>
      </c>
      <c r="BN2064" s="1" t="s">
        <v>213</v>
      </c>
      <c r="BO2064" s="1" t="s">
        <v>402</v>
      </c>
      <c r="BP2064" s="1" t="s">
        <v>204</v>
      </c>
      <c r="BR2064" s="1" t="str">
        <f>"0222117080"</f>
        <v>0222117080</v>
      </c>
      <c r="BT2064" s="1" t="s">
        <v>18673</v>
      </c>
      <c r="BX2064" s="1">
        <v>15</v>
      </c>
      <c r="BY2064" s="1">
        <v>15</v>
      </c>
      <c r="BZ2064" s="1">
        <v>87</v>
      </c>
      <c r="CB2064" s="1" t="str">
        <f t="shared" ref="CB2064:CC2064" si="1575">""</f>
        <v/>
      </c>
      <c r="CC2064" s="1" t="str">
        <f t="shared" si="1575"/>
        <v/>
      </c>
      <c r="CG2064" s="1" t="s">
        <v>280</v>
      </c>
      <c r="CH2064" s="1" t="s">
        <v>219</v>
      </c>
      <c r="CK2064" s="1" t="s">
        <v>3591</v>
      </c>
      <c r="CL2064" s="1" t="s">
        <v>277</v>
      </c>
      <c r="CO2064" s="1" t="s">
        <v>408</v>
      </c>
      <c r="CP2064" s="1" t="s">
        <v>219</v>
      </c>
      <c r="CS2064" s="1" t="s">
        <v>836</v>
      </c>
      <c r="CT2064" s="1" t="s">
        <v>277</v>
      </c>
      <c r="CX2064" s="1" t="s">
        <v>224</v>
      </c>
      <c r="DB2064" s="1" t="s">
        <v>224</v>
      </c>
      <c r="DE2064" s="1" t="s">
        <v>18674</v>
      </c>
      <c r="DF2064" s="1" t="s">
        <v>219</v>
      </c>
      <c r="DJ2064" s="1" t="s">
        <v>224</v>
      </c>
      <c r="DS2064" s="1" t="s">
        <v>230</v>
      </c>
      <c r="DW2064" s="1" t="s">
        <v>230</v>
      </c>
      <c r="EA2064" s="1" t="s">
        <v>230</v>
      </c>
      <c r="EE2064" s="1" t="s">
        <v>230</v>
      </c>
      <c r="EI2064" s="1" t="s">
        <v>230</v>
      </c>
      <c r="EL2064" s="1" t="s">
        <v>670</v>
      </c>
      <c r="EM2064" s="1" t="s">
        <v>232</v>
      </c>
      <c r="EN2064" s="1" t="s">
        <v>282</v>
      </c>
      <c r="EO2064" s="1" t="s">
        <v>234</v>
      </c>
      <c r="EP2064" s="1" t="s">
        <v>650</v>
      </c>
      <c r="ER2064" s="1" t="s">
        <v>383</v>
      </c>
      <c r="ES2064" s="1" t="s">
        <v>322</v>
      </c>
      <c r="EU2064" s="1" t="s">
        <v>7601</v>
      </c>
      <c r="EV2064" s="1" t="s">
        <v>352</v>
      </c>
      <c r="EW2064" s="1" t="s">
        <v>353</v>
      </c>
      <c r="EY2064" s="1" t="s">
        <v>242</v>
      </c>
      <c r="EZ2064" s="1" t="s">
        <v>287</v>
      </c>
      <c r="FB2064" s="1" t="s">
        <v>1505</v>
      </c>
      <c r="FD2064" s="1" t="s">
        <v>495</v>
      </c>
      <c r="FE2064" s="1" t="s">
        <v>386</v>
      </c>
      <c r="FF2064" s="1" t="s">
        <v>248</v>
      </c>
      <c r="FH2064" s="1" t="s">
        <v>550</v>
      </c>
      <c r="FJ2064" s="1" t="s">
        <v>1251</v>
      </c>
      <c r="FL2064" s="1" t="s">
        <v>358</v>
      </c>
      <c r="FM2064" s="1" t="s">
        <v>252</v>
      </c>
      <c r="FN2064" s="1" t="s">
        <v>213</v>
      </c>
      <c r="FO2064" s="1" t="s">
        <v>213</v>
      </c>
      <c r="FQ2064" s="1" t="s">
        <v>582</v>
      </c>
      <c r="FR2064" s="1" t="s">
        <v>210</v>
      </c>
      <c r="FS2064" s="1" t="s">
        <v>3751</v>
      </c>
      <c r="FT2064" s="1" t="s">
        <v>1828</v>
      </c>
      <c r="FU2064" s="1" t="s">
        <v>204</v>
      </c>
      <c r="FW2064" s="1" t="s">
        <v>3752</v>
      </c>
      <c r="FX2064" s="1">
        <v>24569</v>
      </c>
      <c r="FY2064" s="1" t="s">
        <v>3753</v>
      </c>
      <c r="FZ2064" s="1" t="s">
        <v>3754</v>
      </c>
      <c r="GA2064" s="1">
        <v>236309</v>
      </c>
      <c r="GC2064" s="1">
        <v>236310</v>
      </c>
      <c r="GE2064" s="1" t="s">
        <v>210</v>
      </c>
      <c r="GI2064" s="1" t="s">
        <v>204</v>
      </c>
      <c r="GJ2064" s="1" t="s">
        <v>260</v>
      </c>
      <c r="GK2064" s="1" t="s">
        <v>210</v>
      </c>
      <c r="GL2064" s="2">
        <v>42122</v>
      </c>
      <c r="GM2064" s="1" t="s">
        <v>18675</v>
      </c>
    </row>
    <row r="2065" spans="1:195">
      <c r="A2065" s="1">
        <v>124000</v>
      </c>
      <c r="B2065" s="1" t="s">
        <v>195</v>
      </c>
      <c r="C2065" s="1" t="str">
        <f>"08764142"</f>
        <v>08764142</v>
      </c>
      <c r="D2065" s="1" t="s">
        <v>196</v>
      </c>
      <c r="F2065" s="1" t="str">
        <f>"523"</f>
        <v>523</v>
      </c>
      <c r="G2065" s="2">
        <v>41941</v>
      </c>
      <c r="H2065" s="1">
        <v>139000</v>
      </c>
      <c r="I2065" s="1">
        <v>139000</v>
      </c>
      <c r="J2065" s="1">
        <v>124000</v>
      </c>
      <c r="K2065" s="2">
        <v>41941</v>
      </c>
      <c r="L2065" s="1">
        <v>122</v>
      </c>
      <c r="M2065" s="2">
        <v>42062</v>
      </c>
      <c r="N2065" s="1">
        <v>122</v>
      </c>
      <c r="O2065" s="2">
        <v>42062</v>
      </c>
      <c r="P2065" s="1">
        <v>3970</v>
      </c>
      <c r="Q2065" s="1" t="s">
        <v>197</v>
      </c>
      <c r="R2065" s="2">
        <v>42116</v>
      </c>
      <c r="S2065" s="1">
        <v>34046</v>
      </c>
      <c r="U2065" s="1">
        <v>40</v>
      </c>
      <c r="V2065" s="1" t="s">
        <v>12386</v>
      </c>
      <c r="W2065" s="1" t="s">
        <v>1056</v>
      </c>
      <c r="X2065" s="1" t="s">
        <v>12982</v>
      </c>
      <c r="Y2065" s="1">
        <v>192</v>
      </c>
      <c r="Z2065" s="1" t="s">
        <v>249</v>
      </c>
      <c r="AA2065" s="1" t="s">
        <v>3818</v>
      </c>
      <c r="AB2065" s="1">
        <v>60523</v>
      </c>
      <c r="AD2065" s="1" t="s">
        <v>17090</v>
      </c>
      <c r="AE2065" s="1" t="s">
        <v>18676</v>
      </c>
      <c r="AF2065" s="1">
        <v>1972</v>
      </c>
      <c r="AG2065" s="1" t="s">
        <v>213</v>
      </c>
      <c r="AH2065" s="1" t="s">
        <v>882</v>
      </c>
      <c r="AI2065" s="1" t="s">
        <v>206</v>
      </c>
      <c r="AJ2065" s="1" t="s">
        <v>1608</v>
      </c>
      <c r="AL2065" s="1">
        <v>5</v>
      </c>
      <c r="AM2065" s="1">
        <v>2</v>
      </c>
      <c r="AN2065" s="1">
        <v>2</v>
      </c>
      <c r="AO2065" s="1">
        <v>0</v>
      </c>
      <c r="AP2065" s="1" t="s">
        <v>209</v>
      </c>
      <c r="AR2065" s="1" t="s">
        <v>210</v>
      </c>
      <c r="AS2065" s="1" t="s">
        <v>204</v>
      </c>
      <c r="AT2065" s="1" t="s">
        <v>211</v>
      </c>
      <c r="AU2065" s="1">
        <v>1</v>
      </c>
      <c r="AW2065" s="1" t="s">
        <v>204</v>
      </c>
      <c r="AX2065" s="1" t="s">
        <v>18677</v>
      </c>
      <c r="AZ2065" s="1">
        <v>3098.4</v>
      </c>
      <c r="BA2065" s="1">
        <v>2013</v>
      </c>
      <c r="BB2065" s="1" t="s">
        <v>405</v>
      </c>
      <c r="BE2065" s="1">
        <v>1000</v>
      </c>
      <c r="BF2065" s="1">
        <v>5</v>
      </c>
      <c r="BG2065" s="1">
        <v>30</v>
      </c>
      <c r="BL2065" s="1">
        <v>414</v>
      </c>
      <c r="BM2065" s="1" t="s">
        <v>204</v>
      </c>
      <c r="BN2065" s="1" t="s">
        <v>204</v>
      </c>
      <c r="BP2065" s="1" t="s">
        <v>204</v>
      </c>
      <c r="BR2065" s="1" t="str">
        <f>"0628107161"</f>
        <v>0628107161</v>
      </c>
      <c r="BT2065" s="1" t="s">
        <v>18678</v>
      </c>
      <c r="BX2065" s="1">
        <v>45</v>
      </c>
      <c r="BY2065" s="1">
        <v>45</v>
      </c>
      <c r="BZ2065" s="1">
        <v>88</v>
      </c>
      <c r="CB2065" s="1" t="str">
        <f t="shared" ref="CB2065:CC2065" si="1576">""</f>
        <v/>
      </c>
      <c r="CC2065" s="1" t="str">
        <f t="shared" si="1576"/>
        <v/>
      </c>
      <c r="CG2065" s="1" t="s">
        <v>5801</v>
      </c>
      <c r="CH2065" s="1" t="s">
        <v>219</v>
      </c>
      <c r="CI2065" s="1" t="s">
        <v>220</v>
      </c>
      <c r="CK2065" s="1" t="s">
        <v>1045</v>
      </c>
      <c r="CL2065" s="1" t="s">
        <v>219</v>
      </c>
      <c r="CM2065" s="1" t="s">
        <v>220</v>
      </c>
      <c r="CO2065" s="1" t="s">
        <v>465</v>
      </c>
      <c r="CP2065" s="1" t="s">
        <v>219</v>
      </c>
      <c r="CS2065" s="1" t="s">
        <v>378</v>
      </c>
      <c r="CT2065" s="1" t="s">
        <v>219</v>
      </c>
      <c r="CU2065" s="1" t="s">
        <v>220</v>
      </c>
      <c r="CX2065" s="1" t="s">
        <v>224</v>
      </c>
      <c r="DB2065" s="1" t="s">
        <v>224</v>
      </c>
      <c r="DE2065" s="1" t="s">
        <v>345</v>
      </c>
      <c r="DF2065" s="1" t="s">
        <v>219</v>
      </c>
      <c r="DG2065" s="1" t="s">
        <v>342</v>
      </c>
      <c r="DJ2065" s="1" t="s">
        <v>224</v>
      </c>
      <c r="DS2065" s="1" t="s">
        <v>230</v>
      </c>
      <c r="DW2065" s="1" t="s">
        <v>230</v>
      </c>
      <c r="EA2065" s="1" t="s">
        <v>230</v>
      </c>
      <c r="EE2065" s="1" t="s">
        <v>230</v>
      </c>
      <c r="EI2065" s="1" t="s">
        <v>230</v>
      </c>
      <c r="EL2065" s="1" t="s">
        <v>605</v>
      </c>
      <c r="EM2065" s="1" t="s">
        <v>232</v>
      </c>
      <c r="EN2065" s="1" t="s">
        <v>233</v>
      </c>
      <c r="EO2065" s="1" t="s">
        <v>234</v>
      </c>
      <c r="EP2065" s="1" t="s">
        <v>18679</v>
      </c>
      <c r="EQ2065" s="1" t="s">
        <v>3494</v>
      </c>
      <c r="ER2065" s="1" t="s">
        <v>210</v>
      </c>
      <c r="EW2065" s="1" t="s">
        <v>18680</v>
      </c>
      <c r="EZ2065" s="1" t="s">
        <v>287</v>
      </c>
      <c r="FD2065" s="1" t="s">
        <v>1112</v>
      </c>
      <c r="FE2065" s="1" t="s">
        <v>247</v>
      </c>
      <c r="FF2065" s="1" t="s">
        <v>248</v>
      </c>
      <c r="FH2065" s="1" t="s">
        <v>249</v>
      </c>
      <c r="FL2065" s="1" t="s">
        <v>414</v>
      </c>
      <c r="FM2065" s="1" t="s">
        <v>252</v>
      </c>
      <c r="FN2065" s="1" t="s">
        <v>213</v>
      </c>
      <c r="FO2065" s="1" t="s">
        <v>213</v>
      </c>
      <c r="FQ2065" s="1" t="s">
        <v>293</v>
      </c>
      <c r="FR2065" s="1" t="s">
        <v>210</v>
      </c>
      <c r="FS2065" s="1" t="s">
        <v>18681</v>
      </c>
      <c r="FT2065" s="1" t="s">
        <v>675</v>
      </c>
      <c r="FU2065" s="1" t="s">
        <v>204</v>
      </c>
      <c r="FW2065" s="1" t="s">
        <v>2006</v>
      </c>
      <c r="FX2065" s="1">
        <v>25792</v>
      </c>
      <c r="FY2065" s="1" t="s">
        <v>3181</v>
      </c>
      <c r="FZ2065" s="1" t="s">
        <v>18682</v>
      </c>
      <c r="GA2065" s="1">
        <v>219995</v>
      </c>
      <c r="GB2065" s="1" t="s">
        <v>18683</v>
      </c>
      <c r="GE2065" s="1" t="s">
        <v>210</v>
      </c>
      <c r="GH2065" s="1" t="s">
        <v>230</v>
      </c>
      <c r="GI2065" s="1" t="s">
        <v>213</v>
      </c>
      <c r="GJ2065" s="1" t="s">
        <v>260</v>
      </c>
      <c r="GK2065" s="1" t="s">
        <v>210</v>
      </c>
      <c r="GL2065" s="2">
        <v>42116</v>
      </c>
      <c r="GM2065" s="1" t="s">
        <v>18684</v>
      </c>
    </row>
    <row r="2066" spans="1:195">
      <c r="A2066" s="1">
        <v>138000</v>
      </c>
      <c r="B2066" s="1" t="s">
        <v>195</v>
      </c>
      <c r="C2066" s="1" t="str">
        <f>"08754522"</f>
        <v>08754522</v>
      </c>
      <c r="D2066" s="1" t="s">
        <v>196</v>
      </c>
      <c r="F2066" s="1" t="str">
        <f>"83"</f>
        <v>83</v>
      </c>
      <c r="G2066" s="2">
        <v>41928</v>
      </c>
      <c r="H2066" s="1">
        <v>145000</v>
      </c>
      <c r="I2066" s="1">
        <v>145000</v>
      </c>
      <c r="J2066" s="1">
        <v>138000</v>
      </c>
      <c r="K2066" s="2">
        <v>41926</v>
      </c>
      <c r="L2066" s="1">
        <v>15</v>
      </c>
      <c r="M2066" s="2">
        <v>41940</v>
      </c>
      <c r="N2066" s="1">
        <v>15</v>
      </c>
      <c r="O2066" s="2">
        <v>41940</v>
      </c>
      <c r="P2066" s="1">
        <v>4594</v>
      </c>
      <c r="Q2066" s="1" t="s">
        <v>197</v>
      </c>
      <c r="R2066" s="2">
        <v>41969</v>
      </c>
      <c r="S2066" s="1">
        <v>35933</v>
      </c>
      <c r="U2066" s="1">
        <v>3011</v>
      </c>
      <c r="V2066" s="1" t="s">
        <v>5349</v>
      </c>
      <c r="W2066" s="1" t="s">
        <v>504</v>
      </c>
      <c r="Y2066" s="1">
        <v>6</v>
      </c>
      <c r="Z2066" s="1" t="s">
        <v>249</v>
      </c>
      <c r="AA2066" s="1" t="s">
        <v>3371</v>
      </c>
      <c r="AB2066" s="1">
        <v>60083</v>
      </c>
      <c r="AD2066" s="1" t="s">
        <v>18685</v>
      </c>
      <c r="AE2066" s="1" t="s">
        <v>18686</v>
      </c>
      <c r="AF2066" s="1">
        <v>2005</v>
      </c>
      <c r="AG2066" s="1" t="s">
        <v>204</v>
      </c>
      <c r="AH2066" s="1" t="s">
        <v>2509</v>
      </c>
      <c r="AI2066" s="1" t="s">
        <v>509</v>
      </c>
      <c r="AJ2066" s="1" t="s">
        <v>1061</v>
      </c>
      <c r="AL2066" s="1">
        <v>7</v>
      </c>
      <c r="AM2066" s="1">
        <v>2</v>
      </c>
      <c r="AN2066" s="1">
        <v>3</v>
      </c>
      <c r="AO2066" s="1">
        <v>0</v>
      </c>
      <c r="AP2066" s="1" t="s">
        <v>209</v>
      </c>
      <c r="AQ2066" s="1">
        <v>1</v>
      </c>
      <c r="AR2066" s="1" t="s">
        <v>1483</v>
      </c>
      <c r="AS2066" s="1" t="s">
        <v>213</v>
      </c>
      <c r="AT2066" s="1" t="s">
        <v>211</v>
      </c>
      <c r="AU2066" s="1">
        <v>2</v>
      </c>
      <c r="AW2066" s="1" t="s">
        <v>204</v>
      </c>
      <c r="AX2066" s="1" t="s">
        <v>212</v>
      </c>
      <c r="AZ2066" s="1">
        <v>4361.6400000000003</v>
      </c>
      <c r="BA2066" s="1">
        <v>2013</v>
      </c>
      <c r="BB2066" s="1" t="s">
        <v>405</v>
      </c>
      <c r="BE2066" s="1">
        <v>1898</v>
      </c>
      <c r="BF2066" s="1">
        <v>1</v>
      </c>
      <c r="BG2066" s="1">
        <v>0</v>
      </c>
      <c r="BL2066" s="1">
        <v>206</v>
      </c>
      <c r="BM2066" s="1" t="s">
        <v>213</v>
      </c>
      <c r="BN2066" s="1" t="s">
        <v>213</v>
      </c>
      <c r="BO2066" s="1">
        <v>999</v>
      </c>
      <c r="BP2066" s="1" t="s">
        <v>204</v>
      </c>
      <c r="BR2066" s="1" t="str">
        <f>"07022070420000"</f>
        <v>07022070420000</v>
      </c>
      <c r="BT2066" s="1" t="s">
        <v>18687</v>
      </c>
      <c r="BW2066" s="1" t="s">
        <v>1066</v>
      </c>
      <c r="BX2066" s="1">
        <v>56</v>
      </c>
      <c r="BY2066" s="1">
        <v>56</v>
      </c>
      <c r="BZ2066" s="1">
        <v>121</v>
      </c>
      <c r="CB2066" s="1" t="str">
        <f t="shared" ref="CB2066:CC2066" si="1577">""</f>
        <v/>
      </c>
      <c r="CC2066" s="1" t="str">
        <f t="shared" si="1577"/>
        <v/>
      </c>
      <c r="CG2066" s="1" t="s">
        <v>280</v>
      </c>
      <c r="CH2066" s="1" t="s">
        <v>219</v>
      </c>
      <c r="CI2066" s="1" t="s">
        <v>220</v>
      </c>
      <c r="CJ2066" s="1" t="s">
        <v>439</v>
      </c>
      <c r="CK2066" s="1" t="s">
        <v>2170</v>
      </c>
      <c r="CL2066" s="1" t="s">
        <v>219</v>
      </c>
      <c r="CM2066" s="1" t="s">
        <v>220</v>
      </c>
      <c r="CN2066" s="1" t="s">
        <v>439</v>
      </c>
      <c r="CO2066" s="1" t="s">
        <v>378</v>
      </c>
      <c r="CP2066" s="1" t="s">
        <v>219</v>
      </c>
      <c r="CQ2066" s="1" t="s">
        <v>220</v>
      </c>
      <c r="CR2066" s="1" t="s">
        <v>439</v>
      </c>
      <c r="CS2066" s="1" t="s">
        <v>836</v>
      </c>
      <c r="CT2066" s="1" t="s">
        <v>219</v>
      </c>
      <c r="CU2066" s="1" t="s">
        <v>220</v>
      </c>
      <c r="CV2066" s="1" t="s">
        <v>439</v>
      </c>
      <c r="CX2066" s="1" t="s">
        <v>224</v>
      </c>
      <c r="DB2066" s="1" t="s">
        <v>224</v>
      </c>
      <c r="DE2066" s="1" t="s">
        <v>3481</v>
      </c>
      <c r="DF2066" s="1" t="s">
        <v>219</v>
      </c>
      <c r="DG2066" s="1" t="s">
        <v>438</v>
      </c>
      <c r="DH2066" s="1" t="s">
        <v>210</v>
      </c>
      <c r="DI2066" s="1" t="s">
        <v>18688</v>
      </c>
      <c r="DJ2066" s="1" t="s">
        <v>822</v>
      </c>
      <c r="DK2066" s="1" t="s">
        <v>220</v>
      </c>
      <c r="DL2066" s="1" t="s">
        <v>439</v>
      </c>
      <c r="DM2066" s="1" t="s">
        <v>464</v>
      </c>
      <c r="DN2066" s="1" t="s">
        <v>1359</v>
      </c>
      <c r="DR2066" s="1" t="s">
        <v>407</v>
      </c>
      <c r="DS2066" s="1" t="s">
        <v>219</v>
      </c>
      <c r="DT2066" s="1" t="s">
        <v>220</v>
      </c>
      <c r="DU2066" s="1" t="s">
        <v>439</v>
      </c>
      <c r="DV2066" s="1" t="s">
        <v>4098</v>
      </c>
      <c r="DW2066" s="1" t="s">
        <v>219</v>
      </c>
      <c r="EA2066" s="1" t="s">
        <v>230</v>
      </c>
      <c r="EE2066" s="1" t="s">
        <v>230</v>
      </c>
      <c r="EI2066" s="1" t="s">
        <v>230</v>
      </c>
      <c r="EL2066" s="1" t="s">
        <v>491</v>
      </c>
      <c r="EM2066" s="1" t="s">
        <v>319</v>
      </c>
      <c r="EN2066" s="1" t="s">
        <v>282</v>
      </c>
      <c r="EO2066" s="1" t="s">
        <v>234</v>
      </c>
      <c r="EP2066" s="1" t="s">
        <v>18689</v>
      </c>
      <c r="EQ2066" s="1" t="s">
        <v>236</v>
      </c>
      <c r="ER2066" s="1" t="s">
        <v>544</v>
      </c>
      <c r="ES2066" s="1" t="s">
        <v>493</v>
      </c>
      <c r="EU2066" s="1" t="s">
        <v>712</v>
      </c>
      <c r="EV2066" s="1" t="s">
        <v>324</v>
      </c>
      <c r="EW2066" s="1" t="s">
        <v>3255</v>
      </c>
      <c r="EY2066" s="1" t="s">
        <v>441</v>
      </c>
      <c r="EZ2066" s="1" t="s">
        <v>12352</v>
      </c>
      <c r="FA2066" s="1" t="s">
        <v>9459</v>
      </c>
      <c r="FB2066" s="1" t="s">
        <v>289</v>
      </c>
      <c r="FD2066" s="1" t="s">
        <v>246</v>
      </c>
      <c r="FE2066" s="1" t="s">
        <v>472</v>
      </c>
      <c r="FF2066" s="1" t="s">
        <v>248</v>
      </c>
      <c r="FG2066" s="1" t="s">
        <v>1204</v>
      </c>
      <c r="FH2066" s="1" t="s">
        <v>825</v>
      </c>
      <c r="FI2066" s="1" t="s">
        <v>473</v>
      </c>
      <c r="FJ2066" s="1" t="s">
        <v>197</v>
      </c>
      <c r="FL2066" s="1" t="s">
        <v>358</v>
      </c>
      <c r="FM2066" s="1" t="s">
        <v>252</v>
      </c>
      <c r="FN2066" s="1" t="s">
        <v>213</v>
      </c>
      <c r="FO2066" s="1" t="s">
        <v>213</v>
      </c>
      <c r="FQ2066" s="1" t="s">
        <v>7474</v>
      </c>
      <c r="FR2066" s="1" t="s">
        <v>652</v>
      </c>
      <c r="FS2066" s="1" t="s">
        <v>18690</v>
      </c>
      <c r="FT2066" s="1" t="s">
        <v>18691</v>
      </c>
      <c r="FU2066" s="1" t="s">
        <v>204</v>
      </c>
      <c r="FW2066" s="1" t="s">
        <v>5979</v>
      </c>
      <c r="FX2066" s="1">
        <v>8340</v>
      </c>
      <c r="FY2066" s="1" t="s">
        <v>5980</v>
      </c>
      <c r="FZ2066" s="1" t="s">
        <v>18692</v>
      </c>
      <c r="GA2066" s="1">
        <v>19162</v>
      </c>
      <c r="GB2066" s="1" t="s">
        <v>18693</v>
      </c>
      <c r="GE2066" s="1" t="s">
        <v>480</v>
      </c>
      <c r="GI2066" s="1" t="s">
        <v>213</v>
      </c>
      <c r="GJ2066" s="1" t="s">
        <v>260</v>
      </c>
      <c r="GK2066" s="1" t="s">
        <v>210</v>
      </c>
      <c r="GL2066" s="2">
        <v>41969</v>
      </c>
      <c r="GM2066" s="1" t="s">
        <v>18694</v>
      </c>
    </row>
    <row r="2067" spans="1:195">
      <c r="A2067" s="1">
        <v>299990</v>
      </c>
      <c r="B2067" s="1" t="s">
        <v>195</v>
      </c>
      <c r="C2067" s="1" t="str">
        <f>"08745421"</f>
        <v>08745421</v>
      </c>
      <c r="D2067" s="1" t="s">
        <v>196</v>
      </c>
      <c r="F2067" s="1" t="str">
        <f>"188"</f>
        <v>188</v>
      </c>
      <c r="G2067" s="2">
        <v>41917</v>
      </c>
      <c r="H2067" s="1">
        <v>299990</v>
      </c>
      <c r="I2067" s="1">
        <v>299990</v>
      </c>
      <c r="J2067" s="1">
        <v>299990</v>
      </c>
      <c r="K2067" s="2">
        <v>41915</v>
      </c>
      <c r="L2067" s="1">
        <v>26</v>
      </c>
      <c r="M2067" s="2">
        <v>41940</v>
      </c>
      <c r="N2067" s="1">
        <v>26</v>
      </c>
      <c r="O2067" s="2">
        <v>41940</v>
      </c>
      <c r="P2067" s="1" t="s">
        <v>1039</v>
      </c>
      <c r="Q2067" s="1" t="s">
        <v>423</v>
      </c>
      <c r="R2067" s="2">
        <v>42003</v>
      </c>
      <c r="S2067" s="1">
        <v>99999</v>
      </c>
      <c r="U2067" s="1">
        <v>285</v>
      </c>
      <c r="V2067" s="1" t="s">
        <v>18695</v>
      </c>
      <c r="W2067" s="1" t="s">
        <v>264</v>
      </c>
      <c r="Y2067" s="1">
        <v>5</v>
      </c>
      <c r="Z2067" s="1" t="s">
        <v>370</v>
      </c>
      <c r="AA2067" s="1" t="s">
        <v>1084</v>
      </c>
      <c r="AB2067" s="1">
        <v>60188</v>
      </c>
      <c r="AD2067" s="1" t="s">
        <v>4772</v>
      </c>
      <c r="AE2067" s="1" t="s">
        <v>4773</v>
      </c>
      <c r="AF2067" s="1">
        <v>2014</v>
      </c>
      <c r="AG2067" s="1" t="s">
        <v>204</v>
      </c>
      <c r="AH2067" s="1" t="s">
        <v>1087</v>
      </c>
      <c r="AI2067" s="1" t="s">
        <v>206</v>
      </c>
      <c r="AJ2067" s="1" t="s">
        <v>269</v>
      </c>
      <c r="AK2067" s="1" t="s">
        <v>18696</v>
      </c>
      <c r="AL2067" s="1">
        <v>6</v>
      </c>
      <c r="AM2067" s="1">
        <v>2</v>
      </c>
      <c r="AN2067" s="1">
        <v>2</v>
      </c>
      <c r="AO2067" s="1">
        <v>2</v>
      </c>
      <c r="AP2067" s="1" t="s">
        <v>209</v>
      </c>
      <c r="AR2067" s="1" t="s">
        <v>210</v>
      </c>
      <c r="AS2067" s="1" t="s">
        <v>204</v>
      </c>
      <c r="AT2067" s="1" t="s">
        <v>211</v>
      </c>
      <c r="AU2067" s="1">
        <v>2</v>
      </c>
      <c r="AW2067" s="1" t="s">
        <v>204</v>
      </c>
      <c r="AX2067" s="1" t="s">
        <v>212</v>
      </c>
      <c r="AZ2067" s="1" t="s">
        <v>751</v>
      </c>
      <c r="BA2067" s="1">
        <v>2013</v>
      </c>
      <c r="BE2067" s="1">
        <v>2379</v>
      </c>
      <c r="BF2067" s="1">
        <v>3</v>
      </c>
      <c r="BG2067" s="1">
        <v>0</v>
      </c>
      <c r="BL2067" s="1">
        <v>130</v>
      </c>
      <c r="BM2067" s="1" t="s">
        <v>204</v>
      </c>
      <c r="BN2067" s="1" t="s">
        <v>213</v>
      </c>
      <c r="BO2067" s="1">
        <v>0</v>
      </c>
      <c r="BP2067" s="1" t="s">
        <v>213</v>
      </c>
      <c r="BQ2067" s="2">
        <v>41973</v>
      </c>
      <c r="BR2067" s="1" t="str">
        <f>"0232307084"</f>
        <v>0232307084</v>
      </c>
      <c r="BT2067" s="1" t="s">
        <v>18697</v>
      </c>
      <c r="BU2067" s="1" t="s">
        <v>4776</v>
      </c>
      <c r="BV2067" s="1" t="s">
        <v>1502</v>
      </c>
      <c r="BW2067" s="1" t="s">
        <v>1092</v>
      </c>
      <c r="BX2067" s="1">
        <v>93</v>
      </c>
      <c r="BY2067" s="1">
        <v>93</v>
      </c>
      <c r="BZ2067" s="1">
        <v>87</v>
      </c>
      <c r="CB2067" s="1" t="str">
        <f>"2"</f>
        <v>2</v>
      </c>
      <c r="CC2067" s="1" t="str">
        <f>"0"</f>
        <v>0</v>
      </c>
      <c r="CD2067" s="1">
        <v>25</v>
      </c>
      <c r="CE2067" s="1">
        <v>0</v>
      </c>
      <c r="CG2067" s="1" t="s">
        <v>437</v>
      </c>
      <c r="CH2067" s="1" t="s">
        <v>219</v>
      </c>
      <c r="CI2067" s="1" t="s">
        <v>438</v>
      </c>
      <c r="CK2067" s="1" t="s">
        <v>669</v>
      </c>
      <c r="CL2067" s="1" t="s">
        <v>277</v>
      </c>
      <c r="CM2067" s="1" t="s">
        <v>220</v>
      </c>
      <c r="CP2067" s="1" t="s">
        <v>224</v>
      </c>
      <c r="CS2067" s="1" t="s">
        <v>346</v>
      </c>
      <c r="CT2067" s="1" t="s">
        <v>277</v>
      </c>
      <c r="CU2067" s="1" t="s">
        <v>220</v>
      </c>
      <c r="DB2067" s="1" t="s">
        <v>224</v>
      </c>
      <c r="DE2067" s="1" t="s">
        <v>317</v>
      </c>
      <c r="DF2067" s="1" t="s">
        <v>219</v>
      </c>
      <c r="DG2067" s="1" t="s">
        <v>438</v>
      </c>
      <c r="DJ2067" s="1" t="s">
        <v>224</v>
      </c>
      <c r="DN2067" s="1" t="s">
        <v>1676</v>
      </c>
      <c r="DO2067" s="1" t="s">
        <v>411</v>
      </c>
      <c r="DS2067" s="1" t="s">
        <v>230</v>
      </c>
      <c r="DV2067" s="1" t="s">
        <v>461</v>
      </c>
      <c r="DW2067" s="1" t="s">
        <v>219</v>
      </c>
      <c r="DX2067" s="1" t="s">
        <v>438</v>
      </c>
      <c r="DZ2067" s="1" t="s">
        <v>5678</v>
      </c>
      <c r="EA2067" s="1" t="s">
        <v>822</v>
      </c>
      <c r="EB2067" s="1" t="s">
        <v>220</v>
      </c>
      <c r="EE2067" s="1" t="s">
        <v>230</v>
      </c>
      <c r="EI2067" s="1" t="s">
        <v>230</v>
      </c>
      <c r="EL2067" s="1" t="s">
        <v>760</v>
      </c>
      <c r="EM2067" s="1" t="s">
        <v>319</v>
      </c>
      <c r="EN2067" s="1" t="s">
        <v>282</v>
      </c>
      <c r="EO2067" s="1" t="s">
        <v>234</v>
      </c>
      <c r="EQ2067" s="1" t="s">
        <v>3849</v>
      </c>
      <c r="ER2067" s="1" t="s">
        <v>210</v>
      </c>
      <c r="ES2067" s="1" t="s">
        <v>322</v>
      </c>
      <c r="ET2067" s="1" t="s">
        <v>866</v>
      </c>
      <c r="EV2067" s="1" t="s">
        <v>324</v>
      </c>
      <c r="EW2067" s="1" t="s">
        <v>867</v>
      </c>
      <c r="EY2067" s="1" t="s">
        <v>242</v>
      </c>
      <c r="EZ2067" s="1" t="s">
        <v>18698</v>
      </c>
      <c r="FA2067" s="1" t="s">
        <v>1270</v>
      </c>
      <c r="FD2067" s="1" t="s">
        <v>246</v>
      </c>
      <c r="FE2067" s="1" t="s">
        <v>975</v>
      </c>
      <c r="FF2067" s="1" t="s">
        <v>248</v>
      </c>
      <c r="FH2067" s="1" t="s">
        <v>1428</v>
      </c>
      <c r="FJ2067" s="1" t="s">
        <v>518</v>
      </c>
      <c r="FL2067" s="1" t="s">
        <v>358</v>
      </c>
      <c r="FM2067" s="1" t="s">
        <v>252</v>
      </c>
      <c r="FN2067" s="1" t="s">
        <v>213</v>
      </c>
      <c r="FO2067" s="1" t="s">
        <v>213</v>
      </c>
      <c r="FQ2067" s="1" t="s">
        <v>3853</v>
      </c>
      <c r="FR2067" s="1" t="s">
        <v>210</v>
      </c>
      <c r="FS2067" s="1" t="s">
        <v>18699</v>
      </c>
      <c r="FT2067" s="1" t="s">
        <v>3855</v>
      </c>
      <c r="FU2067" s="1" t="s">
        <v>204</v>
      </c>
      <c r="FV2067" s="1" t="s">
        <v>5175</v>
      </c>
      <c r="FW2067" s="1" t="s">
        <v>3857</v>
      </c>
      <c r="FX2067" s="1">
        <v>23223</v>
      </c>
      <c r="FY2067" s="1" t="s">
        <v>3858</v>
      </c>
      <c r="FZ2067" s="1" t="s">
        <v>10548</v>
      </c>
      <c r="GA2067" s="1">
        <v>210778</v>
      </c>
      <c r="GB2067" s="1" t="s">
        <v>10549</v>
      </c>
      <c r="GE2067" s="1" t="s">
        <v>335</v>
      </c>
      <c r="GI2067" s="1" t="s">
        <v>204</v>
      </c>
      <c r="GJ2067" s="1" t="s">
        <v>300</v>
      </c>
      <c r="GK2067" s="1" t="s">
        <v>210</v>
      </c>
      <c r="GL2067" s="2">
        <v>42003</v>
      </c>
      <c r="GM2067" s="1" t="s">
        <v>18700</v>
      </c>
    </row>
    <row r="2068" spans="1:195">
      <c r="A2068" s="1">
        <v>63000</v>
      </c>
      <c r="B2068" s="1" t="s">
        <v>195</v>
      </c>
      <c r="C2068" s="1" t="str">
        <f>"08752433"</f>
        <v>08752433</v>
      </c>
      <c r="D2068" s="1" t="s">
        <v>196</v>
      </c>
      <c r="F2068" s="1" t="str">
        <f>"540"</f>
        <v>540</v>
      </c>
      <c r="G2068" s="2">
        <v>41926</v>
      </c>
      <c r="H2068" s="1">
        <v>79000</v>
      </c>
      <c r="I2068" s="1">
        <v>69000</v>
      </c>
      <c r="J2068" s="1">
        <v>63000</v>
      </c>
      <c r="K2068" s="2">
        <v>41926</v>
      </c>
      <c r="L2068" s="1">
        <v>94</v>
      </c>
      <c r="M2068" s="2">
        <v>42019</v>
      </c>
      <c r="N2068" s="1">
        <v>94</v>
      </c>
      <c r="O2068" s="2">
        <v>42019</v>
      </c>
      <c r="P2068" s="1">
        <v>12664</v>
      </c>
      <c r="Q2068" s="1" t="s">
        <v>302</v>
      </c>
      <c r="R2068" s="2">
        <v>42062</v>
      </c>
      <c r="S2068" s="1">
        <v>128552</v>
      </c>
      <c r="U2068" s="1" t="s">
        <v>5278</v>
      </c>
      <c r="V2068" s="1" t="s">
        <v>5281</v>
      </c>
      <c r="W2068" s="1" t="s">
        <v>504</v>
      </c>
      <c r="X2068" s="1" t="s">
        <v>18701</v>
      </c>
      <c r="Y2068" s="1">
        <v>40</v>
      </c>
      <c r="Z2068" s="1" t="s">
        <v>249</v>
      </c>
      <c r="AA2068" s="1" t="s">
        <v>921</v>
      </c>
      <c r="AB2068" s="1">
        <v>60563</v>
      </c>
      <c r="AE2068" s="1" t="s">
        <v>18702</v>
      </c>
      <c r="AF2068" s="1">
        <v>1974</v>
      </c>
      <c r="AG2068" s="1" t="s">
        <v>213</v>
      </c>
      <c r="AH2068" s="1" t="s">
        <v>882</v>
      </c>
      <c r="AI2068" s="1" t="s">
        <v>206</v>
      </c>
      <c r="AJ2068" s="1" t="s">
        <v>924</v>
      </c>
      <c r="AL2068" s="1">
        <v>5</v>
      </c>
      <c r="AM2068" s="1">
        <v>2</v>
      </c>
      <c r="AN2068" s="1">
        <v>1</v>
      </c>
      <c r="AO2068" s="1">
        <v>1</v>
      </c>
      <c r="AP2068" s="1" t="s">
        <v>1234</v>
      </c>
      <c r="AR2068" s="1" t="s">
        <v>210</v>
      </c>
      <c r="AS2068" s="1" t="s">
        <v>204</v>
      </c>
      <c r="AT2068" s="1" t="s">
        <v>211</v>
      </c>
      <c r="AU2068" s="1">
        <v>1</v>
      </c>
      <c r="AW2068" s="1" t="s">
        <v>204</v>
      </c>
      <c r="AX2068" s="1" t="s">
        <v>212</v>
      </c>
      <c r="AZ2068" s="1">
        <v>1958</v>
      </c>
      <c r="BA2068" s="1">
        <v>2013</v>
      </c>
      <c r="BE2068" s="1">
        <v>1095</v>
      </c>
      <c r="BF2068" s="1">
        <v>1</v>
      </c>
      <c r="BG2068" s="1">
        <v>0</v>
      </c>
      <c r="BL2068" s="1">
        <v>340</v>
      </c>
      <c r="BM2068" s="1" t="s">
        <v>213</v>
      </c>
      <c r="BN2068" s="1" t="s">
        <v>213</v>
      </c>
      <c r="BO2068" s="1">
        <v>20</v>
      </c>
      <c r="BP2068" s="1" t="s">
        <v>204</v>
      </c>
      <c r="BR2068" s="1" t="str">
        <f>"0709219005"</f>
        <v>0709219005</v>
      </c>
      <c r="BT2068" s="1" t="s">
        <v>18703</v>
      </c>
      <c r="BX2068" s="1">
        <v>204</v>
      </c>
      <c r="BY2068" s="1">
        <v>204</v>
      </c>
      <c r="BZ2068" s="1">
        <v>204</v>
      </c>
      <c r="CB2068" s="1" t="str">
        <f t="shared" ref="CB2068:CC2068" si="1578">""</f>
        <v/>
      </c>
      <c r="CC2068" s="1" t="str">
        <f t="shared" si="1578"/>
        <v/>
      </c>
      <c r="CG2068" s="1" t="s">
        <v>1155</v>
      </c>
      <c r="CH2068" s="1" t="s">
        <v>219</v>
      </c>
      <c r="CK2068" s="1" t="s">
        <v>490</v>
      </c>
      <c r="CL2068" s="1" t="s">
        <v>219</v>
      </c>
      <c r="CO2068" s="1" t="s">
        <v>318</v>
      </c>
      <c r="CP2068" s="1" t="s">
        <v>219</v>
      </c>
      <c r="CS2068" s="1" t="s">
        <v>1854</v>
      </c>
      <c r="CT2068" s="1" t="s">
        <v>219</v>
      </c>
      <c r="CX2068" s="1" t="s">
        <v>224</v>
      </c>
      <c r="DB2068" s="1" t="s">
        <v>224</v>
      </c>
      <c r="DE2068" s="1" t="s">
        <v>3657</v>
      </c>
      <c r="DF2068" s="1" t="s">
        <v>219</v>
      </c>
      <c r="DJ2068" s="1" t="s">
        <v>224</v>
      </c>
      <c r="DS2068" s="1" t="s">
        <v>230</v>
      </c>
      <c r="DW2068" s="1" t="s">
        <v>230</v>
      </c>
      <c r="EA2068" s="1" t="s">
        <v>230</v>
      </c>
      <c r="EE2068" s="1" t="s">
        <v>230</v>
      </c>
      <c r="EI2068" s="1" t="s">
        <v>230</v>
      </c>
      <c r="EL2068" s="1" t="s">
        <v>605</v>
      </c>
      <c r="EM2068" s="1" t="s">
        <v>232</v>
      </c>
      <c r="EN2068" s="1" t="s">
        <v>282</v>
      </c>
      <c r="EO2068" s="1" t="s">
        <v>234</v>
      </c>
      <c r="ER2068" s="1" t="s">
        <v>210</v>
      </c>
      <c r="EW2068" s="1" t="s">
        <v>10986</v>
      </c>
      <c r="EZ2068" s="1" t="s">
        <v>287</v>
      </c>
      <c r="FD2068" s="1" t="s">
        <v>736</v>
      </c>
      <c r="FE2068" s="1" t="s">
        <v>247</v>
      </c>
      <c r="FF2068" s="1" t="s">
        <v>248</v>
      </c>
      <c r="FH2068" s="1" t="s">
        <v>249</v>
      </c>
      <c r="FL2068" s="1" t="s">
        <v>358</v>
      </c>
      <c r="FM2068" s="1" t="s">
        <v>252</v>
      </c>
      <c r="FN2068" s="1" t="s">
        <v>213</v>
      </c>
      <c r="FO2068" s="1" t="s">
        <v>213</v>
      </c>
      <c r="FQ2068" s="1" t="s">
        <v>582</v>
      </c>
      <c r="FR2068" s="1" t="s">
        <v>210</v>
      </c>
      <c r="FS2068" s="1" t="s">
        <v>2984</v>
      </c>
      <c r="FT2068" s="1" t="s">
        <v>1393</v>
      </c>
      <c r="FU2068" s="1" t="s">
        <v>204</v>
      </c>
      <c r="FW2068" s="1" t="s">
        <v>2985</v>
      </c>
      <c r="FX2068" s="1">
        <v>23959</v>
      </c>
      <c r="FY2068" s="1" t="s">
        <v>2986</v>
      </c>
      <c r="FZ2068" s="1" t="s">
        <v>2987</v>
      </c>
      <c r="GA2068" s="1">
        <v>220868</v>
      </c>
      <c r="GB2068" s="1" t="s">
        <v>2986</v>
      </c>
      <c r="GE2068" s="1" t="s">
        <v>210</v>
      </c>
      <c r="GI2068" s="1" t="s">
        <v>213</v>
      </c>
      <c r="GJ2068" s="1" t="s">
        <v>260</v>
      </c>
      <c r="GK2068" s="1" t="s">
        <v>210</v>
      </c>
      <c r="GL2068" s="2">
        <v>42068</v>
      </c>
      <c r="GM2068" s="1" t="s">
        <v>18704</v>
      </c>
    </row>
    <row r="2069" spans="1:195">
      <c r="A2069" s="1">
        <v>97500</v>
      </c>
      <c r="B2069" s="1" t="s">
        <v>195</v>
      </c>
      <c r="C2069" s="1" t="str">
        <f>"08746091"</f>
        <v>08746091</v>
      </c>
      <c r="D2069" s="1" t="s">
        <v>196</v>
      </c>
      <c r="F2069" s="1" t="str">
        <f>"148"</f>
        <v>148</v>
      </c>
      <c r="G2069" s="2">
        <v>41918</v>
      </c>
      <c r="H2069" s="1">
        <v>109900</v>
      </c>
      <c r="I2069" s="1">
        <v>109900</v>
      </c>
      <c r="J2069" s="1">
        <v>97500</v>
      </c>
      <c r="K2069" s="2">
        <v>41918</v>
      </c>
      <c r="L2069" s="1">
        <v>57</v>
      </c>
      <c r="M2069" s="2">
        <v>41974</v>
      </c>
      <c r="N2069" s="1">
        <v>57</v>
      </c>
      <c r="O2069" s="2">
        <v>41974</v>
      </c>
      <c r="P2069" s="1">
        <v>23099</v>
      </c>
      <c r="Q2069" s="1" t="s">
        <v>197</v>
      </c>
      <c r="R2069" s="2">
        <v>42026</v>
      </c>
      <c r="S2069" s="1">
        <v>245605</v>
      </c>
      <c r="U2069" s="1">
        <v>2315</v>
      </c>
      <c r="V2069" s="1" t="s">
        <v>4253</v>
      </c>
      <c r="W2069" s="1" t="s">
        <v>725</v>
      </c>
      <c r="X2069" s="1" t="s">
        <v>2010</v>
      </c>
      <c r="Y2069" s="1">
        <v>6</v>
      </c>
      <c r="Z2069" s="1" t="s">
        <v>249</v>
      </c>
      <c r="AA2069" s="1" t="s">
        <v>1927</v>
      </c>
      <c r="AB2069" s="1">
        <v>60148</v>
      </c>
      <c r="AD2069" s="1" t="s">
        <v>5704</v>
      </c>
      <c r="AE2069" s="1" t="s">
        <v>18705</v>
      </c>
      <c r="AF2069" s="1">
        <v>1980</v>
      </c>
      <c r="AG2069" s="1" t="s">
        <v>204</v>
      </c>
      <c r="AH2069" s="1" t="s">
        <v>1930</v>
      </c>
      <c r="AI2069" s="1" t="s">
        <v>206</v>
      </c>
      <c r="AJ2069" s="1" t="s">
        <v>1608</v>
      </c>
      <c r="AL2069" s="1">
        <v>5</v>
      </c>
      <c r="AM2069" s="1">
        <v>2</v>
      </c>
      <c r="AN2069" s="1">
        <v>1</v>
      </c>
      <c r="AO2069" s="1">
        <v>1</v>
      </c>
      <c r="AP2069" s="1" t="s">
        <v>1234</v>
      </c>
      <c r="AQ2069" s="1">
        <v>0</v>
      </c>
      <c r="AR2069" s="1" t="s">
        <v>210</v>
      </c>
      <c r="AS2069" s="1" t="s">
        <v>204</v>
      </c>
      <c r="AT2069" s="1" t="s">
        <v>271</v>
      </c>
      <c r="AV2069" s="1">
        <v>1</v>
      </c>
      <c r="AW2069" s="1" t="s">
        <v>204</v>
      </c>
      <c r="AX2069" s="1" t="s">
        <v>212</v>
      </c>
      <c r="AZ2069" s="1">
        <v>2426</v>
      </c>
      <c r="BA2069" s="1">
        <v>2013</v>
      </c>
      <c r="BB2069" s="1" t="s">
        <v>405</v>
      </c>
      <c r="BE2069" s="1">
        <v>982</v>
      </c>
      <c r="BF2069" s="1">
        <v>1</v>
      </c>
      <c r="BG2069" s="1">
        <v>0</v>
      </c>
      <c r="BJ2069" s="1">
        <v>100</v>
      </c>
      <c r="BL2069" s="1">
        <v>279</v>
      </c>
      <c r="BM2069" s="1" t="s">
        <v>413</v>
      </c>
      <c r="BN2069" s="1" t="s">
        <v>213</v>
      </c>
      <c r="BO2069" s="1">
        <v>999</v>
      </c>
      <c r="BP2069" s="1" t="s">
        <v>204</v>
      </c>
      <c r="BR2069" s="1" t="str">
        <f>"0629106043"</f>
        <v>0629106043</v>
      </c>
      <c r="BT2069" s="1" t="s">
        <v>18706</v>
      </c>
      <c r="BU2069" s="1" t="s">
        <v>1933</v>
      </c>
      <c r="BV2069" s="1" t="s">
        <v>1934</v>
      </c>
      <c r="BW2069" s="1" t="s">
        <v>1935</v>
      </c>
      <c r="BX2069" s="1">
        <v>44</v>
      </c>
      <c r="BY2069" s="1">
        <v>44</v>
      </c>
      <c r="BZ2069" s="1">
        <v>87</v>
      </c>
      <c r="CB2069" s="1" t="str">
        <f t="shared" ref="CB2069:CC2069" si="1579">""</f>
        <v/>
      </c>
      <c r="CC2069" s="1" t="str">
        <f t="shared" si="1579"/>
        <v/>
      </c>
      <c r="CG2069" s="1" t="s">
        <v>1267</v>
      </c>
      <c r="CH2069" s="1" t="s">
        <v>219</v>
      </c>
      <c r="CI2069" s="1" t="s">
        <v>226</v>
      </c>
      <c r="CJ2069" s="1" t="s">
        <v>252</v>
      </c>
      <c r="CK2069" s="1" t="s">
        <v>539</v>
      </c>
      <c r="CL2069" s="1" t="s">
        <v>219</v>
      </c>
      <c r="CM2069" s="1" t="s">
        <v>229</v>
      </c>
      <c r="CN2069" s="1" t="s">
        <v>252</v>
      </c>
      <c r="CO2069" s="1" t="s">
        <v>316</v>
      </c>
      <c r="CP2069" s="1" t="s">
        <v>219</v>
      </c>
      <c r="CQ2069" s="1" t="s">
        <v>226</v>
      </c>
      <c r="CR2069" s="1" t="s">
        <v>252</v>
      </c>
      <c r="CS2069" s="1" t="s">
        <v>1046</v>
      </c>
      <c r="CT2069" s="1" t="s">
        <v>219</v>
      </c>
      <c r="CU2069" s="1" t="s">
        <v>229</v>
      </c>
      <c r="CV2069" s="1" t="s">
        <v>252</v>
      </c>
      <c r="CX2069" s="1" t="s">
        <v>224</v>
      </c>
      <c r="DB2069" s="1" t="s">
        <v>224</v>
      </c>
      <c r="DE2069" s="1" t="s">
        <v>516</v>
      </c>
      <c r="DF2069" s="1" t="s">
        <v>219</v>
      </c>
      <c r="DG2069" s="1" t="s">
        <v>226</v>
      </c>
      <c r="DH2069" s="1" t="s">
        <v>210</v>
      </c>
      <c r="DJ2069" s="1" t="s">
        <v>224</v>
      </c>
      <c r="DS2069" s="1" t="s">
        <v>230</v>
      </c>
      <c r="DW2069" s="1" t="s">
        <v>230</v>
      </c>
      <c r="EA2069" s="1" t="s">
        <v>230</v>
      </c>
      <c r="EE2069" s="1" t="s">
        <v>230</v>
      </c>
      <c r="EI2069" s="1" t="s">
        <v>230</v>
      </c>
      <c r="EL2069" s="1" t="s">
        <v>231</v>
      </c>
      <c r="EM2069" s="1" t="s">
        <v>232</v>
      </c>
      <c r="EN2069" s="1" t="s">
        <v>282</v>
      </c>
      <c r="EO2069" s="1" t="s">
        <v>234</v>
      </c>
      <c r="ER2069" s="1" t="s">
        <v>210</v>
      </c>
      <c r="ES2069" s="1" t="s">
        <v>493</v>
      </c>
      <c r="EU2069" s="1" t="s">
        <v>7601</v>
      </c>
      <c r="EV2069" s="1" t="s">
        <v>240</v>
      </c>
      <c r="EW2069" s="1" t="s">
        <v>1134</v>
      </c>
      <c r="EZ2069" s="1" t="s">
        <v>287</v>
      </c>
      <c r="FB2069" s="1" t="s">
        <v>289</v>
      </c>
      <c r="FD2069" s="1" t="s">
        <v>246</v>
      </c>
      <c r="FE2069" s="1" t="s">
        <v>247</v>
      </c>
      <c r="FF2069" s="1" t="s">
        <v>248</v>
      </c>
      <c r="FH2069" s="1" t="s">
        <v>249</v>
      </c>
      <c r="FK2069" s="1" t="s">
        <v>291</v>
      </c>
      <c r="FL2069" s="1" t="s">
        <v>358</v>
      </c>
      <c r="FM2069" s="1" t="s">
        <v>252</v>
      </c>
      <c r="FN2069" s="1" t="s">
        <v>213</v>
      </c>
      <c r="FO2069" s="1" t="s">
        <v>213</v>
      </c>
      <c r="FQ2069" s="1" t="s">
        <v>329</v>
      </c>
      <c r="FR2069" s="1" t="s">
        <v>210</v>
      </c>
      <c r="FS2069" s="1" t="s">
        <v>18707</v>
      </c>
      <c r="FT2069" s="1" t="s">
        <v>362</v>
      </c>
      <c r="FU2069" s="1" t="s">
        <v>204</v>
      </c>
      <c r="FW2069" s="1" t="s">
        <v>3328</v>
      </c>
      <c r="FX2069" s="1">
        <v>24330</v>
      </c>
      <c r="FY2069" s="1" t="s">
        <v>3329</v>
      </c>
      <c r="FZ2069" s="1" t="s">
        <v>18708</v>
      </c>
      <c r="GA2069" s="1">
        <v>237610</v>
      </c>
      <c r="GB2069" s="1" t="s">
        <v>18709</v>
      </c>
      <c r="GC2069" s="1">
        <v>240321</v>
      </c>
      <c r="GE2069" s="1" t="s">
        <v>335</v>
      </c>
      <c r="GH2069" s="1" t="s">
        <v>421</v>
      </c>
      <c r="GI2069" s="1" t="s">
        <v>204</v>
      </c>
      <c r="GJ2069" s="1" t="s">
        <v>260</v>
      </c>
      <c r="GK2069" s="1" t="s">
        <v>210</v>
      </c>
      <c r="GL2069" s="2">
        <v>42026</v>
      </c>
      <c r="GM2069" s="1" t="s">
        <v>18710</v>
      </c>
    </row>
    <row r="2070" spans="1:195">
      <c r="A2070" s="1">
        <v>110000</v>
      </c>
      <c r="B2070" s="1" t="s">
        <v>195</v>
      </c>
      <c r="C2070" s="1" t="str">
        <f>"08746937"</f>
        <v>08746937</v>
      </c>
      <c r="D2070" s="1" t="s">
        <v>196</v>
      </c>
      <c r="F2070" s="1" t="str">
        <f>"187"</f>
        <v>187</v>
      </c>
      <c r="G2070" s="2">
        <v>41919</v>
      </c>
      <c r="H2070" s="1">
        <v>110000</v>
      </c>
      <c r="I2070" s="1">
        <v>110000</v>
      </c>
      <c r="J2070" s="1">
        <v>110000</v>
      </c>
      <c r="K2070" s="2">
        <v>41919</v>
      </c>
      <c r="L2070" s="1">
        <v>64</v>
      </c>
      <c r="M2070" s="2">
        <v>41982</v>
      </c>
      <c r="N2070" s="1">
        <v>64</v>
      </c>
      <c r="O2070" s="2">
        <v>41982</v>
      </c>
      <c r="P2070" s="1">
        <v>24071</v>
      </c>
      <c r="Q2070" s="1" t="s">
        <v>197</v>
      </c>
      <c r="R2070" s="2">
        <v>42013</v>
      </c>
      <c r="S2070" s="1">
        <v>245237</v>
      </c>
      <c r="U2070" s="1">
        <v>1674</v>
      </c>
      <c r="V2070" s="1" t="s">
        <v>963</v>
      </c>
      <c r="W2070" s="1" t="s">
        <v>304</v>
      </c>
      <c r="X2070" s="1" t="s">
        <v>1000</v>
      </c>
      <c r="Y2070" s="1">
        <v>4</v>
      </c>
      <c r="Z2070" s="1" t="s">
        <v>2811</v>
      </c>
      <c r="AA2070" s="1" t="s">
        <v>964</v>
      </c>
      <c r="AB2070" s="1">
        <v>60189</v>
      </c>
      <c r="AD2070" s="1" t="s">
        <v>18711</v>
      </c>
      <c r="AE2070" s="1" t="s">
        <v>18712</v>
      </c>
      <c r="AF2070" s="1">
        <v>1974</v>
      </c>
      <c r="AG2070" s="1" t="s">
        <v>213</v>
      </c>
      <c r="AH2070" s="1" t="s">
        <v>967</v>
      </c>
      <c r="AI2070" s="1" t="s">
        <v>206</v>
      </c>
      <c r="AJ2070" s="1" t="s">
        <v>207</v>
      </c>
      <c r="AL2070" s="1">
        <v>5</v>
      </c>
      <c r="AM2070" s="1">
        <v>2</v>
      </c>
      <c r="AN2070" s="1">
        <v>1</v>
      </c>
      <c r="AO2070" s="1">
        <v>0</v>
      </c>
      <c r="AP2070" s="1" t="s">
        <v>210</v>
      </c>
      <c r="AQ2070" s="1">
        <v>0</v>
      </c>
      <c r="AR2070" s="1" t="s">
        <v>210</v>
      </c>
      <c r="AT2070" s="1" t="s">
        <v>211</v>
      </c>
      <c r="AU2070" s="1">
        <v>1</v>
      </c>
      <c r="AW2070" s="1" t="s">
        <v>204</v>
      </c>
      <c r="AX2070" s="1" t="s">
        <v>212</v>
      </c>
      <c r="AZ2070" s="1">
        <v>2949</v>
      </c>
      <c r="BA2070" s="1">
        <v>2013</v>
      </c>
      <c r="BB2070" s="1" t="s">
        <v>405</v>
      </c>
      <c r="BE2070" s="1">
        <v>968</v>
      </c>
      <c r="BF2070" s="1">
        <v>1</v>
      </c>
      <c r="BG2070" s="1">
        <v>0</v>
      </c>
      <c r="BL2070" s="1">
        <v>175</v>
      </c>
      <c r="BM2070" s="1" t="s">
        <v>204</v>
      </c>
      <c r="BN2070" s="1" t="s">
        <v>213</v>
      </c>
      <c r="BO2070" s="1">
        <v>99</v>
      </c>
      <c r="BP2070" s="1" t="s">
        <v>204</v>
      </c>
      <c r="BR2070" s="1" t="str">
        <f>"0527106008"</f>
        <v>0527106008</v>
      </c>
      <c r="BT2070" s="1" t="s">
        <v>18713</v>
      </c>
      <c r="BX2070" s="1">
        <v>200</v>
      </c>
      <c r="BY2070" s="1">
        <v>200</v>
      </c>
      <c r="BZ2070" s="1">
        <v>200</v>
      </c>
      <c r="CB2070" s="1" t="str">
        <f t="shared" ref="CB2070:CC2070" si="1580">""</f>
        <v/>
      </c>
      <c r="CC2070" s="1" t="str">
        <f t="shared" si="1580"/>
        <v/>
      </c>
      <c r="CG2070" s="1" t="s">
        <v>314</v>
      </c>
      <c r="CH2070" s="1" t="s">
        <v>219</v>
      </c>
      <c r="CI2070" s="1" t="s">
        <v>438</v>
      </c>
      <c r="CJ2070" s="1" t="s">
        <v>343</v>
      </c>
      <c r="CK2070" s="1" t="s">
        <v>437</v>
      </c>
      <c r="CL2070" s="1" t="s">
        <v>277</v>
      </c>
      <c r="CM2070" s="1" t="s">
        <v>220</v>
      </c>
      <c r="CN2070" s="1" t="s">
        <v>343</v>
      </c>
      <c r="CO2070" s="1" t="s">
        <v>281</v>
      </c>
      <c r="CP2070" s="1" t="s">
        <v>219</v>
      </c>
      <c r="CQ2070" s="1" t="s">
        <v>438</v>
      </c>
      <c r="CR2070" s="1" t="s">
        <v>343</v>
      </c>
      <c r="CS2070" s="1" t="s">
        <v>1133</v>
      </c>
      <c r="CT2070" s="1" t="s">
        <v>277</v>
      </c>
      <c r="CU2070" s="1" t="s">
        <v>220</v>
      </c>
      <c r="CV2070" s="1" t="s">
        <v>343</v>
      </c>
      <c r="CX2070" s="1" t="s">
        <v>224</v>
      </c>
      <c r="DB2070" s="1" t="s">
        <v>224</v>
      </c>
      <c r="DE2070" s="1" t="s">
        <v>1133</v>
      </c>
      <c r="DF2070" s="1" t="s">
        <v>219</v>
      </c>
      <c r="DG2070" s="1" t="s">
        <v>226</v>
      </c>
      <c r="DH2070" s="1" t="s">
        <v>210</v>
      </c>
      <c r="DJ2070" s="1" t="s">
        <v>224</v>
      </c>
      <c r="DS2070" s="1" t="s">
        <v>230</v>
      </c>
      <c r="DW2070" s="1" t="s">
        <v>230</v>
      </c>
      <c r="EA2070" s="1" t="s">
        <v>230</v>
      </c>
      <c r="EE2070" s="1" t="s">
        <v>230</v>
      </c>
      <c r="EI2070" s="1" t="s">
        <v>230</v>
      </c>
      <c r="EL2070" s="1" t="s">
        <v>231</v>
      </c>
      <c r="EM2070" s="1" t="s">
        <v>232</v>
      </c>
      <c r="EN2070" s="1" t="s">
        <v>282</v>
      </c>
      <c r="EO2070" s="1" t="s">
        <v>234</v>
      </c>
      <c r="EP2070" s="1" t="s">
        <v>7543</v>
      </c>
      <c r="EQ2070" s="1" t="s">
        <v>1738</v>
      </c>
      <c r="ER2070" s="1" t="s">
        <v>210</v>
      </c>
      <c r="EV2070" s="1" t="s">
        <v>240</v>
      </c>
      <c r="EW2070" s="1" t="s">
        <v>18714</v>
      </c>
      <c r="EY2070" s="1" t="s">
        <v>242</v>
      </c>
      <c r="EZ2070" s="1" t="s">
        <v>287</v>
      </c>
      <c r="FD2070" s="1" t="s">
        <v>246</v>
      </c>
      <c r="FE2070" s="1" t="s">
        <v>472</v>
      </c>
      <c r="FF2070" s="1" t="s">
        <v>248</v>
      </c>
      <c r="FH2070" s="1" t="s">
        <v>249</v>
      </c>
      <c r="FL2070" s="1" t="s">
        <v>358</v>
      </c>
      <c r="FM2070" s="1" t="s">
        <v>252</v>
      </c>
      <c r="FN2070" s="1" t="s">
        <v>213</v>
      </c>
      <c r="FO2070" s="1" t="s">
        <v>213</v>
      </c>
      <c r="FQ2070" s="1" t="s">
        <v>18715</v>
      </c>
      <c r="FR2070" s="1" t="s">
        <v>210</v>
      </c>
      <c r="FS2070" s="1" t="s">
        <v>18716</v>
      </c>
      <c r="FT2070" s="1" t="s">
        <v>295</v>
      </c>
      <c r="FU2070" s="1" t="s">
        <v>204</v>
      </c>
      <c r="FW2070" s="1" t="s">
        <v>915</v>
      </c>
      <c r="FX2070" s="1">
        <v>25200</v>
      </c>
      <c r="FY2070" s="1" t="s">
        <v>6011</v>
      </c>
      <c r="FZ2070" s="1" t="s">
        <v>18717</v>
      </c>
      <c r="GA2070" s="1">
        <v>218324</v>
      </c>
      <c r="GB2070" s="1" t="s">
        <v>18718</v>
      </c>
      <c r="GE2070" s="1" t="s">
        <v>335</v>
      </c>
      <c r="GI2070" s="1" t="s">
        <v>213</v>
      </c>
      <c r="GJ2070" s="1" t="s">
        <v>260</v>
      </c>
      <c r="GK2070" s="1" t="s">
        <v>210</v>
      </c>
      <c r="GL2070" s="2">
        <v>42013</v>
      </c>
      <c r="GM2070" s="1" t="s">
        <v>18719</v>
      </c>
    </row>
    <row r="2071" spans="1:195">
      <c r="A2071" s="1">
        <v>100000</v>
      </c>
      <c r="B2071" s="1" t="s">
        <v>195</v>
      </c>
      <c r="C2071" s="1" t="str">
        <f>"08743768"</f>
        <v>08743768</v>
      </c>
      <c r="D2071" s="1" t="s">
        <v>196</v>
      </c>
      <c r="F2071" s="1" t="str">
        <f>"108"</f>
        <v>108</v>
      </c>
      <c r="G2071" s="2">
        <v>41914</v>
      </c>
      <c r="H2071" s="1">
        <v>109800</v>
      </c>
      <c r="I2071" s="1">
        <v>100000</v>
      </c>
      <c r="J2071" s="1">
        <v>100000</v>
      </c>
      <c r="K2071" s="2">
        <v>41914</v>
      </c>
      <c r="L2071" s="1">
        <v>111</v>
      </c>
      <c r="M2071" s="2">
        <v>42024</v>
      </c>
      <c r="N2071" s="1">
        <v>111</v>
      </c>
      <c r="O2071" s="2">
        <v>42024</v>
      </c>
      <c r="P2071" s="1">
        <v>24042</v>
      </c>
      <c r="Q2071" s="1" t="s">
        <v>423</v>
      </c>
      <c r="R2071" s="2">
        <v>42061</v>
      </c>
      <c r="S2071" s="1">
        <v>243661</v>
      </c>
      <c r="T2071" s="1">
        <v>2000</v>
      </c>
      <c r="U2071" s="1">
        <v>314</v>
      </c>
      <c r="V2071" s="1" t="s">
        <v>18720</v>
      </c>
      <c r="W2071" s="1" t="s">
        <v>304</v>
      </c>
      <c r="X2071" s="1" t="s">
        <v>483</v>
      </c>
      <c r="Y2071" s="1">
        <v>4</v>
      </c>
      <c r="Z2071" s="1" t="s">
        <v>249</v>
      </c>
      <c r="AA2071" s="1" t="s">
        <v>829</v>
      </c>
      <c r="AB2071" s="1">
        <v>60108</v>
      </c>
      <c r="AD2071" s="1" t="s">
        <v>1001</v>
      </c>
      <c r="AE2071" s="1" t="s">
        <v>18721</v>
      </c>
      <c r="AF2071" s="1">
        <v>1973</v>
      </c>
      <c r="AG2071" s="1" t="s">
        <v>213</v>
      </c>
      <c r="AH2071" s="1" t="s">
        <v>269</v>
      </c>
      <c r="AI2071" s="1" t="s">
        <v>206</v>
      </c>
      <c r="AJ2071" s="1" t="s">
        <v>269</v>
      </c>
      <c r="AK2071" s="1" t="s">
        <v>483</v>
      </c>
      <c r="AL2071" s="1">
        <v>5</v>
      </c>
      <c r="AM2071" s="1">
        <v>2</v>
      </c>
      <c r="AN2071" s="1">
        <v>1</v>
      </c>
      <c r="AO2071" s="1">
        <v>0</v>
      </c>
      <c r="AP2071" s="1" t="s">
        <v>210</v>
      </c>
      <c r="AR2071" s="1" t="s">
        <v>210</v>
      </c>
      <c r="AS2071" s="1" t="s">
        <v>204</v>
      </c>
      <c r="AT2071" s="1" t="s">
        <v>211</v>
      </c>
      <c r="AU2071" s="1">
        <v>1</v>
      </c>
      <c r="AW2071" s="1" t="s">
        <v>204</v>
      </c>
      <c r="AX2071" s="1" t="s">
        <v>212</v>
      </c>
      <c r="AZ2071" s="1">
        <v>3517</v>
      </c>
      <c r="BA2071" s="1">
        <v>2013</v>
      </c>
      <c r="BB2071" s="1" t="s">
        <v>210</v>
      </c>
      <c r="BE2071" s="1">
        <v>1035</v>
      </c>
      <c r="BF2071" s="1">
        <v>2</v>
      </c>
      <c r="BG2071" s="1">
        <v>0</v>
      </c>
      <c r="BL2071" s="1">
        <v>171</v>
      </c>
      <c r="BM2071" s="1" t="s">
        <v>204</v>
      </c>
      <c r="BN2071" s="1" t="s">
        <v>213</v>
      </c>
      <c r="BO2071" s="1">
        <v>999</v>
      </c>
      <c r="BP2071" s="1" t="s">
        <v>204</v>
      </c>
      <c r="BR2071" s="1" t="str">
        <f>"0223122013"</f>
        <v>0223122013</v>
      </c>
      <c r="BT2071" s="1" t="s">
        <v>18722</v>
      </c>
      <c r="BU2071" s="1" t="s">
        <v>2014</v>
      </c>
      <c r="BV2071" s="1" t="s">
        <v>2015</v>
      </c>
      <c r="BW2071" s="1" t="s">
        <v>1935</v>
      </c>
      <c r="BX2071" s="1">
        <v>15</v>
      </c>
      <c r="BY2071" s="1">
        <v>15</v>
      </c>
      <c r="BZ2071" s="1">
        <v>87</v>
      </c>
      <c r="CB2071" s="1" t="str">
        <f t="shared" ref="CB2071:CC2071" si="1581">""</f>
        <v/>
      </c>
      <c r="CC2071" s="1" t="str">
        <f t="shared" si="1581"/>
        <v/>
      </c>
      <c r="CG2071" s="1" t="s">
        <v>2042</v>
      </c>
      <c r="CH2071" s="1" t="s">
        <v>277</v>
      </c>
      <c r="CI2071" s="1" t="s">
        <v>220</v>
      </c>
      <c r="CK2071" s="1" t="s">
        <v>972</v>
      </c>
      <c r="CL2071" s="1" t="s">
        <v>277</v>
      </c>
      <c r="CM2071" s="1" t="s">
        <v>220</v>
      </c>
      <c r="CO2071" s="1" t="s">
        <v>2547</v>
      </c>
      <c r="CP2071" s="1" t="s">
        <v>277</v>
      </c>
      <c r="CQ2071" s="1" t="s">
        <v>220</v>
      </c>
      <c r="CS2071" s="1" t="s">
        <v>1046</v>
      </c>
      <c r="CT2071" s="1" t="s">
        <v>277</v>
      </c>
      <c r="CU2071" s="1" t="s">
        <v>220</v>
      </c>
      <c r="CX2071" s="1" t="s">
        <v>224</v>
      </c>
      <c r="DB2071" s="1" t="s">
        <v>224</v>
      </c>
      <c r="DE2071" s="1" t="s">
        <v>516</v>
      </c>
      <c r="DF2071" s="1" t="s">
        <v>277</v>
      </c>
      <c r="DG2071" s="1" t="s">
        <v>342</v>
      </c>
      <c r="DJ2071" s="1" t="s">
        <v>224</v>
      </c>
      <c r="DS2071" s="1" t="s">
        <v>230</v>
      </c>
      <c r="DW2071" s="1" t="s">
        <v>230</v>
      </c>
      <c r="EA2071" s="1" t="s">
        <v>230</v>
      </c>
      <c r="EE2071" s="1" t="s">
        <v>230</v>
      </c>
      <c r="EI2071" s="1" t="s">
        <v>230</v>
      </c>
      <c r="EL2071" s="1" t="s">
        <v>605</v>
      </c>
      <c r="EM2071" s="1" t="s">
        <v>232</v>
      </c>
      <c r="EN2071" s="1" t="s">
        <v>282</v>
      </c>
      <c r="EO2071" s="1" t="s">
        <v>234</v>
      </c>
      <c r="EQ2071" s="1" t="s">
        <v>1094</v>
      </c>
      <c r="ER2071" s="1" t="s">
        <v>210</v>
      </c>
      <c r="ES2071" s="1" t="s">
        <v>545</v>
      </c>
      <c r="EW2071" s="1" t="s">
        <v>887</v>
      </c>
      <c r="EZ2071" s="1" t="s">
        <v>287</v>
      </c>
      <c r="FA2071" s="1" t="s">
        <v>471</v>
      </c>
      <c r="FB2071" s="1" t="s">
        <v>289</v>
      </c>
      <c r="FD2071" s="1" t="s">
        <v>246</v>
      </c>
      <c r="FE2071" s="1" t="s">
        <v>472</v>
      </c>
      <c r="FF2071" s="1" t="s">
        <v>248</v>
      </c>
      <c r="FH2071" s="1" t="s">
        <v>13208</v>
      </c>
      <c r="FI2071" s="1" t="s">
        <v>473</v>
      </c>
      <c r="FJ2071" s="1" t="s">
        <v>1251</v>
      </c>
      <c r="FL2071" s="1" t="s">
        <v>358</v>
      </c>
      <c r="FM2071" s="1" t="s">
        <v>252</v>
      </c>
      <c r="FN2071" s="1" t="s">
        <v>213</v>
      </c>
      <c r="FO2071" s="1" t="s">
        <v>213</v>
      </c>
      <c r="FQ2071" s="1" t="s">
        <v>1032</v>
      </c>
      <c r="FR2071" s="1" t="s">
        <v>210</v>
      </c>
      <c r="FS2071" s="1" t="s">
        <v>1429</v>
      </c>
      <c r="FT2071" s="1" t="s">
        <v>295</v>
      </c>
      <c r="FU2071" s="1" t="s">
        <v>204</v>
      </c>
      <c r="FW2071" s="1" t="s">
        <v>4125</v>
      </c>
      <c r="FX2071" s="1">
        <v>8073</v>
      </c>
      <c r="FY2071" s="1" t="s">
        <v>4126</v>
      </c>
      <c r="FZ2071" s="1" t="s">
        <v>18723</v>
      </c>
      <c r="GA2071" s="1">
        <v>86189</v>
      </c>
      <c r="GB2071" s="1" t="s">
        <v>4126</v>
      </c>
      <c r="GD2071" s="1" t="s">
        <v>18724</v>
      </c>
      <c r="GE2071" s="1" t="s">
        <v>480</v>
      </c>
      <c r="GI2071" s="1" t="s">
        <v>213</v>
      </c>
      <c r="GJ2071" s="1" t="s">
        <v>260</v>
      </c>
      <c r="GK2071" s="1" t="s">
        <v>210</v>
      </c>
      <c r="GL2071" s="2">
        <v>42061</v>
      </c>
      <c r="GM2071" s="1" t="s">
        <v>18725</v>
      </c>
    </row>
    <row r="2072" spans="1:195">
      <c r="A2072" s="1">
        <v>198450</v>
      </c>
      <c r="B2072" s="1" t="s">
        <v>195</v>
      </c>
      <c r="C2072" s="1" t="str">
        <f>"08748705"</f>
        <v>08748705</v>
      </c>
      <c r="D2072" s="1" t="s">
        <v>196</v>
      </c>
      <c r="F2072" s="1" t="str">
        <f>"178"</f>
        <v>178</v>
      </c>
      <c r="G2072" s="2">
        <v>41920</v>
      </c>
      <c r="H2072" s="1">
        <v>219000</v>
      </c>
      <c r="I2072" s="1">
        <v>204900</v>
      </c>
      <c r="J2072" s="1">
        <v>198450</v>
      </c>
      <c r="K2072" s="2">
        <v>41920</v>
      </c>
      <c r="L2072" s="1">
        <v>110</v>
      </c>
      <c r="M2072" s="2">
        <v>42029</v>
      </c>
      <c r="N2072" s="1">
        <v>110</v>
      </c>
      <c r="O2072" s="2">
        <v>42029</v>
      </c>
      <c r="P2072" s="1">
        <v>49</v>
      </c>
      <c r="Q2072" s="1" t="s">
        <v>197</v>
      </c>
      <c r="R2072" s="2">
        <v>42066</v>
      </c>
      <c r="S2072" s="1">
        <v>7198</v>
      </c>
      <c r="U2072" s="1">
        <v>1137</v>
      </c>
      <c r="V2072" s="1" t="s">
        <v>18726</v>
      </c>
      <c r="W2072" s="1" t="s">
        <v>304</v>
      </c>
      <c r="Y2072" s="1">
        <v>3</v>
      </c>
      <c r="Z2072" s="1" t="s">
        <v>200</v>
      </c>
      <c r="AA2072" s="1" t="s">
        <v>3334</v>
      </c>
      <c r="AB2072" s="1">
        <v>60178</v>
      </c>
      <c r="AE2072" s="1" t="s">
        <v>18727</v>
      </c>
      <c r="AF2072" s="1">
        <v>2005</v>
      </c>
      <c r="AG2072" s="1" t="s">
        <v>204</v>
      </c>
      <c r="AH2072" s="1" t="s">
        <v>3336</v>
      </c>
      <c r="AI2072" s="1" t="s">
        <v>2246</v>
      </c>
      <c r="AJ2072" s="1" t="s">
        <v>3337</v>
      </c>
      <c r="AL2072" s="1">
        <v>5</v>
      </c>
      <c r="AM2072" s="1">
        <v>2</v>
      </c>
      <c r="AN2072" s="1">
        <v>2</v>
      </c>
      <c r="AO2072" s="1">
        <v>0</v>
      </c>
      <c r="AP2072" s="1" t="s">
        <v>209</v>
      </c>
      <c r="AQ2072" s="1">
        <v>1</v>
      </c>
      <c r="AR2072" s="1" t="s">
        <v>209</v>
      </c>
      <c r="AS2072" s="1" t="s">
        <v>204</v>
      </c>
      <c r="AT2072" s="1" t="s">
        <v>211</v>
      </c>
      <c r="AU2072" s="1">
        <v>2</v>
      </c>
      <c r="AW2072" s="1" t="s">
        <v>204</v>
      </c>
      <c r="AX2072" s="1" t="s">
        <v>18728</v>
      </c>
      <c r="AZ2072" s="1">
        <v>5633</v>
      </c>
      <c r="BA2072" s="1">
        <v>2013</v>
      </c>
      <c r="BB2072" s="1" t="s">
        <v>599</v>
      </c>
      <c r="BE2072" s="1">
        <v>1840</v>
      </c>
      <c r="BF2072" s="1">
        <v>1</v>
      </c>
      <c r="BG2072" s="1">
        <v>0</v>
      </c>
      <c r="BL2072" s="1">
        <v>100</v>
      </c>
      <c r="BM2072" s="1" t="s">
        <v>204</v>
      </c>
      <c r="BN2072" s="1" t="s">
        <v>213</v>
      </c>
      <c r="BO2072" s="1">
        <v>999</v>
      </c>
      <c r="BP2072" s="1" t="s">
        <v>204</v>
      </c>
      <c r="BR2072" s="1" t="str">
        <f>"0906402067"</f>
        <v>0906402067</v>
      </c>
      <c r="BT2072" s="1" t="s">
        <v>18729</v>
      </c>
      <c r="BX2072" s="1">
        <v>427</v>
      </c>
      <c r="BY2072" s="1">
        <v>427</v>
      </c>
      <c r="BZ2072" s="1">
        <v>427</v>
      </c>
      <c r="CB2072" s="1" t="str">
        <f t="shared" ref="CB2072:CC2072" si="1582">""</f>
        <v/>
      </c>
      <c r="CC2072" s="1" t="str">
        <f t="shared" si="1582"/>
        <v/>
      </c>
      <c r="CG2072" s="1" t="s">
        <v>18730</v>
      </c>
      <c r="CH2072" s="1" t="s">
        <v>219</v>
      </c>
      <c r="CI2072" s="1" t="s">
        <v>220</v>
      </c>
      <c r="CJ2072" s="1" t="s">
        <v>210</v>
      </c>
      <c r="CK2072" s="1" t="s">
        <v>1853</v>
      </c>
      <c r="CL2072" s="1" t="s">
        <v>219</v>
      </c>
      <c r="CM2072" s="1" t="s">
        <v>220</v>
      </c>
      <c r="CN2072" s="1" t="s">
        <v>210</v>
      </c>
      <c r="CP2072" s="1" t="s">
        <v>224</v>
      </c>
      <c r="CS2072" s="1" t="s">
        <v>2122</v>
      </c>
      <c r="CT2072" s="1" t="s">
        <v>219</v>
      </c>
      <c r="CU2072" s="1" t="s">
        <v>220</v>
      </c>
      <c r="CV2072" s="1" t="s">
        <v>210</v>
      </c>
      <c r="CX2072" s="1" t="s">
        <v>224</v>
      </c>
      <c r="DB2072" s="1" t="s">
        <v>224</v>
      </c>
      <c r="DE2072" s="1" t="s">
        <v>3316</v>
      </c>
      <c r="DF2072" s="1" t="s">
        <v>219</v>
      </c>
      <c r="DG2072" s="1" t="s">
        <v>438</v>
      </c>
      <c r="DH2072" s="1" t="s">
        <v>210</v>
      </c>
      <c r="DJ2072" s="1" t="s">
        <v>224</v>
      </c>
      <c r="DM2072" s="1" t="s">
        <v>1789</v>
      </c>
      <c r="DR2072" s="1" t="s">
        <v>1106</v>
      </c>
      <c r="DS2072" s="1" t="s">
        <v>219</v>
      </c>
      <c r="DT2072" s="1" t="s">
        <v>220</v>
      </c>
      <c r="DW2072" s="1" t="s">
        <v>230</v>
      </c>
      <c r="EA2072" s="1" t="s">
        <v>230</v>
      </c>
      <c r="EE2072" s="1" t="s">
        <v>230</v>
      </c>
      <c r="EI2072" s="1" t="s">
        <v>230</v>
      </c>
      <c r="EL2072" s="1" t="s">
        <v>491</v>
      </c>
      <c r="EM2072" s="1" t="s">
        <v>319</v>
      </c>
      <c r="EN2072" s="1" t="s">
        <v>282</v>
      </c>
      <c r="EO2072" s="1" t="s">
        <v>234</v>
      </c>
      <c r="EQ2072" s="1" t="s">
        <v>236</v>
      </c>
      <c r="ER2072" s="1" t="s">
        <v>1249</v>
      </c>
      <c r="ES2072" s="1" t="s">
        <v>322</v>
      </c>
      <c r="EU2072" s="1" t="s">
        <v>239</v>
      </c>
      <c r="EW2072" s="1" t="s">
        <v>547</v>
      </c>
      <c r="EZ2072" s="1" t="s">
        <v>1789</v>
      </c>
      <c r="FD2072" s="1" t="s">
        <v>246</v>
      </c>
      <c r="FE2072" s="1" t="s">
        <v>3957</v>
      </c>
      <c r="FF2072" s="1" t="s">
        <v>2998</v>
      </c>
      <c r="FG2072" s="1" t="s">
        <v>912</v>
      </c>
      <c r="FH2072" s="1" t="s">
        <v>825</v>
      </c>
      <c r="FL2072" s="1" t="s">
        <v>358</v>
      </c>
      <c r="FM2072" s="1" t="s">
        <v>252</v>
      </c>
      <c r="FN2072" s="1" t="s">
        <v>213</v>
      </c>
      <c r="FO2072" s="1" t="s">
        <v>213</v>
      </c>
      <c r="FQ2072" s="1" t="s">
        <v>18731</v>
      </c>
      <c r="FR2072" s="1" t="s">
        <v>210</v>
      </c>
      <c r="FS2072" s="1" t="s">
        <v>18732</v>
      </c>
      <c r="FT2072" s="1" t="s">
        <v>295</v>
      </c>
      <c r="FU2072" s="1" t="s">
        <v>204</v>
      </c>
      <c r="FW2072" s="1" t="s">
        <v>18733</v>
      </c>
      <c r="FX2072" s="1">
        <v>93052</v>
      </c>
      <c r="FY2072" s="1" t="s">
        <v>18734</v>
      </c>
      <c r="FZ2072" s="1" t="s">
        <v>18735</v>
      </c>
      <c r="GA2072" s="1">
        <v>930157</v>
      </c>
      <c r="GB2072" s="1" t="s">
        <v>18736</v>
      </c>
      <c r="GE2072" s="1" t="s">
        <v>480</v>
      </c>
      <c r="GI2072" s="1" t="s">
        <v>204</v>
      </c>
      <c r="GJ2072" s="1" t="s">
        <v>260</v>
      </c>
      <c r="GK2072" s="1" t="s">
        <v>210</v>
      </c>
      <c r="GL2072" s="2">
        <v>42067</v>
      </c>
      <c r="GM2072" s="1" t="s">
        <v>18737</v>
      </c>
    </row>
    <row r="2073" spans="1:195">
      <c r="A2073" s="1">
        <v>125000</v>
      </c>
      <c r="B2073" s="1" t="s">
        <v>195</v>
      </c>
      <c r="C2073" s="1" t="str">
        <f>"08745016"</f>
        <v>08745016</v>
      </c>
      <c r="D2073" s="1" t="s">
        <v>196</v>
      </c>
      <c r="F2073" s="1" t="str">
        <f>"480"</f>
        <v>480</v>
      </c>
      <c r="G2073" s="2">
        <v>41916</v>
      </c>
      <c r="H2073" s="1">
        <v>135000</v>
      </c>
      <c r="I2073" s="1">
        <v>135000</v>
      </c>
      <c r="J2073" s="1">
        <v>125000</v>
      </c>
      <c r="K2073" s="2">
        <v>41916</v>
      </c>
      <c r="L2073" s="1">
        <v>160</v>
      </c>
      <c r="M2073" s="2">
        <v>41944</v>
      </c>
      <c r="N2073" s="1">
        <v>29</v>
      </c>
      <c r="O2073" s="2">
        <v>41944</v>
      </c>
      <c r="P2073" s="1">
        <v>60913</v>
      </c>
      <c r="Q2073" s="1" t="s">
        <v>197</v>
      </c>
      <c r="R2073" s="2">
        <v>41985</v>
      </c>
      <c r="S2073" s="1">
        <v>238994</v>
      </c>
      <c r="U2073" s="1">
        <v>400</v>
      </c>
      <c r="V2073" s="1" t="s">
        <v>4022</v>
      </c>
      <c r="W2073" s="1" t="s">
        <v>449</v>
      </c>
      <c r="X2073" s="1">
        <v>216</v>
      </c>
      <c r="Y2073" s="1">
        <v>52</v>
      </c>
      <c r="Z2073" s="1" t="s">
        <v>249</v>
      </c>
      <c r="AA2073" s="1" t="s">
        <v>3145</v>
      </c>
      <c r="AB2073" s="1">
        <v>60480</v>
      </c>
      <c r="AE2073" s="1" t="s">
        <v>18738</v>
      </c>
      <c r="AF2073" s="1" t="s">
        <v>402</v>
      </c>
      <c r="AG2073" s="1" t="s">
        <v>204</v>
      </c>
      <c r="AH2073" s="1" t="s">
        <v>3147</v>
      </c>
      <c r="AI2073" s="1" t="s">
        <v>310</v>
      </c>
      <c r="AJ2073" s="1" t="s">
        <v>702</v>
      </c>
      <c r="AL2073" s="1">
        <v>5</v>
      </c>
      <c r="AM2073" s="1">
        <v>2</v>
      </c>
      <c r="AN2073" s="1">
        <v>2</v>
      </c>
      <c r="AO2073" s="1">
        <v>0</v>
      </c>
      <c r="AP2073" s="1" t="s">
        <v>209</v>
      </c>
      <c r="AR2073" s="1" t="s">
        <v>210</v>
      </c>
      <c r="AT2073" s="1" t="s">
        <v>211</v>
      </c>
      <c r="AU2073" s="1">
        <v>1</v>
      </c>
      <c r="AW2073" s="1" t="s">
        <v>204</v>
      </c>
      <c r="AX2073" s="1" t="s">
        <v>212</v>
      </c>
      <c r="AZ2073" s="3">
        <v>2777</v>
      </c>
      <c r="BA2073" s="1">
        <v>2012</v>
      </c>
      <c r="BE2073" s="1">
        <v>0</v>
      </c>
      <c r="BF2073" s="1">
        <v>2</v>
      </c>
      <c r="BG2073" s="1">
        <v>15</v>
      </c>
      <c r="BL2073" s="1">
        <v>320</v>
      </c>
      <c r="BM2073" s="1" t="s">
        <v>213</v>
      </c>
      <c r="BN2073" s="1" t="s">
        <v>213</v>
      </c>
      <c r="BO2073" s="1">
        <v>99</v>
      </c>
      <c r="BP2073" s="1" t="s">
        <v>204</v>
      </c>
      <c r="BR2073" s="1" t="str">
        <f>"18333300031026"</f>
        <v>18333300031026</v>
      </c>
      <c r="BT2073" s="1" t="s">
        <v>18739</v>
      </c>
      <c r="BX2073" s="1">
        <v>108</v>
      </c>
      <c r="BY2073" s="1">
        <v>108</v>
      </c>
      <c r="BZ2073" s="1">
        <v>127</v>
      </c>
      <c r="CB2073" s="1" t="str">
        <f t="shared" ref="CB2073:CC2073" si="1583">""</f>
        <v/>
      </c>
      <c r="CC2073" s="1" t="str">
        <f t="shared" si="1583"/>
        <v/>
      </c>
      <c r="CG2073" s="1" t="s">
        <v>278</v>
      </c>
      <c r="CH2073" s="1" t="s">
        <v>219</v>
      </c>
      <c r="CI2073" s="1" t="s">
        <v>220</v>
      </c>
      <c r="CK2073" s="1" t="s">
        <v>757</v>
      </c>
      <c r="CL2073" s="1" t="s">
        <v>219</v>
      </c>
      <c r="CM2073" s="1" t="s">
        <v>220</v>
      </c>
      <c r="CO2073" s="1" t="s">
        <v>629</v>
      </c>
      <c r="CP2073" s="1" t="s">
        <v>219</v>
      </c>
      <c r="CS2073" s="1" t="s">
        <v>318</v>
      </c>
      <c r="CT2073" s="1" t="s">
        <v>219</v>
      </c>
      <c r="CX2073" s="1" t="s">
        <v>224</v>
      </c>
      <c r="DB2073" s="1" t="s">
        <v>224</v>
      </c>
      <c r="DE2073" s="1" t="s">
        <v>380</v>
      </c>
      <c r="DF2073" s="1" t="s">
        <v>219</v>
      </c>
      <c r="DG2073" s="1" t="s">
        <v>438</v>
      </c>
      <c r="DJ2073" s="1" t="s">
        <v>224</v>
      </c>
      <c r="DS2073" s="1" t="s">
        <v>230</v>
      </c>
      <c r="DW2073" s="1" t="s">
        <v>230</v>
      </c>
      <c r="EA2073" s="1" t="s">
        <v>230</v>
      </c>
      <c r="EE2073" s="1" t="s">
        <v>230</v>
      </c>
      <c r="EI2073" s="1" t="s">
        <v>230</v>
      </c>
      <c r="EL2073" s="1" t="s">
        <v>466</v>
      </c>
      <c r="EM2073" s="1" t="s">
        <v>232</v>
      </c>
      <c r="EN2073" s="1" t="s">
        <v>282</v>
      </c>
      <c r="EO2073" s="1" t="s">
        <v>234</v>
      </c>
      <c r="EQ2073" s="1" t="s">
        <v>492</v>
      </c>
      <c r="ER2073" s="1" t="s">
        <v>210</v>
      </c>
      <c r="EW2073" s="1" t="s">
        <v>10802</v>
      </c>
      <c r="EZ2073" s="1" t="s">
        <v>287</v>
      </c>
      <c r="FD2073" s="1" t="s">
        <v>290</v>
      </c>
      <c r="FE2073" s="1" t="s">
        <v>247</v>
      </c>
      <c r="FF2073" s="1" t="s">
        <v>248</v>
      </c>
      <c r="FH2073" s="1" t="s">
        <v>249</v>
      </c>
      <c r="FI2073" s="1" t="s">
        <v>848</v>
      </c>
      <c r="FL2073" s="1" t="s">
        <v>358</v>
      </c>
      <c r="FM2073" s="1" t="s">
        <v>252</v>
      </c>
      <c r="FN2073" s="1" t="s">
        <v>213</v>
      </c>
      <c r="FO2073" s="1" t="s">
        <v>213</v>
      </c>
      <c r="FQ2073" s="1" t="s">
        <v>18740</v>
      </c>
      <c r="FR2073" s="1" t="s">
        <v>210</v>
      </c>
      <c r="FS2073" s="1" t="s">
        <v>18741</v>
      </c>
      <c r="FT2073" s="1" t="s">
        <v>362</v>
      </c>
      <c r="FU2073" s="1" t="s">
        <v>204</v>
      </c>
      <c r="FW2073" s="1" t="s">
        <v>18742</v>
      </c>
      <c r="FX2073" s="1">
        <v>85316</v>
      </c>
      <c r="FY2073" s="1" t="s">
        <v>18743</v>
      </c>
      <c r="FZ2073" s="1" t="s">
        <v>18744</v>
      </c>
      <c r="GA2073" s="1">
        <v>187320</v>
      </c>
      <c r="GB2073" s="1" t="s">
        <v>18743</v>
      </c>
      <c r="GE2073" s="1" t="s">
        <v>210</v>
      </c>
      <c r="GI2073" s="1" t="s">
        <v>204</v>
      </c>
      <c r="GJ2073" s="1" t="s">
        <v>260</v>
      </c>
      <c r="GK2073" s="1" t="s">
        <v>210</v>
      </c>
      <c r="GL2073" s="2">
        <v>41986</v>
      </c>
      <c r="GM2073" s="1" t="s">
        <v>18745</v>
      </c>
    </row>
    <row r="2074" spans="1:195">
      <c r="A2074" s="1">
        <v>140000</v>
      </c>
      <c r="B2074" s="1" t="s">
        <v>195</v>
      </c>
      <c r="C2074" s="1" t="str">
        <f>"08748747"</f>
        <v>08748747</v>
      </c>
      <c r="D2074" s="1" t="s">
        <v>196</v>
      </c>
      <c r="F2074" s="1" t="str">
        <f>"30"</f>
        <v>30</v>
      </c>
      <c r="G2074" s="2">
        <v>41920</v>
      </c>
      <c r="H2074" s="1">
        <v>154500</v>
      </c>
      <c r="I2074" s="1">
        <v>149500</v>
      </c>
      <c r="J2074" s="1">
        <v>140000</v>
      </c>
      <c r="K2074" s="2">
        <v>41920</v>
      </c>
      <c r="L2074" s="1">
        <v>39</v>
      </c>
      <c r="M2074" s="2">
        <v>41958</v>
      </c>
      <c r="N2074" s="1">
        <v>39</v>
      </c>
      <c r="O2074" s="2">
        <v>41958</v>
      </c>
      <c r="P2074" s="1">
        <v>2123</v>
      </c>
      <c r="Q2074" s="1" t="s">
        <v>197</v>
      </c>
      <c r="R2074" s="2">
        <v>42006</v>
      </c>
      <c r="S2074" s="1">
        <v>240491</v>
      </c>
      <c r="T2074" s="1">
        <v>3000</v>
      </c>
      <c r="U2074" s="1">
        <v>971</v>
      </c>
      <c r="V2074" s="1" t="s">
        <v>16853</v>
      </c>
      <c r="W2074" s="1" t="s">
        <v>264</v>
      </c>
      <c r="Y2074" s="1">
        <v>5</v>
      </c>
      <c r="Z2074" s="1" t="s">
        <v>370</v>
      </c>
      <c r="AA2074" s="1" t="s">
        <v>1834</v>
      </c>
      <c r="AB2074" s="1">
        <v>60030</v>
      </c>
      <c r="AD2074" s="1" t="s">
        <v>14222</v>
      </c>
      <c r="AE2074" s="1" t="s">
        <v>18746</v>
      </c>
      <c r="AF2074" s="1">
        <v>2002</v>
      </c>
      <c r="AG2074" s="1" t="s">
        <v>204</v>
      </c>
      <c r="AH2074" s="1" t="s">
        <v>1837</v>
      </c>
      <c r="AI2074" s="1" t="s">
        <v>509</v>
      </c>
      <c r="AJ2074" s="1" t="s">
        <v>1263</v>
      </c>
      <c r="AL2074" s="1">
        <v>7</v>
      </c>
      <c r="AM2074" s="1">
        <v>2</v>
      </c>
      <c r="AN2074" s="1">
        <v>2</v>
      </c>
      <c r="AO2074" s="1">
        <v>1</v>
      </c>
      <c r="AP2074" s="1" t="s">
        <v>209</v>
      </c>
      <c r="AR2074" s="1" t="s">
        <v>1483</v>
      </c>
      <c r="AS2074" s="1" t="s">
        <v>204</v>
      </c>
      <c r="AT2074" s="1" t="s">
        <v>211</v>
      </c>
      <c r="AU2074" s="1">
        <v>2</v>
      </c>
      <c r="AW2074" s="1" t="s">
        <v>204</v>
      </c>
      <c r="AX2074" s="1" t="s">
        <v>1018</v>
      </c>
      <c r="AZ2074" s="1">
        <v>5525</v>
      </c>
      <c r="BA2074" s="1">
        <v>2013</v>
      </c>
      <c r="BB2074" s="1" t="s">
        <v>405</v>
      </c>
      <c r="BE2074" s="1">
        <v>1600</v>
      </c>
      <c r="BF2074" s="1">
        <v>1</v>
      </c>
      <c r="BG2074" s="1">
        <v>0</v>
      </c>
      <c r="BL2074" s="1">
        <v>189</v>
      </c>
      <c r="BM2074" s="1" t="s">
        <v>204</v>
      </c>
      <c r="BN2074" s="1" t="s">
        <v>213</v>
      </c>
      <c r="BO2074" s="1">
        <v>999</v>
      </c>
      <c r="BP2074" s="1" t="s">
        <v>204</v>
      </c>
      <c r="BR2074" s="1" t="str">
        <f>"06234050920000"</f>
        <v>06234050920000</v>
      </c>
      <c r="BT2074" s="1" t="s">
        <v>18747</v>
      </c>
      <c r="BU2074" s="1" t="s">
        <v>14227</v>
      </c>
      <c r="BV2074" s="1" t="s">
        <v>1842</v>
      </c>
      <c r="BW2074" s="1" t="s">
        <v>2737</v>
      </c>
      <c r="BX2074" s="1">
        <v>46</v>
      </c>
      <c r="BY2074" s="1">
        <v>46</v>
      </c>
      <c r="BZ2074" s="1">
        <v>127</v>
      </c>
      <c r="CB2074" s="1" t="str">
        <f t="shared" ref="CB2074:CC2074" si="1584">""</f>
        <v/>
      </c>
      <c r="CC2074" s="1" t="str">
        <f t="shared" si="1584"/>
        <v/>
      </c>
      <c r="CG2074" s="1" t="s">
        <v>757</v>
      </c>
      <c r="CH2074" s="1" t="s">
        <v>219</v>
      </c>
      <c r="CI2074" s="1" t="s">
        <v>220</v>
      </c>
      <c r="CJ2074" s="1" t="s">
        <v>252</v>
      </c>
      <c r="CK2074" s="1" t="s">
        <v>932</v>
      </c>
      <c r="CL2074" s="1" t="s">
        <v>277</v>
      </c>
      <c r="CM2074" s="1" t="s">
        <v>220</v>
      </c>
      <c r="CN2074" s="1" t="s">
        <v>252</v>
      </c>
      <c r="CO2074" s="1" t="s">
        <v>2138</v>
      </c>
      <c r="CP2074" s="1" t="s">
        <v>219</v>
      </c>
      <c r="CQ2074" s="1" t="s">
        <v>220</v>
      </c>
      <c r="CR2074" s="1" t="s">
        <v>252</v>
      </c>
      <c r="CS2074" s="1" t="s">
        <v>378</v>
      </c>
      <c r="CT2074" s="1" t="s">
        <v>277</v>
      </c>
      <c r="CU2074" s="1" t="s">
        <v>220</v>
      </c>
      <c r="CV2074" s="1" t="s">
        <v>252</v>
      </c>
      <c r="CX2074" s="1" t="s">
        <v>224</v>
      </c>
      <c r="DB2074" s="1" t="s">
        <v>224</v>
      </c>
      <c r="DE2074" s="1" t="s">
        <v>2138</v>
      </c>
      <c r="DF2074" s="1" t="s">
        <v>219</v>
      </c>
      <c r="DG2074" s="1" t="s">
        <v>342</v>
      </c>
      <c r="DH2074" s="1" t="s">
        <v>252</v>
      </c>
      <c r="DI2074" s="1" t="s">
        <v>461</v>
      </c>
      <c r="DJ2074" s="1" t="s">
        <v>822</v>
      </c>
      <c r="DK2074" s="1" t="s">
        <v>220</v>
      </c>
      <c r="DL2074" s="1" t="s">
        <v>252</v>
      </c>
      <c r="DM2074" s="1" t="s">
        <v>381</v>
      </c>
      <c r="DR2074" s="1" t="s">
        <v>316</v>
      </c>
      <c r="DS2074" s="1" t="s">
        <v>219</v>
      </c>
      <c r="DT2074" s="1" t="s">
        <v>342</v>
      </c>
      <c r="DU2074" s="1" t="s">
        <v>252</v>
      </c>
      <c r="DW2074" s="1" t="s">
        <v>230</v>
      </c>
      <c r="EA2074" s="1" t="s">
        <v>230</v>
      </c>
      <c r="EE2074" s="1" t="s">
        <v>230</v>
      </c>
      <c r="EI2074" s="1" t="s">
        <v>230</v>
      </c>
      <c r="EL2074" s="1" t="s">
        <v>466</v>
      </c>
      <c r="EM2074" s="1" t="s">
        <v>319</v>
      </c>
      <c r="EN2074" s="1" t="s">
        <v>282</v>
      </c>
      <c r="EO2074" s="1" t="s">
        <v>234</v>
      </c>
      <c r="EQ2074" s="1" t="s">
        <v>236</v>
      </c>
      <c r="ER2074" s="1" t="s">
        <v>544</v>
      </c>
      <c r="ES2074" s="1" t="s">
        <v>865</v>
      </c>
      <c r="EV2074" s="1" t="s">
        <v>240</v>
      </c>
      <c r="EW2074" s="1" t="s">
        <v>5806</v>
      </c>
      <c r="EY2074" s="1" t="s">
        <v>242</v>
      </c>
      <c r="EZ2074" s="1" t="s">
        <v>381</v>
      </c>
      <c r="FA2074" s="1" t="s">
        <v>3624</v>
      </c>
      <c r="FB2074" s="1" t="s">
        <v>289</v>
      </c>
      <c r="FD2074" s="1" t="s">
        <v>246</v>
      </c>
      <c r="FE2074" s="1" t="s">
        <v>975</v>
      </c>
      <c r="FF2074" s="1" t="s">
        <v>248</v>
      </c>
      <c r="FH2074" s="1" t="s">
        <v>1428</v>
      </c>
      <c r="FI2074" s="1" t="s">
        <v>473</v>
      </c>
      <c r="FL2074" s="1" t="s">
        <v>358</v>
      </c>
      <c r="FM2074" s="1" t="s">
        <v>252</v>
      </c>
      <c r="FN2074" s="1" t="s">
        <v>213</v>
      </c>
      <c r="FO2074" s="1" t="s">
        <v>213</v>
      </c>
      <c r="FQ2074" s="1" t="s">
        <v>14229</v>
      </c>
      <c r="FR2074" s="1" t="s">
        <v>210</v>
      </c>
      <c r="FS2074" s="1" t="s">
        <v>443</v>
      </c>
      <c r="FT2074" s="1" t="s">
        <v>1139</v>
      </c>
      <c r="FU2074" s="1" t="s">
        <v>204</v>
      </c>
      <c r="FW2074" s="1" t="s">
        <v>1275</v>
      </c>
      <c r="FX2074" s="1">
        <v>2700</v>
      </c>
      <c r="FY2074" s="1" t="s">
        <v>1276</v>
      </c>
      <c r="FZ2074" s="1" t="s">
        <v>14230</v>
      </c>
      <c r="GA2074" s="1">
        <v>19245</v>
      </c>
      <c r="GB2074" s="1" t="s">
        <v>14231</v>
      </c>
      <c r="GE2074" s="1" t="s">
        <v>1256</v>
      </c>
      <c r="GI2074" s="1" t="s">
        <v>213</v>
      </c>
      <c r="GJ2074" s="1" t="s">
        <v>260</v>
      </c>
      <c r="GK2074" s="1" t="s">
        <v>1413</v>
      </c>
      <c r="GL2074" s="2">
        <v>42006</v>
      </c>
    </row>
    <row r="2075" spans="1:195">
      <c r="A2075" s="1">
        <v>150000</v>
      </c>
      <c r="B2075" s="1" t="s">
        <v>195</v>
      </c>
      <c r="C2075" s="1" t="str">
        <f>"08749633"</f>
        <v>08749633</v>
      </c>
      <c r="D2075" s="1" t="s">
        <v>196</v>
      </c>
      <c r="F2075" s="1" t="str">
        <f>"562"</f>
        <v>562</v>
      </c>
      <c r="G2075" s="2">
        <v>41921</v>
      </c>
      <c r="H2075" s="1">
        <v>169000</v>
      </c>
      <c r="I2075" s="1">
        <v>169000</v>
      </c>
      <c r="J2075" s="1">
        <v>150000</v>
      </c>
      <c r="K2075" s="2">
        <v>41921</v>
      </c>
      <c r="L2075" s="1">
        <v>20</v>
      </c>
      <c r="M2075" s="2">
        <v>41940</v>
      </c>
      <c r="N2075" s="1">
        <v>20</v>
      </c>
      <c r="O2075" s="2">
        <v>41940</v>
      </c>
      <c r="P2075" s="1">
        <v>21419</v>
      </c>
      <c r="Q2075" s="1" t="s">
        <v>197</v>
      </c>
      <c r="R2075" s="2">
        <v>41999</v>
      </c>
      <c r="S2075" s="1">
        <v>220674</v>
      </c>
      <c r="U2075" s="1">
        <v>1558</v>
      </c>
      <c r="V2075" s="1" t="s">
        <v>3093</v>
      </c>
      <c r="W2075" s="1" t="s">
        <v>264</v>
      </c>
      <c r="X2075" s="1">
        <v>1558</v>
      </c>
      <c r="Y2075" s="1">
        <v>8</v>
      </c>
      <c r="Z2075" s="1" t="s">
        <v>249</v>
      </c>
      <c r="AA2075" s="1" t="s">
        <v>899</v>
      </c>
      <c r="AB2075" s="1">
        <v>60561</v>
      </c>
      <c r="AD2075" s="1" t="s">
        <v>3093</v>
      </c>
      <c r="AE2075" s="1" t="s">
        <v>18748</v>
      </c>
      <c r="AF2075" s="1">
        <v>1990</v>
      </c>
      <c r="AG2075" s="1" t="s">
        <v>204</v>
      </c>
      <c r="AH2075" s="1" t="s">
        <v>902</v>
      </c>
      <c r="AI2075" s="1" t="s">
        <v>206</v>
      </c>
      <c r="AJ2075" s="1" t="s">
        <v>903</v>
      </c>
      <c r="AK2075" s="1" t="s">
        <v>17653</v>
      </c>
      <c r="AL2075" s="1">
        <v>6</v>
      </c>
      <c r="AM2075" s="1">
        <v>2</v>
      </c>
      <c r="AN2075" s="1">
        <v>2</v>
      </c>
      <c r="AO2075" s="1">
        <v>1</v>
      </c>
      <c r="AP2075" s="1" t="s">
        <v>209</v>
      </c>
      <c r="AQ2075" s="1">
        <v>1</v>
      </c>
      <c r="AR2075" s="1" t="s">
        <v>210</v>
      </c>
      <c r="AS2075" s="1" t="s">
        <v>204</v>
      </c>
      <c r="AT2075" s="1" t="s">
        <v>211</v>
      </c>
      <c r="AU2075" s="1">
        <v>1</v>
      </c>
      <c r="AW2075" s="1" t="s">
        <v>204</v>
      </c>
      <c r="AX2075" s="1" t="s">
        <v>212</v>
      </c>
      <c r="AZ2075" s="1">
        <v>3364</v>
      </c>
      <c r="BA2075" s="1">
        <v>2013</v>
      </c>
      <c r="BC2075" s="1">
        <v>0</v>
      </c>
      <c r="BD2075" s="1">
        <v>2013</v>
      </c>
      <c r="BE2075" s="1">
        <v>0</v>
      </c>
      <c r="BF2075" s="1">
        <v>1</v>
      </c>
      <c r="BG2075" s="1">
        <v>0</v>
      </c>
      <c r="BL2075" s="1">
        <v>254</v>
      </c>
      <c r="BM2075" s="1" t="s">
        <v>204</v>
      </c>
      <c r="BN2075" s="1" t="s">
        <v>213</v>
      </c>
      <c r="BO2075" s="1">
        <v>0</v>
      </c>
      <c r="BP2075" s="1" t="s">
        <v>204</v>
      </c>
      <c r="BR2075" s="1" t="str">
        <f>"0928406046"</f>
        <v>0928406046</v>
      </c>
      <c r="BT2075" s="1" t="s">
        <v>18749</v>
      </c>
      <c r="BU2075" s="1" t="s">
        <v>3097</v>
      </c>
      <c r="BV2075" s="1" t="s">
        <v>3098</v>
      </c>
      <c r="BW2075" s="1" t="s">
        <v>3099</v>
      </c>
      <c r="BX2075" s="1">
        <v>61</v>
      </c>
      <c r="BY2075" s="1">
        <v>61</v>
      </c>
      <c r="BZ2075" s="1">
        <v>99</v>
      </c>
      <c r="CB2075" s="1" t="str">
        <f t="shared" ref="CB2075:CC2075" si="1585">"0"</f>
        <v>0</v>
      </c>
      <c r="CC2075" s="1" t="str">
        <f t="shared" si="1585"/>
        <v>0</v>
      </c>
      <c r="CD2075" s="1">
        <v>18</v>
      </c>
      <c r="CE2075" s="1">
        <v>9</v>
      </c>
      <c r="CG2075" s="1" t="s">
        <v>437</v>
      </c>
      <c r="CH2075" s="1" t="s">
        <v>219</v>
      </c>
      <c r="CI2075" s="1" t="s">
        <v>438</v>
      </c>
      <c r="CK2075" s="1" t="s">
        <v>317</v>
      </c>
      <c r="CL2075" s="1" t="s">
        <v>277</v>
      </c>
      <c r="CM2075" s="1" t="s">
        <v>220</v>
      </c>
      <c r="CO2075" s="1" t="s">
        <v>346</v>
      </c>
      <c r="CP2075" s="1" t="s">
        <v>219</v>
      </c>
      <c r="CQ2075" s="1" t="s">
        <v>438</v>
      </c>
      <c r="CS2075" s="1" t="s">
        <v>465</v>
      </c>
      <c r="CT2075" s="1" t="s">
        <v>277</v>
      </c>
      <c r="CU2075" s="1" t="s">
        <v>220</v>
      </c>
      <c r="CX2075" s="1" t="s">
        <v>224</v>
      </c>
      <c r="DB2075" s="1" t="s">
        <v>224</v>
      </c>
      <c r="DE2075" s="1" t="s">
        <v>379</v>
      </c>
      <c r="DF2075" s="1" t="s">
        <v>219</v>
      </c>
      <c r="DG2075" s="1" t="s">
        <v>438</v>
      </c>
      <c r="DJ2075" s="1" t="s">
        <v>224</v>
      </c>
      <c r="DM2075" s="1" t="s">
        <v>464</v>
      </c>
      <c r="DR2075" s="1" t="s">
        <v>465</v>
      </c>
      <c r="DS2075" s="1" t="s">
        <v>277</v>
      </c>
      <c r="DT2075" s="1" t="s">
        <v>220</v>
      </c>
      <c r="DW2075" s="1" t="s">
        <v>230</v>
      </c>
      <c r="EA2075" s="1" t="s">
        <v>230</v>
      </c>
      <c r="EE2075" s="1" t="s">
        <v>230</v>
      </c>
      <c r="EI2075" s="1" t="s">
        <v>230</v>
      </c>
      <c r="EL2075" s="1" t="s">
        <v>382</v>
      </c>
      <c r="EM2075" s="1" t="s">
        <v>232</v>
      </c>
      <c r="EN2075" s="1" t="s">
        <v>282</v>
      </c>
      <c r="EO2075" s="1" t="s">
        <v>234</v>
      </c>
      <c r="EP2075" s="1" t="s">
        <v>18750</v>
      </c>
      <c r="EQ2075" s="1" t="s">
        <v>1094</v>
      </c>
      <c r="ER2075" s="1" t="s">
        <v>210</v>
      </c>
      <c r="ES2075" s="1" t="s">
        <v>824</v>
      </c>
      <c r="ET2075" s="1" t="s">
        <v>1752</v>
      </c>
      <c r="EU2075" s="1" t="s">
        <v>14886</v>
      </c>
      <c r="EV2075" s="1" t="s">
        <v>324</v>
      </c>
      <c r="EW2075" s="1" t="s">
        <v>6645</v>
      </c>
      <c r="EZ2075" s="1" t="s">
        <v>464</v>
      </c>
      <c r="FA2075" s="1" t="s">
        <v>4742</v>
      </c>
      <c r="FD2075" s="1" t="s">
        <v>246</v>
      </c>
      <c r="FE2075" s="1" t="s">
        <v>247</v>
      </c>
      <c r="FF2075" s="1" t="s">
        <v>248</v>
      </c>
      <c r="FG2075" s="1" t="s">
        <v>912</v>
      </c>
      <c r="FH2075" s="1" t="s">
        <v>249</v>
      </c>
      <c r="FI2075" s="1" t="s">
        <v>473</v>
      </c>
      <c r="FL2075" s="1" t="s">
        <v>358</v>
      </c>
      <c r="FM2075" s="1" t="s">
        <v>252</v>
      </c>
      <c r="FN2075" s="1" t="s">
        <v>213</v>
      </c>
      <c r="FO2075" s="1" t="s">
        <v>204</v>
      </c>
      <c r="FQ2075" s="1" t="s">
        <v>1441</v>
      </c>
      <c r="FR2075" s="1" t="s">
        <v>652</v>
      </c>
      <c r="FS2075" s="1" t="s">
        <v>18751</v>
      </c>
      <c r="FT2075" s="1" t="s">
        <v>295</v>
      </c>
      <c r="FU2075" s="1" t="s">
        <v>204</v>
      </c>
      <c r="FW2075" s="1" t="s">
        <v>6907</v>
      </c>
      <c r="FX2075" s="1">
        <v>22010</v>
      </c>
      <c r="FY2075" s="1" t="s">
        <v>6908</v>
      </c>
      <c r="FZ2075" s="1" t="s">
        <v>18752</v>
      </c>
      <c r="GA2075" s="1">
        <v>222522</v>
      </c>
      <c r="GB2075" s="1" t="s">
        <v>18753</v>
      </c>
      <c r="GE2075" s="1" t="s">
        <v>210</v>
      </c>
      <c r="GI2075" s="1" t="s">
        <v>213</v>
      </c>
      <c r="GJ2075" s="1" t="s">
        <v>260</v>
      </c>
      <c r="GK2075" s="1" t="s">
        <v>210</v>
      </c>
      <c r="GL2075" s="2">
        <v>42002</v>
      </c>
      <c r="GM2075" s="1" t="s">
        <v>18754</v>
      </c>
    </row>
    <row r="2076" spans="1:195">
      <c r="A2076" s="1">
        <v>127500</v>
      </c>
      <c r="B2076" s="1" t="s">
        <v>195</v>
      </c>
      <c r="C2076" s="1" t="str">
        <f>"08754186"</f>
        <v>08754186</v>
      </c>
      <c r="D2076" s="1" t="s">
        <v>196</v>
      </c>
      <c r="F2076" s="1" t="str">
        <f>"543"</f>
        <v>543</v>
      </c>
      <c r="G2076" s="2">
        <v>41928</v>
      </c>
      <c r="H2076" s="1">
        <v>129900</v>
      </c>
      <c r="I2076" s="1">
        <v>127500</v>
      </c>
      <c r="J2076" s="1">
        <v>127500</v>
      </c>
      <c r="K2076" s="2">
        <v>41928</v>
      </c>
      <c r="L2076" s="1">
        <v>28</v>
      </c>
      <c r="M2076" s="2">
        <v>41955</v>
      </c>
      <c r="N2076" s="1">
        <v>28</v>
      </c>
      <c r="O2076" s="2">
        <v>41955</v>
      </c>
      <c r="P2076" s="1">
        <v>23177</v>
      </c>
      <c r="Q2076" s="1" t="s">
        <v>423</v>
      </c>
      <c r="R2076" s="2">
        <v>41985</v>
      </c>
      <c r="S2076" s="1">
        <v>221508</v>
      </c>
      <c r="T2076" s="1">
        <v>3582.73</v>
      </c>
      <c r="U2076" s="1">
        <v>544</v>
      </c>
      <c r="V2076" s="1" t="s">
        <v>18755</v>
      </c>
      <c r="W2076" s="1" t="s">
        <v>264</v>
      </c>
      <c r="X2076" s="1">
        <v>544</v>
      </c>
      <c r="Y2076" s="1">
        <v>5</v>
      </c>
      <c r="Z2076" s="1" t="s">
        <v>249</v>
      </c>
      <c r="AA2076" s="1" t="s">
        <v>2639</v>
      </c>
      <c r="AB2076" s="1">
        <v>60543</v>
      </c>
      <c r="AD2076" s="1" t="s">
        <v>18755</v>
      </c>
      <c r="AE2076" s="1" t="s">
        <v>18756</v>
      </c>
      <c r="AF2076" s="1">
        <v>2005</v>
      </c>
      <c r="AG2076" s="1" t="s">
        <v>204</v>
      </c>
      <c r="AH2076" s="1" t="s">
        <v>1397</v>
      </c>
      <c r="AI2076" s="1" t="s">
        <v>453</v>
      </c>
      <c r="AJ2076" s="1" t="s">
        <v>1397</v>
      </c>
      <c r="AK2076" s="1" t="s">
        <v>9267</v>
      </c>
      <c r="AL2076" s="1">
        <v>7</v>
      </c>
      <c r="AM2076" s="1">
        <v>2</v>
      </c>
      <c r="AN2076" s="1">
        <v>1</v>
      </c>
      <c r="AO2076" s="1">
        <v>1</v>
      </c>
      <c r="AP2076" s="1" t="s">
        <v>455</v>
      </c>
      <c r="AR2076" s="1" t="s">
        <v>4448</v>
      </c>
      <c r="AS2076" s="1" t="s">
        <v>204</v>
      </c>
      <c r="AT2076" s="1" t="s">
        <v>211</v>
      </c>
      <c r="AU2076" s="1">
        <v>2</v>
      </c>
      <c r="AW2076" s="1" t="s">
        <v>204</v>
      </c>
      <c r="AX2076" s="1" t="s">
        <v>18757</v>
      </c>
      <c r="AZ2076" s="1">
        <v>3281</v>
      </c>
      <c r="BA2076" s="1">
        <v>2013</v>
      </c>
      <c r="BB2076" s="1" t="s">
        <v>405</v>
      </c>
      <c r="BE2076" s="1">
        <v>1584</v>
      </c>
      <c r="BF2076" s="1">
        <v>1</v>
      </c>
      <c r="BG2076" s="1">
        <v>1</v>
      </c>
      <c r="BL2076" s="1">
        <v>149</v>
      </c>
      <c r="BM2076" s="1" t="s">
        <v>204</v>
      </c>
      <c r="BN2076" s="1" t="s">
        <v>213</v>
      </c>
      <c r="BO2076" s="1">
        <v>999</v>
      </c>
      <c r="BP2076" s="1" t="s">
        <v>204</v>
      </c>
      <c r="BR2076" s="1" t="str">
        <f>"0301301047"</f>
        <v>0301301047</v>
      </c>
      <c r="BT2076" s="1" t="s">
        <v>18758</v>
      </c>
      <c r="BU2076" s="1" t="s">
        <v>9810</v>
      </c>
      <c r="BV2076" s="1" t="s">
        <v>7954</v>
      </c>
      <c r="BW2076" s="1" t="s">
        <v>1401</v>
      </c>
      <c r="BX2076" s="1">
        <v>308</v>
      </c>
      <c r="BY2076" s="1">
        <v>308</v>
      </c>
      <c r="BZ2076" s="1">
        <v>308</v>
      </c>
      <c r="CB2076" s="1" t="str">
        <f t="shared" ref="CB2076:CC2076" si="1586">""</f>
        <v/>
      </c>
      <c r="CC2076" s="1" t="str">
        <f t="shared" si="1586"/>
        <v/>
      </c>
      <c r="CD2076" s="1">
        <v>33</v>
      </c>
      <c r="CE2076" s="1">
        <v>10</v>
      </c>
      <c r="CG2076" s="1" t="s">
        <v>223</v>
      </c>
      <c r="CH2076" s="1" t="s">
        <v>219</v>
      </c>
      <c r="CI2076" s="1" t="s">
        <v>220</v>
      </c>
      <c r="CJ2076" s="1" t="s">
        <v>343</v>
      </c>
      <c r="CK2076" s="1" t="s">
        <v>885</v>
      </c>
      <c r="CL2076" s="1" t="s">
        <v>277</v>
      </c>
      <c r="CM2076" s="1" t="s">
        <v>220</v>
      </c>
      <c r="CN2076" s="1" t="s">
        <v>343</v>
      </c>
      <c r="CO2076" s="1" t="s">
        <v>379</v>
      </c>
      <c r="CP2076" s="1" t="s">
        <v>219</v>
      </c>
      <c r="CQ2076" s="1" t="s">
        <v>220</v>
      </c>
      <c r="CR2076" s="1" t="s">
        <v>210</v>
      </c>
      <c r="CS2076" s="1" t="s">
        <v>346</v>
      </c>
      <c r="CT2076" s="1" t="s">
        <v>277</v>
      </c>
      <c r="CU2076" s="1" t="s">
        <v>220</v>
      </c>
      <c r="CV2076" s="1" t="s">
        <v>343</v>
      </c>
      <c r="CX2076" s="1" t="s">
        <v>224</v>
      </c>
      <c r="DB2076" s="1" t="s">
        <v>224</v>
      </c>
      <c r="DE2076" s="1" t="s">
        <v>539</v>
      </c>
      <c r="DF2076" s="1" t="s">
        <v>219</v>
      </c>
      <c r="DG2076" s="1" t="s">
        <v>342</v>
      </c>
      <c r="DH2076" s="1" t="s">
        <v>343</v>
      </c>
      <c r="DI2076" s="1" t="s">
        <v>465</v>
      </c>
      <c r="DJ2076" s="1" t="s">
        <v>822</v>
      </c>
      <c r="DK2076" s="1" t="s">
        <v>220</v>
      </c>
      <c r="DL2076" s="1" t="s">
        <v>343</v>
      </c>
      <c r="DM2076" s="1" t="s">
        <v>464</v>
      </c>
      <c r="DR2076" s="1" t="s">
        <v>409</v>
      </c>
      <c r="DS2076" s="1" t="s">
        <v>277</v>
      </c>
      <c r="DT2076" s="1" t="s">
        <v>220</v>
      </c>
      <c r="DU2076" s="1" t="s">
        <v>343</v>
      </c>
      <c r="DW2076" s="1" t="s">
        <v>230</v>
      </c>
      <c r="EA2076" s="1" t="s">
        <v>230</v>
      </c>
      <c r="EE2076" s="1" t="s">
        <v>230</v>
      </c>
      <c r="EI2076" s="1" t="s">
        <v>230</v>
      </c>
      <c r="EL2076" s="1" t="s">
        <v>491</v>
      </c>
      <c r="EM2076" s="1" t="s">
        <v>319</v>
      </c>
      <c r="EN2076" s="1" t="s">
        <v>282</v>
      </c>
      <c r="EO2076" s="1" t="s">
        <v>234</v>
      </c>
      <c r="EP2076" s="1" t="s">
        <v>650</v>
      </c>
      <c r="EQ2076" s="1" t="s">
        <v>236</v>
      </c>
      <c r="ER2076" s="1" t="s">
        <v>544</v>
      </c>
      <c r="ES2076" s="1" t="s">
        <v>824</v>
      </c>
      <c r="EU2076" s="1" t="s">
        <v>239</v>
      </c>
      <c r="EV2076" s="1" t="s">
        <v>240</v>
      </c>
      <c r="EW2076" s="1" t="s">
        <v>353</v>
      </c>
      <c r="EY2076" s="1" t="s">
        <v>441</v>
      </c>
      <c r="EZ2076" s="1" t="s">
        <v>464</v>
      </c>
      <c r="FA2076" s="1" t="s">
        <v>1726</v>
      </c>
      <c r="FB2076" s="1" t="s">
        <v>289</v>
      </c>
      <c r="FC2076" s="1" t="s">
        <v>18759</v>
      </c>
      <c r="FD2076" s="1" t="s">
        <v>246</v>
      </c>
      <c r="FE2076" s="1" t="s">
        <v>975</v>
      </c>
      <c r="FF2076" s="1" t="s">
        <v>248</v>
      </c>
      <c r="FH2076" s="1" t="s">
        <v>249</v>
      </c>
      <c r="FI2076" s="1" t="s">
        <v>473</v>
      </c>
      <c r="FJ2076" s="1" t="s">
        <v>1620</v>
      </c>
      <c r="FL2076" s="1" t="s">
        <v>358</v>
      </c>
      <c r="FM2076" s="1" t="s">
        <v>252</v>
      </c>
      <c r="FN2076" s="1" t="s">
        <v>213</v>
      </c>
      <c r="FO2076" s="1" t="s">
        <v>213</v>
      </c>
      <c r="FQ2076" s="1" t="s">
        <v>913</v>
      </c>
      <c r="FR2076" s="1" t="s">
        <v>210</v>
      </c>
      <c r="FS2076" s="1" t="s">
        <v>18760</v>
      </c>
      <c r="FT2076" s="1" t="s">
        <v>295</v>
      </c>
      <c r="FU2076" s="1" t="s">
        <v>204</v>
      </c>
      <c r="FW2076" s="1" t="s">
        <v>873</v>
      </c>
      <c r="FX2076" s="1">
        <v>25309</v>
      </c>
      <c r="FY2076" s="1" t="s">
        <v>874</v>
      </c>
      <c r="FZ2076" s="1" t="s">
        <v>18761</v>
      </c>
      <c r="GA2076" s="1">
        <v>222460</v>
      </c>
      <c r="GB2076" s="1" t="s">
        <v>18762</v>
      </c>
      <c r="GD2076" s="1" t="s">
        <v>18763</v>
      </c>
      <c r="GE2076" s="1" t="s">
        <v>480</v>
      </c>
      <c r="GI2076" s="1" t="s">
        <v>213</v>
      </c>
      <c r="GJ2076" s="1" t="s">
        <v>260</v>
      </c>
      <c r="GK2076" s="1" t="s">
        <v>261</v>
      </c>
      <c r="GL2076" s="2">
        <v>41985</v>
      </c>
      <c r="GM2076" s="1" t="s">
        <v>18764</v>
      </c>
    </row>
    <row r="2077" spans="1:195">
      <c r="A2077" s="1">
        <v>229900</v>
      </c>
      <c r="B2077" s="1" t="s">
        <v>195</v>
      </c>
      <c r="C2077" s="1" t="str">
        <f>"08750487"</f>
        <v>08750487</v>
      </c>
      <c r="D2077" s="1" t="s">
        <v>196</v>
      </c>
      <c r="F2077" s="1" t="str">
        <f>"507"</f>
        <v>507</v>
      </c>
      <c r="G2077" s="2">
        <v>41922</v>
      </c>
      <c r="H2077" s="1">
        <v>229900</v>
      </c>
      <c r="I2077" s="1">
        <v>229900</v>
      </c>
      <c r="J2077" s="1">
        <v>229900</v>
      </c>
      <c r="K2077" s="2">
        <v>41922</v>
      </c>
      <c r="L2077" s="1">
        <v>29</v>
      </c>
      <c r="M2077" s="2">
        <v>41950</v>
      </c>
      <c r="N2077" s="1">
        <v>29</v>
      </c>
      <c r="O2077" s="2">
        <v>41950</v>
      </c>
      <c r="P2077" s="1">
        <v>16177</v>
      </c>
      <c r="Q2077" s="1" t="s">
        <v>302</v>
      </c>
      <c r="R2077" s="2">
        <v>42026</v>
      </c>
      <c r="S2077" s="1">
        <v>148448</v>
      </c>
      <c r="U2077" s="1">
        <v>1810</v>
      </c>
      <c r="V2077" s="1" t="s">
        <v>18765</v>
      </c>
      <c r="W2077" s="1" t="s">
        <v>449</v>
      </c>
      <c r="Y2077" s="1">
        <v>2</v>
      </c>
      <c r="Z2077" s="1" t="s">
        <v>2811</v>
      </c>
      <c r="AA2077" s="1" t="s">
        <v>1123</v>
      </c>
      <c r="AB2077" s="1">
        <v>60504</v>
      </c>
      <c r="AD2077" s="1" t="s">
        <v>18766</v>
      </c>
      <c r="AE2077" s="1" t="s">
        <v>18767</v>
      </c>
      <c r="AF2077" s="1">
        <v>2005</v>
      </c>
      <c r="AG2077" s="1" t="s">
        <v>204</v>
      </c>
      <c r="AH2077" s="1" t="s">
        <v>1126</v>
      </c>
      <c r="AI2077" s="1" t="s">
        <v>665</v>
      </c>
      <c r="AJ2077" s="1" t="s">
        <v>1126</v>
      </c>
      <c r="AL2077" s="1">
        <v>6</v>
      </c>
      <c r="AM2077" s="1">
        <v>2</v>
      </c>
      <c r="AN2077" s="1">
        <v>2</v>
      </c>
      <c r="AO2077" s="1">
        <v>0</v>
      </c>
      <c r="AP2077" s="1" t="s">
        <v>209</v>
      </c>
      <c r="AQ2077" s="1">
        <v>1</v>
      </c>
      <c r="AR2077" s="1" t="s">
        <v>210</v>
      </c>
      <c r="AS2077" s="1" t="s">
        <v>204</v>
      </c>
      <c r="AT2077" s="1" t="s">
        <v>211</v>
      </c>
      <c r="AU2077" s="1">
        <v>1</v>
      </c>
      <c r="AW2077" s="1" t="s">
        <v>213</v>
      </c>
      <c r="AX2077" s="1" t="s">
        <v>212</v>
      </c>
      <c r="AZ2077" s="1">
        <v>2615</v>
      </c>
      <c r="BA2077" s="1">
        <v>2013</v>
      </c>
      <c r="BB2077" s="1" t="s">
        <v>2694</v>
      </c>
      <c r="BE2077" s="1">
        <v>1500</v>
      </c>
      <c r="BF2077" s="1">
        <v>1</v>
      </c>
      <c r="BG2077" s="1">
        <v>0</v>
      </c>
      <c r="BL2077" s="1">
        <v>0</v>
      </c>
      <c r="BM2077" s="1" t="s">
        <v>204</v>
      </c>
      <c r="BN2077" s="1" t="s">
        <v>213</v>
      </c>
      <c r="BO2077" s="1">
        <v>999</v>
      </c>
      <c r="BP2077" s="1" t="s">
        <v>204</v>
      </c>
      <c r="BR2077" s="1" t="str">
        <f>"1536127001"</f>
        <v>1536127001</v>
      </c>
      <c r="BT2077" s="1" t="s">
        <v>18768</v>
      </c>
      <c r="BX2077" s="1">
        <v>131</v>
      </c>
      <c r="BY2077" s="1">
        <v>131</v>
      </c>
      <c r="BZ2077" s="1">
        <v>131</v>
      </c>
      <c r="CB2077" s="1" t="str">
        <f>"0"</f>
        <v>0</v>
      </c>
      <c r="CC2077" s="1" t="str">
        <f>""</f>
        <v/>
      </c>
      <c r="CG2077" s="1" t="s">
        <v>1155</v>
      </c>
      <c r="CH2077" s="1" t="s">
        <v>219</v>
      </c>
      <c r="CI2077" s="1" t="s">
        <v>220</v>
      </c>
      <c r="CJ2077" s="1" t="s">
        <v>343</v>
      </c>
      <c r="CK2077" s="1" t="s">
        <v>221</v>
      </c>
      <c r="CL2077" s="1" t="s">
        <v>219</v>
      </c>
      <c r="CM2077" s="1" t="s">
        <v>220</v>
      </c>
      <c r="CN2077" s="1" t="s">
        <v>343</v>
      </c>
      <c r="CO2077" s="1" t="s">
        <v>344</v>
      </c>
      <c r="CP2077" s="1" t="s">
        <v>219</v>
      </c>
      <c r="CQ2077" s="1" t="s">
        <v>220</v>
      </c>
      <c r="CR2077" s="1" t="s">
        <v>343</v>
      </c>
      <c r="CS2077" s="1" t="s">
        <v>379</v>
      </c>
      <c r="CT2077" s="1" t="s">
        <v>219</v>
      </c>
      <c r="CU2077" s="1" t="s">
        <v>220</v>
      </c>
      <c r="CV2077" s="1" t="s">
        <v>343</v>
      </c>
      <c r="CX2077" s="1" t="s">
        <v>224</v>
      </c>
      <c r="DB2077" s="1" t="s">
        <v>224</v>
      </c>
      <c r="DE2077" s="1" t="s">
        <v>346</v>
      </c>
      <c r="DF2077" s="1" t="s">
        <v>219</v>
      </c>
      <c r="DG2077" s="1" t="s">
        <v>226</v>
      </c>
      <c r="DH2077" s="1" t="s">
        <v>343</v>
      </c>
      <c r="DJ2077" s="1" t="s">
        <v>224</v>
      </c>
      <c r="DM2077" s="1" t="s">
        <v>1789</v>
      </c>
      <c r="DR2077" s="1" t="s">
        <v>379</v>
      </c>
      <c r="DS2077" s="1" t="s">
        <v>219</v>
      </c>
      <c r="DT2077" s="1" t="s">
        <v>226</v>
      </c>
      <c r="DU2077" s="1" t="s">
        <v>343</v>
      </c>
      <c r="DW2077" s="1" t="s">
        <v>230</v>
      </c>
      <c r="EA2077" s="1" t="s">
        <v>230</v>
      </c>
      <c r="EE2077" s="1" t="s">
        <v>230</v>
      </c>
      <c r="EI2077" s="1" t="s">
        <v>230</v>
      </c>
      <c r="EL2077" s="1" t="s">
        <v>491</v>
      </c>
      <c r="EM2077" s="1" t="s">
        <v>319</v>
      </c>
      <c r="EN2077" s="1" t="s">
        <v>282</v>
      </c>
      <c r="EO2077" s="1" t="s">
        <v>234</v>
      </c>
      <c r="EQ2077" s="1" t="s">
        <v>236</v>
      </c>
      <c r="ER2077" s="1" t="s">
        <v>210</v>
      </c>
      <c r="ES2077" s="1" t="s">
        <v>608</v>
      </c>
      <c r="EU2077" s="1" t="s">
        <v>285</v>
      </c>
      <c r="EV2077" s="1" t="s">
        <v>324</v>
      </c>
      <c r="EW2077" s="1" t="s">
        <v>210</v>
      </c>
      <c r="EZ2077" s="1" t="s">
        <v>1789</v>
      </c>
      <c r="FB2077" s="1" t="s">
        <v>244</v>
      </c>
      <c r="FD2077" s="1" t="s">
        <v>246</v>
      </c>
      <c r="FE2077" s="1" t="s">
        <v>975</v>
      </c>
      <c r="FF2077" s="1" t="s">
        <v>248</v>
      </c>
      <c r="FG2077" s="1" t="s">
        <v>3933</v>
      </c>
      <c r="FH2077" s="1" t="s">
        <v>442</v>
      </c>
      <c r="FI2077" s="1" t="s">
        <v>473</v>
      </c>
      <c r="FJ2077" s="1" t="s">
        <v>2046</v>
      </c>
      <c r="FL2077" s="1" t="s">
        <v>414</v>
      </c>
      <c r="FM2077" s="1" t="s">
        <v>252</v>
      </c>
      <c r="FN2077" s="1" t="s">
        <v>213</v>
      </c>
      <c r="FO2077" s="1" t="s">
        <v>213</v>
      </c>
      <c r="FQ2077" s="1" t="s">
        <v>689</v>
      </c>
      <c r="FR2077" s="1" t="s">
        <v>210</v>
      </c>
      <c r="FS2077" s="1" t="s">
        <v>18769</v>
      </c>
      <c r="FT2077" s="1" t="s">
        <v>18770</v>
      </c>
      <c r="FU2077" s="1" t="s">
        <v>204</v>
      </c>
      <c r="FW2077" s="1" t="s">
        <v>18771</v>
      </c>
      <c r="FX2077" s="1">
        <v>16177</v>
      </c>
      <c r="FY2077" s="1" t="s">
        <v>18772</v>
      </c>
      <c r="FZ2077" s="1" t="s">
        <v>18773</v>
      </c>
      <c r="GA2077" s="1">
        <v>148448</v>
      </c>
      <c r="GB2077" s="1" t="s">
        <v>18774</v>
      </c>
      <c r="GE2077" s="1" t="s">
        <v>623</v>
      </c>
      <c r="GI2077" s="1" t="s">
        <v>213</v>
      </c>
      <c r="GJ2077" s="1" t="s">
        <v>260</v>
      </c>
      <c r="GK2077" s="1" t="s">
        <v>210</v>
      </c>
      <c r="GL2077" s="2">
        <v>42032</v>
      </c>
    </row>
    <row r="2078" spans="1:195">
      <c r="A2078" s="1">
        <v>110900</v>
      </c>
      <c r="B2078" s="1" t="s">
        <v>195</v>
      </c>
      <c r="C2078" s="1" t="str">
        <f>"08751852"</f>
        <v>08751852</v>
      </c>
      <c r="D2078" s="1" t="s">
        <v>196</v>
      </c>
      <c r="F2078" s="1" t="str">
        <f>"20"</f>
        <v>20</v>
      </c>
      <c r="G2078" s="2">
        <v>41925</v>
      </c>
      <c r="H2078" s="1">
        <v>125900</v>
      </c>
      <c r="I2078" s="1">
        <v>109900</v>
      </c>
      <c r="J2078" s="1">
        <v>110900</v>
      </c>
      <c r="K2078" s="2">
        <v>41925</v>
      </c>
      <c r="L2078" s="1">
        <v>66</v>
      </c>
      <c r="M2078" s="2">
        <v>41990</v>
      </c>
      <c r="N2078" s="1">
        <v>66</v>
      </c>
      <c r="O2078" s="2">
        <v>41990</v>
      </c>
      <c r="P2078" s="1">
        <v>2050</v>
      </c>
      <c r="Q2078" s="1" t="s">
        <v>302</v>
      </c>
      <c r="R2078" s="2">
        <v>42019</v>
      </c>
      <c r="S2078" s="1">
        <v>243363</v>
      </c>
      <c r="U2078" s="1">
        <v>253</v>
      </c>
      <c r="V2078" s="1" t="s">
        <v>18775</v>
      </c>
      <c r="W2078" s="1" t="s">
        <v>3006</v>
      </c>
      <c r="Y2078" s="1">
        <v>4</v>
      </c>
      <c r="Z2078" s="1" t="s">
        <v>249</v>
      </c>
      <c r="AA2078" s="1" t="s">
        <v>592</v>
      </c>
      <c r="AB2078" s="1">
        <v>60020</v>
      </c>
      <c r="AE2078" s="1" t="s">
        <v>18776</v>
      </c>
      <c r="AF2078" s="1">
        <v>1997</v>
      </c>
      <c r="AG2078" s="1" t="s">
        <v>204</v>
      </c>
      <c r="AH2078" s="1" t="s">
        <v>595</v>
      </c>
      <c r="AI2078" s="1" t="s">
        <v>509</v>
      </c>
      <c r="AJ2078" s="1" t="s">
        <v>1016</v>
      </c>
      <c r="AL2078" s="1">
        <v>7</v>
      </c>
      <c r="AM2078" s="1">
        <v>2</v>
      </c>
      <c r="AN2078" s="1">
        <v>2</v>
      </c>
      <c r="AO2078" s="1">
        <v>1</v>
      </c>
      <c r="AP2078" s="1" t="s">
        <v>209</v>
      </c>
      <c r="AR2078" s="1" t="s">
        <v>209</v>
      </c>
      <c r="AS2078" s="1" t="s">
        <v>213</v>
      </c>
      <c r="AT2078" s="1" t="s">
        <v>211</v>
      </c>
      <c r="AU2078" s="1">
        <v>2</v>
      </c>
      <c r="AW2078" s="1" t="s">
        <v>204</v>
      </c>
      <c r="AX2078" s="1" t="s">
        <v>212</v>
      </c>
      <c r="AZ2078" s="1">
        <v>4008</v>
      </c>
      <c r="BA2078" s="1">
        <v>2013</v>
      </c>
      <c r="BE2078" s="1">
        <v>0</v>
      </c>
      <c r="BF2078" s="1">
        <v>1</v>
      </c>
      <c r="BG2078" s="1">
        <v>30</v>
      </c>
      <c r="BL2078" s="1">
        <v>200</v>
      </c>
      <c r="BM2078" s="1" t="s">
        <v>413</v>
      </c>
      <c r="BN2078" s="1" t="s">
        <v>213</v>
      </c>
      <c r="BO2078" s="1">
        <v>999</v>
      </c>
      <c r="BP2078" s="1" t="s">
        <v>204</v>
      </c>
      <c r="BR2078" s="1" t="str">
        <f>"05152090150000"</f>
        <v>05152090150000</v>
      </c>
      <c r="BT2078" s="1" t="s">
        <v>18777</v>
      </c>
      <c r="BX2078" s="1">
        <v>38</v>
      </c>
      <c r="BY2078" s="1">
        <v>38</v>
      </c>
      <c r="BZ2078" s="1">
        <v>124</v>
      </c>
      <c r="CB2078" s="1" t="str">
        <f t="shared" ref="CB2078:CC2078" si="1587">""</f>
        <v/>
      </c>
      <c r="CC2078" s="1" t="str">
        <f t="shared" si="1587"/>
        <v/>
      </c>
      <c r="CG2078" s="1" t="s">
        <v>4891</v>
      </c>
      <c r="CH2078" s="1" t="s">
        <v>219</v>
      </c>
      <c r="CK2078" s="1" t="s">
        <v>278</v>
      </c>
      <c r="CL2078" s="1" t="s">
        <v>277</v>
      </c>
      <c r="CO2078" s="1" t="s">
        <v>318</v>
      </c>
      <c r="CP2078" s="1" t="s">
        <v>219</v>
      </c>
      <c r="CS2078" s="1" t="s">
        <v>346</v>
      </c>
      <c r="CT2078" s="1" t="s">
        <v>277</v>
      </c>
      <c r="CX2078" s="1" t="s">
        <v>224</v>
      </c>
      <c r="DB2078" s="1" t="s">
        <v>224</v>
      </c>
      <c r="DE2078" s="1" t="s">
        <v>4435</v>
      </c>
      <c r="DF2078" s="1" t="s">
        <v>219</v>
      </c>
      <c r="DI2078" s="1" t="s">
        <v>18778</v>
      </c>
      <c r="DJ2078" s="1" t="s">
        <v>822</v>
      </c>
      <c r="DM2078" s="1" t="s">
        <v>464</v>
      </c>
      <c r="DR2078" s="1" t="s">
        <v>9969</v>
      </c>
      <c r="DS2078" s="1" t="s">
        <v>277</v>
      </c>
      <c r="DW2078" s="1" t="s">
        <v>230</v>
      </c>
      <c r="EA2078" s="1" t="s">
        <v>230</v>
      </c>
      <c r="EE2078" s="1" t="s">
        <v>230</v>
      </c>
      <c r="EI2078" s="1" t="s">
        <v>230</v>
      </c>
      <c r="EL2078" s="1" t="s">
        <v>670</v>
      </c>
      <c r="EM2078" s="1" t="s">
        <v>319</v>
      </c>
      <c r="EN2078" s="1" t="s">
        <v>210</v>
      </c>
      <c r="EO2078" s="1" t="s">
        <v>234</v>
      </c>
      <c r="ER2078" s="1" t="s">
        <v>544</v>
      </c>
      <c r="EW2078" s="1" t="s">
        <v>887</v>
      </c>
      <c r="EZ2078" s="1" t="s">
        <v>464</v>
      </c>
      <c r="FD2078" s="1" t="s">
        <v>246</v>
      </c>
      <c r="FE2078" s="1" t="s">
        <v>1031</v>
      </c>
      <c r="FF2078" s="1" t="s">
        <v>248</v>
      </c>
      <c r="FH2078" s="1" t="s">
        <v>550</v>
      </c>
      <c r="FL2078" s="1" t="s">
        <v>358</v>
      </c>
      <c r="FM2078" s="1" t="s">
        <v>252</v>
      </c>
      <c r="FN2078" s="1" t="s">
        <v>213</v>
      </c>
      <c r="FO2078" s="1" t="s">
        <v>213</v>
      </c>
      <c r="FQ2078" s="1" t="s">
        <v>689</v>
      </c>
      <c r="FR2078" s="1" t="s">
        <v>210</v>
      </c>
      <c r="FS2078" s="1" t="s">
        <v>690</v>
      </c>
      <c r="FT2078" s="1" t="s">
        <v>362</v>
      </c>
      <c r="FU2078" s="1" t="s">
        <v>204</v>
      </c>
      <c r="FW2078" s="1" t="s">
        <v>692</v>
      </c>
      <c r="FX2078" s="1">
        <v>3510</v>
      </c>
      <c r="FY2078" s="1" t="s">
        <v>693</v>
      </c>
      <c r="FZ2078" s="1" t="s">
        <v>6834</v>
      </c>
      <c r="GA2078" s="1">
        <v>41641</v>
      </c>
      <c r="GE2078" s="1" t="s">
        <v>210</v>
      </c>
      <c r="GI2078" s="1" t="s">
        <v>213</v>
      </c>
      <c r="GJ2078" s="1" t="s">
        <v>260</v>
      </c>
      <c r="GK2078" s="1" t="s">
        <v>210</v>
      </c>
      <c r="GL2078" s="2">
        <v>42019</v>
      </c>
      <c r="GM2078" s="1" t="s">
        <v>695</v>
      </c>
    </row>
    <row r="2079" spans="1:195">
      <c r="A2079" s="1">
        <v>105000</v>
      </c>
      <c r="B2079" s="1" t="s">
        <v>195</v>
      </c>
      <c r="C2079" s="1" t="str">
        <f>"08751162"</f>
        <v>08751162</v>
      </c>
      <c r="D2079" s="1" t="s">
        <v>196</v>
      </c>
      <c r="F2079" s="1" t="str">
        <f>"148"</f>
        <v>148</v>
      </c>
      <c r="G2079" s="2">
        <v>41924</v>
      </c>
      <c r="H2079" s="1">
        <v>105000</v>
      </c>
      <c r="I2079" s="1">
        <v>105000</v>
      </c>
      <c r="J2079" s="1">
        <v>105000</v>
      </c>
      <c r="K2079" s="2">
        <v>41924</v>
      </c>
      <c r="L2079" s="1">
        <v>13</v>
      </c>
      <c r="M2079" s="2">
        <v>41933</v>
      </c>
      <c r="N2079" s="1">
        <v>10</v>
      </c>
      <c r="O2079" s="2">
        <v>41933</v>
      </c>
      <c r="P2079" s="1">
        <v>25143</v>
      </c>
      <c r="Q2079" s="1" t="s">
        <v>197</v>
      </c>
      <c r="R2079" s="2">
        <v>41970</v>
      </c>
      <c r="S2079" s="1">
        <v>225107</v>
      </c>
      <c r="U2079" s="1">
        <v>1321</v>
      </c>
      <c r="V2079" s="1" t="s">
        <v>2226</v>
      </c>
      <c r="W2079" s="1" t="s">
        <v>1056</v>
      </c>
      <c r="X2079" s="1">
        <v>116</v>
      </c>
      <c r="Y2079" s="1">
        <v>84</v>
      </c>
      <c r="Z2079" s="1" t="s">
        <v>249</v>
      </c>
      <c r="AA2079" s="1" t="s">
        <v>1927</v>
      </c>
      <c r="AB2079" s="1">
        <v>60148</v>
      </c>
      <c r="AD2079" s="1" t="s">
        <v>2227</v>
      </c>
      <c r="AE2079" s="1" t="s">
        <v>18779</v>
      </c>
      <c r="AF2079" s="1">
        <v>1973</v>
      </c>
      <c r="AG2079" s="1" t="s">
        <v>213</v>
      </c>
      <c r="AH2079" s="1" t="s">
        <v>1930</v>
      </c>
      <c r="AI2079" s="1" t="s">
        <v>206</v>
      </c>
      <c r="AJ2079" s="1" t="s">
        <v>1608</v>
      </c>
      <c r="AL2079" s="1">
        <v>5</v>
      </c>
      <c r="AM2079" s="1">
        <v>2</v>
      </c>
      <c r="AN2079" s="1">
        <v>1</v>
      </c>
      <c r="AO2079" s="1">
        <v>1</v>
      </c>
      <c r="AP2079" s="1" t="s">
        <v>1234</v>
      </c>
      <c r="AR2079" s="1" t="s">
        <v>210</v>
      </c>
      <c r="AS2079" s="1" t="s">
        <v>204</v>
      </c>
      <c r="AT2079" s="1" t="s">
        <v>271</v>
      </c>
      <c r="AV2079" s="1">
        <v>2</v>
      </c>
      <c r="AW2079" s="1" t="s">
        <v>204</v>
      </c>
      <c r="AX2079" s="1" t="s">
        <v>212</v>
      </c>
      <c r="AZ2079" s="1">
        <v>1252</v>
      </c>
      <c r="BA2079" s="1">
        <v>2012</v>
      </c>
      <c r="BB2079" s="1" t="s">
        <v>405</v>
      </c>
      <c r="BE2079" s="1">
        <v>1132</v>
      </c>
      <c r="BF2079" s="1">
        <v>1</v>
      </c>
      <c r="BG2079" s="1">
        <v>0</v>
      </c>
      <c r="BL2079" s="1">
        <v>394</v>
      </c>
      <c r="BM2079" s="1" t="s">
        <v>204</v>
      </c>
      <c r="BN2079" s="1" t="s">
        <v>213</v>
      </c>
      <c r="BO2079" s="1">
        <v>30</v>
      </c>
      <c r="BP2079" s="1" t="s">
        <v>204</v>
      </c>
      <c r="BR2079" s="1" t="str">
        <f>"0619214086"</f>
        <v>0619214086</v>
      </c>
      <c r="BT2079" s="1" t="s">
        <v>18780</v>
      </c>
      <c r="BU2079" s="1" t="s">
        <v>1933</v>
      </c>
      <c r="BV2079" s="1" t="s">
        <v>1934</v>
      </c>
      <c r="BW2079" s="1" t="s">
        <v>1935</v>
      </c>
      <c r="BX2079" s="1">
        <v>44</v>
      </c>
      <c r="BY2079" s="1">
        <v>44</v>
      </c>
      <c r="BZ2079" s="1">
        <v>87</v>
      </c>
      <c r="CB2079" s="1" t="str">
        <f t="shared" ref="CB2079:CC2079" si="1588">""</f>
        <v/>
      </c>
      <c r="CC2079" s="1" t="str">
        <f t="shared" si="1588"/>
        <v/>
      </c>
      <c r="CG2079" s="1" t="s">
        <v>18781</v>
      </c>
      <c r="CH2079" s="1" t="s">
        <v>219</v>
      </c>
      <c r="CI2079" s="1" t="s">
        <v>229</v>
      </c>
      <c r="CK2079" s="1" t="s">
        <v>1106</v>
      </c>
      <c r="CL2079" s="1" t="s">
        <v>219</v>
      </c>
      <c r="CM2079" s="1" t="s">
        <v>220</v>
      </c>
      <c r="CO2079" s="1" t="s">
        <v>629</v>
      </c>
      <c r="CP2079" s="1" t="s">
        <v>219</v>
      </c>
      <c r="CQ2079" s="1" t="s">
        <v>229</v>
      </c>
      <c r="CS2079" s="1" t="s">
        <v>2070</v>
      </c>
      <c r="CT2079" s="1" t="s">
        <v>219</v>
      </c>
      <c r="CU2079" s="1" t="s">
        <v>220</v>
      </c>
      <c r="CX2079" s="1" t="s">
        <v>224</v>
      </c>
      <c r="DB2079" s="1" t="s">
        <v>224</v>
      </c>
      <c r="DE2079" s="1" t="s">
        <v>11170</v>
      </c>
      <c r="DF2079" s="1" t="s">
        <v>219</v>
      </c>
      <c r="DG2079" s="1" t="s">
        <v>226</v>
      </c>
      <c r="DJ2079" s="1" t="s">
        <v>224</v>
      </c>
      <c r="DM2079" s="1" t="s">
        <v>709</v>
      </c>
      <c r="DR2079" s="1" t="s">
        <v>4260</v>
      </c>
      <c r="DS2079" s="1" t="s">
        <v>219</v>
      </c>
      <c r="DT2079" s="1" t="s">
        <v>226</v>
      </c>
      <c r="DW2079" s="1" t="s">
        <v>230</v>
      </c>
      <c r="EA2079" s="1" t="s">
        <v>230</v>
      </c>
      <c r="EE2079" s="1" t="s">
        <v>230</v>
      </c>
      <c r="EI2079" s="1" t="s">
        <v>230</v>
      </c>
      <c r="EL2079" s="1" t="s">
        <v>605</v>
      </c>
      <c r="EM2079" s="1" t="s">
        <v>232</v>
      </c>
      <c r="EN2079" s="1" t="s">
        <v>1158</v>
      </c>
      <c r="EO2079" s="1" t="s">
        <v>234</v>
      </c>
      <c r="EP2079" s="1" t="s">
        <v>18782</v>
      </c>
      <c r="ER2079" s="1" t="s">
        <v>210</v>
      </c>
      <c r="ES2079" s="1" t="s">
        <v>322</v>
      </c>
      <c r="EU2079" s="1" t="s">
        <v>712</v>
      </c>
      <c r="EV2079" s="1" t="s">
        <v>240</v>
      </c>
      <c r="EW2079" s="1" t="s">
        <v>8240</v>
      </c>
      <c r="EZ2079" s="1" t="s">
        <v>709</v>
      </c>
      <c r="FB2079" s="1" t="s">
        <v>289</v>
      </c>
      <c r="FC2079" s="1" t="s">
        <v>1386</v>
      </c>
      <c r="FD2079" s="1" t="s">
        <v>246</v>
      </c>
      <c r="FE2079" s="1" t="s">
        <v>247</v>
      </c>
      <c r="FF2079" s="1" t="s">
        <v>248</v>
      </c>
      <c r="FH2079" s="1" t="s">
        <v>249</v>
      </c>
      <c r="FK2079" s="1" t="s">
        <v>4663</v>
      </c>
      <c r="FL2079" s="1" t="s">
        <v>6699</v>
      </c>
      <c r="FM2079" s="1" t="s">
        <v>252</v>
      </c>
      <c r="FN2079" s="1" t="s">
        <v>213</v>
      </c>
      <c r="FO2079" s="1" t="s">
        <v>213</v>
      </c>
      <c r="FQ2079" s="1" t="s">
        <v>293</v>
      </c>
      <c r="FR2079" s="1" t="s">
        <v>210</v>
      </c>
      <c r="FS2079" s="1" t="s">
        <v>18783</v>
      </c>
      <c r="FT2079" s="1" t="s">
        <v>362</v>
      </c>
      <c r="FU2079" s="1" t="s">
        <v>204</v>
      </c>
      <c r="FW2079" s="1" t="s">
        <v>2006</v>
      </c>
      <c r="FX2079" s="1">
        <v>25792</v>
      </c>
      <c r="FY2079" s="1" t="s">
        <v>3181</v>
      </c>
      <c r="FZ2079" s="1" t="s">
        <v>13679</v>
      </c>
      <c r="GA2079" s="1">
        <v>222669</v>
      </c>
      <c r="GB2079" s="1" t="s">
        <v>13680</v>
      </c>
      <c r="GE2079" s="1" t="s">
        <v>776</v>
      </c>
      <c r="GH2079" s="1" t="s">
        <v>421</v>
      </c>
      <c r="GI2079" s="1" t="s">
        <v>213</v>
      </c>
      <c r="GJ2079" s="1" t="s">
        <v>260</v>
      </c>
      <c r="GK2079" s="1" t="s">
        <v>210</v>
      </c>
      <c r="GL2079" s="2">
        <v>41975</v>
      </c>
    </row>
    <row r="2080" spans="1:195">
      <c r="A2080" s="1">
        <v>89500</v>
      </c>
      <c r="B2080" s="1" t="s">
        <v>195</v>
      </c>
      <c r="C2080" s="1" t="str">
        <f>"08747491"</f>
        <v>08747491</v>
      </c>
      <c r="D2080" s="1" t="s">
        <v>196</v>
      </c>
      <c r="F2080" s="1" t="str">
        <f>"123"</f>
        <v>123</v>
      </c>
      <c r="G2080" s="2">
        <v>41919</v>
      </c>
      <c r="H2080" s="1">
        <v>64000</v>
      </c>
      <c r="I2080" s="1">
        <v>64000</v>
      </c>
      <c r="J2080" s="1">
        <v>89500</v>
      </c>
      <c r="K2080" s="2">
        <v>41919</v>
      </c>
      <c r="L2080" s="1">
        <v>7</v>
      </c>
      <c r="M2080" s="2">
        <v>41925</v>
      </c>
      <c r="N2080" s="1">
        <v>7</v>
      </c>
      <c r="O2080" s="2">
        <v>41925</v>
      </c>
      <c r="P2080" s="1">
        <v>372</v>
      </c>
      <c r="Q2080" s="1" t="s">
        <v>197</v>
      </c>
      <c r="R2080" s="2">
        <v>41974</v>
      </c>
      <c r="S2080" s="1">
        <v>8848</v>
      </c>
      <c r="U2080" s="1">
        <v>350</v>
      </c>
      <c r="V2080" s="1" t="s">
        <v>18784</v>
      </c>
      <c r="W2080" s="1" t="s">
        <v>264</v>
      </c>
      <c r="X2080" s="1" t="s">
        <v>1688</v>
      </c>
      <c r="Y2080" s="1">
        <v>4</v>
      </c>
      <c r="Z2080" s="1" t="s">
        <v>249</v>
      </c>
      <c r="AA2080" s="1" t="s">
        <v>1173</v>
      </c>
      <c r="AB2080" s="1">
        <v>60123</v>
      </c>
      <c r="AE2080" s="1" t="s">
        <v>18785</v>
      </c>
      <c r="AF2080" s="1">
        <v>1996</v>
      </c>
      <c r="AG2080" s="1" t="s">
        <v>204</v>
      </c>
      <c r="AH2080" s="1" t="s">
        <v>1175</v>
      </c>
      <c r="AI2080" s="1" t="s">
        <v>665</v>
      </c>
      <c r="AJ2080" s="1" t="s">
        <v>1175</v>
      </c>
      <c r="AL2080" s="1">
        <v>5</v>
      </c>
      <c r="AM2080" s="1">
        <v>2</v>
      </c>
      <c r="AN2080" s="1">
        <v>2</v>
      </c>
      <c r="AO2080" s="1">
        <v>0</v>
      </c>
      <c r="AP2080" s="1" t="s">
        <v>209</v>
      </c>
      <c r="AQ2080" s="1">
        <v>1</v>
      </c>
      <c r="AR2080" s="1" t="s">
        <v>210</v>
      </c>
      <c r="AS2080" s="1" t="s">
        <v>204</v>
      </c>
      <c r="AT2080" s="1" t="s">
        <v>211</v>
      </c>
      <c r="AU2080" s="1">
        <v>1</v>
      </c>
      <c r="AW2080" s="1" t="s">
        <v>204</v>
      </c>
      <c r="AX2080" s="1" t="s">
        <v>212</v>
      </c>
      <c r="AZ2080" s="1">
        <v>2952.66</v>
      </c>
      <c r="BA2080" s="1">
        <v>2012</v>
      </c>
      <c r="BE2080" s="1">
        <v>0</v>
      </c>
      <c r="BF2080" s="1">
        <v>2</v>
      </c>
      <c r="BG2080" s="1">
        <v>0</v>
      </c>
      <c r="BL2080" s="1">
        <v>110</v>
      </c>
      <c r="BM2080" s="1" t="s">
        <v>413</v>
      </c>
      <c r="BN2080" s="1" t="s">
        <v>213</v>
      </c>
      <c r="BO2080" s="1">
        <v>80</v>
      </c>
      <c r="BP2080" s="1" t="s">
        <v>204</v>
      </c>
      <c r="BR2080" s="1" t="str">
        <f>"0621152021"</f>
        <v>0621152021</v>
      </c>
      <c r="BT2080" s="1" t="s">
        <v>18786</v>
      </c>
      <c r="BX2080" s="1">
        <v>46</v>
      </c>
      <c r="BY2080" s="1">
        <v>46</v>
      </c>
      <c r="BZ2080" s="1">
        <v>46</v>
      </c>
      <c r="CB2080" s="1" t="str">
        <f t="shared" ref="CB2080:CC2080" si="1589">""</f>
        <v/>
      </c>
      <c r="CC2080" s="1" t="str">
        <f t="shared" si="1589"/>
        <v/>
      </c>
      <c r="CG2080" s="1" t="s">
        <v>862</v>
      </c>
      <c r="CH2080" s="1" t="s">
        <v>219</v>
      </c>
      <c r="CK2080" s="1" t="s">
        <v>1533</v>
      </c>
      <c r="CL2080" s="1" t="s">
        <v>219</v>
      </c>
      <c r="CO2080" s="1" t="s">
        <v>786</v>
      </c>
      <c r="CP2080" s="1" t="s">
        <v>219</v>
      </c>
      <c r="CS2080" s="1" t="s">
        <v>1046</v>
      </c>
      <c r="CT2080" s="1" t="s">
        <v>219</v>
      </c>
      <c r="CX2080" s="1" t="s">
        <v>224</v>
      </c>
      <c r="DB2080" s="1" t="s">
        <v>224</v>
      </c>
      <c r="DE2080" s="1" t="s">
        <v>2138</v>
      </c>
      <c r="DF2080" s="1" t="s">
        <v>219</v>
      </c>
      <c r="DJ2080" s="1" t="s">
        <v>224</v>
      </c>
      <c r="DS2080" s="1" t="s">
        <v>230</v>
      </c>
      <c r="DW2080" s="1" t="s">
        <v>230</v>
      </c>
      <c r="EA2080" s="1" t="s">
        <v>230</v>
      </c>
      <c r="EE2080" s="1" t="s">
        <v>230</v>
      </c>
      <c r="EI2080" s="1" t="s">
        <v>230</v>
      </c>
      <c r="EL2080" s="1" t="s">
        <v>670</v>
      </c>
      <c r="EM2080" s="1" t="s">
        <v>319</v>
      </c>
      <c r="EN2080" s="1" t="s">
        <v>282</v>
      </c>
      <c r="EO2080" s="1" t="s">
        <v>234</v>
      </c>
      <c r="ER2080" s="1" t="s">
        <v>210</v>
      </c>
      <c r="EW2080" s="1" t="s">
        <v>1219</v>
      </c>
      <c r="EZ2080" s="1" t="s">
        <v>287</v>
      </c>
      <c r="FD2080" s="1" t="s">
        <v>290</v>
      </c>
      <c r="FE2080" s="1" t="s">
        <v>247</v>
      </c>
      <c r="FF2080" s="1" t="s">
        <v>248</v>
      </c>
      <c r="FH2080" s="1" t="s">
        <v>249</v>
      </c>
      <c r="FL2080" s="1" t="s">
        <v>358</v>
      </c>
      <c r="FM2080" s="1" t="s">
        <v>252</v>
      </c>
      <c r="FN2080" s="1" t="s">
        <v>213</v>
      </c>
      <c r="FO2080" s="1" t="s">
        <v>213</v>
      </c>
      <c r="FQ2080" s="1" t="s">
        <v>582</v>
      </c>
      <c r="FR2080" s="1" t="s">
        <v>210</v>
      </c>
      <c r="FS2080" s="1" t="s">
        <v>7022</v>
      </c>
      <c r="FT2080" s="1" t="s">
        <v>16835</v>
      </c>
      <c r="FU2080" s="1" t="s">
        <v>204</v>
      </c>
      <c r="FW2080" s="1" t="s">
        <v>7024</v>
      </c>
      <c r="FX2080" s="1">
        <v>25050</v>
      </c>
      <c r="FY2080" s="1" t="s">
        <v>7025</v>
      </c>
      <c r="FZ2080" s="1" t="s">
        <v>7026</v>
      </c>
      <c r="GA2080" s="1">
        <v>229929</v>
      </c>
      <c r="GB2080" s="1" t="s">
        <v>7027</v>
      </c>
      <c r="GE2080" s="1" t="s">
        <v>210</v>
      </c>
      <c r="GI2080" s="1" t="s">
        <v>213</v>
      </c>
      <c r="GJ2080" s="1" t="s">
        <v>260</v>
      </c>
      <c r="GK2080" s="1" t="s">
        <v>210</v>
      </c>
      <c r="GL2080" s="2">
        <v>41974</v>
      </c>
      <c r="GM2080" s="1" t="s">
        <v>18787</v>
      </c>
    </row>
    <row r="2081" spans="1:195">
      <c r="A2081" s="1">
        <v>82500</v>
      </c>
      <c r="B2081" s="1" t="s">
        <v>195</v>
      </c>
      <c r="C2081" s="1" t="str">
        <f>"08750753"</f>
        <v>08750753</v>
      </c>
      <c r="D2081" s="1" t="s">
        <v>196</v>
      </c>
      <c r="F2081" s="1" t="str">
        <f>"559"</f>
        <v>559</v>
      </c>
      <c r="G2081" s="2">
        <v>41922</v>
      </c>
      <c r="H2081" s="1">
        <v>104900</v>
      </c>
      <c r="I2081" s="1">
        <v>82500</v>
      </c>
      <c r="J2081" s="1">
        <v>82500</v>
      </c>
      <c r="K2081" s="2">
        <v>41921</v>
      </c>
      <c r="L2081" s="1">
        <v>173</v>
      </c>
      <c r="M2081" s="2">
        <v>42093</v>
      </c>
      <c r="N2081" s="1">
        <v>173</v>
      </c>
      <c r="O2081" s="2">
        <v>42093</v>
      </c>
      <c r="P2081" s="1">
        <v>20288</v>
      </c>
      <c r="Q2081" s="1" t="s">
        <v>197</v>
      </c>
      <c r="R2081" s="2">
        <v>42145</v>
      </c>
      <c r="S2081" s="1">
        <v>243089</v>
      </c>
      <c r="U2081" s="1">
        <v>60</v>
      </c>
      <c r="V2081" s="1" t="s">
        <v>6820</v>
      </c>
      <c r="W2081" s="1" t="s">
        <v>264</v>
      </c>
      <c r="X2081" s="1">
        <v>103</v>
      </c>
      <c r="Y2081" s="1">
        <v>12</v>
      </c>
      <c r="Z2081" s="1" t="s">
        <v>249</v>
      </c>
      <c r="AA2081" s="1" t="s">
        <v>1950</v>
      </c>
      <c r="AB2081" s="1">
        <v>60559</v>
      </c>
      <c r="AD2081" s="1" t="s">
        <v>18788</v>
      </c>
      <c r="AE2081" s="1" t="s">
        <v>18789</v>
      </c>
      <c r="AF2081" s="1">
        <v>1975</v>
      </c>
      <c r="AG2081" s="1" t="s">
        <v>213</v>
      </c>
      <c r="AH2081" s="1" t="s">
        <v>1952</v>
      </c>
      <c r="AI2081" s="1" t="s">
        <v>206</v>
      </c>
      <c r="AJ2081" s="1" t="s">
        <v>903</v>
      </c>
      <c r="AL2081" s="1">
        <v>5</v>
      </c>
      <c r="AM2081" s="1">
        <v>2</v>
      </c>
      <c r="AN2081" s="1">
        <v>2</v>
      </c>
      <c r="AO2081" s="1">
        <v>0</v>
      </c>
      <c r="AP2081" s="1" t="s">
        <v>209</v>
      </c>
      <c r="AQ2081" s="1">
        <v>1</v>
      </c>
      <c r="AR2081" s="1" t="s">
        <v>210</v>
      </c>
      <c r="AS2081" s="1" t="s">
        <v>204</v>
      </c>
      <c r="AT2081" s="1" t="s">
        <v>211</v>
      </c>
      <c r="AU2081" s="1">
        <v>1</v>
      </c>
      <c r="AW2081" s="1" t="s">
        <v>204</v>
      </c>
      <c r="AX2081" s="1" t="s">
        <v>212</v>
      </c>
      <c r="AZ2081" s="1">
        <v>1805</v>
      </c>
      <c r="BA2081" s="1">
        <v>2013</v>
      </c>
      <c r="BB2081" s="1" t="s">
        <v>405</v>
      </c>
      <c r="BE2081" s="1">
        <v>750</v>
      </c>
      <c r="BF2081" s="1">
        <v>2</v>
      </c>
      <c r="BG2081" s="1">
        <v>30</v>
      </c>
      <c r="BJ2081" s="1">
        <v>100</v>
      </c>
      <c r="BL2081" s="1">
        <v>256</v>
      </c>
      <c r="BM2081" s="1" t="s">
        <v>204</v>
      </c>
      <c r="BN2081" s="1" t="s">
        <v>213</v>
      </c>
      <c r="BO2081" s="1" t="s">
        <v>402</v>
      </c>
      <c r="BP2081" s="1" t="s">
        <v>204</v>
      </c>
      <c r="BR2081" s="1" t="str">
        <f>"0921213141"</f>
        <v>0921213141</v>
      </c>
      <c r="BT2081" s="1" t="s">
        <v>18790</v>
      </c>
      <c r="BU2081" s="1" t="s">
        <v>2980</v>
      </c>
      <c r="BV2081" s="1" t="s">
        <v>2981</v>
      </c>
      <c r="BW2081" s="1" t="s">
        <v>3099</v>
      </c>
      <c r="BX2081" s="1">
        <v>60</v>
      </c>
      <c r="BY2081" s="1">
        <v>60</v>
      </c>
      <c r="BZ2081" s="1">
        <v>99</v>
      </c>
      <c r="CB2081" s="1" t="str">
        <f t="shared" ref="CB2081:CC2081" si="1590">"0"</f>
        <v>0</v>
      </c>
      <c r="CC2081" s="1" t="str">
        <f t="shared" si="1590"/>
        <v>0</v>
      </c>
      <c r="CD2081" s="1">
        <v>18</v>
      </c>
      <c r="CE2081" s="1">
        <v>7</v>
      </c>
      <c r="CG2081" s="1" t="s">
        <v>581</v>
      </c>
      <c r="CH2081" s="1" t="s">
        <v>219</v>
      </c>
      <c r="CK2081" s="1" t="s">
        <v>539</v>
      </c>
      <c r="CL2081" s="1" t="s">
        <v>219</v>
      </c>
      <c r="CO2081" s="1" t="s">
        <v>2031</v>
      </c>
      <c r="CP2081" s="1" t="s">
        <v>219</v>
      </c>
      <c r="CS2081" s="1" t="s">
        <v>346</v>
      </c>
      <c r="CT2081" s="1" t="s">
        <v>219</v>
      </c>
      <c r="CX2081" s="1" t="s">
        <v>224</v>
      </c>
      <c r="DB2081" s="1" t="s">
        <v>224</v>
      </c>
      <c r="DE2081" s="1" t="s">
        <v>516</v>
      </c>
      <c r="DF2081" s="1" t="s">
        <v>219</v>
      </c>
      <c r="DJ2081" s="1" t="s">
        <v>224</v>
      </c>
      <c r="DS2081" s="1" t="s">
        <v>230</v>
      </c>
      <c r="DW2081" s="1" t="s">
        <v>230</v>
      </c>
      <c r="EA2081" s="1" t="s">
        <v>230</v>
      </c>
      <c r="EE2081" s="1" t="s">
        <v>230</v>
      </c>
      <c r="EI2081" s="1" t="s">
        <v>230</v>
      </c>
      <c r="EL2081" s="1" t="s">
        <v>231</v>
      </c>
      <c r="EM2081" s="1" t="s">
        <v>232</v>
      </c>
      <c r="EN2081" s="1" t="s">
        <v>282</v>
      </c>
      <c r="EO2081" s="1" t="s">
        <v>234</v>
      </c>
      <c r="EP2081" s="1" t="s">
        <v>5735</v>
      </c>
      <c r="ER2081" s="1" t="s">
        <v>210</v>
      </c>
      <c r="EU2081" s="1" t="s">
        <v>239</v>
      </c>
      <c r="EV2081" s="1" t="s">
        <v>352</v>
      </c>
      <c r="EW2081" s="1" t="s">
        <v>4236</v>
      </c>
      <c r="EY2081" s="1" t="s">
        <v>790</v>
      </c>
      <c r="EZ2081" s="1" t="s">
        <v>287</v>
      </c>
      <c r="FC2081" s="1" t="s">
        <v>633</v>
      </c>
      <c r="FD2081" s="1" t="s">
        <v>246</v>
      </c>
      <c r="FE2081" s="1" t="s">
        <v>247</v>
      </c>
      <c r="FF2081" s="1" t="s">
        <v>248</v>
      </c>
      <c r="FH2081" s="1" t="s">
        <v>249</v>
      </c>
      <c r="FI2081" s="1" t="s">
        <v>473</v>
      </c>
      <c r="FL2081" s="1" t="s">
        <v>358</v>
      </c>
      <c r="FM2081" s="1" t="s">
        <v>252</v>
      </c>
      <c r="FN2081" s="1" t="s">
        <v>213</v>
      </c>
      <c r="FO2081" s="1" t="s">
        <v>213</v>
      </c>
      <c r="FQ2081" s="1" t="s">
        <v>689</v>
      </c>
      <c r="FR2081" s="1" t="s">
        <v>210</v>
      </c>
      <c r="FS2081" s="1" t="s">
        <v>1908</v>
      </c>
      <c r="FT2081" s="1" t="s">
        <v>584</v>
      </c>
      <c r="FU2081" s="1" t="s">
        <v>204</v>
      </c>
      <c r="FW2081" s="1" t="s">
        <v>915</v>
      </c>
      <c r="FX2081" s="1">
        <v>23076</v>
      </c>
      <c r="FY2081" s="1" t="s">
        <v>1909</v>
      </c>
      <c r="FZ2081" s="1" t="s">
        <v>1910</v>
      </c>
      <c r="GA2081" s="1">
        <v>213408</v>
      </c>
      <c r="GB2081" s="1" t="s">
        <v>1911</v>
      </c>
      <c r="GE2081" s="1" t="s">
        <v>210</v>
      </c>
      <c r="GH2081" s="1" t="s">
        <v>589</v>
      </c>
      <c r="GI2081" s="1" t="s">
        <v>213</v>
      </c>
      <c r="GJ2081" s="1" t="s">
        <v>300</v>
      </c>
      <c r="GK2081" s="1" t="s">
        <v>210</v>
      </c>
      <c r="GL2081" s="2">
        <v>42146</v>
      </c>
      <c r="GM2081" s="1" t="s">
        <v>1912</v>
      </c>
    </row>
    <row r="2082" spans="1:195">
      <c r="A2082" s="1">
        <v>237700</v>
      </c>
      <c r="B2082" s="1" t="s">
        <v>195</v>
      </c>
      <c r="C2082" s="1" t="str">
        <f>"08750724"</f>
        <v>08750724</v>
      </c>
      <c r="D2082" s="1" t="s">
        <v>196</v>
      </c>
      <c r="F2082" s="1" t="str">
        <f>"134"</f>
        <v>134</v>
      </c>
      <c r="G2082" s="2">
        <v>41922</v>
      </c>
      <c r="H2082" s="1">
        <v>247700</v>
      </c>
      <c r="I2082" s="1">
        <v>237700</v>
      </c>
      <c r="J2082" s="1">
        <v>237700</v>
      </c>
      <c r="K2082" s="2">
        <v>41922</v>
      </c>
      <c r="L2082" s="1">
        <v>166</v>
      </c>
      <c r="M2082" s="2">
        <v>42087</v>
      </c>
      <c r="N2082" s="1">
        <v>166</v>
      </c>
      <c r="O2082" s="2">
        <v>42087</v>
      </c>
      <c r="P2082" s="1">
        <v>30</v>
      </c>
      <c r="Q2082" s="1" t="s">
        <v>197</v>
      </c>
      <c r="R2082" s="2">
        <v>42124</v>
      </c>
      <c r="S2082" s="1">
        <v>497</v>
      </c>
      <c r="U2082" s="1">
        <v>10</v>
      </c>
      <c r="V2082" s="1" t="s">
        <v>18791</v>
      </c>
      <c r="W2082" s="1" t="s">
        <v>725</v>
      </c>
      <c r="X2082" s="1">
        <v>201</v>
      </c>
      <c r="Y2082" s="1">
        <v>24</v>
      </c>
      <c r="Z2082" s="1" t="s">
        <v>370</v>
      </c>
      <c r="AA2082" s="1" t="s">
        <v>661</v>
      </c>
      <c r="AB2082" s="1">
        <v>60134</v>
      </c>
      <c r="AD2082" s="1" t="s">
        <v>10856</v>
      </c>
      <c r="AE2082" s="1" t="s">
        <v>18792</v>
      </c>
      <c r="AF2082" s="1">
        <v>2005</v>
      </c>
      <c r="AG2082" s="1" t="s">
        <v>204</v>
      </c>
      <c r="AH2082" s="1" t="s">
        <v>664</v>
      </c>
      <c r="AI2082" s="1" t="s">
        <v>665</v>
      </c>
      <c r="AJ2082" s="1" t="s">
        <v>664</v>
      </c>
      <c r="AK2082" s="1" t="s">
        <v>18793</v>
      </c>
      <c r="AL2082" s="1">
        <v>5</v>
      </c>
      <c r="AM2082" s="1">
        <v>2</v>
      </c>
      <c r="AN2082" s="1">
        <v>2</v>
      </c>
      <c r="AO2082" s="1">
        <v>0</v>
      </c>
      <c r="AP2082" s="1" t="s">
        <v>209</v>
      </c>
      <c r="AR2082" s="1" t="s">
        <v>210</v>
      </c>
      <c r="AS2082" s="1" t="s">
        <v>204</v>
      </c>
      <c r="AT2082" s="1" t="s">
        <v>211</v>
      </c>
      <c r="AU2082" s="1">
        <v>1</v>
      </c>
      <c r="AW2082" s="1" t="s">
        <v>213</v>
      </c>
      <c r="AX2082" s="1" t="s">
        <v>212</v>
      </c>
      <c r="AZ2082" s="1">
        <v>7843</v>
      </c>
      <c r="BA2082" s="1">
        <v>2013</v>
      </c>
      <c r="BB2082" s="1" t="s">
        <v>210</v>
      </c>
      <c r="BE2082" s="1">
        <v>1384</v>
      </c>
      <c r="BF2082" s="1">
        <v>2</v>
      </c>
      <c r="BG2082" s="1">
        <v>0</v>
      </c>
      <c r="BL2082" s="1">
        <v>359</v>
      </c>
      <c r="BM2082" s="1" t="s">
        <v>204</v>
      </c>
      <c r="BN2082" s="1" t="s">
        <v>213</v>
      </c>
      <c r="BO2082" s="1">
        <v>999</v>
      </c>
      <c r="BP2082" s="1" t="s">
        <v>204</v>
      </c>
      <c r="BR2082" s="1" t="str">
        <f>"1203427080"</f>
        <v>1203427080</v>
      </c>
      <c r="BT2082" s="1" t="s">
        <v>18794</v>
      </c>
      <c r="BX2082" s="1">
        <v>304</v>
      </c>
      <c r="BY2082" s="1">
        <v>304</v>
      </c>
      <c r="BZ2082" s="1">
        <v>304</v>
      </c>
      <c r="CB2082" s="1" t="str">
        <f>"1"</f>
        <v>1</v>
      </c>
      <c r="CC2082" s="1" t="str">
        <f>"0"</f>
        <v>0</v>
      </c>
      <c r="CD2082" s="1">
        <v>34</v>
      </c>
      <c r="CE2082" s="1">
        <v>0</v>
      </c>
      <c r="CG2082" s="1" t="s">
        <v>601</v>
      </c>
      <c r="CH2082" s="1" t="s">
        <v>219</v>
      </c>
      <c r="CI2082" s="1" t="s">
        <v>220</v>
      </c>
      <c r="CK2082" s="1" t="s">
        <v>315</v>
      </c>
      <c r="CL2082" s="1" t="s">
        <v>219</v>
      </c>
      <c r="CM2082" s="1" t="s">
        <v>220</v>
      </c>
      <c r="CO2082" s="1" t="s">
        <v>223</v>
      </c>
      <c r="CP2082" s="1" t="s">
        <v>219</v>
      </c>
      <c r="CQ2082" s="1" t="s">
        <v>220</v>
      </c>
      <c r="CS2082" s="1" t="s">
        <v>223</v>
      </c>
      <c r="CT2082" s="1" t="s">
        <v>219</v>
      </c>
      <c r="CU2082" s="1" t="s">
        <v>220</v>
      </c>
      <c r="CX2082" s="1" t="s">
        <v>224</v>
      </c>
      <c r="DB2082" s="1" t="s">
        <v>224</v>
      </c>
      <c r="DE2082" s="1" t="s">
        <v>346</v>
      </c>
      <c r="DF2082" s="1" t="s">
        <v>219</v>
      </c>
      <c r="DG2082" s="1" t="s">
        <v>226</v>
      </c>
      <c r="DJ2082" s="1" t="s">
        <v>224</v>
      </c>
      <c r="DM2082" s="1" t="s">
        <v>8767</v>
      </c>
      <c r="DR2082" s="1" t="s">
        <v>837</v>
      </c>
      <c r="DS2082" s="1" t="s">
        <v>219</v>
      </c>
      <c r="DT2082" s="1" t="s">
        <v>347</v>
      </c>
      <c r="DW2082" s="1" t="s">
        <v>230</v>
      </c>
      <c r="EA2082" s="1" t="s">
        <v>230</v>
      </c>
      <c r="EE2082" s="1" t="s">
        <v>230</v>
      </c>
      <c r="EI2082" s="1" t="s">
        <v>230</v>
      </c>
      <c r="EL2082" s="1" t="s">
        <v>491</v>
      </c>
      <c r="EM2082" s="1" t="s">
        <v>319</v>
      </c>
      <c r="EN2082" s="1" t="s">
        <v>282</v>
      </c>
      <c r="EO2082" s="1" t="s">
        <v>234</v>
      </c>
      <c r="EP2082" s="1" t="s">
        <v>16489</v>
      </c>
      <c r="EQ2082" s="1" t="s">
        <v>1551</v>
      </c>
      <c r="ER2082" s="1" t="s">
        <v>210</v>
      </c>
      <c r="ES2082" s="1" t="s">
        <v>493</v>
      </c>
      <c r="EU2082" s="1" t="s">
        <v>18795</v>
      </c>
      <c r="EV2082" s="1" t="s">
        <v>324</v>
      </c>
      <c r="EW2082" s="1" t="s">
        <v>286</v>
      </c>
      <c r="EY2082" s="1" t="s">
        <v>790</v>
      </c>
      <c r="EZ2082" s="1" t="s">
        <v>8767</v>
      </c>
      <c r="FA2082" s="1" t="s">
        <v>1072</v>
      </c>
      <c r="FD2082" s="1" t="s">
        <v>246</v>
      </c>
      <c r="FE2082" s="1" t="s">
        <v>15532</v>
      </c>
      <c r="FF2082" s="1" t="s">
        <v>248</v>
      </c>
      <c r="FH2082" s="1" t="s">
        <v>249</v>
      </c>
      <c r="FI2082" s="1" t="s">
        <v>357</v>
      </c>
      <c r="FL2082" s="1" t="s">
        <v>358</v>
      </c>
      <c r="FM2082" s="1" t="s">
        <v>252</v>
      </c>
      <c r="FN2082" s="1" t="s">
        <v>213</v>
      </c>
      <c r="FO2082" s="1" t="s">
        <v>213</v>
      </c>
      <c r="FQ2082" s="1" t="s">
        <v>793</v>
      </c>
      <c r="FR2082" s="1" t="s">
        <v>210</v>
      </c>
      <c r="FS2082" s="1" t="s">
        <v>18796</v>
      </c>
      <c r="FT2082" s="1" t="s">
        <v>295</v>
      </c>
      <c r="FU2082" s="1" t="s">
        <v>204</v>
      </c>
      <c r="FW2082" s="1" t="s">
        <v>3243</v>
      </c>
      <c r="FX2082" s="1">
        <v>604</v>
      </c>
      <c r="FY2082" s="1" t="s">
        <v>3244</v>
      </c>
      <c r="FZ2082" s="1" t="s">
        <v>3245</v>
      </c>
      <c r="GA2082" s="1">
        <v>381</v>
      </c>
      <c r="GB2082" s="1" t="s">
        <v>3246</v>
      </c>
      <c r="GC2082" s="1">
        <v>8597</v>
      </c>
      <c r="GE2082" s="1" t="s">
        <v>1256</v>
      </c>
      <c r="GI2082" s="1" t="s">
        <v>213</v>
      </c>
      <c r="GJ2082" s="1" t="s">
        <v>260</v>
      </c>
      <c r="GK2082" s="1" t="s">
        <v>210</v>
      </c>
      <c r="GL2082" s="2">
        <v>42124</v>
      </c>
      <c r="GM2082" s="1" t="s">
        <v>18797</v>
      </c>
    </row>
    <row r="2083" spans="1:195">
      <c r="A2083" s="1">
        <v>89900</v>
      </c>
      <c r="B2083" s="1" t="s">
        <v>195</v>
      </c>
      <c r="C2083" s="1" t="str">
        <f>"08753171"</f>
        <v>08753171</v>
      </c>
      <c r="D2083" s="1" t="s">
        <v>196</v>
      </c>
      <c r="F2083" s="1" t="str">
        <f>"8043"</f>
        <v>8043</v>
      </c>
      <c r="G2083" s="2">
        <v>41926</v>
      </c>
      <c r="H2083" s="1">
        <v>89900</v>
      </c>
      <c r="I2083" s="1">
        <v>89900</v>
      </c>
      <c r="J2083" s="1">
        <v>89900</v>
      </c>
      <c r="K2083" s="2">
        <v>41926</v>
      </c>
      <c r="L2083" s="1">
        <v>14</v>
      </c>
      <c r="M2083" s="2">
        <v>41939</v>
      </c>
      <c r="N2083" s="1">
        <v>14</v>
      </c>
      <c r="O2083" s="2">
        <v>41939</v>
      </c>
      <c r="P2083" s="1">
        <v>85367</v>
      </c>
      <c r="Q2083" s="1" t="s">
        <v>197</v>
      </c>
      <c r="R2083" s="2">
        <v>42020</v>
      </c>
      <c r="S2083" s="1">
        <v>103732</v>
      </c>
      <c r="U2083" s="1">
        <v>6701</v>
      </c>
      <c r="V2083" s="1" t="s">
        <v>18798</v>
      </c>
      <c r="W2083" s="1" t="s">
        <v>425</v>
      </c>
      <c r="X2083" s="1" t="s">
        <v>18799</v>
      </c>
      <c r="Y2083" s="1">
        <v>53</v>
      </c>
      <c r="Z2083" s="1" t="s">
        <v>249</v>
      </c>
      <c r="AA2083" s="1" t="s">
        <v>400</v>
      </c>
      <c r="AB2083" s="1">
        <v>60649</v>
      </c>
      <c r="AC2083" s="1">
        <v>1214</v>
      </c>
      <c r="AE2083" s="1" t="s">
        <v>18800</v>
      </c>
      <c r="AF2083" s="1">
        <v>1962</v>
      </c>
      <c r="AG2083" s="1" t="s">
        <v>213</v>
      </c>
      <c r="AH2083" s="1" t="s">
        <v>403</v>
      </c>
      <c r="AI2083" s="1" t="s">
        <v>310</v>
      </c>
      <c r="AJ2083" s="1" t="s">
        <v>562</v>
      </c>
      <c r="AL2083" s="1">
        <v>5</v>
      </c>
      <c r="AM2083" s="1">
        <v>2</v>
      </c>
      <c r="AN2083" s="1">
        <v>2</v>
      </c>
      <c r="AO2083" s="1">
        <v>0</v>
      </c>
      <c r="AP2083" s="1" t="s">
        <v>209</v>
      </c>
      <c r="AR2083" s="1" t="s">
        <v>210</v>
      </c>
      <c r="AS2083" s="1" t="s">
        <v>204</v>
      </c>
      <c r="AT2083" s="1" t="s">
        <v>210</v>
      </c>
      <c r="AW2083" s="1" t="s">
        <v>213</v>
      </c>
      <c r="AX2083" s="1" t="s">
        <v>212</v>
      </c>
      <c r="AZ2083" s="1">
        <v>1666.92</v>
      </c>
      <c r="BA2083" s="1">
        <v>2013</v>
      </c>
      <c r="BB2083" s="1" t="s">
        <v>405</v>
      </c>
      <c r="BE2083" s="1">
        <v>1250</v>
      </c>
      <c r="BF2083" s="1">
        <v>10</v>
      </c>
      <c r="BG2083" s="1">
        <v>14</v>
      </c>
      <c r="BL2083" s="1">
        <v>436</v>
      </c>
      <c r="BM2083" s="1" t="s">
        <v>413</v>
      </c>
      <c r="BN2083" s="1" t="s">
        <v>213</v>
      </c>
      <c r="BO2083" s="1">
        <v>25</v>
      </c>
      <c r="BP2083" s="1" t="s">
        <v>204</v>
      </c>
      <c r="BR2083" s="1" t="str">
        <f>"20244050401024"</f>
        <v>20244050401024</v>
      </c>
      <c r="BT2083" s="1" t="s">
        <v>18801</v>
      </c>
      <c r="BX2083" s="1">
        <v>299</v>
      </c>
      <c r="BY2083" s="1">
        <v>299</v>
      </c>
      <c r="BZ2083" s="1">
        <v>299</v>
      </c>
      <c r="CB2083" s="1" t="str">
        <f t="shared" ref="CB2083:CB2084" si="1591">"0"</f>
        <v>0</v>
      </c>
      <c r="CC2083" s="1" t="str">
        <f>"2300"</f>
        <v>2300</v>
      </c>
      <c r="CD2083" s="1">
        <v>0</v>
      </c>
      <c r="CE2083" s="1">
        <v>6701</v>
      </c>
      <c r="CG2083" s="1" t="s">
        <v>862</v>
      </c>
      <c r="CH2083" s="1" t="s">
        <v>219</v>
      </c>
      <c r="CK2083" s="1" t="s">
        <v>757</v>
      </c>
      <c r="CL2083" s="1" t="s">
        <v>219</v>
      </c>
      <c r="CO2083" s="1" t="s">
        <v>346</v>
      </c>
      <c r="CP2083" s="1" t="s">
        <v>219</v>
      </c>
      <c r="CS2083" s="1" t="s">
        <v>786</v>
      </c>
      <c r="CT2083" s="1" t="s">
        <v>219</v>
      </c>
      <c r="CX2083" s="1" t="s">
        <v>224</v>
      </c>
      <c r="DB2083" s="1" t="s">
        <v>224</v>
      </c>
      <c r="DE2083" s="1" t="s">
        <v>346</v>
      </c>
      <c r="DF2083" s="1" t="s">
        <v>219</v>
      </c>
      <c r="DJ2083" s="1" t="s">
        <v>224</v>
      </c>
      <c r="DS2083" s="1" t="s">
        <v>230</v>
      </c>
      <c r="DW2083" s="1" t="s">
        <v>230</v>
      </c>
      <c r="EA2083" s="1" t="s">
        <v>230</v>
      </c>
      <c r="EE2083" s="1" t="s">
        <v>230</v>
      </c>
      <c r="EI2083" s="1" t="s">
        <v>230</v>
      </c>
      <c r="EL2083" s="1" t="s">
        <v>649</v>
      </c>
      <c r="EM2083" s="1" t="s">
        <v>232</v>
      </c>
      <c r="EN2083" s="1" t="s">
        <v>282</v>
      </c>
      <c r="EO2083" s="1" t="s">
        <v>234</v>
      </c>
      <c r="EP2083" s="1" t="s">
        <v>18802</v>
      </c>
      <c r="ER2083" s="1" t="s">
        <v>210</v>
      </c>
      <c r="EW2083" s="1" t="s">
        <v>18803</v>
      </c>
      <c r="EY2083" s="1" t="s">
        <v>242</v>
      </c>
      <c r="EZ2083" s="1" t="s">
        <v>287</v>
      </c>
      <c r="FB2083" s="1" t="s">
        <v>289</v>
      </c>
      <c r="FD2083" s="1" t="s">
        <v>290</v>
      </c>
      <c r="FE2083" s="1" t="s">
        <v>247</v>
      </c>
      <c r="FF2083" s="1" t="s">
        <v>248</v>
      </c>
      <c r="FH2083" s="1" t="s">
        <v>249</v>
      </c>
      <c r="FL2083" s="1" t="s">
        <v>358</v>
      </c>
      <c r="FM2083" s="1" t="s">
        <v>252</v>
      </c>
      <c r="FN2083" s="1" t="s">
        <v>213</v>
      </c>
      <c r="FO2083" s="1" t="s">
        <v>213</v>
      </c>
      <c r="FQ2083" s="1" t="s">
        <v>3784</v>
      </c>
      <c r="FR2083" s="1" t="s">
        <v>210</v>
      </c>
      <c r="FS2083" s="1" t="s">
        <v>1429</v>
      </c>
      <c r="FT2083" s="1" t="s">
        <v>5439</v>
      </c>
      <c r="FU2083" s="1" t="s">
        <v>204</v>
      </c>
      <c r="FW2083" s="1" t="s">
        <v>3509</v>
      </c>
      <c r="FX2083" s="1">
        <v>85367</v>
      </c>
      <c r="FY2083" s="1" t="s">
        <v>4051</v>
      </c>
      <c r="FZ2083" s="1" t="s">
        <v>18804</v>
      </c>
      <c r="GA2083" s="1">
        <v>103732</v>
      </c>
      <c r="GB2083" s="1" t="s">
        <v>18805</v>
      </c>
      <c r="GE2083" s="1" t="s">
        <v>210</v>
      </c>
      <c r="GH2083" s="1" t="s">
        <v>421</v>
      </c>
      <c r="GI2083" s="1" t="s">
        <v>204</v>
      </c>
      <c r="GJ2083" s="1" t="s">
        <v>260</v>
      </c>
      <c r="GK2083" s="1" t="s">
        <v>210</v>
      </c>
      <c r="GL2083" s="2">
        <v>42020</v>
      </c>
      <c r="GM2083" s="1" t="s">
        <v>18806</v>
      </c>
    </row>
    <row r="2084" spans="1:195">
      <c r="A2084" s="1">
        <v>11000</v>
      </c>
      <c r="B2084" s="1" t="s">
        <v>195</v>
      </c>
      <c r="C2084" s="1" t="str">
        <f>"08752137"</f>
        <v>08752137</v>
      </c>
      <c r="D2084" s="1" t="s">
        <v>196</v>
      </c>
      <c r="F2084" s="1" t="str">
        <f>"8069"</f>
        <v>8069</v>
      </c>
      <c r="G2084" s="2">
        <v>41925</v>
      </c>
      <c r="H2084" s="1">
        <v>16480</v>
      </c>
      <c r="I2084" s="1">
        <v>16480</v>
      </c>
      <c r="J2084" s="1">
        <v>11000</v>
      </c>
      <c r="K2084" s="2">
        <v>41925</v>
      </c>
      <c r="L2084" s="1">
        <v>54</v>
      </c>
      <c r="M2084" s="2">
        <v>41978</v>
      </c>
      <c r="N2084" s="1">
        <v>54</v>
      </c>
      <c r="O2084" s="2">
        <v>41978</v>
      </c>
      <c r="P2084" s="1">
        <v>18712</v>
      </c>
      <c r="Q2084" s="1" t="s">
        <v>302</v>
      </c>
      <c r="R2084" s="2">
        <v>42025</v>
      </c>
      <c r="S2084" s="1">
        <v>868904</v>
      </c>
      <c r="U2084" s="1">
        <v>525</v>
      </c>
      <c r="V2084" s="1" t="s">
        <v>8098</v>
      </c>
      <c r="W2084" s="1" t="s">
        <v>725</v>
      </c>
      <c r="Y2084" s="1">
        <v>2</v>
      </c>
      <c r="Z2084" s="1" t="s">
        <v>200</v>
      </c>
      <c r="AA2084" s="1" t="s">
        <v>400</v>
      </c>
      <c r="AB2084" s="1">
        <v>60620</v>
      </c>
      <c r="AC2084" s="1">
        <v>1822</v>
      </c>
      <c r="AE2084" s="1" t="s">
        <v>18807</v>
      </c>
      <c r="AF2084" s="1">
        <v>1886</v>
      </c>
      <c r="AG2084" s="1" t="s">
        <v>213</v>
      </c>
      <c r="AH2084" s="1" t="s">
        <v>403</v>
      </c>
      <c r="AI2084" s="1" t="s">
        <v>310</v>
      </c>
      <c r="AJ2084" s="1" t="s">
        <v>683</v>
      </c>
      <c r="AK2084" s="1" t="s">
        <v>18808</v>
      </c>
      <c r="AL2084" s="1">
        <v>10</v>
      </c>
      <c r="AM2084" s="1">
        <v>2</v>
      </c>
      <c r="AN2084" s="1">
        <v>3</v>
      </c>
      <c r="AO2084" s="1">
        <v>0</v>
      </c>
      <c r="AP2084" s="1" t="s">
        <v>210</v>
      </c>
      <c r="AQ2084" s="1">
        <v>1</v>
      </c>
      <c r="AR2084" s="1" t="s">
        <v>209</v>
      </c>
      <c r="AS2084" s="1" t="s">
        <v>204</v>
      </c>
      <c r="AT2084" s="1" t="s">
        <v>210</v>
      </c>
      <c r="AW2084" s="1" t="s">
        <v>204</v>
      </c>
      <c r="AX2084" s="1" t="s">
        <v>18809</v>
      </c>
      <c r="AZ2084" s="1">
        <v>1296.47</v>
      </c>
      <c r="BA2084" s="1">
        <v>2012</v>
      </c>
      <c r="BB2084" s="1" t="s">
        <v>210</v>
      </c>
      <c r="BE2084" s="1">
        <v>2112</v>
      </c>
      <c r="BF2084" s="1">
        <v>1</v>
      </c>
      <c r="BG2084" s="1">
        <v>0</v>
      </c>
      <c r="BL2084" s="1">
        <v>0</v>
      </c>
      <c r="BM2084" s="1" t="s">
        <v>204</v>
      </c>
      <c r="BN2084" s="1" t="s">
        <v>213</v>
      </c>
      <c r="BO2084" s="1">
        <v>999</v>
      </c>
      <c r="BP2084" s="1" t="s">
        <v>204</v>
      </c>
      <c r="BR2084" s="1" t="str">
        <f>"20283260050000"</f>
        <v>20283260050000</v>
      </c>
      <c r="BT2084" s="1" t="s">
        <v>18810</v>
      </c>
      <c r="BX2084" s="1">
        <v>299</v>
      </c>
      <c r="BY2084" s="1">
        <v>299</v>
      </c>
      <c r="BZ2084" s="1">
        <v>299</v>
      </c>
      <c r="CB2084" s="1" t="str">
        <f t="shared" si="1591"/>
        <v>0</v>
      </c>
      <c r="CC2084" s="1" t="str">
        <f t="shared" ref="CC2084:CC2085" si="1592">"0"</f>
        <v>0</v>
      </c>
      <c r="CD2084" s="1">
        <v>525</v>
      </c>
      <c r="CE2084" s="1">
        <v>7800</v>
      </c>
      <c r="CG2084" s="1" t="s">
        <v>757</v>
      </c>
      <c r="CH2084" s="1" t="s">
        <v>219</v>
      </c>
      <c r="CI2084" s="1" t="s">
        <v>438</v>
      </c>
      <c r="CK2084" s="1" t="s">
        <v>757</v>
      </c>
      <c r="CL2084" s="1" t="s">
        <v>277</v>
      </c>
      <c r="CO2084" s="1" t="s">
        <v>379</v>
      </c>
      <c r="CP2084" s="1" t="s">
        <v>219</v>
      </c>
      <c r="CQ2084" s="1" t="s">
        <v>438</v>
      </c>
      <c r="CS2084" s="1" t="s">
        <v>378</v>
      </c>
      <c r="CT2084" s="1" t="s">
        <v>277</v>
      </c>
      <c r="CX2084" s="1" t="s">
        <v>224</v>
      </c>
      <c r="DB2084" s="1" t="s">
        <v>224</v>
      </c>
      <c r="DE2084" s="1" t="s">
        <v>379</v>
      </c>
      <c r="DF2084" s="1" t="s">
        <v>219</v>
      </c>
      <c r="DH2084" s="1" t="s">
        <v>210</v>
      </c>
      <c r="DI2084" s="1" t="s">
        <v>379</v>
      </c>
      <c r="DJ2084" s="1" t="s">
        <v>219</v>
      </c>
      <c r="DK2084" s="1" t="s">
        <v>438</v>
      </c>
      <c r="DM2084" s="1" t="s">
        <v>3592</v>
      </c>
      <c r="DN2084" s="1" t="s">
        <v>5320</v>
      </c>
      <c r="DO2084" s="1" t="s">
        <v>1005</v>
      </c>
      <c r="DP2084" s="1" t="s">
        <v>934</v>
      </c>
      <c r="DR2084" s="1" t="s">
        <v>379</v>
      </c>
      <c r="DS2084" s="1" t="s">
        <v>277</v>
      </c>
      <c r="DV2084" s="1" t="s">
        <v>378</v>
      </c>
      <c r="DW2084" s="1" t="s">
        <v>277</v>
      </c>
      <c r="DZ2084" s="1" t="s">
        <v>318</v>
      </c>
      <c r="EA2084" s="1" t="s">
        <v>277</v>
      </c>
      <c r="ED2084" s="1" t="s">
        <v>1004</v>
      </c>
      <c r="EE2084" s="1" t="s">
        <v>822</v>
      </c>
      <c r="EI2084" s="1" t="s">
        <v>230</v>
      </c>
      <c r="EL2084" s="1" t="s">
        <v>787</v>
      </c>
      <c r="EM2084" s="1" t="s">
        <v>232</v>
      </c>
      <c r="EN2084" s="1" t="s">
        <v>282</v>
      </c>
      <c r="EO2084" s="1" t="s">
        <v>234</v>
      </c>
      <c r="EP2084" s="1" t="s">
        <v>788</v>
      </c>
      <c r="ER2084" s="1" t="s">
        <v>351</v>
      </c>
      <c r="EU2084" s="1" t="s">
        <v>546</v>
      </c>
      <c r="EV2084" s="1" t="s">
        <v>324</v>
      </c>
      <c r="EW2084" s="1" t="s">
        <v>210</v>
      </c>
      <c r="EZ2084" s="1" t="s">
        <v>18811</v>
      </c>
      <c r="FB2084" s="1" t="s">
        <v>734</v>
      </c>
      <c r="FD2084" s="1" t="s">
        <v>246</v>
      </c>
      <c r="FE2084" s="1" t="s">
        <v>566</v>
      </c>
      <c r="FF2084" s="1" t="s">
        <v>248</v>
      </c>
      <c r="FH2084" s="1" t="s">
        <v>18812</v>
      </c>
      <c r="FL2084" s="1" t="s">
        <v>810</v>
      </c>
      <c r="FM2084" s="1" t="s">
        <v>252</v>
      </c>
      <c r="FN2084" s="1" t="s">
        <v>213</v>
      </c>
      <c r="FO2084" s="1" t="s">
        <v>213</v>
      </c>
      <c r="FQ2084" s="1" t="s">
        <v>18813</v>
      </c>
      <c r="FR2084" s="1" t="s">
        <v>210</v>
      </c>
      <c r="FS2084" s="1" t="s">
        <v>18814</v>
      </c>
      <c r="FT2084" s="1" t="s">
        <v>295</v>
      </c>
      <c r="FU2084" s="1" t="s">
        <v>204</v>
      </c>
      <c r="FW2084" s="1" t="s">
        <v>18815</v>
      </c>
      <c r="FX2084" s="1">
        <v>25984</v>
      </c>
      <c r="FY2084" s="1" t="s">
        <v>1665</v>
      </c>
      <c r="FZ2084" s="1" t="s">
        <v>18816</v>
      </c>
      <c r="GA2084" s="1">
        <v>237100</v>
      </c>
      <c r="GB2084" s="1" t="s">
        <v>1665</v>
      </c>
      <c r="GE2084" s="1" t="s">
        <v>1764</v>
      </c>
      <c r="GH2084" s="1" t="s">
        <v>589</v>
      </c>
      <c r="GI2084" s="1" t="s">
        <v>213</v>
      </c>
      <c r="GJ2084" s="1" t="s">
        <v>300</v>
      </c>
      <c r="GK2084" s="1" t="s">
        <v>210</v>
      </c>
      <c r="GL2084" s="2">
        <v>42030</v>
      </c>
      <c r="GM2084" s="1" t="s">
        <v>18817</v>
      </c>
    </row>
    <row r="2085" spans="1:195">
      <c r="A2085" s="1">
        <v>100000</v>
      </c>
      <c r="B2085" s="1" t="s">
        <v>195</v>
      </c>
      <c r="C2085" s="1" t="str">
        <f>"08748340"</f>
        <v>08748340</v>
      </c>
      <c r="D2085" s="1" t="s">
        <v>196</v>
      </c>
      <c r="F2085" s="1" t="str">
        <f>"42"</f>
        <v>42</v>
      </c>
      <c r="G2085" s="2">
        <v>41920</v>
      </c>
      <c r="H2085" s="1">
        <v>114900</v>
      </c>
      <c r="I2085" s="1">
        <v>114900</v>
      </c>
      <c r="J2085" s="1">
        <v>100000</v>
      </c>
      <c r="K2085" s="2">
        <v>41919</v>
      </c>
      <c r="L2085" s="1">
        <v>127</v>
      </c>
      <c r="M2085" s="2">
        <v>42045</v>
      </c>
      <c r="N2085" s="1">
        <v>127</v>
      </c>
      <c r="O2085" s="2">
        <v>42045</v>
      </c>
      <c r="P2085" s="1">
        <v>2472</v>
      </c>
      <c r="Q2085" s="1" t="s">
        <v>423</v>
      </c>
      <c r="R2085" s="2">
        <v>42090</v>
      </c>
      <c r="S2085" s="1">
        <v>20278</v>
      </c>
      <c r="T2085" s="1">
        <v>3000</v>
      </c>
      <c r="U2085" s="1">
        <v>409</v>
      </c>
      <c r="V2085" s="1" t="s">
        <v>18818</v>
      </c>
      <c r="W2085" s="1" t="s">
        <v>264</v>
      </c>
      <c r="X2085" s="1">
        <v>409</v>
      </c>
      <c r="Y2085" s="1">
        <v>2</v>
      </c>
      <c r="Z2085" s="1" t="s">
        <v>200</v>
      </c>
      <c r="AA2085" s="1" t="s">
        <v>13365</v>
      </c>
      <c r="AB2085" s="1">
        <v>60042</v>
      </c>
      <c r="AD2085" s="1" t="s">
        <v>18819</v>
      </c>
      <c r="AE2085" s="1" t="s">
        <v>18820</v>
      </c>
      <c r="AF2085" s="1">
        <v>1993</v>
      </c>
      <c r="AG2085" s="1" t="s">
        <v>204</v>
      </c>
      <c r="AH2085" s="1" t="s">
        <v>13368</v>
      </c>
      <c r="AI2085" s="1" t="s">
        <v>13369</v>
      </c>
      <c r="AJ2085" s="1" t="s">
        <v>13370</v>
      </c>
      <c r="AK2085" s="1" t="s">
        <v>18821</v>
      </c>
      <c r="AL2085" s="1">
        <v>5</v>
      </c>
      <c r="AM2085" s="1">
        <v>2</v>
      </c>
      <c r="AN2085" s="1">
        <v>2</v>
      </c>
      <c r="AO2085" s="1">
        <v>0</v>
      </c>
      <c r="AP2085" s="1" t="s">
        <v>209</v>
      </c>
      <c r="AQ2085" s="1">
        <v>1</v>
      </c>
      <c r="AR2085" s="1" t="s">
        <v>210</v>
      </c>
      <c r="AS2085" s="1" t="s">
        <v>204</v>
      </c>
      <c r="AT2085" s="1" t="s">
        <v>211</v>
      </c>
      <c r="AU2085" s="1">
        <v>2</v>
      </c>
      <c r="AW2085" s="1" t="s">
        <v>204</v>
      </c>
      <c r="AX2085" s="1" t="s">
        <v>18822</v>
      </c>
      <c r="AZ2085" s="1">
        <v>3739.86</v>
      </c>
      <c r="BA2085" s="1">
        <v>2013</v>
      </c>
      <c r="BB2085" s="1" t="s">
        <v>210</v>
      </c>
      <c r="BE2085" s="1">
        <v>1003</v>
      </c>
      <c r="BF2085" s="1">
        <v>1</v>
      </c>
      <c r="BG2085" s="1">
        <v>0</v>
      </c>
      <c r="BL2085" s="1">
        <v>45</v>
      </c>
      <c r="BM2085" s="1" t="s">
        <v>204</v>
      </c>
      <c r="BN2085" s="1" t="s">
        <v>213</v>
      </c>
      <c r="BO2085" s="1">
        <v>0</v>
      </c>
      <c r="BP2085" s="1" t="s">
        <v>204</v>
      </c>
      <c r="BR2085" s="1" t="str">
        <f>"1520203008"</f>
        <v>1520203008</v>
      </c>
      <c r="BT2085" s="1" t="s">
        <v>18823</v>
      </c>
      <c r="BU2085" s="1" t="s">
        <v>13373</v>
      </c>
      <c r="BV2085" s="1" t="s">
        <v>18824</v>
      </c>
      <c r="BW2085" s="1" t="s">
        <v>13374</v>
      </c>
      <c r="BX2085" s="1">
        <v>118</v>
      </c>
      <c r="BY2085" s="1">
        <v>118</v>
      </c>
      <c r="BZ2085" s="1">
        <v>118</v>
      </c>
      <c r="CB2085" s="1" t="str">
        <f>"28"</f>
        <v>28</v>
      </c>
      <c r="CC2085" s="1" t="str">
        <f t="shared" si="1592"/>
        <v>0</v>
      </c>
      <c r="CD2085" s="1">
        <v>29</v>
      </c>
      <c r="CE2085" s="1">
        <v>0</v>
      </c>
      <c r="CG2085" s="1" t="s">
        <v>1723</v>
      </c>
      <c r="CH2085" s="1" t="s">
        <v>219</v>
      </c>
      <c r="CI2085" s="1" t="s">
        <v>229</v>
      </c>
      <c r="CJ2085" s="1" t="s">
        <v>252</v>
      </c>
      <c r="CK2085" s="1" t="s">
        <v>757</v>
      </c>
      <c r="CL2085" s="1" t="s">
        <v>219</v>
      </c>
      <c r="CM2085" s="1" t="s">
        <v>220</v>
      </c>
      <c r="CN2085" s="1" t="s">
        <v>252</v>
      </c>
      <c r="CO2085" s="1" t="s">
        <v>409</v>
      </c>
      <c r="CP2085" s="1" t="s">
        <v>219</v>
      </c>
      <c r="CQ2085" s="1" t="s">
        <v>229</v>
      </c>
      <c r="CR2085" s="1" t="s">
        <v>210</v>
      </c>
      <c r="CS2085" s="1" t="s">
        <v>346</v>
      </c>
      <c r="CT2085" s="1" t="s">
        <v>219</v>
      </c>
      <c r="CU2085" s="1" t="s">
        <v>220</v>
      </c>
      <c r="CV2085" s="1" t="s">
        <v>252</v>
      </c>
      <c r="CX2085" s="1" t="s">
        <v>224</v>
      </c>
      <c r="DB2085" s="1" t="s">
        <v>224</v>
      </c>
      <c r="DE2085" s="1" t="s">
        <v>516</v>
      </c>
      <c r="DF2085" s="1" t="s">
        <v>219</v>
      </c>
      <c r="DG2085" s="1" t="s">
        <v>226</v>
      </c>
      <c r="DH2085" s="1" t="s">
        <v>252</v>
      </c>
      <c r="DJ2085" s="1" t="s">
        <v>224</v>
      </c>
      <c r="DS2085" s="1" t="s">
        <v>230</v>
      </c>
      <c r="DW2085" s="1" t="s">
        <v>230</v>
      </c>
      <c r="EA2085" s="1" t="s">
        <v>230</v>
      </c>
      <c r="EE2085" s="1" t="s">
        <v>230</v>
      </c>
      <c r="EI2085" s="1" t="s">
        <v>230</v>
      </c>
      <c r="EL2085" s="1" t="s">
        <v>382</v>
      </c>
      <c r="EM2085" s="1" t="s">
        <v>319</v>
      </c>
      <c r="EN2085" s="1" t="s">
        <v>282</v>
      </c>
      <c r="EO2085" s="1" t="s">
        <v>234</v>
      </c>
      <c r="EP2085" s="1" t="s">
        <v>8987</v>
      </c>
      <c r="EQ2085" s="1" t="s">
        <v>236</v>
      </c>
      <c r="ER2085" s="1" t="s">
        <v>383</v>
      </c>
      <c r="EU2085" s="1" t="s">
        <v>546</v>
      </c>
      <c r="EV2085" s="1" t="s">
        <v>240</v>
      </c>
      <c r="EW2085" s="1" t="s">
        <v>5100</v>
      </c>
      <c r="EY2085" s="1" t="s">
        <v>242</v>
      </c>
      <c r="EZ2085" s="1" t="s">
        <v>287</v>
      </c>
      <c r="FA2085" s="1" t="s">
        <v>18825</v>
      </c>
      <c r="FC2085" s="1" t="s">
        <v>326</v>
      </c>
      <c r="FD2085" s="1" t="s">
        <v>246</v>
      </c>
      <c r="FE2085" s="1" t="s">
        <v>1031</v>
      </c>
      <c r="FF2085" s="1" t="s">
        <v>248</v>
      </c>
      <c r="FG2085" s="1" t="s">
        <v>18826</v>
      </c>
      <c r="FH2085" s="1" t="s">
        <v>5479</v>
      </c>
      <c r="FI2085" s="1" t="s">
        <v>473</v>
      </c>
      <c r="FJ2085" s="1" t="s">
        <v>518</v>
      </c>
      <c r="FL2085" s="1" t="s">
        <v>358</v>
      </c>
      <c r="FM2085" s="1" t="s">
        <v>252</v>
      </c>
      <c r="FN2085" s="1" t="s">
        <v>213</v>
      </c>
      <c r="FO2085" s="1" t="s">
        <v>213</v>
      </c>
      <c r="FQ2085" s="1" t="s">
        <v>1758</v>
      </c>
      <c r="FR2085" s="1" t="s">
        <v>210</v>
      </c>
      <c r="FS2085" s="1" t="s">
        <v>18827</v>
      </c>
      <c r="FT2085" s="1" t="s">
        <v>295</v>
      </c>
      <c r="FU2085" s="1" t="s">
        <v>204</v>
      </c>
      <c r="FW2085" s="1" t="s">
        <v>2590</v>
      </c>
      <c r="FX2085" s="1">
        <v>2644</v>
      </c>
      <c r="FY2085" s="1" t="s">
        <v>2591</v>
      </c>
      <c r="FZ2085" s="1" t="s">
        <v>18828</v>
      </c>
      <c r="GA2085" s="1">
        <v>28124</v>
      </c>
      <c r="GB2085" s="1" t="s">
        <v>18829</v>
      </c>
      <c r="GE2085" s="1" t="s">
        <v>480</v>
      </c>
      <c r="GI2085" s="1" t="s">
        <v>213</v>
      </c>
      <c r="GJ2085" s="1" t="s">
        <v>260</v>
      </c>
      <c r="GK2085" s="1" t="s">
        <v>261</v>
      </c>
      <c r="GL2085" s="2">
        <v>42090</v>
      </c>
      <c r="GM2085" s="1" t="s">
        <v>18830</v>
      </c>
    </row>
    <row r="2086" spans="1:195">
      <c r="A2086" s="1">
        <v>156100</v>
      </c>
      <c r="B2086" s="1" t="s">
        <v>195</v>
      </c>
      <c r="C2086" s="1" t="str">
        <f>"08754387"</f>
        <v>08754387</v>
      </c>
      <c r="D2086" s="1" t="s">
        <v>196</v>
      </c>
      <c r="F2086" s="1" t="str">
        <f>"540"</f>
        <v>540</v>
      </c>
      <c r="G2086" s="2">
        <v>41928</v>
      </c>
      <c r="H2086" s="1">
        <v>164900</v>
      </c>
      <c r="I2086" s="1">
        <v>164900</v>
      </c>
      <c r="J2086" s="1">
        <v>156100</v>
      </c>
      <c r="K2086" s="2">
        <v>41928</v>
      </c>
      <c r="L2086" s="1">
        <v>133</v>
      </c>
      <c r="M2086" s="2">
        <v>42060</v>
      </c>
      <c r="N2086" s="1">
        <v>133</v>
      </c>
      <c r="O2086" s="2">
        <v>42060</v>
      </c>
      <c r="P2086" s="1">
        <v>25870</v>
      </c>
      <c r="Q2086" s="1" t="s">
        <v>197</v>
      </c>
      <c r="R2086" s="2">
        <v>42090</v>
      </c>
      <c r="S2086" s="1">
        <v>243950</v>
      </c>
      <c r="U2086" s="1">
        <v>2317</v>
      </c>
      <c r="V2086" s="1" t="s">
        <v>18831</v>
      </c>
      <c r="W2086" s="1" t="s">
        <v>304</v>
      </c>
      <c r="X2086" s="1">
        <v>2317</v>
      </c>
      <c r="Y2086" s="1">
        <v>8</v>
      </c>
      <c r="Z2086" s="1" t="s">
        <v>249</v>
      </c>
      <c r="AA2086" s="1" t="s">
        <v>921</v>
      </c>
      <c r="AB2086" s="1">
        <v>60563</v>
      </c>
      <c r="AD2086" s="1" t="s">
        <v>5950</v>
      </c>
      <c r="AE2086" s="1" t="s">
        <v>18832</v>
      </c>
      <c r="AF2086" s="1">
        <v>2001</v>
      </c>
      <c r="AG2086" s="1" t="s">
        <v>204</v>
      </c>
      <c r="AH2086" s="1" t="s">
        <v>924</v>
      </c>
      <c r="AI2086" s="1" t="s">
        <v>206</v>
      </c>
      <c r="AJ2086" s="1" t="s">
        <v>924</v>
      </c>
      <c r="AK2086" s="1" t="s">
        <v>17745</v>
      </c>
      <c r="AL2086" s="1">
        <v>6</v>
      </c>
      <c r="AM2086" s="1">
        <v>2</v>
      </c>
      <c r="AN2086" s="1">
        <v>2</v>
      </c>
      <c r="AO2086" s="1">
        <v>0</v>
      </c>
      <c r="AP2086" s="1" t="s">
        <v>209</v>
      </c>
      <c r="AQ2086" s="1">
        <v>1</v>
      </c>
      <c r="AR2086" s="1" t="s">
        <v>210</v>
      </c>
      <c r="AS2086" s="1" t="s">
        <v>204</v>
      </c>
      <c r="AT2086" s="1" t="s">
        <v>211</v>
      </c>
      <c r="AU2086" s="1">
        <v>1</v>
      </c>
      <c r="AW2086" s="1" t="s">
        <v>204</v>
      </c>
      <c r="AX2086" s="1" t="s">
        <v>212</v>
      </c>
      <c r="AZ2086" s="1">
        <v>3551</v>
      </c>
      <c r="BA2086" s="1">
        <v>2013</v>
      </c>
      <c r="BB2086" s="1" t="s">
        <v>405</v>
      </c>
      <c r="BE2086" s="1">
        <v>1510</v>
      </c>
      <c r="BF2086" s="1">
        <v>2</v>
      </c>
      <c r="BG2086" s="1">
        <v>30</v>
      </c>
      <c r="BL2086" s="1">
        <v>234</v>
      </c>
      <c r="BM2086" s="1" t="s">
        <v>204</v>
      </c>
      <c r="BN2086" s="1" t="s">
        <v>213</v>
      </c>
      <c r="BO2086" s="1" t="s">
        <v>432</v>
      </c>
      <c r="BP2086" s="1" t="s">
        <v>204</v>
      </c>
      <c r="BR2086" s="1" t="str">
        <f>"0709310230"</f>
        <v>0709310230</v>
      </c>
      <c r="BT2086" s="1" t="s">
        <v>18833</v>
      </c>
      <c r="BU2086" s="1" t="s">
        <v>5426</v>
      </c>
      <c r="BV2086" s="1" t="s">
        <v>1248</v>
      </c>
      <c r="BW2086" s="1" t="s">
        <v>1131</v>
      </c>
      <c r="BX2086" s="1">
        <v>204</v>
      </c>
      <c r="BY2086" s="1">
        <v>204</v>
      </c>
      <c r="BZ2086" s="1">
        <v>204</v>
      </c>
      <c r="CB2086" s="1" t="str">
        <f t="shared" ref="CB2086:CC2086" si="1593">"0"</f>
        <v>0</v>
      </c>
      <c r="CC2086" s="1" t="str">
        <f t="shared" si="1593"/>
        <v>0</v>
      </c>
      <c r="CD2086" s="1">
        <v>30</v>
      </c>
      <c r="CE2086" s="1">
        <v>6</v>
      </c>
      <c r="CG2086" s="1" t="s">
        <v>1425</v>
      </c>
      <c r="CH2086" s="1" t="s">
        <v>277</v>
      </c>
      <c r="CI2086" s="1" t="s">
        <v>220</v>
      </c>
      <c r="CJ2086" s="1" t="s">
        <v>463</v>
      </c>
      <c r="CK2086" s="1" t="s">
        <v>344</v>
      </c>
      <c r="CL2086" s="1" t="s">
        <v>277</v>
      </c>
      <c r="CM2086" s="1" t="s">
        <v>220</v>
      </c>
      <c r="CN2086" s="1" t="s">
        <v>463</v>
      </c>
      <c r="CO2086" s="1" t="s">
        <v>836</v>
      </c>
      <c r="CP2086" s="1" t="s">
        <v>277</v>
      </c>
      <c r="CQ2086" s="1" t="s">
        <v>220</v>
      </c>
      <c r="CR2086" s="1" t="s">
        <v>463</v>
      </c>
      <c r="CS2086" s="1" t="s">
        <v>1046</v>
      </c>
      <c r="CT2086" s="1" t="s">
        <v>277</v>
      </c>
      <c r="CU2086" s="1" t="s">
        <v>220</v>
      </c>
      <c r="CV2086" s="1" t="s">
        <v>343</v>
      </c>
      <c r="CX2086" s="1" t="s">
        <v>224</v>
      </c>
      <c r="DB2086" s="1" t="s">
        <v>224</v>
      </c>
      <c r="DE2086" s="1" t="s">
        <v>408</v>
      </c>
      <c r="DF2086" s="1" t="s">
        <v>277</v>
      </c>
      <c r="DG2086" s="1" t="s">
        <v>438</v>
      </c>
      <c r="DH2086" s="1" t="s">
        <v>210</v>
      </c>
      <c r="DI2086" s="1" t="s">
        <v>2935</v>
      </c>
      <c r="DJ2086" s="1" t="s">
        <v>277</v>
      </c>
      <c r="DK2086" s="1" t="s">
        <v>220</v>
      </c>
      <c r="DL2086" s="1" t="s">
        <v>343</v>
      </c>
      <c r="DS2086" s="1" t="s">
        <v>230</v>
      </c>
      <c r="DW2086" s="1" t="s">
        <v>230</v>
      </c>
      <c r="EA2086" s="1" t="s">
        <v>230</v>
      </c>
      <c r="EE2086" s="1" t="s">
        <v>230</v>
      </c>
      <c r="EI2086" s="1" t="s">
        <v>230</v>
      </c>
      <c r="EL2086" s="1" t="s">
        <v>466</v>
      </c>
      <c r="EM2086" s="1" t="s">
        <v>232</v>
      </c>
      <c r="EN2086" s="1" t="s">
        <v>282</v>
      </c>
      <c r="EO2086" s="1" t="s">
        <v>234</v>
      </c>
      <c r="EQ2086" s="1" t="s">
        <v>468</v>
      </c>
      <c r="ER2086" s="1" t="s">
        <v>210</v>
      </c>
      <c r="ES2086" s="1" t="s">
        <v>237</v>
      </c>
      <c r="EV2086" s="1" t="s">
        <v>240</v>
      </c>
      <c r="EW2086" s="1" t="s">
        <v>937</v>
      </c>
      <c r="EZ2086" s="1" t="s">
        <v>287</v>
      </c>
      <c r="FA2086" s="1" t="s">
        <v>471</v>
      </c>
      <c r="FD2086" s="1" t="s">
        <v>246</v>
      </c>
      <c r="FE2086" s="1" t="s">
        <v>870</v>
      </c>
      <c r="FF2086" s="1" t="s">
        <v>387</v>
      </c>
      <c r="FH2086" s="1" t="s">
        <v>249</v>
      </c>
      <c r="FI2086" s="1" t="s">
        <v>473</v>
      </c>
      <c r="FJ2086" s="1" t="s">
        <v>518</v>
      </c>
      <c r="FL2086" s="1" t="s">
        <v>358</v>
      </c>
      <c r="FM2086" s="1" t="s">
        <v>252</v>
      </c>
      <c r="FN2086" s="1" t="s">
        <v>213</v>
      </c>
      <c r="FO2086" s="1" t="s">
        <v>213</v>
      </c>
      <c r="FQ2086" s="1" t="s">
        <v>2700</v>
      </c>
      <c r="FR2086" s="1" t="s">
        <v>210</v>
      </c>
      <c r="FS2086" s="1" t="s">
        <v>18834</v>
      </c>
      <c r="FT2086" s="1" t="s">
        <v>295</v>
      </c>
      <c r="FU2086" s="1" t="s">
        <v>204</v>
      </c>
      <c r="FW2086" s="1" t="s">
        <v>915</v>
      </c>
      <c r="FX2086" s="1">
        <v>23076</v>
      </c>
      <c r="FY2086" s="1" t="s">
        <v>1909</v>
      </c>
      <c r="FZ2086" s="1" t="s">
        <v>18835</v>
      </c>
      <c r="GA2086" s="1">
        <v>234307</v>
      </c>
      <c r="GB2086" s="1" t="s">
        <v>18836</v>
      </c>
      <c r="GE2086" s="1" t="s">
        <v>480</v>
      </c>
      <c r="GI2086" s="1" t="s">
        <v>213</v>
      </c>
      <c r="GJ2086" s="1" t="s">
        <v>260</v>
      </c>
      <c r="GK2086" s="1" t="s">
        <v>210</v>
      </c>
      <c r="GL2086" s="2">
        <v>42091</v>
      </c>
    </row>
    <row r="2087" spans="1:195">
      <c r="A2087" s="1">
        <v>49799</v>
      </c>
      <c r="B2087" s="1" t="s">
        <v>195</v>
      </c>
      <c r="C2087" s="1" t="str">
        <f>"08746954"</f>
        <v>08746954</v>
      </c>
      <c r="D2087" s="1" t="s">
        <v>196</v>
      </c>
      <c r="F2087" s="1" t="str">
        <f>"118"</f>
        <v>118</v>
      </c>
      <c r="G2087" s="2">
        <v>41919</v>
      </c>
      <c r="H2087" s="1">
        <v>57240</v>
      </c>
      <c r="I2087" s="1">
        <v>51700</v>
      </c>
      <c r="J2087" s="1">
        <v>49799</v>
      </c>
      <c r="K2087" s="2">
        <v>41919</v>
      </c>
      <c r="L2087" s="1">
        <v>110</v>
      </c>
      <c r="M2087" s="2">
        <v>42028</v>
      </c>
      <c r="N2087" s="1">
        <v>110</v>
      </c>
      <c r="O2087" s="2">
        <v>42028</v>
      </c>
      <c r="P2087" s="1">
        <v>13691</v>
      </c>
      <c r="Q2087" s="1" t="s">
        <v>302</v>
      </c>
      <c r="R2087" s="2">
        <v>42065</v>
      </c>
      <c r="S2087" s="1">
        <v>143965</v>
      </c>
      <c r="U2087" s="1">
        <v>435</v>
      </c>
      <c r="V2087" s="1" t="s">
        <v>18837</v>
      </c>
      <c r="W2087" s="1" t="s">
        <v>304</v>
      </c>
      <c r="X2087" s="1" t="s">
        <v>18838</v>
      </c>
      <c r="Y2087" s="1">
        <v>12</v>
      </c>
      <c r="Z2087" s="1" t="s">
        <v>249</v>
      </c>
      <c r="AA2087" s="1" t="s">
        <v>8447</v>
      </c>
      <c r="AB2087" s="1">
        <v>60118</v>
      </c>
      <c r="AE2087" s="1" t="s">
        <v>18839</v>
      </c>
      <c r="AF2087" s="1">
        <v>1975</v>
      </c>
      <c r="AG2087" s="1" t="s">
        <v>213</v>
      </c>
      <c r="AH2087" s="1" t="s">
        <v>8450</v>
      </c>
      <c r="AI2087" s="1" t="s">
        <v>665</v>
      </c>
      <c r="AJ2087" s="1" t="s">
        <v>805</v>
      </c>
      <c r="AL2087" s="1">
        <v>5</v>
      </c>
      <c r="AM2087" s="1">
        <v>2</v>
      </c>
      <c r="AN2087" s="1">
        <v>1</v>
      </c>
      <c r="AO2087" s="1">
        <v>1</v>
      </c>
      <c r="AP2087" s="1" t="s">
        <v>210</v>
      </c>
      <c r="AR2087" s="1" t="s">
        <v>210</v>
      </c>
      <c r="AS2087" s="1" t="s">
        <v>204</v>
      </c>
      <c r="AT2087" s="1" t="s">
        <v>271</v>
      </c>
      <c r="AV2087" s="1">
        <v>1</v>
      </c>
      <c r="AW2087" s="1" t="s">
        <v>204</v>
      </c>
      <c r="AX2087" s="1" t="s">
        <v>212</v>
      </c>
      <c r="AZ2087" s="1">
        <v>2328.58</v>
      </c>
      <c r="BA2087" s="1">
        <v>2012</v>
      </c>
      <c r="BE2087" s="1">
        <v>920</v>
      </c>
      <c r="BF2087" s="1">
        <v>1</v>
      </c>
      <c r="BG2087" s="1">
        <v>0</v>
      </c>
      <c r="BL2087" s="1">
        <v>177</v>
      </c>
      <c r="BM2087" s="1" t="s">
        <v>413</v>
      </c>
      <c r="BN2087" s="1" t="s">
        <v>204</v>
      </c>
      <c r="BP2087" s="1" t="s">
        <v>204</v>
      </c>
      <c r="BR2087" s="1" t="str">
        <f>"0327129007"</f>
        <v>0327129007</v>
      </c>
      <c r="BT2087" s="1" t="s">
        <v>3770</v>
      </c>
      <c r="BX2087" s="1">
        <v>300</v>
      </c>
      <c r="BY2087" s="1">
        <v>300</v>
      </c>
      <c r="BZ2087" s="1">
        <v>300</v>
      </c>
      <c r="CB2087" s="1" t="str">
        <f>"14"</f>
        <v>14</v>
      </c>
      <c r="CC2087" s="1" t="str">
        <f>"0"</f>
        <v>0</v>
      </c>
      <c r="CD2087" s="1">
        <v>33</v>
      </c>
      <c r="CE2087" s="1">
        <v>0</v>
      </c>
      <c r="CG2087" s="1" t="s">
        <v>10475</v>
      </c>
      <c r="CH2087" s="1" t="s">
        <v>219</v>
      </c>
      <c r="CI2087" s="1" t="s">
        <v>220</v>
      </c>
      <c r="CK2087" s="1" t="s">
        <v>315</v>
      </c>
      <c r="CL2087" s="1" t="s">
        <v>219</v>
      </c>
      <c r="CM2087" s="1" t="s">
        <v>220</v>
      </c>
      <c r="CO2087" s="1" t="s">
        <v>1046</v>
      </c>
      <c r="CP2087" s="1" t="s">
        <v>219</v>
      </c>
      <c r="CS2087" s="1" t="s">
        <v>465</v>
      </c>
      <c r="CT2087" s="1" t="s">
        <v>219</v>
      </c>
      <c r="CU2087" s="1" t="s">
        <v>220</v>
      </c>
      <c r="CX2087" s="1" t="s">
        <v>224</v>
      </c>
      <c r="DB2087" s="1" t="s">
        <v>224</v>
      </c>
      <c r="DE2087" s="1" t="s">
        <v>3591</v>
      </c>
      <c r="DF2087" s="1" t="s">
        <v>219</v>
      </c>
      <c r="DG2087" s="1" t="s">
        <v>229</v>
      </c>
      <c r="DJ2087" s="1" t="s">
        <v>224</v>
      </c>
      <c r="DS2087" s="1" t="s">
        <v>230</v>
      </c>
      <c r="DW2087" s="1" t="s">
        <v>230</v>
      </c>
      <c r="EA2087" s="1" t="s">
        <v>230</v>
      </c>
      <c r="EE2087" s="1" t="s">
        <v>230</v>
      </c>
      <c r="EI2087" s="1" t="s">
        <v>230</v>
      </c>
      <c r="EL2087" s="1" t="s">
        <v>231</v>
      </c>
      <c r="EM2087" s="1" t="s">
        <v>319</v>
      </c>
      <c r="EN2087" s="1" t="s">
        <v>282</v>
      </c>
      <c r="EO2087" s="1" t="s">
        <v>234</v>
      </c>
      <c r="ER2087" s="1" t="s">
        <v>210</v>
      </c>
      <c r="EV2087" s="1" t="s">
        <v>240</v>
      </c>
      <c r="EW2087" s="1" t="s">
        <v>18840</v>
      </c>
      <c r="EZ2087" s="1" t="s">
        <v>287</v>
      </c>
      <c r="FD2087" s="1" t="s">
        <v>1112</v>
      </c>
      <c r="FE2087" s="1" t="s">
        <v>247</v>
      </c>
      <c r="FF2087" s="1" t="s">
        <v>248</v>
      </c>
      <c r="FH2087" s="1" t="s">
        <v>249</v>
      </c>
      <c r="FJ2087" s="1" t="s">
        <v>1472</v>
      </c>
      <c r="FL2087" s="1" t="s">
        <v>810</v>
      </c>
      <c r="FM2087" s="1" t="s">
        <v>252</v>
      </c>
      <c r="FN2087" s="1" t="s">
        <v>213</v>
      </c>
      <c r="FO2087" s="1" t="s">
        <v>213</v>
      </c>
      <c r="FQ2087" s="1" t="s">
        <v>582</v>
      </c>
      <c r="FR2087" s="1" t="s">
        <v>210</v>
      </c>
      <c r="FS2087" s="1" t="s">
        <v>3772</v>
      </c>
      <c r="FT2087" s="1" t="s">
        <v>4186</v>
      </c>
      <c r="FU2087" s="1" t="s">
        <v>204</v>
      </c>
      <c r="FW2087" s="1" t="s">
        <v>3774</v>
      </c>
      <c r="FX2087" s="1">
        <v>1984</v>
      </c>
      <c r="FY2087" s="1" t="s">
        <v>3775</v>
      </c>
      <c r="FZ2087" s="1" t="s">
        <v>3776</v>
      </c>
      <c r="GA2087" s="1">
        <v>922950</v>
      </c>
      <c r="GE2087" s="1" t="s">
        <v>210</v>
      </c>
      <c r="GI2087" s="1" t="s">
        <v>204</v>
      </c>
      <c r="GJ2087" s="1" t="s">
        <v>260</v>
      </c>
      <c r="GK2087" s="1" t="s">
        <v>210</v>
      </c>
      <c r="GL2087" s="2">
        <v>42065</v>
      </c>
      <c r="GM2087" s="1" t="s">
        <v>3777</v>
      </c>
    </row>
    <row r="2088" spans="1:195">
      <c r="A2088" s="1">
        <v>114000</v>
      </c>
      <c r="B2088" s="1" t="s">
        <v>195</v>
      </c>
      <c r="C2088" s="1" t="str">
        <f>"08751926"</f>
        <v>08751926</v>
      </c>
      <c r="D2088" s="1" t="s">
        <v>196</v>
      </c>
      <c r="F2088" s="1" t="str">
        <f>"30"</f>
        <v>30</v>
      </c>
      <c r="G2088" s="2">
        <v>41925</v>
      </c>
      <c r="H2088" s="1">
        <v>124900</v>
      </c>
      <c r="I2088" s="1">
        <v>119900</v>
      </c>
      <c r="J2088" s="1">
        <v>114000</v>
      </c>
      <c r="K2088" s="2">
        <v>41925</v>
      </c>
      <c r="L2088" s="1">
        <v>130</v>
      </c>
      <c r="M2088" s="2">
        <v>42054</v>
      </c>
      <c r="N2088" s="1">
        <v>130</v>
      </c>
      <c r="O2088" s="2">
        <v>42054</v>
      </c>
      <c r="P2088" s="1">
        <v>4793</v>
      </c>
      <c r="Q2088" s="1" t="s">
        <v>197</v>
      </c>
      <c r="R2088" s="2">
        <v>42130</v>
      </c>
      <c r="S2088" s="1">
        <v>40014</v>
      </c>
      <c r="U2088" s="1">
        <v>1063</v>
      </c>
      <c r="V2088" s="1" t="s">
        <v>11846</v>
      </c>
      <c r="W2088" s="1" t="s">
        <v>449</v>
      </c>
      <c r="Y2088" s="1">
        <v>4</v>
      </c>
      <c r="Z2088" s="1" t="s">
        <v>370</v>
      </c>
      <c r="AA2088" s="1" t="s">
        <v>1834</v>
      </c>
      <c r="AB2088" s="1">
        <v>60030</v>
      </c>
      <c r="AD2088" s="1" t="s">
        <v>7105</v>
      </c>
      <c r="AE2088" s="1" t="s">
        <v>18841</v>
      </c>
      <c r="AF2088" s="1">
        <v>1994</v>
      </c>
      <c r="AG2088" s="1" t="s">
        <v>204</v>
      </c>
      <c r="AH2088" s="1" t="s">
        <v>1837</v>
      </c>
      <c r="AI2088" s="1" t="s">
        <v>509</v>
      </c>
      <c r="AJ2088" s="1" t="s">
        <v>1263</v>
      </c>
      <c r="AL2088" s="1">
        <v>7</v>
      </c>
      <c r="AM2088" s="1">
        <v>2</v>
      </c>
      <c r="AN2088" s="1">
        <v>1</v>
      </c>
      <c r="AO2088" s="1">
        <v>1</v>
      </c>
      <c r="AP2088" s="1" t="s">
        <v>455</v>
      </c>
      <c r="AQ2088" s="1">
        <v>1</v>
      </c>
      <c r="AR2088" s="1" t="s">
        <v>1421</v>
      </c>
      <c r="AS2088" s="1" t="s">
        <v>204</v>
      </c>
      <c r="AT2088" s="1" t="s">
        <v>211</v>
      </c>
      <c r="AU2088" s="1">
        <v>2</v>
      </c>
      <c r="AW2088" s="1" t="s">
        <v>204</v>
      </c>
      <c r="AX2088" s="1" t="s">
        <v>212</v>
      </c>
      <c r="AZ2088" s="1">
        <v>5032.24</v>
      </c>
      <c r="BA2088" s="1">
        <v>2013</v>
      </c>
      <c r="BB2088" s="1" t="s">
        <v>405</v>
      </c>
      <c r="BE2088" s="1">
        <v>1280</v>
      </c>
      <c r="BF2088" s="1">
        <v>1</v>
      </c>
      <c r="BG2088" s="1">
        <v>0</v>
      </c>
      <c r="BL2088" s="1">
        <v>235</v>
      </c>
      <c r="BM2088" s="1" t="s">
        <v>204</v>
      </c>
      <c r="BN2088" s="1" t="s">
        <v>213</v>
      </c>
      <c r="BO2088" s="1">
        <v>0</v>
      </c>
      <c r="BP2088" s="1" t="s">
        <v>204</v>
      </c>
      <c r="BR2088" s="1" t="str">
        <f>"06243010290000"</f>
        <v>06243010290000</v>
      </c>
      <c r="BT2088" s="1" t="s">
        <v>18842</v>
      </c>
      <c r="BU2088" s="1" t="s">
        <v>5527</v>
      </c>
      <c r="BV2088" s="1" t="s">
        <v>1842</v>
      </c>
      <c r="BW2088" s="1" t="s">
        <v>2737</v>
      </c>
      <c r="BX2088" s="1">
        <v>46</v>
      </c>
      <c r="BY2088" s="1">
        <v>46</v>
      </c>
      <c r="BZ2088" s="1">
        <v>127</v>
      </c>
      <c r="CB2088" s="1" t="str">
        <f>"33"</f>
        <v>33</v>
      </c>
      <c r="CC2088" s="1" t="str">
        <f>""</f>
        <v/>
      </c>
      <c r="CD2088" s="1">
        <v>19</v>
      </c>
      <c r="CG2088" s="1" t="s">
        <v>2402</v>
      </c>
      <c r="CH2088" s="1" t="s">
        <v>219</v>
      </c>
      <c r="CI2088" s="1" t="s">
        <v>220</v>
      </c>
      <c r="CJ2088" s="1" t="s">
        <v>252</v>
      </c>
      <c r="CK2088" s="1" t="s">
        <v>1045</v>
      </c>
      <c r="CL2088" s="1" t="s">
        <v>277</v>
      </c>
      <c r="CM2088" s="1" t="s">
        <v>220</v>
      </c>
      <c r="CN2088" s="1" t="s">
        <v>252</v>
      </c>
      <c r="CO2088" s="1" t="s">
        <v>629</v>
      </c>
      <c r="CP2088" s="1" t="s">
        <v>219</v>
      </c>
      <c r="CQ2088" s="1" t="s">
        <v>220</v>
      </c>
      <c r="CR2088" s="1" t="s">
        <v>252</v>
      </c>
      <c r="CS2088" s="1" t="s">
        <v>318</v>
      </c>
      <c r="CT2088" s="1" t="s">
        <v>277</v>
      </c>
      <c r="CU2088" s="1" t="s">
        <v>220</v>
      </c>
      <c r="CV2088" s="1" t="s">
        <v>252</v>
      </c>
      <c r="CX2088" s="1" t="s">
        <v>224</v>
      </c>
      <c r="DB2088" s="1" t="s">
        <v>224</v>
      </c>
      <c r="DE2088" s="1" t="s">
        <v>757</v>
      </c>
      <c r="DF2088" s="1" t="s">
        <v>219</v>
      </c>
      <c r="DG2088" s="1" t="s">
        <v>342</v>
      </c>
      <c r="DH2088" s="1" t="s">
        <v>252</v>
      </c>
      <c r="DI2088" s="1" t="s">
        <v>221</v>
      </c>
      <c r="DJ2088" s="1" t="s">
        <v>43</v>
      </c>
      <c r="DK2088" s="1" t="s">
        <v>220</v>
      </c>
      <c r="DL2088" s="1" t="s">
        <v>252</v>
      </c>
      <c r="DM2088" s="1" t="s">
        <v>464</v>
      </c>
      <c r="DR2088" s="1" t="s">
        <v>318</v>
      </c>
      <c r="DS2088" s="1" t="s">
        <v>277</v>
      </c>
      <c r="DT2088" s="1" t="s">
        <v>220</v>
      </c>
      <c r="DU2088" s="1" t="s">
        <v>252</v>
      </c>
      <c r="DW2088" s="1" t="s">
        <v>230</v>
      </c>
      <c r="EA2088" s="1" t="s">
        <v>230</v>
      </c>
      <c r="EE2088" s="1" t="s">
        <v>230</v>
      </c>
      <c r="EI2088" s="1" t="s">
        <v>230</v>
      </c>
      <c r="EL2088" s="1" t="s">
        <v>382</v>
      </c>
      <c r="EM2088" s="1" t="s">
        <v>319</v>
      </c>
      <c r="EN2088" s="1" t="s">
        <v>282</v>
      </c>
      <c r="EO2088" s="1" t="s">
        <v>234</v>
      </c>
      <c r="EP2088" s="1" t="s">
        <v>1268</v>
      </c>
      <c r="EQ2088" s="1" t="s">
        <v>492</v>
      </c>
      <c r="ER2088" s="1" t="s">
        <v>544</v>
      </c>
      <c r="ES2088" s="1" t="s">
        <v>322</v>
      </c>
      <c r="EU2088" s="1" t="s">
        <v>712</v>
      </c>
      <c r="EV2088" s="1" t="s">
        <v>240</v>
      </c>
      <c r="EW2088" s="1" t="s">
        <v>5251</v>
      </c>
      <c r="EZ2088" s="1" t="s">
        <v>464</v>
      </c>
      <c r="FA2088" s="1" t="s">
        <v>1072</v>
      </c>
      <c r="FD2088" s="1" t="s">
        <v>495</v>
      </c>
      <c r="FE2088" s="1" t="s">
        <v>975</v>
      </c>
      <c r="FF2088" s="1" t="s">
        <v>248</v>
      </c>
      <c r="FG2088" s="1" t="s">
        <v>3324</v>
      </c>
      <c r="FH2088" s="1" t="s">
        <v>550</v>
      </c>
      <c r="FI2088" s="1" t="s">
        <v>473</v>
      </c>
      <c r="FL2088" s="1" t="s">
        <v>358</v>
      </c>
      <c r="FM2088" s="1" t="s">
        <v>252</v>
      </c>
      <c r="FN2088" s="1" t="s">
        <v>213</v>
      </c>
      <c r="FO2088" s="1" t="s">
        <v>213</v>
      </c>
      <c r="FQ2088" s="1" t="s">
        <v>329</v>
      </c>
      <c r="FR2088" s="1" t="s">
        <v>652</v>
      </c>
      <c r="FS2088" s="1" t="s">
        <v>18843</v>
      </c>
      <c r="FT2088" s="1" t="s">
        <v>520</v>
      </c>
      <c r="FU2088" s="1" t="s">
        <v>204</v>
      </c>
      <c r="FW2088" s="1" t="s">
        <v>5046</v>
      </c>
      <c r="FX2088" s="1">
        <v>2280</v>
      </c>
      <c r="FY2088" s="1" t="s">
        <v>5047</v>
      </c>
      <c r="FZ2088" s="1" t="s">
        <v>5048</v>
      </c>
      <c r="GA2088" s="1">
        <v>85534</v>
      </c>
      <c r="GB2088" s="1" t="s">
        <v>5049</v>
      </c>
      <c r="GD2088" s="1" t="s">
        <v>5050</v>
      </c>
      <c r="GE2088" s="1" t="s">
        <v>480</v>
      </c>
      <c r="GI2088" s="1" t="s">
        <v>213</v>
      </c>
      <c r="GJ2088" s="1" t="s">
        <v>260</v>
      </c>
      <c r="GK2088" s="1" t="s">
        <v>210</v>
      </c>
      <c r="GL2088" s="2">
        <v>42130</v>
      </c>
      <c r="GM2088" s="1" t="s">
        <v>18844</v>
      </c>
    </row>
    <row r="2089" spans="1:195">
      <c r="A2089" s="1">
        <v>39900</v>
      </c>
      <c r="B2089" s="1" t="s">
        <v>195</v>
      </c>
      <c r="C2089" s="1" t="str">
        <f>"08752335"</f>
        <v>08752335</v>
      </c>
      <c r="D2089" s="1" t="s">
        <v>196</v>
      </c>
      <c r="F2089" s="1" t="str">
        <f>"8040"</f>
        <v>8040</v>
      </c>
      <c r="G2089" s="2">
        <v>41926</v>
      </c>
      <c r="H2089" s="1">
        <v>47900</v>
      </c>
      <c r="I2089" s="1">
        <v>39900</v>
      </c>
      <c r="J2089" s="1">
        <v>39900</v>
      </c>
      <c r="K2089" s="2">
        <v>41925</v>
      </c>
      <c r="L2089" s="1">
        <v>148</v>
      </c>
      <c r="M2089" s="2">
        <v>42072</v>
      </c>
      <c r="N2089" s="1">
        <v>148</v>
      </c>
      <c r="O2089" s="2">
        <v>42072</v>
      </c>
      <c r="P2089" s="1">
        <v>1995</v>
      </c>
      <c r="Q2089" s="1" t="s">
        <v>302</v>
      </c>
      <c r="R2089" s="2">
        <v>42108</v>
      </c>
      <c r="S2089" s="1">
        <v>26600</v>
      </c>
      <c r="U2089" s="1">
        <v>5948</v>
      </c>
      <c r="V2089" s="1" t="s">
        <v>398</v>
      </c>
      <c r="W2089" s="1" t="s">
        <v>264</v>
      </c>
      <c r="X2089" s="1" t="s">
        <v>483</v>
      </c>
      <c r="Y2089" s="1">
        <v>38</v>
      </c>
      <c r="Z2089" s="1" t="s">
        <v>249</v>
      </c>
      <c r="AA2089" s="1" t="s">
        <v>400</v>
      </c>
      <c r="AB2089" s="1">
        <v>60637</v>
      </c>
      <c r="AE2089" s="1" t="s">
        <v>18845</v>
      </c>
      <c r="AF2089" s="1" t="s">
        <v>402</v>
      </c>
      <c r="AG2089" s="1" t="s">
        <v>213</v>
      </c>
      <c r="AH2089" s="1" t="s">
        <v>403</v>
      </c>
      <c r="AI2089" s="1" t="s">
        <v>310</v>
      </c>
      <c r="AJ2089" s="1" t="s">
        <v>562</v>
      </c>
      <c r="AL2089" s="1">
        <v>4</v>
      </c>
      <c r="AM2089" s="1">
        <v>2</v>
      </c>
      <c r="AN2089" s="1">
        <v>2</v>
      </c>
      <c r="AO2089" s="1">
        <v>0</v>
      </c>
      <c r="AP2089" s="1" t="s">
        <v>209</v>
      </c>
      <c r="AQ2089" s="1">
        <v>0</v>
      </c>
      <c r="AR2089" s="1" t="s">
        <v>210</v>
      </c>
      <c r="AT2089" s="1" t="s">
        <v>271</v>
      </c>
      <c r="AV2089" s="1">
        <v>1</v>
      </c>
      <c r="AW2089" s="1" t="s">
        <v>204</v>
      </c>
      <c r="AX2089" s="1" t="s">
        <v>212</v>
      </c>
      <c r="AZ2089" s="1">
        <v>2531.83</v>
      </c>
      <c r="BA2089" s="1">
        <v>2012</v>
      </c>
      <c r="BB2089" s="1" t="s">
        <v>210</v>
      </c>
      <c r="BE2089" s="1">
        <v>1300</v>
      </c>
      <c r="BF2089" s="1">
        <v>1</v>
      </c>
      <c r="BG2089" s="1">
        <v>0</v>
      </c>
      <c r="BL2089" s="1">
        <v>239</v>
      </c>
      <c r="BM2089" s="1" t="s">
        <v>213</v>
      </c>
      <c r="BN2089" s="1" t="s">
        <v>213</v>
      </c>
      <c r="BO2089" s="1">
        <v>30</v>
      </c>
      <c r="BP2089" s="1" t="s">
        <v>204</v>
      </c>
      <c r="BR2089" s="1" t="str">
        <f>"20153050351008"</f>
        <v>20153050351008</v>
      </c>
      <c r="BT2089" s="1" t="s">
        <v>18846</v>
      </c>
      <c r="BX2089" s="1">
        <v>299</v>
      </c>
      <c r="BY2089" s="1">
        <v>299</v>
      </c>
      <c r="BZ2089" s="1">
        <v>299</v>
      </c>
      <c r="CB2089" s="1" t="str">
        <f>"0"</f>
        <v>0</v>
      </c>
      <c r="CC2089" s="1" t="str">
        <f>"400"</f>
        <v>400</v>
      </c>
      <c r="CD2089" s="1">
        <v>0</v>
      </c>
      <c r="CE2089" s="1">
        <v>5948</v>
      </c>
      <c r="CG2089" s="1" t="s">
        <v>1004</v>
      </c>
      <c r="CH2089" s="1" t="s">
        <v>219</v>
      </c>
      <c r="CK2089" s="1" t="s">
        <v>278</v>
      </c>
      <c r="CL2089" s="1" t="s">
        <v>219</v>
      </c>
      <c r="CP2089" s="1" t="s">
        <v>224</v>
      </c>
      <c r="CS2089" s="1" t="s">
        <v>318</v>
      </c>
      <c r="CT2089" s="1" t="s">
        <v>219</v>
      </c>
      <c r="CX2089" s="1" t="s">
        <v>224</v>
      </c>
      <c r="DB2089" s="1" t="s">
        <v>224</v>
      </c>
      <c r="DE2089" s="1" t="s">
        <v>1004</v>
      </c>
      <c r="DF2089" s="1" t="s">
        <v>219</v>
      </c>
      <c r="DJ2089" s="1" t="s">
        <v>224</v>
      </c>
      <c r="DM2089" s="1" t="s">
        <v>603</v>
      </c>
      <c r="DR2089" s="1" t="s">
        <v>1598</v>
      </c>
      <c r="DS2089" s="1" t="s">
        <v>219</v>
      </c>
      <c r="DT2089" s="1" t="s">
        <v>226</v>
      </c>
      <c r="DW2089" s="1" t="s">
        <v>230</v>
      </c>
      <c r="EA2089" s="1" t="s">
        <v>230</v>
      </c>
      <c r="EE2089" s="1" t="s">
        <v>230</v>
      </c>
      <c r="EI2089" s="1" t="s">
        <v>230</v>
      </c>
      <c r="EL2089" s="1" t="s">
        <v>3717</v>
      </c>
      <c r="EM2089" s="1" t="s">
        <v>232</v>
      </c>
      <c r="EN2089" s="1" t="s">
        <v>282</v>
      </c>
      <c r="EO2089" s="1" t="s">
        <v>234</v>
      </c>
      <c r="ER2089" s="1" t="s">
        <v>210</v>
      </c>
      <c r="ES2089" s="1" t="s">
        <v>322</v>
      </c>
      <c r="EV2089" s="1" t="s">
        <v>240</v>
      </c>
      <c r="EW2089" s="1" t="s">
        <v>18847</v>
      </c>
      <c r="EZ2089" s="1" t="s">
        <v>603</v>
      </c>
      <c r="FD2089" s="1" t="s">
        <v>246</v>
      </c>
      <c r="FE2089" s="1" t="s">
        <v>247</v>
      </c>
      <c r="FF2089" s="1" t="s">
        <v>248</v>
      </c>
      <c r="FH2089" s="1" t="s">
        <v>249</v>
      </c>
      <c r="FK2089" s="1" t="s">
        <v>2309</v>
      </c>
      <c r="FL2089" s="1" t="s">
        <v>358</v>
      </c>
      <c r="FM2089" s="1" t="s">
        <v>252</v>
      </c>
      <c r="FN2089" s="1" t="s">
        <v>213</v>
      </c>
      <c r="FO2089" s="1" t="s">
        <v>213</v>
      </c>
      <c r="FQ2089" s="1" t="s">
        <v>689</v>
      </c>
      <c r="FR2089" s="1" t="s">
        <v>210</v>
      </c>
      <c r="FS2089" s="1" t="s">
        <v>13276</v>
      </c>
      <c r="FT2089" s="1" t="s">
        <v>1828</v>
      </c>
      <c r="FU2089" s="1" t="s">
        <v>204</v>
      </c>
      <c r="FW2089" s="1" t="s">
        <v>13170</v>
      </c>
      <c r="FX2089" s="1">
        <v>12511</v>
      </c>
      <c r="FY2089" s="1" t="s">
        <v>13171</v>
      </c>
      <c r="FZ2089" s="1" t="s">
        <v>13172</v>
      </c>
      <c r="GA2089" s="1">
        <v>121408</v>
      </c>
      <c r="GB2089" s="1" t="s">
        <v>13173</v>
      </c>
      <c r="GE2089" s="1" t="s">
        <v>210</v>
      </c>
      <c r="GH2089" s="1" t="s">
        <v>421</v>
      </c>
      <c r="GI2089" s="1" t="s">
        <v>213</v>
      </c>
      <c r="GJ2089" s="1" t="s">
        <v>260</v>
      </c>
      <c r="GK2089" s="1" t="s">
        <v>210</v>
      </c>
      <c r="GL2089" s="2">
        <v>42109</v>
      </c>
      <c r="GM2089" s="1" t="s">
        <v>18848</v>
      </c>
    </row>
    <row r="2090" spans="1:195">
      <c r="A2090" s="1">
        <v>90000</v>
      </c>
      <c r="B2090" s="1" t="s">
        <v>195</v>
      </c>
      <c r="C2090" s="1" t="str">
        <f>"08760933"</f>
        <v>08760933</v>
      </c>
      <c r="D2090" s="1" t="s">
        <v>196</v>
      </c>
      <c r="F2090" s="1" t="str">
        <f>"61"</f>
        <v>61</v>
      </c>
      <c r="G2090" s="2">
        <v>41936</v>
      </c>
      <c r="H2090" s="1">
        <v>95000</v>
      </c>
      <c r="I2090" s="1">
        <v>95000</v>
      </c>
      <c r="J2090" s="1">
        <v>90000</v>
      </c>
      <c r="K2090" s="2">
        <v>41936</v>
      </c>
      <c r="L2090" s="1">
        <v>20</v>
      </c>
      <c r="M2090" s="2">
        <v>41955</v>
      </c>
      <c r="N2090" s="1">
        <v>20</v>
      </c>
      <c r="O2090" s="2">
        <v>41955</v>
      </c>
      <c r="P2090" s="1">
        <v>5293</v>
      </c>
      <c r="Q2090" s="1" t="s">
        <v>302</v>
      </c>
      <c r="R2090" s="2">
        <v>42004</v>
      </c>
      <c r="S2090" s="1">
        <v>55542</v>
      </c>
      <c r="U2090" s="1">
        <v>305</v>
      </c>
      <c r="V2090" s="1" t="s">
        <v>18849</v>
      </c>
      <c r="W2090" s="1" t="s">
        <v>504</v>
      </c>
      <c r="X2090" s="1">
        <v>305</v>
      </c>
      <c r="Y2090" s="1">
        <v>4</v>
      </c>
      <c r="Z2090" s="1" t="s">
        <v>370</v>
      </c>
      <c r="AA2090" s="1" t="s">
        <v>505</v>
      </c>
      <c r="AB2090" s="1">
        <v>60061</v>
      </c>
      <c r="AD2090" s="1" t="s">
        <v>8655</v>
      </c>
      <c r="AE2090" s="1" t="s">
        <v>18850</v>
      </c>
      <c r="AF2090" s="1">
        <v>1975</v>
      </c>
      <c r="AG2090" s="1" t="s">
        <v>213</v>
      </c>
      <c r="AH2090" s="1" t="s">
        <v>508</v>
      </c>
      <c r="AI2090" s="1" t="s">
        <v>509</v>
      </c>
      <c r="AJ2090" s="1" t="s">
        <v>510</v>
      </c>
      <c r="AL2090" s="1">
        <v>5</v>
      </c>
      <c r="AM2090" s="1">
        <v>2</v>
      </c>
      <c r="AN2090" s="1">
        <v>1</v>
      </c>
      <c r="AO2090" s="1">
        <v>1</v>
      </c>
      <c r="AP2090" s="1" t="s">
        <v>210</v>
      </c>
      <c r="AR2090" s="1" t="s">
        <v>210</v>
      </c>
      <c r="AS2090" s="1" t="s">
        <v>204</v>
      </c>
      <c r="AT2090" s="1" t="s">
        <v>211</v>
      </c>
      <c r="AU2090" s="1">
        <v>1</v>
      </c>
      <c r="AW2090" s="1" t="s">
        <v>204</v>
      </c>
      <c r="AX2090" s="1" t="s">
        <v>212</v>
      </c>
      <c r="AZ2090" s="1">
        <v>2388</v>
      </c>
      <c r="BA2090" s="1">
        <v>2012</v>
      </c>
      <c r="BE2090" s="1">
        <v>924</v>
      </c>
      <c r="BF2090" s="1">
        <v>1</v>
      </c>
      <c r="BG2090" s="1">
        <v>30</v>
      </c>
      <c r="BK2090" s="1">
        <v>33</v>
      </c>
      <c r="BL2090" s="1">
        <v>180</v>
      </c>
      <c r="BM2090" s="1" t="s">
        <v>413</v>
      </c>
      <c r="BN2090" s="1" t="s">
        <v>213</v>
      </c>
      <c r="BO2090" s="1">
        <v>20</v>
      </c>
      <c r="BP2090" s="1" t="s">
        <v>204</v>
      </c>
      <c r="BR2090" s="1" t="str">
        <f>"15054040020000"</f>
        <v>15054040020000</v>
      </c>
      <c r="BT2090" s="1" t="s">
        <v>18851</v>
      </c>
      <c r="BX2090" s="1">
        <v>73</v>
      </c>
      <c r="BY2090" s="1">
        <v>73</v>
      </c>
      <c r="BZ2090" s="1">
        <v>128</v>
      </c>
      <c r="CB2090" s="1" t="str">
        <f t="shared" ref="CB2090:CC2090" si="1594">""</f>
        <v/>
      </c>
      <c r="CC2090" s="1" t="str">
        <f t="shared" si="1594"/>
        <v/>
      </c>
      <c r="CG2090" s="1" t="s">
        <v>314</v>
      </c>
      <c r="CH2090" s="1" t="s">
        <v>219</v>
      </c>
      <c r="CK2090" s="1" t="s">
        <v>223</v>
      </c>
      <c r="CL2090" s="1" t="s">
        <v>277</v>
      </c>
      <c r="CM2090" s="1" t="s">
        <v>229</v>
      </c>
      <c r="CO2090" s="1" t="s">
        <v>316</v>
      </c>
      <c r="CP2090" s="1" t="s">
        <v>219</v>
      </c>
      <c r="CS2090" s="1" t="s">
        <v>346</v>
      </c>
      <c r="CT2090" s="1" t="s">
        <v>277</v>
      </c>
      <c r="CX2090" s="1" t="s">
        <v>224</v>
      </c>
      <c r="DB2090" s="1" t="s">
        <v>224</v>
      </c>
      <c r="DE2090" s="1" t="s">
        <v>516</v>
      </c>
      <c r="DF2090" s="1" t="s">
        <v>219</v>
      </c>
      <c r="DG2090" s="1" t="s">
        <v>229</v>
      </c>
      <c r="DJ2090" s="1" t="s">
        <v>224</v>
      </c>
      <c r="DS2090" s="1" t="s">
        <v>230</v>
      </c>
      <c r="DW2090" s="1" t="s">
        <v>230</v>
      </c>
      <c r="EA2090" s="1" t="s">
        <v>230</v>
      </c>
      <c r="EE2090" s="1" t="s">
        <v>230</v>
      </c>
      <c r="EI2090" s="1" t="s">
        <v>230</v>
      </c>
      <c r="EL2090" s="1" t="s">
        <v>231</v>
      </c>
      <c r="EM2090" s="1" t="s">
        <v>319</v>
      </c>
      <c r="EN2090" s="1" t="s">
        <v>282</v>
      </c>
      <c r="EO2090" s="1" t="s">
        <v>234</v>
      </c>
      <c r="EP2090" s="1" t="s">
        <v>4938</v>
      </c>
      <c r="ER2090" s="1" t="s">
        <v>210</v>
      </c>
      <c r="ES2090" s="1" t="s">
        <v>824</v>
      </c>
      <c r="EV2090" s="1" t="s">
        <v>240</v>
      </c>
      <c r="EW2090" s="1" t="s">
        <v>991</v>
      </c>
      <c r="EY2090" s="1" t="s">
        <v>790</v>
      </c>
      <c r="EZ2090" s="1" t="s">
        <v>287</v>
      </c>
      <c r="FD2090" s="1" t="s">
        <v>246</v>
      </c>
      <c r="FE2090" s="1" t="s">
        <v>472</v>
      </c>
      <c r="FF2090" s="1" t="s">
        <v>248</v>
      </c>
      <c r="FH2090" s="1" t="s">
        <v>356</v>
      </c>
      <c r="FL2090" s="1" t="s">
        <v>358</v>
      </c>
      <c r="FM2090" s="1" t="s">
        <v>252</v>
      </c>
      <c r="FN2090" s="1" t="s">
        <v>213</v>
      </c>
      <c r="FO2090" s="1" t="s">
        <v>213</v>
      </c>
      <c r="FQ2090" s="1" t="s">
        <v>582</v>
      </c>
      <c r="FR2090" s="1" t="s">
        <v>210</v>
      </c>
      <c r="FS2090" s="1" t="s">
        <v>1429</v>
      </c>
      <c r="FT2090" s="1" t="s">
        <v>654</v>
      </c>
      <c r="FU2090" s="1" t="s">
        <v>204</v>
      </c>
      <c r="FW2090" s="1" t="s">
        <v>4465</v>
      </c>
      <c r="FX2090" s="1">
        <v>2414</v>
      </c>
      <c r="FY2090" s="1" t="s">
        <v>4466</v>
      </c>
      <c r="FZ2090" s="1" t="s">
        <v>9669</v>
      </c>
      <c r="GA2090" s="1">
        <v>16879</v>
      </c>
      <c r="GB2090" s="1" t="s">
        <v>9670</v>
      </c>
      <c r="GC2090" s="1">
        <v>16510</v>
      </c>
      <c r="GE2090" s="1" t="s">
        <v>210</v>
      </c>
      <c r="GI2090" s="1" t="s">
        <v>213</v>
      </c>
      <c r="GJ2090" s="1" t="s">
        <v>260</v>
      </c>
      <c r="GK2090" s="1" t="s">
        <v>210</v>
      </c>
      <c r="GL2090" s="2">
        <v>42004</v>
      </c>
      <c r="GM2090" s="1" t="s">
        <v>18852</v>
      </c>
    </row>
    <row r="2091" spans="1:195">
      <c r="A2091" s="1">
        <v>90000</v>
      </c>
      <c r="B2091" s="1" t="s">
        <v>195</v>
      </c>
      <c r="C2091" s="1" t="str">
        <f>"08751967"</f>
        <v>08751967</v>
      </c>
      <c r="D2091" s="1" t="s">
        <v>196</v>
      </c>
      <c r="F2091" s="1" t="str">
        <f>"20"</f>
        <v>20</v>
      </c>
      <c r="G2091" s="2">
        <v>41925</v>
      </c>
      <c r="H2091" s="1">
        <v>86900</v>
      </c>
      <c r="I2091" s="1">
        <v>86900</v>
      </c>
      <c r="J2091" s="1">
        <v>90000</v>
      </c>
      <c r="K2091" s="2">
        <v>41925</v>
      </c>
      <c r="L2091" s="1">
        <v>11</v>
      </c>
      <c r="M2091" s="2">
        <v>41935</v>
      </c>
      <c r="N2091" s="1">
        <v>11</v>
      </c>
      <c r="O2091" s="2">
        <v>41935</v>
      </c>
      <c r="P2091" s="1">
        <v>2643</v>
      </c>
      <c r="Q2091" s="1" t="s">
        <v>197</v>
      </c>
      <c r="R2091" s="2">
        <v>41975</v>
      </c>
      <c r="S2091" s="1">
        <v>18221</v>
      </c>
      <c r="U2091" s="1">
        <v>7112</v>
      </c>
      <c r="V2091" s="1" t="s">
        <v>18853</v>
      </c>
      <c r="W2091" s="1" t="s">
        <v>504</v>
      </c>
      <c r="Y2091" s="1">
        <v>2</v>
      </c>
      <c r="Z2091" s="1" t="s">
        <v>370</v>
      </c>
      <c r="AA2091" s="1" t="s">
        <v>592</v>
      </c>
      <c r="AB2091" s="1">
        <v>60020</v>
      </c>
      <c r="AD2091" s="1" t="s">
        <v>593</v>
      </c>
      <c r="AE2091" s="1" t="s">
        <v>18854</v>
      </c>
      <c r="AF2091" s="1">
        <v>1978</v>
      </c>
      <c r="AG2091" s="1" t="s">
        <v>204</v>
      </c>
      <c r="AH2091" s="1" t="s">
        <v>595</v>
      </c>
      <c r="AI2091" s="1" t="s">
        <v>509</v>
      </c>
      <c r="AJ2091" s="1" t="s">
        <v>1016</v>
      </c>
      <c r="AK2091" s="1" t="s">
        <v>15626</v>
      </c>
      <c r="AL2091" s="1">
        <v>6</v>
      </c>
      <c r="AM2091" s="1">
        <v>2</v>
      </c>
      <c r="AN2091" s="1">
        <v>2</v>
      </c>
      <c r="AO2091" s="1">
        <v>0</v>
      </c>
      <c r="AP2091" s="1" t="s">
        <v>209</v>
      </c>
      <c r="AQ2091" s="1">
        <v>0</v>
      </c>
      <c r="AR2091" s="1" t="s">
        <v>210</v>
      </c>
      <c r="AS2091" s="1" t="s">
        <v>204</v>
      </c>
      <c r="AT2091" s="1" t="s">
        <v>211</v>
      </c>
      <c r="AU2091" s="1">
        <v>1</v>
      </c>
      <c r="AW2091" s="1" t="s">
        <v>204</v>
      </c>
      <c r="AX2091" s="1" t="s">
        <v>212</v>
      </c>
      <c r="AZ2091" s="1">
        <v>2014.48</v>
      </c>
      <c r="BA2091" s="1">
        <v>2013</v>
      </c>
      <c r="BB2091" s="1" t="s">
        <v>599</v>
      </c>
      <c r="BE2091" s="1">
        <v>1137</v>
      </c>
      <c r="BF2091" s="1">
        <v>1</v>
      </c>
      <c r="BG2091" s="1">
        <v>30</v>
      </c>
      <c r="BL2091" s="1">
        <v>295</v>
      </c>
      <c r="BM2091" s="1" t="s">
        <v>204</v>
      </c>
      <c r="BN2091" s="1" t="s">
        <v>213</v>
      </c>
      <c r="BO2091" s="1">
        <v>80</v>
      </c>
      <c r="BP2091" s="1" t="s">
        <v>204</v>
      </c>
      <c r="BR2091" s="1" t="str">
        <f>"01284004710000"</f>
        <v>01284004710000</v>
      </c>
      <c r="BT2091" s="1" t="s">
        <v>18855</v>
      </c>
      <c r="BX2091" s="1">
        <v>114</v>
      </c>
      <c r="BY2091" s="1">
        <v>114</v>
      </c>
      <c r="BZ2091" s="1">
        <v>124</v>
      </c>
      <c r="CA2091" s="1">
        <v>532</v>
      </c>
      <c r="CB2091" s="1" t="str">
        <f t="shared" ref="CB2091:CC2091" si="1595">""</f>
        <v/>
      </c>
      <c r="CC2091" s="1" t="str">
        <f t="shared" si="1595"/>
        <v/>
      </c>
      <c r="CG2091" s="1" t="s">
        <v>221</v>
      </c>
      <c r="CH2091" s="1" t="s">
        <v>219</v>
      </c>
      <c r="CI2091" s="1" t="s">
        <v>220</v>
      </c>
      <c r="CK2091" s="1" t="s">
        <v>729</v>
      </c>
      <c r="CL2091" s="1" t="s">
        <v>219</v>
      </c>
      <c r="CM2091" s="1" t="s">
        <v>220</v>
      </c>
      <c r="CO2091" s="1" t="s">
        <v>1470</v>
      </c>
      <c r="CP2091" s="1" t="s">
        <v>219</v>
      </c>
      <c r="CQ2091" s="1" t="s">
        <v>220</v>
      </c>
      <c r="CS2091" s="1" t="s">
        <v>318</v>
      </c>
      <c r="CT2091" s="1" t="s">
        <v>219</v>
      </c>
      <c r="CU2091" s="1" t="s">
        <v>220</v>
      </c>
      <c r="CX2091" s="1" t="s">
        <v>224</v>
      </c>
      <c r="DB2091" s="1" t="s">
        <v>224</v>
      </c>
      <c r="DE2091" s="1" t="s">
        <v>516</v>
      </c>
      <c r="DF2091" s="1" t="s">
        <v>219</v>
      </c>
      <c r="DG2091" s="1" t="s">
        <v>229</v>
      </c>
      <c r="DJ2091" s="1" t="s">
        <v>224</v>
      </c>
      <c r="DM2091" s="1" t="s">
        <v>381</v>
      </c>
      <c r="DR2091" s="1" t="s">
        <v>409</v>
      </c>
      <c r="DS2091" s="1" t="s">
        <v>219</v>
      </c>
      <c r="DT2091" s="1" t="s">
        <v>229</v>
      </c>
      <c r="DW2091" s="1" t="s">
        <v>230</v>
      </c>
      <c r="EA2091" s="1" t="s">
        <v>230</v>
      </c>
      <c r="EE2091" s="1" t="s">
        <v>230</v>
      </c>
      <c r="EI2091" s="1" t="s">
        <v>230</v>
      </c>
      <c r="EL2091" s="1" t="s">
        <v>231</v>
      </c>
      <c r="EM2091" s="1" t="s">
        <v>319</v>
      </c>
      <c r="EN2091" s="1" t="s">
        <v>282</v>
      </c>
      <c r="EO2091" s="1" t="s">
        <v>234</v>
      </c>
      <c r="EP2091" s="1" t="s">
        <v>18856</v>
      </c>
      <c r="EQ2091" s="1" t="s">
        <v>468</v>
      </c>
      <c r="ER2091" s="1" t="s">
        <v>383</v>
      </c>
      <c r="ES2091" s="1" t="s">
        <v>322</v>
      </c>
      <c r="EU2091" s="1" t="s">
        <v>239</v>
      </c>
      <c r="EV2091" s="1" t="s">
        <v>240</v>
      </c>
      <c r="EW2091" s="1" t="s">
        <v>3255</v>
      </c>
      <c r="EY2091" s="1" t="s">
        <v>242</v>
      </c>
      <c r="EZ2091" s="1" t="s">
        <v>381</v>
      </c>
      <c r="FA2091" s="1" t="s">
        <v>672</v>
      </c>
      <c r="FB2091" s="1" t="s">
        <v>1755</v>
      </c>
      <c r="FD2091" s="1" t="s">
        <v>246</v>
      </c>
      <c r="FE2091" s="1" t="s">
        <v>651</v>
      </c>
      <c r="FF2091" s="1" t="s">
        <v>248</v>
      </c>
      <c r="FH2091" s="1" t="s">
        <v>442</v>
      </c>
      <c r="FI2091" s="1" t="s">
        <v>357</v>
      </c>
      <c r="FL2091" s="1" t="s">
        <v>18857</v>
      </c>
      <c r="FM2091" s="1" t="s">
        <v>252</v>
      </c>
      <c r="FN2091" s="1" t="s">
        <v>213</v>
      </c>
      <c r="FO2091" s="1" t="s">
        <v>213</v>
      </c>
      <c r="FQ2091" s="1" t="s">
        <v>849</v>
      </c>
      <c r="FR2091" s="1" t="s">
        <v>210</v>
      </c>
      <c r="FS2091" s="1" t="s">
        <v>10441</v>
      </c>
      <c r="FT2091" s="1" t="s">
        <v>18858</v>
      </c>
      <c r="FU2091" s="1" t="s">
        <v>204</v>
      </c>
      <c r="FW2091" s="1" t="s">
        <v>618</v>
      </c>
      <c r="FX2091" s="1">
        <v>2643</v>
      </c>
      <c r="FY2091" s="1" t="s">
        <v>619</v>
      </c>
      <c r="FZ2091" s="1" t="s">
        <v>620</v>
      </c>
      <c r="GA2091" s="1">
        <v>12693</v>
      </c>
      <c r="GB2091" s="1" t="s">
        <v>621</v>
      </c>
      <c r="GD2091" s="1" t="s">
        <v>622</v>
      </c>
      <c r="GE2091" s="1" t="s">
        <v>623</v>
      </c>
      <c r="GI2091" s="1" t="s">
        <v>213</v>
      </c>
      <c r="GJ2091" s="1" t="s">
        <v>260</v>
      </c>
      <c r="GK2091" s="1" t="s">
        <v>210</v>
      </c>
      <c r="GL2091" s="2">
        <v>41976</v>
      </c>
      <c r="GM2091" s="1" t="s">
        <v>18859</v>
      </c>
    </row>
    <row r="2092" spans="1:195">
      <c r="A2092" s="1">
        <v>89000</v>
      </c>
      <c r="B2092" s="1" t="s">
        <v>195</v>
      </c>
      <c r="C2092" s="1" t="str">
        <f>"08751836"</f>
        <v>08751836</v>
      </c>
      <c r="D2092" s="1" t="s">
        <v>196</v>
      </c>
      <c r="F2092" s="1" t="str">
        <f>"8065"</f>
        <v>8065</v>
      </c>
      <c r="G2092" s="2">
        <v>41925</v>
      </c>
      <c r="H2092" s="1">
        <v>89900</v>
      </c>
      <c r="I2092" s="1">
        <v>79900</v>
      </c>
      <c r="J2092" s="1">
        <v>89000</v>
      </c>
      <c r="K2092" s="2">
        <v>41925</v>
      </c>
      <c r="L2092" s="1">
        <v>249</v>
      </c>
      <c r="M2092" s="2">
        <v>41989</v>
      </c>
      <c r="N2092" s="1">
        <v>65</v>
      </c>
      <c r="O2092" s="2">
        <v>41989</v>
      </c>
      <c r="P2092" s="1">
        <v>18932</v>
      </c>
      <c r="Q2092" s="1" t="s">
        <v>347</v>
      </c>
      <c r="R2092" s="2">
        <v>42030</v>
      </c>
      <c r="S2092" s="1">
        <v>176958</v>
      </c>
      <c r="U2092" s="1">
        <v>4231</v>
      </c>
      <c r="V2092" s="1" t="s">
        <v>4012</v>
      </c>
      <c r="W2092" s="1" t="s">
        <v>725</v>
      </c>
      <c r="X2092" s="1">
        <v>208</v>
      </c>
      <c r="Y2092" s="1">
        <v>124</v>
      </c>
      <c r="Z2092" s="1" t="s">
        <v>370</v>
      </c>
      <c r="AA2092" s="1" t="s">
        <v>400</v>
      </c>
      <c r="AB2092" s="1">
        <v>60652</v>
      </c>
      <c r="AE2092" s="1" t="s">
        <v>18860</v>
      </c>
      <c r="AF2092" s="1">
        <v>2000</v>
      </c>
      <c r="AG2092" s="1" t="s">
        <v>204</v>
      </c>
      <c r="AH2092" s="1" t="s">
        <v>403</v>
      </c>
      <c r="AI2092" s="1" t="s">
        <v>310</v>
      </c>
      <c r="AJ2092" s="1" t="s">
        <v>683</v>
      </c>
      <c r="AL2092" s="1">
        <v>5</v>
      </c>
      <c r="AM2092" s="1">
        <v>2</v>
      </c>
      <c r="AN2092" s="1">
        <v>2</v>
      </c>
      <c r="AO2092" s="1">
        <v>0</v>
      </c>
      <c r="AP2092" s="1" t="s">
        <v>210</v>
      </c>
      <c r="AQ2092" s="1">
        <v>0</v>
      </c>
      <c r="AR2092" s="1" t="s">
        <v>210</v>
      </c>
      <c r="AS2092" s="1" t="s">
        <v>204</v>
      </c>
      <c r="AT2092" s="1" t="s">
        <v>271</v>
      </c>
      <c r="AV2092" s="1">
        <v>1</v>
      </c>
      <c r="AW2092" s="1" t="s">
        <v>204</v>
      </c>
      <c r="AX2092" s="1" t="s">
        <v>270</v>
      </c>
      <c r="AZ2092" s="1">
        <v>922</v>
      </c>
      <c r="BA2092" s="1">
        <v>2012</v>
      </c>
      <c r="BE2092" s="1">
        <v>1125</v>
      </c>
      <c r="BF2092" s="1">
        <v>2</v>
      </c>
      <c r="BG2092" s="1">
        <v>0</v>
      </c>
      <c r="BL2092" s="1">
        <v>210</v>
      </c>
      <c r="BM2092" s="1" t="s">
        <v>204</v>
      </c>
      <c r="BN2092" s="1" t="s">
        <v>213</v>
      </c>
      <c r="BO2092" s="1">
        <v>35</v>
      </c>
      <c r="BP2092" s="1" t="s">
        <v>204</v>
      </c>
      <c r="BR2092" s="1" t="str">
        <f>"19274010581096"</f>
        <v>19274010581096</v>
      </c>
      <c r="BT2092" s="1" t="s">
        <v>18861</v>
      </c>
      <c r="BX2092" s="1">
        <v>299</v>
      </c>
      <c r="BY2092" s="1">
        <v>299</v>
      </c>
      <c r="BZ2092" s="1">
        <v>299</v>
      </c>
      <c r="CB2092" s="1" t="str">
        <f t="shared" ref="CB2092:CC2092" si="1596">"0"</f>
        <v>0</v>
      </c>
      <c r="CC2092" s="1" t="str">
        <f t="shared" si="1596"/>
        <v>0</v>
      </c>
      <c r="CD2092" s="1">
        <v>4200</v>
      </c>
      <c r="CE2092" s="1">
        <v>7600</v>
      </c>
      <c r="CG2092" s="1" t="s">
        <v>1723</v>
      </c>
      <c r="CH2092" s="1" t="s">
        <v>219</v>
      </c>
      <c r="CI2092" s="1" t="s">
        <v>220</v>
      </c>
      <c r="CJ2092" s="1" t="s">
        <v>210</v>
      </c>
      <c r="CK2092" s="1" t="s">
        <v>278</v>
      </c>
      <c r="CL2092" s="1" t="s">
        <v>219</v>
      </c>
      <c r="CM2092" s="1" t="s">
        <v>220</v>
      </c>
      <c r="CN2092" s="1" t="s">
        <v>210</v>
      </c>
      <c r="CO2092" s="1" t="s">
        <v>629</v>
      </c>
      <c r="CP2092" s="1" t="s">
        <v>219</v>
      </c>
      <c r="CQ2092" s="1" t="s">
        <v>220</v>
      </c>
      <c r="CR2092" s="1" t="s">
        <v>210</v>
      </c>
      <c r="CS2092" s="1" t="s">
        <v>465</v>
      </c>
      <c r="CT2092" s="1" t="s">
        <v>219</v>
      </c>
      <c r="CU2092" s="1" t="s">
        <v>220</v>
      </c>
      <c r="CV2092" s="1" t="s">
        <v>210</v>
      </c>
      <c r="CX2092" s="1" t="s">
        <v>224</v>
      </c>
      <c r="DB2092" s="1" t="s">
        <v>224</v>
      </c>
      <c r="DE2092" s="1" t="s">
        <v>379</v>
      </c>
      <c r="DF2092" s="1" t="s">
        <v>219</v>
      </c>
      <c r="DJ2092" s="1" t="s">
        <v>224</v>
      </c>
      <c r="DS2092" s="1" t="s">
        <v>230</v>
      </c>
      <c r="DW2092" s="1" t="s">
        <v>230</v>
      </c>
      <c r="EA2092" s="1" t="s">
        <v>230</v>
      </c>
      <c r="EE2092" s="1" t="s">
        <v>230</v>
      </c>
      <c r="EI2092" s="1" t="s">
        <v>230</v>
      </c>
      <c r="EL2092" s="1" t="s">
        <v>466</v>
      </c>
      <c r="EM2092" s="1" t="s">
        <v>730</v>
      </c>
      <c r="EN2092" s="1" t="s">
        <v>282</v>
      </c>
      <c r="EO2092" s="1" t="s">
        <v>234</v>
      </c>
      <c r="ER2092" s="1" t="s">
        <v>210</v>
      </c>
      <c r="EU2092" s="1" t="s">
        <v>3703</v>
      </c>
      <c r="EW2092" s="1" t="s">
        <v>8188</v>
      </c>
      <c r="EZ2092" s="1" t="s">
        <v>287</v>
      </c>
      <c r="FD2092" s="1" t="s">
        <v>290</v>
      </c>
      <c r="FE2092" s="1" t="s">
        <v>247</v>
      </c>
      <c r="FF2092" s="1" t="s">
        <v>387</v>
      </c>
      <c r="FH2092" s="1" t="s">
        <v>249</v>
      </c>
      <c r="FJ2092" s="1" t="s">
        <v>18862</v>
      </c>
      <c r="FL2092" s="1" t="s">
        <v>358</v>
      </c>
      <c r="FM2092" s="1" t="s">
        <v>252</v>
      </c>
      <c r="FN2092" s="1" t="s">
        <v>213</v>
      </c>
      <c r="FO2092" s="1" t="s">
        <v>213</v>
      </c>
      <c r="FQ2092" s="1" t="s">
        <v>849</v>
      </c>
      <c r="FR2092" s="1" t="s">
        <v>210</v>
      </c>
      <c r="FS2092" s="1" t="s">
        <v>2541</v>
      </c>
      <c r="FT2092" s="1" t="s">
        <v>18863</v>
      </c>
      <c r="FU2092" s="1" t="s">
        <v>204</v>
      </c>
      <c r="FW2092" s="1" t="s">
        <v>719</v>
      </c>
      <c r="FX2092" s="1">
        <v>22029</v>
      </c>
      <c r="FY2092" s="1" t="s">
        <v>720</v>
      </c>
      <c r="FZ2092" s="1" t="s">
        <v>18864</v>
      </c>
      <c r="GA2092" s="1">
        <v>237183</v>
      </c>
      <c r="GB2092" s="1" t="s">
        <v>18865</v>
      </c>
      <c r="GE2092" s="1" t="s">
        <v>4021</v>
      </c>
      <c r="GH2092" s="1" t="s">
        <v>589</v>
      </c>
      <c r="GI2092" s="1" t="s">
        <v>204</v>
      </c>
      <c r="GJ2092" s="1" t="s">
        <v>260</v>
      </c>
      <c r="GK2092" s="1" t="s">
        <v>261</v>
      </c>
      <c r="GL2092" s="2">
        <v>42030</v>
      </c>
      <c r="GM2092" s="1" t="s">
        <v>18866</v>
      </c>
    </row>
    <row r="2093" spans="1:195">
      <c r="A2093" s="1">
        <v>158000</v>
      </c>
      <c r="B2093" s="1" t="s">
        <v>195</v>
      </c>
      <c r="C2093" s="1" t="str">
        <f>"08739270"</f>
        <v>08739270</v>
      </c>
      <c r="D2093" s="1" t="s">
        <v>196</v>
      </c>
      <c r="F2093" s="1" t="str">
        <f>"538"</f>
        <v>538</v>
      </c>
      <c r="G2093" s="2">
        <v>41909</v>
      </c>
      <c r="H2093" s="1">
        <v>165000</v>
      </c>
      <c r="I2093" s="1">
        <v>159900</v>
      </c>
      <c r="J2093" s="1">
        <v>158000</v>
      </c>
      <c r="K2093" s="2">
        <v>41908</v>
      </c>
      <c r="L2093" s="1">
        <v>112</v>
      </c>
      <c r="M2093" s="2">
        <v>42019</v>
      </c>
      <c r="N2093" s="1">
        <v>112</v>
      </c>
      <c r="O2093" s="2">
        <v>42019</v>
      </c>
      <c r="P2093" s="1">
        <v>74</v>
      </c>
      <c r="Q2093" s="1" t="s">
        <v>423</v>
      </c>
      <c r="R2093" s="2">
        <v>42104</v>
      </c>
      <c r="S2093" s="1">
        <v>8715</v>
      </c>
      <c r="T2093" s="1">
        <v>3000</v>
      </c>
      <c r="U2093" s="1">
        <v>1335</v>
      </c>
      <c r="V2093" s="1" t="s">
        <v>15316</v>
      </c>
      <c r="W2093" s="1" t="s">
        <v>425</v>
      </c>
      <c r="X2093" s="1">
        <v>1335</v>
      </c>
      <c r="Y2093" s="1">
        <v>4</v>
      </c>
      <c r="Z2093" s="1" t="s">
        <v>249</v>
      </c>
      <c r="AA2093" s="1" t="s">
        <v>450</v>
      </c>
      <c r="AB2093" s="1">
        <v>60538</v>
      </c>
      <c r="AD2093" s="1" t="s">
        <v>12503</v>
      </c>
      <c r="AE2093" s="1" t="s">
        <v>18867</v>
      </c>
      <c r="AF2093" s="1">
        <v>2005</v>
      </c>
      <c r="AG2093" s="1" t="s">
        <v>204</v>
      </c>
      <c r="AH2093" s="1" t="s">
        <v>452</v>
      </c>
      <c r="AI2093" s="1" t="s">
        <v>665</v>
      </c>
      <c r="AJ2093" s="1" t="s">
        <v>1126</v>
      </c>
      <c r="AK2093" s="1" t="s">
        <v>18868</v>
      </c>
      <c r="AL2093" s="1">
        <v>6</v>
      </c>
      <c r="AM2093" s="1">
        <v>2</v>
      </c>
      <c r="AN2093" s="1">
        <v>2</v>
      </c>
      <c r="AO2093" s="1">
        <v>1</v>
      </c>
      <c r="AP2093" s="1" t="s">
        <v>209</v>
      </c>
      <c r="AR2093" s="1" t="s">
        <v>209</v>
      </c>
      <c r="AS2093" s="1" t="s">
        <v>204</v>
      </c>
      <c r="AT2093" s="1" t="s">
        <v>211</v>
      </c>
      <c r="AU2093" s="1">
        <v>2</v>
      </c>
      <c r="AW2093" s="1" t="s">
        <v>204</v>
      </c>
      <c r="AX2093" s="1" t="s">
        <v>212</v>
      </c>
      <c r="AZ2093" s="1">
        <v>3400</v>
      </c>
      <c r="BA2093" s="1">
        <v>2013</v>
      </c>
      <c r="BB2093" s="1" t="s">
        <v>405</v>
      </c>
      <c r="BE2093" s="1">
        <v>1792</v>
      </c>
      <c r="BF2093" s="1">
        <v>1</v>
      </c>
      <c r="BG2093" s="1">
        <v>0</v>
      </c>
      <c r="BL2093" s="1">
        <v>150</v>
      </c>
      <c r="BM2093" s="1" t="s">
        <v>204</v>
      </c>
      <c r="BN2093" s="1" t="s">
        <v>213</v>
      </c>
      <c r="BO2093" s="1">
        <v>75</v>
      </c>
      <c r="BP2093" s="1" t="s">
        <v>204</v>
      </c>
      <c r="BR2093" s="1" t="str">
        <f>"1533478032"</f>
        <v>1533478032</v>
      </c>
      <c r="BT2093" s="1" t="s">
        <v>18869</v>
      </c>
      <c r="BX2093" s="1">
        <v>129</v>
      </c>
      <c r="BY2093" s="1">
        <v>129</v>
      </c>
      <c r="BZ2093" s="1">
        <v>129</v>
      </c>
      <c r="CB2093" s="1" t="str">
        <f t="shared" ref="CB2093:CC2093" si="1597">"0"</f>
        <v>0</v>
      </c>
      <c r="CC2093" s="1" t="str">
        <f t="shared" si="1597"/>
        <v>0</v>
      </c>
      <c r="CD2093" s="1">
        <v>36</v>
      </c>
      <c r="CE2093" s="1">
        <v>10</v>
      </c>
      <c r="CG2093" s="1" t="s">
        <v>729</v>
      </c>
      <c r="CH2093" s="1" t="s">
        <v>219</v>
      </c>
      <c r="CI2093" s="1" t="s">
        <v>220</v>
      </c>
      <c r="CJ2093" s="1" t="s">
        <v>343</v>
      </c>
      <c r="CK2093" s="1" t="s">
        <v>932</v>
      </c>
      <c r="CL2093" s="1" t="s">
        <v>277</v>
      </c>
      <c r="CM2093" s="1" t="s">
        <v>220</v>
      </c>
      <c r="CN2093" s="1" t="s">
        <v>343</v>
      </c>
      <c r="CO2093" s="1" t="s">
        <v>344</v>
      </c>
      <c r="CP2093" s="1" t="s">
        <v>219</v>
      </c>
      <c r="CQ2093" s="1" t="s">
        <v>220</v>
      </c>
      <c r="CR2093" s="1" t="s">
        <v>343</v>
      </c>
      <c r="CS2093" s="1" t="s">
        <v>317</v>
      </c>
      <c r="CT2093" s="1" t="s">
        <v>277</v>
      </c>
      <c r="CU2093" s="1" t="s">
        <v>220</v>
      </c>
      <c r="CV2093" s="1" t="s">
        <v>343</v>
      </c>
      <c r="CX2093" s="1" t="s">
        <v>224</v>
      </c>
      <c r="DB2093" s="1" t="s">
        <v>224</v>
      </c>
      <c r="DE2093" s="1" t="s">
        <v>465</v>
      </c>
      <c r="DF2093" s="1" t="s">
        <v>219</v>
      </c>
      <c r="DG2093" s="1" t="s">
        <v>438</v>
      </c>
      <c r="DH2093" s="1" t="s">
        <v>343</v>
      </c>
      <c r="DI2093" s="1" t="s">
        <v>931</v>
      </c>
      <c r="DJ2093" s="1" t="s">
        <v>822</v>
      </c>
      <c r="DK2093" s="1" t="s">
        <v>220</v>
      </c>
      <c r="DL2093" s="1" t="s">
        <v>210</v>
      </c>
      <c r="DS2093" s="1" t="s">
        <v>230</v>
      </c>
      <c r="DW2093" s="1" t="s">
        <v>230</v>
      </c>
      <c r="EA2093" s="1" t="s">
        <v>230</v>
      </c>
      <c r="EE2093" s="1" t="s">
        <v>230</v>
      </c>
      <c r="EI2093" s="1" t="s">
        <v>230</v>
      </c>
      <c r="EL2093" s="1" t="s">
        <v>491</v>
      </c>
      <c r="EM2093" s="1" t="s">
        <v>319</v>
      </c>
      <c r="EN2093" s="1" t="s">
        <v>282</v>
      </c>
      <c r="EO2093" s="1" t="s">
        <v>234</v>
      </c>
      <c r="EP2093" s="1" t="s">
        <v>4619</v>
      </c>
      <c r="EQ2093" s="1" t="s">
        <v>8644</v>
      </c>
      <c r="ER2093" s="1" t="s">
        <v>544</v>
      </c>
      <c r="ES2093" s="1" t="s">
        <v>4840</v>
      </c>
      <c r="EU2093" s="1" t="s">
        <v>712</v>
      </c>
      <c r="EV2093" s="1" t="s">
        <v>324</v>
      </c>
      <c r="EW2093" s="1" t="s">
        <v>353</v>
      </c>
      <c r="EY2093" s="1" t="s">
        <v>790</v>
      </c>
      <c r="EZ2093" s="1" t="s">
        <v>287</v>
      </c>
      <c r="FA2093" s="1" t="s">
        <v>4980</v>
      </c>
      <c r="FD2093" s="1" t="s">
        <v>246</v>
      </c>
      <c r="FE2093" s="1" t="s">
        <v>549</v>
      </c>
      <c r="FF2093" s="1" t="s">
        <v>248</v>
      </c>
      <c r="FH2093" s="1" t="s">
        <v>1428</v>
      </c>
      <c r="FL2093" s="1" t="s">
        <v>358</v>
      </c>
      <c r="FM2093" s="1" t="s">
        <v>252</v>
      </c>
      <c r="FN2093" s="1" t="s">
        <v>213</v>
      </c>
      <c r="FO2093" s="1" t="s">
        <v>213</v>
      </c>
      <c r="FQ2093" s="1" t="s">
        <v>1032</v>
      </c>
      <c r="FR2093" s="1" t="s">
        <v>210</v>
      </c>
      <c r="FS2093" s="1" t="s">
        <v>18870</v>
      </c>
      <c r="FT2093" s="1" t="s">
        <v>1139</v>
      </c>
      <c r="FU2093" s="1" t="s">
        <v>204</v>
      </c>
      <c r="FW2093" s="1" t="s">
        <v>813</v>
      </c>
      <c r="FX2093" s="1">
        <v>23196</v>
      </c>
      <c r="FY2093" s="1" t="s">
        <v>14015</v>
      </c>
      <c r="FZ2093" s="1" t="s">
        <v>18871</v>
      </c>
      <c r="GA2093" s="1">
        <v>233870</v>
      </c>
      <c r="GB2093" s="1" t="s">
        <v>18872</v>
      </c>
      <c r="GE2093" s="1" t="s">
        <v>480</v>
      </c>
      <c r="GI2093" s="1" t="s">
        <v>213</v>
      </c>
      <c r="GJ2093" s="1" t="s">
        <v>260</v>
      </c>
      <c r="GK2093" s="1" t="s">
        <v>210</v>
      </c>
      <c r="GL2093" s="2">
        <v>42104</v>
      </c>
      <c r="GM2093" s="1" t="s">
        <v>18873</v>
      </c>
    </row>
    <row r="2094" spans="1:195">
      <c r="A2094" s="1">
        <v>28730</v>
      </c>
      <c r="B2094" s="1" t="s">
        <v>195</v>
      </c>
      <c r="C2094" s="1" t="str">
        <f>"08739875"</f>
        <v>08739875</v>
      </c>
      <c r="D2094" s="1" t="s">
        <v>196</v>
      </c>
      <c r="F2094" s="1" t="str">
        <f>"8043"</f>
        <v>8043</v>
      </c>
      <c r="G2094" s="2">
        <v>41911</v>
      </c>
      <c r="H2094" s="1">
        <v>28000</v>
      </c>
      <c r="I2094" s="1">
        <v>27000</v>
      </c>
      <c r="J2094" s="1">
        <v>28730</v>
      </c>
      <c r="K2094" s="2">
        <v>41911</v>
      </c>
      <c r="L2094" s="1">
        <v>7</v>
      </c>
      <c r="M2094" s="2">
        <v>41912</v>
      </c>
      <c r="N2094" s="1">
        <v>2</v>
      </c>
      <c r="O2094" s="2">
        <v>41912</v>
      </c>
      <c r="P2094" s="1">
        <v>16636</v>
      </c>
      <c r="Q2094" s="1" t="s">
        <v>302</v>
      </c>
      <c r="R2094" s="2">
        <v>42041</v>
      </c>
      <c r="S2094" s="1">
        <v>108273</v>
      </c>
      <c r="U2094" s="1">
        <v>6730</v>
      </c>
      <c r="V2094" s="1" t="s">
        <v>9062</v>
      </c>
      <c r="W2094" s="1" t="s">
        <v>264</v>
      </c>
      <c r="X2094" s="1">
        <v>306</v>
      </c>
      <c r="Y2094" s="1">
        <v>91</v>
      </c>
      <c r="Z2094" s="1" t="s">
        <v>249</v>
      </c>
      <c r="AA2094" s="1" t="s">
        <v>400</v>
      </c>
      <c r="AB2094" s="1">
        <v>60649</v>
      </c>
      <c r="AE2094" s="1" t="s">
        <v>18874</v>
      </c>
      <c r="AF2094" s="1">
        <v>1966</v>
      </c>
      <c r="AG2094" s="1" t="s">
        <v>213</v>
      </c>
      <c r="AH2094" s="1" t="s">
        <v>403</v>
      </c>
      <c r="AI2094" s="1" t="s">
        <v>310</v>
      </c>
      <c r="AJ2094" s="1" t="s">
        <v>562</v>
      </c>
      <c r="AL2094" s="1">
        <v>5</v>
      </c>
      <c r="AM2094" s="1">
        <v>2</v>
      </c>
      <c r="AN2094" s="1">
        <v>2</v>
      </c>
      <c r="AO2094" s="1">
        <v>0</v>
      </c>
      <c r="AP2094" s="1" t="s">
        <v>209</v>
      </c>
      <c r="AR2094" s="1" t="s">
        <v>210</v>
      </c>
      <c r="AS2094" s="1" t="s">
        <v>204</v>
      </c>
      <c r="AT2094" s="1" t="s">
        <v>271</v>
      </c>
      <c r="AV2094" s="1">
        <v>1</v>
      </c>
      <c r="AW2094" s="1" t="s">
        <v>213</v>
      </c>
      <c r="AX2094" s="1" t="s">
        <v>18875</v>
      </c>
      <c r="AZ2094" s="1">
        <v>604</v>
      </c>
      <c r="BA2094" s="1">
        <v>2013</v>
      </c>
      <c r="BB2094" s="1" t="s">
        <v>405</v>
      </c>
      <c r="BE2094" s="1">
        <v>0</v>
      </c>
      <c r="BF2094" s="1">
        <v>3</v>
      </c>
      <c r="BG2094" s="1">
        <v>0</v>
      </c>
      <c r="BL2094" s="1">
        <v>518</v>
      </c>
      <c r="BM2094" s="1" t="s">
        <v>204</v>
      </c>
      <c r="BN2094" s="1" t="s">
        <v>213</v>
      </c>
      <c r="BO2094" s="1">
        <v>0</v>
      </c>
      <c r="BP2094" s="1" t="s">
        <v>204</v>
      </c>
      <c r="BR2094" s="1" t="str">
        <f>"20244060271013"</f>
        <v>20244060271013</v>
      </c>
      <c r="BT2094" s="1" t="s">
        <v>18876</v>
      </c>
      <c r="BX2094" s="1">
        <v>299</v>
      </c>
      <c r="BY2094" s="1">
        <v>299</v>
      </c>
      <c r="BZ2094" s="1">
        <v>299</v>
      </c>
      <c r="CB2094" s="1" t="str">
        <f>"0"</f>
        <v>0</v>
      </c>
      <c r="CC2094" s="1" t="str">
        <f>"3200"</f>
        <v>3200</v>
      </c>
      <c r="CD2094" s="1">
        <v>0</v>
      </c>
      <c r="CE2094" s="1">
        <v>6730</v>
      </c>
      <c r="CG2094" s="1" t="s">
        <v>669</v>
      </c>
      <c r="CH2094" s="1" t="s">
        <v>219</v>
      </c>
      <c r="CK2094" s="1" t="s">
        <v>539</v>
      </c>
      <c r="CL2094" s="1" t="s">
        <v>219</v>
      </c>
      <c r="CO2094" s="1" t="s">
        <v>348</v>
      </c>
      <c r="CP2094" s="1" t="s">
        <v>219</v>
      </c>
      <c r="CS2094" s="1" t="s">
        <v>346</v>
      </c>
      <c r="CT2094" s="1" t="s">
        <v>219</v>
      </c>
      <c r="CX2094" s="1" t="s">
        <v>224</v>
      </c>
      <c r="DB2094" s="1" t="s">
        <v>224</v>
      </c>
      <c r="DE2094" s="1" t="s">
        <v>516</v>
      </c>
      <c r="DF2094" s="1" t="s">
        <v>219</v>
      </c>
      <c r="DJ2094" s="1" t="s">
        <v>224</v>
      </c>
      <c r="DS2094" s="1" t="s">
        <v>230</v>
      </c>
      <c r="DW2094" s="1" t="s">
        <v>230</v>
      </c>
      <c r="EA2094" s="1" t="s">
        <v>230</v>
      </c>
      <c r="EE2094" s="1" t="s">
        <v>230</v>
      </c>
      <c r="EI2094" s="1" t="s">
        <v>230</v>
      </c>
      <c r="EL2094" s="1" t="s">
        <v>605</v>
      </c>
      <c r="EM2094" s="1" t="s">
        <v>319</v>
      </c>
      <c r="EN2094" s="1" t="s">
        <v>282</v>
      </c>
      <c r="EO2094" s="1" t="s">
        <v>234</v>
      </c>
      <c r="ER2094" s="1" t="s">
        <v>210</v>
      </c>
      <c r="EW2094" s="1" t="s">
        <v>347</v>
      </c>
      <c r="EY2094" s="1" t="s">
        <v>242</v>
      </c>
      <c r="EZ2094" s="1" t="s">
        <v>287</v>
      </c>
      <c r="FD2094" s="1" t="s">
        <v>290</v>
      </c>
      <c r="FE2094" s="1" t="s">
        <v>6104</v>
      </c>
      <c r="FF2094" s="1" t="s">
        <v>248</v>
      </c>
      <c r="FH2094" s="1" t="s">
        <v>249</v>
      </c>
      <c r="FJ2094" s="1" t="s">
        <v>2046</v>
      </c>
      <c r="FL2094" s="1" t="s">
        <v>1164</v>
      </c>
      <c r="FM2094" s="1" t="s">
        <v>252</v>
      </c>
      <c r="FN2094" s="1" t="s">
        <v>213</v>
      </c>
      <c r="FO2094" s="1" t="s">
        <v>213</v>
      </c>
      <c r="FQ2094" s="1" t="s">
        <v>18877</v>
      </c>
      <c r="FR2094" s="1" t="s">
        <v>360</v>
      </c>
      <c r="FS2094" s="1" t="s">
        <v>18878</v>
      </c>
      <c r="FT2094" s="1" t="s">
        <v>255</v>
      </c>
      <c r="FU2094" s="1" t="s">
        <v>204</v>
      </c>
      <c r="FW2094" s="1" t="s">
        <v>4227</v>
      </c>
      <c r="FX2094" s="1">
        <v>16636</v>
      </c>
      <c r="FY2094" s="1" t="s">
        <v>720</v>
      </c>
      <c r="FZ2094" s="1" t="s">
        <v>18879</v>
      </c>
      <c r="GA2094" s="1">
        <v>108273</v>
      </c>
      <c r="GB2094" s="1" t="s">
        <v>18880</v>
      </c>
      <c r="GD2094" s="1" t="s">
        <v>18881</v>
      </c>
      <c r="GE2094" s="1" t="s">
        <v>210</v>
      </c>
      <c r="GH2094" s="1" t="s">
        <v>421</v>
      </c>
      <c r="GI2094" s="1" t="s">
        <v>204</v>
      </c>
      <c r="GJ2094" s="1" t="s">
        <v>260</v>
      </c>
      <c r="GK2094" s="1" t="s">
        <v>210</v>
      </c>
      <c r="GL2094" s="2">
        <v>42042</v>
      </c>
      <c r="GM2094" s="1" t="s">
        <v>18882</v>
      </c>
    </row>
    <row r="2095" spans="1:195">
      <c r="A2095" s="1">
        <v>207000</v>
      </c>
      <c r="B2095" s="1" t="s">
        <v>195</v>
      </c>
      <c r="C2095" s="1" t="str">
        <f>"08740203"</f>
        <v>08740203</v>
      </c>
      <c r="D2095" s="1" t="s">
        <v>196</v>
      </c>
      <c r="F2095" s="1" t="str">
        <f>"154"</f>
        <v>154</v>
      </c>
      <c r="G2095" s="2">
        <v>41911</v>
      </c>
      <c r="H2095" s="1">
        <v>249000</v>
      </c>
      <c r="I2095" s="1">
        <v>219000</v>
      </c>
      <c r="J2095" s="1">
        <v>207000</v>
      </c>
      <c r="K2095" s="2">
        <v>41911</v>
      </c>
      <c r="L2095" s="1">
        <v>135</v>
      </c>
      <c r="M2095" s="2">
        <v>42045</v>
      </c>
      <c r="N2095" s="1">
        <v>135</v>
      </c>
      <c r="O2095" s="2">
        <v>42045</v>
      </c>
      <c r="P2095" s="1">
        <v>40131</v>
      </c>
      <c r="Q2095" s="1" t="s">
        <v>197</v>
      </c>
      <c r="R2095" s="2">
        <v>42076</v>
      </c>
      <c r="S2095" s="1">
        <v>852024</v>
      </c>
      <c r="U2095" s="1">
        <v>34</v>
      </c>
      <c r="V2095" s="1" t="s">
        <v>18883</v>
      </c>
      <c r="W2095" s="1" t="s">
        <v>304</v>
      </c>
      <c r="X2095" s="1">
        <v>34</v>
      </c>
      <c r="Y2095" s="1">
        <v>2</v>
      </c>
      <c r="Z2095" s="1" t="s">
        <v>249</v>
      </c>
      <c r="AA2095" s="1" t="s">
        <v>1190</v>
      </c>
      <c r="AB2095" s="1">
        <v>60154</v>
      </c>
      <c r="AD2095" s="1" t="s">
        <v>1191</v>
      </c>
      <c r="AE2095" s="1" t="s">
        <v>18884</v>
      </c>
      <c r="AF2095" s="1">
        <v>1987</v>
      </c>
      <c r="AG2095" s="1" t="s">
        <v>204</v>
      </c>
      <c r="AH2095" s="1" t="s">
        <v>1193</v>
      </c>
      <c r="AI2095" s="1" t="s">
        <v>310</v>
      </c>
      <c r="AJ2095" s="1" t="s">
        <v>429</v>
      </c>
      <c r="AK2095" s="1" t="s">
        <v>18885</v>
      </c>
      <c r="AL2095" s="1">
        <v>8</v>
      </c>
      <c r="AM2095" s="1">
        <v>2</v>
      </c>
      <c r="AN2095" s="1">
        <v>2</v>
      </c>
      <c r="AO2095" s="1">
        <v>0</v>
      </c>
      <c r="AP2095" s="1" t="s">
        <v>209</v>
      </c>
      <c r="AQ2095" s="1">
        <v>1</v>
      </c>
      <c r="AR2095" s="1" t="s">
        <v>210</v>
      </c>
      <c r="AS2095" s="1" t="s">
        <v>204</v>
      </c>
      <c r="AT2095" s="1" t="s">
        <v>211</v>
      </c>
      <c r="AU2095" s="1">
        <v>1</v>
      </c>
      <c r="AW2095" s="1" t="s">
        <v>204</v>
      </c>
      <c r="AX2095" s="1" t="s">
        <v>212</v>
      </c>
      <c r="AZ2095" s="1">
        <v>5741.48</v>
      </c>
      <c r="BA2095" s="1">
        <v>2012</v>
      </c>
      <c r="BE2095" s="1">
        <v>2026</v>
      </c>
      <c r="BF2095" s="1">
        <v>2</v>
      </c>
      <c r="BG2095" s="1">
        <v>30</v>
      </c>
      <c r="BJ2095" s="1">
        <v>100</v>
      </c>
      <c r="BL2095" s="1">
        <v>265</v>
      </c>
      <c r="BM2095" s="1" t="s">
        <v>204</v>
      </c>
      <c r="BN2095" s="1" t="s">
        <v>213</v>
      </c>
      <c r="BO2095" s="1">
        <v>25</v>
      </c>
      <c r="BP2095" s="1" t="s">
        <v>204</v>
      </c>
      <c r="BR2095" s="1" t="str">
        <f>"15293000291069"</f>
        <v>15293000291069</v>
      </c>
      <c r="BT2095" s="1" t="s">
        <v>18886</v>
      </c>
      <c r="BU2095" s="1" t="s">
        <v>1198</v>
      </c>
      <c r="BV2095" s="1" t="s">
        <v>1196</v>
      </c>
      <c r="BW2095" s="1" t="s">
        <v>1197</v>
      </c>
      <c r="BX2095" s="1">
        <v>92.5</v>
      </c>
      <c r="BY2095" s="1">
        <v>92.5</v>
      </c>
      <c r="BZ2095" s="1">
        <v>209</v>
      </c>
      <c r="CB2095" s="1" t="str">
        <f t="shared" ref="CB2095:CC2095" si="1598">""</f>
        <v/>
      </c>
      <c r="CC2095" s="1" t="str">
        <f t="shared" si="1598"/>
        <v/>
      </c>
      <c r="CD2095" s="1">
        <v>13</v>
      </c>
      <c r="CE2095" s="1">
        <v>2</v>
      </c>
      <c r="CG2095" s="1" t="s">
        <v>7380</v>
      </c>
      <c r="CH2095" s="1" t="s">
        <v>277</v>
      </c>
      <c r="CI2095" s="1" t="s">
        <v>220</v>
      </c>
      <c r="CK2095" s="1" t="s">
        <v>862</v>
      </c>
      <c r="CL2095" s="1" t="s">
        <v>277</v>
      </c>
      <c r="CM2095" s="1" t="s">
        <v>220</v>
      </c>
      <c r="CO2095" s="1" t="s">
        <v>409</v>
      </c>
      <c r="CP2095" s="1" t="s">
        <v>277</v>
      </c>
      <c r="CQ2095" s="1" t="s">
        <v>220</v>
      </c>
      <c r="CS2095" s="1" t="s">
        <v>317</v>
      </c>
      <c r="CT2095" s="1" t="s">
        <v>277</v>
      </c>
      <c r="CU2095" s="1" t="s">
        <v>220</v>
      </c>
      <c r="CX2095" s="1" t="s">
        <v>224</v>
      </c>
      <c r="DB2095" s="1" t="s">
        <v>224</v>
      </c>
      <c r="DE2095" s="1" t="s">
        <v>281</v>
      </c>
      <c r="DF2095" s="1" t="s">
        <v>277</v>
      </c>
      <c r="DG2095" s="1" t="s">
        <v>438</v>
      </c>
      <c r="DI2095" s="1" t="s">
        <v>707</v>
      </c>
      <c r="DJ2095" s="1" t="s">
        <v>277</v>
      </c>
      <c r="DK2095" s="1" t="s">
        <v>220</v>
      </c>
      <c r="DM2095" s="1" t="s">
        <v>1005</v>
      </c>
      <c r="DN2095" s="1" t="s">
        <v>1548</v>
      </c>
      <c r="DR2095" s="1" t="s">
        <v>317</v>
      </c>
      <c r="DS2095" s="1" t="s">
        <v>277</v>
      </c>
      <c r="DT2095" s="1" t="s">
        <v>220</v>
      </c>
      <c r="DV2095" s="1" t="s">
        <v>837</v>
      </c>
      <c r="DW2095" s="1" t="s">
        <v>277</v>
      </c>
      <c r="DX2095" s="1" t="s">
        <v>438</v>
      </c>
      <c r="EA2095" s="1" t="s">
        <v>230</v>
      </c>
      <c r="EE2095" s="1" t="s">
        <v>230</v>
      </c>
      <c r="EI2095" s="1" t="s">
        <v>230</v>
      </c>
      <c r="EL2095" s="1" t="s">
        <v>542</v>
      </c>
      <c r="EM2095" s="1" t="s">
        <v>232</v>
      </c>
      <c r="EN2095" s="1" t="s">
        <v>282</v>
      </c>
      <c r="EO2095" s="1" t="s">
        <v>234</v>
      </c>
      <c r="EQ2095" s="1" t="s">
        <v>9668</v>
      </c>
      <c r="ER2095" s="1" t="s">
        <v>210</v>
      </c>
      <c r="ES2095" s="1" t="s">
        <v>322</v>
      </c>
      <c r="ET2095" s="1" t="s">
        <v>1201</v>
      </c>
      <c r="EU2095" s="1" t="s">
        <v>1110</v>
      </c>
      <c r="EV2095" s="1" t="s">
        <v>240</v>
      </c>
      <c r="EW2095" s="1" t="s">
        <v>911</v>
      </c>
      <c r="EY2095" s="1" t="s">
        <v>242</v>
      </c>
      <c r="EZ2095" s="1" t="s">
        <v>12207</v>
      </c>
      <c r="FA2095" s="1" t="s">
        <v>2499</v>
      </c>
      <c r="FB2095" s="1" t="s">
        <v>244</v>
      </c>
      <c r="FD2095" s="1" t="s">
        <v>290</v>
      </c>
      <c r="FE2095" s="1" t="s">
        <v>549</v>
      </c>
      <c r="FF2095" s="1" t="s">
        <v>248</v>
      </c>
      <c r="FG2095" s="1" t="s">
        <v>2406</v>
      </c>
      <c r="FH2095" s="1" t="s">
        <v>249</v>
      </c>
      <c r="FI2095" s="1" t="s">
        <v>357</v>
      </c>
      <c r="FJ2095" s="1" t="s">
        <v>197</v>
      </c>
      <c r="FL2095" s="1" t="s">
        <v>358</v>
      </c>
      <c r="FM2095" s="1" t="s">
        <v>252</v>
      </c>
      <c r="FN2095" s="1" t="s">
        <v>213</v>
      </c>
      <c r="FO2095" s="1" t="s">
        <v>213</v>
      </c>
      <c r="FQ2095" s="1" t="s">
        <v>329</v>
      </c>
      <c r="FR2095" s="1" t="s">
        <v>210</v>
      </c>
      <c r="FS2095" s="1" t="s">
        <v>18887</v>
      </c>
      <c r="FT2095" s="1" t="s">
        <v>295</v>
      </c>
      <c r="FU2095" s="1" t="s">
        <v>204</v>
      </c>
      <c r="FW2095" s="1" t="s">
        <v>8599</v>
      </c>
      <c r="FX2095" s="1">
        <v>22375</v>
      </c>
      <c r="FY2095" s="1" t="s">
        <v>8600</v>
      </c>
      <c r="FZ2095" s="1" t="s">
        <v>18888</v>
      </c>
      <c r="GA2095" s="1">
        <v>224496</v>
      </c>
      <c r="GB2095" s="1" t="s">
        <v>18889</v>
      </c>
      <c r="GE2095" s="1" t="s">
        <v>210</v>
      </c>
      <c r="GI2095" s="1" t="s">
        <v>213</v>
      </c>
      <c r="GJ2095" s="1" t="s">
        <v>260</v>
      </c>
      <c r="GK2095" s="1" t="s">
        <v>210</v>
      </c>
      <c r="GL2095" s="2">
        <v>42077</v>
      </c>
      <c r="GM2095" s="1" t="s">
        <v>18890</v>
      </c>
    </row>
    <row r="2096" spans="1:195">
      <c r="A2096" s="1">
        <v>70500</v>
      </c>
      <c r="B2096" s="1" t="s">
        <v>195</v>
      </c>
      <c r="C2096" s="1" t="str">
        <f>"08740459"</f>
        <v>08740459</v>
      </c>
      <c r="D2096" s="1" t="s">
        <v>196</v>
      </c>
      <c r="F2096" s="1" t="str">
        <f>"8038"</f>
        <v>8038</v>
      </c>
      <c r="G2096" s="2">
        <v>41911</v>
      </c>
      <c r="H2096" s="1">
        <v>90000</v>
      </c>
      <c r="I2096" s="1">
        <v>75000</v>
      </c>
      <c r="J2096" s="1">
        <v>70500</v>
      </c>
      <c r="K2096" s="2">
        <v>41911</v>
      </c>
      <c r="L2096" s="1">
        <v>73</v>
      </c>
      <c r="M2096" s="2">
        <v>41983</v>
      </c>
      <c r="N2096" s="1">
        <v>73</v>
      </c>
      <c r="O2096" s="2">
        <v>41983</v>
      </c>
      <c r="P2096" s="1">
        <v>84307</v>
      </c>
      <c r="Q2096" s="1" t="s">
        <v>302</v>
      </c>
      <c r="R2096" s="2">
        <v>42003</v>
      </c>
      <c r="S2096" s="1">
        <v>188842</v>
      </c>
      <c r="T2096" s="1">
        <v>500</v>
      </c>
      <c r="U2096" s="1">
        <v>652</v>
      </c>
      <c r="V2096" s="1" t="s">
        <v>18891</v>
      </c>
      <c r="W2096" s="1" t="s">
        <v>725</v>
      </c>
      <c r="X2096" s="1" t="s">
        <v>1949</v>
      </c>
      <c r="Y2096" s="1">
        <v>6</v>
      </c>
      <c r="Z2096" s="1" t="s">
        <v>249</v>
      </c>
      <c r="AA2096" s="1" t="s">
        <v>400</v>
      </c>
      <c r="AB2096" s="1">
        <v>60615</v>
      </c>
      <c r="AE2096" s="1" t="s">
        <v>18892</v>
      </c>
      <c r="AF2096" s="1">
        <v>1920</v>
      </c>
      <c r="AG2096" s="1" t="s">
        <v>213</v>
      </c>
      <c r="AH2096" s="1" t="s">
        <v>403</v>
      </c>
      <c r="AI2096" s="1" t="s">
        <v>310</v>
      </c>
      <c r="AJ2096" s="1" t="s">
        <v>562</v>
      </c>
      <c r="AL2096" s="1">
        <v>6</v>
      </c>
      <c r="AM2096" s="1">
        <v>2</v>
      </c>
      <c r="AN2096" s="1">
        <v>2</v>
      </c>
      <c r="AO2096" s="1">
        <v>0</v>
      </c>
      <c r="AP2096" s="1" t="s">
        <v>209</v>
      </c>
      <c r="AQ2096" s="1">
        <v>1</v>
      </c>
      <c r="AR2096" s="1" t="s">
        <v>209</v>
      </c>
      <c r="AS2096" s="1" t="s">
        <v>204</v>
      </c>
      <c r="AT2096" s="1" t="s">
        <v>210</v>
      </c>
      <c r="AW2096" s="1" t="s">
        <v>204</v>
      </c>
      <c r="AX2096" s="1" t="s">
        <v>1813</v>
      </c>
      <c r="AZ2096" s="1">
        <v>1003.08</v>
      </c>
      <c r="BA2096" s="1">
        <v>2013</v>
      </c>
      <c r="BB2096" s="1" t="s">
        <v>405</v>
      </c>
      <c r="BE2096" s="1">
        <v>1700</v>
      </c>
      <c r="BF2096" s="1">
        <v>3</v>
      </c>
      <c r="BG2096" s="1">
        <v>7</v>
      </c>
      <c r="BJ2096" s="1">
        <v>83</v>
      </c>
      <c r="BL2096" s="1">
        <v>409</v>
      </c>
      <c r="BM2096" s="1" t="s">
        <v>204</v>
      </c>
      <c r="BN2096" s="1" t="s">
        <v>213</v>
      </c>
      <c r="BO2096" s="1">
        <v>999</v>
      </c>
      <c r="BP2096" s="1" t="s">
        <v>204</v>
      </c>
      <c r="BR2096" s="1" t="str">
        <f>"20102320251006"</f>
        <v>20102320251006</v>
      </c>
      <c r="BT2096" s="1" t="s">
        <v>18893</v>
      </c>
      <c r="BX2096" s="1">
        <v>299</v>
      </c>
      <c r="BY2096" s="1">
        <v>299</v>
      </c>
      <c r="BZ2096" s="1">
        <v>299</v>
      </c>
      <c r="CB2096" s="1" t="str">
        <f>"0"</f>
        <v>0</v>
      </c>
      <c r="CC2096" s="1" t="str">
        <f>"652"</f>
        <v>652</v>
      </c>
      <c r="CD2096" s="1">
        <v>0</v>
      </c>
      <c r="CE2096" s="1">
        <v>5100</v>
      </c>
      <c r="CG2096" s="1" t="s">
        <v>885</v>
      </c>
      <c r="CH2096" s="1" t="s">
        <v>784</v>
      </c>
      <c r="CI2096" s="1" t="s">
        <v>438</v>
      </c>
      <c r="CJ2096" s="1" t="s">
        <v>343</v>
      </c>
      <c r="CK2096" s="1" t="s">
        <v>757</v>
      </c>
      <c r="CL2096" s="1" t="s">
        <v>219</v>
      </c>
      <c r="CM2096" s="1" t="s">
        <v>438</v>
      </c>
      <c r="CN2096" s="1" t="s">
        <v>343</v>
      </c>
      <c r="CO2096" s="1" t="s">
        <v>1178</v>
      </c>
      <c r="CP2096" s="1" t="s">
        <v>784</v>
      </c>
      <c r="CQ2096" s="1" t="s">
        <v>438</v>
      </c>
      <c r="CR2096" s="1" t="s">
        <v>210</v>
      </c>
      <c r="CS2096" s="1" t="s">
        <v>379</v>
      </c>
      <c r="CT2096" s="1" t="s">
        <v>219</v>
      </c>
      <c r="CU2096" s="1" t="s">
        <v>438</v>
      </c>
      <c r="CV2096" s="1" t="s">
        <v>343</v>
      </c>
      <c r="CX2096" s="1" t="s">
        <v>224</v>
      </c>
      <c r="DB2096" s="1" t="s">
        <v>224</v>
      </c>
      <c r="DE2096" s="1" t="s">
        <v>758</v>
      </c>
      <c r="DF2096" s="1" t="s">
        <v>784</v>
      </c>
      <c r="DG2096" s="1" t="s">
        <v>226</v>
      </c>
      <c r="DH2096" s="1" t="s">
        <v>463</v>
      </c>
      <c r="DJ2096" s="1" t="s">
        <v>224</v>
      </c>
      <c r="DM2096" s="1" t="s">
        <v>709</v>
      </c>
      <c r="DN2096" s="1" t="s">
        <v>1005</v>
      </c>
      <c r="DO2096" s="1" t="s">
        <v>603</v>
      </c>
      <c r="DR2096" s="1" t="s">
        <v>5954</v>
      </c>
      <c r="DS2096" s="1" t="s">
        <v>219</v>
      </c>
      <c r="DT2096" s="1" t="s">
        <v>438</v>
      </c>
      <c r="DU2096" s="1" t="s">
        <v>210</v>
      </c>
      <c r="DV2096" s="1" t="s">
        <v>222</v>
      </c>
      <c r="DW2096" s="1" t="s">
        <v>219</v>
      </c>
      <c r="DX2096" s="1" t="s">
        <v>438</v>
      </c>
      <c r="DY2096" s="1" t="s">
        <v>343</v>
      </c>
      <c r="DZ2096" s="1" t="s">
        <v>785</v>
      </c>
      <c r="EA2096" s="1" t="s">
        <v>219</v>
      </c>
      <c r="EB2096" s="1" t="s">
        <v>438</v>
      </c>
      <c r="EC2096" s="1" t="s">
        <v>343</v>
      </c>
      <c r="EE2096" s="1" t="s">
        <v>230</v>
      </c>
      <c r="EI2096" s="1" t="s">
        <v>230</v>
      </c>
      <c r="EL2096" s="1" t="s">
        <v>2521</v>
      </c>
      <c r="EM2096" s="1" t="s">
        <v>232</v>
      </c>
      <c r="EN2096" s="1" t="s">
        <v>731</v>
      </c>
      <c r="EO2096" s="1" t="s">
        <v>234</v>
      </c>
      <c r="EQ2096" s="1" t="s">
        <v>492</v>
      </c>
      <c r="ER2096" s="1" t="s">
        <v>1249</v>
      </c>
      <c r="ES2096" s="1" t="s">
        <v>545</v>
      </c>
      <c r="ET2096" s="1" t="s">
        <v>1161</v>
      </c>
      <c r="EV2096" s="1" t="s">
        <v>324</v>
      </c>
      <c r="EW2096" s="1" t="s">
        <v>4815</v>
      </c>
      <c r="EZ2096" s="1" t="s">
        <v>18894</v>
      </c>
      <c r="FC2096" s="1" t="s">
        <v>1362</v>
      </c>
      <c r="FD2096" s="1" t="s">
        <v>495</v>
      </c>
      <c r="FE2096" s="1" t="s">
        <v>247</v>
      </c>
      <c r="FF2096" s="1" t="s">
        <v>248</v>
      </c>
      <c r="FG2096" s="1" t="s">
        <v>10878</v>
      </c>
      <c r="FH2096" s="1" t="s">
        <v>249</v>
      </c>
      <c r="FL2096" s="1" t="s">
        <v>10249</v>
      </c>
      <c r="FM2096" s="1" t="s">
        <v>252</v>
      </c>
      <c r="FN2096" s="1" t="s">
        <v>213</v>
      </c>
      <c r="FO2096" s="1" t="s">
        <v>213</v>
      </c>
      <c r="FQ2096" s="1" t="s">
        <v>329</v>
      </c>
      <c r="FR2096" s="1" t="s">
        <v>210</v>
      </c>
      <c r="FS2096" s="1" t="s">
        <v>18895</v>
      </c>
      <c r="FT2096" s="1" t="s">
        <v>362</v>
      </c>
      <c r="FU2096" s="1" t="s">
        <v>204</v>
      </c>
      <c r="FW2096" s="1" t="s">
        <v>2006</v>
      </c>
      <c r="FX2096" s="1">
        <v>17665</v>
      </c>
      <c r="FY2096" s="1" t="s">
        <v>10880</v>
      </c>
      <c r="FZ2096" s="1" t="s">
        <v>18896</v>
      </c>
      <c r="GA2096" s="1">
        <v>876234</v>
      </c>
      <c r="GB2096" s="1" t="s">
        <v>18897</v>
      </c>
      <c r="GE2096" s="1" t="s">
        <v>210</v>
      </c>
      <c r="GH2096" s="1" t="s">
        <v>800</v>
      </c>
      <c r="GI2096" s="1" t="s">
        <v>213</v>
      </c>
      <c r="GJ2096" s="1" t="s">
        <v>260</v>
      </c>
      <c r="GK2096" s="1" t="s">
        <v>210</v>
      </c>
      <c r="GL2096" s="2">
        <v>42006</v>
      </c>
      <c r="GM2096" s="1" t="s">
        <v>18898</v>
      </c>
    </row>
    <row r="2097" spans="1:195">
      <c r="A2097" s="1">
        <v>105500</v>
      </c>
      <c r="B2097" s="1" t="s">
        <v>195</v>
      </c>
      <c r="C2097" s="1" t="str">
        <f>"08741164"</f>
        <v>08741164</v>
      </c>
      <c r="D2097" s="1" t="s">
        <v>196</v>
      </c>
      <c r="F2097" s="1" t="str">
        <f>"532"</f>
        <v>532</v>
      </c>
      <c r="G2097" s="2">
        <v>41912</v>
      </c>
      <c r="H2097" s="1">
        <v>124500</v>
      </c>
      <c r="I2097" s="1">
        <v>109500</v>
      </c>
      <c r="J2097" s="1">
        <v>105500</v>
      </c>
      <c r="K2097" s="2">
        <v>41912</v>
      </c>
      <c r="L2097" s="1">
        <v>56</v>
      </c>
      <c r="M2097" s="2">
        <v>41967</v>
      </c>
      <c r="N2097" s="1">
        <v>56</v>
      </c>
      <c r="O2097" s="2">
        <v>41967</v>
      </c>
      <c r="P2097" s="1">
        <v>23099</v>
      </c>
      <c r="Q2097" s="1" t="s">
        <v>197</v>
      </c>
      <c r="R2097" s="2">
        <v>42004</v>
      </c>
      <c r="S2097" s="1">
        <v>239086</v>
      </c>
      <c r="U2097" s="1">
        <v>5512</v>
      </c>
      <c r="V2097" s="1" t="s">
        <v>509</v>
      </c>
      <c r="W2097" s="1" t="s">
        <v>264</v>
      </c>
      <c r="X2097" s="1" t="s">
        <v>3349</v>
      </c>
      <c r="Y2097" s="1">
        <v>6</v>
      </c>
      <c r="Z2097" s="1" t="s">
        <v>249</v>
      </c>
      <c r="AA2097" s="1" t="s">
        <v>1566</v>
      </c>
      <c r="AB2097" s="1">
        <v>60532</v>
      </c>
      <c r="AD2097" s="1" t="s">
        <v>1567</v>
      </c>
      <c r="AE2097" s="1" t="s">
        <v>18899</v>
      </c>
      <c r="AF2097" s="1">
        <v>1978</v>
      </c>
      <c r="AG2097" s="1" t="s">
        <v>204</v>
      </c>
      <c r="AH2097" s="1" t="s">
        <v>925</v>
      </c>
      <c r="AI2097" s="1" t="s">
        <v>206</v>
      </c>
      <c r="AJ2097" s="1" t="s">
        <v>925</v>
      </c>
      <c r="AK2097" s="1" t="s">
        <v>270</v>
      </c>
      <c r="AL2097" s="1">
        <v>5</v>
      </c>
      <c r="AM2097" s="1">
        <v>2</v>
      </c>
      <c r="AN2097" s="1">
        <v>1</v>
      </c>
      <c r="AO2097" s="1">
        <v>0</v>
      </c>
      <c r="AP2097" s="1" t="s">
        <v>210</v>
      </c>
      <c r="AQ2097" s="1">
        <v>1</v>
      </c>
      <c r="AR2097" s="1" t="s">
        <v>210</v>
      </c>
      <c r="AT2097" s="1" t="s">
        <v>271</v>
      </c>
      <c r="AV2097" s="1">
        <v>1</v>
      </c>
      <c r="AW2097" s="1" t="s">
        <v>213</v>
      </c>
      <c r="AX2097" s="1" t="s">
        <v>212</v>
      </c>
      <c r="AZ2097" s="1">
        <v>2241</v>
      </c>
      <c r="BA2097" s="1">
        <v>2013</v>
      </c>
      <c r="BE2097" s="1">
        <v>1000</v>
      </c>
      <c r="BF2097" s="1">
        <v>3</v>
      </c>
      <c r="BG2097" s="1">
        <v>30</v>
      </c>
      <c r="BJ2097" s="1">
        <v>80</v>
      </c>
      <c r="BK2097" s="1">
        <v>100</v>
      </c>
      <c r="BL2097" s="1">
        <v>330</v>
      </c>
      <c r="BM2097" s="1" t="s">
        <v>204</v>
      </c>
      <c r="BN2097" s="1" t="s">
        <v>213</v>
      </c>
      <c r="BO2097" s="1">
        <v>0</v>
      </c>
      <c r="BP2097" s="1" t="s">
        <v>204</v>
      </c>
      <c r="BR2097" s="1" t="str">
        <f>"0815105176"</f>
        <v>0815105176</v>
      </c>
      <c r="BT2097" s="1" t="s">
        <v>18900</v>
      </c>
      <c r="BX2097" s="1">
        <v>68</v>
      </c>
      <c r="BY2097" s="1">
        <v>68</v>
      </c>
      <c r="BZ2097" s="1">
        <v>99</v>
      </c>
      <c r="CB2097" s="1" t="str">
        <f t="shared" ref="CB2097:CC2097" si="1599">""</f>
        <v/>
      </c>
      <c r="CC2097" s="1" t="str">
        <f t="shared" si="1599"/>
        <v/>
      </c>
      <c r="CD2097" s="1">
        <v>23</v>
      </c>
      <c r="CE2097" s="1">
        <v>6</v>
      </c>
      <c r="CG2097" s="1" t="s">
        <v>932</v>
      </c>
      <c r="CH2097" s="1" t="s">
        <v>219</v>
      </c>
      <c r="CI2097" s="1" t="s">
        <v>220</v>
      </c>
      <c r="CJ2097" s="1" t="s">
        <v>252</v>
      </c>
      <c r="CK2097" s="1" t="s">
        <v>437</v>
      </c>
      <c r="CL2097" s="1" t="s">
        <v>219</v>
      </c>
      <c r="CM2097" s="1" t="s">
        <v>220</v>
      </c>
      <c r="CN2097" s="1" t="s">
        <v>252</v>
      </c>
      <c r="CO2097" s="1" t="s">
        <v>2138</v>
      </c>
      <c r="CP2097" s="1" t="s">
        <v>219</v>
      </c>
      <c r="CQ2097" s="1" t="s">
        <v>220</v>
      </c>
      <c r="CR2097" s="1" t="s">
        <v>252</v>
      </c>
      <c r="CS2097" s="1" t="s">
        <v>223</v>
      </c>
      <c r="CT2097" s="1" t="s">
        <v>219</v>
      </c>
      <c r="CU2097" s="1" t="s">
        <v>220</v>
      </c>
      <c r="CV2097" s="1" t="s">
        <v>252</v>
      </c>
      <c r="CX2097" s="1" t="s">
        <v>224</v>
      </c>
      <c r="DB2097" s="1" t="s">
        <v>224</v>
      </c>
      <c r="DE2097" s="1" t="s">
        <v>380</v>
      </c>
      <c r="DF2097" s="1" t="s">
        <v>219</v>
      </c>
      <c r="DG2097" s="1" t="s">
        <v>226</v>
      </c>
      <c r="DJ2097" s="1" t="s">
        <v>224</v>
      </c>
      <c r="DS2097" s="1" t="s">
        <v>230</v>
      </c>
      <c r="DW2097" s="1" t="s">
        <v>230</v>
      </c>
      <c r="EA2097" s="1" t="s">
        <v>230</v>
      </c>
      <c r="EE2097" s="1" t="s">
        <v>230</v>
      </c>
      <c r="EI2097" s="1" t="s">
        <v>230</v>
      </c>
      <c r="EL2097" s="1" t="s">
        <v>231</v>
      </c>
      <c r="EM2097" s="1" t="s">
        <v>232</v>
      </c>
      <c r="EN2097" s="1" t="s">
        <v>282</v>
      </c>
      <c r="EO2097" s="1" t="s">
        <v>234</v>
      </c>
      <c r="EP2097" s="1" t="s">
        <v>18901</v>
      </c>
      <c r="EQ2097" s="1" t="s">
        <v>236</v>
      </c>
      <c r="ER2097" s="1" t="s">
        <v>210</v>
      </c>
      <c r="ES2097" s="1" t="s">
        <v>545</v>
      </c>
      <c r="EV2097" s="1" t="s">
        <v>240</v>
      </c>
      <c r="EW2097" s="1" t="s">
        <v>4301</v>
      </c>
      <c r="EZ2097" s="1" t="s">
        <v>287</v>
      </c>
      <c r="FC2097" s="1" t="s">
        <v>633</v>
      </c>
      <c r="FD2097" s="1" t="s">
        <v>246</v>
      </c>
      <c r="FE2097" s="1" t="s">
        <v>549</v>
      </c>
      <c r="FF2097" s="1" t="s">
        <v>248</v>
      </c>
      <c r="FG2097" s="1" t="s">
        <v>939</v>
      </c>
      <c r="FH2097" s="1" t="s">
        <v>249</v>
      </c>
      <c r="FK2097" s="1" t="s">
        <v>291</v>
      </c>
      <c r="FL2097" s="1" t="s">
        <v>414</v>
      </c>
      <c r="FM2097" s="1" t="s">
        <v>252</v>
      </c>
      <c r="FN2097" s="1" t="s">
        <v>213</v>
      </c>
      <c r="FO2097" s="1" t="s">
        <v>213</v>
      </c>
      <c r="FQ2097" s="1" t="s">
        <v>4594</v>
      </c>
      <c r="FR2097" s="1" t="s">
        <v>210</v>
      </c>
      <c r="FS2097" s="1" t="s">
        <v>3605</v>
      </c>
      <c r="FT2097" s="1" t="s">
        <v>295</v>
      </c>
      <c r="FU2097" s="1" t="s">
        <v>204</v>
      </c>
      <c r="FW2097" s="1" t="s">
        <v>813</v>
      </c>
      <c r="FX2097" s="1">
        <v>72501</v>
      </c>
      <c r="FY2097" s="1" t="s">
        <v>18902</v>
      </c>
      <c r="FZ2097" s="1" t="s">
        <v>18903</v>
      </c>
      <c r="GA2097" s="1">
        <v>704735</v>
      </c>
      <c r="GB2097" s="1" t="s">
        <v>18904</v>
      </c>
      <c r="GE2097" s="1" t="s">
        <v>210</v>
      </c>
      <c r="GH2097" s="1" t="s">
        <v>800</v>
      </c>
      <c r="GI2097" s="1" t="s">
        <v>213</v>
      </c>
      <c r="GJ2097" s="1" t="s">
        <v>260</v>
      </c>
      <c r="GK2097" s="1" t="s">
        <v>210</v>
      </c>
      <c r="GL2097" s="2">
        <v>42004</v>
      </c>
      <c r="GM2097" s="1" t="s">
        <v>18905</v>
      </c>
    </row>
    <row r="2098" spans="1:195">
      <c r="A2098" s="1">
        <v>178000</v>
      </c>
      <c r="B2098" s="1" t="s">
        <v>195</v>
      </c>
      <c r="C2098" s="1" t="str">
        <f>"08755949"</f>
        <v>08755949</v>
      </c>
      <c r="D2098" s="1" t="s">
        <v>196</v>
      </c>
      <c r="F2098" s="1" t="str">
        <f>"510"</f>
        <v>510</v>
      </c>
      <c r="G2098" s="2">
        <v>41929</v>
      </c>
      <c r="H2098" s="1">
        <v>185900</v>
      </c>
      <c r="I2098" s="1">
        <v>179900</v>
      </c>
      <c r="J2098" s="1">
        <v>178000</v>
      </c>
      <c r="K2098" s="2">
        <v>41929</v>
      </c>
      <c r="L2098" s="1">
        <v>85</v>
      </c>
      <c r="M2098" s="2">
        <v>42013</v>
      </c>
      <c r="N2098" s="1">
        <v>85</v>
      </c>
      <c r="O2098" s="2">
        <v>42013</v>
      </c>
      <c r="P2098" s="1">
        <v>890</v>
      </c>
      <c r="Q2098" s="1" t="s">
        <v>302</v>
      </c>
      <c r="R2098" s="2">
        <v>42048</v>
      </c>
      <c r="S2098" s="1">
        <v>8036</v>
      </c>
      <c r="U2098" s="1">
        <v>1306</v>
      </c>
      <c r="V2098" s="1" t="s">
        <v>8092</v>
      </c>
      <c r="W2098" s="1" t="s">
        <v>264</v>
      </c>
      <c r="X2098" s="1">
        <v>1306</v>
      </c>
      <c r="Y2098" s="1">
        <v>4</v>
      </c>
      <c r="Z2098" s="1" t="s">
        <v>370</v>
      </c>
      <c r="AA2098" s="1" t="s">
        <v>947</v>
      </c>
      <c r="AB2098" s="1">
        <v>60510</v>
      </c>
      <c r="AD2098" s="1" t="s">
        <v>8092</v>
      </c>
      <c r="AE2098" s="1" t="s">
        <v>18906</v>
      </c>
      <c r="AF2098" s="1">
        <v>1994</v>
      </c>
      <c r="AG2098" s="1" t="s">
        <v>204</v>
      </c>
      <c r="AH2098" s="1" t="s">
        <v>949</v>
      </c>
      <c r="AI2098" s="1" t="s">
        <v>665</v>
      </c>
      <c r="AJ2098" s="1" t="s">
        <v>949</v>
      </c>
      <c r="AL2098" s="1">
        <v>7</v>
      </c>
      <c r="AM2098" s="1">
        <v>2</v>
      </c>
      <c r="AN2098" s="1">
        <v>2</v>
      </c>
      <c r="AO2098" s="1">
        <v>0</v>
      </c>
      <c r="AP2098" s="1" t="s">
        <v>209</v>
      </c>
      <c r="AQ2098" s="1">
        <v>1</v>
      </c>
      <c r="AR2098" s="1" t="s">
        <v>210</v>
      </c>
      <c r="AS2098" s="1" t="s">
        <v>204</v>
      </c>
      <c r="AT2098" s="1" t="s">
        <v>211</v>
      </c>
      <c r="AU2098" s="1">
        <v>2</v>
      </c>
      <c r="AW2098" s="1" t="s">
        <v>204</v>
      </c>
      <c r="AX2098" s="1" t="s">
        <v>212</v>
      </c>
      <c r="AZ2098" s="1">
        <v>4479.2</v>
      </c>
      <c r="BA2098" s="1">
        <v>2013</v>
      </c>
      <c r="BB2098" s="1" t="s">
        <v>599</v>
      </c>
      <c r="BE2098" s="1">
        <v>1748</v>
      </c>
      <c r="BF2098" s="1">
        <v>1</v>
      </c>
      <c r="BG2098" s="1">
        <v>0</v>
      </c>
      <c r="BL2098" s="1">
        <v>263</v>
      </c>
      <c r="BM2098" s="1" t="s">
        <v>204</v>
      </c>
      <c r="BN2098" s="1" t="s">
        <v>213</v>
      </c>
      <c r="BO2098" s="1" t="s">
        <v>2932</v>
      </c>
      <c r="BP2098" s="1" t="s">
        <v>204</v>
      </c>
      <c r="BR2098" s="1" t="str">
        <f>"1221201073"</f>
        <v>1221201073</v>
      </c>
      <c r="BT2098" s="1" t="s">
        <v>18907</v>
      </c>
      <c r="BX2098" s="1">
        <v>101</v>
      </c>
      <c r="BY2098" s="1">
        <v>101</v>
      </c>
      <c r="BZ2098" s="1">
        <v>101</v>
      </c>
      <c r="CB2098" s="1" t="str">
        <f t="shared" ref="CB2098:CC2098" si="1600">""</f>
        <v/>
      </c>
      <c r="CC2098" s="1" t="str">
        <f t="shared" si="1600"/>
        <v/>
      </c>
      <c r="CG2098" s="1" t="s">
        <v>1533</v>
      </c>
      <c r="CH2098" s="1" t="s">
        <v>219</v>
      </c>
      <c r="CI2098" s="1" t="s">
        <v>229</v>
      </c>
      <c r="CJ2098" s="1" t="s">
        <v>343</v>
      </c>
      <c r="CK2098" s="1" t="s">
        <v>461</v>
      </c>
      <c r="CL2098" s="1" t="s">
        <v>219</v>
      </c>
      <c r="CM2098" s="1" t="s">
        <v>229</v>
      </c>
      <c r="CN2098" s="1" t="s">
        <v>343</v>
      </c>
      <c r="CO2098" s="1" t="s">
        <v>317</v>
      </c>
      <c r="CP2098" s="1" t="s">
        <v>219</v>
      </c>
      <c r="CQ2098" s="1" t="s">
        <v>229</v>
      </c>
      <c r="CR2098" s="1" t="s">
        <v>343</v>
      </c>
      <c r="CS2098" s="1" t="s">
        <v>462</v>
      </c>
      <c r="CT2098" s="1" t="s">
        <v>277</v>
      </c>
      <c r="CU2098" s="1" t="s">
        <v>220</v>
      </c>
      <c r="CV2098" s="1" t="s">
        <v>343</v>
      </c>
      <c r="CX2098" s="1" t="s">
        <v>224</v>
      </c>
      <c r="DB2098" s="1" t="s">
        <v>224</v>
      </c>
      <c r="DE2098" s="1" t="s">
        <v>759</v>
      </c>
      <c r="DF2098" s="1" t="s">
        <v>219</v>
      </c>
      <c r="DG2098" s="1" t="s">
        <v>226</v>
      </c>
      <c r="DH2098" s="1" t="s">
        <v>343</v>
      </c>
      <c r="DJ2098" s="1" t="s">
        <v>224</v>
      </c>
      <c r="DM2098" s="1" t="s">
        <v>464</v>
      </c>
      <c r="DN2098" s="1" t="s">
        <v>411</v>
      </c>
      <c r="DR2098" s="1" t="s">
        <v>836</v>
      </c>
      <c r="DS2098" s="1" t="s">
        <v>277</v>
      </c>
      <c r="DT2098" s="1" t="s">
        <v>220</v>
      </c>
      <c r="DU2098" s="1" t="s">
        <v>343</v>
      </c>
      <c r="DV2098" s="1" t="s">
        <v>1470</v>
      </c>
      <c r="DW2098" s="1" t="s">
        <v>277</v>
      </c>
      <c r="DX2098" s="1" t="s">
        <v>220</v>
      </c>
      <c r="EA2098" s="1" t="s">
        <v>230</v>
      </c>
      <c r="EE2098" s="1" t="s">
        <v>230</v>
      </c>
      <c r="EI2098" s="1" t="s">
        <v>230</v>
      </c>
      <c r="EL2098" s="1" t="s">
        <v>670</v>
      </c>
      <c r="EM2098" s="1" t="s">
        <v>319</v>
      </c>
      <c r="EN2098" s="1" t="s">
        <v>282</v>
      </c>
      <c r="EO2098" s="1" t="s">
        <v>234</v>
      </c>
      <c r="EP2098" s="1" t="s">
        <v>543</v>
      </c>
      <c r="EQ2098" s="1" t="s">
        <v>236</v>
      </c>
      <c r="ER2098" s="1" t="s">
        <v>383</v>
      </c>
      <c r="ES2098" s="1" t="s">
        <v>3218</v>
      </c>
      <c r="ET2098" s="1" t="s">
        <v>1869</v>
      </c>
      <c r="EU2098" s="1" t="s">
        <v>5043</v>
      </c>
      <c r="EV2098" s="1" t="s">
        <v>240</v>
      </c>
      <c r="EW2098" s="1" t="s">
        <v>353</v>
      </c>
      <c r="EY2098" s="1" t="s">
        <v>242</v>
      </c>
      <c r="EZ2098" s="1" t="s">
        <v>13709</v>
      </c>
      <c r="FA2098" s="1" t="s">
        <v>6201</v>
      </c>
      <c r="FB2098" s="1" t="s">
        <v>289</v>
      </c>
      <c r="FC2098" s="1" t="s">
        <v>633</v>
      </c>
      <c r="FD2098" s="1" t="s">
        <v>246</v>
      </c>
      <c r="FE2098" s="1" t="s">
        <v>472</v>
      </c>
      <c r="FF2098" s="1" t="s">
        <v>248</v>
      </c>
      <c r="FG2098" s="1" t="s">
        <v>1204</v>
      </c>
      <c r="FH2098" s="1" t="s">
        <v>249</v>
      </c>
      <c r="FI2098" s="1" t="s">
        <v>473</v>
      </c>
      <c r="FL2098" s="1" t="s">
        <v>358</v>
      </c>
      <c r="FM2098" s="1" t="s">
        <v>252</v>
      </c>
      <c r="FN2098" s="1" t="s">
        <v>213</v>
      </c>
      <c r="FO2098" s="1" t="s">
        <v>213</v>
      </c>
      <c r="FQ2098" s="1" t="s">
        <v>17609</v>
      </c>
      <c r="FR2098" s="1" t="s">
        <v>210</v>
      </c>
      <c r="FS2098" s="1" t="s">
        <v>18908</v>
      </c>
      <c r="FT2098" s="1" t="s">
        <v>1408</v>
      </c>
      <c r="FU2098" s="1" t="s">
        <v>204</v>
      </c>
      <c r="FW2098" s="1" t="s">
        <v>676</v>
      </c>
      <c r="FX2098" s="1">
        <v>30</v>
      </c>
      <c r="FY2098" s="1" t="s">
        <v>677</v>
      </c>
      <c r="FZ2098" s="1" t="s">
        <v>2939</v>
      </c>
      <c r="GA2098" s="1">
        <v>1197</v>
      </c>
      <c r="GB2098" s="1" t="s">
        <v>2940</v>
      </c>
      <c r="GD2098" s="1" t="s">
        <v>18909</v>
      </c>
      <c r="GE2098" s="1" t="s">
        <v>1333</v>
      </c>
      <c r="GI2098" s="1" t="s">
        <v>213</v>
      </c>
      <c r="GJ2098" s="1" t="s">
        <v>260</v>
      </c>
      <c r="GK2098" s="1" t="s">
        <v>210</v>
      </c>
      <c r="GL2098" s="2">
        <v>42048</v>
      </c>
    </row>
    <row r="2099" spans="1:195">
      <c r="A2099" s="1">
        <v>111990</v>
      </c>
      <c r="B2099" s="1" t="s">
        <v>195</v>
      </c>
      <c r="C2099" s="1" t="str">
        <f>"08739710"</f>
        <v>08739710</v>
      </c>
      <c r="D2099" s="1" t="s">
        <v>196</v>
      </c>
      <c r="F2099" s="1" t="str">
        <f>"19"</f>
        <v>19</v>
      </c>
      <c r="G2099" s="2">
        <v>41910</v>
      </c>
      <c r="H2099" s="1">
        <v>119000</v>
      </c>
      <c r="I2099" s="1">
        <v>114990</v>
      </c>
      <c r="J2099" s="1">
        <v>111990</v>
      </c>
      <c r="K2099" s="2">
        <v>41910</v>
      </c>
      <c r="L2099" s="1">
        <v>42</v>
      </c>
      <c r="M2099" s="2">
        <v>41951</v>
      </c>
      <c r="N2099" s="1">
        <v>42</v>
      </c>
      <c r="O2099" s="2">
        <v>41951</v>
      </c>
      <c r="P2099" s="1">
        <v>2236</v>
      </c>
      <c r="Q2099" s="1" t="s">
        <v>423</v>
      </c>
      <c r="R2099" s="2">
        <v>41990</v>
      </c>
      <c r="S2099" s="1">
        <v>18941</v>
      </c>
      <c r="U2099" s="1">
        <v>938</v>
      </c>
      <c r="V2099" s="1" t="s">
        <v>9265</v>
      </c>
      <c r="W2099" s="1" t="s">
        <v>199</v>
      </c>
      <c r="X2099" s="1">
        <v>1842</v>
      </c>
      <c r="Y2099" s="1">
        <v>4</v>
      </c>
      <c r="Z2099" s="1" t="s">
        <v>370</v>
      </c>
      <c r="AA2099" s="1" t="s">
        <v>1013</v>
      </c>
      <c r="AB2099" s="1">
        <v>60073</v>
      </c>
      <c r="AD2099" s="1" t="s">
        <v>18910</v>
      </c>
      <c r="AE2099" s="1" t="s">
        <v>18911</v>
      </c>
      <c r="AF2099" s="1">
        <v>2006</v>
      </c>
      <c r="AG2099" s="1" t="s">
        <v>204</v>
      </c>
      <c r="AH2099" s="1" t="s">
        <v>1015</v>
      </c>
      <c r="AI2099" s="1" t="s">
        <v>509</v>
      </c>
      <c r="AJ2099" s="1" t="s">
        <v>2599</v>
      </c>
      <c r="AK2099" s="1" t="s">
        <v>18912</v>
      </c>
      <c r="AL2099" s="1">
        <v>6</v>
      </c>
      <c r="AM2099" s="1">
        <v>2</v>
      </c>
      <c r="AN2099" s="1">
        <v>2</v>
      </c>
      <c r="AO2099" s="1">
        <v>1</v>
      </c>
      <c r="AP2099" s="1" t="s">
        <v>209</v>
      </c>
      <c r="AR2099" s="1" t="s">
        <v>1421</v>
      </c>
      <c r="AS2099" s="1" t="s">
        <v>204</v>
      </c>
      <c r="AT2099" s="1" t="s">
        <v>211</v>
      </c>
      <c r="AU2099" s="1">
        <v>2</v>
      </c>
      <c r="AW2099" s="1" t="s">
        <v>204</v>
      </c>
      <c r="AX2099" s="1" t="s">
        <v>18913</v>
      </c>
      <c r="AZ2099" s="1" t="s">
        <v>18914</v>
      </c>
      <c r="BA2099" s="1">
        <v>2013</v>
      </c>
      <c r="BE2099" s="1">
        <v>1483</v>
      </c>
      <c r="BF2099" s="1">
        <v>1</v>
      </c>
      <c r="BG2099" s="1">
        <v>5</v>
      </c>
      <c r="BL2099" s="1">
        <v>135</v>
      </c>
      <c r="BM2099" s="1" t="s">
        <v>204</v>
      </c>
      <c r="BN2099" s="1" t="s">
        <v>213</v>
      </c>
      <c r="BO2099" s="1">
        <v>999</v>
      </c>
      <c r="BP2099" s="1" t="s">
        <v>204</v>
      </c>
      <c r="BR2099" s="1" t="str">
        <f>"09023150330000"</f>
        <v>09023150330000</v>
      </c>
      <c r="BT2099" s="1" t="s">
        <v>18915</v>
      </c>
      <c r="BW2099" s="1" t="s">
        <v>2605</v>
      </c>
      <c r="BX2099" s="1">
        <v>118</v>
      </c>
      <c r="BY2099" s="1">
        <v>118</v>
      </c>
      <c r="BZ2099" s="1">
        <v>118</v>
      </c>
      <c r="CB2099" s="1" t="str">
        <f t="shared" ref="CB2099:CC2099" si="1601">""</f>
        <v/>
      </c>
      <c r="CC2099" s="1" t="str">
        <f t="shared" si="1601"/>
        <v/>
      </c>
      <c r="CG2099" s="1" t="s">
        <v>379</v>
      </c>
      <c r="CH2099" s="1" t="s">
        <v>219</v>
      </c>
      <c r="CK2099" s="1" t="s">
        <v>278</v>
      </c>
      <c r="CL2099" s="1" t="s">
        <v>277</v>
      </c>
      <c r="CO2099" s="1" t="s">
        <v>223</v>
      </c>
      <c r="CP2099" s="1" t="s">
        <v>219</v>
      </c>
      <c r="CS2099" s="1" t="s">
        <v>972</v>
      </c>
      <c r="CT2099" s="1" t="s">
        <v>277</v>
      </c>
      <c r="CX2099" s="1" t="s">
        <v>224</v>
      </c>
      <c r="DB2099" s="1" t="s">
        <v>224</v>
      </c>
      <c r="DE2099" s="1" t="s">
        <v>317</v>
      </c>
      <c r="DF2099" s="1" t="s">
        <v>219</v>
      </c>
      <c r="DI2099" s="1" t="s">
        <v>1046</v>
      </c>
      <c r="DJ2099" s="1" t="s">
        <v>822</v>
      </c>
      <c r="DS2099" s="1" t="s">
        <v>230</v>
      </c>
      <c r="DW2099" s="1" t="s">
        <v>230</v>
      </c>
      <c r="EA2099" s="1" t="s">
        <v>230</v>
      </c>
      <c r="EE2099" s="1" t="s">
        <v>230</v>
      </c>
      <c r="EI2099" s="1" t="s">
        <v>230</v>
      </c>
      <c r="EL2099" s="1" t="s">
        <v>491</v>
      </c>
      <c r="EM2099" s="1" t="s">
        <v>319</v>
      </c>
      <c r="EN2099" s="1" t="s">
        <v>282</v>
      </c>
      <c r="EO2099" s="1" t="s">
        <v>234</v>
      </c>
      <c r="EP2099" s="1" t="s">
        <v>18916</v>
      </c>
      <c r="ER2099" s="1" t="s">
        <v>10041</v>
      </c>
      <c r="EW2099" s="1" t="s">
        <v>347</v>
      </c>
      <c r="EZ2099" s="1" t="s">
        <v>287</v>
      </c>
      <c r="FD2099" s="1" t="s">
        <v>246</v>
      </c>
      <c r="FE2099" s="1" t="s">
        <v>975</v>
      </c>
      <c r="FF2099" s="1" t="s">
        <v>248</v>
      </c>
      <c r="FH2099" s="1" t="s">
        <v>1428</v>
      </c>
      <c r="FL2099" s="1" t="s">
        <v>414</v>
      </c>
      <c r="FM2099" s="1" t="s">
        <v>252</v>
      </c>
      <c r="FN2099" s="1" t="s">
        <v>213</v>
      </c>
      <c r="FO2099" s="1" t="s">
        <v>213</v>
      </c>
      <c r="FQ2099" s="1" t="s">
        <v>18917</v>
      </c>
      <c r="FR2099" s="1" t="s">
        <v>210</v>
      </c>
      <c r="FS2099" s="1" t="s">
        <v>18918</v>
      </c>
      <c r="FT2099" s="1" t="s">
        <v>18919</v>
      </c>
      <c r="FU2099" s="1" t="s">
        <v>204</v>
      </c>
      <c r="FW2099" s="1" t="s">
        <v>772</v>
      </c>
      <c r="FX2099" s="1">
        <v>92038</v>
      </c>
      <c r="FY2099" s="1" t="s">
        <v>773</v>
      </c>
      <c r="FZ2099" s="1" t="s">
        <v>774</v>
      </c>
      <c r="GA2099" s="1">
        <v>21137</v>
      </c>
      <c r="GB2099" s="1" t="s">
        <v>775</v>
      </c>
      <c r="GE2099" s="1" t="s">
        <v>480</v>
      </c>
      <c r="GI2099" s="1" t="s">
        <v>204</v>
      </c>
      <c r="GJ2099" s="1" t="s">
        <v>260</v>
      </c>
      <c r="GK2099" s="1" t="s">
        <v>210</v>
      </c>
      <c r="GL2099" s="2">
        <v>41992</v>
      </c>
      <c r="GM2099" s="1" t="s">
        <v>18920</v>
      </c>
    </row>
    <row r="2100" spans="1:195">
      <c r="A2100" s="1">
        <v>280000</v>
      </c>
      <c r="B2100" s="1" t="s">
        <v>195</v>
      </c>
      <c r="C2100" s="1" t="str">
        <f>"08744813"</f>
        <v>08744813</v>
      </c>
      <c r="D2100" s="1" t="s">
        <v>196</v>
      </c>
      <c r="F2100" s="1" t="str">
        <f>"10"</f>
        <v>10</v>
      </c>
      <c r="G2100" s="2">
        <v>41915</v>
      </c>
      <c r="H2100" s="1">
        <v>304900</v>
      </c>
      <c r="I2100" s="1">
        <v>304900</v>
      </c>
      <c r="J2100" s="1">
        <v>280000</v>
      </c>
      <c r="K2100" s="2">
        <v>41915</v>
      </c>
      <c r="L2100" s="1">
        <v>78</v>
      </c>
      <c r="M2100" s="2">
        <v>41992</v>
      </c>
      <c r="N2100" s="1">
        <v>78</v>
      </c>
      <c r="O2100" s="2">
        <v>41992</v>
      </c>
      <c r="P2100" s="1">
        <v>1891</v>
      </c>
      <c r="Q2100" s="1" t="s">
        <v>302</v>
      </c>
      <c r="R2100" s="2">
        <v>42034</v>
      </c>
      <c r="S2100" s="1">
        <v>28227</v>
      </c>
      <c r="U2100" s="1">
        <v>796</v>
      </c>
      <c r="V2100" s="1" t="s">
        <v>6421</v>
      </c>
      <c r="W2100" s="1" t="s">
        <v>1056</v>
      </c>
      <c r="X2100" s="1">
        <v>493</v>
      </c>
      <c r="Y2100" s="1">
        <v>4</v>
      </c>
      <c r="Z2100" s="1" t="s">
        <v>200</v>
      </c>
      <c r="AA2100" s="1" t="s">
        <v>1985</v>
      </c>
      <c r="AB2100" s="1">
        <v>60010</v>
      </c>
      <c r="AD2100" s="1" t="s">
        <v>7204</v>
      </c>
      <c r="AE2100" s="1" t="s">
        <v>18921</v>
      </c>
      <c r="AF2100" s="1">
        <v>1981</v>
      </c>
      <c r="AG2100" s="1" t="s">
        <v>204</v>
      </c>
      <c r="AH2100" s="1" t="s">
        <v>1988</v>
      </c>
      <c r="AI2100" s="1" t="s">
        <v>509</v>
      </c>
      <c r="AJ2100" s="1" t="s">
        <v>1989</v>
      </c>
      <c r="AK2100" s="1" t="s">
        <v>18922</v>
      </c>
      <c r="AL2100" s="1">
        <v>9</v>
      </c>
      <c r="AM2100" s="1">
        <v>2</v>
      </c>
      <c r="AN2100" s="1">
        <v>2</v>
      </c>
      <c r="AO2100" s="1">
        <v>2</v>
      </c>
      <c r="AP2100" s="1" t="s">
        <v>209</v>
      </c>
      <c r="AQ2100" s="1">
        <v>2</v>
      </c>
      <c r="AR2100" s="1" t="s">
        <v>2275</v>
      </c>
      <c r="AS2100" s="1" t="s">
        <v>213</v>
      </c>
      <c r="AT2100" s="1" t="s">
        <v>211</v>
      </c>
      <c r="AU2100" s="1">
        <v>2</v>
      </c>
      <c r="AW2100" s="1" t="s">
        <v>204</v>
      </c>
      <c r="AX2100" s="1" t="s">
        <v>1265</v>
      </c>
      <c r="AZ2100" s="1">
        <v>4878</v>
      </c>
      <c r="BA2100" s="1">
        <v>2013</v>
      </c>
      <c r="BB2100" s="1" t="s">
        <v>599</v>
      </c>
      <c r="BE2100" s="1">
        <v>2197</v>
      </c>
      <c r="BF2100" s="1">
        <v>1</v>
      </c>
      <c r="BG2100" s="1">
        <v>30</v>
      </c>
      <c r="BJ2100" s="1">
        <v>93</v>
      </c>
      <c r="BK2100" s="1">
        <v>1.1000000000000001</v>
      </c>
      <c r="BL2100" s="1">
        <v>543</v>
      </c>
      <c r="BM2100" s="1" t="s">
        <v>204</v>
      </c>
      <c r="BN2100" s="1" t="s">
        <v>213</v>
      </c>
      <c r="BO2100" s="1">
        <v>100</v>
      </c>
      <c r="BP2100" s="1" t="s">
        <v>204</v>
      </c>
      <c r="BR2100" s="1" t="str">
        <f>"13113003690000"</f>
        <v>13113003690000</v>
      </c>
      <c r="BT2100" s="1" t="s">
        <v>18923</v>
      </c>
      <c r="BU2100" s="1" t="s">
        <v>1992</v>
      </c>
      <c r="BV2100" s="1" t="s">
        <v>1993</v>
      </c>
      <c r="BW2100" s="1" t="s">
        <v>1994</v>
      </c>
      <c r="BX2100" s="1">
        <v>220</v>
      </c>
      <c r="BY2100" s="1">
        <v>220</v>
      </c>
      <c r="BZ2100" s="1">
        <v>220</v>
      </c>
      <c r="CB2100" s="1" t="str">
        <f>"26"</f>
        <v>26</v>
      </c>
      <c r="CC2100" s="1" t="str">
        <f>"0"</f>
        <v>0</v>
      </c>
      <c r="CD2100" s="1">
        <v>24</v>
      </c>
      <c r="CE2100" s="1">
        <v>0</v>
      </c>
      <c r="CG2100" s="1" t="s">
        <v>885</v>
      </c>
      <c r="CH2100" s="1" t="s">
        <v>219</v>
      </c>
      <c r="CI2100" s="1" t="s">
        <v>220</v>
      </c>
      <c r="CJ2100" s="1" t="s">
        <v>252</v>
      </c>
      <c r="CK2100" s="1" t="s">
        <v>1045</v>
      </c>
      <c r="CL2100" s="1" t="s">
        <v>277</v>
      </c>
      <c r="CM2100" s="1" t="s">
        <v>220</v>
      </c>
      <c r="CN2100" s="1" t="s">
        <v>252</v>
      </c>
      <c r="CO2100" s="1" t="s">
        <v>1297</v>
      </c>
      <c r="CP2100" s="1" t="s">
        <v>219</v>
      </c>
      <c r="CQ2100" s="1" t="s">
        <v>220</v>
      </c>
      <c r="CR2100" s="1" t="s">
        <v>252</v>
      </c>
      <c r="CS2100" s="1" t="s">
        <v>344</v>
      </c>
      <c r="CT2100" s="1" t="s">
        <v>277</v>
      </c>
      <c r="CU2100" s="1" t="s">
        <v>220</v>
      </c>
      <c r="CV2100" s="1" t="s">
        <v>252</v>
      </c>
      <c r="CX2100" s="1" t="s">
        <v>224</v>
      </c>
      <c r="DB2100" s="1" t="s">
        <v>224</v>
      </c>
      <c r="DE2100" s="1" t="s">
        <v>318</v>
      </c>
      <c r="DF2100" s="1" t="s">
        <v>219</v>
      </c>
      <c r="DG2100" s="1" t="s">
        <v>438</v>
      </c>
      <c r="DH2100" s="1" t="s">
        <v>210</v>
      </c>
      <c r="DI2100" s="1" t="s">
        <v>669</v>
      </c>
      <c r="DJ2100" s="1" t="s">
        <v>219</v>
      </c>
      <c r="DK2100" s="1" t="s">
        <v>438</v>
      </c>
      <c r="DL2100" s="1" t="s">
        <v>252</v>
      </c>
      <c r="DM2100" s="1" t="s">
        <v>381</v>
      </c>
      <c r="DN2100" s="1" t="s">
        <v>934</v>
      </c>
      <c r="DO2100" s="1" t="s">
        <v>709</v>
      </c>
      <c r="DQ2100" s="1" t="s">
        <v>227</v>
      </c>
      <c r="DR2100" s="1" t="s">
        <v>2308</v>
      </c>
      <c r="DS2100" s="1" t="s">
        <v>219</v>
      </c>
      <c r="DT2100" s="1" t="s">
        <v>438</v>
      </c>
      <c r="DU2100" s="1" t="s">
        <v>210</v>
      </c>
      <c r="DV2100" s="1" t="s">
        <v>6248</v>
      </c>
      <c r="DW2100" s="1" t="s">
        <v>822</v>
      </c>
      <c r="DX2100" s="1" t="s">
        <v>220</v>
      </c>
      <c r="DY2100" s="1" t="s">
        <v>210</v>
      </c>
      <c r="DZ2100" s="1" t="s">
        <v>2308</v>
      </c>
      <c r="EA2100" s="1" t="s">
        <v>219</v>
      </c>
      <c r="EB2100" s="1" t="s">
        <v>438</v>
      </c>
      <c r="EC2100" s="1" t="s">
        <v>210</v>
      </c>
      <c r="EE2100" s="1" t="s">
        <v>230</v>
      </c>
      <c r="EH2100" s="1" t="s">
        <v>1046</v>
      </c>
      <c r="EI2100" s="1" t="s">
        <v>822</v>
      </c>
      <c r="EJ2100" s="1" t="s">
        <v>220</v>
      </c>
      <c r="EK2100" s="1" t="s">
        <v>210</v>
      </c>
      <c r="EL2100" s="1" t="s">
        <v>231</v>
      </c>
      <c r="EM2100" s="1" t="s">
        <v>761</v>
      </c>
      <c r="EN2100" s="1" t="s">
        <v>282</v>
      </c>
      <c r="EO2100" s="1" t="s">
        <v>234</v>
      </c>
      <c r="EP2100" s="1" t="s">
        <v>18924</v>
      </c>
      <c r="EQ2100" s="1" t="s">
        <v>2188</v>
      </c>
      <c r="ER2100" s="1" t="s">
        <v>823</v>
      </c>
      <c r="ES2100" s="1" t="s">
        <v>1160</v>
      </c>
      <c r="ET2100" s="1" t="s">
        <v>2140</v>
      </c>
      <c r="EU2100" s="1" t="s">
        <v>6546</v>
      </c>
      <c r="EV2100" s="1" t="s">
        <v>240</v>
      </c>
      <c r="EW2100" s="1" t="s">
        <v>18925</v>
      </c>
      <c r="EY2100" s="1" t="s">
        <v>2455</v>
      </c>
      <c r="EZ2100" s="1" t="s">
        <v>18926</v>
      </c>
      <c r="FA2100" s="1" t="s">
        <v>4831</v>
      </c>
      <c r="FB2100" s="1" t="s">
        <v>1755</v>
      </c>
      <c r="FC2100" s="1" t="s">
        <v>1362</v>
      </c>
      <c r="FD2100" s="1" t="s">
        <v>495</v>
      </c>
      <c r="FE2100" s="1" t="s">
        <v>12105</v>
      </c>
      <c r="FF2100" s="1" t="s">
        <v>248</v>
      </c>
      <c r="FG2100" s="1" t="s">
        <v>2003</v>
      </c>
      <c r="FH2100" s="1" t="s">
        <v>1428</v>
      </c>
      <c r="FI2100" s="1" t="s">
        <v>357</v>
      </c>
      <c r="FJ2100" s="1" t="s">
        <v>1251</v>
      </c>
      <c r="FL2100" s="1" t="s">
        <v>1073</v>
      </c>
      <c r="FM2100" s="1" t="s">
        <v>252</v>
      </c>
      <c r="FN2100" s="1" t="s">
        <v>213</v>
      </c>
      <c r="FO2100" s="1" t="s">
        <v>213</v>
      </c>
      <c r="FQ2100" s="1" t="s">
        <v>1007</v>
      </c>
      <c r="FR2100" s="1" t="s">
        <v>210</v>
      </c>
      <c r="FS2100" s="1" t="s">
        <v>16236</v>
      </c>
      <c r="FT2100" s="1" t="s">
        <v>362</v>
      </c>
      <c r="FU2100" s="1" t="s">
        <v>204</v>
      </c>
      <c r="FW2100" s="1" t="s">
        <v>4563</v>
      </c>
      <c r="FX2100" s="1">
        <v>6025</v>
      </c>
      <c r="FY2100" s="1" t="s">
        <v>4564</v>
      </c>
      <c r="FZ2100" s="1" t="s">
        <v>16237</v>
      </c>
      <c r="GA2100" s="1">
        <v>62452</v>
      </c>
      <c r="GB2100" s="1" t="s">
        <v>16238</v>
      </c>
      <c r="GE2100" s="1" t="s">
        <v>1256</v>
      </c>
      <c r="GI2100" s="1" t="s">
        <v>213</v>
      </c>
      <c r="GJ2100" s="1" t="s">
        <v>260</v>
      </c>
      <c r="GK2100" s="1" t="s">
        <v>261</v>
      </c>
      <c r="GL2100" s="2">
        <v>42034</v>
      </c>
      <c r="GM2100" s="1" t="s">
        <v>18927</v>
      </c>
    </row>
    <row r="2101" spans="1:195">
      <c r="A2101" s="1">
        <v>105000</v>
      </c>
      <c r="B2101" s="1" t="s">
        <v>195</v>
      </c>
      <c r="C2101" s="1" t="str">
        <f>"08740855"</f>
        <v>08740855</v>
      </c>
      <c r="D2101" s="1" t="s">
        <v>196</v>
      </c>
      <c r="F2101" s="1" t="str">
        <f>"507"</f>
        <v>507</v>
      </c>
      <c r="G2101" s="2">
        <v>41912</v>
      </c>
      <c r="H2101" s="1">
        <v>130000</v>
      </c>
      <c r="I2101" s="1">
        <v>117000</v>
      </c>
      <c r="J2101" s="1">
        <v>105000</v>
      </c>
      <c r="K2101" s="2">
        <v>41911</v>
      </c>
      <c r="L2101" s="1">
        <v>99</v>
      </c>
      <c r="M2101" s="2">
        <v>42009</v>
      </c>
      <c r="N2101" s="1">
        <v>99</v>
      </c>
      <c r="O2101" s="2">
        <v>42009</v>
      </c>
      <c r="P2101" s="1">
        <v>25401</v>
      </c>
      <c r="Q2101" s="1" t="s">
        <v>423</v>
      </c>
      <c r="R2101" s="2">
        <v>42055</v>
      </c>
      <c r="S2101" s="1">
        <v>254108</v>
      </c>
      <c r="T2101" s="1">
        <v>3150</v>
      </c>
      <c r="U2101" s="1">
        <v>2301</v>
      </c>
      <c r="V2101" s="1" t="s">
        <v>16177</v>
      </c>
      <c r="W2101" s="1" t="s">
        <v>264</v>
      </c>
      <c r="X2101" s="1">
        <v>2301</v>
      </c>
      <c r="Y2101" s="1">
        <v>2</v>
      </c>
      <c r="Z2101" s="1" t="s">
        <v>249</v>
      </c>
      <c r="AA2101" s="1" t="s">
        <v>1123</v>
      </c>
      <c r="AB2101" s="1">
        <v>60503</v>
      </c>
      <c r="AE2101" s="1" t="s">
        <v>18928</v>
      </c>
      <c r="AF2101" s="1">
        <v>2004</v>
      </c>
      <c r="AG2101" s="1" t="s">
        <v>204</v>
      </c>
      <c r="AH2101" s="1" t="s">
        <v>1126</v>
      </c>
      <c r="AI2101" s="1" t="s">
        <v>453</v>
      </c>
      <c r="AJ2101" s="1" t="s">
        <v>1397</v>
      </c>
      <c r="AL2101" s="1">
        <v>5</v>
      </c>
      <c r="AM2101" s="1">
        <v>2</v>
      </c>
      <c r="AN2101" s="1">
        <v>2</v>
      </c>
      <c r="AO2101" s="1">
        <v>0</v>
      </c>
      <c r="AP2101" s="1" t="s">
        <v>209</v>
      </c>
      <c r="AR2101" s="1" t="s">
        <v>210</v>
      </c>
      <c r="AS2101" s="1" t="s">
        <v>204</v>
      </c>
      <c r="AT2101" s="1" t="s">
        <v>211</v>
      </c>
      <c r="AU2101" s="1">
        <v>2</v>
      </c>
      <c r="AW2101" s="1" t="s">
        <v>204</v>
      </c>
      <c r="AX2101" s="1" t="s">
        <v>212</v>
      </c>
      <c r="AZ2101" s="1">
        <v>3740.26</v>
      </c>
      <c r="BA2101" s="1">
        <v>2012</v>
      </c>
      <c r="BE2101" s="1">
        <v>1073</v>
      </c>
      <c r="BF2101" s="1">
        <v>1</v>
      </c>
      <c r="BG2101" s="1">
        <v>10</v>
      </c>
      <c r="BL2101" s="1">
        <v>110</v>
      </c>
      <c r="BM2101" s="1" t="s">
        <v>204</v>
      </c>
      <c r="BN2101" s="1" t="s">
        <v>213</v>
      </c>
      <c r="BO2101" s="1" t="s">
        <v>2932</v>
      </c>
      <c r="BP2101" s="1" t="s">
        <v>204</v>
      </c>
      <c r="BR2101" s="1" t="str">
        <f>"0301330019"</f>
        <v>0301330019</v>
      </c>
      <c r="BT2101" s="1" t="s">
        <v>18929</v>
      </c>
      <c r="BX2101" s="1">
        <v>308</v>
      </c>
      <c r="BY2101" s="1">
        <v>308</v>
      </c>
      <c r="BZ2101" s="1">
        <v>308</v>
      </c>
      <c r="CB2101" s="1" t="str">
        <f t="shared" ref="CB2101:CC2101" si="1602">""</f>
        <v/>
      </c>
      <c r="CC2101" s="1" t="str">
        <f t="shared" si="1602"/>
        <v/>
      </c>
      <c r="CG2101" s="1" t="s">
        <v>1570</v>
      </c>
      <c r="CH2101" s="1" t="s">
        <v>219</v>
      </c>
      <c r="CK2101" s="1" t="s">
        <v>315</v>
      </c>
      <c r="CL2101" s="1" t="s">
        <v>219</v>
      </c>
      <c r="CO2101" s="1" t="s">
        <v>629</v>
      </c>
      <c r="CP2101" s="1" t="s">
        <v>219</v>
      </c>
      <c r="CS2101" s="1" t="s">
        <v>318</v>
      </c>
      <c r="CT2101" s="1" t="s">
        <v>219</v>
      </c>
      <c r="CX2101" s="1" t="s">
        <v>224</v>
      </c>
      <c r="DB2101" s="1" t="s">
        <v>224</v>
      </c>
      <c r="DE2101" s="1" t="s">
        <v>2071</v>
      </c>
      <c r="DF2101" s="1" t="s">
        <v>219</v>
      </c>
      <c r="DJ2101" s="1" t="s">
        <v>224</v>
      </c>
      <c r="DS2101" s="1" t="s">
        <v>230</v>
      </c>
      <c r="DW2101" s="1" t="s">
        <v>230</v>
      </c>
      <c r="EA2101" s="1" t="s">
        <v>230</v>
      </c>
      <c r="EE2101" s="1" t="s">
        <v>230</v>
      </c>
      <c r="EI2101" s="1" t="s">
        <v>230</v>
      </c>
      <c r="EL2101" s="1" t="s">
        <v>491</v>
      </c>
      <c r="EM2101" s="1" t="s">
        <v>319</v>
      </c>
      <c r="EN2101" s="1" t="s">
        <v>282</v>
      </c>
      <c r="EO2101" s="1" t="s">
        <v>234</v>
      </c>
      <c r="ER2101" s="1" t="s">
        <v>383</v>
      </c>
      <c r="EW2101" s="1" t="s">
        <v>1372</v>
      </c>
      <c r="EZ2101" s="1" t="s">
        <v>287</v>
      </c>
      <c r="FD2101" s="1" t="s">
        <v>385</v>
      </c>
      <c r="FE2101" s="1" t="s">
        <v>975</v>
      </c>
      <c r="FF2101" s="1" t="s">
        <v>248</v>
      </c>
      <c r="FH2101" s="1" t="s">
        <v>17358</v>
      </c>
      <c r="FL2101" s="1" t="s">
        <v>358</v>
      </c>
      <c r="FM2101" s="1" t="s">
        <v>252</v>
      </c>
      <c r="FN2101" s="1" t="s">
        <v>213</v>
      </c>
      <c r="FO2101" s="1" t="s">
        <v>213</v>
      </c>
      <c r="FQ2101" s="1" t="s">
        <v>582</v>
      </c>
      <c r="FR2101" s="1" t="s">
        <v>411</v>
      </c>
      <c r="FS2101" s="1" t="s">
        <v>18930</v>
      </c>
      <c r="FT2101" s="1" t="s">
        <v>654</v>
      </c>
      <c r="FU2101" s="1" t="s">
        <v>204</v>
      </c>
      <c r="FW2101" s="1" t="s">
        <v>5234</v>
      </c>
      <c r="FX2101" s="1">
        <v>24138</v>
      </c>
      <c r="FY2101" s="1" t="s">
        <v>5235</v>
      </c>
      <c r="FZ2101" s="1" t="s">
        <v>5236</v>
      </c>
      <c r="GA2101" s="1">
        <v>235435</v>
      </c>
      <c r="GB2101" s="1" t="s">
        <v>5235</v>
      </c>
      <c r="GE2101" s="1" t="s">
        <v>210</v>
      </c>
      <c r="GI2101" s="1" t="s">
        <v>213</v>
      </c>
      <c r="GJ2101" s="1" t="s">
        <v>260</v>
      </c>
      <c r="GK2101" s="1" t="s">
        <v>210</v>
      </c>
      <c r="GL2101" s="2">
        <v>42086</v>
      </c>
      <c r="GM2101" s="1" t="s">
        <v>18931</v>
      </c>
    </row>
    <row r="2102" spans="1:195">
      <c r="A2102" s="1">
        <v>72000</v>
      </c>
      <c r="B2102" s="1" t="s">
        <v>195</v>
      </c>
      <c r="C2102" s="1" t="str">
        <f>"08740716"</f>
        <v>08740716</v>
      </c>
      <c r="D2102" s="1" t="s">
        <v>196</v>
      </c>
      <c r="F2102" s="1" t="str">
        <f>"123"</f>
        <v>123</v>
      </c>
      <c r="G2102" s="2">
        <v>41911</v>
      </c>
      <c r="H2102" s="1">
        <v>65000</v>
      </c>
      <c r="I2102" s="1">
        <v>65000</v>
      </c>
      <c r="J2102" s="1">
        <v>72000</v>
      </c>
      <c r="K2102" s="2">
        <v>41909</v>
      </c>
      <c r="L2102" s="1">
        <v>47</v>
      </c>
      <c r="M2102" s="2">
        <v>41955</v>
      </c>
      <c r="N2102" s="1">
        <v>47</v>
      </c>
      <c r="O2102" s="2">
        <v>41955</v>
      </c>
      <c r="P2102" s="1">
        <v>8965</v>
      </c>
      <c r="Q2102" s="1" t="s">
        <v>197</v>
      </c>
      <c r="R2102" s="2">
        <v>41992</v>
      </c>
      <c r="S2102" s="1">
        <v>29061</v>
      </c>
      <c r="T2102" s="1">
        <v>1000</v>
      </c>
      <c r="U2102" s="1">
        <v>2358</v>
      </c>
      <c r="V2102" s="1" t="s">
        <v>18932</v>
      </c>
      <c r="W2102" s="1" t="s">
        <v>725</v>
      </c>
      <c r="X2102" s="1" t="s">
        <v>527</v>
      </c>
      <c r="Y2102" s="1">
        <v>6</v>
      </c>
      <c r="Z2102" s="1" t="s">
        <v>2811</v>
      </c>
      <c r="AA2102" s="1" t="s">
        <v>1173</v>
      </c>
      <c r="AB2102" s="1">
        <v>60123</v>
      </c>
      <c r="AE2102" s="1" t="s">
        <v>18933</v>
      </c>
      <c r="AF2102" s="1">
        <v>1991</v>
      </c>
      <c r="AG2102" s="1" t="s">
        <v>204</v>
      </c>
      <c r="AH2102" s="1" t="s">
        <v>1175</v>
      </c>
      <c r="AI2102" s="1" t="s">
        <v>665</v>
      </c>
      <c r="AJ2102" s="1" t="s">
        <v>1175</v>
      </c>
      <c r="AL2102" s="1">
        <v>5</v>
      </c>
      <c r="AM2102" s="1">
        <v>2</v>
      </c>
      <c r="AN2102" s="1">
        <v>2</v>
      </c>
      <c r="AO2102" s="1">
        <v>0</v>
      </c>
      <c r="AP2102" s="1" t="s">
        <v>209</v>
      </c>
      <c r="AQ2102" s="1">
        <v>1</v>
      </c>
      <c r="AR2102" s="1" t="s">
        <v>210</v>
      </c>
      <c r="AS2102" s="1" t="s">
        <v>204</v>
      </c>
      <c r="AT2102" s="1" t="s">
        <v>211</v>
      </c>
      <c r="AU2102" s="1">
        <v>1</v>
      </c>
      <c r="AW2102" s="1" t="s">
        <v>204</v>
      </c>
      <c r="AX2102" s="1">
        <v>0</v>
      </c>
      <c r="AZ2102" s="1">
        <v>2033.62</v>
      </c>
      <c r="BA2102" s="1">
        <v>2013</v>
      </c>
      <c r="BE2102" s="1">
        <v>1178</v>
      </c>
      <c r="BF2102" s="1">
        <v>1</v>
      </c>
      <c r="BG2102" s="1">
        <v>0</v>
      </c>
      <c r="BL2102" s="1">
        <v>75</v>
      </c>
      <c r="BM2102" s="1" t="s">
        <v>204</v>
      </c>
      <c r="BN2102" s="1" t="s">
        <v>213</v>
      </c>
      <c r="BO2102" s="1">
        <v>0</v>
      </c>
      <c r="BP2102" s="1" t="s">
        <v>204</v>
      </c>
      <c r="BR2102" s="1" t="str">
        <f>"0621102007"</f>
        <v>0621102007</v>
      </c>
      <c r="BT2102" s="1" t="s">
        <v>18934</v>
      </c>
      <c r="BX2102" s="1">
        <v>46</v>
      </c>
      <c r="BY2102" s="1">
        <v>46</v>
      </c>
      <c r="BZ2102" s="1">
        <v>46</v>
      </c>
      <c r="CB2102" s="1" t="str">
        <f t="shared" ref="CB2102:CC2102" si="1603">""</f>
        <v/>
      </c>
      <c r="CC2102" s="1" t="str">
        <f t="shared" si="1603"/>
        <v/>
      </c>
      <c r="CG2102" s="1" t="s">
        <v>885</v>
      </c>
      <c r="CH2102" s="1" t="s">
        <v>219</v>
      </c>
      <c r="CK2102" s="1" t="s">
        <v>932</v>
      </c>
      <c r="CL2102" s="1" t="s">
        <v>219</v>
      </c>
      <c r="CO2102" s="1" t="s">
        <v>758</v>
      </c>
      <c r="CP2102" s="1" t="s">
        <v>219</v>
      </c>
      <c r="CS2102" s="1" t="s">
        <v>1046</v>
      </c>
      <c r="CT2102" s="1" t="s">
        <v>219</v>
      </c>
      <c r="CX2102" s="1" t="s">
        <v>224</v>
      </c>
      <c r="DB2102" s="1" t="s">
        <v>224</v>
      </c>
      <c r="DE2102" s="1" t="s">
        <v>346</v>
      </c>
      <c r="DF2102" s="1" t="s">
        <v>219</v>
      </c>
      <c r="DJ2102" s="1" t="s">
        <v>224</v>
      </c>
      <c r="DS2102" s="1" t="s">
        <v>230</v>
      </c>
      <c r="DW2102" s="1" t="s">
        <v>230</v>
      </c>
      <c r="EA2102" s="1" t="s">
        <v>230</v>
      </c>
      <c r="EE2102" s="1" t="s">
        <v>230</v>
      </c>
      <c r="EI2102" s="1" t="s">
        <v>230</v>
      </c>
      <c r="EL2102" s="1" t="s">
        <v>382</v>
      </c>
      <c r="EM2102" s="1" t="s">
        <v>319</v>
      </c>
      <c r="EN2102" s="1" t="s">
        <v>282</v>
      </c>
      <c r="EO2102" s="1" t="s">
        <v>234</v>
      </c>
      <c r="ER2102" s="1" t="s">
        <v>210</v>
      </c>
      <c r="EW2102" s="1" t="s">
        <v>887</v>
      </c>
      <c r="EZ2102" s="1" t="s">
        <v>287</v>
      </c>
      <c r="FB2102" s="1" t="s">
        <v>289</v>
      </c>
      <c r="FD2102" s="1" t="s">
        <v>246</v>
      </c>
      <c r="FE2102" s="1" t="s">
        <v>247</v>
      </c>
      <c r="FF2102" s="1" t="s">
        <v>248</v>
      </c>
      <c r="FH2102" s="1" t="s">
        <v>249</v>
      </c>
      <c r="FL2102" s="1" t="s">
        <v>358</v>
      </c>
      <c r="FM2102" s="1" t="s">
        <v>252</v>
      </c>
      <c r="FN2102" s="1" t="s">
        <v>213</v>
      </c>
      <c r="FO2102" s="1" t="s">
        <v>213</v>
      </c>
      <c r="FQ2102" s="1" t="s">
        <v>582</v>
      </c>
      <c r="FR2102" s="1" t="s">
        <v>210</v>
      </c>
      <c r="FS2102" s="1" t="s">
        <v>3352</v>
      </c>
      <c r="FT2102" s="1" t="s">
        <v>1828</v>
      </c>
      <c r="FU2102" s="1" t="s">
        <v>204</v>
      </c>
      <c r="FW2102" s="1" t="s">
        <v>15236</v>
      </c>
      <c r="FX2102" s="1">
        <v>7630</v>
      </c>
      <c r="FY2102" s="1" t="s">
        <v>15237</v>
      </c>
      <c r="FZ2102" s="1" t="s">
        <v>15380</v>
      </c>
      <c r="GA2102" s="1">
        <v>77822</v>
      </c>
      <c r="GB2102" s="1" t="s">
        <v>15381</v>
      </c>
      <c r="GE2102" s="1" t="s">
        <v>210</v>
      </c>
      <c r="GI2102" s="1" t="s">
        <v>204</v>
      </c>
      <c r="GJ2102" s="1" t="s">
        <v>260</v>
      </c>
      <c r="GK2102" s="1" t="s">
        <v>210</v>
      </c>
      <c r="GL2102" s="2">
        <v>41992</v>
      </c>
      <c r="GM2102" s="1" t="s">
        <v>18935</v>
      </c>
    </row>
    <row r="2103" spans="1:195">
      <c r="A2103" s="1">
        <v>82000</v>
      </c>
      <c r="B2103" s="1" t="s">
        <v>195</v>
      </c>
      <c r="C2103" s="1" t="str">
        <f>"08740613"</f>
        <v>08740613</v>
      </c>
      <c r="D2103" s="1" t="s">
        <v>196</v>
      </c>
      <c r="F2103" s="1" t="str">
        <f>"540"</f>
        <v>540</v>
      </c>
      <c r="G2103" s="2">
        <v>41911</v>
      </c>
      <c r="H2103" s="1">
        <v>89999</v>
      </c>
      <c r="I2103" s="1">
        <v>89999</v>
      </c>
      <c r="J2103" s="1">
        <v>82000</v>
      </c>
      <c r="K2103" s="2">
        <v>41911</v>
      </c>
      <c r="L2103" s="1">
        <v>8</v>
      </c>
      <c r="M2103" s="2">
        <v>41918</v>
      </c>
      <c r="N2103" s="1">
        <v>8</v>
      </c>
      <c r="O2103" s="2">
        <v>41918</v>
      </c>
      <c r="P2103" s="1">
        <v>22194</v>
      </c>
      <c r="Q2103" s="1" t="s">
        <v>197</v>
      </c>
      <c r="R2103" s="2">
        <v>42010</v>
      </c>
      <c r="S2103" s="1">
        <v>214552</v>
      </c>
      <c r="U2103" s="1">
        <v>118</v>
      </c>
      <c r="V2103" s="1" t="s">
        <v>10812</v>
      </c>
      <c r="W2103" s="1" t="s">
        <v>1056</v>
      </c>
      <c r="X2103" s="1" t="s">
        <v>18936</v>
      </c>
      <c r="Y2103" s="1">
        <v>12</v>
      </c>
      <c r="Z2103" s="1" t="s">
        <v>249</v>
      </c>
      <c r="AA2103" s="1" t="s">
        <v>921</v>
      </c>
      <c r="AB2103" s="1">
        <v>60565</v>
      </c>
      <c r="AD2103" s="1" t="s">
        <v>8875</v>
      </c>
      <c r="AE2103" s="1" t="s">
        <v>18937</v>
      </c>
      <c r="AF2103" s="1">
        <v>1972</v>
      </c>
      <c r="AG2103" s="1" t="s">
        <v>213</v>
      </c>
      <c r="AH2103" s="1" t="s">
        <v>924</v>
      </c>
      <c r="AI2103" s="1" t="s">
        <v>206</v>
      </c>
      <c r="AJ2103" s="1" t="s">
        <v>925</v>
      </c>
      <c r="AL2103" s="1">
        <v>5</v>
      </c>
      <c r="AM2103" s="1">
        <v>2</v>
      </c>
      <c r="AN2103" s="1">
        <v>1</v>
      </c>
      <c r="AO2103" s="1">
        <v>1</v>
      </c>
      <c r="AP2103" s="1" t="s">
        <v>210</v>
      </c>
      <c r="AR2103" s="1" t="s">
        <v>210</v>
      </c>
      <c r="AT2103" s="1" t="s">
        <v>271</v>
      </c>
      <c r="AV2103" s="1">
        <v>2</v>
      </c>
      <c r="AW2103" s="1" t="s">
        <v>204</v>
      </c>
      <c r="AX2103" s="1" t="s">
        <v>212</v>
      </c>
      <c r="AZ2103" s="1">
        <v>1932</v>
      </c>
      <c r="BA2103" s="1">
        <v>2013</v>
      </c>
      <c r="BB2103" s="1" t="s">
        <v>210</v>
      </c>
      <c r="BE2103" s="1">
        <v>0</v>
      </c>
      <c r="BF2103" s="1">
        <v>3</v>
      </c>
      <c r="BG2103" s="1">
        <v>15</v>
      </c>
      <c r="BL2103" s="1">
        <v>299</v>
      </c>
      <c r="BM2103" s="1" t="s">
        <v>204</v>
      </c>
      <c r="BN2103" s="1" t="s">
        <v>213</v>
      </c>
      <c r="BO2103" s="1">
        <v>999</v>
      </c>
      <c r="BP2103" s="1" t="s">
        <v>204</v>
      </c>
      <c r="BR2103" s="1" t="str">
        <f>"0832110043"</f>
        <v>0832110043</v>
      </c>
      <c r="BT2103" s="1" t="s">
        <v>18938</v>
      </c>
      <c r="BU2103" s="1" t="s">
        <v>8878</v>
      </c>
      <c r="BV2103" s="1" t="s">
        <v>8879</v>
      </c>
      <c r="BW2103" s="1" t="s">
        <v>930</v>
      </c>
      <c r="BX2103" s="1">
        <v>203</v>
      </c>
      <c r="BY2103" s="1">
        <v>203</v>
      </c>
      <c r="BZ2103" s="1">
        <v>203</v>
      </c>
      <c r="CB2103" s="1" t="str">
        <f t="shared" ref="CB2103:CC2103" si="1604">"0"</f>
        <v>0</v>
      </c>
      <c r="CC2103" s="1" t="str">
        <f t="shared" si="1604"/>
        <v>0</v>
      </c>
      <c r="CD2103" s="1">
        <v>25</v>
      </c>
      <c r="CE2103" s="1">
        <v>9</v>
      </c>
      <c r="CG2103" s="1" t="s">
        <v>4546</v>
      </c>
      <c r="CH2103" s="1" t="s">
        <v>784</v>
      </c>
      <c r="CI2103" s="1" t="s">
        <v>229</v>
      </c>
      <c r="CJ2103" s="1" t="s">
        <v>210</v>
      </c>
      <c r="CK2103" s="1" t="s">
        <v>669</v>
      </c>
      <c r="CL2103" s="1" t="s">
        <v>784</v>
      </c>
      <c r="CM2103" s="1" t="s">
        <v>229</v>
      </c>
      <c r="CN2103" s="1" t="s">
        <v>210</v>
      </c>
      <c r="CO2103" s="1" t="s">
        <v>629</v>
      </c>
      <c r="CP2103" s="1" t="s">
        <v>784</v>
      </c>
      <c r="CQ2103" s="1" t="s">
        <v>226</v>
      </c>
      <c r="CR2103" s="1" t="s">
        <v>210</v>
      </c>
      <c r="CS2103" s="1" t="s">
        <v>378</v>
      </c>
      <c r="CT2103" s="1" t="s">
        <v>784</v>
      </c>
      <c r="CU2103" s="1" t="s">
        <v>229</v>
      </c>
      <c r="CV2103" s="1" t="s">
        <v>210</v>
      </c>
      <c r="CX2103" s="1" t="s">
        <v>224</v>
      </c>
      <c r="DB2103" s="1" t="s">
        <v>224</v>
      </c>
      <c r="DE2103" s="1" t="s">
        <v>465</v>
      </c>
      <c r="DF2103" s="1" t="s">
        <v>784</v>
      </c>
      <c r="DG2103" s="1" t="s">
        <v>226</v>
      </c>
      <c r="DJ2103" s="1" t="s">
        <v>224</v>
      </c>
      <c r="DS2103" s="1" t="s">
        <v>230</v>
      </c>
      <c r="DW2103" s="1" t="s">
        <v>230</v>
      </c>
      <c r="EA2103" s="1" t="s">
        <v>230</v>
      </c>
      <c r="EE2103" s="1" t="s">
        <v>230</v>
      </c>
      <c r="EI2103" s="1" t="s">
        <v>230</v>
      </c>
      <c r="EL2103" s="1" t="s">
        <v>605</v>
      </c>
      <c r="EM2103" s="1" t="s">
        <v>232</v>
      </c>
      <c r="EN2103" s="1" t="s">
        <v>1158</v>
      </c>
      <c r="EO2103" s="1" t="s">
        <v>234</v>
      </c>
      <c r="EP2103" s="1" t="s">
        <v>18939</v>
      </c>
      <c r="EQ2103" s="1" t="s">
        <v>236</v>
      </c>
      <c r="ER2103" s="1" t="s">
        <v>210</v>
      </c>
      <c r="ES2103" s="1" t="s">
        <v>824</v>
      </c>
      <c r="EU2103" s="1" t="s">
        <v>239</v>
      </c>
      <c r="EW2103" s="1" t="s">
        <v>4510</v>
      </c>
      <c r="EY2103" s="1" t="s">
        <v>242</v>
      </c>
      <c r="EZ2103" s="1" t="s">
        <v>287</v>
      </c>
      <c r="FB2103" s="1" t="s">
        <v>18940</v>
      </c>
      <c r="FC2103" s="1" t="s">
        <v>1739</v>
      </c>
      <c r="FD2103" s="1" t="s">
        <v>246</v>
      </c>
      <c r="FE2103" s="1" t="s">
        <v>247</v>
      </c>
      <c r="FF2103" s="1" t="s">
        <v>18941</v>
      </c>
      <c r="FH2103" s="1" t="s">
        <v>249</v>
      </c>
      <c r="FJ2103" s="1" t="s">
        <v>18942</v>
      </c>
      <c r="FK2103" s="1" t="s">
        <v>891</v>
      </c>
      <c r="FL2103" s="1" t="s">
        <v>328</v>
      </c>
      <c r="FM2103" s="1" t="s">
        <v>252</v>
      </c>
      <c r="FN2103" s="1" t="s">
        <v>213</v>
      </c>
      <c r="FO2103" s="1" t="s">
        <v>213</v>
      </c>
      <c r="FQ2103" s="1" t="s">
        <v>4853</v>
      </c>
      <c r="FR2103" s="1" t="s">
        <v>210</v>
      </c>
      <c r="FS2103" s="1" t="s">
        <v>18943</v>
      </c>
      <c r="FT2103" s="1" t="s">
        <v>255</v>
      </c>
      <c r="FU2103" s="1" t="s">
        <v>204</v>
      </c>
      <c r="FW2103" s="1" t="s">
        <v>2891</v>
      </c>
      <c r="FX2103" s="1">
        <v>22975</v>
      </c>
      <c r="FY2103" s="1" t="s">
        <v>2892</v>
      </c>
      <c r="FZ2103" s="1" t="s">
        <v>18944</v>
      </c>
      <c r="GA2103" s="1">
        <v>219210</v>
      </c>
      <c r="GB2103" s="1" t="s">
        <v>18945</v>
      </c>
      <c r="GD2103" s="1" t="s">
        <v>18945</v>
      </c>
      <c r="GE2103" s="1" t="s">
        <v>335</v>
      </c>
      <c r="GH2103" s="1" t="s">
        <v>800</v>
      </c>
      <c r="GI2103" s="1" t="s">
        <v>213</v>
      </c>
      <c r="GJ2103" s="1" t="s">
        <v>260</v>
      </c>
      <c r="GK2103" s="1" t="s">
        <v>210</v>
      </c>
      <c r="GL2103" s="2">
        <v>42011</v>
      </c>
      <c r="GM2103" s="1" t="s">
        <v>18946</v>
      </c>
    </row>
    <row r="2104" spans="1:195">
      <c r="A2104" s="1">
        <v>221000</v>
      </c>
      <c r="B2104" s="1" t="s">
        <v>195</v>
      </c>
      <c r="C2104" s="1" t="str">
        <f>"08741868"</f>
        <v>08741868</v>
      </c>
      <c r="D2104" s="1" t="s">
        <v>196</v>
      </c>
      <c r="F2104" s="1" t="str">
        <f>"188"</f>
        <v>188</v>
      </c>
      <c r="G2104" s="2">
        <v>41913</v>
      </c>
      <c r="H2104" s="1">
        <v>229000</v>
      </c>
      <c r="I2104" s="1">
        <v>229000</v>
      </c>
      <c r="J2104" s="1">
        <v>221000</v>
      </c>
      <c r="K2104" s="2">
        <v>41911</v>
      </c>
      <c r="L2104" s="1">
        <v>123</v>
      </c>
      <c r="M2104" s="2">
        <v>42033</v>
      </c>
      <c r="N2104" s="1">
        <v>123</v>
      </c>
      <c r="O2104" s="2">
        <v>42033</v>
      </c>
      <c r="P2104" s="1">
        <v>25072</v>
      </c>
      <c r="Q2104" s="1" t="s">
        <v>197</v>
      </c>
      <c r="R2104" s="2">
        <v>42058</v>
      </c>
      <c r="S2104" s="1">
        <v>256433</v>
      </c>
      <c r="U2104" s="1">
        <v>1094</v>
      </c>
      <c r="V2104" s="1" t="s">
        <v>18947</v>
      </c>
      <c r="W2104" s="1" t="s">
        <v>304</v>
      </c>
      <c r="Y2104" s="1">
        <v>4</v>
      </c>
      <c r="Z2104" s="1" t="s">
        <v>249</v>
      </c>
      <c r="AA2104" s="1" t="s">
        <v>1084</v>
      </c>
      <c r="AB2104" s="1">
        <v>60188</v>
      </c>
      <c r="AE2104" s="1" t="s">
        <v>18948</v>
      </c>
      <c r="AF2104" s="1">
        <v>2006</v>
      </c>
      <c r="AG2104" s="1" t="s">
        <v>204</v>
      </c>
      <c r="AH2104" s="1" t="s">
        <v>1087</v>
      </c>
      <c r="AI2104" s="1" t="s">
        <v>206</v>
      </c>
      <c r="AJ2104" s="1" t="s">
        <v>269</v>
      </c>
      <c r="AL2104" s="1">
        <v>7</v>
      </c>
      <c r="AM2104" s="1">
        <v>2</v>
      </c>
      <c r="AN2104" s="1">
        <v>2</v>
      </c>
      <c r="AO2104" s="1">
        <v>1</v>
      </c>
      <c r="AP2104" s="1" t="s">
        <v>209</v>
      </c>
      <c r="AQ2104" s="1">
        <v>1</v>
      </c>
      <c r="AR2104" s="1" t="s">
        <v>1631</v>
      </c>
      <c r="AS2104" s="1" t="s">
        <v>204</v>
      </c>
      <c r="AT2104" s="1" t="s">
        <v>211</v>
      </c>
      <c r="AU2104" s="1">
        <v>2</v>
      </c>
      <c r="AW2104" s="1" t="s">
        <v>204</v>
      </c>
      <c r="AX2104" s="1" t="s">
        <v>18949</v>
      </c>
      <c r="AZ2104" s="1">
        <v>4899</v>
      </c>
      <c r="BA2104" s="1">
        <v>2013</v>
      </c>
      <c r="BE2104" s="1">
        <v>1772</v>
      </c>
      <c r="BF2104" s="1">
        <v>1</v>
      </c>
      <c r="BG2104" s="1">
        <v>0</v>
      </c>
      <c r="BL2104" s="1">
        <v>163</v>
      </c>
      <c r="BM2104" s="1" t="s">
        <v>413</v>
      </c>
      <c r="BN2104" s="1" t="s">
        <v>213</v>
      </c>
      <c r="BP2104" s="1" t="s">
        <v>204</v>
      </c>
      <c r="BR2104" s="1" t="str">
        <f>"0220312115"</f>
        <v>0220312115</v>
      </c>
      <c r="BT2104" s="1" t="s">
        <v>18950</v>
      </c>
      <c r="BX2104" s="1">
        <v>93</v>
      </c>
      <c r="BY2104" s="1">
        <v>93</v>
      </c>
      <c r="BZ2104" s="1">
        <v>87</v>
      </c>
      <c r="CB2104" s="1" t="str">
        <f t="shared" ref="CB2104:CC2104" si="1605">""</f>
        <v/>
      </c>
      <c r="CC2104" s="1" t="str">
        <f t="shared" si="1605"/>
        <v/>
      </c>
      <c r="CG2104" s="1" t="s">
        <v>861</v>
      </c>
      <c r="CH2104" s="1" t="s">
        <v>277</v>
      </c>
      <c r="CI2104" s="1" t="s">
        <v>438</v>
      </c>
      <c r="CK2104" s="1" t="s">
        <v>729</v>
      </c>
      <c r="CL2104" s="1" t="s">
        <v>784</v>
      </c>
      <c r="CM2104" s="1" t="s">
        <v>220</v>
      </c>
      <c r="CO2104" s="1" t="s">
        <v>2138</v>
      </c>
      <c r="CP2104" s="1" t="s">
        <v>277</v>
      </c>
      <c r="CQ2104" s="1" t="s">
        <v>226</v>
      </c>
      <c r="CS2104" s="1" t="s">
        <v>346</v>
      </c>
      <c r="CT2104" s="1" t="s">
        <v>784</v>
      </c>
      <c r="CU2104" s="1" t="s">
        <v>220</v>
      </c>
      <c r="CX2104" s="1" t="s">
        <v>224</v>
      </c>
      <c r="DB2104" s="1" t="s">
        <v>224</v>
      </c>
      <c r="DE2104" s="1" t="s">
        <v>2138</v>
      </c>
      <c r="DF2104" s="1" t="s">
        <v>277</v>
      </c>
      <c r="DI2104" s="1" t="s">
        <v>315</v>
      </c>
      <c r="DJ2104" s="1" t="s">
        <v>277</v>
      </c>
      <c r="DK2104" s="1" t="s">
        <v>220</v>
      </c>
      <c r="DM2104" s="1" t="s">
        <v>464</v>
      </c>
      <c r="DR2104" s="1" t="s">
        <v>540</v>
      </c>
      <c r="DS2104" s="1" t="s">
        <v>784</v>
      </c>
      <c r="DW2104" s="1" t="s">
        <v>230</v>
      </c>
      <c r="EA2104" s="1" t="s">
        <v>230</v>
      </c>
      <c r="EE2104" s="1" t="s">
        <v>230</v>
      </c>
      <c r="EI2104" s="1" t="s">
        <v>230</v>
      </c>
      <c r="EL2104" s="1" t="s">
        <v>491</v>
      </c>
      <c r="EM2104" s="1" t="s">
        <v>319</v>
      </c>
      <c r="EN2104" s="1" t="s">
        <v>282</v>
      </c>
      <c r="EO2104" s="1" t="s">
        <v>234</v>
      </c>
      <c r="ER2104" s="1" t="s">
        <v>544</v>
      </c>
      <c r="EU2104" s="1" t="s">
        <v>239</v>
      </c>
      <c r="EW2104" s="1" t="s">
        <v>8084</v>
      </c>
      <c r="EZ2104" s="1" t="s">
        <v>464</v>
      </c>
      <c r="FD2104" s="1" t="s">
        <v>3287</v>
      </c>
      <c r="FE2104" s="1" t="s">
        <v>496</v>
      </c>
      <c r="FF2104" s="1" t="s">
        <v>248</v>
      </c>
      <c r="FH2104" s="1" t="s">
        <v>1428</v>
      </c>
      <c r="FL2104" s="1" t="s">
        <v>414</v>
      </c>
      <c r="FM2104" s="1" t="s">
        <v>252</v>
      </c>
      <c r="FN2104" s="1" t="s">
        <v>213</v>
      </c>
      <c r="FO2104" s="1" t="s">
        <v>213</v>
      </c>
      <c r="FQ2104" s="1" t="s">
        <v>2417</v>
      </c>
      <c r="FR2104" s="1" t="s">
        <v>210</v>
      </c>
      <c r="FS2104" s="1" t="s">
        <v>8233</v>
      </c>
      <c r="FT2104" s="1" t="s">
        <v>295</v>
      </c>
      <c r="FU2104" s="1" t="s">
        <v>204</v>
      </c>
      <c r="FW2104" s="1" t="s">
        <v>1097</v>
      </c>
      <c r="FX2104" s="1">
        <v>8094</v>
      </c>
      <c r="FY2104" s="1" t="s">
        <v>1829</v>
      </c>
      <c r="FZ2104" s="1" t="s">
        <v>1830</v>
      </c>
      <c r="GA2104" s="1">
        <v>28736</v>
      </c>
      <c r="GB2104" s="1" t="s">
        <v>1831</v>
      </c>
      <c r="GC2104" s="1">
        <v>235512</v>
      </c>
      <c r="GE2104" s="1" t="s">
        <v>210</v>
      </c>
      <c r="GI2104" s="1" t="s">
        <v>204</v>
      </c>
      <c r="GJ2104" s="1" t="s">
        <v>260</v>
      </c>
      <c r="GK2104" s="1" t="s">
        <v>210</v>
      </c>
      <c r="GL2104" s="2">
        <v>42058</v>
      </c>
      <c r="GM2104" s="1" t="s">
        <v>18951</v>
      </c>
    </row>
    <row r="2105" spans="1:195">
      <c r="A2105" s="1">
        <v>190025</v>
      </c>
      <c r="B2105" s="1" t="s">
        <v>195</v>
      </c>
      <c r="C2105" s="1" t="str">
        <f>"08748011"</f>
        <v>08748011</v>
      </c>
      <c r="D2105" s="1" t="s">
        <v>196</v>
      </c>
      <c r="F2105" s="1" t="str">
        <f>"46"</f>
        <v>46</v>
      </c>
      <c r="G2105" s="2">
        <v>41920</v>
      </c>
      <c r="H2105" s="1">
        <v>189000</v>
      </c>
      <c r="I2105" s="1">
        <v>189000</v>
      </c>
      <c r="J2105" s="1">
        <v>190025</v>
      </c>
      <c r="K2105" s="2">
        <v>41920</v>
      </c>
      <c r="L2105" s="1">
        <v>12</v>
      </c>
      <c r="M2105" s="2">
        <v>41931</v>
      </c>
      <c r="N2105" s="1">
        <v>12</v>
      </c>
      <c r="O2105" s="2">
        <v>41931</v>
      </c>
      <c r="P2105" s="1">
        <v>2626</v>
      </c>
      <c r="Q2105" s="1" t="s">
        <v>197</v>
      </c>
      <c r="R2105" s="2">
        <v>41978</v>
      </c>
      <c r="S2105" s="1">
        <v>18792</v>
      </c>
      <c r="U2105" s="1">
        <v>228</v>
      </c>
      <c r="V2105" s="1" t="s">
        <v>18444</v>
      </c>
      <c r="W2105" s="1" t="s">
        <v>264</v>
      </c>
      <c r="Y2105" s="1">
        <v>4</v>
      </c>
      <c r="Z2105" s="1" t="s">
        <v>200</v>
      </c>
      <c r="AA2105" s="1" t="s">
        <v>6887</v>
      </c>
      <c r="AB2105" s="1">
        <v>60046</v>
      </c>
      <c r="AD2105" s="1" t="s">
        <v>18952</v>
      </c>
      <c r="AE2105" s="1" t="s">
        <v>18953</v>
      </c>
      <c r="AF2105" s="1">
        <v>2003</v>
      </c>
      <c r="AG2105" s="1" t="s">
        <v>204</v>
      </c>
      <c r="AH2105" s="1" t="s">
        <v>1437</v>
      </c>
      <c r="AI2105" s="1" t="s">
        <v>509</v>
      </c>
      <c r="AJ2105" s="1" t="s">
        <v>1437</v>
      </c>
      <c r="AK2105" s="1" t="s">
        <v>18954</v>
      </c>
      <c r="AL2105" s="1">
        <v>6</v>
      </c>
      <c r="AM2105" s="1">
        <v>2</v>
      </c>
      <c r="AN2105" s="1">
        <v>2</v>
      </c>
      <c r="AO2105" s="1">
        <v>1</v>
      </c>
      <c r="AP2105" s="1" t="s">
        <v>209</v>
      </c>
      <c r="AQ2105" s="1">
        <v>1</v>
      </c>
      <c r="AR2105" s="1" t="s">
        <v>209</v>
      </c>
      <c r="AS2105" s="1" t="s">
        <v>204</v>
      </c>
      <c r="AT2105" s="1" t="s">
        <v>375</v>
      </c>
      <c r="AU2105" s="1">
        <v>2</v>
      </c>
      <c r="AV2105" s="1">
        <v>2</v>
      </c>
      <c r="AW2105" s="1" t="s">
        <v>204</v>
      </c>
      <c r="AX2105" s="1" t="s">
        <v>18955</v>
      </c>
      <c r="AZ2105" s="1">
        <v>5977</v>
      </c>
      <c r="BA2105" s="1">
        <v>2013</v>
      </c>
      <c r="BE2105" s="1">
        <v>1938</v>
      </c>
      <c r="BF2105" s="1">
        <v>1</v>
      </c>
      <c r="BG2105" s="1">
        <v>0</v>
      </c>
      <c r="BL2105" s="1">
        <v>195</v>
      </c>
      <c r="BM2105" s="1" t="s">
        <v>204</v>
      </c>
      <c r="BN2105" s="1" t="s">
        <v>213</v>
      </c>
      <c r="BO2105" s="1">
        <v>999</v>
      </c>
      <c r="BP2105" s="1" t="s">
        <v>204</v>
      </c>
      <c r="BR2105" s="1" t="str">
        <f>"06042021120000"</f>
        <v>06042021120000</v>
      </c>
      <c r="BT2105" s="1" t="s">
        <v>18956</v>
      </c>
      <c r="BX2105" s="1">
        <v>41</v>
      </c>
      <c r="BY2105" s="1">
        <v>41</v>
      </c>
      <c r="BZ2105" s="1">
        <v>117</v>
      </c>
      <c r="CB2105" s="1" t="str">
        <f>"37"</f>
        <v>37</v>
      </c>
      <c r="CC2105" s="1" t="str">
        <f t="shared" ref="CC2105:CC2107" si="1606">"0"</f>
        <v>0</v>
      </c>
      <c r="CD2105" s="1">
        <v>21</v>
      </c>
      <c r="CE2105" s="1">
        <v>0</v>
      </c>
      <c r="CG2105" s="1" t="s">
        <v>863</v>
      </c>
      <c r="CH2105" s="1" t="s">
        <v>219</v>
      </c>
      <c r="CI2105" s="1" t="s">
        <v>438</v>
      </c>
      <c r="CJ2105" s="1" t="s">
        <v>343</v>
      </c>
      <c r="CK2105" s="1" t="s">
        <v>669</v>
      </c>
      <c r="CL2105" s="1" t="s">
        <v>277</v>
      </c>
      <c r="CM2105" s="1" t="s">
        <v>220</v>
      </c>
      <c r="CN2105" s="1" t="s">
        <v>439</v>
      </c>
      <c r="CO2105" s="1" t="s">
        <v>539</v>
      </c>
      <c r="CP2105" s="1" t="s">
        <v>219</v>
      </c>
      <c r="CQ2105" s="1" t="s">
        <v>438</v>
      </c>
      <c r="CR2105" s="1" t="s">
        <v>343</v>
      </c>
      <c r="CS2105" s="1" t="s">
        <v>1358</v>
      </c>
      <c r="CT2105" s="1" t="s">
        <v>277</v>
      </c>
      <c r="CU2105" s="1" t="s">
        <v>220</v>
      </c>
      <c r="CV2105" s="1" t="s">
        <v>439</v>
      </c>
      <c r="CX2105" s="1" t="s">
        <v>224</v>
      </c>
      <c r="DB2105" s="1" t="s">
        <v>224</v>
      </c>
      <c r="DE2105" s="1" t="s">
        <v>1358</v>
      </c>
      <c r="DF2105" s="1" t="s">
        <v>219</v>
      </c>
      <c r="DG2105" s="1" t="s">
        <v>438</v>
      </c>
      <c r="DJ2105" s="1" t="s">
        <v>224</v>
      </c>
      <c r="DM2105" s="1" t="s">
        <v>464</v>
      </c>
      <c r="DR2105" s="1" t="s">
        <v>346</v>
      </c>
      <c r="DS2105" s="1" t="s">
        <v>277</v>
      </c>
      <c r="DT2105" s="1" t="s">
        <v>220</v>
      </c>
      <c r="DW2105" s="1" t="s">
        <v>230</v>
      </c>
      <c r="EA2105" s="1" t="s">
        <v>230</v>
      </c>
      <c r="EE2105" s="1" t="s">
        <v>230</v>
      </c>
      <c r="EI2105" s="1" t="s">
        <v>230</v>
      </c>
      <c r="EL2105" s="1" t="s">
        <v>466</v>
      </c>
      <c r="EM2105" s="1" t="s">
        <v>319</v>
      </c>
      <c r="EN2105" s="1" t="s">
        <v>282</v>
      </c>
      <c r="EO2105" s="1" t="s">
        <v>234</v>
      </c>
      <c r="EQ2105" s="1" t="s">
        <v>671</v>
      </c>
      <c r="ER2105" s="1" t="s">
        <v>1249</v>
      </c>
      <c r="ET2105" s="1" t="s">
        <v>2404</v>
      </c>
      <c r="EV2105" s="1" t="s">
        <v>324</v>
      </c>
      <c r="EW2105" s="1" t="s">
        <v>353</v>
      </c>
      <c r="EY2105" s="1" t="s">
        <v>242</v>
      </c>
      <c r="EZ2105" s="1" t="s">
        <v>464</v>
      </c>
      <c r="FA2105" s="1" t="s">
        <v>18957</v>
      </c>
      <c r="FB2105" s="1" t="s">
        <v>289</v>
      </c>
      <c r="FC2105" s="1" t="s">
        <v>548</v>
      </c>
      <c r="FD2105" s="1" t="s">
        <v>246</v>
      </c>
      <c r="FE2105" s="1" t="s">
        <v>472</v>
      </c>
      <c r="FF2105" s="1" t="s">
        <v>248</v>
      </c>
      <c r="FG2105" s="1" t="s">
        <v>1682</v>
      </c>
      <c r="FH2105" s="1" t="s">
        <v>550</v>
      </c>
      <c r="FJ2105" s="1" t="s">
        <v>1251</v>
      </c>
      <c r="FK2105" s="1" t="s">
        <v>768</v>
      </c>
      <c r="FL2105" s="1" t="s">
        <v>358</v>
      </c>
      <c r="FM2105" s="1" t="s">
        <v>252</v>
      </c>
      <c r="FN2105" s="1" t="s">
        <v>213</v>
      </c>
      <c r="FO2105" s="1" t="s">
        <v>213</v>
      </c>
      <c r="FQ2105" s="1" t="s">
        <v>1758</v>
      </c>
      <c r="FR2105" s="1" t="s">
        <v>210</v>
      </c>
      <c r="FS2105" s="1" t="s">
        <v>18958</v>
      </c>
      <c r="FT2105" s="1" t="s">
        <v>1182</v>
      </c>
      <c r="FU2105" s="1" t="s">
        <v>204</v>
      </c>
      <c r="FW2105" s="1" t="s">
        <v>3132</v>
      </c>
      <c r="FX2105" s="1">
        <v>5547</v>
      </c>
      <c r="FY2105" s="1" t="s">
        <v>3133</v>
      </c>
      <c r="FZ2105" s="1" t="s">
        <v>18959</v>
      </c>
      <c r="GA2105" s="1">
        <v>55667</v>
      </c>
      <c r="GD2105" s="1" t="s">
        <v>18960</v>
      </c>
      <c r="GE2105" s="1" t="s">
        <v>480</v>
      </c>
      <c r="GI2105" s="1" t="s">
        <v>213</v>
      </c>
      <c r="GJ2105" s="1" t="s">
        <v>260</v>
      </c>
      <c r="GK2105" s="1" t="s">
        <v>210</v>
      </c>
      <c r="GL2105" s="2">
        <v>41978</v>
      </c>
      <c r="GM2105" s="1" t="s">
        <v>18961</v>
      </c>
    </row>
    <row r="2106" spans="1:195">
      <c r="A2106" s="1">
        <v>113000</v>
      </c>
      <c r="B2106" s="1" t="s">
        <v>195</v>
      </c>
      <c r="C2106" s="1" t="str">
        <f>"08742180"</f>
        <v>08742180</v>
      </c>
      <c r="D2106" s="1" t="s">
        <v>196</v>
      </c>
      <c r="F2106" s="1" t="str">
        <f t="shared" ref="F2106:F2107" si="1607">"107"</f>
        <v>107</v>
      </c>
      <c r="G2106" s="2">
        <v>41913</v>
      </c>
      <c r="H2106" s="1">
        <v>113000</v>
      </c>
      <c r="I2106" s="1">
        <v>113000</v>
      </c>
      <c r="J2106" s="1">
        <v>113000</v>
      </c>
      <c r="K2106" s="2">
        <v>41913</v>
      </c>
      <c r="L2106" s="1">
        <v>30</v>
      </c>
      <c r="M2106" s="2">
        <v>41942</v>
      </c>
      <c r="N2106" s="1">
        <v>30</v>
      </c>
      <c r="O2106" s="2">
        <v>41942</v>
      </c>
      <c r="P2106" s="1">
        <v>890</v>
      </c>
      <c r="Q2106" s="1" t="s">
        <v>197</v>
      </c>
      <c r="R2106" s="2">
        <v>41992</v>
      </c>
      <c r="S2106" s="1">
        <v>8770</v>
      </c>
      <c r="U2106" s="1">
        <v>45</v>
      </c>
      <c r="V2106" s="1" t="s">
        <v>5399</v>
      </c>
      <c r="W2106" s="1" t="s">
        <v>304</v>
      </c>
      <c r="X2106" s="1" t="s">
        <v>527</v>
      </c>
      <c r="Y2106" s="1">
        <v>8</v>
      </c>
      <c r="Z2106" s="1" t="s">
        <v>249</v>
      </c>
      <c r="AA2106" s="1" t="s">
        <v>1211</v>
      </c>
      <c r="AB2106" s="1">
        <v>60107</v>
      </c>
      <c r="AD2106" s="1" t="s">
        <v>3552</v>
      </c>
      <c r="AE2106" s="1" t="s">
        <v>18962</v>
      </c>
      <c r="AF2106" s="1">
        <v>1992</v>
      </c>
      <c r="AG2106" s="1" t="s">
        <v>204</v>
      </c>
      <c r="AH2106" s="1" t="s">
        <v>1214</v>
      </c>
      <c r="AI2106" s="1" t="s">
        <v>310</v>
      </c>
      <c r="AJ2106" s="1" t="s">
        <v>374</v>
      </c>
      <c r="AK2106" s="1" t="s">
        <v>1564</v>
      </c>
      <c r="AL2106" s="1">
        <v>5</v>
      </c>
      <c r="AM2106" s="1">
        <v>2</v>
      </c>
      <c r="AN2106" s="1">
        <v>1</v>
      </c>
      <c r="AO2106" s="1">
        <v>0</v>
      </c>
      <c r="AP2106" s="1" t="s">
        <v>210</v>
      </c>
      <c r="AQ2106" s="1">
        <v>1</v>
      </c>
      <c r="AR2106" s="1" t="s">
        <v>210</v>
      </c>
      <c r="AS2106" s="1" t="s">
        <v>204</v>
      </c>
      <c r="AT2106" s="1" t="s">
        <v>211</v>
      </c>
      <c r="AU2106" s="1">
        <v>1</v>
      </c>
      <c r="AW2106" s="1" t="s">
        <v>204</v>
      </c>
      <c r="AX2106" s="1" t="s">
        <v>212</v>
      </c>
      <c r="AZ2106" s="1">
        <v>2553.12</v>
      </c>
      <c r="BA2106" s="1">
        <v>2013</v>
      </c>
      <c r="BE2106" s="1">
        <v>1120</v>
      </c>
      <c r="BF2106" s="1">
        <v>1</v>
      </c>
      <c r="BG2106" s="1">
        <v>0</v>
      </c>
      <c r="BL2106" s="1">
        <v>202</v>
      </c>
      <c r="BM2106" s="1" t="s">
        <v>204</v>
      </c>
      <c r="BN2106" s="1" t="s">
        <v>213</v>
      </c>
      <c r="BO2106" s="1" t="s">
        <v>432</v>
      </c>
      <c r="BP2106" s="1" t="s">
        <v>204</v>
      </c>
      <c r="BR2106" s="1" t="str">
        <f>"06223030361277"</f>
        <v>06223030361277</v>
      </c>
      <c r="BT2106" s="1" t="s">
        <v>18963</v>
      </c>
      <c r="BU2106" s="1" t="s">
        <v>3556</v>
      </c>
      <c r="BV2106" s="1" t="s">
        <v>3557</v>
      </c>
      <c r="BW2106" s="1" t="s">
        <v>1217</v>
      </c>
      <c r="BX2106" s="1">
        <v>46</v>
      </c>
      <c r="BY2106" s="1">
        <v>46</v>
      </c>
      <c r="BZ2106" s="1">
        <v>46</v>
      </c>
      <c r="CB2106" s="1" t="str">
        <f>"10"</f>
        <v>10</v>
      </c>
      <c r="CC2106" s="1" t="str">
        <f t="shared" si="1606"/>
        <v>0</v>
      </c>
      <c r="CD2106" s="1">
        <v>29</v>
      </c>
      <c r="CE2106" s="1">
        <v>0</v>
      </c>
      <c r="CG2106" s="1" t="s">
        <v>648</v>
      </c>
      <c r="CH2106" s="1" t="s">
        <v>219</v>
      </c>
      <c r="CK2106" s="1" t="s">
        <v>437</v>
      </c>
      <c r="CL2106" s="1" t="s">
        <v>219</v>
      </c>
      <c r="CO2106" s="1" t="s">
        <v>318</v>
      </c>
      <c r="CP2106" s="1" t="s">
        <v>219</v>
      </c>
      <c r="CS2106" s="1" t="s">
        <v>1046</v>
      </c>
      <c r="CT2106" s="1" t="s">
        <v>219</v>
      </c>
      <c r="CX2106" s="1" t="s">
        <v>224</v>
      </c>
      <c r="DB2106" s="1" t="s">
        <v>224</v>
      </c>
      <c r="DE2106" s="1" t="s">
        <v>1046</v>
      </c>
      <c r="DF2106" s="1" t="s">
        <v>219</v>
      </c>
      <c r="DJ2106" s="1" t="s">
        <v>224</v>
      </c>
      <c r="DS2106" s="1" t="s">
        <v>230</v>
      </c>
      <c r="DW2106" s="1" t="s">
        <v>230</v>
      </c>
      <c r="EA2106" s="1" t="s">
        <v>230</v>
      </c>
      <c r="EE2106" s="1" t="s">
        <v>230</v>
      </c>
      <c r="EI2106" s="1" t="s">
        <v>230</v>
      </c>
      <c r="EL2106" s="1" t="s">
        <v>382</v>
      </c>
      <c r="EM2106" s="1" t="s">
        <v>232</v>
      </c>
      <c r="EN2106" s="1" t="s">
        <v>282</v>
      </c>
      <c r="EO2106" s="1" t="s">
        <v>234</v>
      </c>
      <c r="EP2106" s="1" t="s">
        <v>650</v>
      </c>
      <c r="ER2106" s="1" t="s">
        <v>210</v>
      </c>
      <c r="EU2106" s="1" t="s">
        <v>17184</v>
      </c>
      <c r="EV2106" s="1" t="s">
        <v>324</v>
      </c>
      <c r="EW2106" s="1" t="s">
        <v>937</v>
      </c>
      <c r="EY2106" s="1" t="s">
        <v>242</v>
      </c>
      <c r="EZ2106" s="1" t="s">
        <v>287</v>
      </c>
      <c r="FB2106" s="1" t="s">
        <v>289</v>
      </c>
      <c r="FD2106" s="1" t="s">
        <v>246</v>
      </c>
      <c r="FE2106" s="1" t="s">
        <v>472</v>
      </c>
      <c r="FF2106" s="1" t="s">
        <v>248</v>
      </c>
      <c r="FG2106" s="1" t="s">
        <v>1682</v>
      </c>
      <c r="FH2106" s="1" t="s">
        <v>825</v>
      </c>
      <c r="FL2106" s="1" t="s">
        <v>358</v>
      </c>
      <c r="FM2106" s="1" t="s">
        <v>252</v>
      </c>
      <c r="FN2106" s="1" t="s">
        <v>213</v>
      </c>
      <c r="FO2106" s="1" t="s">
        <v>213</v>
      </c>
      <c r="FQ2106" s="1" t="s">
        <v>689</v>
      </c>
      <c r="FR2106" s="1" t="s">
        <v>210</v>
      </c>
      <c r="FS2106" s="1" t="s">
        <v>8977</v>
      </c>
      <c r="FT2106" s="1" t="s">
        <v>295</v>
      </c>
      <c r="FU2106" s="1" t="s">
        <v>204</v>
      </c>
      <c r="FW2106" s="1" t="s">
        <v>1637</v>
      </c>
      <c r="FX2106" s="1">
        <v>8055</v>
      </c>
      <c r="FY2106" s="1" t="s">
        <v>1728</v>
      </c>
      <c r="FZ2106" s="1" t="s">
        <v>2311</v>
      </c>
      <c r="GA2106" s="1">
        <v>82542</v>
      </c>
      <c r="GB2106" s="1" t="s">
        <v>2312</v>
      </c>
      <c r="GE2106" s="1" t="s">
        <v>210</v>
      </c>
      <c r="GI2106" s="1" t="s">
        <v>213</v>
      </c>
      <c r="GJ2106" s="1" t="s">
        <v>260</v>
      </c>
      <c r="GK2106" s="1" t="s">
        <v>210</v>
      </c>
      <c r="GL2106" s="2">
        <v>41992</v>
      </c>
      <c r="GM2106" s="1" t="s">
        <v>13382</v>
      </c>
    </row>
    <row r="2107" spans="1:195">
      <c r="A2107" s="1">
        <v>119900</v>
      </c>
      <c r="B2107" s="1" t="s">
        <v>195</v>
      </c>
      <c r="C2107" s="1" t="str">
        <f>"08740949"</f>
        <v>08740949</v>
      </c>
      <c r="D2107" s="1" t="s">
        <v>196</v>
      </c>
      <c r="F2107" s="1" t="str">
        <f t="shared" si="1607"/>
        <v>107</v>
      </c>
      <c r="G2107" s="2">
        <v>41912</v>
      </c>
      <c r="H2107" s="1">
        <v>119900</v>
      </c>
      <c r="I2107" s="1">
        <v>119900</v>
      </c>
      <c r="J2107" s="1">
        <v>119900</v>
      </c>
      <c r="K2107" s="2">
        <v>41912</v>
      </c>
      <c r="L2107" s="1">
        <v>8</v>
      </c>
      <c r="M2107" s="2">
        <v>41919</v>
      </c>
      <c r="N2107" s="1">
        <v>8</v>
      </c>
      <c r="O2107" s="2">
        <v>41919</v>
      </c>
      <c r="P2107" s="1">
        <v>372</v>
      </c>
      <c r="Q2107" s="1" t="s">
        <v>197</v>
      </c>
      <c r="R2107" s="2">
        <v>41982</v>
      </c>
      <c r="S2107" s="1">
        <v>8780</v>
      </c>
      <c r="U2107" s="1">
        <v>197</v>
      </c>
      <c r="V2107" s="1" t="s">
        <v>13364</v>
      </c>
      <c r="W2107" s="1" t="s">
        <v>264</v>
      </c>
      <c r="X2107" s="1" t="s">
        <v>1688</v>
      </c>
      <c r="Y2107" s="1">
        <v>6</v>
      </c>
      <c r="Z2107" s="1" t="s">
        <v>249</v>
      </c>
      <c r="AA2107" s="1" t="s">
        <v>1211</v>
      </c>
      <c r="AB2107" s="1">
        <v>60107</v>
      </c>
      <c r="AD2107" s="1" t="s">
        <v>18964</v>
      </c>
      <c r="AE2107" s="1" t="s">
        <v>18965</v>
      </c>
      <c r="AF2107" s="1">
        <v>1990</v>
      </c>
      <c r="AG2107" s="1" t="s">
        <v>204</v>
      </c>
      <c r="AH2107" s="1" t="s">
        <v>1214</v>
      </c>
      <c r="AI2107" s="1" t="s">
        <v>310</v>
      </c>
      <c r="AJ2107" s="1" t="s">
        <v>374</v>
      </c>
      <c r="AL2107" s="1">
        <v>5</v>
      </c>
      <c r="AM2107" s="1">
        <v>2</v>
      </c>
      <c r="AN2107" s="1">
        <v>2</v>
      </c>
      <c r="AO2107" s="1">
        <v>0</v>
      </c>
      <c r="AP2107" s="1" t="s">
        <v>209</v>
      </c>
      <c r="AR2107" s="1" t="s">
        <v>210</v>
      </c>
      <c r="AS2107" s="1" t="s">
        <v>204</v>
      </c>
      <c r="AT2107" s="1" t="s">
        <v>211</v>
      </c>
      <c r="AU2107" s="1">
        <v>1</v>
      </c>
      <c r="AW2107" s="1" t="s">
        <v>204</v>
      </c>
      <c r="AX2107" s="1" t="s">
        <v>4740</v>
      </c>
      <c r="AZ2107" s="1">
        <v>3603.08</v>
      </c>
      <c r="BA2107" s="1">
        <v>2013</v>
      </c>
      <c r="BB2107" s="1" t="s">
        <v>210</v>
      </c>
      <c r="BE2107" s="1">
        <v>1300</v>
      </c>
      <c r="BF2107" s="1">
        <v>2</v>
      </c>
      <c r="BG2107" s="1">
        <v>0</v>
      </c>
      <c r="BL2107" s="1">
        <v>174</v>
      </c>
      <c r="BM2107" s="1" t="s">
        <v>204</v>
      </c>
      <c r="BN2107" s="1" t="s">
        <v>213</v>
      </c>
      <c r="BO2107" s="1">
        <v>50</v>
      </c>
      <c r="BP2107" s="1" t="s">
        <v>204</v>
      </c>
      <c r="BR2107" s="1" t="str">
        <f>"06272160091132"</f>
        <v>06272160091132</v>
      </c>
      <c r="BT2107" s="1" t="s">
        <v>18966</v>
      </c>
      <c r="BU2107" s="1" t="s">
        <v>3556</v>
      </c>
      <c r="BV2107" s="1" t="s">
        <v>3557</v>
      </c>
      <c r="BW2107" s="1" t="s">
        <v>1217</v>
      </c>
      <c r="BX2107" s="1">
        <v>46</v>
      </c>
      <c r="BY2107" s="1">
        <v>46</v>
      </c>
      <c r="BZ2107" s="1">
        <v>46</v>
      </c>
      <c r="CB2107" s="1" t="str">
        <f>"11"</f>
        <v>11</v>
      </c>
      <c r="CC2107" s="1" t="str">
        <f t="shared" si="1606"/>
        <v>0</v>
      </c>
      <c r="CD2107" s="1">
        <v>29</v>
      </c>
      <c r="CE2107" s="1">
        <v>0</v>
      </c>
      <c r="CG2107" s="1" t="s">
        <v>581</v>
      </c>
      <c r="CH2107" s="1" t="s">
        <v>277</v>
      </c>
      <c r="CI2107" s="1" t="s">
        <v>220</v>
      </c>
      <c r="CK2107" s="1" t="s">
        <v>18967</v>
      </c>
      <c r="CL2107" s="1" t="s">
        <v>277</v>
      </c>
      <c r="CM2107" s="1" t="s">
        <v>220</v>
      </c>
      <c r="CO2107" s="1" t="s">
        <v>972</v>
      </c>
      <c r="CP2107" s="1" t="s">
        <v>277</v>
      </c>
      <c r="CQ2107" s="1" t="s">
        <v>220</v>
      </c>
      <c r="CS2107" s="1" t="s">
        <v>346</v>
      </c>
      <c r="CT2107" s="1" t="s">
        <v>277</v>
      </c>
      <c r="CU2107" s="1" t="s">
        <v>220</v>
      </c>
      <c r="CX2107" s="1" t="s">
        <v>224</v>
      </c>
      <c r="DB2107" s="1" t="s">
        <v>224</v>
      </c>
      <c r="DE2107" s="1" t="s">
        <v>1598</v>
      </c>
      <c r="DF2107" s="1" t="s">
        <v>277</v>
      </c>
      <c r="DG2107" s="1" t="s">
        <v>229</v>
      </c>
      <c r="DJ2107" s="1" t="s">
        <v>224</v>
      </c>
      <c r="DS2107" s="1" t="s">
        <v>230</v>
      </c>
      <c r="DW2107" s="1" t="s">
        <v>230</v>
      </c>
      <c r="EA2107" s="1" t="s">
        <v>230</v>
      </c>
      <c r="EE2107" s="1" t="s">
        <v>230</v>
      </c>
      <c r="EI2107" s="1" t="s">
        <v>230</v>
      </c>
      <c r="EL2107" s="1" t="s">
        <v>382</v>
      </c>
      <c r="EM2107" s="1" t="s">
        <v>232</v>
      </c>
      <c r="EN2107" s="1" t="s">
        <v>282</v>
      </c>
      <c r="EO2107" s="1" t="s">
        <v>234</v>
      </c>
      <c r="EQ2107" s="1" t="s">
        <v>236</v>
      </c>
      <c r="ER2107" s="1" t="s">
        <v>210</v>
      </c>
      <c r="ES2107" s="1" t="s">
        <v>322</v>
      </c>
      <c r="EV2107" s="1" t="s">
        <v>240</v>
      </c>
      <c r="EW2107" s="1" t="s">
        <v>353</v>
      </c>
      <c r="EZ2107" s="1" t="s">
        <v>287</v>
      </c>
      <c r="FA2107" s="1" t="s">
        <v>1554</v>
      </c>
      <c r="FD2107" s="1" t="s">
        <v>495</v>
      </c>
      <c r="FE2107" s="1" t="s">
        <v>247</v>
      </c>
      <c r="FF2107" s="1" t="s">
        <v>248</v>
      </c>
      <c r="FH2107" s="1" t="s">
        <v>825</v>
      </c>
      <c r="FL2107" s="1" t="s">
        <v>358</v>
      </c>
      <c r="FM2107" s="1" t="s">
        <v>252</v>
      </c>
      <c r="FN2107" s="1" t="s">
        <v>213</v>
      </c>
      <c r="FO2107" s="1" t="s">
        <v>213</v>
      </c>
      <c r="FQ2107" s="1" t="s">
        <v>1441</v>
      </c>
      <c r="FR2107" s="1" t="s">
        <v>210</v>
      </c>
      <c r="FS2107" s="1" t="s">
        <v>4217</v>
      </c>
      <c r="FT2107" s="1" t="s">
        <v>362</v>
      </c>
      <c r="FU2107" s="1" t="s">
        <v>204</v>
      </c>
      <c r="FW2107" s="1" t="s">
        <v>554</v>
      </c>
      <c r="FX2107" s="1">
        <v>8081</v>
      </c>
      <c r="FY2107" s="1" t="s">
        <v>4218</v>
      </c>
      <c r="FZ2107" s="1" t="s">
        <v>18968</v>
      </c>
      <c r="GA2107" s="1">
        <v>85860</v>
      </c>
      <c r="GB2107" s="1" t="s">
        <v>18969</v>
      </c>
      <c r="GE2107" s="1" t="s">
        <v>480</v>
      </c>
      <c r="GI2107" s="1" t="s">
        <v>213</v>
      </c>
      <c r="GJ2107" s="1" t="s">
        <v>260</v>
      </c>
      <c r="GK2107" s="1" t="s">
        <v>210</v>
      </c>
      <c r="GL2107" s="2">
        <v>41982</v>
      </c>
    </row>
    <row r="2108" spans="1:195">
      <c r="A2108" s="1">
        <v>380000</v>
      </c>
      <c r="B2108" s="1" t="s">
        <v>195</v>
      </c>
      <c r="C2108" s="1" t="str">
        <f>"08748509"</f>
        <v>08748509</v>
      </c>
      <c r="D2108" s="1" t="s">
        <v>196</v>
      </c>
      <c r="F2108" s="1" t="str">
        <f>"48"</f>
        <v>48</v>
      </c>
      <c r="G2108" s="2">
        <v>41920</v>
      </c>
      <c r="H2108" s="1">
        <v>399000</v>
      </c>
      <c r="I2108" s="1">
        <v>399000</v>
      </c>
      <c r="J2108" s="1">
        <v>380000</v>
      </c>
      <c r="K2108" s="2">
        <v>41920</v>
      </c>
      <c r="L2108" s="1">
        <v>23</v>
      </c>
      <c r="M2108" s="2">
        <v>41942</v>
      </c>
      <c r="N2108" s="1">
        <v>23</v>
      </c>
      <c r="O2108" s="2">
        <v>41942</v>
      </c>
      <c r="P2108" s="1">
        <v>25752</v>
      </c>
      <c r="Q2108" s="1" t="s">
        <v>302</v>
      </c>
      <c r="R2108" s="2">
        <v>42009</v>
      </c>
      <c r="S2108" s="1">
        <v>922577</v>
      </c>
      <c r="U2108" s="1">
        <v>310</v>
      </c>
      <c r="V2108" s="1" t="s">
        <v>10323</v>
      </c>
      <c r="W2108" s="1" t="s">
        <v>725</v>
      </c>
      <c r="X2108" s="1">
        <v>106</v>
      </c>
      <c r="Y2108" s="1">
        <v>57</v>
      </c>
      <c r="Z2108" s="1" t="s">
        <v>370</v>
      </c>
      <c r="AA2108" s="1" t="s">
        <v>6674</v>
      </c>
      <c r="AB2108" s="1">
        <v>60048</v>
      </c>
      <c r="AD2108" s="1" t="s">
        <v>18970</v>
      </c>
      <c r="AE2108" s="1" t="s">
        <v>18971</v>
      </c>
      <c r="AF2108" s="1">
        <v>2004</v>
      </c>
      <c r="AG2108" s="1" t="s">
        <v>204</v>
      </c>
      <c r="AH2108" s="1" t="s">
        <v>1693</v>
      </c>
      <c r="AI2108" s="1" t="s">
        <v>509</v>
      </c>
      <c r="AJ2108" s="1" t="s">
        <v>1693</v>
      </c>
      <c r="AL2108" s="1">
        <v>7</v>
      </c>
      <c r="AM2108" s="1">
        <v>2</v>
      </c>
      <c r="AN2108" s="1">
        <v>2</v>
      </c>
      <c r="AO2108" s="1">
        <v>1</v>
      </c>
      <c r="AP2108" s="1" t="s">
        <v>209</v>
      </c>
      <c r="AR2108" s="1" t="s">
        <v>210</v>
      </c>
      <c r="AS2108" s="1" t="s">
        <v>204</v>
      </c>
      <c r="AT2108" s="1" t="s">
        <v>211</v>
      </c>
      <c r="AU2108" s="1">
        <v>2</v>
      </c>
      <c r="AW2108" s="1" t="s">
        <v>204</v>
      </c>
      <c r="AX2108" s="1" t="s">
        <v>212</v>
      </c>
      <c r="AZ2108" s="1">
        <v>7740.91</v>
      </c>
      <c r="BA2108" s="1">
        <v>2013</v>
      </c>
      <c r="BB2108" s="1" t="s">
        <v>405</v>
      </c>
      <c r="BE2108" s="1">
        <v>2088</v>
      </c>
      <c r="BF2108" s="1">
        <v>1</v>
      </c>
      <c r="BG2108" s="1">
        <v>0</v>
      </c>
      <c r="BL2108" s="1">
        <v>458</v>
      </c>
      <c r="BM2108" s="1" t="s">
        <v>204</v>
      </c>
      <c r="BN2108" s="1" t="s">
        <v>213</v>
      </c>
      <c r="BO2108" s="1">
        <v>0</v>
      </c>
      <c r="BP2108" s="1" t="s">
        <v>204</v>
      </c>
      <c r="BR2108" s="1" t="str">
        <f>"11164120230000"</f>
        <v>11164120230000</v>
      </c>
      <c r="BT2108" s="1" t="s">
        <v>18972</v>
      </c>
      <c r="BU2108" s="1" t="s">
        <v>18973</v>
      </c>
      <c r="BV2108" s="1" t="s">
        <v>6680</v>
      </c>
      <c r="BW2108" s="1" t="s">
        <v>1696</v>
      </c>
      <c r="BX2108" s="1">
        <v>70</v>
      </c>
      <c r="BY2108" s="1">
        <v>70</v>
      </c>
      <c r="BZ2108" s="1">
        <v>128</v>
      </c>
      <c r="CB2108" s="1" t="str">
        <f>"29"</f>
        <v>29</v>
      </c>
      <c r="CC2108" s="1" t="str">
        <f>""</f>
        <v/>
      </c>
      <c r="CD2108" s="1">
        <v>15</v>
      </c>
      <c r="CG2108" s="1" t="s">
        <v>228</v>
      </c>
      <c r="CH2108" s="1" t="s">
        <v>219</v>
      </c>
      <c r="CI2108" s="1" t="s">
        <v>438</v>
      </c>
      <c r="CK2108" s="1" t="s">
        <v>757</v>
      </c>
      <c r="CL2108" s="1" t="s">
        <v>219</v>
      </c>
      <c r="CM2108" s="1" t="s">
        <v>220</v>
      </c>
      <c r="CO2108" s="1" t="s">
        <v>223</v>
      </c>
      <c r="CP2108" s="1" t="s">
        <v>219</v>
      </c>
      <c r="CQ2108" s="1" t="s">
        <v>438</v>
      </c>
      <c r="CS2108" s="1" t="s">
        <v>757</v>
      </c>
      <c r="CT2108" s="1" t="s">
        <v>219</v>
      </c>
      <c r="CU2108" s="1" t="s">
        <v>220</v>
      </c>
      <c r="CX2108" s="1" t="s">
        <v>224</v>
      </c>
      <c r="DB2108" s="1" t="s">
        <v>224</v>
      </c>
      <c r="DE2108" s="1" t="s">
        <v>461</v>
      </c>
      <c r="DF2108" s="1" t="s">
        <v>219</v>
      </c>
      <c r="DG2108" s="1" t="s">
        <v>438</v>
      </c>
      <c r="DJ2108" s="1" t="s">
        <v>224</v>
      </c>
      <c r="DM2108" s="1" t="s">
        <v>1005</v>
      </c>
      <c r="DN2108" s="1" t="s">
        <v>3592</v>
      </c>
      <c r="DO2108" s="1" t="s">
        <v>709</v>
      </c>
      <c r="DR2108" s="1" t="s">
        <v>757</v>
      </c>
      <c r="DS2108" s="1" t="s">
        <v>219</v>
      </c>
      <c r="DT2108" s="1" t="s">
        <v>438</v>
      </c>
      <c r="DV2108" s="1" t="s">
        <v>1358</v>
      </c>
      <c r="DW2108" s="1" t="s">
        <v>219</v>
      </c>
      <c r="DX2108" s="1" t="s">
        <v>220</v>
      </c>
      <c r="DZ2108" s="1" t="s">
        <v>6226</v>
      </c>
      <c r="EA2108" s="1" t="s">
        <v>219</v>
      </c>
      <c r="EB2108" s="1" t="s">
        <v>438</v>
      </c>
      <c r="EE2108" s="1" t="s">
        <v>230</v>
      </c>
      <c r="EI2108" s="1" t="s">
        <v>230</v>
      </c>
      <c r="EL2108" s="1" t="s">
        <v>491</v>
      </c>
      <c r="EM2108" s="1" t="s">
        <v>319</v>
      </c>
      <c r="EN2108" s="1" t="s">
        <v>282</v>
      </c>
      <c r="EO2108" s="1" t="s">
        <v>234</v>
      </c>
      <c r="EP2108" s="1" t="s">
        <v>210</v>
      </c>
      <c r="EQ2108" s="1" t="s">
        <v>2188</v>
      </c>
      <c r="ER2108" s="1" t="s">
        <v>210</v>
      </c>
      <c r="ES2108" s="1" t="s">
        <v>493</v>
      </c>
      <c r="ET2108" s="1" t="s">
        <v>1201</v>
      </c>
      <c r="EV2108" s="1" t="s">
        <v>240</v>
      </c>
      <c r="EW2108" s="1" t="s">
        <v>18974</v>
      </c>
      <c r="EY2108" s="1" t="s">
        <v>242</v>
      </c>
      <c r="EZ2108" s="1" t="s">
        <v>18975</v>
      </c>
      <c r="FA2108" s="1" t="s">
        <v>18976</v>
      </c>
      <c r="FB2108" s="1" t="s">
        <v>289</v>
      </c>
      <c r="FD2108" s="1" t="s">
        <v>495</v>
      </c>
      <c r="FE2108" s="1" t="s">
        <v>247</v>
      </c>
      <c r="FF2108" s="1" t="s">
        <v>248</v>
      </c>
      <c r="FH2108" s="1" t="s">
        <v>249</v>
      </c>
      <c r="FI2108" s="1" t="s">
        <v>250</v>
      </c>
      <c r="FL2108" s="1" t="s">
        <v>1907</v>
      </c>
      <c r="FM2108" s="1" t="s">
        <v>252</v>
      </c>
      <c r="FN2108" s="1" t="s">
        <v>213</v>
      </c>
      <c r="FO2108" s="1" t="s">
        <v>213</v>
      </c>
      <c r="FQ2108" s="1" t="s">
        <v>18977</v>
      </c>
      <c r="FR2108" s="1" t="s">
        <v>210</v>
      </c>
      <c r="FS2108" s="1" t="s">
        <v>18978</v>
      </c>
      <c r="FT2108" s="1" t="s">
        <v>362</v>
      </c>
      <c r="FU2108" s="1" t="s">
        <v>204</v>
      </c>
      <c r="FW2108" s="1" t="s">
        <v>2006</v>
      </c>
      <c r="FX2108" s="1">
        <v>25752</v>
      </c>
      <c r="FY2108" s="1" t="s">
        <v>4745</v>
      </c>
      <c r="FZ2108" s="1" t="s">
        <v>18979</v>
      </c>
      <c r="GA2108" s="1">
        <v>26674</v>
      </c>
      <c r="GB2108" s="1" t="s">
        <v>18980</v>
      </c>
      <c r="GE2108" s="1" t="s">
        <v>2504</v>
      </c>
      <c r="GH2108" s="1" t="s">
        <v>800</v>
      </c>
      <c r="GI2108" s="1" t="s">
        <v>213</v>
      </c>
      <c r="GJ2108" s="1" t="s">
        <v>260</v>
      </c>
      <c r="GK2108" s="1" t="s">
        <v>210</v>
      </c>
      <c r="GL2108" s="2">
        <v>42009</v>
      </c>
      <c r="GM2108" s="1" t="s">
        <v>18981</v>
      </c>
    </row>
    <row r="2109" spans="1:195">
      <c r="A2109" s="1">
        <v>79900</v>
      </c>
      <c r="B2109" s="1" t="s">
        <v>195</v>
      </c>
      <c r="C2109" s="1" t="str">
        <f>"08740803"</f>
        <v>08740803</v>
      </c>
      <c r="D2109" s="1" t="s">
        <v>196</v>
      </c>
      <c r="F2109" s="1" t="str">
        <f>"8064"</f>
        <v>8064</v>
      </c>
      <c r="G2109" s="2">
        <v>41911</v>
      </c>
      <c r="H2109" s="1">
        <v>84900</v>
      </c>
      <c r="I2109" s="1">
        <v>79900</v>
      </c>
      <c r="J2109" s="1">
        <v>79900</v>
      </c>
      <c r="K2109" s="2">
        <v>41911</v>
      </c>
      <c r="L2109" s="1">
        <v>29</v>
      </c>
      <c r="M2109" s="2">
        <v>41939</v>
      </c>
      <c r="N2109" s="1">
        <v>29</v>
      </c>
      <c r="O2109" s="2">
        <v>41939</v>
      </c>
      <c r="P2109" s="1">
        <v>15232</v>
      </c>
      <c r="Q2109" s="1" t="s">
        <v>197</v>
      </c>
      <c r="R2109" s="2">
        <v>41996</v>
      </c>
      <c r="S2109" s="1">
        <v>188269</v>
      </c>
      <c r="T2109" s="1">
        <v>3</v>
      </c>
      <c r="U2109" s="1">
        <v>6407</v>
      </c>
      <c r="V2109" s="1" t="s">
        <v>18982</v>
      </c>
      <c r="W2109" s="1" t="s">
        <v>425</v>
      </c>
      <c r="X2109" s="1" t="s">
        <v>18983</v>
      </c>
      <c r="Y2109" s="1">
        <v>36</v>
      </c>
      <c r="Z2109" s="1" t="s">
        <v>249</v>
      </c>
      <c r="AA2109" s="1" t="s">
        <v>400</v>
      </c>
      <c r="AB2109" s="1">
        <v>60638</v>
      </c>
      <c r="AE2109" s="1" t="s">
        <v>18984</v>
      </c>
      <c r="AF2109" s="1" t="s">
        <v>402</v>
      </c>
      <c r="AG2109" s="1" t="s">
        <v>213</v>
      </c>
      <c r="AH2109" s="1" t="s">
        <v>403</v>
      </c>
      <c r="AI2109" s="1" t="s">
        <v>310</v>
      </c>
      <c r="AJ2109" s="1" t="s">
        <v>683</v>
      </c>
      <c r="AK2109" s="1" t="s">
        <v>270</v>
      </c>
      <c r="AL2109" s="1">
        <v>4</v>
      </c>
      <c r="AM2109" s="1">
        <v>2</v>
      </c>
      <c r="AN2109" s="1">
        <v>1</v>
      </c>
      <c r="AO2109" s="1">
        <v>0</v>
      </c>
      <c r="AP2109" s="1" t="s">
        <v>210</v>
      </c>
      <c r="AR2109" s="1" t="s">
        <v>209</v>
      </c>
      <c r="AS2109" s="1" t="s">
        <v>204</v>
      </c>
      <c r="AT2109" s="1" t="s">
        <v>271</v>
      </c>
      <c r="AV2109" s="1">
        <v>1</v>
      </c>
      <c r="AW2109" s="1" t="s">
        <v>204</v>
      </c>
      <c r="AX2109" s="1" t="s">
        <v>212</v>
      </c>
      <c r="AZ2109" s="1">
        <v>1110</v>
      </c>
      <c r="BA2109" s="1">
        <v>2013</v>
      </c>
      <c r="BB2109" s="1" t="s">
        <v>3996</v>
      </c>
      <c r="BE2109" s="1">
        <v>750</v>
      </c>
      <c r="BF2109" s="1">
        <v>2</v>
      </c>
      <c r="BG2109" s="1">
        <v>14</v>
      </c>
      <c r="BL2109" s="1">
        <v>150</v>
      </c>
      <c r="BM2109" s="1" t="s">
        <v>413</v>
      </c>
      <c r="BN2109" s="1" t="s">
        <v>213</v>
      </c>
      <c r="BO2109" s="1">
        <v>50</v>
      </c>
      <c r="BP2109" s="1" t="s">
        <v>204</v>
      </c>
      <c r="BR2109" s="1" t="str">
        <f>"19192080501014"</f>
        <v>19192080501014</v>
      </c>
      <c r="BT2109" s="1" t="s">
        <v>18985</v>
      </c>
      <c r="BX2109" s="1">
        <v>299</v>
      </c>
      <c r="BY2109" s="1">
        <v>299</v>
      </c>
      <c r="BZ2109" s="1">
        <v>299</v>
      </c>
      <c r="CB2109" s="1" t="str">
        <f t="shared" ref="CB2109:CC2109" si="1608">"0"</f>
        <v>0</v>
      </c>
      <c r="CC2109" s="1" t="str">
        <f t="shared" si="1608"/>
        <v>0</v>
      </c>
      <c r="CD2109" s="1">
        <v>6800</v>
      </c>
      <c r="CE2109" s="1">
        <v>6407</v>
      </c>
      <c r="CG2109" s="1" t="s">
        <v>1045</v>
      </c>
      <c r="CH2109" s="1" t="s">
        <v>219</v>
      </c>
      <c r="CI2109" s="1" t="s">
        <v>438</v>
      </c>
      <c r="CJ2109" s="1" t="s">
        <v>343</v>
      </c>
      <c r="CK2109" s="1" t="s">
        <v>317</v>
      </c>
      <c r="CL2109" s="1" t="s">
        <v>219</v>
      </c>
      <c r="CM2109" s="1" t="s">
        <v>438</v>
      </c>
      <c r="CN2109" s="1" t="s">
        <v>343</v>
      </c>
      <c r="CP2109" s="1" t="s">
        <v>224</v>
      </c>
      <c r="CS2109" s="1" t="s">
        <v>379</v>
      </c>
      <c r="CT2109" s="1" t="s">
        <v>219</v>
      </c>
      <c r="CU2109" s="1" t="s">
        <v>438</v>
      </c>
      <c r="CV2109" s="1" t="s">
        <v>343</v>
      </c>
      <c r="CX2109" s="1" t="s">
        <v>224</v>
      </c>
      <c r="DB2109" s="1" t="s">
        <v>224</v>
      </c>
      <c r="DE2109" s="1" t="s">
        <v>951</v>
      </c>
      <c r="DF2109" s="1" t="s">
        <v>219</v>
      </c>
      <c r="DG2109" s="1" t="s">
        <v>229</v>
      </c>
      <c r="DJ2109" s="1" t="s">
        <v>224</v>
      </c>
      <c r="DS2109" s="1" t="s">
        <v>230</v>
      </c>
      <c r="DW2109" s="1" t="s">
        <v>230</v>
      </c>
      <c r="EA2109" s="1" t="s">
        <v>230</v>
      </c>
      <c r="EE2109" s="1" t="s">
        <v>230</v>
      </c>
      <c r="EI2109" s="1" t="s">
        <v>230</v>
      </c>
      <c r="EL2109" s="1" t="s">
        <v>605</v>
      </c>
      <c r="EM2109" s="1" t="s">
        <v>232</v>
      </c>
      <c r="EN2109" s="1" t="s">
        <v>282</v>
      </c>
      <c r="EO2109" s="1" t="s">
        <v>234</v>
      </c>
      <c r="EP2109" s="1" t="s">
        <v>17937</v>
      </c>
      <c r="ER2109" s="1" t="s">
        <v>351</v>
      </c>
      <c r="EW2109" s="1" t="s">
        <v>2765</v>
      </c>
      <c r="EZ2109" s="1" t="s">
        <v>287</v>
      </c>
      <c r="FB2109" s="1" t="s">
        <v>734</v>
      </c>
      <c r="FD2109" s="1" t="s">
        <v>246</v>
      </c>
      <c r="FE2109" s="1" t="s">
        <v>247</v>
      </c>
      <c r="FF2109" s="1" t="s">
        <v>248</v>
      </c>
      <c r="FH2109" s="1" t="s">
        <v>249</v>
      </c>
      <c r="FJ2109" s="1" t="s">
        <v>197</v>
      </c>
      <c r="FK2109" s="1" t="s">
        <v>1757</v>
      </c>
      <c r="FL2109" s="1" t="s">
        <v>358</v>
      </c>
      <c r="FM2109" s="1" t="s">
        <v>252</v>
      </c>
      <c r="FN2109" s="1" t="s">
        <v>213</v>
      </c>
      <c r="FO2109" s="1" t="s">
        <v>213</v>
      </c>
      <c r="FQ2109" s="1" t="s">
        <v>18986</v>
      </c>
      <c r="FR2109" s="1" t="s">
        <v>210</v>
      </c>
      <c r="FS2109" s="1" t="s">
        <v>8342</v>
      </c>
      <c r="FT2109" s="1" t="s">
        <v>1139</v>
      </c>
      <c r="FU2109" s="1" t="s">
        <v>204</v>
      </c>
      <c r="FW2109" s="1" t="s">
        <v>5576</v>
      </c>
      <c r="FX2109" s="1">
        <v>84624</v>
      </c>
      <c r="FY2109" s="1" t="s">
        <v>18987</v>
      </c>
      <c r="FZ2109" s="1" t="s">
        <v>18988</v>
      </c>
      <c r="GA2109" s="1">
        <v>103547</v>
      </c>
      <c r="GB2109" s="1" t="s">
        <v>18989</v>
      </c>
      <c r="GE2109" s="1" t="s">
        <v>210</v>
      </c>
      <c r="GH2109" s="1" t="s">
        <v>421</v>
      </c>
      <c r="GI2109" s="1" t="s">
        <v>213</v>
      </c>
      <c r="GJ2109" s="1" t="s">
        <v>260</v>
      </c>
      <c r="GK2109" s="1" t="s">
        <v>210</v>
      </c>
      <c r="GL2109" s="2">
        <v>41997</v>
      </c>
      <c r="GM2109" s="1" t="s">
        <v>18990</v>
      </c>
    </row>
    <row r="2110" spans="1:195">
      <c r="A2110" s="1">
        <v>55000</v>
      </c>
      <c r="B2110" s="1" t="s">
        <v>195</v>
      </c>
      <c r="C2110" s="1" t="str">
        <f>"08741419"</f>
        <v>08741419</v>
      </c>
      <c r="D2110" s="1" t="s">
        <v>196</v>
      </c>
      <c r="F2110" s="1" t="str">
        <f>"64"</f>
        <v>64</v>
      </c>
      <c r="G2110" s="2">
        <v>41912</v>
      </c>
      <c r="H2110" s="1">
        <v>63000</v>
      </c>
      <c r="I2110" s="1">
        <v>63000</v>
      </c>
      <c r="J2110" s="1">
        <v>55000</v>
      </c>
      <c r="K2110" s="2">
        <v>41912</v>
      </c>
      <c r="L2110" s="1">
        <v>10</v>
      </c>
      <c r="M2110" s="2">
        <v>41921</v>
      </c>
      <c r="N2110" s="1">
        <v>10</v>
      </c>
      <c r="O2110" s="2">
        <v>41921</v>
      </c>
      <c r="P2110" s="1">
        <v>23875</v>
      </c>
      <c r="Q2110" s="1" t="s">
        <v>197</v>
      </c>
      <c r="R2110" s="2">
        <v>41975</v>
      </c>
      <c r="S2110" s="1">
        <v>607387</v>
      </c>
      <c r="U2110" s="1">
        <v>3337</v>
      </c>
      <c r="V2110" s="1" t="s">
        <v>17391</v>
      </c>
      <c r="W2110" s="1" t="s">
        <v>725</v>
      </c>
      <c r="X2110" s="1">
        <v>43</v>
      </c>
      <c r="Y2110" s="1">
        <v>6</v>
      </c>
      <c r="Z2110" s="1" t="s">
        <v>249</v>
      </c>
      <c r="AA2110" s="1" t="s">
        <v>18208</v>
      </c>
      <c r="AB2110" s="1">
        <v>60064</v>
      </c>
      <c r="AC2110" s="1">
        <v>3432</v>
      </c>
      <c r="AD2110" s="1" t="s">
        <v>18209</v>
      </c>
      <c r="AE2110" s="1" t="s">
        <v>18991</v>
      </c>
      <c r="AF2110" s="1">
        <v>1973</v>
      </c>
      <c r="AG2110" s="1" t="s">
        <v>213</v>
      </c>
      <c r="AH2110" s="1" t="s">
        <v>7637</v>
      </c>
      <c r="AI2110" s="1" t="s">
        <v>509</v>
      </c>
      <c r="AJ2110" s="1" t="s">
        <v>18211</v>
      </c>
      <c r="AL2110" s="1">
        <v>5</v>
      </c>
      <c r="AM2110" s="1">
        <v>2</v>
      </c>
      <c r="AN2110" s="1">
        <v>2</v>
      </c>
      <c r="AO2110" s="1">
        <v>0</v>
      </c>
      <c r="AP2110" s="1" t="s">
        <v>209</v>
      </c>
      <c r="AQ2110" s="1">
        <v>1</v>
      </c>
      <c r="AR2110" s="1" t="s">
        <v>210</v>
      </c>
      <c r="AS2110" s="1" t="s">
        <v>204</v>
      </c>
      <c r="AT2110" s="1" t="s">
        <v>271</v>
      </c>
      <c r="AV2110" s="1">
        <v>1</v>
      </c>
      <c r="AW2110" s="1" t="s">
        <v>213</v>
      </c>
      <c r="AX2110" s="1" t="s">
        <v>212</v>
      </c>
      <c r="AZ2110" s="1">
        <v>2576</v>
      </c>
      <c r="BA2110" s="1">
        <v>2013</v>
      </c>
      <c r="BB2110" s="1" t="s">
        <v>405</v>
      </c>
      <c r="BE2110" s="1">
        <v>1100</v>
      </c>
      <c r="BF2110" s="1">
        <v>1</v>
      </c>
      <c r="BG2110" s="1">
        <v>30</v>
      </c>
      <c r="BL2110" s="1">
        <v>275</v>
      </c>
      <c r="BM2110" s="1" t="s">
        <v>213</v>
      </c>
      <c r="BN2110" s="1" t="s">
        <v>213</v>
      </c>
      <c r="BO2110" s="1">
        <v>100</v>
      </c>
      <c r="BP2110" s="1" t="s">
        <v>204</v>
      </c>
      <c r="BR2110" s="1" t="str">
        <f>"12071000049000"</f>
        <v>12071000049000</v>
      </c>
      <c r="BT2110" s="1" t="s">
        <v>18992</v>
      </c>
      <c r="BU2110" s="1" t="s">
        <v>18993</v>
      </c>
      <c r="BV2110" s="1" t="s">
        <v>18993</v>
      </c>
      <c r="BW2110" s="1" t="s">
        <v>18994</v>
      </c>
      <c r="BX2110" s="1">
        <v>187</v>
      </c>
      <c r="BY2110" s="1">
        <v>187</v>
      </c>
      <c r="BZ2110" s="1">
        <v>187</v>
      </c>
      <c r="CB2110" s="1" t="str">
        <f>"30"</f>
        <v>30</v>
      </c>
      <c r="CC2110" s="1" t="str">
        <f>""</f>
        <v/>
      </c>
      <c r="CD2110" s="1">
        <v>11</v>
      </c>
      <c r="CG2110" s="1" t="s">
        <v>218</v>
      </c>
      <c r="CH2110" s="1" t="s">
        <v>219</v>
      </c>
      <c r="CI2110" s="1" t="s">
        <v>438</v>
      </c>
      <c r="CJ2110" s="1" t="s">
        <v>343</v>
      </c>
      <c r="CK2110" s="1" t="s">
        <v>461</v>
      </c>
      <c r="CL2110" s="1" t="s">
        <v>277</v>
      </c>
      <c r="CM2110" s="1" t="s">
        <v>220</v>
      </c>
      <c r="CN2110" s="1" t="s">
        <v>343</v>
      </c>
      <c r="CO2110" s="1" t="s">
        <v>629</v>
      </c>
      <c r="CP2110" s="1" t="s">
        <v>219</v>
      </c>
      <c r="CQ2110" s="1" t="s">
        <v>438</v>
      </c>
      <c r="CR2110" s="1" t="s">
        <v>343</v>
      </c>
      <c r="CS2110" s="1" t="s">
        <v>539</v>
      </c>
      <c r="CT2110" s="1" t="s">
        <v>219</v>
      </c>
      <c r="CU2110" s="1" t="s">
        <v>220</v>
      </c>
      <c r="CV2110" s="1" t="s">
        <v>343</v>
      </c>
      <c r="CX2110" s="1" t="s">
        <v>224</v>
      </c>
      <c r="DB2110" s="1" t="s">
        <v>224</v>
      </c>
      <c r="DE2110" s="1" t="s">
        <v>223</v>
      </c>
      <c r="DF2110" s="1" t="s">
        <v>219</v>
      </c>
      <c r="DG2110" s="1" t="s">
        <v>438</v>
      </c>
      <c r="DH2110" s="1" t="s">
        <v>343</v>
      </c>
      <c r="DJ2110" s="1" t="s">
        <v>224</v>
      </c>
      <c r="DS2110" s="1" t="s">
        <v>230</v>
      </c>
      <c r="DW2110" s="1" t="s">
        <v>230</v>
      </c>
      <c r="EA2110" s="1" t="s">
        <v>230</v>
      </c>
      <c r="EE2110" s="1" t="s">
        <v>230</v>
      </c>
      <c r="EI2110" s="1" t="s">
        <v>230</v>
      </c>
      <c r="EL2110" s="1" t="s">
        <v>605</v>
      </c>
      <c r="EM2110" s="1" t="s">
        <v>319</v>
      </c>
      <c r="EN2110" s="1" t="s">
        <v>282</v>
      </c>
      <c r="EO2110" s="1" t="s">
        <v>234</v>
      </c>
      <c r="EP2110" s="1" t="s">
        <v>2403</v>
      </c>
      <c r="EQ2110" s="1" t="s">
        <v>468</v>
      </c>
      <c r="ER2110" s="1" t="s">
        <v>210</v>
      </c>
      <c r="ES2110" s="1" t="s">
        <v>865</v>
      </c>
      <c r="EU2110" s="1" t="s">
        <v>285</v>
      </c>
      <c r="EV2110" s="1" t="s">
        <v>240</v>
      </c>
      <c r="EW2110" s="1" t="s">
        <v>4313</v>
      </c>
      <c r="EZ2110" s="1" t="s">
        <v>287</v>
      </c>
      <c r="FD2110" s="1" t="s">
        <v>246</v>
      </c>
      <c r="FE2110" s="1" t="s">
        <v>18995</v>
      </c>
      <c r="FF2110" s="1" t="s">
        <v>248</v>
      </c>
      <c r="FH2110" s="1" t="s">
        <v>1824</v>
      </c>
      <c r="FL2110" s="1" t="s">
        <v>358</v>
      </c>
      <c r="FM2110" s="1" t="s">
        <v>252</v>
      </c>
      <c r="FN2110" s="1" t="s">
        <v>213</v>
      </c>
      <c r="FO2110" s="1" t="s">
        <v>213</v>
      </c>
      <c r="FQ2110" s="1" t="s">
        <v>1032</v>
      </c>
      <c r="FR2110" s="1" t="s">
        <v>210</v>
      </c>
      <c r="FS2110" s="1" t="s">
        <v>18996</v>
      </c>
      <c r="FT2110" s="1" t="s">
        <v>362</v>
      </c>
      <c r="FU2110" s="1" t="s">
        <v>204</v>
      </c>
      <c r="FW2110" s="1" t="s">
        <v>18997</v>
      </c>
      <c r="FX2110" s="1">
        <v>23875</v>
      </c>
      <c r="FY2110" s="1" t="s">
        <v>18998</v>
      </c>
      <c r="FZ2110" s="1" t="s">
        <v>18999</v>
      </c>
      <c r="GA2110" s="1">
        <v>607387</v>
      </c>
      <c r="GB2110" s="1" t="s">
        <v>19000</v>
      </c>
      <c r="GC2110" s="1">
        <v>217743</v>
      </c>
      <c r="GE2110" s="1" t="s">
        <v>480</v>
      </c>
      <c r="GI2110" s="1" t="s">
        <v>213</v>
      </c>
      <c r="GJ2110" s="1" t="s">
        <v>260</v>
      </c>
      <c r="GK2110" s="1" t="s">
        <v>210</v>
      </c>
      <c r="GL2110" s="2">
        <v>41975</v>
      </c>
      <c r="GM2110" s="1" t="s">
        <v>19001</v>
      </c>
    </row>
    <row r="2111" spans="1:195">
      <c r="A2111" s="1">
        <v>108000</v>
      </c>
      <c r="B2111" s="1" t="s">
        <v>195</v>
      </c>
      <c r="C2111" s="1" t="str">
        <f>"08747359"</f>
        <v>08747359</v>
      </c>
      <c r="D2111" s="1" t="s">
        <v>196</v>
      </c>
      <c r="F2111" s="1" t="str">
        <f>"532"</f>
        <v>532</v>
      </c>
      <c r="G2111" s="2">
        <v>41919</v>
      </c>
      <c r="H2111" s="1">
        <v>132000</v>
      </c>
      <c r="I2111" s="1">
        <v>120000</v>
      </c>
      <c r="J2111" s="1">
        <v>108000</v>
      </c>
      <c r="K2111" s="2">
        <v>41919</v>
      </c>
      <c r="L2111" s="1">
        <v>121</v>
      </c>
      <c r="M2111" s="2">
        <v>42039</v>
      </c>
      <c r="N2111" s="1">
        <v>121</v>
      </c>
      <c r="O2111" s="2">
        <v>42039</v>
      </c>
      <c r="P2111" s="1">
        <v>25558</v>
      </c>
      <c r="Q2111" s="1" t="s">
        <v>302</v>
      </c>
      <c r="R2111" s="2">
        <v>42048</v>
      </c>
      <c r="S2111" s="1">
        <v>221820</v>
      </c>
      <c r="U2111" s="1">
        <v>5933</v>
      </c>
      <c r="V2111" s="1" t="s">
        <v>19002</v>
      </c>
      <c r="W2111" s="1" t="s">
        <v>264</v>
      </c>
      <c r="X2111" s="1">
        <v>5933</v>
      </c>
      <c r="Y2111" s="1">
        <v>4</v>
      </c>
      <c r="Z2111" s="1" t="s">
        <v>249</v>
      </c>
      <c r="AA2111" s="1" t="s">
        <v>1566</v>
      </c>
      <c r="AB2111" s="1">
        <v>60532</v>
      </c>
      <c r="AD2111" s="1" t="s">
        <v>1567</v>
      </c>
      <c r="AE2111" s="1" t="s">
        <v>19003</v>
      </c>
      <c r="AF2111" s="1">
        <v>1981</v>
      </c>
      <c r="AG2111" s="1" t="s">
        <v>204</v>
      </c>
      <c r="AH2111" s="1" t="s">
        <v>925</v>
      </c>
      <c r="AI2111" s="1" t="s">
        <v>206</v>
      </c>
      <c r="AJ2111" s="1" t="s">
        <v>925</v>
      </c>
      <c r="AL2111" s="1">
        <v>5</v>
      </c>
      <c r="AM2111" s="1">
        <v>2</v>
      </c>
      <c r="AN2111" s="1">
        <v>1</v>
      </c>
      <c r="AO2111" s="1">
        <v>1</v>
      </c>
      <c r="AP2111" s="1" t="s">
        <v>209</v>
      </c>
      <c r="AQ2111" s="1">
        <v>1</v>
      </c>
      <c r="AR2111" s="1" t="s">
        <v>210</v>
      </c>
      <c r="AS2111" s="1" t="s">
        <v>204</v>
      </c>
      <c r="AT2111" s="1" t="s">
        <v>211</v>
      </c>
      <c r="AU2111" s="1">
        <v>1</v>
      </c>
      <c r="AW2111" s="1" t="s">
        <v>204</v>
      </c>
      <c r="AX2111" s="1" t="s">
        <v>212</v>
      </c>
      <c r="AZ2111" s="1">
        <v>3025.5</v>
      </c>
      <c r="BA2111" s="1">
        <v>2013</v>
      </c>
      <c r="BB2111" s="1" t="s">
        <v>405</v>
      </c>
      <c r="BE2111" s="1">
        <v>0</v>
      </c>
      <c r="BF2111" s="1">
        <v>1</v>
      </c>
      <c r="BG2111" s="1">
        <v>0</v>
      </c>
      <c r="BL2111" s="1">
        <v>237</v>
      </c>
      <c r="BM2111" s="1" t="s">
        <v>204</v>
      </c>
      <c r="BN2111" s="1" t="s">
        <v>213</v>
      </c>
      <c r="BO2111" s="1">
        <v>100</v>
      </c>
      <c r="BP2111" s="1" t="s">
        <v>204</v>
      </c>
      <c r="BR2111" s="1" t="str">
        <f>"0815312017"</f>
        <v>0815312017</v>
      </c>
      <c r="BT2111" s="1" t="s">
        <v>19004</v>
      </c>
      <c r="BU2111" s="1" t="s">
        <v>3190</v>
      </c>
      <c r="BV2111" s="1" t="s">
        <v>2856</v>
      </c>
      <c r="BW2111" s="1" t="s">
        <v>2762</v>
      </c>
      <c r="BX2111" s="1">
        <v>68</v>
      </c>
      <c r="BY2111" s="1">
        <v>68</v>
      </c>
      <c r="BZ2111" s="1">
        <v>99</v>
      </c>
      <c r="CB2111" s="1" t="str">
        <f t="shared" ref="CB2111:CC2111" si="1609">"0"</f>
        <v>0</v>
      </c>
      <c r="CC2111" s="1" t="str">
        <f t="shared" si="1609"/>
        <v>0</v>
      </c>
      <c r="CD2111" s="1">
        <v>23</v>
      </c>
      <c r="CE2111" s="1">
        <v>6</v>
      </c>
      <c r="CG2111" s="1" t="s">
        <v>669</v>
      </c>
      <c r="CH2111" s="1" t="s">
        <v>219</v>
      </c>
      <c r="CI2111" s="1" t="s">
        <v>220</v>
      </c>
      <c r="CK2111" s="1" t="s">
        <v>465</v>
      </c>
      <c r="CL2111" s="1" t="s">
        <v>277</v>
      </c>
      <c r="CM2111" s="1" t="s">
        <v>220</v>
      </c>
      <c r="CO2111" s="1" t="s">
        <v>1571</v>
      </c>
      <c r="CP2111" s="1" t="s">
        <v>219</v>
      </c>
      <c r="CQ2111" s="1" t="s">
        <v>220</v>
      </c>
      <c r="CR2111" s="1" t="s">
        <v>210</v>
      </c>
      <c r="CS2111" s="1" t="s">
        <v>1297</v>
      </c>
      <c r="CT2111" s="1" t="s">
        <v>277</v>
      </c>
      <c r="CU2111" s="1" t="s">
        <v>220</v>
      </c>
      <c r="CV2111" s="1" t="s">
        <v>210</v>
      </c>
      <c r="CX2111" s="1" t="s">
        <v>224</v>
      </c>
      <c r="DB2111" s="1" t="s">
        <v>224</v>
      </c>
      <c r="DE2111" s="1" t="s">
        <v>225</v>
      </c>
      <c r="DF2111" s="1" t="s">
        <v>219</v>
      </c>
      <c r="DG2111" s="1" t="s">
        <v>342</v>
      </c>
      <c r="DJ2111" s="1" t="s">
        <v>224</v>
      </c>
      <c r="DM2111" s="1" t="s">
        <v>709</v>
      </c>
      <c r="DR2111" s="1" t="s">
        <v>6362</v>
      </c>
      <c r="DS2111" s="1" t="s">
        <v>219</v>
      </c>
      <c r="DT2111" s="1" t="s">
        <v>220</v>
      </c>
      <c r="DU2111" s="1" t="s">
        <v>210</v>
      </c>
      <c r="DW2111" s="1" t="s">
        <v>230</v>
      </c>
      <c r="EA2111" s="1" t="s">
        <v>230</v>
      </c>
      <c r="EE2111" s="1" t="s">
        <v>230</v>
      </c>
      <c r="EI2111" s="1" t="s">
        <v>230</v>
      </c>
      <c r="EL2111" s="1" t="s">
        <v>231</v>
      </c>
      <c r="EM2111" s="1" t="s">
        <v>319</v>
      </c>
      <c r="EN2111" s="1" t="s">
        <v>282</v>
      </c>
      <c r="EO2111" s="1" t="s">
        <v>234</v>
      </c>
      <c r="EP2111" s="1" t="s">
        <v>19005</v>
      </c>
      <c r="EQ2111" s="1" t="s">
        <v>236</v>
      </c>
      <c r="ER2111" s="1" t="s">
        <v>210</v>
      </c>
      <c r="ES2111" s="1" t="s">
        <v>322</v>
      </c>
      <c r="EV2111" s="1" t="s">
        <v>240</v>
      </c>
      <c r="EW2111" s="1" t="s">
        <v>1940</v>
      </c>
      <c r="EZ2111" s="1" t="s">
        <v>709</v>
      </c>
      <c r="FA2111" s="1" t="s">
        <v>471</v>
      </c>
      <c r="FB2111" s="1" t="s">
        <v>244</v>
      </c>
      <c r="FD2111" s="1" t="s">
        <v>246</v>
      </c>
      <c r="FE2111" s="1" t="s">
        <v>549</v>
      </c>
      <c r="FF2111" s="1" t="s">
        <v>248</v>
      </c>
      <c r="FG2111" s="1" t="s">
        <v>939</v>
      </c>
      <c r="FH2111" s="1" t="s">
        <v>550</v>
      </c>
      <c r="FL2111" s="1" t="s">
        <v>1073</v>
      </c>
      <c r="FM2111" s="1" t="s">
        <v>252</v>
      </c>
      <c r="FN2111" s="1" t="s">
        <v>213</v>
      </c>
      <c r="FO2111" s="1" t="s">
        <v>213</v>
      </c>
      <c r="FQ2111" s="1" t="s">
        <v>2176</v>
      </c>
      <c r="FR2111" s="1" t="s">
        <v>210</v>
      </c>
      <c r="FS2111" s="1" t="s">
        <v>19006</v>
      </c>
      <c r="FT2111" s="1" t="s">
        <v>19007</v>
      </c>
      <c r="FU2111" s="1" t="s">
        <v>204</v>
      </c>
      <c r="FV2111" s="1" t="s">
        <v>19008</v>
      </c>
      <c r="FW2111" s="1" t="s">
        <v>6570</v>
      </c>
      <c r="FX2111" s="1">
        <v>23290</v>
      </c>
      <c r="FY2111" s="1" t="s">
        <v>6571</v>
      </c>
      <c r="FZ2111" s="1" t="s">
        <v>19009</v>
      </c>
      <c r="GA2111" s="1">
        <v>234306</v>
      </c>
      <c r="GB2111" s="1" t="s">
        <v>19010</v>
      </c>
      <c r="GE2111" s="1" t="s">
        <v>335</v>
      </c>
      <c r="GI2111" s="1" t="s">
        <v>213</v>
      </c>
      <c r="GJ2111" s="1" t="s">
        <v>260</v>
      </c>
      <c r="GK2111" s="1" t="s">
        <v>210</v>
      </c>
      <c r="GL2111" s="2">
        <v>42049</v>
      </c>
      <c r="GM2111" s="1" t="s">
        <v>19011</v>
      </c>
    </row>
    <row r="2112" spans="1:195">
      <c r="A2112" s="1">
        <v>134900</v>
      </c>
      <c r="B2112" s="1" t="s">
        <v>195</v>
      </c>
      <c r="C2112" s="1" t="str">
        <f>"08744956"</f>
        <v>08744956</v>
      </c>
      <c r="D2112" s="1" t="s">
        <v>196</v>
      </c>
      <c r="F2112" s="1" t="str">
        <f>"554"</f>
        <v>554</v>
      </c>
      <c r="G2112" s="2">
        <v>41916</v>
      </c>
      <c r="H2112" s="1">
        <v>138500</v>
      </c>
      <c r="I2112" s="1">
        <v>134900</v>
      </c>
      <c r="J2112" s="1">
        <v>134900</v>
      </c>
      <c r="K2112" s="2">
        <v>41916</v>
      </c>
      <c r="L2112" s="1">
        <v>125</v>
      </c>
      <c r="M2112" s="2">
        <v>42040</v>
      </c>
      <c r="N2112" s="1">
        <v>125</v>
      </c>
      <c r="O2112" s="2">
        <v>42040</v>
      </c>
      <c r="P2112" s="1">
        <v>21823</v>
      </c>
      <c r="Q2112" s="1" t="s">
        <v>423</v>
      </c>
      <c r="R2112" s="2">
        <v>42069</v>
      </c>
      <c r="S2112" s="1">
        <v>216545</v>
      </c>
      <c r="T2112" s="1">
        <v>4900</v>
      </c>
      <c r="U2112" s="1">
        <v>26</v>
      </c>
      <c r="V2112" s="1" t="s">
        <v>17508</v>
      </c>
      <c r="W2112" s="1" t="s">
        <v>1056</v>
      </c>
      <c r="X2112" s="1" t="s">
        <v>483</v>
      </c>
      <c r="Y2112" s="1">
        <v>6</v>
      </c>
      <c r="Z2112" s="1" t="s">
        <v>200</v>
      </c>
      <c r="AA2112" s="1" t="s">
        <v>3443</v>
      </c>
      <c r="AB2112" s="1">
        <v>60554</v>
      </c>
      <c r="AD2112" s="1" t="s">
        <v>17508</v>
      </c>
      <c r="AE2112" s="1" t="s">
        <v>19012</v>
      </c>
      <c r="AF2112" s="1">
        <v>2004</v>
      </c>
      <c r="AG2112" s="1" t="s">
        <v>204</v>
      </c>
      <c r="AH2112" s="1" t="s">
        <v>3240</v>
      </c>
      <c r="AI2112" s="1" t="s">
        <v>665</v>
      </c>
      <c r="AJ2112" s="1" t="s">
        <v>3240</v>
      </c>
      <c r="AK2112" s="1" t="s">
        <v>9664</v>
      </c>
      <c r="AL2112" s="1">
        <v>5</v>
      </c>
      <c r="AM2112" s="1">
        <v>2</v>
      </c>
      <c r="AN2112" s="1">
        <v>1</v>
      </c>
      <c r="AO2112" s="1">
        <v>1</v>
      </c>
      <c r="AP2112" s="1" t="s">
        <v>210</v>
      </c>
      <c r="AR2112" s="1" t="s">
        <v>210</v>
      </c>
      <c r="AS2112" s="1" t="s">
        <v>204</v>
      </c>
      <c r="AT2112" s="1" t="s">
        <v>211</v>
      </c>
      <c r="AU2112" s="1">
        <v>2</v>
      </c>
      <c r="AW2112" s="1" t="s">
        <v>204</v>
      </c>
      <c r="AX2112" s="1" t="s">
        <v>212</v>
      </c>
      <c r="AZ2112" s="1">
        <v>4112</v>
      </c>
      <c r="BA2112" s="1">
        <v>2013</v>
      </c>
      <c r="BB2112" s="1" t="s">
        <v>405</v>
      </c>
      <c r="BE2112" s="1">
        <v>1302</v>
      </c>
      <c r="BF2112" s="1">
        <v>1</v>
      </c>
      <c r="BG2112" s="1">
        <v>30</v>
      </c>
      <c r="BL2112" s="1">
        <v>150</v>
      </c>
      <c r="BM2112" s="1" t="s">
        <v>204</v>
      </c>
      <c r="BN2112" s="1" t="s">
        <v>213</v>
      </c>
      <c r="BO2112" s="1" t="s">
        <v>5590</v>
      </c>
      <c r="BP2112" s="1" t="s">
        <v>204</v>
      </c>
      <c r="BR2112" s="1" t="str">
        <f>"1428206011"</f>
        <v>1428206011</v>
      </c>
      <c r="BT2112" s="1" t="s">
        <v>19013</v>
      </c>
      <c r="BX2112" s="1">
        <v>302</v>
      </c>
      <c r="BY2112" s="1">
        <v>302</v>
      </c>
      <c r="BZ2112" s="1">
        <v>302</v>
      </c>
      <c r="CB2112" s="1" t="str">
        <f t="shared" ref="CB2112:CC2112" si="1610">"0"</f>
        <v>0</v>
      </c>
      <c r="CC2112" s="1" t="str">
        <f t="shared" si="1610"/>
        <v>0</v>
      </c>
      <c r="CD2112" s="1">
        <v>42</v>
      </c>
      <c r="CE2112" s="1">
        <v>6</v>
      </c>
      <c r="CG2112" s="1" t="s">
        <v>1788</v>
      </c>
      <c r="CH2112" s="1" t="s">
        <v>219</v>
      </c>
      <c r="CI2112" s="1" t="s">
        <v>229</v>
      </c>
      <c r="CK2112" s="1" t="s">
        <v>1788</v>
      </c>
      <c r="CL2112" s="1" t="s">
        <v>277</v>
      </c>
      <c r="CM2112" s="1" t="s">
        <v>220</v>
      </c>
      <c r="CO2112" s="1" t="s">
        <v>1133</v>
      </c>
      <c r="CP2112" s="1" t="s">
        <v>219</v>
      </c>
      <c r="CQ2112" s="1" t="s">
        <v>229</v>
      </c>
      <c r="CS2112" s="1" t="s">
        <v>1854</v>
      </c>
      <c r="CT2112" s="1" t="s">
        <v>277</v>
      </c>
      <c r="CU2112" s="1" t="s">
        <v>220</v>
      </c>
      <c r="CX2112" s="1" t="s">
        <v>224</v>
      </c>
      <c r="DB2112" s="1" t="s">
        <v>224</v>
      </c>
      <c r="DE2112" s="1" t="s">
        <v>379</v>
      </c>
      <c r="DF2112" s="1" t="s">
        <v>219</v>
      </c>
      <c r="DG2112" s="1" t="s">
        <v>342</v>
      </c>
      <c r="DJ2112" s="1" t="s">
        <v>224</v>
      </c>
      <c r="DS2112" s="1" t="s">
        <v>230</v>
      </c>
      <c r="DW2112" s="1" t="s">
        <v>230</v>
      </c>
      <c r="EA2112" s="1" t="s">
        <v>230</v>
      </c>
      <c r="EE2112" s="1" t="s">
        <v>230</v>
      </c>
      <c r="EI2112" s="1" t="s">
        <v>230</v>
      </c>
      <c r="EL2112" s="1" t="s">
        <v>491</v>
      </c>
      <c r="EM2112" s="1" t="s">
        <v>319</v>
      </c>
      <c r="EN2112" s="1" t="s">
        <v>282</v>
      </c>
      <c r="EO2112" s="1" t="s">
        <v>234</v>
      </c>
      <c r="EQ2112" s="1" t="s">
        <v>492</v>
      </c>
      <c r="ER2112" s="1" t="s">
        <v>383</v>
      </c>
      <c r="ES2112" s="1" t="s">
        <v>4122</v>
      </c>
      <c r="EW2112" s="1" t="s">
        <v>1250</v>
      </c>
      <c r="EZ2112" s="1" t="s">
        <v>287</v>
      </c>
      <c r="FD2112" s="1" t="s">
        <v>246</v>
      </c>
      <c r="FE2112" s="1" t="s">
        <v>247</v>
      </c>
      <c r="FF2112" s="1" t="s">
        <v>248</v>
      </c>
      <c r="FH2112" s="1" t="s">
        <v>550</v>
      </c>
      <c r="FI2112" s="1" t="s">
        <v>250</v>
      </c>
      <c r="FL2112" s="1" t="s">
        <v>358</v>
      </c>
      <c r="FM2112" s="1" t="s">
        <v>252</v>
      </c>
      <c r="FN2112" s="1" t="s">
        <v>213</v>
      </c>
      <c r="FO2112" s="1" t="s">
        <v>213</v>
      </c>
      <c r="FQ2112" s="1" t="s">
        <v>673</v>
      </c>
      <c r="FR2112" s="1" t="s">
        <v>210</v>
      </c>
      <c r="FS2112" s="1" t="s">
        <v>19014</v>
      </c>
      <c r="FT2112" s="1" t="s">
        <v>675</v>
      </c>
      <c r="FU2112" s="1" t="s">
        <v>204</v>
      </c>
      <c r="FW2112" s="1" t="s">
        <v>873</v>
      </c>
      <c r="FX2112" s="1">
        <v>300</v>
      </c>
      <c r="FY2112" s="1" t="s">
        <v>3105</v>
      </c>
      <c r="FZ2112" s="1" t="s">
        <v>7703</v>
      </c>
      <c r="GA2112" s="1">
        <v>313804</v>
      </c>
      <c r="GB2112" s="1" t="s">
        <v>7704</v>
      </c>
      <c r="GE2112" s="1" t="s">
        <v>776</v>
      </c>
      <c r="GI2112" s="1" t="s">
        <v>213</v>
      </c>
      <c r="GJ2112" s="1" t="s">
        <v>260</v>
      </c>
      <c r="GK2112" s="1" t="s">
        <v>261</v>
      </c>
      <c r="GL2112" s="2">
        <v>42072</v>
      </c>
      <c r="GM2112" s="1" t="s">
        <v>19015</v>
      </c>
    </row>
    <row r="2113" spans="1:195">
      <c r="A2113" s="1">
        <v>145000</v>
      </c>
      <c r="B2113" s="1" t="s">
        <v>195</v>
      </c>
      <c r="C2113" s="1" t="str">
        <f>"08742704"</f>
        <v>08742704</v>
      </c>
      <c r="D2113" s="1" t="s">
        <v>196</v>
      </c>
      <c r="F2113" s="1" t="str">
        <f>"123"</f>
        <v>123</v>
      </c>
      <c r="G2113" s="2">
        <v>41913</v>
      </c>
      <c r="H2113" s="1">
        <v>159900</v>
      </c>
      <c r="I2113" s="1">
        <v>159900</v>
      </c>
      <c r="J2113" s="1">
        <v>145000</v>
      </c>
      <c r="K2113" s="2">
        <v>41913</v>
      </c>
      <c r="L2113" s="1">
        <v>28</v>
      </c>
      <c r="M2113" s="2">
        <v>41932</v>
      </c>
      <c r="N2113" s="1">
        <v>20</v>
      </c>
      <c r="O2113" s="2">
        <v>41932</v>
      </c>
      <c r="P2113" s="1">
        <v>5030</v>
      </c>
      <c r="Q2113" s="1" t="s">
        <v>423</v>
      </c>
      <c r="R2113" s="2">
        <v>41990</v>
      </c>
      <c r="S2113" s="1">
        <v>55089</v>
      </c>
      <c r="T2113" s="1">
        <v>5000</v>
      </c>
      <c r="U2113" s="1">
        <v>632</v>
      </c>
      <c r="V2113" s="1" t="s">
        <v>19016</v>
      </c>
      <c r="W2113" s="1" t="s">
        <v>425</v>
      </c>
      <c r="X2113" s="1">
        <v>21</v>
      </c>
      <c r="Y2113" s="1">
        <v>27</v>
      </c>
      <c r="Z2113" s="1" t="s">
        <v>200</v>
      </c>
      <c r="AA2113" s="1" t="s">
        <v>1173</v>
      </c>
      <c r="AB2113" s="1">
        <v>60120</v>
      </c>
      <c r="AD2113" s="1" t="s">
        <v>19017</v>
      </c>
      <c r="AE2113" s="1" t="s">
        <v>19018</v>
      </c>
      <c r="AF2113" s="1">
        <v>1999</v>
      </c>
      <c r="AG2113" s="1" t="s">
        <v>204</v>
      </c>
      <c r="AH2113" s="1" t="s">
        <v>1175</v>
      </c>
      <c r="AI2113" s="1" t="s">
        <v>665</v>
      </c>
      <c r="AJ2113" s="1" t="s">
        <v>1175</v>
      </c>
      <c r="AL2113" s="1">
        <v>7</v>
      </c>
      <c r="AM2113" s="1">
        <v>2</v>
      </c>
      <c r="AN2113" s="1">
        <v>2</v>
      </c>
      <c r="AO2113" s="1">
        <v>0</v>
      </c>
      <c r="AP2113" s="1" t="s">
        <v>209</v>
      </c>
      <c r="AR2113" s="1" t="s">
        <v>210</v>
      </c>
      <c r="AS2113" s="1" t="s">
        <v>204</v>
      </c>
      <c r="AT2113" s="1" t="s">
        <v>211</v>
      </c>
      <c r="AU2113" s="1">
        <v>1</v>
      </c>
      <c r="AW2113" s="1" t="s">
        <v>204</v>
      </c>
      <c r="AX2113" s="1" t="s">
        <v>212</v>
      </c>
      <c r="AZ2113" s="1">
        <v>4679.32</v>
      </c>
      <c r="BA2113" s="1">
        <v>2013</v>
      </c>
      <c r="BB2113" s="1" t="s">
        <v>405</v>
      </c>
      <c r="BE2113" s="1">
        <v>2070</v>
      </c>
      <c r="BF2113" s="1">
        <v>1</v>
      </c>
      <c r="BG2113" s="1">
        <v>0</v>
      </c>
      <c r="BL2113" s="1">
        <v>235</v>
      </c>
      <c r="BM2113" s="1" t="s">
        <v>204</v>
      </c>
      <c r="BN2113" s="1" t="s">
        <v>213</v>
      </c>
      <c r="BO2113" s="1">
        <v>999</v>
      </c>
      <c r="BP2113" s="1" t="s">
        <v>204</v>
      </c>
      <c r="BR2113" s="1" t="str">
        <f>"0612231031"</f>
        <v>0612231031</v>
      </c>
      <c r="BT2113" s="1" t="s">
        <v>19019</v>
      </c>
      <c r="BX2113" s="1">
        <v>46</v>
      </c>
      <c r="BY2113" s="1">
        <v>46</v>
      </c>
      <c r="BZ2113" s="1">
        <v>46</v>
      </c>
      <c r="CB2113" s="1" t="str">
        <f>"12"</f>
        <v>12</v>
      </c>
      <c r="CC2113" s="1" t="str">
        <f>"0"</f>
        <v>0</v>
      </c>
      <c r="CD2113" s="1">
        <v>32</v>
      </c>
      <c r="CE2113" s="1">
        <v>0</v>
      </c>
      <c r="CG2113" s="1" t="s">
        <v>1737</v>
      </c>
      <c r="CH2113" s="1" t="s">
        <v>277</v>
      </c>
      <c r="CI2113" s="1" t="s">
        <v>438</v>
      </c>
      <c r="CK2113" s="1" t="s">
        <v>669</v>
      </c>
      <c r="CL2113" s="1" t="s">
        <v>784</v>
      </c>
      <c r="CM2113" s="1" t="s">
        <v>438</v>
      </c>
      <c r="CO2113" s="1" t="s">
        <v>1533</v>
      </c>
      <c r="CP2113" s="1" t="s">
        <v>277</v>
      </c>
      <c r="CQ2113" s="1" t="s">
        <v>438</v>
      </c>
      <c r="CS2113" s="1" t="s">
        <v>539</v>
      </c>
      <c r="CT2113" s="1" t="s">
        <v>784</v>
      </c>
      <c r="CU2113" s="1" t="s">
        <v>438</v>
      </c>
      <c r="CX2113" s="1" t="s">
        <v>224</v>
      </c>
      <c r="DB2113" s="1" t="s">
        <v>224</v>
      </c>
      <c r="DE2113" s="1" t="s">
        <v>316</v>
      </c>
      <c r="DF2113" s="1" t="s">
        <v>277</v>
      </c>
      <c r="DG2113" s="1" t="s">
        <v>438</v>
      </c>
      <c r="DI2113" s="1" t="s">
        <v>2934</v>
      </c>
      <c r="DJ2113" s="1" t="s">
        <v>219</v>
      </c>
      <c r="DK2113" s="1" t="s">
        <v>438</v>
      </c>
      <c r="DM2113" s="1" t="s">
        <v>227</v>
      </c>
      <c r="DR2113" s="1" t="s">
        <v>2934</v>
      </c>
      <c r="DS2113" s="1" t="s">
        <v>219</v>
      </c>
      <c r="DW2113" s="1" t="s">
        <v>230</v>
      </c>
      <c r="EA2113" s="1" t="s">
        <v>230</v>
      </c>
      <c r="EE2113" s="1" t="s">
        <v>230</v>
      </c>
      <c r="EI2113" s="1" t="s">
        <v>230</v>
      </c>
      <c r="EL2113" s="1" t="s">
        <v>466</v>
      </c>
      <c r="EM2113" s="1" t="s">
        <v>319</v>
      </c>
      <c r="EN2113" s="1" t="s">
        <v>282</v>
      </c>
      <c r="EO2113" s="1" t="s">
        <v>234</v>
      </c>
      <c r="ER2113" s="1" t="s">
        <v>210</v>
      </c>
      <c r="EW2113" s="1" t="s">
        <v>1426</v>
      </c>
      <c r="EZ2113" s="1" t="s">
        <v>227</v>
      </c>
      <c r="FD2113" s="1" t="s">
        <v>246</v>
      </c>
      <c r="FE2113" s="1" t="s">
        <v>247</v>
      </c>
      <c r="FF2113" s="1" t="s">
        <v>248</v>
      </c>
      <c r="FH2113" s="1" t="s">
        <v>1428</v>
      </c>
      <c r="FL2113" s="1" t="s">
        <v>414</v>
      </c>
      <c r="FM2113" s="1" t="s">
        <v>252</v>
      </c>
      <c r="FN2113" s="1" t="s">
        <v>213</v>
      </c>
      <c r="FO2113" s="1" t="s">
        <v>213</v>
      </c>
      <c r="FQ2113" s="1" t="s">
        <v>2004</v>
      </c>
      <c r="FR2113" s="1" t="s">
        <v>210</v>
      </c>
      <c r="FS2113" s="1" t="s">
        <v>19020</v>
      </c>
      <c r="FT2113" s="1" t="s">
        <v>295</v>
      </c>
      <c r="FU2113" s="1" t="s">
        <v>204</v>
      </c>
      <c r="FW2113" s="1" t="s">
        <v>2006</v>
      </c>
      <c r="FX2113" s="1">
        <v>4777</v>
      </c>
      <c r="FY2113" s="1" t="s">
        <v>2007</v>
      </c>
      <c r="FZ2113" s="1" t="s">
        <v>19021</v>
      </c>
      <c r="GA2113" s="1">
        <v>62176</v>
      </c>
      <c r="GB2113" s="1" t="s">
        <v>19022</v>
      </c>
      <c r="GC2113" s="1">
        <v>63341</v>
      </c>
      <c r="GE2113" s="1" t="s">
        <v>210</v>
      </c>
      <c r="GI2113" s="1" t="s">
        <v>213</v>
      </c>
      <c r="GJ2113" s="1" t="s">
        <v>260</v>
      </c>
      <c r="GK2113" s="1" t="s">
        <v>210</v>
      </c>
      <c r="GL2113" s="2">
        <v>41991</v>
      </c>
    </row>
    <row r="2114" spans="1:195">
      <c r="A2114" s="1">
        <v>105000</v>
      </c>
      <c r="B2114" s="1" t="s">
        <v>195</v>
      </c>
      <c r="C2114" s="1" t="str">
        <f>"08743800"</f>
        <v>08743800</v>
      </c>
      <c r="D2114" s="1" t="s">
        <v>196</v>
      </c>
      <c r="F2114" s="1" t="str">
        <f>"543"</f>
        <v>543</v>
      </c>
      <c r="G2114" s="2">
        <v>41914</v>
      </c>
      <c r="H2114" s="1">
        <v>114900</v>
      </c>
      <c r="I2114" s="1">
        <v>109000</v>
      </c>
      <c r="J2114" s="1">
        <v>105000</v>
      </c>
      <c r="K2114" s="2">
        <v>41914</v>
      </c>
      <c r="L2114" s="1">
        <v>221</v>
      </c>
      <c r="M2114" s="2">
        <v>41961</v>
      </c>
      <c r="N2114" s="1">
        <v>48</v>
      </c>
      <c r="O2114" s="2">
        <v>41961</v>
      </c>
      <c r="P2114" s="1">
        <v>25818</v>
      </c>
      <c r="Q2114" s="1" t="s">
        <v>302</v>
      </c>
      <c r="R2114" s="2">
        <v>41975</v>
      </c>
      <c r="S2114" s="1">
        <v>240037</v>
      </c>
      <c r="U2114" s="1">
        <v>327</v>
      </c>
      <c r="V2114" s="1" t="s">
        <v>7583</v>
      </c>
      <c r="W2114" s="1" t="s">
        <v>526</v>
      </c>
      <c r="X2114" s="1">
        <v>327</v>
      </c>
      <c r="Y2114" s="1">
        <v>6</v>
      </c>
      <c r="Z2114" s="1" t="s">
        <v>249</v>
      </c>
      <c r="AA2114" s="1" t="s">
        <v>2639</v>
      </c>
      <c r="AB2114" s="1">
        <v>60543</v>
      </c>
      <c r="AC2114" s="1">
        <v>4000</v>
      </c>
      <c r="AD2114" s="1" t="s">
        <v>19023</v>
      </c>
      <c r="AE2114" s="1" t="s">
        <v>19024</v>
      </c>
      <c r="AF2114" s="1">
        <v>2004</v>
      </c>
      <c r="AG2114" s="1" t="s">
        <v>204</v>
      </c>
      <c r="AH2114" s="1" t="s">
        <v>1397</v>
      </c>
      <c r="AI2114" s="1" t="s">
        <v>453</v>
      </c>
      <c r="AJ2114" s="1" t="s">
        <v>1397</v>
      </c>
      <c r="AL2114" s="1">
        <v>6</v>
      </c>
      <c r="AM2114" s="1">
        <v>2</v>
      </c>
      <c r="AN2114" s="1">
        <v>2</v>
      </c>
      <c r="AO2114" s="1">
        <v>1</v>
      </c>
      <c r="AP2114" s="1" t="s">
        <v>209</v>
      </c>
      <c r="AR2114" s="1" t="s">
        <v>210</v>
      </c>
      <c r="AT2114" s="1" t="s">
        <v>211</v>
      </c>
      <c r="AU2114" s="1">
        <v>2</v>
      </c>
      <c r="AW2114" s="1" t="s">
        <v>204</v>
      </c>
      <c r="AX2114" s="1" t="s">
        <v>212</v>
      </c>
      <c r="AZ2114" s="1">
        <v>5011</v>
      </c>
      <c r="BA2114" s="1">
        <v>2012</v>
      </c>
      <c r="BB2114" s="1" t="s">
        <v>210</v>
      </c>
      <c r="BE2114" s="1">
        <v>1700</v>
      </c>
      <c r="BF2114" s="1">
        <v>1</v>
      </c>
      <c r="BG2114" s="1">
        <v>0</v>
      </c>
      <c r="BL2114" s="1">
        <v>145</v>
      </c>
      <c r="BM2114" s="1" t="s">
        <v>204</v>
      </c>
      <c r="BN2114" s="1" t="s">
        <v>213</v>
      </c>
      <c r="BO2114" s="1">
        <v>999</v>
      </c>
      <c r="BP2114" s="1" t="s">
        <v>204</v>
      </c>
      <c r="BR2114" s="1" t="str">
        <f>"0303455007"</f>
        <v>0303455007</v>
      </c>
      <c r="BT2114" s="1" t="s">
        <v>19025</v>
      </c>
      <c r="BU2114" s="1" t="s">
        <v>3403</v>
      </c>
      <c r="BV2114" s="1" t="s">
        <v>3010</v>
      </c>
      <c r="BW2114" s="1" t="s">
        <v>460</v>
      </c>
      <c r="BX2114" s="1">
        <v>308</v>
      </c>
      <c r="BY2114" s="1">
        <v>308</v>
      </c>
      <c r="BZ2114" s="1">
        <v>308</v>
      </c>
      <c r="CB2114" s="1" t="str">
        <f t="shared" ref="CB2114:CC2114" si="1611">"0"</f>
        <v>0</v>
      </c>
      <c r="CC2114" s="1" t="str">
        <f t="shared" si="1611"/>
        <v>0</v>
      </c>
      <c r="CD2114" s="1">
        <v>35</v>
      </c>
      <c r="CE2114" s="1">
        <v>10</v>
      </c>
      <c r="CG2114" s="1" t="s">
        <v>315</v>
      </c>
      <c r="CH2114" s="1" t="s">
        <v>219</v>
      </c>
      <c r="CI2114" s="1" t="s">
        <v>229</v>
      </c>
      <c r="CK2114" s="1" t="s">
        <v>1045</v>
      </c>
      <c r="CL2114" s="1" t="s">
        <v>277</v>
      </c>
      <c r="CM2114" s="1" t="s">
        <v>220</v>
      </c>
      <c r="CO2114" s="1" t="s">
        <v>1358</v>
      </c>
      <c r="CP2114" s="1" t="s">
        <v>219</v>
      </c>
      <c r="CQ2114" s="1" t="s">
        <v>229</v>
      </c>
      <c r="CS2114" s="1" t="s">
        <v>346</v>
      </c>
      <c r="CT2114" s="1" t="s">
        <v>277</v>
      </c>
      <c r="CU2114" s="1" t="s">
        <v>220</v>
      </c>
      <c r="CX2114" s="1" t="s">
        <v>224</v>
      </c>
      <c r="DB2114" s="1" t="s">
        <v>224</v>
      </c>
      <c r="DE2114" s="1" t="s">
        <v>1297</v>
      </c>
      <c r="DF2114" s="1" t="s">
        <v>219</v>
      </c>
      <c r="DJ2114" s="1" t="s">
        <v>224</v>
      </c>
      <c r="DK2114" s="1" t="s">
        <v>229</v>
      </c>
      <c r="DM2114" s="1" t="s">
        <v>464</v>
      </c>
      <c r="DR2114" s="1" t="s">
        <v>379</v>
      </c>
      <c r="DS2114" s="1" t="s">
        <v>277</v>
      </c>
      <c r="DT2114" s="1" t="s">
        <v>220</v>
      </c>
      <c r="DW2114" s="1" t="s">
        <v>230</v>
      </c>
      <c r="EA2114" s="1" t="s">
        <v>230</v>
      </c>
      <c r="EE2114" s="1" t="s">
        <v>230</v>
      </c>
      <c r="EI2114" s="1" t="s">
        <v>230</v>
      </c>
      <c r="EL2114" s="1" t="s">
        <v>491</v>
      </c>
      <c r="EM2114" s="1" t="s">
        <v>319</v>
      </c>
      <c r="EN2114" s="1" t="s">
        <v>282</v>
      </c>
      <c r="EO2114" s="1" t="s">
        <v>234</v>
      </c>
      <c r="EP2114" s="1" t="s">
        <v>650</v>
      </c>
      <c r="ER2114" s="1" t="s">
        <v>383</v>
      </c>
      <c r="EW2114" s="1" t="s">
        <v>210</v>
      </c>
      <c r="EY2114" s="1" t="s">
        <v>790</v>
      </c>
      <c r="EZ2114" s="1" t="s">
        <v>464</v>
      </c>
      <c r="FB2114" s="1" t="s">
        <v>289</v>
      </c>
      <c r="FD2114" s="1" t="s">
        <v>246</v>
      </c>
      <c r="FE2114" s="1" t="s">
        <v>247</v>
      </c>
      <c r="FF2114" s="1" t="s">
        <v>248</v>
      </c>
      <c r="FH2114" s="1" t="s">
        <v>249</v>
      </c>
      <c r="FI2114" s="1" t="s">
        <v>357</v>
      </c>
      <c r="FL2114" s="1" t="s">
        <v>358</v>
      </c>
      <c r="FM2114" s="1" t="s">
        <v>252</v>
      </c>
      <c r="FN2114" s="1" t="s">
        <v>213</v>
      </c>
      <c r="FO2114" s="1" t="s">
        <v>204</v>
      </c>
      <c r="FQ2114" s="1" t="s">
        <v>689</v>
      </c>
      <c r="FR2114" s="1" t="s">
        <v>360</v>
      </c>
      <c r="FS2114" s="1" t="s">
        <v>19026</v>
      </c>
      <c r="FT2114" s="1" t="s">
        <v>295</v>
      </c>
      <c r="FU2114" s="1" t="s">
        <v>204</v>
      </c>
      <c r="FW2114" s="1" t="s">
        <v>19027</v>
      </c>
      <c r="FX2114" s="1">
        <v>25818</v>
      </c>
      <c r="FY2114" s="1" t="s">
        <v>19028</v>
      </c>
      <c r="FZ2114" s="1" t="s">
        <v>19029</v>
      </c>
      <c r="GA2114" s="1">
        <v>240037</v>
      </c>
      <c r="GE2114" s="1" t="s">
        <v>210</v>
      </c>
      <c r="GI2114" s="1" t="s">
        <v>204</v>
      </c>
      <c r="GJ2114" s="1" t="s">
        <v>260</v>
      </c>
      <c r="GK2114" s="1" t="s">
        <v>210</v>
      </c>
      <c r="GL2114" s="2">
        <v>41977</v>
      </c>
      <c r="GM2114" s="1" t="s">
        <v>19030</v>
      </c>
    </row>
    <row r="2115" spans="1:195">
      <c r="A2115" s="1">
        <v>120000</v>
      </c>
      <c r="B2115" s="1" t="s">
        <v>195</v>
      </c>
      <c r="C2115" s="1" t="str">
        <f>"08741757"</f>
        <v>08741757</v>
      </c>
      <c r="D2115" s="1" t="s">
        <v>196</v>
      </c>
      <c r="F2115" s="1" t="str">
        <f>"110"</f>
        <v>110</v>
      </c>
      <c r="G2115" s="2">
        <v>41912</v>
      </c>
      <c r="H2115" s="1">
        <v>134500</v>
      </c>
      <c r="I2115" s="1">
        <v>129900</v>
      </c>
      <c r="J2115" s="1">
        <v>120000</v>
      </c>
      <c r="K2115" s="2">
        <v>41912</v>
      </c>
      <c r="L2115" s="1">
        <v>79</v>
      </c>
      <c r="M2115" s="2">
        <v>41990</v>
      </c>
      <c r="N2115" s="1">
        <v>79</v>
      </c>
      <c r="O2115" s="2">
        <v>41990</v>
      </c>
      <c r="P2115" s="1">
        <v>8098</v>
      </c>
      <c r="Q2115" s="1" t="s">
        <v>302</v>
      </c>
      <c r="R2115" s="2">
        <v>42003</v>
      </c>
      <c r="S2115" s="1">
        <v>86674</v>
      </c>
      <c r="U2115" s="1">
        <v>1917</v>
      </c>
      <c r="V2115" s="1" t="s">
        <v>19031</v>
      </c>
      <c r="W2115" s="1" t="s">
        <v>264</v>
      </c>
      <c r="Y2115" s="1">
        <v>4</v>
      </c>
      <c r="Z2115" s="1" t="s">
        <v>249</v>
      </c>
      <c r="AA2115" s="1" t="s">
        <v>803</v>
      </c>
      <c r="AB2115" s="1">
        <v>60110</v>
      </c>
      <c r="AD2115" s="1" t="s">
        <v>8982</v>
      </c>
      <c r="AE2115" s="1" t="s">
        <v>19032</v>
      </c>
      <c r="AF2115" s="1">
        <v>2004</v>
      </c>
      <c r="AG2115" s="1" t="s">
        <v>204</v>
      </c>
      <c r="AH2115" s="1" t="s">
        <v>2557</v>
      </c>
      <c r="AI2115" s="1" t="s">
        <v>665</v>
      </c>
      <c r="AJ2115" s="1" t="s">
        <v>805</v>
      </c>
      <c r="AK2115" s="1" t="s">
        <v>10842</v>
      </c>
      <c r="AL2115" s="1">
        <v>6</v>
      </c>
      <c r="AM2115" s="1">
        <v>2</v>
      </c>
      <c r="AN2115" s="1">
        <v>1</v>
      </c>
      <c r="AO2115" s="1">
        <v>1</v>
      </c>
      <c r="AP2115" s="1" t="s">
        <v>667</v>
      </c>
      <c r="AQ2115" s="1">
        <v>1</v>
      </c>
      <c r="AR2115" s="1" t="s">
        <v>210</v>
      </c>
      <c r="AS2115" s="1" t="s">
        <v>204</v>
      </c>
      <c r="AT2115" s="1" t="s">
        <v>211</v>
      </c>
      <c r="AU2115" s="1">
        <v>2</v>
      </c>
      <c r="AW2115" s="1" t="s">
        <v>213</v>
      </c>
      <c r="AX2115" s="1" t="s">
        <v>212</v>
      </c>
      <c r="AZ2115" s="1">
        <v>3333.28</v>
      </c>
      <c r="BA2115" s="1">
        <v>2013</v>
      </c>
      <c r="BB2115" s="1" t="s">
        <v>405</v>
      </c>
      <c r="BE2115" s="1">
        <v>1513</v>
      </c>
      <c r="BF2115" s="1">
        <v>1</v>
      </c>
      <c r="BG2115" s="1">
        <v>0</v>
      </c>
      <c r="BL2115" s="1">
        <v>146</v>
      </c>
      <c r="BM2115" s="1" t="s">
        <v>204</v>
      </c>
      <c r="BN2115" s="1" t="s">
        <v>213</v>
      </c>
      <c r="BO2115" s="1">
        <v>999</v>
      </c>
      <c r="BP2115" s="1" t="s">
        <v>204</v>
      </c>
      <c r="BR2115" s="1" t="str">
        <f>"0302426007"</f>
        <v>0302426007</v>
      </c>
      <c r="BT2115" s="1" t="s">
        <v>19033</v>
      </c>
      <c r="BW2115" s="1" t="s">
        <v>809</v>
      </c>
      <c r="BX2115" s="1">
        <v>300</v>
      </c>
      <c r="BY2115" s="1">
        <v>300</v>
      </c>
      <c r="BZ2115" s="1">
        <v>300</v>
      </c>
      <c r="CB2115" s="1" t="str">
        <f>"19"</f>
        <v>19</v>
      </c>
      <c r="CC2115" s="1" t="str">
        <f>"0"</f>
        <v>0</v>
      </c>
      <c r="CD2115" s="1">
        <v>33</v>
      </c>
      <c r="CE2115" s="1">
        <v>0</v>
      </c>
      <c r="CG2115" s="1" t="s">
        <v>218</v>
      </c>
      <c r="CH2115" s="1" t="s">
        <v>219</v>
      </c>
      <c r="CI2115" s="1" t="s">
        <v>220</v>
      </c>
      <c r="CK2115" s="1" t="s">
        <v>932</v>
      </c>
      <c r="CL2115" s="1" t="s">
        <v>277</v>
      </c>
      <c r="CM2115" s="1" t="s">
        <v>220</v>
      </c>
      <c r="CO2115" s="1" t="s">
        <v>380</v>
      </c>
      <c r="CP2115" s="1" t="s">
        <v>219</v>
      </c>
      <c r="CQ2115" s="1" t="s">
        <v>220</v>
      </c>
      <c r="CS2115" s="1" t="s">
        <v>346</v>
      </c>
      <c r="CT2115" s="1" t="s">
        <v>277</v>
      </c>
      <c r="CU2115" s="1" t="s">
        <v>220</v>
      </c>
      <c r="CX2115" s="1" t="s">
        <v>224</v>
      </c>
      <c r="DB2115" s="1" t="s">
        <v>224</v>
      </c>
      <c r="DE2115" s="1" t="s">
        <v>837</v>
      </c>
      <c r="DF2115" s="1" t="s">
        <v>219</v>
      </c>
      <c r="DG2115" s="1" t="s">
        <v>226</v>
      </c>
      <c r="DJ2115" s="1" t="s">
        <v>224</v>
      </c>
      <c r="DM2115" s="1" t="s">
        <v>464</v>
      </c>
      <c r="DR2115" s="1" t="s">
        <v>707</v>
      </c>
      <c r="DS2115" s="1" t="s">
        <v>277</v>
      </c>
      <c r="DT2115" s="1" t="s">
        <v>220</v>
      </c>
      <c r="DW2115" s="1" t="s">
        <v>230</v>
      </c>
      <c r="EA2115" s="1" t="s">
        <v>230</v>
      </c>
      <c r="EE2115" s="1" t="s">
        <v>230</v>
      </c>
      <c r="EI2115" s="1" t="s">
        <v>230</v>
      </c>
      <c r="EL2115" s="1" t="s">
        <v>491</v>
      </c>
      <c r="EM2115" s="1" t="s">
        <v>319</v>
      </c>
      <c r="EN2115" s="1" t="s">
        <v>282</v>
      </c>
      <c r="EO2115" s="1" t="s">
        <v>234</v>
      </c>
      <c r="EP2115" s="1" t="s">
        <v>3012</v>
      </c>
      <c r="EQ2115" s="1" t="s">
        <v>1094</v>
      </c>
      <c r="ER2115" s="1" t="s">
        <v>210</v>
      </c>
      <c r="ES2115" s="1" t="s">
        <v>493</v>
      </c>
      <c r="EU2115" s="1" t="s">
        <v>19034</v>
      </c>
      <c r="EV2115" s="1" t="s">
        <v>352</v>
      </c>
      <c r="EW2115" s="1" t="s">
        <v>4410</v>
      </c>
      <c r="EY2115" s="1" t="s">
        <v>2455</v>
      </c>
      <c r="EZ2115" s="1" t="s">
        <v>464</v>
      </c>
      <c r="FA2115" s="1" t="s">
        <v>1072</v>
      </c>
      <c r="FC2115" s="1" t="s">
        <v>2002</v>
      </c>
      <c r="FD2115" s="1" t="s">
        <v>246</v>
      </c>
      <c r="FE2115" s="1" t="s">
        <v>765</v>
      </c>
      <c r="FF2115" s="1" t="s">
        <v>248</v>
      </c>
      <c r="FG2115" s="1" t="s">
        <v>2406</v>
      </c>
      <c r="FH2115" s="1" t="s">
        <v>550</v>
      </c>
      <c r="FI2115" s="1" t="s">
        <v>357</v>
      </c>
      <c r="FL2115" s="1" t="s">
        <v>358</v>
      </c>
      <c r="FM2115" s="1" t="s">
        <v>252</v>
      </c>
      <c r="FN2115" s="1" t="s">
        <v>213</v>
      </c>
      <c r="FO2115" s="1" t="s">
        <v>213</v>
      </c>
      <c r="FQ2115" s="1" t="s">
        <v>359</v>
      </c>
      <c r="FR2115" s="1" t="s">
        <v>210</v>
      </c>
      <c r="FS2115" s="1" t="s">
        <v>19035</v>
      </c>
      <c r="FT2115" s="1" t="s">
        <v>295</v>
      </c>
      <c r="FU2115" s="1" t="s">
        <v>204</v>
      </c>
      <c r="FW2115" s="1" t="s">
        <v>1637</v>
      </c>
      <c r="FX2115" s="1">
        <v>8059</v>
      </c>
      <c r="FY2115" s="1" t="s">
        <v>2034</v>
      </c>
      <c r="FZ2115" s="1" t="s">
        <v>5681</v>
      </c>
      <c r="GA2115" s="1">
        <v>89134</v>
      </c>
      <c r="GB2115" s="1" t="s">
        <v>5682</v>
      </c>
      <c r="GD2115" s="1" t="s">
        <v>19036</v>
      </c>
      <c r="GE2115" s="1" t="s">
        <v>480</v>
      </c>
      <c r="GI2115" s="1" t="s">
        <v>213</v>
      </c>
      <c r="GJ2115" s="1" t="s">
        <v>260</v>
      </c>
      <c r="GK2115" s="1" t="s">
        <v>210</v>
      </c>
      <c r="GL2115" s="2">
        <v>42003</v>
      </c>
      <c r="GM2115" s="1" t="s">
        <v>19037</v>
      </c>
    </row>
    <row r="2116" spans="1:195">
      <c r="A2116" s="1">
        <v>257500</v>
      </c>
      <c r="B2116" s="1" t="s">
        <v>195</v>
      </c>
      <c r="C2116" s="1" t="str">
        <f>"08742612"</f>
        <v>08742612</v>
      </c>
      <c r="D2116" s="1" t="s">
        <v>196</v>
      </c>
      <c r="F2116" s="1" t="str">
        <f>"540"</f>
        <v>540</v>
      </c>
      <c r="G2116" s="2">
        <v>41913</v>
      </c>
      <c r="H2116" s="1">
        <v>274000</v>
      </c>
      <c r="I2116" s="1">
        <v>269900</v>
      </c>
      <c r="J2116" s="1">
        <v>257500</v>
      </c>
      <c r="K2116" s="2">
        <v>41913</v>
      </c>
      <c r="L2116" s="1">
        <v>286</v>
      </c>
      <c r="M2116" s="2">
        <v>42008</v>
      </c>
      <c r="N2116" s="1">
        <v>96</v>
      </c>
      <c r="O2116" s="2">
        <v>42008</v>
      </c>
      <c r="P2116" s="1">
        <v>21324</v>
      </c>
      <c r="Q2116" s="1" t="s">
        <v>302</v>
      </c>
      <c r="R2116" s="2">
        <v>42020</v>
      </c>
      <c r="S2116" s="1">
        <v>240120</v>
      </c>
      <c r="T2116" s="1">
        <v>300</v>
      </c>
      <c r="U2116" s="1">
        <v>897</v>
      </c>
      <c r="V2116" s="1" t="s">
        <v>18323</v>
      </c>
      <c r="W2116" s="1" t="s">
        <v>1056</v>
      </c>
      <c r="X2116" s="1">
        <v>897</v>
      </c>
      <c r="Y2116" s="1">
        <v>4</v>
      </c>
      <c r="Z2116" s="1" t="s">
        <v>370</v>
      </c>
      <c r="AA2116" s="1" t="s">
        <v>921</v>
      </c>
      <c r="AB2116" s="1">
        <v>60565</v>
      </c>
      <c r="AD2116" s="1" t="s">
        <v>19038</v>
      </c>
      <c r="AE2116" s="1" t="s">
        <v>19039</v>
      </c>
      <c r="AF2116" s="1">
        <v>1999</v>
      </c>
      <c r="AG2116" s="1" t="s">
        <v>204</v>
      </c>
      <c r="AH2116" s="1" t="s">
        <v>924</v>
      </c>
      <c r="AI2116" s="1" t="s">
        <v>206</v>
      </c>
      <c r="AJ2116" s="1" t="s">
        <v>924</v>
      </c>
      <c r="AK2116" s="1" t="s">
        <v>15086</v>
      </c>
      <c r="AL2116" s="1">
        <v>8</v>
      </c>
      <c r="AM2116" s="1">
        <v>2</v>
      </c>
      <c r="AN2116" s="1">
        <v>2</v>
      </c>
      <c r="AO2116" s="1">
        <v>1</v>
      </c>
      <c r="AP2116" s="1" t="s">
        <v>209</v>
      </c>
      <c r="AQ2116" s="1">
        <v>1</v>
      </c>
      <c r="AR2116" s="1" t="s">
        <v>209</v>
      </c>
      <c r="AS2116" s="1" t="s">
        <v>204</v>
      </c>
      <c r="AT2116" s="1" t="s">
        <v>211</v>
      </c>
      <c r="AU2116" s="1">
        <v>2</v>
      </c>
      <c r="AW2116" s="1" t="s">
        <v>204</v>
      </c>
      <c r="AX2116" s="1" t="s">
        <v>212</v>
      </c>
      <c r="AZ2116" s="1">
        <v>5974</v>
      </c>
      <c r="BA2116" s="1">
        <v>2013</v>
      </c>
      <c r="BB2116" s="1" t="s">
        <v>405</v>
      </c>
      <c r="BE2116" s="1">
        <v>2046</v>
      </c>
      <c r="BF2116" s="1">
        <v>1</v>
      </c>
      <c r="BG2116" s="1">
        <v>0</v>
      </c>
      <c r="BL2116" s="1">
        <v>260</v>
      </c>
      <c r="BM2116" s="1" t="s">
        <v>204</v>
      </c>
      <c r="BN2116" s="1" t="s">
        <v>213</v>
      </c>
      <c r="BO2116" s="1">
        <v>100</v>
      </c>
      <c r="BP2116" s="1" t="s">
        <v>204</v>
      </c>
      <c r="BR2116" s="1" t="str">
        <f>"0725312036"</f>
        <v>0725312036</v>
      </c>
      <c r="BT2116" s="1" t="s">
        <v>19040</v>
      </c>
      <c r="BU2116" s="1" t="s">
        <v>10521</v>
      </c>
      <c r="BV2116" s="1" t="s">
        <v>2535</v>
      </c>
      <c r="BW2116" s="1" t="s">
        <v>1312</v>
      </c>
      <c r="BX2116" s="1">
        <v>204</v>
      </c>
      <c r="BY2116" s="1">
        <v>204</v>
      </c>
      <c r="BZ2116" s="1">
        <v>204</v>
      </c>
      <c r="CB2116" s="1" t="str">
        <f t="shared" ref="CB2116:CC2116" si="1612">"0"</f>
        <v>0</v>
      </c>
      <c r="CC2116" s="1" t="str">
        <f t="shared" si="1612"/>
        <v>0</v>
      </c>
      <c r="CD2116" s="1">
        <v>27</v>
      </c>
      <c r="CE2116" s="1">
        <v>8</v>
      </c>
      <c r="CG2116" s="1" t="s">
        <v>315</v>
      </c>
      <c r="CH2116" s="1" t="s">
        <v>219</v>
      </c>
      <c r="CI2116" s="1" t="s">
        <v>220</v>
      </c>
      <c r="CJ2116" s="1" t="s">
        <v>343</v>
      </c>
      <c r="CK2116" s="1" t="s">
        <v>885</v>
      </c>
      <c r="CL2116" s="1" t="s">
        <v>277</v>
      </c>
      <c r="CM2116" s="1" t="s">
        <v>220</v>
      </c>
      <c r="CN2116" s="1" t="s">
        <v>439</v>
      </c>
      <c r="CO2116" s="1" t="s">
        <v>1046</v>
      </c>
      <c r="CP2116" s="1" t="s">
        <v>219</v>
      </c>
      <c r="CQ2116" s="1" t="s">
        <v>220</v>
      </c>
      <c r="CR2116" s="1" t="s">
        <v>343</v>
      </c>
      <c r="CS2116" s="1" t="s">
        <v>378</v>
      </c>
      <c r="CT2116" s="1" t="s">
        <v>277</v>
      </c>
      <c r="CU2116" s="1" t="s">
        <v>220</v>
      </c>
      <c r="CV2116" s="1" t="s">
        <v>439</v>
      </c>
      <c r="CX2116" s="1" t="s">
        <v>224</v>
      </c>
      <c r="DB2116" s="1" t="s">
        <v>224</v>
      </c>
      <c r="DE2116" s="1" t="s">
        <v>346</v>
      </c>
      <c r="DF2116" s="1" t="s">
        <v>219</v>
      </c>
      <c r="DG2116" s="1" t="s">
        <v>226</v>
      </c>
      <c r="DH2116" s="1" t="s">
        <v>210</v>
      </c>
      <c r="DI2116" s="1" t="s">
        <v>729</v>
      </c>
      <c r="DJ2116" s="1" t="s">
        <v>219</v>
      </c>
      <c r="DK2116" s="1" t="s">
        <v>220</v>
      </c>
      <c r="DL2116" s="1" t="s">
        <v>343</v>
      </c>
      <c r="DM2116" s="1" t="s">
        <v>1548</v>
      </c>
      <c r="DN2116" s="1" t="s">
        <v>464</v>
      </c>
      <c r="DR2116" s="1" t="s">
        <v>346</v>
      </c>
      <c r="DS2116" s="1" t="s">
        <v>219</v>
      </c>
      <c r="DT2116" s="1" t="s">
        <v>226</v>
      </c>
      <c r="DU2116" s="1" t="s">
        <v>463</v>
      </c>
      <c r="DV2116" s="1" t="s">
        <v>221</v>
      </c>
      <c r="DW2116" s="1" t="s">
        <v>277</v>
      </c>
      <c r="DX2116" s="1" t="s">
        <v>220</v>
      </c>
      <c r="DY2116" s="1" t="s">
        <v>439</v>
      </c>
      <c r="EA2116" s="1" t="s">
        <v>230</v>
      </c>
      <c r="EE2116" s="1" t="s">
        <v>230</v>
      </c>
      <c r="EI2116" s="1" t="s">
        <v>230</v>
      </c>
      <c r="EL2116" s="1" t="s">
        <v>466</v>
      </c>
      <c r="EM2116" s="1" t="s">
        <v>232</v>
      </c>
      <c r="EN2116" s="1" t="s">
        <v>282</v>
      </c>
      <c r="EO2116" s="1" t="s">
        <v>840</v>
      </c>
      <c r="EP2116" s="1" t="s">
        <v>650</v>
      </c>
      <c r="EQ2116" s="1" t="s">
        <v>236</v>
      </c>
      <c r="ER2116" s="1" t="s">
        <v>1249</v>
      </c>
      <c r="ES2116" s="1" t="s">
        <v>3932</v>
      </c>
      <c r="ET2116" s="1" t="s">
        <v>238</v>
      </c>
      <c r="EU2116" s="1" t="s">
        <v>5503</v>
      </c>
      <c r="EV2116" s="1" t="s">
        <v>324</v>
      </c>
      <c r="EW2116" s="1" t="s">
        <v>1804</v>
      </c>
      <c r="EZ2116" s="1" t="s">
        <v>3544</v>
      </c>
      <c r="FA2116" s="1" t="s">
        <v>2291</v>
      </c>
      <c r="FB2116" s="1" t="s">
        <v>289</v>
      </c>
      <c r="FD2116" s="1" t="s">
        <v>246</v>
      </c>
      <c r="FE2116" s="1" t="s">
        <v>549</v>
      </c>
      <c r="FF2116" s="1" t="s">
        <v>248</v>
      </c>
      <c r="FG2116" s="1" t="s">
        <v>1682</v>
      </c>
      <c r="FH2116" s="1" t="s">
        <v>550</v>
      </c>
      <c r="FI2116" s="1" t="s">
        <v>473</v>
      </c>
      <c r="FL2116" s="1" t="s">
        <v>358</v>
      </c>
      <c r="FM2116" s="1" t="s">
        <v>252</v>
      </c>
      <c r="FN2116" s="1" t="s">
        <v>213</v>
      </c>
      <c r="FO2116" s="1" t="s">
        <v>213</v>
      </c>
      <c r="FQ2116" s="1" t="s">
        <v>793</v>
      </c>
      <c r="FR2116" s="1" t="s">
        <v>210</v>
      </c>
      <c r="FS2116" s="1" t="s">
        <v>19041</v>
      </c>
      <c r="FT2116" s="1" t="s">
        <v>295</v>
      </c>
      <c r="FU2116" s="1" t="s">
        <v>204</v>
      </c>
      <c r="FW2116" s="1" t="s">
        <v>3407</v>
      </c>
      <c r="FX2116" s="1">
        <v>20131</v>
      </c>
      <c r="FY2116" s="1" t="s">
        <v>3408</v>
      </c>
      <c r="FZ2116" s="1" t="s">
        <v>19042</v>
      </c>
      <c r="GA2116" s="1">
        <v>230144</v>
      </c>
      <c r="GB2116" s="1" t="s">
        <v>19043</v>
      </c>
      <c r="GE2116" s="1" t="s">
        <v>335</v>
      </c>
      <c r="GI2116" s="1" t="s">
        <v>213</v>
      </c>
      <c r="GJ2116" s="1" t="s">
        <v>260</v>
      </c>
      <c r="GK2116" s="1" t="s">
        <v>210</v>
      </c>
      <c r="GL2116" s="2">
        <v>42020</v>
      </c>
      <c r="GM2116" s="1" t="s">
        <v>19044</v>
      </c>
    </row>
    <row r="2117" spans="1:195">
      <c r="A2117" s="1">
        <v>154500</v>
      </c>
      <c r="B2117" s="1" t="s">
        <v>195</v>
      </c>
      <c r="C2117" s="1" t="str">
        <f>"08742872"</f>
        <v>08742872</v>
      </c>
      <c r="D2117" s="1" t="s">
        <v>196</v>
      </c>
      <c r="F2117" s="1" t="str">
        <f>"8038"</f>
        <v>8038</v>
      </c>
      <c r="G2117" s="2">
        <v>41913</v>
      </c>
      <c r="H2117" s="1">
        <v>154500</v>
      </c>
      <c r="I2117" s="1">
        <v>154500</v>
      </c>
      <c r="J2117" s="1">
        <v>154500</v>
      </c>
      <c r="K2117" s="2">
        <v>41913</v>
      </c>
      <c r="L2117" s="1">
        <v>148</v>
      </c>
      <c r="M2117" s="2">
        <v>42060</v>
      </c>
      <c r="N2117" s="1">
        <v>148</v>
      </c>
      <c r="O2117" s="2">
        <v>42060</v>
      </c>
      <c r="P2117" s="1">
        <v>85700</v>
      </c>
      <c r="Q2117" s="1" t="s">
        <v>197</v>
      </c>
      <c r="R2117" s="2">
        <v>42090</v>
      </c>
      <c r="S2117" s="1">
        <v>853384</v>
      </c>
      <c r="U2117" s="1">
        <v>4101</v>
      </c>
      <c r="V2117" s="1" t="s">
        <v>4803</v>
      </c>
      <c r="W2117" s="1" t="s">
        <v>425</v>
      </c>
      <c r="X2117" s="1">
        <v>210</v>
      </c>
      <c r="Y2117" s="1">
        <v>40</v>
      </c>
      <c r="Z2117" s="1" t="s">
        <v>370</v>
      </c>
      <c r="AA2117" s="1" t="s">
        <v>400</v>
      </c>
      <c r="AB2117" s="1">
        <v>60653</v>
      </c>
      <c r="AE2117" s="1" t="s">
        <v>19045</v>
      </c>
      <c r="AF2117" s="1" t="s">
        <v>402</v>
      </c>
      <c r="AG2117" s="1" t="s">
        <v>204</v>
      </c>
      <c r="AH2117" s="1" t="s">
        <v>403</v>
      </c>
      <c r="AI2117" s="1" t="s">
        <v>310</v>
      </c>
      <c r="AJ2117" s="1" t="s">
        <v>404</v>
      </c>
      <c r="AL2117" s="1">
        <v>5</v>
      </c>
      <c r="AM2117" s="1">
        <v>2</v>
      </c>
      <c r="AN2117" s="1">
        <v>2</v>
      </c>
      <c r="AO2117" s="1">
        <v>0</v>
      </c>
      <c r="AP2117" s="1" t="s">
        <v>209</v>
      </c>
      <c r="AQ2117" s="1">
        <v>1</v>
      </c>
      <c r="AR2117" s="1" t="s">
        <v>210</v>
      </c>
      <c r="AS2117" s="1" t="s">
        <v>204</v>
      </c>
      <c r="AT2117" s="1" t="s">
        <v>211</v>
      </c>
      <c r="AU2117" s="1">
        <v>1</v>
      </c>
      <c r="AW2117" s="1" t="s">
        <v>204</v>
      </c>
      <c r="AX2117" s="1" t="s">
        <v>212</v>
      </c>
      <c r="AZ2117" s="1">
        <v>1553.65</v>
      </c>
      <c r="BA2117" s="1">
        <v>2013</v>
      </c>
      <c r="BB2117" s="1" t="s">
        <v>405</v>
      </c>
      <c r="BE2117" s="1">
        <v>1250</v>
      </c>
      <c r="BF2117" s="1">
        <v>2</v>
      </c>
      <c r="BG2117" s="1">
        <v>30</v>
      </c>
      <c r="BL2117" s="1">
        <v>270</v>
      </c>
      <c r="BM2117" s="1" t="s">
        <v>204</v>
      </c>
      <c r="BN2117" s="1" t="s">
        <v>213</v>
      </c>
      <c r="BO2117" s="1">
        <v>45</v>
      </c>
      <c r="BP2117" s="1" t="s">
        <v>204</v>
      </c>
      <c r="BR2117" s="1" t="str">
        <f>"20031140301016"</f>
        <v>20031140301016</v>
      </c>
      <c r="BT2117" s="1" t="s">
        <v>19046</v>
      </c>
      <c r="BX2117" s="1">
        <v>299</v>
      </c>
      <c r="BY2117" s="1">
        <v>299</v>
      </c>
      <c r="BZ2117" s="1">
        <v>299</v>
      </c>
      <c r="CB2117" s="1" t="str">
        <f>"0"</f>
        <v>0</v>
      </c>
      <c r="CC2117" s="1" t="str">
        <f>"100"</f>
        <v>100</v>
      </c>
      <c r="CD2117" s="1">
        <v>0</v>
      </c>
      <c r="CE2117" s="1">
        <v>4101</v>
      </c>
      <c r="CG2117" s="1" t="s">
        <v>437</v>
      </c>
      <c r="CH2117" s="1" t="s">
        <v>219</v>
      </c>
      <c r="CI2117" s="1" t="s">
        <v>438</v>
      </c>
      <c r="CK2117" s="1" t="s">
        <v>539</v>
      </c>
      <c r="CL2117" s="1" t="s">
        <v>219</v>
      </c>
      <c r="CM2117" s="1" t="s">
        <v>220</v>
      </c>
      <c r="CO2117" s="1" t="s">
        <v>629</v>
      </c>
      <c r="CP2117" s="1" t="s">
        <v>219</v>
      </c>
      <c r="CQ2117" s="1" t="s">
        <v>438</v>
      </c>
      <c r="CS2117" s="1" t="s">
        <v>1046</v>
      </c>
      <c r="CT2117" s="1" t="s">
        <v>219</v>
      </c>
      <c r="CU2117" s="1" t="s">
        <v>220</v>
      </c>
      <c r="CX2117" s="1" t="s">
        <v>224</v>
      </c>
      <c r="DB2117" s="1" t="s">
        <v>224</v>
      </c>
      <c r="DE2117" s="1" t="s">
        <v>11021</v>
      </c>
      <c r="DF2117" s="1" t="s">
        <v>219</v>
      </c>
      <c r="DG2117" s="1" t="s">
        <v>438</v>
      </c>
      <c r="DJ2117" s="1" t="s">
        <v>224</v>
      </c>
      <c r="DS2117" s="1" t="s">
        <v>230</v>
      </c>
      <c r="DW2117" s="1" t="s">
        <v>230</v>
      </c>
      <c r="EA2117" s="1" t="s">
        <v>230</v>
      </c>
      <c r="EE2117" s="1" t="s">
        <v>230</v>
      </c>
      <c r="EI2117" s="1" t="s">
        <v>230</v>
      </c>
      <c r="EL2117" s="1" t="s">
        <v>2154</v>
      </c>
      <c r="EM2117" s="1" t="s">
        <v>232</v>
      </c>
      <c r="EN2117" s="1" t="s">
        <v>282</v>
      </c>
      <c r="EO2117" s="1" t="s">
        <v>234</v>
      </c>
      <c r="ER2117" s="1" t="s">
        <v>210</v>
      </c>
      <c r="ES2117" s="1" t="s">
        <v>322</v>
      </c>
      <c r="EV2117" s="1" t="s">
        <v>240</v>
      </c>
      <c r="EW2117" s="1" t="s">
        <v>19047</v>
      </c>
      <c r="EY2117" s="1" t="s">
        <v>242</v>
      </c>
      <c r="EZ2117" s="1" t="s">
        <v>287</v>
      </c>
      <c r="FB2117" s="1" t="s">
        <v>289</v>
      </c>
      <c r="FD2117" s="1" t="s">
        <v>3472</v>
      </c>
      <c r="FE2117" s="1" t="s">
        <v>247</v>
      </c>
      <c r="FF2117" s="1" t="s">
        <v>248</v>
      </c>
      <c r="FG2117" s="1" t="s">
        <v>871</v>
      </c>
      <c r="FH2117" s="1" t="s">
        <v>19048</v>
      </c>
      <c r="FJ2117" s="1" t="s">
        <v>197</v>
      </c>
      <c r="FL2117" s="1" t="s">
        <v>358</v>
      </c>
      <c r="FM2117" s="1" t="s">
        <v>252</v>
      </c>
      <c r="FN2117" s="1" t="s">
        <v>213</v>
      </c>
      <c r="FO2117" s="1" t="s">
        <v>213</v>
      </c>
      <c r="FQ2117" s="1" t="s">
        <v>2253</v>
      </c>
      <c r="FR2117" s="1" t="s">
        <v>210</v>
      </c>
      <c r="FS2117" s="1" t="s">
        <v>19049</v>
      </c>
      <c r="FT2117" s="1" t="s">
        <v>295</v>
      </c>
      <c r="FU2117" s="1" t="s">
        <v>204</v>
      </c>
      <c r="FW2117" s="1" t="s">
        <v>19050</v>
      </c>
      <c r="FX2117" s="1">
        <v>85800</v>
      </c>
      <c r="FY2117" s="1" t="s">
        <v>19051</v>
      </c>
      <c r="FZ2117" s="1" t="s">
        <v>19052</v>
      </c>
      <c r="GA2117" s="1">
        <v>164748</v>
      </c>
      <c r="GB2117" s="1" t="s">
        <v>19051</v>
      </c>
      <c r="GE2117" s="1" t="s">
        <v>210</v>
      </c>
      <c r="GH2117" s="1" t="s">
        <v>421</v>
      </c>
      <c r="GI2117" s="1" t="s">
        <v>213</v>
      </c>
      <c r="GJ2117" s="1" t="s">
        <v>260</v>
      </c>
      <c r="GK2117" s="1" t="s">
        <v>210</v>
      </c>
      <c r="GL2117" s="2">
        <v>42094</v>
      </c>
      <c r="GM2117" s="1" t="s">
        <v>19053</v>
      </c>
    </row>
    <row r="2118" spans="1:195">
      <c r="A2118" s="1">
        <v>246000</v>
      </c>
      <c r="B2118" s="1" t="s">
        <v>195</v>
      </c>
      <c r="C2118" s="1" t="str">
        <f>"08749919"</f>
        <v>08749919</v>
      </c>
      <c r="D2118" s="1" t="s">
        <v>196</v>
      </c>
      <c r="F2118" s="1" t="str">
        <f>"10"</f>
        <v>10</v>
      </c>
      <c r="G2118" s="2">
        <v>41922</v>
      </c>
      <c r="H2118" s="1">
        <v>315000</v>
      </c>
      <c r="I2118" s="1">
        <v>269900</v>
      </c>
      <c r="J2118" s="1">
        <v>246000</v>
      </c>
      <c r="K2118" s="2">
        <v>41922</v>
      </c>
      <c r="L2118" s="1">
        <v>124</v>
      </c>
      <c r="M2118" s="2">
        <v>42045</v>
      </c>
      <c r="N2118" s="1">
        <v>124</v>
      </c>
      <c r="O2118" s="2">
        <v>42045</v>
      </c>
      <c r="P2118" s="1">
        <v>1814</v>
      </c>
      <c r="Q2118" s="1" t="s">
        <v>302</v>
      </c>
      <c r="R2118" s="2">
        <v>42061</v>
      </c>
      <c r="S2118" s="1">
        <v>89081</v>
      </c>
      <c r="U2118" s="1" t="s">
        <v>19054</v>
      </c>
      <c r="V2118" s="1" t="s">
        <v>4549</v>
      </c>
      <c r="W2118" s="1" t="s">
        <v>264</v>
      </c>
      <c r="X2118" s="1" t="s">
        <v>19054</v>
      </c>
      <c r="Y2118" s="1">
        <v>4</v>
      </c>
      <c r="Z2118" s="1" t="s">
        <v>370</v>
      </c>
      <c r="AA2118" s="1" t="s">
        <v>1985</v>
      </c>
      <c r="AB2118" s="1">
        <v>60010</v>
      </c>
      <c r="AD2118" s="1" t="s">
        <v>1986</v>
      </c>
      <c r="AE2118" s="1" t="s">
        <v>19055</v>
      </c>
      <c r="AF2118" s="1">
        <v>1985</v>
      </c>
      <c r="AG2118" s="1" t="s">
        <v>204</v>
      </c>
      <c r="AH2118" s="1" t="s">
        <v>6729</v>
      </c>
      <c r="AI2118" s="1" t="s">
        <v>509</v>
      </c>
      <c r="AJ2118" s="1" t="s">
        <v>1989</v>
      </c>
      <c r="AL2118" s="1">
        <v>6</v>
      </c>
      <c r="AM2118" s="1">
        <v>2</v>
      </c>
      <c r="AN2118" s="1">
        <v>2</v>
      </c>
      <c r="AO2118" s="1">
        <v>0</v>
      </c>
      <c r="AP2118" s="1" t="s">
        <v>209</v>
      </c>
      <c r="AQ2118" s="1">
        <v>1</v>
      </c>
      <c r="AR2118" s="1" t="s">
        <v>210</v>
      </c>
      <c r="AS2118" s="1" t="s">
        <v>204</v>
      </c>
      <c r="AT2118" s="1" t="s">
        <v>211</v>
      </c>
      <c r="AU2118" s="1">
        <v>2</v>
      </c>
      <c r="AW2118" s="1" t="s">
        <v>213</v>
      </c>
      <c r="AX2118" s="1" t="s">
        <v>1813</v>
      </c>
      <c r="AZ2118" s="1">
        <v>3898</v>
      </c>
      <c r="BA2118" s="1">
        <v>2013</v>
      </c>
      <c r="BB2118" s="1" t="s">
        <v>210</v>
      </c>
      <c r="BE2118" s="1">
        <v>1588</v>
      </c>
      <c r="BF2118" s="1">
        <v>2</v>
      </c>
      <c r="BG2118" s="1">
        <v>30</v>
      </c>
      <c r="BL2118" s="1">
        <v>435</v>
      </c>
      <c r="BM2118" s="1" t="s">
        <v>204</v>
      </c>
      <c r="BN2118" s="1" t="s">
        <v>213</v>
      </c>
      <c r="BO2118" s="1">
        <v>999</v>
      </c>
      <c r="BP2118" s="1" t="s">
        <v>204</v>
      </c>
      <c r="BR2118" s="1" t="str">
        <f>"13112001540000"</f>
        <v>13112001540000</v>
      </c>
      <c r="BT2118" s="1" t="s">
        <v>19056</v>
      </c>
      <c r="BU2118" s="1" t="s">
        <v>1992</v>
      </c>
      <c r="BV2118" s="1" t="s">
        <v>1993</v>
      </c>
      <c r="BW2118" s="1" t="s">
        <v>1994</v>
      </c>
      <c r="BX2118" s="1">
        <v>220</v>
      </c>
      <c r="BY2118" s="1">
        <v>220</v>
      </c>
      <c r="BZ2118" s="1">
        <v>220</v>
      </c>
      <c r="CB2118" s="1" t="str">
        <f>"24"</f>
        <v>24</v>
      </c>
      <c r="CC2118" s="1" t="str">
        <f>""</f>
        <v/>
      </c>
      <c r="CD2118" s="1">
        <v>26</v>
      </c>
      <c r="CG2118" s="1" t="s">
        <v>1723</v>
      </c>
      <c r="CH2118" s="1" t="s">
        <v>277</v>
      </c>
      <c r="CI2118" s="1" t="s">
        <v>220</v>
      </c>
      <c r="CK2118" s="1" t="s">
        <v>221</v>
      </c>
      <c r="CL2118" s="1" t="s">
        <v>277</v>
      </c>
      <c r="CM2118" s="1" t="s">
        <v>220</v>
      </c>
      <c r="CO2118" s="1" t="s">
        <v>317</v>
      </c>
      <c r="CP2118" s="1" t="s">
        <v>277</v>
      </c>
      <c r="CQ2118" s="1" t="s">
        <v>220</v>
      </c>
      <c r="CS2118" s="1" t="s">
        <v>379</v>
      </c>
      <c r="CT2118" s="1" t="s">
        <v>277</v>
      </c>
      <c r="CU2118" s="1" t="s">
        <v>220</v>
      </c>
      <c r="CX2118" s="1" t="s">
        <v>224</v>
      </c>
      <c r="DB2118" s="1" t="s">
        <v>224</v>
      </c>
      <c r="DE2118" s="1" t="s">
        <v>1612</v>
      </c>
      <c r="DF2118" s="1" t="s">
        <v>277</v>
      </c>
      <c r="DG2118" s="1" t="s">
        <v>438</v>
      </c>
      <c r="DJ2118" s="1" t="s">
        <v>224</v>
      </c>
      <c r="DM2118" s="1" t="s">
        <v>1005</v>
      </c>
      <c r="DN2118" s="1" t="s">
        <v>603</v>
      </c>
      <c r="DR2118" s="1" t="s">
        <v>379</v>
      </c>
      <c r="DS2118" s="1" t="s">
        <v>277</v>
      </c>
      <c r="DT2118" s="1" t="s">
        <v>220</v>
      </c>
      <c r="DV2118" s="1" t="s">
        <v>1133</v>
      </c>
      <c r="DW2118" s="1" t="s">
        <v>277</v>
      </c>
      <c r="DX2118" s="1" t="s">
        <v>220</v>
      </c>
      <c r="EA2118" s="1" t="s">
        <v>230</v>
      </c>
      <c r="EE2118" s="1" t="s">
        <v>230</v>
      </c>
      <c r="EI2118" s="1" t="s">
        <v>230</v>
      </c>
      <c r="EL2118" s="1" t="s">
        <v>542</v>
      </c>
      <c r="EM2118" s="1" t="s">
        <v>761</v>
      </c>
      <c r="EN2118" s="1" t="s">
        <v>282</v>
      </c>
      <c r="EO2118" s="1" t="s">
        <v>234</v>
      </c>
      <c r="EP2118" s="1" t="s">
        <v>19057</v>
      </c>
      <c r="EQ2118" s="1" t="s">
        <v>5876</v>
      </c>
      <c r="ER2118" s="1" t="s">
        <v>210</v>
      </c>
      <c r="ES2118" s="1" t="s">
        <v>322</v>
      </c>
      <c r="ET2118" s="1" t="s">
        <v>1752</v>
      </c>
      <c r="EU2118" s="1" t="s">
        <v>4559</v>
      </c>
      <c r="EW2118" s="1" t="s">
        <v>4560</v>
      </c>
      <c r="EY2118" s="1" t="s">
        <v>1315</v>
      </c>
      <c r="EZ2118" s="1" t="s">
        <v>10650</v>
      </c>
      <c r="FA2118" s="1" t="s">
        <v>19058</v>
      </c>
      <c r="FB2118" s="1" t="s">
        <v>1755</v>
      </c>
      <c r="FC2118" s="1" t="s">
        <v>633</v>
      </c>
      <c r="FD2118" s="1" t="s">
        <v>246</v>
      </c>
      <c r="FE2118" s="1" t="s">
        <v>889</v>
      </c>
      <c r="FF2118" s="1" t="s">
        <v>248</v>
      </c>
      <c r="FH2118" s="1" t="s">
        <v>249</v>
      </c>
      <c r="FI2118" s="1" t="s">
        <v>473</v>
      </c>
      <c r="FL2118" s="1" t="s">
        <v>1073</v>
      </c>
      <c r="FM2118" s="1" t="s">
        <v>252</v>
      </c>
      <c r="FN2118" s="1" t="s">
        <v>213</v>
      </c>
      <c r="FO2118" s="1" t="s">
        <v>213</v>
      </c>
      <c r="FQ2118" s="1" t="s">
        <v>3342</v>
      </c>
      <c r="FR2118" s="1" t="s">
        <v>210</v>
      </c>
      <c r="FS2118" s="1" t="s">
        <v>19059</v>
      </c>
      <c r="FT2118" s="1" t="s">
        <v>675</v>
      </c>
      <c r="FU2118" s="1" t="s">
        <v>213</v>
      </c>
      <c r="FW2118" s="1" t="s">
        <v>585</v>
      </c>
      <c r="FX2118" s="1">
        <v>6026</v>
      </c>
      <c r="FY2118" s="1" t="s">
        <v>1223</v>
      </c>
      <c r="FZ2118" s="1" t="s">
        <v>19060</v>
      </c>
      <c r="GA2118" s="1">
        <v>61154</v>
      </c>
      <c r="GB2118" s="1" t="s">
        <v>19061</v>
      </c>
      <c r="GE2118" s="1" t="s">
        <v>210</v>
      </c>
      <c r="GI2118" s="1" t="s">
        <v>213</v>
      </c>
      <c r="GJ2118" s="1" t="s">
        <v>260</v>
      </c>
      <c r="GK2118" s="1" t="s">
        <v>210</v>
      </c>
      <c r="GL2118" s="2">
        <v>42061</v>
      </c>
      <c r="GM2118" s="1" t="s">
        <v>19062</v>
      </c>
    </row>
    <row r="2119" spans="1:195">
      <c r="A2119" s="1">
        <v>82000</v>
      </c>
      <c r="B2119" s="1" t="s">
        <v>195</v>
      </c>
      <c r="C2119" s="1" t="str">
        <f>"08744585"</f>
        <v>08744585</v>
      </c>
      <c r="D2119" s="1" t="s">
        <v>196</v>
      </c>
      <c r="F2119" s="1" t="str">
        <f>"73"</f>
        <v>73</v>
      </c>
      <c r="G2119" s="2">
        <v>41915</v>
      </c>
      <c r="H2119" s="1">
        <v>93000</v>
      </c>
      <c r="I2119" s="1">
        <v>93000</v>
      </c>
      <c r="J2119" s="1">
        <v>82000</v>
      </c>
      <c r="K2119" s="2">
        <v>41915</v>
      </c>
      <c r="L2119" s="1">
        <v>82</v>
      </c>
      <c r="M2119" s="2">
        <v>41996</v>
      </c>
      <c r="N2119" s="1">
        <v>82</v>
      </c>
      <c r="O2119" s="2">
        <v>41996</v>
      </c>
      <c r="P2119" s="1">
        <v>4793</v>
      </c>
      <c r="Q2119" s="1" t="s">
        <v>302</v>
      </c>
      <c r="R2119" s="2">
        <v>42026</v>
      </c>
      <c r="S2119" s="1">
        <v>32261</v>
      </c>
      <c r="U2119" s="1">
        <v>770</v>
      </c>
      <c r="V2119" s="1" t="s">
        <v>17855</v>
      </c>
      <c r="W2119" s="1" t="s">
        <v>504</v>
      </c>
      <c r="Y2119" s="1">
        <v>2</v>
      </c>
      <c r="Z2119" s="1" t="s">
        <v>200</v>
      </c>
      <c r="AA2119" s="1" t="s">
        <v>1259</v>
      </c>
      <c r="AB2119" s="1">
        <v>60073</v>
      </c>
      <c r="AE2119" s="1" t="s">
        <v>19063</v>
      </c>
      <c r="AF2119" s="1">
        <v>2001</v>
      </c>
      <c r="AG2119" s="1" t="s">
        <v>204</v>
      </c>
      <c r="AH2119" s="1" t="s">
        <v>1262</v>
      </c>
      <c r="AI2119" s="1" t="s">
        <v>509</v>
      </c>
      <c r="AJ2119" s="1" t="s">
        <v>1263</v>
      </c>
      <c r="AL2119" s="1">
        <v>4</v>
      </c>
      <c r="AM2119" s="1">
        <v>2</v>
      </c>
      <c r="AN2119" s="1">
        <v>2</v>
      </c>
      <c r="AO2119" s="1">
        <v>0</v>
      </c>
      <c r="AP2119" s="1" t="s">
        <v>209</v>
      </c>
      <c r="AR2119" s="1" t="s">
        <v>210</v>
      </c>
      <c r="AS2119" s="1" t="s">
        <v>204</v>
      </c>
      <c r="AT2119" s="1" t="s">
        <v>211</v>
      </c>
      <c r="AU2119" s="1">
        <v>1</v>
      </c>
      <c r="AW2119" s="1" t="s">
        <v>204</v>
      </c>
      <c r="AX2119" s="1" t="s">
        <v>19064</v>
      </c>
      <c r="AZ2119" s="1">
        <v>4902.28</v>
      </c>
      <c r="BA2119" s="1">
        <v>2013</v>
      </c>
      <c r="BE2119" s="1">
        <v>1048</v>
      </c>
      <c r="BF2119" s="1">
        <v>1</v>
      </c>
      <c r="BG2119" s="1">
        <v>0</v>
      </c>
      <c r="BL2119" s="1">
        <v>62</v>
      </c>
      <c r="BM2119" s="1" t="s">
        <v>413</v>
      </c>
      <c r="BN2119" s="1" t="s">
        <v>213</v>
      </c>
      <c r="BO2119" s="1">
        <v>50</v>
      </c>
      <c r="BP2119" s="1" t="s">
        <v>204</v>
      </c>
      <c r="BR2119" s="1" t="str">
        <f>"06324060360000"</f>
        <v>06324060360000</v>
      </c>
      <c r="BT2119" s="1" t="s">
        <v>19065</v>
      </c>
      <c r="BX2119" s="1">
        <v>46</v>
      </c>
      <c r="BY2119" s="1">
        <v>46</v>
      </c>
      <c r="BZ2119" s="1">
        <v>127</v>
      </c>
      <c r="CB2119" s="1" t="str">
        <f t="shared" ref="CB2119:CC2119" si="1613">""</f>
        <v/>
      </c>
      <c r="CC2119" s="1" t="str">
        <f t="shared" si="1613"/>
        <v/>
      </c>
      <c r="CG2119" s="1" t="s">
        <v>628</v>
      </c>
      <c r="CH2119" s="1" t="s">
        <v>219</v>
      </c>
      <c r="CK2119" s="1" t="s">
        <v>1533</v>
      </c>
      <c r="CL2119" s="1" t="s">
        <v>219</v>
      </c>
      <c r="CP2119" s="1" t="s">
        <v>224</v>
      </c>
      <c r="CS2119" s="1" t="s">
        <v>346</v>
      </c>
      <c r="CT2119" s="1" t="s">
        <v>219</v>
      </c>
      <c r="CX2119" s="1" t="s">
        <v>224</v>
      </c>
      <c r="DB2119" s="1" t="s">
        <v>224</v>
      </c>
      <c r="DE2119" s="1" t="s">
        <v>602</v>
      </c>
      <c r="DF2119" s="1" t="s">
        <v>219</v>
      </c>
      <c r="DJ2119" s="1" t="s">
        <v>224</v>
      </c>
      <c r="DS2119" s="1" t="s">
        <v>230</v>
      </c>
      <c r="DW2119" s="1" t="s">
        <v>230</v>
      </c>
      <c r="EA2119" s="1" t="s">
        <v>230</v>
      </c>
      <c r="EE2119" s="1" t="s">
        <v>230</v>
      </c>
      <c r="EI2119" s="1" t="s">
        <v>230</v>
      </c>
      <c r="EL2119" s="1" t="s">
        <v>466</v>
      </c>
      <c r="EM2119" s="1" t="s">
        <v>319</v>
      </c>
      <c r="EN2119" s="1" t="s">
        <v>282</v>
      </c>
      <c r="EO2119" s="1" t="s">
        <v>234</v>
      </c>
      <c r="ER2119" s="1" t="s">
        <v>210</v>
      </c>
      <c r="EW2119" s="1" t="s">
        <v>347</v>
      </c>
      <c r="EZ2119" s="1" t="s">
        <v>287</v>
      </c>
      <c r="FB2119" s="1" t="s">
        <v>289</v>
      </c>
      <c r="FD2119" s="1" t="s">
        <v>246</v>
      </c>
      <c r="FE2119" s="1" t="s">
        <v>472</v>
      </c>
      <c r="FF2119" s="1" t="s">
        <v>248</v>
      </c>
      <c r="FH2119" s="1" t="s">
        <v>442</v>
      </c>
      <c r="FL2119" s="1" t="s">
        <v>358</v>
      </c>
      <c r="FM2119" s="1" t="s">
        <v>210</v>
      </c>
      <c r="FN2119" s="1" t="s">
        <v>204</v>
      </c>
      <c r="FO2119" s="1" t="s">
        <v>204</v>
      </c>
      <c r="FQ2119" s="1" t="s">
        <v>582</v>
      </c>
      <c r="FR2119" s="1" t="s">
        <v>210</v>
      </c>
      <c r="FS2119" s="1" t="s">
        <v>19066</v>
      </c>
      <c r="FT2119" s="1" t="s">
        <v>654</v>
      </c>
      <c r="FU2119" s="1" t="s">
        <v>204</v>
      </c>
      <c r="FW2119" s="1" t="s">
        <v>5082</v>
      </c>
      <c r="FX2119" s="1">
        <v>1989</v>
      </c>
      <c r="FY2119" s="1" t="s">
        <v>5083</v>
      </c>
      <c r="FZ2119" s="1" t="s">
        <v>5084</v>
      </c>
      <c r="GA2119" s="1">
        <v>81066</v>
      </c>
      <c r="GB2119" s="1" t="s">
        <v>5083</v>
      </c>
      <c r="GC2119" s="1">
        <v>86352</v>
      </c>
      <c r="GD2119" s="1" t="s">
        <v>19067</v>
      </c>
      <c r="GE2119" s="1" t="s">
        <v>210</v>
      </c>
      <c r="GH2119" s="1" t="s">
        <v>421</v>
      </c>
      <c r="GI2119" s="1" t="s">
        <v>204</v>
      </c>
      <c r="GJ2119" s="1" t="s">
        <v>260</v>
      </c>
      <c r="GK2119" s="1" t="s">
        <v>210</v>
      </c>
      <c r="GL2119" s="2">
        <v>42027</v>
      </c>
      <c r="GM2119" s="1" t="s">
        <v>19068</v>
      </c>
    </row>
    <row r="2120" spans="1:195">
      <c r="A2120" s="1">
        <v>63000</v>
      </c>
      <c r="B2120" s="1" t="s">
        <v>195</v>
      </c>
      <c r="C2120" s="1" t="str">
        <f>"08745493"</f>
        <v>08745493</v>
      </c>
      <c r="D2120" s="1" t="s">
        <v>196</v>
      </c>
      <c r="F2120" s="1" t="str">
        <f>"540"</f>
        <v>540</v>
      </c>
      <c r="G2120" s="2">
        <v>41917</v>
      </c>
      <c r="H2120" s="1">
        <v>69900</v>
      </c>
      <c r="I2120" s="1">
        <v>69900</v>
      </c>
      <c r="J2120" s="1">
        <v>63000</v>
      </c>
      <c r="K2120" s="2">
        <v>41917</v>
      </c>
      <c r="L2120" s="1">
        <v>15</v>
      </c>
      <c r="M2120" s="2">
        <v>41921</v>
      </c>
      <c r="N2120" s="1">
        <v>5</v>
      </c>
      <c r="O2120" s="2">
        <v>41921</v>
      </c>
      <c r="P2120" s="1">
        <v>22560</v>
      </c>
      <c r="Q2120" s="1" t="s">
        <v>302</v>
      </c>
      <c r="R2120" s="2">
        <v>42037</v>
      </c>
      <c r="S2120" s="1">
        <v>223600</v>
      </c>
      <c r="U2120" s="1">
        <v>248</v>
      </c>
      <c r="V2120" s="1" t="s">
        <v>10812</v>
      </c>
      <c r="W2120" s="1" t="s">
        <v>1056</v>
      </c>
      <c r="X2120" s="1" t="s">
        <v>8874</v>
      </c>
      <c r="Y2120" s="1">
        <v>24</v>
      </c>
      <c r="Z2120" s="1" t="s">
        <v>200</v>
      </c>
      <c r="AA2120" s="1" t="s">
        <v>921</v>
      </c>
      <c r="AB2120" s="1">
        <v>60565</v>
      </c>
      <c r="AD2120" s="1" t="s">
        <v>19069</v>
      </c>
      <c r="AE2120" s="1" t="s">
        <v>18937</v>
      </c>
      <c r="AF2120" s="1">
        <v>1972</v>
      </c>
      <c r="AG2120" s="1" t="s">
        <v>213</v>
      </c>
      <c r="AH2120" s="1" t="s">
        <v>924</v>
      </c>
      <c r="AI2120" s="1" t="s">
        <v>206</v>
      </c>
      <c r="AJ2120" s="1" t="s">
        <v>924</v>
      </c>
      <c r="AL2120" s="1">
        <v>7</v>
      </c>
      <c r="AM2120" s="1">
        <v>2</v>
      </c>
      <c r="AN2120" s="1">
        <v>1</v>
      </c>
      <c r="AO2120" s="1">
        <v>1</v>
      </c>
      <c r="AP2120" s="1" t="s">
        <v>210</v>
      </c>
      <c r="AR2120" s="1" t="s">
        <v>210</v>
      </c>
      <c r="AT2120" s="1" t="s">
        <v>271</v>
      </c>
      <c r="AV2120" s="1">
        <v>2</v>
      </c>
      <c r="AW2120" s="1" t="s">
        <v>204</v>
      </c>
      <c r="AX2120" s="1" t="s">
        <v>212</v>
      </c>
      <c r="AZ2120" s="1">
        <v>2057</v>
      </c>
      <c r="BA2120" s="1">
        <v>2013</v>
      </c>
      <c r="BB2120" s="1" t="s">
        <v>210</v>
      </c>
      <c r="BE2120" s="1">
        <v>927</v>
      </c>
      <c r="BF2120" s="1">
        <v>2</v>
      </c>
      <c r="BG2120" s="1">
        <v>0</v>
      </c>
      <c r="BL2120" s="1">
        <v>280</v>
      </c>
      <c r="BM2120" s="1" t="s">
        <v>204</v>
      </c>
      <c r="BN2120" s="1" t="s">
        <v>213</v>
      </c>
      <c r="BO2120" s="1" t="s">
        <v>4630</v>
      </c>
      <c r="BP2120" s="1" t="s">
        <v>204</v>
      </c>
      <c r="BR2120" s="1" t="str">
        <f>"0832110253"</f>
        <v>0832110253</v>
      </c>
      <c r="BT2120" s="1" t="s">
        <v>19070</v>
      </c>
      <c r="BU2120" s="1" t="s">
        <v>8878</v>
      </c>
      <c r="BV2120" s="1" t="s">
        <v>8879</v>
      </c>
      <c r="BW2120" s="1" t="s">
        <v>930</v>
      </c>
      <c r="BX2120" s="1">
        <v>203</v>
      </c>
      <c r="BY2120" s="1">
        <v>203</v>
      </c>
      <c r="BZ2120" s="1">
        <v>203</v>
      </c>
      <c r="CB2120" s="1" t="str">
        <f t="shared" ref="CB2120:CC2120" si="1614">"0"</f>
        <v>0</v>
      </c>
      <c r="CC2120" s="1" t="str">
        <f t="shared" si="1614"/>
        <v>0</v>
      </c>
      <c r="CD2120" s="1">
        <v>25</v>
      </c>
      <c r="CE2120" s="1">
        <v>9</v>
      </c>
      <c r="CG2120" s="1" t="s">
        <v>669</v>
      </c>
      <c r="CH2120" s="1" t="s">
        <v>219</v>
      </c>
      <c r="CI2120" s="1" t="s">
        <v>220</v>
      </c>
      <c r="CJ2120" s="1" t="s">
        <v>210</v>
      </c>
      <c r="CK2120" s="1" t="s">
        <v>344</v>
      </c>
      <c r="CL2120" s="1" t="s">
        <v>219</v>
      </c>
      <c r="CM2120" s="1" t="s">
        <v>220</v>
      </c>
      <c r="CN2120" s="1" t="s">
        <v>210</v>
      </c>
      <c r="CO2120" s="1" t="s">
        <v>1297</v>
      </c>
      <c r="CP2120" s="1" t="s">
        <v>219</v>
      </c>
      <c r="CQ2120" s="1" t="s">
        <v>220</v>
      </c>
      <c r="CR2120" s="1" t="s">
        <v>210</v>
      </c>
      <c r="CS2120" s="1" t="s">
        <v>379</v>
      </c>
      <c r="CT2120" s="1" t="s">
        <v>219</v>
      </c>
      <c r="CU2120" s="1" t="s">
        <v>220</v>
      </c>
      <c r="CV2120" s="1" t="s">
        <v>210</v>
      </c>
      <c r="CX2120" s="1" t="s">
        <v>224</v>
      </c>
      <c r="DB2120" s="1" t="s">
        <v>224</v>
      </c>
      <c r="DE2120" s="1" t="s">
        <v>516</v>
      </c>
      <c r="DF2120" s="1" t="s">
        <v>219</v>
      </c>
      <c r="DG2120" s="1" t="s">
        <v>226</v>
      </c>
      <c r="DH2120" s="1" t="s">
        <v>210</v>
      </c>
      <c r="DJ2120" s="1" t="s">
        <v>224</v>
      </c>
      <c r="DM2120" s="1" t="s">
        <v>19071</v>
      </c>
      <c r="DN2120" s="1" t="s">
        <v>381</v>
      </c>
      <c r="DS2120" s="1" t="s">
        <v>230</v>
      </c>
      <c r="DW2120" s="1" t="s">
        <v>230</v>
      </c>
      <c r="EA2120" s="1" t="s">
        <v>230</v>
      </c>
      <c r="EE2120" s="1" t="s">
        <v>230</v>
      </c>
      <c r="EI2120" s="1" t="s">
        <v>230</v>
      </c>
      <c r="EL2120" s="1" t="s">
        <v>605</v>
      </c>
      <c r="EM2120" s="1" t="s">
        <v>232</v>
      </c>
      <c r="EN2120" s="1" t="s">
        <v>731</v>
      </c>
      <c r="EO2120" s="1" t="s">
        <v>5573</v>
      </c>
      <c r="EP2120" s="1" t="s">
        <v>19072</v>
      </c>
      <c r="EQ2120" s="1" t="s">
        <v>19073</v>
      </c>
      <c r="ER2120" s="1" t="s">
        <v>210</v>
      </c>
      <c r="ES2120" s="1" t="s">
        <v>545</v>
      </c>
      <c r="EV2120" s="1" t="s">
        <v>240</v>
      </c>
      <c r="EW2120" s="1" t="s">
        <v>18680</v>
      </c>
      <c r="EY2120" s="1" t="s">
        <v>242</v>
      </c>
      <c r="EZ2120" s="1" t="s">
        <v>19074</v>
      </c>
      <c r="FD2120" s="1" t="s">
        <v>246</v>
      </c>
      <c r="FE2120" s="1" t="s">
        <v>247</v>
      </c>
      <c r="FF2120" s="1" t="s">
        <v>3103</v>
      </c>
      <c r="FH2120" s="1" t="s">
        <v>249</v>
      </c>
      <c r="FK2120" s="1" t="s">
        <v>291</v>
      </c>
      <c r="FL2120" s="1" t="s">
        <v>19075</v>
      </c>
      <c r="FM2120" s="1" t="s">
        <v>252</v>
      </c>
      <c r="FN2120" s="1" t="s">
        <v>213</v>
      </c>
      <c r="FO2120" s="1" t="s">
        <v>213</v>
      </c>
      <c r="FQ2120" s="1" t="s">
        <v>19076</v>
      </c>
      <c r="FR2120" s="1" t="s">
        <v>210</v>
      </c>
      <c r="FS2120" s="1" t="s">
        <v>19077</v>
      </c>
      <c r="FT2120" s="1" t="s">
        <v>691</v>
      </c>
      <c r="FU2120" s="1" t="s">
        <v>204</v>
      </c>
      <c r="FW2120" s="1" t="s">
        <v>19078</v>
      </c>
      <c r="FX2120" s="1">
        <v>85452</v>
      </c>
      <c r="FY2120" s="1" t="s">
        <v>19079</v>
      </c>
      <c r="FZ2120" s="1" t="s">
        <v>19080</v>
      </c>
      <c r="GA2120" s="1">
        <v>109968</v>
      </c>
      <c r="GE2120" s="1" t="s">
        <v>210</v>
      </c>
      <c r="GH2120" s="1" t="s">
        <v>800</v>
      </c>
      <c r="GI2120" s="1" t="s">
        <v>204</v>
      </c>
      <c r="GJ2120" s="1" t="s">
        <v>260</v>
      </c>
      <c r="GK2120" s="1" t="s">
        <v>210</v>
      </c>
      <c r="GL2120" s="2">
        <v>42037</v>
      </c>
      <c r="GM2120" s="1" t="s">
        <v>19081</v>
      </c>
    </row>
    <row r="2121" spans="1:195">
      <c r="A2121" s="1">
        <v>129000</v>
      </c>
      <c r="B2121" s="1" t="s">
        <v>195</v>
      </c>
      <c r="C2121" s="1" t="str">
        <f>"08742786"</f>
        <v>08742786</v>
      </c>
      <c r="D2121" s="1" t="s">
        <v>196</v>
      </c>
      <c r="F2121" s="1" t="str">
        <f>"107"</f>
        <v>107</v>
      </c>
      <c r="G2121" s="2">
        <v>41913</v>
      </c>
      <c r="H2121" s="1">
        <v>129900</v>
      </c>
      <c r="I2121" s="1">
        <v>129900</v>
      </c>
      <c r="J2121" s="1">
        <v>129000</v>
      </c>
      <c r="K2121" s="2">
        <v>41913</v>
      </c>
      <c r="L2121" s="1">
        <v>83</v>
      </c>
      <c r="M2121" s="2">
        <v>41995</v>
      </c>
      <c r="N2121" s="1">
        <v>83</v>
      </c>
      <c r="O2121" s="2">
        <v>41995</v>
      </c>
      <c r="P2121" s="1">
        <v>23099</v>
      </c>
      <c r="Q2121" s="1" t="s">
        <v>197</v>
      </c>
      <c r="R2121" s="2">
        <v>42027</v>
      </c>
      <c r="S2121" s="1">
        <v>259341</v>
      </c>
      <c r="T2121" s="1">
        <v>2500</v>
      </c>
      <c r="U2121" s="1">
        <v>25</v>
      </c>
      <c r="V2121" s="1" t="s">
        <v>19082</v>
      </c>
      <c r="W2121" s="1" t="s">
        <v>304</v>
      </c>
      <c r="X2121" s="1" t="s">
        <v>1688</v>
      </c>
      <c r="Y2121" s="1">
        <v>6</v>
      </c>
      <c r="Z2121" s="1" t="s">
        <v>249</v>
      </c>
      <c r="AA2121" s="1" t="s">
        <v>1211</v>
      </c>
      <c r="AB2121" s="1">
        <v>60107</v>
      </c>
      <c r="AE2121" s="1" t="s">
        <v>19083</v>
      </c>
      <c r="AF2121" s="1">
        <v>1991</v>
      </c>
      <c r="AG2121" s="1" t="s">
        <v>204</v>
      </c>
      <c r="AH2121" s="1" t="s">
        <v>1214</v>
      </c>
      <c r="AI2121" s="1" t="s">
        <v>310</v>
      </c>
      <c r="AJ2121" s="1" t="s">
        <v>374</v>
      </c>
      <c r="AL2121" s="1">
        <v>5</v>
      </c>
      <c r="AM2121" s="1">
        <v>2</v>
      </c>
      <c r="AN2121" s="1">
        <v>2</v>
      </c>
      <c r="AO2121" s="1">
        <v>0</v>
      </c>
      <c r="AP2121" s="1" t="s">
        <v>209</v>
      </c>
      <c r="AR2121" s="1" t="s">
        <v>210</v>
      </c>
      <c r="AT2121" s="1" t="s">
        <v>211</v>
      </c>
      <c r="AU2121" s="1">
        <v>1</v>
      </c>
      <c r="AW2121" s="1" t="s">
        <v>213</v>
      </c>
      <c r="AX2121" s="1" t="s">
        <v>212</v>
      </c>
      <c r="AZ2121" s="1">
        <v>2982.37</v>
      </c>
      <c r="BA2121" s="1">
        <v>2012</v>
      </c>
      <c r="BB2121" s="1" t="s">
        <v>210</v>
      </c>
      <c r="BE2121" s="1">
        <v>0</v>
      </c>
      <c r="BF2121" s="1">
        <v>2</v>
      </c>
      <c r="BG2121" s="1">
        <v>0</v>
      </c>
      <c r="BL2121" s="1">
        <v>225</v>
      </c>
      <c r="BM2121" s="1" t="s">
        <v>204</v>
      </c>
      <c r="BN2121" s="1" t="s">
        <v>213</v>
      </c>
      <c r="BO2121" s="1">
        <v>999</v>
      </c>
      <c r="BP2121" s="1" t="s">
        <v>204</v>
      </c>
      <c r="BR2121" s="1" t="str">
        <f>"06223030361018"</f>
        <v>06223030361018</v>
      </c>
      <c r="BT2121" s="1" t="s">
        <v>19084</v>
      </c>
      <c r="BX2121" s="1">
        <v>46</v>
      </c>
      <c r="BY2121" s="1">
        <v>46</v>
      </c>
      <c r="BZ2121" s="1">
        <v>46</v>
      </c>
      <c r="CB2121" s="1" t="str">
        <f t="shared" ref="CB2121:CC2121" si="1615">""</f>
        <v/>
      </c>
      <c r="CC2121" s="1" t="str">
        <f t="shared" si="1615"/>
        <v/>
      </c>
      <c r="CG2121" s="1" t="s">
        <v>6197</v>
      </c>
      <c r="CH2121" s="1" t="s">
        <v>277</v>
      </c>
      <c r="CI2121" s="1" t="s">
        <v>220</v>
      </c>
      <c r="CJ2121" s="1" t="s">
        <v>343</v>
      </c>
      <c r="CK2121" s="1" t="s">
        <v>932</v>
      </c>
      <c r="CL2121" s="1" t="s">
        <v>277</v>
      </c>
      <c r="CM2121" s="1" t="s">
        <v>220</v>
      </c>
      <c r="CN2121" s="1" t="s">
        <v>210</v>
      </c>
      <c r="CO2121" s="1" t="s">
        <v>629</v>
      </c>
      <c r="CP2121" s="1" t="s">
        <v>277</v>
      </c>
      <c r="CQ2121" s="1" t="s">
        <v>220</v>
      </c>
      <c r="CR2121" s="1" t="s">
        <v>210</v>
      </c>
      <c r="CS2121" s="1" t="s">
        <v>379</v>
      </c>
      <c r="CT2121" s="1" t="s">
        <v>277</v>
      </c>
      <c r="CU2121" s="1" t="s">
        <v>220</v>
      </c>
      <c r="CV2121" s="1" t="s">
        <v>210</v>
      </c>
      <c r="CX2121" s="1" t="s">
        <v>224</v>
      </c>
      <c r="DB2121" s="1" t="s">
        <v>224</v>
      </c>
      <c r="DE2121" s="1" t="s">
        <v>1533</v>
      </c>
      <c r="DF2121" s="1" t="s">
        <v>277</v>
      </c>
      <c r="DG2121" s="1" t="s">
        <v>229</v>
      </c>
      <c r="DH2121" s="1" t="s">
        <v>343</v>
      </c>
      <c r="DJ2121" s="1" t="s">
        <v>224</v>
      </c>
      <c r="DS2121" s="1" t="s">
        <v>230</v>
      </c>
      <c r="DW2121" s="1" t="s">
        <v>230</v>
      </c>
      <c r="EA2121" s="1" t="s">
        <v>230</v>
      </c>
      <c r="EE2121" s="1" t="s">
        <v>230</v>
      </c>
      <c r="EI2121" s="1" t="s">
        <v>230</v>
      </c>
      <c r="EL2121" s="1" t="s">
        <v>382</v>
      </c>
      <c r="EM2121" s="1" t="s">
        <v>319</v>
      </c>
      <c r="EN2121" s="1" t="s">
        <v>282</v>
      </c>
      <c r="EO2121" s="1" t="s">
        <v>234</v>
      </c>
      <c r="EP2121" s="1" t="s">
        <v>14026</v>
      </c>
      <c r="EQ2121" s="1" t="s">
        <v>671</v>
      </c>
      <c r="ER2121" s="1" t="s">
        <v>210</v>
      </c>
      <c r="EU2121" s="1" t="s">
        <v>19085</v>
      </c>
      <c r="EW2121" s="1" t="s">
        <v>353</v>
      </c>
      <c r="EY2121" s="1" t="s">
        <v>242</v>
      </c>
      <c r="EZ2121" s="1" t="s">
        <v>287</v>
      </c>
      <c r="FB2121" s="1" t="s">
        <v>289</v>
      </c>
      <c r="FD2121" s="1" t="s">
        <v>246</v>
      </c>
      <c r="FE2121" s="1" t="s">
        <v>975</v>
      </c>
      <c r="FF2121" s="1" t="s">
        <v>248</v>
      </c>
      <c r="FH2121" s="1" t="s">
        <v>388</v>
      </c>
      <c r="FI2121" s="1" t="s">
        <v>473</v>
      </c>
      <c r="FL2121" s="1" t="s">
        <v>414</v>
      </c>
      <c r="FM2121" s="1" t="s">
        <v>252</v>
      </c>
      <c r="FN2121" s="1" t="s">
        <v>213</v>
      </c>
      <c r="FO2121" s="1" t="s">
        <v>213</v>
      </c>
      <c r="FQ2121" s="1" t="s">
        <v>4216</v>
      </c>
      <c r="FR2121" s="1" t="s">
        <v>210</v>
      </c>
      <c r="FS2121" s="1" t="s">
        <v>9704</v>
      </c>
      <c r="FT2121" s="1" t="s">
        <v>19086</v>
      </c>
      <c r="FU2121" s="1" t="s">
        <v>204</v>
      </c>
      <c r="FW2121" s="1" t="s">
        <v>19087</v>
      </c>
      <c r="FX2121" s="1">
        <v>5086</v>
      </c>
      <c r="FY2121" s="1" t="s">
        <v>19088</v>
      </c>
      <c r="FZ2121" s="1" t="s">
        <v>19089</v>
      </c>
      <c r="GA2121" s="1">
        <v>55555</v>
      </c>
      <c r="GC2121" s="1">
        <v>253586</v>
      </c>
      <c r="GD2121" s="1" t="s">
        <v>19090</v>
      </c>
      <c r="GE2121" s="1" t="s">
        <v>210</v>
      </c>
      <c r="GI2121" s="1" t="s">
        <v>213</v>
      </c>
      <c r="GJ2121" s="1" t="s">
        <v>260</v>
      </c>
      <c r="GK2121" s="1" t="s">
        <v>210</v>
      </c>
      <c r="GL2121" s="2">
        <v>42027</v>
      </c>
      <c r="GM2121" s="1" t="s">
        <v>19091</v>
      </c>
    </row>
    <row r="2122" spans="1:195">
      <c r="A2122" s="1">
        <v>153914</v>
      </c>
      <c r="B2122" s="1" t="s">
        <v>195</v>
      </c>
      <c r="C2122" s="1" t="str">
        <f>"08749859"</f>
        <v>08749859</v>
      </c>
      <c r="D2122" s="1" t="s">
        <v>196</v>
      </c>
      <c r="F2122" s="1" t="str">
        <f>"559"</f>
        <v>559</v>
      </c>
      <c r="G2122" s="2">
        <v>41922</v>
      </c>
      <c r="H2122" s="1">
        <v>196100</v>
      </c>
      <c r="I2122" s="1">
        <v>136000</v>
      </c>
      <c r="J2122" s="1">
        <v>153914</v>
      </c>
      <c r="K2122" s="2">
        <v>41922</v>
      </c>
      <c r="L2122" s="1">
        <v>131</v>
      </c>
      <c r="M2122" s="2">
        <v>42052</v>
      </c>
      <c r="N2122" s="1">
        <v>131</v>
      </c>
      <c r="O2122" s="2">
        <v>42052</v>
      </c>
      <c r="P2122" s="1">
        <v>24113</v>
      </c>
      <c r="Q2122" s="1" t="s">
        <v>302</v>
      </c>
      <c r="R2122" s="2">
        <v>42089</v>
      </c>
      <c r="S2122" s="1">
        <v>236105</v>
      </c>
      <c r="U2122" s="1">
        <v>903</v>
      </c>
      <c r="V2122" s="1" t="s">
        <v>19092</v>
      </c>
      <c r="W2122" s="1" t="s">
        <v>304</v>
      </c>
      <c r="Y2122" s="1">
        <v>2</v>
      </c>
      <c r="Z2122" s="1" t="s">
        <v>370</v>
      </c>
      <c r="AA2122" s="1" t="s">
        <v>1950</v>
      </c>
      <c r="AB2122" s="1">
        <v>60559</v>
      </c>
      <c r="AE2122" s="1" t="s">
        <v>19093</v>
      </c>
      <c r="AF2122" s="1">
        <v>1993</v>
      </c>
      <c r="AG2122" s="1" t="s">
        <v>204</v>
      </c>
      <c r="AH2122" s="1" t="s">
        <v>1952</v>
      </c>
      <c r="AI2122" s="1" t="s">
        <v>206</v>
      </c>
      <c r="AJ2122" s="1" t="s">
        <v>903</v>
      </c>
      <c r="AL2122" s="1">
        <v>6</v>
      </c>
      <c r="AM2122" s="1">
        <v>2</v>
      </c>
      <c r="AN2122" s="1">
        <v>1</v>
      </c>
      <c r="AO2122" s="1">
        <v>1</v>
      </c>
      <c r="AP2122" s="1" t="s">
        <v>210</v>
      </c>
      <c r="AQ2122" s="1">
        <v>1</v>
      </c>
      <c r="AR2122" s="1" t="s">
        <v>210</v>
      </c>
      <c r="AS2122" s="1" t="s">
        <v>204</v>
      </c>
      <c r="AT2122" s="1" t="s">
        <v>211</v>
      </c>
      <c r="AU2122" s="1">
        <v>2</v>
      </c>
      <c r="AW2122" s="1" t="s">
        <v>204</v>
      </c>
      <c r="AX2122" s="1" t="s">
        <v>19094</v>
      </c>
      <c r="AZ2122" s="1">
        <v>4391</v>
      </c>
      <c r="BA2122" s="1">
        <v>2013</v>
      </c>
      <c r="BE2122" s="1">
        <v>1445</v>
      </c>
      <c r="BF2122" s="1">
        <v>1</v>
      </c>
      <c r="BG2122" s="1">
        <v>0</v>
      </c>
      <c r="BL2122" s="1">
        <v>140</v>
      </c>
      <c r="BM2122" s="1" t="s">
        <v>413</v>
      </c>
      <c r="BN2122" s="1" t="s">
        <v>204</v>
      </c>
      <c r="BP2122" s="1" t="s">
        <v>204</v>
      </c>
      <c r="BR2122" s="1" t="str">
        <f>"0916412019"</f>
        <v>0916412019</v>
      </c>
      <c r="BT2122" s="1" t="s">
        <v>3770</v>
      </c>
      <c r="BX2122" s="1">
        <v>60</v>
      </c>
      <c r="BY2122" s="1">
        <v>60</v>
      </c>
      <c r="BZ2122" s="1">
        <v>99</v>
      </c>
      <c r="CB2122" s="1" t="str">
        <f t="shared" ref="CB2122:CC2122" si="1616">""</f>
        <v/>
      </c>
      <c r="CC2122" s="1" t="str">
        <f t="shared" si="1616"/>
        <v/>
      </c>
      <c r="CD2122" s="1">
        <v>18</v>
      </c>
      <c r="CE2122" s="1">
        <v>6</v>
      </c>
      <c r="CG2122" s="1" t="s">
        <v>1402</v>
      </c>
      <c r="CH2122" s="1" t="s">
        <v>219</v>
      </c>
      <c r="CK2122" s="1" t="s">
        <v>1267</v>
      </c>
      <c r="CL2122" s="1" t="s">
        <v>277</v>
      </c>
      <c r="CO2122" s="1" t="s">
        <v>3591</v>
      </c>
      <c r="CP2122" s="1" t="s">
        <v>219</v>
      </c>
      <c r="CS2122" s="1" t="s">
        <v>1854</v>
      </c>
      <c r="CT2122" s="1" t="s">
        <v>277</v>
      </c>
      <c r="CX2122" s="1" t="s">
        <v>224</v>
      </c>
      <c r="DB2122" s="1" t="s">
        <v>224</v>
      </c>
      <c r="DE2122" s="1" t="s">
        <v>1854</v>
      </c>
      <c r="DF2122" s="1" t="s">
        <v>219</v>
      </c>
      <c r="DI2122" s="1" t="s">
        <v>9969</v>
      </c>
      <c r="DJ2122" s="1" t="s">
        <v>219</v>
      </c>
      <c r="DS2122" s="1" t="s">
        <v>230</v>
      </c>
      <c r="DW2122" s="1" t="s">
        <v>230</v>
      </c>
      <c r="EA2122" s="1" t="s">
        <v>230</v>
      </c>
      <c r="EE2122" s="1" t="s">
        <v>230</v>
      </c>
      <c r="EI2122" s="1" t="s">
        <v>230</v>
      </c>
      <c r="EL2122" s="1" t="s">
        <v>382</v>
      </c>
      <c r="EM2122" s="1" t="s">
        <v>319</v>
      </c>
      <c r="EN2122" s="1" t="s">
        <v>282</v>
      </c>
      <c r="EO2122" s="1" t="s">
        <v>234</v>
      </c>
      <c r="ER2122" s="1" t="s">
        <v>210</v>
      </c>
      <c r="EW2122" s="1" t="s">
        <v>347</v>
      </c>
      <c r="EZ2122" s="1" t="s">
        <v>287</v>
      </c>
      <c r="FD2122" s="1" t="s">
        <v>1112</v>
      </c>
      <c r="FE2122" s="1" t="s">
        <v>355</v>
      </c>
      <c r="FF2122" s="1" t="s">
        <v>248</v>
      </c>
      <c r="FH2122" s="1" t="s">
        <v>550</v>
      </c>
      <c r="FJ2122" s="1" t="s">
        <v>1472</v>
      </c>
      <c r="FL2122" s="1" t="s">
        <v>358</v>
      </c>
      <c r="FM2122" s="1" t="s">
        <v>252</v>
      </c>
      <c r="FN2122" s="1" t="s">
        <v>213</v>
      </c>
      <c r="FO2122" s="1" t="s">
        <v>213</v>
      </c>
      <c r="FQ2122" s="1" t="s">
        <v>582</v>
      </c>
      <c r="FR2122" s="1" t="s">
        <v>210</v>
      </c>
      <c r="FS2122" s="1" t="s">
        <v>3772</v>
      </c>
      <c r="FT2122" s="1" t="s">
        <v>3773</v>
      </c>
      <c r="FU2122" s="1" t="s">
        <v>204</v>
      </c>
      <c r="FW2122" s="1" t="s">
        <v>3774</v>
      </c>
      <c r="FX2122" s="1">
        <v>1984</v>
      </c>
      <c r="FY2122" s="1" t="s">
        <v>3775</v>
      </c>
      <c r="FZ2122" s="1" t="s">
        <v>3776</v>
      </c>
      <c r="GA2122" s="1">
        <v>922950</v>
      </c>
      <c r="GE2122" s="1" t="s">
        <v>210</v>
      </c>
      <c r="GI2122" s="1" t="s">
        <v>204</v>
      </c>
      <c r="GJ2122" s="1" t="s">
        <v>260</v>
      </c>
      <c r="GK2122" s="1" t="s">
        <v>210</v>
      </c>
      <c r="GL2122" s="2">
        <v>42090</v>
      </c>
      <c r="GM2122" s="1" t="s">
        <v>3777</v>
      </c>
    </row>
    <row r="2123" spans="1:195">
      <c r="A2123" s="1">
        <v>186000</v>
      </c>
      <c r="B2123" s="1" t="s">
        <v>195</v>
      </c>
      <c r="C2123" s="1" t="str">
        <f>"08754737"</f>
        <v>08754737</v>
      </c>
      <c r="D2123" s="1" t="s">
        <v>196</v>
      </c>
      <c r="F2123" s="1" t="str">
        <f>"143"</f>
        <v>143</v>
      </c>
      <c r="G2123" s="2">
        <v>41928</v>
      </c>
      <c r="H2123" s="1">
        <v>199900</v>
      </c>
      <c r="I2123" s="1">
        <v>194900</v>
      </c>
      <c r="J2123" s="1">
        <v>186000</v>
      </c>
      <c r="K2123" s="2">
        <v>41928</v>
      </c>
      <c r="L2123" s="1">
        <v>40</v>
      </c>
      <c r="M2123" s="2">
        <v>41967</v>
      </c>
      <c r="N2123" s="1">
        <v>40</v>
      </c>
      <c r="O2123" s="2">
        <v>41967</v>
      </c>
      <c r="P2123" s="1">
        <v>22029</v>
      </c>
      <c r="Q2123" s="1" t="s">
        <v>197</v>
      </c>
      <c r="R2123" s="2">
        <v>42018</v>
      </c>
      <c r="S2123" s="1">
        <v>231828</v>
      </c>
      <c r="U2123" s="1">
        <v>201</v>
      </c>
      <c r="V2123" s="1" t="s">
        <v>11126</v>
      </c>
      <c r="Y2123" s="1">
        <v>6</v>
      </c>
      <c r="Z2123" s="1" t="s">
        <v>249</v>
      </c>
      <c r="AA2123" s="1" t="s">
        <v>7871</v>
      </c>
      <c r="AB2123" s="1">
        <v>60143</v>
      </c>
      <c r="AD2123" s="1" t="s">
        <v>17429</v>
      </c>
      <c r="AE2123" s="1" t="s">
        <v>19095</v>
      </c>
      <c r="AF2123" s="1">
        <v>1994</v>
      </c>
      <c r="AG2123" s="1" t="s">
        <v>204</v>
      </c>
      <c r="AH2123" s="1" t="s">
        <v>7873</v>
      </c>
      <c r="AI2123" s="1" t="s">
        <v>206</v>
      </c>
      <c r="AJ2123" s="1" t="s">
        <v>1233</v>
      </c>
      <c r="AK2123" s="1" t="s">
        <v>19096</v>
      </c>
      <c r="AL2123" s="1">
        <v>6</v>
      </c>
      <c r="AM2123" s="1">
        <v>2</v>
      </c>
      <c r="AN2123" s="1">
        <v>2</v>
      </c>
      <c r="AO2123" s="1">
        <v>1</v>
      </c>
      <c r="AP2123" s="1" t="s">
        <v>209</v>
      </c>
      <c r="AQ2123" s="1">
        <v>1</v>
      </c>
      <c r="AR2123" s="1" t="s">
        <v>210</v>
      </c>
      <c r="AT2123" s="1" t="s">
        <v>211</v>
      </c>
      <c r="AU2123" s="1">
        <v>2</v>
      </c>
      <c r="AW2123" s="1" t="s">
        <v>204</v>
      </c>
      <c r="AX2123" s="1" t="s">
        <v>4740</v>
      </c>
      <c r="AZ2123" s="1">
        <v>4431</v>
      </c>
      <c r="BA2123" s="1">
        <v>2013</v>
      </c>
      <c r="BE2123" s="1">
        <v>1600</v>
      </c>
      <c r="BF2123" s="1">
        <v>1</v>
      </c>
      <c r="BG2123" s="1">
        <v>0</v>
      </c>
      <c r="BL2123" s="1">
        <v>216</v>
      </c>
      <c r="BM2123" s="1" t="s">
        <v>204</v>
      </c>
      <c r="BN2123" s="1" t="s">
        <v>213</v>
      </c>
      <c r="BO2123" s="1">
        <v>0</v>
      </c>
      <c r="BP2123" s="1" t="s">
        <v>204</v>
      </c>
      <c r="BR2123" s="1" t="str">
        <f>"0305313028"</f>
        <v>0305313028</v>
      </c>
      <c r="BT2123" s="1" t="s">
        <v>19097</v>
      </c>
      <c r="BU2123" s="1" t="s">
        <v>11130</v>
      </c>
      <c r="BV2123" s="1" t="s">
        <v>7877</v>
      </c>
      <c r="BW2123" s="1" t="s">
        <v>275</v>
      </c>
      <c r="BX2123" s="1">
        <v>10</v>
      </c>
      <c r="BY2123" s="1">
        <v>10</v>
      </c>
      <c r="BZ2123" s="1">
        <v>108</v>
      </c>
      <c r="CB2123" s="1" t="str">
        <f t="shared" ref="CB2123:CC2123" si="1617">""</f>
        <v/>
      </c>
      <c r="CC2123" s="1" t="str">
        <f t="shared" si="1617"/>
        <v/>
      </c>
      <c r="CG2123" s="1" t="s">
        <v>315</v>
      </c>
      <c r="CH2123" s="1" t="s">
        <v>219</v>
      </c>
      <c r="CI2123" s="1" t="s">
        <v>220</v>
      </c>
      <c r="CK2123" s="1" t="s">
        <v>1267</v>
      </c>
      <c r="CL2123" s="1" t="s">
        <v>277</v>
      </c>
      <c r="CM2123" s="1" t="s">
        <v>220</v>
      </c>
      <c r="CO2123" s="1" t="s">
        <v>379</v>
      </c>
      <c r="CP2123" s="1" t="s">
        <v>219</v>
      </c>
      <c r="CQ2123" s="1" t="s">
        <v>220</v>
      </c>
      <c r="CS2123" s="1" t="s">
        <v>346</v>
      </c>
      <c r="CT2123" s="1" t="s">
        <v>277</v>
      </c>
      <c r="CU2123" s="1" t="s">
        <v>220</v>
      </c>
      <c r="CX2123" s="1" t="s">
        <v>224</v>
      </c>
      <c r="DB2123" s="1" t="s">
        <v>224</v>
      </c>
      <c r="DE2123" s="1" t="s">
        <v>379</v>
      </c>
      <c r="DF2123" s="1" t="s">
        <v>219</v>
      </c>
      <c r="DG2123" s="1" t="s">
        <v>226</v>
      </c>
      <c r="DJ2123" s="1" t="s">
        <v>224</v>
      </c>
      <c r="DM2123" s="1" t="s">
        <v>464</v>
      </c>
      <c r="DR2123" s="1" t="s">
        <v>318</v>
      </c>
      <c r="DS2123" s="1" t="s">
        <v>277</v>
      </c>
      <c r="DT2123" s="1" t="s">
        <v>220</v>
      </c>
      <c r="DW2123" s="1" t="s">
        <v>230</v>
      </c>
      <c r="EA2123" s="1" t="s">
        <v>230</v>
      </c>
      <c r="EE2123" s="1" t="s">
        <v>230</v>
      </c>
      <c r="EI2123" s="1" t="s">
        <v>230</v>
      </c>
      <c r="EL2123" s="1" t="s">
        <v>670</v>
      </c>
      <c r="EM2123" s="1" t="s">
        <v>232</v>
      </c>
      <c r="EN2123" s="1" t="s">
        <v>282</v>
      </c>
      <c r="EO2123" s="1" t="s">
        <v>234</v>
      </c>
      <c r="EQ2123" s="1" t="s">
        <v>1094</v>
      </c>
      <c r="ER2123" s="1" t="s">
        <v>210</v>
      </c>
      <c r="ES2123" s="1" t="s">
        <v>493</v>
      </c>
      <c r="EV2123" s="1" t="s">
        <v>352</v>
      </c>
      <c r="EW2123" s="1" t="s">
        <v>353</v>
      </c>
      <c r="EY2123" s="1" t="s">
        <v>242</v>
      </c>
      <c r="EZ2123" s="1" t="s">
        <v>464</v>
      </c>
      <c r="FA2123" s="1" t="s">
        <v>1427</v>
      </c>
      <c r="FB2123" s="1" t="s">
        <v>289</v>
      </c>
      <c r="FD2123" s="1" t="s">
        <v>246</v>
      </c>
      <c r="FE2123" s="1" t="s">
        <v>386</v>
      </c>
      <c r="FF2123" s="1" t="s">
        <v>248</v>
      </c>
      <c r="FG2123" s="1" t="s">
        <v>2739</v>
      </c>
      <c r="FH2123" s="1" t="s">
        <v>550</v>
      </c>
      <c r="FI2123" s="1" t="s">
        <v>357</v>
      </c>
      <c r="FL2123" s="1" t="s">
        <v>358</v>
      </c>
      <c r="FM2123" s="1" t="s">
        <v>252</v>
      </c>
      <c r="FN2123" s="1" t="s">
        <v>213</v>
      </c>
      <c r="FO2123" s="1" t="s">
        <v>213</v>
      </c>
      <c r="FQ2123" s="1" t="s">
        <v>19098</v>
      </c>
      <c r="FR2123" s="1" t="s">
        <v>210</v>
      </c>
      <c r="FS2123" s="1" t="s">
        <v>19099</v>
      </c>
      <c r="FT2123" s="1" t="s">
        <v>362</v>
      </c>
      <c r="FU2123" s="1" t="s">
        <v>204</v>
      </c>
      <c r="FW2123" s="1" t="s">
        <v>1637</v>
      </c>
      <c r="FX2123" s="1">
        <v>8055</v>
      </c>
      <c r="FY2123" s="1" t="s">
        <v>1728</v>
      </c>
      <c r="FZ2123" s="1" t="s">
        <v>19100</v>
      </c>
      <c r="GA2123" s="1">
        <v>240548</v>
      </c>
      <c r="GB2123" s="1" t="s">
        <v>19101</v>
      </c>
      <c r="GE2123" s="1" t="s">
        <v>776</v>
      </c>
      <c r="GI2123" s="1" t="s">
        <v>213</v>
      </c>
      <c r="GJ2123" s="1" t="s">
        <v>260</v>
      </c>
      <c r="GK2123" s="1" t="s">
        <v>210</v>
      </c>
      <c r="GL2123" s="2">
        <v>42018</v>
      </c>
      <c r="GM2123" s="1" t="s">
        <v>19102</v>
      </c>
    </row>
    <row r="2124" spans="1:195">
      <c r="A2124" s="1">
        <v>85000</v>
      </c>
      <c r="B2124" s="1" t="s">
        <v>195</v>
      </c>
      <c r="C2124" s="1" t="str">
        <f>"08745884"</f>
        <v>08745884</v>
      </c>
      <c r="D2124" s="1" t="s">
        <v>196</v>
      </c>
      <c r="F2124" s="1" t="str">
        <f>"516"</f>
        <v>516</v>
      </c>
      <c r="G2124" s="2">
        <v>41918</v>
      </c>
      <c r="H2124" s="1">
        <v>95000</v>
      </c>
      <c r="I2124" s="1">
        <v>90000</v>
      </c>
      <c r="J2124" s="1">
        <v>85000</v>
      </c>
      <c r="K2124" s="2">
        <v>41918</v>
      </c>
      <c r="L2124" s="1">
        <v>158</v>
      </c>
      <c r="M2124" s="2">
        <v>42075</v>
      </c>
      <c r="N2124" s="1">
        <v>158</v>
      </c>
      <c r="O2124" s="2">
        <v>42075</v>
      </c>
      <c r="P2124" s="1">
        <v>23426</v>
      </c>
      <c r="Q2124" s="1" t="s">
        <v>302</v>
      </c>
      <c r="R2124" s="2">
        <v>42083</v>
      </c>
      <c r="S2124" s="1">
        <v>217153</v>
      </c>
      <c r="U2124" s="1" t="s">
        <v>19103</v>
      </c>
      <c r="V2124" s="1" t="s">
        <v>19104</v>
      </c>
      <c r="W2124" s="1" t="s">
        <v>504</v>
      </c>
      <c r="X2124" s="1">
        <v>201</v>
      </c>
      <c r="Y2124" s="1">
        <v>1</v>
      </c>
      <c r="Z2124" s="1" t="s">
        <v>249</v>
      </c>
      <c r="AA2124" s="1" t="s">
        <v>1417</v>
      </c>
      <c r="AB2124" s="1">
        <v>60527</v>
      </c>
      <c r="AE2124" s="1" t="s">
        <v>19105</v>
      </c>
      <c r="AF2124" s="1">
        <v>1970</v>
      </c>
      <c r="AG2124" s="1" t="s">
        <v>213</v>
      </c>
      <c r="AH2124" s="1" t="s">
        <v>1419</v>
      </c>
      <c r="AI2124" s="1" t="s">
        <v>206</v>
      </c>
      <c r="AJ2124" s="1" t="s">
        <v>903</v>
      </c>
      <c r="AL2124" s="1">
        <v>5</v>
      </c>
      <c r="AM2124" s="1">
        <v>2</v>
      </c>
      <c r="AN2124" s="1">
        <v>1</v>
      </c>
      <c r="AO2124" s="1">
        <v>0</v>
      </c>
      <c r="AP2124" s="1" t="s">
        <v>210</v>
      </c>
      <c r="AR2124" s="1" t="s">
        <v>210</v>
      </c>
      <c r="AS2124" s="1" t="s">
        <v>204</v>
      </c>
      <c r="AT2124" s="1" t="s">
        <v>271</v>
      </c>
      <c r="AV2124" s="1">
        <v>2</v>
      </c>
      <c r="AW2124" s="1" t="s">
        <v>204</v>
      </c>
      <c r="AX2124" s="1" t="s">
        <v>212</v>
      </c>
      <c r="AZ2124" s="1">
        <v>1655</v>
      </c>
      <c r="BA2124" s="1">
        <v>2013</v>
      </c>
      <c r="BB2124" s="1" t="s">
        <v>210</v>
      </c>
      <c r="BE2124" s="1">
        <v>1090</v>
      </c>
      <c r="BF2124" s="1">
        <v>2</v>
      </c>
      <c r="BG2124" s="1">
        <v>0</v>
      </c>
      <c r="BL2124" s="1">
        <v>272</v>
      </c>
      <c r="BM2124" s="1" t="s">
        <v>204</v>
      </c>
      <c r="BN2124" s="1" t="s">
        <v>213</v>
      </c>
      <c r="BO2124" s="1">
        <v>75</v>
      </c>
      <c r="BP2124" s="1" t="s">
        <v>204</v>
      </c>
      <c r="BR2124" s="1" t="str">
        <f>"1002312057"</f>
        <v>1002312057</v>
      </c>
      <c r="BT2124" s="1" t="s">
        <v>19106</v>
      </c>
      <c r="BU2124" s="1" t="s">
        <v>1423</v>
      </c>
      <c r="BV2124" s="1" t="s">
        <v>1424</v>
      </c>
      <c r="BW2124" s="1" t="s">
        <v>907</v>
      </c>
      <c r="BX2124" s="1">
        <v>180</v>
      </c>
      <c r="BY2124" s="1">
        <v>180</v>
      </c>
      <c r="BZ2124" s="1">
        <v>86</v>
      </c>
      <c r="CB2124" s="1" t="str">
        <f t="shared" ref="CB2124:CC2124" si="1618">"0"</f>
        <v>0</v>
      </c>
      <c r="CC2124" s="1" t="str">
        <f t="shared" si="1618"/>
        <v>0</v>
      </c>
      <c r="CD2124" s="1">
        <v>11</v>
      </c>
      <c r="CE2124" s="1">
        <v>21</v>
      </c>
      <c r="CG2124" s="1" t="s">
        <v>218</v>
      </c>
      <c r="CH2124" s="1" t="s">
        <v>277</v>
      </c>
      <c r="CI2124" s="1" t="s">
        <v>229</v>
      </c>
      <c r="CK2124" s="1" t="s">
        <v>344</v>
      </c>
      <c r="CL2124" s="1" t="s">
        <v>277</v>
      </c>
      <c r="CM2124" s="1" t="s">
        <v>229</v>
      </c>
      <c r="CO2124" s="1" t="s">
        <v>318</v>
      </c>
      <c r="CP2124" s="1" t="s">
        <v>277</v>
      </c>
      <c r="CQ2124" s="1" t="s">
        <v>229</v>
      </c>
      <c r="CS2124" s="1" t="s">
        <v>317</v>
      </c>
      <c r="CT2124" s="1" t="s">
        <v>277</v>
      </c>
      <c r="CU2124" s="1" t="s">
        <v>229</v>
      </c>
      <c r="CX2124" s="1" t="s">
        <v>224</v>
      </c>
      <c r="DB2124" s="1" t="s">
        <v>224</v>
      </c>
      <c r="DE2124" s="1" t="s">
        <v>2031</v>
      </c>
      <c r="DF2124" s="1" t="s">
        <v>277</v>
      </c>
      <c r="DG2124" s="1" t="s">
        <v>229</v>
      </c>
      <c r="DJ2124" s="1" t="s">
        <v>224</v>
      </c>
      <c r="DS2124" s="1" t="s">
        <v>230</v>
      </c>
      <c r="DW2124" s="1" t="s">
        <v>230</v>
      </c>
      <c r="EA2124" s="1" t="s">
        <v>230</v>
      </c>
      <c r="EE2124" s="1" t="s">
        <v>230</v>
      </c>
      <c r="EI2124" s="1" t="s">
        <v>230</v>
      </c>
      <c r="EL2124" s="1" t="s">
        <v>605</v>
      </c>
      <c r="EM2124" s="1" t="s">
        <v>730</v>
      </c>
      <c r="EN2124" s="1" t="s">
        <v>282</v>
      </c>
      <c r="EO2124" s="1" t="s">
        <v>234</v>
      </c>
      <c r="EQ2124" s="1" t="s">
        <v>1109</v>
      </c>
      <c r="ER2124" s="1" t="s">
        <v>210</v>
      </c>
      <c r="ES2124" s="1" t="s">
        <v>608</v>
      </c>
      <c r="EU2124" s="1" t="s">
        <v>12778</v>
      </c>
      <c r="EV2124" s="1" t="s">
        <v>324</v>
      </c>
      <c r="EW2124" s="1" t="s">
        <v>6877</v>
      </c>
      <c r="EY2124" s="1" t="s">
        <v>242</v>
      </c>
      <c r="EZ2124" s="1" t="s">
        <v>287</v>
      </c>
      <c r="FB2124" s="1" t="s">
        <v>1755</v>
      </c>
      <c r="FC2124" s="1" t="s">
        <v>1739</v>
      </c>
      <c r="FD2124" s="1" t="s">
        <v>888</v>
      </c>
      <c r="FE2124" s="1" t="s">
        <v>549</v>
      </c>
      <c r="FF2124" s="1" t="s">
        <v>248</v>
      </c>
      <c r="FH2124" s="1" t="s">
        <v>249</v>
      </c>
      <c r="FK2124" s="1" t="s">
        <v>891</v>
      </c>
      <c r="FL2124" s="1" t="s">
        <v>358</v>
      </c>
      <c r="FM2124" s="1" t="s">
        <v>252</v>
      </c>
      <c r="FN2124" s="1" t="s">
        <v>213</v>
      </c>
      <c r="FO2124" s="1" t="s">
        <v>213</v>
      </c>
      <c r="FQ2124" s="1" t="s">
        <v>19107</v>
      </c>
      <c r="FR2124" s="1" t="s">
        <v>210</v>
      </c>
      <c r="FS2124" s="1" t="s">
        <v>19108</v>
      </c>
      <c r="FT2124" s="1" t="s">
        <v>362</v>
      </c>
      <c r="FU2124" s="1" t="s">
        <v>204</v>
      </c>
      <c r="FV2124" s="1" t="s">
        <v>1520</v>
      </c>
      <c r="FW2124" s="1" t="s">
        <v>1521</v>
      </c>
      <c r="FX2124" s="1">
        <v>16645</v>
      </c>
      <c r="FY2124" s="1" t="s">
        <v>1522</v>
      </c>
      <c r="FZ2124" s="1" t="s">
        <v>1523</v>
      </c>
      <c r="GA2124" s="1">
        <v>144314</v>
      </c>
      <c r="GB2124" s="1" t="s">
        <v>1522</v>
      </c>
      <c r="GD2124" s="1">
        <v>144516</v>
      </c>
      <c r="GE2124" s="1" t="s">
        <v>1256</v>
      </c>
      <c r="GI2124" s="1" t="s">
        <v>204</v>
      </c>
      <c r="GJ2124" s="1" t="s">
        <v>300</v>
      </c>
      <c r="GK2124" s="1" t="s">
        <v>210</v>
      </c>
      <c r="GL2124" s="2">
        <v>42086</v>
      </c>
      <c r="GM2124" s="1" t="s">
        <v>19109</v>
      </c>
    </row>
    <row r="2125" spans="1:195">
      <c r="A2125" s="1">
        <v>178000</v>
      </c>
      <c r="B2125" s="1" t="s">
        <v>195</v>
      </c>
      <c r="C2125" s="1" t="str">
        <f>"08751411"</f>
        <v>08751411</v>
      </c>
      <c r="D2125" s="1" t="s">
        <v>196</v>
      </c>
      <c r="F2125" s="1" t="str">
        <f>"540"</f>
        <v>540</v>
      </c>
      <c r="G2125" s="2">
        <v>41925</v>
      </c>
      <c r="H2125" s="1">
        <v>199900</v>
      </c>
      <c r="I2125" s="1">
        <v>179900</v>
      </c>
      <c r="J2125" s="1">
        <v>178000</v>
      </c>
      <c r="K2125" s="2">
        <v>41925</v>
      </c>
      <c r="L2125" s="1">
        <v>83</v>
      </c>
      <c r="M2125" s="2">
        <v>42007</v>
      </c>
      <c r="N2125" s="1">
        <v>83</v>
      </c>
      <c r="O2125" s="2">
        <v>42007</v>
      </c>
      <c r="P2125" s="1">
        <v>22029</v>
      </c>
      <c r="Q2125" s="1" t="s">
        <v>197</v>
      </c>
      <c r="R2125" s="2">
        <v>42061</v>
      </c>
      <c r="S2125" s="1">
        <v>219587</v>
      </c>
      <c r="T2125" s="1">
        <v>2005</v>
      </c>
      <c r="U2125" s="1">
        <v>945</v>
      </c>
      <c r="V2125" s="1" t="s">
        <v>11364</v>
      </c>
      <c r="W2125" s="1" t="s">
        <v>449</v>
      </c>
      <c r="Y2125" s="1">
        <v>1</v>
      </c>
      <c r="Z2125" s="1" t="s">
        <v>370</v>
      </c>
      <c r="AA2125" s="1" t="s">
        <v>921</v>
      </c>
      <c r="AB2125" s="1">
        <v>60563</v>
      </c>
      <c r="AE2125" s="1" t="s">
        <v>19110</v>
      </c>
      <c r="AF2125" s="1">
        <v>1996</v>
      </c>
      <c r="AG2125" s="1" t="s">
        <v>204</v>
      </c>
      <c r="AH2125" s="1" t="s">
        <v>924</v>
      </c>
      <c r="AI2125" s="1" t="s">
        <v>206</v>
      </c>
      <c r="AJ2125" s="1" t="s">
        <v>924</v>
      </c>
      <c r="AL2125" s="1">
        <v>6</v>
      </c>
      <c r="AM2125" s="1">
        <v>2</v>
      </c>
      <c r="AN2125" s="1">
        <v>2</v>
      </c>
      <c r="AO2125" s="1">
        <v>1</v>
      </c>
      <c r="AP2125" s="1" t="s">
        <v>209</v>
      </c>
      <c r="AR2125" s="1" t="s">
        <v>210</v>
      </c>
      <c r="AS2125" s="1" t="s">
        <v>204</v>
      </c>
      <c r="AT2125" s="1" t="s">
        <v>211</v>
      </c>
      <c r="AU2125" s="1">
        <v>2</v>
      </c>
      <c r="AW2125" s="1" t="s">
        <v>204</v>
      </c>
      <c r="AX2125" s="1" t="s">
        <v>212</v>
      </c>
      <c r="AZ2125" s="1">
        <v>4250</v>
      </c>
      <c r="BA2125" s="1">
        <v>2013</v>
      </c>
      <c r="BE2125" s="1">
        <v>1639</v>
      </c>
      <c r="BF2125" s="1">
        <v>1</v>
      </c>
      <c r="BG2125" s="1">
        <v>0</v>
      </c>
      <c r="BL2125" s="1">
        <v>173</v>
      </c>
      <c r="BM2125" s="1" t="s">
        <v>204</v>
      </c>
      <c r="BN2125" s="1" t="s">
        <v>213</v>
      </c>
      <c r="BO2125" s="1">
        <v>25</v>
      </c>
      <c r="BP2125" s="1" t="s">
        <v>204</v>
      </c>
      <c r="BR2125" s="1" t="str">
        <f>"0710311018"</f>
        <v>0710311018</v>
      </c>
      <c r="BT2125" s="1" t="s">
        <v>19111</v>
      </c>
      <c r="BX2125" s="1">
        <v>204</v>
      </c>
      <c r="BY2125" s="1">
        <v>204</v>
      </c>
      <c r="BZ2125" s="1">
        <v>204</v>
      </c>
      <c r="CB2125" s="1" t="str">
        <f t="shared" ref="CB2125:CC2125" si="1619">"0"</f>
        <v>0</v>
      </c>
      <c r="CC2125" s="1" t="str">
        <f t="shared" si="1619"/>
        <v>0</v>
      </c>
      <c r="CD2125" s="1">
        <v>29</v>
      </c>
      <c r="CE2125" s="1">
        <v>5</v>
      </c>
      <c r="CG2125" s="1" t="s">
        <v>2560</v>
      </c>
      <c r="CH2125" s="1" t="s">
        <v>219</v>
      </c>
      <c r="CI2125" s="1" t="s">
        <v>220</v>
      </c>
      <c r="CK2125" s="1" t="s">
        <v>1533</v>
      </c>
      <c r="CL2125" s="1" t="s">
        <v>277</v>
      </c>
      <c r="CM2125" s="1" t="s">
        <v>220</v>
      </c>
      <c r="CO2125" s="1" t="s">
        <v>379</v>
      </c>
      <c r="CP2125" s="1" t="s">
        <v>219</v>
      </c>
      <c r="CS2125" s="1" t="s">
        <v>2935</v>
      </c>
      <c r="CT2125" s="1" t="s">
        <v>277</v>
      </c>
      <c r="CU2125" s="1" t="s">
        <v>220</v>
      </c>
      <c r="CX2125" s="1" t="s">
        <v>224</v>
      </c>
      <c r="DB2125" s="1" t="s">
        <v>224</v>
      </c>
      <c r="DE2125" s="1" t="s">
        <v>951</v>
      </c>
      <c r="DF2125" s="1" t="s">
        <v>219</v>
      </c>
      <c r="DJ2125" s="1" t="s">
        <v>224</v>
      </c>
      <c r="DM2125" s="1" t="s">
        <v>464</v>
      </c>
      <c r="DR2125" s="1" t="s">
        <v>348</v>
      </c>
      <c r="DS2125" s="1" t="s">
        <v>277</v>
      </c>
      <c r="DT2125" s="1" t="s">
        <v>220</v>
      </c>
      <c r="DW2125" s="1" t="s">
        <v>230</v>
      </c>
      <c r="EA2125" s="1" t="s">
        <v>230</v>
      </c>
      <c r="EE2125" s="1" t="s">
        <v>230</v>
      </c>
      <c r="EI2125" s="1" t="s">
        <v>230</v>
      </c>
      <c r="EL2125" s="1" t="s">
        <v>670</v>
      </c>
      <c r="EM2125" s="1" t="s">
        <v>232</v>
      </c>
      <c r="EN2125" s="1" t="s">
        <v>282</v>
      </c>
      <c r="EO2125" s="1" t="s">
        <v>234</v>
      </c>
      <c r="ER2125" s="1" t="s">
        <v>383</v>
      </c>
      <c r="EW2125" s="1" t="s">
        <v>210</v>
      </c>
      <c r="EZ2125" s="1" t="s">
        <v>464</v>
      </c>
      <c r="FD2125" s="1" t="s">
        <v>246</v>
      </c>
      <c r="FE2125" s="1" t="s">
        <v>355</v>
      </c>
      <c r="FF2125" s="1" t="s">
        <v>248</v>
      </c>
      <c r="FH2125" s="1" t="s">
        <v>940</v>
      </c>
      <c r="FL2125" s="1" t="s">
        <v>414</v>
      </c>
      <c r="FM2125" s="1" t="s">
        <v>252</v>
      </c>
      <c r="FN2125" s="1" t="s">
        <v>213</v>
      </c>
      <c r="FO2125" s="1" t="s">
        <v>213</v>
      </c>
      <c r="FQ2125" s="1" t="s">
        <v>582</v>
      </c>
      <c r="FR2125" s="1" t="s">
        <v>210</v>
      </c>
      <c r="FS2125" s="1" t="s">
        <v>1429</v>
      </c>
      <c r="FT2125" s="1" t="s">
        <v>295</v>
      </c>
      <c r="FU2125" s="1" t="s">
        <v>204</v>
      </c>
      <c r="FW2125" s="1" t="s">
        <v>19112</v>
      </c>
      <c r="FX2125" s="1">
        <v>84077</v>
      </c>
      <c r="FY2125" s="1" t="s">
        <v>19113</v>
      </c>
      <c r="FZ2125" s="1" t="s">
        <v>19114</v>
      </c>
      <c r="GA2125" s="1">
        <v>175275</v>
      </c>
      <c r="GE2125" s="1" t="s">
        <v>210</v>
      </c>
      <c r="GI2125" s="1" t="s">
        <v>213</v>
      </c>
      <c r="GJ2125" s="1" t="s">
        <v>260</v>
      </c>
      <c r="GK2125" s="1" t="s">
        <v>210</v>
      </c>
      <c r="GL2125" s="2">
        <v>42062</v>
      </c>
      <c r="GM2125" s="1" t="s">
        <v>19115</v>
      </c>
    </row>
    <row r="2126" spans="1:195">
      <c r="A2126" s="1">
        <v>123000</v>
      </c>
      <c r="B2126" s="1" t="s">
        <v>195</v>
      </c>
      <c r="C2126" s="1" t="str">
        <f>"08748991"</f>
        <v>08748991</v>
      </c>
      <c r="D2126" s="1" t="s">
        <v>196</v>
      </c>
      <c r="F2126" s="1" t="str">
        <f>"140"</f>
        <v>140</v>
      </c>
      <c r="G2126" s="2">
        <v>41921</v>
      </c>
      <c r="H2126" s="1">
        <v>125000</v>
      </c>
      <c r="I2126" s="1">
        <v>123000</v>
      </c>
      <c r="J2126" s="1">
        <v>123000</v>
      </c>
      <c r="K2126" s="2">
        <v>41921</v>
      </c>
      <c r="L2126" s="1">
        <v>96</v>
      </c>
      <c r="M2126" s="2">
        <v>42016</v>
      </c>
      <c r="N2126" s="1">
        <v>96</v>
      </c>
      <c r="O2126" s="2">
        <v>42016</v>
      </c>
      <c r="P2126" s="1">
        <v>432</v>
      </c>
      <c r="Q2126" s="1" t="s">
        <v>197</v>
      </c>
      <c r="R2126" s="2">
        <v>42054</v>
      </c>
      <c r="S2126" s="1">
        <v>1488</v>
      </c>
      <c r="U2126" s="1">
        <v>462</v>
      </c>
      <c r="V2126" s="1" t="s">
        <v>3064</v>
      </c>
      <c r="W2126" s="1" t="s">
        <v>264</v>
      </c>
      <c r="X2126" s="1">
        <v>462</v>
      </c>
      <c r="Y2126" s="1">
        <v>4</v>
      </c>
      <c r="Z2126" s="1" t="s">
        <v>370</v>
      </c>
      <c r="AA2126" s="1" t="s">
        <v>744</v>
      </c>
      <c r="AB2126" s="1">
        <v>60140</v>
      </c>
      <c r="AD2126" s="1" t="s">
        <v>745</v>
      </c>
      <c r="AE2126" s="1" t="s">
        <v>19116</v>
      </c>
      <c r="AF2126" s="1">
        <v>2006</v>
      </c>
      <c r="AG2126" s="1" t="s">
        <v>204</v>
      </c>
      <c r="AH2126" s="1" t="s">
        <v>747</v>
      </c>
      <c r="AI2126" s="1" t="s">
        <v>665</v>
      </c>
      <c r="AJ2126" s="1" t="s">
        <v>748</v>
      </c>
      <c r="AK2126" s="1" t="s">
        <v>749</v>
      </c>
      <c r="AL2126" s="1">
        <v>6</v>
      </c>
      <c r="AM2126" s="1">
        <v>2</v>
      </c>
      <c r="AN2126" s="1">
        <v>2</v>
      </c>
      <c r="AO2126" s="1">
        <v>1</v>
      </c>
      <c r="AP2126" s="1" t="s">
        <v>209</v>
      </c>
      <c r="AQ2126" s="1">
        <v>1</v>
      </c>
      <c r="AR2126" s="1" t="s">
        <v>210</v>
      </c>
      <c r="AS2126" s="1" t="s">
        <v>204</v>
      </c>
      <c r="AT2126" s="1" t="s">
        <v>211</v>
      </c>
      <c r="AU2126" s="1">
        <v>2</v>
      </c>
      <c r="AW2126" s="1" t="s">
        <v>204</v>
      </c>
      <c r="AX2126" s="1" t="s">
        <v>212</v>
      </c>
      <c r="AZ2126" s="1">
        <v>5037</v>
      </c>
      <c r="BA2126" s="1">
        <v>2013</v>
      </c>
      <c r="BB2126" s="1" t="s">
        <v>405</v>
      </c>
      <c r="BE2126" s="1">
        <v>1518</v>
      </c>
      <c r="BF2126" s="1">
        <v>1</v>
      </c>
      <c r="BG2126" s="1">
        <v>0</v>
      </c>
      <c r="BL2126" s="1">
        <v>201</v>
      </c>
      <c r="BM2126" s="1" t="s">
        <v>213</v>
      </c>
      <c r="BN2126" s="1" t="s">
        <v>213</v>
      </c>
      <c r="BO2126" s="1">
        <v>100</v>
      </c>
      <c r="BP2126" s="1" t="s">
        <v>204</v>
      </c>
      <c r="BR2126" s="1" t="str">
        <f>"0228331030"</f>
        <v>0228331030</v>
      </c>
      <c r="BT2126" s="1" t="s">
        <v>19117</v>
      </c>
      <c r="BX2126" s="1">
        <v>300</v>
      </c>
      <c r="BY2126" s="1">
        <v>300</v>
      </c>
      <c r="BZ2126" s="1">
        <v>300</v>
      </c>
      <c r="CB2126" s="1" t="str">
        <f>"15"</f>
        <v>15</v>
      </c>
      <c r="CC2126" s="1" t="str">
        <f t="shared" ref="CC2126:CC2127" si="1620">"0"</f>
        <v>0</v>
      </c>
      <c r="CD2126" s="1">
        <v>42</v>
      </c>
      <c r="CE2126" s="1">
        <v>0</v>
      </c>
      <c r="CG2126" s="1" t="s">
        <v>932</v>
      </c>
      <c r="CH2126" s="1" t="s">
        <v>219</v>
      </c>
      <c r="CI2126" s="1" t="s">
        <v>220</v>
      </c>
      <c r="CK2126" s="1" t="s">
        <v>344</v>
      </c>
      <c r="CL2126" s="1" t="s">
        <v>277</v>
      </c>
      <c r="CM2126" s="1" t="s">
        <v>220</v>
      </c>
      <c r="CO2126" s="1" t="s">
        <v>281</v>
      </c>
      <c r="CP2126" s="1" t="s">
        <v>219</v>
      </c>
      <c r="CQ2126" s="1" t="s">
        <v>226</v>
      </c>
      <c r="CS2126" s="1" t="s">
        <v>379</v>
      </c>
      <c r="CT2126" s="1" t="s">
        <v>277</v>
      </c>
      <c r="CU2126" s="1" t="s">
        <v>220</v>
      </c>
      <c r="CX2126" s="1" t="s">
        <v>224</v>
      </c>
      <c r="DB2126" s="1" t="s">
        <v>224</v>
      </c>
      <c r="DE2126" s="1" t="s">
        <v>2138</v>
      </c>
      <c r="DF2126" s="1" t="s">
        <v>219</v>
      </c>
      <c r="DG2126" s="1" t="s">
        <v>226</v>
      </c>
      <c r="DJ2126" s="1" t="s">
        <v>224</v>
      </c>
      <c r="DM2126" s="1" t="s">
        <v>464</v>
      </c>
      <c r="DR2126" s="1" t="s">
        <v>346</v>
      </c>
      <c r="DS2126" s="1" t="s">
        <v>277</v>
      </c>
      <c r="DT2126" s="1" t="s">
        <v>220</v>
      </c>
      <c r="DW2126" s="1" t="s">
        <v>230</v>
      </c>
      <c r="EA2126" s="1" t="s">
        <v>230</v>
      </c>
      <c r="EE2126" s="1" t="s">
        <v>230</v>
      </c>
      <c r="EI2126" s="1" t="s">
        <v>230</v>
      </c>
      <c r="EL2126" s="1" t="s">
        <v>491</v>
      </c>
      <c r="EM2126" s="1" t="s">
        <v>319</v>
      </c>
      <c r="EN2126" s="1" t="s">
        <v>282</v>
      </c>
      <c r="EO2126" s="1" t="s">
        <v>347</v>
      </c>
      <c r="EP2126" s="1" t="s">
        <v>19118</v>
      </c>
      <c r="EQ2126" s="1" t="s">
        <v>492</v>
      </c>
      <c r="ER2126" s="1" t="s">
        <v>383</v>
      </c>
      <c r="ES2126" s="1" t="s">
        <v>865</v>
      </c>
      <c r="EU2126" s="1" t="s">
        <v>610</v>
      </c>
      <c r="EV2126" s="1" t="s">
        <v>240</v>
      </c>
      <c r="EW2126" s="1" t="s">
        <v>19119</v>
      </c>
      <c r="EY2126" s="1" t="s">
        <v>242</v>
      </c>
      <c r="EZ2126" s="1" t="s">
        <v>464</v>
      </c>
      <c r="FA2126" s="1" t="s">
        <v>471</v>
      </c>
      <c r="FD2126" s="1" t="s">
        <v>246</v>
      </c>
      <c r="FE2126" s="1" t="s">
        <v>247</v>
      </c>
      <c r="FF2126" s="1" t="s">
        <v>248</v>
      </c>
      <c r="FG2126" s="1" t="s">
        <v>939</v>
      </c>
      <c r="FH2126" s="1" t="s">
        <v>550</v>
      </c>
      <c r="FI2126" s="1" t="s">
        <v>357</v>
      </c>
      <c r="FJ2126" s="1" t="s">
        <v>518</v>
      </c>
      <c r="FL2126" s="1" t="s">
        <v>358</v>
      </c>
      <c r="FM2126" s="1" t="s">
        <v>252</v>
      </c>
      <c r="FN2126" s="1" t="s">
        <v>213</v>
      </c>
      <c r="FO2126" s="1" t="s">
        <v>213</v>
      </c>
      <c r="FQ2126" s="1" t="s">
        <v>293</v>
      </c>
      <c r="FR2126" s="1" t="s">
        <v>652</v>
      </c>
      <c r="FS2126" s="1" t="s">
        <v>5061</v>
      </c>
      <c r="FT2126" s="1" t="s">
        <v>295</v>
      </c>
      <c r="FU2126" s="1" t="s">
        <v>204</v>
      </c>
      <c r="FW2126" s="1" t="s">
        <v>256</v>
      </c>
      <c r="FX2126" s="1">
        <v>8079</v>
      </c>
      <c r="FY2126" s="1" t="s">
        <v>3625</v>
      </c>
      <c r="FZ2126" s="1" t="s">
        <v>5062</v>
      </c>
      <c r="GA2126" s="1">
        <v>920884</v>
      </c>
      <c r="GB2126" s="1" t="s">
        <v>5063</v>
      </c>
      <c r="GE2126" s="1" t="s">
        <v>480</v>
      </c>
      <c r="GI2126" s="1" t="s">
        <v>213</v>
      </c>
      <c r="GJ2126" s="1" t="s">
        <v>260</v>
      </c>
      <c r="GK2126" s="1" t="s">
        <v>261</v>
      </c>
      <c r="GL2126" s="2">
        <v>42054</v>
      </c>
    </row>
    <row r="2127" spans="1:195">
      <c r="A2127" s="1">
        <v>89500</v>
      </c>
      <c r="B2127" s="1" t="s">
        <v>195</v>
      </c>
      <c r="C2127" s="1" t="str">
        <f>"08746337"</f>
        <v>08746337</v>
      </c>
      <c r="D2127" s="1" t="s">
        <v>196</v>
      </c>
      <c r="F2127" s="1" t="str">
        <f>"176"</f>
        <v>176</v>
      </c>
      <c r="G2127" s="2">
        <v>41918</v>
      </c>
      <c r="H2127" s="1">
        <v>109000</v>
      </c>
      <c r="I2127" s="1">
        <v>109000</v>
      </c>
      <c r="J2127" s="1">
        <v>89500</v>
      </c>
      <c r="K2127" s="2">
        <v>41918</v>
      </c>
      <c r="L2127" s="1">
        <v>9</v>
      </c>
      <c r="M2127" s="2">
        <v>41926</v>
      </c>
      <c r="N2127" s="1">
        <v>9</v>
      </c>
      <c r="O2127" s="2">
        <v>41926</v>
      </c>
      <c r="P2127" s="1">
        <v>24819</v>
      </c>
      <c r="Q2127" s="1" t="s">
        <v>197</v>
      </c>
      <c r="R2127" s="2">
        <v>41978</v>
      </c>
      <c r="S2127" s="1">
        <v>237270</v>
      </c>
      <c r="U2127" s="1">
        <v>9421</v>
      </c>
      <c r="V2127" s="1" t="s">
        <v>19120</v>
      </c>
      <c r="W2127" s="1" t="s">
        <v>504</v>
      </c>
      <c r="X2127" s="1">
        <v>3153</v>
      </c>
      <c r="Y2127" s="1">
        <v>6</v>
      </c>
      <c r="Z2127" s="1" t="s">
        <v>249</v>
      </c>
      <c r="AA2127" s="1" t="s">
        <v>306</v>
      </c>
      <c r="AB2127" s="1">
        <v>60176</v>
      </c>
      <c r="AD2127" s="1" t="s">
        <v>11024</v>
      </c>
      <c r="AE2127" s="1" t="s">
        <v>19121</v>
      </c>
      <c r="AF2127" s="1">
        <v>1982</v>
      </c>
      <c r="AG2127" s="1" t="s">
        <v>204</v>
      </c>
      <c r="AH2127" s="1" t="s">
        <v>309</v>
      </c>
      <c r="AI2127" s="1" t="s">
        <v>310</v>
      </c>
      <c r="AJ2127" s="1" t="s">
        <v>311</v>
      </c>
      <c r="AL2127" s="1">
        <v>5</v>
      </c>
      <c r="AM2127" s="1">
        <v>2</v>
      </c>
      <c r="AN2127" s="1">
        <v>1</v>
      </c>
      <c r="AO2127" s="1">
        <v>0</v>
      </c>
      <c r="AP2127" s="1" t="s">
        <v>210</v>
      </c>
      <c r="AR2127" s="1" t="s">
        <v>209</v>
      </c>
      <c r="AS2127" s="1" t="s">
        <v>204</v>
      </c>
      <c r="AT2127" s="1" t="s">
        <v>271</v>
      </c>
      <c r="AV2127" s="1">
        <v>2</v>
      </c>
      <c r="AW2127" s="1" t="s">
        <v>204</v>
      </c>
      <c r="AX2127" s="1" t="s">
        <v>212</v>
      </c>
      <c r="AZ2127" s="1">
        <v>1258.22</v>
      </c>
      <c r="BA2127" s="1">
        <v>2013</v>
      </c>
      <c r="BB2127" s="1" t="s">
        <v>405</v>
      </c>
      <c r="BE2127" s="1">
        <v>750</v>
      </c>
      <c r="BF2127" s="1">
        <v>2</v>
      </c>
      <c r="BG2127" s="1">
        <v>30</v>
      </c>
      <c r="BL2127" s="1">
        <v>227</v>
      </c>
      <c r="BM2127" s="1" t="s">
        <v>204</v>
      </c>
      <c r="BN2127" s="1" t="s">
        <v>213</v>
      </c>
      <c r="BO2127" s="1">
        <v>60</v>
      </c>
      <c r="BP2127" s="1" t="s">
        <v>204</v>
      </c>
      <c r="BR2127" s="1" t="str">
        <f>"12103140231059"</f>
        <v>12103140231059</v>
      </c>
      <c r="BT2127" s="1" t="s">
        <v>19122</v>
      </c>
      <c r="BX2127" s="1">
        <v>81</v>
      </c>
      <c r="BY2127" s="1">
        <v>81</v>
      </c>
      <c r="BZ2127" s="1">
        <v>212</v>
      </c>
      <c r="CB2127" s="1" t="str">
        <f>"4800"</f>
        <v>4800</v>
      </c>
      <c r="CC2127" s="1" t="str">
        <f t="shared" si="1620"/>
        <v>0</v>
      </c>
      <c r="CD2127" s="1">
        <v>9421</v>
      </c>
      <c r="CE2127" s="1">
        <v>0</v>
      </c>
      <c r="CG2127" s="1" t="s">
        <v>729</v>
      </c>
      <c r="CH2127" s="1" t="s">
        <v>219</v>
      </c>
      <c r="CI2127" s="1" t="s">
        <v>438</v>
      </c>
      <c r="CK2127" s="1" t="s">
        <v>1358</v>
      </c>
      <c r="CL2127" s="1" t="s">
        <v>219</v>
      </c>
      <c r="CM2127" s="1" t="s">
        <v>438</v>
      </c>
      <c r="CO2127" s="1" t="s">
        <v>516</v>
      </c>
      <c r="CP2127" s="1" t="s">
        <v>219</v>
      </c>
      <c r="CQ2127" s="1" t="s">
        <v>438</v>
      </c>
      <c r="CS2127" s="1" t="s">
        <v>2138</v>
      </c>
      <c r="CT2127" s="1" t="s">
        <v>219</v>
      </c>
      <c r="CU2127" s="1" t="s">
        <v>438</v>
      </c>
      <c r="CX2127" s="1" t="s">
        <v>224</v>
      </c>
      <c r="DB2127" s="1" t="s">
        <v>224</v>
      </c>
      <c r="DE2127" s="1" t="s">
        <v>516</v>
      </c>
      <c r="DF2127" s="1" t="s">
        <v>219</v>
      </c>
      <c r="DG2127" s="1" t="s">
        <v>438</v>
      </c>
      <c r="DJ2127" s="1" t="s">
        <v>224</v>
      </c>
      <c r="DS2127" s="1" t="s">
        <v>230</v>
      </c>
      <c r="DW2127" s="1" t="s">
        <v>230</v>
      </c>
      <c r="EA2127" s="1" t="s">
        <v>230</v>
      </c>
      <c r="EE2127" s="1" t="s">
        <v>230</v>
      </c>
      <c r="EI2127" s="1" t="s">
        <v>230</v>
      </c>
      <c r="EL2127" s="1" t="s">
        <v>231</v>
      </c>
      <c r="EM2127" s="1" t="s">
        <v>319</v>
      </c>
      <c r="EN2127" s="1" t="s">
        <v>282</v>
      </c>
      <c r="EO2127" s="1" t="s">
        <v>234</v>
      </c>
      <c r="EP2127" s="1" t="s">
        <v>19123</v>
      </c>
      <c r="EQ2127" s="1" t="s">
        <v>350</v>
      </c>
      <c r="ER2127" s="1" t="s">
        <v>544</v>
      </c>
      <c r="ES2127" s="1" t="s">
        <v>493</v>
      </c>
      <c r="EU2127" s="1" t="s">
        <v>1110</v>
      </c>
      <c r="EV2127" s="1" t="s">
        <v>240</v>
      </c>
      <c r="EW2127" s="1" t="s">
        <v>19124</v>
      </c>
      <c r="EZ2127" s="1" t="s">
        <v>287</v>
      </c>
      <c r="FB2127" s="1" t="s">
        <v>244</v>
      </c>
      <c r="FD2127" s="1" t="s">
        <v>246</v>
      </c>
      <c r="FE2127" s="1" t="s">
        <v>247</v>
      </c>
      <c r="FF2127" s="1" t="s">
        <v>248</v>
      </c>
      <c r="FH2127" s="1" t="s">
        <v>716</v>
      </c>
      <c r="FK2127" s="1" t="s">
        <v>891</v>
      </c>
      <c r="FL2127" s="1" t="s">
        <v>292</v>
      </c>
      <c r="FM2127" s="1" t="s">
        <v>252</v>
      </c>
      <c r="FN2127" s="1" t="s">
        <v>213</v>
      </c>
      <c r="FO2127" s="1" t="s">
        <v>213</v>
      </c>
      <c r="FQ2127" s="1" t="s">
        <v>1599</v>
      </c>
      <c r="FR2127" s="1" t="s">
        <v>210</v>
      </c>
      <c r="FS2127" s="1" t="s">
        <v>1429</v>
      </c>
      <c r="FT2127" s="1" t="s">
        <v>255</v>
      </c>
      <c r="FU2127" s="1" t="s">
        <v>204</v>
      </c>
      <c r="FW2127" s="1" t="s">
        <v>1637</v>
      </c>
      <c r="FX2127" s="1">
        <v>10267</v>
      </c>
      <c r="FY2127" s="1" t="s">
        <v>12802</v>
      </c>
      <c r="FZ2127" s="1" t="s">
        <v>19125</v>
      </c>
      <c r="GA2127" s="1">
        <v>149158</v>
      </c>
      <c r="GB2127" s="1" t="s">
        <v>19126</v>
      </c>
      <c r="GE2127" s="1" t="s">
        <v>210</v>
      </c>
      <c r="GI2127" s="1" t="s">
        <v>213</v>
      </c>
      <c r="GJ2127" s="1" t="s">
        <v>260</v>
      </c>
      <c r="GK2127" s="1" t="s">
        <v>210</v>
      </c>
      <c r="GL2127" s="2">
        <v>41981</v>
      </c>
    </row>
    <row r="2128" spans="1:195">
      <c r="A2128" s="1">
        <v>118500</v>
      </c>
      <c r="B2128" s="1" t="s">
        <v>195</v>
      </c>
      <c r="C2128" s="1" t="str">
        <f>"08745068"</f>
        <v>08745068</v>
      </c>
      <c r="D2128" s="1" t="s">
        <v>196</v>
      </c>
      <c r="F2128" s="1" t="str">
        <f>"538"</f>
        <v>538</v>
      </c>
      <c r="G2128" s="2">
        <v>41916</v>
      </c>
      <c r="H2128" s="1">
        <v>139900</v>
      </c>
      <c r="I2128" s="1">
        <v>119900</v>
      </c>
      <c r="J2128" s="1">
        <v>118500</v>
      </c>
      <c r="K2128" s="2">
        <v>41916</v>
      </c>
      <c r="L2128" s="1">
        <v>110</v>
      </c>
      <c r="M2128" s="2">
        <v>42025</v>
      </c>
      <c r="N2128" s="1">
        <v>110</v>
      </c>
      <c r="O2128" s="2">
        <v>42025</v>
      </c>
      <c r="P2128" s="1">
        <v>23803</v>
      </c>
      <c r="Q2128" s="1" t="s">
        <v>302</v>
      </c>
      <c r="R2128" s="2">
        <v>42065</v>
      </c>
      <c r="S2128" s="1">
        <v>259353</v>
      </c>
      <c r="U2128" s="1">
        <v>1955</v>
      </c>
      <c r="V2128" s="1" t="s">
        <v>19127</v>
      </c>
      <c r="W2128" s="1" t="s">
        <v>449</v>
      </c>
      <c r="Y2128" s="1">
        <v>4</v>
      </c>
      <c r="Z2128" s="1" t="s">
        <v>370</v>
      </c>
      <c r="AA2128" s="1" t="s">
        <v>450</v>
      </c>
      <c r="AB2128" s="1">
        <v>60538</v>
      </c>
      <c r="AD2128" s="1" t="s">
        <v>19128</v>
      </c>
      <c r="AE2128" s="1" t="s">
        <v>19129</v>
      </c>
      <c r="AF2128" s="1">
        <v>2006</v>
      </c>
      <c r="AG2128" s="1" t="s">
        <v>204</v>
      </c>
      <c r="AH2128" s="1" t="s">
        <v>452</v>
      </c>
      <c r="AI2128" s="1" t="s">
        <v>665</v>
      </c>
      <c r="AJ2128" s="1" t="s">
        <v>3240</v>
      </c>
      <c r="AL2128" s="1">
        <v>6</v>
      </c>
      <c r="AM2128" s="1">
        <v>2</v>
      </c>
      <c r="AN2128" s="1">
        <v>2</v>
      </c>
      <c r="AO2128" s="1">
        <v>1</v>
      </c>
      <c r="AP2128" s="1" t="s">
        <v>209</v>
      </c>
      <c r="AQ2128" s="1">
        <v>1</v>
      </c>
      <c r="AR2128" s="1" t="s">
        <v>210</v>
      </c>
      <c r="AS2128" s="1" t="s">
        <v>204</v>
      </c>
      <c r="AT2128" s="1" t="s">
        <v>211</v>
      </c>
      <c r="AU2128" s="1">
        <v>2</v>
      </c>
      <c r="AW2128" s="1" t="s">
        <v>204</v>
      </c>
      <c r="AX2128" s="1" t="s">
        <v>212</v>
      </c>
      <c r="AZ2128" s="1">
        <v>4232.26</v>
      </c>
      <c r="BA2128" s="1">
        <v>2013</v>
      </c>
      <c r="BB2128" s="1" t="s">
        <v>405</v>
      </c>
      <c r="BE2128" s="1">
        <v>1581</v>
      </c>
      <c r="BF2128" s="1">
        <v>1</v>
      </c>
      <c r="BG2128" s="1">
        <v>2</v>
      </c>
      <c r="BL2128" s="1">
        <v>147</v>
      </c>
      <c r="BM2128" s="1" t="s">
        <v>204</v>
      </c>
      <c r="BN2128" s="1" t="s">
        <v>213</v>
      </c>
      <c r="BO2128" s="1" t="s">
        <v>5590</v>
      </c>
      <c r="BP2128" s="1" t="s">
        <v>204</v>
      </c>
      <c r="BR2128" s="1" t="str">
        <f>"1434482045"</f>
        <v>1434482045</v>
      </c>
      <c r="BT2128" s="1" t="s">
        <v>19130</v>
      </c>
      <c r="BX2128" s="1">
        <v>115</v>
      </c>
      <c r="BY2128" s="1">
        <v>115</v>
      </c>
      <c r="BZ2128" s="1">
        <v>115</v>
      </c>
      <c r="CB2128" s="1" t="str">
        <f t="shared" ref="CB2128:CC2128" si="1621">"0"</f>
        <v>0</v>
      </c>
      <c r="CC2128" s="1" t="str">
        <f t="shared" si="1621"/>
        <v>0</v>
      </c>
      <c r="CD2128" s="1">
        <v>37</v>
      </c>
      <c r="CE2128" s="1">
        <v>7</v>
      </c>
      <c r="CG2128" s="1" t="s">
        <v>1177</v>
      </c>
      <c r="CH2128" s="1" t="s">
        <v>219</v>
      </c>
      <c r="CI2128" s="1" t="s">
        <v>220</v>
      </c>
      <c r="CK2128" s="1" t="s">
        <v>1200</v>
      </c>
      <c r="CL2128" s="1" t="s">
        <v>277</v>
      </c>
      <c r="CM2128" s="1" t="s">
        <v>220</v>
      </c>
      <c r="CO2128" s="1" t="s">
        <v>1046</v>
      </c>
      <c r="CP2128" s="1" t="s">
        <v>219</v>
      </c>
      <c r="CQ2128" s="1" t="s">
        <v>220</v>
      </c>
      <c r="CS2128" s="1" t="s">
        <v>2170</v>
      </c>
      <c r="CT2128" s="1" t="s">
        <v>277</v>
      </c>
      <c r="CU2128" s="1" t="s">
        <v>220</v>
      </c>
      <c r="CX2128" s="1" t="s">
        <v>224</v>
      </c>
      <c r="DB2128" s="1" t="s">
        <v>224</v>
      </c>
      <c r="DE2128" s="1" t="s">
        <v>2170</v>
      </c>
      <c r="DF2128" s="1" t="s">
        <v>219</v>
      </c>
      <c r="DJ2128" s="1" t="s">
        <v>224</v>
      </c>
      <c r="DM2128" s="1" t="s">
        <v>464</v>
      </c>
      <c r="DR2128" s="1" t="s">
        <v>1854</v>
      </c>
      <c r="DS2128" s="1" t="s">
        <v>277</v>
      </c>
      <c r="DT2128" s="1" t="s">
        <v>220</v>
      </c>
      <c r="DW2128" s="1" t="s">
        <v>230</v>
      </c>
      <c r="EA2128" s="1" t="s">
        <v>230</v>
      </c>
      <c r="EE2128" s="1" t="s">
        <v>230</v>
      </c>
      <c r="EI2128" s="1" t="s">
        <v>230</v>
      </c>
      <c r="EL2128" s="1" t="s">
        <v>491</v>
      </c>
      <c r="EM2128" s="1" t="s">
        <v>319</v>
      </c>
      <c r="EN2128" s="1" t="s">
        <v>282</v>
      </c>
      <c r="EO2128" s="1" t="s">
        <v>234</v>
      </c>
      <c r="EP2128" s="1" t="s">
        <v>1268</v>
      </c>
      <c r="EQ2128" s="1" t="s">
        <v>953</v>
      </c>
      <c r="ER2128" s="1" t="s">
        <v>383</v>
      </c>
      <c r="ES2128" s="1" t="s">
        <v>824</v>
      </c>
      <c r="ET2128" s="1" t="s">
        <v>842</v>
      </c>
      <c r="EV2128" s="1" t="s">
        <v>240</v>
      </c>
      <c r="EW2128" s="1" t="s">
        <v>353</v>
      </c>
      <c r="EY2128" s="1" t="s">
        <v>242</v>
      </c>
      <c r="EZ2128" s="1" t="s">
        <v>464</v>
      </c>
      <c r="FB2128" s="1" t="s">
        <v>289</v>
      </c>
      <c r="FD2128" s="1" t="s">
        <v>246</v>
      </c>
      <c r="FE2128" s="1" t="s">
        <v>247</v>
      </c>
      <c r="FF2128" s="1" t="s">
        <v>248</v>
      </c>
      <c r="FH2128" s="1" t="s">
        <v>550</v>
      </c>
      <c r="FI2128" s="1" t="s">
        <v>3300</v>
      </c>
      <c r="FL2128" s="1" t="s">
        <v>358</v>
      </c>
      <c r="FM2128" s="1" t="s">
        <v>252</v>
      </c>
      <c r="FN2128" s="1" t="s">
        <v>213</v>
      </c>
      <c r="FO2128" s="1" t="s">
        <v>213</v>
      </c>
      <c r="FQ2128" s="1" t="s">
        <v>7233</v>
      </c>
      <c r="FR2128" s="1" t="s">
        <v>210</v>
      </c>
      <c r="FS2128" s="1" t="s">
        <v>19131</v>
      </c>
      <c r="FT2128" s="1" t="s">
        <v>295</v>
      </c>
      <c r="FU2128" s="1" t="s">
        <v>204</v>
      </c>
      <c r="FW2128" s="1" t="s">
        <v>7235</v>
      </c>
      <c r="FX2128" s="1">
        <v>303</v>
      </c>
      <c r="FY2128" s="1" t="s">
        <v>7236</v>
      </c>
      <c r="FZ2128" s="1" t="s">
        <v>7237</v>
      </c>
      <c r="GA2128" s="1">
        <v>8523</v>
      </c>
      <c r="GB2128" s="1" t="s">
        <v>7238</v>
      </c>
      <c r="GE2128" s="1" t="s">
        <v>480</v>
      </c>
      <c r="GI2128" s="1" t="s">
        <v>204</v>
      </c>
      <c r="GJ2128" s="1" t="s">
        <v>260</v>
      </c>
      <c r="GK2128" s="1" t="s">
        <v>210</v>
      </c>
      <c r="GL2128" s="2">
        <v>42069</v>
      </c>
      <c r="GM2128" s="1" t="s">
        <v>19132</v>
      </c>
    </row>
    <row r="2129" spans="1:195">
      <c r="A2129" s="1">
        <v>212000</v>
      </c>
      <c r="B2129" s="1" t="s">
        <v>195</v>
      </c>
      <c r="C2129" s="1" t="str">
        <f>"08752329"</f>
        <v>08752329</v>
      </c>
      <c r="D2129" s="1" t="s">
        <v>196</v>
      </c>
      <c r="F2129" s="1" t="str">
        <f>"154"</f>
        <v>154</v>
      </c>
      <c r="G2129" s="2">
        <v>41926</v>
      </c>
      <c r="H2129" s="1">
        <v>222500</v>
      </c>
      <c r="I2129" s="1">
        <v>222500</v>
      </c>
      <c r="J2129" s="1">
        <v>212000</v>
      </c>
      <c r="K2129" s="2">
        <v>41925</v>
      </c>
      <c r="L2129" s="1">
        <v>99</v>
      </c>
      <c r="M2129" s="2">
        <v>42023</v>
      </c>
      <c r="N2129" s="1">
        <v>99</v>
      </c>
      <c r="O2129" s="2">
        <v>42023</v>
      </c>
      <c r="P2129" s="1">
        <v>23610</v>
      </c>
      <c r="Q2129" s="1" t="s">
        <v>197</v>
      </c>
      <c r="R2129" s="2">
        <v>42083</v>
      </c>
      <c r="S2129" s="1">
        <v>240257</v>
      </c>
      <c r="U2129" s="1">
        <v>2838</v>
      </c>
      <c r="V2129" s="1" t="s">
        <v>19133</v>
      </c>
      <c r="W2129" s="1" t="s">
        <v>304</v>
      </c>
      <c r="Y2129" s="1">
        <v>6</v>
      </c>
      <c r="Z2129" s="1" t="s">
        <v>249</v>
      </c>
      <c r="AA2129" s="1" t="s">
        <v>1190</v>
      </c>
      <c r="AB2129" s="1">
        <v>60154</v>
      </c>
      <c r="AD2129" s="1" t="s">
        <v>4727</v>
      </c>
      <c r="AE2129" s="1" t="s">
        <v>19134</v>
      </c>
      <c r="AF2129" s="1">
        <v>1985</v>
      </c>
      <c r="AG2129" s="1" t="s">
        <v>204</v>
      </c>
      <c r="AH2129" s="1" t="s">
        <v>1193</v>
      </c>
      <c r="AI2129" s="1" t="s">
        <v>310</v>
      </c>
      <c r="AJ2129" s="1" t="s">
        <v>429</v>
      </c>
      <c r="AK2129" s="1" t="s">
        <v>6170</v>
      </c>
      <c r="AL2129" s="1">
        <v>8</v>
      </c>
      <c r="AM2129" s="1">
        <v>2</v>
      </c>
      <c r="AN2129" s="1">
        <v>2</v>
      </c>
      <c r="AO2129" s="1">
        <v>0</v>
      </c>
      <c r="AP2129" s="1" t="s">
        <v>455</v>
      </c>
      <c r="AQ2129" s="1">
        <v>1</v>
      </c>
      <c r="AR2129" s="1" t="s">
        <v>209</v>
      </c>
      <c r="AS2129" s="1" t="s">
        <v>204</v>
      </c>
      <c r="AT2129" s="1" t="s">
        <v>211</v>
      </c>
      <c r="AU2129" s="1">
        <v>1</v>
      </c>
      <c r="AW2129" s="1" t="s">
        <v>204</v>
      </c>
      <c r="AX2129" s="1" t="s">
        <v>19135</v>
      </c>
      <c r="AZ2129" s="1">
        <v>4431.9799999999996</v>
      </c>
      <c r="BA2129" s="1">
        <v>2013</v>
      </c>
      <c r="BB2129" s="1" t="s">
        <v>405</v>
      </c>
      <c r="BE2129" s="1">
        <v>0</v>
      </c>
      <c r="BF2129" s="1">
        <v>1</v>
      </c>
      <c r="BG2129" s="1">
        <v>30</v>
      </c>
      <c r="BL2129" s="1">
        <v>150</v>
      </c>
      <c r="BM2129" s="1" t="s">
        <v>204</v>
      </c>
      <c r="BN2129" s="1" t="s">
        <v>213</v>
      </c>
      <c r="BO2129" s="1">
        <v>40</v>
      </c>
      <c r="BP2129" s="1" t="s">
        <v>204</v>
      </c>
      <c r="BR2129" s="1" t="str">
        <f>"15293240080000"</f>
        <v>15293240080000</v>
      </c>
      <c r="BT2129" s="1" t="s">
        <v>19136</v>
      </c>
      <c r="BU2129" s="1" t="s">
        <v>1198</v>
      </c>
      <c r="BV2129" s="1" t="s">
        <v>1195</v>
      </c>
      <c r="BW2129" s="1" t="s">
        <v>1197</v>
      </c>
      <c r="BX2129" s="1">
        <v>92.5</v>
      </c>
      <c r="BY2129" s="1">
        <v>92.5</v>
      </c>
      <c r="BZ2129" s="1">
        <v>209</v>
      </c>
      <c r="CB2129" s="1" t="str">
        <f t="shared" ref="CB2129:CC2129" si="1622">""</f>
        <v/>
      </c>
      <c r="CC2129" s="1" t="str">
        <f t="shared" si="1622"/>
        <v/>
      </c>
      <c r="CG2129" s="1" t="s">
        <v>729</v>
      </c>
      <c r="CH2129" s="1" t="s">
        <v>219</v>
      </c>
      <c r="CI2129" s="1" t="s">
        <v>220</v>
      </c>
      <c r="CJ2129" s="1" t="s">
        <v>343</v>
      </c>
      <c r="CK2129" s="1" t="s">
        <v>932</v>
      </c>
      <c r="CL2129" s="1" t="s">
        <v>277</v>
      </c>
      <c r="CM2129" s="1" t="s">
        <v>220</v>
      </c>
      <c r="CN2129" s="1" t="s">
        <v>343</v>
      </c>
      <c r="CO2129" s="1" t="s">
        <v>1358</v>
      </c>
      <c r="CP2129" s="1" t="s">
        <v>219</v>
      </c>
      <c r="CQ2129" s="1" t="s">
        <v>220</v>
      </c>
      <c r="CS2129" s="1" t="s">
        <v>378</v>
      </c>
      <c r="CT2129" s="1" t="s">
        <v>219</v>
      </c>
      <c r="CU2129" s="1" t="s">
        <v>220</v>
      </c>
      <c r="CV2129" s="1" t="s">
        <v>343</v>
      </c>
      <c r="CX2129" s="1" t="s">
        <v>224</v>
      </c>
      <c r="DB2129" s="1" t="s">
        <v>224</v>
      </c>
      <c r="DE2129" s="1" t="s">
        <v>465</v>
      </c>
      <c r="DF2129" s="1" t="s">
        <v>219</v>
      </c>
      <c r="DG2129" s="1" t="s">
        <v>342</v>
      </c>
      <c r="DH2129" s="1" t="s">
        <v>343</v>
      </c>
      <c r="DI2129" s="1" t="s">
        <v>933</v>
      </c>
      <c r="DJ2129" s="1" t="s">
        <v>277</v>
      </c>
      <c r="DK2129" s="1" t="s">
        <v>220</v>
      </c>
      <c r="DL2129" s="1" t="s">
        <v>343</v>
      </c>
      <c r="DM2129" s="1" t="s">
        <v>709</v>
      </c>
      <c r="DN2129" s="1" t="s">
        <v>13075</v>
      </c>
      <c r="DP2129" s="1" t="s">
        <v>934</v>
      </c>
      <c r="DQ2129" s="1" t="s">
        <v>2450</v>
      </c>
      <c r="DR2129" s="1" t="s">
        <v>5666</v>
      </c>
      <c r="DS2129" s="1" t="s">
        <v>219</v>
      </c>
      <c r="DT2129" s="1" t="s">
        <v>438</v>
      </c>
      <c r="DV2129" s="1" t="s">
        <v>344</v>
      </c>
      <c r="DW2129" s="1" t="s">
        <v>43</v>
      </c>
      <c r="DX2129" s="1" t="s">
        <v>220</v>
      </c>
      <c r="EA2129" s="1" t="s">
        <v>230</v>
      </c>
      <c r="ED2129" s="1" t="s">
        <v>628</v>
      </c>
      <c r="EE2129" s="1" t="s">
        <v>43</v>
      </c>
      <c r="EF2129" s="1" t="s">
        <v>220</v>
      </c>
      <c r="EH2129" s="1" t="s">
        <v>1919</v>
      </c>
      <c r="EI2129" s="1" t="s">
        <v>219</v>
      </c>
      <c r="EJ2129" s="1" t="s">
        <v>342</v>
      </c>
      <c r="EL2129" s="1" t="s">
        <v>542</v>
      </c>
      <c r="EM2129" s="1" t="s">
        <v>232</v>
      </c>
      <c r="EN2129" s="1" t="s">
        <v>282</v>
      </c>
      <c r="EO2129" s="1" t="s">
        <v>234</v>
      </c>
      <c r="EQ2129" s="1" t="s">
        <v>953</v>
      </c>
      <c r="ER2129" s="1" t="s">
        <v>544</v>
      </c>
      <c r="ES2129" s="1" t="s">
        <v>322</v>
      </c>
      <c r="EV2129" s="1" t="s">
        <v>240</v>
      </c>
      <c r="EW2129" s="1" t="s">
        <v>353</v>
      </c>
      <c r="EY2129" s="1" t="s">
        <v>242</v>
      </c>
      <c r="EZ2129" s="1" t="s">
        <v>19137</v>
      </c>
      <c r="FA2129" s="1" t="s">
        <v>19138</v>
      </c>
      <c r="FB2129" s="1" t="s">
        <v>1505</v>
      </c>
      <c r="FD2129" s="1" t="s">
        <v>888</v>
      </c>
      <c r="FE2129" s="1" t="s">
        <v>2016</v>
      </c>
      <c r="FF2129" s="1" t="s">
        <v>248</v>
      </c>
      <c r="FG2129" s="1" t="s">
        <v>2406</v>
      </c>
      <c r="FH2129" s="1" t="s">
        <v>550</v>
      </c>
      <c r="FI2129" s="1" t="s">
        <v>473</v>
      </c>
      <c r="FL2129" s="1" t="s">
        <v>358</v>
      </c>
      <c r="FM2129" s="1" t="s">
        <v>252</v>
      </c>
      <c r="FN2129" s="1" t="s">
        <v>213</v>
      </c>
      <c r="FO2129" s="1" t="s">
        <v>213</v>
      </c>
      <c r="FQ2129" s="1" t="s">
        <v>1599</v>
      </c>
      <c r="FR2129" s="1" t="s">
        <v>210</v>
      </c>
      <c r="FS2129" s="1" t="s">
        <v>19139</v>
      </c>
      <c r="FT2129" s="1" t="s">
        <v>691</v>
      </c>
      <c r="FU2129" s="1" t="s">
        <v>204</v>
      </c>
      <c r="FW2129" s="1" t="s">
        <v>8599</v>
      </c>
      <c r="FX2129" s="1">
        <v>22375</v>
      </c>
      <c r="FY2129" s="1" t="s">
        <v>8600</v>
      </c>
      <c r="FZ2129" s="1" t="s">
        <v>8601</v>
      </c>
      <c r="GA2129" s="1">
        <v>222265</v>
      </c>
      <c r="GB2129" s="1" t="s">
        <v>8602</v>
      </c>
      <c r="GE2129" s="1" t="s">
        <v>1379</v>
      </c>
      <c r="GI2129" s="1" t="s">
        <v>213</v>
      </c>
      <c r="GJ2129" s="1" t="s">
        <v>260</v>
      </c>
      <c r="GK2129" s="1" t="s">
        <v>210</v>
      </c>
      <c r="GL2129" s="2">
        <v>42083</v>
      </c>
      <c r="GM2129" s="1" t="s">
        <v>19140</v>
      </c>
    </row>
    <row r="2130" spans="1:195">
      <c r="A2130" s="1">
        <v>117000</v>
      </c>
      <c r="B2130" s="1" t="s">
        <v>195</v>
      </c>
      <c r="C2130" s="1" t="str">
        <f>"08748935"</f>
        <v>08748935</v>
      </c>
      <c r="D2130" s="1" t="s">
        <v>196</v>
      </c>
      <c r="F2130" s="1" t="str">
        <f>"560"</f>
        <v>560</v>
      </c>
      <c r="G2130" s="2">
        <v>41921</v>
      </c>
      <c r="H2130" s="1">
        <v>124900</v>
      </c>
      <c r="I2130" s="1">
        <v>119900</v>
      </c>
      <c r="J2130" s="1">
        <v>117000</v>
      </c>
      <c r="K2130" s="2">
        <v>41921</v>
      </c>
      <c r="L2130" s="1">
        <v>112</v>
      </c>
      <c r="M2130" s="2">
        <v>42032</v>
      </c>
      <c r="N2130" s="1">
        <v>112</v>
      </c>
      <c r="O2130" s="2">
        <v>42032</v>
      </c>
      <c r="P2130" s="1">
        <v>23156</v>
      </c>
      <c r="Q2130" s="1" t="s">
        <v>197</v>
      </c>
      <c r="R2130" s="2">
        <v>42081</v>
      </c>
      <c r="S2130" s="1">
        <v>242701</v>
      </c>
      <c r="T2130" s="1">
        <v>2000</v>
      </c>
      <c r="U2130" s="1">
        <v>1383</v>
      </c>
      <c r="V2130" s="1" t="s">
        <v>13965</v>
      </c>
      <c r="W2130" s="1" t="s">
        <v>504</v>
      </c>
      <c r="X2130" s="1">
        <v>1383</v>
      </c>
      <c r="Y2130" s="1">
        <v>6</v>
      </c>
      <c r="Z2130" s="1" t="s">
        <v>370</v>
      </c>
      <c r="AA2130" s="1" t="s">
        <v>484</v>
      </c>
      <c r="AB2130" s="1">
        <v>60560</v>
      </c>
      <c r="AD2130" s="1" t="s">
        <v>13966</v>
      </c>
      <c r="AE2130" s="1" t="s">
        <v>19141</v>
      </c>
      <c r="AF2130" s="1">
        <v>2001</v>
      </c>
      <c r="AG2130" s="1" t="s">
        <v>204</v>
      </c>
      <c r="AH2130" s="1" t="s">
        <v>487</v>
      </c>
      <c r="AI2130" s="1" t="s">
        <v>453</v>
      </c>
      <c r="AJ2130" s="1" t="s">
        <v>454</v>
      </c>
      <c r="AL2130" s="1">
        <v>6</v>
      </c>
      <c r="AM2130" s="1">
        <v>2</v>
      </c>
      <c r="AN2130" s="1">
        <v>2</v>
      </c>
      <c r="AO2130" s="1">
        <v>1</v>
      </c>
      <c r="AP2130" s="1" t="s">
        <v>209</v>
      </c>
      <c r="AR2130" s="1" t="s">
        <v>209</v>
      </c>
      <c r="AS2130" s="1" t="s">
        <v>204</v>
      </c>
      <c r="AT2130" s="1" t="s">
        <v>211</v>
      </c>
      <c r="AU2130" s="1">
        <v>2</v>
      </c>
      <c r="AW2130" s="1" t="s">
        <v>204</v>
      </c>
      <c r="AX2130" s="1" t="s">
        <v>212</v>
      </c>
      <c r="AZ2130" s="1">
        <v>3081.74</v>
      </c>
      <c r="BA2130" s="1">
        <v>2013</v>
      </c>
      <c r="BB2130" s="1" t="s">
        <v>210</v>
      </c>
      <c r="BE2130" s="1">
        <v>1520</v>
      </c>
      <c r="BF2130" s="1">
        <v>1</v>
      </c>
      <c r="BG2130" s="1">
        <v>1</v>
      </c>
      <c r="BL2130" s="1">
        <v>120</v>
      </c>
      <c r="BM2130" s="1" t="s">
        <v>204</v>
      </c>
      <c r="BN2130" s="1" t="s">
        <v>213</v>
      </c>
      <c r="BO2130" s="1" t="s">
        <v>3215</v>
      </c>
      <c r="BP2130" s="1" t="s">
        <v>204</v>
      </c>
      <c r="BR2130" s="1" t="str">
        <f>"0230216097"</f>
        <v>0230216097</v>
      </c>
      <c r="BT2130" s="1" t="s">
        <v>19142</v>
      </c>
      <c r="BX2130" s="1">
        <v>115</v>
      </c>
      <c r="BY2130" s="1">
        <v>115</v>
      </c>
      <c r="BZ2130" s="1">
        <v>115</v>
      </c>
      <c r="CB2130" s="1" t="str">
        <f t="shared" ref="CB2130:CC2130" si="1623">""</f>
        <v/>
      </c>
      <c r="CC2130" s="1" t="str">
        <f t="shared" si="1623"/>
        <v/>
      </c>
      <c r="CG2130" s="1" t="s">
        <v>8089</v>
      </c>
      <c r="CH2130" s="1" t="s">
        <v>219</v>
      </c>
      <c r="CI2130" s="1" t="s">
        <v>229</v>
      </c>
      <c r="CJ2130" s="1" t="s">
        <v>252</v>
      </c>
      <c r="CK2130" s="1" t="s">
        <v>221</v>
      </c>
      <c r="CL2130" s="1" t="s">
        <v>277</v>
      </c>
      <c r="CM2130" s="1" t="s">
        <v>220</v>
      </c>
      <c r="CN2130" s="1" t="s">
        <v>252</v>
      </c>
      <c r="CO2130" s="1" t="s">
        <v>318</v>
      </c>
      <c r="CP2130" s="1" t="s">
        <v>219</v>
      </c>
      <c r="CQ2130" s="1" t="s">
        <v>229</v>
      </c>
      <c r="CR2130" s="1" t="s">
        <v>252</v>
      </c>
      <c r="CS2130" s="1" t="s">
        <v>1403</v>
      </c>
      <c r="CT2130" s="1" t="s">
        <v>277</v>
      </c>
      <c r="CU2130" s="1" t="s">
        <v>220</v>
      </c>
      <c r="CV2130" s="1" t="s">
        <v>252</v>
      </c>
      <c r="CX2130" s="1" t="s">
        <v>224</v>
      </c>
      <c r="DB2130" s="1" t="s">
        <v>224</v>
      </c>
      <c r="DE2130" s="1" t="s">
        <v>3657</v>
      </c>
      <c r="DF2130" s="1" t="s">
        <v>219</v>
      </c>
      <c r="DG2130" s="1" t="s">
        <v>342</v>
      </c>
      <c r="DH2130" s="1" t="s">
        <v>252</v>
      </c>
      <c r="DI2130" s="1" t="s">
        <v>346</v>
      </c>
      <c r="DJ2130" s="1" t="s">
        <v>822</v>
      </c>
      <c r="DK2130" s="1" t="s">
        <v>220</v>
      </c>
      <c r="DL2130" s="1" t="s">
        <v>252</v>
      </c>
      <c r="DS2130" s="1" t="s">
        <v>230</v>
      </c>
      <c r="DW2130" s="1" t="s">
        <v>230</v>
      </c>
      <c r="EA2130" s="1" t="s">
        <v>230</v>
      </c>
      <c r="EE2130" s="1" t="s">
        <v>230</v>
      </c>
      <c r="EI2130" s="1" t="s">
        <v>230</v>
      </c>
      <c r="EL2130" s="1" t="s">
        <v>466</v>
      </c>
      <c r="EM2130" s="1" t="s">
        <v>319</v>
      </c>
      <c r="EN2130" s="1" t="s">
        <v>282</v>
      </c>
      <c r="EO2130" s="1" t="s">
        <v>234</v>
      </c>
      <c r="EQ2130" s="1" t="s">
        <v>492</v>
      </c>
      <c r="ER2130" s="1" t="s">
        <v>544</v>
      </c>
      <c r="EU2130" s="1" t="s">
        <v>239</v>
      </c>
      <c r="EV2130" s="1" t="s">
        <v>324</v>
      </c>
      <c r="EW2130" s="1" t="s">
        <v>887</v>
      </c>
      <c r="EY2130" s="1" t="s">
        <v>242</v>
      </c>
      <c r="EZ2130" s="1" t="s">
        <v>287</v>
      </c>
      <c r="FD2130" s="1" t="s">
        <v>246</v>
      </c>
      <c r="FE2130" s="1" t="s">
        <v>472</v>
      </c>
      <c r="FF2130" s="1" t="s">
        <v>248</v>
      </c>
      <c r="FH2130" s="1" t="s">
        <v>550</v>
      </c>
      <c r="FI2130" s="1" t="s">
        <v>473</v>
      </c>
      <c r="FL2130" s="1" t="s">
        <v>358</v>
      </c>
      <c r="FM2130" s="1" t="s">
        <v>252</v>
      </c>
      <c r="FN2130" s="1" t="s">
        <v>213</v>
      </c>
      <c r="FO2130" s="1" t="s">
        <v>213</v>
      </c>
      <c r="FQ2130" s="1" t="s">
        <v>2091</v>
      </c>
      <c r="FR2130" s="1" t="s">
        <v>210</v>
      </c>
      <c r="FS2130" s="1" t="s">
        <v>2092</v>
      </c>
      <c r="FT2130" s="1" t="s">
        <v>295</v>
      </c>
      <c r="FU2130" s="1" t="s">
        <v>204</v>
      </c>
      <c r="FW2130" s="1" t="s">
        <v>2093</v>
      </c>
      <c r="FX2130" s="1">
        <v>31580</v>
      </c>
      <c r="FY2130" s="1" t="s">
        <v>2094</v>
      </c>
      <c r="FZ2130" s="1" t="s">
        <v>2095</v>
      </c>
      <c r="GA2130" s="1">
        <v>8171</v>
      </c>
      <c r="GB2130" s="1" t="s">
        <v>2096</v>
      </c>
      <c r="GE2130" s="1" t="s">
        <v>480</v>
      </c>
      <c r="GI2130" s="1" t="s">
        <v>213</v>
      </c>
      <c r="GJ2130" s="1" t="s">
        <v>260</v>
      </c>
      <c r="GK2130" s="1" t="s">
        <v>210</v>
      </c>
      <c r="GL2130" s="2">
        <v>42083</v>
      </c>
      <c r="GM2130" s="1" t="s">
        <v>19143</v>
      </c>
    </row>
    <row r="2131" spans="1:195">
      <c r="A2131" s="1">
        <v>92000</v>
      </c>
      <c r="B2131" s="1" t="s">
        <v>195</v>
      </c>
      <c r="C2131" s="1" t="str">
        <f>"08750209"</f>
        <v>08750209</v>
      </c>
      <c r="D2131" s="1" t="s">
        <v>196</v>
      </c>
      <c r="F2131" s="1" t="str">
        <f>"8074"</f>
        <v>8074</v>
      </c>
      <c r="G2131" s="2">
        <v>41922</v>
      </c>
      <c r="H2131" s="1">
        <v>115000</v>
      </c>
      <c r="I2131" s="1">
        <v>92000</v>
      </c>
      <c r="J2131" s="1">
        <v>92000</v>
      </c>
      <c r="K2131" s="2">
        <v>41922</v>
      </c>
      <c r="L2131" s="1">
        <v>105</v>
      </c>
      <c r="M2131" s="2">
        <v>42025</v>
      </c>
      <c r="N2131" s="1">
        <v>104</v>
      </c>
      <c r="O2131" s="2">
        <v>42025</v>
      </c>
      <c r="P2131" s="1">
        <v>24174</v>
      </c>
      <c r="Q2131" s="1" t="s">
        <v>197</v>
      </c>
      <c r="R2131" s="2">
        <v>42109</v>
      </c>
      <c r="S2131" s="1">
        <v>240117</v>
      </c>
      <c r="U2131" s="1">
        <v>3552</v>
      </c>
      <c r="V2131" s="1" t="s">
        <v>3478</v>
      </c>
      <c r="W2131" s="1" t="s">
        <v>725</v>
      </c>
      <c r="Y2131" s="1">
        <v>2</v>
      </c>
      <c r="Z2131" s="1" t="s">
        <v>200</v>
      </c>
      <c r="AA2131" s="1" t="s">
        <v>400</v>
      </c>
      <c r="AB2131" s="1">
        <v>60655</v>
      </c>
      <c r="AE2131" s="1" t="s">
        <v>19144</v>
      </c>
      <c r="AF2131" s="1">
        <v>1939</v>
      </c>
      <c r="AG2131" s="1" t="s">
        <v>213</v>
      </c>
      <c r="AH2131" s="1" t="s">
        <v>403</v>
      </c>
      <c r="AI2131" s="1" t="s">
        <v>310</v>
      </c>
      <c r="AJ2131" s="1" t="s">
        <v>683</v>
      </c>
      <c r="AL2131" s="1">
        <v>5</v>
      </c>
      <c r="AM2131" s="1">
        <v>2</v>
      </c>
      <c r="AN2131" s="1">
        <v>1</v>
      </c>
      <c r="AO2131" s="1">
        <v>0</v>
      </c>
      <c r="AP2131" s="1" t="s">
        <v>210</v>
      </c>
      <c r="AR2131" s="1" t="s">
        <v>209</v>
      </c>
      <c r="AS2131" s="1" t="s">
        <v>213</v>
      </c>
      <c r="AT2131" s="1" t="s">
        <v>211</v>
      </c>
      <c r="AU2131" s="1">
        <v>1</v>
      </c>
      <c r="AW2131" s="1" t="s">
        <v>204</v>
      </c>
      <c r="AX2131" s="1" t="s">
        <v>19145</v>
      </c>
      <c r="AZ2131" s="1">
        <v>2801</v>
      </c>
      <c r="BA2131" s="1">
        <v>2012</v>
      </c>
      <c r="BE2131" s="1">
        <v>1122</v>
      </c>
      <c r="BF2131" s="1">
        <v>1</v>
      </c>
      <c r="BG2131" s="1">
        <v>0</v>
      </c>
      <c r="BL2131" s="1">
        <v>0</v>
      </c>
      <c r="BM2131" s="1" t="s">
        <v>413</v>
      </c>
      <c r="BN2131" s="1" t="s">
        <v>213</v>
      </c>
      <c r="BO2131" s="1">
        <v>0</v>
      </c>
      <c r="BP2131" s="1" t="s">
        <v>204</v>
      </c>
      <c r="BR2131" s="1" t="str">
        <f>"24144161030000"</f>
        <v>24144161030000</v>
      </c>
      <c r="BT2131" s="1" t="s">
        <v>19146</v>
      </c>
      <c r="BX2131" s="1">
        <v>299</v>
      </c>
      <c r="BY2131" s="1">
        <v>299</v>
      </c>
      <c r="BZ2131" s="1">
        <v>299</v>
      </c>
      <c r="CB2131" s="1" t="str">
        <f t="shared" ref="CB2131:CC2131" si="1624">"0"</f>
        <v>0</v>
      </c>
      <c r="CC2131" s="1" t="str">
        <f t="shared" si="1624"/>
        <v>0</v>
      </c>
      <c r="CD2131" s="1">
        <v>3552</v>
      </c>
      <c r="CE2131" s="1">
        <v>11100</v>
      </c>
      <c r="CG2131" s="1" t="s">
        <v>539</v>
      </c>
      <c r="CH2131" s="1" t="s">
        <v>219</v>
      </c>
      <c r="CI2131" s="1" t="s">
        <v>438</v>
      </c>
      <c r="CK2131" s="1" t="s">
        <v>465</v>
      </c>
      <c r="CL2131" s="1" t="s">
        <v>277</v>
      </c>
      <c r="CM2131" s="1" t="s">
        <v>438</v>
      </c>
      <c r="CP2131" s="1" t="s">
        <v>224</v>
      </c>
      <c r="CS2131" s="1" t="s">
        <v>318</v>
      </c>
      <c r="CT2131" s="1" t="s">
        <v>277</v>
      </c>
      <c r="CU2131" s="1" t="s">
        <v>438</v>
      </c>
      <c r="CX2131" s="1" t="s">
        <v>224</v>
      </c>
      <c r="DB2131" s="1" t="s">
        <v>224</v>
      </c>
      <c r="DE2131" s="1" t="s">
        <v>972</v>
      </c>
      <c r="DF2131" s="1" t="s">
        <v>219</v>
      </c>
      <c r="DG2131" s="1" t="s">
        <v>226</v>
      </c>
      <c r="DI2131" s="1" t="s">
        <v>379</v>
      </c>
      <c r="DJ2131" s="1" t="s">
        <v>43</v>
      </c>
      <c r="DS2131" s="1" t="s">
        <v>230</v>
      </c>
      <c r="DW2131" s="1" t="s">
        <v>230</v>
      </c>
      <c r="EA2131" s="1" t="s">
        <v>230</v>
      </c>
      <c r="EE2131" s="1" t="s">
        <v>230</v>
      </c>
      <c r="EI2131" s="1" t="s">
        <v>230</v>
      </c>
      <c r="EL2131" s="1" t="s">
        <v>440</v>
      </c>
      <c r="EM2131" s="1" t="s">
        <v>730</v>
      </c>
      <c r="EN2131" s="1" t="s">
        <v>282</v>
      </c>
      <c r="EO2131" s="1" t="s">
        <v>234</v>
      </c>
      <c r="ER2131" s="1" t="s">
        <v>544</v>
      </c>
      <c r="ES2131" s="1" t="s">
        <v>322</v>
      </c>
      <c r="EW2131" s="1" t="s">
        <v>210</v>
      </c>
      <c r="EZ2131" s="1" t="s">
        <v>287</v>
      </c>
      <c r="FD2131" s="1" t="s">
        <v>246</v>
      </c>
      <c r="FE2131" s="1" t="s">
        <v>247</v>
      </c>
      <c r="FF2131" s="1" t="s">
        <v>248</v>
      </c>
      <c r="FH2131" s="1" t="s">
        <v>550</v>
      </c>
      <c r="FL2131" s="1" t="s">
        <v>810</v>
      </c>
      <c r="FM2131" s="1" t="s">
        <v>252</v>
      </c>
      <c r="FN2131" s="1" t="s">
        <v>213</v>
      </c>
      <c r="FO2131" s="1" t="s">
        <v>213</v>
      </c>
      <c r="FQ2131" s="1" t="s">
        <v>582</v>
      </c>
      <c r="FR2131" s="1" t="s">
        <v>652</v>
      </c>
      <c r="FS2131" s="1" t="s">
        <v>653</v>
      </c>
      <c r="FT2131" s="1" t="s">
        <v>654</v>
      </c>
      <c r="FU2131" s="1" t="s">
        <v>204</v>
      </c>
      <c r="FW2131" s="1" t="s">
        <v>655</v>
      </c>
      <c r="FX2131" s="1">
        <v>10841</v>
      </c>
      <c r="FY2131" s="1" t="s">
        <v>656</v>
      </c>
      <c r="FZ2131" s="1" t="s">
        <v>657</v>
      </c>
      <c r="GA2131" s="1">
        <v>109860</v>
      </c>
      <c r="GB2131" s="1" t="s">
        <v>656</v>
      </c>
      <c r="GE2131" s="1" t="s">
        <v>210</v>
      </c>
      <c r="GH2131" s="1" t="s">
        <v>589</v>
      </c>
      <c r="GI2131" s="1" t="s">
        <v>204</v>
      </c>
      <c r="GJ2131" s="1" t="s">
        <v>260</v>
      </c>
      <c r="GK2131" s="1" t="s">
        <v>210</v>
      </c>
      <c r="GL2131" s="2">
        <v>42110</v>
      </c>
      <c r="GM2131" s="1" t="s">
        <v>19147</v>
      </c>
    </row>
    <row r="2132" spans="1:195">
      <c r="A2132" s="1">
        <v>114900</v>
      </c>
      <c r="B2132" s="1" t="s">
        <v>195</v>
      </c>
      <c r="C2132" s="1" t="str">
        <f>"08752300"</f>
        <v>08752300</v>
      </c>
      <c r="D2132" s="1" t="s">
        <v>196</v>
      </c>
      <c r="F2132" s="1" t="str">
        <f>"107"</f>
        <v>107</v>
      </c>
      <c r="G2132" s="2">
        <v>41925</v>
      </c>
      <c r="H2132" s="1">
        <v>115000</v>
      </c>
      <c r="I2132" s="1">
        <v>115000</v>
      </c>
      <c r="J2132" s="1">
        <v>114900</v>
      </c>
      <c r="K2132" s="2">
        <v>41924</v>
      </c>
      <c r="L2132" s="1">
        <v>6</v>
      </c>
      <c r="M2132" s="2">
        <v>41929</v>
      </c>
      <c r="N2132" s="1">
        <v>6</v>
      </c>
      <c r="O2132" s="2">
        <v>41929</v>
      </c>
      <c r="P2132" s="1">
        <v>8558</v>
      </c>
      <c r="Q2132" s="1" t="s">
        <v>423</v>
      </c>
      <c r="R2132" s="2">
        <v>42062</v>
      </c>
      <c r="S2132" s="1">
        <v>84414</v>
      </c>
      <c r="U2132" s="1">
        <v>111</v>
      </c>
      <c r="V2132" s="1" t="s">
        <v>19148</v>
      </c>
      <c r="W2132" s="1" t="s">
        <v>264</v>
      </c>
      <c r="Y2132" s="1">
        <v>2</v>
      </c>
      <c r="Z2132" s="1" t="s">
        <v>200</v>
      </c>
      <c r="AA2132" s="1" t="s">
        <v>1211</v>
      </c>
      <c r="AB2132" s="1">
        <v>60107</v>
      </c>
      <c r="AE2132" s="1" t="s">
        <v>19149</v>
      </c>
      <c r="AF2132" s="1">
        <v>1976</v>
      </c>
      <c r="AG2132" s="1" t="s">
        <v>213</v>
      </c>
      <c r="AH2132" s="1" t="s">
        <v>1214</v>
      </c>
      <c r="AI2132" s="1" t="s">
        <v>310</v>
      </c>
      <c r="AJ2132" s="1" t="s">
        <v>374</v>
      </c>
      <c r="AL2132" s="1">
        <v>5</v>
      </c>
      <c r="AM2132" s="1">
        <v>2</v>
      </c>
      <c r="AN2132" s="1">
        <v>1</v>
      </c>
      <c r="AO2132" s="1">
        <v>1</v>
      </c>
      <c r="AP2132" s="1" t="s">
        <v>210</v>
      </c>
      <c r="AR2132" s="1" t="s">
        <v>210</v>
      </c>
      <c r="AS2132" s="1" t="s">
        <v>204</v>
      </c>
      <c r="AT2132" s="1" t="s">
        <v>211</v>
      </c>
      <c r="AU2132" s="1">
        <v>1</v>
      </c>
      <c r="AW2132" s="1" t="s">
        <v>204</v>
      </c>
      <c r="AX2132" s="1" t="s">
        <v>19150</v>
      </c>
      <c r="AZ2132" s="1">
        <v>3412.97</v>
      </c>
      <c r="BA2132" s="1">
        <v>2013</v>
      </c>
      <c r="BB2132" s="1" t="s">
        <v>405</v>
      </c>
      <c r="BE2132" s="1">
        <v>1013</v>
      </c>
      <c r="BF2132" s="1">
        <v>1</v>
      </c>
      <c r="BG2132" s="1">
        <v>0</v>
      </c>
      <c r="BL2132" s="1">
        <v>0</v>
      </c>
      <c r="BM2132" s="1" t="s">
        <v>204</v>
      </c>
      <c r="BN2132" s="1" t="s">
        <v>213</v>
      </c>
      <c r="BO2132" s="1">
        <v>0</v>
      </c>
      <c r="BP2132" s="1" t="s">
        <v>204</v>
      </c>
      <c r="BR2132" s="1" t="str">
        <f>"06272060460000"</f>
        <v>06272060460000</v>
      </c>
      <c r="BT2132" s="1" t="s">
        <v>19151</v>
      </c>
      <c r="BU2132" s="1" t="s">
        <v>19152</v>
      </c>
      <c r="BV2132" s="1" t="s">
        <v>3623</v>
      </c>
      <c r="BW2132" s="1" t="s">
        <v>1217</v>
      </c>
      <c r="BX2132" s="1">
        <v>46</v>
      </c>
      <c r="BY2132" s="1">
        <v>46</v>
      </c>
      <c r="BZ2132" s="1">
        <v>46</v>
      </c>
      <c r="CB2132" s="1" t="str">
        <f t="shared" ref="CB2132:CC2132" si="1625">""</f>
        <v/>
      </c>
      <c r="CC2132" s="1" t="str">
        <f t="shared" si="1625"/>
        <v/>
      </c>
      <c r="CG2132" s="1" t="s">
        <v>515</v>
      </c>
      <c r="CH2132" s="1" t="s">
        <v>219</v>
      </c>
      <c r="CI2132" s="1" t="s">
        <v>229</v>
      </c>
      <c r="CJ2132" s="1" t="s">
        <v>252</v>
      </c>
      <c r="CK2132" s="1" t="s">
        <v>539</v>
      </c>
      <c r="CL2132" s="1" t="s">
        <v>219</v>
      </c>
      <c r="CM2132" s="1" t="s">
        <v>229</v>
      </c>
      <c r="CN2132" s="1" t="s">
        <v>252</v>
      </c>
      <c r="CO2132" s="1" t="s">
        <v>1046</v>
      </c>
      <c r="CP2132" s="1" t="s">
        <v>219</v>
      </c>
      <c r="CQ2132" s="1" t="s">
        <v>229</v>
      </c>
      <c r="CR2132" s="1" t="s">
        <v>210</v>
      </c>
      <c r="CS2132" s="1" t="s">
        <v>465</v>
      </c>
      <c r="CT2132" s="1" t="s">
        <v>219</v>
      </c>
      <c r="CU2132" s="1" t="s">
        <v>229</v>
      </c>
      <c r="CV2132" s="1" t="s">
        <v>252</v>
      </c>
      <c r="CX2132" s="1" t="s">
        <v>224</v>
      </c>
      <c r="DB2132" s="1" t="s">
        <v>224</v>
      </c>
      <c r="DE2132" s="1" t="s">
        <v>3034</v>
      </c>
      <c r="DF2132" s="1" t="s">
        <v>219</v>
      </c>
      <c r="DG2132" s="1" t="s">
        <v>226</v>
      </c>
      <c r="DH2132" s="1" t="s">
        <v>252</v>
      </c>
      <c r="DJ2132" s="1" t="s">
        <v>224</v>
      </c>
      <c r="DS2132" s="1" t="s">
        <v>230</v>
      </c>
      <c r="DW2132" s="1" t="s">
        <v>230</v>
      </c>
      <c r="EA2132" s="1" t="s">
        <v>230</v>
      </c>
      <c r="EE2132" s="1" t="s">
        <v>230</v>
      </c>
      <c r="EI2132" s="1" t="s">
        <v>230</v>
      </c>
      <c r="EL2132" s="1" t="s">
        <v>231</v>
      </c>
      <c r="EM2132" s="1" t="s">
        <v>232</v>
      </c>
      <c r="EN2132" s="1" t="s">
        <v>282</v>
      </c>
      <c r="EO2132" s="1" t="s">
        <v>234</v>
      </c>
      <c r="EP2132" s="1" t="s">
        <v>210</v>
      </c>
      <c r="EQ2132" s="1" t="s">
        <v>350</v>
      </c>
      <c r="ER2132" s="1" t="s">
        <v>210</v>
      </c>
      <c r="ES2132" s="1" t="s">
        <v>493</v>
      </c>
      <c r="EU2132" s="1" t="s">
        <v>546</v>
      </c>
      <c r="EV2132" s="1" t="s">
        <v>240</v>
      </c>
      <c r="EW2132" s="1" t="s">
        <v>210</v>
      </c>
      <c r="EY2132" s="1" t="s">
        <v>242</v>
      </c>
      <c r="EZ2132" s="1" t="s">
        <v>287</v>
      </c>
      <c r="FD2132" s="1" t="s">
        <v>246</v>
      </c>
      <c r="FE2132" s="1" t="s">
        <v>651</v>
      </c>
      <c r="FF2132" s="1" t="s">
        <v>248</v>
      </c>
      <c r="FH2132" s="1" t="s">
        <v>442</v>
      </c>
      <c r="FI2132" s="1" t="s">
        <v>473</v>
      </c>
      <c r="FJ2132" s="1" t="s">
        <v>518</v>
      </c>
      <c r="FL2132" s="1" t="s">
        <v>358</v>
      </c>
      <c r="FM2132" s="1" t="s">
        <v>252</v>
      </c>
      <c r="FN2132" s="1" t="s">
        <v>213</v>
      </c>
      <c r="FO2132" s="1" t="s">
        <v>213</v>
      </c>
      <c r="FQ2132" s="1" t="s">
        <v>1599</v>
      </c>
      <c r="FR2132" s="1" t="s">
        <v>360</v>
      </c>
      <c r="FS2132" s="1" t="s">
        <v>19153</v>
      </c>
      <c r="FT2132" s="1" t="s">
        <v>1139</v>
      </c>
      <c r="FU2132" s="1" t="s">
        <v>204</v>
      </c>
      <c r="FW2132" s="1" t="s">
        <v>19154</v>
      </c>
      <c r="FX2132" s="1">
        <v>8558</v>
      </c>
      <c r="FY2132" s="1" t="s">
        <v>19155</v>
      </c>
      <c r="FZ2132" s="1" t="s">
        <v>19156</v>
      </c>
      <c r="GA2132" s="1">
        <v>84411</v>
      </c>
      <c r="GD2132" s="1" t="s">
        <v>19157</v>
      </c>
      <c r="GE2132" s="1" t="s">
        <v>210</v>
      </c>
      <c r="GI2132" s="1" t="s">
        <v>204</v>
      </c>
      <c r="GJ2132" s="1" t="s">
        <v>260</v>
      </c>
      <c r="GK2132" s="1" t="s">
        <v>210</v>
      </c>
      <c r="GL2132" s="2">
        <v>42063</v>
      </c>
      <c r="GM2132" s="1" t="s">
        <v>397</v>
      </c>
    </row>
    <row r="2133" spans="1:195">
      <c r="A2133" s="1">
        <v>306000</v>
      </c>
      <c r="B2133" s="1" t="s">
        <v>195</v>
      </c>
      <c r="C2133" s="1" t="str">
        <f>"08750636"</f>
        <v>08750636</v>
      </c>
      <c r="D2133" s="1" t="s">
        <v>196</v>
      </c>
      <c r="F2133" s="1" t="str">
        <f>"540"</f>
        <v>540</v>
      </c>
      <c r="G2133" s="2">
        <v>41922</v>
      </c>
      <c r="H2133" s="1">
        <v>319900</v>
      </c>
      <c r="I2133" s="1">
        <v>319900</v>
      </c>
      <c r="J2133" s="1">
        <v>306000</v>
      </c>
      <c r="K2133" s="2">
        <v>41922</v>
      </c>
      <c r="L2133" s="1">
        <v>18</v>
      </c>
      <c r="M2133" s="2">
        <v>41939</v>
      </c>
      <c r="N2133" s="1">
        <v>18</v>
      </c>
      <c r="O2133" s="2">
        <v>41939</v>
      </c>
      <c r="P2133" s="1">
        <v>23120</v>
      </c>
      <c r="Q2133" s="1" t="s">
        <v>197</v>
      </c>
      <c r="R2133" s="2">
        <v>41992</v>
      </c>
      <c r="S2133" s="1">
        <v>240120</v>
      </c>
      <c r="U2133" s="1">
        <v>2622</v>
      </c>
      <c r="V2133" s="1" t="s">
        <v>19158</v>
      </c>
      <c r="W2133" s="1" t="s">
        <v>504</v>
      </c>
      <c r="X2133" s="1">
        <v>2622</v>
      </c>
      <c r="Y2133" s="1">
        <v>5</v>
      </c>
      <c r="Z2133" s="1" t="s">
        <v>370</v>
      </c>
      <c r="AA2133" s="1" t="s">
        <v>921</v>
      </c>
      <c r="AB2133" s="1">
        <v>60540</v>
      </c>
      <c r="AD2133" s="1" t="s">
        <v>2083</v>
      </c>
      <c r="AE2133" s="1" t="s">
        <v>19159</v>
      </c>
      <c r="AF2133" s="1">
        <v>2004</v>
      </c>
      <c r="AG2133" s="1" t="s">
        <v>204</v>
      </c>
      <c r="AH2133" s="1" t="s">
        <v>924</v>
      </c>
      <c r="AI2133" s="1" t="s">
        <v>206</v>
      </c>
      <c r="AJ2133" s="1" t="s">
        <v>924</v>
      </c>
      <c r="AK2133" s="1" t="s">
        <v>2085</v>
      </c>
      <c r="AL2133" s="1">
        <v>6</v>
      </c>
      <c r="AM2133" s="1">
        <v>2</v>
      </c>
      <c r="AN2133" s="1">
        <v>2</v>
      </c>
      <c r="AO2133" s="1">
        <v>1</v>
      </c>
      <c r="AP2133" s="1" t="s">
        <v>209</v>
      </c>
      <c r="AQ2133" s="1">
        <v>1</v>
      </c>
      <c r="AR2133" s="1" t="s">
        <v>4448</v>
      </c>
      <c r="AS2133" s="1" t="s">
        <v>204</v>
      </c>
      <c r="AT2133" s="1" t="s">
        <v>211</v>
      </c>
      <c r="AU2133" s="1">
        <v>2</v>
      </c>
      <c r="AW2133" s="1" t="s">
        <v>204</v>
      </c>
      <c r="AX2133" s="1" t="s">
        <v>212</v>
      </c>
      <c r="AZ2133" s="1">
        <v>7414.46</v>
      </c>
      <c r="BA2133" s="1">
        <v>2013</v>
      </c>
      <c r="BB2133" s="1" t="s">
        <v>405</v>
      </c>
      <c r="BE2133" s="1">
        <v>2070</v>
      </c>
      <c r="BF2133" s="1">
        <v>1</v>
      </c>
      <c r="BG2133" s="1">
        <v>0</v>
      </c>
      <c r="BL2133" s="1">
        <v>279</v>
      </c>
      <c r="BM2133" s="1" t="s">
        <v>204</v>
      </c>
      <c r="BN2133" s="1" t="s">
        <v>213</v>
      </c>
      <c r="BO2133" s="1">
        <v>50</v>
      </c>
      <c r="BP2133" s="1" t="s">
        <v>204</v>
      </c>
      <c r="BR2133" s="1" t="str">
        <f>"0727109059"</f>
        <v>0727109059</v>
      </c>
      <c r="BT2133" s="1" t="s">
        <v>19160</v>
      </c>
      <c r="BU2133" s="1" t="s">
        <v>2087</v>
      </c>
      <c r="BV2133" s="1" t="s">
        <v>1248</v>
      </c>
      <c r="BW2133" s="1" t="s">
        <v>1131</v>
      </c>
      <c r="BX2133" s="1">
        <v>204</v>
      </c>
      <c r="BY2133" s="1">
        <v>204</v>
      </c>
      <c r="BZ2133" s="1">
        <v>204</v>
      </c>
      <c r="CB2133" s="1" t="str">
        <f t="shared" ref="CB2133:CB2135" si="1626">""</f>
        <v/>
      </c>
      <c r="CC2133" s="1" t="str">
        <f>"0"</f>
        <v>0</v>
      </c>
      <c r="CD2133" s="1">
        <v>29</v>
      </c>
      <c r="CE2133" s="1">
        <v>8</v>
      </c>
      <c r="CG2133" s="1" t="s">
        <v>932</v>
      </c>
      <c r="CH2133" s="1" t="s">
        <v>277</v>
      </c>
      <c r="CI2133" s="1" t="s">
        <v>438</v>
      </c>
      <c r="CJ2133" s="1" t="s">
        <v>252</v>
      </c>
      <c r="CK2133" s="1" t="s">
        <v>729</v>
      </c>
      <c r="CL2133" s="1" t="s">
        <v>784</v>
      </c>
      <c r="CM2133" s="1" t="s">
        <v>220</v>
      </c>
      <c r="CN2133" s="1" t="s">
        <v>252</v>
      </c>
      <c r="CO2133" s="1" t="s">
        <v>461</v>
      </c>
      <c r="CP2133" s="1" t="s">
        <v>277</v>
      </c>
      <c r="CQ2133" s="1" t="s">
        <v>438</v>
      </c>
      <c r="CR2133" s="1" t="s">
        <v>210</v>
      </c>
      <c r="CS2133" s="1" t="s">
        <v>223</v>
      </c>
      <c r="CT2133" s="1" t="s">
        <v>784</v>
      </c>
      <c r="CU2133" s="1" t="s">
        <v>220</v>
      </c>
      <c r="CX2133" s="1" t="s">
        <v>224</v>
      </c>
      <c r="DB2133" s="1" t="s">
        <v>224</v>
      </c>
      <c r="DE2133" s="1" t="s">
        <v>218</v>
      </c>
      <c r="DF2133" s="1" t="s">
        <v>277</v>
      </c>
      <c r="DG2133" s="1" t="s">
        <v>438</v>
      </c>
      <c r="DH2133" s="1" t="s">
        <v>252</v>
      </c>
      <c r="DI2133" s="1" t="s">
        <v>885</v>
      </c>
      <c r="DJ2133" s="1" t="s">
        <v>822</v>
      </c>
      <c r="DK2133" s="1" t="s">
        <v>220</v>
      </c>
      <c r="DL2133" s="1" t="s">
        <v>210</v>
      </c>
      <c r="DS2133" s="1" t="s">
        <v>230</v>
      </c>
      <c r="DW2133" s="1" t="s">
        <v>230</v>
      </c>
      <c r="EA2133" s="1" t="s">
        <v>230</v>
      </c>
      <c r="EE2133" s="1" t="s">
        <v>230</v>
      </c>
      <c r="EI2133" s="1" t="s">
        <v>230</v>
      </c>
      <c r="EL2133" s="1" t="s">
        <v>491</v>
      </c>
      <c r="EM2133" s="1" t="s">
        <v>232</v>
      </c>
      <c r="EN2133" s="1" t="s">
        <v>282</v>
      </c>
      <c r="EO2133" s="1" t="s">
        <v>234</v>
      </c>
      <c r="EQ2133" s="1" t="s">
        <v>19161</v>
      </c>
      <c r="ER2133" s="1" t="s">
        <v>544</v>
      </c>
      <c r="ES2133" s="1" t="s">
        <v>322</v>
      </c>
      <c r="ET2133" s="1" t="s">
        <v>323</v>
      </c>
      <c r="EU2133" s="1" t="s">
        <v>546</v>
      </c>
      <c r="EV2133" s="1" t="s">
        <v>240</v>
      </c>
      <c r="EW2133" s="1" t="s">
        <v>7034</v>
      </c>
      <c r="EY2133" s="1" t="s">
        <v>1315</v>
      </c>
      <c r="EZ2133" s="1" t="s">
        <v>287</v>
      </c>
      <c r="FA2133" s="1" t="s">
        <v>938</v>
      </c>
      <c r="FD2133" s="1" t="s">
        <v>246</v>
      </c>
      <c r="FE2133" s="1" t="s">
        <v>247</v>
      </c>
      <c r="FF2133" s="1" t="s">
        <v>248</v>
      </c>
      <c r="FG2133" s="1" t="s">
        <v>3685</v>
      </c>
      <c r="FH2133" s="1" t="s">
        <v>1428</v>
      </c>
      <c r="FL2133" s="1" t="s">
        <v>358</v>
      </c>
      <c r="FM2133" s="1" t="s">
        <v>252</v>
      </c>
      <c r="FN2133" s="1" t="s">
        <v>213</v>
      </c>
      <c r="FO2133" s="1" t="s">
        <v>213</v>
      </c>
      <c r="FQ2133" s="1" t="s">
        <v>2700</v>
      </c>
      <c r="FR2133" s="1" t="s">
        <v>210</v>
      </c>
      <c r="FS2133" s="1" t="s">
        <v>1429</v>
      </c>
      <c r="FT2133" s="1" t="s">
        <v>255</v>
      </c>
      <c r="FU2133" s="1" t="s">
        <v>204</v>
      </c>
      <c r="FW2133" s="1" t="s">
        <v>943</v>
      </c>
      <c r="FX2133" s="1">
        <v>23120</v>
      </c>
      <c r="FY2133" s="1" t="s">
        <v>944</v>
      </c>
      <c r="FZ2133" s="1" t="s">
        <v>19162</v>
      </c>
      <c r="GA2133" s="1">
        <v>231933</v>
      </c>
      <c r="GB2133" s="1" t="s">
        <v>19163</v>
      </c>
      <c r="GD2133" s="1" t="s">
        <v>19164</v>
      </c>
      <c r="GE2133" s="1" t="s">
        <v>210</v>
      </c>
      <c r="GI2133" s="1" t="s">
        <v>213</v>
      </c>
      <c r="GJ2133" s="1" t="s">
        <v>260</v>
      </c>
      <c r="GK2133" s="1" t="s">
        <v>210</v>
      </c>
      <c r="GL2133" s="2">
        <v>41992</v>
      </c>
      <c r="GM2133" s="1" t="s">
        <v>19165</v>
      </c>
    </row>
    <row r="2134" spans="1:195">
      <c r="A2134" s="1">
        <v>220000</v>
      </c>
      <c r="B2134" s="1" t="s">
        <v>195</v>
      </c>
      <c r="C2134" s="1" t="str">
        <f>"08747451"</f>
        <v>08747451</v>
      </c>
      <c r="D2134" s="1" t="s">
        <v>196</v>
      </c>
      <c r="F2134" s="1" t="str">
        <f>"554"</f>
        <v>554</v>
      </c>
      <c r="G2134" s="2">
        <v>41919</v>
      </c>
      <c r="H2134" s="1">
        <v>220000</v>
      </c>
      <c r="I2134" s="1">
        <v>220000</v>
      </c>
      <c r="J2134" s="1">
        <v>220000</v>
      </c>
      <c r="K2134" s="2">
        <v>41919</v>
      </c>
      <c r="L2134" s="1">
        <v>16</v>
      </c>
      <c r="M2134" s="2">
        <v>41934</v>
      </c>
      <c r="N2134" s="1">
        <v>16</v>
      </c>
      <c r="O2134" s="2">
        <v>41934</v>
      </c>
      <c r="P2134" s="1">
        <v>31580</v>
      </c>
      <c r="Q2134" s="1" t="s">
        <v>1393</v>
      </c>
      <c r="R2134" s="2">
        <v>42003</v>
      </c>
      <c r="S2134" s="1">
        <v>312333</v>
      </c>
      <c r="U2134" s="1">
        <v>116</v>
      </c>
      <c r="V2134" s="1" t="s">
        <v>19166</v>
      </c>
      <c r="W2134" s="1" t="s">
        <v>449</v>
      </c>
      <c r="Y2134" s="1">
        <v>2</v>
      </c>
      <c r="Z2134" s="1" t="s">
        <v>370</v>
      </c>
      <c r="AA2134" s="1" t="s">
        <v>3443</v>
      </c>
      <c r="AB2134" s="1">
        <v>60554</v>
      </c>
      <c r="AE2134" s="1" t="s">
        <v>19167</v>
      </c>
      <c r="AF2134" s="1">
        <v>2001</v>
      </c>
      <c r="AG2134" s="1" t="s">
        <v>204</v>
      </c>
      <c r="AH2134" s="1" t="s">
        <v>3240</v>
      </c>
      <c r="AI2134" s="1" t="s">
        <v>665</v>
      </c>
      <c r="AJ2134" s="1" t="s">
        <v>3240</v>
      </c>
      <c r="AL2134" s="1">
        <v>6</v>
      </c>
      <c r="AM2134" s="1">
        <v>2</v>
      </c>
      <c r="AN2134" s="1">
        <v>2</v>
      </c>
      <c r="AO2134" s="1">
        <v>0</v>
      </c>
      <c r="AP2134" s="1" t="s">
        <v>209</v>
      </c>
      <c r="AR2134" s="1" t="s">
        <v>2275</v>
      </c>
      <c r="AS2134" s="1" t="s">
        <v>204</v>
      </c>
      <c r="AT2134" s="1" t="s">
        <v>211</v>
      </c>
      <c r="AU2134" s="1">
        <v>2</v>
      </c>
      <c r="AW2134" s="1" t="s">
        <v>204</v>
      </c>
      <c r="AX2134" s="1" t="s">
        <v>19168</v>
      </c>
      <c r="AZ2134" s="1">
        <v>5588.74</v>
      </c>
      <c r="BA2134" s="1">
        <v>2012</v>
      </c>
      <c r="BE2134" s="1">
        <v>1556</v>
      </c>
      <c r="BF2134" s="1">
        <v>1</v>
      </c>
      <c r="BG2134" s="1">
        <v>0</v>
      </c>
      <c r="BL2134" s="1">
        <v>112</v>
      </c>
      <c r="BM2134" s="1" t="s">
        <v>413</v>
      </c>
      <c r="BN2134" s="1" t="s">
        <v>213</v>
      </c>
      <c r="BO2134" s="1">
        <v>0</v>
      </c>
      <c r="BP2134" s="1" t="s">
        <v>204</v>
      </c>
      <c r="BR2134" s="1" t="str">
        <f>"1410352018"</f>
        <v>1410352018</v>
      </c>
      <c r="BT2134" s="1" t="s">
        <v>19169</v>
      </c>
      <c r="BX2134" s="1">
        <v>129</v>
      </c>
      <c r="BY2134" s="1">
        <v>129</v>
      </c>
      <c r="BZ2134" s="1">
        <v>129</v>
      </c>
      <c r="CB2134" s="1" t="str">
        <f t="shared" si="1626"/>
        <v/>
      </c>
      <c r="CC2134" s="1" t="str">
        <f t="shared" ref="CC2134:CC2135" si="1627">""</f>
        <v/>
      </c>
      <c r="CG2134" s="1" t="s">
        <v>2307</v>
      </c>
      <c r="CH2134" s="1" t="s">
        <v>219</v>
      </c>
      <c r="CK2134" s="1" t="s">
        <v>3083</v>
      </c>
      <c r="CL2134" s="1" t="s">
        <v>219</v>
      </c>
      <c r="CP2134" s="1" t="s">
        <v>224</v>
      </c>
      <c r="CS2134" s="1" t="s">
        <v>346</v>
      </c>
      <c r="CT2134" s="1" t="s">
        <v>219</v>
      </c>
      <c r="CX2134" s="1" t="s">
        <v>224</v>
      </c>
      <c r="DB2134" s="1" t="s">
        <v>224</v>
      </c>
      <c r="DE2134" s="1" t="s">
        <v>4522</v>
      </c>
      <c r="DF2134" s="1" t="s">
        <v>219</v>
      </c>
      <c r="DI2134" s="1" t="s">
        <v>19170</v>
      </c>
      <c r="DJ2134" s="1" t="s">
        <v>822</v>
      </c>
      <c r="DM2134" s="1" t="s">
        <v>1005</v>
      </c>
      <c r="DR2134" s="1" t="s">
        <v>1854</v>
      </c>
      <c r="DS2134" s="1" t="s">
        <v>219</v>
      </c>
      <c r="DW2134" s="1" t="s">
        <v>230</v>
      </c>
      <c r="EA2134" s="1" t="s">
        <v>230</v>
      </c>
      <c r="EE2134" s="1" t="s">
        <v>230</v>
      </c>
      <c r="EI2134" s="1" t="s">
        <v>230</v>
      </c>
      <c r="EL2134" s="1" t="s">
        <v>466</v>
      </c>
      <c r="EM2134" s="1" t="s">
        <v>319</v>
      </c>
      <c r="EN2134" s="1" t="s">
        <v>282</v>
      </c>
      <c r="EO2134" s="1" t="s">
        <v>234</v>
      </c>
      <c r="ER2134" s="1" t="s">
        <v>351</v>
      </c>
      <c r="EW2134" s="1" t="s">
        <v>347</v>
      </c>
      <c r="EZ2134" s="1" t="s">
        <v>1005</v>
      </c>
      <c r="FD2134" s="1" t="s">
        <v>1649</v>
      </c>
      <c r="FE2134" s="1" t="s">
        <v>496</v>
      </c>
      <c r="FF2134" s="1" t="s">
        <v>248</v>
      </c>
      <c r="FH2134" s="1" t="s">
        <v>442</v>
      </c>
      <c r="FL2134" s="1" t="s">
        <v>358</v>
      </c>
      <c r="FM2134" s="1" t="s">
        <v>252</v>
      </c>
      <c r="FN2134" s="1" t="s">
        <v>213</v>
      </c>
      <c r="FO2134" s="1" t="s">
        <v>213</v>
      </c>
      <c r="FQ2134" s="1" t="s">
        <v>689</v>
      </c>
      <c r="FR2134" s="1" t="s">
        <v>210</v>
      </c>
      <c r="FS2134" s="1" t="s">
        <v>2541</v>
      </c>
      <c r="FT2134" s="1" t="s">
        <v>654</v>
      </c>
      <c r="FU2134" s="1" t="s">
        <v>204</v>
      </c>
      <c r="FW2134" s="1" t="s">
        <v>4399</v>
      </c>
      <c r="FX2134" s="1">
        <v>8698</v>
      </c>
      <c r="FY2134" s="1" t="s">
        <v>4400</v>
      </c>
      <c r="FZ2134" s="1" t="s">
        <v>4401</v>
      </c>
      <c r="GA2134" s="1">
        <v>85273</v>
      </c>
      <c r="GB2134" s="1" t="s">
        <v>4400</v>
      </c>
      <c r="GE2134" s="1" t="s">
        <v>210</v>
      </c>
      <c r="GI2134" s="1" t="s">
        <v>204</v>
      </c>
      <c r="GJ2134" s="1" t="s">
        <v>260</v>
      </c>
      <c r="GK2134" s="1" t="s">
        <v>210</v>
      </c>
      <c r="GL2134" s="2">
        <v>42004</v>
      </c>
      <c r="GM2134" s="1" t="s">
        <v>19171</v>
      </c>
    </row>
    <row r="2135" spans="1:195">
      <c r="A2135" s="1">
        <v>190000</v>
      </c>
      <c r="B2135" s="1" t="s">
        <v>195</v>
      </c>
      <c r="C2135" s="1" t="str">
        <f>"08751492"</f>
        <v>08751492</v>
      </c>
      <c r="D2135" s="1" t="s">
        <v>196</v>
      </c>
      <c r="F2135" s="1" t="str">
        <f>"188"</f>
        <v>188</v>
      </c>
      <c r="G2135" s="2">
        <v>41925</v>
      </c>
      <c r="H2135" s="1">
        <v>195000</v>
      </c>
      <c r="I2135" s="1">
        <v>195000</v>
      </c>
      <c r="J2135" s="1">
        <v>190000</v>
      </c>
      <c r="K2135" s="2">
        <v>41925</v>
      </c>
      <c r="L2135" s="1">
        <v>11</v>
      </c>
      <c r="M2135" s="2">
        <v>41935</v>
      </c>
      <c r="N2135" s="1">
        <v>11</v>
      </c>
      <c r="O2135" s="2">
        <v>41935</v>
      </c>
      <c r="P2135" s="1">
        <v>1109</v>
      </c>
      <c r="Q2135" s="1" t="s">
        <v>197</v>
      </c>
      <c r="R2135" s="2">
        <v>41975</v>
      </c>
      <c r="S2135" s="1">
        <v>28626</v>
      </c>
      <c r="U2135" s="1">
        <v>117</v>
      </c>
      <c r="V2135" s="1" t="s">
        <v>1293</v>
      </c>
      <c r="W2135" s="1" t="s">
        <v>264</v>
      </c>
      <c r="Y2135" s="1">
        <v>2</v>
      </c>
      <c r="Z2135" s="1" t="s">
        <v>200</v>
      </c>
      <c r="AA2135" s="1" t="s">
        <v>1084</v>
      </c>
      <c r="AB2135" s="1">
        <v>60188</v>
      </c>
      <c r="AE2135" s="1" t="s">
        <v>19172</v>
      </c>
      <c r="AF2135" s="1">
        <v>1993</v>
      </c>
      <c r="AG2135" s="1" t="s">
        <v>204</v>
      </c>
      <c r="AH2135" s="1" t="s">
        <v>1087</v>
      </c>
      <c r="AI2135" s="1" t="s">
        <v>206</v>
      </c>
      <c r="AJ2135" s="1" t="s">
        <v>269</v>
      </c>
      <c r="AL2135" s="1">
        <v>6</v>
      </c>
      <c r="AM2135" s="1">
        <v>2</v>
      </c>
      <c r="AN2135" s="1">
        <v>2</v>
      </c>
      <c r="AO2135" s="1">
        <v>1</v>
      </c>
      <c r="AP2135" s="1" t="s">
        <v>209</v>
      </c>
      <c r="AR2135" s="1" t="s">
        <v>210</v>
      </c>
      <c r="AT2135" s="1" t="s">
        <v>211</v>
      </c>
      <c r="AU2135" s="1">
        <v>2</v>
      </c>
      <c r="AW2135" s="1" t="s">
        <v>204</v>
      </c>
      <c r="AX2135" s="1" t="s">
        <v>19173</v>
      </c>
      <c r="AZ2135" s="5">
        <v>4230.26</v>
      </c>
      <c r="BA2135" s="1">
        <v>2013</v>
      </c>
      <c r="BB2135" s="1" t="s">
        <v>405</v>
      </c>
      <c r="BE2135" s="1">
        <v>1499</v>
      </c>
      <c r="BF2135" s="1">
        <v>1</v>
      </c>
      <c r="BG2135" s="1">
        <v>0</v>
      </c>
      <c r="BL2135" s="1">
        <v>0</v>
      </c>
      <c r="BM2135" s="1" t="s">
        <v>204</v>
      </c>
      <c r="BN2135" s="1" t="s">
        <v>213</v>
      </c>
      <c r="BO2135" s="1">
        <v>999</v>
      </c>
      <c r="BP2135" s="1" t="s">
        <v>204</v>
      </c>
      <c r="BR2135" s="1" t="str">
        <f>"0229312021"</f>
        <v>0229312021</v>
      </c>
      <c r="BT2135" s="1" t="s">
        <v>19174</v>
      </c>
      <c r="BX2135" s="1">
        <v>93</v>
      </c>
      <c r="BY2135" s="1">
        <v>93</v>
      </c>
      <c r="BZ2135" s="1">
        <v>87</v>
      </c>
      <c r="CB2135" s="1" t="str">
        <f t="shared" si="1626"/>
        <v/>
      </c>
      <c r="CC2135" s="1" t="str">
        <f t="shared" si="1627"/>
        <v/>
      </c>
      <c r="CG2135" s="1" t="s">
        <v>461</v>
      </c>
      <c r="CH2135" s="1" t="s">
        <v>219</v>
      </c>
      <c r="CI2135" s="1" t="s">
        <v>220</v>
      </c>
      <c r="CJ2135" s="1" t="s">
        <v>343</v>
      </c>
      <c r="CK2135" s="1" t="s">
        <v>669</v>
      </c>
      <c r="CL2135" s="1" t="s">
        <v>277</v>
      </c>
      <c r="CM2135" s="1" t="s">
        <v>438</v>
      </c>
      <c r="CN2135" s="1" t="s">
        <v>343</v>
      </c>
      <c r="CO2135" s="1" t="s">
        <v>465</v>
      </c>
      <c r="CP2135" s="1" t="s">
        <v>219</v>
      </c>
      <c r="CQ2135" s="1" t="s">
        <v>220</v>
      </c>
      <c r="CR2135" s="1" t="s">
        <v>343</v>
      </c>
      <c r="CS2135" s="1" t="s">
        <v>465</v>
      </c>
      <c r="CT2135" s="1" t="s">
        <v>277</v>
      </c>
      <c r="CU2135" s="1" t="s">
        <v>438</v>
      </c>
      <c r="CV2135" s="1" t="s">
        <v>343</v>
      </c>
      <c r="CX2135" s="1" t="s">
        <v>224</v>
      </c>
      <c r="DB2135" s="1" t="s">
        <v>224</v>
      </c>
      <c r="DE2135" s="1" t="s">
        <v>317</v>
      </c>
      <c r="DF2135" s="1" t="s">
        <v>219</v>
      </c>
      <c r="DG2135" s="1" t="s">
        <v>342</v>
      </c>
      <c r="DJ2135" s="1" t="s">
        <v>224</v>
      </c>
      <c r="DM2135" s="1" t="s">
        <v>464</v>
      </c>
      <c r="DN2135" s="1" t="s">
        <v>709</v>
      </c>
      <c r="DR2135" s="1" t="s">
        <v>228</v>
      </c>
      <c r="DS2135" s="1" t="s">
        <v>277</v>
      </c>
      <c r="DV2135" s="1" t="s">
        <v>11021</v>
      </c>
      <c r="DW2135" s="1" t="s">
        <v>219</v>
      </c>
      <c r="DX2135" s="1" t="s">
        <v>220</v>
      </c>
      <c r="EA2135" s="1" t="s">
        <v>230</v>
      </c>
      <c r="EE2135" s="1" t="s">
        <v>230</v>
      </c>
      <c r="EI2135" s="1" t="s">
        <v>230</v>
      </c>
      <c r="EL2135" s="1" t="s">
        <v>382</v>
      </c>
      <c r="EM2135" s="1" t="s">
        <v>232</v>
      </c>
      <c r="EN2135" s="1" t="s">
        <v>282</v>
      </c>
      <c r="EO2135" s="1" t="s">
        <v>234</v>
      </c>
      <c r="EP2135" s="1" t="s">
        <v>1489</v>
      </c>
      <c r="EQ2135" s="1" t="s">
        <v>236</v>
      </c>
      <c r="ER2135" s="1" t="s">
        <v>383</v>
      </c>
      <c r="ES2135" s="1" t="s">
        <v>322</v>
      </c>
      <c r="EV2135" s="1" t="s">
        <v>352</v>
      </c>
      <c r="EW2135" s="1" t="s">
        <v>210</v>
      </c>
      <c r="EZ2135" s="1" t="s">
        <v>2549</v>
      </c>
      <c r="FD2135" s="1" t="s">
        <v>246</v>
      </c>
      <c r="FE2135" s="1" t="s">
        <v>472</v>
      </c>
      <c r="FF2135" s="1" t="s">
        <v>248</v>
      </c>
      <c r="FH2135" s="1" t="s">
        <v>442</v>
      </c>
      <c r="FI2135" s="1" t="s">
        <v>473</v>
      </c>
      <c r="FJ2135" s="1" t="s">
        <v>518</v>
      </c>
      <c r="FL2135" s="1" t="s">
        <v>358</v>
      </c>
      <c r="FM2135" s="1" t="s">
        <v>252</v>
      </c>
      <c r="FN2135" s="1" t="s">
        <v>213</v>
      </c>
      <c r="FO2135" s="1" t="s">
        <v>213</v>
      </c>
      <c r="FQ2135" s="1" t="s">
        <v>19175</v>
      </c>
      <c r="FR2135" s="1" t="s">
        <v>210</v>
      </c>
      <c r="FS2135" s="1" t="s">
        <v>3605</v>
      </c>
      <c r="FT2135" s="1" t="s">
        <v>362</v>
      </c>
      <c r="FU2135" s="1" t="s">
        <v>204</v>
      </c>
      <c r="FW2135" s="1" t="s">
        <v>813</v>
      </c>
      <c r="FX2135" s="1">
        <v>771</v>
      </c>
      <c r="FY2135" s="1" t="s">
        <v>5306</v>
      </c>
      <c r="FZ2135" s="1" t="s">
        <v>19176</v>
      </c>
      <c r="GA2135" s="1">
        <v>189</v>
      </c>
      <c r="GB2135" s="1" t="s">
        <v>19177</v>
      </c>
      <c r="GE2135" s="1" t="s">
        <v>335</v>
      </c>
      <c r="GI2135" s="1" t="s">
        <v>213</v>
      </c>
      <c r="GJ2135" s="1" t="s">
        <v>260</v>
      </c>
      <c r="GK2135" s="1" t="s">
        <v>210</v>
      </c>
      <c r="GL2135" s="2">
        <v>41975</v>
      </c>
    </row>
    <row r="2136" spans="1:195">
      <c r="A2136" s="1">
        <v>62550</v>
      </c>
      <c r="B2136" s="1" t="s">
        <v>195</v>
      </c>
      <c r="C2136" s="1" t="str">
        <f>"08745244"</f>
        <v>08745244</v>
      </c>
      <c r="D2136" s="1" t="s">
        <v>196</v>
      </c>
      <c r="F2136" s="1" t="str">
        <f>"8074"</f>
        <v>8074</v>
      </c>
      <c r="G2136" s="2">
        <v>41916</v>
      </c>
      <c r="H2136" s="1">
        <v>69900</v>
      </c>
      <c r="I2136" s="1">
        <v>54900</v>
      </c>
      <c r="J2136" s="1">
        <v>62550</v>
      </c>
      <c r="K2136" s="2">
        <v>41915</v>
      </c>
      <c r="L2136" s="1">
        <v>132</v>
      </c>
      <c r="M2136" s="2">
        <v>42046</v>
      </c>
      <c r="N2136" s="1">
        <v>132</v>
      </c>
      <c r="O2136" s="2">
        <v>42046</v>
      </c>
      <c r="P2136" s="1">
        <v>60035</v>
      </c>
      <c r="Q2136" s="1" t="s">
        <v>197</v>
      </c>
      <c r="R2136" s="2">
        <v>42090</v>
      </c>
      <c r="S2136" s="1">
        <v>601730</v>
      </c>
      <c r="U2136" s="1">
        <v>3455</v>
      </c>
      <c r="V2136" s="1" t="s">
        <v>9550</v>
      </c>
      <c r="W2136" s="1" t="s">
        <v>725</v>
      </c>
      <c r="X2136" s="1">
        <v>306</v>
      </c>
      <c r="Y2136" s="1">
        <v>6</v>
      </c>
      <c r="Z2136" s="1" t="s">
        <v>249</v>
      </c>
      <c r="AA2136" s="1" t="s">
        <v>400</v>
      </c>
      <c r="AB2136" s="1">
        <v>60655</v>
      </c>
      <c r="AE2136" s="1" t="s">
        <v>19178</v>
      </c>
      <c r="AF2136" s="1" t="s">
        <v>402</v>
      </c>
      <c r="AG2136" s="1" t="s">
        <v>213</v>
      </c>
      <c r="AH2136" s="1" t="s">
        <v>403</v>
      </c>
      <c r="AI2136" s="1" t="s">
        <v>310</v>
      </c>
      <c r="AJ2136" s="1" t="s">
        <v>683</v>
      </c>
      <c r="AK2136" s="1" t="s">
        <v>270</v>
      </c>
      <c r="AL2136" s="1">
        <v>5</v>
      </c>
      <c r="AM2136" s="1">
        <v>2</v>
      </c>
      <c r="AN2136" s="1">
        <v>1</v>
      </c>
      <c r="AO2136" s="1">
        <v>0</v>
      </c>
      <c r="AP2136" s="1" t="s">
        <v>210</v>
      </c>
      <c r="AQ2136" s="1">
        <v>0</v>
      </c>
      <c r="AR2136" s="1" t="s">
        <v>210</v>
      </c>
      <c r="AS2136" s="1" t="s">
        <v>204</v>
      </c>
      <c r="AT2136" s="1" t="s">
        <v>271</v>
      </c>
      <c r="AV2136" s="1">
        <v>1</v>
      </c>
      <c r="AW2136" s="1" t="s">
        <v>204</v>
      </c>
      <c r="AX2136" s="1" t="s">
        <v>212</v>
      </c>
      <c r="AZ2136" s="1">
        <v>2313</v>
      </c>
      <c r="BA2136" s="1">
        <v>2012</v>
      </c>
      <c r="BE2136" s="1">
        <v>700</v>
      </c>
      <c r="BF2136" s="1">
        <v>3</v>
      </c>
      <c r="BG2136" s="1">
        <v>30</v>
      </c>
      <c r="BJ2136" s="1">
        <v>100</v>
      </c>
      <c r="BL2136" s="1">
        <v>217</v>
      </c>
      <c r="BM2136" s="1" t="s">
        <v>413</v>
      </c>
      <c r="BN2136" s="1" t="s">
        <v>213</v>
      </c>
      <c r="BO2136" s="1">
        <v>10</v>
      </c>
      <c r="BP2136" s="1" t="s">
        <v>204</v>
      </c>
      <c r="BR2136" s="1" t="str">
        <f>"24232020860000"</f>
        <v>24232020860000</v>
      </c>
      <c r="BT2136" s="1" t="s">
        <v>19179</v>
      </c>
      <c r="BX2136" s="1">
        <v>299</v>
      </c>
      <c r="BY2136" s="1">
        <v>299</v>
      </c>
      <c r="BZ2136" s="1">
        <v>299</v>
      </c>
      <c r="CB2136" s="1" t="str">
        <f t="shared" ref="CB2136:CC2136" si="1628">"0"</f>
        <v>0</v>
      </c>
      <c r="CC2136" s="1" t="str">
        <f t="shared" si="1628"/>
        <v>0</v>
      </c>
      <c r="CD2136" s="1">
        <v>3455</v>
      </c>
      <c r="CE2136" s="1">
        <v>11100</v>
      </c>
      <c r="CG2136" s="1" t="s">
        <v>861</v>
      </c>
      <c r="CH2136" s="1" t="s">
        <v>219</v>
      </c>
      <c r="CI2136" s="1" t="s">
        <v>220</v>
      </c>
      <c r="CJ2136" s="1" t="s">
        <v>210</v>
      </c>
      <c r="CK2136" s="1" t="s">
        <v>437</v>
      </c>
      <c r="CL2136" s="1" t="s">
        <v>219</v>
      </c>
      <c r="CM2136" s="1" t="s">
        <v>220</v>
      </c>
      <c r="CN2136" s="1" t="s">
        <v>210</v>
      </c>
      <c r="CO2136" s="1" t="s">
        <v>837</v>
      </c>
      <c r="CP2136" s="1" t="s">
        <v>219</v>
      </c>
      <c r="CQ2136" s="1" t="s">
        <v>226</v>
      </c>
      <c r="CR2136" s="1" t="s">
        <v>210</v>
      </c>
      <c r="CS2136" s="1" t="s">
        <v>757</v>
      </c>
      <c r="CT2136" s="1" t="s">
        <v>219</v>
      </c>
      <c r="CU2136" s="1" t="s">
        <v>220</v>
      </c>
      <c r="CX2136" s="1" t="s">
        <v>224</v>
      </c>
      <c r="DB2136" s="1" t="s">
        <v>224</v>
      </c>
      <c r="DE2136" s="1" t="s">
        <v>1598</v>
      </c>
      <c r="DF2136" s="1" t="s">
        <v>219</v>
      </c>
      <c r="DG2136" s="1" t="s">
        <v>226</v>
      </c>
      <c r="DH2136" s="1" t="s">
        <v>210</v>
      </c>
      <c r="DJ2136" s="1" t="s">
        <v>224</v>
      </c>
      <c r="DS2136" s="1" t="s">
        <v>230</v>
      </c>
      <c r="DW2136" s="1" t="s">
        <v>230</v>
      </c>
      <c r="EA2136" s="1" t="s">
        <v>230</v>
      </c>
      <c r="EE2136" s="1" t="s">
        <v>230</v>
      </c>
      <c r="EI2136" s="1" t="s">
        <v>230</v>
      </c>
      <c r="EL2136" s="1" t="s">
        <v>605</v>
      </c>
      <c r="EM2136" s="1" t="s">
        <v>730</v>
      </c>
      <c r="EN2136" s="1" t="s">
        <v>282</v>
      </c>
      <c r="EO2136" s="1" t="s">
        <v>234</v>
      </c>
      <c r="EP2136" s="1" t="s">
        <v>17937</v>
      </c>
      <c r="ER2136" s="1" t="s">
        <v>210</v>
      </c>
      <c r="EW2136" s="1" t="s">
        <v>19180</v>
      </c>
      <c r="EY2136" s="1" t="s">
        <v>242</v>
      </c>
      <c r="EZ2136" s="1" t="s">
        <v>287</v>
      </c>
      <c r="FB2136" s="1" t="s">
        <v>734</v>
      </c>
      <c r="FD2136" s="1" t="s">
        <v>246</v>
      </c>
      <c r="FE2136" s="1" t="s">
        <v>247</v>
      </c>
      <c r="FF2136" s="1" t="s">
        <v>248</v>
      </c>
      <c r="FH2136" s="1" t="s">
        <v>249</v>
      </c>
      <c r="FK2136" s="1" t="s">
        <v>2309</v>
      </c>
      <c r="FL2136" s="1" t="s">
        <v>358</v>
      </c>
      <c r="FM2136" s="1" t="s">
        <v>252</v>
      </c>
      <c r="FN2136" s="1" t="s">
        <v>213</v>
      </c>
      <c r="FO2136" s="1" t="s">
        <v>213</v>
      </c>
      <c r="FQ2136" s="1" t="s">
        <v>19181</v>
      </c>
      <c r="FR2136" s="1" t="s">
        <v>210</v>
      </c>
      <c r="FS2136" s="1" t="s">
        <v>2524</v>
      </c>
      <c r="FT2136" s="1" t="s">
        <v>16141</v>
      </c>
      <c r="FU2136" s="1" t="s">
        <v>204</v>
      </c>
      <c r="FW2136" s="1" t="s">
        <v>2526</v>
      </c>
      <c r="FX2136" s="1">
        <v>12619</v>
      </c>
      <c r="FY2136" s="1" t="s">
        <v>2527</v>
      </c>
      <c r="FZ2136" s="1" t="s">
        <v>2528</v>
      </c>
      <c r="GA2136" s="1">
        <v>116214</v>
      </c>
      <c r="GB2136" s="1" t="s">
        <v>2527</v>
      </c>
      <c r="GE2136" s="1" t="s">
        <v>1576</v>
      </c>
      <c r="GH2136" s="1" t="s">
        <v>589</v>
      </c>
      <c r="GI2136" s="1" t="s">
        <v>213</v>
      </c>
      <c r="GJ2136" s="1" t="s">
        <v>260</v>
      </c>
      <c r="GK2136" s="1" t="s">
        <v>210</v>
      </c>
      <c r="GL2136" s="2">
        <v>42094</v>
      </c>
      <c r="GM2136" s="1" t="s">
        <v>19182</v>
      </c>
    </row>
    <row r="2137" spans="1:195">
      <c r="A2137" s="1">
        <v>205000</v>
      </c>
      <c r="B2137" s="1" t="s">
        <v>195</v>
      </c>
      <c r="C2137" s="1" t="str">
        <f>"08747732"</f>
        <v>08747732</v>
      </c>
      <c r="D2137" s="1" t="s">
        <v>196</v>
      </c>
      <c r="F2137" s="1" t="str">
        <f>"31"</f>
        <v>31</v>
      </c>
      <c r="G2137" s="2">
        <v>41919</v>
      </c>
      <c r="H2137" s="1">
        <v>209900</v>
      </c>
      <c r="I2137" s="1">
        <v>209900</v>
      </c>
      <c r="J2137" s="1">
        <v>205000</v>
      </c>
      <c r="K2137" s="2">
        <v>41919</v>
      </c>
      <c r="L2137" s="1">
        <v>11</v>
      </c>
      <c r="M2137" s="2">
        <v>41929</v>
      </c>
      <c r="N2137" s="1">
        <v>11</v>
      </c>
      <c r="O2137" s="2">
        <v>41929</v>
      </c>
      <c r="P2137" s="1">
        <v>16240</v>
      </c>
      <c r="Q2137" s="1" t="s">
        <v>197</v>
      </c>
      <c r="R2137" s="2">
        <v>41990</v>
      </c>
      <c r="S2137" s="1">
        <v>179701</v>
      </c>
      <c r="U2137" s="1">
        <v>638</v>
      </c>
      <c r="V2137" s="1" t="s">
        <v>19183</v>
      </c>
      <c r="W2137" s="1" t="s">
        <v>304</v>
      </c>
      <c r="Y2137" s="1">
        <v>2</v>
      </c>
      <c r="Z2137" s="1" t="s">
        <v>370</v>
      </c>
      <c r="AA2137" s="1" t="s">
        <v>1057</v>
      </c>
      <c r="AB2137" s="1">
        <v>60031</v>
      </c>
      <c r="AD2137" s="1" t="s">
        <v>4200</v>
      </c>
      <c r="AE2137" s="1" t="s">
        <v>19184</v>
      </c>
      <c r="AF2137" s="1">
        <v>1979</v>
      </c>
      <c r="AG2137" s="1" t="s">
        <v>204</v>
      </c>
      <c r="AH2137" s="1" t="s">
        <v>1060</v>
      </c>
      <c r="AI2137" s="1" t="s">
        <v>509</v>
      </c>
      <c r="AJ2137" s="1" t="s">
        <v>1061</v>
      </c>
      <c r="AL2137" s="1">
        <v>7</v>
      </c>
      <c r="AM2137" s="1">
        <v>2</v>
      </c>
      <c r="AN2137" s="1">
        <v>3</v>
      </c>
      <c r="AO2137" s="1">
        <v>0</v>
      </c>
      <c r="AP2137" s="1" t="s">
        <v>455</v>
      </c>
      <c r="AQ2137" s="1">
        <v>1</v>
      </c>
      <c r="AR2137" s="1" t="s">
        <v>209</v>
      </c>
      <c r="AS2137" s="1" t="s">
        <v>213</v>
      </c>
      <c r="AT2137" s="1" t="s">
        <v>375</v>
      </c>
      <c r="AU2137" s="1">
        <v>2</v>
      </c>
      <c r="AV2137" s="1">
        <v>4</v>
      </c>
      <c r="AW2137" s="1" t="s">
        <v>204</v>
      </c>
      <c r="AX2137" s="1" t="s">
        <v>1813</v>
      </c>
      <c r="AZ2137" s="1">
        <v>3085.34</v>
      </c>
      <c r="BA2137" s="1">
        <v>2013</v>
      </c>
      <c r="BB2137" s="1" t="s">
        <v>405</v>
      </c>
      <c r="BE2137" s="1">
        <v>1646</v>
      </c>
      <c r="BF2137" s="1">
        <v>1</v>
      </c>
      <c r="BG2137" s="1">
        <v>0</v>
      </c>
      <c r="BL2137" s="1">
        <v>204</v>
      </c>
      <c r="BM2137" s="1" t="s">
        <v>204</v>
      </c>
      <c r="BN2137" s="1" t="s">
        <v>213</v>
      </c>
      <c r="BO2137" s="1">
        <v>0</v>
      </c>
      <c r="BP2137" s="1" t="s">
        <v>204</v>
      </c>
      <c r="BR2137" s="1" t="str">
        <f>"07271050130000"</f>
        <v>07271050130000</v>
      </c>
      <c r="BT2137" s="1" t="s">
        <v>19185</v>
      </c>
      <c r="BU2137" s="1" t="s">
        <v>1064</v>
      </c>
      <c r="BV2137" s="1" t="s">
        <v>1065</v>
      </c>
      <c r="BW2137" s="1" t="s">
        <v>1066</v>
      </c>
      <c r="BX2137" s="1">
        <v>50</v>
      </c>
      <c r="BY2137" s="1">
        <v>50</v>
      </c>
      <c r="BZ2137" s="1">
        <v>121</v>
      </c>
      <c r="CB2137" s="1" t="str">
        <f t="shared" ref="CB2137:CC2137" si="1629">""</f>
        <v/>
      </c>
      <c r="CC2137" s="1" t="str">
        <f t="shared" si="1629"/>
        <v/>
      </c>
      <c r="CG2137" s="1" t="s">
        <v>581</v>
      </c>
      <c r="CH2137" s="1" t="s">
        <v>219</v>
      </c>
      <c r="CI2137" s="1" t="s">
        <v>438</v>
      </c>
      <c r="CJ2137" s="1" t="s">
        <v>210</v>
      </c>
      <c r="CK2137" s="1" t="s">
        <v>1004</v>
      </c>
      <c r="CL2137" s="1" t="s">
        <v>277</v>
      </c>
      <c r="CM2137" s="1" t="s">
        <v>438</v>
      </c>
      <c r="CN2137" s="1" t="s">
        <v>210</v>
      </c>
      <c r="CO2137" s="1" t="s">
        <v>379</v>
      </c>
      <c r="CP2137" s="1" t="s">
        <v>219</v>
      </c>
      <c r="CQ2137" s="1" t="s">
        <v>438</v>
      </c>
      <c r="CR2137" s="1" t="s">
        <v>210</v>
      </c>
      <c r="CS2137" s="1" t="s">
        <v>465</v>
      </c>
      <c r="CT2137" s="1" t="s">
        <v>219</v>
      </c>
      <c r="CU2137" s="1" t="s">
        <v>438</v>
      </c>
      <c r="CV2137" s="1" t="s">
        <v>210</v>
      </c>
      <c r="CX2137" s="1" t="s">
        <v>224</v>
      </c>
      <c r="DB2137" s="1" t="s">
        <v>224</v>
      </c>
      <c r="DE2137" s="1" t="s">
        <v>602</v>
      </c>
      <c r="DF2137" s="1" t="s">
        <v>219</v>
      </c>
      <c r="DG2137" s="1" t="s">
        <v>438</v>
      </c>
      <c r="DH2137" s="1" t="s">
        <v>210</v>
      </c>
      <c r="DI2137" s="1" t="s">
        <v>1357</v>
      </c>
      <c r="DJ2137" s="1" t="s">
        <v>43</v>
      </c>
      <c r="DK2137" s="1" t="s">
        <v>342</v>
      </c>
      <c r="DL2137" s="1" t="s">
        <v>210</v>
      </c>
      <c r="DN2137" s="1" t="s">
        <v>934</v>
      </c>
      <c r="DO2137" s="1" t="s">
        <v>1771</v>
      </c>
      <c r="DP2137" s="1" t="s">
        <v>347</v>
      </c>
      <c r="DS2137" s="1" t="s">
        <v>230</v>
      </c>
      <c r="DV2137" s="1" t="s">
        <v>15264</v>
      </c>
      <c r="DW2137" s="1" t="s">
        <v>43</v>
      </c>
      <c r="DX2137" s="1" t="s">
        <v>342</v>
      </c>
      <c r="DY2137" s="1" t="s">
        <v>210</v>
      </c>
      <c r="DZ2137" s="1" t="s">
        <v>1046</v>
      </c>
      <c r="EA2137" s="1" t="s">
        <v>277</v>
      </c>
      <c r="EB2137" s="1" t="s">
        <v>220</v>
      </c>
      <c r="EC2137" s="1" t="s">
        <v>210</v>
      </c>
      <c r="ED2137" s="1" t="s">
        <v>2120</v>
      </c>
      <c r="EE2137" s="1" t="s">
        <v>277</v>
      </c>
      <c r="EF2137" s="1" t="s">
        <v>438</v>
      </c>
      <c r="EG2137" s="1" t="s">
        <v>210</v>
      </c>
      <c r="EI2137" s="1" t="s">
        <v>230</v>
      </c>
      <c r="EL2137" s="1" t="s">
        <v>231</v>
      </c>
      <c r="EM2137" s="1" t="s">
        <v>319</v>
      </c>
      <c r="EN2137" s="1" t="s">
        <v>282</v>
      </c>
      <c r="EO2137" s="1" t="s">
        <v>234</v>
      </c>
      <c r="EP2137" s="1" t="s">
        <v>19186</v>
      </c>
      <c r="EQ2137" s="1" t="s">
        <v>19187</v>
      </c>
      <c r="ER2137" s="1" t="s">
        <v>544</v>
      </c>
      <c r="ES2137" s="1" t="s">
        <v>16628</v>
      </c>
      <c r="EU2137" s="1" t="s">
        <v>3025</v>
      </c>
      <c r="EV2137" s="1" t="s">
        <v>240</v>
      </c>
      <c r="EW2137" s="1" t="s">
        <v>19188</v>
      </c>
      <c r="EY2137" s="1" t="s">
        <v>242</v>
      </c>
      <c r="EZ2137" s="1" t="s">
        <v>19189</v>
      </c>
      <c r="FA2137" s="1" t="s">
        <v>1072</v>
      </c>
      <c r="FC2137" s="1" t="s">
        <v>633</v>
      </c>
      <c r="FD2137" s="1" t="s">
        <v>246</v>
      </c>
      <c r="FE2137" s="1" t="s">
        <v>355</v>
      </c>
      <c r="FF2137" s="1" t="s">
        <v>248</v>
      </c>
      <c r="FG2137" s="1" t="s">
        <v>939</v>
      </c>
      <c r="FH2137" s="1" t="s">
        <v>2458</v>
      </c>
      <c r="FI2137" s="1" t="s">
        <v>473</v>
      </c>
      <c r="FJ2137" s="1" t="s">
        <v>518</v>
      </c>
      <c r="FK2137" s="1" t="s">
        <v>768</v>
      </c>
      <c r="FL2137" s="1" t="s">
        <v>358</v>
      </c>
      <c r="FM2137" s="1" t="s">
        <v>252</v>
      </c>
      <c r="FN2137" s="1" t="s">
        <v>213</v>
      </c>
      <c r="FO2137" s="1" t="s">
        <v>213</v>
      </c>
      <c r="FQ2137" s="1" t="s">
        <v>4216</v>
      </c>
      <c r="FR2137" s="1" t="s">
        <v>210</v>
      </c>
      <c r="FS2137" s="1" t="s">
        <v>19190</v>
      </c>
      <c r="FT2137" s="1" t="s">
        <v>295</v>
      </c>
      <c r="FU2137" s="1" t="s">
        <v>204</v>
      </c>
      <c r="FW2137" s="1" t="s">
        <v>10069</v>
      </c>
      <c r="FX2137" s="1">
        <v>5336</v>
      </c>
      <c r="FY2137" s="1" t="s">
        <v>10070</v>
      </c>
      <c r="FZ2137" s="1" t="s">
        <v>19191</v>
      </c>
      <c r="GA2137" s="1">
        <v>55694</v>
      </c>
      <c r="GD2137" s="1" t="s">
        <v>19192</v>
      </c>
      <c r="GE2137" s="1" t="s">
        <v>1120</v>
      </c>
      <c r="GI2137" s="1" t="s">
        <v>213</v>
      </c>
      <c r="GJ2137" s="1" t="s">
        <v>260</v>
      </c>
      <c r="GK2137" s="1" t="s">
        <v>210</v>
      </c>
      <c r="GL2137" s="2">
        <v>41990</v>
      </c>
      <c r="GM2137" s="1" t="s">
        <v>19193</v>
      </c>
    </row>
    <row r="2138" spans="1:195">
      <c r="A2138" s="1">
        <v>357000</v>
      </c>
      <c r="B2138" s="1" t="s">
        <v>195</v>
      </c>
      <c r="C2138" s="1" t="str">
        <f>"08752144"</f>
        <v>08752144</v>
      </c>
      <c r="D2138" s="1" t="s">
        <v>196</v>
      </c>
      <c r="F2138" s="1" t="str">
        <f>"531"</f>
        <v>531</v>
      </c>
      <c r="G2138" s="2">
        <v>41925</v>
      </c>
      <c r="H2138" s="1">
        <v>379900</v>
      </c>
      <c r="I2138" s="1">
        <v>379900</v>
      </c>
      <c r="J2138" s="1">
        <v>357000</v>
      </c>
      <c r="K2138" s="2">
        <v>41925</v>
      </c>
      <c r="L2138" s="1">
        <v>126</v>
      </c>
      <c r="M2138" s="2">
        <v>41926</v>
      </c>
      <c r="N2138" s="1">
        <v>2</v>
      </c>
      <c r="O2138" s="2">
        <v>41926</v>
      </c>
      <c r="P2138" s="1">
        <v>25484</v>
      </c>
      <c r="Q2138" s="1" t="s">
        <v>423</v>
      </c>
      <c r="R2138" s="2">
        <v>41984</v>
      </c>
      <c r="S2138" s="1">
        <v>222601</v>
      </c>
      <c r="U2138" s="1">
        <v>6215</v>
      </c>
      <c r="V2138" s="1" t="s">
        <v>11414</v>
      </c>
      <c r="W2138" s="1" t="s">
        <v>504</v>
      </c>
      <c r="Y2138" s="1">
        <v>5</v>
      </c>
      <c r="Z2138" s="1" t="s">
        <v>249</v>
      </c>
      <c r="AA2138" s="1" t="s">
        <v>2326</v>
      </c>
      <c r="AB2138" s="1">
        <v>60525</v>
      </c>
      <c r="AC2138" s="1">
        <v>6052</v>
      </c>
      <c r="AD2138" s="1" t="s">
        <v>8002</v>
      </c>
      <c r="AE2138" s="1" t="s">
        <v>19194</v>
      </c>
      <c r="AF2138" s="1">
        <v>1999</v>
      </c>
      <c r="AG2138" s="1" t="s">
        <v>204</v>
      </c>
      <c r="AH2138" s="1" t="s">
        <v>2329</v>
      </c>
      <c r="AI2138" s="1" t="s">
        <v>310</v>
      </c>
      <c r="AJ2138" s="1" t="s">
        <v>702</v>
      </c>
      <c r="AK2138" s="1" t="s">
        <v>5180</v>
      </c>
      <c r="AL2138" s="1">
        <v>8</v>
      </c>
      <c r="AM2138" s="1">
        <v>2</v>
      </c>
      <c r="AN2138" s="1">
        <v>3</v>
      </c>
      <c r="AO2138" s="1">
        <v>1</v>
      </c>
      <c r="AP2138" s="1" t="s">
        <v>209</v>
      </c>
      <c r="AQ2138" s="1">
        <v>1</v>
      </c>
      <c r="AR2138" s="1" t="s">
        <v>2275</v>
      </c>
      <c r="AS2138" s="1" t="s">
        <v>213</v>
      </c>
      <c r="AT2138" s="1" t="s">
        <v>211</v>
      </c>
      <c r="AU2138" s="1">
        <v>2</v>
      </c>
      <c r="AW2138" s="1" t="s">
        <v>213</v>
      </c>
      <c r="AX2138" s="1" t="s">
        <v>212</v>
      </c>
      <c r="AZ2138" s="1">
        <v>6822.89</v>
      </c>
      <c r="BA2138" s="1">
        <v>2012</v>
      </c>
      <c r="BB2138" s="1" t="s">
        <v>210</v>
      </c>
      <c r="BE2138" s="1">
        <v>2010</v>
      </c>
      <c r="BF2138" s="1">
        <v>1</v>
      </c>
      <c r="BG2138" s="1">
        <v>30</v>
      </c>
      <c r="BJ2138" s="1">
        <v>90</v>
      </c>
      <c r="BK2138" s="1">
        <v>100</v>
      </c>
      <c r="BL2138" s="1">
        <v>320</v>
      </c>
      <c r="BM2138" s="1" t="s">
        <v>204</v>
      </c>
      <c r="BN2138" s="1" t="s">
        <v>213</v>
      </c>
      <c r="BO2138" s="1">
        <v>40</v>
      </c>
      <c r="BP2138" s="1" t="s">
        <v>204</v>
      </c>
      <c r="BR2138" s="1" t="str">
        <f>"18173130740000"</f>
        <v>18173130740000</v>
      </c>
      <c r="BT2138" s="1" t="s">
        <v>19195</v>
      </c>
      <c r="BU2138" s="1" t="s">
        <v>2495</v>
      </c>
      <c r="BV2138" s="1" t="s">
        <v>2496</v>
      </c>
      <c r="BW2138" s="1" t="s">
        <v>706</v>
      </c>
      <c r="BX2138" s="1">
        <v>106</v>
      </c>
      <c r="BY2138" s="1">
        <v>106</v>
      </c>
      <c r="BZ2138" s="1">
        <v>204</v>
      </c>
      <c r="CB2138" s="1" t="str">
        <f t="shared" ref="CB2138:CC2138" si="1630">"0"</f>
        <v>0</v>
      </c>
      <c r="CC2138" s="1" t="str">
        <f t="shared" si="1630"/>
        <v>0</v>
      </c>
      <c r="CD2138" s="1">
        <v>14</v>
      </c>
      <c r="CE2138" s="1">
        <v>6</v>
      </c>
      <c r="CH2138" s="1" t="s">
        <v>224</v>
      </c>
      <c r="CK2138" s="1" t="s">
        <v>1936</v>
      </c>
      <c r="CL2138" s="1" t="s">
        <v>277</v>
      </c>
      <c r="CM2138" s="1" t="s">
        <v>220</v>
      </c>
      <c r="CO2138" s="1" t="s">
        <v>539</v>
      </c>
      <c r="CP2138" s="1" t="s">
        <v>219</v>
      </c>
      <c r="CQ2138" s="1" t="s">
        <v>438</v>
      </c>
      <c r="CS2138" s="1" t="s">
        <v>757</v>
      </c>
      <c r="CT2138" s="1" t="s">
        <v>277</v>
      </c>
      <c r="CU2138" s="1" t="s">
        <v>438</v>
      </c>
      <c r="CX2138" s="1" t="s">
        <v>224</v>
      </c>
      <c r="DB2138" s="1" t="s">
        <v>224</v>
      </c>
      <c r="DE2138" s="1" t="s">
        <v>461</v>
      </c>
      <c r="DF2138" s="1" t="s">
        <v>219</v>
      </c>
      <c r="DG2138" s="1" t="s">
        <v>438</v>
      </c>
      <c r="DH2138" s="1" t="s">
        <v>210</v>
      </c>
      <c r="DI2138" s="1" t="s">
        <v>932</v>
      </c>
      <c r="DJ2138" s="1" t="s">
        <v>219</v>
      </c>
      <c r="DK2138" s="1" t="s">
        <v>438</v>
      </c>
      <c r="DL2138" s="1" t="s">
        <v>343</v>
      </c>
      <c r="DM2138" s="1" t="s">
        <v>464</v>
      </c>
      <c r="DN2138" s="1" t="s">
        <v>934</v>
      </c>
      <c r="DO2138" s="1" t="s">
        <v>3011</v>
      </c>
      <c r="DP2138" s="1" t="s">
        <v>1548</v>
      </c>
      <c r="DR2138" s="1" t="s">
        <v>1612</v>
      </c>
      <c r="DS2138" s="1" t="s">
        <v>277</v>
      </c>
      <c r="DT2138" s="1" t="s">
        <v>220</v>
      </c>
      <c r="DU2138" s="1" t="s">
        <v>210</v>
      </c>
      <c r="DV2138" s="1" t="s">
        <v>19196</v>
      </c>
      <c r="DW2138" s="1" t="s">
        <v>4450</v>
      </c>
      <c r="DX2138" s="1" t="s">
        <v>220</v>
      </c>
      <c r="DY2138" s="1" t="s">
        <v>343</v>
      </c>
      <c r="DZ2138" s="1" t="s">
        <v>1774</v>
      </c>
      <c r="EA2138" s="1" t="s">
        <v>219</v>
      </c>
      <c r="EB2138" s="1" t="s">
        <v>342</v>
      </c>
      <c r="ED2138" s="1" t="s">
        <v>465</v>
      </c>
      <c r="EE2138" s="1" t="s">
        <v>219</v>
      </c>
      <c r="EF2138" s="1" t="s">
        <v>438</v>
      </c>
      <c r="EG2138" s="1" t="s">
        <v>343</v>
      </c>
      <c r="EI2138" s="1" t="s">
        <v>230</v>
      </c>
      <c r="EL2138" s="1" t="s">
        <v>466</v>
      </c>
      <c r="EM2138" s="1" t="s">
        <v>232</v>
      </c>
      <c r="EN2138" s="1" t="s">
        <v>282</v>
      </c>
      <c r="EO2138" s="1" t="s">
        <v>234</v>
      </c>
      <c r="EP2138" s="1" t="s">
        <v>19197</v>
      </c>
      <c r="EQ2138" s="1" t="s">
        <v>236</v>
      </c>
      <c r="ER2138" s="1" t="s">
        <v>823</v>
      </c>
      <c r="ES2138" s="1" t="s">
        <v>3932</v>
      </c>
      <c r="ET2138" s="1" t="s">
        <v>1201</v>
      </c>
      <c r="EU2138" s="1" t="s">
        <v>19198</v>
      </c>
      <c r="EV2138" s="1" t="s">
        <v>324</v>
      </c>
      <c r="EW2138" s="1" t="s">
        <v>11420</v>
      </c>
      <c r="EY2138" s="1" t="s">
        <v>790</v>
      </c>
      <c r="EZ2138" s="1" t="s">
        <v>19199</v>
      </c>
      <c r="FA2138" s="1" t="s">
        <v>19200</v>
      </c>
      <c r="FB2138" s="1" t="s">
        <v>289</v>
      </c>
      <c r="FC2138" s="1" t="s">
        <v>633</v>
      </c>
      <c r="FD2138" s="1" t="s">
        <v>246</v>
      </c>
      <c r="FE2138" s="1" t="s">
        <v>247</v>
      </c>
      <c r="FF2138" s="1" t="s">
        <v>248</v>
      </c>
      <c r="FG2138" s="1" t="s">
        <v>2540</v>
      </c>
      <c r="FH2138" s="1" t="s">
        <v>550</v>
      </c>
      <c r="FI2138" s="1" t="s">
        <v>473</v>
      </c>
      <c r="FL2138" s="1" t="s">
        <v>358</v>
      </c>
      <c r="FM2138" s="1" t="s">
        <v>252</v>
      </c>
      <c r="FN2138" s="1" t="s">
        <v>213</v>
      </c>
      <c r="FO2138" s="1" t="s">
        <v>213</v>
      </c>
      <c r="FQ2138" s="1" t="s">
        <v>1473</v>
      </c>
      <c r="FR2138" s="1" t="s">
        <v>210</v>
      </c>
      <c r="FS2138" s="1" t="s">
        <v>19201</v>
      </c>
      <c r="FT2138" s="1" t="s">
        <v>295</v>
      </c>
      <c r="FU2138" s="1" t="s">
        <v>204</v>
      </c>
      <c r="FW2138" s="1" t="s">
        <v>719</v>
      </c>
      <c r="FX2138" s="1">
        <v>22029</v>
      </c>
      <c r="FY2138" s="1" t="s">
        <v>720</v>
      </c>
      <c r="FZ2138" s="1" t="s">
        <v>19202</v>
      </c>
      <c r="GA2138" s="1">
        <v>226259</v>
      </c>
      <c r="GB2138" s="1" t="s">
        <v>19203</v>
      </c>
      <c r="GE2138" s="1" t="s">
        <v>658</v>
      </c>
      <c r="GI2138" s="1" t="s">
        <v>204</v>
      </c>
      <c r="GJ2138" s="1" t="s">
        <v>260</v>
      </c>
      <c r="GK2138" s="1" t="s">
        <v>210</v>
      </c>
      <c r="GL2138" s="2">
        <v>41985</v>
      </c>
    </row>
    <row r="2139" spans="1:195">
      <c r="A2139" s="1">
        <v>134000</v>
      </c>
      <c r="B2139" s="1" t="s">
        <v>195</v>
      </c>
      <c r="C2139" s="1" t="str">
        <f>"08747794"</f>
        <v>08747794</v>
      </c>
      <c r="D2139" s="1" t="s">
        <v>196</v>
      </c>
      <c r="F2139" s="1" t="str">
        <f>"538"</f>
        <v>538</v>
      </c>
      <c r="G2139" s="2">
        <v>41920</v>
      </c>
      <c r="H2139" s="1">
        <v>129900</v>
      </c>
      <c r="I2139" s="1">
        <v>127500</v>
      </c>
      <c r="J2139" s="1">
        <v>134000</v>
      </c>
      <c r="K2139" s="2">
        <v>41920</v>
      </c>
      <c r="L2139" s="1">
        <v>75</v>
      </c>
      <c r="M2139" s="2">
        <v>41968</v>
      </c>
      <c r="N2139" s="1">
        <v>49</v>
      </c>
      <c r="O2139" s="2">
        <v>41968</v>
      </c>
      <c r="P2139" s="1">
        <v>349</v>
      </c>
      <c r="Q2139" s="1" t="s">
        <v>423</v>
      </c>
      <c r="R2139" s="2">
        <v>42130</v>
      </c>
      <c r="S2139" s="1">
        <v>8808</v>
      </c>
      <c r="U2139" s="1">
        <v>2175</v>
      </c>
      <c r="V2139" s="1" t="s">
        <v>12405</v>
      </c>
      <c r="W2139" s="1" t="s">
        <v>449</v>
      </c>
      <c r="Y2139" s="1">
        <v>4</v>
      </c>
      <c r="Z2139" s="1" t="s">
        <v>370</v>
      </c>
      <c r="AA2139" s="1" t="s">
        <v>450</v>
      </c>
      <c r="AB2139" s="1">
        <v>60538</v>
      </c>
      <c r="AD2139" s="1" t="s">
        <v>12406</v>
      </c>
      <c r="AE2139" s="1" t="s">
        <v>19204</v>
      </c>
      <c r="AF2139" s="1">
        <v>2005</v>
      </c>
      <c r="AG2139" s="1" t="s">
        <v>204</v>
      </c>
      <c r="AH2139" s="1" t="s">
        <v>452</v>
      </c>
      <c r="AI2139" s="1" t="s">
        <v>453</v>
      </c>
      <c r="AJ2139" s="1" t="s">
        <v>454</v>
      </c>
      <c r="AL2139" s="1">
        <v>7</v>
      </c>
      <c r="AM2139" s="1">
        <v>2</v>
      </c>
      <c r="AN2139" s="1">
        <v>2</v>
      </c>
      <c r="AO2139" s="1">
        <v>1</v>
      </c>
      <c r="AP2139" s="1" t="s">
        <v>209</v>
      </c>
      <c r="AQ2139" s="1">
        <v>1</v>
      </c>
      <c r="AR2139" s="1" t="s">
        <v>210</v>
      </c>
      <c r="AS2139" s="1" t="s">
        <v>204</v>
      </c>
      <c r="AT2139" s="1" t="s">
        <v>211</v>
      </c>
      <c r="AU2139" s="1">
        <v>2</v>
      </c>
      <c r="AW2139" s="1" t="s">
        <v>204</v>
      </c>
      <c r="AX2139" s="1" t="s">
        <v>212</v>
      </c>
      <c r="AZ2139" s="1">
        <v>4801.96</v>
      </c>
      <c r="BA2139" s="1">
        <v>2013</v>
      </c>
      <c r="BE2139" s="1">
        <v>1590</v>
      </c>
      <c r="BF2139" s="1">
        <v>1</v>
      </c>
      <c r="BG2139" s="1">
        <v>0</v>
      </c>
      <c r="BL2139" s="1">
        <v>202</v>
      </c>
      <c r="BM2139" s="1" t="s">
        <v>413</v>
      </c>
      <c r="BN2139" s="1" t="s">
        <v>213</v>
      </c>
      <c r="BO2139" s="1">
        <v>999</v>
      </c>
      <c r="BP2139" s="1" t="s">
        <v>204</v>
      </c>
      <c r="BR2139" s="1" t="str">
        <f>"0202103030"</f>
        <v>0202103030</v>
      </c>
      <c r="BT2139" s="1" t="s">
        <v>19205</v>
      </c>
      <c r="BW2139" s="1" t="s">
        <v>460</v>
      </c>
      <c r="BX2139" s="1">
        <v>308</v>
      </c>
      <c r="BY2139" s="1">
        <v>308</v>
      </c>
      <c r="BZ2139" s="1">
        <v>308</v>
      </c>
      <c r="CB2139" s="1" t="str">
        <f t="shared" ref="CB2139:CC2139" si="1631">""</f>
        <v/>
      </c>
      <c r="CC2139" s="1" t="str">
        <f t="shared" si="1631"/>
        <v/>
      </c>
      <c r="CG2139" s="1" t="s">
        <v>461</v>
      </c>
      <c r="CH2139" s="1" t="s">
        <v>219</v>
      </c>
      <c r="CI2139" s="1" t="s">
        <v>229</v>
      </c>
      <c r="CJ2139" s="1" t="s">
        <v>343</v>
      </c>
      <c r="CK2139" s="1" t="s">
        <v>757</v>
      </c>
      <c r="CL2139" s="1" t="s">
        <v>277</v>
      </c>
      <c r="CM2139" s="1" t="s">
        <v>220</v>
      </c>
      <c r="CN2139" s="1" t="s">
        <v>343</v>
      </c>
      <c r="CO2139" s="1" t="s">
        <v>465</v>
      </c>
      <c r="CP2139" s="1" t="s">
        <v>219</v>
      </c>
      <c r="CQ2139" s="1" t="s">
        <v>229</v>
      </c>
      <c r="CR2139" s="1" t="s">
        <v>343</v>
      </c>
      <c r="CS2139" s="1" t="s">
        <v>379</v>
      </c>
      <c r="CT2139" s="1" t="s">
        <v>277</v>
      </c>
      <c r="CU2139" s="1" t="s">
        <v>220</v>
      </c>
      <c r="CV2139" s="1" t="s">
        <v>343</v>
      </c>
      <c r="CX2139" s="1" t="s">
        <v>224</v>
      </c>
      <c r="DB2139" s="1" t="s">
        <v>224</v>
      </c>
      <c r="DE2139" s="1" t="s">
        <v>951</v>
      </c>
      <c r="DF2139" s="1" t="s">
        <v>219</v>
      </c>
      <c r="DG2139" s="1" t="s">
        <v>342</v>
      </c>
      <c r="DH2139" s="1" t="s">
        <v>210</v>
      </c>
      <c r="DI2139" s="1" t="s">
        <v>461</v>
      </c>
      <c r="DJ2139" s="1" t="s">
        <v>219</v>
      </c>
      <c r="DK2139" s="1" t="s">
        <v>229</v>
      </c>
      <c r="DL2139" s="1" t="s">
        <v>210</v>
      </c>
      <c r="DM2139" s="1" t="s">
        <v>464</v>
      </c>
      <c r="DR2139" s="1" t="s">
        <v>461</v>
      </c>
      <c r="DS2139" s="1" t="s">
        <v>277</v>
      </c>
      <c r="DT2139" s="1" t="s">
        <v>220</v>
      </c>
      <c r="DU2139" s="1" t="s">
        <v>343</v>
      </c>
      <c r="DW2139" s="1" t="s">
        <v>230</v>
      </c>
      <c r="EA2139" s="1" t="s">
        <v>230</v>
      </c>
      <c r="EE2139" s="1" t="s">
        <v>230</v>
      </c>
      <c r="EI2139" s="1" t="s">
        <v>230</v>
      </c>
      <c r="EL2139" s="1" t="s">
        <v>491</v>
      </c>
      <c r="EM2139" s="1" t="s">
        <v>232</v>
      </c>
      <c r="EN2139" s="1" t="s">
        <v>282</v>
      </c>
      <c r="EO2139" s="1" t="s">
        <v>234</v>
      </c>
      <c r="EQ2139" s="1" t="s">
        <v>236</v>
      </c>
      <c r="ER2139" s="1" t="s">
        <v>210</v>
      </c>
      <c r="ES2139" s="1" t="s">
        <v>1552</v>
      </c>
      <c r="EV2139" s="1" t="s">
        <v>324</v>
      </c>
      <c r="EW2139" s="1" t="s">
        <v>4163</v>
      </c>
      <c r="EZ2139" s="1" t="s">
        <v>464</v>
      </c>
      <c r="FA2139" s="1" t="s">
        <v>471</v>
      </c>
      <c r="FD2139" s="1" t="s">
        <v>9497</v>
      </c>
      <c r="FE2139" s="1" t="s">
        <v>975</v>
      </c>
      <c r="FF2139" s="1" t="s">
        <v>248</v>
      </c>
      <c r="FG2139" s="1" t="s">
        <v>1204</v>
      </c>
      <c r="FH2139" s="1" t="s">
        <v>550</v>
      </c>
      <c r="FI2139" s="1" t="s">
        <v>473</v>
      </c>
      <c r="FL2139" s="1" t="s">
        <v>358</v>
      </c>
      <c r="FM2139" s="1" t="s">
        <v>252</v>
      </c>
      <c r="FN2139" s="1" t="s">
        <v>213</v>
      </c>
      <c r="FO2139" s="1" t="s">
        <v>213</v>
      </c>
      <c r="FQ2139" s="1" t="s">
        <v>1758</v>
      </c>
      <c r="FR2139" s="1" t="s">
        <v>360</v>
      </c>
      <c r="FS2139" s="1" t="s">
        <v>19206</v>
      </c>
      <c r="FT2139" s="1" t="s">
        <v>295</v>
      </c>
      <c r="FU2139" s="1" t="s">
        <v>204</v>
      </c>
      <c r="FW2139" s="1" t="s">
        <v>915</v>
      </c>
      <c r="FX2139" s="1">
        <v>23076</v>
      </c>
      <c r="FY2139" s="1" t="s">
        <v>1909</v>
      </c>
      <c r="FZ2139" s="1" t="s">
        <v>19207</v>
      </c>
      <c r="GA2139" s="1">
        <v>227960</v>
      </c>
      <c r="GB2139" s="1" t="s">
        <v>19208</v>
      </c>
      <c r="GE2139" s="1" t="s">
        <v>480</v>
      </c>
      <c r="GI2139" s="1" t="s">
        <v>213</v>
      </c>
      <c r="GJ2139" s="1" t="s">
        <v>260</v>
      </c>
      <c r="GK2139" s="1" t="s">
        <v>210</v>
      </c>
      <c r="GL2139" s="2">
        <v>42130</v>
      </c>
      <c r="GM2139" s="1" t="s">
        <v>19209</v>
      </c>
    </row>
    <row r="2140" spans="1:195">
      <c r="A2140" s="1">
        <v>128000</v>
      </c>
      <c r="B2140" s="1" t="s">
        <v>195</v>
      </c>
      <c r="C2140" s="1" t="str">
        <f>"08748976"</f>
        <v>08748976</v>
      </c>
      <c r="D2140" s="1" t="s">
        <v>196</v>
      </c>
      <c r="F2140" s="1" t="str">
        <f>"507"</f>
        <v>507</v>
      </c>
      <c r="G2140" s="2">
        <v>41921</v>
      </c>
      <c r="H2140" s="1">
        <v>130000</v>
      </c>
      <c r="I2140" s="1">
        <v>130000</v>
      </c>
      <c r="J2140" s="1">
        <v>128000</v>
      </c>
      <c r="K2140" s="2">
        <v>41921</v>
      </c>
      <c r="L2140" s="1">
        <v>30</v>
      </c>
      <c r="M2140" s="2">
        <v>41950</v>
      </c>
      <c r="N2140" s="1">
        <v>30</v>
      </c>
      <c r="O2140" s="2">
        <v>41950</v>
      </c>
      <c r="P2140" s="1">
        <v>23196</v>
      </c>
      <c r="Q2140" s="1" t="s">
        <v>197</v>
      </c>
      <c r="R2140" s="2">
        <v>41991</v>
      </c>
      <c r="S2140" s="1">
        <v>233155</v>
      </c>
      <c r="U2140" s="1">
        <v>304</v>
      </c>
      <c r="V2140" s="1" t="s">
        <v>19210</v>
      </c>
      <c r="W2140" s="1" t="s">
        <v>449</v>
      </c>
      <c r="Y2140" s="1">
        <v>5</v>
      </c>
      <c r="Z2140" s="1" t="s">
        <v>370</v>
      </c>
      <c r="AA2140" s="1" t="s">
        <v>1123</v>
      </c>
      <c r="AB2140" s="1">
        <v>60504</v>
      </c>
      <c r="AD2140" s="1" t="s">
        <v>19211</v>
      </c>
      <c r="AE2140" s="1" t="s">
        <v>19212</v>
      </c>
      <c r="AF2140" s="1">
        <v>1994</v>
      </c>
      <c r="AG2140" s="1" t="s">
        <v>204</v>
      </c>
      <c r="AH2140" s="1" t="s">
        <v>1126</v>
      </c>
      <c r="AI2140" s="1" t="s">
        <v>206</v>
      </c>
      <c r="AJ2140" s="1" t="s">
        <v>924</v>
      </c>
      <c r="AK2140" s="1" t="s">
        <v>454</v>
      </c>
      <c r="AL2140" s="1">
        <v>5</v>
      </c>
      <c r="AM2140" s="1">
        <v>2</v>
      </c>
      <c r="AN2140" s="1">
        <v>2</v>
      </c>
      <c r="AO2140" s="1">
        <v>1</v>
      </c>
      <c r="AP2140" s="1" t="s">
        <v>667</v>
      </c>
      <c r="AQ2140" s="1">
        <v>0</v>
      </c>
      <c r="AR2140" s="1" t="s">
        <v>209</v>
      </c>
      <c r="AS2140" s="1" t="s">
        <v>213</v>
      </c>
      <c r="AT2140" s="1" t="s">
        <v>211</v>
      </c>
      <c r="AU2140" s="1">
        <v>2</v>
      </c>
      <c r="AW2140" s="1" t="s">
        <v>204</v>
      </c>
      <c r="AX2140" s="1" t="s">
        <v>212</v>
      </c>
      <c r="AZ2140" s="1">
        <v>3376</v>
      </c>
      <c r="BA2140" s="1">
        <v>2013</v>
      </c>
      <c r="BB2140" s="1" t="s">
        <v>405</v>
      </c>
      <c r="BE2140" s="1">
        <v>1126</v>
      </c>
      <c r="BF2140" s="1">
        <v>1</v>
      </c>
      <c r="BG2140" s="1">
        <v>0</v>
      </c>
      <c r="BL2140" s="1">
        <v>154</v>
      </c>
      <c r="BM2140" s="1" t="s">
        <v>204</v>
      </c>
      <c r="BN2140" s="1" t="s">
        <v>213</v>
      </c>
      <c r="BO2140" s="1">
        <v>200</v>
      </c>
      <c r="BP2140" s="1" t="s">
        <v>204</v>
      </c>
      <c r="BR2140" s="1" t="str">
        <f>"0720419013"</f>
        <v>0720419013</v>
      </c>
      <c r="BT2140" s="1" t="s">
        <v>19213</v>
      </c>
      <c r="BU2140" s="1" t="s">
        <v>2087</v>
      </c>
      <c r="BV2140" s="1" t="s">
        <v>1248</v>
      </c>
      <c r="BW2140" s="1" t="s">
        <v>1131</v>
      </c>
      <c r="BX2140" s="1">
        <v>204</v>
      </c>
      <c r="BY2140" s="1">
        <v>204</v>
      </c>
      <c r="BZ2140" s="1">
        <v>204</v>
      </c>
      <c r="CB2140" s="1" t="str">
        <f t="shared" ref="CB2140:CC2140" si="1632">""</f>
        <v/>
      </c>
      <c r="CC2140" s="1" t="str">
        <f t="shared" si="1632"/>
        <v/>
      </c>
      <c r="CG2140" s="1" t="s">
        <v>648</v>
      </c>
      <c r="CH2140" s="1" t="s">
        <v>219</v>
      </c>
      <c r="CI2140" s="1" t="s">
        <v>220</v>
      </c>
      <c r="CJ2140" s="1" t="s">
        <v>210</v>
      </c>
      <c r="CK2140" s="1" t="s">
        <v>461</v>
      </c>
      <c r="CL2140" s="1" t="s">
        <v>277</v>
      </c>
      <c r="CM2140" s="1" t="s">
        <v>220</v>
      </c>
      <c r="CN2140" s="1" t="s">
        <v>343</v>
      </c>
      <c r="CO2140" s="1" t="s">
        <v>629</v>
      </c>
      <c r="CP2140" s="1" t="s">
        <v>219</v>
      </c>
      <c r="CQ2140" s="1" t="s">
        <v>220</v>
      </c>
      <c r="CR2140" s="1" t="s">
        <v>210</v>
      </c>
      <c r="CS2140" s="1" t="s">
        <v>379</v>
      </c>
      <c r="CT2140" s="1" t="s">
        <v>277</v>
      </c>
      <c r="CU2140" s="1" t="s">
        <v>220</v>
      </c>
      <c r="CV2140" s="1" t="s">
        <v>210</v>
      </c>
      <c r="CX2140" s="1" t="s">
        <v>224</v>
      </c>
      <c r="DB2140" s="1" t="s">
        <v>224</v>
      </c>
      <c r="DE2140" s="1" t="s">
        <v>2547</v>
      </c>
      <c r="DF2140" s="1" t="s">
        <v>219</v>
      </c>
      <c r="DG2140" s="1" t="s">
        <v>342</v>
      </c>
      <c r="DH2140" s="1" t="s">
        <v>343</v>
      </c>
      <c r="DJ2140" s="1" t="s">
        <v>224</v>
      </c>
      <c r="DS2140" s="1" t="s">
        <v>230</v>
      </c>
      <c r="DW2140" s="1" t="s">
        <v>230</v>
      </c>
      <c r="EA2140" s="1" t="s">
        <v>230</v>
      </c>
      <c r="EE2140" s="1" t="s">
        <v>230</v>
      </c>
      <c r="EI2140" s="1" t="s">
        <v>230</v>
      </c>
      <c r="EL2140" s="1" t="s">
        <v>670</v>
      </c>
      <c r="EM2140" s="1" t="s">
        <v>319</v>
      </c>
      <c r="EN2140" s="1" t="s">
        <v>282</v>
      </c>
      <c r="EO2140" s="1" t="s">
        <v>234</v>
      </c>
      <c r="EP2140" s="1" t="s">
        <v>19214</v>
      </c>
      <c r="EQ2140" s="1" t="s">
        <v>236</v>
      </c>
      <c r="ER2140" s="1" t="s">
        <v>8396</v>
      </c>
      <c r="ES2140" s="1" t="s">
        <v>493</v>
      </c>
      <c r="ET2140" s="1" t="s">
        <v>1869</v>
      </c>
      <c r="EU2140" s="1" t="s">
        <v>712</v>
      </c>
      <c r="EV2140" s="1" t="s">
        <v>240</v>
      </c>
      <c r="EW2140" s="1" t="s">
        <v>353</v>
      </c>
      <c r="EY2140" s="1" t="s">
        <v>242</v>
      </c>
      <c r="EZ2140" s="1" t="s">
        <v>287</v>
      </c>
      <c r="FA2140" s="1" t="s">
        <v>19215</v>
      </c>
      <c r="FB2140" s="1" t="s">
        <v>289</v>
      </c>
      <c r="FC2140" s="1" t="s">
        <v>548</v>
      </c>
      <c r="FD2140" s="1" t="s">
        <v>246</v>
      </c>
      <c r="FE2140" s="1" t="s">
        <v>472</v>
      </c>
      <c r="FF2140" s="1" t="s">
        <v>248</v>
      </c>
      <c r="FH2140" s="1" t="s">
        <v>550</v>
      </c>
      <c r="FI2140" s="1" t="s">
        <v>473</v>
      </c>
      <c r="FJ2140" s="1" t="s">
        <v>518</v>
      </c>
      <c r="FL2140" s="1" t="s">
        <v>358</v>
      </c>
      <c r="FM2140" s="1" t="s">
        <v>252</v>
      </c>
      <c r="FN2140" s="1" t="s">
        <v>213</v>
      </c>
      <c r="FO2140" s="1" t="s">
        <v>213</v>
      </c>
      <c r="FQ2140" s="1" t="s">
        <v>956</v>
      </c>
      <c r="FR2140" s="1" t="s">
        <v>210</v>
      </c>
      <c r="FS2140" s="1" t="s">
        <v>19216</v>
      </c>
      <c r="FT2140" s="1" t="s">
        <v>295</v>
      </c>
      <c r="FU2140" s="1" t="s">
        <v>204</v>
      </c>
      <c r="FV2140" s="1" t="s">
        <v>19217</v>
      </c>
      <c r="FW2140" s="1" t="s">
        <v>1898</v>
      </c>
      <c r="FX2140" s="1">
        <v>23030</v>
      </c>
      <c r="FY2140" s="1" t="s">
        <v>1899</v>
      </c>
      <c r="FZ2140" s="1" t="s">
        <v>19218</v>
      </c>
      <c r="GA2140" s="1">
        <v>232823</v>
      </c>
      <c r="GB2140" s="1" t="s">
        <v>19219</v>
      </c>
      <c r="GD2140" s="1" t="s">
        <v>19220</v>
      </c>
      <c r="GE2140" s="1" t="s">
        <v>1764</v>
      </c>
      <c r="GI2140" s="1" t="s">
        <v>213</v>
      </c>
      <c r="GJ2140" s="1" t="s">
        <v>260</v>
      </c>
      <c r="GK2140" s="1" t="s">
        <v>261</v>
      </c>
      <c r="GL2140" s="2">
        <v>41992</v>
      </c>
      <c r="GM2140" s="1" t="s">
        <v>19221</v>
      </c>
    </row>
    <row r="2141" spans="1:195">
      <c r="A2141" s="1">
        <v>103500</v>
      </c>
      <c r="B2141" s="1" t="s">
        <v>195</v>
      </c>
      <c r="C2141" s="1" t="str">
        <f>"08749849"</f>
        <v>08749849</v>
      </c>
      <c r="D2141" s="1" t="s">
        <v>196</v>
      </c>
      <c r="F2141" s="1" t="str">
        <f>"517"</f>
        <v>517</v>
      </c>
      <c r="G2141" s="2">
        <v>41922</v>
      </c>
      <c r="H2141" s="1">
        <v>109900</v>
      </c>
      <c r="I2141" s="1">
        <v>109900</v>
      </c>
      <c r="J2141" s="1">
        <v>103500</v>
      </c>
      <c r="K2141" s="2">
        <v>41922</v>
      </c>
      <c r="L2141" s="1">
        <v>126</v>
      </c>
      <c r="M2141" s="2">
        <v>42047</v>
      </c>
      <c r="N2141" s="1">
        <v>126</v>
      </c>
      <c r="O2141" s="2">
        <v>42047</v>
      </c>
      <c r="P2141" s="1">
        <v>23120</v>
      </c>
      <c r="Q2141" s="1" t="s">
        <v>197</v>
      </c>
      <c r="R2141" s="2">
        <v>42129</v>
      </c>
      <c r="S2141" s="1">
        <v>227850</v>
      </c>
      <c r="U2141" s="1">
        <v>2216</v>
      </c>
      <c r="V2141" s="1" t="s">
        <v>5730</v>
      </c>
      <c r="W2141" s="1" t="s">
        <v>264</v>
      </c>
      <c r="X2141" s="1">
        <v>2008</v>
      </c>
      <c r="Y2141" s="1">
        <v>12</v>
      </c>
      <c r="Z2141" s="1" t="s">
        <v>249</v>
      </c>
      <c r="AA2141" s="1" t="s">
        <v>2850</v>
      </c>
      <c r="AB2141" s="1">
        <v>60517</v>
      </c>
      <c r="AD2141" s="1" t="s">
        <v>5731</v>
      </c>
      <c r="AE2141" s="1" t="s">
        <v>19222</v>
      </c>
      <c r="AF2141" s="1">
        <v>1984</v>
      </c>
      <c r="AG2141" s="1" t="s">
        <v>204</v>
      </c>
      <c r="AH2141" s="1" t="s">
        <v>2853</v>
      </c>
      <c r="AI2141" s="1" t="s">
        <v>206</v>
      </c>
      <c r="AJ2141" s="1" t="s">
        <v>925</v>
      </c>
      <c r="AK2141" s="1" t="s">
        <v>19223</v>
      </c>
      <c r="AL2141" s="1">
        <v>5</v>
      </c>
      <c r="AM2141" s="1">
        <v>2</v>
      </c>
      <c r="AN2141" s="1">
        <v>2</v>
      </c>
      <c r="AO2141" s="1">
        <v>0</v>
      </c>
      <c r="AP2141" s="1" t="s">
        <v>209</v>
      </c>
      <c r="AQ2141" s="1">
        <v>1</v>
      </c>
      <c r="AR2141" s="1" t="s">
        <v>210</v>
      </c>
      <c r="AT2141" s="1" t="s">
        <v>211</v>
      </c>
      <c r="AU2141" s="1">
        <v>1</v>
      </c>
      <c r="AW2141" s="1" t="s">
        <v>204</v>
      </c>
      <c r="AX2141" s="1" t="s">
        <v>212</v>
      </c>
      <c r="AZ2141" s="1">
        <v>2313.3000000000002</v>
      </c>
      <c r="BA2141" s="1">
        <v>2013</v>
      </c>
      <c r="BB2141" s="1" t="s">
        <v>405</v>
      </c>
      <c r="BE2141" s="1">
        <v>1105</v>
      </c>
      <c r="BF2141" s="1">
        <v>2</v>
      </c>
      <c r="BG2141" s="1">
        <v>30</v>
      </c>
      <c r="BL2141" s="1">
        <v>228</v>
      </c>
      <c r="BM2141" s="1" t="s">
        <v>204</v>
      </c>
      <c r="BN2141" s="1" t="s">
        <v>213</v>
      </c>
      <c r="BO2141" s="1">
        <v>50</v>
      </c>
      <c r="BP2141" s="1" t="s">
        <v>204</v>
      </c>
      <c r="BR2141" s="1" t="str">
        <f>"0836210152"</f>
        <v>0836210152</v>
      </c>
      <c r="BT2141" s="1" t="s">
        <v>19224</v>
      </c>
      <c r="BW2141" s="1" t="s">
        <v>3099</v>
      </c>
      <c r="BX2141" s="1">
        <v>60</v>
      </c>
      <c r="BY2141" s="1">
        <v>60</v>
      </c>
      <c r="BZ2141" s="1">
        <v>99</v>
      </c>
      <c r="CB2141" s="1" t="str">
        <f t="shared" ref="CB2141:CC2141" si="1633">""</f>
        <v/>
      </c>
      <c r="CC2141" s="1" t="str">
        <f t="shared" si="1633"/>
        <v/>
      </c>
      <c r="CD2141" s="1">
        <v>21</v>
      </c>
      <c r="CE2141" s="1">
        <v>9</v>
      </c>
      <c r="CG2141" s="1" t="s">
        <v>581</v>
      </c>
      <c r="CH2141" s="1" t="s">
        <v>219</v>
      </c>
      <c r="CI2141" s="1" t="s">
        <v>229</v>
      </c>
      <c r="CJ2141" s="1" t="s">
        <v>343</v>
      </c>
      <c r="CK2141" s="1" t="s">
        <v>885</v>
      </c>
      <c r="CL2141" s="1" t="s">
        <v>219</v>
      </c>
      <c r="CM2141" s="1" t="s">
        <v>220</v>
      </c>
      <c r="CN2141" s="1" t="s">
        <v>343</v>
      </c>
      <c r="CO2141" s="1" t="s">
        <v>1297</v>
      </c>
      <c r="CP2141" s="1" t="s">
        <v>219</v>
      </c>
      <c r="CQ2141" s="1" t="s">
        <v>229</v>
      </c>
      <c r="CR2141" s="1" t="s">
        <v>210</v>
      </c>
      <c r="CS2141" s="1" t="s">
        <v>1358</v>
      </c>
      <c r="CT2141" s="1" t="s">
        <v>219</v>
      </c>
      <c r="CU2141" s="1" t="s">
        <v>220</v>
      </c>
      <c r="CV2141" s="1" t="s">
        <v>343</v>
      </c>
      <c r="CX2141" s="1" t="s">
        <v>224</v>
      </c>
      <c r="DB2141" s="1" t="s">
        <v>224</v>
      </c>
      <c r="DE2141" s="1" t="s">
        <v>602</v>
      </c>
      <c r="DF2141" s="1" t="s">
        <v>219</v>
      </c>
      <c r="DG2141" s="1" t="s">
        <v>342</v>
      </c>
      <c r="DH2141" s="1" t="s">
        <v>343</v>
      </c>
      <c r="DJ2141" s="1" t="s">
        <v>224</v>
      </c>
      <c r="DS2141" s="1" t="s">
        <v>230</v>
      </c>
      <c r="DW2141" s="1" t="s">
        <v>230</v>
      </c>
      <c r="EA2141" s="1" t="s">
        <v>230</v>
      </c>
      <c r="EE2141" s="1" t="s">
        <v>230</v>
      </c>
      <c r="EI2141" s="1" t="s">
        <v>230</v>
      </c>
      <c r="EL2141" s="1" t="s">
        <v>231</v>
      </c>
      <c r="EM2141" s="1" t="s">
        <v>232</v>
      </c>
      <c r="EN2141" s="1" t="s">
        <v>282</v>
      </c>
      <c r="EO2141" s="1" t="s">
        <v>234</v>
      </c>
      <c r="EP2141" s="1" t="s">
        <v>19225</v>
      </c>
      <c r="EQ2141" s="1" t="s">
        <v>1094</v>
      </c>
      <c r="ER2141" s="1" t="s">
        <v>210</v>
      </c>
      <c r="ES2141" s="1" t="s">
        <v>322</v>
      </c>
      <c r="EU2141" s="1" t="s">
        <v>610</v>
      </c>
      <c r="EV2141" s="1" t="s">
        <v>1553</v>
      </c>
      <c r="EW2141" s="1" t="s">
        <v>991</v>
      </c>
      <c r="EY2141" s="1" t="s">
        <v>242</v>
      </c>
      <c r="EZ2141" s="1" t="s">
        <v>287</v>
      </c>
      <c r="FA2141" s="1" t="s">
        <v>3462</v>
      </c>
      <c r="FD2141" s="1" t="s">
        <v>495</v>
      </c>
      <c r="FE2141" s="1" t="s">
        <v>247</v>
      </c>
      <c r="FF2141" s="1" t="s">
        <v>387</v>
      </c>
      <c r="FG2141" s="1" t="s">
        <v>2406</v>
      </c>
      <c r="FH2141" s="1" t="s">
        <v>249</v>
      </c>
      <c r="FI2141" s="1" t="s">
        <v>3300</v>
      </c>
      <c r="FJ2141" s="1" t="s">
        <v>518</v>
      </c>
      <c r="FL2141" s="1" t="s">
        <v>358</v>
      </c>
      <c r="FM2141" s="1" t="s">
        <v>252</v>
      </c>
      <c r="FN2141" s="1" t="s">
        <v>213</v>
      </c>
      <c r="FO2141" s="1" t="s">
        <v>213</v>
      </c>
      <c r="FQ2141" s="1" t="s">
        <v>11490</v>
      </c>
      <c r="FR2141" s="1" t="s">
        <v>210</v>
      </c>
      <c r="FS2141" s="1" t="s">
        <v>19226</v>
      </c>
      <c r="FT2141" s="1" t="s">
        <v>19227</v>
      </c>
      <c r="FU2141" s="1" t="s">
        <v>204</v>
      </c>
      <c r="FW2141" s="1" t="s">
        <v>915</v>
      </c>
      <c r="FX2141" s="1">
        <v>25200</v>
      </c>
      <c r="FY2141" s="1" t="s">
        <v>6011</v>
      </c>
      <c r="FZ2141" s="1" t="s">
        <v>19228</v>
      </c>
      <c r="GA2141" s="1">
        <v>215197</v>
      </c>
      <c r="GB2141" s="1" t="s">
        <v>19229</v>
      </c>
      <c r="GE2141" s="1" t="s">
        <v>776</v>
      </c>
      <c r="GI2141" s="1" t="s">
        <v>213</v>
      </c>
      <c r="GJ2141" s="1" t="s">
        <v>260</v>
      </c>
      <c r="GK2141" s="1" t="s">
        <v>210</v>
      </c>
      <c r="GL2141" s="2">
        <v>42129</v>
      </c>
    </row>
    <row r="2142" spans="1:195">
      <c r="A2142" s="1">
        <v>170000</v>
      </c>
      <c r="B2142" s="1" t="s">
        <v>195</v>
      </c>
      <c r="C2142" s="1" t="str">
        <f>"08753407"</f>
        <v>08753407</v>
      </c>
      <c r="D2142" s="1" t="s">
        <v>196</v>
      </c>
      <c r="F2142" s="1" t="str">
        <f>"510"</f>
        <v>510</v>
      </c>
      <c r="G2142" s="2">
        <v>41927</v>
      </c>
      <c r="H2142" s="1">
        <v>175000</v>
      </c>
      <c r="I2142" s="1">
        <v>175000</v>
      </c>
      <c r="J2142" s="1">
        <v>170000</v>
      </c>
      <c r="K2142" s="2">
        <v>41927</v>
      </c>
      <c r="L2142" s="1">
        <v>10</v>
      </c>
      <c r="M2142" s="2">
        <v>41936</v>
      </c>
      <c r="N2142" s="1">
        <v>10</v>
      </c>
      <c r="O2142" s="2">
        <v>41936</v>
      </c>
      <c r="P2142" s="1">
        <v>383</v>
      </c>
      <c r="Q2142" s="1" t="s">
        <v>197</v>
      </c>
      <c r="R2142" s="2">
        <v>41978</v>
      </c>
      <c r="S2142" s="1">
        <v>335</v>
      </c>
      <c r="T2142" s="1">
        <v>3500</v>
      </c>
      <c r="U2142" s="1">
        <v>31</v>
      </c>
      <c r="V2142" s="1" t="s">
        <v>19230</v>
      </c>
      <c r="W2142" s="1" t="s">
        <v>526</v>
      </c>
      <c r="Y2142" s="1">
        <v>4</v>
      </c>
      <c r="Z2142" s="1" t="s">
        <v>370</v>
      </c>
      <c r="AA2142" s="1" t="s">
        <v>947</v>
      </c>
      <c r="AB2142" s="1">
        <v>60510</v>
      </c>
      <c r="AD2142" s="1" t="s">
        <v>19231</v>
      </c>
      <c r="AE2142" s="1" t="s">
        <v>19232</v>
      </c>
      <c r="AF2142" s="1">
        <v>1995</v>
      </c>
      <c r="AG2142" s="1" t="s">
        <v>204</v>
      </c>
      <c r="AH2142" s="1" t="s">
        <v>949</v>
      </c>
      <c r="AI2142" s="1" t="s">
        <v>665</v>
      </c>
      <c r="AJ2142" s="1" t="s">
        <v>664</v>
      </c>
      <c r="AK2142" s="1" t="s">
        <v>19233</v>
      </c>
      <c r="AL2142" s="1">
        <v>7</v>
      </c>
      <c r="AM2142" s="1">
        <v>2</v>
      </c>
      <c r="AN2142" s="1">
        <v>2</v>
      </c>
      <c r="AO2142" s="1">
        <v>1</v>
      </c>
      <c r="AP2142" s="1" t="s">
        <v>209</v>
      </c>
      <c r="AR2142" s="1" t="s">
        <v>210</v>
      </c>
      <c r="AS2142" s="1" t="s">
        <v>204</v>
      </c>
      <c r="AT2142" s="1" t="s">
        <v>211</v>
      </c>
      <c r="AU2142" s="1">
        <v>2</v>
      </c>
      <c r="AW2142" s="1" t="s">
        <v>204</v>
      </c>
      <c r="AX2142" s="1" t="s">
        <v>212</v>
      </c>
      <c r="AZ2142" s="1">
        <v>3871</v>
      </c>
      <c r="BA2142" s="1">
        <v>2013</v>
      </c>
      <c r="BB2142" s="1" t="s">
        <v>599</v>
      </c>
      <c r="BE2142" s="1">
        <v>1560</v>
      </c>
      <c r="BF2142" s="1">
        <v>1</v>
      </c>
      <c r="BG2142" s="1">
        <v>0</v>
      </c>
      <c r="BL2142" s="1">
        <v>195</v>
      </c>
      <c r="BM2142" s="1" t="s">
        <v>204</v>
      </c>
      <c r="BN2142" s="1" t="s">
        <v>213</v>
      </c>
      <c r="BO2142" s="1">
        <v>999</v>
      </c>
      <c r="BP2142" s="1" t="s">
        <v>204</v>
      </c>
      <c r="BR2142" s="1" t="str">
        <f>"1220229055"</f>
        <v>1220229055</v>
      </c>
      <c r="BT2142" s="1" t="s">
        <v>19234</v>
      </c>
      <c r="BU2142" s="1" t="s">
        <v>19235</v>
      </c>
      <c r="BV2142" s="1" t="s">
        <v>6404</v>
      </c>
      <c r="BW2142" s="1" t="s">
        <v>6405</v>
      </c>
      <c r="BX2142" s="1">
        <v>101</v>
      </c>
      <c r="BY2142" s="1">
        <v>101</v>
      </c>
      <c r="BZ2142" s="1">
        <v>101</v>
      </c>
      <c r="CB2142" s="1" t="str">
        <f t="shared" ref="CB2142:CC2142" si="1634">""</f>
        <v/>
      </c>
      <c r="CC2142" s="1" t="str">
        <f t="shared" si="1634"/>
        <v/>
      </c>
      <c r="CG2142" s="1" t="s">
        <v>602</v>
      </c>
      <c r="CH2142" s="1" t="s">
        <v>219</v>
      </c>
      <c r="CI2142" s="1" t="s">
        <v>220</v>
      </c>
      <c r="CJ2142" s="1" t="s">
        <v>909</v>
      </c>
      <c r="CK2142" s="1" t="s">
        <v>932</v>
      </c>
      <c r="CL2142" s="1" t="s">
        <v>219</v>
      </c>
      <c r="CM2142" s="1" t="s">
        <v>220</v>
      </c>
      <c r="CN2142" s="1" t="s">
        <v>343</v>
      </c>
      <c r="CO2142" s="1" t="s">
        <v>1534</v>
      </c>
      <c r="CP2142" s="1" t="s">
        <v>219</v>
      </c>
      <c r="CQ2142" s="1" t="s">
        <v>220</v>
      </c>
      <c r="CR2142" s="1" t="s">
        <v>343</v>
      </c>
      <c r="CS2142" s="1" t="s">
        <v>539</v>
      </c>
      <c r="CT2142" s="1" t="s">
        <v>277</v>
      </c>
      <c r="CU2142" s="1" t="s">
        <v>220</v>
      </c>
      <c r="CV2142" s="1" t="s">
        <v>343</v>
      </c>
      <c r="CX2142" s="1" t="s">
        <v>224</v>
      </c>
      <c r="DB2142" s="1" t="s">
        <v>224</v>
      </c>
      <c r="DE2142" s="1" t="s">
        <v>18430</v>
      </c>
      <c r="DF2142" s="1" t="s">
        <v>219</v>
      </c>
      <c r="DG2142" s="1" t="s">
        <v>229</v>
      </c>
      <c r="DH2142" s="1" t="s">
        <v>210</v>
      </c>
      <c r="DJ2142" s="1" t="s">
        <v>224</v>
      </c>
      <c r="DM2142" s="1" t="s">
        <v>381</v>
      </c>
      <c r="DN2142" s="1" t="s">
        <v>709</v>
      </c>
      <c r="DO2142" s="1" t="s">
        <v>464</v>
      </c>
      <c r="DR2142" s="1" t="s">
        <v>4926</v>
      </c>
      <c r="DS2142" s="1" t="s">
        <v>219</v>
      </c>
      <c r="DT2142" s="1" t="s">
        <v>229</v>
      </c>
      <c r="DU2142" s="1" t="s">
        <v>343</v>
      </c>
      <c r="DV2142" s="1" t="s">
        <v>7102</v>
      </c>
      <c r="DW2142" s="1" t="s">
        <v>219</v>
      </c>
      <c r="DX2142" s="1" t="s">
        <v>226</v>
      </c>
      <c r="DY2142" s="1" t="s">
        <v>210</v>
      </c>
      <c r="DZ2142" s="1" t="s">
        <v>8108</v>
      </c>
      <c r="EA2142" s="1" t="s">
        <v>277</v>
      </c>
      <c r="EB2142" s="1" t="s">
        <v>220</v>
      </c>
      <c r="EC2142" s="1" t="s">
        <v>343</v>
      </c>
      <c r="EE2142" s="1" t="s">
        <v>230</v>
      </c>
      <c r="EI2142" s="1" t="s">
        <v>230</v>
      </c>
      <c r="EL2142" s="1" t="s">
        <v>670</v>
      </c>
      <c r="EM2142" s="1" t="s">
        <v>319</v>
      </c>
      <c r="EN2142" s="1" t="s">
        <v>282</v>
      </c>
      <c r="EO2142" s="1" t="s">
        <v>234</v>
      </c>
      <c r="EP2142" s="1" t="s">
        <v>4619</v>
      </c>
      <c r="EQ2142" s="1" t="s">
        <v>1094</v>
      </c>
      <c r="ER2142" s="1" t="s">
        <v>210</v>
      </c>
      <c r="ES2142" s="1" t="s">
        <v>322</v>
      </c>
      <c r="ET2142" s="1" t="s">
        <v>4523</v>
      </c>
      <c r="EU2142" s="1" t="s">
        <v>712</v>
      </c>
      <c r="EV2142" s="1" t="s">
        <v>240</v>
      </c>
      <c r="EW2142" s="1" t="s">
        <v>353</v>
      </c>
      <c r="EY2142" s="1" t="s">
        <v>242</v>
      </c>
      <c r="EZ2142" s="1" t="s">
        <v>868</v>
      </c>
      <c r="FA2142" s="1" t="s">
        <v>714</v>
      </c>
      <c r="FB2142" s="1" t="s">
        <v>289</v>
      </c>
      <c r="FD2142" s="1" t="s">
        <v>495</v>
      </c>
      <c r="FE2142" s="1" t="s">
        <v>355</v>
      </c>
      <c r="FF2142" s="1" t="s">
        <v>248</v>
      </c>
      <c r="FH2142" s="1" t="s">
        <v>550</v>
      </c>
      <c r="FI2142" s="1" t="s">
        <v>473</v>
      </c>
      <c r="FL2142" s="1" t="s">
        <v>358</v>
      </c>
      <c r="FM2142" s="1" t="s">
        <v>252</v>
      </c>
      <c r="FN2142" s="1" t="s">
        <v>213</v>
      </c>
      <c r="FO2142" s="1" t="s">
        <v>213</v>
      </c>
      <c r="FQ2142" s="1" t="s">
        <v>1032</v>
      </c>
      <c r="FR2142" s="1" t="s">
        <v>210</v>
      </c>
      <c r="FS2142" s="1" t="s">
        <v>19236</v>
      </c>
      <c r="FT2142" s="1" t="s">
        <v>295</v>
      </c>
      <c r="FU2142" s="1" t="s">
        <v>204</v>
      </c>
      <c r="FW2142" s="1" t="s">
        <v>585</v>
      </c>
      <c r="FX2142" s="1">
        <v>49</v>
      </c>
      <c r="FY2142" s="1" t="s">
        <v>2408</v>
      </c>
      <c r="FZ2142" s="1" t="s">
        <v>19237</v>
      </c>
      <c r="GA2142" s="1">
        <v>1535</v>
      </c>
      <c r="GB2142" s="1" t="s">
        <v>19238</v>
      </c>
      <c r="GE2142" s="1" t="s">
        <v>480</v>
      </c>
      <c r="GH2142" s="1" t="s">
        <v>230</v>
      </c>
      <c r="GI2142" s="1" t="s">
        <v>213</v>
      </c>
      <c r="GJ2142" s="1" t="s">
        <v>260</v>
      </c>
      <c r="GK2142" s="1" t="s">
        <v>210</v>
      </c>
      <c r="GL2142" s="2">
        <v>41978</v>
      </c>
      <c r="GM2142" s="1" t="s">
        <v>19239</v>
      </c>
    </row>
    <row r="2143" spans="1:195">
      <c r="A2143" s="1">
        <v>188330</v>
      </c>
      <c r="B2143" s="1" t="s">
        <v>195</v>
      </c>
      <c r="C2143" s="1" t="str">
        <f>"08746879"</f>
        <v>08746879</v>
      </c>
      <c r="D2143" s="1" t="s">
        <v>196</v>
      </c>
      <c r="F2143" s="1" t="str">
        <f>"540"</f>
        <v>540</v>
      </c>
      <c r="G2143" s="2">
        <v>41919</v>
      </c>
      <c r="H2143" s="1">
        <v>225900</v>
      </c>
      <c r="I2143" s="1">
        <v>184900</v>
      </c>
      <c r="J2143" s="1">
        <v>188330</v>
      </c>
      <c r="K2143" s="2">
        <v>41919</v>
      </c>
      <c r="L2143" s="1">
        <v>105</v>
      </c>
      <c r="M2143" s="2">
        <v>42023</v>
      </c>
      <c r="N2143" s="1">
        <v>105</v>
      </c>
      <c r="O2143" s="2">
        <v>42023</v>
      </c>
      <c r="P2143" s="1">
        <v>22975</v>
      </c>
      <c r="Q2143" s="1" t="s">
        <v>302</v>
      </c>
      <c r="R2143" s="2">
        <v>42074</v>
      </c>
      <c r="S2143" s="1">
        <v>233572</v>
      </c>
      <c r="U2143" s="1">
        <v>1463</v>
      </c>
      <c r="V2143" s="1" t="s">
        <v>2530</v>
      </c>
      <c r="W2143" s="1" t="s">
        <v>304</v>
      </c>
      <c r="Y2143" s="1">
        <v>4</v>
      </c>
      <c r="Z2143" s="1" t="s">
        <v>370</v>
      </c>
      <c r="AA2143" s="1" t="s">
        <v>921</v>
      </c>
      <c r="AB2143" s="1">
        <v>60564</v>
      </c>
      <c r="AE2143" s="1" t="s">
        <v>19240</v>
      </c>
      <c r="AF2143" s="1">
        <v>1994</v>
      </c>
      <c r="AG2143" s="1" t="s">
        <v>204</v>
      </c>
      <c r="AH2143" s="1" t="s">
        <v>924</v>
      </c>
      <c r="AI2143" s="1" t="s">
        <v>206</v>
      </c>
      <c r="AJ2143" s="1" t="s">
        <v>924</v>
      </c>
      <c r="AL2143" s="1">
        <v>6</v>
      </c>
      <c r="AM2143" s="1">
        <v>2</v>
      </c>
      <c r="AN2143" s="1">
        <v>2</v>
      </c>
      <c r="AO2143" s="1">
        <v>0</v>
      </c>
      <c r="AP2143" s="1" t="s">
        <v>209</v>
      </c>
      <c r="AR2143" s="1" t="s">
        <v>209</v>
      </c>
      <c r="AS2143" s="1" t="s">
        <v>204</v>
      </c>
      <c r="AT2143" s="1" t="s">
        <v>211</v>
      </c>
      <c r="AU2143" s="1">
        <v>1</v>
      </c>
      <c r="AW2143" s="1" t="s">
        <v>204</v>
      </c>
      <c r="AX2143" s="1">
        <v>0</v>
      </c>
      <c r="AZ2143" s="1">
        <v>5854</v>
      </c>
      <c r="BA2143" s="1">
        <v>2013</v>
      </c>
      <c r="BE2143" s="1">
        <v>1363</v>
      </c>
      <c r="BF2143" s="1">
        <v>1</v>
      </c>
      <c r="BG2143" s="1">
        <v>30</v>
      </c>
      <c r="BL2143" s="1">
        <v>308</v>
      </c>
      <c r="BM2143" s="1" t="s">
        <v>413</v>
      </c>
      <c r="BN2143" s="1" t="s">
        <v>213</v>
      </c>
      <c r="BO2143" s="1">
        <v>45</v>
      </c>
      <c r="BP2143" s="1" t="s">
        <v>204</v>
      </c>
      <c r="BR2143" s="1" t="str">
        <f>"0733310090"</f>
        <v>0733310090</v>
      </c>
      <c r="BT2143" s="1" t="s">
        <v>1965</v>
      </c>
      <c r="BX2143" s="1">
        <v>204</v>
      </c>
      <c r="BY2143" s="1">
        <v>204</v>
      </c>
      <c r="BZ2143" s="1">
        <v>204</v>
      </c>
      <c r="CB2143" s="1" t="str">
        <f t="shared" ref="CB2143:CC2143" si="1635">""</f>
        <v/>
      </c>
      <c r="CC2143" s="1" t="str">
        <f t="shared" si="1635"/>
        <v/>
      </c>
      <c r="CG2143" s="1" t="s">
        <v>1045</v>
      </c>
      <c r="CH2143" s="1" t="s">
        <v>219</v>
      </c>
      <c r="CK2143" s="1" t="s">
        <v>539</v>
      </c>
      <c r="CL2143" s="1" t="s">
        <v>277</v>
      </c>
      <c r="CO2143" s="1" t="s">
        <v>465</v>
      </c>
      <c r="CP2143" s="1" t="s">
        <v>219</v>
      </c>
      <c r="CS2143" s="1" t="s">
        <v>346</v>
      </c>
      <c r="CT2143" s="1" t="s">
        <v>277</v>
      </c>
      <c r="CX2143" s="1" t="s">
        <v>224</v>
      </c>
      <c r="DB2143" s="1" t="s">
        <v>224</v>
      </c>
      <c r="DE2143" s="1" t="s">
        <v>346</v>
      </c>
      <c r="DF2143" s="1" t="s">
        <v>219</v>
      </c>
      <c r="DI2143" s="1" t="s">
        <v>9820</v>
      </c>
      <c r="DJ2143" s="1" t="s">
        <v>43</v>
      </c>
      <c r="DS2143" s="1" t="s">
        <v>230</v>
      </c>
      <c r="DW2143" s="1" t="s">
        <v>230</v>
      </c>
      <c r="EA2143" s="1" t="s">
        <v>230</v>
      </c>
      <c r="EE2143" s="1" t="s">
        <v>230</v>
      </c>
      <c r="EI2143" s="1" t="s">
        <v>230</v>
      </c>
      <c r="EL2143" s="1" t="s">
        <v>382</v>
      </c>
      <c r="EM2143" s="1" t="s">
        <v>319</v>
      </c>
      <c r="EN2143" s="1" t="s">
        <v>282</v>
      </c>
      <c r="EO2143" s="1" t="s">
        <v>234</v>
      </c>
      <c r="ER2143" s="1" t="s">
        <v>544</v>
      </c>
      <c r="EW2143" s="1" t="s">
        <v>142</v>
      </c>
      <c r="EZ2143" s="1" t="s">
        <v>287</v>
      </c>
      <c r="FD2143" s="1" t="s">
        <v>246</v>
      </c>
      <c r="FE2143" s="1" t="s">
        <v>472</v>
      </c>
      <c r="FF2143" s="1" t="s">
        <v>248</v>
      </c>
      <c r="FH2143" s="1" t="s">
        <v>550</v>
      </c>
      <c r="FJ2143" s="1" t="s">
        <v>1472</v>
      </c>
      <c r="FL2143" s="1" t="s">
        <v>414</v>
      </c>
      <c r="FM2143" s="1" t="s">
        <v>252</v>
      </c>
      <c r="FN2143" s="1" t="s">
        <v>213</v>
      </c>
      <c r="FO2143" s="1" t="s">
        <v>213</v>
      </c>
      <c r="FQ2143" s="1" t="s">
        <v>2417</v>
      </c>
      <c r="FR2143" s="1" t="s">
        <v>210</v>
      </c>
      <c r="FS2143" s="1" t="s">
        <v>3352</v>
      </c>
      <c r="FT2143" s="1" t="s">
        <v>295</v>
      </c>
      <c r="FU2143" s="1" t="s">
        <v>204</v>
      </c>
      <c r="FW2143" s="1" t="s">
        <v>3353</v>
      </c>
      <c r="FX2143" s="1">
        <v>8658</v>
      </c>
      <c r="FY2143" s="1" t="s">
        <v>3354</v>
      </c>
      <c r="FZ2143" s="1" t="s">
        <v>3355</v>
      </c>
      <c r="GA2143" s="1">
        <v>84760</v>
      </c>
      <c r="GB2143" s="1" t="s">
        <v>3354</v>
      </c>
      <c r="GD2143" s="1" t="s">
        <v>3356</v>
      </c>
      <c r="GE2143" s="1" t="s">
        <v>210</v>
      </c>
      <c r="GI2143" s="1" t="s">
        <v>213</v>
      </c>
      <c r="GJ2143" s="1" t="s">
        <v>260</v>
      </c>
      <c r="GK2143" s="1" t="s">
        <v>210</v>
      </c>
      <c r="GL2143" s="2">
        <v>42082</v>
      </c>
      <c r="GM2143" s="1" t="s">
        <v>19241</v>
      </c>
    </row>
    <row r="2144" spans="1:195">
      <c r="A2144" s="1">
        <v>260000</v>
      </c>
      <c r="B2144" s="1" t="s">
        <v>195</v>
      </c>
      <c r="C2144" s="1" t="str">
        <f>"08749268"</f>
        <v>08749268</v>
      </c>
      <c r="D2144" s="1" t="s">
        <v>196</v>
      </c>
      <c r="F2144" s="1" t="str">
        <f>"108"</f>
        <v>108</v>
      </c>
      <c r="G2144" s="2">
        <v>41921</v>
      </c>
      <c r="H2144" s="1">
        <v>269900</v>
      </c>
      <c r="I2144" s="1">
        <v>269900</v>
      </c>
      <c r="J2144" s="1">
        <v>260000</v>
      </c>
      <c r="K2144" s="2">
        <v>41921</v>
      </c>
      <c r="L2144" s="1">
        <v>11</v>
      </c>
      <c r="M2144" s="2">
        <v>41931</v>
      </c>
      <c r="N2144" s="1">
        <v>11</v>
      </c>
      <c r="O2144" s="2">
        <v>41931</v>
      </c>
      <c r="P2144" s="1">
        <v>25005</v>
      </c>
      <c r="Q2144" s="1" t="s">
        <v>1393</v>
      </c>
      <c r="R2144" s="2">
        <v>41977</v>
      </c>
      <c r="S2144" s="1">
        <v>218155</v>
      </c>
      <c r="U2144" s="1">
        <v>205</v>
      </c>
      <c r="V2144" s="1" t="s">
        <v>19242</v>
      </c>
      <c r="W2144" s="1" t="s">
        <v>504</v>
      </c>
      <c r="Y2144" s="1">
        <v>4</v>
      </c>
      <c r="Z2144" s="1" t="s">
        <v>370</v>
      </c>
      <c r="AA2144" s="1" t="s">
        <v>829</v>
      </c>
      <c r="AB2144" s="1">
        <v>60108</v>
      </c>
      <c r="AD2144" s="1" t="s">
        <v>13092</v>
      </c>
      <c r="AE2144" s="1" t="s">
        <v>19243</v>
      </c>
      <c r="AF2144" s="1">
        <v>1989</v>
      </c>
      <c r="AG2144" s="1" t="s">
        <v>204</v>
      </c>
      <c r="AH2144" s="1" t="s">
        <v>269</v>
      </c>
      <c r="AI2144" s="1" t="s">
        <v>206</v>
      </c>
      <c r="AJ2144" s="1" t="s">
        <v>269</v>
      </c>
      <c r="AK2144" s="1" t="s">
        <v>11002</v>
      </c>
      <c r="AL2144" s="1">
        <v>6</v>
      </c>
      <c r="AM2144" s="1">
        <v>2</v>
      </c>
      <c r="AN2144" s="1">
        <v>2</v>
      </c>
      <c r="AO2144" s="1">
        <v>1</v>
      </c>
      <c r="AP2144" s="1" t="s">
        <v>209</v>
      </c>
      <c r="AQ2144" s="1">
        <v>1</v>
      </c>
      <c r="AR2144" s="1" t="s">
        <v>210</v>
      </c>
      <c r="AS2144" s="1" t="s">
        <v>204</v>
      </c>
      <c r="AT2144" s="1" t="s">
        <v>211</v>
      </c>
      <c r="AU2144" s="1">
        <v>2</v>
      </c>
      <c r="AW2144" s="1" t="s">
        <v>204</v>
      </c>
      <c r="AX2144" s="1" t="s">
        <v>212</v>
      </c>
      <c r="AZ2144" s="1">
        <v>4506</v>
      </c>
      <c r="BA2144" s="1">
        <v>2013</v>
      </c>
      <c r="BE2144" s="1">
        <v>1611</v>
      </c>
      <c r="BF2144" s="1">
        <v>1</v>
      </c>
      <c r="BG2144" s="1">
        <v>0</v>
      </c>
      <c r="BJ2144" s="1">
        <v>100</v>
      </c>
      <c r="BL2144" s="1">
        <v>238</v>
      </c>
      <c r="BM2144" s="1" t="s">
        <v>204</v>
      </c>
      <c r="BN2144" s="1" t="s">
        <v>213</v>
      </c>
      <c r="BO2144" s="1">
        <v>0</v>
      </c>
      <c r="BP2144" s="1" t="s">
        <v>204</v>
      </c>
      <c r="BR2144" s="1" t="str">
        <f>"0216302028"</f>
        <v>0216302028</v>
      </c>
      <c r="BT2144" s="1" t="s">
        <v>19244</v>
      </c>
      <c r="BU2144" s="1" t="s">
        <v>1611</v>
      </c>
      <c r="BV2144" s="1" t="s">
        <v>834</v>
      </c>
      <c r="BW2144" s="1" t="s">
        <v>275</v>
      </c>
      <c r="BX2144" s="1">
        <v>13</v>
      </c>
      <c r="BY2144" s="1">
        <v>13</v>
      </c>
      <c r="BZ2144" s="1">
        <v>108</v>
      </c>
      <c r="CB2144" s="1" t="str">
        <f t="shared" ref="CB2144:CC2144" si="1636">""</f>
        <v/>
      </c>
      <c r="CC2144" s="1" t="str">
        <f t="shared" si="1636"/>
        <v/>
      </c>
      <c r="CG2144" s="1" t="s">
        <v>1267</v>
      </c>
      <c r="CH2144" s="1" t="s">
        <v>219</v>
      </c>
      <c r="CI2144" s="1" t="s">
        <v>438</v>
      </c>
      <c r="CJ2144" s="1" t="s">
        <v>1199</v>
      </c>
      <c r="CK2144" s="1" t="s">
        <v>437</v>
      </c>
      <c r="CL2144" s="1" t="s">
        <v>277</v>
      </c>
      <c r="CM2144" s="1" t="s">
        <v>220</v>
      </c>
      <c r="CN2144" s="1" t="s">
        <v>1199</v>
      </c>
      <c r="CO2144" s="1" t="s">
        <v>1046</v>
      </c>
      <c r="CP2144" s="1" t="s">
        <v>219</v>
      </c>
      <c r="CQ2144" s="1" t="s">
        <v>438</v>
      </c>
      <c r="CR2144" s="1" t="s">
        <v>1199</v>
      </c>
      <c r="CS2144" s="1" t="s">
        <v>564</v>
      </c>
      <c r="CT2144" s="1" t="s">
        <v>277</v>
      </c>
      <c r="CU2144" s="1" t="s">
        <v>220</v>
      </c>
      <c r="CV2144" s="1" t="s">
        <v>1199</v>
      </c>
      <c r="CX2144" s="1" t="s">
        <v>224</v>
      </c>
      <c r="DB2144" s="1" t="s">
        <v>224</v>
      </c>
      <c r="DE2144" s="1" t="s">
        <v>1004</v>
      </c>
      <c r="DF2144" s="1" t="s">
        <v>219</v>
      </c>
      <c r="DG2144" s="1" t="s">
        <v>226</v>
      </c>
      <c r="DH2144" s="1" t="s">
        <v>1199</v>
      </c>
      <c r="DJ2144" s="1" t="s">
        <v>224</v>
      </c>
      <c r="DM2144" s="1" t="s">
        <v>464</v>
      </c>
      <c r="DR2144" s="1" t="s">
        <v>837</v>
      </c>
      <c r="DS2144" s="1" t="s">
        <v>277</v>
      </c>
      <c r="DT2144" s="1" t="s">
        <v>220</v>
      </c>
      <c r="DU2144" s="1" t="s">
        <v>1199</v>
      </c>
      <c r="DW2144" s="1" t="s">
        <v>230</v>
      </c>
      <c r="EA2144" s="1" t="s">
        <v>230</v>
      </c>
      <c r="EE2144" s="1" t="s">
        <v>230</v>
      </c>
      <c r="EI2144" s="1" t="s">
        <v>230</v>
      </c>
      <c r="EL2144" s="1" t="s">
        <v>382</v>
      </c>
      <c r="EM2144" s="1" t="s">
        <v>232</v>
      </c>
      <c r="EN2144" s="1" t="s">
        <v>282</v>
      </c>
      <c r="EO2144" s="1" t="s">
        <v>234</v>
      </c>
      <c r="EP2144" s="1" t="s">
        <v>19245</v>
      </c>
      <c r="EQ2144" s="1" t="s">
        <v>2188</v>
      </c>
      <c r="ER2144" s="1" t="s">
        <v>210</v>
      </c>
      <c r="ES2144" s="1" t="s">
        <v>3932</v>
      </c>
      <c r="ET2144" s="1" t="s">
        <v>4523</v>
      </c>
      <c r="EU2144" s="1" t="s">
        <v>712</v>
      </c>
      <c r="EV2144" s="1" t="s">
        <v>324</v>
      </c>
      <c r="EW2144" s="1" t="s">
        <v>3255</v>
      </c>
      <c r="EY2144" s="1" t="s">
        <v>242</v>
      </c>
      <c r="EZ2144" s="1" t="s">
        <v>464</v>
      </c>
      <c r="FA2144" s="1" t="s">
        <v>1072</v>
      </c>
      <c r="FB2144" s="1" t="s">
        <v>289</v>
      </c>
      <c r="FD2144" s="1" t="s">
        <v>246</v>
      </c>
      <c r="FE2144" s="1" t="s">
        <v>975</v>
      </c>
      <c r="FF2144" s="1" t="s">
        <v>248</v>
      </c>
      <c r="FG2144" s="1" t="s">
        <v>2739</v>
      </c>
      <c r="FH2144" s="1" t="s">
        <v>550</v>
      </c>
      <c r="FI2144" s="1" t="s">
        <v>473</v>
      </c>
      <c r="FJ2144" s="1" t="s">
        <v>1620</v>
      </c>
      <c r="FL2144" s="1" t="s">
        <v>358</v>
      </c>
      <c r="FM2144" s="1" t="s">
        <v>252</v>
      </c>
      <c r="FN2144" s="1" t="s">
        <v>213</v>
      </c>
      <c r="FO2144" s="1" t="s">
        <v>213</v>
      </c>
      <c r="FQ2144" s="1" t="s">
        <v>19246</v>
      </c>
      <c r="FR2144" s="1" t="s">
        <v>210</v>
      </c>
      <c r="FS2144" s="1" t="s">
        <v>2191</v>
      </c>
      <c r="FT2144" s="1" t="s">
        <v>520</v>
      </c>
      <c r="FU2144" s="1" t="s">
        <v>204</v>
      </c>
      <c r="FW2144" s="1" t="s">
        <v>873</v>
      </c>
      <c r="FX2144" s="1">
        <v>25309</v>
      </c>
      <c r="FY2144" s="1" t="s">
        <v>874</v>
      </c>
      <c r="FZ2144" s="1" t="s">
        <v>1623</v>
      </c>
      <c r="GA2144" s="1">
        <v>222292</v>
      </c>
      <c r="GB2144" s="1" t="s">
        <v>1624</v>
      </c>
      <c r="GD2144" s="1" t="s">
        <v>1625</v>
      </c>
      <c r="GE2144" s="1" t="s">
        <v>480</v>
      </c>
      <c r="GI2144" s="1" t="s">
        <v>213</v>
      </c>
      <c r="GJ2144" s="1" t="s">
        <v>260</v>
      </c>
      <c r="GK2144" s="1" t="s">
        <v>261</v>
      </c>
      <c r="GL2144" s="2">
        <v>41977</v>
      </c>
      <c r="GM2144" s="1" t="s">
        <v>19247</v>
      </c>
    </row>
    <row r="2145" spans="1:195">
      <c r="A2145" s="1">
        <v>130000</v>
      </c>
      <c r="B2145" s="1" t="s">
        <v>195</v>
      </c>
      <c r="C2145" s="1" t="str">
        <f>"08753908"</f>
        <v>08753908</v>
      </c>
      <c r="D2145" s="1" t="s">
        <v>196</v>
      </c>
      <c r="F2145" s="1" t="str">
        <f>"137"</f>
        <v>137</v>
      </c>
      <c r="G2145" s="2">
        <v>41927</v>
      </c>
      <c r="H2145" s="1">
        <v>140000</v>
      </c>
      <c r="I2145" s="1">
        <v>140000</v>
      </c>
      <c r="J2145" s="1">
        <v>130000</v>
      </c>
      <c r="K2145" s="2">
        <v>41927</v>
      </c>
      <c r="L2145" s="1">
        <v>48</v>
      </c>
      <c r="M2145" s="2">
        <v>41974</v>
      </c>
      <c r="N2145" s="1">
        <v>48</v>
      </c>
      <c r="O2145" s="2">
        <v>41974</v>
      </c>
      <c r="P2145" s="1">
        <v>23156</v>
      </c>
      <c r="Q2145" s="1" t="s">
        <v>302</v>
      </c>
      <c r="R2145" s="2">
        <v>41992</v>
      </c>
      <c r="S2145" s="1">
        <v>232124</v>
      </c>
      <c r="U2145" s="1">
        <v>410</v>
      </c>
      <c r="V2145" s="1" t="s">
        <v>19248</v>
      </c>
      <c r="W2145" s="1" t="s">
        <v>425</v>
      </c>
      <c r="X2145" s="1">
        <v>101</v>
      </c>
      <c r="Y2145" s="1">
        <v>6</v>
      </c>
      <c r="Z2145" s="1" t="s">
        <v>249</v>
      </c>
      <c r="AA2145" s="1" t="s">
        <v>201</v>
      </c>
      <c r="AB2145" s="1">
        <v>60137</v>
      </c>
      <c r="AD2145" s="1" t="s">
        <v>15662</v>
      </c>
      <c r="AE2145" s="1" t="s">
        <v>19249</v>
      </c>
      <c r="AF2145" s="1">
        <v>1984</v>
      </c>
      <c r="AG2145" s="1" t="s">
        <v>204</v>
      </c>
      <c r="AH2145" s="1" t="s">
        <v>205</v>
      </c>
      <c r="AI2145" s="1" t="s">
        <v>206</v>
      </c>
      <c r="AJ2145" s="1" t="s">
        <v>207</v>
      </c>
      <c r="AL2145" s="1">
        <v>5</v>
      </c>
      <c r="AM2145" s="1">
        <v>2</v>
      </c>
      <c r="AN2145" s="1">
        <v>2</v>
      </c>
      <c r="AO2145" s="1">
        <v>0</v>
      </c>
      <c r="AP2145" s="1" t="s">
        <v>209</v>
      </c>
      <c r="AQ2145" s="1">
        <v>1</v>
      </c>
      <c r="AR2145" s="1" t="s">
        <v>210</v>
      </c>
      <c r="AS2145" s="1" t="s">
        <v>204</v>
      </c>
      <c r="AT2145" s="1" t="s">
        <v>211</v>
      </c>
      <c r="AU2145" s="1">
        <v>1</v>
      </c>
      <c r="AW2145" s="1" t="s">
        <v>204</v>
      </c>
      <c r="AX2145" s="1" t="s">
        <v>212</v>
      </c>
      <c r="AZ2145" s="1">
        <v>4052</v>
      </c>
      <c r="BA2145" s="1">
        <v>2013</v>
      </c>
      <c r="BB2145" s="1" t="s">
        <v>405</v>
      </c>
      <c r="BE2145" s="1">
        <v>1054</v>
      </c>
      <c r="BF2145" s="1">
        <v>1</v>
      </c>
      <c r="BG2145" s="1">
        <v>0</v>
      </c>
      <c r="BL2145" s="1">
        <v>274</v>
      </c>
      <c r="BM2145" s="1" t="s">
        <v>204</v>
      </c>
      <c r="BN2145" s="1" t="s">
        <v>213</v>
      </c>
      <c r="BO2145" s="1">
        <v>30</v>
      </c>
      <c r="BP2145" s="1" t="s">
        <v>204</v>
      </c>
      <c r="BR2145" s="1" t="str">
        <f>"0511332013"</f>
        <v>0511332013</v>
      </c>
      <c r="BT2145" s="1" t="s">
        <v>19250</v>
      </c>
      <c r="BU2145" s="1" t="s">
        <v>969</v>
      </c>
      <c r="BV2145" s="1" t="s">
        <v>2168</v>
      </c>
      <c r="BW2145" s="1" t="s">
        <v>2169</v>
      </c>
      <c r="BX2145" s="1">
        <v>41</v>
      </c>
      <c r="BY2145" s="1">
        <v>41</v>
      </c>
      <c r="BZ2145" s="1">
        <v>87</v>
      </c>
      <c r="CB2145" s="1" t="str">
        <f t="shared" ref="CB2145:CC2145" si="1637">""</f>
        <v/>
      </c>
      <c r="CC2145" s="1" t="str">
        <f t="shared" si="1637"/>
        <v/>
      </c>
      <c r="CG2145" s="1" t="s">
        <v>1045</v>
      </c>
      <c r="CH2145" s="1" t="s">
        <v>219</v>
      </c>
      <c r="CI2145" s="1" t="s">
        <v>220</v>
      </c>
      <c r="CK2145" s="1" t="s">
        <v>278</v>
      </c>
      <c r="CL2145" s="1" t="s">
        <v>219</v>
      </c>
      <c r="CM2145" s="1" t="s">
        <v>220</v>
      </c>
      <c r="CO2145" s="1" t="s">
        <v>318</v>
      </c>
      <c r="CP2145" s="1" t="s">
        <v>219</v>
      </c>
      <c r="CQ2145" s="1" t="s">
        <v>220</v>
      </c>
      <c r="CS2145" s="1" t="s">
        <v>1297</v>
      </c>
      <c r="CT2145" s="1" t="s">
        <v>219</v>
      </c>
      <c r="CU2145" s="1" t="s">
        <v>220</v>
      </c>
      <c r="CX2145" s="1" t="s">
        <v>224</v>
      </c>
      <c r="DB2145" s="1" t="s">
        <v>224</v>
      </c>
      <c r="DE2145" s="1" t="s">
        <v>348</v>
      </c>
      <c r="DF2145" s="1" t="s">
        <v>219</v>
      </c>
      <c r="DG2145" s="1" t="s">
        <v>226</v>
      </c>
      <c r="DJ2145" s="1" t="s">
        <v>224</v>
      </c>
      <c r="DS2145" s="1" t="s">
        <v>230</v>
      </c>
      <c r="DW2145" s="1" t="s">
        <v>230</v>
      </c>
      <c r="EA2145" s="1" t="s">
        <v>230</v>
      </c>
      <c r="EE2145" s="1" t="s">
        <v>230</v>
      </c>
      <c r="EI2145" s="1" t="s">
        <v>230</v>
      </c>
      <c r="EL2145" s="1" t="s">
        <v>542</v>
      </c>
      <c r="EM2145" s="1" t="s">
        <v>232</v>
      </c>
      <c r="EN2145" s="1" t="s">
        <v>282</v>
      </c>
      <c r="EO2145" s="1" t="s">
        <v>234</v>
      </c>
      <c r="EP2145" s="1" t="s">
        <v>650</v>
      </c>
      <c r="EQ2145" s="1" t="s">
        <v>492</v>
      </c>
      <c r="ER2145" s="1" t="s">
        <v>210</v>
      </c>
      <c r="EV2145" s="1" t="s">
        <v>240</v>
      </c>
      <c r="EW2145" s="1" t="s">
        <v>286</v>
      </c>
      <c r="EZ2145" s="1" t="s">
        <v>287</v>
      </c>
      <c r="FB2145" s="1" t="s">
        <v>289</v>
      </c>
      <c r="FD2145" s="1" t="s">
        <v>246</v>
      </c>
      <c r="FE2145" s="1" t="s">
        <v>247</v>
      </c>
      <c r="FF2145" s="1" t="s">
        <v>248</v>
      </c>
      <c r="FG2145" s="1" t="s">
        <v>871</v>
      </c>
      <c r="FH2145" s="1" t="s">
        <v>249</v>
      </c>
      <c r="FL2145" s="1" t="s">
        <v>358</v>
      </c>
      <c r="FM2145" s="1" t="s">
        <v>252</v>
      </c>
      <c r="FN2145" s="1" t="s">
        <v>213</v>
      </c>
      <c r="FO2145" s="1" t="s">
        <v>213</v>
      </c>
      <c r="FQ2145" s="1" t="s">
        <v>2004</v>
      </c>
      <c r="FR2145" s="1" t="s">
        <v>652</v>
      </c>
      <c r="FS2145" s="1" t="s">
        <v>16609</v>
      </c>
      <c r="FT2145" s="1" t="s">
        <v>362</v>
      </c>
      <c r="FU2145" s="1" t="s">
        <v>204</v>
      </c>
      <c r="FW2145" s="1" t="s">
        <v>2179</v>
      </c>
      <c r="FX2145" s="1">
        <v>22039</v>
      </c>
      <c r="FY2145" s="1" t="s">
        <v>2180</v>
      </c>
      <c r="FZ2145" s="1" t="s">
        <v>12261</v>
      </c>
      <c r="GA2145" s="1">
        <v>253521</v>
      </c>
      <c r="GB2145" s="1" t="s">
        <v>12262</v>
      </c>
      <c r="GC2145" s="1">
        <v>255796</v>
      </c>
      <c r="GE2145" s="1" t="s">
        <v>2504</v>
      </c>
      <c r="GI2145" s="1" t="s">
        <v>213</v>
      </c>
      <c r="GJ2145" s="1" t="s">
        <v>260</v>
      </c>
      <c r="GK2145" s="1" t="s">
        <v>210</v>
      </c>
      <c r="GL2145" s="2">
        <v>41992</v>
      </c>
    </row>
    <row r="2146" spans="1:195">
      <c r="A2146" s="1">
        <v>337000</v>
      </c>
      <c r="B2146" s="1" t="s">
        <v>195</v>
      </c>
      <c r="C2146" s="1" t="str">
        <f>"08748497"</f>
        <v>08748497</v>
      </c>
      <c r="D2146" s="1" t="s">
        <v>196</v>
      </c>
      <c r="F2146" s="1" t="str">
        <f>"515"</f>
        <v>515</v>
      </c>
      <c r="G2146" s="2">
        <v>41920</v>
      </c>
      <c r="H2146" s="1">
        <v>350000</v>
      </c>
      <c r="I2146" s="1">
        <v>350000</v>
      </c>
      <c r="J2146" s="1">
        <v>337000</v>
      </c>
      <c r="K2146" s="2">
        <v>41920</v>
      </c>
      <c r="L2146" s="1">
        <v>38</v>
      </c>
      <c r="M2146" s="2">
        <v>41957</v>
      </c>
      <c r="N2146" s="1">
        <v>38</v>
      </c>
      <c r="O2146" s="2">
        <v>41957</v>
      </c>
      <c r="P2146" s="1">
        <v>24309</v>
      </c>
      <c r="Q2146" s="1" t="s">
        <v>197</v>
      </c>
      <c r="R2146" s="2">
        <v>41990</v>
      </c>
      <c r="S2146" s="1">
        <v>216487</v>
      </c>
      <c r="U2146" s="1">
        <v>1020</v>
      </c>
      <c r="V2146" s="1" t="s">
        <v>14550</v>
      </c>
      <c r="W2146" s="1" t="s">
        <v>264</v>
      </c>
      <c r="X2146" s="1" t="s">
        <v>19251</v>
      </c>
      <c r="Y2146" s="1">
        <v>6</v>
      </c>
      <c r="Z2146" s="1" t="s">
        <v>249</v>
      </c>
      <c r="AA2146" s="1" t="s">
        <v>1294</v>
      </c>
      <c r="AB2146" s="1">
        <v>60515</v>
      </c>
      <c r="AD2146" s="1" t="s">
        <v>9481</v>
      </c>
      <c r="AE2146" s="1" t="s">
        <v>19252</v>
      </c>
      <c r="AF2146" s="1">
        <v>1988</v>
      </c>
      <c r="AG2146" s="1" t="s">
        <v>204</v>
      </c>
      <c r="AH2146" s="1" t="s">
        <v>903</v>
      </c>
      <c r="AI2146" s="1" t="s">
        <v>206</v>
      </c>
      <c r="AJ2146" s="1" t="s">
        <v>1608</v>
      </c>
      <c r="AK2146" s="1" t="s">
        <v>19253</v>
      </c>
      <c r="AL2146" s="1">
        <v>7</v>
      </c>
      <c r="AM2146" s="1">
        <v>2</v>
      </c>
      <c r="AN2146" s="1">
        <v>3</v>
      </c>
      <c r="AO2146" s="1">
        <v>1</v>
      </c>
      <c r="AP2146" s="1" t="s">
        <v>209</v>
      </c>
      <c r="AQ2146" s="1">
        <v>1</v>
      </c>
      <c r="AR2146" s="1" t="s">
        <v>2275</v>
      </c>
      <c r="AS2146" s="1" t="s">
        <v>213</v>
      </c>
      <c r="AT2146" s="1" t="s">
        <v>211</v>
      </c>
      <c r="AU2146" s="1">
        <v>2</v>
      </c>
      <c r="AW2146" s="1" t="s">
        <v>204</v>
      </c>
      <c r="AX2146" s="1" t="s">
        <v>212</v>
      </c>
      <c r="AZ2146" s="1">
        <v>5649</v>
      </c>
      <c r="BA2146" s="1">
        <v>2013</v>
      </c>
      <c r="BE2146" s="1">
        <v>2202</v>
      </c>
      <c r="BF2146" s="1">
        <v>1</v>
      </c>
      <c r="BG2146" s="1">
        <v>7</v>
      </c>
      <c r="BJ2146" s="1">
        <v>100</v>
      </c>
      <c r="BL2146" s="1">
        <v>425</v>
      </c>
      <c r="BM2146" s="1" t="s">
        <v>204</v>
      </c>
      <c r="BN2146" s="1" t="s">
        <v>213</v>
      </c>
      <c r="BO2146" s="1">
        <v>99</v>
      </c>
      <c r="BP2146" s="1" t="s">
        <v>204</v>
      </c>
      <c r="BR2146" s="1" t="str">
        <f>"0632110033"</f>
        <v>0632110033</v>
      </c>
      <c r="BT2146" s="1" t="s">
        <v>19254</v>
      </c>
      <c r="BU2146" s="1" t="s">
        <v>9484</v>
      </c>
      <c r="BV2146" s="1" t="s">
        <v>2761</v>
      </c>
      <c r="BW2146" s="1" t="s">
        <v>2762</v>
      </c>
      <c r="BX2146" s="1">
        <v>58</v>
      </c>
      <c r="BY2146" s="1">
        <v>58</v>
      </c>
      <c r="BZ2146" s="1">
        <v>99</v>
      </c>
      <c r="CB2146" s="1" t="str">
        <f t="shared" ref="CB2146:CC2146" si="1638">""</f>
        <v/>
      </c>
      <c r="CC2146" s="1" t="str">
        <f t="shared" si="1638"/>
        <v/>
      </c>
      <c r="CG2146" s="1" t="s">
        <v>861</v>
      </c>
      <c r="CH2146" s="1" t="s">
        <v>219</v>
      </c>
      <c r="CI2146" s="1" t="s">
        <v>220</v>
      </c>
      <c r="CK2146" s="1" t="s">
        <v>581</v>
      </c>
      <c r="CL2146" s="1" t="s">
        <v>219</v>
      </c>
      <c r="CM2146" s="1" t="s">
        <v>220</v>
      </c>
      <c r="CO2146" s="1" t="s">
        <v>602</v>
      </c>
      <c r="CP2146" s="1" t="s">
        <v>219</v>
      </c>
      <c r="CQ2146" s="1" t="s">
        <v>220</v>
      </c>
      <c r="CS2146" s="1" t="s">
        <v>539</v>
      </c>
      <c r="CT2146" s="1" t="s">
        <v>219</v>
      </c>
      <c r="CU2146" s="1" t="s">
        <v>220</v>
      </c>
      <c r="CX2146" s="1" t="s">
        <v>224</v>
      </c>
      <c r="DB2146" s="1" t="s">
        <v>224</v>
      </c>
      <c r="DE2146" s="1" t="s">
        <v>1358</v>
      </c>
      <c r="DF2146" s="1" t="s">
        <v>219</v>
      </c>
      <c r="DG2146" s="1" t="s">
        <v>229</v>
      </c>
      <c r="DJ2146" s="1" t="s">
        <v>224</v>
      </c>
      <c r="DM2146" s="1" t="s">
        <v>381</v>
      </c>
      <c r="DN2146" s="1" t="s">
        <v>1005</v>
      </c>
      <c r="DR2146" s="1" t="s">
        <v>6342</v>
      </c>
      <c r="DS2146" s="1" t="s">
        <v>219</v>
      </c>
      <c r="DT2146" s="1" t="s">
        <v>229</v>
      </c>
      <c r="DV2146" s="1" t="s">
        <v>317</v>
      </c>
      <c r="DW2146" s="1" t="s">
        <v>219</v>
      </c>
      <c r="DX2146" s="1" t="s">
        <v>220</v>
      </c>
      <c r="EA2146" s="1" t="s">
        <v>230</v>
      </c>
      <c r="EE2146" s="1" t="s">
        <v>230</v>
      </c>
      <c r="EI2146" s="1" t="s">
        <v>230</v>
      </c>
      <c r="EL2146" s="1" t="s">
        <v>542</v>
      </c>
      <c r="EM2146" s="1" t="s">
        <v>232</v>
      </c>
      <c r="EN2146" s="1" t="s">
        <v>282</v>
      </c>
      <c r="EO2146" s="1" t="s">
        <v>234</v>
      </c>
      <c r="EQ2146" s="1" t="s">
        <v>492</v>
      </c>
      <c r="ER2146" s="1" t="s">
        <v>789</v>
      </c>
      <c r="ES2146" s="1" t="s">
        <v>824</v>
      </c>
      <c r="ET2146" s="1" t="s">
        <v>866</v>
      </c>
      <c r="EU2146" s="1" t="s">
        <v>1573</v>
      </c>
      <c r="EV2146" s="1" t="s">
        <v>324</v>
      </c>
      <c r="EW2146" s="1" t="s">
        <v>9621</v>
      </c>
      <c r="EZ2146" s="1" t="s">
        <v>6008</v>
      </c>
      <c r="FD2146" s="1" t="s">
        <v>246</v>
      </c>
      <c r="FE2146" s="1" t="s">
        <v>549</v>
      </c>
      <c r="FF2146" s="1" t="s">
        <v>248</v>
      </c>
      <c r="FH2146" s="1" t="s">
        <v>249</v>
      </c>
      <c r="FL2146" s="1" t="s">
        <v>358</v>
      </c>
      <c r="FM2146" s="1" t="s">
        <v>252</v>
      </c>
      <c r="FN2146" s="1" t="s">
        <v>213</v>
      </c>
      <c r="FO2146" s="1" t="s">
        <v>213</v>
      </c>
      <c r="FQ2146" s="1" t="s">
        <v>793</v>
      </c>
      <c r="FR2146" s="1" t="s">
        <v>210</v>
      </c>
      <c r="FS2146" s="1" t="s">
        <v>3061</v>
      </c>
      <c r="FT2146" s="1" t="s">
        <v>295</v>
      </c>
      <c r="FU2146" s="1" t="s">
        <v>204</v>
      </c>
      <c r="FW2146" s="1" t="s">
        <v>1961</v>
      </c>
      <c r="FX2146" s="1">
        <v>20150</v>
      </c>
      <c r="FY2146" s="1" t="s">
        <v>1962</v>
      </c>
      <c r="FZ2146" s="1" t="s">
        <v>7017</v>
      </c>
      <c r="GA2146" s="1">
        <v>213695</v>
      </c>
      <c r="GB2146" s="1" t="s">
        <v>7018</v>
      </c>
      <c r="GE2146" s="1" t="s">
        <v>1333</v>
      </c>
      <c r="GI2146" s="1" t="s">
        <v>213</v>
      </c>
      <c r="GJ2146" s="1" t="s">
        <v>260</v>
      </c>
      <c r="GK2146" s="1" t="s">
        <v>261</v>
      </c>
      <c r="GL2146" s="2">
        <v>41990</v>
      </c>
      <c r="GM2146" s="1" t="s">
        <v>19255</v>
      </c>
    </row>
    <row r="2147" spans="1:195">
      <c r="A2147" s="1">
        <v>118250</v>
      </c>
      <c r="B2147" s="1" t="s">
        <v>195</v>
      </c>
      <c r="C2147" s="1" t="str">
        <f>"08749276"</f>
        <v>08749276</v>
      </c>
      <c r="D2147" s="1" t="s">
        <v>196</v>
      </c>
      <c r="F2147" s="1" t="str">
        <f>"123"</f>
        <v>123</v>
      </c>
      <c r="G2147" s="2">
        <v>41921</v>
      </c>
      <c r="H2147" s="1">
        <v>119900</v>
      </c>
      <c r="I2147" s="1">
        <v>119900</v>
      </c>
      <c r="J2147" s="1">
        <v>118250</v>
      </c>
      <c r="K2147" s="2">
        <v>41921</v>
      </c>
      <c r="L2147" s="1">
        <v>21</v>
      </c>
      <c r="M2147" s="2">
        <v>41941</v>
      </c>
      <c r="N2147" s="1">
        <v>21</v>
      </c>
      <c r="O2147" s="2">
        <v>41941</v>
      </c>
      <c r="P2147" s="1">
        <v>25832</v>
      </c>
      <c r="Q2147" s="1" t="s">
        <v>197</v>
      </c>
      <c r="R2147" s="2">
        <v>41974</v>
      </c>
      <c r="S2147" s="1">
        <v>235783</v>
      </c>
      <c r="U2147" s="1">
        <v>355</v>
      </c>
      <c r="V2147" s="1" t="s">
        <v>19256</v>
      </c>
      <c r="W2147" s="1" t="s">
        <v>264</v>
      </c>
      <c r="X2147" s="1" t="s">
        <v>483</v>
      </c>
      <c r="Y2147" s="1">
        <v>4</v>
      </c>
      <c r="Z2147" s="1" t="s">
        <v>249</v>
      </c>
      <c r="AA2147" s="1" t="s">
        <v>1173</v>
      </c>
      <c r="AB2147" s="1">
        <v>60123</v>
      </c>
      <c r="AC2147" s="1">
        <v>4612</v>
      </c>
      <c r="AD2147" s="1" t="s">
        <v>1481</v>
      </c>
      <c r="AE2147" s="1" t="s">
        <v>19257</v>
      </c>
      <c r="AF2147" s="1">
        <v>1996</v>
      </c>
      <c r="AG2147" s="1" t="s">
        <v>204</v>
      </c>
      <c r="AH2147" s="1" t="s">
        <v>1175</v>
      </c>
      <c r="AI2147" s="1" t="s">
        <v>665</v>
      </c>
      <c r="AJ2147" s="1" t="s">
        <v>1175</v>
      </c>
      <c r="AL2147" s="1">
        <v>5</v>
      </c>
      <c r="AM2147" s="1">
        <v>2</v>
      </c>
      <c r="AN2147" s="1">
        <v>2</v>
      </c>
      <c r="AO2147" s="1">
        <v>0</v>
      </c>
      <c r="AP2147" s="1" t="s">
        <v>209</v>
      </c>
      <c r="AQ2147" s="1">
        <v>1</v>
      </c>
      <c r="AR2147" s="1" t="s">
        <v>210</v>
      </c>
      <c r="AS2147" s="1" t="s">
        <v>204</v>
      </c>
      <c r="AT2147" s="1" t="s">
        <v>211</v>
      </c>
      <c r="AU2147" s="1">
        <v>1</v>
      </c>
      <c r="AW2147" s="1" t="s">
        <v>204</v>
      </c>
      <c r="AX2147" s="1" t="s">
        <v>212</v>
      </c>
      <c r="AZ2147" s="1">
        <v>3095</v>
      </c>
      <c r="BA2147" s="1">
        <v>2013</v>
      </c>
      <c r="BB2147" s="1" t="s">
        <v>405</v>
      </c>
      <c r="BE2147" s="1">
        <v>1223</v>
      </c>
      <c r="BF2147" s="1">
        <v>2</v>
      </c>
      <c r="BG2147" s="1">
        <v>30</v>
      </c>
      <c r="BL2147" s="1">
        <v>110</v>
      </c>
      <c r="BM2147" s="1" t="s">
        <v>204</v>
      </c>
      <c r="BN2147" s="1" t="s">
        <v>213</v>
      </c>
      <c r="BO2147" s="1">
        <v>999</v>
      </c>
      <c r="BP2147" s="1" t="s">
        <v>204</v>
      </c>
      <c r="BR2147" s="1" t="str">
        <f>"0621152014"</f>
        <v>0621152014</v>
      </c>
      <c r="BT2147" s="1" t="s">
        <v>19258</v>
      </c>
      <c r="BU2147" s="1" t="s">
        <v>17203</v>
      </c>
      <c r="BV2147" s="1" t="s">
        <v>17204</v>
      </c>
      <c r="BW2147" s="1" t="s">
        <v>9496</v>
      </c>
      <c r="BX2147" s="1">
        <v>301</v>
      </c>
      <c r="BY2147" s="1">
        <v>301</v>
      </c>
      <c r="BZ2147" s="1">
        <v>301</v>
      </c>
      <c r="CB2147" s="1" t="str">
        <f>"10"</f>
        <v>10</v>
      </c>
      <c r="CC2147" s="1" t="str">
        <f>"0"</f>
        <v>0</v>
      </c>
      <c r="CD2147" s="1">
        <v>36</v>
      </c>
      <c r="CE2147" s="1">
        <v>0</v>
      </c>
      <c r="CG2147" s="1" t="s">
        <v>862</v>
      </c>
      <c r="CH2147" s="1" t="s">
        <v>277</v>
      </c>
      <c r="CI2147" s="1" t="s">
        <v>220</v>
      </c>
      <c r="CJ2147" s="1" t="s">
        <v>252</v>
      </c>
      <c r="CK2147" s="1" t="s">
        <v>1533</v>
      </c>
      <c r="CL2147" s="1" t="s">
        <v>277</v>
      </c>
      <c r="CM2147" s="1" t="s">
        <v>220</v>
      </c>
      <c r="CN2147" s="1" t="s">
        <v>252</v>
      </c>
      <c r="CO2147" s="1" t="s">
        <v>2138</v>
      </c>
      <c r="CP2147" s="1" t="s">
        <v>277</v>
      </c>
      <c r="CQ2147" s="1" t="s">
        <v>229</v>
      </c>
      <c r="CR2147" s="1" t="s">
        <v>252</v>
      </c>
      <c r="CS2147" s="1" t="s">
        <v>346</v>
      </c>
      <c r="CT2147" s="1" t="s">
        <v>277</v>
      </c>
      <c r="CU2147" s="1" t="s">
        <v>220</v>
      </c>
      <c r="CV2147" s="1" t="s">
        <v>252</v>
      </c>
      <c r="CX2147" s="1" t="s">
        <v>224</v>
      </c>
      <c r="DB2147" s="1" t="s">
        <v>224</v>
      </c>
      <c r="DE2147" s="1" t="s">
        <v>281</v>
      </c>
      <c r="DF2147" s="1" t="s">
        <v>277</v>
      </c>
      <c r="DG2147" s="1" t="s">
        <v>229</v>
      </c>
      <c r="DJ2147" s="1" t="s">
        <v>224</v>
      </c>
      <c r="DS2147" s="1" t="s">
        <v>230</v>
      </c>
      <c r="DW2147" s="1" t="s">
        <v>230</v>
      </c>
      <c r="EA2147" s="1" t="s">
        <v>230</v>
      </c>
      <c r="EE2147" s="1" t="s">
        <v>230</v>
      </c>
      <c r="EI2147" s="1" t="s">
        <v>230</v>
      </c>
      <c r="EL2147" s="1" t="s">
        <v>670</v>
      </c>
      <c r="EM2147" s="1" t="s">
        <v>319</v>
      </c>
      <c r="EN2147" s="1" t="s">
        <v>282</v>
      </c>
      <c r="EO2147" s="1" t="s">
        <v>234</v>
      </c>
      <c r="EP2147" s="1" t="s">
        <v>650</v>
      </c>
      <c r="EQ2147" s="1" t="s">
        <v>2188</v>
      </c>
      <c r="ER2147" s="1" t="s">
        <v>210</v>
      </c>
      <c r="ES2147" s="1" t="s">
        <v>1552</v>
      </c>
      <c r="EU2147" s="1" t="s">
        <v>1894</v>
      </c>
      <c r="EV2147" s="1" t="s">
        <v>240</v>
      </c>
      <c r="EW2147" s="1" t="s">
        <v>7478</v>
      </c>
      <c r="EY2147" s="1" t="s">
        <v>790</v>
      </c>
      <c r="EZ2147" s="1" t="s">
        <v>287</v>
      </c>
      <c r="FA2147" s="1" t="s">
        <v>6559</v>
      </c>
      <c r="FB2147" s="1" t="s">
        <v>289</v>
      </c>
      <c r="FC2147" s="1" t="s">
        <v>1362</v>
      </c>
      <c r="FD2147" s="1" t="s">
        <v>246</v>
      </c>
      <c r="FE2147" s="1" t="s">
        <v>247</v>
      </c>
      <c r="FF2147" s="1" t="s">
        <v>248</v>
      </c>
      <c r="FG2147" s="1" t="s">
        <v>912</v>
      </c>
      <c r="FH2147" s="1" t="s">
        <v>249</v>
      </c>
      <c r="FI2147" s="1" t="s">
        <v>357</v>
      </c>
      <c r="FJ2147" s="1" t="s">
        <v>197</v>
      </c>
      <c r="FL2147" s="1" t="s">
        <v>358</v>
      </c>
      <c r="FM2147" s="1" t="s">
        <v>252</v>
      </c>
      <c r="FN2147" s="1" t="s">
        <v>213</v>
      </c>
      <c r="FO2147" s="1" t="s">
        <v>213</v>
      </c>
      <c r="FQ2147" s="1" t="s">
        <v>359</v>
      </c>
      <c r="FR2147" s="1" t="s">
        <v>210</v>
      </c>
      <c r="FS2147" s="1" t="s">
        <v>19259</v>
      </c>
      <c r="FT2147" s="1" t="s">
        <v>295</v>
      </c>
      <c r="FU2147" s="1" t="s">
        <v>204</v>
      </c>
      <c r="FW2147" s="1" t="s">
        <v>363</v>
      </c>
      <c r="FX2147" s="1">
        <v>8970</v>
      </c>
      <c r="FY2147" s="1" t="s">
        <v>364</v>
      </c>
      <c r="FZ2147" s="1" t="s">
        <v>19260</v>
      </c>
      <c r="GA2147" s="1">
        <v>87179</v>
      </c>
      <c r="GB2147" s="1" t="s">
        <v>19261</v>
      </c>
      <c r="GE2147" s="1" t="s">
        <v>210</v>
      </c>
      <c r="GI2147" s="1" t="s">
        <v>213</v>
      </c>
      <c r="GJ2147" s="1" t="s">
        <v>260</v>
      </c>
      <c r="GK2147" s="1" t="s">
        <v>210</v>
      </c>
      <c r="GL2147" s="2">
        <v>41976</v>
      </c>
      <c r="GM2147" s="1" t="s">
        <v>19262</v>
      </c>
    </row>
    <row r="2148" spans="1:195">
      <c r="A2148" s="1">
        <v>63000</v>
      </c>
      <c r="B2148" s="1" t="s">
        <v>195</v>
      </c>
      <c r="C2148" s="1" t="str">
        <f>"08753586"</f>
        <v>08753586</v>
      </c>
      <c r="D2148" s="1" t="s">
        <v>196</v>
      </c>
      <c r="F2148" s="1" t="str">
        <f>"514"</f>
        <v>514</v>
      </c>
      <c r="G2148" s="2">
        <v>41927</v>
      </c>
      <c r="H2148" s="1">
        <v>64500</v>
      </c>
      <c r="I2148" s="1">
        <v>64500</v>
      </c>
      <c r="J2148" s="1">
        <v>63000</v>
      </c>
      <c r="K2148" s="2">
        <v>41927</v>
      </c>
      <c r="L2148" s="1">
        <v>9</v>
      </c>
      <c r="M2148" s="2">
        <v>41935</v>
      </c>
      <c r="N2148" s="1">
        <v>9</v>
      </c>
      <c r="O2148" s="2">
        <v>41935</v>
      </c>
      <c r="P2148" s="1">
        <v>25089</v>
      </c>
      <c r="Q2148" s="1" t="s">
        <v>197</v>
      </c>
      <c r="R2148" s="2">
        <v>42089</v>
      </c>
      <c r="S2148" s="1">
        <v>227766</v>
      </c>
      <c r="U2148" s="1">
        <v>5725</v>
      </c>
      <c r="V2148" s="1" t="s">
        <v>19263</v>
      </c>
      <c r="W2148" s="1" t="s">
        <v>425</v>
      </c>
      <c r="X2148" s="1">
        <v>15</v>
      </c>
      <c r="Y2148" s="1">
        <v>17</v>
      </c>
      <c r="Z2148" s="1" t="s">
        <v>249</v>
      </c>
      <c r="AA2148" s="1" t="s">
        <v>2691</v>
      </c>
      <c r="AB2148" s="1">
        <v>60514</v>
      </c>
      <c r="AD2148" s="1" t="s">
        <v>19264</v>
      </c>
      <c r="AE2148" s="1" t="s">
        <v>19265</v>
      </c>
      <c r="AF2148" s="1">
        <v>1966</v>
      </c>
      <c r="AG2148" s="1" t="s">
        <v>213</v>
      </c>
      <c r="AH2148" s="1" t="s">
        <v>2693</v>
      </c>
      <c r="AI2148" s="1" t="s">
        <v>206</v>
      </c>
      <c r="AJ2148" s="1" t="s">
        <v>903</v>
      </c>
      <c r="AL2148" s="1">
        <v>5</v>
      </c>
      <c r="AM2148" s="1">
        <v>2</v>
      </c>
      <c r="AN2148" s="1">
        <v>1</v>
      </c>
      <c r="AO2148" s="1">
        <v>1</v>
      </c>
      <c r="AP2148" s="1" t="s">
        <v>1234</v>
      </c>
      <c r="AR2148" s="1" t="s">
        <v>210</v>
      </c>
      <c r="AS2148" s="1" t="s">
        <v>204</v>
      </c>
      <c r="AT2148" s="1" t="s">
        <v>375</v>
      </c>
      <c r="AU2148" s="1">
        <v>1</v>
      </c>
      <c r="AV2148" s="1">
        <v>2</v>
      </c>
      <c r="AW2148" s="1" t="s">
        <v>204</v>
      </c>
      <c r="AX2148" s="1" t="s">
        <v>212</v>
      </c>
      <c r="AZ2148" s="1">
        <v>702.4</v>
      </c>
      <c r="BA2148" s="1">
        <v>2013</v>
      </c>
      <c r="BB2148" s="1" t="s">
        <v>405</v>
      </c>
      <c r="BE2148" s="1">
        <v>1100</v>
      </c>
      <c r="BF2148" s="1">
        <v>2</v>
      </c>
      <c r="BG2148" s="1">
        <v>0</v>
      </c>
      <c r="BL2148" s="1">
        <v>314</v>
      </c>
      <c r="BM2148" s="1" t="s">
        <v>204</v>
      </c>
      <c r="BN2148" s="1" t="s">
        <v>213</v>
      </c>
      <c r="BO2148" s="1">
        <v>35</v>
      </c>
      <c r="BP2148" s="1" t="s">
        <v>204</v>
      </c>
      <c r="BR2148" s="1" t="str">
        <f>"0914122023"</f>
        <v>0914122023</v>
      </c>
      <c r="BT2148" s="1" t="s">
        <v>19266</v>
      </c>
      <c r="BU2148" s="1" t="s">
        <v>10088</v>
      </c>
      <c r="BV2148" s="1" t="s">
        <v>2981</v>
      </c>
      <c r="BW2148" s="1" t="s">
        <v>1546</v>
      </c>
      <c r="BX2148" s="1">
        <v>60</v>
      </c>
      <c r="BY2148" s="1">
        <v>60</v>
      </c>
      <c r="BZ2148" s="1">
        <v>86</v>
      </c>
      <c r="CB2148" s="1" t="str">
        <f t="shared" ref="CB2148:CC2148" si="1639">""</f>
        <v/>
      </c>
      <c r="CC2148" s="1" t="str">
        <f t="shared" si="1639"/>
        <v/>
      </c>
      <c r="CG2148" s="1" t="s">
        <v>3684</v>
      </c>
      <c r="CH2148" s="1" t="s">
        <v>219</v>
      </c>
      <c r="CI2148" s="1" t="s">
        <v>220</v>
      </c>
      <c r="CK2148" s="1" t="s">
        <v>344</v>
      </c>
      <c r="CL2148" s="1" t="s">
        <v>219</v>
      </c>
      <c r="CM2148" s="1" t="s">
        <v>220</v>
      </c>
      <c r="CO2148" s="1" t="s">
        <v>348</v>
      </c>
      <c r="CP2148" s="1" t="s">
        <v>219</v>
      </c>
      <c r="CQ2148" s="1" t="s">
        <v>220</v>
      </c>
      <c r="CS2148" s="1" t="s">
        <v>346</v>
      </c>
      <c r="CT2148" s="1" t="s">
        <v>219</v>
      </c>
      <c r="CU2148" s="1" t="s">
        <v>220</v>
      </c>
      <c r="CX2148" s="1" t="s">
        <v>224</v>
      </c>
      <c r="DB2148" s="1" t="s">
        <v>224</v>
      </c>
      <c r="DE2148" s="1" t="s">
        <v>281</v>
      </c>
      <c r="DF2148" s="1" t="s">
        <v>219</v>
      </c>
      <c r="DG2148" s="1" t="s">
        <v>342</v>
      </c>
      <c r="DJ2148" s="1" t="s">
        <v>224</v>
      </c>
      <c r="DM2148" s="1" t="s">
        <v>709</v>
      </c>
      <c r="DR2148" s="1" t="s">
        <v>7164</v>
      </c>
      <c r="DS2148" s="1" t="s">
        <v>219</v>
      </c>
      <c r="DT2148" s="1" t="s">
        <v>220</v>
      </c>
      <c r="DW2148" s="1" t="s">
        <v>230</v>
      </c>
      <c r="EA2148" s="1" t="s">
        <v>230</v>
      </c>
      <c r="EE2148" s="1" t="s">
        <v>230</v>
      </c>
      <c r="EI2148" s="1" t="s">
        <v>230</v>
      </c>
      <c r="EL2148" s="1" t="s">
        <v>605</v>
      </c>
      <c r="EM2148" s="1" t="s">
        <v>232</v>
      </c>
      <c r="EN2148" s="1" t="s">
        <v>1158</v>
      </c>
      <c r="EO2148" s="1" t="s">
        <v>234</v>
      </c>
      <c r="EP2148" s="1" t="s">
        <v>19267</v>
      </c>
      <c r="ER2148" s="1" t="s">
        <v>1069</v>
      </c>
      <c r="ES2148" s="1" t="s">
        <v>322</v>
      </c>
      <c r="EU2148" s="1" t="s">
        <v>239</v>
      </c>
      <c r="EV2148" s="1" t="s">
        <v>1999</v>
      </c>
      <c r="EW2148" s="1" t="s">
        <v>1906</v>
      </c>
      <c r="EZ2148" s="1" t="s">
        <v>709</v>
      </c>
      <c r="FD2148" s="1" t="s">
        <v>290</v>
      </c>
      <c r="FE2148" s="1" t="s">
        <v>247</v>
      </c>
      <c r="FF2148" s="1" t="s">
        <v>248</v>
      </c>
      <c r="FH2148" s="1" t="s">
        <v>19268</v>
      </c>
      <c r="FJ2148" s="1" t="s">
        <v>197</v>
      </c>
      <c r="FK2148" s="1" t="s">
        <v>291</v>
      </c>
      <c r="FL2148" s="1" t="s">
        <v>1164</v>
      </c>
      <c r="FM2148" s="1" t="s">
        <v>252</v>
      </c>
      <c r="FN2148" s="1" t="s">
        <v>213</v>
      </c>
      <c r="FO2148" s="1" t="s">
        <v>213</v>
      </c>
      <c r="FQ2148" s="1" t="s">
        <v>19269</v>
      </c>
      <c r="FR2148" s="1" t="s">
        <v>360</v>
      </c>
      <c r="FS2148" s="1" t="s">
        <v>19270</v>
      </c>
      <c r="FT2148" s="1" t="s">
        <v>295</v>
      </c>
      <c r="FU2148" s="1" t="s">
        <v>204</v>
      </c>
      <c r="FW2148" s="1" t="s">
        <v>2179</v>
      </c>
      <c r="FX2148" s="1">
        <v>22039</v>
      </c>
      <c r="FY2148" s="1" t="s">
        <v>2180</v>
      </c>
      <c r="FZ2148" s="1" t="s">
        <v>19271</v>
      </c>
      <c r="GA2148" s="1">
        <v>226373</v>
      </c>
      <c r="GB2148" s="1" t="s">
        <v>19272</v>
      </c>
      <c r="GE2148" s="1" t="s">
        <v>1764</v>
      </c>
      <c r="GI2148" s="1" t="s">
        <v>213</v>
      </c>
      <c r="GJ2148" s="1" t="s">
        <v>260</v>
      </c>
      <c r="GK2148" s="1" t="s">
        <v>261</v>
      </c>
      <c r="GL2148" s="2">
        <v>42094</v>
      </c>
      <c r="GM2148" s="1" t="s">
        <v>397</v>
      </c>
    </row>
    <row r="2149" spans="1:195">
      <c r="A2149" s="1">
        <v>405000</v>
      </c>
      <c r="B2149" s="1" t="s">
        <v>195</v>
      </c>
      <c r="C2149" s="1" t="str">
        <f>"08748676"</f>
        <v>08748676</v>
      </c>
      <c r="D2149" s="1" t="s">
        <v>196</v>
      </c>
      <c r="F2149" s="1" t="str">
        <f>"540"</f>
        <v>540</v>
      </c>
      <c r="G2149" s="2">
        <v>41920</v>
      </c>
      <c r="H2149" s="1">
        <v>426900</v>
      </c>
      <c r="I2149" s="1">
        <v>419000</v>
      </c>
      <c r="J2149" s="1">
        <v>405000</v>
      </c>
      <c r="K2149" s="2">
        <v>41920</v>
      </c>
      <c r="L2149" s="1">
        <v>57</v>
      </c>
      <c r="M2149" s="2">
        <v>41976</v>
      </c>
      <c r="N2149" s="1">
        <v>57</v>
      </c>
      <c r="O2149" s="2">
        <v>41976</v>
      </c>
      <c r="P2149" s="1">
        <v>23290</v>
      </c>
      <c r="Q2149" s="1" t="s">
        <v>302</v>
      </c>
      <c r="R2149" s="2">
        <v>41992</v>
      </c>
      <c r="S2149" s="1">
        <v>238942</v>
      </c>
      <c r="U2149" s="1">
        <v>334</v>
      </c>
      <c r="V2149" s="1" t="s">
        <v>19273</v>
      </c>
      <c r="W2149" s="1" t="s">
        <v>264</v>
      </c>
      <c r="Y2149" s="1">
        <v>4</v>
      </c>
      <c r="Z2149" s="1" t="s">
        <v>249</v>
      </c>
      <c r="AA2149" s="1" t="s">
        <v>921</v>
      </c>
      <c r="AB2149" s="1">
        <v>60540</v>
      </c>
      <c r="AD2149" s="1" t="s">
        <v>7254</v>
      </c>
      <c r="AE2149" s="1" t="s">
        <v>19274</v>
      </c>
      <c r="AF2149" s="1">
        <v>2003</v>
      </c>
      <c r="AG2149" s="1" t="s">
        <v>204</v>
      </c>
      <c r="AH2149" s="1" t="s">
        <v>924</v>
      </c>
      <c r="AI2149" s="1" t="s">
        <v>206</v>
      </c>
      <c r="AJ2149" s="1" t="s">
        <v>924</v>
      </c>
      <c r="AL2149" s="1">
        <v>7</v>
      </c>
      <c r="AM2149" s="1">
        <v>2</v>
      </c>
      <c r="AN2149" s="1">
        <v>2</v>
      </c>
      <c r="AO2149" s="1">
        <v>2</v>
      </c>
      <c r="AP2149" s="1" t="s">
        <v>209</v>
      </c>
      <c r="AQ2149" s="1">
        <v>1</v>
      </c>
      <c r="AR2149" s="1" t="s">
        <v>209</v>
      </c>
      <c r="AS2149" s="1" t="s">
        <v>204</v>
      </c>
      <c r="AT2149" s="1" t="s">
        <v>211</v>
      </c>
      <c r="AU2149" s="1">
        <v>2</v>
      </c>
      <c r="AW2149" s="1" t="s">
        <v>204</v>
      </c>
      <c r="AX2149" s="1" t="s">
        <v>212</v>
      </c>
      <c r="AZ2149" s="1">
        <v>8698</v>
      </c>
      <c r="BA2149" s="1">
        <v>2013</v>
      </c>
      <c r="BB2149" s="1" t="s">
        <v>405</v>
      </c>
      <c r="BE2149" s="1">
        <v>2110</v>
      </c>
      <c r="BF2149" s="1">
        <v>1</v>
      </c>
      <c r="BG2149" s="1">
        <v>0</v>
      </c>
      <c r="BL2149" s="1">
        <v>383</v>
      </c>
      <c r="BM2149" s="1" t="s">
        <v>204</v>
      </c>
      <c r="BN2149" s="1" t="s">
        <v>213</v>
      </c>
      <c r="BO2149" s="1">
        <v>999</v>
      </c>
      <c r="BP2149" s="1" t="s">
        <v>204</v>
      </c>
      <c r="BR2149" s="1" t="str">
        <f>"0713217068"</f>
        <v>0713217068</v>
      </c>
      <c r="BT2149" s="1" t="s">
        <v>19275</v>
      </c>
      <c r="BU2149" s="1" t="s">
        <v>7258</v>
      </c>
      <c r="BV2149" s="1" t="s">
        <v>7259</v>
      </c>
      <c r="BW2149" s="1" t="s">
        <v>2825</v>
      </c>
      <c r="BX2149" s="1">
        <v>203</v>
      </c>
      <c r="BY2149" s="1">
        <v>203</v>
      </c>
      <c r="BZ2149" s="1">
        <v>203</v>
      </c>
      <c r="CB2149" s="1" t="str">
        <f>"334"</f>
        <v>334</v>
      </c>
      <c r="CC2149" s="1" t="str">
        <f t="shared" ref="CC2149:CC2150" si="1640">"0"</f>
        <v>0</v>
      </c>
      <c r="CD2149" s="1">
        <v>100</v>
      </c>
      <c r="CE2149" s="1">
        <v>0</v>
      </c>
      <c r="CG2149" s="1" t="s">
        <v>669</v>
      </c>
      <c r="CH2149" s="1" t="s">
        <v>277</v>
      </c>
      <c r="CI2149" s="1" t="s">
        <v>438</v>
      </c>
      <c r="CJ2149" s="1" t="s">
        <v>252</v>
      </c>
      <c r="CK2149" s="1" t="s">
        <v>729</v>
      </c>
      <c r="CL2149" s="1" t="s">
        <v>784</v>
      </c>
      <c r="CM2149" s="1" t="s">
        <v>220</v>
      </c>
      <c r="CO2149" s="1" t="s">
        <v>461</v>
      </c>
      <c r="CP2149" s="1" t="s">
        <v>277</v>
      </c>
      <c r="CQ2149" s="1" t="s">
        <v>438</v>
      </c>
      <c r="CS2149" s="1" t="s">
        <v>317</v>
      </c>
      <c r="CT2149" s="1" t="s">
        <v>784</v>
      </c>
      <c r="CU2149" s="1" t="s">
        <v>220</v>
      </c>
      <c r="CV2149" s="1" t="s">
        <v>252</v>
      </c>
      <c r="CX2149" s="1" t="s">
        <v>224</v>
      </c>
      <c r="DB2149" s="1" t="s">
        <v>224</v>
      </c>
      <c r="DE2149" s="1" t="s">
        <v>2042</v>
      </c>
      <c r="DF2149" s="1" t="s">
        <v>277</v>
      </c>
      <c r="DG2149" s="1" t="s">
        <v>438</v>
      </c>
      <c r="DH2149" s="1" t="s">
        <v>252</v>
      </c>
      <c r="DI2149" s="1" t="s">
        <v>1533</v>
      </c>
      <c r="DJ2149" s="1" t="s">
        <v>219</v>
      </c>
      <c r="DK2149" s="1" t="s">
        <v>220</v>
      </c>
      <c r="DL2149" s="1" t="s">
        <v>252</v>
      </c>
      <c r="DM2149" s="1" t="s">
        <v>411</v>
      </c>
      <c r="DR2149" s="1" t="s">
        <v>228</v>
      </c>
      <c r="DS2149" s="1" t="s">
        <v>43</v>
      </c>
      <c r="DT2149" s="1" t="s">
        <v>220</v>
      </c>
      <c r="DU2149" s="1" t="s">
        <v>210</v>
      </c>
      <c r="DW2149" s="1" t="s">
        <v>230</v>
      </c>
      <c r="EA2149" s="1" t="s">
        <v>230</v>
      </c>
      <c r="EE2149" s="1" t="s">
        <v>230</v>
      </c>
      <c r="EI2149" s="1" t="s">
        <v>230</v>
      </c>
      <c r="EL2149" s="1" t="s">
        <v>466</v>
      </c>
      <c r="EM2149" s="1" t="s">
        <v>319</v>
      </c>
      <c r="EN2149" s="1" t="s">
        <v>282</v>
      </c>
      <c r="EO2149" s="1" t="s">
        <v>234</v>
      </c>
      <c r="ER2149" s="1" t="s">
        <v>544</v>
      </c>
      <c r="ES2149" s="1" t="s">
        <v>4840</v>
      </c>
      <c r="ET2149" s="1" t="s">
        <v>1201</v>
      </c>
      <c r="EV2149" s="1" t="s">
        <v>324</v>
      </c>
      <c r="EW2149" s="1" t="s">
        <v>2778</v>
      </c>
      <c r="EZ2149" s="1" t="s">
        <v>411</v>
      </c>
      <c r="FB2149" s="1" t="s">
        <v>289</v>
      </c>
      <c r="FD2149" s="1" t="s">
        <v>246</v>
      </c>
      <c r="FE2149" s="1" t="s">
        <v>247</v>
      </c>
      <c r="FF2149" s="1" t="s">
        <v>248</v>
      </c>
      <c r="FG2149" s="1" t="s">
        <v>912</v>
      </c>
      <c r="FH2149" s="1" t="s">
        <v>1428</v>
      </c>
      <c r="FI2149" s="1" t="s">
        <v>357</v>
      </c>
      <c r="FL2149" s="1" t="s">
        <v>358</v>
      </c>
      <c r="FM2149" s="1" t="s">
        <v>252</v>
      </c>
      <c r="FN2149" s="1" t="s">
        <v>213</v>
      </c>
      <c r="FO2149" s="1" t="s">
        <v>204</v>
      </c>
      <c r="FQ2149" s="1" t="s">
        <v>19276</v>
      </c>
      <c r="FR2149" s="1" t="s">
        <v>210</v>
      </c>
      <c r="FS2149" s="1" t="s">
        <v>19277</v>
      </c>
      <c r="FT2149" s="1" t="s">
        <v>295</v>
      </c>
      <c r="FU2149" s="1" t="s">
        <v>204</v>
      </c>
      <c r="FW2149" s="1" t="s">
        <v>813</v>
      </c>
      <c r="FX2149" s="1">
        <v>771</v>
      </c>
      <c r="FY2149" s="1" t="s">
        <v>5306</v>
      </c>
      <c r="FZ2149" s="1" t="s">
        <v>7935</v>
      </c>
      <c r="GA2149" s="1">
        <v>8548</v>
      </c>
      <c r="GB2149" s="1" t="s">
        <v>7936</v>
      </c>
      <c r="GC2149" s="1">
        <v>706</v>
      </c>
      <c r="GE2149" s="1" t="s">
        <v>1333</v>
      </c>
      <c r="GI2149" s="1" t="s">
        <v>213</v>
      </c>
      <c r="GJ2149" s="1" t="s">
        <v>260</v>
      </c>
      <c r="GK2149" s="1" t="s">
        <v>210</v>
      </c>
      <c r="GL2149" s="2">
        <v>41992</v>
      </c>
      <c r="GM2149" s="1" t="s">
        <v>19278</v>
      </c>
    </row>
    <row r="2150" spans="1:195">
      <c r="A2150" s="1">
        <v>84900</v>
      </c>
      <c r="B2150" s="1" t="s">
        <v>195</v>
      </c>
      <c r="C2150" s="1" t="str">
        <f>"08753005"</f>
        <v>08753005</v>
      </c>
      <c r="D2150" s="1" t="s">
        <v>196</v>
      </c>
      <c r="F2150" s="1" t="str">
        <f>"178"</f>
        <v>178</v>
      </c>
      <c r="G2150" s="2">
        <v>41926</v>
      </c>
      <c r="H2150" s="1">
        <v>84900</v>
      </c>
      <c r="I2150" s="1">
        <v>84900</v>
      </c>
      <c r="J2150" s="1">
        <v>84900</v>
      </c>
      <c r="K2150" s="2">
        <v>41926</v>
      </c>
      <c r="L2150" s="1">
        <v>15</v>
      </c>
      <c r="M2150" s="2">
        <v>41940</v>
      </c>
      <c r="N2150" s="1">
        <v>15</v>
      </c>
      <c r="O2150" s="2">
        <v>41940</v>
      </c>
      <c r="P2150" s="1">
        <v>24811</v>
      </c>
      <c r="Q2150" s="1" t="s">
        <v>302</v>
      </c>
      <c r="R2150" s="2">
        <v>41969</v>
      </c>
      <c r="S2150" s="1">
        <v>237458</v>
      </c>
      <c r="U2150" s="1">
        <v>1816</v>
      </c>
      <c r="V2150" s="1" t="s">
        <v>19279</v>
      </c>
      <c r="W2150" s="1" t="s">
        <v>304</v>
      </c>
      <c r="X2150" s="1">
        <v>1816</v>
      </c>
      <c r="Y2150" s="1">
        <v>4</v>
      </c>
      <c r="Z2150" s="1" t="s">
        <v>370</v>
      </c>
      <c r="AA2150" s="1" t="s">
        <v>3334</v>
      </c>
      <c r="AB2150" s="1">
        <v>60178</v>
      </c>
      <c r="AE2150" s="1" t="s">
        <v>19280</v>
      </c>
      <c r="AF2150" s="1">
        <v>1981</v>
      </c>
      <c r="AG2150" s="1" t="s">
        <v>204</v>
      </c>
      <c r="AH2150" s="1" t="s">
        <v>3336</v>
      </c>
      <c r="AI2150" s="1" t="s">
        <v>2246</v>
      </c>
      <c r="AJ2150" s="1" t="s">
        <v>3336</v>
      </c>
      <c r="AL2150" s="1">
        <v>5</v>
      </c>
      <c r="AM2150" s="1">
        <v>2</v>
      </c>
      <c r="AN2150" s="1">
        <v>1</v>
      </c>
      <c r="AO2150" s="1">
        <v>0</v>
      </c>
      <c r="AP2150" s="1" t="s">
        <v>210</v>
      </c>
      <c r="AR2150" s="1" t="s">
        <v>209</v>
      </c>
      <c r="AS2150" s="1" t="s">
        <v>204</v>
      </c>
      <c r="AT2150" s="1" t="s">
        <v>211</v>
      </c>
      <c r="AU2150" s="1">
        <v>1</v>
      </c>
      <c r="AW2150" s="1" t="s">
        <v>204</v>
      </c>
      <c r="AX2150" s="1" t="s">
        <v>212</v>
      </c>
      <c r="AZ2150" s="1">
        <v>1903.7</v>
      </c>
      <c r="BA2150" s="1">
        <v>2013</v>
      </c>
      <c r="BE2150" s="1">
        <v>1100</v>
      </c>
      <c r="BF2150" s="1">
        <v>1</v>
      </c>
      <c r="BG2150" s="1">
        <v>0</v>
      </c>
      <c r="BJ2150" s="1">
        <v>100</v>
      </c>
      <c r="BL2150" s="1">
        <v>128</v>
      </c>
      <c r="BM2150" s="1" t="s">
        <v>204</v>
      </c>
      <c r="BN2150" s="1" t="s">
        <v>213</v>
      </c>
      <c r="BO2150" s="1">
        <v>999</v>
      </c>
      <c r="BP2150" s="1" t="s">
        <v>204</v>
      </c>
      <c r="BR2150" s="1" t="str">
        <f>"0906183021"</f>
        <v>0906183021</v>
      </c>
      <c r="BT2150" s="1" t="s">
        <v>19281</v>
      </c>
      <c r="BX2150" s="1">
        <v>427</v>
      </c>
      <c r="BY2150" s="1">
        <v>427</v>
      </c>
      <c r="BZ2150" s="1">
        <v>427</v>
      </c>
      <c r="CB2150" s="1" t="str">
        <f>"7"</f>
        <v>7</v>
      </c>
      <c r="CC2150" s="1" t="str">
        <f t="shared" si="1640"/>
        <v>0</v>
      </c>
      <c r="CD2150" s="1">
        <v>60</v>
      </c>
      <c r="CE2150" s="1">
        <v>0</v>
      </c>
      <c r="CG2150" s="1" t="s">
        <v>1723</v>
      </c>
      <c r="CH2150" s="1" t="s">
        <v>219</v>
      </c>
      <c r="CI2150" s="1" t="s">
        <v>220</v>
      </c>
      <c r="CK2150" s="1" t="s">
        <v>669</v>
      </c>
      <c r="CL2150" s="1" t="s">
        <v>219</v>
      </c>
      <c r="CM2150" s="1" t="s">
        <v>220</v>
      </c>
      <c r="CO2150" s="1" t="s">
        <v>348</v>
      </c>
      <c r="CP2150" s="1" t="s">
        <v>219</v>
      </c>
      <c r="CQ2150" s="1" t="s">
        <v>220</v>
      </c>
      <c r="CS2150" s="1" t="s">
        <v>437</v>
      </c>
      <c r="CT2150" s="1" t="s">
        <v>219</v>
      </c>
      <c r="CU2150" s="1" t="s">
        <v>220</v>
      </c>
      <c r="CX2150" s="1" t="s">
        <v>224</v>
      </c>
      <c r="DB2150" s="1" t="s">
        <v>224</v>
      </c>
      <c r="DE2150" s="1" t="s">
        <v>348</v>
      </c>
      <c r="DF2150" s="1" t="s">
        <v>219</v>
      </c>
      <c r="DG2150" s="1" t="s">
        <v>342</v>
      </c>
      <c r="DJ2150" s="1" t="s">
        <v>224</v>
      </c>
      <c r="DS2150" s="1" t="s">
        <v>230</v>
      </c>
      <c r="DW2150" s="1" t="s">
        <v>230</v>
      </c>
      <c r="EA2150" s="1" t="s">
        <v>230</v>
      </c>
      <c r="EE2150" s="1" t="s">
        <v>230</v>
      </c>
      <c r="EI2150" s="1" t="s">
        <v>230</v>
      </c>
      <c r="EL2150" s="1" t="s">
        <v>231</v>
      </c>
      <c r="EM2150" s="1" t="s">
        <v>319</v>
      </c>
      <c r="EN2150" s="1" t="s">
        <v>282</v>
      </c>
      <c r="EO2150" s="1" t="s">
        <v>234</v>
      </c>
      <c r="ER2150" s="1" t="s">
        <v>1249</v>
      </c>
      <c r="ES2150" s="1" t="s">
        <v>545</v>
      </c>
      <c r="EU2150" s="1" t="s">
        <v>239</v>
      </c>
      <c r="EV2150" s="1" t="s">
        <v>324</v>
      </c>
      <c r="EW2150" s="1" t="s">
        <v>4250</v>
      </c>
      <c r="EZ2150" s="1" t="s">
        <v>287</v>
      </c>
      <c r="FB2150" s="1" t="s">
        <v>1755</v>
      </c>
      <c r="FD2150" s="1" t="s">
        <v>246</v>
      </c>
      <c r="FE2150" s="1" t="s">
        <v>496</v>
      </c>
      <c r="FF2150" s="1" t="s">
        <v>248</v>
      </c>
      <c r="FH2150" s="1" t="s">
        <v>249</v>
      </c>
      <c r="FL2150" s="1" t="s">
        <v>358</v>
      </c>
      <c r="FM2150" s="1" t="s">
        <v>252</v>
      </c>
      <c r="FN2150" s="1" t="s">
        <v>213</v>
      </c>
      <c r="FO2150" s="1" t="s">
        <v>213</v>
      </c>
      <c r="FQ2150" s="1" t="s">
        <v>582</v>
      </c>
      <c r="FR2150" s="1" t="s">
        <v>652</v>
      </c>
      <c r="FS2150" s="1" t="s">
        <v>552</v>
      </c>
      <c r="FT2150" s="1" t="s">
        <v>584</v>
      </c>
      <c r="FU2150" s="1" t="s">
        <v>204</v>
      </c>
      <c r="FW2150" s="1" t="s">
        <v>9823</v>
      </c>
      <c r="FX2150" s="1">
        <v>93162</v>
      </c>
      <c r="FY2150" s="1" t="s">
        <v>9824</v>
      </c>
      <c r="FZ2150" s="1" t="s">
        <v>9825</v>
      </c>
      <c r="GA2150" s="1">
        <v>931530</v>
      </c>
      <c r="GE2150" s="1" t="s">
        <v>480</v>
      </c>
      <c r="GI2150" s="1" t="s">
        <v>213</v>
      </c>
      <c r="GJ2150" s="1" t="s">
        <v>260</v>
      </c>
      <c r="GK2150" s="1" t="s">
        <v>210</v>
      </c>
      <c r="GL2150" s="2">
        <v>41969</v>
      </c>
      <c r="GM2150" s="1" t="s">
        <v>19282</v>
      </c>
    </row>
    <row r="2151" spans="1:195">
      <c r="A2151" s="1">
        <v>135000</v>
      </c>
      <c r="B2151" s="1" t="s">
        <v>195</v>
      </c>
      <c r="C2151" s="1" t="str">
        <f>"08753086"</f>
        <v>08753086</v>
      </c>
      <c r="D2151" s="1" t="s">
        <v>196</v>
      </c>
      <c r="F2151" s="1" t="str">
        <f>"543"</f>
        <v>543</v>
      </c>
      <c r="G2151" s="2">
        <v>41926</v>
      </c>
      <c r="H2151" s="1">
        <v>144900</v>
      </c>
      <c r="I2151" s="1">
        <v>144900</v>
      </c>
      <c r="J2151" s="1">
        <v>135000</v>
      </c>
      <c r="K2151" s="2">
        <v>41926</v>
      </c>
      <c r="L2151" s="1">
        <v>39</v>
      </c>
      <c r="M2151" s="2">
        <v>41964</v>
      </c>
      <c r="N2151" s="1">
        <v>39</v>
      </c>
      <c r="O2151" s="2">
        <v>41964</v>
      </c>
      <c r="P2151" s="1">
        <v>23156</v>
      </c>
      <c r="Q2151" s="1" t="s">
        <v>197</v>
      </c>
      <c r="R2151" s="2">
        <v>41992</v>
      </c>
      <c r="S2151" s="1">
        <v>241143</v>
      </c>
      <c r="U2151" s="1">
        <v>465</v>
      </c>
      <c r="V2151" s="1" t="s">
        <v>19283</v>
      </c>
      <c r="W2151" s="1" t="s">
        <v>504</v>
      </c>
      <c r="Y2151" s="1">
        <v>4</v>
      </c>
      <c r="Z2151" s="1" t="s">
        <v>370</v>
      </c>
      <c r="AA2151" s="1" t="s">
        <v>2639</v>
      </c>
      <c r="AB2151" s="1">
        <v>60543</v>
      </c>
      <c r="AD2151" s="1" t="s">
        <v>19284</v>
      </c>
      <c r="AE2151" s="1" t="s">
        <v>19285</v>
      </c>
      <c r="AF2151" s="1">
        <v>2006</v>
      </c>
      <c r="AG2151" s="1" t="s">
        <v>204</v>
      </c>
      <c r="AH2151" s="1" t="s">
        <v>1397</v>
      </c>
      <c r="AI2151" s="1" t="s">
        <v>453</v>
      </c>
      <c r="AJ2151" s="1" t="s">
        <v>1397</v>
      </c>
      <c r="AK2151" s="1" t="s">
        <v>19286</v>
      </c>
      <c r="AL2151" s="1">
        <v>5</v>
      </c>
      <c r="AM2151" s="1">
        <v>2</v>
      </c>
      <c r="AN2151" s="1">
        <v>1</v>
      </c>
      <c r="AO2151" s="1">
        <v>1</v>
      </c>
      <c r="AP2151" s="1" t="s">
        <v>1234</v>
      </c>
      <c r="AR2151" s="1" t="s">
        <v>210</v>
      </c>
      <c r="AS2151" s="1" t="s">
        <v>204</v>
      </c>
      <c r="AT2151" s="1" t="s">
        <v>211</v>
      </c>
      <c r="AU2151" s="1">
        <v>2</v>
      </c>
      <c r="AW2151" s="1" t="s">
        <v>204</v>
      </c>
      <c r="AX2151" s="1" t="s">
        <v>212</v>
      </c>
      <c r="AZ2151" s="1">
        <v>3779</v>
      </c>
      <c r="BA2151" s="1">
        <v>2013</v>
      </c>
      <c r="BB2151" s="1" t="s">
        <v>405</v>
      </c>
      <c r="BE2151" s="1">
        <v>1451</v>
      </c>
      <c r="BF2151" s="1">
        <v>1</v>
      </c>
      <c r="BG2151" s="1">
        <v>0</v>
      </c>
      <c r="BL2151" s="1">
        <v>117</v>
      </c>
      <c r="BM2151" s="1" t="s">
        <v>204</v>
      </c>
      <c r="BN2151" s="1" t="s">
        <v>213</v>
      </c>
      <c r="BO2151" s="1">
        <v>999</v>
      </c>
      <c r="BP2151" s="1" t="s">
        <v>204</v>
      </c>
      <c r="BR2151" s="1" t="str">
        <f>"0311376022"</f>
        <v>0311376022</v>
      </c>
      <c r="BT2151" s="1" t="s">
        <v>19287</v>
      </c>
      <c r="BU2151" s="1" t="s">
        <v>2167</v>
      </c>
      <c r="BV2151" s="1" t="s">
        <v>3010</v>
      </c>
      <c r="BW2151" s="1" t="s">
        <v>1401</v>
      </c>
      <c r="BX2151" s="1">
        <v>308</v>
      </c>
      <c r="BY2151" s="1">
        <v>308</v>
      </c>
      <c r="BZ2151" s="1">
        <v>308</v>
      </c>
      <c r="CB2151" s="1" t="str">
        <f t="shared" ref="CB2151:CC2151" si="1641">""</f>
        <v/>
      </c>
      <c r="CC2151" s="1" t="str">
        <f t="shared" si="1641"/>
        <v/>
      </c>
      <c r="CG2151" s="1" t="s">
        <v>1788</v>
      </c>
      <c r="CH2151" s="1" t="s">
        <v>219</v>
      </c>
      <c r="CI2151" s="1" t="s">
        <v>220</v>
      </c>
      <c r="CJ2151" s="1" t="s">
        <v>463</v>
      </c>
      <c r="CK2151" s="1" t="s">
        <v>2934</v>
      </c>
      <c r="CL2151" s="1" t="s">
        <v>277</v>
      </c>
      <c r="CM2151" s="1" t="s">
        <v>220</v>
      </c>
      <c r="CN2151" s="1" t="s">
        <v>463</v>
      </c>
      <c r="CO2151" s="1" t="s">
        <v>1046</v>
      </c>
      <c r="CP2151" s="1" t="s">
        <v>219</v>
      </c>
      <c r="CQ2151" s="1" t="s">
        <v>220</v>
      </c>
      <c r="CR2151" s="1" t="s">
        <v>463</v>
      </c>
      <c r="CS2151" s="1" t="s">
        <v>1854</v>
      </c>
      <c r="CT2151" s="1" t="s">
        <v>277</v>
      </c>
      <c r="CU2151" s="1" t="s">
        <v>220</v>
      </c>
      <c r="CV2151" s="1" t="s">
        <v>463</v>
      </c>
      <c r="CX2151" s="1" t="s">
        <v>224</v>
      </c>
      <c r="DB2151" s="1" t="s">
        <v>224</v>
      </c>
      <c r="DE2151" s="1" t="s">
        <v>1046</v>
      </c>
      <c r="DF2151" s="1" t="s">
        <v>219</v>
      </c>
      <c r="DG2151" s="1" t="s">
        <v>438</v>
      </c>
      <c r="DH2151" s="1" t="s">
        <v>210</v>
      </c>
      <c r="DJ2151" s="1" t="s">
        <v>224</v>
      </c>
      <c r="DS2151" s="1" t="s">
        <v>230</v>
      </c>
      <c r="DW2151" s="1" t="s">
        <v>230</v>
      </c>
      <c r="EA2151" s="1" t="s">
        <v>230</v>
      </c>
      <c r="EE2151" s="1" t="s">
        <v>230</v>
      </c>
      <c r="EI2151" s="1" t="s">
        <v>230</v>
      </c>
      <c r="EL2151" s="1" t="s">
        <v>491</v>
      </c>
      <c r="EM2151" s="1" t="s">
        <v>319</v>
      </c>
      <c r="EN2151" s="1" t="s">
        <v>282</v>
      </c>
      <c r="EO2151" s="1" t="s">
        <v>234</v>
      </c>
      <c r="EP2151" s="1" t="s">
        <v>19288</v>
      </c>
      <c r="EQ2151" s="1" t="s">
        <v>236</v>
      </c>
      <c r="ER2151" s="1" t="s">
        <v>383</v>
      </c>
      <c r="ES2151" s="1" t="s">
        <v>493</v>
      </c>
      <c r="ET2151" s="1" t="s">
        <v>238</v>
      </c>
      <c r="EU2151" s="1" t="s">
        <v>610</v>
      </c>
      <c r="EV2151" s="1" t="s">
        <v>324</v>
      </c>
      <c r="EW2151" s="1" t="s">
        <v>3255</v>
      </c>
      <c r="EY2151" s="1" t="s">
        <v>790</v>
      </c>
      <c r="EZ2151" s="1" t="s">
        <v>287</v>
      </c>
      <c r="FA2151" s="1" t="s">
        <v>1072</v>
      </c>
      <c r="FB2151" s="1" t="s">
        <v>289</v>
      </c>
      <c r="FC2151" s="1" t="s">
        <v>1386</v>
      </c>
      <c r="FD2151" s="1" t="s">
        <v>246</v>
      </c>
      <c r="FE2151" s="1" t="s">
        <v>1220</v>
      </c>
      <c r="FF2151" s="1" t="s">
        <v>248</v>
      </c>
      <c r="FH2151" s="1" t="s">
        <v>940</v>
      </c>
      <c r="FI2151" s="1" t="s">
        <v>4358</v>
      </c>
      <c r="FL2151" s="1" t="s">
        <v>358</v>
      </c>
      <c r="FM2151" s="1" t="s">
        <v>252</v>
      </c>
      <c r="FN2151" s="1" t="s">
        <v>213</v>
      </c>
      <c r="FO2151" s="1" t="s">
        <v>213</v>
      </c>
      <c r="FQ2151" s="1" t="s">
        <v>14088</v>
      </c>
      <c r="FR2151" s="1" t="s">
        <v>210</v>
      </c>
      <c r="FS2151" s="1" t="s">
        <v>19289</v>
      </c>
      <c r="FT2151" s="1" t="s">
        <v>1408</v>
      </c>
      <c r="FU2151" s="1" t="s">
        <v>204</v>
      </c>
      <c r="FW2151" s="1" t="s">
        <v>719</v>
      </c>
      <c r="FX2151" s="1">
        <v>22029</v>
      </c>
      <c r="FY2151" s="1" t="s">
        <v>720</v>
      </c>
      <c r="FZ2151" s="1" t="s">
        <v>19290</v>
      </c>
      <c r="GA2151" s="1">
        <v>239898</v>
      </c>
      <c r="GE2151" s="1" t="s">
        <v>210</v>
      </c>
      <c r="GI2151" s="1" t="s">
        <v>204</v>
      </c>
      <c r="GJ2151" s="1" t="s">
        <v>260</v>
      </c>
      <c r="GK2151" s="1" t="s">
        <v>210</v>
      </c>
      <c r="GL2151" s="2">
        <v>41992</v>
      </c>
    </row>
    <row r="2152" spans="1:195">
      <c r="A2152" s="1">
        <v>99000</v>
      </c>
      <c r="B2152" s="1" t="s">
        <v>195</v>
      </c>
      <c r="C2152" s="1" t="str">
        <f>"08753125"</f>
        <v>08753125</v>
      </c>
      <c r="D2152" s="1" t="s">
        <v>196</v>
      </c>
      <c r="F2152" s="1" t="str">
        <f>"31"</f>
        <v>31</v>
      </c>
      <c r="G2152" s="2">
        <v>41926</v>
      </c>
      <c r="H2152" s="1">
        <v>104900</v>
      </c>
      <c r="I2152" s="1">
        <v>104900</v>
      </c>
      <c r="J2152" s="1">
        <v>99000</v>
      </c>
      <c r="K2152" s="2">
        <v>41926</v>
      </c>
      <c r="L2152" s="1">
        <v>29</v>
      </c>
      <c r="M2152" s="2">
        <v>41954</v>
      </c>
      <c r="N2152" s="1">
        <v>29</v>
      </c>
      <c r="O2152" s="2">
        <v>41954</v>
      </c>
      <c r="P2152" s="1">
        <v>2050</v>
      </c>
      <c r="Q2152" s="1" t="s">
        <v>197</v>
      </c>
      <c r="R2152" s="2">
        <v>41995</v>
      </c>
      <c r="S2152" s="1">
        <v>18821</v>
      </c>
      <c r="U2152" s="1">
        <v>619</v>
      </c>
      <c r="V2152" s="1" t="s">
        <v>19291</v>
      </c>
      <c r="W2152" s="1" t="s">
        <v>304</v>
      </c>
      <c r="Y2152" s="1">
        <v>4</v>
      </c>
      <c r="Z2152" s="1" t="s">
        <v>370</v>
      </c>
      <c r="AA2152" s="1" t="s">
        <v>1057</v>
      </c>
      <c r="AB2152" s="1">
        <v>60031</v>
      </c>
      <c r="AD2152" s="1" t="s">
        <v>4200</v>
      </c>
      <c r="AE2152" s="1" t="s">
        <v>19292</v>
      </c>
      <c r="AF2152" s="1">
        <v>1976</v>
      </c>
      <c r="AG2152" s="1" t="s">
        <v>213</v>
      </c>
      <c r="AH2152" s="1" t="s">
        <v>1060</v>
      </c>
      <c r="AI2152" s="1" t="s">
        <v>509</v>
      </c>
      <c r="AJ2152" s="1" t="s">
        <v>1061</v>
      </c>
      <c r="AK2152" s="1" t="s">
        <v>19293</v>
      </c>
      <c r="AL2152" s="1">
        <v>6</v>
      </c>
      <c r="AM2152" s="1">
        <v>2</v>
      </c>
      <c r="AN2152" s="1">
        <v>2</v>
      </c>
      <c r="AO2152" s="1">
        <v>0</v>
      </c>
      <c r="AP2152" s="1" t="s">
        <v>209</v>
      </c>
      <c r="AQ2152" s="1">
        <v>1</v>
      </c>
      <c r="AR2152" s="1" t="s">
        <v>210</v>
      </c>
      <c r="AT2152" s="1" t="s">
        <v>211</v>
      </c>
      <c r="AU2152" s="1">
        <v>1</v>
      </c>
      <c r="AW2152" s="1" t="s">
        <v>204</v>
      </c>
      <c r="AX2152" s="1" t="s">
        <v>579</v>
      </c>
      <c r="AZ2152" s="1">
        <v>2521.73</v>
      </c>
      <c r="BA2152" s="1">
        <v>2013</v>
      </c>
      <c r="BB2152" s="1" t="s">
        <v>210</v>
      </c>
      <c r="BE2152" s="1">
        <v>1327</v>
      </c>
      <c r="BF2152" s="1">
        <v>1</v>
      </c>
      <c r="BG2152" s="1">
        <v>0</v>
      </c>
      <c r="BL2152" s="1">
        <v>355</v>
      </c>
      <c r="BM2152" s="1" t="s">
        <v>204</v>
      </c>
      <c r="BN2152" s="1" t="s">
        <v>213</v>
      </c>
      <c r="BO2152" s="1">
        <v>999</v>
      </c>
      <c r="BP2152" s="1" t="s">
        <v>204</v>
      </c>
      <c r="BR2152" s="1" t="str">
        <f>"07282020720000"</f>
        <v>07282020720000</v>
      </c>
      <c r="BT2152" s="1" t="s">
        <v>19294</v>
      </c>
      <c r="BU2152" s="1" t="s">
        <v>1064</v>
      </c>
      <c r="BV2152" s="1" t="s">
        <v>1065</v>
      </c>
      <c r="BW2152" s="1" t="s">
        <v>1066</v>
      </c>
      <c r="BX2152" s="1">
        <v>50</v>
      </c>
      <c r="BY2152" s="1">
        <v>50</v>
      </c>
      <c r="BZ2152" s="1">
        <v>121</v>
      </c>
      <c r="CB2152" s="1" t="str">
        <f t="shared" ref="CB2152:CC2152" si="1642">""</f>
        <v/>
      </c>
      <c r="CC2152" s="1" t="str">
        <f t="shared" si="1642"/>
        <v/>
      </c>
      <c r="CG2152" s="1" t="s">
        <v>628</v>
      </c>
      <c r="CH2152" s="1" t="s">
        <v>219</v>
      </c>
      <c r="CI2152" s="1" t="s">
        <v>229</v>
      </c>
      <c r="CK2152" s="1" t="s">
        <v>344</v>
      </c>
      <c r="CL2152" s="1" t="s">
        <v>277</v>
      </c>
      <c r="CM2152" s="1" t="s">
        <v>229</v>
      </c>
      <c r="CO2152" s="1" t="s">
        <v>629</v>
      </c>
      <c r="CP2152" s="1" t="s">
        <v>219</v>
      </c>
      <c r="CQ2152" s="1" t="s">
        <v>229</v>
      </c>
      <c r="CS2152" s="1" t="s">
        <v>539</v>
      </c>
      <c r="CT2152" s="1" t="s">
        <v>219</v>
      </c>
      <c r="CU2152" s="1" t="s">
        <v>220</v>
      </c>
      <c r="CX2152" s="1" t="s">
        <v>224</v>
      </c>
      <c r="DB2152" s="1" t="s">
        <v>224</v>
      </c>
      <c r="DE2152" s="1" t="s">
        <v>461</v>
      </c>
      <c r="DF2152" s="1" t="s">
        <v>219</v>
      </c>
      <c r="DG2152" s="1" t="s">
        <v>226</v>
      </c>
      <c r="DJ2152" s="1" t="s">
        <v>224</v>
      </c>
      <c r="DM2152" s="1" t="s">
        <v>464</v>
      </c>
      <c r="DR2152" s="1" t="s">
        <v>378</v>
      </c>
      <c r="DS2152" s="1" t="s">
        <v>277</v>
      </c>
      <c r="DT2152" s="1" t="s">
        <v>220</v>
      </c>
      <c r="DW2152" s="1" t="s">
        <v>230</v>
      </c>
      <c r="EA2152" s="1" t="s">
        <v>230</v>
      </c>
      <c r="EE2152" s="1" t="s">
        <v>230</v>
      </c>
      <c r="EI2152" s="1" t="s">
        <v>230</v>
      </c>
      <c r="EL2152" s="1" t="s">
        <v>231</v>
      </c>
      <c r="EM2152" s="1" t="s">
        <v>319</v>
      </c>
      <c r="EN2152" s="1" t="s">
        <v>282</v>
      </c>
      <c r="EO2152" s="1" t="s">
        <v>234</v>
      </c>
      <c r="EQ2152" s="1" t="s">
        <v>492</v>
      </c>
      <c r="ER2152" s="1" t="s">
        <v>1069</v>
      </c>
      <c r="ES2152" s="1" t="s">
        <v>322</v>
      </c>
      <c r="EV2152" s="1" t="s">
        <v>240</v>
      </c>
      <c r="EW2152" s="1" t="s">
        <v>19295</v>
      </c>
      <c r="EZ2152" s="1" t="s">
        <v>464</v>
      </c>
      <c r="FD2152" s="1" t="s">
        <v>246</v>
      </c>
      <c r="FE2152" s="1" t="s">
        <v>889</v>
      </c>
      <c r="FF2152" s="1" t="s">
        <v>248</v>
      </c>
      <c r="FG2152" s="1" t="s">
        <v>939</v>
      </c>
      <c r="FH2152" s="1" t="s">
        <v>550</v>
      </c>
      <c r="FI2152" s="1" t="s">
        <v>473</v>
      </c>
      <c r="FL2152" s="1" t="s">
        <v>1073</v>
      </c>
      <c r="FM2152" s="1" t="s">
        <v>252</v>
      </c>
      <c r="FN2152" s="1" t="s">
        <v>213</v>
      </c>
      <c r="FO2152" s="1" t="s">
        <v>213</v>
      </c>
      <c r="FQ2152" s="1" t="s">
        <v>329</v>
      </c>
      <c r="FR2152" s="1" t="s">
        <v>210</v>
      </c>
      <c r="FS2152" s="1" t="s">
        <v>2588</v>
      </c>
      <c r="FT2152" s="1" t="s">
        <v>2589</v>
      </c>
      <c r="FU2152" s="1" t="s">
        <v>204</v>
      </c>
      <c r="FW2152" s="1" t="s">
        <v>2590</v>
      </c>
      <c r="FX2152" s="1">
        <v>2644</v>
      </c>
      <c r="FY2152" s="1" t="s">
        <v>2591</v>
      </c>
      <c r="FZ2152" s="1" t="s">
        <v>2592</v>
      </c>
      <c r="GA2152" s="1">
        <v>16586</v>
      </c>
      <c r="GB2152" s="1" t="s">
        <v>2593</v>
      </c>
      <c r="GD2152" s="1" t="s">
        <v>2594</v>
      </c>
      <c r="GE2152" s="1" t="s">
        <v>480</v>
      </c>
      <c r="GI2152" s="1" t="s">
        <v>213</v>
      </c>
      <c r="GJ2152" s="1" t="s">
        <v>260</v>
      </c>
      <c r="GK2152" s="1" t="s">
        <v>210</v>
      </c>
      <c r="GL2152" s="2">
        <v>41995</v>
      </c>
      <c r="GM2152" s="1" t="s">
        <v>19296</v>
      </c>
    </row>
    <row r="2153" spans="1:195">
      <c r="A2153" s="1">
        <v>122500</v>
      </c>
      <c r="B2153" s="1" t="s">
        <v>195</v>
      </c>
      <c r="C2153" s="1" t="str">
        <f>"08755182"</f>
        <v>08755182</v>
      </c>
      <c r="D2153" s="1" t="s">
        <v>196</v>
      </c>
      <c r="F2153" s="1" t="str">
        <f>"8064"</f>
        <v>8064</v>
      </c>
      <c r="G2153" s="2">
        <v>41929</v>
      </c>
      <c r="H2153" s="1">
        <v>128000</v>
      </c>
      <c r="I2153" s="1">
        <v>128000</v>
      </c>
      <c r="J2153" s="1">
        <v>122500</v>
      </c>
      <c r="K2153" s="2">
        <v>41929</v>
      </c>
      <c r="L2153" s="1">
        <v>34</v>
      </c>
      <c r="M2153" s="2">
        <v>41962</v>
      </c>
      <c r="N2153" s="1">
        <v>34</v>
      </c>
      <c r="O2153" s="2">
        <v>41962</v>
      </c>
      <c r="P2153" s="1">
        <v>85475</v>
      </c>
      <c r="Q2153" s="1" t="s">
        <v>197</v>
      </c>
      <c r="R2153" s="2">
        <v>42002</v>
      </c>
      <c r="S2153" s="1">
        <v>118865</v>
      </c>
      <c r="U2153" s="1">
        <v>6262</v>
      </c>
      <c r="V2153" s="1" t="s">
        <v>7885</v>
      </c>
      <c r="W2153" s="1" t="s">
        <v>264</v>
      </c>
      <c r="X2153" s="1" t="s">
        <v>3468</v>
      </c>
      <c r="Y2153" s="1">
        <v>12</v>
      </c>
      <c r="Z2153" s="1" t="s">
        <v>370</v>
      </c>
      <c r="AA2153" s="1" t="s">
        <v>400</v>
      </c>
      <c r="AB2153" s="1">
        <v>60638</v>
      </c>
      <c r="AE2153" s="1" t="s">
        <v>19297</v>
      </c>
      <c r="AF2153" s="1">
        <v>1994</v>
      </c>
      <c r="AG2153" s="1" t="s">
        <v>204</v>
      </c>
      <c r="AH2153" s="1" t="s">
        <v>403</v>
      </c>
      <c r="AI2153" s="1" t="s">
        <v>310</v>
      </c>
      <c r="AJ2153" s="1" t="s">
        <v>683</v>
      </c>
      <c r="AL2153" s="1">
        <v>5</v>
      </c>
      <c r="AM2153" s="1">
        <v>2</v>
      </c>
      <c r="AN2153" s="1">
        <v>2</v>
      </c>
      <c r="AO2153" s="1">
        <v>0</v>
      </c>
      <c r="AP2153" s="1" t="s">
        <v>209</v>
      </c>
      <c r="AQ2153" s="1">
        <v>1</v>
      </c>
      <c r="AR2153" s="1" t="s">
        <v>210</v>
      </c>
      <c r="AS2153" s="1" t="s">
        <v>204</v>
      </c>
      <c r="AT2153" s="1" t="s">
        <v>211</v>
      </c>
      <c r="AU2153" s="1">
        <v>1</v>
      </c>
      <c r="AW2153" s="1" t="s">
        <v>204</v>
      </c>
      <c r="AX2153" s="1" t="s">
        <v>212</v>
      </c>
      <c r="AZ2153" s="1">
        <v>1079</v>
      </c>
      <c r="BA2153" s="1">
        <v>2013</v>
      </c>
      <c r="BB2153" s="1" t="s">
        <v>405</v>
      </c>
      <c r="BE2153" s="1">
        <v>0</v>
      </c>
      <c r="BF2153" s="1">
        <v>1</v>
      </c>
      <c r="BG2153" s="1">
        <v>0</v>
      </c>
      <c r="BJ2153" s="1">
        <v>100</v>
      </c>
      <c r="BL2153" s="1">
        <v>150</v>
      </c>
      <c r="BM2153" s="1" t="s">
        <v>204</v>
      </c>
      <c r="BN2153" s="1" t="s">
        <v>213</v>
      </c>
      <c r="BO2153" s="1">
        <v>0</v>
      </c>
      <c r="BP2153" s="1" t="s">
        <v>204</v>
      </c>
      <c r="BR2153" s="1" t="str">
        <f>"19183120511003"</f>
        <v>19183120511003</v>
      </c>
      <c r="BT2153" s="1" t="s">
        <v>19298</v>
      </c>
      <c r="BX2153" s="1">
        <v>299</v>
      </c>
      <c r="BY2153" s="1">
        <v>299</v>
      </c>
      <c r="BZ2153" s="1">
        <v>299</v>
      </c>
      <c r="CB2153" s="1" t="str">
        <f t="shared" ref="CB2153:CC2153" si="1643">"0"</f>
        <v>0</v>
      </c>
      <c r="CC2153" s="1" t="str">
        <f t="shared" si="1643"/>
        <v>0</v>
      </c>
      <c r="CD2153" s="1">
        <v>6154</v>
      </c>
      <c r="CE2153" s="1">
        <v>6300</v>
      </c>
      <c r="CG2153" s="1" t="s">
        <v>708</v>
      </c>
      <c r="CH2153" s="1" t="s">
        <v>219</v>
      </c>
      <c r="CI2153" s="1" t="s">
        <v>229</v>
      </c>
      <c r="CJ2153" s="1" t="s">
        <v>463</v>
      </c>
      <c r="CK2153" s="1" t="s">
        <v>539</v>
      </c>
      <c r="CL2153" s="1" t="s">
        <v>219</v>
      </c>
      <c r="CM2153" s="1" t="s">
        <v>229</v>
      </c>
      <c r="CN2153" s="1" t="s">
        <v>463</v>
      </c>
      <c r="CO2153" s="1" t="s">
        <v>346</v>
      </c>
      <c r="CP2153" s="1" t="s">
        <v>219</v>
      </c>
      <c r="CQ2153" s="1" t="s">
        <v>229</v>
      </c>
      <c r="CR2153" s="1" t="s">
        <v>463</v>
      </c>
      <c r="CS2153" s="1" t="s">
        <v>346</v>
      </c>
      <c r="CT2153" s="1" t="s">
        <v>219</v>
      </c>
      <c r="CU2153" s="1" t="s">
        <v>229</v>
      </c>
      <c r="CV2153" s="1" t="s">
        <v>463</v>
      </c>
      <c r="CX2153" s="1" t="s">
        <v>224</v>
      </c>
      <c r="DB2153" s="1" t="s">
        <v>224</v>
      </c>
      <c r="DE2153" s="1" t="s">
        <v>346</v>
      </c>
      <c r="DF2153" s="1" t="s">
        <v>219</v>
      </c>
      <c r="DG2153" s="1" t="s">
        <v>226</v>
      </c>
      <c r="DJ2153" s="1" t="s">
        <v>224</v>
      </c>
      <c r="DS2153" s="1" t="s">
        <v>230</v>
      </c>
      <c r="DW2153" s="1" t="s">
        <v>230</v>
      </c>
      <c r="EA2153" s="1" t="s">
        <v>230</v>
      </c>
      <c r="EE2153" s="1" t="s">
        <v>230</v>
      </c>
      <c r="EI2153" s="1" t="s">
        <v>230</v>
      </c>
      <c r="EL2153" s="1" t="s">
        <v>670</v>
      </c>
      <c r="EM2153" s="1" t="s">
        <v>232</v>
      </c>
      <c r="EN2153" s="1" t="s">
        <v>282</v>
      </c>
      <c r="EO2153" s="1" t="s">
        <v>234</v>
      </c>
      <c r="EP2153" s="1" t="s">
        <v>1047</v>
      </c>
      <c r="EQ2153" s="1" t="s">
        <v>236</v>
      </c>
      <c r="ER2153" s="1" t="s">
        <v>210</v>
      </c>
      <c r="ES2153" s="1" t="s">
        <v>322</v>
      </c>
      <c r="EV2153" s="1" t="s">
        <v>240</v>
      </c>
      <c r="EW2153" s="1" t="s">
        <v>937</v>
      </c>
      <c r="EZ2153" s="1" t="s">
        <v>287</v>
      </c>
      <c r="FC2153" s="1" t="s">
        <v>1386</v>
      </c>
      <c r="FD2153" s="1" t="s">
        <v>246</v>
      </c>
      <c r="FE2153" s="1" t="s">
        <v>247</v>
      </c>
      <c r="FF2153" s="1" t="s">
        <v>248</v>
      </c>
      <c r="FG2153" s="1" t="s">
        <v>912</v>
      </c>
      <c r="FH2153" s="1" t="s">
        <v>249</v>
      </c>
      <c r="FJ2153" s="1" t="s">
        <v>1472</v>
      </c>
      <c r="FL2153" s="1" t="s">
        <v>292</v>
      </c>
      <c r="FM2153" s="1" t="s">
        <v>252</v>
      </c>
      <c r="FN2153" s="1" t="s">
        <v>213</v>
      </c>
      <c r="FO2153" s="1" t="s">
        <v>213</v>
      </c>
      <c r="FQ2153" s="1" t="s">
        <v>19299</v>
      </c>
      <c r="FR2153" s="1" t="s">
        <v>210</v>
      </c>
      <c r="FS2153" s="1" t="s">
        <v>19300</v>
      </c>
      <c r="FT2153" s="1" t="s">
        <v>19301</v>
      </c>
      <c r="FU2153" s="1" t="s">
        <v>204</v>
      </c>
      <c r="FW2153" s="1" t="s">
        <v>11184</v>
      </c>
      <c r="FX2153" s="1">
        <v>20199</v>
      </c>
      <c r="FY2153" s="1" t="s">
        <v>11185</v>
      </c>
      <c r="FZ2153" s="1" t="s">
        <v>19302</v>
      </c>
      <c r="GA2153" s="1">
        <v>214355</v>
      </c>
      <c r="GB2153" s="1" t="s">
        <v>19303</v>
      </c>
      <c r="GE2153" s="1" t="s">
        <v>210</v>
      </c>
      <c r="GH2153" s="1" t="s">
        <v>421</v>
      </c>
      <c r="GI2153" s="1" t="s">
        <v>213</v>
      </c>
      <c r="GJ2153" s="1" t="s">
        <v>260</v>
      </c>
      <c r="GK2153" s="1" t="s">
        <v>210</v>
      </c>
      <c r="GL2153" s="2">
        <v>42003</v>
      </c>
      <c r="GM2153" s="1" t="s">
        <v>19304</v>
      </c>
    </row>
    <row r="2154" spans="1:195">
      <c r="A2154" s="1">
        <v>170000</v>
      </c>
      <c r="B2154" s="1" t="s">
        <v>195</v>
      </c>
      <c r="C2154" s="1" t="str">
        <f>"08750184"</f>
        <v>08750184</v>
      </c>
      <c r="D2154" s="1" t="s">
        <v>196</v>
      </c>
      <c r="F2154" s="1" t="str">
        <f>"543"</f>
        <v>543</v>
      </c>
      <c r="G2154" s="2">
        <v>41922</v>
      </c>
      <c r="H2154" s="1">
        <v>179900</v>
      </c>
      <c r="I2154" s="1">
        <v>174900</v>
      </c>
      <c r="J2154" s="1">
        <v>170000</v>
      </c>
      <c r="K2154" s="2">
        <v>41922</v>
      </c>
      <c r="L2154" s="1">
        <v>25</v>
      </c>
      <c r="M2154" s="2">
        <v>41946</v>
      </c>
      <c r="N2154" s="1">
        <v>25</v>
      </c>
      <c r="O2154" s="2">
        <v>41946</v>
      </c>
      <c r="P2154" s="1">
        <v>70211</v>
      </c>
      <c r="Q2154" s="1" t="s">
        <v>423</v>
      </c>
      <c r="R2154" s="2">
        <v>41982</v>
      </c>
      <c r="S2154" s="1">
        <v>702935</v>
      </c>
      <c r="T2154" s="1">
        <v>3000</v>
      </c>
      <c r="U2154" s="1">
        <v>663</v>
      </c>
      <c r="V2154" s="1" t="s">
        <v>19305</v>
      </c>
      <c r="W2154" s="1" t="s">
        <v>264</v>
      </c>
      <c r="Y2154" s="1">
        <v>4</v>
      </c>
      <c r="Z2154" s="1" t="s">
        <v>370</v>
      </c>
      <c r="AA2154" s="1" t="s">
        <v>2639</v>
      </c>
      <c r="AB2154" s="1">
        <v>60543</v>
      </c>
      <c r="AD2154" s="1" t="s">
        <v>3007</v>
      </c>
      <c r="AE2154" s="1" t="s">
        <v>19306</v>
      </c>
      <c r="AF2154" s="1">
        <v>2009</v>
      </c>
      <c r="AG2154" s="1" t="s">
        <v>204</v>
      </c>
      <c r="AH2154" s="1" t="s">
        <v>1397</v>
      </c>
      <c r="AI2154" s="1" t="s">
        <v>453</v>
      </c>
      <c r="AJ2154" s="1" t="s">
        <v>1397</v>
      </c>
      <c r="AK2154" s="1" t="s">
        <v>902</v>
      </c>
      <c r="AL2154" s="1">
        <v>6</v>
      </c>
      <c r="AM2154" s="1">
        <v>2</v>
      </c>
      <c r="AN2154" s="1">
        <v>2</v>
      </c>
      <c r="AO2154" s="1">
        <v>1</v>
      </c>
      <c r="AP2154" s="1" t="s">
        <v>209</v>
      </c>
      <c r="AR2154" s="1" t="s">
        <v>210</v>
      </c>
      <c r="AS2154" s="1" t="s">
        <v>204</v>
      </c>
      <c r="AT2154" s="1" t="s">
        <v>211</v>
      </c>
      <c r="AU2154" s="1">
        <v>2</v>
      </c>
      <c r="AW2154" s="1" t="s">
        <v>213</v>
      </c>
      <c r="AX2154" s="1" t="s">
        <v>212</v>
      </c>
      <c r="AZ2154" s="1">
        <v>5539</v>
      </c>
      <c r="BA2154" s="1">
        <v>2013</v>
      </c>
      <c r="BB2154" s="1" t="s">
        <v>210</v>
      </c>
      <c r="BE2154" s="1">
        <v>1520</v>
      </c>
      <c r="BF2154" s="1">
        <v>1</v>
      </c>
      <c r="BG2154" s="1">
        <v>0</v>
      </c>
      <c r="BL2154" s="1">
        <v>170</v>
      </c>
      <c r="BM2154" s="1" t="s">
        <v>204</v>
      </c>
      <c r="BN2154" s="1" t="s">
        <v>213</v>
      </c>
      <c r="BO2154" s="1">
        <v>999</v>
      </c>
      <c r="BP2154" s="1" t="s">
        <v>204</v>
      </c>
      <c r="BR2154" s="1" t="str">
        <f>"0312402046"</f>
        <v>0312402046</v>
      </c>
      <c r="BT2154" s="1" t="s">
        <v>19307</v>
      </c>
      <c r="BU2154" s="1" t="s">
        <v>2167</v>
      </c>
      <c r="BV2154" s="1" t="s">
        <v>3010</v>
      </c>
      <c r="BW2154" s="1" t="s">
        <v>1401</v>
      </c>
      <c r="BX2154" s="1">
        <v>308</v>
      </c>
      <c r="BY2154" s="1">
        <v>308</v>
      </c>
      <c r="BZ2154" s="1">
        <v>308</v>
      </c>
      <c r="CB2154" s="1" t="str">
        <f t="shared" ref="CB2154:CC2154" si="1644">"0"</f>
        <v>0</v>
      </c>
      <c r="CC2154" s="1" t="str">
        <f t="shared" si="1644"/>
        <v>0</v>
      </c>
      <c r="CD2154" s="1">
        <v>34</v>
      </c>
      <c r="CE2154" s="1">
        <v>10</v>
      </c>
      <c r="CG2154" s="1" t="s">
        <v>2121</v>
      </c>
      <c r="CH2154" s="1" t="s">
        <v>219</v>
      </c>
      <c r="CI2154" s="1" t="s">
        <v>220</v>
      </c>
      <c r="CJ2154" s="1" t="s">
        <v>210</v>
      </c>
      <c r="CK2154" s="1" t="s">
        <v>538</v>
      </c>
      <c r="CL2154" s="1" t="s">
        <v>277</v>
      </c>
      <c r="CM2154" s="1" t="s">
        <v>220</v>
      </c>
      <c r="CN2154" s="1" t="s">
        <v>210</v>
      </c>
      <c r="CO2154" s="1" t="s">
        <v>1470</v>
      </c>
      <c r="CP2154" s="1" t="s">
        <v>219</v>
      </c>
      <c r="CQ2154" s="1" t="s">
        <v>438</v>
      </c>
      <c r="CR2154" s="1" t="s">
        <v>210</v>
      </c>
      <c r="CS2154" s="1" t="s">
        <v>1046</v>
      </c>
      <c r="CT2154" s="1" t="s">
        <v>277</v>
      </c>
      <c r="CU2154" s="1" t="s">
        <v>220</v>
      </c>
      <c r="CV2154" s="1" t="s">
        <v>210</v>
      </c>
      <c r="CX2154" s="1" t="s">
        <v>224</v>
      </c>
      <c r="DB2154" s="1" t="s">
        <v>224</v>
      </c>
      <c r="DE2154" s="1" t="s">
        <v>318</v>
      </c>
      <c r="DF2154" s="1" t="s">
        <v>219</v>
      </c>
      <c r="DG2154" s="1" t="s">
        <v>438</v>
      </c>
      <c r="DH2154" s="1" t="s">
        <v>210</v>
      </c>
      <c r="DJ2154" s="1" t="s">
        <v>224</v>
      </c>
      <c r="DL2154" s="1" t="s">
        <v>210</v>
      </c>
      <c r="DM2154" s="1" t="s">
        <v>464</v>
      </c>
      <c r="DR2154" s="1" t="s">
        <v>465</v>
      </c>
      <c r="DS2154" s="1" t="s">
        <v>277</v>
      </c>
      <c r="DT2154" s="1" t="s">
        <v>220</v>
      </c>
      <c r="DU2154" s="1" t="s">
        <v>210</v>
      </c>
      <c r="DW2154" s="1" t="s">
        <v>230</v>
      </c>
      <c r="EA2154" s="1" t="s">
        <v>230</v>
      </c>
      <c r="EE2154" s="1" t="s">
        <v>230</v>
      </c>
      <c r="EI2154" s="1" t="s">
        <v>230</v>
      </c>
      <c r="EL2154" s="1" t="s">
        <v>1549</v>
      </c>
      <c r="EM2154" s="1" t="s">
        <v>319</v>
      </c>
      <c r="EN2154" s="1" t="s">
        <v>282</v>
      </c>
      <c r="EO2154" s="1" t="s">
        <v>234</v>
      </c>
      <c r="EP2154" s="1" t="s">
        <v>1268</v>
      </c>
      <c r="EQ2154" s="1" t="s">
        <v>7208</v>
      </c>
      <c r="ER2154" s="1" t="s">
        <v>383</v>
      </c>
      <c r="ES2154" s="1" t="s">
        <v>1552</v>
      </c>
      <c r="ET2154" s="1" t="s">
        <v>842</v>
      </c>
      <c r="EU2154" s="1" t="s">
        <v>19308</v>
      </c>
      <c r="EV2154" s="1" t="s">
        <v>324</v>
      </c>
      <c r="EW2154" s="1" t="s">
        <v>867</v>
      </c>
      <c r="EY2154" s="1" t="s">
        <v>441</v>
      </c>
      <c r="EZ2154" s="1" t="s">
        <v>464</v>
      </c>
      <c r="FA2154" s="1" t="s">
        <v>1072</v>
      </c>
      <c r="FB2154" s="1" t="s">
        <v>289</v>
      </c>
      <c r="FD2154" s="1" t="s">
        <v>246</v>
      </c>
      <c r="FE2154" s="1" t="s">
        <v>765</v>
      </c>
      <c r="FF2154" s="1" t="s">
        <v>248</v>
      </c>
      <c r="FH2154" s="1" t="s">
        <v>550</v>
      </c>
      <c r="FI2154" s="1" t="s">
        <v>357</v>
      </c>
      <c r="FJ2154" s="1" t="s">
        <v>518</v>
      </c>
      <c r="FL2154" s="1" t="s">
        <v>358</v>
      </c>
      <c r="FM2154" s="1" t="s">
        <v>252</v>
      </c>
      <c r="FN2154" s="1" t="s">
        <v>213</v>
      </c>
      <c r="FO2154" s="1" t="s">
        <v>213</v>
      </c>
      <c r="FQ2154" s="1" t="s">
        <v>3616</v>
      </c>
      <c r="FR2154" s="1" t="s">
        <v>210</v>
      </c>
      <c r="FS2154" s="1" t="s">
        <v>19309</v>
      </c>
      <c r="FT2154" s="1" t="s">
        <v>295</v>
      </c>
      <c r="FU2154" s="1" t="s">
        <v>204</v>
      </c>
      <c r="FW2154" s="1" t="s">
        <v>1475</v>
      </c>
      <c r="FX2154" s="1">
        <v>23265</v>
      </c>
      <c r="FY2154" s="1" t="s">
        <v>1476</v>
      </c>
      <c r="FZ2154" s="1" t="s">
        <v>1477</v>
      </c>
      <c r="GA2154" s="1">
        <v>217220</v>
      </c>
      <c r="GB2154" s="1" t="s">
        <v>1478</v>
      </c>
      <c r="GE2154" s="1" t="s">
        <v>210</v>
      </c>
      <c r="GI2154" s="1" t="s">
        <v>213</v>
      </c>
      <c r="GJ2154" s="1" t="s">
        <v>260</v>
      </c>
      <c r="GK2154" s="1" t="s">
        <v>261</v>
      </c>
      <c r="GL2154" s="2">
        <v>41982</v>
      </c>
      <c r="GM2154" s="1" t="s">
        <v>19310</v>
      </c>
    </row>
    <row r="2155" spans="1:195">
      <c r="A2155" s="1">
        <v>180000</v>
      </c>
      <c r="B2155" s="1" t="s">
        <v>195</v>
      </c>
      <c r="C2155" s="1" t="str">
        <f>"08789160"</f>
        <v>08789160</v>
      </c>
      <c r="D2155" s="1" t="s">
        <v>196</v>
      </c>
      <c r="F2155" s="1" t="str">
        <f>"507"</f>
        <v>507</v>
      </c>
      <c r="G2155" s="2">
        <v>41962</v>
      </c>
      <c r="H2155" s="1">
        <v>183500</v>
      </c>
      <c r="I2155" s="1">
        <v>183500</v>
      </c>
      <c r="J2155" s="1">
        <v>180000</v>
      </c>
      <c r="K2155" s="2">
        <v>41962</v>
      </c>
      <c r="L2155" s="1">
        <v>142</v>
      </c>
      <c r="M2155" s="2">
        <v>42103</v>
      </c>
      <c r="N2155" s="1">
        <v>142</v>
      </c>
      <c r="O2155" s="2">
        <v>42103</v>
      </c>
      <c r="P2155" s="1">
        <v>74601</v>
      </c>
      <c r="Q2155" s="1" t="s">
        <v>302</v>
      </c>
      <c r="R2155" s="2">
        <v>42143</v>
      </c>
      <c r="S2155" s="1">
        <v>705578</v>
      </c>
      <c r="U2155" s="1">
        <v>1870</v>
      </c>
      <c r="V2155" s="1" t="s">
        <v>11189</v>
      </c>
      <c r="W2155" s="1" t="s">
        <v>304</v>
      </c>
      <c r="Y2155" s="1">
        <v>6</v>
      </c>
      <c r="Z2155" s="1" t="s">
        <v>249</v>
      </c>
      <c r="AA2155" s="1" t="s">
        <v>1123</v>
      </c>
      <c r="AB2155" s="1">
        <v>60502</v>
      </c>
      <c r="AD2155" s="1" t="s">
        <v>19311</v>
      </c>
      <c r="AE2155" s="1" t="s">
        <v>19312</v>
      </c>
      <c r="AF2155" s="1">
        <v>2007</v>
      </c>
      <c r="AG2155" s="1" t="s">
        <v>204</v>
      </c>
      <c r="AH2155" s="1" t="s">
        <v>1126</v>
      </c>
      <c r="AI2155" s="1" t="s">
        <v>665</v>
      </c>
      <c r="AJ2155" s="1" t="s">
        <v>1126</v>
      </c>
      <c r="AK2155" s="1" t="s">
        <v>19313</v>
      </c>
      <c r="AL2155" s="1">
        <v>5</v>
      </c>
      <c r="AM2155" s="1">
        <v>2</v>
      </c>
      <c r="AN2155" s="1">
        <v>2</v>
      </c>
      <c r="AO2155" s="1">
        <v>0</v>
      </c>
      <c r="AP2155" s="1" t="s">
        <v>209</v>
      </c>
      <c r="AQ2155" s="1">
        <v>1</v>
      </c>
      <c r="AR2155" s="1" t="s">
        <v>210</v>
      </c>
      <c r="AS2155" s="1" t="s">
        <v>204</v>
      </c>
      <c r="AT2155" s="1" t="s">
        <v>211</v>
      </c>
      <c r="AU2155" s="1">
        <v>2</v>
      </c>
      <c r="AW2155" s="1" t="s">
        <v>213</v>
      </c>
      <c r="AX2155" s="1" t="s">
        <v>212</v>
      </c>
      <c r="AZ2155" s="1">
        <v>3864.82</v>
      </c>
      <c r="BA2155" s="1">
        <v>2014</v>
      </c>
      <c r="BB2155" s="1" t="s">
        <v>599</v>
      </c>
      <c r="BE2155" s="1">
        <v>1257</v>
      </c>
      <c r="BF2155" s="1">
        <v>1</v>
      </c>
      <c r="BG2155" s="1">
        <v>0</v>
      </c>
      <c r="BL2155" s="1">
        <v>122</v>
      </c>
      <c r="BM2155" s="1" t="s">
        <v>204</v>
      </c>
      <c r="BN2155" s="1" t="s">
        <v>213</v>
      </c>
      <c r="BO2155" s="1">
        <v>0</v>
      </c>
      <c r="BP2155" s="1" t="s">
        <v>204</v>
      </c>
      <c r="BR2155" s="1" t="str">
        <f>"1513232045"</f>
        <v>1513232045</v>
      </c>
      <c r="BT2155" s="1" t="s">
        <v>19314</v>
      </c>
      <c r="BU2155" s="1" t="s">
        <v>19315</v>
      </c>
      <c r="BV2155" s="1" t="s">
        <v>19316</v>
      </c>
      <c r="BW2155" s="1" t="s">
        <v>5318</v>
      </c>
      <c r="BX2155" s="1">
        <v>131</v>
      </c>
      <c r="BY2155" s="1">
        <v>131</v>
      </c>
      <c r="BZ2155" s="1">
        <v>131</v>
      </c>
      <c r="CB2155" s="1" t="str">
        <f t="shared" ref="CB2155:CC2155" si="1645">""</f>
        <v/>
      </c>
      <c r="CC2155" s="1" t="str">
        <f t="shared" si="1645"/>
        <v/>
      </c>
      <c r="CG2155" s="1" t="s">
        <v>862</v>
      </c>
      <c r="CH2155" s="1" t="s">
        <v>219</v>
      </c>
      <c r="CI2155" s="1" t="s">
        <v>229</v>
      </c>
      <c r="CJ2155" s="1" t="s">
        <v>439</v>
      </c>
      <c r="CK2155" s="1" t="s">
        <v>602</v>
      </c>
      <c r="CL2155" s="1" t="s">
        <v>219</v>
      </c>
      <c r="CM2155" s="1" t="s">
        <v>220</v>
      </c>
      <c r="CN2155" s="1" t="s">
        <v>343</v>
      </c>
      <c r="CO2155" s="1" t="s">
        <v>316</v>
      </c>
      <c r="CP2155" s="1" t="s">
        <v>219</v>
      </c>
      <c r="CQ2155" s="1" t="s">
        <v>229</v>
      </c>
      <c r="CR2155" s="1" t="s">
        <v>439</v>
      </c>
      <c r="CS2155" s="1" t="s">
        <v>1046</v>
      </c>
      <c r="CT2155" s="1" t="s">
        <v>219</v>
      </c>
      <c r="CU2155" s="1" t="s">
        <v>220</v>
      </c>
      <c r="CV2155" s="1" t="s">
        <v>343</v>
      </c>
      <c r="CX2155" s="1" t="s">
        <v>224</v>
      </c>
      <c r="DB2155" s="1" t="s">
        <v>224</v>
      </c>
      <c r="DE2155" s="1" t="s">
        <v>409</v>
      </c>
      <c r="DF2155" s="1" t="s">
        <v>219</v>
      </c>
      <c r="DG2155" s="1" t="s">
        <v>229</v>
      </c>
      <c r="DJ2155" s="1" t="s">
        <v>224</v>
      </c>
      <c r="DS2155" s="1" t="s">
        <v>230</v>
      </c>
      <c r="DW2155" s="1" t="s">
        <v>230</v>
      </c>
      <c r="EA2155" s="1" t="s">
        <v>230</v>
      </c>
      <c r="EE2155" s="1" t="s">
        <v>230</v>
      </c>
      <c r="EI2155" s="1" t="s">
        <v>230</v>
      </c>
      <c r="EL2155" s="1" t="s">
        <v>491</v>
      </c>
      <c r="EM2155" s="1" t="s">
        <v>319</v>
      </c>
      <c r="EN2155" s="1" t="s">
        <v>282</v>
      </c>
      <c r="EO2155" s="1" t="s">
        <v>234</v>
      </c>
      <c r="EQ2155" s="1" t="s">
        <v>236</v>
      </c>
      <c r="ER2155" s="1" t="s">
        <v>210</v>
      </c>
      <c r="ES2155" s="1" t="s">
        <v>1552</v>
      </c>
      <c r="ET2155" s="1" t="s">
        <v>323</v>
      </c>
      <c r="EU2155" s="1" t="s">
        <v>12120</v>
      </c>
      <c r="EV2155" s="1" t="s">
        <v>324</v>
      </c>
      <c r="EW2155" s="1" t="s">
        <v>19317</v>
      </c>
      <c r="EY2155" s="1" t="s">
        <v>242</v>
      </c>
      <c r="EZ2155" s="1" t="s">
        <v>287</v>
      </c>
      <c r="FA2155" s="1" t="s">
        <v>1072</v>
      </c>
      <c r="FB2155" s="1" t="s">
        <v>289</v>
      </c>
      <c r="FD2155" s="1" t="s">
        <v>495</v>
      </c>
      <c r="FE2155" s="1" t="s">
        <v>765</v>
      </c>
      <c r="FF2155" s="1" t="s">
        <v>248</v>
      </c>
      <c r="FG2155" s="1" t="s">
        <v>871</v>
      </c>
      <c r="FH2155" s="1" t="s">
        <v>1205</v>
      </c>
      <c r="FI2155" s="1" t="s">
        <v>473</v>
      </c>
      <c r="FJ2155" s="1" t="s">
        <v>197</v>
      </c>
      <c r="FL2155" s="1" t="s">
        <v>358</v>
      </c>
      <c r="FM2155" s="1" t="s">
        <v>252</v>
      </c>
      <c r="FN2155" s="1" t="s">
        <v>213</v>
      </c>
      <c r="FO2155" s="1" t="s">
        <v>213</v>
      </c>
      <c r="FQ2155" s="1" t="s">
        <v>329</v>
      </c>
      <c r="FR2155" s="1" t="s">
        <v>210</v>
      </c>
      <c r="FS2155" s="1" t="s">
        <v>19318</v>
      </c>
      <c r="FT2155" s="1" t="s">
        <v>295</v>
      </c>
      <c r="FU2155" s="1" t="s">
        <v>204</v>
      </c>
      <c r="FW2155" s="1" t="s">
        <v>585</v>
      </c>
      <c r="FX2155" s="1">
        <v>23156</v>
      </c>
      <c r="FY2155" s="1" t="s">
        <v>1253</v>
      </c>
      <c r="FZ2155" s="1" t="s">
        <v>19319</v>
      </c>
      <c r="GA2155" s="1">
        <v>215062</v>
      </c>
      <c r="GB2155" s="1" t="s">
        <v>19320</v>
      </c>
      <c r="GE2155" s="1" t="s">
        <v>210</v>
      </c>
      <c r="GI2155" s="1" t="s">
        <v>213</v>
      </c>
      <c r="GJ2155" s="1" t="s">
        <v>260</v>
      </c>
      <c r="GK2155" s="1" t="s">
        <v>210</v>
      </c>
      <c r="GL2155" s="2">
        <v>42143</v>
      </c>
      <c r="GM2155" s="1" t="s">
        <v>19321</v>
      </c>
    </row>
    <row r="2156" spans="1:195">
      <c r="A2156" s="1">
        <v>105000</v>
      </c>
      <c r="B2156" s="1" t="s">
        <v>195</v>
      </c>
      <c r="C2156" s="1" t="str">
        <f>"08752111"</f>
        <v>08752111</v>
      </c>
      <c r="D2156" s="1" t="s">
        <v>196</v>
      </c>
      <c r="F2156" s="1" t="str">
        <f>"191"</f>
        <v>191</v>
      </c>
      <c r="G2156" s="2">
        <v>41925</v>
      </c>
      <c r="H2156" s="1">
        <v>107000</v>
      </c>
      <c r="I2156" s="1">
        <v>107000</v>
      </c>
      <c r="J2156" s="1">
        <v>105000</v>
      </c>
      <c r="K2156" s="2">
        <v>41925</v>
      </c>
      <c r="L2156" s="1">
        <v>19</v>
      </c>
      <c r="M2156" s="2">
        <v>41943</v>
      </c>
      <c r="N2156" s="1">
        <v>19</v>
      </c>
      <c r="O2156" s="2">
        <v>41943</v>
      </c>
      <c r="P2156" s="1">
        <v>25645</v>
      </c>
      <c r="Q2156" s="1" t="s">
        <v>302</v>
      </c>
      <c r="R2156" s="2">
        <v>41974</v>
      </c>
      <c r="S2156" s="1">
        <v>26178</v>
      </c>
      <c r="U2156" s="1">
        <v>723</v>
      </c>
      <c r="V2156" s="1" t="s">
        <v>6431</v>
      </c>
      <c r="W2156" s="1" t="s">
        <v>264</v>
      </c>
      <c r="X2156" s="1">
        <v>723</v>
      </c>
      <c r="Y2156" s="1">
        <v>4</v>
      </c>
      <c r="Z2156" s="1" t="s">
        <v>249</v>
      </c>
      <c r="AA2156" s="1" t="s">
        <v>1966</v>
      </c>
      <c r="AB2156" s="1">
        <v>60191</v>
      </c>
      <c r="AD2156" s="1" t="s">
        <v>13897</v>
      </c>
      <c r="AE2156" s="1" t="s">
        <v>19322</v>
      </c>
      <c r="AF2156" s="1">
        <v>1987</v>
      </c>
      <c r="AG2156" s="1" t="s">
        <v>204</v>
      </c>
      <c r="AH2156" s="1" t="s">
        <v>1969</v>
      </c>
      <c r="AI2156" s="1" t="s">
        <v>206</v>
      </c>
      <c r="AJ2156" s="1" t="s">
        <v>1233</v>
      </c>
      <c r="AL2156" s="1">
        <v>5</v>
      </c>
      <c r="AM2156" s="1">
        <v>2</v>
      </c>
      <c r="AN2156" s="1">
        <v>2</v>
      </c>
      <c r="AO2156" s="1">
        <v>0</v>
      </c>
      <c r="AP2156" s="1" t="s">
        <v>209</v>
      </c>
      <c r="AR2156" s="1" t="s">
        <v>210</v>
      </c>
      <c r="AS2156" s="1" t="s">
        <v>204</v>
      </c>
      <c r="AT2156" s="1" t="s">
        <v>211</v>
      </c>
      <c r="AU2156" s="1">
        <v>1</v>
      </c>
      <c r="AW2156" s="1" t="s">
        <v>204</v>
      </c>
      <c r="AX2156" s="1" t="s">
        <v>212</v>
      </c>
      <c r="AZ2156" s="1">
        <v>2910</v>
      </c>
      <c r="BA2156" s="1">
        <v>2012</v>
      </c>
      <c r="BE2156" s="1">
        <v>1200</v>
      </c>
      <c r="BF2156" s="1">
        <v>1</v>
      </c>
      <c r="BG2156" s="1">
        <v>0</v>
      </c>
      <c r="BL2156" s="1">
        <v>251</v>
      </c>
      <c r="BM2156" s="1" t="s">
        <v>204</v>
      </c>
      <c r="BN2156" s="1" t="s">
        <v>213</v>
      </c>
      <c r="BO2156" s="1">
        <v>25</v>
      </c>
      <c r="BP2156" s="1" t="s">
        <v>204</v>
      </c>
      <c r="BR2156" s="1" t="str">
        <f>"0316310213"</f>
        <v>0316310213</v>
      </c>
      <c r="BT2156" s="1" t="s">
        <v>19323</v>
      </c>
      <c r="BU2156" s="1" t="s">
        <v>2719</v>
      </c>
      <c r="BV2156" s="1" t="s">
        <v>2720</v>
      </c>
      <c r="BW2156" s="1" t="s">
        <v>2721</v>
      </c>
      <c r="BX2156" s="1">
        <v>4</v>
      </c>
      <c r="BY2156" s="1">
        <v>4</v>
      </c>
      <c r="BZ2156" s="1">
        <v>88</v>
      </c>
      <c r="CB2156" s="1" t="str">
        <f t="shared" ref="CB2156:CC2156" si="1646">""</f>
        <v/>
      </c>
      <c r="CC2156" s="1" t="str">
        <f t="shared" si="1646"/>
        <v/>
      </c>
      <c r="CG2156" s="1" t="s">
        <v>3035</v>
      </c>
      <c r="CH2156" s="1" t="s">
        <v>219</v>
      </c>
      <c r="CK2156" s="1" t="s">
        <v>437</v>
      </c>
      <c r="CL2156" s="1" t="s">
        <v>219</v>
      </c>
      <c r="CO2156" s="1" t="s">
        <v>409</v>
      </c>
      <c r="CP2156" s="1" t="s">
        <v>219</v>
      </c>
      <c r="CS2156" s="1" t="s">
        <v>378</v>
      </c>
      <c r="CT2156" s="1" t="s">
        <v>219</v>
      </c>
      <c r="CX2156" s="1" t="s">
        <v>224</v>
      </c>
      <c r="DB2156" s="1" t="s">
        <v>224</v>
      </c>
      <c r="DE2156" s="1" t="s">
        <v>281</v>
      </c>
      <c r="DF2156" s="1" t="s">
        <v>219</v>
      </c>
      <c r="DJ2156" s="1" t="s">
        <v>224</v>
      </c>
      <c r="DS2156" s="1" t="s">
        <v>230</v>
      </c>
      <c r="DW2156" s="1" t="s">
        <v>230</v>
      </c>
      <c r="EA2156" s="1" t="s">
        <v>230</v>
      </c>
      <c r="EE2156" s="1" t="s">
        <v>230</v>
      </c>
      <c r="EI2156" s="1" t="s">
        <v>230</v>
      </c>
      <c r="EL2156" s="1" t="s">
        <v>542</v>
      </c>
      <c r="EM2156" s="1" t="s">
        <v>232</v>
      </c>
      <c r="EN2156" s="1" t="s">
        <v>282</v>
      </c>
      <c r="EO2156" s="1" t="s">
        <v>234</v>
      </c>
      <c r="EQ2156" s="1" t="s">
        <v>468</v>
      </c>
      <c r="ER2156" s="1" t="s">
        <v>210</v>
      </c>
      <c r="ES2156" s="1" t="s">
        <v>322</v>
      </c>
      <c r="EV2156" s="1" t="s">
        <v>240</v>
      </c>
      <c r="EW2156" s="1" t="s">
        <v>887</v>
      </c>
      <c r="EZ2156" s="1" t="s">
        <v>287</v>
      </c>
      <c r="FB2156" s="1" t="s">
        <v>289</v>
      </c>
      <c r="FD2156" s="1" t="s">
        <v>246</v>
      </c>
      <c r="FE2156" s="1" t="s">
        <v>2970</v>
      </c>
      <c r="FF2156" s="1" t="s">
        <v>248</v>
      </c>
      <c r="FH2156" s="1" t="s">
        <v>388</v>
      </c>
      <c r="FI2156" s="1" t="s">
        <v>357</v>
      </c>
      <c r="FL2156" s="1" t="s">
        <v>810</v>
      </c>
      <c r="FM2156" s="1" t="s">
        <v>252</v>
      </c>
      <c r="FN2156" s="1" t="s">
        <v>213</v>
      </c>
      <c r="FO2156" s="1" t="s">
        <v>213</v>
      </c>
      <c r="FQ2156" s="1" t="s">
        <v>2017</v>
      </c>
      <c r="FR2156" s="1" t="s">
        <v>210</v>
      </c>
      <c r="FS2156" s="1" t="s">
        <v>16092</v>
      </c>
      <c r="FT2156" s="1" t="s">
        <v>295</v>
      </c>
      <c r="FU2156" s="1" t="s">
        <v>204</v>
      </c>
      <c r="FW2156" s="1" t="s">
        <v>2019</v>
      </c>
      <c r="FX2156" s="1">
        <v>24007</v>
      </c>
      <c r="FY2156" s="1" t="s">
        <v>2020</v>
      </c>
      <c r="FZ2156" s="1" t="s">
        <v>19324</v>
      </c>
      <c r="GA2156" s="1">
        <v>241613</v>
      </c>
      <c r="GD2156" s="1" t="s">
        <v>19325</v>
      </c>
      <c r="GE2156" s="1" t="s">
        <v>480</v>
      </c>
      <c r="GI2156" s="1" t="s">
        <v>213</v>
      </c>
      <c r="GJ2156" s="1" t="s">
        <v>260</v>
      </c>
      <c r="GK2156" s="1" t="s">
        <v>210</v>
      </c>
      <c r="GL2156" s="2">
        <v>41974</v>
      </c>
      <c r="GM2156" s="1" t="s">
        <v>19326</v>
      </c>
    </row>
    <row r="2157" spans="1:195">
      <c r="A2157" s="1">
        <v>132000</v>
      </c>
      <c r="B2157" s="1" t="s">
        <v>195</v>
      </c>
      <c r="C2157" s="1" t="str">
        <f>"08753032"</f>
        <v>08753032</v>
      </c>
      <c r="D2157" s="1" t="s">
        <v>196</v>
      </c>
      <c r="F2157" s="1" t="str">
        <f>"139"</f>
        <v>139</v>
      </c>
      <c r="G2157" s="2">
        <v>41926</v>
      </c>
      <c r="H2157" s="1">
        <v>144900</v>
      </c>
      <c r="I2157" s="1">
        <v>139900</v>
      </c>
      <c r="J2157" s="1">
        <v>132000</v>
      </c>
      <c r="K2157" s="2">
        <v>41926</v>
      </c>
      <c r="L2157" s="1">
        <v>26</v>
      </c>
      <c r="M2157" s="2">
        <v>41951</v>
      </c>
      <c r="N2157" s="1">
        <v>26</v>
      </c>
      <c r="O2157" s="2">
        <v>41951</v>
      </c>
      <c r="P2157" s="1">
        <v>1109</v>
      </c>
      <c r="Q2157" s="1" t="s">
        <v>197</v>
      </c>
      <c r="R2157" s="2">
        <v>42013</v>
      </c>
      <c r="S2157" s="1">
        <v>81441</v>
      </c>
      <c r="U2157" s="1">
        <v>24</v>
      </c>
      <c r="V2157" s="1" t="s">
        <v>19327</v>
      </c>
      <c r="W2157" s="1" t="s">
        <v>264</v>
      </c>
      <c r="Y2157" s="1">
        <v>2</v>
      </c>
      <c r="Z2157" s="1" t="s">
        <v>200</v>
      </c>
      <c r="AA2157" s="1" t="s">
        <v>1732</v>
      </c>
      <c r="AB2157" s="1">
        <v>60139</v>
      </c>
      <c r="AE2157" s="1" t="s">
        <v>19328</v>
      </c>
      <c r="AF2157" s="1">
        <v>1983</v>
      </c>
      <c r="AG2157" s="1" t="s">
        <v>204</v>
      </c>
      <c r="AH2157" s="1" t="s">
        <v>1735</v>
      </c>
      <c r="AI2157" s="1" t="s">
        <v>206</v>
      </c>
      <c r="AJ2157" s="1" t="s">
        <v>269</v>
      </c>
      <c r="AL2157" s="1">
        <v>5</v>
      </c>
      <c r="AM2157" s="1">
        <v>2</v>
      </c>
      <c r="AN2157" s="1">
        <v>1</v>
      </c>
      <c r="AO2157" s="1">
        <v>0</v>
      </c>
      <c r="AP2157" s="1" t="s">
        <v>667</v>
      </c>
      <c r="AQ2157" s="1">
        <v>0</v>
      </c>
      <c r="AR2157" s="1" t="s">
        <v>210</v>
      </c>
      <c r="AS2157" s="1" t="s">
        <v>204</v>
      </c>
      <c r="AT2157" s="1" t="s">
        <v>211</v>
      </c>
      <c r="AU2157" s="1">
        <v>1</v>
      </c>
      <c r="AW2157" s="1" t="s">
        <v>204</v>
      </c>
      <c r="AX2157" s="1" t="s">
        <v>19329</v>
      </c>
      <c r="AZ2157" s="1">
        <v>4447</v>
      </c>
      <c r="BA2157" s="1">
        <v>2013</v>
      </c>
      <c r="BB2157" s="1" t="s">
        <v>405</v>
      </c>
      <c r="BE2157" s="1">
        <v>0</v>
      </c>
      <c r="BF2157" s="1">
        <v>1</v>
      </c>
      <c r="BG2157" s="1">
        <v>0</v>
      </c>
      <c r="BL2157" s="1">
        <v>0</v>
      </c>
      <c r="BM2157" s="1" t="s">
        <v>204</v>
      </c>
      <c r="BN2157" s="1" t="s">
        <v>213</v>
      </c>
      <c r="BP2157" s="1" t="s">
        <v>204</v>
      </c>
      <c r="BR2157" s="1" t="str">
        <f>"0221404030"</f>
        <v>0221404030</v>
      </c>
      <c r="BT2157" s="1" t="s">
        <v>19330</v>
      </c>
      <c r="BU2157" s="1" t="s">
        <v>3570</v>
      </c>
      <c r="BV2157" s="1" t="s">
        <v>2015</v>
      </c>
      <c r="BW2157" s="1" t="s">
        <v>1935</v>
      </c>
      <c r="BX2157" s="1">
        <v>15</v>
      </c>
      <c r="BY2157" s="1">
        <v>15</v>
      </c>
      <c r="BZ2157" s="1">
        <v>87</v>
      </c>
      <c r="CB2157" s="1" t="str">
        <f t="shared" ref="CB2157:CC2157" si="1647">""</f>
        <v/>
      </c>
      <c r="CC2157" s="1" t="str">
        <f t="shared" si="1647"/>
        <v/>
      </c>
      <c r="CG2157" s="1" t="s">
        <v>218</v>
      </c>
      <c r="CH2157" s="1" t="s">
        <v>219</v>
      </c>
      <c r="CI2157" s="1" t="s">
        <v>220</v>
      </c>
      <c r="CJ2157" s="1" t="s">
        <v>252</v>
      </c>
      <c r="CK2157" s="1" t="s">
        <v>317</v>
      </c>
      <c r="CL2157" s="1" t="s">
        <v>277</v>
      </c>
      <c r="CM2157" s="1" t="s">
        <v>220</v>
      </c>
      <c r="CN2157" s="1" t="s">
        <v>252</v>
      </c>
      <c r="CO2157" s="1" t="s">
        <v>346</v>
      </c>
      <c r="CP2157" s="1" t="s">
        <v>219</v>
      </c>
      <c r="CQ2157" s="1" t="s">
        <v>220</v>
      </c>
      <c r="CR2157" s="1" t="s">
        <v>252</v>
      </c>
      <c r="CS2157" s="1" t="s">
        <v>379</v>
      </c>
      <c r="CT2157" s="1" t="s">
        <v>277</v>
      </c>
      <c r="CU2157" s="1" t="s">
        <v>220</v>
      </c>
      <c r="CV2157" s="1" t="s">
        <v>252</v>
      </c>
      <c r="CX2157" s="1" t="s">
        <v>224</v>
      </c>
      <c r="DB2157" s="1" t="s">
        <v>224</v>
      </c>
      <c r="DE2157" s="1" t="s">
        <v>539</v>
      </c>
      <c r="DF2157" s="1" t="s">
        <v>219</v>
      </c>
      <c r="DG2157" s="1" t="s">
        <v>226</v>
      </c>
      <c r="DH2157" s="1" t="s">
        <v>252</v>
      </c>
      <c r="DJ2157" s="1" t="s">
        <v>224</v>
      </c>
      <c r="DS2157" s="1" t="s">
        <v>230</v>
      </c>
      <c r="DW2157" s="1" t="s">
        <v>230</v>
      </c>
      <c r="EA2157" s="1" t="s">
        <v>230</v>
      </c>
      <c r="EE2157" s="1" t="s">
        <v>230</v>
      </c>
      <c r="EI2157" s="1" t="s">
        <v>230</v>
      </c>
      <c r="EL2157" s="1" t="s">
        <v>231</v>
      </c>
      <c r="EM2157" s="1" t="s">
        <v>232</v>
      </c>
      <c r="EN2157" s="1" t="s">
        <v>282</v>
      </c>
      <c r="EO2157" s="1" t="s">
        <v>234</v>
      </c>
      <c r="EQ2157" s="1" t="s">
        <v>468</v>
      </c>
      <c r="ER2157" s="1" t="s">
        <v>210</v>
      </c>
      <c r="ES2157" s="1" t="s">
        <v>824</v>
      </c>
      <c r="EU2157" s="1" t="s">
        <v>546</v>
      </c>
      <c r="EW2157" s="1" t="s">
        <v>210</v>
      </c>
      <c r="EZ2157" s="1" t="s">
        <v>287</v>
      </c>
      <c r="FD2157" s="1" t="s">
        <v>246</v>
      </c>
      <c r="FE2157" s="1" t="s">
        <v>472</v>
      </c>
      <c r="FF2157" s="1" t="s">
        <v>248</v>
      </c>
      <c r="FH2157" s="1" t="s">
        <v>442</v>
      </c>
      <c r="FI2157" s="1" t="s">
        <v>473</v>
      </c>
      <c r="FJ2157" s="1" t="s">
        <v>518</v>
      </c>
      <c r="FL2157" s="1" t="s">
        <v>358</v>
      </c>
      <c r="FM2157" s="1" t="s">
        <v>252</v>
      </c>
      <c r="FN2157" s="1" t="s">
        <v>213</v>
      </c>
      <c r="FO2157" s="1" t="s">
        <v>213</v>
      </c>
      <c r="FQ2157" s="1" t="s">
        <v>4425</v>
      </c>
      <c r="FR2157" s="1" t="s">
        <v>210</v>
      </c>
      <c r="FS2157" s="1" t="s">
        <v>12768</v>
      </c>
      <c r="FT2157" s="1" t="s">
        <v>295</v>
      </c>
      <c r="FU2157" s="1" t="s">
        <v>204</v>
      </c>
      <c r="FW2157" s="1" t="s">
        <v>4125</v>
      </c>
      <c r="FX2157" s="1">
        <v>8073</v>
      </c>
      <c r="FY2157" s="1" t="s">
        <v>4126</v>
      </c>
      <c r="FZ2157" s="1" t="s">
        <v>19331</v>
      </c>
      <c r="GA2157" s="1">
        <v>83331</v>
      </c>
      <c r="GB2157" s="1" t="s">
        <v>19332</v>
      </c>
      <c r="GE2157" s="1" t="s">
        <v>480</v>
      </c>
      <c r="GI2157" s="1" t="s">
        <v>213</v>
      </c>
      <c r="GJ2157" s="1" t="s">
        <v>260</v>
      </c>
      <c r="GK2157" s="1" t="s">
        <v>210</v>
      </c>
      <c r="GL2157" s="2">
        <v>42013</v>
      </c>
    </row>
    <row r="2158" spans="1:195">
      <c r="A2158" s="1">
        <v>61000</v>
      </c>
      <c r="B2158" s="1" t="s">
        <v>195</v>
      </c>
      <c r="C2158" s="1" t="str">
        <f>"08751066"</f>
        <v>08751066</v>
      </c>
      <c r="D2158" s="1" t="s">
        <v>196</v>
      </c>
      <c r="F2158" s="1" t="str">
        <f>"517"</f>
        <v>517</v>
      </c>
      <c r="G2158" s="2">
        <v>41923</v>
      </c>
      <c r="H2158" s="1">
        <v>64900</v>
      </c>
      <c r="I2158" s="1">
        <v>58000</v>
      </c>
      <c r="J2158" s="1">
        <v>61000</v>
      </c>
      <c r="K2158" s="2">
        <v>41922</v>
      </c>
      <c r="L2158" s="1">
        <v>40</v>
      </c>
      <c r="M2158" s="2">
        <v>41961</v>
      </c>
      <c r="N2158" s="1">
        <v>40</v>
      </c>
      <c r="O2158" s="2">
        <v>41961</v>
      </c>
      <c r="P2158" s="1">
        <v>23076</v>
      </c>
      <c r="Q2158" s="1" t="s">
        <v>302</v>
      </c>
      <c r="R2158" s="2">
        <v>41985</v>
      </c>
      <c r="S2158" s="1">
        <v>236101</v>
      </c>
      <c r="U2158" s="1">
        <v>2222</v>
      </c>
      <c r="V2158" s="1" t="s">
        <v>7960</v>
      </c>
      <c r="W2158" s="1" t="s">
        <v>264</v>
      </c>
      <c r="X2158" s="1">
        <v>26</v>
      </c>
      <c r="Y2158" s="1">
        <v>24</v>
      </c>
      <c r="Z2158" s="1" t="s">
        <v>249</v>
      </c>
      <c r="AA2158" s="1" t="s">
        <v>2850</v>
      </c>
      <c r="AB2158" s="1">
        <v>60517</v>
      </c>
      <c r="AD2158" s="1" t="s">
        <v>7961</v>
      </c>
      <c r="AE2158" s="1" t="s">
        <v>19333</v>
      </c>
      <c r="AF2158" s="1">
        <v>1978</v>
      </c>
      <c r="AG2158" s="1" t="s">
        <v>204</v>
      </c>
      <c r="AH2158" s="1" t="s">
        <v>2853</v>
      </c>
      <c r="AI2158" s="1" t="s">
        <v>206</v>
      </c>
      <c r="AJ2158" s="1" t="s">
        <v>925</v>
      </c>
      <c r="AL2158" s="1">
        <v>5</v>
      </c>
      <c r="AM2158" s="1">
        <v>2</v>
      </c>
      <c r="AN2158" s="1">
        <v>1</v>
      </c>
      <c r="AO2158" s="1">
        <v>0</v>
      </c>
      <c r="AP2158" s="1" t="s">
        <v>210</v>
      </c>
      <c r="AR2158" s="1" t="s">
        <v>210</v>
      </c>
      <c r="AS2158" s="1" t="s">
        <v>204</v>
      </c>
      <c r="AT2158" s="1" t="s">
        <v>271</v>
      </c>
      <c r="AV2158" s="1">
        <v>2</v>
      </c>
      <c r="AW2158" s="1" t="s">
        <v>204</v>
      </c>
      <c r="AX2158" s="1" t="s">
        <v>212</v>
      </c>
      <c r="AZ2158" s="1">
        <v>1377.28</v>
      </c>
      <c r="BA2158" s="1">
        <v>2013</v>
      </c>
      <c r="BB2158" s="1" t="s">
        <v>405</v>
      </c>
      <c r="BE2158" s="1">
        <v>937</v>
      </c>
      <c r="BF2158" s="1">
        <v>2</v>
      </c>
      <c r="BG2158" s="1">
        <v>0</v>
      </c>
      <c r="BL2158" s="1">
        <v>338</v>
      </c>
      <c r="BM2158" s="1" t="s">
        <v>413</v>
      </c>
      <c r="BN2158" s="1" t="s">
        <v>213</v>
      </c>
      <c r="BO2158" s="1">
        <v>0</v>
      </c>
      <c r="BP2158" s="1" t="s">
        <v>204</v>
      </c>
      <c r="BR2158" s="1" t="str">
        <f>"0825416018"</f>
        <v>0825416018</v>
      </c>
      <c r="BT2158" s="1" t="s">
        <v>19334</v>
      </c>
      <c r="BU2158" s="1" t="s">
        <v>2855</v>
      </c>
      <c r="BV2158" s="1" t="s">
        <v>2856</v>
      </c>
      <c r="BW2158" s="1" t="s">
        <v>3099</v>
      </c>
      <c r="BX2158" s="1">
        <v>68</v>
      </c>
      <c r="BY2158" s="1">
        <v>68</v>
      </c>
      <c r="BZ2158" s="1">
        <v>99</v>
      </c>
      <c r="CB2158" s="1" t="str">
        <f t="shared" ref="CB2158:CC2158" si="1648">""</f>
        <v/>
      </c>
      <c r="CC2158" s="1" t="str">
        <f t="shared" si="1648"/>
        <v/>
      </c>
      <c r="CG2158" s="1" t="s">
        <v>581</v>
      </c>
      <c r="CH2158" s="1" t="s">
        <v>277</v>
      </c>
      <c r="CI2158" s="1" t="s">
        <v>229</v>
      </c>
      <c r="CK2158" s="1" t="s">
        <v>437</v>
      </c>
      <c r="CL2158" s="1" t="s">
        <v>277</v>
      </c>
      <c r="CM2158" s="1" t="s">
        <v>220</v>
      </c>
      <c r="CO2158" s="1" t="s">
        <v>489</v>
      </c>
      <c r="CP2158" s="1" t="s">
        <v>277</v>
      </c>
      <c r="CQ2158" s="1" t="s">
        <v>229</v>
      </c>
      <c r="CS2158" s="1" t="s">
        <v>346</v>
      </c>
      <c r="CT2158" s="1" t="s">
        <v>277</v>
      </c>
      <c r="CU2158" s="1" t="s">
        <v>220</v>
      </c>
      <c r="CX2158" s="1" t="s">
        <v>224</v>
      </c>
      <c r="DB2158" s="1" t="s">
        <v>224</v>
      </c>
      <c r="DE2158" s="1" t="s">
        <v>6174</v>
      </c>
      <c r="DF2158" s="1" t="s">
        <v>277</v>
      </c>
      <c r="DJ2158" s="1" t="s">
        <v>224</v>
      </c>
      <c r="DS2158" s="1" t="s">
        <v>230</v>
      </c>
      <c r="DW2158" s="1" t="s">
        <v>230</v>
      </c>
      <c r="EA2158" s="1" t="s">
        <v>230</v>
      </c>
      <c r="EE2158" s="1" t="s">
        <v>230</v>
      </c>
      <c r="EI2158" s="1" t="s">
        <v>230</v>
      </c>
      <c r="EL2158" s="1" t="s">
        <v>231</v>
      </c>
      <c r="EM2158" s="1" t="s">
        <v>232</v>
      </c>
      <c r="EN2158" s="1" t="s">
        <v>282</v>
      </c>
      <c r="EO2158" s="1" t="s">
        <v>234</v>
      </c>
      <c r="EP2158" s="1" t="s">
        <v>19335</v>
      </c>
      <c r="ER2158" s="1" t="s">
        <v>210</v>
      </c>
      <c r="EU2158" s="1" t="s">
        <v>239</v>
      </c>
      <c r="EV2158" s="1" t="s">
        <v>352</v>
      </c>
      <c r="EW2158" s="1" t="s">
        <v>19336</v>
      </c>
      <c r="EZ2158" s="1" t="s">
        <v>287</v>
      </c>
      <c r="FB2158" s="1" t="s">
        <v>244</v>
      </c>
      <c r="FD2158" s="1" t="s">
        <v>495</v>
      </c>
      <c r="FE2158" s="1" t="s">
        <v>247</v>
      </c>
      <c r="FF2158" s="1" t="s">
        <v>248</v>
      </c>
      <c r="FH2158" s="1" t="s">
        <v>249</v>
      </c>
      <c r="FL2158" s="1" t="s">
        <v>358</v>
      </c>
      <c r="FM2158" s="1" t="s">
        <v>252</v>
      </c>
      <c r="FN2158" s="1" t="s">
        <v>213</v>
      </c>
      <c r="FO2158" s="1" t="s">
        <v>213</v>
      </c>
      <c r="FQ2158" s="1" t="s">
        <v>689</v>
      </c>
      <c r="FR2158" s="1" t="s">
        <v>210</v>
      </c>
      <c r="FS2158" s="1" t="s">
        <v>19337</v>
      </c>
      <c r="FT2158" s="1" t="s">
        <v>1959</v>
      </c>
      <c r="FU2158" s="1" t="s">
        <v>204</v>
      </c>
      <c r="FV2158" s="1" t="s">
        <v>1960</v>
      </c>
      <c r="FW2158" s="1" t="s">
        <v>1961</v>
      </c>
      <c r="FX2158" s="1">
        <v>20150</v>
      </c>
      <c r="FY2158" s="1" t="s">
        <v>1962</v>
      </c>
      <c r="FZ2158" s="1" t="s">
        <v>1963</v>
      </c>
      <c r="GA2158" s="1">
        <v>211012</v>
      </c>
      <c r="GB2158" s="1" t="s">
        <v>1964</v>
      </c>
      <c r="GE2158" s="1" t="s">
        <v>210</v>
      </c>
      <c r="GI2158" s="1" t="s">
        <v>204</v>
      </c>
      <c r="GJ2158" s="1" t="s">
        <v>260</v>
      </c>
      <c r="GK2158" s="1" t="s">
        <v>261</v>
      </c>
      <c r="GL2158" s="2">
        <v>41985</v>
      </c>
      <c r="GM2158" s="1" t="s">
        <v>1965</v>
      </c>
    </row>
    <row r="2159" spans="1:195">
      <c r="A2159" s="1">
        <v>125000</v>
      </c>
      <c r="B2159" s="1" t="s">
        <v>195</v>
      </c>
      <c r="C2159" s="1" t="str">
        <f>"08751977"</f>
        <v>08751977</v>
      </c>
      <c r="D2159" s="1" t="s">
        <v>196</v>
      </c>
      <c r="F2159" s="1" t="str">
        <f>"635"</f>
        <v>635</v>
      </c>
      <c r="G2159" s="2">
        <v>41925</v>
      </c>
      <c r="H2159" s="1">
        <v>119000</v>
      </c>
      <c r="I2159" s="1">
        <v>119000</v>
      </c>
      <c r="J2159" s="1">
        <v>125000</v>
      </c>
      <c r="K2159" s="2">
        <v>41925</v>
      </c>
      <c r="L2159" s="1">
        <v>9</v>
      </c>
      <c r="M2159" s="2">
        <v>41933</v>
      </c>
      <c r="N2159" s="1">
        <v>9</v>
      </c>
      <c r="O2159" s="2">
        <v>41933</v>
      </c>
      <c r="P2159" s="1">
        <v>21754</v>
      </c>
      <c r="Q2159" s="1" t="s">
        <v>197</v>
      </c>
      <c r="R2159" s="2">
        <v>41984</v>
      </c>
      <c r="S2159" s="1">
        <v>228928</v>
      </c>
      <c r="U2159" s="1">
        <v>2146</v>
      </c>
      <c r="V2159" s="1" t="s">
        <v>5684</v>
      </c>
      <c r="W2159" s="1" t="s">
        <v>304</v>
      </c>
      <c r="X2159" s="1">
        <v>1</v>
      </c>
      <c r="Y2159" s="1">
        <v>8</v>
      </c>
      <c r="Z2159" s="1" t="s">
        <v>249</v>
      </c>
      <c r="AA2159" s="1" t="s">
        <v>2377</v>
      </c>
      <c r="AB2159" s="1">
        <v>60707</v>
      </c>
      <c r="AE2159" s="1" t="s">
        <v>19338</v>
      </c>
      <c r="AF2159" s="1" t="s">
        <v>402</v>
      </c>
      <c r="AG2159" s="1" t="s">
        <v>213</v>
      </c>
      <c r="AH2159" s="1" t="s">
        <v>5686</v>
      </c>
      <c r="AI2159" s="1" t="s">
        <v>310</v>
      </c>
      <c r="AJ2159" s="1" t="s">
        <v>311</v>
      </c>
      <c r="AL2159" s="1">
        <v>4</v>
      </c>
      <c r="AM2159" s="1">
        <v>2</v>
      </c>
      <c r="AN2159" s="1">
        <v>2</v>
      </c>
      <c r="AO2159" s="1">
        <v>0</v>
      </c>
      <c r="AP2159" s="1" t="s">
        <v>209</v>
      </c>
      <c r="AR2159" s="1" t="s">
        <v>210</v>
      </c>
      <c r="AS2159" s="1" t="s">
        <v>204</v>
      </c>
      <c r="AT2159" s="1" t="s">
        <v>210</v>
      </c>
      <c r="AW2159" s="1" t="s">
        <v>204</v>
      </c>
      <c r="AX2159" s="1" t="s">
        <v>4740</v>
      </c>
      <c r="AZ2159" s="1">
        <v>3498.83</v>
      </c>
      <c r="BA2159" s="1">
        <v>2013</v>
      </c>
      <c r="BB2159" s="1" t="s">
        <v>210</v>
      </c>
      <c r="BE2159" s="1">
        <v>0</v>
      </c>
      <c r="BF2159" s="1">
        <v>1</v>
      </c>
      <c r="BG2159" s="1">
        <v>0</v>
      </c>
      <c r="BL2159" s="1">
        <v>150</v>
      </c>
      <c r="BM2159" s="1" t="s">
        <v>413</v>
      </c>
      <c r="BN2159" s="1" t="s">
        <v>213</v>
      </c>
      <c r="BO2159" s="1">
        <v>50</v>
      </c>
      <c r="BP2159" s="1" t="s">
        <v>204</v>
      </c>
      <c r="BR2159" s="1" t="str">
        <f>"12362220391005"</f>
        <v>12362220391005</v>
      </c>
      <c r="BT2159" s="1" t="s">
        <v>19339</v>
      </c>
      <c r="BX2159" s="1">
        <v>401</v>
      </c>
      <c r="BY2159" s="1">
        <v>401</v>
      </c>
      <c r="BZ2159" s="1">
        <v>401</v>
      </c>
      <c r="CB2159" s="1" t="str">
        <f>"2146"</f>
        <v>2146</v>
      </c>
      <c r="CC2159" s="1" t="str">
        <f>""</f>
        <v/>
      </c>
      <c r="CD2159" s="1">
        <v>7229</v>
      </c>
      <c r="CG2159" s="1" t="s">
        <v>602</v>
      </c>
      <c r="CH2159" s="1" t="s">
        <v>219</v>
      </c>
      <c r="CI2159" s="1" t="s">
        <v>438</v>
      </c>
      <c r="CK2159" s="1" t="s">
        <v>757</v>
      </c>
      <c r="CL2159" s="1" t="s">
        <v>219</v>
      </c>
      <c r="CM2159" s="1" t="s">
        <v>438</v>
      </c>
      <c r="CP2159" s="1" t="s">
        <v>224</v>
      </c>
      <c r="CS2159" s="1" t="s">
        <v>2138</v>
      </c>
      <c r="CT2159" s="1" t="s">
        <v>219</v>
      </c>
      <c r="CU2159" s="1" t="s">
        <v>438</v>
      </c>
      <c r="CX2159" s="1" t="s">
        <v>224</v>
      </c>
      <c r="DB2159" s="1" t="s">
        <v>224</v>
      </c>
      <c r="DE2159" s="1" t="s">
        <v>379</v>
      </c>
      <c r="DF2159" s="1" t="s">
        <v>219</v>
      </c>
      <c r="DG2159" s="1" t="s">
        <v>438</v>
      </c>
      <c r="DJ2159" s="1" t="s">
        <v>224</v>
      </c>
      <c r="DS2159" s="1" t="s">
        <v>230</v>
      </c>
      <c r="DW2159" s="1" t="s">
        <v>230</v>
      </c>
      <c r="EA2159" s="1" t="s">
        <v>230</v>
      </c>
      <c r="EE2159" s="1" t="s">
        <v>230</v>
      </c>
      <c r="EI2159" s="1" t="s">
        <v>230</v>
      </c>
      <c r="EL2159" s="1" t="s">
        <v>2154</v>
      </c>
      <c r="EM2159" s="1" t="s">
        <v>232</v>
      </c>
      <c r="EN2159" s="1" t="s">
        <v>19340</v>
      </c>
      <c r="EO2159" s="1" t="s">
        <v>234</v>
      </c>
      <c r="ER2159" s="1" t="s">
        <v>210</v>
      </c>
      <c r="EW2159" s="1" t="s">
        <v>937</v>
      </c>
      <c r="EY2159" s="1" t="s">
        <v>242</v>
      </c>
      <c r="EZ2159" s="1" t="s">
        <v>287</v>
      </c>
      <c r="FD2159" s="1" t="s">
        <v>246</v>
      </c>
      <c r="FE2159" s="1" t="s">
        <v>247</v>
      </c>
      <c r="FF2159" s="1" t="s">
        <v>248</v>
      </c>
      <c r="FH2159" s="1" t="s">
        <v>249</v>
      </c>
      <c r="FL2159" s="1" t="s">
        <v>358</v>
      </c>
      <c r="FM2159" s="1" t="s">
        <v>252</v>
      </c>
      <c r="FN2159" s="1" t="s">
        <v>213</v>
      </c>
      <c r="FO2159" s="1" t="s">
        <v>213</v>
      </c>
      <c r="FQ2159" s="1" t="s">
        <v>2004</v>
      </c>
      <c r="FR2159" s="1" t="s">
        <v>210</v>
      </c>
      <c r="FS2159" s="1" t="s">
        <v>2844</v>
      </c>
      <c r="FT2159" s="1" t="s">
        <v>255</v>
      </c>
      <c r="FU2159" s="1" t="s">
        <v>204</v>
      </c>
      <c r="FW2159" s="1" t="s">
        <v>1652</v>
      </c>
      <c r="FX2159" s="1">
        <v>10560</v>
      </c>
      <c r="FY2159" s="1" t="s">
        <v>19341</v>
      </c>
      <c r="FZ2159" s="1" t="s">
        <v>19342</v>
      </c>
      <c r="GA2159" s="1">
        <v>156842</v>
      </c>
      <c r="GB2159" s="1" t="s">
        <v>19343</v>
      </c>
      <c r="GE2159" s="1" t="s">
        <v>210</v>
      </c>
      <c r="GH2159" s="1" t="s">
        <v>230</v>
      </c>
      <c r="GI2159" s="1" t="s">
        <v>213</v>
      </c>
      <c r="GJ2159" s="1" t="s">
        <v>260</v>
      </c>
      <c r="GK2159" s="1" t="s">
        <v>1413</v>
      </c>
      <c r="GL2159" s="2">
        <v>41988</v>
      </c>
      <c r="GM2159" s="1" t="s">
        <v>19344</v>
      </c>
    </row>
    <row r="2160" spans="1:195">
      <c r="A2160" s="1">
        <v>279000</v>
      </c>
      <c r="B2160" s="1" t="s">
        <v>195</v>
      </c>
      <c r="C2160" s="1" t="str">
        <f>"08752503"</f>
        <v>08752503</v>
      </c>
      <c r="D2160" s="1" t="s">
        <v>196</v>
      </c>
      <c r="F2160" s="1" t="str">
        <f>"84"</f>
        <v>84</v>
      </c>
      <c r="G2160" s="2">
        <v>41926</v>
      </c>
      <c r="H2160" s="1">
        <v>289900</v>
      </c>
      <c r="I2160" s="1">
        <v>289900</v>
      </c>
      <c r="J2160" s="1">
        <v>279000</v>
      </c>
      <c r="K2160" s="2">
        <v>41926</v>
      </c>
      <c r="L2160" s="1">
        <v>183</v>
      </c>
      <c r="M2160" s="2">
        <v>42108</v>
      </c>
      <c r="N2160" s="1">
        <v>183</v>
      </c>
      <c r="O2160" s="2">
        <v>42108</v>
      </c>
      <c r="P2160" s="1">
        <v>4777</v>
      </c>
      <c r="Q2160" s="1" t="s">
        <v>197</v>
      </c>
      <c r="R2160" s="2">
        <v>42139</v>
      </c>
      <c r="S2160" s="1">
        <v>37693</v>
      </c>
      <c r="U2160" s="1">
        <v>517</v>
      </c>
      <c r="V2160" s="1" t="s">
        <v>509</v>
      </c>
      <c r="W2160" s="1" t="s">
        <v>304</v>
      </c>
      <c r="Y2160" s="1">
        <v>4</v>
      </c>
      <c r="Z2160" s="1" t="s">
        <v>249</v>
      </c>
      <c r="AA2160" s="1" t="s">
        <v>5871</v>
      </c>
      <c r="AB2160" s="1">
        <v>60084</v>
      </c>
      <c r="AD2160" s="1" t="s">
        <v>19345</v>
      </c>
      <c r="AE2160" s="1" t="s">
        <v>19346</v>
      </c>
      <c r="AF2160" s="1">
        <v>1992</v>
      </c>
      <c r="AG2160" s="1" t="s">
        <v>204</v>
      </c>
      <c r="AH2160" s="1" t="s">
        <v>2599</v>
      </c>
      <c r="AI2160" s="1" t="s">
        <v>509</v>
      </c>
      <c r="AJ2160" s="1" t="s">
        <v>2599</v>
      </c>
      <c r="AK2160" s="1" t="s">
        <v>19347</v>
      </c>
      <c r="AL2160" s="1">
        <v>7</v>
      </c>
      <c r="AM2160" s="1">
        <v>2</v>
      </c>
      <c r="AN2160" s="1">
        <v>2</v>
      </c>
      <c r="AO2160" s="1">
        <v>0</v>
      </c>
      <c r="AP2160" s="1" t="s">
        <v>209</v>
      </c>
      <c r="AQ2160" s="1">
        <v>1</v>
      </c>
      <c r="AR2160" s="1" t="s">
        <v>210</v>
      </c>
      <c r="AS2160" s="1" t="s">
        <v>204</v>
      </c>
      <c r="AT2160" s="1" t="s">
        <v>211</v>
      </c>
      <c r="AU2160" s="1">
        <v>1</v>
      </c>
      <c r="AW2160" s="1" t="s">
        <v>213</v>
      </c>
      <c r="AX2160" s="1" t="s">
        <v>1265</v>
      </c>
      <c r="AZ2160" s="1">
        <v>8407.42</v>
      </c>
      <c r="BA2160" s="1">
        <v>2013</v>
      </c>
      <c r="BB2160" s="1" t="s">
        <v>599</v>
      </c>
      <c r="BE2160" s="1">
        <v>1617</v>
      </c>
      <c r="BF2160" s="1">
        <v>2</v>
      </c>
      <c r="BG2160" s="1">
        <v>999</v>
      </c>
      <c r="BL2160" s="1">
        <v>299</v>
      </c>
      <c r="BM2160" s="1" t="s">
        <v>204</v>
      </c>
      <c r="BN2160" s="1" t="s">
        <v>213</v>
      </c>
      <c r="BO2160" s="1">
        <v>999</v>
      </c>
      <c r="BP2160" s="1" t="s">
        <v>204</v>
      </c>
      <c r="BR2160" s="1" t="str">
        <f>"09252130460000"</f>
        <v>09252130460000</v>
      </c>
      <c r="BT2160" s="1" t="s">
        <v>19348</v>
      </c>
      <c r="BU2160" s="1" t="s">
        <v>2603</v>
      </c>
      <c r="BV2160" s="1" t="s">
        <v>2604</v>
      </c>
      <c r="BW2160" s="1" t="s">
        <v>2605</v>
      </c>
      <c r="BX2160" s="1">
        <v>118</v>
      </c>
      <c r="BY2160" s="1">
        <v>118</v>
      </c>
      <c r="BZ2160" s="1">
        <v>118</v>
      </c>
      <c r="CB2160" s="1" t="str">
        <f t="shared" ref="CB2160:CC2160" si="1649">""</f>
        <v/>
      </c>
      <c r="CC2160" s="1" t="str">
        <f t="shared" si="1649"/>
        <v/>
      </c>
      <c r="CG2160" s="1" t="s">
        <v>1613</v>
      </c>
      <c r="CH2160" s="1" t="s">
        <v>277</v>
      </c>
      <c r="CI2160" s="1" t="s">
        <v>438</v>
      </c>
      <c r="CK2160" s="1" t="s">
        <v>315</v>
      </c>
      <c r="CL2160" s="1" t="s">
        <v>277</v>
      </c>
      <c r="CM2160" s="1" t="s">
        <v>220</v>
      </c>
      <c r="CO2160" s="1" t="s">
        <v>629</v>
      </c>
      <c r="CP2160" s="1" t="s">
        <v>277</v>
      </c>
      <c r="CQ2160" s="1" t="s">
        <v>438</v>
      </c>
      <c r="CS2160" s="1" t="s">
        <v>1358</v>
      </c>
      <c r="CT2160" s="1" t="s">
        <v>277</v>
      </c>
      <c r="CU2160" s="1" t="s">
        <v>220</v>
      </c>
      <c r="CX2160" s="1" t="s">
        <v>224</v>
      </c>
      <c r="DB2160" s="1" t="s">
        <v>224</v>
      </c>
      <c r="DE2160" s="1" t="s">
        <v>346</v>
      </c>
      <c r="DF2160" s="1" t="s">
        <v>277</v>
      </c>
      <c r="DG2160" s="1" t="s">
        <v>438</v>
      </c>
      <c r="DJ2160" s="1" t="s">
        <v>224</v>
      </c>
      <c r="DM2160" s="1" t="s">
        <v>381</v>
      </c>
      <c r="DN2160" s="1" t="s">
        <v>1005</v>
      </c>
      <c r="DR2160" s="1" t="s">
        <v>318</v>
      </c>
      <c r="DS2160" s="1" t="s">
        <v>277</v>
      </c>
      <c r="DT2160" s="1" t="s">
        <v>438</v>
      </c>
      <c r="DV2160" s="1" t="s">
        <v>379</v>
      </c>
      <c r="DW2160" s="1" t="s">
        <v>277</v>
      </c>
      <c r="DX2160" s="1" t="s">
        <v>220</v>
      </c>
      <c r="EA2160" s="1" t="s">
        <v>230</v>
      </c>
      <c r="EE2160" s="1" t="s">
        <v>230</v>
      </c>
      <c r="EI2160" s="1" t="s">
        <v>230</v>
      </c>
      <c r="EL2160" s="1" t="s">
        <v>382</v>
      </c>
      <c r="EM2160" s="1" t="s">
        <v>319</v>
      </c>
      <c r="EN2160" s="1" t="s">
        <v>282</v>
      </c>
      <c r="EO2160" s="1" t="s">
        <v>234</v>
      </c>
      <c r="EP2160" s="1" t="s">
        <v>19349</v>
      </c>
      <c r="EQ2160" s="1" t="s">
        <v>236</v>
      </c>
      <c r="ER2160" s="1" t="s">
        <v>210</v>
      </c>
      <c r="ET2160" s="1" t="s">
        <v>323</v>
      </c>
      <c r="EU2160" s="1" t="s">
        <v>1998</v>
      </c>
      <c r="EW2160" s="1" t="s">
        <v>19350</v>
      </c>
      <c r="EZ2160" s="1" t="s">
        <v>6008</v>
      </c>
      <c r="FA2160" s="1" t="s">
        <v>1726</v>
      </c>
      <c r="FD2160" s="1" t="s">
        <v>246</v>
      </c>
      <c r="FE2160" s="1" t="s">
        <v>14877</v>
      </c>
      <c r="FF2160" s="1" t="s">
        <v>248</v>
      </c>
      <c r="FG2160" s="1" t="s">
        <v>912</v>
      </c>
      <c r="FH2160" s="1" t="s">
        <v>2221</v>
      </c>
      <c r="FI2160" s="1" t="s">
        <v>473</v>
      </c>
      <c r="FL2160" s="1" t="s">
        <v>358</v>
      </c>
      <c r="FM2160" s="1" t="s">
        <v>252</v>
      </c>
      <c r="FN2160" s="1" t="s">
        <v>213</v>
      </c>
      <c r="FO2160" s="1" t="s">
        <v>213</v>
      </c>
      <c r="FQ2160" s="1" t="s">
        <v>1074</v>
      </c>
      <c r="FR2160" s="1" t="s">
        <v>210</v>
      </c>
      <c r="FS2160" s="1" t="s">
        <v>19351</v>
      </c>
      <c r="FT2160" s="1" t="s">
        <v>362</v>
      </c>
      <c r="FU2160" s="1" t="s">
        <v>204</v>
      </c>
      <c r="FW2160" s="1" t="s">
        <v>1077</v>
      </c>
      <c r="FX2160" s="1">
        <v>2752</v>
      </c>
      <c r="FY2160" s="1" t="s">
        <v>1078</v>
      </c>
      <c r="FZ2160" s="1" t="s">
        <v>19352</v>
      </c>
      <c r="GA2160" s="1">
        <v>19195</v>
      </c>
      <c r="GB2160" s="1" t="s">
        <v>19353</v>
      </c>
      <c r="GD2160" s="1" t="s">
        <v>19354</v>
      </c>
      <c r="GE2160" s="1" t="s">
        <v>335</v>
      </c>
      <c r="GI2160" s="1" t="s">
        <v>213</v>
      </c>
      <c r="GJ2160" s="1" t="s">
        <v>260</v>
      </c>
      <c r="GK2160" s="1" t="s">
        <v>210</v>
      </c>
      <c r="GL2160" s="2">
        <v>42139</v>
      </c>
      <c r="GM2160" s="1" t="s">
        <v>19355</v>
      </c>
    </row>
    <row r="2161" spans="1:195">
      <c r="A2161" s="1">
        <v>91000</v>
      </c>
      <c r="B2161" s="1" t="s">
        <v>195</v>
      </c>
      <c r="C2161" s="1" t="str">
        <f>"08755686"</f>
        <v>08755686</v>
      </c>
      <c r="D2161" s="1" t="s">
        <v>196</v>
      </c>
      <c r="F2161" s="1" t="str">
        <f>"126"</f>
        <v>126</v>
      </c>
      <c r="G2161" s="2">
        <v>41929</v>
      </c>
      <c r="H2161" s="1">
        <v>105000</v>
      </c>
      <c r="I2161" s="1">
        <v>99900</v>
      </c>
      <c r="J2161" s="1">
        <v>91000</v>
      </c>
      <c r="K2161" s="2">
        <v>41929</v>
      </c>
      <c r="L2161" s="1">
        <v>171</v>
      </c>
      <c r="M2161" s="2">
        <v>42099</v>
      </c>
      <c r="N2161" s="1">
        <v>171</v>
      </c>
      <c r="O2161" s="2">
        <v>42099</v>
      </c>
      <c r="P2161" s="1">
        <v>90706</v>
      </c>
      <c r="Q2161" s="1" t="s">
        <v>197</v>
      </c>
      <c r="R2161" s="2">
        <v>42129</v>
      </c>
      <c r="S2161" s="1">
        <v>900951</v>
      </c>
      <c r="U2161" s="1">
        <v>130</v>
      </c>
      <c r="V2161" s="1" t="s">
        <v>3296</v>
      </c>
      <c r="W2161" s="1" t="s">
        <v>425</v>
      </c>
      <c r="X2161" s="1">
        <v>206</v>
      </c>
      <c r="Y2161" s="1">
        <v>27</v>
      </c>
      <c r="Z2161" s="1" t="s">
        <v>249</v>
      </c>
      <c r="AA2161" s="1" t="s">
        <v>3169</v>
      </c>
      <c r="AB2161" s="1">
        <v>60126</v>
      </c>
      <c r="AE2161" s="1" t="s">
        <v>19356</v>
      </c>
      <c r="AF2161" s="1">
        <v>1976</v>
      </c>
      <c r="AG2161" s="1" t="s">
        <v>213</v>
      </c>
      <c r="AH2161" s="1" t="s">
        <v>3172</v>
      </c>
      <c r="AI2161" s="1" t="s">
        <v>206</v>
      </c>
      <c r="AJ2161" s="1" t="s">
        <v>1233</v>
      </c>
      <c r="AL2161" s="1">
        <v>4</v>
      </c>
      <c r="AM2161" s="1">
        <v>2</v>
      </c>
      <c r="AN2161" s="1">
        <v>1</v>
      </c>
      <c r="AO2161" s="1">
        <v>0</v>
      </c>
      <c r="AP2161" s="1" t="s">
        <v>210</v>
      </c>
      <c r="AR2161" s="1" t="s">
        <v>210</v>
      </c>
      <c r="AS2161" s="1" t="s">
        <v>204</v>
      </c>
      <c r="AT2161" s="1" t="s">
        <v>375</v>
      </c>
      <c r="AU2161" s="1">
        <v>1</v>
      </c>
      <c r="AV2161" s="1">
        <v>1</v>
      </c>
      <c r="AW2161" s="1" t="s">
        <v>204</v>
      </c>
      <c r="AX2161" s="1" t="s">
        <v>212</v>
      </c>
      <c r="AZ2161" s="1">
        <v>2219</v>
      </c>
      <c r="BA2161" s="1">
        <v>2013</v>
      </c>
      <c r="BB2161" s="1" t="s">
        <v>210</v>
      </c>
      <c r="BE2161" s="1">
        <v>1000</v>
      </c>
      <c r="BF2161" s="1">
        <v>2</v>
      </c>
      <c r="BG2161" s="1">
        <v>0</v>
      </c>
      <c r="BJ2161" s="1">
        <v>100</v>
      </c>
      <c r="BL2161" s="1">
        <v>314</v>
      </c>
      <c r="BM2161" s="1" t="s">
        <v>204</v>
      </c>
      <c r="BN2161" s="1" t="s">
        <v>204</v>
      </c>
      <c r="BP2161" s="1" t="s">
        <v>204</v>
      </c>
      <c r="BR2161" s="1" t="str">
        <f>"0325118015"</f>
        <v>0325118015</v>
      </c>
      <c r="BT2161" s="1" t="s">
        <v>19357</v>
      </c>
      <c r="BX2161" s="1">
        <v>205</v>
      </c>
      <c r="BY2161" s="1">
        <v>205</v>
      </c>
      <c r="BZ2161" s="1">
        <v>205</v>
      </c>
      <c r="CB2161" s="1" t="str">
        <f t="shared" ref="CB2161:CC2161" si="1650">""</f>
        <v/>
      </c>
      <c r="CC2161" s="1" t="str">
        <f t="shared" si="1650"/>
        <v/>
      </c>
      <c r="CG2161" s="1" t="s">
        <v>4571</v>
      </c>
      <c r="CH2161" s="1" t="s">
        <v>277</v>
      </c>
      <c r="CK2161" s="1" t="s">
        <v>5898</v>
      </c>
      <c r="CL2161" s="1" t="s">
        <v>277</v>
      </c>
      <c r="CP2161" s="1" t="s">
        <v>224</v>
      </c>
      <c r="CS2161" s="1" t="s">
        <v>1358</v>
      </c>
      <c r="CT2161" s="1" t="s">
        <v>277</v>
      </c>
      <c r="CX2161" s="1" t="s">
        <v>224</v>
      </c>
      <c r="DB2161" s="1" t="s">
        <v>224</v>
      </c>
      <c r="DE2161" s="1" t="s">
        <v>407</v>
      </c>
      <c r="DF2161" s="1" t="s">
        <v>277</v>
      </c>
      <c r="DJ2161" s="1" t="s">
        <v>224</v>
      </c>
      <c r="DS2161" s="1" t="s">
        <v>230</v>
      </c>
      <c r="DW2161" s="1" t="s">
        <v>230</v>
      </c>
      <c r="EA2161" s="1" t="s">
        <v>230</v>
      </c>
      <c r="EE2161" s="1" t="s">
        <v>230</v>
      </c>
      <c r="EI2161" s="1" t="s">
        <v>230</v>
      </c>
      <c r="EL2161" s="1" t="s">
        <v>231</v>
      </c>
      <c r="EM2161" s="1" t="s">
        <v>232</v>
      </c>
      <c r="EN2161" s="1" t="s">
        <v>282</v>
      </c>
      <c r="EO2161" s="1" t="s">
        <v>234</v>
      </c>
      <c r="EP2161" s="1" t="s">
        <v>19358</v>
      </c>
      <c r="ER2161" s="1" t="s">
        <v>210</v>
      </c>
      <c r="EW2161" s="1" t="s">
        <v>3750</v>
      </c>
      <c r="EZ2161" s="1" t="s">
        <v>287</v>
      </c>
      <c r="FB2161" s="1" t="s">
        <v>289</v>
      </c>
      <c r="FD2161" s="1" t="s">
        <v>1112</v>
      </c>
      <c r="FE2161" s="1" t="s">
        <v>247</v>
      </c>
      <c r="FF2161" s="1" t="s">
        <v>248</v>
      </c>
      <c r="FH2161" s="1" t="s">
        <v>249</v>
      </c>
      <c r="FI2161" s="1" t="s">
        <v>250</v>
      </c>
      <c r="FK2161" s="1" t="s">
        <v>291</v>
      </c>
      <c r="FL2161" s="1" t="s">
        <v>414</v>
      </c>
      <c r="FM2161" s="1" t="s">
        <v>252</v>
      </c>
      <c r="FN2161" s="1" t="s">
        <v>213</v>
      </c>
      <c r="FO2161" s="1" t="s">
        <v>213</v>
      </c>
      <c r="FQ2161" s="1" t="s">
        <v>849</v>
      </c>
      <c r="FR2161" s="1" t="s">
        <v>210</v>
      </c>
      <c r="FS2161" s="1" t="s">
        <v>19359</v>
      </c>
      <c r="FT2161" s="1" t="s">
        <v>295</v>
      </c>
      <c r="FU2161" s="1" t="s">
        <v>204</v>
      </c>
      <c r="FW2161" s="1" t="s">
        <v>19360</v>
      </c>
      <c r="FX2161" s="1">
        <v>154</v>
      </c>
      <c r="FY2161" s="1" t="s">
        <v>19361</v>
      </c>
      <c r="FZ2161" s="1" t="s">
        <v>19362</v>
      </c>
      <c r="GA2161" s="1">
        <v>7217</v>
      </c>
      <c r="GB2161" s="1" t="s">
        <v>19363</v>
      </c>
      <c r="GE2161" s="1" t="s">
        <v>210</v>
      </c>
      <c r="GH2161" s="1" t="s">
        <v>800</v>
      </c>
      <c r="GI2161" s="1" t="s">
        <v>204</v>
      </c>
      <c r="GJ2161" s="1" t="s">
        <v>260</v>
      </c>
      <c r="GK2161" s="1" t="s">
        <v>210</v>
      </c>
      <c r="GL2161" s="2">
        <v>42135</v>
      </c>
      <c r="GM2161" s="1" t="s">
        <v>19364</v>
      </c>
    </row>
    <row r="2162" spans="1:195">
      <c r="A2162" s="1">
        <v>160000</v>
      </c>
      <c r="B2162" s="1" t="s">
        <v>195</v>
      </c>
      <c r="C2162" s="1" t="str">
        <f>"08754189"</f>
        <v>08754189</v>
      </c>
      <c r="D2162" s="1" t="s">
        <v>196</v>
      </c>
      <c r="F2162" s="1" t="str">
        <f>"188"</f>
        <v>188</v>
      </c>
      <c r="G2162" s="2">
        <v>41928</v>
      </c>
      <c r="H2162" s="1">
        <v>164900</v>
      </c>
      <c r="I2162" s="1">
        <v>164900</v>
      </c>
      <c r="J2162" s="1">
        <v>160000</v>
      </c>
      <c r="K2162" s="2">
        <v>41926</v>
      </c>
      <c r="L2162" s="1">
        <v>30</v>
      </c>
      <c r="M2162" s="2">
        <v>41955</v>
      </c>
      <c r="N2162" s="1">
        <v>30</v>
      </c>
      <c r="O2162" s="2">
        <v>41955</v>
      </c>
      <c r="P2162" s="1">
        <v>23591</v>
      </c>
      <c r="Q2162" s="1" t="s">
        <v>197</v>
      </c>
      <c r="R2162" s="2">
        <v>42009</v>
      </c>
      <c r="S2162" s="1">
        <v>245649</v>
      </c>
      <c r="T2162" s="1">
        <v>4000</v>
      </c>
      <c r="U2162" s="1">
        <v>364</v>
      </c>
      <c r="V2162" s="1" t="s">
        <v>19365</v>
      </c>
      <c r="W2162" s="1" t="s">
        <v>304</v>
      </c>
      <c r="X2162" s="1">
        <v>364</v>
      </c>
      <c r="Y2162" s="1">
        <v>4</v>
      </c>
      <c r="Z2162" s="1" t="s">
        <v>370</v>
      </c>
      <c r="AA2162" s="1" t="s">
        <v>1084</v>
      </c>
      <c r="AB2162" s="1">
        <v>60188</v>
      </c>
      <c r="AD2162" s="1" t="s">
        <v>1085</v>
      </c>
      <c r="AE2162" s="1" t="s">
        <v>19366</v>
      </c>
      <c r="AF2162" s="1">
        <v>1987</v>
      </c>
      <c r="AG2162" s="1" t="s">
        <v>204</v>
      </c>
      <c r="AH2162" s="1" t="s">
        <v>1087</v>
      </c>
      <c r="AI2162" s="1" t="s">
        <v>206</v>
      </c>
      <c r="AJ2162" s="1" t="s">
        <v>269</v>
      </c>
      <c r="AK2162" s="1" t="s">
        <v>19367</v>
      </c>
      <c r="AL2162" s="1">
        <v>6</v>
      </c>
      <c r="AM2162" s="1">
        <v>2</v>
      </c>
      <c r="AN2162" s="1">
        <v>2</v>
      </c>
      <c r="AO2162" s="1">
        <v>1</v>
      </c>
      <c r="AP2162" s="1" t="s">
        <v>209</v>
      </c>
      <c r="AQ2162" s="1">
        <v>1</v>
      </c>
      <c r="AR2162" s="1" t="s">
        <v>209</v>
      </c>
      <c r="AS2162" s="1" t="s">
        <v>204</v>
      </c>
      <c r="AT2162" s="1" t="s">
        <v>211</v>
      </c>
      <c r="AU2162" s="1">
        <v>1</v>
      </c>
      <c r="AW2162" s="1" t="s">
        <v>204</v>
      </c>
      <c r="AX2162" s="1" t="s">
        <v>212</v>
      </c>
      <c r="AZ2162" s="1">
        <v>3248</v>
      </c>
      <c r="BA2162" s="1">
        <v>2013</v>
      </c>
      <c r="BB2162" s="1" t="s">
        <v>405</v>
      </c>
      <c r="BE2162" s="1">
        <v>1243</v>
      </c>
      <c r="BF2162" s="1">
        <v>1</v>
      </c>
      <c r="BG2162" s="1">
        <v>0</v>
      </c>
      <c r="BL2162" s="1">
        <v>267</v>
      </c>
      <c r="BM2162" s="1" t="s">
        <v>204</v>
      </c>
      <c r="BN2162" s="1" t="s">
        <v>213</v>
      </c>
      <c r="BO2162" s="1">
        <v>100</v>
      </c>
      <c r="BP2162" s="1" t="s">
        <v>204</v>
      </c>
      <c r="BR2162" s="1" t="str">
        <f>"0219401060"</f>
        <v>0219401060</v>
      </c>
      <c r="BT2162" s="1" t="s">
        <v>19368</v>
      </c>
      <c r="BU2162" s="1" t="s">
        <v>1090</v>
      </c>
      <c r="BV2162" s="1" t="s">
        <v>1091</v>
      </c>
      <c r="BW2162" s="1" t="s">
        <v>1092</v>
      </c>
      <c r="BX2162" s="1">
        <v>93</v>
      </c>
      <c r="BY2162" s="1">
        <v>93</v>
      </c>
      <c r="BZ2162" s="1">
        <v>87</v>
      </c>
      <c r="CB2162" s="1" t="str">
        <f t="shared" ref="CB2162:CC2162" si="1651">""</f>
        <v/>
      </c>
      <c r="CC2162" s="1" t="str">
        <f t="shared" si="1651"/>
        <v/>
      </c>
      <c r="CG2162" s="1" t="s">
        <v>1155</v>
      </c>
      <c r="CH2162" s="1" t="s">
        <v>219</v>
      </c>
      <c r="CI2162" s="1" t="s">
        <v>438</v>
      </c>
      <c r="CJ2162" s="1" t="s">
        <v>252</v>
      </c>
      <c r="CK2162" s="1" t="s">
        <v>729</v>
      </c>
      <c r="CL2162" s="1" t="s">
        <v>277</v>
      </c>
      <c r="CM2162" s="1" t="s">
        <v>229</v>
      </c>
      <c r="CN2162" s="1" t="s">
        <v>252</v>
      </c>
      <c r="CO2162" s="1" t="s">
        <v>465</v>
      </c>
      <c r="CP2162" s="1" t="s">
        <v>219</v>
      </c>
      <c r="CQ2162" s="1" t="s">
        <v>438</v>
      </c>
      <c r="CR2162" s="1" t="s">
        <v>252</v>
      </c>
      <c r="CS2162" s="1" t="s">
        <v>346</v>
      </c>
      <c r="CT2162" s="1" t="s">
        <v>277</v>
      </c>
      <c r="CU2162" s="1" t="s">
        <v>229</v>
      </c>
      <c r="CV2162" s="1" t="s">
        <v>252</v>
      </c>
      <c r="CW2162" s="1" t="s">
        <v>757</v>
      </c>
      <c r="CX2162" s="1" t="s">
        <v>43</v>
      </c>
      <c r="CY2162" s="1" t="s">
        <v>220</v>
      </c>
      <c r="CZ2162" s="1" t="s">
        <v>252</v>
      </c>
      <c r="DB2162" s="1" t="s">
        <v>224</v>
      </c>
      <c r="DE2162" s="1" t="s">
        <v>346</v>
      </c>
      <c r="DF2162" s="1" t="s">
        <v>219</v>
      </c>
      <c r="DG2162" s="1" t="s">
        <v>226</v>
      </c>
      <c r="DH2162" s="1" t="s">
        <v>252</v>
      </c>
      <c r="DJ2162" s="1" t="s">
        <v>224</v>
      </c>
      <c r="DM2162" s="1" t="s">
        <v>1614</v>
      </c>
      <c r="DR2162" s="1" t="s">
        <v>861</v>
      </c>
      <c r="DS2162" s="1" t="s">
        <v>43</v>
      </c>
      <c r="DW2162" s="1" t="s">
        <v>230</v>
      </c>
      <c r="EA2162" s="1" t="s">
        <v>230</v>
      </c>
      <c r="EE2162" s="1" t="s">
        <v>230</v>
      </c>
      <c r="EI2162" s="1" t="s">
        <v>230</v>
      </c>
      <c r="EL2162" s="1" t="s">
        <v>542</v>
      </c>
      <c r="EM2162" s="1" t="s">
        <v>232</v>
      </c>
      <c r="EN2162" s="1" t="s">
        <v>282</v>
      </c>
      <c r="EO2162" s="1" t="s">
        <v>234</v>
      </c>
      <c r="EP2162" s="1" t="s">
        <v>19369</v>
      </c>
      <c r="EQ2162" s="1" t="s">
        <v>1094</v>
      </c>
      <c r="ER2162" s="1" t="s">
        <v>351</v>
      </c>
      <c r="EU2162" s="1" t="s">
        <v>1110</v>
      </c>
      <c r="EV2162" s="1" t="s">
        <v>352</v>
      </c>
      <c r="EW2162" s="1" t="s">
        <v>353</v>
      </c>
      <c r="EY2162" s="1" t="s">
        <v>242</v>
      </c>
      <c r="EZ2162" s="1" t="s">
        <v>1614</v>
      </c>
      <c r="FA2162" s="1" t="s">
        <v>354</v>
      </c>
      <c r="FB2162" s="1" t="s">
        <v>289</v>
      </c>
      <c r="FC2162" s="1" t="s">
        <v>1386</v>
      </c>
      <c r="FD2162" s="1" t="s">
        <v>495</v>
      </c>
      <c r="FE2162" s="1" t="s">
        <v>472</v>
      </c>
      <c r="FF2162" s="1" t="s">
        <v>1113</v>
      </c>
      <c r="FG2162" s="1" t="s">
        <v>2540</v>
      </c>
      <c r="FH2162" s="1" t="s">
        <v>550</v>
      </c>
      <c r="FI2162" s="1" t="s">
        <v>357</v>
      </c>
      <c r="FJ2162" s="1" t="s">
        <v>197</v>
      </c>
      <c r="FL2162" s="1" t="s">
        <v>358</v>
      </c>
      <c r="FM2162" s="1" t="s">
        <v>252</v>
      </c>
      <c r="FN2162" s="1" t="s">
        <v>213</v>
      </c>
      <c r="FO2162" s="1" t="s">
        <v>213</v>
      </c>
      <c r="FQ2162" s="1" t="s">
        <v>329</v>
      </c>
      <c r="FR2162" s="1" t="s">
        <v>210</v>
      </c>
      <c r="FS2162" s="1" t="s">
        <v>19370</v>
      </c>
      <c r="FT2162" s="1" t="s">
        <v>520</v>
      </c>
      <c r="FU2162" s="1" t="s">
        <v>204</v>
      </c>
      <c r="FW2162" s="1" t="s">
        <v>554</v>
      </c>
      <c r="FX2162" s="1">
        <v>25215</v>
      </c>
      <c r="FY2162" s="1" t="s">
        <v>1508</v>
      </c>
      <c r="FZ2162" s="1" t="s">
        <v>19371</v>
      </c>
      <c r="GA2162" s="1">
        <v>243820</v>
      </c>
      <c r="GB2162" s="1" t="s">
        <v>19372</v>
      </c>
      <c r="GE2162" s="1" t="s">
        <v>480</v>
      </c>
      <c r="GI2162" s="1" t="s">
        <v>213</v>
      </c>
      <c r="GJ2162" s="1" t="s">
        <v>260</v>
      </c>
      <c r="GK2162" s="1" t="s">
        <v>1413</v>
      </c>
      <c r="GL2162" s="2">
        <v>42009</v>
      </c>
      <c r="GM2162" s="1" t="s">
        <v>19373</v>
      </c>
    </row>
    <row r="2163" spans="1:195">
      <c r="A2163" s="1">
        <v>223500</v>
      </c>
      <c r="B2163" s="1" t="s">
        <v>195</v>
      </c>
      <c r="C2163" s="1" t="str">
        <f>"08757740"</f>
        <v>08757740</v>
      </c>
      <c r="D2163" s="1" t="s">
        <v>196</v>
      </c>
      <c r="F2163" s="1" t="str">
        <f>"190"</f>
        <v>190</v>
      </c>
      <c r="G2163" s="2">
        <v>41933</v>
      </c>
      <c r="H2163" s="1">
        <v>237000</v>
      </c>
      <c r="I2163" s="1">
        <v>229900</v>
      </c>
      <c r="J2163" s="1">
        <v>223500</v>
      </c>
      <c r="K2163" s="2">
        <v>41933</v>
      </c>
      <c r="L2163" s="1">
        <v>68</v>
      </c>
      <c r="M2163" s="2">
        <v>42000</v>
      </c>
      <c r="N2163" s="1">
        <v>68</v>
      </c>
      <c r="O2163" s="2">
        <v>42000</v>
      </c>
      <c r="P2163" s="1">
        <v>22039</v>
      </c>
      <c r="Q2163" s="1" t="s">
        <v>197</v>
      </c>
      <c r="R2163" s="2">
        <v>42039</v>
      </c>
      <c r="S2163" s="1">
        <v>221580</v>
      </c>
      <c r="U2163" s="1" t="s">
        <v>19374</v>
      </c>
      <c r="V2163" s="1" t="s">
        <v>19375</v>
      </c>
      <c r="W2163" s="1" t="s">
        <v>304</v>
      </c>
      <c r="Y2163" s="1">
        <v>6</v>
      </c>
      <c r="Z2163" s="1" t="s">
        <v>370</v>
      </c>
      <c r="AA2163" s="1" t="s">
        <v>1915</v>
      </c>
      <c r="AB2163" s="1">
        <v>60190</v>
      </c>
      <c r="AD2163" s="1" t="s">
        <v>19376</v>
      </c>
      <c r="AE2163" s="1" t="s">
        <v>19377</v>
      </c>
      <c r="AF2163" s="1">
        <v>2010</v>
      </c>
      <c r="AG2163" s="1" t="s">
        <v>204</v>
      </c>
      <c r="AH2163" s="1" t="s">
        <v>987</v>
      </c>
      <c r="AI2163" s="1" t="s">
        <v>206</v>
      </c>
      <c r="AJ2163" s="1" t="s">
        <v>987</v>
      </c>
      <c r="AK2163" s="1" t="s">
        <v>1233</v>
      </c>
      <c r="AL2163" s="1">
        <v>5</v>
      </c>
      <c r="AM2163" s="1">
        <v>2</v>
      </c>
      <c r="AN2163" s="1">
        <v>2</v>
      </c>
      <c r="AO2163" s="1">
        <v>1</v>
      </c>
      <c r="AP2163" s="1" t="s">
        <v>209</v>
      </c>
      <c r="AR2163" s="1" t="s">
        <v>210</v>
      </c>
      <c r="AS2163" s="1" t="s">
        <v>204</v>
      </c>
      <c r="AT2163" s="1" t="s">
        <v>211</v>
      </c>
      <c r="AU2163" s="1">
        <v>2</v>
      </c>
      <c r="AW2163" s="1" t="s">
        <v>204</v>
      </c>
      <c r="AX2163" s="1" t="s">
        <v>212</v>
      </c>
      <c r="AZ2163" s="1">
        <v>4090</v>
      </c>
      <c r="BA2163" s="1">
        <v>2013</v>
      </c>
      <c r="BE2163" s="1">
        <v>1579</v>
      </c>
      <c r="BF2163" s="1">
        <v>1</v>
      </c>
      <c r="BG2163" s="1">
        <v>0</v>
      </c>
      <c r="BL2163" s="1">
        <v>165</v>
      </c>
      <c r="BM2163" s="1" t="s">
        <v>213</v>
      </c>
      <c r="BN2163" s="1" t="s">
        <v>213</v>
      </c>
      <c r="BO2163" s="1">
        <v>999</v>
      </c>
      <c r="BP2163" s="1" t="s">
        <v>204</v>
      </c>
      <c r="BR2163" s="1" t="str">
        <f>"0411400101"</f>
        <v>0411400101</v>
      </c>
      <c r="BT2163" s="1" t="s">
        <v>19378</v>
      </c>
      <c r="BU2163" s="1" t="s">
        <v>3162</v>
      </c>
      <c r="BV2163" s="1" t="s">
        <v>3163</v>
      </c>
      <c r="BW2163" s="1" t="s">
        <v>1675</v>
      </c>
      <c r="BX2163" s="1">
        <v>34</v>
      </c>
      <c r="BY2163" s="1">
        <v>34</v>
      </c>
      <c r="BZ2163" s="1">
        <v>94</v>
      </c>
      <c r="CB2163" s="1" t="str">
        <f t="shared" ref="CB2163:CC2163" si="1652">""</f>
        <v/>
      </c>
      <c r="CC2163" s="1" t="str">
        <f t="shared" si="1652"/>
        <v/>
      </c>
      <c r="CG2163" s="1" t="s">
        <v>729</v>
      </c>
      <c r="CH2163" s="1" t="s">
        <v>219</v>
      </c>
      <c r="CI2163" s="1" t="s">
        <v>229</v>
      </c>
      <c r="CJ2163" s="1" t="s">
        <v>343</v>
      </c>
      <c r="CK2163" s="1" t="s">
        <v>861</v>
      </c>
      <c r="CL2163" s="1" t="s">
        <v>784</v>
      </c>
      <c r="CM2163" s="1" t="s">
        <v>229</v>
      </c>
      <c r="CP2163" s="1" t="s">
        <v>224</v>
      </c>
      <c r="CS2163" s="1" t="s">
        <v>757</v>
      </c>
      <c r="CT2163" s="1" t="s">
        <v>784</v>
      </c>
      <c r="CU2163" s="1" t="s">
        <v>229</v>
      </c>
      <c r="CX2163" s="1" t="s">
        <v>224</v>
      </c>
      <c r="DB2163" s="1" t="s">
        <v>224</v>
      </c>
      <c r="DE2163" s="1" t="s">
        <v>2170</v>
      </c>
      <c r="DF2163" s="1" t="s">
        <v>277</v>
      </c>
      <c r="DG2163" s="1" t="s">
        <v>229</v>
      </c>
      <c r="DJ2163" s="1" t="s">
        <v>224</v>
      </c>
      <c r="DM2163" s="1" t="s">
        <v>381</v>
      </c>
      <c r="DR2163" s="1" t="s">
        <v>281</v>
      </c>
      <c r="DS2163" s="1" t="s">
        <v>277</v>
      </c>
      <c r="DT2163" s="1" t="s">
        <v>229</v>
      </c>
      <c r="DW2163" s="1" t="s">
        <v>230</v>
      </c>
      <c r="EA2163" s="1" t="s">
        <v>230</v>
      </c>
      <c r="EE2163" s="1" t="s">
        <v>230</v>
      </c>
      <c r="EI2163" s="1" t="s">
        <v>230</v>
      </c>
      <c r="EL2163" s="1" t="s">
        <v>1549</v>
      </c>
      <c r="EM2163" s="1" t="s">
        <v>319</v>
      </c>
      <c r="EN2163" s="1" t="s">
        <v>282</v>
      </c>
      <c r="EO2163" s="1" t="s">
        <v>234</v>
      </c>
      <c r="EQ2163" s="1" t="s">
        <v>1551</v>
      </c>
      <c r="ER2163" s="1" t="s">
        <v>210</v>
      </c>
      <c r="ES2163" s="1" t="s">
        <v>3850</v>
      </c>
      <c r="ET2163" s="1" t="s">
        <v>842</v>
      </c>
      <c r="EU2163" s="1" t="s">
        <v>12778</v>
      </c>
      <c r="EW2163" s="1" t="s">
        <v>867</v>
      </c>
      <c r="EZ2163" s="1" t="s">
        <v>381</v>
      </c>
      <c r="FA2163" s="1" t="s">
        <v>1270</v>
      </c>
      <c r="FD2163" s="1" t="s">
        <v>246</v>
      </c>
      <c r="FE2163" s="1" t="s">
        <v>566</v>
      </c>
      <c r="FF2163" s="1" t="s">
        <v>248</v>
      </c>
      <c r="FH2163" s="1" t="s">
        <v>1428</v>
      </c>
      <c r="FI2163" s="1" t="s">
        <v>473</v>
      </c>
      <c r="FL2163" s="1" t="s">
        <v>358</v>
      </c>
      <c r="FM2163" s="1" t="s">
        <v>252</v>
      </c>
      <c r="FN2163" s="1" t="s">
        <v>213</v>
      </c>
      <c r="FO2163" s="1" t="s">
        <v>213</v>
      </c>
      <c r="FQ2163" s="1" t="s">
        <v>582</v>
      </c>
      <c r="FR2163" s="1" t="s">
        <v>210</v>
      </c>
      <c r="FS2163" s="1" t="s">
        <v>19379</v>
      </c>
      <c r="FT2163" s="1" t="s">
        <v>362</v>
      </c>
      <c r="FU2163" s="1" t="s">
        <v>204</v>
      </c>
      <c r="FW2163" s="1" t="s">
        <v>2144</v>
      </c>
      <c r="FX2163" s="1">
        <v>23163</v>
      </c>
      <c r="FY2163" s="1" t="s">
        <v>2145</v>
      </c>
      <c r="FZ2163" s="1" t="s">
        <v>19380</v>
      </c>
      <c r="GA2163" s="1">
        <v>259630</v>
      </c>
      <c r="GB2163" s="1" t="s">
        <v>2145</v>
      </c>
      <c r="GC2163" s="1">
        <v>254277</v>
      </c>
      <c r="GE2163" s="1" t="s">
        <v>480</v>
      </c>
      <c r="GI2163" s="1" t="s">
        <v>213</v>
      </c>
      <c r="GJ2163" s="1" t="s">
        <v>260</v>
      </c>
      <c r="GK2163" s="1" t="s">
        <v>210</v>
      </c>
      <c r="GL2163" s="2">
        <v>42039</v>
      </c>
      <c r="GM2163" s="1" t="s">
        <v>19381</v>
      </c>
    </row>
    <row r="2164" spans="1:195">
      <c r="A2164" s="1">
        <v>339000</v>
      </c>
      <c r="B2164" s="1" t="s">
        <v>195</v>
      </c>
      <c r="C2164" s="1" t="str">
        <f>"08755480"</f>
        <v>08755480</v>
      </c>
      <c r="D2164" s="1" t="s">
        <v>196</v>
      </c>
      <c r="F2164" s="1" t="str">
        <f>"515"</f>
        <v>515</v>
      </c>
      <c r="G2164" s="2">
        <v>41929</v>
      </c>
      <c r="H2164" s="1">
        <v>343900</v>
      </c>
      <c r="I2164" s="1">
        <v>343900</v>
      </c>
      <c r="J2164" s="1">
        <v>339000</v>
      </c>
      <c r="K2164" s="2">
        <v>41929</v>
      </c>
      <c r="L2164" s="1">
        <v>39</v>
      </c>
      <c r="M2164" s="2">
        <v>41967</v>
      </c>
      <c r="N2164" s="1">
        <v>39</v>
      </c>
      <c r="O2164" s="2">
        <v>41967</v>
      </c>
      <c r="P2164" s="1">
        <v>25088</v>
      </c>
      <c r="Q2164" s="1" t="s">
        <v>197</v>
      </c>
      <c r="R2164" s="2">
        <v>42013</v>
      </c>
      <c r="S2164" s="1">
        <v>259419</v>
      </c>
      <c r="U2164" s="1">
        <v>935</v>
      </c>
      <c r="V2164" s="1" t="s">
        <v>2756</v>
      </c>
      <c r="W2164" s="1" t="s">
        <v>425</v>
      </c>
      <c r="X2164" s="1">
        <v>302</v>
      </c>
      <c r="Y2164" s="1">
        <v>44</v>
      </c>
      <c r="Z2164" s="1" t="s">
        <v>249</v>
      </c>
      <c r="AA2164" s="1" t="s">
        <v>1294</v>
      </c>
      <c r="AB2164" s="1">
        <v>60515</v>
      </c>
      <c r="AD2164" s="1" t="s">
        <v>2757</v>
      </c>
      <c r="AE2164" s="1" t="s">
        <v>19382</v>
      </c>
      <c r="AF2164" s="1">
        <v>2008</v>
      </c>
      <c r="AG2164" s="1" t="s">
        <v>204</v>
      </c>
      <c r="AH2164" s="1" t="s">
        <v>903</v>
      </c>
      <c r="AI2164" s="1" t="s">
        <v>206</v>
      </c>
      <c r="AJ2164" s="1" t="s">
        <v>903</v>
      </c>
      <c r="AL2164" s="1">
        <v>6</v>
      </c>
      <c r="AM2164" s="1">
        <v>2</v>
      </c>
      <c r="AN2164" s="1">
        <v>2</v>
      </c>
      <c r="AO2164" s="1">
        <v>1</v>
      </c>
      <c r="AP2164" s="1" t="s">
        <v>209</v>
      </c>
      <c r="AR2164" s="1" t="s">
        <v>210</v>
      </c>
      <c r="AS2164" s="1" t="s">
        <v>204</v>
      </c>
      <c r="AT2164" s="1" t="s">
        <v>211</v>
      </c>
      <c r="AU2164" s="1">
        <v>1</v>
      </c>
      <c r="AW2164" s="1" t="s">
        <v>204</v>
      </c>
      <c r="AX2164" s="1" t="s">
        <v>212</v>
      </c>
      <c r="AZ2164" s="1">
        <v>7746</v>
      </c>
      <c r="BA2164" s="1">
        <v>2013</v>
      </c>
      <c r="BB2164" s="1" t="s">
        <v>405</v>
      </c>
      <c r="BE2164" s="1">
        <v>1512</v>
      </c>
      <c r="BF2164" s="1">
        <v>3</v>
      </c>
      <c r="BG2164" s="1">
        <v>0</v>
      </c>
      <c r="BL2164" s="1">
        <v>282</v>
      </c>
      <c r="BM2164" s="1" t="s">
        <v>204</v>
      </c>
      <c r="BN2164" s="1" t="s">
        <v>213</v>
      </c>
      <c r="BO2164" s="1">
        <v>70</v>
      </c>
      <c r="BP2164" s="1" t="s">
        <v>204</v>
      </c>
      <c r="BR2164" s="1" t="str">
        <f>"0908138022"</f>
        <v>0908138022</v>
      </c>
      <c r="BT2164" s="1" t="s">
        <v>19383</v>
      </c>
      <c r="BU2164" s="1" t="s">
        <v>2760</v>
      </c>
      <c r="BV2164" s="1" t="s">
        <v>2761</v>
      </c>
      <c r="BW2164" s="1" t="s">
        <v>2762</v>
      </c>
      <c r="BX2164" s="1">
        <v>58</v>
      </c>
      <c r="BY2164" s="1">
        <v>58</v>
      </c>
      <c r="BZ2164" s="1">
        <v>99</v>
      </c>
      <c r="CB2164" s="1" t="str">
        <f t="shared" ref="CB2164:CC2164" si="1653">"0"</f>
        <v>0</v>
      </c>
      <c r="CC2164" s="1" t="str">
        <f t="shared" si="1653"/>
        <v>0</v>
      </c>
      <c r="CD2164" s="1">
        <v>19</v>
      </c>
      <c r="CE2164" s="1">
        <v>5</v>
      </c>
      <c r="CG2164" s="1" t="s">
        <v>9164</v>
      </c>
      <c r="CH2164" s="1" t="s">
        <v>219</v>
      </c>
      <c r="CI2164" s="1" t="s">
        <v>438</v>
      </c>
      <c r="CJ2164" s="1" t="s">
        <v>343</v>
      </c>
      <c r="CK2164" s="1" t="s">
        <v>1004</v>
      </c>
      <c r="CL2164" s="1" t="s">
        <v>219</v>
      </c>
      <c r="CM2164" s="1" t="s">
        <v>220</v>
      </c>
      <c r="CN2164" s="1" t="s">
        <v>343</v>
      </c>
      <c r="CO2164" s="1" t="s">
        <v>629</v>
      </c>
      <c r="CP2164" s="1" t="s">
        <v>219</v>
      </c>
      <c r="CQ2164" s="1" t="s">
        <v>438</v>
      </c>
      <c r="CR2164" s="1" t="s">
        <v>343</v>
      </c>
      <c r="CS2164" s="1" t="s">
        <v>539</v>
      </c>
      <c r="CT2164" s="1" t="s">
        <v>219</v>
      </c>
      <c r="CU2164" s="1" t="s">
        <v>220</v>
      </c>
      <c r="CV2164" s="1" t="s">
        <v>343</v>
      </c>
      <c r="CX2164" s="1" t="s">
        <v>224</v>
      </c>
      <c r="DB2164" s="1" t="s">
        <v>224</v>
      </c>
      <c r="DE2164" s="1" t="s">
        <v>318</v>
      </c>
      <c r="DF2164" s="1" t="s">
        <v>219</v>
      </c>
      <c r="DG2164" s="1" t="s">
        <v>6120</v>
      </c>
      <c r="DJ2164" s="1" t="s">
        <v>224</v>
      </c>
      <c r="DM2164" s="1" t="s">
        <v>1005</v>
      </c>
      <c r="DR2164" s="1" t="s">
        <v>758</v>
      </c>
      <c r="DS2164" s="1" t="s">
        <v>219</v>
      </c>
      <c r="DT2164" s="1" t="s">
        <v>438</v>
      </c>
      <c r="DU2164" s="1" t="s">
        <v>343</v>
      </c>
      <c r="DW2164" s="1" t="s">
        <v>230</v>
      </c>
      <c r="EA2164" s="1" t="s">
        <v>230</v>
      </c>
      <c r="EE2164" s="1" t="s">
        <v>230</v>
      </c>
      <c r="EI2164" s="1" t="s">
        <v>230</v>
      </c>
      <c r="EL2164" s="1" t="s">
        <v>491</v>
      </c>
      <c r="EM2164" s="1" t="s">
        <v>319</v>
      </c>
      <c r="EN2164" s="1" t="s">
        <v>282</v>
      </c>
      <c r="EO2164" s="1" t="s">
        <v>840</v>
      </c>
      <c r="EP2164" s="1" t="s">
        <v>2764</v>
      </c>
      <c r="EQ2164" s="1" t="s">
        <v>236</v>
      </c>
      <c r="ER2164" s="1" t="s">
        <v>210</v>
      </c>
      <c r="ES2164" s="1" t="s">
        <v>493</v>
      </c>
      <c r="ET2164" s="1" t="s">
        <v>238</v>
      </c>
      <c r="EU2164" s="1" t="s">
        <v>712</v>
      </c>
      <c r="EV2164" s="1" t="s">
        <v>240</v>
      </c>
      <c r="EW2164" s="1" t="s">
        <v>2765</v>
      </c>
      <c r="EY2164" s="1" t="s">
        <v>790</v>
      </c>
      <c r="EZ2164" s="1" t="s">
        <v>1005</v>
      </c>
      <c r="FA2164" s="1" t="s">
        <v>2766</v>
      </c>
      <c r="FB2164" s="1" t="s">
        <v>289</v>
      </c>
      <c r="FC2164" s="1" t="s">
        <v>326</v>
      </c>
      <c r="FD2164" s="1" t="s">
        <v>290</v>
      </c>
      <c r="FE2164" s="1" t="s">
        <v>247</v>
      </c>
      <c r="FF2164" s="1" t="s">
        <v>248</v>
      </c>
      <c r="FH2164" s="1" t="s">
        <v>249</v>
      </c>
      <c r="FI2164" s="1" t="s">
        <v>4004</v>
      </c>
      <c r="FL2164" s="1" t="s">
        <v>1826</v>
      </c>
      <c r="FM2164" s="1" t="s">
        <v>252</v>
      </c>
      <c r="FN2164" s="1" t="s">
        <v>213</v>
      </c>
      <c r="FO2164" s="1" t="s">
        <v>213</v>
      </c>
      <c r="FQ2164" s="1" t="s">
        <v>569</v>
      </c>
      <c r="FR2164" s="1" t="s">
        <v>210</v>
      </c>
      <c r="FS2164" s="1" t="s">
        <v>19384</v>
      </c>
      <c r="FT2164" s="1" t="s">
        <v>362</v>
      </c>
      <c r="FU2164" s="1" t="s">
        <v>204</v>
      </c>
      <c r="FW2164" s="1" t="s">
        <v>1559</v>
      </c>
      <c r="FX2164" s="1">
        <v>10317</v>
      </c>
      <c r="FY2164" s="1" t="s">
        <v>7694</v>
      </c>
      <c r="FZ2164" s="1" t="s">
        <v>19385</v>
      </c>
      <c r="GA2164" s="1">
        <v>878304</v>
      </c>
      <c r="GB2164" s="1" t="s">
        <v>19386</v>
      </c>
      <c r="GD2164" s="1" t="s">
        <v>19387</v>
      </c>
      <c r="GE2164" s="1" t="s">
        <v>658</v>
      </c>
      <c r="GI2164" s="1" t="s">
        <v>213</v>
      </c>
      <c r="GJ2164" s="1" t="s">
        <v>260</v>
      </c>
      <c r="GK2164" s="1" t="s">
        <v>210</v>
      </c>
      <c r="GL2164" s="2">
        <v>42016</v>
      </c>
      <c r="GM2164" s="1" t="s">
        <v>19388</v>
      </c>
    </row>
    <row r="2165" spans="1:195">
      <c r="A2165" s="1">
        <v>134000</v>
      </c>
      <c r="B2165" s="1" t="s">
        <v>195</v>
      </c>
      <c r="C2165" s="1" t="str">
        <f>"08755089"</f>
        <v>08755089</v>
      </c>
      <c r="D2165" s="1" t="s">
        <v>196</v>
      </c>
      <c r="F2165" s="1" t="str">
        <f>"507"</f>
        <v>507</v>
      </c>
      <c r="G2165" s="2">
        <v>41929</v>
      </c>
      <c r="H2165" s="1">
        <v>140000</v>
      </c>
      <c r="I2165" s="1">
        <v>140000</v>
      </c>
      <c r="J2165" s="1">
        <v>134000</v>
      </c>
      <c r="K2165" s="2">
        <v>41929</v>
      </c>
      <c r="L2165" s="1">
        <v>32</v>
      </c>
      <c r="M2165" s="2">
        <v>41960</v>
      </c>
      <c r="N2165" s="1">
        <v>32</v>
      </c>
      <c r="O2165" s="2">
        <v>41960</v>
      </c>
      <c r="P2165" s="1">
        <v>21324</v>
      </c>
      <c r="Q2165" s="1" t="s">
        <v>197</v>
      </c>
      <c r="R2165" s="2">
        <v>41995</v>
      </c>
      <c r="S2165" s="1">
        <v>234231</v>
      </c>
      <c r="T2165" s="1">
        <v>4000</v>
      </c>
      <c r="U2165" s="1">
        <v>2224</v>
      </c>
      <c r="V2165" s="1" t="s">
        <v>19389</v>
      </c>
      <c r="W2165" s="1" t="s">
        <v>264</v>
      </c>
      <c r="X2165" s="1">
        <v>2224</v>
      </c>
      <c r="Y2165" s="1">
        <v>4</v>
      </c>
      <c r="Z2165" s="1" t="s">
        <v>370</v>
      </c>
      <c r="AA2165" s="1" t="s">
        <v>1123</v>
      </c>
      <c r="AB2165" s="1">
        <v>60503</v>
      </c>
      <c r="AD2165" s="1" t="s">
        <v>14384</v>
      </c>
      <c r="AE2165" s="1" t="s">
        <v>19390</v>
      </c>
      <c r="AF2165" s="1">
        <v>1999</v>
      </c>
      <c r="AG2165" s="1" t="s">
        <v>204</v>
      </c>
      <c r="AH2165" s="1" t="s">
        <v>1126</v>
      </c>
      <c r="AI2165" s="1" t="s">
        <v>1800</v>
      </c>
      <c r="AJ2165" s="1" t="s">
        <v>1801</v>
      </c>
      <c r="AL2165" s="1">
        <v>6</v>
      </c>
      <c r="AM2165" s="1">
        <v>2</v>
      </c>
      <c r="AN2165" s="1">
        <v>1</v>
      </c>
      <c r="AO2165" s="1">
        <v>1</v>
      </c>
      <c r="AP2165" s="1" t="s">
        <v>209</v>
      </c>
      <c r="AQ2165" s="1">
        <v>1</v>
      </c>
      <c r="AR2165" s="1" t="s">
        <v>1421</v>
      </c>
      <c r="AS2165" s="1" t="s">
        <v>204</v>
      </c>
      <c r="AT2165" s="1" t="s">
        <v>211</v>
      </c>
      <c r="AU2165" s="1">
        <v>2</v>
      </c>
      <c r="AW2165" s="1" t="s">
        <v>204</v>
      </c>
      <c r="AX2165" s="1" t="s">
        <v>212</v>
      </c>
      <c r="AZ2165" s="1">
        <v>3818.56</v>
      </c>
      <c r="BA2165" s="1">
        <v>2013</v>
      </c>
      <c r="BB2165" s="1" t="s">
        <v>210</v>
      </c>
      <c r="BC2165" s="1">
        <v>0</v>
      </c>
      <c r="BE2165" s="1">
        <v>1398</v>
      </c>
      <c r="BF2165" s="1">
        <v>1</v>
      </c>
      <c r="BG2165" s="1">
        <v>10</v>
      </c>
      <c r="BL2165" s="1">
        <v>213</v>
      </c>
      <c r="BM2165" s="1" t="s">
        <v>413</v>
      </c>
      <c r="BN2165" s="1" t="s">
        <v>213</v>
      </c>
      <c r="BO2165" s="1">
        <v>99</v>
      </c>
      <c r="BP2165" s="1" t="s">
        <v>204</v>
      </c>
      <c r="BR2165" s="1" t="str">
        <f>"01063020141003"</f>
        <v>01063020141003</v>
      </c>
      <c r="BT2165" s="1" t="s">
        <v>19391</v>
      </c>
      <c r="BU2165" s="1" t="s">
        <v>1400</v>
      </c>
      <c r="BV2165" s="1" t="s">
        <v>7954</v>
      </c>
      <c r="BW2165" s="1" t="s">
        <v>1401</v>
      </c>
      <c r="BX2165" s="1">
        <v>308</v>
      </c>
      <c r="BY2165" s="1">
        <v>308</v>
      </c>
      <c r="BZ2165" s="1">
        <v>308</v>
      </c>
      <c r="CB2165" s="1" t="str">
        <f t="shared" ref="CB2165:CC2165" si="1654">"0"</f>
        <v>0</v>
      </c>
      <c r="CC2165" s="1" t="str">
        <f t="shared" si="1654"/>
        <v>0</v>
      </c>
      <c r="CD2165" s="1">
        <v>32</v>
      </c>
      <c r="CE2165" s="1">
        <v>11</v>
      </c>
      <c r="CG2165" s="1" t="s">
        <v>602</v>
      </c>
      <c r="CH2165" s="1" t="s">
        <v>219</v>
      </c>
      <c r="CI2165" s="1" t="s">
        <v>220</v>
      </c>
      <c r="CJ2165" s="1" t="s">
        <v>343</v>
      </c>
      <c r="CK2165" s="1" t="s">
        <v>377</v>
      </c>
      <c r="CL2165" s="1" t="s">
        <v>277</v>
      </c>
      <c r="CM2165" s="1" t="s">
        <v>220</v>
      </c>
      <c r="CN2165" s="1" t="s">
        <v>343</v>
      </c>
      <c r="CO2165" s="1" t="s">
        <v>1297</v>
      </c>
      <c r="CP2165" s="1" t="s">
        <v>219</v>
      </c>
      <c r="CQ2165" s="1" t="s">
        <v>220</v>
      </c>
      <c r="CS2165" s="1" t="s">
        <v>602</v>
      </c>
      <c r="CT2165" s="1" t="s">
        <v>277</v>
      </c>
      <c r="CU2165" s="1" t="s">
        <v>220</v>
      </c>
      <c r="CV2165" s="1" t="s">
        <v>343</v>
      </c>
      <c r="CX2165" s="1" t="s">
        <v>224</v>
      </c>
      <c r="DB2165" s="1" t="s">
        <v>224</v>
      </c>
      <c r="DE2165" s="1" t="s">
        <v>223</v>
      </c>
      <c r="DF2165" s="1" t="s">
        <v>219</v>
      </c>
      <c r="DG2165" s="1" t="s">
        <v>226</v>
      </c>
      <c r="DH2165" s="1" t="s">
        <v>210</v>
      </c>
      <c r="DI2165" s="1" t="s">
        <v>221</v>
      </c>
      <c r="DJ2165" s="1" t="s">
        <v>822</v>
      </c>
      <c r="DK2165" s="1" t="s">
        <v>220</v>
      </c>
      <c r="DL2165" s="1" t="s">
        <v>343</v>
      </c>
      <c r="DS2165" s="1" t="s">
        <v>230</v>
      </c>
      <c r="DW2165" s="1" t="s">
        <v>230</v>
      </c>
      <c r="EA2165" s="1" t="s">
        <v>230</v>
      </c>
      <c r="EE2165" s="1" t="s">
        <v>230</v>
      </c>
      <c r="EI2165" s="1" t="s">
        <v>230</v>
      </c>
      <c r="EL2165" s="1" t="s">
        <v>466</v>
      </c>
      <c r="EM2165" s="1" t="s">
        <v>319</v>
      </c>
      <c r="EN2165" s="1" t="s">
        <v>282</v>
      </c>
      <c r="EO2165" s="1" t="s">
        <v>234</v>
      </c>
      <c r="EP2165" s="1" t="s">
        <v>650</v>
      </c>
      <c r="EQ2165" s="1" t="s">
        <v>492</v>
      </c>
      <c r="ER2165" s="1" t="s">
        <v>544</v>
      </c>
      <c r="ES2165" s="1" t="s">
        <v>493</v>
      </c>
      <c r="ET2165" s="1" t="s">
        <v>1404</v>
      </c>
      <c r="EU2165" s="1" t="s">
        <v>239</v>
      </c>
      <c r="EV2165" s="1" t="s">
        <v>324</v>
      </c>
      <c r="EW2165" s="1" t="s">
        <v>353</v>
      </c>
      <c r="EY2165" s="1" t="s">
        <v>242</v>
      </c>
      <c r="EZ2165" s="1" t="s">
        <v>287</v>
      </c>
      <c r="FA2165" s="1" t="s">
        <v>471</v>
      </c>
      <c r="FB2165" s="1" t="s">
        <v>289</v>
      </c>
      <c r="FC2165" s="1" t="s">
        <v>633</v>
      </c>
      <c r="FD2165" s="1" t="s">
        <v>246</v>
      </c>
      <c r="FE2165" s="1" t="s">
        <v>472</v>
      </c>
      <c r="FF2165" s="1" t="s">
        <v>248</v>
      </c>
      <c r="FG2165" s="1" t="s">
        <v>3933</v>
      </c>
      <c r="FH2165" s="1" t="s">
        <v>550</v>
      </c>
      <c r="FI2165" s="1" t="s">
        <v>357</v>
      </c>
      <c r="FL2165" s="1" t="s">
        <v>358</v>
      </c>
      <c r="FM2165" s="1" t="s">
        <v>252</v>
      </c>
      <c r="FN2165" s="1" t="s">
        <v>213</v>
      </c>
      <c r="FO2165" s="1" t="s">
        <v>213</v>
      </c>
      <c r="FQ2165" s="1" t="s">
        <v>12012</v>
      </c>
      <c r="FR2165" s="1" t="s">
        <v>210</v>
      </c>
      <c r="FS2165" s="1" t="s">
        <v>19392</v>
      </c>
      <c r="FT2165" s="1" t="s">
        <v>295</v>
      </c>
      <c r="FU2165" s="1" t="s">
        <v>204</v>
      </c>
      <c r="FW2165" s="1" t="s">
        <v>943</v>
      </c>
      <c r="FX2165" s="1">
        <v>23120</v>
      </c>
      <c r="FY2165" s="1" t="s">
        <v>944</v>
      </c>
      <c r="FZ2165" s="1" t="s">
        <v>19393</v>
      </c>
      <c r="GA2165" s="1">
        <v>216797</v>
      </c>
      <c r="GB2165" s="1" t="s">
        <v>19394</v>
      </c>
      <c r="GC2165" s="1">
        <v>217549</v>
      </c>
      <c r="GE2165" s="1" t="s">
        <v>210</v>
      </c>
      <c r="GI2165" s="1" t="s">
        <v>213</v>
      </c>
      <c r="GJ2165" s="1" t="s">
        <v>260</v>
      </c>
      <c r="GK2165" s="1" t="s">
        <v>210</v>
      </c>
      <c r="GL2165" s="2">
        <v>41995</v>
      </c>
      <c r="GM2165" s="1" t="s">
        <v>19395</v>
      </c>
    </row>
    <row r="2166" spans="1:195">
      <c r="A2166" s="1">
        <v>140000</v>
      </c>
      <c r="B2166" s="1" t="s">
        <v>195</v>
      </c>
      <c r="C2166" s="1" t="str">
        <f>"08754495"</f>
        <v>08754495</v>
      </c>
      <c r="D2166" s="1" t="s">
        <v>196</v>
      </c>
      <c r="F2166" s="1" t="str">
        <f>"635"</f>
        <v>635</v>
      </c>
      <c r="G2166" s="2">
        <v>41928</v>
      </c>
      <c r="H2166" s="1">
        <v>149900</v>
      </c>
      <c r="I2166" s="1">
        <v>149900</v>
      </c>
      <c r="J2166" s="1">
        <v>140000</v>
      </c>
      <c r="K2166" s="2">
        <v>41928</v>
      </c>
      <c r="L2166" s="1">
        <v>82</v>
      </c>
      <c r="M2166" s="2">
        <v>42009</v>
      </c>
      <c r="N2166" s="1">
        <v>82</v>
      </c>
      <c r="O2166" s="2">
        <v>42009</v>
      </c>
      <c r="P2166" s="1">
        <v>4088</v>
      </c>
      <c r="Q2166" s="1" t="s">
        <v>197</v>
      </c>
      <c r="R2166" s="2">
        <v>42054</v>
      </c>
      <c r="S2166" s="1">
        <v>37391</v>
      </c>
      <c r="U2166" s="1">
        <v>2805</v>
      </c>
      <c r="V2166" s="1" t="s">
        <v>19396</v>
      </c>
      <c r="W2166" s="1" t="s">
        <v>304</v>
      </c>
      <c r="X2166" s="1" t="s">
        <v>369</v>
      </c>
      <c r="Y2166" s="1">
        <v>5</v>
      </c>
      <c r="Z2166" s="1" t="s">
        <v>249</v>
      </c>
      <c r="AA2166" s="1" t="s">
        <v>2377</v>
      </c>
      <c r="AB2166" s="1">
        <v>60707</v>
      </c>
      <c r="AE2166" s="1" t="s">
        <v>19397</v>
      </c>
      <c r="AF2166" s="1">
        <v>2007</v>
      </c>
      <c r="AG2166" s="1" t="s">
        <v>204</v>
      </c>
      <c r="AH2166" s="1" t="s">
        <v>5686</v>
      </c>
      <c r="AI2166" s="1" t="s">
        <v>310</v>
      </c>
      <c r="AJ2166" s="1" t="s">
        <v>311</v>
      </c>
      <c r="AL2166" s="1">
        <v>4</v>
      </c>
      <c r="AM2166" s="1">
        <v>2</v>
      </c>
      <c r="AN2166" s="1">
        <v>2</v>
      </c>
      <c r="AO2166" s="1">
        <v>0</v>
      </c>
      <c r="AP2166" s="1" t="s">
        <v>209</v>
      </c>
      <c r="AR2166" s="1" t="s">
        <v>210</v>
      </c>
      <c r="AS2166" s="1" t="s">
        <v>204</v>
      </c>
      <c r="AT2166" s="1" t="s">
        <v>211</v>
      </c>
      <c r="AU2166" s="1">
        <v>1</v>
      </c>
      <c r="AW2166" s="1" t="s">
        <v>204</v>
      </c>
      <c r="AX2166" s="1" t="s">
        <v>270</v>
      </c>
      <c r="AZ2166" s="1">
        <v>4293.88</v>
      </c>
      <c r="BA2166" s="1">
        <v>2013</v>
      </c>
      <c r="BB2166" s="1" t="s">
        <v>405</v>
      </c>
      <c r="BE2166" s="1">
        <v>1050</v>
      </c>
      <c r="BF2166" s="1">
        <v>2</v>
      </c>
      <c r="BG2166" s="1">
        <v>0</v>
      </c>
      <c r="BL2166" s="1">
        <v>175</v>
      </c>
      <c r="BM2166" s="1" t="s">
        <v>204</v>
      </c>
      <c r="BN2166" s="1" t="s">
        <v>213</v>
      </c>
      <c r="BO2166" s="1">
        <v>25</v>
      </c>
      <c r="BP2166" s="1" t="s">
        <v>204</v>
      </c>
      <c r="BR2166" s="1" t="str">
        <f>"12252250421004"</f>
        <v>12252250421004</v>
      </c>
      <c r="BT2166" s="1" t="s">
        <v>19398</v>
      </c>
      <c r="BX2166" s="1">
        <v>401</v>
      </c>
      <c r="BY2166" s="1">
        <v>401</v>
      </c>
      <c r="BZ2166" s="1">
        <v>401</v>
      </c>
      <c r="CB2166" s="1" t="str">
        <f>"2800"</f>
        <v>2800</v>
      </c>
      <c r="CC2166" s="1" t="str">
        <f t="shared" ref="CC2166:CC2167" si="1655">"0"</f>
        <v>0</v>
      </c>
      <c r="CD2166" s="1">
        <v>7500</v>
      </c>
      <c r="CE2166" s="1">
        <v>0</v>
      </c>
      <c r="CG2166" s="1" t="s">
        <v>729</v>
      </c>
      <c r="CH2166" s="1" t="s">
        <v>219</v>
      </c>
      <c r="CK2166" s="1" t="s">
        <v>437</v>
      </c>
      <c r="CL2166" s="1" t="s">
        <v>219</v>
      </c>
      <c r="CP2166" s="1" t="s">
        <v>224</v>
      </c>
      <c r="CS2166" s="1" t="s">
        <v>465</v>
      </c>
      <c r="CT2166" s="1" t="s">
        <v>219</v>
      </c>
      <c r="CX2166" s="1" t="s">
        <v>224</v>
      </c>
      <c r="DB2166" s="1" t="s">
        <v>224</v>
      </c>
      <c r="DE2166" s="1" t="s">
        <v>3264</v>
      </c>
      <c r="DF2166" s="1" t="s">
        <v>219</v>
      </c>
      <c r="DJ2166" s="1" t="s">
        <v>224</v>
      </c>
      <c r="DS2166" s="1" t="s">
        <v>230</v>
      </c>
      <c r="DW2166" s="1" t="s">
        <v>230</v>
      </c>
      <c r="EA2166" s="1" t="s">
        <v>230</v>
      </c>
      <c r="EE2166" s="1" t="s">
        <v>230</v>
      </c>
      <c r="EI2166" s="1" t="s">
        <v>230</v>
      </c>
      <c r="EL2166" s="1" t="s">
        <v>491</v>
      </c>
      <c r="EM2166" s="1" t="s">
        <v>232</v>
      </c>
      <c r="EN2166" s="1" t="s">
        <v>282</v>
      </c>
      <c r="EO2166" s="1" t="s">
        <v>234</v>
      </c>
      <c r="EP2166" s="1" t="s">
        <v>1614</v>
      </c>
      <c r="EQ2166" s="1" t="s">
        <v>11636</v>
      </c>
      <c r="ER2166" s="1" t="s">
        <v>210</v>
      </c>
      <c r="EW2166" s="1" t="s">
        <v>1134</v>
      </c>
      <c r="EY2166" s="1" t="s">
        <v>441</v>
      </c>
      <c r="EZ2166" s="1" t="s">
        <v>287</v>
      </c>
      <c r="FA2166" s="1" t="s">
        <v>19399</v>
      </c>
      <c r="FD2166" s="1" t="s">
        <v>888</v>
      </c>
      <c r="FE2166" s="1" t="s">
        <v>247</v>
      </c>
      <c r="FF2166" s="1" t="s">
        <v>248</v>
      </c>
      <c r="FH2166" s="1" t="s">
        <v>249</v>
      </c>
      <c r="FL2166" s="1" t="s">
        <v>810</v>
      </c>
      <c r="FM2166" s="1" t="s">
        <v>252</v>
      </c>
      <c r="FN2166" s="1" t="s">
        <v>213</v>
      </c>
      <c r="FO2166" s="1" t="s">
        <v>213</v>
      </c>
      <c r="FQ2166" s="1" t="s">
        <v>1286</v>
      </c>
      <c r="FR2166" s="1" t="s">
        <v>210</v>
      </c>
      <c r="FS2166" s="1" t="s">
        <v>19400</v>
      </c>
      <c r="FT2166" s="1" t="s">
        <v>295</v>
      </c>
      <c r="FU2166" s="1" t="s">
        <v>204</v>
      </c>
      <c r="FW2166" s="1" t="s">
        <v>8192</v>
      </c>
      <c r="FX2166" s="1">
        <v>18080</v>
      </c>
      <c r="FY2166" s="1" t="s">
        <v>8193</v>
      </c>
      <c r="FZ2166" s="1" t="s">
        <v>19401</v>
      </c>
      <c r="GA2166" s="1">
        <v>165856</v>
      </c>
      <c r="GB2166" s="1" t="s">
        <v>19402</v>
      </c>
      <c r="GE2166" s="1" t="s">
        <v>210</v>
      </c>
      <c r="GH2166" s="1" t="s">
        <v>230</v>
      </c>
      <c r="GI2166" s="1" t="s">
        <v>213</v>
      </c>
      <c r="GJ2166" s="1" t="s">
        <v>260</v>
      </c>
      <c r="GK2166" s="1" t="s">
        <v>210</v>
      </c>
      <c r="GL2166" s="2">
        <v>42054</v>
      </c>
    </row>
    <row r="2167" spans="1:195">
      <c r="A2167" s="1">
        <v>93000</v>
      </c>
      <c r="B2167" s="1" t="s">
        <v>195</v>
      </c>
      <c r="C2167" s="1" t="str">
        <f>"08760988"</f>
        <v>08760988</v>
      </c>
      <c r="D2167" s="1" t="s">
        <v>196</v>
      </c>
      <c r="F2167" s="1" t="str">
        <f>"73"</f>
        <v>73</v>
      </c>
      <c r="G2167" s="2">
        <v>41936</v>
      </c>
      <c r="H2167" s="1">
        <v>97000</v>
      </c>
      <c r="I2167" s="1">
        <v>97000</v>
      </c>
      <c r="J2167" s="1">
        <v>93000</v>
      </c>
      <c r="K2167" s="2">
        <v>41936</v>
      </c>
      <c r="L2167" s="1">
        <v>14</v>
      </c>
      <c r="M2167" s="2">
        <v>41949</v>
      </c>
      <c r="N2167" s="1">
        <v>14</v>
      </c>
      <c r="O2167" s="2">
        <v>41949</v>
      </c>
      <c r="P2167" s="1">
        <v>2689</v>
      </c>
      <c r="Q2167" s="1" t="s">
        <v>423</v>
      </c>
      <c r="R2167" s="2">
        <v>42009</v>
      </c>
      <c r="S2167" s="1">
        <v>16132</v>
      </c>
      <c r="T2167" s="1">
        <v>2790</v>
      </c>
      <c r="U2167" s="1">
        <v>53</v>
      </c>
      <c r="V2167" s="1" t="s">
        <v>6088</v>
      </c>
      <c r="W2167" s="1" t="s">
        <v>264</v>
      </c>
      <c r="Y2167" s="1">
        <v>6</v>
      </c>
      <c r="Z2167" s="1" t="s">
        <v>370</v>
      </c>
      <c r="AA2167" s="1" t="s">
        <v>1259</v>
      </c>
      <c r="AB2167" s="1">
        <v>60073</v>
      </c>
      <c r="AE2167" s="1" t="s">
        <v>19403</v>
      </c>
      <c r="AF2167" s="1">
        <v>2002</v>
      </c>
      <c r="AG2167" s="1" t="s">
        <v>204</v>
      </c>
      <c r="AH2167" s="1" t="s">
        <v>1630</v>
      </c>
      <c r="AI2167" s="1" t="s">
        <v>509</v>
      </c>
      <c r="AJ2167" s="1" t="s">
        <v>1263</v>
      </c>
      <c r="AL2167" s="1">
        <v>7</v>
      </c>
      <c r="AM2167" s="1">
        <v>2</v>
      </c>
      <c r="AN2167" s="1">
        <v>2</v>
      </c>
      <c r="AO2167" s="1">
        <v>1</v>
      </c>
      <c r="AP2167" s="1" t="s">
        <v>209</v>
      </c>
      <c r="AQ2167" s="1">
        <v>1</v>
      </c>
      <c r="AR2167" s="1" t="s">
        <v>1421</v>
      </c>
      <c r="AS2167" s="1" t="s">
        <v>204</v>
      </c>
      <c r="AT2167" s="1" t="s">
        <v>211</v>
      </c>
      <c r="AU2167" s="1">
        <v>2</v>
      </c>
      <c r="AW2167" s="1" t="s">
        <v>204</v>
      </c>
      <c r="AX2167" s="1" t="s">
        <v>579</v>
      </c>
      <c r="AZ2167" s="1">
        <v>3695</v>
      </c>
      <c r="BA2167" s="1">
        <v>2012</v>
      </c>
      <c r="BE2167" s="1">
        <v>1472</v>
      </c>
      <c r="BF2167" s="1">
        <v>1</v>
      </c>
      <c r="BG2167" s="1">
        <v>0</v>
      </c>
      <c r="BL2167" s="1">
        <v>205</v>
      </c>
      <c r="BM2167" s="1" t="s">
        <v>204</v>
      </c>
      <c r="BN2167" s="1" t="s">
        <v>213</v>
      </c>
      <c r="BO2167" s="1">
        <v>20</v>
      </c>
      <c r="BP2167" s="1" t="s">
        <v>204</v>
      </c>
      <c r="BR2167" s="1" t="str">
        <f>"06282060590000"</f>
        <v>06282060590000</v>
      </c>
      <c r="BT2167" s="1" t="s">
        <v>19404</v>
      </c>
      <c r="BX2167" s="1">
        <v>116</v>
      </c>
      <c r="BY2167" s="1">
        <v>116</v>
      </c>
      <c r="BZ2167" s="1">
        <v>116</v>
      </c>
      <c r="CB2167" s="1" t="str">
        <f>"33"</f>
        <v>33</v>
      </c>
      <c r="CC2167" s="1" t="str">
        <f t="shared" si="1655"/>
        <v>0</v>
      </c>
      <c r="CD2167" s="1">
        <v>22</v>
      </c>
      <c r="CE2167" s="1">
        <v>0</v>
      </c>
      <c r="CG2167" s="1" t="s">
        <v>221</v>
      </c>
      <c r="CH2167" s="1" t="s">
        <v>219</v>
      </c>
      <c r="CK2167" s="1" t="s">
        <v>1045</v>
      </c>
      <c r="CL2167" s="1" t="s">
        <v>277</v>
      </c>
      <c r="CO2167" s="1" t="s">
        <v>604</v>
      </c>
      <c r="CP2167" s="1" t="s">
        <v>219</v>
      </c>
      <c r="CS2167" s="1" t="s">
        <v>687</v>
      </c>
      <c r="CT2167" s="1" t="s">
        <v>277</v>
      </c>
      <c r="CX2167" s="1" t="s">
        <v>224</v>
      </c>
      <c r="DB2167" s="1" t="s">
        <v>224</v>
      </c>
      <c r="DE2167" s="1" t="s">
        <v>708</v>
      </c>
      <c r="DF2167" s="1" t="s">
        <v>219</v>
      </c>
      <c r="DI2167" s="1" t="s">
        <v>228</v>
      </c>
      <c r="DJ2167" s="1" t="s">
        <v>822</v>
      </c>
      <c r="DM2167" s="1" t="s">
        <v>464</v>
      </c>
      <c r="DR2167" s="1" t="s">
        <v>379</v>
      </c>
      <c r="DS2167" s="1" t="s">
        <v>277</v>
      </c>
      <c r="DU2167" s="1" t="s">
        <v>210</v>
      </c>
      <c r="DW2167" s="1" t="s">
        <v>230</v>
      </c>
      <c r="EA2167" s="1" t="s">
        <v>230</v>
      </c>
      <c r="EE2167" s="1" t="s">
        <v>230</v>
      </c>
      <c r="EI2167" s="1" t="s">
        <v>230</v>
      </c>
      <c r="EL2167" s="1" t="s">
        <v>466</v>
      </c>
      <c r="EM2167" s="1" t="s">
        <v>319</v>
      </c>
      <c r="EN2167" s="1" t="s">
        <v>282</v>
      </c>
      <c r="EO2167" s="1" t="s">
        <v>234</v>
      </c>
      <c r="EP2167" s="1" t="s">
        <v>2643</v>
      </c>
      <c r="ER2167" s="1" t="s">
        <v>544</v>
      </c>
      <c r="ES2167" s="1" t="s">
        <v>3850</v>
      </c>
      <c r="ET2167" s="1" t="s">
        <v>323</v>
      </c>
      <c r="EV2167" s="1" t="s">
        <v>240</v>
      </c>
      <c r="EW2167" s="1" t="s">
        <v>1134</v>
      </c>
      <c r="EY2167" s="1" t="s">
        <v>441</v>
      </c>
      <c r="EZ2167" s="1" t="s">
        <v>464</v>
      </c>
      <c r="FB2167" s="1" t="s">
        <v>289</v>
      </c>
      <c r="FD2167" s="1" t="s">
        <v>246</v>
      </c>
      <c r="FE2167" s="1" t="s">
        <v>1031</v>
      </c>
      <c r="FF2167" s="1" t="s">
        <v>248</v>
      </c>
      <c r="FH2167" s="1" t="s">
        <v>1428</v>
      </c>
      <c r="FL2167" s="1" t="s">
        <v>358</v>
      </c>
      <c r="FM2167" s="1" t="s">
        <v>252</v>
      </c>
      <c r="FN2167" s="1" t="s">
        <v>213</v>
      </c>
      <c r="FO2167" s="1" t="s">
        <v>213</v>
      </c>
      <c r="FQ2167" s="1" t="s">
        <v>582</v>
      </c>
      <c r="FR2167" s="1" t="s">
        <v>210</v>
      </c>
      <c r="FS2167" s="1" t="s">
        <v>1429</v>
      </c>
      <c r="FT2167" s="1" t="s">
        <v>654</v>
      </c>
      <c r="FU2167" s="1" t="s">
        <v>204</v>
      </c>
      <c r="FW2167" s="1" t="s">
        <v>4465</v>
      </c>
      <c r="FX2167" s="1">
        <v>2414</v>
      </c>
      <c r="FY2167" s="1" t="s">
        <v>4466</v>
      </c>
      <c r="FZ2167" s="1" t="s">
        <v>9669</v>
      </c>
      <c r="GA2167" s="1">
        <v>16879</v>
      </c>
      <c r="GB2167" s="1" t="s">
        <v>9670</v>
      </c>
      <c r="GC2167" s="1">
        <v>16510</v>
      </c>
      <c r="GE2167" s="1" t="s">
        <v>210</v>
      </c>
      <c r="GH2167" s="1" t="s">
        <v>589</v>
      </c>
      <c r="GI2167" s="1" t="s">
        <v>213</v>
      </c>
      <c r="GJ2167" s="1" t="s">
        <v>260</v>
      </c>
      <c r="GK2167" s="1" t="s">
        <v>210</v>
      </c>
      <c r="GL2167" s="2">
        <v>42009</v>
      </c>
      <c r="GM2167" s="1" t="s">
        <v>18852</v>
      </c>
    </row>
    <row r="2168" spans="1:195">
      <c r="A2168" s="1">
        <v>165000</v>
      </c>
      <c r="B2168" s="1" t="s">
        <v>195</v>
      </c>
      <c r="C2168" s="1" t="str">
        <f>"08756005"</f>
        <v>08756005</v>
      </c>
      <c r="D2168" s="1" t="s">
        <v>196</v>
      </c>
      <c r="F2168" s="1" t="str">
        <f t="shared" ref="F2168:F2170" si="1656">"540"</f>
        <v>540</v>
      </c>
      <c r="G2168" s="2">
        <v>41929</v>
      </c>
      <c r="H2168" s="1">
        <v>169000</v>
      </c>
      <c r="I2168" s="1">
        <v>169000</v>
      </c>
      <c r="J2168" s="1">
        <v>165000</v>
      </c>
      <c r="K2168" s="2">
        <v>41928</v>
      </c>
      <c r="L2168" s="1">
        <v>8</v>
      </c>
      <c r="M2168" s="2">
        <v>41935</v>
      </c>
      <c r="N2168" s="1">
        <v>8</v>
      </c>
      <c r="O2168" s="2">
        <v>41935</v>
      </c>
      <c r="P2168" s="1">
        <v>23312</v>
      </c>
      <c r="Q2168" s="1" t="s">
        <v>197</v>
      </c>
      <c r="R2168" s="2">
        <v>41974</v>
      </c>
      <c r="S2168" s="1">
        <v>227796</v>
      </c>
      <c r="U2168" s="1">
        <v>2945</v>
      </c>
      <c r="V2168" s="1" t="s">
        <v>16053</v>
      </c>
      <c r="W2168" s="1" t="s">
        <v>304</v>
      </c>
      <c r="X2168" s="1">
        <v>2945</v>
      </c>
      <c r="Y2168" s="1">
        <v>4</v>
      </c>
      <c r="Z2168" s="1" t="s">
        <v>249</v>
      </c>
      <c r="AA2168" s="1" t="s">
        <v>921</v>
      </c>
      <c r="AB2168" s="1">
        <v>60564</v>
      </c>
      <c r="AD2168" s="1" t="s">
        <v>7504</v>
      </c>
      <c r="AE2168" s="1" t="s">
        <v>16054</v>
      </c>
      <c r="AF2168" s="1">
        <v>1997</v>
      </c>
      <c r="AG2168" s="1" t="s">
        <v>204</v>
      </c>
      <c r="AH2168" s="1" t="s">
        <v>924</v>
      </c>
      <c r="AI2168" s="1" t="s">
        <v>206</v>
      </c>
      <c r="AJ2168" s="1" t="s">
        <v>924</v>
      </c>
      <c r="AL2168" s="1">
        <v>5</v>
      </c>
      <c r="AM2168" s="1">
        <v>2</v>
      </c>
      <c r="AN2168" s="1">
        <v>2</v>
      </c>
      <c r="AO2168" s="1">
        <v>0</v>
      </c>
      <c r="AP2168" s="1" t="s">
        <v>209</v>
      </c>
      <c r="AQ2168" s="1">
        <v>1</v>
      </c>
      <c r="AR2168" s="1" t="s">
        <v>210</v>
      </c>
      <c r="AS2168" s="1" t="s">
        <v>204</v>
      </c>
      <c r="AT2168" s="1" t="s">
        <v>211</v>
      </c>
      <c r="AU2168" s="1">
        <v>1</v>
      </c>
      <c r="AW2168" s="1" t="s">
        <v>204</v>
      </c>
      <c r="AX2168" s="1" t="s">
        <v>212</v>
      </c>
      <c r="AZ2168" s="1">
        <v>3723</v>
      </c>
      <c r="BA2168" s="1">
        <v>2013</v>
      </c>
      <c r="BB2168" s="1" t="s">
        <v>405</v>
      </c>
      <c r="BE2168" s="1">
        <v>1414</v>
      </c>
      <c r="BF2168" s="1">
        <v>2</v>
      </c>
      <c r="BG2168" s="1">
        <v>0</v>
      </c>
      <c r="BL2168" s="1">
        <v>171</v>
      </c>
      <c r="BM2168" s="1" t="s">
        <v>204</v>
      </c>
      <c r="BN2168" s="1" t="s">
        <v>213</v>
      </c>
      <c r="BO2168" s="1">
        <v>0</v>
      </c>
      <c r="BP2168" s="1" t="s">
        <v>204</v>
      </c>
      <c r="BR2168" s="1" t="str">
        <f>"0734314082"</f>
        <v>0734314082</v>
      </c>
      <c r="BT2168" s="1" t="s">
        <v>19405</v>
      </c>
      <c r="BU2168" s="1" t="s">
        <v>2216</v>
      </c>
      <c r="BV2168" s="1" t="s">
        <v>2217</v>
      </c>
      <c r="BW2168" s="1" t="s">
        <v>2218</v>
      </c>
      <c r="BX2168" s="1">
        <v>204</v>
      </c>
      <c r="BY2168" s="1">
        <v>204</v>
      </c>
      <c r="BZ2168" s="1">
        <v>204</v>
      </c>
      <c r="CB2168" s="1" t="str">
        <f t="shared" ref="CB2168:CC2168" si="1657">"0"</f>
        <v>0</v>
      </c>
      <c r="CC2168" s="1" t="str">
        <f t="shared" si="1657"/>
        <v>0</v>
      </c>
      <c r="CD2168" s="1">
        <v>29</v>
      </c>
      <c r="CE2168" s="1">
        <v>9</v>
      </c>
      <c r="CG2168" s="1" t="s">
        <v>9164</v>
      </c>
      <c r="CH2168" s="1" t="s">
        <v>277</v>
      </c>
      <c r="CI2168" s="1" t="s">
        <v>220</v>
      </c>
      <c r="CK2168" s="1" t="s">
        <v>669</v>
      </c>
      <c r="CL2168" s="1" t="s">
        <v>277</v>
      </c>
      <c r="CM2168" s="1" t="s">
        <v>220</v>
      </c>
      <c r="CO2168" s="1" t="s">
        <v>932</v>
      </c>
      <c r="CP2168" s="1" t="s">
        <v>277</v>
      </c>
      <c r="CQ2168" s="1" t="s">
        <v>220</v>
      </c>
      <c r="CS2168" s="1" t="s">
        <v>379</v>
      </c>
      <c r="CT2168" s="1" t="s">
        <v>277</v>
      </c>
      <c r="CU2168" s="1" t="s">
        <v>220</v>
      </c>
      <c r="CX2168" s="1" t="s">
        <v>224</v>
      </c>
      <c r="DB2168" s="1" t="s">
        <v>224</v>
      </c>
      <c r="DE2168" s="1" t="s">
        <v>344</v>
      </c>
      <c r="DF2168" s="1" t="s">
        <v>277</v>
      </c>
      <c r="DG2168" s="1" t="s">
        <v>438</v>
      </c>
      <c r="DJ2168" s="1" t="s">
        <v>224</v>
      </c>
      <c r="DS2168" s="1" t="s">
        <v>230</v>
      </c>
      <c r="DW2168" s="1" t="s">
        <v>230</v>
      </c>
      <c r="EA2168" s="1" t="s">
        <v>230</v>
      </c>
      <c r="EE2168" s="1" t="s">
        <v>230</v>
      </c>
      <c r="EI2168" s="1" t="s">
        <v>230</v>
      </c>
      <c r="EL2168" s="1" t="s">
        <v>670</v>
      </c>
      <c r="EM2168" s="1" t="s">
        <v>730</v>
      </c>
      <c r="EN2168" s="1" t="s">
        <v>282</v>
      </c>
      <c r="EO2168" s="1" t="s">
        <v>234</v>
      </c>
      <c r="EQ2168" s="1" t="s">
        <v>236</v>
      </c>
      <c r="ER2168" s="1" t="s">
        <v>210</v>
      </c>
      <c r="ES2168" s="1" t="s">
        <v>493</v>
      </c>
      <c r="EU2168" s="1" t="s">
        <v>239</v>
      </c>
      <c r="EV2168" s="1" t="s">
        <v>240</v>
      </c>
      <c r="EW2168" s="1" t="s">
        <v>1426</v>
      </c>
      <c r="EY2168" s="1" t="s">
        <v>242</v>
      </c>
      <c r="EZ2168" s="1" t="s">
        <v>287</v>
      </c>
      <c r="FB2168" s="1" t="s">
        <v>1505</v>
      </c>
      <c r="FD2168" s="1" t="s">
        <v>246</v>
      </c>
      <c r="FE2168" s="1" t="s">
        <v>975</v>
      </c>
      <c r="FF2168" s="1" t="s">
        <v>248</v>
      </c>
      <c r="FG2168" s="1" t="s">
        <v>939</v>
      </c>
      <c r="FH2168" s="1" t="s">
        <v>550</v>
      </c>
      <c r="FI2168" s="1" t="s">
        <v>357</v>
      </c>
      <c r="FL2168" s="1" t="s">
        <v>358</v>
      </c>
      <c r="FM2168" s="1" t="s">
        <v>252</v>
      </c>
      <c r="FN2168" s="1" t="s">
        <v>213</v>
      </c>
      <c r="FO2168" s="1" t="s">
        <v>213</v>
      </c>
      <c r="FQ2168" s="1" t="s">
        <v>793</v>
      </c>
      <c r="FR2168" s="1" t="s">
        <v>210</v>
      </c>
      <c r="FS2168" s="1" t="s">
        <v>19406</v>
      </c>
      <c r="FT2168" s="1" t="s">
        <v>19407</v>
      </c>
      <c r="FU2168" s="1" t="s">
        <v>204</v>
      </c>
      <c r="FW2168" s="1" t="s">
        <v>943</v>
      </c>
      <c r="FX2168" s="1">
        <v>23120</v>
      </c>
      <c r="FY2168" s="1" t="s">
        <v>944</v>
      </c>
      <c r="FZ2168" s="1" t="s">
        <v>19408</v>
      </c>
      <c r="GA2168" s="1">
        <v>228828</v>
      </c>
      <c r="GB2168" s="1" t="s">
        <v>19409</v>
      </c>
      <c r="GC2168" s="1">
        <v>225980</v>
      </c>
      <c r="GE2168" s="1" t="s">
        <v>480</v>
      </c>
      <c r="GI2168" s="1" t="s">
        <v>213</v>
      </c>
      <c r="GJ2168" s="1" t="s">
        <v>260</v>
      </c>
      <c r="GK2168" s="1" t="s">
        <v>210</v>
      </c>
      <c r="GL2168" s="2">
        <v>41974</v>
      </c>
      <c r="GM2168" s="1" t="s">
        <v>19410</v>
      </c>
    </row>
    <row r="2169" spans="1:195">
      <c r="A2169" s="1">
        <v>112000</v>
      </c>
      <c r="B2169" s="1" t="s">
        <v>195</v>
      </c>
      <c r="C2169" s="1" t="str">
        <f>"08753142"</f>
        <v>08753142</v>
      </c>
      <c r="D2169" s="1" t="s">
        <v>196</v>
      </c>
      <c r="F2169" s="1" t="str">
        <f t="shared" si="1656"/>
        <v>540</v>
      </c>
      <c r="G2169" s="2">
        <v>41926</v>
      </c>
      <c r="H2169" s="1">
        <v>123000</v>
      </c>
      <c r="I2169" s="1">
        <v>120000</v>
      </c>
      <c r="J2169" s="1">
        <v>112000</v>
      </c>
      <c r="K2169" s="2">
        <v>41926</v>
      </c>
      <c r="L2169" s="1">
        <v>108</v>
      </c>
      <c r="M2169" s="2">
        <v>42033</v>
      </c>
      <c r="N2169" s="1">
        <v>108</v>
      </c>
      <c r="O2169" s="2">
        <v>42033</v>
      </c>
      <c r="P2169" s="1">
        <v>24695</v>
      </c>
      <c r="Q2169" s="1" t="s">
        <v>197</v>
      </c>
      <c r="R2169" s="2">
        <v>42062</v>
      </c>
      <c r="S2169" s="1">
        <v>234453</v>
      </c>
      <c r="U2169" s="1">
        <v>1312</v>
      </c>
      <c r="V2169" s="1" t="s">
        <v>4310</v>
      </c>
      <c r="W2169" s="1" t="s">
        <v>1056</v>
      </c>
      <c r="X2169" s="1">
        <v>101</v>
      </c>
      <c r="Y2169" s="1">
        <v>8</v>
      </c>
      <c r="Z2169" s="1" t="s">
        <v>370</v>
      </c>
      <c r="AA2169" s="1" t="s">
        <v>921</v>
      </c>
      <c r="AB2169" s="1">
        <v>60563</v>
      </c>
      <c r="AD2169" s="1" t="s">
        <v>19411</v>
      </c>
      <c r="AE2169" s="1" t="s">
        <v>19412</v>
      </c>
      <c r="AF2169" s="1">
        <v>1985</v>
      </c>
      <c r="AG2169" s="1" t="s">
        <v>204</v>
      </c>
      <c r="AH2169" s="1" t="s">
        <v>924</v>
      </c>
      <c r="AI2169" s="1" t="s">
        <v>206</v>
      </c>
      <c r="AJ2169" s="1" t="s">
        <v>924</v>
      </c>
      <c r="AL2169" s="1">
        <v>5</v>
      </c>
      <c r="AM2169" s="1">
        <v>2</v>
      </c>
      <c r="AN2169" s="1">
        <v>2</v>
      </c>
      <c r="AO2169" s="1">
        <v>0</v>
      </c>
      <c r="AP2169" s="1" t="s">
        <v>209</v>
      </c>
      <c r="AR2169" s="1" t="s">
        <v>210</v>
      </c>
      <c r="AS2169" s="1" t="s">
        <v>204</v>
      </c>
      <c r="AT2169" s="1" t="s">
        <v>271</v>
      </c>
      <c r="AV2169" s="1">
        <v>1</v>
      </c>
      <c r="AW2169" s="1" t="s">
        <v>204</v>
      </c>
      <c r="AX2169" s="1" t="s">
        <v>212</v>
      </c>
      <c r="AZ2169" s="1">
        <v>1899</v>
      </c>
      <c r="BA2169" s="1">
        <v>2013</v>
      </c>
      <c r="BB2169" s="1" t="s">
        <v>405</v>
      </c>
      <c r="BE2169" s="1">
        <v>1000</v>
      </c>
      <c r="BF2169" s="1">
        <v>1</v>
      </c>
      <c r="BG2169" s="1">
        <v>0</v>
      </c>
      <c r="BL2169" s="1">
        <v>235</v>
      </c>
      <c r="BM2169" s="1" t="s">
        <v>204</v>
      </c>
      <c r="BN2169" s="1" t="s">
        <v>213</v>
      </c>
      <c r="BO2169" s="1">
        <v>100</v>
      </c>
      <c r="BP2169" s="1" t="s">
        <v>204</v>
      </c>
      <c r="BR2169" s="1" t="str">
        <f>"0710213233"</f>
        <v>0710213233</v>
      </c>
      <c r="BT2169" s="1" t="s">
        <v>19413</v>
      </c>
      <c r="BX2169" s="1">
        <v>204</v>
      </c>
      <c r="BY2169" s="1">
        <v>204</v>
      </c>
      <c r="BZ2169" s="1">
        <v>204</v>
      </c>
      <c r="CB2169" s="1" t="str">
        <f t="shared" ref="CB2169:CC2169" si="1658">""</f>
        <v/>
      </c>
      <c r="CC2169" s="1" t="str">
        <f t="shared" si="1658"/>
        <v/>
      </c>
      <c r="CG2169" s="1" t="s">
        <v>1045</v>
      </c>
      <c r="CH2169" s="1" t="s">
        <v>219</v>
      </c>
      <c r="CI2169" s="1" t="s">
        <v>438</v>
      </c>
      <c r="CJ2169" s="1" t="s">
        <v>252</v>
      </c>
      <c r="CK2169" s="1" t="s">
        <v>437</v>
      </c>
      <c r="CL2169" s="1" t="s">
        <v>219</v>
      </c>
      <c r="CM2169" s="1" t="s">
        <v>220</v>
      </c>
      <c r="CO2169" s="1" t="s">
        <v>379</v>
      </c>
      <c r="CP2169" s="1" t="s">
        <v>219</v>
      </c>
      <c r="CQ2169" s="1" t="s">
        <v>438</v>
      </c>
      <c r="CR2169" s="1" t="s">
        <v>252</v>
      </c>
      <c r="CS2169" s="1" t="s">
        <v>465</v>
      </c>
      <c r="CT2169" s="1" t="s">
        <v>219</v>
      </c>
      <c r="CU2169" s="1" t="s">
        <v>226</v>
      </c>
      <c r="CX2169" s="1" t="s">
        <v>224</v>
      </c>
      <c r="DB2169" s="1" t="s">
        <v>224</v>
      </c>
      <c r="DE2169" s="1" t="s">
        <v>540</v>
      </c>
      <c r="DF2169" s="1" t="s">
        <v>219</v>
      </c>
      <c r="DG2169" s="1" t="s">
        <v>226</v>
      </c>
      <c r="DH2169" s="1" t="s">
        <v>252</v>
      </c>
      <c r="DJ2169" s="1" t="s">
        <v>224</v>
      </c>
      <c r="DS2169" s="1" t="s">
        <v>230</v>
      </c>
      <c r="DW2169" s="1" t="s">
        <v>230</v>
      </c>
      <c r="EA2169" s="1" t="s">
        <v>230</v>
      </c>
      <c r="EE2169" s="1" t="s">
        <v>230</v>
      </c>
      <c r="EI2169" s="1" t="s">
        <v>230</v>
      </c>
      <c r="EL2169" s="1" t="s">
        <v>542</v>
      </c>
      <c r="EM2169" s="1" t="s">
        <v>232</v>
      </c>
      <c r="EN2169" s="1" t="s">
        <v>282</v>
      </c>
      <c r="EO2169" s="1" t="s">
        <v>234</v>
      </c>
      <c r="EP2169" s="1" t="s">
        <v>19414</v>
      </c>
      <c r="EQ2169" s="1" t="s">
        <v>236</v>
      </c>
      <c r="ER2169" s="1" t="s">
        <v>210</v>
      </c>
      <c r="ES2169" s="1" t="s">
        <v>322</v>
      </c>
      <c r="EU2169" s="1" t="s">
        <v>19415</v>
      </c>
      <c r="EW2169" s="1" t="s">
        <v>494</v>
      </c>
      <c r="EZ2169" s="1" t="s">
        <v>287</v>
      </c>
      <c r="FD2169" s="1" t="s">
        <v>3287</v>
      </c>
      <c r="FE2169" s="1" t="s">
        <v>975</v>
      </c>
      <c r="FF2169" s="1" t="s">
        <v>3574</v>
      </c>
      <c r="FH2169" s="1" t="s">
        <v>249</v>
      </c>
      <c r="FJ2169" s="1" t="s">
        <v>197</v>
      </c>
      <c r="FK2169" s="1" t="s">
        <v>291</v>
      </c>
      <c r="FL2169" s="1" t="s">
        <v>358</v>
      </c>
      <c r="FM2169" s="1" t="s">
        <v>252</v>
      </c>
      <c r="FN2169" s="1" t="s">
        <v>213</v>
      </c>
      <c r="FO2169" s="1" t="s">
        <v>213</v>
      </c>
      <c r="FQ2169" s="1" t="s">
        <v>2091</v>
      </c>
      <c r="FR2169" s="1" t="s">
        <v>210</v>
      </c>
      <c r="FS2169" s="1" t="s">
        <v>19416</v>
      </c>
      <c r="FT2169" s="1" t="s">
        <v>295</v>
      </c>
      <c r="FU2169" s="1" t="s">
        <v>204</v>
      </c>
      <c r="FW2169" s="1" t="s">
        <v>813</v>
      </c>
      <c r="FX2169" s="1">
        <v>23196</v>
      </c>
      <c r="FY2169" s="1" t="s">
        <v>14015</v>
      </c>
      <c r="FZ2169" s="1" t="s">
        <v>19417</v>
      </c>
      <c r="GA2169" s="1">
        <v>231054</v>
      </c>
      <c r="GB2169" s="1" t="s">
        <v>19418</v>
      </c>
      <c r="GE2169" s="1" t="s">
        <v>776</v>
      </c>
      <c r="GI2169" s="1" t="s">
        <v>213</v>
      </c>
      <c r="GJ2169" s="1" t="s">
        <v>260</v>
      </c>
      <c r="GK2169" s="1" t="s">
        <v>210</v>
      </c>
      <c r="GL2169" s="2">
        <v>42064</v>
      </c>
      <c r="GM2169" s="1" t="s">
        <v>19419</v>
      </c>
    </row>
    <row r="2170" spans="1:195">
      <c r="A2170" s="1">
        <v>166900</v>
      </c>
      <c r="B2170" s="1" t="s">
        <v>195</v>
      </c>
      <c r="C2170" s="1" t="str">
        <f>"08756159"</f>
        <v>08756159</v>
      </c>
      <c r="D2170" s="1" t="s">
        <v>196</v>
      </c>
      <c r="F2170" s="1" t="str">
        <f t="shared" si="1656"/>
        <v>540</v>
      </c>
      <c r="G2170" s="2">
        <v>41930</v>
      </c>
      <c r="H2170" s="1">
        <v>174500</v>
      </c>
      <c r="I2170" s="1">
        <v>174500</v>
      </c>
      <c r="J2170" s="1">
        <v>166900</v>
      </c>
      <c r="K2170" s="2">
        <v>41929</v>
      </c>
      <c r="L2170" s="1">
        <v>201</v>
      </c>
      <c r="M2170" s="2">
        <v>42027</v>
      </c>
      <c r="N2170" s="1">
        <v>99</v>
      </c>
      <c r="O2170" s="2">
        <v>42027</v>
      </c>
      <c r="P2170" s="1">
        <v>25778</v>
      </c>
      <c r="Q2170" s="1" t="s">
        <v>423</v>
      </c>
      <c r="R2170" s="2">
        <v>42062</v>
      </c>
      <c r="S2170" s="1">
        <v>240435</v>
      </c>
      <c r="U2170" s="1">
        <v>2319</v>
      </c>
      <c r="V2170" s="1" t="s">
        <v>4860</v>
      </c>
      <c r="W2170" s="1" t="s">
        <v>264</v>
      </c>
      <c r="Y2170" s="1">
        <v>6</v>
      </c>
      <c r="Z2170" s="1" t="s">
        <v>370</v>
      </c>
      <c r="AA2170" s="1" t="s">
        <v>921</v>
      </c>
      <c r="AB2170" s="1">
        <v>60564</v>
      </c>
      <c r="AD2170" s="1" t="s">
        <v>2213</v>
      </c>
      <c r="AE2170" s="1" t="s">
        <v>19420</v>
      </c>
      <c r="AF2170" s="1">
        <v>2003</v>
      </c>
      <c r="AG2170" s="1" t="s">
        <v>204</v>
      </c>
      <c r="AH2170" s="1" t="s">
        <v>924</v>
      </c>
      <c r="AI2170" s="1" t="s">
        <v>1800</v>
      </c>
      <c r="AJ2170" s="1" t="s">
        <v>17751</v>
      </c>
      <c r="AK2170" s="1" t="s">
        <v>6729</v>
      </c>
      <c r="AL2170" s="1">
        <v>5</v>
      </c>
      <c r="AM2170" s="1">
        <v>2</v>
      </c>
      <c r="AN2170" s="1">
        <v>1</v>
      </c>
      <c r="AO2170" s="1">
        <v>1</v>
      </c>
      <c r="AP2170" s="1" t="s">
        <v>210</v>
      </c>
      <c r="AR2170" s="1" t="s">
        <v>210</v>
      </c>
      <c r="AS2170" s="1" t="s">
        <v>204</v>
      </c>
      <c r="AT2170" s="1" t="s">
        <v>211</v>
      </c>
      <c r="AU2170" s="1">
        <v>1</v>
      </c>
      <c r="AW2170" s="1" t="s">
        <v>204</v>
      </c>
      <c r="AX2170" s="1" t="s">
        <v>212</v>
      </c>
      <c r="AZ2170" s="1">
        <v>3695.08</v>
      </c>
      <c r="BA2170" s="1">
        <v>2013</v>
      </c>
      <c r="BB2170" s="1" t="s">
        <v>210</v>
      </c>
      <c r="BE2170" s="1">
        <v>1271</v>
      </c>
      <c r="BF2170" s="1">
        <v>1</v>
      </c>
      <c r="BG2170" s="1">
        <v>0</v>
      </c>
      <c r="BL2170" s="1">
        <v>234</v>
      </c>
      <c r="BM2170" s="1" t="s">
        <v>204</v>
      </c>
      <c r="BN2170" s="1" t="s">
        <v>204</v>
      </c>
      <c r="BP2170" s="1" t="s">
        <v>204</v>
      </c>
      <c r="BR2170" s="1" t="str">
        <f>"01031160101003"</f>
        <v>01031160101003</v>
      </c>
      <c r="BT2170" s="1" t="s">
        <v>19421</v>
      </c>
      <c r="BU2170" s="1" t="s">
        <v>2216</v>
      </c>
      <c r="BV2170" s="1" t="s">
        <v>2217</v>
      </c>
      <c r="BW2170" s="1" t="s">
        <v>2218</v>
      </c>
      <c r="BX2170" s="1">
        <v>204</v>
      </c>
      <c r="BY2170" s="1">
        <v>204</v>
      </c>
      <c r="BZ2170" s="1">
        <v>204</v>
      </c>
      <c r="CB2170" s="1" t="str">
        <f t="shared" ref="CB2170:CC2170" si="1659">"0"</f>
        <v>0</v>
      </c>
      <c r="CC2170" s="1" t="str">
        <f t="shared" si="1659"/>
        <v>0</v>
      </c>
      <c r="CD2170" s="1">
        <v>29</v>
      </c>
      <c r="CE2170" s="1">
        <v>10</v>
      </c>
      <c r="CH2170" s="1" t="s">
        <v>224</v>
      </c>
      <c r="CK2170" s="1" t="s">
        <v>317</v>
      </c>
      <c r="CL2170" s="1" t="s">
        <v>277</v>
      </c>
      <c r="CM2170" s="1" t="s">
        <v>220</v>
      </c>
      <c r="CN2170" s="1" t="s">
        <v>343</v>
      </c>
      <c r="CO2170" s="1" t="s">
        <v>346</v>
      </c>
      <c r="CP2170" s="1" t="s">
        <v>219</v>
      </c>
      <c r="CQ2170" s="1" t="s">
        <v>229</v>
      </c>
      <c r="CR2170" s="1" t="s">
        <v>343</v>
      </c>
      <c r="CS2170" s="1" t="s">
        <v>318</v>
      </c>
      <c r="CT2170" s="1" t="s">
        <v>277</v>
      </c>
      <c r="CU2170" s="1" t="s">
        <v>220</v>
      </c>
      <c r="CV2170" s="1" t="s">
        <v>343</v>
      </c>
      <c r="CX2170" s="1" t="s">
        <v>224</v>
      </c>
      <c r="DB2170" s="1" t="s">
        <v>224</v>
      </c>
      <c r="DE2170" s="1" t="s">
        <v>2138</v>
      </c>
      <c r="DF2170" s="1" t="s">
        <v>219</v>
      </c>
      <c r="DG2170" s="1" t="s">
        <v>226</v>
      </c>
      <c r="DH2170" s="1" t="s">
        <v>210</v>
      </c>
      <c r="DI2170" s="1" t="s">
        <v>461</v>
      </c>
      <c r="DJ2170" s="1" t="s">
        <v>219</v>
      </c>
      <c r="DK2170" s="1" t="s">
        <v>229</v>
      </c>
      <c r="DL2170" s="1" t="s">
        <v>343</v>
      </c>
      <c r="DS2170" s="1" t="s">
        <v>230</v>
      </c>
      <c r="DW2170" s="1" t="s">
        <v>230</v>
      </c>
      <c r="EA2170" s="1" t="s">
        <v>230</v>
      </c>
      <c r="EE2170" s="1" t="s">
        <v>230</v>
      </c>
      <c r="EI2170" s="1" t="s">
        <v>230</v>
      </c>
      <c r="EL2170" s="1" t="s">
        <v>466</v>
      </c>
      <c r="EM2170" s="1" t="s">
        <v>232</v>
      </c>
      <c r="EN2170" s="1" t="s">
        <v>282</v>
      </c>
      <c r="EO2170" s="1" t="s">
        <v>234</v>
      </c>
      <c r="EQ2170" s="1" t="s">
        <v>953</v>
      </c>
      <c r="ER2170" s="1" t="s">
        <v>210</v>
      </c>
      <c r="ES2170" s="1" t="s">
        <v>545</v>
      </c>
      <c r="EV2170" s="1" t="s">
        <v>1553</v>
      </c>
      <c r="EW2170" s="1" t="s">
        <v>937</v>
      </c>
      <c r="EZ2170" s="1" t="s">
        <v>287</v>
      </c>
      <c r="FA2170" s="1" t="s">
        <v>471</v>
      </c>
      <c r="FB2170" s="1" t="s">
        <v>289</v>
      </c>
      <c r="FD2170" s="1" t="s">
        <v>1112</v>
      </c>
      <c r="FE2170" s="1" t="s">
        <v>355</v>
      </c>
      <c r="FF2170" s="1" t="s">
        <v>248</v>
      </c>
      <c r="FH2170" s="1" t="s">
        <v>550</v>
      </c>
      <c r="FL2170" s="1" t="s">
        <v>358</v>
      </c>
      <c r="FM2170" s="1" t="s">
        <v>252</v>
      </c>
      <c r="FN2170" s="1" t="s">
        <v>213</v>
      </c>
      <c r="FO2170" s="1" t="s">
        <v>213</v>
      </c>
      <c r="FQ2170" s="1" t="s">
        <v>1884</v>
      </c>
      <c r="FR2170" s="1" t="s">
        <v>210</v>
      </c>
      <c r="FS2170" s="1" t="s">
        <v>19422</v>
      </c>
      <c r="FT2170" s="1" t="s">
        <v>295</v>
      </c>
      <c r="FU2170" s="1" t="s">
        <v>204</v>
      </c>
      <c r="FW2170" s="1" t="s">
        <v>915</v>
      </c>
      <c r="FX2170" s="1">
        <v>23076</v>
      </c>
      <c r="FY2170" s="1" t="s">
        <v>1909</v>
      </c>
      <c r="FZ2170" s="1" t="s">
        <v>19423</v>
      </c>
      <c r="GA2170" s="1">
        <v>221292</v>
      </c>
      <c r="GB2170" s="1" t="s">
        <v>19424</v>
      </c>
      <c r="GC2170" s="1">
        <v>229806</v>
      </c>
      <c r="GE2170" s="1" t="s">
        <v>658</v>
      </c>
      <c r="GI2170" s="1" t="s">
        <v>213</v>
      </c>
      <c r="GJ2170" s="1" t="s">
        <v>260</v>
      </c>
      <c r="GK2170" s="1" t="s">
        <v>210</v>
      </c>
      <c r="GL2170" s="2">
        <v>42062</v>
      </c>
    </row>
    <row r="2171" spans="1:195">
      <c r="A2171" s="1">
        <v>35000</v>
      </c>
      <c r="B2171" s="1" t="s">
        <v>195</v>
      </c>
      <c r="C2171" s="1" t="str">
        <f>"08758529"</f>
        <v>08758529</v>
      </c>
      <c r="D2171" s="1" t="s">
        <v>196</v>
      </c>
      <c r="F2171" s="1" t="str">
        <f>"8040"</f>
        <v>8040</v>
      </c>
      <c r="G2171" s="2">
        <v>41933</v>
      </c>
      <c r="H2171" s="1">
        <v>50000</v>
      </c>
      <c r="I2171" s="1">
        <v>50000</v>
      </c>
      <c r="J2171" s="1">
        <v>35000</v>
      </c>
      <c r="K2171" s="2">
        <v>41930</v>
      </c>
      <c r="L2171" s="1">
        <v>323</v>
      </c>
      <c r="M2171" s="2">
        <v>42088</v>
      </c>
      <c r="N2171" s="1">
        <v>159</v>
      </c>
      <c r="O2171" s="2">
        <v>42088</v>
      </c>
      <c r="P2171" s="1">
        <v>84783</v>
      </c>
      <c r="Q2171" s="1" t="s">
        <v>302</v>
      </c>
      <c r="R2171" s="2">
        <v>42121</v>
      </c>
      <c r="S2171" s="1">
        <v>117004</v>
      </c>
      <c r="U2171" s="1">
        <v>5610</v>
      </c>
      <c r="V2171" s="1" t="s">
        <v>9213</v>
      </c>
      <c r="W2171" s="1" t="s">
        <v>425</v>
      </c>
      <c r="X2171" s="1" t="s">
        <v>19425</v>
      </c>
      <c r="Y2171" s="1">
        <v>8</v>
      </c>
      <c r="Z2171" s="1" t="s">
        <v>249</v>
      </c>
      <c r="AA2171" s="1" t="s">
        <v>400</v>
      </c>
      <c r="AB2171" s="1">
        <v>60637</v>
      </c>
      <c r="AE2171" s="1" t="s">
        <v>19426</v>
      </c>
      <c r="AF2171" s="1" t="s">
        <v>402</v>
      </c>
      <c r="AG2171" s="1" t="s">
        <v>213</v>
      </c>
      <c r="AH2171" s="1" t="s">
        <v>403</v>
      </c>
      <c r="AI2171" s="1" t="s">
        <v>310</v>
      </c>
      <c r="AJ2171" s="1" t="s">
        <v>404</v>
      </c>
      <c r="AK2171" s="1" t="s">
        <v>270</v>
      </c>
      <c r="AL2171" s="1">
        <v>4</v>
      </c>
      <c r="AM2171" s="1">
        <v>2</v>
      </c>
      <c r="AN2171" s="1">
        <v>2</v>
      </c>
      <c r="AO2171" s="1">
        <v>0</v>
      </c>
      <c r="AP2171" s="1" t="s">
        <v>209</v>
      </c>
      <c r="AQ2171" s="1">
        <v>1</v>
      </c>
      <c r="AR2171" s="1" t="s">
        <v>4448</v>
      </c>
      <c r="AS2171" s="1" t="s">
        <v>213</v>
      </c>
      <c r="AT2171" s="1" t="s">
        <v>271</v>
      </c>
      <c r="AV2171" s="1">
        <v>1</v>
      </c>
      <c r="AW2171" s="1" t="s">
        <v>204</v>
      </c>
      <c r="AX2171" s="1" t="s">
        <v>212</v>
      </c>
      <c r="AZ2171" s="1">
        <v>1432</v>
      </c>
      <c r="BA2171" s="1">
        <v>2013</v>
      </c>
      <c r="BE2171" s="1">
        <v>1300</v>
      </c>
      <c r="BF2171" s="1" t="s">
        <v>4806</v>
      </c>
      <c r="BG2171" s="1">
        <v>30</v>
      </c>
      <c r="BL2171" s="1">
        <v>95</v>
      </c>
      <c r="BM2171" s="1" t="s">
        <v>204</v>
      </c>
      <c r="BN2171" s="1" t="s">
        <v>213</v>
      </c>
      <c r="BO2171" s="1">
        <v>90</v>
      </c>
      <c r="BP2171" s="1" t="s">
        <v>204</v>
      </c>
      <c r="BR2171" s="1" t="str">
        <f>"20151100301001"</f>
        <v>20151100301001</v>
      </c>
      <c r="BT2171" s="1" t="s">
        <v>19427</v>
      </c>
      <c r="BX2171" s="1">
        <v>299</v>
      </c>
      <c r="BY2171" s="1">
        <v>299</v>
      </c>
      <c r="BZ2171" s="1">
        <v>299</v>
      </c>
      <c r="CB2171" s="1" t="str">
        <f t="shared" ref="CB2171:CB2173" si="1660">"0"</f>
        <v>0</v>
      </c>
      <c r="CC2171" s="1" t="str">
        <f>"300"</f>
        <v>300</v>
      </c>
      <c r="CD2171" s="1">
        <v>0</v>
      </c>
      <c r="CE2171" s="1">
        <v>5610</v>
      </c>
      <c r="CG2171" s="1" t="s">
        <v>315</v>
      </c>
      <c r="CH2171" s="1" t="s">
        <v>219</v>
      </c>
      <c r="CK2171" s="1" t="s">
        <v>1297</v>
      </c>
      <c r="CL2171" s="1" t="s">
        <v>219</v>
      </c>
      <c r="CP2171" s="1" t="s">
        <v>224</v>
      </c>
      <c r="CS2171" s="1" t="s">
        <v>1046</v>
      </c>
      <c r="CT2171" s="1" t="s">
        <v>219</v>
      </c>
      <c r="CX2171" s="1" t="s">
        <v>224</v>
      </c>
      <c r="DB2171" s="1" t="s">
        <v>224</v>
      </c>
      <c r="DE2171" s="1" t="s">
        <v>11021</v>
      </c>
      <c r="DF2171" s="1" t="s">
        <v>219</v>
      </c>
      <c r="DJ2171" s="1" t="s">
        <v>224</v>
      </c>
      <c r="DM2171" s="1" t="s">
        <v>1614</v>
      </c>
      <c r="DR2171" s="1" t="s">
        <v>409</v>
      </c>
      <c r="DS2171" s="1" t="s">
        <v>822</v>
      </c>
      <c r="DW2171" s="1" t="s">
        <v>230</v>
      </c>
      <c r="EA2171" s="1" t="s">
        <v>230</v>
      </c>
      <c r="EE2171" s="1" t="s">
        <v>230</v>
      </c>
      <c r="EI2171" s="1" t="s">
        <v>230</v>
      </c>
      <c r="EL2171" s="1" t="s">
        <v>413</v>
      </c>
      <c r="EM2171" s="1" t="s">
        <v>730</v>
      </c>
      <c r="EN2171" s="1" t="s">
        <v>282</v>
      </c>
      <c r="EO2171" s="1" t="s">
        <v>234</v>
      </c>
      <c r="EP2171" s="1" t="s">
        <v>13743</v>
      </c>
      <c r="EQ2171" s="1" t="s">
        <v>492</v>
      </c>
      <c r="ER2171" s="1" t="s">
        <v>347</v>
      </c>
      <c r="ES2171" s="1" t="s">
        <v>3850</v>
      </c>
      <c r="EU2171" s="1" t="s">
        <v>546</v>
      </c>
      <c r="EW2171" s="1" t="s">
        <v>384</v>
      </c>
      <c r="EY2171" s="1" t="s">
        <v>242</v>
      </c>
      <c r="EZ2171" s="1" t="s">
        <v>1614</v>
      </c>
      <c r="FA2171" s="1" t="s">
        <v>5302</v>
      </c>
      <c r="FC2171" s="1" t="s">
        <v>548</v>
      </c>
      <c r="FD2171" s="1" t="s">
        <v>246</v>
      </c>
      <c r="FE2171" s="1" t="s">
        <v>247</v>
      </c>
      <c r="FF2171" s="1" t="s">
        <v>248</v>
      </c>
      <c r="FH2171" s="1" t="s">
        <v>249</v>
      </c>
      <c r="FK2171" s="1" t="s">
        <v>291</v>
      </c>
      <c r="FL2171" s="1" t="s">
        <v>358</v>
      </c>
      <c r="FM2171" s="1" t="s">
        <v>252</v>
      </c>
      <c r="FN2171" s="1" t="s">
        <v>213</v>
      </c>
      <c r="FO2171" s="1" t="s">
        <v>213</v>
      </c>
      <c r="FQ2171" s="1" t="s">
        <v>849</v>
      </c>
      <c r="FR2171" s="1" t="s">
        <v>210</v>
      </c>
      <c r="FS2171" s="1" t="s">
        <v>19428</v>
      </c>
      <c r="FT2171" s="1" t="s">
        <v>255</v>
      </c>
      <c r="FU2171" s="1" t="s">
        <v>204</v>
      </c>
      <c r="FW2171" s="1" t="s">
        <v>1652</v>
      </c>
      <c r="FX2171" s="1">
        <v>84783</v>
      </c>
      <c r="FY2171" s="1" t="s">
        <v>15683</v>
      </c>
      <c r="FZ2171" s="1" t="s">
        <v>19429</v>
      </c>
      <c r="GA2171" s="1">
        <v>117004</v>
      </c>
      <c r="GB2171" s="1" t="s">
        <v>19430</v>
      </c>
      <c r="GE2171" s="1" t="s">
        <v>210</v>
      </c>
      <c r="GH2171" s="1" t="s">
        <v>421</v>
      </c>
      <c r="GI2171" s="1" t="s">
        <v>213</v>
      </c>
      <c r="GJ2171" s="1" t="s">
        <v>260</v>
      </c>
      <c r="GK2171" s="1" t="s">
        <v>210</v>
      </c>
      <c r="GL2171" s="2">
        <v>42129</v>
      </c>
      <c r="GM2171" s="1" t="s">
        <v>19431</v>
      </c>
    </row>
    <row r="2172" spans="1:195">
      <c r="A2172" s="1">
        <v>97650</v>
      </c>
      <c r="B2172" s="1" t="s">
        <v>195</v>
      </c>
      <c r="C2172" s="1" t="str">
        <f>"08757364"</f>
        <v>08757364</v>
      </c>
      <c r="D2172" s="1" t="s">
        <v>196</v>
      </c>
      <c r="F2172" s="1" t="str">
        <f>"507"</f>
        <v>507</v>
      </c>
      <c r="G2172" s="2">
        <v>41932</v>
      </c>
      <c r="H2172" s="1">
        <v>97650</v>
      </c>
      <c r="I2172" s="1">
        <v>97650</v>
      </c>
      <c r="J2172" s="1">
        <v>97650</v>
      </c>
      <c r="K2172" s="2">
        <v>41932</v>
      </c>
      <c r="L2172" s="1">
        <v>9</v>
      </c>
      <c r="M2172" s="2">
        <v>41940</v>
      </c>
      <c r="N2172" s="1">
        <v>9</v>
      </c>
      <c r="O2172" s="2">
        <v>41940</v>
      </c>
      <c r="P2172" s="1">
        <v>23076</v>
      </c>
      <c r="Q2172" s="1" t="s">
        <v>197</v>
      </c>
      <c r="R2172" s="2">
        <v>41974</v>
      </c>
      <c r="S2172" s="1">
        <v>234147</v>
      </c>
      <c r="T2172" s="1">
        <v>2000</v>
      </c>
      <c r="U2172" s="1">
        <v>363</v>
      </c>
      <c r="V2172" s="1" t="s">
        <v>5621</v>
      </c>
      <c r="W2172" s="1" t="s">
        <v>725</v>
      </c>
      <c r="X2172" s="1">
        <v>363</v>
      </c>
      <c r="Y2172" s="1">
        <v>4</v>
      </c>
      <c r="Z2172" s="1" t="s">
        <v>370</v>
      </c>
      <c r="AA2172" s="1" t="s">
        <v>1123</v>
      </c>
      <c r="AB2172" s="1">
        <v>60504</v>
      </c>
      <c r="AD2172" s="1" t="s">
        <v>15482</v>
      </c>
      <c r="AE2172" s="1" t="s">
        <v>19432</v>
      </c>
      <c r="AF2172" s="1">
        <v>1993</v>
      </c>
      <c r="AG2172" s="1" t="s">
        <v>204</v>
      </c>
      <c r="AH2172" s="1" t="s">
        <v>1126</v>
      </c>
      <c r="AI2172" s="1" t="s">
        <v>206</v>
      </c>
      <c r="AJ2172" s="1" t="s">
        <v>924</v>
      </c>
      <c r="AL2172" s="1">
        <v>5</v>
      </c>
      <c r="AM2172" s="1">
        <v>2</v>
      </c>
      <c r="AN2172" s="1">
        <v>1</v>
      </c>
      <c r="AO2172" s="1">
        <v>1</v>
      </c>
      <c r="AP2172" s="1" t="s">
        <v>210</v>
      </c>
      <c r="AR2172" s="1" t="s">
        <v>210</v>
      </c>
      <c r="AS2172" s="1" t="s">
        <v>204</v>
      </c>
      <c r="AT2172" s="1" t="s">
        <v>211</v>
      </c>
      <c r="AU2172" s="1">
        <v>1</v>
      </c>
      <c r="AW2172" s="1" t="s">
        <v>204</v>
      </c>
      <c r="AX2172" s="1" t="s">
        <v>212</v>
      </c>
      <c r="AZ2172" s="5">
        <v>1761.84</v>
      </c>
      <c r="BA2172" s="1">
        <v>2013</v>
      </c>
      <c r="BB2172" s="1" t="s">
        <v>405</v>
      </c>
      <c r="BE2172" s="1">
        <v>1052</v>
      </c>
      <c r="BF2172" s="1">
        <v>1</v>
      </c>
      <c r="BG2172" s="1">
        <v>7</v>
      </c>
      <c r="BL2172" s="1">
        <v>170</v>
      </c>
      <c r="BM2172" s="1" t="s">
        <v>204</v>
      </c>
      <c r="BN2172" s="1" t="s">
        <v>213</v>
      </c>
      <c r="BO2172" s="1">
        <v>999</v>
      </c>
      <c r="BP2172" s="1" t="s">
        <v>204</v>
      </c>
      <c r="BR2172" s="1" t="str">
        <f>"0721315047"</f>
        <v>0721315047</v>
      </c>
      <c r="BT2172" s="1" t="s">
        <v>19433</v>
      </c>
      <c r="BX2172" s="1">
        <v>204</v>
      </c>
      <c r="BY2172" s="1">
        <v>204</v>
      </c>
      <c r="BZ2172" s="1">
        <v>204</v>
      </c>
      <c r="CB2172" s="1" t="str">
        <f t="shared" si="1660"/>
        <v>0</v>
      </c>
      <c r="CC2172" s="1" t="str">
        <f t="shared" ref="CC2172:CC2173" si="1661">"0"</f>
        <v>0</v>
      </c>
      <c r="CD2172" s="1">
        <v>0</v>
      </c>
      <c r="CE2172" s="1">
        <v>0</v>
      </c>
      <c r="CG2172" s="1" t="s">
        <v>2402</v>
      </c>
      <c r="CH2172" s="1" t="s">
        <v>219</v>
      </c>
      <c r="CI2172" s="1" t="s">
        <v>229</v>
      </c>
      <c r="CK2172" s="1" t="s">
        <v>564</v>
      </c>
      <c r="CL2172" s="1" t="s">
        <v>277</v>
      </c>
      <c r="CM2172" s="1" t="s">
        <v>220</v>
      </c>
      <c r="CO2172" s="1" t="s">
        <v>629</v>
      </c>
      <c r="CP2172" s="1" t="s">
        <v>219</v>
      </c>
      <c r="CQ2172" s="1" t="s">
        <v>229</v>
      </c>
      <c r="CS2172" s="1" t="s">
        <v>378</v>
      </c>
      <c r="CT2172" s="1" t="s">
        <v>277</v>
      </c>
      <c r="CU2172" s="1" t="s">
        <v>220</v>
      </c>
      <c r="CX2172" s="1" t="s">
        <v>224</v>
      </c>
      <c r="DB2172" s="1" t="s">
        <v>224</v>
      </c>
      <c r="DE2172" s="1" t="s">
        <v>318</v>
      </c>
      <c r="DF2172" s="1" t="s">
        <v>219</v>
      </c>
      <c r="DG2172" s="1" t="s">
        <v>229</v>
      </c>
      <c r="DJ2172" s="1" t="s">
        <v>224</v>
      </c>
      <c r="DS2172" s="1" t="s">
        <v>230</v>
      </c>
      <c r="DW2172" s="1" t="s">
        <v>230</v>
      </c>
      <c r="EA2172" s="1" t="s">
        <v>230</v>
      </c>
      <c r="EE2172" s="1" t="s">
        <v>230</v>
      </c>
      <c r="EI2172" s="1" t="s">
        <v>230</v>
      </c>
      <c r="EL2172" s="1" t="s">
        <v>382</v>
      </c>
      <c r="EM2172" s="1" t="s">
        <v>319</v>
      </c>
      <c r="EN2172" s="1" t="s">
        <v>282</v>
      </c>
      <c r="EO2172" s="1" t="s">
        <v>234</v>
      </c>
      <c r="EQ2172" s="1" t="s">
        <v>284</v>
      </c>
      <c r="ER2172" s="1" t="s">
        <v>210</v>
      </c>
      <c r="EU2172" s="1" t="s">
        <v>239</v>
      </c>
      <c r="EV2172" s="1" t="s">
        <v>240</v>
      </c>
      <c r="EW2172" s="1" t="s">
        <v>353</v>
      </c>
      <c r="EY2172" s="1" t="s">
        <v>242</v>
      </c>
      <c r="EZ2172" s="1" t="s">
        <v>287</v>
      </c>
      <c r="FB2172" s="1" t="s">
        <v>289</v>
      </c>
      <c r="FD2172" s="1" t="s">
        <v>246</v>
      </c>
      <c r="FE2172" s="1" t="s">
        <v>472</v>
      </c>
      <c r="FF2172" s="1" t="s">
        <v>248</v>
      </c>
      <c r="FH2172" s="1" t="s">
        <v>550</v>
      </c>
      <c r="FL2172" s="1" t="s">
        <v>358</v>
      </c>
      <c r="FM2172" s="1" t="s">
        <v>252</v>
      </c>
      <c r="FN2172" s="1" t="s">
        <v>213</v>
      </c>
      <c r="FO2172" s="1" t="s">
        <v>213</v>
      </c>
      <c r="FQ2172" s="1" t="s">
        <v>569</v>
      </c>
      <c r="FR2172" s="1" t="s">
        <v>210</v>
      </c>
      <c r="FS2172" s="1" t="s">
        <v>19434</v>
      </c>
      <c r="FT2172" s="1" t="s">
        <v>362</v>
      </c>
      <c r="FU2172" s="1" t="s">
        <v>204</v>
      </c>
      <c r="FW2172" s="1" t="s">
        <v>1559</v>
      </c>
      <c r="FX2172" s="1">
        <v>23312</v>
      </c>
      <c r="FY2172" s="1" t="s">
        <v>3596</v>
      </c>
      <c r="FZ2172" s="1" t="s">
        <v>19435</v>
      </c>
      <c r="GA2172" s="1">
        <v>221415</v>
      </c>
      <c r="GB2172" s="1" t="s">
        <v>19436</v>
      </c>
      <c r="GD2172" s="1" t="s">
        <v>19437</v>
      </c>
      <c r="GE2172" s="1" t="s">
        <v>210</v>
      </c>
      <c r="GI2172" s="1" t="s">
        <v>213</v>
      </c>
      <c r="GJ2172" s="1" t="s">
        <v>260</v>
      </c>
      <c r="GK2172" s="1" t="s">
        <v>210</v>
      </c>
      <c r="GL2172" s="2">
        <v>41976</v>
      </c>
      <c r="GM2172" s="1" t="s">
        <v>19438</v>
      </c>
    </row>
    <row r="2173" spans="1:195">
      <c r="A2173" s="1">
        <v>207000</v>
      </c>
      <c r="B2173" s="1" t="s">
        <v>195</v>
      </c>
      <c r="C2173" s="1" t="str">
        <f>"08753146"</f>
        <v>08753146</v>
      </c>
      <c r="D2173" s="1" t="s">
        <v>196</v>
      </c>
      <c r="F2173" s="1" t="str">
        <f>"148"</f>
        <v>148</v>
      </c>
      <c r="G2173" s="2">
        <v>41926</v>
      </c>
      <c r="H2173" s="1">
        <v>219000</v>
      </c>
      <c r="I2173" s="1">
        <v>215000</v>
      </c>
      <c r="J2173" s="1">
        <v>207000</v>
      </c>
      <c r="K2173" s="2">
        <v>41926</v>
      </c>
      <c r="L2173" s="1">
        <v>25</v>
      </c>
      <c r="M2173" s="2">
        <v>41950</v>
      </c>
      <c r="N2173" s="1">
        <v>25</v>
      </c>
      <c r="O2173" s="2">
        <v>41950</v>
      </c>
      <c r="P2173" s="1">
        <v>25269</v>
      </c>
      <c r="Q2173" s="1" t="s">
        <v>197</v>
      </c>
      <c r="R2173" s="2">
        <v>41975</v>
      </c>
      <c r="S2173" s="1">
        <v>238312</v>
      </c>
      <c r="U2173" s="1">
        <v>138</v>
      </c>
      <c r="V2173" s="1" t="s">
        <v>8170</v>
      </c>
      <c r="W2173" s="1" t="s">
        <v>264</v>
      </c>
      <c r="X2173" s="1">
        <v>138</v>
      </c>
      <c r="Y2173" s="1">
        <v>6</v>
      </c>
      <c r="Z2173" s="1" t="s">
        <v>370</v>
      </c>
      <c r="AA2173" s="1" t="s">
        <v>1927</v>
      </c>
      <c r="AB2173" s="1">
        <v>60148</v>
      </c>
      <c r="AE2173" s="1" t="s">
        <v>19439</v>
      </c>
      <c r="AF2173" s="1">
        <v>1997</v>
      </c>
      <c r="AG2173" s="1" t="s">
        <v>204</v>
      </c>
      <c r="AH2173" s="1" t="s">
        <v>1930</v>
      </c>
      <c r="AI2173" s="1" t="s">
        <v>206</v>
      </c>
      <c r="AJ2173" s="1" t="s">
        <v>1608</v>
      </c>
      <c r="AL2173" s="1">
        <v>6</v>
      </c>
      <c r="AM2173" s="1">
        <v>2</v>
      </c>
      <c r="AN2173" s="1">
        <v>2</v>
      </c>
      <c r="AO2173" s="1">
        <v>1</v>
      </c>
      <c r="AP2173" s="1" t="s">
        <v>209</v>
      </c>
      <c r="AQ2173" s="1">
        <v>1</v>
      </c>
      <c r="AR2173" s="1" t="s">
        <v>210</v>
      </c>
      <c r="AS2173" s="1" t="s">
        <v>204</v>
      </c>
      <c r="AT2173" s="1" t="s">
        <v>211</v>
      </c>
      <c r="AU2173" s="1">
        <v>1</v>
      </c>
      <c r="AW2173" s="1" t="s">
        <v>204</v>
      </c>
      <c r="AX2173" s="1" t="s">
        <v>212</v>
      </c>
      <c r="AZ2173" s="1">
        <v>3975</v>
      </c>
      <c r="BA2173" s="1">
        <v>2013</v>
      </c>
      <c r="BB2173" s="1" t="s">
        <v>405</v>
      </c>
      <c r="BE2173" s="1">
        <v>1331</v>
      </c>
      <c r="BF2173" s="1">
        <v>1</v>
      </c>
      <c r="BG2173" s="1">
        <v>0</v>
      </c>
      <c r="BL2173" s="1">
        <v>250</v>
      </c>
      <c r="BM2173" s="1" t="s">
        <v>204</v>
      </c>
      <c r="BN2173" s="1" t="s">
        <v>213</v>
      </c>
      <c r="BO2173" s="1">
        <v>999</v>
      </c>
      <c r="BP2173" s="1" t="s">
        <v>204</v>
      </c>
      <c r="BR2173" s="1" t="str">
        <f>"0630207225"</f>
        <v>0630207225</v>
      </c>
      <c r="BT2173" s="1" t="s">
        <v>19440</v>
      </c>
      <c r="BU2173" s="1" t="s">
        <v>1933</v>
      </c>
      <c r="BV2173" s="1" t="s">
        <v>1934</v>
      </c>
      <c r="BW2173" s="1" t="s">
        <v>1935</v>
      </c>
      <c r="BX2173" s="1">
        <v>44</v>
      </c>
      <c r="BY2173" s="1">
        <v>44</v>
      </c>
      <c r="BZ2173" s="1">
        <v>87</v>
      </c>
      <c r="CB2173" s="1" t="str">
        <f t="shared" si="1660"/>
        <v>0</v>
      </c>
      <c r="CC2173" s="1" t="str">
        <f t="shared" si="1661"/>
        <v>0</v>
      </c>
      <c r="CD2173" s="1">
        <v>20</v>
      </c>
      <c r="CE2173" s="1">
        <v>2</v>
      </c>
      <c r="CG2173" s="1" t="s">
        <v>3035</v>
      </c>
      <c r="CH2173" s="1" t="s">
        <v>219</v>
      </c>
      <c r="CI2173" s="1" t="s">
        <v>438</v>
      </c>
      <c r="CK2173" s="1" t="s">
        <v>221</v>
      </c>
      <c r="CL2173" s="1" t="s">
        <v>277</v>
      </c>
      <c r="CM2173" s="1" t="s">
        <v>220</v>
      </c>
      <c r="CO2173" s="1" t="s">
        <v>629</v>
      </c>
      <c r="CP2173" s="1" t="s">
        <v>219</v>
      </c>
      <c r="CQ2173" s="1" t="s">
        <v>438</v>
      </c>
      <c r="CR2173" s="1" t="s">
        <v>210</v>
      </c>
      <c r="CS2173" s="1" t="s">
        <v>437</v>
      </c>
      <c r="CT2173" s="1" t="s">
        <v>277</v>
      </c>
      <c r="CU2173" s="1" t="s">
        <v>220</v>
      </c>
      <c r="CX2173" s="1" t="s">
        <v>224</v>
      </c>
      <c r="DB2173" s="1" t="s">
        <v>224</v>
      </c>
      <c r="DE2173" s="1" t="s">
        <v>630</v>
      </c>
      <c r="DF2173" s="1" t="s">
        <v>219</v>
      </c>
      <c r="DG2173" s="1" t="s">
        <v>226</v>
      </c>
      <c r="DH2173" s="1" t="s">
        <v>210</v>
      </c>
      <c r="DJ2173" s="1" t="s">
        <v>224</v>
      </c>
      <c r="DN2173" s="1" t="s">
        <v>464</v>
      </c>
      <c r="DS2173" s="1" t="s">
        <v>230</v>
      </c>
      <c r="DV2173" s="1" t="s">
        <v>379</v>
      </c>
      <c r="DW2173" s="1" t="s">
        <v>277</v>
      </c>
      <c r="DX2173" s="1" t="s">
        <v>220</v>
      </c>
      <c r="EA2173" s="1" t="s">
        <v>230</v>
      </c>
      <c r="EE2173" s="1" t="s">
        <v>230</v>
      </c>
      <c r="EI2173" s="1" t="s">
        <v>230</v>
      </c>
      <c r="EL2173" s="1" t="s">
        <v>670</v>
      </c>
      <c r="EM2173" s="1" t="s">
        <v>232</v>
      </c>
      <c r="EN2173" s="1" t="s">
        <v>282</v>
      </c>
      <c r="EO2173" s="1" t="s">
        <v>234</v>
      </c>
      <c r="EP2173" s="1" t="s">
        <v>1268</v>
      </c>
      <c r="EQ2173" s="1" t="s">
        <v>492</v>
      </c>
      <c r="ER2173" s="1" t="s">
        <v>210</v>
      </c>
      <c r="ES2173" s="1" t="s">
        <v>824</v>
      </c>
      <c r="EU2173" s="1" t="s">
        <v>712</v>
      </c>
      <c r="EV2173" s="1" t="s">
        <v>240</v>
      </c>
      <c r="EW2173" s="1" t="s">
        <v>286</v>
      </c>
      <c r="EZ2173" s="1" t="s">
        <v>464</v>
      </c>
      <c r="FA2173" s="1" t="s">
        <v>5402</v>
      </c>
      <c r="FD2173" s="1" t="s">
        <v>246</v>
      </c>
      <c r="FE2173" s="1" t="s">
        <v>247</v>
      </c>
      <c r="FF2173" s="1" t="s">
        <v>248</v>
      </c>
      <c r="FG2173" s="1" t="s">
        <v>871</v>
      </c>
      <c r="FH2173" s="1" t="s">
        <v>550</v>
      </c>
      <c r="FI2173" s="1" t="s">
        <v>357</v>
      </c>
      <c r="FL2173" s="1" t="s">
        <v>358</v>
      </c>
      <c r="FM2173" s="1" t="s">
        <v>252</v>
      </c>
      <c r="FN2173" s="1" t="s">
        <v>213</v>
      </c>
      <c r="FO2173" s="1" t="s">
        <v>213</v>
      </c>
      <c r="FQ2173" s="1" t="s">
        <v>3220</v>
      </c>
      <c r="FR2173" s="1" t="s">
        <v>210</v>
      </c>
      <c r="FS2173" s="1" t="s">
        <v>19441</v>
      </c>
      <c r="FT2173" s="1" t="s">
        <v>362</v>
      </c>
      <c r="FU2173" s="1" t="s">
        <v>204</v>
      </c>
      <c r="FW2173" s="1" t="s">
        <v>1521</v>
      </c>
      <c r="FX2173" s="1">
        <v>16645</v>
      </c>
      <c r="FY2173" s="1" t="s">
        <v>1522</v>
      </c>
      <c r="FZ2173" s="1" t="s">
        <v>1523</v>
      </c>
      <c r="GA2173" s="1">
        <v>144314</v>
      </c>
      <c r="GB2173" s="1" t="s">
        <v>1522</v>
      </c>
      <c r="GD2173" s="1">
        <v>144314</v>
      </c>
      <c r="GE2173" s="1" t="s">
        <v>210</v>
      </c>
      <c r="GI2173" s="1" t="s">
        <v>204</v>
      </c>
      <c r="GJ2173" s="1" t="s">
        <v>300</v>
      </c>
      <c r="GK2173" s="1" t="s">
        <v>210</v>
      </c>
      <c r="GL2173" s="2">
        <v>42011</v>
      </c>
      <c r="GM2173" s="1" t="s">
        <v>19442</v>
      </c>
    </row>
    <row r="2174" spans="1:195">
      <c r="A2174" s="1">
        <v>104000</v>
      </c>
      <c r="B2174" s="1" t="s">
        <v>195</v>
      </c>
      <c r="C2174" s="1" t="str">
        <f>"08762221"</f>
        <v>08762221</v>
      </c>
      <c r="D2174" s="1" t="s">
        <v>196</v>
      </c>
      <c r="F2174" s="1" t="str">
        <f>"187"</f>
        <v>187</v>
      </c>
      <c r="G2174" s="2">
        <v>41939</v>
      </c>
      <c r="H2174" s="1">
        <v>109000</v>
      </c>
      <c r="I2174" s="1">
        <v>109000</v>
      </c>
      <c r="J2174" s="1">
        <v>104000</v>
      </c>
      <c r="K2174" s="2">
        <v>41939</v>
      </c>
      <c r="L2174" s="1">
        <v>11</v>
      </c>
      <c r="M2174" s="2">
        <v>41949</v>
      </c>
      <c r="N2174" s="1">
        <v>11</v>
      </c>
      <c r="O2174" s="2">
        <v>41949</v>
      </c>
      <c r="P2174" s="1">
        <v>85643</v>
      </c>
      <c r="Q2174" s="1" t="s">
        <v>197</v>
      </c>
      <c r="R2174" s="2">
        <v>41992</v>
      </c>
      <c r="S2174" s="1">
        <v>875772</v>
      </c>
      <c r="T2174" s="1">
        <v>1000</v>
      </c>
      <c r="U2174" s="1">
        <v>201</v>
      </c>
      <c r="V2174" s="1" t="s">
        <v>7624</v>
      </c>
      <c r="W2174" s="1" t="s">
        <v>725</v>
      </c>
      <c r="X2174" s="1" t="s">
        <v>6507</v>
      </c>
      <c r="Y2174" s="1">
        <v>10</v>
      </c>
      <c r="Z2174" s="1" t="s">
        <v>370</v>
      </c>
      <c r="AA2174" s="1" t="s">
        <v>964</v>
      </c>
      <c r="AB2174" s="1">
        <v>60187</v>
      </c>
      <c r="AE2174" s="1" t="s">
        <v>19443</v>
      </c>
      <c r="AF2174" s="1">
        <v>1971</v>
      </c>
      <c r="AG2174" s="1" t="s">
        <v>213</v>
      </c>
      <c r="AH2174" s="1" t="s">
        <v>967</v>
      </c>
      <c r="AI2174" s="1" t="s">
        <v>206</v>
      </c>
      <c r="AJ2174" s="1" t="s">
        <v>207</v>
      </c>
      <c r="AL2174" s="1">
        <v>5</v>
      </c>
      <c r="AM2174" s="1">
        <v>2</v>
      </c>
      <c r="AN2174" s="1">
        <v>1</v>
      </c>
      <c r="AO2174" s="1">
        <v>0</v>
      </c>
      <c r="AP2174" s="1" t="s">
        <v>210</v>
      </c>
      <c r="AR2174" s="1" t="s">
        <v>210</v>
      </c>
      <c r="AS2174" s="1" t="s">
        <v>204</v>
      </c>
      <c r="AT2174" s="1" t="s">
        <v>271</v>
      </c>
      <c r="AV2174" s="1">
        <v>1</v>
      </c>
      <c r="AW2174" s="1" t="s">
        <v>204</v>
      </c>
      <c r="AX2174" s="1" t="s">
        <v>212</v>
      </c>
      <c r="AZ2174" s="1">
        <v>1375</v>
      </c>
      <c r="BA2174" s="1">
        <v>2013</v>
      </c>
      <c r="BB2174" s="1" t="s">
        <v>3996</v>
      </c>
      <c r="BE2174" s="1">
        <v>1060</v>
      </c>
      <c r="BF2174" s="1" t="s">
        <v>4806</v>
      </c>
      <c r="BG2174" s="1">
        <v>0</v>
      </c>
      <c r="BL2174" s="1">
        <v>180</v>
      </c>
      <c r="BM2174" s="1" t="s">
        <v>204</v>
      </c>
      <c r="BN2174" s="1" t="s">
        <v>213</v>
      </c>
      <c r="BO2174" s="1">
        <v>0</v>
      </c>
      <c r="BP2174" s="1" t="s">
        <v>204</v>
      </c>
      <c r="BR2174" s="1" t="str">
        <f>"0515129002"</f>
        <v>0515129002</v>
      </c>
      <c r="BT2174" s="1" t="s">
        <v>19444</v>
      </c>
      <c r="BW2174" s="1" t="s">
        <v>6456</v>
      </c>
      <c r="BX2174" s="1">
        <v>200</v>
      </c>
      <c r="BY2174" s="1">
        <v>200</v>
      </c>
      <c r="BZ2174" s="1">
        <v>200</v>
      </c>
      <c r="CB2174" s="1" t="str">
        <f t="shared" ref="CB2174:CC2174" si="1662">""</f>
        <v/>
      </c>
      <c r="CC2174" s="1" t="str">
        <f t="shared" si="1662"/>
        <v/>
      </c>
      <c r="CG2174" s="1" t="s">
        <v>1155</v>
      </c>
      <c r="CH2174" s="1" t="s">
        <v>219</v>
      </c>
      <c r="CI2174" s="1" t="s">
        <v>220</v>
      </c>
      <c r="CK2174" s="1" t="s">
        <v>757</v>
      </c>
      <c r="CL2174" s="1" t="s">
        <v>219</v>
      </c>
      <c r="CM2174" s="1" t="s">
        <v>229</v>
      </c>
      <c r="CO2174" s="1" t="s">
        <v>821</v>
      </c>
      <c r="CP2174" s="1" t="s">
        <v>219</v>
      </c>
      <c r="CQ2174" s="1" t="s">
        <v>229</v>
      </c>
      <c r="CS2174" s="1" t="s">
        <v>379</v>
      </c>
      <c r="CT2174" s="1" t="s">
        <v>219</v>
      </c>
      <c r="CU2174" s="1" t="s">
        <v>229</v>
      </c>
      <c r="CX2174" s="1" t="s">
        <v>224</v>
      </c>
      <c r="DB2174" s="1" t="s">
        <v>224</v>
      </c>
      <c r="DE2174" s="1" t="s">
        <v>951</v>
      </c>
      <c r="DF2174" s="1" t="s">
        <v>219</v>
      </c>
      <c r="DG2174" s="1" t="s">
        <v>229</v>
      </c>
      <c r="DJ2174" s="1" t="s">
        <v>224</v>
      </c>
      <c r="DS2174" s="1" t="s">
        <v>230</v>
      </c>
      <c r="DW2174" s="1" t="s">
        <v>230</v>
      </c>
      <c r="EA2174" s="1" t="s">
        <v>230</v>
      </c>
      <c r="EE2174" s="1" t="s">
        <v>230</v>
      </c>
      <c r="EI2174" s="1" t="s">
        <v>230</v>
      </c>
      <c r="EL2174" s="1" t="s">
        <v>605</v>
      </c>
      <c r="EM2174" s="1" t="s">
        <v>232</v>
      </c>
      <c r="EN2174" s="1" t="s">
        <v>731</v>
      </c>
      <c r="EO2174" s="1" t="s">
        <v>234</v>
      </c>
      <c r="EP2174" s="1" t="s">
        <v>19445</v>
      </c>
      <c r="EQ2174" s="1" t="s">
        <v>1109</v>
      </c>
      <c r="ER2174" s="1" t="s">
        <v>210</v>
      </c>
      <c r="ES2174" s="1" t="s">
        <v>469</v>
      </c>
      <c r="EU2174" s="1" t="s">
        <v>239</v>
      </c>
      <c r="EV2174" s="1" t="s">
        <v>324</v>
      </c>
      <c r="EW2174" s="1" t="s">
        <v>3750</v>
      </c>
      <c r="EZ2174" s="1" t="s">
        <v>287</v>
      </c>
      <c r="FA2174" s="1" t="s">
        <v>1270</v>
      </c>
      <c r="FD2174" s="1" t="s">
        <v>495</v>
      </c>
      <c r="FE2174" s="1" t="s">
        <v>549</v>
      </c>
      <c r="FF2174" s="1" t="s">
        <v>2998</v>
      </c>
      <c r="FH2174" s="1" t="s">
        <v>716</v>
      </c>
      <c r="FK2174" s="1" t="s">
        <v>2309</v>
      </c>
      <c r="FL2174" s="1" t="s">
        <v>1164</v>
      </c>
      <c r="FM2174" s="1" t="s">
        <v>252</v>
      </c>
      <c r="FN2174" s="1" t="s">
        <v>213</v>
      </c>
      <c r="FO2174" s="1" t="s">
        <v>213</v>
      </c>
      <c r="FQ2174" s="1" t="s">
        <v>14973</v>
      </c>
      <c r="FR2174" s="1" t="s">
        <v>210</v>
      </c>
      <c r="FS2174" s="1" t="s">
        <v>19446</v>
      </c>
      <c r="FT2174" s="1" t="s">
        <v>295</v>
      </c>
      <c r="FU2174" s="1" t="s">
        <v>204</v>
      </c>
      <c r="FW2174" s="1" t="s">
        <v>585</v>
      </c>
      <c r="FX2174" s="1">
        <v>25003</v>
      </c>
      <c r="FY2174" s="1" t="s">
        <v>1330</v>
      </c>
      <c r="FZ2174" s="1" t="s">
        <v>19447</v>
      </c>
      <c r="GA2174" s="1">
        <v>259655</v>
      </c>
      <c r="GB2174" s="1" t="s">
        <v>19448</v>
      </c>
      <c r="GD2174" s="1" t="s">
        <v>19449</v>
      </c>
      <c r="GE2174" s="1" t="s">
        <v>1333</v>
      </c>
      <c r="GH2174" s="1" t="s">
        <v>230</v>
      </c>
      <c r="GI2174" s="1" t="s">
        <v>213</v>
      </c>
      <c r="GJ2174" s="1" t="s">
        <v>260</v>
      </c>
      <c r="GK2174" s="1" t="s">
        <v>210</v>
      </c>
      <c r="GL2174" s="2">
        <v>41993</v>
      </c>
      <c r="GM2174" s="1" t="s">
        <v>19450</v>
      </c>
    </row>
    <row r="2175" spans="1:195">
      <c r="A2175" s="1">
        <v>73500</v>
      </c>
      <c r="B2175" s="1" t="s">
        <v>195</v>
      </c>
      <c r="C2175" s="1" t="str">
        <f>"08753629"</f>
        <v>08753629</v>
      </c>
      <c r="D2175" s="1" t="s">
        <v>196</v>
      </c>
      <c r="F2175" s="1" t="str">
        <f>"140"</f>
        <v>140</v>
      </c>
      <c r="G2175" s="2">
        <v>41927</v>
      </c>
      <c r="H2175" s="1">
        <v>124900</v>
      </c>
      <c r="I2175" s="1">
        <v>0</v>
      </c>
      <c r="J2175" s="1">
        <v>73500</v>
      </c>
      <c r="K2175" s="2">
        <v>41927</v>
      </c>
      <c r="L2175" s="1">
        <v>230</v>
      </c>
      <c r="M2175" s="2">
        <v>42037</v>
      </c>
      <c r="N2175" s="1">
        <v>111</v>
      </c>
      <c r="O2175" s="2">
        <v>42037</v>
      </c>
      <c r="P2175" s="1">
        <v>20114</v>
      </c>
      <c r="Q2175" s="1" t="s">
        <v>302</v>
      </c>
      <c r="R2175" s="2">
        <v>42065</v>
      </c>
      <c r="S2175" s="1">
        <v>216033</v>
      </c>
      <c r="U2175" s="1">
        <v>882</v>
      </c>
      <c r="V2175" s="1" t="s">
        <v>11996</v>
      </c>
      <c r="W2175" s="1" t="s">
        <v>504</v>
      </c>
      <c r="Y2175" s="1">
        <v>4</v>
      </c>
      <c r="Z2175" s="1" t="s">
        <v>370</v>
      </c>
      <c r="AA2175" s="1" t="s">
        <v>744</v>
      </c>
      <c r="AB2175" s="1">
        <v>60140</v>
      </c>
      <c r="AD2175" s="1" t="s">
        <v>745</v>
      </c>
      <c r="AE2175" s="1" t="s">
        <v>19451</v>
      </c>
      <c r="AF2175" s="1">
        <v>2006</v>
      </c>
      <c r="AG2175" s="1" t="s">
        <v>204</v>
      </c>
      <c r="AH2175" s="1" t="s">
        <v>747</v>
      </c>
      <c r="AI2175" s="1" t="s">
        <v>665</v>
      </c>
      <c r="AJ2175" s="1" t="s">
        <v>748</v>
      </c>
      <c r="AK2175" s="1" t="s">
        <v>9267</v>
      </c>
      <c r="AL2175" s="1">
        <v>7</v>
      </c>
      <c r="AM2175" s="1">
        <v>2</v>
      </c>
      <c r="AN2175" s="1">
        <v>1</v>
      </c>
      <c r="AO2175" s="1">
        <v>1</v>
      </c>
      <c r="AP2175" s="1" t="s">
        <v>667</v>
      </c>
      <c r="AR2175" s="1" t="s">
        <v>1421</v>
      </c>
      <c r="AS2175" s="1" t="s">
        <v>204</v>
      </c>
      <c r="AT2175" s="1" t="s">
        <v>211</v>
      </c>
      <c r="AU2175" s="1">
        <v>2</v>
      </c>
      <c r="AW2175" s="1" t="s">
        <v>204</v>
      </c>
      <c r="AX2175" s="1" t="s">
        <v>212</v>
      </c>
      <c r="AZ2175" s="1">
        <v>4201.32</v>
      </c>
      <c r="BA2175" s="1">
        <v>2013</v>
      </c>
      <c r="BB2175" s="1" t="s">
        <v>405</v>
      </c>
      <c r="BE2175" s="1">
        <v>1474</v>
      </c>
      <c r="BF2175" s="1">
        <v>1</v>
      </c>
      <c r="BG2175" s="1">
        <v>0</v>
      </c>
      <c r="BL2175" s="1">
        <v>142</v>
      </c>
      <c r="BM2175" s="1" t="s">
        <v>204</v>
      </c>
      <c r="BN2175" s="1" t="s">
        <v>213</v>
      </c>
      <c r="BO2175" s="1">
        <v>1</v>
      </c>
      <c r="BP2175" s="1" t="s">
        <v>204</v>
      </c>
      <c r="BR2175" s="1" t="str">
        <f>"0228305050"</f>
        <v>0228305050</v>
      </c>
      <c r="BT2175" s="1" t="s">
        <v>19452</v>
      </c>
      <c r="BX2175" s="1">
        <v>300</v>
      </c>
      <c r="BY2175" s="1">
        <v>300</v>
      </c>
      <c r="BZ2175" s="1">
        <v>300</v>
      </c>
      <c r="CA2175" s="1">
        <v>300</v>
      </c>
      <c r="CB2175" s="1" t="str">
        <f>"15"</f>
        <v>15</v>
      </c>
      <c r="CC2175" s="1" t="str">
        <f>"0"</f>
        <v>0</v>
      </c>
      <c r="CD2175" s="1">
        <v>47</v>
      </c>
      <c r="CE2175" s="1">
        <v>0</v>
      </c>
      <c r="CG2175" s="1" t="s">
        <v>1297</v>
      </c>
      <c r="CH2175" s="1" t="s">
        <v>219</v>
      </c>
      <c r="CI2175" s="1" t="s">
        <v>220</v>
      </c>
      <c r="CK2175" s="1" t="s">
        <v>885</v>
      </c>
      <c r="CL2175" s="1" t="s">
        <v>277</v>
      </c>
      <c r="CO2175" s="1" t="s">
        <v>972</v>
      </c>
      <c r="CP2175" s="1" t="s">
        <v>219</v>
      </c>
      <c r="CS2175" s="1" t="s">
        <v>346</v>
      </c>
      <c r="CT2175" s="1" t="s">
        <v>277</v>
      </c>
      <c r="CX2175" s="1" t="s">
        <v>224</v>
      </c>
      <c r="DB2175" s="1" t="s">
        <v>224</v>
      </c>
      <c r="DE2175" s="1" t="s">
        <v>757</v>
      </c>
      <c r="DF2175" s="1" t="s">
        <v>219</v>
      </c>
      <c r="DI2175" s="1" t="s">
        <v>378</v>
      </c>
      <c r="DJ2175" s="1" t="s">
        <v>822</v>
      </c>
      <c r="DM2175" s="1" t="s">
        <v>464</v>
      </c>
      <c r="DR2175" s="1" t="s">
        <v>318</v>
      </c>
      <c r="DS2175" s="1" t="s">
        <v>277</v>
      </c>
      <c r="DW2175" s="1" t="s">
        <v>230</v>
      </c>
      <c r="EA2175" s="1" t="s">
        <v>230</v>
      </c>
      <c r="EE2175" s="1" t="s">
        <v>230</v>
      </c>
      <c r="EI2175" s="1" t="s">
        <v>230</v>
      </c>
      <c r="EL2175" s="1" t="s">
        <v>491</v>
      </c>
      <c r="EM2175" s="1" t="s">
        <v>319</v>
      </c>
      <c r="EN2175" s="1" t="s">
        <v>282</v>
      </c>
      <c r="EO2175" s="1" t="s">
        <v>840</v>
      </c>
      <c r="EP2175" s="1" t="s">
        <v>14205</v>
      </c>
      <c r="ER2175" s="1" t="s">
        <v>544</v>
      </c>
      <c r="ES2175" s="1" t="s">
        <v>322</v>
      </c>
      <c r="EU2175" s="1" t="s">
        <v>239</v>
      </c>
      <c r="EV2175" s="1" t="s">
        <v>240</v>
      </c>
      <c r="EW2175" s="1" t="s">
        <v>3255</v>
      </c>
      <c r="EY2175" s="1" t="s">
        <v>242</v>
      </c>
      <c r="EZ2175" s="1" t="s">
        <v>464</v>
      </c>
      <c r="FD2175" s="1" t="s">
        <v>246</v>
      </c>
      <c r="FE2175" s="1" t="s">
        <v>975</v>
      </c>
      <c r="FF2175" s="1" t="s">
        <v>248</v>
      </c>
      <c r="FH2175" s="1" t="s">
        <v>550</v>
      </c>
      <c r="FL2175" s="1" t="s">
        <v>358</v>
      </c>
      <c r="FM2175" s="1" t="s">
        <v>252</v>
      </c>
      <c r="FN2175" s="1" t="s">
        <v>213</v>
      </c>
      <c r="FO2175" s="1" t="s">
        <v>213</v>
      </c>
      <c r="FQ2175" s="1" t="s">
        <v>2562</v>
      </c>
      <c r="FR2175" s="1" t="s">
        <v>210</v>
      </c>
      <c r="FS2175" s="1" t="s">
        <v>3352</v>
      </c>
      <c r="FT2175" s="1" t="s">
        <v>1828</v>
      </c>
      <c r="FU2175" s="1" t="s">
        <v>204</v>
      </c>
      <c r="FW2175" s="1" t="s">
        <v>15236</v>
      </c>
      <c r="FX2175" s="1">
        <v>7630</v>
      </c>
      <c r="FY2175" s="1" t="s">
        <v>15237</v>
      </c>
      <c r="FZ2175" s="1" t="s">
        <v>15380</v>
      </c>
      <c r="GA2175" s="1">
        <v>77822</v>
      </c>
      <c r="GB2175" s="1" t="s">
        <v>15381</v>
      </c>
      <c r="GE2175" s="1" t="s">
        <v>480</v>
      </c>
      <c r="GI2175" s="1" t="s">
        <v>204</v>
      </c>
      <c r="GJ2175" s="1" t="s">
        <v>260</v>
      </c>
      <c r="GK2175" s="1" t="s">
        <v>210</v>
      </c>
      <c r="GL2175" s="2">
        <v>42065</v>
      </c>
      <c r="GM2175" s="1" t="s">
        <v>19453</v>
      </c>
    </row>
    <row r="2176" spans="1:195">
      <c r="A2176" s="1">
        <v>158000</v>
      </c>
      <c r="B2176" s="1" t="s">
        <v>195</v>
      </c>
      <c r="C2176" s="1" t="str">
        <f>"08761195"</f>
        <v>08761195</v>
      </c>
      <c r="D2176" s="1" t="s">
        <v>196</v>
      </c>
      <c r="F2176" s="1" t="str">
        <f>"119"</f>
        <v>119</v>
      </c>
      <c r="G2176" s="2">
        <v>41936</v>
      </c>
      <c r="H2176" s="1">
        <v>164900</v>
      </c>
      <c r="I2176" s="1">
        <v>164900</v>
      </c>
      <c r="J2176" s="1">
        <v>158000</v>
      </c>
      <c r="K2176" s="2">
        <v>41936</v>
      </c>
      <c r="L2176" s="1">
        <v>54</v>
      </c>
      <c r="M2176" s="2">
        <v>41989</v>
      </c>
      <c r="N2176" s="1">
        <v>54</v>
      </c>
      <c r="O2176" s="2">
        <v>41989</v>
      </c>
      <c r="P2176" s="1">
        <v>41</v>
      </c>
      <c r="Q2176" s="1" t="s">
        <v>197</v>
      </c>
      <c r="R2176" s="2">
        <v>42031</v>
      </c>
      <c r="S2176" s="1">
        <v>7991</v>
      </c>
      <c r="U2176" s="1">
        <v>641</v>
      </c>
      <c r="V2176" s="1" t="s">
        <v>9317</v>
      </c>
      <c r="W2176" s="1" t="s">
        <v>725</v>
      </c>
      <c r="Y2176" s="1">
        <v>6</v>
      </c>
      <c r="Z2176" s="1" t="s">
        <v>370</v>
      </c>
      <c r="AA2176" s="1" t="s">
        <v>9117</v>
      </c>
      <c r="AB2176" s="1">
        <v>60119</v>
      </c>
      <c r="AE2176" s="1" t="s">
        <v>19454</v>
      </c>
      <c r="AF2176" s="1">
        <v>2004</v>
      </c>
      <c r="AG2176" s="1" t="s">
        <v>204</v>
      </c>
      <c r="AH2176" s="1" t="s">
        <v>9119</v>
      </c>
      <c r="AI2176" s="1" t="s">
        <v>665</v>
      </c>
      <c r="AJ2176" s="1" t="s">
        <v>2115</v>
      </c>
      <c r="AL2176" s="1">
        <v>6</v>
      </c>
      <c r="AM2176" s="1">
        <v>2</v>
      </c>
      <c r="AN2176" s="1">
        <v>3</v>
      </c>
      <c r="AO2176" s="1">
        <v>0</v>
      </c>
      <c r="AP2176" s="1" t="s">
        <v>209</v>
      </c>
      <c r="AR2176" s="1" t="s">
        <v>1483</v>
      </c>
      <c r="AS2176" s="1" t="s">
        <v>213</v>
      </c>
      <c r="AT2176" s="1" t="s">
        <v>211</v>
      </c>
      <c r="AU2176" s="1">
        <v>2</v>
      </c>
      <c r="AW2176" s="1" t="s">
        <v>204</v>
      </c>
      <c r="AX2176" s="1" t="s">
        <v>212</v>
      </c>
      <c r="AZ2176" s="1">
        <v>4293.8599999999997</v>
      </c>
      <c r="BA2176" s="1">
        <v>2013</v>
      </c>
      <c r="BB2176" s="1" t="s">
        <v>405</v>
      </c>
      <c r="BE2176" s="1">
        <v>0</v>
      </c>
      <c r="BF2176" s="1">
        <v>1</v>
      </c>
      <c r="BG2176" s="1">
        <v>0</v>
      </c>
      <c r="BL2176" s="1">
        <v>150</v>
      </c>
      <c r="BM2176" s="1" t="s">
        <v>204</v>
      </c>
      <c r="BN2176" s="1" t="s">
        <v>213</v>
      </c>
      <c r="BO2176" s="1">
        <v>99</v>
      </c>
      <c r="BP2176" s="1" t="s">
        <v>204</v>
      </c>
      <c r="BR2176" s="1" t="str">
        <f>"0832382033"</f>
        <v>0832382033</v>
      </c>
      <c r="BT2176" s="1" t="s">
        <v>19455</v>
      </c>
      <c r="BX2176" s="1">
        <v>302</v>
      </c>
      <c r="BY2176" s="1">
        <v>302</v>
      </c>
      <c r="BZ2176" s="1">
        <v>302</v>
      </c>
      <c r="CB2176" s="1" t="str">
        <f t="shared" ref="CB2176:CC2176" si="1663">""</f>
        <v/>
      </c>
      <c r="CC2176" s="1" t="str">
        <f t="shared" si="1663"/>
        <v/>
      </c>
      <c r="CG2176" s="1" t="s">
        <v>228</v>
      </c>
      <c r="CH2176" s="1" t="s">
        <v>219</v>
      </c>
      <c r="CI2176" s="1" t="s">
        <v>438</v>
      </c>
      <c r="CK2176" s="1" t="s">
        <v>729</v>
      </c>
      <c r="CL2176" s="1" t="s">
        <v>219</v>
      </c>
      <c r="CM2176" s="1" t="s">
        <v>220</v>
      </c>
      <c r="CO2176" s="1" t="s">
        <v>317</v>
      </c>
      <c r="CP2176" s="1" t="s">
        <v>219</v>
      </c>
      <c r="CQ2176" s="1" t="s">
        <v>438</v>
      </c>
      <c r="CS2176" s="1" t="s">
        <v>461</v>
      </c>
      <c r="CT2176" s="1" t="s">
        <v>219</v>
      </c>
      <c r="CU2176" s="1" t="s">
        <v>220</v>
      </c>
      <c r="CX2176" s="1" t="s">
        <v>224</v>
      </c>
      <c r="DB2176" s="1" t="s">
        <v>224</v>
      </c>
      <c r="DE2176" s="1" t="s">
        <v>1133</v>
      </c>
      <c r="DF2176" s="1" t="s">
        <v>219</v>
      </c>
      <c r="DI2176" s="1" t="s">
        <v>3913</v>
      </c>
      <c r="DJ2176" s="1" t="s">
        <v>822</v>
      </c>
      <c r="DK2176" s="1" t="s">
        <v>220</v>
      </c>
      <c r="DS2176" s="1" t="s">
        <v>230</v>
      </c>
      <c r="DW2176" s="1" t="s">
        <v>230</v>
      </c>
      <c r="EA2176" s="1" t="s">
        <v>230</v>
      </c>
      <c r="EE2176" s="1" t="s">
        <v>230</v>
      </c>
      <c r="EI2176" s="1" t="s">
        <v>230</v>
      </c>
      <c r="EL2176" s="1" t="s">
        <v>491</v>
      </c>
      <c r="EM2176" s="1" t="s">
        <v>319</v>
      </c>
      <c r="EN2176" s="1" t="s">
        <v>282</v>
      </c>
      <c r="EO2176" s="1" t="s">
        <v>234</v>
      </c>
      <c r="EQ2176" s="1" t="s">
        <v>1551</v>
      </c>
      <c r="ER2176" s="1" t="s">
        <v>544</v>
      </c>
      <c r="ES2176" s="1" t="s">
        <v>493</v>
      </c>
      <c r="EV2176" s="1" t="s">
        <v>324</v>
      </c>
      <c r="EW2176" s="1" t="s">
        <v>1250</v>
      </c>
      <c r="EZ2176" s="1" t="s">
        <v>287</v>
      </c>
      <c r="FA2176" s="1" t="s">
        <v>2683</v>
      </c>
      <c r="FD2176" s="1" t="s">
        <v>246</v>
      </c>
      <c r="FE2176" s="1" t="s">
        <v>549</v>
      </c>
      <c r="FF2176" s="1" t="s">
        <v>248</v>
      </c>
      <c r="FH2176" s="1" t="s">
        <v>550</v>
      </c>
      <c r="FI2176" s="1" t="s">
        <v>357</v>
      </c>
      <c r="FL2176" s="1" t="s">
        <v>358</v>
      </c>
      <c r="FM2176" s="1" t="s">
        <v>252</v>
      </c>
      <c r="FN2176" s="1" t="s">
        <v>213</v>
      </c>
      <c r="FO2176" s="1" t="s">
        <v>213</v>
      </c>
      <c r="FQ2176" s="1" t="s">
        <v>1032</v>
      </c>
      <c r="FR2176" s="1" t="s">
        <v>210</v>
      </c>
      <c r="FS2176" s="1" t="s">
        <v>3605</v>
      </c>
      <c r="FT2176" s="1" t="s">
        <v>1408</v>
      </c>
      <c r="FU2176" s="1" t="s">
        <v>204</v>
      </c>
      <c r="FW2176" s="1" t="s">
        <v>813</v>
      </c>
      <c r="FX2176" s="1">
        <v>22588</v>
      </c>
      <c r="FY2176" s="1" t="s">
        <v>2685</v>
      </c>
      <c r="FZ2176" s="1" t="s">
        <v>19456</v>
      </c>
      <c r="GA2176" s="1">
        <v>222992</v>
      </c>
      <c r="GB2176" s="1" t="s">
        <v>19457</v>
      </c>
      <c r="GE2176" s="1" t="s">
        <v>210</v>
      </c>
      <c r="GH2176" s="1" t="s">
        <v>800</v>
      </c>
      <c r="GI2176" s="1" t="s">
        <v>213</v>
      </c>
      <c r="GJ2176" s="1" t="s">
        <v>260</v>
      </c>
      <c r="GK2176" s="1" t="s">
        <v>210</v>
      </c>
      <c r="GL2176" s="2">
        <v>42032</v>
      </c>
      <c r="GM2176" s="1" t="s">
        <v>19458</v>
      </c>
    </row>
    <row r="2177" spans="1:195">
      <c r="A2177" s="1">
        <v>65000</v>
      </c>
      <c r="B2177" s="1" t="s">
        <v>195</v>
      </c>
      <c r="C2177" s="1" t="str">
        <f>"08756342"</f>
        <v>08756342</v>
      </c>
      <c r="D2177" s="1" t="s">
        <v>196</v>
      </c>
      <c r="F2177" s="1" t="str">
        <f>"545"</f>
        <v>545</v>
      </c>
      <c r="G2177" s="2">
        <v>41930</v>
      </c>
      <c r="H2177" s="1">
        <v>71500</v>
      </c>
      <c r="I2177" s="1">
        <v>62900</v>
      </c>
      <c r="J2177" s="1">
        <v>65000</v>
      </c>
      <c r="K2177" s="2">
        <v>41929</v>
      </c>
      <c r="L2177" s="1">
        <v>61</v>
      </c>
      <c r="M2177" s="2">
        <v>41989</v>
      </c>
      <c r="N2177" s="1">
        <v>61</v>
      </c>
      <c r="O2177" s="2">
        <v>41989</v>
      </c>
      <c r="P2177" s="1">
        <v>30</v>
      </c>
      <c r="Q2177" s="1" t="s">
        <v>302</v>
      </c>
      <c r="R2177" s="2">
        <v>42012</v>
      </c>
      <c r="S2177" s="1">
        <v>607</v>
      </c>
      <c r="U2177" s="1">
        <v>3323</v>
      </c>
      <c r="V2177" s="1" t="s">
        <v>19459</v>
      </c>
      <c r="W2177" s="1" t="s">
        <v>725</v>
      </c>
      <c r="Y2177" s="1">
        <v>2</v>
      </c>
      <c r="Z2177" s="1" t="s">
        <v>200</v>
      </c>
      <c r="AA2177" s="1" t="s">
        <v>1335</v>
      </c>
      <c r="AB2177" s="1">
        <v>60545</v>
      </c>
      <c r="AD2177" s="1" t="s">
        <v>8499</v>
      </c>
      <c r="AE2177" s="1" t="s">
        <v>19460</v>
      </c>
      <c r="AF2177" s="1">
        <v>2005</v>
      </c>
      <c r="AG2177" s="1" t="s">
        <v>204</v>
      </c>
      <c r="AH2177" s="1" t="s">
        <v>1338</v>
      </c>
      <c r="AI2177" s="1" t="s">
        <v>453</v>
      </c>
      <c r="AJ2177" s="1" t="s">
        <v>1339</v>
      </c>
      <c r="AK2177" s="1" t="s">
        <v>19461</v>
      </c>
      <c r="AL2177" s="1">
        <v>5</v>
      </c>
      <c r="AM2177" s="1">
        <v>2</v>
      </c>
      <c r="AN2177" s="1">
        <v>1</v>
      </c>
      <c r="AO2177" s="1">
        <v>1</v>
      </c>
      <c r="AP2177" s="1" t="s">
        <v>209</v>
      </c>
      <c r="AQ2177" s="1">
        <v>0</v>
      </c>
      <c r="AR2177" s="1" t="s">
        <v>210</v>
      </c>
      <c r="AS2177" s="1" t="s">
        <v>204</v>
      </c>
      <c r="AT2177" s="1" t="s">
        <v>211</v>
      </c>
      <c r="AU2177" s="1">
        <v>1</v>
      </c>
      <c r="AW2177" s="1" t="s">
        <v>204</v>
      </c>
      <c r="AX2177" s="1" t="s">
        <v>19462</v>
      </c>
      <c r="AZ2177" s="1">
        <v>3096</v>
      </c>
      <c r="BA2177" s="1">
        <v>2013</v>
      </c>
      <c r="BB2177" s="1" t="s">
        <v>210</v>
      </c>
      <c r="BE2177" s="1">
        <v>924</v>
      </c>
      <c r="BF2177" s="1">
        <v>1</v>
      </c>
      <c r="BG2177" s="1">
        <v>0</v>
      </c>
      <c r="BL2177" s="1">
        <v>38</v>
      </c>
      <c r="BM2177" s="1" t="s">
        <v>213</v>
      </c>
      <c r="BN2177" s="1" t="s">
        <v>213</v>
      </c>
      <c r="BO2177" s="1">
        <v>0</v>
      </c>
      <c r="BP2177" s="1" t="s">
        <v>204</v>
      </c>
      <c r="BR2177" s="1" t="str">
        <f>"0125103028"</f>
        <v>0125103028</v>
      </c>
      <c r="BT2177" s="1" t="s">
        <v>19463</v>
      </c>
      <c r="BX2177" s="1">
        <v>88</v>
      </c>
      <c r="BY2177" s="1">
        <v>88</v>
      </c>
      <c r="BZ2177" s="1">
        <v>88</v>
      </c>
      <c r="CB2177" s="1" t="str">
        <f t="shared" ref="CB2177:CC2177" si="1664">"0"</f>
        <v>0</v>
      </c>
      <c r="CC2177" s="1" t="str">
        <f t="shared" si="1664"/>
        <v>0</v>
      </c>
      <c r="CD2177" s="1">
        <v>47</v>
      </c>
      <c r="CE2177" s="1">
        <v>13</v>
      </c>
      <c r="CG2177" s="1" t="s">
        <v>1046</v>
      </c>
      <c r="CH2177" s="1" t="s">
        <v>219</v>
      </c>
      <c r="CI2177" s="1" t="s">
        <v>220</v>
      </c>
      <c r="CJ2177" s="1" t="s">
        <v>210</v>
      </c>
      <c r="CK2177" s="1" t="s">
        <v>602</v>
      </c>
      <c r="CL2177" s="1" t="s">
        <v>219</v>
      </c>
      <c r="CM2177" s="1" t="s">
        <v>220</v>
      </c>
      <c r="CO2177" s="1" t="s">
        <v>489</v>
      </c>
      <c r="CP2177" s="1" t="s">
        <v>219</v>
      </c>
      <c r="CQ2177" s="1" t="s">
        <v>220</v>
      </c>
      <c r="CS2177" s="1" t="s">
        <v>318</v>
      </c>
      <c r="CT2177" s="1" t="s">
        <v>219</v>
      </c>
      <c r="CU2177" s="1" t="s">
        <v>220</v>
      </c>
      <c r="CX2177" s="1" t="s">
        <v>224</v>
      </c>
      <c r="DB2177" s="1" t="s">
        <v>224</v>
      </c>
      <c r="DE2177" s="1" t="s">
        <v>346</v>
      </c>
      <c r="DF2177" s="1" t="s">
        <v>219</v>
      </c>
      <c r="DG2177" s="1" t="s">
        <v>342</v>
      </c>
      <c r="DJ2177" s="1" t="s">
        <v>224</v>
      </c>
      <c r="DS2177" s="1" t="s">
        <v>230</v>
      </c>
      <c r="DW2177" s="1" t="s">
        <v>230</v>
      </c>
      <c r="EA2177" s="1" t="s">
        <v>230</v>
      </c>
      <c r="EE2177" s="1" t="s">
        <v>230</v>
      </c>
      <c r="EI2177" s="1" t="s">
        <v>230</v>
      </c>
      <c r="EL2177" s="1" t="s">
        <v>491</v>
      </c>
      <c r="EM2177" s="1" t="s">
        <v>761</v>
      </c>
      <c r="EN2177" s="1" t="s">
        <v>282</v>
      </c>
      <c r="EO2177" s="1" t="s">
        <v>234</v>
      </c>
      <c r="EP2177" s="1" t="s">
        <v>11795</v>
      </c>
      <c r="EQ2177" s="1" t="s">
        <v>8369</v>
      </c>
      <c r="ER2177" s="1" t="s">
        <v>383</v>
      </c>
      <c r="ES2177" s="1" t="s">
        <v>493</v>
      </c>
      <c r="EU2177" s="1" t="s">
        <v>1491</v>
      </c>
      <c r="EV2177" s="1" t="s">
        <v>352</v>
      </c>
      <c r="EW2177" s="1" t="s">
        <v>5478</v>
      </c>
      <c r="EY2177" s="1" t="s">
        <v>790</v>
      </c>
      <c r="EZ2177" s="1" t="s">
        <v>287</v>
      </c>
      <c r="FA2177" s="1" t="s">
        <v>672</v>
      </c>
      <c r="FB2177" s="1" t="s">
        <v>289</v>
      </c>
      <c r="FD2177" s="1" t="s">
        <v>246</v>
      </c>
      <c r="FE2177" s="1" t="s">
        <v>472</v>
      </c>
      <c r="FF2177" s="1" t="s">
        <v>248</v>
      </c>
      <c r="FH2177" s="1" t="s">
        <v>5479</v>
      </c>
      <c r="FL2177" s="1" t="s">
        <v>358</v>
      </c>
      <c r="FM2177" s="1" t="s">
        <v>252</v>
      </c>
      <c r="FN2177" s="1" t="s">
        <v>213</v>
      </c>
      <c r="FO2177" s="1" t="s">
        <v>213</v>
      </c>
      <c r="FQ2177" s="1" t="s">
        <v>582</v>
      </c>
      <c r="FR2177" s="1" t="s">
        <v>210</v>
      </c>
      <c r="FS2177" s="1" t="s">
        <v>1429</v>
      </c>
      <c r="FT2177" s="1" t="s">
        <v>520</v>
      </c>
      <c r="FU2177" s="1" t="s">
        <v>213</v>
      </c>
      <c r="FW2177" s="1" t="s">
        <v>1348</v>
      </c>
      <c r="FX2177" s="1">
        <v>83</v>
      </c>
      <c r="FY2177" s="1" t="s">
        <v>1349</v>
      </c>
      <c r="FZ2177" s="1" t="s">
        <v>1350</v>
      </c>
      <c r="GA2177" s="1">
        <v>287</v>
      </c>
      <c r="GB2177" s="1" t="s">
        <v>1351</v>
      </c>
      <c r="GE2177" s="1" t="s">
        <v>210</v>
      </c>
      <c r="GI2177" s="1" t="s">
        <v>213</v>
      </c>
      <c r="GJ2177" s="1" t="s">
        <v>260</v>
      </c>
      <c r="GK2177" s="1" t="s">
        <v>261</v>
      </c>
      <c r="GL2177" s="2">
        <v>42012</v>
      </c>
      <c r="GM2177" s="1" t="s">
        <v>19464</v>
      </c>
    </row>
    <row r="2178" spans="1:195">
      <c r="A2178" s="1">
        <v>115500</v>
      </c>
      <c r="B2178" s="1" t="s">
        <v>195</v>
      </c>
      <c r="C2178" s="1" t="str">
        <f>"08759998"</f>
        <v>08759998</v>
      </c>
      <c r="D2178" s="1" t="s">
        <v>196</v>
      </c>
      <c r="F2178" s="1" t="str">
        <f>"560"</f>
        <v>560</v>
      </c>
      <c r="G2178" s="2">
        <v>41935</v>
      </c>
      <c r="H2178" s="1">
        <v>129900</v>
      </c>
      <c r="I2178" s="1">
        <v>116900</v>
      </c>
      <c r="J2178" s="1">
        <v>115500</v>
      </c>
      <c r="K2178" s="2">
        <v>41935</v>
      </c>
      <c r="L2178" s="1">
        <v>41</v>
      </c>
      <c r="M2178" s="2">
        <v>41975</v>
      </c>
      <c r="N2178" s="1">
        <v>41</v>
      </c>
      <c r="O2178" s="2">
        <v>41975</v>
      </c>
      <c r="P2178" s="1">
        <v>23705</v>
      </c>
      <c r="Q2178" s="1" t="s">
        <v>302</v>
      </c>
      <c r="R2178" s="2">
        <v>41999</v>
      </c>
      <c r="S2178" s="1">
        <v>238198</v>
      </c>
      <c r="U2178" s="1">
        <v>2010</v>
      </c>
      <c r="V2178" s="1" t="s">
        <v>3277</v>
      </c>
      <c r="W2178" s="1" t="s">
        <v>264</v>
      </c>
      <c r="X2178" s="1">
        <v>2010</v>
      </c>
      <c r="Y2178" s="1">
        <v>4</v>
      </c>
      <c r="Z2178" s="1" t="s">
        <v>370</v>
      </c>
      <c r="AA2178" s="1" t="s">
        <v>484</v>
      </c>
      <c r="AB2178" s="1">
        <v>60560</v>
      </c>
      <c r="AD2178" s="1" t="s">
        <v>19465</v>
      </c>
      <c r="AE2178" s="1" t="s">
        <v>19466</v>
      </c>
      <c r="AF2178" s="1">
        <v>2003</v>
      </c>
      <c r="AG2178" s="1" t="s">
        <v>204</v>
      </c>
      <c r="AH2178" s="1" t="s">
        <v>487</v>
      </c>
      <c r="AI2178" s="1" t="s">
        <v>453</v>
      </c>
      <c r="AJ2178" s="1" t="s">
        <v>9630</v>
      </c>
      <c r="AL2178" s="1">
        <v>5</v>
      </c>
      <c r="AM2178" s="1">
        <v>2</v>
      </c>
      <c r="AN2178" s="1">
        <v>2</v>
      </c>
      <c r="AO2178" s="1">
        <v>0</v>
      </c>
      <c r="AP2178" s="1" t="s">
        <v>209</v>
      </c>
      <c r="AR2178" s="1" t="s">
        <v>210</v>
      </c>
      <c r="AS2178" s="1" t="s">
        <v>204</v>
      </c>
      <c r="AT2178" s="1" t="s">
        <v>211</v>
      </c>
      <c r="AU2178" s="1">
        <v>2</v>
      </c>
      <c r="AW2178" s="1" t="s">
        <v>204</v>
      </c>
      <c r="AX2178" s="1" t="s">
        <v>212</v>
      </c>
      <c r="AZ2178" s="1">
        <v>2640.6</v>
      </c>
      <c r="BA2178" s="1">
        <v>2013</v>
      </c>
      <c r="BE2178" s="1">
        <v>1398</v>
      </c>
      <c r="BF2178" s="1">
        <v>2</v>
      </c>
      <c r="BG2178" s="1">
        <v>0</v>
      </c>
      <c r="BL2178" s="1">
        <v>176</v>
      </c>
      <c r="BM2178" s="1" t="s">
        <v>204</v>
      </c>
      <c r="BN2178" s="1" t="s">
        <v>213</v>
      </c>
      <c r="BO2178" s="1">
        <v>999</v>
      </c>
      <c r="BP2178" s="1" t="s">
        <v>204</v>
      </c>
      <c r="BR2178" s="1" t="str">
        <f>"0504353021"</f>
        <v>0504353021</v>
      </c>
      <c r="BT2178" s="1" t="s">
        <v>19467</v>
      </c>
      <c r="BX2178" s="1">
        <v>115</v>
      </c>
      <c r="BY2178" s="1">
        <v>115</v>
      </c>
      <c r="BZ2178" s="1">
        <v>115</v>
      </c>
      <c r="CB2178" s="1" t="str">
        <f t="shared" ref="CB2178:CC2178" si="1665">""</f>
        <v/>
      </c>
      <c r="CC2178" s="1" t="str">
        <f t="shared" si="1665"/>
        <v/>
      </c>
      <c r="CG2178" s="1" t="s">
        <v>2121</v>
      </c>
      <c r="CH2178" s="1" t="s">
        <v>277</v>
      </c>
      <c r="CK2178" s="1" t="s">
        <v>3071</v>
      </c>
      <c r="CL2178" s="1" t="s">
        <v>277</v>
      </c>
      <c r="CO2178" s="1" t="s">
        <v>837</v>
      </c>
      <c r="CP2178" s="1" t="s">
        <v>277</v>
      </c>
      <c r="CS2178" s="1" t="s">
        <v>2070</v>
      </c>
      <c r="CT2178" s="1" t="s">
        <v>277</v>
      </c>
      <c r="CX2178" s="1" t="s">
        <v>224</v>
      </c>
      <c r="DB2178" s="1" t="s">
        <v>224</v>
      </c>
      <c r="DE2178" s="1" t="s">
        <v>516</v>
      </c>
      <c r="DF2178" s="1" t="s">
        <v>277</v>
      </c>
      <c r="DJ2178" s="1" t="s">
        <v>224</v>
      </c>
      <c r="DS2178" s="1" t="s">
        <v>230</v>
      </c>
      <c r="DW2178" s="1" t="s">
        <v>230</v>
      </c>
      <c r="EA2178" s="1" t="s">
        <v>230</v>
      </c>
      <c r="EE2178" s="1" t="s">
        <v>230</v>
      </c>
      <c r="EI2178" s="1" t="s">
        <v>230</v>
      </c>
      <c r="EL2178" s="1" t="s">
        <v>466</v>
      </c>
      <c r="EM2178" s="1" t="s">
        <v>319</v>
      </c>
      <c r="EN2178" s="1" t="s">
        <v>282</v>
      </c>
      <c r="EO2178" s="1" t="s">
        <v>234</v>
      </c>
      <c r="ER2178" s="1" t="s">
        <v>210</v>
      </c>
      <c r="EW2178" s="1" t="s">
        <v>1250</v>
      </c>
      <c r="EZ2178" s="1" t="s">
        <v>287</v>
      </c>
      <c r="FD2178" s="1" t="s">
        <v>246</v>
      </c>
      <c r="FE2178" s="1" t="s">
        <v>870</v>
      </c>
      <c r="FF2178" s="1" t="s">
        <v>248</v>
      </c>
      <c r="FH2178" s="1" t="s">
        <v>249</v>
      </c>
      <c r="FL2178" s="1" t="s">
        <v>358</v>
      </c>
      <c r="FM2178" s="1" t="s">
        <v>252</v>
      </c>
      <c r="FN2178" s="1" t="s">
        <v>213</v>
      </c>
      <c r="FO2178" s="1" t="s">
        <v>213</v>
      </c>
      <c r="FQ2178" s="1" t="s">
        <v>582</v>
      </c>
      <c r="FR2178" s="1" t="s">
        <v>210</v>
      </c>
      <c r="FS2178" s="1" t="s">
        <v>2576</v>
      </c>
      <c r="FT2178" s="1" t="s">
        <v>584</v>
      </c>
      <c r="FU2178" s="1" t="s">
        <v>204</v>
      </c>
      <c r="FW2178" s="1" t="s">
        <v>2577</v>
      </c>
      <c r="FX2178" s="1">
        <v>31982</v>
      </c>
      <c r="FY2178" s="1" t="s">
        <v>2578</v>
      </c>
      <c r="FZ2178" s="1" t="s">
        <v>2579</v>
      </c>
      <c r="GA2178" s="1">
        <v>319888</v>
      </c>
      <c r="GB2178" s="1" t="s">
        <v>2580</v>
      </c>
      <c r="GE2178" s="1" t="s">
        <v>210</v>
      </c>
      <c r="GI2178" s="1" t="s">
        <v>204</v>
      </c>
      <c r="GJ2178" s="1" t="s">
        <v>260</v>
      </c>
      <c r="GK2178" s="1" t="s">
        <v>210</v>
      </c>
      <c r="GL2178" s="2">
        <v>41999</v>
      </c>
      <c r="GM2178" s="1" t="s">
        <v>2581</v>
      </c>
    </row>
    <row r="2179" spans="1:195">
      <c r="A2179" s="1">
        <v>254670</v>
      </c>
      <c r="B2179" s="1" t="s">
        <v>195</v>
      </c>
      <c r="C2179" s="1" t="str">
        <f>"08752099"</f>
        <v>08752099</v>
      </c>
      <c r="D2179" s="1" t="s">
        <v>196</v>
      </c>
      <c r="F2179" s="1" t="str">
        <f>"188"</f>
        <v>188</v>
      </c>
      <c r="G2179" s="2">
        <v>41925</v>
      </c>
      <c r="H2179" s="1">
        <v>263990</v>
      </c>
      <c r="I2179" s="1">
        <v>259990</v>
      </c>
      <c r="J2179" s="1">
        <v>254670</v>
      </c>
      <c r="K2179" s="2">
        <v>41925</v>
      </c>
      <c r="L2179" s="1">
        <v>176</v>
      </c>
      <c r="M2179" s="2">
        <v>42064</v>
      </c>
      <c r="N2179" s="1">
        <v>140</v>
      </c>
      <c r="O2179" s="2">
        <v>42064</v>
      </c>
      <c r="P2179" s="1" t="s">
        <v>1039</v>
      </c>
      <c r="Q2179" s="1" t="s">
        <v>197</v>
      </c>
      <c r="R2179" s="2">
        <v>42093</v>
      </c>
      <c r="S2179" s="1">
        <v>99999</v>
      </c>
      <c r="U2179" s="1">
        <v>297</v>
      </c>
      <c r="V2179" s="1" t="s">
        <v>19468</v>
      </c>
      <c r="W2179" s="1" t="s">
        <v>264</v>
      </c>
      <c r="Y2179" s="1">
        <v>5</v>
      </c>
      <c r="Z2179" s="1" t="s">
        <v>370</v>
      </c>
      <c r="AA2179" s="1" t="s">
        <v>1084</v>
      </c>
      <c r="AB2179" s="1">
        <v>60188</v>
      </c>
      <c r="AD2179" s="1" t="s">
        <v>5169</v>
      </c>
      <c r="AE2179" s="1" t="s">
        <v>5170</v>
      </c>
      <c r="AF2179" s="1">
        <v>2014</v>
      </c>
      <c r="AG2179" s="1" t="s">
        <v>204</v>
      </c>
      <c r="AH2179" s="1" t="s">
        <v>1087</v>
      </c>
      <c r="AI2179" s="1" t="s">
        <v>206</v>
      </c>
      <c r="AJ2179" s="1" t="s">
        <v>269</v>
      </c>
      <c r="AK2179" s="1" t="s">
        <v>19469</v>
      </c>
      <c r="AL2179" s="1">
        <v>5</v>
      </c>
      <c r="AM2179" s="1">
        <v>2</v>
      </c>
      <c r="AN2179" s="1">
        <v>2</v>
      </c>
      <c r="AO2179" s="1">
        <v>1</v>
      </c>
      <c r="AP2179" s="1" t="s">
        <v>209</v>
      </c>
      <c r="AR2179" s="1" t="s">
        <v>210</v>
      </c>
      <c r="AS2179" s="1" t="s">
        <v>204</v>
      </c>
      <c r="AT2179" s="1" t="s">
        <v>211</v>
      </c>
      <c r="AU2179" s="1">
        <v>2</v>
      </c>
      <c r="AW2179" s="1" t="s">
        <v>204</v>
      </c>
      <c r="AX2179" s="1" t="s">
        <v>212</v>
      </c>
      <c r="AZ2179" s="1" t="s">
        <v>751</v>
      </c>
      <c r="BA2179" s="1">
        <v>2013</v>
      </c>
      <c r="BB2179" s="1" t="s">
        <v>210</v>
      </c>
      <c r="BE2179" s="1">
        <v>1706</v>
      </c>
      <c r="BF2179" s="1">
        <v>2</v>
      </c>
      <c r="BG2179" s="1">
        <v>0</v>
      </c>
      <c r="BL2179" s="1">
        <v>130</v>
      </c>
      <c r="BM2179" s="1" t="s">
        <v>204</v>
      </c>
      <c r="BN2179" s="1" t="s">
        <v>213</v>
      </c>
      <c r="BO2179" s="1">
        <v>0</v>
      </c>
      <c r="BP2179" s="1" t="s">
        <v>213</v>
      </c>
      <c r="BQ2179" s="2">
        <v>42039</v>
      </c>
      <c r="BR2179" s="1" t="str">
        <f>"0232307084"</f>
        <v>0232307084</v>
      </c>
      <c r="BT2179" s="1" t="s">
        <v>19470</v>
      </c>
      <c r="BU2179" s="1" t="s">
        <v>4776</v>
      </c>
      <c r="BV2179" s="1" t="s">
        <v>1502</v>
      </c>
      <c r="BW2179" s="1" t="s">
        <v>1092</v>
      </c>
      <c r="BX2179" s="1">
        <v>93</v>
      </c>
      <c r="BY2179" s="1">
        <v>93</v>
      </c>
      <c r="BZ2179" s="1">
        <v>87</v>
      </c>
      <c r="CB2179" s="1" t="str">
        <f>"2"</f>
        <v>2</v>
      </c>
      <c r="CC2179" s="1" t="str">
        <f t="shared" ref="CC2179:CC2180" si="1666">"0"</f>
        <v>0</v>
      </c>
      <c r="CD2179" s="1">
        <v>25</v>
      </c>
      <c r="CE2179" s="1">
        <v>0</v>
      </c>
      <c r="CH2179" s="1" t="s">
        <v>224</v>
      </c>
      <c r="CK2179" s="1" t="s">
        <v>377</v>
      </c>
      <c r="CL2179" s="1" t="s">
        <v>277</v>
      </c>
      <c r="CM2179" s="1" t="s">
        <v>220</v>
      </c>
      <c r="CP2179" s="1" t="s">
        <v>224</v>
      </c>
      <c r="CS2179" s="1" t="s">
        <v>2170</v>
      </c>
      <c r="CT2179" s="1" t="s">
        <v>277</v>
      </c>
      <c r="CU2179" s="1" t="s">
        <v>220</v>
      </c>
      <c r="CX2179" s="1" t="s">
        <v>224</v>
      </c>
      <c r="DB2179" s="1" t="s">
        <v>224</v>
      </c>
      <c r="DE2179" s="1" t="s">
        <v>1297</v>
      </c>
      <c r="DF2179" s="1" t="s">
        <v>219</v>
      </c>
      <c r="DJ2179" s="1" t="s">
        <v>224</v>
      </c>
      <c r="DM2179" s="1" t="s">
        <v>381</v>
      </c>
      <c r="DO2179" s="1" t="s">
        <v>1676</v>
      </c>
      <c r="DR2179" s="1" t="s">
        <v>1297</v>
      </c>
      <c r="DS2179" s="1" t="s">
        <v>219</v>
      </c>
      <c r="DW2179" s="1" t="s">
        <v>230</v>
      </c>
      <c r="DZ2179" s="1" t="s">
        <v>377</v>
      </c>
      <c r="EA2179" s="1" t="s">
        <v>219</v>
      </c>
      <c r="EB2179" s="1" t="s">
        <v>438</v>
      </c>
      <c r="EE2179" s="1" t="s">
        <v>230</v>
      </c>
      <c r="EI2179" s="1" t="s">
        <v>230</v>
      </c>
      <c r="EL2179" s="1" t="s">
        <v>1455</v>
      </c>
      <c r="EM2179" s="1" t="s">
        <v>319</v>
      </c>
      <c r="EN2179" s="1" t="s">
        <v>282</v>
      </c>
      <c r="EO2179" s="1" t="s">
        <v>234</v>
      </c>
      <c r="EQ2179" s="1" t="s">
        <v>15248</v>
      </c>
      <c r="ER2179" s="1" t="s">
        <v>210</v>
      </c>
      <c r="ES2179" s="1" t="s">
        <v>322</v>
      </c>
      <c r="ET2179" s="1" t="s">
        <v>866</v>
      </c>
      <c r="EU2179" s="1" t="s">
        <v>239</v>
      </c>
      <c r="EW2179" s="1" t="s">
        <v>867</v>
      </c>
      <c r="EY2179" s="1" t="s">
        <v>790</v>
      </c>
      <c r="EZ2179" s="1" t="s">
        <v>5173</v>
      </c>
      <c r="FA2179" s="1" t="s">
        <v>1270</v>
      </c>
      <c r="FD2179" s="1" t="s">
        <v>246</v>
      </c>
      <c r="FE2179" s="1" t="s">
        <v>355</v>
      </c>
      <c r="FF2179" s="1" t="s">
        <v>248</v>
      </c>
      <c r="FH2179" s="1" t="s">
        <v>550</v>
      </c>
      <c r="FJ2179" s="1" t="s">
        <v>518</v>
      </c>
      <c r="FL2179" s="1" t="s">
        <v>358</v>
      </c>
      <c r="FM2179" s="1" t="s">
        <v>252</v>
      </c>
      <c r="FN2179" s="1" t="s">
        <v>213</v>
      </c>
      <c r="FO2179" s="1" t="s">
        <v>213</v>
      </c>
      <c r="FQ2179" s="1" t="s">
        <v>3853</v>
      </c>
      <c r="FR2179" s="1" t="s">
        <v>210</v>
      </c>
      <c r="FS2179" s="1" t="s">
        <v>19471</v>
      </c>
      <c r="FT2179" s="1" t="s">
        <v>3855</v>
      </c>
      <c r="FU2179" s="1" t="s">
        <v>204</v>
      </c>
      <c r="FV2179" s="1" t="s">
        <v>4779</v>
      </c>
      <c r="FW2179" s="1" t="s">
        <v>3857</v>
      </c>
      <c r="FX2179" s="1">
        <v>23223</v>
      </c>
      <c r="FY2179" s="1" t="s">
        <v>3858</v>
      </c>
      <c r="FZ2179" s="1" t="s">
        <v>3859</v>
      </c>
      <c r="GA2179" s="1">
        <v>236300</v>
      </c>
      <c r="GC2179" s="1">
        <v>210778</v>
      </c>
      <c r="GE2179" s="1" t="s">
        <v>480</v>
      </c>
      <c r="GI2179" s="1" t="s">
        <v>204</v>
      </c>
      <c r="GJ2179" s="1" t="s">
        <v>300</v>
      </c>
      <c r="GK2179" s="1" t="s">
        <v>210</v>
      </c>
      <c r="GL2179" s="2">
        <v>42093</v>
      </c>
      <c r="GM2179" s="1" t="s">
        <v>19472</v>
      </c>
    </row>
    <row r="2180" spans="1:195">
      <c r="A2180" s="1">
        <v>193500</v>
      </c>
      <c r="B2180" s="1" t="s">
        <v>195</v>
      </c>
      <c r="C2180" s="1" t="str">
        <f>"08759041"</f>
        <v>08759041</v>
      </c>
      <c r="D2180" s="1" t="s">
        <v>196</v>
      </c>
      <c r="F2180" s="1" t="str">
        <f>"656"</f>
        <v>656</v>
      </c>
      <c r="G2180" s="2">
        <v>41934</v>
      </c>
      <c r="H2180" s="1">
        <v>199900</v>
      </c>
      <c r="I2180" s="1">
        <v>199900</v>
      </c>
      <c r="J2180" s="1">
        <v>193500</v>
      </c>
      <c r="K2180" s="2">
        <v>41934</v>
      </c>
      <c r="L2180" s="1">
        <v>20</v>
      </c>
      <c r="M2180" s="2">
        <v>41953</v>
      </c>
      <c r="N2180" s="1">
        <v>20</v>
      </c>
      <c r="O2180" s="2">
        <v>41953</v>
      </c>
      <c r="P2180" s="1">
        <v>8902</v>
      </c>
      <c r="Q2180" s="1" t="s">
        <v>197</v>
      </c>
      <c r="R2180" s="2">
        <v>41988</v>
      </c>
      <c r="S2180" s="1">
        <v>920613</v>
      </c>
      <c r="U2180" s="1">
        <v>7420</v>
      </c>
      <c r="V2180" s="1" t="s">
        <v>303</v>
      </c>
      <c r="W2180" s="1" t="s">
        <v>425</v>
      </c>
      <c r="X2180" s="1">
        <v>308</v>
      </c>
      <c r="Y2180" s="1">
        <v>139</v>
      </c>
      <c r="Z2180" s="1" t="s">
        <v>249</v>
      </c>
      <c r="AA2180" s="1" t="s">
        <v>6222</v>
      </c>
      <c r="AB2180" s="1">
        <v>60706</v>
      </c>
      <c r="AD2180" s="1" t="s">
        <v>19473</v>
      </c>
      <c r="AE2180" s="1" t="s">
        <v>19474</v>
      </c>
      <c r="AF2180" s="1">
        <v>1992</v>
      </c>
      <c r="AG2180" s="1" t="s">
        <v>204</v>
      </c>
      <c r="AH2180" s="1" t="s">
        <v>6224</v>
      </c>
      <c r="AI2180" s="1" t="s">
        <v>310</v>
      </c>
      <c r="AJ2180" s="1" t="s">
        <v>3200</v>
      </c>
      <c r="AL2180" s="1">
        <v>5</v>
      </c>
      <c r="AM2180" s="1">
        <v>2</v>
      </c>
      <c r="AN2180" s="1">
        <v>2</v>
      </c>
      <c r="AO2180" s="1">
        <v>0</v>
      </c>
      <c r="AP2180" s="1" t="s">
        <v>209</v>
      </c>
      <c r="AR2180" s="1" t="s">
        <v>210</v>
      </c>
      <c r="AS2180" s="1" t="s">
        <v>204</v>
      </c>
      <c r="AT2180" s="1" t="s">
        <v>211</v>
      </c>
      <c r="AU2180" s="1">
        <v>2</v>
      </c>
      <c r="AW2180" s="1" t="s">
        <v>204</v>
      </c>
      <c r="AX2180" s="1" t="s">
        <v>4740</v>
      </c>
      <c r="AZ2180" s="1">
        <v>2522.5300000000002</v>
      </c>
      <c r="BA2180" s="1">
        <v>2013</v>
      </c>
      <c r="BB2180" s="1" t="s">
        <v>405</v>
      </c>
      <c r="BE2180" s="1">
        <v>1200</v>
      </c>
      <c r="BF2180" s="1">
        <v>3</v>
      </c>
      <c r="BG2180" s="1">
        <v>30</v>
      </c>
      <c r="BJ2180" s="1">
        <v>100</v>
      </c>
      <c r="BL2180" s="1">
        <v>308</v>
      </c>
      <c r="BM2180" s="1" t="s">
        <v>204</v>
      </c>
      <c r="BN2180" s="1" t="s">
        <v>213</v>
      </c>
      <c r="BO2180" s="1">
        <v>15</v>
      </c>
      <c r="BP2180" s="1" t="s">
        <v>204</v>
      </c>
      <c r="BR2180" s="1" t="str">
        <f>"12124230251030"</f>
        <v>12124230251030</v>
      </c>
      <c r="BT2180" s="1" t="s">
        <v>19475</v>
      </c>
      <c r="BU2180" s="1" t="s">
        <v>8426</v>
      </c>
      <c r="BV2180" s="1" t="s">
        <v>8426</v>
      </c>
      <c r="BW2180" s="1" t="s">
        <v>8427</v>
      </c>
      <c r="BX2180" s="1">
        <v>79</v>
      </c>
      <c r="BY2180" s="1">
        <v>79</v>
      </c>
      <c r="BZ2180" s="1">
        <v>207</v>
      </c>
      <c r="CB2180" s="1" t="str">
        <f>"4800"</f>
        <v>4800</v>
      </c>
      <c r="CC2180" s="1" t="str">
        <f t="shared" si="1666"/>
        <v>0</v>
      </c>
      <c r="CD2180" s="1">
        <v>7420</v>
      </c>
      <c r="CE2180" s="1">
        <v>0</v>
      </c>
      <c r="CG2180" s="1" t="s">
        <v>669</v>
      </c>
      <c r="CH2180" s="1" t="s">
        <v>219</v>
      </c>
      <c r="CI2180" s="1" t="s">
        <v>438</v>
      </c>
      <c r="CK2180" s="1" t="s">
        <v>1045</v>
      </c>
      <c r="CL2180" s="1" t="s">
        <v>219</v>
      </c>
      <c r="CM2180" s="1" t="s">
        <v>438</v>
      </c>
      <c r="CO2180" s="1" t="s">
        <v>223</v>
      </c>
      <c r="CP2180" s="1" t="s">
        <v>219</v>
      </c>
      <c r="CQ2180" s="1" t="s">
        <v>438</v>
      </c>
      <c r="CS2180" s="1" t="s">
        <v>379</v>
      </c>
      <c r="CT2180" s="1" t="s">
        <v>219</v>
      </c>
      <c r="CU2180" s="1" t="s">
        <v>438</v>
      </c>
      <c r="CX2180" s="1" t="s">
        <v>224</v>
      </c>
      <c r="DB2180" s="1" t="s">
        <v>224</v>
      </c>
      <c r="DE2180" s="1" t="s">
        <v>757</v>
      </c>
      <c r="DF2180" s="1" t="s">
        <v>219</v>
      </c>
      <c r="DG2180" s="1" t="s">
        <v>226</v>
      </c>
      <c r="DJ2180" s="1" t="s">
        <v>224</v>
      </c>
      <c r="DS2180" s="1" t="s">
        <v>230</v>
      </c>
      <c r="DW2180" s="1" t="s">
        <v>230</v>
      </c>
      <c r="EA2180" s="1" t="s">
        <v>230</v>
      </c>
      <c r="EE2180" s="1" t="s">
        <v>230</v>
      </c>
      <c r="EI2180" s="1" t="s">
        <v>230</v>
      </c>
      <c r="EL2180" s="1" t="s">
        <v>382</v>
      </c>
      <c r="EM2180" s="1" t="s">
        <v>232</v>
      </c>
      <c r="EN2180" s="1" t="s">
        <v>282</v>
      </c>
      <c r="EO2180" s="1" t="s">
        <v>234</v>
      </c>
      <c r="EP2180" s="1" t="s">
        <v>19476</v>
      </c>
      <c r="EQ2180" s="1" t="s">
        <v>236</v>
      </c>
      <c r="ER2180" s="1" t="s">
        <v>210</v>
      </c>
      <c r="ES2180" s="1" t="s">
        <v>3914</v>
      </c>
      <c r="EU2180" s="1" t="s">
        <v>610</v>
      </c>
      <c r="EV2180" s="1" t="s">
        <v>324</v>
      </c>
      <c r="EW2180" s="1" t="s">
        <v>286</v>
      </c>
      <c r="EY2180" s="1" t="s">
        <v>242</v>
      </c>
      <c r="EZ2180" s="1" t="s">
        <v>287</v>
      </c>
      <c r="FA2180" s="1" t="s">
        <v>5547</v>
      </c>
      <c r="FB2180" s="1" t="s">
        <v>4027</v>
      </c>
      <c r="FD2180" s="1" t="s">
        <v>290</v>
      </c>
      <c r="FE2180" s="1" t="s">
        <v>247</v>
      </c>
      <c r="FF2180" s="1" t="s">
        <v>248</v>
      </c>
      <c r="FH2180" s="1" t="s">
        <v>249</v>
      </c>
      <c r="FI2180" s="1" t="s">
        <v>357</v>
      </c>
      <c r="FL2180" s="1" t="s">
        <v>358</v>
      </c>
      <c r="FM2180" s="1" t="s">
        <v>252</v>
      </c>
      <c r="FN2180" s="1" t="s">
        <v>213</v>
      </c>
      <c r="FO2180" s="1" t="s">
        <v>213</v>
      </c>
      <c r="FQ2180" s="1" t="s">
        <v>1286</v>
      </c>
      <c r="FR2180" s="1" t="s">
        <v>210</v>
      </c>
      <c r="FS2180" s="1" t="s">
        <v>19477</v>
      </c>
      <c r="FT2180" s="1" t="s">
        <v>1182</v>
      </c>
      <c r="FU2180" s="1" t="s">
        <v>204</v>
      </c>
      <c r="FW2180" s="1" t="s">
        <v>10171</v>
      </c>
      <c r="FX2180" s="1">
        <v>13691</v>
      </c>
      <c r="FY2180" s="1" t="s">
        <v>10172</v>
      </c>
      <c r="FZ2180" s="1" t="s">
        <v>19478</v>
      </c>
      <c r="GA2180" s="1">
        <v>143965</v>
      </c>
      <c r="GB2180" s="1" t="s">
        <v>19479</v>
      </c>
      <c r="GC2180" s="1">
        <v>149742</v>
      </c>
      <c r="GE2180" s="1" t="s">
        <v>658</v>
      </c>
      <c r="GH2180" s="1" t="s">
        <v>589</v>
      </c>
      <c r="GI2180" s="1" t="s">
        <v>213</v>
      </c>
      <c r="GJ2180" s="1" t="s">
        <v>260</v>
      </c>
      <c r="GK2180" s="1" t="s">
        <v>210</v>
      </c>
      <c r="GL2180" s="2">
        <v>41988</v>
      </c>
    </row>
    <row r="2181" spans="1:195">
      <c r="A2181" s="1">
        <v>241000</v>
      </c>
      <c r="B2181" s="1" t="s">
        <v>195</v>
      </c>
      <c r="C2181" s="1" t="str">
        <f>"08759008"</f>
        <v>08759008</v>
      </c>
      <c r="D2181" s="1" t="s">
        <v>196</v>
      </c>
      <c r="F2181" s="1" t="str">
        <f>"532"</f>
        <v>532</v>
      </c>
      <c r="G2181" s="2">
        <v>41934</v>
      </c>
      <c r="H2181" s="1">
        <v>274900</v>
      </c>
      <c r="I2181" s="1">
        <v>244900</v>
      </c>
      <c r="J2181" s="1">
        <v>241000</v>
      </c>
      <c r="K2181" s="2">
        <v>41933</v>
      </c>
      <c r="L2181" s="1">
        <v>81</v>
      </c>
      <c r="M2181" s="2">
        <v>42013</v>
      </c>
      <c r="N2181" s="1">
        <v>81</v>
      </c>
      <c r="O2181" s="2">
        <v>42013</v>
      </c>
      <c r="P2181" s="1">
        <v>22739</v>
      </c>
      <c r="Q2181" s="1" t="s">
        <v>197</v>
      </c>
      <c r="R2181" s="2">
        <v>42058</v>
      </c>
      <c r="S2181" s="1">
        <v>26234</v>
      </c>
      <c r="U2181" s="1">
        <v>443</v>
      </c>
      <c r="V2181" s="1" t="s">
        <v>303</v>
      </c>
      <c r="W2181" s="1" t="s">
        <v>504</v>
      </c>
      <c r="Y2181" s="1">
        <v>4</v>
      </c>
      <c r="Z2181" s="1" t="s">
        <v>370</v>
      </c>
      <c r="AA2181" s="1" t="s">
        <v>1566</v>
      </c>
      <c r="AB2181" s="1">
        <v>60532</v>
      </c>
      <c r="AD2181" s="1" t="s">
        <v>11272</v>
      </c>
      <c r="AE2181" s="1" t="s">
        <v>19480</v>
      </c>
      <c r="AF2181" s="1">
        <v>1999</v>
      </c>
      <c r="AG2181" s="1" t="s">
        <v>204</v>
      </c>
      <c r="AH2181" s="1" t="s">
        <v>925</v>
      </c>
      <c r="AI2181" s="1" t="s">
        <v>206</v>
      </c>
      <c r="AJ2181" s="1" t="s">
        <v>925</v>
      </c>
      <c r="AL2181" s="1">
        <v>7</v>
      </c>
      <c r="AM2181" s="1">
        <v>2</v>
      </c>
      <c r="AN2181" s="1">
        <v>3</v>
      </c>
      <c r="AO2181" s="1">
        <v>1</v>
      </c>
      <c r="AP2181" s="1" t="s">
        <v>209</v>
      </c>
      <c r="AQ2181" s="1">
        <v>1</v>
      </c>
      <c r="AR2181" s="1" t="s">
        <v>209</v>
      </c>
      <c r="AS2181" s="1" t="s">
        <v>213</v>
      </c>
      <c r="AT2181" s="1" t="s">
        <v>211</v>
      </c>
      <c r="AU2181" s="1">
        <v>2</v>
      </c>
      <c r="AW2181" s="1" t="s">
        <v>204</v>
      </c>
      <c r="AX2181" s="1" t="s">
        <v>19481</v>
      </c>
      <c r="AZ2181" s="1">
        <v>5669</v>
      </c>
      <c r="BA2181" s="1">
        <v>2013</v>
      </c>
      <c r="BE2181" s="1">
        <v>0</v>
      </c>
      <c r="BF2181" s="1">
        <v>1</v>
      </c>
      <c r="BG2181" s="1">
        <v>0</v>
      </c>
      <c r="BL2181" s="1">
        <v>260</v>
      </c>
      <c r="BM2181" s="1" t="s">
        <v>204</v>
      </c>
      <c r="BN2181" s="1" t="s">
        <v>213</v>
      </c>
      <c r="BO2181" s="1">
        <v>50</v>
      </c>
      <c r="BP2181" s="1" t="s">
        <v>204</v>
      </c>
      <c r="BR2181" s="1" t="str">
        <f>"0814213034"</f>
        <v>0814213034</v>
      </c>
      <c r="BT2181" s="1" t="s">
        <v>19482</v>
      </c>
      <c r="BX2181" s="1">
        <v>202</v>
      </c>
      <c r="BY2181" s="1">
        <v>202</v>
      </c>
      <c r="BZ2181" s="1">
        <v>202</v>
      </c>
      <c r="CB2181" s="1" t="str">
        <f t="shared" ref="CB2181:CC2181" si="1667">""</f>
        <v/>
      </c>
      <c r="CC2181" s="1" t="str">
        <f t="shared" si="1667"/>
        <v/>
      </c>
      <c r="CG2181" s="1" t="s">
        <v>317</v>
      </c>
      <c r="CH2181" s="1" t="s">
        <v>219</v>
      </c>
      <c r="CK2181" s="1" t="s">
        <v>437</v>
      </c>
      <c r="CL2181" s="1" t="s">
        <v>277</v>
      </c>
      <c r="CO2181" s="1" t="s">
        <v>223</v>
      </c>
      <c r="CP2181" s="1" t="s">
        <v>219</v>
      </c>
      <c r="CS2181" s="1" t="s">
        <v>408</v>
      </c>
      <c r="CT2181" s="1" t="s">
        <v>277</v>
      </c>
      <c r="CX2181" s="1" t="s">
        <v>224</v>
      </c>
      <c r="DB2181" s="1" t="s">
        <v>224</v>
      </c>
      <c r="DE2181" s="1" t="s">
        <v>16061</v>
      </c>
      <c r="DF2181" s="1" t="s">
        <v>219</v>
      </c>
      <c r="DI2181" s="1" t="s">
        <v>223</v>
      </c>
      <c r="DJ2181" s="1" t="s">
        <v>219</v>
      </c>
      <c r="DM2181" s="1" t="s">
        <v>464</v>
      </c>
      <c r="DN2181" s="1" t="s">
        <v>3011</v>
      </c>
      <c r="DR2181" s="1" t="s">
        <v>836</v>
      </c>
      <c r="DS2181" s="1" t="s">
        <v>277</v>
      </c>
      <c r="DV2181" s="1" t="s">
        <v>318</v>
      </c>
      <c r="DW2181" s="1" t="s">
        <v>219</v>
      </c>
      <c r="EA2181" s="1" t="s">
        <v>230</v>
      </c>
      <c r="EE2181" s="1" t="s">
        <v>230</v>
      </c>
      <c r="EI2181" s="1" t="s">
        <v>230</v>
      </c>
      <c r="EL2181" s="1" t="s">
        <v>670</v>
      </c>
      <c r="EM2181" s="1" t="s">
        <v>319</v>
      </c>
      <c r="EN2181" s="1" t="s">
        <v>282</v>
      </c>
      <c r="EO2181" s="1" t="s">
        <v>234</v>
      </c>
      <c r="ER2181" s="1" t="s">
        <v>544</v>
      </c>
      <c r="EW2181" s="1" t="s">
        <v>887</v>
      </c>
      <c r="EZ2181" s="1" t="s">
        <v>7165</v>
      </c>
      <c r="FD2181" s="1" t="s">
        <v>246</v>
      </c>
      <c r="FE2181" s="1" t="s">
        <v>247</v>
      </c>
      <c r="FF2181" s="1" t="s">
        <v>248</v>
      </c>
      <c r="FH2181" s="1" t="s">
        <v>550</v>
      </c>
      <c r="FL2181" s="1" t="s">
        <v>358</v>
      </c>
      <c r="FM2181" s="1" t="s">
        <v>252</v>
      </c>
      <c r="FN2181" s="1" t="s">
        <v>213</v>
      </c>
      <c r="FO2181" s="1" t="s">
        <v>213</v>
      </c>
      <c r="FQ2181" s="1" t="s">
        <v>673</v>
      </c>
      <c r="FR2181" s="1" t="s">
        <v>210</v>
      </c>
      <c r="FS2181" s="1" t="s">
        <v>8786</v>
      </c>
      <c r="FT2181" s="1" t="s">
        <v>255</v>
      </c>
      <c r="FU2181" s="1" t="s">
        <v>204</v>
      </c>
      <c r="FW2181" s="1" t="s">
        <v>1303</v>
      </c>
      <c r="FX2181" s="1">
        <v>24072</v>
      </c>
      <c r="FY2181" s="1" t="s">
        <v>1304</v>
      </c>
      <c r="FZ2181" s="1" t="s">
        <v>1305</v>
      </c>
      <c r="GA2181" s="1">
        <v>222267</v>
      </c>
      <c r="GB2181" s="1" t="s">
        <v>1304</v>
      </c>
      <c r="GC2181" s="1">
        <v>235600</v>
      </c>
      <c r="GD2181" s="1" t="s">
        <v>2754</v>
      </c>
      <c r="GE2181" s="1" t="s">
        <v>210</v>
      </c>
      <c r="GI2181" s="1" t="s">
        <v>213</v>
      </c>
      <c r="GJ2181" s="1" t="s">
        <v>260</v>
      </c>
      <c r="GK2181" s="1" t="s">
        <v>210</v>
      </c>
      <c r="GL2181" s="2">
        <v>42058</v>
      </c>
      <c r="GM2181" s="1" t="s">
        <v>19483</v>
      </c>
    </row>
    <row r="2182" spans="1:195">
      <c r="A2182" s="1">
        <v>127000</v>
      </c>
      <c r="B2182" s="1" t="s">
        <v>195</v>
      </c>
      <c r="C2182" s="1" t="str">
        <f>"08759646"</f>
        <v>08759646</v>
      </c>
      <c r="D2182" s="1" t="s">
        <v>196</v>
      </c>
      <c r="F2182" s="1" t="str">
        <f>"188"</f>
        <v>188</v>
      </c>
      <c r="G2182" s="2">
        <v>41935</v>
      </c>
      <c r="H2182" s="1">
        <v>135000</v>
      </c>
      <c r="I2182" s="1">
        <v>135000</v>
      </c>
      <c r="J2182" s="1">
        <v>127000</v>
      </c>
      <c r="K2182" s="2">
        <v>41934</v>
      </c>
      <c r="L2182" s="1">
        <v>22</v>
      </c>
      <c r="M2182" s="2">
        <v>41955</v>
      </c>
      <c r="N2182" s="1">
        <v>22</v>
      </c>
      <c r="O2182" s="2">
        <v>41955</v>
      </c>
      <c r="P2182" s="1">
        <v>22005</v>
      </c>
      <c r="Q2182" s="1" t="s">
        <v>197</v>
      </c>
      <c r="R2182" s="2">
        <v>42040</v>
      </c>
      <c r="S2182" s="1">
        <v>237111</v>
      </c>
      <c r="U2182" s="1">
        <v>1056</v>
      </c>
      <c r="V2182" s="1" t="s">
        <v>19484</v>
      </c>
      <c r="W2182" s="1" t="s">
        <v>264</v>
      </c>
      <c r="Y2182" s="1">
        <v>7</v>
      </c>
      <c r="Z2182" s="1" t="s">
        <v>370</v>
      </c>
      <c r="AA2182" s="1" t="s">
        <v>1084</v>
      </c>
      <c r="AB2182" s="1">
        <v>60188</v>
      </c>
      <c r="AD2182" s="1" t="s">
        <v>12441</v>
      </c>
      <c r="AE2182" s="1" t="s">
        <v>19485</v>
      </c>
      <c r="AF2182" s="1">
        <v>1989</v>
      </c>
      <c r="AG2182" s="1" t="s">
        <v>204</v>
      </c>
      <c r="AH2182" s="1" t="s">
        <v>1087</v>
      </c>
      <c r="AI2182" s="1" t="s">
        <v>206</v>
      </c>
      <c r="AJ2182" s="1" t="s">
        <v>269</v>
      </c>
      <c r="AL2182" s="1">
        <v>5</v>
      </c>
      <c r="AM2182" s="1">
        <v>2</v>
      </c>
      <c r="AN2182" s="1">
        <v>2</v>
      </c>
      <c r="AO2182" s="1">
        <v>0</v>
      </c>
      <c r="AP2182" s="1" t="s">
        <v>209</v>
      </c>
      <c r="AQ2182" s="1">
        <v>1</v>
      </c>
      <c r="AR2182" s="1" t="s">
        <v>210</v>
      </c>
      <c r="AT2182" s="1" t="s">
        <v>211</v>
      </c>
      <c r="AU2182" s="1">
        <v>1</v>
      </c>
      <c r="AW2182" s="1" t="s">
        <v>204</v>
      </c>
      <c r="AX2182" s="1" t="s">
        <v>212</v>
      </c>
      <c r="AZ2182" s="1">
        <v>3981.3</v>
      </c>
      <c r="BA2182" s="1">
        <v>2013</v>
      </c>
      <c r="BE2182" s="1">
        <v>1142</v>
      </c>
      <c r="BF2182" s="1">
        <v>2</v>
      </c>
      <c r="BG2182" s="1">
        <v>0</v>
      </c>
      <c r="BL2182" s="1">
        <v>235</v>
      </c>
      <c r="BM2182" s="1" t="s">
        <v>204</v>
      </c>
      <c r="BN2182" s="1" t="s">
        <v>213</v>
      </c>
      <c r="BO2182" s="1">
        <v>50</v>
      </c>
      <c r="BP2182" s="1" t="s">
        <v>204</v>
      </c>
      <c r="BR2182" s="1" t="str">
        <f>"0219417033"</f>
        <v>0219417033</v>
      </c>
      <c r="BT2182" s="1" t="s">
        <v>19486</v>
      </c>
      <c r="BX2182" s="1">
        <v>93</v>
      </c>
      <c r="BY2182" s="1">
        <v>93</v>
      </c>
      <c r="BZ2182" s="1">
        <v>87</v>
      </c>
      <c r="CB2182" s="1" t="str">
        <f t="shared" ref="CB2182:CC2182" si="1668">""</f>
        <v/>
      </c>
      <c r="CC2182" s="1" t="str">
        <f t="shared" si="1668"/>
        <v/>
      </c>
      <c r="CG2182" s="1" t="s">
        <v>437</v>
      </c>
      <c r="CH2182" s="1" t="s">
        <v>277</v>
      </c>
      <c r="CK2182" s="1" t="s">
        <v>278</v>
      </c>
      <c r="CL2182" s="1" t="s">
        <v>277</v>
      </c>
      <c r="CM2182" s="1" t="s">
        <v>220</v>
      </c>
      <c r="CN2182" s="1" t="s">
        <v>343</v>
      </c>
      <c r="CO2182" s="1" t="s">
        <v>379</v>
      </c>
      <c r="CP2182" s="1" t="s">
        <v>277</v>
      </c>
      <c r="CS2182" s="1" t="s">
        <v>346</v>
      </c>
      <c r="CT2182" s="1" t="s">
        <v>277</v>
      </c>
      <c r="CX2182" s="1" t="s">
        <v>224</v>
      </c>
      <c r="DB2182" s="1" t="s">
        <v>224</v>
      </c>
      <c r="DE2182" s="1" t="s">
        <v>686</v>
      </c>
      <c r="DF2182" s="1" t="s">
        <v>277</v>
      </c>
      <c r="DJ2182" s="1" t="s">
        <v>224</v>
      </c>
      <c r="DM2182" s="1" t="s">
        <v>709</v>
      </c>
      <c r="DR2182" s="1" t="s">
        <v>864</v>
      </c>
      <c r="DS2182" s="1" t="s">
        <v>219</v>
      </c>
      <c r="DW2182" s="1" t="s">
        <v>230</v>
      </c>
      <c r="EA2182" s="1" t="s">
        <v>230</v>
      </c>
      <c r="EE2182" s="1" t="s">
        <v>230</v>
      </c>
      <c r="EI2182" s="1" t="s">
        <v>230</v>
      </c>
      <c r="EL2182" s="1" t="s">
        <v>382</v>
      </c>
      <c r="EM2182" s="1" t="s">
        <v>232</v>
      </c>
      <c r="EN2182" s="1" t="s">
        <v>282</v>
      </c>
      <c r="EO2182" s="1" t="s">
        <v>234</v>
      </c>
      <c r="ER2182" s="1" t="s">
        <v>210</v>
      </c>
      <c r="ES2182" s="1" t="s">
        <v>824</v>
      </c>
      <c r="EV2182" s="1" t="s">
        <v>324</v>
      </c>
      <c r="EW2182" s="1" t="s">
        <v>887</v>
      </c>
      <c r="EZ2182" s="1" t="s">
        <v>709</v>
      </c>
      <c r="FD2182" s="1" t="s">
        <v>246</v>
      </c>
      <c r="FE2182" s="1" t="s">
        <v>386</v>
      </c>
      <c r="FF2182" s="1" t="s">
        <v>248</v>
      </c>
      <c r="FG2182" s="1" t="s">
        <v>3685</v>
      </c>
      <c r="FH2182" s="1" t="s">
        <v>825</v>
      </c>
      <c r="FL2182" s="1" t="s">
        <v>358</v>
      </c>
      <c r="FM2182" s="1" t="s">
        <v>252</v>
      </c>
      <c r="FN2182" s="1" t="s">
        <v>213</v>
      </c>
      <c r="FO2182" s="1" t="s">
        <v>213</v>
      </c>
      <c r="FQ2182" s="1" t="s">
        <v>582</v>
      </c>
      <c r="FR2182" s="1" t="s">
        <v>210</v>
      </c>
      <c r="FS2182" s="1" t="s">
        <v>2844</v>
      </c>
      <c r="FT2182" s="1" t="s">
        <v>295</v>
      </c>
      <c r="FU2182" s="1" t="s">
        <v>204</v>
      </c>
      <c r="FW2182" s="1" t="s">
        <v>2845</v>
      </c>
      <c r="FX2182" s="1">
        <v>5293</v>
      </c>
      <c r="FY2182" s="1" t="s">
        <v>2846</v>
      </c>
      <c r="FZ2182" s="1" t="s">
        <v>2847</v>
      </c>
      <c r="GA2182" s="1">
        <v>53957</v>
      </c>
      <c r="GE2182" s="1" t="s">
        <v>210</v>
      </c>
      <c r="GI2182" s="1" t="s">
        <v>204</v>
      </c>
      <c r="GJ2182" s="1" t="s">
        <v>260</v>
      </c>
      <c r="GK2182" s="1" t="s">
        <v>210</v>
      </c>
      <c r="GL2182" s="2">
        <v>42041</v>
      </c>
      <c r="GM2182" s="1" t="s">
        <v>19487</v>
      </c>
    </row>
    <row r="2183" spans="1:195">
      <c r="A2183" s="1">
        <v>220000</v>
      </c>
      <c r="B2183" s="1" t="s">
        <v>195</v>
      </c>
      <c r="C2183" s="1" t="str">
        <f>"08755908"</f>
        <v>08755908</v>
      </c>
      <c r="D2183" s="1" t="s">
        <v>196</v>
      </c>
      <c r="F2183" s="1" t="str">
        <f>"174"</f>
        <v>174</v>
      </c>
      <c r="G2183" s="2">
        <v>41929</v>
      </c>
      <c r="H2183" s="1">
        <v>242000</v>
      </c>
      <c r="I2183" s="1">
        <v>227000</v>
      </c>
      <c r="J2183" s="1">
        <v>220000</v>
      </c>
      <c r="K2183" s="2">
        <v>41929</v>
      </c>
      <c r="L2183" s="1">
        <v>22</v>
      </c>
      <c r="M2183" s="2">
        <v>41950</v>
      </c>
      <c r="N2183" s="1">
        <v>22</v>
      </c>
      <c r="O2183" s="2">
        <v>41950</v>
      </c>
      <c r="P2183" s="1">
        <v>8055</v>
      </c>
      <c r="Q2183" s="1" t="s">
        <v>197</v>
      </c>
      <c r="R2183" s="2">
        <v>42030</v>
      </c>
      <c r="S2183" s="1">
        <v>81967</v>
      </c>
      <c r="U2183" s="1">
        <v>217</v>
      </c>
      <c r="V2183" s="1" t="s">
        <v>8323</v>
      </c>
      <c r="W2183" s="1" t="s">
        <v>264</v>
      </c>
      <c r="Y2183" s="1">
        <v>4</v>
      </c>
      <c r="Z2183" s="1" t="s">
        <v>370</v>
      </c>
      <c r="AA2183" s="1" t="s">
        <v>879</v>
      </c>
      <c r="AB2183" s="1">
        <v>60175</v>
      </c>
      <c r="AD2183" s="1" t="s">
        <v>19488</v>
      </c>
      <c r="AE2183" s="1" t="s">
        <v>19489</v>
      </c>
      <c r="AF2183" s="1">
        <v>2006</v>
      </c>
      <c r="AG2183" s="1" t="s">
        <v>204</v>
      </c>
      <c r="AH2183" s="1" t="s">
        <v>883</v>
      </c>
      <c r="AI2183" s="1" t="s">
        <v>665</v>
      </c>
      <c r="AJ2183" s="1" t="s">
        <v>883</v>
      </c>
      <c r="AL2183" s="1">
        <v>7</v>
      </c>
      <c r="AM2183" s="1">
        <v>2</v>
      </c>
      <c r="AN2183" s="1">
        <v>3</v>
      </c>
      <c r="AO2183" s="1">
        <v>1</v>
      </c>
      <c r="AP2183" s="1" t="s">
        <v>209</v>
      </c>
      <c r="AQ2183" s="1">
        <v>1</v>
      </c>
      <c r="AR2183" s="1" t="s">
        <v>209</v>
      </c>
      <c r="AS2183" s="1" t="s">
        <v>213</v>
      </c>
      <c r="AT2183" s="1" t="s">
        <v>211</v>
      </c>
      <c r="AU2183" s="1">
        <v>2</v>
      </c>
      <c r="AW2183" s="1" t="s">
        <v>204</v>
      </c>
      <c r="AX2183" s="1" t="s">
        <v>212</v>
      </c>
      <c r="AZ2183" s="1">
        <v>6118.26</v>
      </c>
      <c r="BA2183" s="1">
        <v>2013</v>
      </c>
      <c r="BB2183" s="1" t="s">
        <v>405</v>
      </c>
      <c r="BE2183" s="1">
        <v>1804</v>
      </c>
      <c r="BF2183" s="1">
        <v>1</v>
      </c>
      <c r="BG2183" s="1">
        <v>0</v>
      </c>
      <c r="BL2183" s="1">
        <v>183</v>
      </c>
      <c r="BM2183" s="1" t="s">
        <v>204</v>
      </c>
      <c r="BN2183" s="1" t="s">
        <v>213</v>
      </c>
      <c r="BO2183" s="1">
        <v>999</v>
      </c>
      <c r="BP2183" s="1" t="s">
        <v>204</v>
      </c>
      <c r="BR2183" s="1" t="str">
        <f>"0929160027"</f>
        <v>0929160027</v>
      </c>
      <c r="BT2183" s="1" t="s">
        <v>19490</v>
      </c>
      <c r="BX2183" s="1">
        <v>303</v>
      </c>
      <c r="BY2183" s="1">
        <v>303</v>
      </c>
      <c r="BZ2183" s="1">
        <v>303</v>
      </c>
      <c r="CB2183" s="1" t="str">
        <f t="shared" ref="CB2183:CC2183" si="1669">""</f>
        <v/>
      </c>
      <c r="CC2183" s="1" t="str">
        <f t="shared" si="1669"/>
        <v/>
      </c>
      <c r="CH2183" s="1" t="s">
        <v>224</v>
      </c>
      <c r="CK2183" s="1" t="s">
        <v>16874</v>
      </c>
      <c r="CL2183" s="1" t="s">
        <v>277</v>
      </c>
      <c r="CM2183" s="1" t="s">
        <v>220</v>
      </c>
      <c r="CN2183" s="1" t="s">
        <v>343</v>
      </c>
      <c r="CO2183" s="1" t="s">
        <v>2466</v>
      </c>
      <c r="CP2183" s="1" t="s">
        <v>219</v>
      </c>
      <c r="CQ2183" s="1" t="s">
        <v>438</v>
      </c>
      <c r="CS2183" s="1" t="s">
        <v>1469</v>
      </c>
      <c r="CT2183" s="1" t="s">
        <v>277</v>
      </c>
      <c r="CU2183" s="1" t="s">
        <v>220</v>
      </c>
      <c r="CV2183" s="1" t="s">
        <v>343</v>
      </c>
      <c r="CX2183" s="1" t="s">
        <v>224</v>
      </c>
      <c r="DB2183" s="1" t="s">
        <v>224</v>
      </c>
      <c r="DE2183" s="1" t="s">
        <v>3083</v>
      </c>
      <c r="DF2183" s="1" t="s">
        <v>219</v>
      </c>
      <c r="DG2183" s="1" t="s">
        <v>438</v>
      </c>
      <c r="DH2183" s="1" t="s">
        <v>343</v>
      </c>
      <c r="DI2183" s="1" t="s">
        <v>2170</v>
      </c>
      <c r="DJ2183" s="1" t="s">
        <v>219</v>
      </c>
      <c r="DK2183" s="1" t="s">
        <v>438</v>
      </c>
      <c r="DL2183" s="1" t="s">
        <v>343</v>
      </c>
      <c r="DM2183" s="1" t="s">
        <v>464</v>
      </c>
      <c r="DN2183" s="1" t="s">
        <v>934</v>
      </c>
      <c r="DR2183" s="1" t="s">
        <v>490</v>
      </c>
      <c r="DS2183" s="1" t="s">
        <v>277</v>
      </c>
      <c r="DT2183" s="1" t="s">
        <v>220</v>
      </c>
      <c r="DU2183" s="1" t="s">
        <v>343</v>
      </c>
      <c r="DV2183" s="1" t="s">
        <v>19491</v>
      </c>
      <c r="DW2183" s="1" t="s">
        <v>43</v>
      </c>
      <c r="DX2183" s="1" t="s">
        <v>220</v>
      </c>
      <c r="EA2183" s="1" t="s">
        <v>230</v>
      </c>
      <c r="EE2183" s="1" t="s">
        <v>230</v>
      </c>
      <c r="EI2183" s="1" t="s">
        <v>230</v>
      </c>
      <c r="EL2183" s="1" t="s">
        <v>491</v>
      </c>
      <c r="EM2183" s="1" t="s">
        <v>319</v>
      </c>
      <c r="EN2183" s="1" t="s">
        <v>282</v>
      </c>
      <c r="EO2183" s="1" t="s">
        <v>234</v>
      </c>
      <c r="EP2183" s="1" t="s">
        <v>650</v>
      </c>
      <c r="EQ2183" s="1" t="s">
        <v>19492</v>
      </c>
      <c r="ER2183" s="1" t="s">
        <v>544</v>
      </c>
      <c r="ES2183" s="1" t="s">
        <v>3914</v>
      </c>
      <c r="ET2183" s="1" t="s">
        <v>866</v>
      </c>
      <c r="EU2183" s="1" t="s">
        <v>712</v>
      </c>
      <c r="EV2183" s="1" t="s">
        <v>324</v>
      </c>
      <c r="EW2183" s="1" t="s">
        <v>547</v>
      </c>
      <c r="EZ2183" s="1" t="s">
        <v>3875</v>
      </c>
      <c r="FA2183" s="1" t="s">
        <v>19493</v>
      </c>
      <c r="FD2183" s="1" t="s">
        <v>246</v>
      </c>
      <c r="FE2183" s="1" t="s">
        <v>975</v>
      </c>
      <c r="FF2183" s="1" t="s">
        <v>248</v>
      </c>
      <c r="FG2183" s="1" t="s">
        <v>871</v>
      </c>
      <c r="FH2183" s="1" t="s">
        <v>550</v>
      </c>
      <c r="FI2183" s="1" t="s">
        <v>473</v>
      </c>
      <c r="FL2183" s="1" t="s">
        <v>358</v>
      </c>
      <c r="FM2183" s="1" t="s">
        <v>252</v>
      </c>
      <c r="FN2183" s="1" t="s">
        <v>213</v>
      </c>
      <c r="FO2183" s="1" t="s">
        <v>213</v>
      </c>
      <c r="FQ2183" s="1" t="s">
        <v>1758</v>
      </c>
      <c r="FR2183" s="1" t="s">
        <v>210</v>
      </c>
      <c r="FS2183" s="1" t="s">
        <v>17241</v>
      </c>
      <c r="FT2183" s="1" t="s">
        <v>295</v>
      </c>
      <c r="FU2183" s="1" t="s">
        <v>204</v>
      </c>
      <c r="FW2183" s="1" t="s">
        <v>676</v>
      </c>
      <c r="FX2183" s="1">
        <v>30</v>
      </c>
      <c r="FY2183" s="1" t="s">
        <v>677</v>
      </c>
      <c r="FZ2183" s="1" t="s">
        <v>10845</v>
      </c>
      <c r="GA2183" s="1">
        <v>7679</v>
      </c>
      <c r="GB2183" s="1" t="s">
        <v>10846</v>
      </c>
      <c r="GE2183" s="1" t="s">
        <v>480</v>
      </c>
      <c r="GI2183" s="1" t="s">
        <v>213</v>
      </c>
      <c r="GJ2183" s="1" t="s">
        <v>260</v>
      </c>
      <c r="GK2183" s="1" t="s">
        <v>4920</v>
      </c>
      <c r="GL2183" s="2">
        <v>42030</v>
      </c>
      <c r="GM2183" s="1" t="s">
        <v>19494</v>
      </c>
    </row>
    <row r="2184" spans="1:195">
      <c r="A2184" s="1">
        <v>132700</v>
      </c>
      <c r="B2184" s="1" t="s">
        <v>195</v>
      </c>
      <c r="C2184" s="1" t="str">
        <f>"08753703"</f>
        <v>08753703</v>
      </c>
      <c r="D2184" s="1" t="s">
        <v>196</v>
      </c>
      <c r="F2184" s="1" t="str">
        <f>"104"</f>
        <v>104</v>
      </c>
      <c r="G2184" s="2">
        <v>41927</v>
      </c>
      <c r="H2184" s="1">
        <v>154900</v>
      </c>
      <c r="I2184" s="1">
        <v>154900</v>
      </c>
      <c r="J2184" s="1">
        <v>132700</v>
      </c>
      <c r="K2184" s="2">
        <v>41926</v>
      </c>
      <c r="L2184" s="1">
        <v>38</v>
      </c>
      <c r="M2184" s="2">
        <v>41963</v>
      </c>
      <c r="N2184" s="1">
        <v>38</v>
      </c>
      <c r="O2184" s="2">
        <v>41963</v>
      </c>
      <c r="P2184" s="1">
        <v>24746</v>
      </c>
      <c r="Q2184" s="1" t="s">
        <v>302</v>
      </c>
      <c r="R2184" s="2">
        <v>42047</v>
      </c>
      <c r="S2184" s="1">
        <v>237367</v>
      </c>
      <c r="U2184" s="1">
        <v>1178</v>
      </c>
      <c r="V2184" s="1" t="s">
        <v>12600</v>
      </c>
      <c r="W2184" s="1" t="s">
        <v>1056</v>
      </c>
      <c r="Y2184" s="1">
        <v>4</v>
      </c>
      <c r="Z2184" s="1" t="s">
        <v>370</v>
      </c>
      <c r="AA2184" s="1" t="s">
        <v>371</v>
      </c>
      <c r="AB2184" s="1">
        <v>60103</v>
      </c>
      <c r="AE2184" s="1" t="s">
        <v>19495</v>
      </c>
      <c r="AF2184" s="1">
        <v>1991</v>
      </c>
      <c r="AG2184" s="1" t="s">
        <v>204</v>
      </c>
      <c r="AH2184" s="1" t="s">
        <v>373</v>
      </c>
      <c r="AI2184" s="1" t="s">
        <v>206</v>
      </c>
      <c r="AJ2184" s="1" t="s">
        <v>2654</v>
      </c>
      <c r="AL2184" s="1">
        <v>6</v>
      </c>
      <c r="AM2184" s="1">
        <v>2</v>
      </c>
      <c r="AN2184" s="1">
        <v>2</v>
      </c>
      <c r="AO2184" s="1">
        <v>1</v>
      </c>
      <c r="AP2184" s="1" t="s">
        <v>209</v>
      </c>
      <c r="AQ2184" s="1">
        <v>1</v>
      </c>
      <c r="AR2184" s="1" t="s">
        <v>209</v>
      </c>
      <c r="AS2184" s="1" t="s">
        <v>204</v>
      </c>
      <c r="AT2184" s="1" t="s">
        <v>211</v>
      </c>
      <c r="AU2184" s="1">
        <v>2</v>
      </c>
      <c r="AW2184" s="1" t="s">
        <v>204</v>
      </c>
      <c r="AX2184" s="1" t="s">
        <v>6340</v>
      </c>
      <c r="AZ2184" s="1">
        <v>5957</v>
      </c>
      <c r="BA2184" s="1">
        <v>2013</v>
      </c>
      <c r="BB2184" s="1" t="s">
        <v>405</v>
      </c>
      <c r="BE2184" s="1">
        <v>1723</v>
      </c>
      <c r="BF2184" s="1">
        <v>1</v>
      </c>
      <c r="BG2184" s="1">
        <v>0</v>
      </c>
      <c r="BL2184" s="1">
        <v>262</v>
      </c>
      <c r="BM2184" s="1" t="s">
        <v>204</v>
      </c>
      <c r="BN2184" s="1" t="s">
        <v>213</v>
      </c>
      <c r="BO2184" s="1">
        <v>0</v>
      </c>
      <c r="BP2184" s="1" t="s">
        <v>204</v>
      </c>
      <c r="BR2184" s="1" t="str">
        <f>"0101309041"</f>
        <v>0101309041</v>
      </c>
      <c r="BT2184" s="1" t="s">
        <v>19496</v>
      </c>
      <c r="BX2184" s="1">
        <v>46</v>
      </c>
      <c r="BY2184" s="1">
        <v>46</v>
      </c>
      <c r="BZ2184" s="1">
        <v>46</v>
      </c>
      <c r="CB2184" s="1" t="str">
        <f t="shared" ref="CB2184:CC2184" si="1670">""</f>
        <v/>
      </c>
      <c r="CC2184" s="1" t="str">
        <f t="shared" si="1670"/>
        <v/>
      </c>
      <c r="CG2184" s="1" t="s">
        <v>2121</v>
      </c>
      <c r="CH2184" s="1" t="s">
        <v>219</v>
      </c>
      <c r="CI2184" s="1" t="s">
        <v>220</v>
      </c>
      <c r="CK2184" s="1" t="s">
        <v>3913</v>
      </c>
      <c r="CL2184" s="1" t="s">
        <v>277</v>
      </c>
      <c r="CM2184" s="1" t="s">
        <v>220</v>
      </c>
      <c r="CO2184" s="1" t="s">
        <v>318</v>
      </c>
      <c r="CP2184" s="1" t="s">
        <v>219</v>
      </c>
      <c r="CQ2184" s="1" t="s">
        <v>229</v>
      </c>
      <c r="CS2184" s="1" t="s">
        <v>1854</v>
      </c>
      <c r="CT2184" s="1" t="s">
        <v>277</v>
      </c>
      <c r="CU2184" s="1" t="s">
        <v>220</v>
      </c>
      <c r="CX2184" s="1" t="s">
        <v>224</v>
      </c>
      <c r="DB2184" s="1" t="s">
        <v>224</v>
      </c>
      <c r="DE2184" s="1" t="s">
        <v>378</v>
      </c>
      <c r="DF2184" s="1" t="s">
        <v>219</v>
      </c>
      <c r="DG2184" s="1" t="s">
        <v>229</v>
      </c>
      <c r="DJ2184" s="1" t="s">
        <v>224</v>
      </c>
      <c r="DM2184" s="1" t="s">
        <v>464</v>
      </c>
      <c r="DR2184" s="1" t="s">
        <v>408</v>
      </c>
      <c r="DS2184" s="1" t="s">
        <v>277</v>
      </c>
      <c r="DW2184" s="1" t="s">
        <v>230</v>
      </c>
      <c r="EA2184" s="1" t="s">
        <v>230</v>
      </c>
      <c r="EE2184" s="1" t="s">
        <v>230</v>
      </c>
      <c r="EI2184" s="1" t="s">
        <v>230</v>
      </c>
      <c r="EL2184" s="1" t="s">
        <v>382</v>
      </c>
      <c r="EM2184" s="1" t="s">
        <v>232</v>
      </c>
      <c r="EN2184" s="1" t="s">
        <v>282</v>
      </c>
      <c r="EO2184" s="1" t="s">
        <v>234</v>
      </c>
      <c r="EQ2184" s="1" t="s">
        <v>19497</v>
      </c>
      <c r="ER2184" s="1" t="s">
        <v>544</v>
      </c>
      <c r="ES2184" s="1" t="s">
        <v>322</v>
      </c>
      <c r="EV2184" s="1" t="s">
        <v>324</v>
      </c>
      <c r="EW2184" s="1" t="s">
        <v>353</v>
      </c>
      <c r="EZ2184" s="1" t="s">
        <v>464</v>
      </c>
      <c r="FB2184" s="1" t="s">
        <v>289</v>
      </c>
      <c r="FD2184" s="1" t="s">
        <v>246</v>
      </c>
      <c r="FE2184" s="1" t="s">
        <v>472</v>
      </c>
      <c r="FF2184" s="1" t="s">
        <v>248</v>
      </c>
      <c r="FH2184" s="1" t="s">
        <v>550</v>
      </c>
      <c r="FL2184" s="1" t="s">
        <v>358</v>
      </c>
      <c r="FM2184" s="1" t="s">
        <v>252</v>
      </c>
      <c r="FN2184" s="1" t="s">
        <v>213</v>
      </c>
      <c r="FO2184" s="1" t="s">
        <v>213</v>
      </c>
      <c r="FQ2184" s="1" t="s">
        <v>7064</v>
      </c>
      <c r="FR2184" s="1" t="s">
        <v>360</v>
      </c>
      <c r="FS2184" s="1" t="s">
        <v>19498</v>
      </c>
      <c r="FT2184" s="1" t="s">
        <v>1182</v>
      </c>
      <c r="FU2184" s="1" t="s">
        <v>204</v>
      </c>
      <c r="FW2184" s="1" t="s">
        <v>18494</v>
      </c>
      <c r="FX2184" s="1">
        <v>24746</v>
      </c>
      <c r="FY2184" s="1" t="s">
        <v>18495</v>
      </c>
      <c r="FZ2184" s="1" t="s">
        <v>19499</v>
      </c>
      <c r="GA2184" s="1">
        <v>237367</v>
      </c>
      <c r="GB2184" s="1" t="s">
        <v>19500</v>
      </c>
      <c r="GE2184" s="1" t="s">
        <v>210</v>
      </c>
      <c r="GI2184" s="1" t="s">
        <v>213</v>
      </c>
      <c r="GJ2184" s="1" t="s">
        <v>260</v>
      </c>
      <c r="GK2184" s="1" t="s">
        <v>210</v>
      </c>
      <c r="GL2184" s="2">
        <v>42047</v>
      </c>
      <c r="GM2184" s="2" t="s">
        <v>19501</v>
      </c>
    </row>
    <row r="2185" spans="1:195">
      <c r="A2185" s="1">
        <v>110500</v>
      </c>
      <c r="B2185" s="1" t="s">
        <v>195</v>
      </c>
      <c r="C2185" s="1" t="str">
        <f>"08760527"</f>
        <v>08760527</v>
      </c>
      <c r="D2185" s="1" t="s">
        <v>196</v>
      </c>
      <c r="F2185" s="1" t="str">
        <f>"540"</f>
        <v>540</v>
      </c>
      <c r="G2185" s="2">
        <v>41936</v>
      </c>
      <c r="H2185" s="1">
        <v>115900</v>
      </c>
      <c r="I2185" s="1">
        <v>115900</v>
      </c>
      <c r="J2185" s="1">
        <v>110500</v>
      </c>
      <c r="K2185" s="2">
        <v>41936</v>
      </c>
      <c r="L2185" s="1">
        <v>13</v>
      </c>
      <c r="M2185" s="2">
        <v>41948</v>
      </c>
      <c r="N2185" s="1">
        <v>13</v>
      </c>
      <c r="O2185" s="2">
        <v>41948</v>
      </c>
      <c r="P2185" s="1">
        <v>23156</v>
      </c>
      <c r="Q2185" s="1" t="s">
        <v>197</v>
      </c>
      <c r="R2185" s="2">
        <v>41978</v>
      </c>
      <c r="S2185" s="1">
        <v>239380</v>
      </c>
      <c r="T2185" s="1">
        <v>3000</v>
      </c>
      <c r="U2185" s="1">
        <v>1508</v>
      </c>
      <c r="V2185" s="1" t="s">
        <v>2749</v>
      </c>
      <c r="W2185" s="1" t="s">
        <v>1056</v>
      </c>
      <c r="X2185" s="1">
        <v>386</v>
      </c>
      <c r="Y2185" s="1">
        <v>4</v>
      </c>
      <c r="Z2185" s="1" t="s">
        <v>249</v>
      </c>
      <c r="AA2185" s="1" t="s">
        <v>921</v>
      </c>
      <c r="AB2185" s="1">
        <v>60564</v>
      </c>
      <c r="AC2185" s="1">
        <v>5893</v>
      </c>
      <c r="AD2185" s="1" t="s">
        <v>2750</v>
      </c>
      <c r="AE2185" s="1" t="s">
        <v>19502</v>
      </c>
      <c r="AF2185" s="1">
        <v>1994</v>
      </c>
      <c r="AG2185" s="1" t="s">
        <v>204</v>
      </c>
      <c r="AH2185" s="1" t="s">
        <v>924</v>
      </c>
      <c r="AI2185" s="1" t="s">
        <v>206</v>
      </c>
      <c r="AJ2185" s="1" t="s">
        <v>924</v>
      </c>
      <c r="AL2185" s="1">
        <v>4</v>
      </c>
      <c r="AM2185" s="1">
        <v>2</v>
      </c>
      <c r="AN2185" s="1">
        <v>1</v>
      </c>
      <c r="AO2185" s="1">
        <v>1</v>
      </c>
      <c r="AP2185" s="1" t="s">
        <v>210</v>
      </c>
      <c r="AQ2185" s="1">
        <v>0</v>
      </c>
      <c r="AR2185" s="1" t="s">
        <v>210</v>
      </c>
      <c r="AS2185" s="1" t="s">
        <v>204</v>
      </c>
      <c r="AT2185" s="1" t="s">
        <v>211</v>
      </c>
      <c r="AU2185" s="1">
        <v>1</v>
      </c>
      <c r="AW2185" s="1" t="s">
        <v>204</v>
      </c>
      <c r="AX2185" s="1" t="s">
        <v>212</v>
      </c>
      <c r="AZ2185" s="1">
        <v>2343</v>
      </c>
      <c r="BA2185" s="1">
        <v>2013</v>
      </c>
      <c r="BB2185" s="1" t="s">
        <v>405</v>
      </c>
      <c r="BE2185" s="1">
        <v>1052</v>
      </c>
      <c r="BF2185" s="1">
        <v>1</v>
      </c>
      <c r="BG2185" s="1">
        <v>30</v>
      </c>
      <c r="BK2185" s="1">
        <v>0.78</v>
      </c>
      <c r="BL2185" s="1">
        <v>173</v>
      </c>
      <c r="BM2185" s="1" t="s">
        <v>413</v>
      </c>
      <c r="BN2185" s="1" t="s">
        <v>213</v>
      </c>
      <c r="BO2185" s="1">
        <v>999</v>
      </c>
      <c r="BP2185" s="1" t="s">
        <v>204</v>
      </c>
      <c r="BR2185" s="1" t="str">
        <f>"0732417062"</f>
        <v>0732417062</v>
      </c>
      <c r="BT2185" s="1" t="s">
        <v>19503</v>
      </c>
      <c r="BU2185" s="1" t="s">
        <v>2534</v>
      </c>
      <c r="BV2185" s="1" t="s">
        <v>2535</v>
      </c>
      <c r="BW2185" s="1" t="s">
        <v>1312</v>
      </c>
      <c r="BX2185" s="1">
        <v>204</v>
      </c>
      <c r="BY2185" s="1">
        <v>204</v>
      </c>
      <c r="BZ2185" s="1">
        <v>204</v>
      </c>
      <c r="CB2185" s="1" t="str">
        <f t="shared" ref="CB2185:CC2185" si="1671">""</f>
        <v/>
      </c>
      <c r="CC2185" s="1" t="str">
        <f t="shared" si="1671"/>
        <v/>
      </c>
      <c r="CG2185" s="1" t="s">
        <v>4546</v>
      </c>
      <c r="CH2185" s="1" t="s">
        <v>219</v>
      </c>
      <c r="CI2185" s="1" t="s">
        <v>229</v>
      </c>
      <c r="CJ2185" s="1" t="s">
        <v>909</v>
      </c>
      <c r="CK2185" s="1" t="s">
        <v>3083</v>
      </c>
      <c r="CL2185" s="1" t="s">
        <v>277</v>
      </c>
      <c r="CM2185" s="1" t="s">
        <v>220</v>
      </c>
      <c r="CN2185" s="1" t="s">
        <v>909</v>
      </c>
      <c r="CP2185" s="1" t="s">
        <v>224</v>
      </c>
      <c r="CQ2185" s="1" t="s">
        <v>229</v>
      </c>
      <c r="CR2185" s="1" t="s">
        <v>210</v>
      </c>
      <c r="CS2185" s="1" t="s">
        <v>378</v>
      </c>
      <c r="CT2185" s="1" t="s">
        <v>277</v>
      </c>
      <c r="CU2185" s="1" t="s">
        <v>220</v>
      </c>
      <c r="CV2185" s="1" t="s">
        <v>909</v>
      </c>
      <c r="CX2185" s="1" t="s">
        <v>224</v>
      </c>
      <c r="DB2185" s="1" t="s">
        <v>224</v>
      </c>
      <c r="DE2185" s="1" t="s">
        <v>1470</v>
      </c>
      <c r="DF2185" s="1" t="s">
        <v>219</v>
      </c>
      <c r="DG2185" s="1" t="s">
        <v>229</v>
      </c>
      <c r="DH2185" s="1" t="s">
        <v>210</v>
      </c>
      <c r="DJ2185" s="1" t="s">
        <v>224</v>
      </c>
      <c r="DS2185" s="1" t="s">
        <v>230</v>
      </c>
      <c r="DW2185" s="1" t="s">
        <v>230</v>
      </c>
      <c r="EA2185" s="1" t="s">
        <v>230</v>
      </c>
      <c r="EE2185" s="1" t="s">
        <v>230</v>
      </c>
      <c r="EI2185" s="1" t="s">
        <v>230</v>
      </c>
      <c r="EL2185" s="1" t="s">
        <v>670</v>
      </c>
      <c r="EM2185" s="1" t="s">
        <v>232</v>
      </c>
      <c r="EN2185" s="1" t="s">
        <v>282</v>
      </c>
      <c r="EO2185" s="1" t="s">
        <v>840</v>
      </c>
      <c r="EP2185" s="1" t="s">
        <v>15106</v>
      </c>
      <c r="EQ2185" s="1" t="s">
        <v>236</v>
      </c>
      <c r="ER2185" s="1" t="s">
        <v>383</v>
      </c>
      <c r="ES2185" s="1" t="s">
        <v>10399</v>
      </c>
      <c r="ET2185" s="1" t="s">
        <v>1161</v>
      </c>
      <c r="EU2185" s="1" t="s">
        <v>610</v>
      </c>
      <c r="EV2185" s="1" t="s">
        <v>240</v>
      </c>
      <c r="EW2185" s="1" t="s">
        <v>11773</v>
      </c>
      <c r="EZ2185" s="1" t="s">
        <v>287</v>
      </c>
      <c r="FA2185" s="1" t="s">
        <v>19504</v>
      </c>
      <c r="FB2185" s="1" t="s">
        <v>289</v>
      </c>
      <c r="FC2185" s="1" t="s">
        <v>548</v>
      </c>
      <c r="FD2185" s="1" t="s">
        <v>246</v>
      </c>
      <c r="FE2185" s="1" t="s">
        <v>6121</v>
      </c>
      <c r="FF2185" s="1" t="s">
        <v>248</v>
      </c>
      <c r="FH2185" s="1" t="s">
        <v>550</v>
      </c>
      <c r="FI2185" s="1" t="s">
        <v>473</v>
      </c>
      <c r="FJ2185" s="1" t="s">
        <v>518</v>
      </c>
      <c r="FL2185" s="1" t="s">
        <v>358</v>
      </c>
      <c r="FM2185" s="1" t="s">
        <v>252</v>
      </c>
      <c r="FN2185" s="1" t="s">
        <v>213</v>
      </c>
      <c r="FO2185" s="1" t="s">
        <v>213</v>
      </c>
      <c r="FQ2185" s="1" t="s">
        <v>10987</v>
      </c>
      <c r="FR2185" s="1" t="s">
        <v>210</v>
      </c>
      <c r="FS2185" s="1" t="s">
        <v>19505</v>
      </c>
      <c r="FT2185" s="1" t="s">
        <v>362</v>
      </c>
      <c r="FU2185" s="1" t="s">
        <v>204</v>
      </c>
      <c r="FW2185" s="1" t="s">
        <v>14612</v>
      </c>
      <c r="FX2185" s="1">
        <v>23306</v>
      </c>
      <c r="FY2185" s="1" t="s">
        <v>14613</v>
      </c>
      <c r="FZ2185" s="1" t="s">
        <v>14614</v>
      </c>
      <c r="GA2185" s="1">
        <v>234182</v>
      </c>
      <c r="GB2185" s="1" t="s">
        <v>14613</v>
      </c>
      <c r="GE2185" s="1" t="s">
        <v>1764</v>
      </c>
      <c r="GI2185" s="1" t="s">
        <v>204</v>
      </c>
      <c r="GJ2185" s="1" t="s">
        <v>260</v>
      </c>
      <c r="GK2185" s="1" t="s">
        <v>210</v>
      </c>
      <c r="GL2185" s="2">
        <v>41978</v>
      </c>
      <c r="GM2185" s="1" t="s">
        <v>19506</v>
      </c>
    </row>
    <row r="2186" spans="1:195">
      <c r="A2186" s="1">
        <v>112500</v>
      </c>
      <c r="B2186" s="1" t="s">
        <v>195</v>
      </c>
      <c r="C2186" s="1" t="str">
        <f>"08760549"</f>
        <v>08760549</v>
      </c>
      <c r="D2186" s="1" t="s">
        <v>196</v>
      </c>
      <c r="F2186" s="1" t="str">
        <f>"515"</f>
        <v>515</v>
      </c>
      <c r="G2186" s="2">
        <v>41936</v>
      </c>
      <c r="H2186" s="1">
        <v>118500</v>
      </c>
      <c r="I2186" s="1">
        <v>118500</v>
      </c>
      <c r="J2186" s="1">
        <v>112500</v>
      </c>
      <c r="K2186" s="2">
        <v>41936</v>
      </c>
      <c r="L2186" s="1">
        <v>10</v>
      </c>
      <c r="M2186" s="2">
        <v>41945</v>
      </c>
      <c r="N2186" s="1">
        <v>10</v>
      </c>
      <c r="O2186" s="2">
        <v>41945</v>
      </c>
      <c r="P2186" s="1">
        <v>20150</v>
      </c>
      <c r="Q2186" s="1" t="s">
        <v>197</v>
      </c>
      <c r="R2186" s="2">
        <v>41978</v>
      </c>
      <c r="S2186" s="1">
        <v>212471</v>
      </c>
      <c r="U2186" s="1">
        <v>4225</v>
      </c>
      <c r="V2186" s="1" t="s">
        <v>5751</v>
      </c>
      <c r="W2186" s="1" t="s">
        <v>425</v>
      </c>
      <c r="X2186" s="1" t="s">
        <v>19507</v>
      </c>
      <c r="Y2186" s="1">
        <v>48</v>
      </c>
      <c r="Z2186" s="1" t="s">
        <v>249</v>
      </c>
      <c r="AA2186" s="1" t="s">
        <v>1294</v>
      </c>
      <c r="AB2186" s="1">
        <v>60515</v>
      </c>
      <c r="AD2186" s="1" t="s">
        <v>5753</v>
      </c>
      <c r="AE2186" s="1" t="s">
        <v>19508</v>
      </c>
      <c r="AF2186" s="1">
        <v>1971</v>
      </c>
      <c r="AG2186" s="1" t="s">
        <v>213</v>
      </c>
      <c r="AH2186" s="1" t="s">
        <v>903</v>
      </c>
      <c r="AI2186" s="1" t="s">
        <v>206</v>
      </c>
      <c r="AJ2186" s="1" t="s">
        <v>903</v>
      </c>
      <c r="AL2186" s="1">
        <v>5</v>
      </c>
      <c r="AM2186" s="1">
        <v>2</v>
      </c>
      <c r="AN2186" s="1">
        <v>2</v>
      </c>
      <c r="AO2186" s="1">
        <v>0</v>
      </c>
      <c r="AP2186" s="1" t="s">
        <v>209</v>
      </c>
      <c r="AQ2186" s="1">
        <v>1</v>
      </c>
      <c r="AR2186" s="1" t="s">
        <v>210</v>
      </c>
      <c r="AS2186" s="1" t="s">
        <v>204</v>
      </c>
      <c r="AT2186" s="1" t="s">
        <v>211</v>
      </c>
      <c r="AU2186" s="1">
        <v>1</v>
      </c>
      <c r="AW2186" s="1" t="s">
        <v>204</v>
      </c>
      <c r="AX2186" s="1" t="s">
        <v>212</v>
      </c>
      <c r="AZ2186" s="1">
        <v>1561.18</v>
      </c>
      <c r="BA2186" s="1">
        <v>2013</v>
      </c>
      <c r="BB2186" s="1" t="s">
        <v>405</v>
      </c>
      <c r="BE2186" s="1">
        <v>1118</v>
      </c>
      <c r="BF2186" s="1">
        <v>4</v>
      </c>
      <c r="BG2186" s="1">
        <v>30</v>
      </c>
      <c r="BJ2186" s="1">
        <v>100</v>
      </c>
      <c r="BL2186" s="1">
        <v>462</v>
      </c>
      <c r="BM2186" s="1" t="s">
        <v>204</v>
      </c>
      <c r="BN2186" s="1" t="s">
        <v>213</v>
      </c>
      <c r="BO2186" s="1">
        <v>30</v>
      </c>
      <c r="BP2186" s="1" t="s">
        <v>204</v>
      </c>
      <c r="BR2186" s="1" t="str">
        <f>"0905122104"</f>
        <v>0905122104</v>
      </c>
      <c r="BT2186" s="1" t="s">
        <v>19509</v>
      </c>
      <c r="BU2186" s="1" t="s">
        <v>5757</v>
      </c>
      <c r="BV2186" s="1" t="s">
        <v>2761</v>
      </c>
      <c r="BW2186" s="1" t="s">
        <v>2762</v>
      </c>
      <c r="BX2186" s="1">
        <v>58</v>
      </c>
      <c r="BY2186" s="1">
        <v>58</v>
      </c>
      <c r="BZ2186" s="1">
        <v>99</v>
      </c>
      <c r="CB2186" s="1" t="str">
        <f t="shared" ref="CB2186:CC2186" si="1672">""</f>
        <v/>
      </c>
      <c r="CC2186" s="1" t="str">
        <f t="shared" si="1672"/>
        <v/>
      </c>
      <c r="CG2186" s="1" t="s">
        <v>2934</v>
      </c>
      <c r="CH2186" s="1" t="s">
        <v>685</v>
      </c>
      <c r="CI2186" s="1" t="s">
        <v>229</v>
      </c>
      <c r="CJ2186" s="1" t="s">
        <v>343</v>
      </c>
      <c r="CK2186" s="1" t="s">
        <v>3151</v>
      </c>
      <c r="CL2186" s="1" t="s">
        <v>685</v>
      </c>
      <c r="CM2186" s="1" t="s">
        <v>220</v>
      </c>
      <c r="CN2186" s="1" t="s">
        <v>343</v>
      </c>
      <c r="CO2186" s="1" t="s">
        <v>7487</v>
      </c>
      <c r="CP2186" s="1" t="s">
        <v>685</v>
      </c>
      <c r="CQ2186" s="1" t="s">
        <v>229</v>
      </c>
      <c r="CR2186" s="1" t="s">
        <v>210</v>
      </c>
      <c r="CS2186" s="1" t="s">
        <v>2070</v>
      </c>
      <c r="CT2186" s="1" t="s">
        <v>685</v>
      </c>
      <c r="CU2186" s="1" t="s">
        <v>220</v>
      </c>
      <c r="CV2186" s="1" t="s">
        <v>343</v>
      </c>
      <c r="CX2186" s="1" t="s">
        <v>224</v>
      </c>
      <c r="DB2186" s="1" t="s">
        <v>224</v>
      </c>
      <c r="DE2186" s="1" t="s">
        <v>836</v>
      </c>
      <c r="DF2186" s="1" t="s">
        <v>685</v>
      </c>
      <c r="DG2186" s="1" t="s">
        <v>229</v>
      </c>
      <c r="DH2186" s="1" t="s">
        <v>210</v>
      </c>
      <c r="DJ2186" s="1" t="s">
        <v>224</v>
      </c>
      <c r="DS2186" s="1" t="s">
        <v>230</v>
      </c>
      <c r="DW2186" s="1" t="s">
        <v>230</v>
      </c>
      <c r="EA2186" s="1" t="s">
        <v>230</v>
      </c>
      <c r="EE2186" s="1" t="s">
        <v>230</v>
      </c>
      <c r="EI2186" s="1" t="s">
        <v>230</v>
      </c>
      <c r="EL2186" s="1" t="s">
        <v>605</v>
      </c>
      <c r="EM2186" s="1" t="s">
        <v>232</v>
      </c>
      <c r="EN2186" s="1" t="s">
        <v>1158</v>
      </c>
      <c r="EO2186" s="1" t="s">
        <v>234</v>
      </c>
      <c r="EP2186" s="1" t="s">
        <v>19510</v>
      </c>
      <c r="EQ2186" s="1" t="s">
        <v>12848</v>
      </c>
      <c r="ER2186" s="1" t="s">
        <v>210</v>
      </c>
      <c r="EV2186" s="1" t="s">
        <v>240</v>
      </c>
      <c r="EW2186" s="1" t="s">
        <v>15774</v>
      </c>
      <c r="EZ2186" s="1" t="s">
        <v>287</v>
      </c>
      <c r="FB2186" s="1" t="s">
        <v>289</v>
      </c>
      <c r="FC2186" s="1" t="s">
        <v>1386</v>
      </c>
      <c r="FD2186" s="1" t="s">
        <v>246</v>
      </c>
      <c r="FE2186" s="1" t="s">
        <v>247</v>
      </c>
      <c r="FF2186" s="1" t="s">
        <v>248</v>
      </c>
      <c r="FG2186" s="1" t="s">
        <v>939</v>
      </c>
      <c r="FH2186" s="1" t="s">
        <v>249</v>
      </c>
      <c r="FI2186" s="1" t="s">
        <v>1114</v>
      </c>
      <c r="FJ2186" s="1" t="s">
        <v>197</v>
      </c>
      <c r="FL2186" s="1" t="s">
        <v>414</v>
      </c>
      <c r="FM2186" s="1" t="s">
        <v>252</v>
      </c>
      <c r="FN2186" s="1" t="s">
        <v>213</v>
      </c>
      <c r="FO2186" s="1" t="s">
        <v>213</v>
      </c>
      <c r="FQ2186" s="1" t="s">
        <v>293</v>
      </c>
      <c r="FR2186" s="1" t="s">
        <v>210</v>
      </c>
      <c r="FS2186" s="1" t="s">
        <v>19511</v>
      </c>
      <c r="FT2186" s="1" t="s">
        <v>362</v>
      </c>
      <c r="FU2186" s="1" t="s">
        <v>204</v>
      </c>
      <c r="FW2186" s="1" t="s">
        <v>585</v>
      </c>
      <c r="FX2186" s="1">
        <v>20001</v>
      </c>
      <c r="FY2186" s="1" t="s">
        <v>5002</v>
      </c>
      <c r="FZ2186" s="1" t="s">
        <v>19512</v>
      </c>
      <c r="GA2186" s="1">
        <v>234997</v>
      </c>
      <c r="GB2186" s="1" t="s">
        <v>19513</v>
      </c>
      <c r="GE2186" s="1" t="s">
        <v>1764</v>
      </c>
      <c r="GI2186" s="1" t="s">
        <v>213</v>
      </c>
      <c r="GJ2186" s="1" t="s">
        <v>260</v>
      </c>
      <c r="GK2186" s="1" t="s">
        <v>210</v>
      </c>
      <c r="GL2186" s="2">
        <v>41978</v>
      </c>
      <c r="GM2186" s="1" t="s">
        <v>19514</v>
      </c>
    </row>
    <row r="2187" spans="1:195">
      <c r="A2187" s="1">
        <v>207000</v>
      </c>
      <c r="B2187" s="1" t="s">
        <v>195</v>
      </c>
      <c r="C2187" s="1" t="str">
        <f>"08759254"</f>
        <v>08759254</v>
      </c>
      <c r="D2187" s="1" t="s">
        <v>196</v>
      </c>
      <c r="F2187" s="1" t="str">
        <f>"108"</f>
        <v>108</v>
      </c>
      <c r="G2187" s="2">
        <v>41934</v>
      </c>
      <c r="H2187" s="1">
        <v>206900</v>
      </c>
      <c r="I2187" s="1">
        <v>206900</v>
      </c>
      <c r="J2187" s="1">
        <v>207000</v>
      </c>
      <c r="K2187" s="2">
        <v>41934</v>
      </c>
      <c r="L2187" s="1">
        <v>75</v>
      </c>
      <c r="M2187" s="2">
        <v>41962</v>
      </c>
      <c r="N2187" s="1">
        <v>29</v>
      </c>
      <c r="O2187" s="2">
        <v>41962</v>
      </c>
      <c r="P2187" s="1">
        <v>1481</v>
      </c>
      <c r="Q2187" s="1" t="s">
        <v>423</v>
      </c>
      <c r="R2187" s="2">
        <v>41997</v>
      </c>
      <c r="S2187" s="1">
        <v>29507</v>
      </c>
      <c r="U2187" s="1">
        <v>125</v>
      </c>
      <c r="V2187" s="1" t="s">
        <v>828</v>
      </c>
      <c r="W2187" s="1" t="s">
        <v>264</v>
      </c>
      <c r="X2187" s="1">
        <v>402</v>
      </c>
      <c r="Y2187" s="1">
        <v>80</v>
      </c>
      <c r="Z2187" s="1" t="s">
        <v>249</v>
      </c>
      <c r="AA2187" s="1" t="s">
        <v>829</v>
      </c>
      <c r="AB2187" s="1">
        <v>60108</v>
      </c>
      <c r="AE2187" s="1" t="s">
        <v>7864</v>
      </c>
      <c r="AF2187" s="1">
        <v>2008</v>
      </c>
      <c r="AG2187" s="1" t="s">
        <v>204</v>
      </c>
      <c r="AH2187" s="1" t="s">
        <v>269</v>
      </c>
      <c r="AI2187" s="1" t="s">
        <v>206</v>
      </c>
      <c r="AJ2187" s="1" t="s">
        <v>269</v>
      </c>
      <c r="AL2187" s="1">
        <v>5</v>
      </c>
      <c r="AM2187" s="1">
        <v>2</v>
      </c>
      <c r="AN2187" s="1">
        <v>2</v>
      </c>
      <c r="AO2187" s="1">
        <v>0</v>
      </c>
      <c r="AP2187" s="1" t="s">
        <v>209</v>
      </c>
      <c r="AR2187" s="1" t="s">
        <v>210</v>
      </c>
      <c r="AS2187" s="1" t="s">
        <v>204</v>
      </c>
      <c r="AT2187" s="1" t="s">
        <v>375</v>
      </c>
      <c r="AU2187" s="1">
        <v>1</v>
      </c>
      <c r="AV2187" s="1">
        <v>1</v>
      </c>
      <c r="AW2187" s="1" t="s">
        <v>204</v>
      </c>
      <c r="AX2187" s="1" t="s">
        <v>270</v>
      </c>
      <c r="AZ2187" s="1">
        <v>3006.68</v>
      </c>
      <c r="BA2187" s="1">
        <v>2013</v>
      </c>
      <c r="BB2187" s="1" t="s">
        <v>210</v>
      </c>
      <c r="BE2187" s="1">
        <v>1463</v>
      </c>
      <c r="BF2187" s="1">
        <v>3</v>
      </c>
      <c r="BG2187" s="1">
        <v>0</v>
      </c>
      <c r="BL2187" s="1">
        <v>184</v>
      </c>
      <c r="BM2187" s="1" t="s">
        <v>204</v>
      </c>
      <c r="BN2187" s="1" t="s">
        <v>213</v>
      </c>
      <c r="BO2187" s="1">
        <v>999</v>
      </c>
      <c r="BP2187" s="1" t="s">
        <v>204</v>
      </c>
      <c r="BR2187" s="1" t="str">
        <f>"0214120095"</f>
        <v>0214120095</v>
      </c>
      <c r="BT2187" s="1" t="s">
        <v>19515</v>
      </c>
      <c r="BX2187" s="1">
        <v>13</v>
      </c>
      <c r="BY2187" s="1">
        <v>13</v>
      </c>
      <c r="BZ2187" s="1">
        <v>108</v>
      </c>
      <c r="CB2187" s="1" t="str">
        <f t="shared" ref="CB2187:CC2187" si="1673">""</f>
        <v/>
      </c>
      <c r="CC2187" s="1" t="str">
        <f t="shared" si="1673"/>
        <v/>
      </c>
      <c r="CG2187" s="1" t="s">
        <v>2747</v>
      </c>
      <c r="CH2187" s="1" t="s">
        <v>219</v>
      </c>
      <c r="CK2187" s="1" t="s">
        <v>437</v>
      </c>
      <c r="CL2187" s="1" t="s">
        <v>219</v>
      </c>
      <c r="CO2187" s="1" t="s">
        <v>629</v>
      </c>
      <c r="CP2187" s="1" t="s">
        <v>219</v>
      </c>
      <c r="CS2187" s="1" t="s">
        <v>408</v>
      </c>
      <c r="CT2187" s="1" t="s">
        <v>219</v>
      </c>
      <c r="CX2187" s="1" t="s">
        <v>224</v>
      </c>
      <c r="DB2187" s="1" t="s">
        <v>224</v>
      </c>
      <c r="DE2187" s="1" t="s">
        <v>318</v>
      </c>
      <c r="DF2187" s="1" t="s">
        <v>219</v>
      </c>
      <c r="DJ2187" s="1" t="s">
        <v>224</v>
      </c>
      <c r="DS2187" s="1" t="s">
        <v>230</v>
      </c>
      <c r="DW2187" s="1" t="s">
        <v>230</v>
      </c>
      <c r="EA2187" s="1" t="s">
        <v>230</v>
      </c>
      <c r="EE2187" s="1" t="s">
        <v>230</v>
      </c>
      <c r="EI2187" s="1" t="s">
        <v>230</v>
      </c>
      <c r="EL2187" s="1" t="s">
        <v>491</v>
      </c>
      <c r="EM2187" s="1" t="s">
        <v>319</v>
      </c>
      <c r="EN2187" s="1" t="s">
        <v>282</v>
      </c>
      <c r="EO2187" s="1" t="s">
        <v>234</v>
      </c>
      <c r="ER2187" s="1" t="s">
        <v>210</v>
      </c>
      <c r="EW2187" s="1" t="s">
        <v>7866</v>
      </c>
      <c r="EZ2187" s="1" t="s">
        <v>287</v>
      </c>
      <c r="FD2187" s="1" t="s">
        <v>495</v>
      </c>
      <c r="FE2187" s="1" t="s">
        <v>247</v>
      </c>
      <c r="FF2187" s="1" t="s">
        <v>248</v>
      </c>
      <c r="FH2187" s="1" t="s">
        <v>249</v>
      </c>
      <c r="FL2187" s="1" t="s">
        <v>414</v>
      </c>
      <c r="FM2187" s="1" t="s">
        <v>252</v>
      </c>
      <c r="FN2187" s="1" t="s">
        <v>213</v>
      </c>
      <c r="FO2187" s="1" t="s">
        <v>213</v>
      </c>
      <c r="FQ2187" s="1" t="s">
        <v>849</v>
      </c>
      <c r="FR2187" s="1" t="s">
        <v>210</v>
      </c>
      <c r="FS2187" s="1" t="s">
        <v>850</v>
      </c>
      <c r="FT2187" s="1" t="s">
        <v>851</v>
      </c>
      <c r="FU2187" s="1" t="s">
        <v>213</v>
      </c>
      <c r="FW2187" s="1" t="s">
        <v>852</v>
      </c>
      <c r="FX2187" s="1">
        <v>22250</v>
      </c>
      <c r="FY2187" s="1" t="s">
        <v>853</v>
      </c>
      <c r="FZ2187" s="1" t="s">
        <v>854</v>
      </c>
      <c r="GA2187" s="1">
        <v>242148</v>
      </c>
      <c r="GE2187" s="1" t="s">
        <v>480</v>
      </c>
      <c r="GI2187" s="1" t="s">
        <v>213</v>
      </c>
      <c r="GJ2187" s="1" t="s">
        <v>260</v>
      </c>
      <c r="GK2187" s="1" t="s">
        <v>210</v>
      </c>
      <c r="GL2187" s="2">
        <v>41999</v>
      </c>
      <c r="GM2187" s="1" t="s">
        <v>19516</v>
      </c>
    </row>
    <row r="2188" spans="1:195">
      <c r="A2188" s="1">
        <v>107000</v>
      </c>
      <c r="B2188" s="1" t="s">
        <v>195</v>
      </c>
      <c r="C2188" s="1" t="str">
        <f>"08759478"</f>
        <v>08759478</v>
      </c>
      <c r="D2188" s="1" t="s">
        <v>196</v>
      </c>
      <c r="F2188" s="1" t="str">
        <f>"31"</f>
        <v>31</v>
      </c>
      <c r="G2188" s="2">
        <v>41934</v>
      </c>
      <c r="H2188" s="1">
        <v>125000</v>
      </c>
      <c r="I2188" s="1">
        <v>125000</v>
      </c>
      <c r="J2188" s="1">
        <v>107000</v>
      </c>
      <c r="K2188" s="2">
        <v>41934</v>
      </c>
      <c r="L2188" s="1">
        <v>114</v>
      </c>
      <c r="M2188" s="2">
        <v>42047</v>
      </c>
      <c r="N2188" s="1">
        <v>114</v>
      </c>
      <c r="O2188" s="2">
        <v>42047</v>
      </c>
      <c r="P2188" s="1">
        <v>2752</v>
      </c>
      <c r="Q2188" s="1" t="s">
        <v>197</v>
      </c>
      <c r="R2188" s="2">
        <v>42088</v>
      </c>
      <c r="S2188" s="1">
        <v>20946</v>
      </c>
      <c r="U2188" s="1">
        <v>906</v>
      </c>
      <c r="V2188" s="1" t="s">
        <v>19517</v>
      </c>
      <c r="W2188" s="1" t="s">
        <v>304</v>
      </c>
      <c r="Y2188" s="1">
        <v>4</v>
      </c>
      <c r="Z2188" s="1" t="s">
        <v>370</v>
      </c>
      <c r="AA2188" s="1" t="s">
        <v>1057</v>
      </c>
      <c r="AB2188" s="1">
        <v>60031</v>
      </c>
      <c r="AD2188" s="1" t="s">
        <v>1058</v>
      </c>
      <c r="AE2188" s="1" t="s">
        <v>19518</v>
      </c>
      <c r="AF2188" s="1">
        <v>1979</v>
      </c>
      <c r="AG2188" s="1" t="s">
        <v>204</v>
      </c>
      <c r="AH2188" s="1" t="s">
        <v>1060</v>
      </c>
      <c r="AI2188" s="1" t="s">
        <v>509</v>
      </c>
      <c r="AJ2188" s="1" t="s">
        <v>1061</v>
      </c>
      <c r="AK2188" s="1" t="s">
        <v>19293</v>
      </c>
      <c r="AL2188" s="1">
        <v>6</v>
      </c>
      <c r="AM2188" s="1">
        <v>2</v>
      </c>
      <c r="AN2188" s="1">
        <v>2</v>
      </c>
      <c r="AO2188" s="1">
        <v>0</v>
      </c>
      <c r="AP2188" s="1" t="s">
        <v>209</v>
      </c>
      <c r="AQ2188" s="1">
        <v>1</v>
      </c>
      <c r="AR2188" s="1" t="s">
        <v>210</v>
      </c>
      <c r="AS2188" s="1" t="s">
        <v>204</v>
      </c>
      <c r="AT2188" s="1" t="s">
        <v>375</v>
      </c>
      <c r="AU2188" s="1">
        <v>1</v>
      </c>
      <c r="AV2188" s="1">
        <v>1</v>
      </c>
      <c r="AW2188" s="1" t="s">
        <v>204</v>
      </c>
      <c r="AX2188" s="1" t="s">
        <v>579</v>
      </c>
      <c r="AZ2188" s="1">
        <v>2555.39</v>
      </c>
      <c r="BA2188" s="1">
        <v>2013</v>
      </c>
      <c r="BB2188" s="1" t="s">
        <v>210</v>
      </c>
      <c r="BE2188" s="1">
        <v>1162</v>
      </c>
      <c r="BF2188" s="1">
        <v>1</v>
      </c>
      <c r="BG2188" s="1">
        <v>0</v>
      </c>
      <c r="BL2188" s="1">
        <v>355</v>
      </c>
      <c r="BM2188" s="1" t="s">
        <v>204</v>
      </c>
      <c r="BN2188" s="1" t="s">
        <v>213</v>
      </c>
      <c r="BO2188" s="1" t="s">
        <v>432</v>
      </c>
      <c r="BP2188" s="1" t="s">
        <v>204</v>
      </c>
      <c r="BR2188" s="1" t="str">
        <f>"07284070370000"</f>
        <v>07284070370000</v>
      </c>
      <c r="BT2188" s="1" t="s">
        <v>19519</v>
      </c>
      <c r="BU2188" s="1" t="s">
        <v>1064</v>
      </c>
      <c r="BV2188" s="1" t="s">
        <v>1065</v>
      </c>
      <c r="BW2188" s="1" t="s">
        <v>1066</v>
      </c>
      <c r="BX2188" s="1">
        <v>50</v>
      </c>
      <c r="BY2188" s="1">
        <v>50</v>
      </c>
      <c r="BZ2188" s="1">
        <v>121</v>
      </c>
      <c r="CB2188" s="1" t="str">
        <f>"33"</f>
        <v>33</v>
      </c>
      <c r="CC2188" s="1" t="str">
        <f>""</f>
        <v/>
      </c>
      <c r="CD2188" s="1">
        <v>16</v>
      </c>
      <c r="CG2188" s="1" t="s">
        <v>628</v>
      </c>
      <c r="CH2188" s="1" t="s">
        <v>219</v>
      </c>
      <c r="CI2188" s="1" t="s">
        <v>220</v>
      </c>
      <c r="CK2188" s="1" t="s">
        <v>465</v>
      </c>
      <c r="CL2188" s="1" t="s">
        <v>219</v>
      </c>
      <c r="CM2188" s="1" t="s">
        <v>220</v>
      </c>
      <c r="CO2188" s="1" t="s">
        <v>629</v>
      </c>
      <c r="CP2188" s="1" t="s">
        <v>219</v>
      </c>
      <c r="CS2188" s="1" t="s">
        <v>1178</v>
      </c>
      <c r="CT2188" s="1" t="s">
        <v>277</v>
      </c>
      <c r="CU2188" s="1" t="s">
        <v>220</v>
      </c>
      <c r="CX2188" s="1" t="s">
        <v>224</v>
      </c>
      <c r="DB2188" s="1" t="s">
        <v>224</v>
      </c>
      <c r="DE2188" s="1" t="s">
        <v>346</v>
      </c>
      <c r="DF2188" s="1" t="s">
        <v>219</v>
      </c>
      <c r="DG2188" s="1" t="s">
        <v>226</v>
      </c>
      <c r="DJ2188" s="1" t="s">
        <v>224</v>
      </c>
      <c r="DM2188" s="1" t="s">
        <v>464</v>
      </c>
      <c r="DR2188" s="1" t="s">
        <v>317</v>
      </c>
      <c r="DS2188" s="1" t="s">
        <v>277</v>
      </c>
      <c r="DT2188" s="1" t="s">
        <v>220</v>
      </c>
      <c r="DW2188" s="1" t="s">
        <v>230</v>
      </c>
      <c r="EA2188" s="1" t="s">
        <v>230</v>
      </c>
      <c r="EE2188" s="1" t="s">
        <v>230</v>
      </c>
      <c r="EI2188" s="1" t="s">
        <v>230</v>
      </c>
      <c r="EL2188" s="1" t="s">
        <v>231</v>
      </c>
      <c r="EM2188" s="1" t="s">
        <v>232</v>
      </c>
      <c r="EN2188" s="1" t="s">
        <v>282</v>
      </c>
      <c r="EO2188" s="1" t="s">
        <v>234</v>
      </c>
      <c r="EP2188" s="1" t="s">
        <v>19520</v>
      </c>
      <c r="EQ2188" s="1" t="s">
        <v>492</v>
      </c>
      <c r="ER2188" s="1" t="s">
        <v>1069</v>
      </c>
      <c r="ES2188" s="1" t="s">
        <v>322</v>
      </c>
      <c r="EU2188" s="1" t="s">
        <v>3670</v>
      </c>
      <c r="EV2188" s="1" t="s">
        <v>240</v>
      </c>
      <c r="EW2188" s="1" t="s">
        <v>19295</v>
      </c>
      <c r="EZ2188" s="1" t="s">
        <v>464</v>
      </c>
      <c r="FA2188" s="1" t="s">
        <v>1427</v>
      </c>
      <c r="FD2188" s="1" t="s">
        <v>246</v>
      </c>
      <c r="FE2188" s="1" t="s">
        <v>472</v>
      </c>
      <c r="FF2188" s="1" t="s">
        <v>248</v>
      </c>
      <c r="FH2188" s="1" t="s">
        <v>550</v>
      </c>
      <c r="FI2188" s="1" t="s">
        <v>357</v>
      </c>
      <c r="FK2188" s="1" t="s">
        <v>19521</v>
      </c>
      <c r="FL2188" s="1" t="s">
        <v>292</v>
      </c>
      <c r="FM2188" s="1" t="s">
        <v>252</v>
      </c>
      <c r="FN2188" s="1" t="s">
        <v>213</v>
      </c>
      <c r="FO2188" s="1" t="s">
        <v>213</v>
      </c>
      <c r="FQ2188" s="1" t="s">
        <v>8834</v>
      </c>
      <c r="FR2188" s="1" t="s">
        <v>210</v>
      </c>
      <c r="FS2188" s="1" t="s">
        <v>19522</v>
      </c>
      <c r="FT2188" s="1" t="s">
        <v>2589</v>
      </c>
      <c r="FU2188" s="1" t="s">
        <v>204</v>
      </c>
      <c r="FW2188" s="1" t="s">
        <v>1077</v>
      </c>
      <c r="FX2188" s="1">
        <v>2752</v>
      </c>
      <c r="FY2188" s="1" t="s">
        <v>1078</v>
      </c>
      <c r="FZ2188" s="1" t="s">
        <v>19523</v>
      </c>
      <c r="GA2188" s="1">
        <v>16813</v>
      </c>
      <c r="GB2188" s="1" t="s">
        <v>19524</v>
      </c>
      <c r="GE2188" s="1" t="s">
        <v>480</v>
      </c>
      <c r="GI2188" s="1" t="s">
        <v>213</v>
      </c>
      <c r="GJ2188" s="1" t="s">
        <v>260</v>
      </c>
      <c r="GK2188" s="1" t="s">
        <v>210</v>
      </c>
      <c r="GL2188" s="2">
        <v>42089</v>
      </c>
      <c r="GM2188" s="1" t="s">
        <v>19525</v>
      </c>
    </row>
    <row r="2189" spans="1:195">
      <c r="A2189" s="1">
        <v>191000</v>
      </c>
      <c r="B2189" s="1" t="s">
        <v>195</v>
      </c>
      <c r="C2189" s="1" t="str">
        <f>"08757891"</f>
        <v>08757891</v>
      </c>
      <c r="D2189" s="1" t="s">
        <v>196</v>
      </c>
      <c r="F2189" s="1" t="str">
        <f>"107"</f>
        <v>107</v>
      </c>
      <c r="G2189" s="2">
        <v>41933</v>
      </c>
      <c r="H2189" s="1">
        <v>199900</v>
      </c>
      <c r="I2189" s="1">
        <v>194900</v>
      </c>
      <c r="J2189" s="1">
        <v>191000</v>
      </c>
      <c r="K2189" s="2">
        <v>41930</v>
      </c>
      <c r="L2189" s="1">
        <v>83</v>
      </c>
      <c r="M2189" s="2">
        <v>42012</v>
      </c>
      <c r="N2189" s="1">
        <v>83</v>
      </c>
      <c r="O2189" s="2">
        <v>42012</v>
      </c>
      <c r="P2189" s="1">
        <v>72505</v>
      </c>
      <c r="Q2189" s="1" t="s">
        <v>197</v>
      </c>
      <c r="R2189" s="2">
        <v>42054</v>
      </c>
      <c r="S2189" s="1">
        <v>702092</v>
      </c>
      <c r="U2189" s="1">
        <v>1411</v>
      </c>
      <c r="V2189" s="1" t="s">
        <v>11508</v>
      </c>
      <c r="W2189" s="1" t="s">
        <v>264</v>
      </c>
      <c r="Y2189" s="1">
        <v>2</v>
      </c>
      <c r="Z2189" s="1" t="s">
        <v>370</v>
      </c>
      <c r="AA2189" s="1" t="s">
        <v>1211</v>
      </c>
      <c r="AB2189" s="1">
        <v>60107</v>
      </c>
      <c r="AE2189" s="1" t="s">
        <v>19526</v>
      </c>
      <c r="AF2189" s="1">
        <v>1999</v>
      </c>
      <c r="AG2189" s="1" t="s">
        <v>204</v>
      </c>
      <c r="AH2189" s="1" t="s">
        <v>1214</v>
      </c>
      <c r="AI2189" s="1" t="s">
        <v>310</v>
      </c>
      <c r="AJ2189" s="1" t="s">
        <v>374</v>
      </c>
      <c r="AL2189" s="1">
        <v>7</v>
      </c>
      <c r="AM2189" s="1">
        <v>2</v>
      </c>
      <c r="AN2189" s="1">
        <v>2</v>
      </c>
      <c r="AO2189" s="1">
        <v>1</v>
      </c>
      <c r="AP2189" s="1" t="s">
        <v>209</v>
      </c>
      <c r="AQ2189" s="1">
        <v>1</v>
      </c>
      <c r="AR2189" s="1" t="s">
        <v>210</v>
      </c>
      <c r="AS2189" s="1" t="s">
        <v>204</v>
      </c>
      <c r="AT2189" s="1" t="s">
        <v>211</v>
      </c>
      <c r="AU2189" s="1">
        <v>2</v>
      </c>
      <c r="AW2189" s="1" t="s">
        <v>204</v>
      </c>
      <c r="AX2189" s="1" t="s">
        <v>19527</v>
      </c>
      <c r="AZ2189" s="1">
        <v>4696.32</v>
      </c>
      <c r="BA2189" s="1">
        <v>2013</v>
      </c>
      <c r="BB2189" s="1" t="s">
        <v>405</v>
      </c>
      <c r="BE2189" s="1">
        <v>2271</v>
      </c>
      <c r="BF2189" s="1">
        <v>1</v>
      </c>
      <c r="BG2189" s="1">
        <v>0</v>
      </c>
      <c r="BL2189" s="1">
        <v>118</v>
      </c>
      <c r="BM2189" s="1" t="s">
        <v>204</v>
      </c>
      <c r="BN2189" s="1" t="s">
        <v>213</v>
      </c>
      <c r="BO2189" s="1">
        <v>999</v>
      </c>
      <c r="BP2189" s="1" t="s">
        <v>204</v>
      </c>
      <c r="BR2189" s="1" t="str">
        <f>"06282011730000"</f>
        <v>06282011730000</v>
      </c>
      <c r="BT2189" s="1" t="s">
        <v>19528</v>
      </c>
      <c r="BX2189" s="1">
        <v>46</v>
      </c>
      <c r="BY2189" s="1">
        <v>46</v>
      </c>
      <c r="BZ2189" s="1">
        <v>46</v>
      </c>
      <c r="CB2189" s="1" t="str">
        <f t="shared" ref="CB2189:CC2189" si="1674">""</f>
        <v/>
      </c>
      <c r="CC2189" s="1" t="str">
        <f t="shared" si="1674"/>
        <v/>
      </c>
      <c r="CG2189" s="1" t="s">
        <v>314</v>
      </c>
      <c r="CH2189" s="1" t="s">
        <v>219</v>
      </c>
      <c r="CI2189" s="1" t="s">
        <v>220</v>
      </c>
      <c r="CJ2189" s="1" t="s">
        <v>343</v>
      </c>
      <c r="CK2189" s="1" t="s">
        <v>581</v>
      </c>
      <c r="CL2189" s="1" t="s">
        <v>277</v>
      </c>
      <c r="CM2189" s="1" t="s">
        <v>220</v>
      </c>
      <c r="CN2189" s="1" t="s">
        <v>343</v>
      </c>
      <c r="CO2189" s="1" t="s">
        <v>629</v>
      </c>
      <c r="CP2189" s="1" t="s">
        <v>219</v>
      </c>
      <c r="CS2189" s="1" t="s">
        <v>4571</v>
      </c>
      <c r="CT2189" s="1" t="s">
        <v>277</v>
      </c>
      <c r="CU2189" s="1" t="s">
        <v>220</v>
      </c>
      <c r="CV2189" s="1" t="s">
        <v>343</v>
      </c>
      <c r="CX2189" s="1" t="s">
        <v>224</v>
      </c>
      <c r="DB2189" s="1" t="s">
        <v>224</v>
      </c>
      <c r="DE2189" s="1" t="s">
        <v>4522</v>
      </c>
      <c r="DF2189" s="1" t="s">
        <v>219</v>
      </c>
      <c r="DG2189" s="1" t="s">
        <v>226</v>
      </c>
      <c r="DH2189" s="1" t="s">
        <v>343</v>
      </c>
      <c r="DI2189" s="1" t="s">
        <v>1004</v>
      </c>
      <c r="DJ2189" s="1" t="s">
        <v>219</v>
      </c>
      <c r="DK2189" s="1" t="s">
        <v>220</v>
      </c>
      <c r="DL2189" s="1" t="s">
        <v>343</v>
      </c>
      <c r="DM2189" s="1" t="s">
        <v>464</v>
      </c>
      <c r="DN2189" s="1" t="s">
        <v>2450</v>
      </c>
      <c r="DO2189" s="1" t="s">
        <v>1771</v>
      </c>
      <c r="DR2189" s="1" t="s">
        <v>515</v>
      </c>
      <c r="DS2189" s="1" t="s">
        <v>277</v>
      </c>
      <c r="DT2189" s="1" t="s">
        <v>220</v>
      </c>
      <c r="DU2189" s="1" t="s">
        <v>343</v>
      </c>
      <c r="DV2189" s="1" t="s">
        <v>710</v>
      </c>
      <c r="DW2189" s="1" t="s">
        <v>219</v>
      </c>
      <c r="DX2189" s="1" t="s">
        <v>220</v>
      </c>
      <c r="DZ2189" s="1" t="s">
        <v>3126</v>
      </c>
      <c r="EA2189" s="1" t="s">
        <v>277</v>
      </c>
      <c r="EB2189" s="1" t="s">
        <v>220</v>
      </c>
      <c r="EE2189" s="1" t="s">
        <v>230</v>
      </c>
      <c r="EI2189" s="1" t="s">
        <v>230</v>
      </c>
      <c r="EL2189" s="1" t="s">
        <v>670</v>
      </c>
      <c r="EM2189" s="1" t="s">
        <v>232</v>
      </c>
      <c r="EN2189" s="1" t="s">
        <v>282</v>
      </c>
      <c r="EO2189" s="1" t="s">
        <v>234</v>
      </c>
      <c r="EP2189" s="1" t="s">
        <v>1489</v>
      </c>
      <c r="EQ2189" s="1" t="s">
        <v>492</v>
      </c>
      <c r="ER2189" s="1" t="s">
        <v>383</v>
      </c>
      <c r="ES2189" s="1" t="s">
        <v>322</v>
      </c>
      <c r="ET2189" s="1" t="s">
        <v>866</v>
      </c>
      <c r="EU2189" s="1" t="s">
        <v>1110</v>
      </c>
      <c r="EW2189" s="1" t="s">
        <v>547</v>
      </c>
      <c r="EZ2189" s="1" t="s">
        <v>19529</v>
      </c>
      <c r="FD2189" s="1" t="s">
        <v>246</v>
      </c>
      <c r="FE2189" s="1" t="s">
        <v>975</v>
      </c>
      <c r="FF2189" s="1" t="s">
        <v>248</v>
      </c>
      <c r="FG2189" s="1" t="s">
        <v>912</v>
      </c>
      <c r="FH2189" s="1" t="s">
        <v>442</v>
      </c>
      <c r="FI2189" s="1" t="s">
        <v>357</v>
      </c>
      <c r="FL2189" s="1" t="s">
        <v>358</v>
      </c>
      <c r="FM2189" s="1" t="s">
        <v>252</v>
      </c>
      <c r="FN2189" s="1" t="s">
        <v>213</v>
      </c>
      <c r="FO2189" s="1" t="s">
        <v>213</v>
      </c>
      <c r="FQ2189" s="1" t="s">
        <v>8382</v>
      </c>
      <c r="FR2189" s="1" t="s">
        <v>210</v>
      </c>
      <c r="FS2189" s="1" t="s">
        <v>3507</v>
      </c>
      <c r="FT2189" s="1" t="s">
        <v>295</v>
      </c>
      <c r="FU2189" s="1" t="s">
        <v>204</v>
      </c>
      <c r="FW2189" s="1" t="s">
        <v>2144</v>
      </c>
      <c r="FX2189" s="1">
        <v>23163</v>
      </c>
      <c r="FY2189" s="1" t="s">
        <v>2145</v>
      </c>
      <c r="FZ2189" s="1" t="s">
        <v>7250</v>
      </c>
      <c r="GA2189" s="1">
        <v>253831</v>
      </c>
      <c r="GB2189" s="1" t="s">
        <v>7251</v>
      </c>
      <c r="GE2189" s="1" t="s">
        <v>210</v>
      </c>
      <c r="GI2189" s="1" t="s">
        <v>213</v>
      </c>
      <c r="GJ2189" s="1" t="s">
        <v>260</v>
      </c>
      <c r="GK2189" s="1" t="s">
        <v>210</v>
      </c>
      <c r="GL2189" s="2">
        <v>42054</v>
      </c>
      <c r="GM2189" s="1" t="s">
        <v>19530</v>
      </c>
    </row>
    <row r="2190" spans="1:195">
      <c r="A2190" s="1">
        <v>261400</v>
      </c>
      <c r="B2190" s="1" t="s">
        <v>195</v>
      </c>
      <c r="C2190" s="1" t="str">
        <f>"08757522"</f>
        <v>08757522</v>
      </c>
      <c r="D2190" s="1" t="s">
        <v>196</v>
      </c>
      <c r="F2190" s="1" t="str">
        <f>"562"</f>
        <v>562</v>
      </c>
      <c r="G2190" s="2">
        <v>41932</v>
      </c>
      <c r="H2190" s="1">
        <v>275000</v>
      </c>
      <c r="I2190" s="1">
        <v>269900</v>
      </c>
      <c r="J2190" s="1">
        <v>261400</v>
      </c>
      <c r="K2190" s="2">
        <v>41931</v>
      </c>
      <c r="L2190" s="1">
        <v>125</v>
      </c>
      <c r="M2190" s="2">
        <v>42055</v>
      </c>
      <c r="N2190" s="1">
        <v>125</v>
      </c>
      <c r="O2190" s="2">
        <v>42055</v>
      </c>
      <c r="P2190" s="1">
        <v>16548</v>
      </c>
      <c r="Q2190" s="1" t="s">
        <v>197</v>
      </c>
      <c r="R2190" s="2">
        <v>42096</v>
      </c>
      <c r="S2190" s="1">
        <v>122934</v>
      </c>
      <c r="U2190" s="1">
        <v>8432</v>
      </c>
      <c r="V2190" s="1" t="s">
        <v>19531</v>
      </c>
      <c r="W2190" s="1" t="s">
        <v>304</v>
      </c>
      <c r="Y2190" s="1">
        <v>3</v>
      </c>
      <c r="Z2190" s="1" t="s">
        <v>370</v>
      </c>
      <c r="AA2190" s="1" t="s">
        <v>899</v>
      </c>
      <c r="AB2190" s="1">
        <v>60561</v>
      </c>
      <c r="AD2190" s="1" t="s">
        <v>19532</v>
      </c>
      <c r="AE2190" s="1" t="s">
        <v>19533</v>
      </c>
      <c r="AF2190" s="1">
        <v>1994</v>
      </c>
      <c r="AG2190" s="1" t="s">
        <v>204</v>
      </c>
      <c r="AH2190" s="1" t="s">
        <v>902</v>
      </c>
      <c r="AI2190" s="1" t="s">
        <v>206</v>
      </c>
      <c r="AJ2190" s="1" t="s">
        <v>903</v>
      </c>
      <c r="AL2190" s="1">
        <v>8</v>
      </c>
      <c r="AM2190" s="1">
        <v>2</v>
      </c>
      <c r="AN2190" s="1">
        <v>2</v>
      </c>
      <c r="AO2190" s="1">
        <v>1</v>
      </c>
      <c r="AP2190" s="1" t="s">
        <v>209</v>
      </c>
      <c r="AQ2190" s="1">
        <v>1</v>
      </c>
      <c r="AR2190" s="1" t="s">
        <v>209</v>
      </c>
      <c r="AS2190" s="1" t="s">
        <v>204</v>
      </c>
      <c r="AT2190" s="1" t="s">
        <v>211</v>
      </c>
      <c r="AU2190" s="1">
        <v>2</v>
      </c>
      <c r="AW2190" s="1" t="s">
        <v>204</v>
      </c>
      <c r="AX2190" s="1" t="s">
        <v>19534</v>
      </c>
      <c r="AZ2190" s="1">
        <v>6385</v>
      </c>
      <c r="BA2190" s="1">
        <v>2013</v>
      </c>
      <c r="BB2190" s="1" t="s">
        <v>405</v>
      </c>
      <c r="BE2190" s="1">
        <v>1720</v>
      </c>
      <c r="BF2190" s="1">
        <v>1</v>
      </c>
      <c r="BG2190" s="1">
        <v>0</v>
      </c>
      <c r="BL2190" s="1">
        <v>210</v>
      </c>
      <c r="BM2190" s="1" t="s">
        <v>204</v>
      </c>
      <c r="BN2190" s="1" t="s">
        <v>213</v>
      </c>
      <c r="BO2190" s="1">
        <v>99</v>
      </c>
      <c r="BP2190" s="1" t="s">
        <v>204</v>
      </c>
      <c r="BR2190" s="1" t="str">
        <f>"0931414055"</f>
        <v>0931414055</v>
      </c>
      <c r="BT2190" s="1" t="s">
        <v>19535</v>
      </c>
      <c r="BX2190" s="1">
        <v>66</v>
      </c>
      <c r="BY2190" s="1">
        <v>66</v>
      </c>
      <c r="BZ2190" s="1">
        <v>99</v>
      </c>
      <c r="CB2190" s="1" t="str">
        <f t="shared" ref="CB2190:CC2190" si="1675">""</f>
        <v/>
      </c>
      <c r="CC2190" s="1" t="str">
        <f t="shared" si="1675"/>
        <v/>
      </c>
      <c r="CG2190" s="1" t="s">
        <v>2120</v>
      </c>
      <c r="CH2190" s="1" t="s">
        <v>219</v>
      </c>
      <c r="CI2190" s="1" t="s">
        <v>438</v>
      </c>
      <c r="CJ2190" s="1" t="s">
        <v>463</v>
      </c>
      <c r="CK2190" s="1" t="s">
        <v>221</v>
      </c>
      <c r="CL2190" s="1" t="s">
        <v>277</v>
      </c>
      <c r="CM2190" s="1" t="s">
        <v>220</v>
      </c>
      <c r="CO2190" s="1" t="s">
        <v>1297</v>
      </c>
      <c r="CP2190" s="1" t="s">
        <v>219</v>
      </c>
      <c r="CQ2190" s="1" t="s">
        <v>438</v>
      </c>
      <c r="CS2190" s="1" t="s">
        <v>1469</v>
      </c>
      <c r="CT2190" s="1" t="s">
        <v>277</v>
      </c>
      <c r="CU2190" s="1" t="s">
        <v>220</v>
      </c>
      <c r="CW2190" s="1" t="s">
        <v>1854</v>
      </c>
      <c r="CX2190" s="1" t="s">
        <v>43</v>
      </c>
      <c r="CY2190" s="1" t="s">
        <v>220</v>
      </c>
      <c r="DB2190" s="1" t="s">
        <v>224</v>
      </c>
      <c r="DE2190" s="1" t="s">
        <v>5105</v>
      </c>
      <c r="DF2190" s="1" t="s">
        <v>219</v>
      </c>
      <c r="DG2190" s="1" t="s">
        <v>226</v>
      </c>
      <c r="DJ2190" s="1" t="s">
        <v>224</v>
      </c>
      <c r="DM2190" s="1" t="s">
        <v>464</v>
      </c>
      <c r="DN2190" s="1" t="s">
        <v>934</v>
      </c>
      <c r="DR2190" s="1" t="s">
        <v>539</v>
      </c>
      <c r="DS2190" s="1" t="s">
        <v>277</v>
      </c>
      <c r="DT2190" s="1" t="s">
        <v>220</v>
      </c>
      <c r="DV2190" s="1" t="s">
        <v>278</v>
      </c>
      <c r="DW2190" s="1" t="s">
        <v>43</v>
      </c>
      <c r="DX2190" s="1" t="s">
        <v>220</v>
      </c>
      <c r="EA2190" s="1" t="s">
        <v>230</v>
      </c>
      <c r="EE2190" s="1" t="s">
        <v>230</v>
      </c>
      <c r="EI2190" s="1" t="s">
        <v>230</v>
      </c>
      <c r="EL2190" s="1" t="s">
        <v>670</v>
      </c>
      <c r="EM2190" s="1" t="s">
        <v>232</v>
      </c>
      <c r="EN2190" s="1" t="s">
        <v>282</v>
      </c>
      <c r="EO2190" s="1" t="s">
        <v>234</v>
      </c>
      <c r="ER2190" s="1" t="s">
        <v>351</v>
      </c>
      <c r="EW2190" s="1" t="s">
        <v>353</v>
      </c>
      <c r="EZ2190" s="1" t="s">
        <v>3875</v>
      </c>
      <c r="FD2190" s="1" t="s">
        <v>246</v>
      </c>
      <c r="FE2190" s="1" t="s">
        <v>247</v>
      </c>
      <c r="FF2190" s="1" t="s">
        <v>248</v>
      </c>
      <c r="FG2190" s="1" t="s">
        <v>912</v>
      </c>
      <c r="FH2190" s="1" t="s">
        <v>550</v>
      </c>
      <c r="FL2190" s="1" t="s">
        <v>414</v>
      </c>
      <c r="FM2190" s="1" t="s">
        <v>252</v>
      </c>
      <c r="FN2190" s="1" t="s">
        <v>213</v>
      </c>
      <c r="FO2190" s="1" t="s">
        <v>213</v>
      </c>
      <c r="FQ2190" s="1" t="s">
        <v>2091</v>
      </c>
      <c r="FR2190" s="1" t="s">
        <v>210</v>
      </c>
      <c r="FS2190" s="1" t="s">
        <v>19536</v>
      </c>
      <c r="FT2190" s="1" t="s">
        <v>362</v>
      </c>
      <c r="FU2190" s="1" t="s">
        <v>204</v>
      </c>
      <c r="FW2190" s="1" t="s">
        <v>19537</v>
      </c>
      <c r="FX2190" s="1">
        <v>24716</v>
      </c>
      <c r="FY2190" s="1" t="s">
        <v>19538</v>
      </c>
      <c r="FZ2190" s="1" t="s">
        <v>19539</v>
      </c>
      <c r="GA2190" s="1">
        <v>220802</v>
      </c>
      <c r="GB2190" s="1" t="s">
        <v>19540</v>
      </c>
      <c r="GE2190" s="1" t="s">
        <v>210</v>
      </c>
      <c r="GI2190" s="1" t="s">
        <v>213</v>
      </c>
      <c r="GJ2190" s="1" t="s">
        <v>260</v>
      </c>
      <c r="GK2190" s="1" t="s">
        <v>210</v>
      </c>
      <c r="GL2190" s="2">
        <v>42097</v>
      </c>
      <c r="GM2190" s="1" t="s">
        <v>19541</v>
      </c>
    </row>
    <row r="2191" spans="1:195">
      <c r="A2191" s="1">
        <v>135000</v>
      </c>
      <c r="B2191" s="1" t="s">
        <v>195</v>
      </c>
      <c r="C2191" s="1" t="str">
        <f>"08757643"</f>
        <v>08757643</v>
      </c>
      <c r="D2191" s="1" t="s">
        <v>196</v>
      </c>
      <c r="F2191" s="1" t="str">
        <f>"123"</f>
        <v>123</v>
      </c>
      <c r="G2191" s="2">
        <v>41932</v>
      </c>
      <c r="H2191" s="1">
        <v>144900</v>
      </c>
      <c r="I2191" s="1">
        <v>142500</v>
      </c>
      <c r="J2191" s="1">
        <v>135000</v>
      </c>
      <c r="K2191" s="2">
        <v>41932</v>
      </c>
      <c r="L2191" s="1">
        <v>24</v>
      </c>
      <c r="M2191" s="2">
        <v>41955</v>
      </c>
      <c r="N2191" s="1">
        <v>24</v>
      </c>
      <c r="O2191" s="2">
        <v>41955</v>
      </c>
      <c r="P2191" s="1">
        <v>25266</v>
      </c>
      <c r="Q2191" s="1" t="s">
        <v>302</v>
      </c>
      <c r="R2191" s="2">
        <v>42012</v>
      </c>
      <c r="S2191" s="1">
        <v>259155</v>
      </c>
      <c r="U2191" s="1">
        <v>20</v>
      </c>
      <c r="V2191" s="1" t="s">
        <v>19542</v>
      </c>
      <c r="W2191" s="1" t="s">
        <v>304</v>
      </c>
      <c r="Y2191" s="1">
        <v>4</v>
      </c>
      <c r="Z2191" s="1" t="s">
        <v>370</v>
      </c>
      <c r="AA2191" s="1" t="s">
        <v>1173</v>
      </c>
      <c r="AB2191" s="1">
        <v>60123</v>
      </c>
      <c r="AE2191" s="1" t="s">
        <v>19543</v>
      </c>
      <c r="AF2191" s="1">
        <v>1990</v>
      </c>
      <c r="AG2191" s="1" t="s">
        <v>204</v>
      </c>
      <c r="AH2191" s="1" t="s">
        <v>1175</v>
      </c>
      <c r="AI2191" s="1" t="s">
        <v>665</v>
      </c>
      <c r="AJ2191" s="1" t="s">
        <v>1175</v>
      </c>
      <c r="AK2191" s="1" t="s">
        <v>1088</v>
      </c>
      <c r="AL2191" s="1">
        <v>6</v>
      </c>
      <c r="AM2191" s="1">
        <v>2</v>
      </c>
      <c r="AN2191" s="1">
        <v>2</v>
      </c>
      <c r="AO2191" s="1">
        <v>1</v>
      </c>
      <c r="AP2191" s="1" t="s">
        <v>209</v>
      </c>
      <c r="AQ2191" s="1">
        <v>1</v>
      </c>
      <c r="AR2191" s="1" t="s">
        <v>209</v>
      </c>
      <c r="AS2191" s="1" t="s">
        <v>213</v>
      </c>
      <c r="AT2191" s="1" t="s">
        <v>211</v>
      </c>
      <c r="AU2191" s="1">
        <v>2</v>
      </c>
      <c r="AW2191" s="1" t="s">
        <v>204</v>
      </c>
      <c r="AX2191" s="1" t="s">
        <v>212</v>
      </c>
      <c r="AZ2191" s="1">
        <v>4478</v>
      </c>
      <c r="BA2191" s="1">
        <v>2012</v>
      </c>
      <c r="BB2191" s="1" t="s">
        <v>210</v>
      </c>
      <c r="BE2191" s="1">
        <v>1374</v>
      </c>
      <c r="BF2191" s="1">
        <v>1</v>
      </c>
      <c r="BG2191" s="1">
        <v>0</v>
      </c>
      <c r="BJ2191" s="1">
        <v>90</v>
      </c>
      <c r="BL2191" s="1">
        <v>215</v>
      </c>
      <c r="BM2191" s="1" t="s">
        <v>204</v>
      </c>
      <c r="BN2191" s="1" t="s">
        <v>213</v>
      </c>
      <c r="BO2191" s="1">
        <v>50</v>
      </c>
      <c r="BP2191" s="1" t="s">
        <v>204</v>
      </c>
      <c r="BR2191" s="1" t="str">
        <f>"0610413004"</f>
        <v>0610413004</v>
      </c>
      <c r="BT2191" s="1" t="s">
        <v>19544</v>
      </c>
      <c r="BU2191" s="1" t="s">
        <v>5656</v>
      </c>
      <c r="BV2191" s="1" t="s">
        <v>1487</v>
      </c>
      <c r="BW2191" s="1" t="s">
        <v>1488</v>
      </c>
      <c r="BX2191" s="1">
        <v>46</v>
      </c>
      <c r="BY2191" s="1">
        <v>46</v>
      </c>
      <c r="BZ2191" s="1">
        <v>46</v>
      </c>
      <c r="CB2191" s="1" t="str">
        <f>"12"</f>
        <v>12</v>
      </c>
      <c r="CC2191" s="1" t="str">
        <f>"0"</f>
        <v>0</v>
      </c>
      <c r="CD2191" s="1">
        <v>32</v>
      </c>
      <c r="CE2191" s="1">
        <v>0</v>
      </c>
      <c r="CG2191" s="1" t="s">
        <v>908</v>
      </c>
      <c r="CH2191" s="1" t="s">
        <v>219</v>
      </c>
      <c r="CI2191" s="1" t="s">
        <v>220</v>
      </c>
      <c r="CJ2191" s="1" t="s">
        <v>252</v>
      </c>
      <c r="CK2191" s="1" t="s">
        <v>437</v>
      </c>
      <c r="CL2191" s="1" t="s">
        <v>219</v>
      </c>
      <c r="CM2191" s="1" t="s">
        <v>229</v>
      </c>
      <c r="CN2191" s="1" t="s">
        <v>252</v>
      </c>
      <c r="CO2191" s="1" t="s">
        <v>1046</v>
      </c>
      <c r="CP2191" s="1" t="s">
        <v>219</v>
      </c>
      <c r="CQ2191" s="1" t="s">
        <v>220</v>
      </c>
      <c r="CR2191" s="1" t="s">
        <v>252</v>
      </c>
      <c r="CS2191" s="1" t="s">
        <v>2122</v>
      </c>
      <c r="CT2191" s="1" t="s">
        <v>219</v>
      </c>
      <c r="CU2191" s="1" t="s">
        <v>220</v>
      </c>
      <c r="CV2191" s="1" t="s">
        <v>252</v>
      </c>
      <c r="CX2191" s="1" t="s">
        <v>224</v>
      </c>
      <c r="DB2191" s="1" t="s">
        <v>224</v>
      </c>
      <c r="DE2191" s="1" t="s">
        <v>380</v>
      </c>
      <c r="DF2191" s="1" t="s">
        <v>219</v>
      </c>
      <c r="DG2191" s="1" t="s">
        <v>342</v>
      </c>
      <c r="DH2191" s="1" t="s">
        <v>252</v>
      </c>
      <c r="DI2191" s="1" t="s">
        <v>515</v>
      </c>
      <c r="DJ2191" s="1" t="s">
        <v>822</v>
      </c>
      <c r="DK2191" s="1" t="s">
        <v>347</v>
      </c>
      <c r="DL2191" s="1" t="s">
        <v>210</v>
      </c>
      <c r="DS2191" s="1" t="s">
        <v>230</v>
      </c>
      <c r="DW2191" s="1" t="s">
        <v>230</v>
      </c>
      <c r="EA2191" s="1" t="s">
        <v>230</v>
      </c>
      <c r="EE2191" s="1" t="s">
        <v>230</v>
      </c>
      <c r="EI2191" s="1" t="s">
        <v>230</v>
      </c>
      <c r="EL2191" s="1" t="s">
        <v>382</v>
      </c>
      <c r="EM2191" s="1" t="s">
        <v>319</v>
      </c>
      <c r="EN2191" s="1" t="s">
        <v>282</v>
      </c>
      <c r="EO2191" s="1" t="s">
        <v>234</v>
      </c>
      <c r="EP2191" s="1" t="s">
        <v>650</v>
      </c>
      <c r="EQ2191" s="1" t="s">
        <v>236</v>
      </c>
      <c r="ER2191" s="1" t="s">
        <v>351</v>
      </c>
      <c r="ES2191" s="1" t="s">
        <v>4437</v>
      </c>
      <c r="ET2191" s="1" t="s">
        <v>1201</v>
      </c>
      <c r="EU2191" s="1" t="s">
        <v>6227</v>
      </c>
      <c r="EV2191" s="1" t="s">
        <v>324</v>
      </c>
      <c r="EW2191" s="1" t="s">
        <v>384</v>
      </c>
      <c r="EY2191" s="1" t="s">
        <v>790</v>
      </c>
      <c r="EZ2191" s="1" t="s">
        <v>287</v>
      </c>
      <c r="FA2191" s="1" t="s">
        <v>19545</v>
      </c>
      <c r="FB2191" s="1" t="s">
        <v>734</v>
      </c>
      <c r="FD2191" s="1" t="s">
        <v>495</v>
      </c>
      <c r="FE2191" s="1" t="s">
        <v>386</v>
      </c>
      <c r="FF2191" s="1" t="s">
        <v>248</v>
      </c>
      <c r="FG2191" s="1" t="s">
        <v>1204</v>
      </c>
      <c r="FH2191" s="1" t="s">
        <v>825</v>
      </c>
      <c r="FI2191" s="1" t="s">
        <v>473</v>
      </c>
      <c r="FL2191" s="1" t="s">
        <v>358</v>
      </c>
      <c r="FM2191" s="1" t="s">
        <v>252</v>
      </c>
      <c r="FN2191" s="1" t="s">
        <v>213</v>
      </c>
      <c r="FO2191" s="1" t="s">
        <v>213</v>
      </c>
      <c r="FQ2191" s="1" t="s">
        <v>8495</v>
      </c>
      <c r="FR2191" s="1" t="s">
        <v>210</v>
      </c>
      <c r="FS2191" s="1" t="s">
        <v>2608</v>
      </c>
      <c r="FT2191" s="1" t="s">
        <v>255</v>
      </c>
      <c r="FU2191" s="1" t="s">
        <v>204</v>
      </c>
      <c r="FV2191" s="1" t="s">
        <v>8497</v>
      </c>
      <c r="FW2191" s="1" t="s">
        <v>554</v>
      </c>
      <c r="FX2191" s="1">
        <v>5040</v>
      </c>
      <c r="FY2191" s="1" t="s">
        <v>2611</v>
      </c>
      <c r="FZ2191" s="1" t="s">
        <v>2612</v>
      </c>
      <c r="GA2191" s="1">
        <v>54861</v>
      </c>
      <c r="GB2191" s="1" t="s">
        <v>2613</v>
      </c>
      <c r="GE2191" s="1" t="s">
        <v>480</v>
      </c>
      <c r="GI2191" s="1" t="s">
        <v>213</v>
      </c>
      <c r="GJ2191" s="1" t="s">
        <v>260</v>
      </c>
      <c r="GK2191" s="1" t="s">
        <v>210</v>
      </c>
      <c r="GL2191" s="2">
        <v>42014</v>
      </c>
    </row>
    <row r="2192" spans="1:195">
      <c r="A2192" s="1">
        <v>119900</v>
      </c>
      <c r="B2192" s="1" t="s">
        <v>195</v>
      </c>
      <c r="C2192" s="1" t="str">
        <f>"08759487"</f>
        <v>08759487</v>
      </c>
      <c r="D2192" s="1" t="s">
        <v>196</v>
      </c>
      <c r="F2192" s="1" t="str">
        <f t="shared" ref="F2192:F2193" si="1676">"538"</f>
        <v>538</v>
      </c>
      <c r="G2192" s="2">
        <v>41934</v>
      </c>
      <c r="H2192" s="1">
        <v>119900</v>
      </c>
      <c r="I2192" s="1">
        <v>119900</v>
      </c>
      <c r="J2192" s="1">
        <v>119900</v>
      </c>
      <c r="K2192" s="2">
        <v>41932</v>
      </c>
      <c r="L2192" s="1">
        <v>176</v>
      </c>
      <c r="M2192" s="2">
        <v>42107</v>
      </c>
      <c r="N2192" s="1">
        <v>176</v>
      </c>
      <c r="O2192" s="2">
        <v>42107</v>
      </c>
      <c r="P2192" s="1">
        <v>22029</v>
      </c>
      <c r="Q2192" s="1" t="s">
        <v>302</v>
      </c>
      <c r="R2192" s="2">
        <v>42132</v>
      </c>
      <c r="S2192" s="1">
        <v>215986</v>
      </c>
      <c r="U2192" s="1">
        <v>1901</v>
      </c>
      <c r="V2192" s="1" t="s">
        <v>2554</v>
      </c>
      <c r="W2192" s="1" t="s">
        <v>779</v>
      </c>
      <c r="X2192" s="1" t="s">
        <v>19546</v>
      </c>
      <c r="Y2192" s="1">
        <v>8</v>
      </c>
      <c r="Z2192" s="1" t="s">
        <v>249</v>
      </c>
      <c r="AA2192" s="1" t="s">
        <v>450</v>
      </c>
      <c r="AB2192" s="1">
        <v>60538</v>
      </c>
      <c r="AD2192" s="1" t="s">
        <v>19547</v>
      </c>
      <c r="AE2192" s="1" t="s">
        <v>19548</v>
      </c>
      <c r="AF2192" s="1">
        <v>1997</v>
      </c>
      <c r="AG2192" s="1" t="s">
        <v>204</v>
      </c>
      <c r="AH2192" s="1" t="s">
        <v>452</v>
      </c>
      <c r="AI2192" s="1" t="s">
        <v>453</v>
      </c>
      <c r="AJ2192" s="1" t="s">
        <v>1397</v>
      </c>
      <c r="AL2192" s="1">
        <v>6</v>
      </c>
      <c r="AM2192" s="1">
        <v>2</v>
      </c>
      <c r="AN2192" s="1">
        <v>1</v>
      </c>
      <c r="AO2192" s="1">
        <v>1</v>
      </c>
      <c r="AP2192" s="1" t="s">
        <v>667</v>
      </c>
      <c r="AQ2192" s="1">
        <v>1</v>
      </c>
      <c r="AR2192" s="1" t="s">
        <v>1421</v>
      </c>
      <c r="AS2192" s="1" t="s">
        <v>204</v>
      </c>
      <c r="AT2192" s="1" t="s">
        <v>211</v>
      </c>
      <c r="AU2192" s="1">
        <v>2</v>
      </c>
      <c r="AW2192" s="1" t="s">
        <v>204</v>
      </c>
      <c r="AX2192" s="1" t="s">
        <v>212</v>
      </c>
      <c r="AZ2192" s="1">
        <v>4196.72</v>
      </c>
      <c r="BA2192" s="1">
        <v>2012</v>
      </c>
      <c r="BE2192" s="1">
        <v>1600</v>
      </c>
      <c r="BF2192" s="1">
        <v>1</v>
      </c>
      <c r="BG2192" s="1">
        <v>0</v>
      </c>
      <c r="BL2192" s="1">
        <v>155</v>
      </c>
      <c r="BM2192" s="1" t="s">
        <v>204</v>
      </c>
      <c r="BN2192" s="1" t="s">
        <v>213</v>
      </c>
      <c r="BO2192" s="1">
        <v>999</v>
      </c>
      <c r="BP2192" s="1" t="s">
        <v>204</v>
      </c>
      <c r="BR2192" s="1" t="str">
        <f>"0304227038"</f>
        <v>0304227038</v>
      </c>
      <c r="BT2192" s="1" t="s">
        <v>19549</v>
      </c>
      <c r="BU2192" s="1" t="s">
        <v>2618</v>
      </c>
      <c r="BV2192" s="1" t="s">
        <v>3010</v>
      </c>
      <c r="BW2192" s="1" t="s">
        <v>1401</v>
      </c>
      <c r="BX2192" s="1">
        <v>308</v>
      </c>
      <c r="BY2192" s="1">
        <v>308</v>
      </c>
      <c r="BZ2192" s="1">
        <v>308</v>
      </c>
      <c r="CB2192" s="1" t="str">
        <f t="shared" ref="CB2192:CC2192" si="1677">""</f>
        <v/>
      </c>
      <c r="CC2192" s="1" t="str">
        <f t="shared" si="1677"/>
        <v/>
      </c>
      <c r="CG2192" s="1" t="s">
        <v>2935</v>
      </c>
      <c r="CH2192" s="1" t="s">
        <v>219</v>
      </c>
      <c r="CI2192" s="1" t="s">
        <v>220</v>
      </c>
      <c r="CK2192" s="1" t="s">
        <v>1533</v>
      </c>
      <c r="CL2192" s="1" t="s">
        <v>277</v>
      </c>
      <c r="CM2192" s="1" t="s">
        <v>220</v>
      </c>
      <c r="CO2192" s="1" t="s">
        <v>409</v>
      </c>
      <c r="CP2192" s="1" t="s">
        <v>219</v>
      </c>
      <c r="CQ2192" s="1" t="s">
        <v>220</v>
      </c>
      <c r="CS2192" s="1" t="s">
        <v>932</v>
      </c>
      <c r="CT2192" s="1" t="s">
        <v>277</v>
      </c>
      <c r="CU2192" s="1" t="s">
        <v>220</v>
      </c>
      <c r="CX2192" s="1" t="s">
        <v>224</v>
      </c>
      <c r="DB2192" s="1" t="s">
        <v>224</v>
      </c>
      <c r="DE2192" s="1" t="s">
        <v>538</v>
      </c>
      <c r="DF2192" s="1" t="s">
        <v>219</v>
      </c>
      <c r="DG2192" s="1" t="s">
        <v>438</v>
      </c>
      <c r="DI2192" s="1" t="s">
        <v>564</v>
      </c>
      <c r="DJ2192" s="1" t="s">
        <v>43</v>
      </c>
      <c r="DK2192" s="1" t="s">
        <v>229</v>
      </c>
      <c r="DS2192" s="1" t="s">
        <v>230</v>
      </c>
      <c r="DW2192" s="1" t="s">
        <v>230</v>
      </c>
      <c r="EA2192" s="1" t="s">
        <v>230</v>
      </c>
      <c r="EE2192" s="1" t="s">
        <v>230</v>
      </c>
      <c r="EI2192" s="1" t="s">
        <v>230</v>
      </c>
      <c r="EL2192" s="1" t="s">
        <v>670</v>
      </c>
      <c r="EM2192" s="1" t="s">
        <v>319</v>
      </c>
      <c r="EN2192" s="1" t="s">
        <v>282</v>
      </c>
      <c r="EO2192" s="1" t="s">
        <v>234</v>
      </c>
      <c r="EQ2192" s="1" t="s">
        <v>468</v>
      </c>
      <c r="ER2192" s="1" t="s">
        <v>544</v>
      </c>
      <c r="ES2192" s="1" t="s">
        <v>322</v>
      </c>
      <c r="EU2192" s="1" t="s">
        <v>239</v>
      </c>
      <c r="EV2192" s="1" t="s">
        <v>324</v>
      </c>
      <c r="EW2192" s="1" t="s">
        <v>353</v>
      </c>
      <c r="EZ2192" s="1" t="s">
        <v>287</v>
      </c>
      <c r="FD2192" s="1" t="s">
        <v>246</v>
      </c>
      <c r="FE2192" s="1" t="s">
        <v>472</v>
      </c>
      <c r="FF2192" s="1" t="s">
        <v>248</v>
      </c>
      <c r="FH2192" s="1" t="s">
        <v>550</v>
      </c>
      <c r="FJ2192" s="1" t="s">
        <v>197</v>
      </c>
      <c r="FL2192" s="1" t="s">
        <v>358</v>
      </c>
      <c r="FM2192" s="1" t="s">
        <v>252</v>
      </c>
      <c r="FN2192" s="1" t="s">
        <v>213</v>
      </c>
      <c r="FO2192" s="1" t="s">
        <v>204</v>
      </c>
      <c r="FQ2192" s="1" t="s">
        <v>19550</v>
      </c>
      <c r="FR2192" s="1" t="s">
        <v>210</v>
      </c>
      <c r="FS2192" s="1" t="s">
        <v>19551</v>
      </c>
      <c r="FT2192" s="1" t="s">
        <v>295</v>
      </c>
      <c r="FU2192" s="1" t="s">
        <v>213</v>
      </c>
      <c r="FW2192" s="1" t="s">
        <v>19552</v>
      </c>
      <c r="FX2192" s="1">
        <v>21242</v>
      </c>
      <c r="FY2192" s="1" t="s">
        <v>19553</v>
      </c>
      <c r="FZ2192" s="1" t="s">
        <v>19554</v>
      </c>
      <c r="GA2192" s="1">
        <v>221825</v>
      </c>
      <c r="GD2192" s="1" t="s">
        <v>19555</v>
      </c>
      <c r="GE2192" s="1" t="s">
        <v>480</v>
      </c>
      <c r="GI2192" s="1" t="s">
        <v>213</v>
      </c>
      <c r="GJ2192" s="1" t="s">
        <v>260</v>
      </c>
      <c r="GK2192" s="1" t="s">
        <v>210</v>
      </c>
      <c r="GL2192" s="2">
        <v>42132</v>
      </c>
      <c r="GM2192" s="1" t="s">
        <v>19556</v>
      </c>
    </row>
    <row r="2193" spans="1:195">
      <c r="A2193" s="1">
        <v>85575</v>
      </c>
      <c r="B2193" s="1" t="s">
        <v>195</v>
      </c>
      <c r="C2193" s="1" t="str">
        <f>"08754880"</f>
        <v>08754880</v>
      </c>
      <c r="D2193" s="1" t="s">
        <v>196</v>
      </c>
      <c r="F2193" s="1" t="str">
        <f t="shared" si="1676"/>
        <v>538</v>
      </c>
      <c r="G2193" s="2">
        <v>41928</v>
      </c>
      <c r="H2193" s="1">
        <v>87400</v>
      </c>
      <c r="I2193" s="1">
        <v>42000</v>
      </c>
      <c r="J2193" s="1">
        <v>85575</v>
      </c>
      <c r="K2193" s="2">
        <v>41928</v>
      </c>
      <c r="L2193" s="1">
        <v>50</v>
      </c>
      <c r="M2193" s="2">
        <v>41977</v>
      </c>
      <c r="N2193" s="1">
        <v>50</v>
      </c>
      <c r="O2193" s="2">
        <v>41977</v>
      </c>
      <c r="P2193" s="1">
        <v>23286</v>
      </c>
      <c r="Q2193" s="1" t="s">
        <v>302</v>
      </c>
      <c r="R2193" s="2">
        <v>42026</v>
      </c>
      <c r="S2193" s="1">
        <v>259314</v>
      </c>
      <c r="U2193" s="1">
        <v>2465</v>
      </c>
      <c r="V2193" s="1" t="s">
        <v>19557</v>
      </c>
      <c r="W2193" s="1" t="s">
        <v>504</v>
      </c>
      <c r="Y2193" s="1">
        <v>2</v>
      </c>
      <c r="Z2193" s="1" t="s">
        <v>370</v>
      </c>
      <c r="AA2193" s="1" t="s">
        <v>450</v>
      </c>
      <c r="AB2193" s="1">
        <v>60538</v>
      </c>
      <c r="AE2193" s="1" t="s">
        <v>19558</v>
      </c>
      <c r="AF2193" s="1">
        <v>2003</v>
      </c>
      <c r="AG2193" s="1" t="s">
        <v>204</v>
      </c>
      <c r="AH2193" s="1" t="s">
        <v>452</v>
      </c>
      <c r="AI2193" s="1" t="s">
        <v>453</v>
      </c>
      <c r="AJ2193" s="1" t="s">
        <v>454</v>
      </c>
      <c r="AL2193" s="1">
        <v>5</v>
      </c>
      <c r="AM2193" s="1">
        <v>2</v>
      </c>
      <c r="AN2193" s="1">
        <v>1</v>
      </c>
      <c r="AO2193" s="1">
        <v>0</v>
      </c>
      <c r="AP2193" s="1" t="s">
        <v>667</v>
      </c>
      <c r="AR2193" s="1" t="s">
        <v>210</v>
      </c>
      <c r="AS2193" s="1" t="s">
        <v>204</v>
      </c>
      <c r="AT2193" s="1" t="s">
        <v>211</v>
      </c>
      <c r="AU2193" s="1">
        <v>2</v>
      </c>
      <c r="AW2193" s="1" t="s">
        <v>204</v>
      </c>
      <c r="AX2193" s="1" t="s">
        <v>212</v>
      </c>
      <c r="AZ2193" s="1">
        <v>3158.62</v>
      </c>
      <c r="BA2193" s="1">
        <v>2013</v>
      </c>
      <c r="BE2193" s="1">
        <v>850</v>
      </c>
      <c r="BF2193" s="1">
        <v>1</v>
      </c>
      <c r="BG2193" s="1">
        <v>10</v>
      </c>
      <c r="BL2193" s="1">
        <v>82</v>
      </c>
      <c r="BM2193" s="1" t="s">
        <v>213</v>
      </c>
      <c r="BN2193" s="1" t="s">
        <v>213</v>
      </c>
      <c r="BO2193" s="1">
        <v>0</v>
      </c>
      <c r="BP2193" s="1" t="s">
        <v>204</v>
      </c>
      <c r="BR2193" s="1" t="str">
        <f>"0202404029"</f>
        <v>0202404029</v>
      </c>
      <c r="BT2193" s="1" t="s">
        <v>19559</v>
      </c>
      <c r="BX2193" s="1">
        <v>308</v>
      </c>
      <c r="BY2193" s="1">
        <v>308</v>
      </c>
      <c r="BZ2193" s="1">
        <v>308</v>
      </c>
      <c r="CB2193" s="1" t="str">
        <f t="shared" ref="CB2193:CC2193" si="1678">""</f>
        <v/>
      </c>
      <c r="CC2193" s="1" t="str">
        <f t="shared" si="1678"/>
        <v/>
      </c>
      <c r="CG2193" s="1" t="s">
        <v>3035</v>
      </c>
      <c r="CH2193" s="1" t="s">
        <v>219</v>
      </c>
      <c r="CI2193" s="1" t="s">
        <v>220</v>
      </c>
      <c r="CJ2193" s="1" t="s">
        <v>210</v>
      </c>
      <c r="CK2193" s="1" t="s">
        <v>1533</v>
      </c>
      <c r="CL2193" s="1" t="s">
        <v>219</v>
      </c>
      <c r="CM2193" s="1" t="s">
        <v>220</v>
      </c>
      <c r="CO2193" s="1" t="s">
        <v>629</v>
      </c>
      <c r="CP2193" s="1" t="s">
        <v>219</v>
      </c>
      <c r="CS2193" s="1" t="s">
        <v>346</v>
      </c>
      <c r="CT2193" s="1" t="s">
        <v>219</v>
      </c>
      <c r="CU2193" s="1" t="s">
        <v>220</v>
      </c>
      <c r="CX2193" s="1" t="s">
        <v>224</v>
      </c>
      <c r="DB2193" s="1" t="s">
        <v>224</v>
      </c>
      <c r="DE2193" s="1" t="s">
        <v>378</v>
      </c>
      <c r="DF2193" s="1" t="s">
        <v>219</v>
      </c>
      <c r="DJ2193" s="1" t="s">
        <v>224</v>
      </c>
      <c r="DS2193" s="1" t="s">
        <v>230</v>
      </c>
      <c r="DW2193" s="1" t="s">
        <v>230</v>
      </c>
      <c r="EA2193" s="1" t="s">
        <v>230</v>
      </c>
      <c r="EE2193" s="1" t="s">
        <v>230</v>
      </c>
      <c r="EI2193" s="1" t="s">
        <v>230</v>
      </c>
      <c r="EL2193" s="1" t="s">
        <v>466</v>
      </c>
      <c r="EM2193" s="1" t="s">
        <v>319</v>
      </c>
      <c r="EN2193" s="1" t="s">
        <v>282</v>
      </c>
      <c r="EO2193" s="1" t="s">
        <v>840</v>
      </c>
      <c r="ER2193" s="1" t="s">
        <v>210</v>
      </c>
      <c r="ET2193" s="1" t="s">
        <v>842</v>
      </c>
      <c r="EW2193" s="1" t="s">
        <v>3471</v>
      </c>
      <c r="EZ2193" s="1" t="s">
        <v>287</v>
      </c>
      <c r="FD2193" s="1" t="s">
        <v>246</v>
      </c>
      <c r="FE2193" s="1" t="s">
        <v>355</v>
      </c>
      <c r="FF2193" s="1" t="s">
        <v>248</v>
      </c>
      <c r="FH2193" s="1" t="s">
        <v>442</v>
      </c>
      <c r="FL2193" s="1" t="s">
        <v>358</v>
      </c>
      <c r="FM2193" s="1" t="s">
        <v>252</v>
      </c>
      <c r="FN2193" s="1" t="s">
        <v>213</v>
      </c>
      <c r="FO2193" s="1" t="s">
        <v>213</v>
      </c>
      <c r="FQ2193" s="1" t="s">
        <v>3506</v>
      </c>
      <c r="FR2193" s="1" t="s">
        <v>210</v>
      </c>
      <c r="FS2193" s="1" t="s">
        <v>1008</v>
      </c>
      <c r="FT2193" s="1" t="s">
        <v>295</v>
      </c>
      <c r="FU2193" s="1" t="s">
        <v>204</v>
      </c>
      <c r="FW2193" s="1" t="s">
        <v>3509</v>
      </c>
      <c r="FX2193" s="1">
        <v>85367</v>
      </c>
      <c r="FY2193" s="1" t="s">
        <v>4051</v>
      </c>
      <c r="FZ2193" s="1" t="s">
        <v>4052</v>
      </c>
      <c r="GA2193" s="1">
        <v>859364</v>
      </c>
      <c r="GB2193" s="1" t="s">
        <v>4053</v>
      </c>
      <c r="GE2193" s="1" t="s">
        <v>480</v>
      </c>
      <c r="GI2193" s="1" t="s">
        <v>204</v>
      </c>
      <c r="GJ2193" s="1" t="s">
        <v>260</v>
      </c>
      <c r="GK2193" s="1" t="s">
        <v>210</v>
      </c>
      <c r="GL2193" s="2">
        <v>42031</v>
      </c>
      <c r="GM2193" s="1" t="s">
        <v>19560</v>
      </c>
    </row>
    <row r="2194" spans="1:195">
      <c r="A2194" s="1">
        <v>330000</v>
      </c>
      <c r="B2194" s="1" t="s">
        <v>195</v>
      </c>
      <c r="C2194" s="1" t="str">
        <f>"08767938"</f>
        <v>08767938</v>
      </c>
      <c r="D2194" s="1" t="s">
        <v>196</v>
      </c>
      <c r="F2194" s="1" t="str">
        <f>"531"</f>
        <v>531</v>
      </c>
      <c r="G2194" s="2">
        <v>41946</v>
      </c>
      <c r="H2194" s="1">
        <v>345000</v>
      </c>
      <c r="I2194" s="1">
        <v>345000</v>
      </c>
      <c r="J2194" s="1">
        <v>330000</v>
      </c>
      <c r="K2194" s="2">
        <v>41945</v>
      </c>
      <c r="L2194" s="1">
        <v>157</v>
      </c>
      <c r="M2194" s="2">
        <v>42101</v>
      </c>
      <c r="N2194" s="1">
        <v>157</v>
      </c>
      <c r="O2194" s="2">
        <v>42101</v>
      </c>
      <c r="P2194" s="1">
        <v>22049</v>
      </c>
      <c r="Q2194" s="1" t="s">
        <v>197</v>
      </c>
      <c r="R2194" s="2">
        <v>42138</v>
      </c>
      <c r="S2194" s="1">
        <v>242471</v>
      </c>
      <c r="U2194" s="1">
        <v>11005</v>
      </c>
      <c r="V2194" s="1" t="s">
        <v>11414</v>
      </c>
      <c r="W2194" s="1" t="s">
        <v>504</v>
      </c>
      <c r="Y2194" s="1">
        <v>5</v>
      </c>
      <c r="Z2194" s="1" t="s">
        <v>370</v>
      </c>
      <c r="AA2194" s="1" t="s">
        <v>2326</v>
      </c>
      <c r="AB2194" s="1">
        <v>60525</v>
      </c>
      <c r="AD2194" s="1" t="s">
        <v>11415</v>
      </c>
      <c r="AE2194" s="1" t="s">
        <v>19561</v>
      </c>
      <c r="AF2194" s="1">
        <v>1999</v>
      </c>
      <c r="AG2194" s="1" t="s">
        <v>204</v>
      </c>
      <c r="AH2194" s="1" t="s">
        <v>2329</v>
      </c>
      <c r="AI2194" s="1" t="s">
        <v>310</v>
      </c>
      <c r="AJ2194" s="1" t="s">
        <v>702</v>
      </c>
      <c r="AL2194" s="1">
        <v>7</v>
      </c>
      <c r="AM2194" s="1">
        <v>2</v>
      </c>
      <c r="AN2194" s="1">
        <v>2</v>
      </c>
      <c r="AO2194" s="1">
        <v>1</v>
      </c>
      <c r="AP2194" s="1" t="s">
        <v>209</v>
      </c>
      <c r="AQ2194" s="1">
        <v>1</v>
      </c>
      <c r="AR2194" s="1" t="s">
        <v>209</v>
      </c>
      <c r="AS2194" s="1" t="s">
        <v>204</v>
      </c>
      <c r="AT2194" s="1" t="s">
        <v>211</v>
      </c>
      <c r="AU2194" s="1">
        <v>2</v>
      </c>
      <c r="AW2194" s="1" t="s">
        <v>204</v>
      </c>
      <c r="AX2194" s="1" t="s">
        <v>19562</v>
      </c>
      <c r="AZ2194" s="1">
        <v>7043.99</v>
      </c>
      <c r="BA2194" s="1">
        <v>2013</v>
      </c>
      <c r="BB2194" s="1" t="s">
        <v>405</v>
      </c>
      <c r="BE2194" s="1">
        <v>0</v>
      </c>
      <c r="BF2194" s="1">
        <v>1</v>
      </c>
      <c r="BG2194" s="1">
        <v>30</v>
      </c>
      <c r="BL2194" s="1">
        <v>320</v>
      </c>
      <c r="BM2194" s="1" t="s">
        <v>204</v>
      </c>
      <c r="BN2194" s="1" t="s">
        <v>213</v>
      </c>
      <c r="BO2194" s="1">
        <v>999</v>
      </c>
      <c r="BP2194" s="1" t="s">
        <v>204</v>
      </c>
      <c r="BR2194" s="1" t="str">
        <f>"18173111040000"</f>
        <v>18173111040000</v>
      </c>
      <c r="BT2194" s="1" t="s">
        <v>19563</v>
      </c>
      <c r="BU2194" s="1" t="s">
        <v>2495</v>
      </c>
      <c r="BV2194" s="1" t="s">
        <v>2496</v>
      </c>
      <c r="BW2194" s="1" t="s">
        <v>706</v>
      </c>
      <c r="BX2194" s="1">
        <v>106</v>
      </c>
      <c r="BY2194" s="1">
        <v>106</v>
      </c>
      <c r="BZ2194" s="1">
        <v>204</v>
      </c>
      <c r="CB2194" s="1" t="str">
        <f t="shared" ref="CB2194:CC2194" si="1679">""</f>
        <v/>
      </c>
      <c r="CC2194" s="1" t="str">
        <f t="shared" si="1679"/>
        <v/>
      </c>
      <c r="CG2194" s="1" t="s">
        <v>932</v>
      </c>
      <c r="CH2194" s="1" t="s">
        <v>219</v>
      </c>
      <c r="CI2194" s="1" t="s">
        <v>438</v>
      </c>
      <c r="CJ2194" s="1" t="s">
        <v>343</v>
      </c>
      <c r="CK2194" s="1" t="s">
        <v>1936</v>
      </c>
      <c r="CL2194" s="1" t="s">
        <v>277</v>
      </c>
      <c r="CM2194" s="1" t="s">
        <v>220</v>
      </c>
      <c r="CN2194" s="1" t="s">
        <v>343</v>
      </c>
      <c r="CO2194" s="1" t="s">
        <v>2138</v>
      </c>
      <c r="CP2194" s="1" t="s">
        <v>219</v>
      </c>
      <c r="CQ2194" s="1" t="s">
        <v>438</v>
      </c>
      <c r="CS2194" s="1" t="s">
        <v>461</v>
      </c>
      <c r="CT2194" s="1" t="s">
        <v>277</v>
      </c>
      <c r="CU2194" s="1" t="s">
        <v>220</v>
      </c>
      <c r="CV2194" s="1" t="s">
        <v>463</v>
      </c>
      <c r="CX2194" s="1" t="s">
        <v>224</v>
      </c>
      <c r="DB2194" s="1" t="s">
        <v>224</v>
      </c>
      <c r="DE2194" s="1" t="s">
        <v>317</v>
      </c>
      <c r="DF2194" s="1" t="s">
        <v>219</v>
      </c>
      <c r="DG2194" s="1" t="s">
        <v>438</v>
      </c>
      <c r="DI2194" s="1" t="s">
        <v>317</v>
      </c>
      <c r="DJ2194" s="1" t="s">
        <v>219</v>
      </c>
      <c r="DK2194" s="1" t="s">
        <v>438</v>
      </c>
      <c r="DL2194" s="1" t="s">
        <v>343</v>
      </c>
      <c r="DM2194" s="1" t="s">
        <v>464</v>
      </c>
      <c r="DN2194" s="1" t="s">
        <v>709</v>
      </c>
      <c r="DO2194" s="1" t="s">
        <v>1771</v>
      </c>
      <c r="DP2194" s="1" t="s">
        <v>2278</v>
      </c>
      <c r="DR2194" s="1" t="s">
        <v>686</v>
      </c>
      <c r="DS2194" s="1" t="s">
        <v>277</v>
      </c>
      <c r="DT2194" s="1" t="s">
        <v>220</v>
      </c>
      <c r="DV2194" s="1" t="s">
        <v>19564</v>
      </c>
      <c r="DW2194" s="1" t="s">
        <v>219</v>
      </c>
      <c r="DX2194" s="1" t="s">
        <v>438</v>
      </c>
      <c r="DZ2194" s="1" t="s">
        <v>3492</v>
      </c>
      <c r="EA2194" s="1" t="s">
        <v>277</v>
      </c>
      <c r="EB2194" s="1" t="s">
        <v>220</v>
      </c>
      <c r="ED2194" s="1" t="s">
        <v>19196</v>
      </c>
      <c r="EE2194" s="1" t="s">
        <v>43</v>
      </c>
      <c r="EF2194" s="1" t="s">
        <v>347</v>
      </c>
      <c r="EI2194" s="1" t="s">
        <v>230</v>
      </c>
      <c r="EL2194" s="1" t="s">
        <v>670</v>
      </c>
      <c r="EM2194" s="1" t="s">
        <v>730</v>
      </c>
      <c r="EN2194" s="1" t="s">
        <v>282</v>
      </c>
      <c r="EO2194" s="1" t="s">
        <v>234</v>
      </c>
      <c r="EP2194" s="1" t="s">
        <v>1489</v>
      </c>
      <c r="EQ2194" s="1" t="s">
        <v>236</v>
      </c>
      <c r="ER2194" s="1" t="s">
        <v>2453</v>
      </c>
      <c r="ES2194" s="1" t="s">
        <v>954</v>
      </c>
      <c r="ET2194" s="1" t="s">
        <v>1201</v>
      </c>
      <c r="EU2194" s="1" t="s">
        <v>1202</v>
      </c>
      <c r="EV2194" s="1" t="s">
        <v>240</v>
      </c>
      <c r="EW2194" s="1" t="s">
        <v>353</v>
      </c>
      <c r="EY2194" s="1" t="s">
        <v>242</v>
      </c>
      <c r="EZ2194" s="1" t="s">
        <v>19565</v>
      </c>
      <c r="FA2194" s="1" t="s">
        <v>19566</v>
      </c>
      <c r="FB2194" s="1" t="s">
        <v>289</v>
      </c>
      <c r="FC2194" s="1" t="s">
        <v>9602</v>
      </c>
      <c r="FD2194" s="1" t="s">
        <v>246</v>
      </c>
      <c r="FE2194" s="1" t="s">
        <v>549</v>
      </c>
      <c r="FF2194" s="1" t="s">
        <v>248</v>
      </c>
      <c r="FG2194" s="1" t="s">
        <v>2540</v>
      </c>
      <c r="FH2194" s="1" t="s">
        <v>550</v>
      </c>
      <c r="FI2194" s="1" t="s">
        <v>473</v>
      </c>
      <c r="FL2194" s="1" t="s">
        <v>358</v>
      </c>
      <c r="FM2194" s="1" t="s">
        <v>252</v>
      </c>
      <c r="FN2194" s="1" t="s">
        <v>213</v>
      </c>
      <c r="FO2194" s="1" t="s">
        <v>213</v>
      </c>
      <c r="FQ2194" s="1" t="s">
        <v>2004</v>
      </c>
      <c r="FR2194" s="1" t="s">
        <v>210</v>
      </c>
      <c r="FS2194" s="1" t="s">
        <v>19567</v>
      </c>
      <c r="FT2194" s="1" t="s">
        <v>362</v>
      </c>
      <c r="FU2194" s="1" t="s">
        <v>204</v>
      </c>
      <c r="FV2194" s="1" t="s">
        <v>13984</v>
      </c>
      <c r="FW2194" s="1" t="s">
        <v>8599</v>
      </c>
      <c r="FX2194" s="1">
        <v>22375</v>
      </c>
      <c r="FY2194" s="1" t="s">
        <v>8600</v>
      </c>
      <c r="FZ2194" s="1" t="s">
        <v>13985</v>
      </c>
      <c r="GA2194" s="1">
        <v>225063</v>
      </c>
      <c r="GB2194" s="1" t="s">
        <v>13986</v>
      </c>
      <c r="GD2194" s="1" t="s">
        <v>13987</v>
      </c>
      <c r="GE2194" s="1" t="s">
        <v>1379</v>
      </c>
      <c r="GI2194" s="1" t="s">
        <v>213</v>
      </c>
      <c r="GJ2194" s="1" t="s">
        <v>260</v>
      </c>
      <c r="GK2194" s="1" t="s">
        <v>210</v>
      </c>
      <c r="GL2194" s="2">
        <v>42138</v>
      </c>
      <c r="GM2194" s="1" t="s">
        <v>19568</v>
      </c>
    </row>
    <row r="2195" spans="1:195">
      <c r="A2195" s="1">
        <v>113500</v>
      </c>
      <c r="B2195" s="1" t="s">
        <v>195</v>
      </c>
      <c r="C2195" s="1" t="str">
        <f>"08749280"</f>
        <v>08749280</v>
      </c>
      <c r="D2195" s="1" t="s">
        <v>196</v>
      </c>
      <c r="F2195" s="1" t="str">
        <f>"143"</f>
        <v>143</v>
      </c>
      <c r="G2195" s="2">
        <v>41921</v>
      </c>
      <c r="H2195" s="1">
        <v>149900</v>
      </c>
      <c r="I2195" s="1">
        <v>129900</v>
      </c>
      <c r="J2195" s="1">
        <v>113500</v>
      </c>
      <c r="K2195" s="2">
        <v>41921</v>
      </c>
      <c r="L2195" s="1">
        <v>178</v>
      </c>
      <c r="M2195" s="2">
        <v>42098</v>
      </c>
      <c r="N2195" s="1">
        <v>178</v>
      </c>
      <c r="O2195" s="2">
        <v>42098</v>
      </c>
      <c r="P2195" s="1">
        <v>22695</v>
      </c>
      <c r="Q2195" s="1" t="s">
        <v>197</v>
      </c>
      <c r="R2195" s="2">
        <v>42145</v>
      </c>
      <c r="S2195" s="1">
        <v>232578</v>
      </c>
      <c r="T2195" s="1">
        <v>3000</v>
      </c>
      <c r="U2195" s="1">
        <v>209</v>
      </c>
      <c r="V2195" s="1" t="s">
        <v>1228</v>
      </c>
      <c r="W2195" s="1" t="s">
        <v>1056</v>
      </c>
      <c r="X2195" s="1" t="s">
        <v>10396</v>
      </c>
      <c r="Y2195" s="1">
        <v>4</v>
      </c>
      <c r="Z2195" s="1" t="s">
        <v>249</v>
      </c>
      <c r="AA2195" s="1" t="s">
        <v>7871</v>
      </c>
      <c r="AB2195" s="1">
        <v>60143</v>
      </c>
      <c r="AE2195" s="1" t="s">
        <v>19569</v>
      </c>
      <c r="AF2195" s="1">
        <v>1977</v>
      </c>
      <c r="AG2195" s="1" t="s">
        <v>213</v>
      </c>
      <c r="AH2195" s="1" t="s">
        <v>7873</v>
      </c>
      <c r="AI2195" s="1" t="s">
        <v>206</v>
      </c>
      <c r="AJ2195" s="1" t="s">
        <v>1233</v>
      </c>
      <c r="AL2195" s="1">
        <v>6</v>
      </c>
      <c r="AM2195" s="1">
        <v>2</v>
      </c>
      <c r="AN2195" s="1">
        <v>2</v>
      </c>
      <c r="AO2195" s="1">
        <v>0</v>
      </c>
      <c r="AP2195" s="1" t="s">
        <v>209</v>
      </c>
      <c r="AQ2195" s="1">
        <v>0</v>
      </c>
      <c r="AR2195" s="1" t="s">
        <v>209</v>
      </c>
      <c r="AS2195" s="1" t="s">
        <v>204</v>
      </c>
      <c r="AT2195" s="1" t="s">
        <v>271</v>
      </c>
      <c r="AV2195" s="1">
        <v>2</v>
      </c>
      <c r="AW2195" s="1" t="s">
        <v>204</v>
      </c>
      <c r="AX2195" s="1" t="s">
        <v>212</v>
      </c>
      <c r="AZ2195" s="1">
        <v>1684.2</v>
      </c>
      <c r="BA2195" s="1">
        <v>2013</v>
      </c>
      <c r="BB2195" s="1" t="s">
        <v>3996</v>
      </c>
      <c r="BE2195" s="1">
        <v>1300</v>
      </c>
      <c r="BF2195" s="1">
        <v>1</v>
      </c>
      <c r="BG2195" s="1">
        <v>0</v>
      </c>
      <c r="BJ2195" s="1">
        <v>100</v>
      </c>
      <c r="BL2195" s="1">
        <v>275</v>
      </c>
      <c r="BM2195" s="1" t="s">
        <v>204</v>
      </c>
      <c r="BN2195" s="1" t="s">
        <v>213</v>
      </c>
      <c r="BO2195" s="1">
        <v>40</v>
      </c>
      <c r="BP2195" s="1" t="s">
        <v>204</v>
      </c>
      <c r="BR2195" s="1" t="str">
        <f>"0308323001"</f>
        <v>0308323001</v>
      </c>
      <c r="BT2195" s="1" t="s">
        <v>19570</v>
      </c>
      <c r="BU2195" s="1" t="s">
        <v>7876</v>
      </c>
      <c r="BV2195" s="1" t="s">
        <v>7877</v>
      </c>
      <c r="BW2195" s="1" t="s">
        <v>275</v>
      </c>
      <c r="BX2195" s="1">
        <v>10</v>
      </c>
      <c r="BY2195" s="1">
        <v>10</v>
      </c>
      <c r="BZ2195" s="1">
        <v>108</v>
      </c>
      <c r="CB2195" s="1" t="str">
        <f t="shared" ref="CB2195:CC2195" si="1680">""</f>
        <v/>
      </c>
      <c r="CC2195" s="1" t="str">
        <f t="shared" si="1680"/>
        <v/>
      </c>
      <c r="CG2195" s="1" t="s">
        <v>908</v>
      </c>
      <c r="CH2195" s="1" t="s">
        <v>219</v>
      </c>
      <c r="CI2195" s="1" t="s">
        <v>220</v>
      </c>
      <c r="CJ2195" s="1" t="s">
        <v>343</v>
      </c>
      <c r="CK2195" s="1" t="s">
        <v>278</v>
      </c>
      <c r="CL2195" s="1" t="s">
        <v>219</v>
      </c>
      <c r="CM2195" s="1" t="s">
        <v>220</v>
      </c>
      <c r="CN2195" s="1" t="s">
        <v>343</v>
      </c>
      <c r="CO2195" s="1" t="s">
        <v>821</v>
      </c>
      <c r="CP2195" s="1" t="s">
        <v>219</v>
      </c>
      <c r="CQ2195" s="1" t="s">
        <v>220</v>
      </c>
      <c r="CR2195" s="1" t="s">
        <v>343</v>
      </c>
      <c r="CS2195" s="1" t="s">
        <v>972</v>
      </c>
      <c r="CT2195" s="1" t="s">
        <v>219</v>
      </c>
      <c r="CU2195" s="1" t="s">
        <v>220</v>
      </c>
      <c r="CV2195" s="1" t="s">
        <v>343</v>
      </c>
      <c r="CX2195" s="1" t="s">
        <v>224</v>
      </c>
      <c r="DB2195" s="1" t="s">
        <v>224</v>
      </c>
      <c r="DE2195" s="1" t="s">
        <v>2231</v>
      </c>
      <c r="DF2195" s="1" t="s">
        <v>219</v>
      </c>
      <c r="DG2195" s="1" t="s">
        <v>226</v>
      </c>
      <c r="DH2195" s="1" t="s">
        <v>210</v>
      </c>
      <c r="DJ2195" s="1" t="s">
        <v>224</v>
      </c>
      <c r="DM2195" s="1" t="s">
        <v>381</v>
      </c>
      <c r="DR2195" s="1" t="s">
        <v>1454</v>
      </c>
      <c r="DS2195" s="1" t="s">
        <v>219</v>
      </c>
      <c r="DT2195" s="1" t="s">
        <v>226</v>
      </c>
      <c r="DU2195" s="1" t="s">
        <v>343</v>
      </c>
      <c r="DW2195" s="1" t="s">
        <v>230</v>
      </c>
      <c r="EA2195" s="1" t="s">
        <v>230</v>
      </c>
      <c r="EE2195" s="1" t="s">
        <v>230</v>
      </c>
      <c r="EI2195" s="1" t="s">
        <v>230</v>
      </c>
      <c r="EL2195" s="1" t="s">
        <v>231</v>
      </c>
      <c r="EM2195" s="1" t="s">
        <v>232</v>
      </c>
      <c r="EN2195" s="1" t="s">
        <v>282</v>
      </c>
      <c r="EO2195" s="1" t="s">
        <v>1020</v>
      </c>
      <c r="EP2195" s="1" t="s">
        <v>19571</v>
      </c>
      <c r="EQ2195" s="1" t="s">
        <v>953</v>
      </c>
      <c r="ER2195" s="1" t="s">
        <v>1249</v>
      </c>
      <c r="ES2195" s="1" t="s">
        <v>493</v>
      </c>
      <c r="EV2195" s="1" t="s">
        <v>240</v>
      </c>
      <c r="EW2195" s="1" t="s">
        <v>286</v>
      </c>
      <c r="EY2195" s="1" t="s">
        <v>242</v>
      </c>
      <c r="EZ2195" s="1" t="s">
        <v>381</v>
      </c>
      <c r="FA2195" s="1" t="s">
        <v>471</v>
      </c>
      <c r="FB2195" s="1" t="s">
        <v>734</v>
      </c>
      <c r="FC2195" s="1" t="s">
        <v>548</v>
      </c>
      <c r="FD2195" s="1" t="s">
        <v>385</v>
      </c>
      <c r="FE2195" s="1" t="s">
        <v>247</v>
      </c>
      <c r="FF2195" s="1" t="s">
        <v>248</v>
      </c>
      <c r="FH2195" s="1" t="s">
        <v>249</v>
      </c>
      <c r="FJ2195" s="1" t="s">
        <v>197</v>
      </c>
      <c r="FK2195" s="1" t="s">
        <v>291</v>
      </c>
      <c r="FL2195" s="1" t="s">
        <v>358</v>
      </c>
      <c r="FM2195" s="1" t="s">
        <v>252</v>
      </c>
      <c r="FN2195" s="1" t="s">
        <v>213</v>
      </c>
      <c r="FO2195" s="1" t="s">
        <v>213</v>
      </c>
      <c r="FQ2195" s="1" t="s">
        <v>956</v>
      </c>
      <c r="FR2195" s="1" t="s">
        <v>210</v>
      </c>
      <c r="FS2195" s="1" t="s">
        <v>7022</v>
      </c>
      <c r="FT2195" s="1" t="s">
        <v>19572</v>
      </c>
      <c r="FU2195" s="1" t="s">
        <v>204</v>
      </c>
      <c r="FV2195" s="1" t="s">
        <v>14742</v>
      </c>
      <c r="FW2195" s="1" t="s">
        <v>2726</v>
      </c>
      <c r="FX2195" s="1">
        <v>1109</v>
      </c>
      <c r="FY2195" s="1" t="s">
        <v>2727</v>
      </c>
      <c r="FZ2195" s="1" t="s">
        <v>14743</v>
      </c>
      <c r="GA2195" s="1">
        <v>81441</v>
      </c>
      <c r="GB2195" s="1" t="s">
        <v>14744</v>
      </c>
      <c r="GE2195" s="1" t="s">
        <v>1333</v>
      </c>
      <c r="GH2195" s="1" t="s">
        <v>800</v>
      </c>
      <c r="GI2195" s="1" t="s">
        <v>213</v>
      </c>
      <c r="GJ2195" s="1" t="s">
        <v>260</v>
      </c>
      <c r="GK2195" s="1" t="s">
        <v>261</v>
      </c>
      <c r="GL2195" s="2">
        <v>42145</v>
      </c>
      <c r="GM2195" s="1" t="s">
        <v>19573</v>
      </c>
    </row>
    <row r="2196" spans="1:195">
      <c r="A2196" s="1">
        <v>150000</v>
      </c>
      <c r="B2196" s="1" t="s">
        <v>195</v>
      </c>
      <c r="C2196" s="1" t="str">
        <f>"08759620"</f>
        <v>08759620</v>
      </c>
      <c r="D2196" s="1" t="s">
        <v>196</v>
      </c>
      <c r="F2196" s="1" t="str">
        <f>"562"</f>
        <v>562</v>
      </c>
      <c r="G2196" s="2">
        <v>41935</v>
      </c>
      <c r="H2196" s="1">
        <v>154900</v>
      </c>
      <c r="I2196" s="1">
        <v>154900</v>
      </c>
      <c r="J2196" s="1">
        <v>150000</v>
      </c>
      <c r="K2196" s="2">
        <v>41935</v>
      </c>
      <c r="L2196" s="1">
        <v>50</v>
      </c>
      <c r="M2196" s="2">
        <v>41984</v>
      </c>
      <c r="N2196" s="1">
        <v>50</v>
      </c>
      <c r="O2196" s="2">
        <v>41984</v>
      </c>
      <c r="P2196" s="1">
        <v>22049</v>
      </c>
      <c r="Q2196" s="1" t="s">
        <v>197</v>
      </c>
      <c r="R2196" s="2">
        <v>42047</v>
      </c>
      <c r="S2196" s="1">
        <v>224881</v>
      </c>
      <c r="U2196" s="1">
        <v>1568</v>
      </c>
      <c r="V2196" s="1" t="s">
        <v>3092</v>
      </c>
      <c r="W2196" s="1" t="s">
        <v>264</v>
      </c>
      <c r="Y2196" s="1">
        <v>4</v>
      </c>
      <c r="Z2196" s="1" t="s">
        <v>370</v>
      </c>
      <c r="AA2196" s="1" t="s">
        <v>899</v>
      </c>
      <c r="AB2196" s="1">
        <v>60561</v>
      </c>
      <c r="AD2196" s="1" t="s">
        <v>3093</v>
      </c>
      <c r="AE2196" s="1" t="s">
        <v>19574</v>
      </c>
      <c r="AF2196" s="1">
        <v>1987</v>
      </c>
      <c r="AG2196" s="1" t="s">
        <v>204</v>
      </c>
      <c r="AH2196" s="1" t="s">
        <v>902</v>
      </c>
      <c r="AI2196" s="1" t="s">
        <v>206</v>
      </c>
      <c r="AJ2196" s="1" t="s">
        <v>903</v>
      </c>
      <c r="AL2196" s="1">
        <v>5</v>
      </c>
      <c r="AM2196" s="1">
        <v>2</v>
      </c>
      <c r="AN2196" s="1">
        <v>2</v>
      </c>
      <c r="AO2196" s="1">
        <v>1</v>
      </c>
      <c r="AP2196" s="1" t="s">
        <v>209</v>
      </c>
      <c r="AQ2196" s="1">
        <v>1</v>
      </c>
      <c r="AR2196" s="1" t="s">
        <v>210</v>
      </c>
      <c r="AT2196" s="1" t="s">
        <v>211</v>
      </c>
      <c r="AU2196" s="1">
        <v>1</v>
      </c>
      <c r="AW2196" s="1" t="s">
        <v>204</v>
      </c>
      <c r="AX2196" s="1" t="s">
        <v>3095</v>
      </c>
      <c r="AZ2196" s="1">
        <v>2901</v>
      </c>
      <c r="BA2196" s="1">
        <v>2013</v>
      </c>
      <c r="BB2196" s="1" t="s">
        <v>405</v>
      </c>
      <c r="BE2196" s="1">
        <v>1086</v>
      </c>
      <c r="BF2196" s="1">
        <v>1</v>
      </c>
      <c r="BG2196" s="1">
        <v>0</v>
      </c>
      <c r="BL2196" s="1">
        <v>284</v>
      </c>
      <c r="BM2196" s="1" t="s">
        <v>204</v>
      </c>
      <c r="BN2196" s="1" t="s">
        <v>213</v>
      </c>
      <c r="BO2196" s="1">
        <v>0</v>
      </c>
      <c r="BP2196" s="1" t="s">
        <v>204</v>
      </c>
      <c r="BR2196" s="1" t="str">
        <f>"0928406051"</f>
        <v>0928406051</v>
      </c>
      <c r="BT2196" s="1" t="s">
        <v>19575</v>
      </c>
      <c r="BW2196" s="1" t="s">
        <v>3099</v>
      </c>
      <c r="BX2196" s="1">
        <v>66</v>
      </c>
      <c r="BY2196" s="1">
        <v>66</v>
      </c>
      <c r="BZ2196" s="1">
        <v>99</v>
      </c>
      <c r="CB2196" s="1" t="str">
        <f t="shared" ref="CB2196:CC2196" si="1681">""</f>
        <v/>
      </c>
      <c r="CC2196" s="1" t="str">
        <f t="shared" si="1681"/>
        <v/>
      </c>
      <c r="CG2196" s="1" t="s">
        <v>3100</v>
      </c>
      <c r="CH2196" s="1" t="s">
        <v>219</v>
      </c>
      <c r="CI2196" s="1" t="s">
        <v>220</v>
      </c>
      <c r="CJ2196" s="1" t="s">
        <v>343</v>
      </c>
      <c r="CK2196" s="1" t="s">
        <v>539</v>
      </c>
      <c r="CL2196" s="1" t="s">
        <v>277</v>
      </c>
      <c r="CO2196" s="1" t="s">
        <v>629</v>
      </c>
      <c r="CP2196" s="1" t="s">
        <v>219</v>
      </c>
      <c r="CQ2196" s="1" t="s">
        <v>220</v>
      </c>
      <c r="CS2196" s="1" t="s">
        <v>1297</v>
      </c>
      <c r="CT2196" s="1" t="s">
        <v>277</v>
      </c>
      <c r="CX2196" s="1" t="s">
        <v>224</v>
      </c>
      <c r="DB2196" s="1" t="s">
        <v>224</v>
      </c>
      <c r="DE2196" s="1" t="s">
        <v>516</v>
      </c>
      <c r="DF2196" s="1" t="s">
        <v>219</v>
      </c>
      <c r="DG2196" s="1" t="s">
        <v>342</v>
      </c>
      <c r="DJ2196" s="1" t="s">
        <v>224</v>
      </c>
      <c r="DS2196" s="1" t="s">
        <v>230</v>
      </c>
      <c r="DW2196" s="1" t="s">
        <v>230</v>
      </c>
      <c r="EA2196" s="1" t="s">
        <v>230</v>
      </c>
      <c r="EE2196" s="1" t="s">
        <v>230</v>
      </c>
      <c r="EI2196" s="1" t="s">
        <v>230</v>
      </c>
      <c r="EL2196" s="1" t="s">
        <v>542</v>
      </c>
      <c r="EM2196" s="1" t="s">
        <v>232</v>
      </c>
      <c r="EN2196" s="1" t="s">
        <v>282</v>
      </c>
      <c r="EO2196" s="1" t="s">
        <v>234</v>
      </c>
      <c r="EP2196" s="1" t="s">
        <v>19576</v>
      </c>
      <c r="EQ2196" s="1" t="s">
        <v>468</v>
      </c>
      <c r="ER2196" s="1" t="s">
        <v>210</v>
      </c>
      <c r="EW2196" s="1" t="s">
        <v>6645</v>
      </c>
      <c r="EZ2196" s="1" t="s">
        <v>287</v>
      </c>
      <c r="FB2196" s="1" t="s">
        <v>289</v>
      </c>
      <c r="FC2196" s="1" t="s">
        <v>548</v>
      </c>
      <c r="FD2196" s="1" t="s">
        <v>246</v>
      </c>
      <c r="FE2196" s="1" t="s">
        <v>975</v>
      </c>
      <c r="FF2196" s="1" t="s">
        <v>248</v>
      </c>
      <c r="FG2196" s="1" t="s">
        <v>912</v>
      </c>
      <c r="FH2196" s="1" t="s">
        <v>550</v>
      </c>
      <c r="FI2196" s="1" t="s">
        <v>357</v>
      </c>
      <c r="FL2196" s="1" t="s">
        <v>414</v>
      </c>
      <c r="FM2196" s="1" t="s">
        <v>252</v>
      </c>
      <c r="FN2196" s="1" t="s">
        <v>213</v>
      </c>
      <c r="FO2196" s="1" t="s">
        <v>213</v>
      </c>
      <c r="FQ2196" s="1" t="s">
        <v>19577</v>
      </c>
      <c r="FR2196" s="1" t="s">
        <v>210</v>
      </c>
      <c r="FS2196" s="1" t="s">
        <v>19578</v>
      </c>
      <c r="FT2196" s="1" t="s">
        <v>19579</v>
      </c>
      <c r="FU2196" s="1" t="s">
        <v>204</v>
      </c>
      <c r="FW2196" s="1" t="s">
        <v>915</v>
      </c>
      <c r="FX2196" s="1">
        <v>23076</v>
      </c>
      <c r="FY2196" s="1" t="s">
        <v>1909</v>
      </c>
      <c r="FZ2196" s="1" t="s">
        <v>19580</v>
      </c>
      <c r="GA2196" s="1">
        <v>241537</v>
      </c>
      <c r="GE2196" s="1" t="s">
        <v>210</v>
      </c>
      <c r="GI2196" s="1" t="s">
        <v>213</v>
      </c>
      <c r="GJ2196" s="1" t="s">
        <v>260</v>
      </c>
      <c r="GK2196" s="1" t="s">
        <v>210</v>
      </c>
      <c r="GL2196" s="2">
        <v>42049</v>
      </c>
    </row>
    <row r="2197" spans="1:195">
      <c r="A2197" s="1">
        <v>157290</v>
      </c>
      <c r="B2197" s="1" t="s">
        <v>195</v>
      </c>
      <c r="C2197" s="1" t="str">
        <f>"08752512"</f>
        <v>08752512</v>
      </c>
      <c r="D2197" s="1" t="s">
        <v>196</v>
      </c>
      <c r="F2197" s="1" t="str">
        <f>"148"</f>
        <v>148</v>
      </c>
      <c r="G2197" s="2">
        <v>41926</v>
      </c>
      <c r="H2197" s="1">
        <v>192900</v>
      </c>
      <c r="I2197" s="1">
        <v>159000</v>
      </c>
      <c r="J2197" s="1">
        <v>157290</v>
      </c>
      <c r="K2197" s="2">
        <v>41926</v>
      </c>
      <c r="L2197" s="1">
        <v>93</v>
      </c>
      <c r="M2197" s="2">
        <v>42018</v>
      </c>
      <c r="N2197" s="1">
        <v>93</v>
      </c>
      <c r="O2197" s="2">
        <v>42018</v>
      </c>
      <c r="P2197" s="1">
        <v>4475</v>
      </c>
      <c r="Q2197" s="1" t="s">
        <v>197</v>
      </c>
      <c r="R2197" s="2">
        <v>42065</v>
      </c>
      <c r="S2197" s="1">
        <v>38351</v>
      </c>
      <c r="U2197" s="1">
        <v>2020</v>
      </c>
      <c r="V2197" s="1" t="s">
        <v>2427</v>
      </c>
      <c r="W2197" s="1" t="s">
        <v>264</v>
      </c>
      <c r="X2197" s="1">
        <v>209</v>
      </c>
      <c r="Y2197" s="1">
        <v>45</v>
      </c>
      <c r="Z2197" s="1" t="s">
        <v>249</v>
      </c>
      <c r="AA2197" s="1" t="s">
        <v>1927</v>
      </c>
      <c r="AB2197" s="1">
        <v>60148</v>
      </c>
      <c r="AD2197" s="1" t="s">
        <v>1928</v>
      </c>
      <c r="AE2197" s="1" t="s">
        <v>19581</v>
      </c>
      <c r="AF2197" s="1">
        <v>2001</v>
      </c>
      <c r="AG2197" s="1" t="s">
        <v>204</v>
      </c>
      <c r="AH2197" s="1" t="s">
        <v>1930</v>
      </c>
      <c r="AI2197" s="1" t="s">
        <v>206</v>
      </c>
      <c r="AJ2197" s="1" t="s">
        <v>1608</v>
      </c>
      <c r="AL2197" s="1">
        <v>5</v>
      </c>
      <c r="AM2197" s="1">
        <v>2</v>
      </c>
      <c r="AN2197" s="1">
        <v>2</v>
      </c>
      <c r="AO2197" s="1">
        <v>0</v>
      </c>
      <c r="AP2197" s="1" t="s">
        <v>209</v>
      </c>
      <c r="AR2197" s="1" t="s">
        <v>210</v>
      </c>
      <c r="AS2197" s="1" t="s">
        <v>204</v>
      </c>
      <c r="AT2197" s="1" t="s">
        <v>211</v>
      </c>
      <c r="AU2197" s="1">
        <v>1</v>
      </c>
      <c r="AW2197" s="1" t="s">
        <v>204</v>
      </c>
      <c r="AX2197" s="1" t="s">
        <v>212</v>
      </c>
      <c r="AZ2197" s="1">
        <v>3883.4</v>
      </c>
      <c r="BA2197" s="1">
        <v>2013</v>
      </c>
      <c r="BE2197" s="1">
        <v>1401</v>
      </c>
      <c r="BF2197" s="1">
        <v>2</v>
      </c>
      <c r="BG2197" s="1">
        <v>0</v>
      </c>
      <c r="BL2197" s="1">
        <v>169</v>
      </c>
      <c r="BM2197" s="1" t="s">
        <v>413</v>
      </c>
      <c r="BN2197" s="1" t="s">
        <v>213</v>
      </c>
      <c r="BP2197" s="1" t="s">
        <v>204</v>
      </c>
      <c r="BR2197" s="1" t="str">
        <f>"0620417009"</f>
        <v>0620417009</v>
      </c>
      <c r="BT2197" s="1" t="s">
        <v>19582</v>
      </c>
      <c r="BU2197" s="1" t="s">
        <v>1933</v>
      </c>
      <c r="BV2197" s="1" t="s">
        <v>1934</v>
      </c>
      <c r="BW2197" s="1" t="s">
        <v>1935</v>
      </c>
      <c r="BX2197" s="1">
        <v>44</v>
      </c>
      <c r="BY2197" s="1">
        <v>44</v>
      </c>
      <c r="BZ2197" s="1">
        <v>87</v>
      </c>
      <c r="CB2197" s="1" t="str">
        <f t="shared" ref="CB2197:CC2197" si="1682">"0"</f>
        <v>0</v>
      </c>
      <c r="CC2197" s="1" t="str">
        <f t="shared" si="1682"/>
        <v>0</v>
      </c>
      <c r="CD2197" s="1">
        <v>19</v>
      </c>
      <c r="CE2197" s="1">
        <v>1</v>
      </c>
      <c r="CG2197" s="1" t="s">
        <v>228</v>
      </c>
      <c r="CH2197" s="1" t="s">
        <v>219</v>
      </c>
      <c r="CK2197" s="1" t="s">
        <v>1533</v>
      </c>
      <c r="CL2197" s="1" t="s">
        <v>219</v>
      </c>
      <c r="CO2197" s="1" t="s">
        <v>378</v>
      </c>
      <c r="CP2197" s="1" t="s">
        <v>219</v>
      </c>
      <c r="CS2197" s="1" t="s">
        <v>379</v>
      </c>
      <c r="CT2197" s="1" t="s">
        <v>219</v>
      </c>
      <c r="CX2197" s="1" t="s">
        <v>224</v>
      </c>
      <c r="DB2197" s="1" t="s">
        <v>224</v>
      </c>
      <c r="DE2197" s="1" t="s">
        <v>315</v>
      </c>
      <c r="DF2197" s="1" t="s">
        <v>219</v>
      </c>
      <c r="DJ2197" s="1" t="s">
        <v>224</v>
      </c>
      <c r="DS2197" s="1" t="s">
        <v>230</v>
      </c>
      <c r="DW2197" s="1" t="s">
        <v>230</v>
      </c>
      <c r="EA2197" s="1" t="s">
        <v>230</v>
      </c>
      <c r="EE2197" s="1" t="s">
        <v>230</v>
      </c>
      <c r="EI2197" s="1" t="s">
        <v>230</v>
      </c>
      <c r="EL2197" s="1" t="s">
        <v>466</v>
      </c>
      <c r="EM2197" s="1" t="s">
        <v>319</v>
      </c>
      <c r="EN2197" s="1" t="s">
        <v>282</v>
      </c>
      <c r="EO2197" s="1" t="s">
        <v>234</v>
      </c>
      <c r="ER2197" s="1" t="s">
        <v>210</v>
      </c>
      <c r="ES2197" s="1" t="s">
        <v>322</v>
      </c>
      <c r="EV2197" s="1" t="s">
        <v>240</v>
      </c>
      <c r="EW2197" s="1" t="s">
        <v>3113</v>
      </c>
      <c r="EY2197" s="1" t="s">
        <v>242</v>
      </c>
      <c r="EZ2197" s="1" t="s">
        <v>287</v>
      </c>
      <c r="FD2197" s="1" t="s">
        <v>736</v>
      </c>
      <c r="FE2197" s="1" t="s">
        <v>6104</v>
      </c>
      <c r="FF2197" s="1" t="s">
        <v>248</v>
      </c>
      <c r="FH2197" s="1" t="s">
        <v>249</v>
      </c>
      <c r="FI2197" s="1" t="s">
        <v>357</v>
      </c>
      <c r="FL2197" s="1" t="s">
        <v>358</v>
      </c>
      <c r="FM2197" s="1" t="s">
        <v>252</v>
      </c>
      <c r="FN2197" s="1" t="s">
        <v>213</v>
      </c>
      <c r="FO2197" s="1" t="s">
        <v>213</v>
      </c>
      <c r="FQ2197" s="1" t="s">
        <v>689</v>
      </c>
      <c r="FR2197" s="1" t="s">
        <v>210</v>
      </c>
      <c r="FS2197" s="1" t="s">
        <v>8256</v>
      </c>
      <c r="FT2197" s="1" t="s">
        <v>1828</v>
      </c>
      <c r="FU2197" s="1" t="s">
        <v>204</v>
      </c>
      <c r="FW2197" s="1" t="s">
        <v>8257</v>
      </c>
      <c r="FX2197" s="1">
        <v>16339</v>
      </c>
      <c r="FY2197" s="1" t="s">
        <v>8258</v>
      </c>
      <c r="FZ2197" s="1" t="s">
        <v>16836</v>
      </c>
      <c r="GA2197" s="1">
        <v>106496</v>
      </c>
      <c r="GC2197" s="1">
        <v>165879</v>
      </c>
      <c r="GE2197" s="1" t="s">
        <v>210</v>
      </c>
      <c r="GI2197" s="1" t="s">
        <v>204</v>
      </c>
      <c r="GJ2197" s="1" t="s">
        <v>260</v>
      </c>
      <c r="GK2197" s="1" t="s">
        <v>210</v>
      </c>
      <c r="GL2197" s="2">
        <v>42066</v>
      </c>
      <c r="GM2197" s="1" t="s">
        <v>19583</v>
      </c>
    </row>
    <row r="2198" spans="1:195">
      <c r="A2198" s="1">
        <v>92000</v>
      </c>
      <c r="B2198" s="1" t="s">
        <v>195</v>
      </c>
      <c r="C2198" s="1" t="str">
        <f>"08748843"</f>
        <v>08748843</v>
      </c>
      <c r="D2198" s="1" t="s">
        <v>196</v>
      </c>
      <c r="F2198" s="1" t="str">
        <f>"108"</f>
        <v>108</v>
      </c>
      <c r="G2198" s="2">
        <v>41921</v>
      </c>
      <c r="H2198" s="1">
        <v>113000</v>
      </c>
      <c r="I2198" s="1">
        <v>98900</v>
      </c>
      <c r="J2198" s="1">
        <v>92000</v>
      </c>
      <c r="K2198" s="2">
        <v>41919</v>
      </c>
      <c r="L2198" s="1">
        <v>100</v>
      </c>
      <c r="M2198" s="2">
        <v>42018</v>
      </c>
      <c r="N2198" s="1">
        <v>100</v>
      </c>
      <c r="O2198" s="2">
        <v>42018</v>
      </c>
      <c r="P2198" s="1">
        <v>25309</v>
      </c>
      <c r="Q2198" s="1" t="s">
        <v>302</v>
      </c>
      <c r="R2198" s="2">
        <v>42034</v>
      </c>
      <c r="S2198" s="1">
        <v>253449</v>
      </c>
      <c r="U2198" s="1">
        <v>310</v>
      </c>
      <c r="V2198" s="1" t="s">
        <v>19584</v>
      </c>
      <c r="W2198" s="1" t="s">
        <v>304</v>
      </c>
      <c r="X2198" s="1" t="s">
        <v>483</v>
      </c>
      <c r="Y2198" s="1">
        <v>4</v>
      </c>
      <c r="Z2198" s="1" t="s">
        <v>200</v>
      </c>
      <c r="AA2198" s="1" t="s">
        <v>829</v>
      </c>
      <c r="AB2198" s="1">
        <v>60108</v>
      </c>
      <c r="AE2198" s="1" t="s">
        <v>19585</v>
      </c>
      <c r="AF2198" s="1">
        <v>1973</v>
      </c>
      <c r="AG2198" s="1" t="s">
        <v>213</v>
      </c>
      <c r="AH2198" s="1" t="s">
        <v>269</v>
      </c>
      <c r="AI2198" s="1" t="s">
        <v>206</v>
      </c>
      <c r="AJ2198" s="1" t="s">
        <v>269</v>
      </c>
      <c r="AL2198" s="1">
        <v>5</v>
      </c>
      <c r="AM2198" s="1">
        <v>2</v>
      </c>
      <c r="AN2198" s="1">
        <v>1</v>
      </c>
      <c r="AO2198" s="1">
        <v>0</v>
      </c>
      <c r="AP2198" s="1" t="s">
        <v>210</v>
      </c>
      <c r="AR2198" s="1" t="s">
        <v>210</v>
      </c>
      <c r="AS2198" s="1" t="s">
        <v>204</v>
      </c>
      <c r="AT2198" s="1" t="s">
        <v>211</v>
      </c>
      <c r="AU2198" s="1">
        <v>1</v>
      </c>
      <c r="AW2198" s="1" t="s">
        <v>204</v>
      </c>
      <c r="AX2198" s="1" t="s">
        <v>212</v>
      </c>
      <c r="AZ2198" s="1">
        <v>2959</v>
      </c>
      <c r="BA2198" s="1">
        <v>2013</v>
      </c>
      <c r="BE2198" s="1">
        <v>0</v>
      </c>
      <c r="BF2198" s="1">
        <v>1</v>
      </c>
      <c r="BG2198" s="1">
        <v>0</v>
      </c>
      <c r="BL2198" s="1">
        <v>174</v>
      </c>
      <c r="BM2198" s="1" t="s">
        <v>204</v>
      </c>
      <c r="BN2198" s="1" t="s">
        <v>213</v>
      </c>
      <c r="BO2198" s="1">
        <v>999</v>
      </c>
      <c r="BP2198" s="1" t="s">
        <v>204</v>
      </c>
      <c r="BR2198" s="1" t="str">
        <f>"0223119008"</f>
        <v>0223119008</v>
      </c>
      <c r="BT2198" s="1" t="s">
        <v>19586</v>
      </c>
      <c r="BX2198" s="1">
        <v>15</v>
      </c>
      <c r="BY2198" s="1">
        <v>15</v>
      </c>
      <c r="BZ2198" s="1">
        <v>87</v>
      </c>
      <c r="CB2198" s="1" t="str">
        <f t="shared" ref="CB2198:CC2198" si="1683">""</f>
        <v/>
      </c>
      <c r="CC2198" s="1" t="str">
        <f t="shared" si="1683"/>
        <v/>
      </c>
      <c r="CG2198" s="1" t="s">
        <v>1155</v>
      </c>
      <c r="CH2198" s="1" t="s">
        <v>277</v>
      </c>
      <c r="CI2198" s="1" t="s">
        <v>220</v>
      </c>
      <c r="CK2198" s="1" t="s">
        <v>278</v>
      </c>
      <c r="CL2198" s="1" t="s">
        <v>277</v>
      </c>
      <c r="CO2198" s="1" t="s">
        <v>951</v>
      </c>
      <c r="CP2198" s="1" t="s">
        <v>277</v>
      </c>
      <c r="CS2198" s="1" t="s">
        <v>379</v>
      </c>
      <c r="CT2198" s="1" t="s">
        <v>277</v>
      </c>
      <c r="CX2198" s="1" t="s">
        <v>224</v>
      </c>
      <c r="DB2198" s="1" t="s">
        <v>224</v>
      </c>
      <c r="DE2198" s="1" t="s">
        <v>2031</v>
      </c>
      <c r="DF2198" s="1" t="s">
        <v>277</v>
      </c>
      <c r="DJ2198" s="1" t="s">
        <v>224</v>
      </c>
      <c r="DS2198" s="1" t="s">
        <v>230</v>
      </c>
      <c r="DW2198" s="1" t="s">
        <v>230</v>
      </c>
      <c r="EA2198" s="1" t="s">
        <v>230</v>
      </c>
      <c r="EE2198" s="1" t="s">
        <v>230</v>
      </c>
      <c r="EI2198" s="1" t="s">
        <v>230</v>
      </c>
      <c r="EL2198" s="1" t="s">
        <v>605</v>
      </c>
      <c r="EM2198" s="1" t="s">
        <v>319</v>
      </c>
      <c r="EN2198" s="1" t="s">
        <v>282</v>
      </c>
      <c r="EO2198" s="1" t="s">
        <v>840</v>
      </c>
      <c r="ER2198" s="1" t="s">
        <v>210</v>
      </c>
      <c r="EW2198" s="1" t="s">
        <v>887</v>
      </c>
      <c r="EZ2198" s="1" t="s">
        <v>287</v>
      </c>
      <c r="FD2198" s="1" t="s">
        <v>246</v>
      </c>
      <c r="FE2198" s="1" t="s">
        <v>1031</v>
      </c>
      <c r="FF2198" s="1" t="s">
        <v>248</v>
      </c>
      <c r="FH2198" s="1" t="s">
        <v>356</v>
      </c>
      <c r="FI2198" s="1" t="s">
        <v>357</v>
      </c>
      <c r="FL2198" s="1" t="s">
        <v>358</v>
      </c>
      <c r="FM2198" s="1" t="s">
        <v>252</v>
      </c>
      <c r="FN2198" s="1" t="s">
        <v>213</v>
      </c>
      <c r="FO2198" s="1" t="s">
        <v>213</v>
      </c>
      <c r="FQ2198" s="1" t="s">
        <v>689</v>
      </c>
      <c r="FR2198" s="1" t="s">
        <v>210</v>
      </c>
      <c r="FS2198" s="1" t="s">
        <v>19587</v>
      </c>
      <c r="FT2198" s="1" t="s">
        <v>584</v>
      </c>
      <c r="FU2198" s="1" t="s">
        <v>204</v>
      </c>
      <c r="FW2198" s="1" t="s">
        <v>11108</v>
      </c>
      <c r="FX2198" s="1">
        <v>17497</v>
      </c>
      <c r="FY2198" s="1" t="s">
        <v>11109</v>
      </c>
      <c r="FZ2198" s="1" t="s">
        <v>11110</v>
      </c>
      <c r="GA2198" s="1">
        <v>131652</v>
      </c>
      <c r="GB2198" s="1" t="s">
        <v>11111</v>
      </c>
      <c r="GE2198" s="1" t="s">
        <v>210</v>
      </c>
      <c r="GI2198" s="1" t="s">
        <v>213</v>
      </c>
      <c r="GJ2198" s="1" t="s">
        <v>260</v>
      </c>
      <c r="GK2198" s="1" t="s">
        <v>210</v>
      </c>
      <c r="GL2198" s="2">
        <v>42034</v>
      </c>
      <c r="GM2198" s="1" t="s">
        <v>19588</v>
      </c>
    </row>
    <row r="2199" spans="1:195">
      <c r="A2199" s="1">
        <v>108500</v>
      </c>
      <c r="B2199" s="1" t="s">
        <v>195</v>
      </c>
      <c r="C2199" s="1" t="str">
        <f>"08748970"</f>
        <v>08748970</v>
      </c>
      <c r="D2199" s="1" t="s">
        <v>196</v>
      </c>
      <c r="F2199" s="1" t="str">
        <f>"187"</f>
        <v>187</v>
      </c>
      <c r="G2199" s="2">
        <v>41921</v>
      </c>
      <c r="H2199" s="1">
        <v>114900</v>
      </c>
      <c r="I2199" s="1">
        <v>109900</v>
      </c>
      <c r="J2199" s="1">
        <v>108500</v>
      </c>
      <c r="K2199" s="2">
        <v>41921</v>
      </c>
      <c r="L2199" s="1">
        <v>44</v>
      </c>
      <c r="M2199" s="2">
        <v>41964</v>
      </c>
      <c r="N2199" s="1">
        <v>44</v>
      </c>
      <c r="O2199" s="2">
        <v>41964</v>
      </c>
      <c r="P2199" s="1">
        <v>25097</v>
      </c>
      <c r="Q2199" s="1" t="s">
        <v>197</v>
      </c>
      <c r="R2199" s="2">
        <v>42003</v>
      </c>
      <c r="S2199" s="1">
        <v>242398</v>
      </c>
      <c r="T2199" s="1">
        <v>2800</v>
      </c>
      <c r="U2199" s="1">
        <v>1515</v>
      </c>
      <c r="V2199" s="1" t="s">
        <v>2942</v>
      </c>
      <c r="W2199" s="1" t="s">
        <v>504</v>
      </c>
      <c r="X2199" s="1" t="s">
        <v>1000</v>
      </c>
      <c r="Y2199" s="1">
        <v>4</v>
      </c>
      <c r="Z2199" s="1" t="s">
        <v>370</v>
      </c>
      <c r="AA2199" s="1" t="s">
        <v>964</v>
      </c>
      <c r="AB2199" s="1">
        <v>60189</v>
      </c>
      <c r="AD2199" s="1" t="s">
        <v>2943</v>
      </c>
      <c r="AE2199" s="1" t="s">
        <v>19589</v>
      </c>
      <c r="AF2199" s="1">
        <v>1974</v>
      </c>
      <c r="AG2199" s="1" t="s">
        <v>213</v>
      </c>
      <c r="AH2199" s="1" t="s">
        <v>967</v>
      </c>
      <c r="AI2199" s="1" t="s">
        <v>206</v>
      </c>
      <c r="AJ2199" s="1" t="s">
        <v>207</v>
      </c>
      <c r="AL2199" s="1">
        <v>5</v>
      </c>
      <c r="AM2199" s="1">
        <v>2</v>
      </c>
      <c r="AN2199" s="1">
        <v>1</v>
      </c>
      <c r="AO2199" s="1">
        <v>0</v>
      </c>
      <c r="AP2199" s="1" t="s">
        <v>455</v>
      </c>
      <c r="AR2199" s="1" t="s">
        <v>210</v>
      </c>
      <c r="AS2199" s="1" t="s">
        <v>204</v>
      </c>
      <c r="AT2199" s="1" t="s">
        <v>211</v>
      </c>
      <c r="AU2199" s="1">
        <v>1</v>
      </c>
      <c r="AW2199" s="1" t="s">
        <v>204</v>
      </c>
      <c r="AX2199" s="1" t="s">
        <v>212</v>
      </c>
      <c r="AZ2199" s="1">
        <v>2494</v>
      </c>
      <c r="BA2199" s="1">
        <v>2013</v>
      </c>
      <c r="BE2199" s="1">
        <v>840</v>
      </c>
      <c r="BF2199" s="1">
        <v>1</v>
      </c>
      <c r="BG2199" s="1">
        <v>5</v>
      </c>
      <c r="BJ2199" s="1">
        <v>100</v>
      </c>
      <c r="BL2199" s="1">
        <v>231</v>
      </c>
      <c r="BM2199" s="1" t="s">
        <v>204</v>
      </c>
      <c r="BN2199" s="1" t="s">
        <v>213</v>
      </c>
      <c r="BO2199" s="1">
        <v>999</v>
      </c>
      <c r="BP2199" s="1" t="s">
        <v>204</v>
      </c>
      <c r="BR2199" s="1" t="str">
        <f>"0520115047"</f>
        <v>0520115047</v>
      </c>
      <c r="BT2199" s="1" t="s">
        <v>19590</v>
      </c>
      <c r="BX2199" s="1">
        <v>200</v>
      </c>
      <c r="BY2199" s="1">
        <v>200</v>
      </c>
      <c r="BZ2199" s="1">
        <v>200</v>
      </c>
      <c r="CB2199" s="1" t="str">
        <f t="shared" ref="CB2199:CC2199" si="1684">""</f>
        <v/>
      </c>
      <c r="CC2199" s="1" t="str">
        <f t="shared" si="1684"/>
        <v/>
      </c>
      <c r="CG2199" s="1" t="s">
        <v>1045</v>
      </c>
      <c r="CH2199" s="1" t="s">
        <v>219</v>
      </c>
      <c r="CI2199" s="1" t="s">
        <v>220</v>
      </c>
      <c r="CK2199" s="1" t="s">
        <v>223</v>
      </c>
      <c r="CL2199" s="1" t="s">
        <v>277</v>
      </c>
      <c r="CM2199" s="1" t="s">
        <v>220</v>
      </c>
      <c r="CO2199" s="1" t="s">
        <v>516</v>
      </c>
      <c r="CP2199" s="1" t="s">
        <v>219</v>
      </c>
      <c r="CQ2199" s="1" t="s">
        <v>220</v>
      </c>
      <c r="CS2199" s="1" t="s">
        <v>318</v>
      </c>
      <c r="CT2199" s="1" t="s">
        <v>277</v>
      </c>
      <c r="CU2199" s="1" t="s">
        <v>220</v>
      </c>
      <c r="CX2199" s="1" t="s">
        <v>224</v>
      </c>
      <c r="DB2199" s="1" t="s">
        <v>224</v>
      </c>
      <c r="DE2199" s="1" t="s">
        <v>516</v>
      </c>
      <c r="DF2199" s="1" t="s">
        <v>219</v>
      </c>
      <c r="DG2199" s="1" t="s">
        <v>229</v>
      </c>
      <c r="DJ2199" s="1" t="s">
        <v>224</v>
      </c>
      <c r="DS2199" s="1" t="s">
        <v>230</v>
      </c>
      <c r="DW2199" s="1" t="s">
        <v>230</v>
      </c>
      <c r="EA2199" s="1" t="s">
        <v>230</v>
      </c>
      <c r="EE2199" s="1" t="s">
        <v>230</v>
      </c>
      <c r="EI2199" s="1" t="s">
        <v>230</v>
      </c>
      <c r="EL2199" s="1" t="s">
        <v>231</v>
      </c>
      <c r="EM2199" s="1" t="s">
        <v>319</v>
      </c>
      <c r="EN2199" s="1" t="s">
        <v>282</v>
      </c>
      <c r="EO2199" s="1" t="s">
        <v>234</v>
      </c>
      <c r="EP2199" s="1" t="s">
        <v>14483</v>
      </c>
      <c r="EQ2199" s="1" t="s">
        <v>2319</v>
      </c>
      <c r="ER2199" s="1" t="s">
        <v>210</v>
      </c>
      <c r="ET2199" s="1" t="s">
        <v>1752</v>
      </c>
      <c r="EV2199" s="1" t="s">
        <v>240</v>
      </c>
      <c r="EW2199" s="1" t="s">
        <v>3113</v>
      </c>
      <c r="EZ2199" s="1" t="s">
        <v>287</v>
      </c>
      <c r="FB2199" s="1" t="s">
        <v>289</v>
      </c>
      <c r="FD2199" s="1" t="s">
        <v>246</v>
      </c>
      <c r="FE2199" s="1" t="s">
        <v>472</v>
      </c>
      <c r="FF2199" s="1" t="s">
        <v>248</v>
      </c>
      <c r="FH2199" s="1" t="s">
        <v>249</v>
      </c>
      <c r="FJ2199" s="1" t="s">
        <v>197</v>
      </c>
      <c r="FL2199" s="1" t="s">
        <v>358</v>
      </c>
      <c r="FM2199" s="1" t="s">
        <v>252</v>
      </c>
      <c r="FN2199" s="1" t="s">
        <v>213</v>
      </c>
      <c r="FO2199" s="1" t="s">
        <v>213</v>
      </c>
      <c r="FQ2199" s="1" t="s">
        <v>673</v>
      </c>
      <c r="FR2199" s="1" t="s">
        <v>652</v>
      </c>
      <c r="FS2199" s="1" t="s">
        <v>19591</v>
      </c>
      <c r="FT2199" s="1" t="s">
        <v>295</v>
      </c>
      <c r="FU2199" s="1" t="s">
        <v>204</v>
      </c>
      <c r="FW2199" s="1" t="s">
        <v>1857</v>
      </c>
      <c r="FX2199" s="1">
        <v>22993</v>
      </c>
      <c r="FY2199" s="1" t="s">
        <v>1858</v>
      </c>
      <c r="FZ2199" s="1" t="s">
        <v>8148</v>
      </c>
      <c r="GA2199" s="1">
        <v>235152</v>
      </c>
      <c r="GB2199" s="1" t="s">
        <v>8149</v>
      </c>
      <c r="GC2199" s="1">
        <v>241601</v>
      </c>
      <c r="GE2199" s="1" t="s">
        <v>1226</v>
      </c>
      <c r="GI2199" s="1" t="s">
        <v>213</v>
      </c>
      <c r="GJ2199" s="1" t="s">
        <v>260</v>
      </c>
      <c r="GK2199" s="1" t="s">
        <v>210</v>
      </c>
      <c r="GL2199" s="2">
        <v>42003</v>
      </c>
      <c r="GM2199" s="1" t="s">
        <v>19592</v>
      </c>
    </row>
    <row r="2200" spans="1:195">
      <c r="A2200" s="1">
        <v>243500</v>
      </c>
      <c r="B2200" s="1" t="s">
        <v>195</v>
      </c>
      <c r="C2200" s="1" t="str">
        <f>"08748871"</f>
        <v>08748871</v>
      </c>
      <c r="D2200" s="1" t="s">
        <v>196</v>
      </c>
      <c r="F2200" s="1" t="str">
        <f>"531"</f>
        <v>531</v>
      </c>
      <c r="G2200" s="2">
        <v>41921</v>
      </c>
      <c r="H2200" s="1">
        <v>265000</v>
      </c>
      <c r="I2200" s="1">
        <v>259000</v>
      </c>
      <c r="J2200" s="1">
        <v>243500</v>
      </c>
      <c r="K2200" s="2">
        <v>41921</v>
      </c>
      <c r="L2200" s="1">
        <v>26</v>
      </c>
      <c r="M2200" s="2">
        <v>41946</v>
      </c>
      <c r="N2200" s="1">
        <v>26</v>
      </c>
      <c r="O2200" s="2">
        <v>41946</v>
      </c>
      <c r="P2200" s="1">
        <v>22049</v>
      </c>
      <c r="Q2200" s="1" t="s">
        <v>197</v>
      </c>
      <c r="R2200" s="2">
        <v>41988</v>
      </c>
      <c r="S2200" s="1">
        <v>239418</v>
      </c>
      <c r="T2200" s="1">
        <v>2350</v>
      </c>
      <c r="U2200" s="1">
        <v>11054</v>
      </c>
      <c r="V2200" s="1" t="s">
        <v>5684</v>
      </c>
      <c r="W2200" s="1" t="s">
        <v>725</v>
      </c>
      <c r="Y2200" s="1">
        <v>4</v>
      </c>
      <c r="Z2200" s="1" t="s">
        <v>370</v>
      </c>
      <c r="AA2200" s="1" t="s">
        <v>2326</v>
      </c>
      <c r="AB2200" s="1">
        <v>60525</v>
      </c>
      <c r="AE2200" s="1" t="s">
        <v>19593</v>
      </c>
      <c r="AF2200" s="1">
        <v>2002</v>
      </c>
      <c r="AG2200" s="1" t="s">
        <v>204</v>
      </c>
      <c r="AH2200" s="1" t="s">
        <v>2329</v>
      </c>
      <c r="AI2200" s="1" t="s">
        <v>310</v>
      </c>
      <c r="AJ2200" s="1" t="s">
        <v>702</v>
      </c>
      <c r="AL2200" s="1">
        <v>7</v>
      </c>
      <c r="AM2200" s="1">
        <v>2</v>
      </c>
      <c r="AN2200" s="1">
        <v>2</v>
      </c>
      <c r="AO2200" s="1">
        <v>2</v>
      </c>
      <c r="AP2200" s="1" t="s">
        <v>209</v>
      </c>
      <c r="AQ2200" s="1">
        <v>1</v>
      </c>
      <c r="AR2200" s="1" t="s">
        <v>209</v>
      </c>
      <c r="AS2200" s="1" t="s">
        <v>213</v>
      </c>
      <c r="AT2200" s="1" t="s">
        <v>211</v>
      </c>
      <c r="AU2200" s="1">
        <v>2</v>
      </c>
      <c r="AW2200" s="1" t="s">
        <v>213</v>
      </c>
      <c r="AX2200" s="1" t="s">
        <v>19594</v>
      </c>
      <c r="AZ2200" s="1">
        <v>4723.8900000000003</v>
      </c>
      <c r="BA2200" s="1">
        <v>2013</v>
      </c>
      <c r="BB2200" s="1" t="s">
        <v>405</v>
      </c>
      <c r="BE2200" s="1">
        <v>1508</v>
      </c>
      <c r="BF2200" s="1">
        <v>1</v>
      </c>
      <c r="BG2200" s="1">
        <v>30</v>
      </c>
      <c r="BL2200" s="1">
        <v>225</v>
      </c>
      <c r="BM2200" s="1" t="s">
        <v>204</v>
      </c>
      <c r="BN2200" s="1" t="s">
        <v>213</v>
      </c>
      <c r="BO2200" s="1">
        <v>0</v>
      </c>
      <c r="BP2200" s="1" t="s">
        <v>204</v>
      </c>
      <c r="BR2200" s="1" t="str">
        <f>"18291030490000"</f>
        <v>18291030490000</v>
      </c>
      <c r="BT2200" s="1" t="s">
        <v>19595</v>
      </c>
      <c r="BW2200" s="1" t="s">
        <v>706</v>
      </c>
      <c r="BX2200" s="1">
        <v>107</v>
      </c>
      <c r="BY2200" s="1">
        <v>107</v>
      </c>
      <c r="BZ2200" s="1">
        <v>204</v>
      </c>
      <c r="CB2200" s="1" t="str">
        <f t="shared" ref="CB2200:CC2200" si="1685">""</f>
        <v/>
      </c>
      <c r="CC2200" s="1" t="str">
        <f t="shared" si="1685"/>
        <v/>
      </c>
      <c r="CD2200" s="1">
        <v>13</v>
      </c>
      <c r="CE2200" s="1">
        <v>8</v>
      </c>
      <c r="CG2200" s="1" t="s">
        <v>2934</v>
      </c>
      <c r="CH2200" s="1" t="s">
        <v>219</v>
      </c>
      <c r="CI2200" s="1" t="s">
        <v>229</v>
      </c>
      <c r="CJ2200" s="1" t="s">
        <v>1199</v>
      </c>
      <c r="CK2200" s="1" t="s">
        <v>462</v>
      </c>
      <c r="CL2200" s="1" t="s">
        <v>277</v>
      </c>
      <c r="CM2200" s="1" t="s">
        <v>220</v>
      </c>
      <c r="CN2200" s="1" t="s">
        <v>1199</v>
      </c>
      <c r="CO2200" s="1" t="s">
        <v>408</v>
      </c>
      <c r="CP2200" s="1" t="s">
        <v>219</v>
      </c>
      <c r="CQ2200" s="1" t="s">
        <v>229</v>
      </c>
      <c r="CS2200" s="1" t="s">
        <v>318</v>
      </c>
      <c r="CT2200" s="1" t="s">
        <v>277</v>
      </c>
      <c r="CU2200" s="1" t="s">
        <v>220</v>
      </c>
      <c r="CV2200" s="1" t="s">
        <v>1199</v>
      </c>
      <c r="CX2200" s="1" t="s">
        <v>224</v>
      </c>
      <c r="DB2200" s="1" t="s">
        <v>224</v>
      </c>
      <c r="DE2200" s="1" t="s">
        <v>3059</v>
      </c>
      <c r="DF2200" s="1" t="s">
        <v>219</v>
      </c>
      <c r="DG2200" s="1" t="s">
        <v>229</v>
      </c>
      <c r="DI2200" s="1" t="s">
        <v>1132</v>
      </c>
      <c r="DJ2200" s="1" t="s">
        <v>43</v>
      </c>
      <c r="DK2200" s="1" t="s">
        <v>220</v>
      </c>
      <c r="DM2200" s="1" t="s">
        <v>464</v>
      </c>
      <c r="DR2200" s="1" t="s">
        <v>1297</v>
      </c>
      <c r="DS2200" s="1" t="s">
        <v>277</v>
      </c>
      <c r="DT2200" s="1" t="s">
        <v>220</v>
      </c>
      <c r="DU2200" s="1" t="s">
        <v>1199</v>
      </c>
      <c r="DW2200" s="1" t="s">
        <v>230</v>
      </c>
      <c r="EA2200" s="1" t="s">
        <v>230</v>
      </c>
      <c r="EE2200" s="1" t="s">
        <v>230</v>
      </c>
      <c r="EI2200" s="1" t="s">
        <v>230</v>
      </c>
      <c r="EL2200" s="1" t="s">
        <v>466</v>
      </c>
      <c r="EM2200" s="1" t="s">
        <v>232</v>
      </c>
      <c r="EN2200" s="1" t="s">
        <v>282</v>
      </c>
      <c r="EO2200" s="1" t="s">
        <v>234</v>
      </c>
      <c r="EP2200" s="1" t="s">
        <v>1489</v>
      </c>
      <c r="EQ2200" s="1" t="s">
        <v>11636</v>
      </c>
      <c r="ER2200" s="1" t="s">
        <v>544</v>
      </c>
      <c r="ES2200" s="1" t="s">
        <v>4621</v>
      </c>
      <c r="EU2200" s="1" t="s">
        <v>7601</v>
      </c>
      <c r="EV2200" s="1" t="s">
        <v>324</v>
      </c>
      <c r="EW2200" s="1" t="s">
        <v>353</v>
      </c>
      <c r="EY2200" s="1" t="s">
        <v>790</v>
      </c>
      <c r="EZ2200" s="1" t="s">
        <v>464</v>
      </c>
      <c r="FA2200" s="1" t="s">
        <v>471</v>
      </c>
      <c r="FD2200" s="1" t="s">
        <v>246</v>
      </c>
      <c r="FE2200" s="1" t="s">
        <v>2858</v>
      </c>
      <c r="FF2200" s="1" t="s">
        <v>248</v>
      </c>
      <c r="FG2200" s="1" t="s">
        <v>2060</v>
      </c>
      <c r="FH2200" s="1" t="s">
        <v>550</v>
      </c>
      <c r="FI2200" s="1" t="s">
        <v>473</v>
      </c>
      <c r="FL2200" s="1" t="s">
        <v>358</v>
      </c>
      <c r="FM2200" s="1" t="s">
        <v>252</v>
      </c>
      <c r="FN2200" s="1" t="s">
        <v>213</v>
      </c>
      <c r="FO2200" s="1" t="s">
        <v>213</v>
      </c>
      <c r="FQ2200" s="1" t="s">
        <v>3342</v>
      </c>
      <c r="FR2200" s="1" t="s">
        <v>210</v>
      </c>
      <c r="FS2200" s="1" t="s">
        <v>19596</v>
      </c>
      <c r="FT2200" s="1" t="s">
        <v>362</v>
      </c>
      <c r="FU2200" s="1" t="s">
        <v>204</v>
      </c>
      <c r="FW2200" s="1" t="s">
        <v>915</v>
      </c>
      <c r="FX2200" s="1">
        <v>22049</v>
      </c>
      <c r="FY2200" s="1" t="s">
        <v>4731</v>
      </c>
      <c r="FZ2200" s="1" t="s">
        <v>19597</v>
      </c>
      <c r="GA2200" s="1">
        <v>229981</v>
      </c>
      <c r="GB2200" s="1" t="s">
        <v>19598</v>
      </c>
      <c r="GE2200" s="1" t="s">
        <v>1145</v>
      </c>
      <c r="GI2200" s="1" t="s">
        <v>213</v>
      </c>
      <c r="GJ2200" s="1" t="s">
        <v>260</v>
      </c>
      <c r="GK2200" s="1" t="s">
        <v>210</v>
      </c>
      <c r="GL2200" s="2">
        <v>41988</v>
      </c>
      <c r="GM2200" s="1" t="s">
        <v>19599</v>
      </c>
    </row>
    <row r="2201" spans="1:195">
      <c r="A2201" s="1">
        <v>28000</v>
      </c>
      <c r="B2201" s="1" t="s">
        <v>195</v>
      </c>
      <c r="C2201" s="1" t="str">
        <f>"08751502"</f>
        <v>08751502</v>
      </c>
      <c r="D2201" s="1" t="s">
        <v>196</v>
      </c>
      <c r="F2201" s="1" t="str">
        <f>"8043"</f>
        <v>8043</v>
      </c>
      <c r="G2201" s="2">
        <v>41925</v>
      </c>
      <c r="H2201" s="1">
        <v>28000</v>
      </c>
      <c r="I2201" s="1">
        <v>28000</v>
      </c>
      <c r="J2201" s="1">
        <v>28000</v>
      </c>
      <c r="K2201" s="2">
        <v>41925</v>
      </c>
      <c r="L2201" s="1">
        <v>303</v>
      </c>
      <c r="M2201" s="2">
        <v>41954</v>
      </c>
      <c r="N2201" s="1">
        <v>30</v>
      </c>
      <c r="O2201" s="2">
        <v>41954</v>
      </c>
      <c r="P2201" s="1">
        <v>85244</v>
      </c>
      <c r="Q2201" s="1" t="s">
        <v>302</v>
      </c>
      <c r="R2201" s="2">
        <v>41988</v>
      </c>
      <c r="S2201" s="1">
        <v>135365</v>
      </c>
      <c r="U2201" s="1">
        <v>6937</v>
      </c>
      <c r="V2201" s="1" t="s">
        <v>4319</v>
      </c>
      <c r="W2201" s="1" t="s">
        <v>425</v>
      </c>
      <c r="X2201" s="1" t="s">
        <v>19600</v>
      </c>
      <c r="Y2201" s="1">
        <v>58</v>
      </c>
      <c r="Z2201" s="1" t="s">
        <v>249</v>
      </c>
      <c r="AA2201" s="1" t="s">
        <v>400</v>
      </c>
      <c r="AB2201" s="1">
        <v>60649</v>
      </c>
      <c r="AE2201" s="1" t="s">
        <v>19601</v>
      </c>
      <c r="AF2201" s="1">
        <v>1927</v>
      </c>
      <c r="AG2201" s="1" t="s">
        <v>213</v>
      </c>
      <c r="AH2201" s="1" t="s">
        <v>403</v>
      </c>
      <c r="AI2201" s="1" t="s">
        <v>310</v>
      </c>
      <c r="AJ2201" s="1" t="s">
        <v>562</v>
      </c>
      <c r="AL2201" s="1">
        <v>5</v>
      </c>
      <c r="AM2201" s="1">
        <v>2</v>
      </c>
      <c r="AN2201" s="1">
        <v>2</v>
      </c>
      <c r="AO2201" s="1">
        <v>0</v>
      </c>
      <c r="AP2201" s="1" t="s">
        <v>209</v>
      </c>
      <c r="AQ2201" s="1">
        <v>1</v>
      </c>
      <c r="AR2201" s="1" t="s">
        <v>210</v>
      </c>
      <c r="AS2201" s="1" t="s">
        <v>204</v>
      </c>
      <c r="AT2201" s="1" t="s">
        <v>211</v>
      </c>
      <c r="AU2201" s="1">
        <v>1</v>
      </c>
      <c r="AW2201" s="1" t="s">
        <v>204</v>
      </c>
      <c r="AX2201" s="1" t="s">
        <v>212</v>
      </c>
      <c r="AZ2201" s="1">
        <v>281</v>
      </c>
      <c r="BA2201" s="1">
        <v>2013</v>
      </c>
      <c r="BE2201" s="1">
        <v>1800</v>
      </c>
      <c r="BF2201" s="1">
        <v>8</v>
      </c>
      <c r="BG2201" s="1">
        <v>30</v>
      </c>
      <c r="BL2201" s="1">
        <v>706</v>
      </c>
      <c r="BM2201" s="1" t="s">
        <v>204</v>
      </c>
      <c r="BN2201" s="1" t="s">
        <v>213</v>
      </c>
      <c r="BO2201" s="1">
        <v>999</v>
      </c>
      <c r="BP2201" s="1" t="s">
        <v>204</v>
      </c>
      <c r="BR2201" s="1" t="str">
        <f>"20244190181041"</f>
        <v>20244190181041</v>
      </c>
      <c r="BT2201" s="1" t="s">
        <v>19602</v>
      </c>
      <c r="BX2201" s="1">
        <v>299</v>
      </c>
      <c r="BY2201" s="1">
        <v>299</v>
      </c>
      <c r="BZ2201" s="1">
        <v>299</v>
      </c>
      <c r="CB2201" s="1" t="str">
        <f>"0"</f>
        <v>0</v>
      </c>
      <c r="CC2201" s="1" t="str">
        <f>"2300"</f>
        <v>2300</v>
      </c>
      <c r="CD2201" s="1">
        <v>0</v>
      </c>
      <c r="CE2201" s="1">
        <v>6900</v>
      </c>
      <c r="CG2201" s="1" t="s">
        <v>2669</v>
      </c>
      <c r="CH2201" s="1" t="s">
        <v>219</v>
      </c>
      <c r="CI2201" s="1" t="s">
        <v>220</v>
      </c>
      <c r="CJ2201" s="1" t="s">
        <v>909</v>
      </c>
      <c r="CK2201" s="1" t="s">
        <v>1045</v>
      </c>
      <c r="CL2201" s="1" t="s">
        <v>219</v>
      </c>
      <c r="CM2201" s="1" t="s">
        <v>220</v>
      </c>
      <c r="CN2201" s="1" t="s">
        <v>909</v>
      </c>
      <c r="CO2201" s="1" t="s">
        <v>885</v>
      </c>
      <c r="CP2201" s="1" t="s">
        <v>219</v>
      </c>
      <c r="CQ2201" s="1" t="s">
        <v>220</v>
      </c>
      <c r="CS2201" s="1" t="s">
        <v>315</v>
      </c>
      <c r="CT2201" s="1" t="s">
        <v>219</v>
      </c>
      <c r="CU2201" s="1" t="s">
        <v>220</v>
      </c>
      <c r="CV2201" s="1" t="s">
        <v>909</v>
      </c>
      <c r="CX2201" s="1" t="s">
        <v>224</v>
      </c>
      <c r="DB2201" s="1" t="s">
        <v>224</v>
      </c>
      <c r="DE2201" s="1" t="s">
        <v>281</v>
      </c>
      <c r="DF2201" s="1" t="s">
        <v>219</v>
      </c>
      <c r="DG2201" s="1" t="s">
        <v>220</v>
      </c>
      <c r="DH2201" s="1" t="s">
        <v>343</v>
      </c>
      <c r="DJ2201" s="1" t="s">
        <v>224</v>
      </c>
      <c r="DS2201" s="1" t="s">
        <v>230</v>
      </c>
      <c r="DW2201" s="1" t="s">
        <v>230</v>
      </c>
      <c r="EA2201" s="1" t="s">
        <v>230</v>
      </c>
      <c r="EE2201" s="1" t="s">
        <v>230</v>
      </c>
      <c r="EI2201" s="1" t="s">
        <v>230</v>
      </c>
      <c r="EL2201" s="1" t="s">
        <v>2154</v>
      </c>
      <c r="EM2201" s="1" t="s">
        <v>730</v>
      </c>
      <c r="EN2201" s="1" t="s">
        <v>731</v>
      </c>
      <c r="EO2201" s="1" t="s">
        <v>234</v>
      </c>
      <c r="ER2201" s="1" t="s">
        <v>210</v>
      </c>
      <c r="EW2201" s="1" t="s">
        <v>4815</v>
      </c>
      <c r="EZ2201" s="1" t="s">
        <v>287</v>
      </c>
      <c r="FB2201" s="1" t="s">
        <v>289</v>
      </c>
      <c r="FD2201" s="1" t="s">
        <v>246</v>
      </c>
      <c r="FE2201" s="1" t="s">
        <v>247</v>
      </c>
      <c r="FF2201" s="1" t="s">
        <v>248</v>
      </c>
      <c r="FG2201" s="1" t="s">
        <v>10878</v>
      </c>
      <c r="FH2201" s="1" t="s">
        <v>249</v>
      </c>
      <c r="FJ2201" s="1" t="s">
        <v>1472</v>
      </c>
      <c r="FL2201" s="1" t="s">
        <v>10249</v>
      </c>
      <c r="FM2201" s="1" t="s">
        <v>252</v>
      </c>
      <c r="FN2201" s="1" t="s">
        <v>213</v>
      </c>
      <c r="FO2201" s="1" t="s">
        <v>213</v>
      </c>
      <c r="FQ2201" s="1" t="s">
        <v>689</v>
      </c>
      <c r="FR2201" s="1" t="s">
        <v>210</v>
      </c>
      <c r="FS2201" s="1" t="s">
        <v>19603</v>
      </c>
      <c r="FT2201" s="1" t="s">
        <v>295</v>
      </c>
      <c r="FU2201" s="1" t="s">
        <v>204</v>
      </c>
      <c r="FW2201" s="1" t="s">
        <v>1637</v>
      </c>
      <c r="FX2201" s="1">
        <v>12293</v>
      </c>
      <c r="FY2201" s="1" t="s">
        <v>10402</v>
      </c>
      <c r="FZ2201" s="1" t="s">
        <v>19604</v>
      </c>
      <c r="GA2201" s="1">
        <v>121589</v>
      </c>
      <c r="GB2201" s="1" t="s">
        <v>19605</v>
      </c>
      <c r="GD2201" s="1" t="s">
        <v>19606</v>
      </c>
      <c r="GE2201" s="1" t="s">
        <v>1333</v>
      </c>
      <c r="GH2201" s="1" t="s">
        <v>421</v>
      </c>
      <c r="GI2201" s="1" t="s">
        <v>213</v>
      </c>
      <c r="GJ2201" s="1" t="s">
        <v>260</v>
      </c>
      <c r="GK2201" s="1" t="s">
        <v>210</v>
      </c>
      <c r="GL2201" s="2">
        <v>41989</v>
      </c>
      <c r="GM2201" s="1" t="s">
        <v>19607</v>
      </c>
    </row>
    <row r="2202" spans="1:195">
      <c r="A2202" s="1">
        <v>133000</v>
      </c>
      <c r="B2202" s="1" t="s">
        <v>195</v>
      </c>
      <c r="C2202" s="1" t="str">
        <f>"08834496"</f>
        <v>08834496</v>
      </c>
      <c r="D2202" s="1" t="s">
        <v>196</v>
      </c>
      <c r="F2202" s="1" t="str">
        <f>"139"</f>
        <v>139</v>
      </c>
      <c r="G2202" s="2">
        <v>42044</v>
      </c>
      <c r="H2202" s="1">
        <v>137900</v>
      </c>
      <c r="I2202" s="1">
        <v>137900</v>
      </c>
      <c r="J2202" s="1">
        <v>133000</v>
      </c>
      <c r="K2202" s="2">
        <v>42044</v>
      </c>
      <c r="L2202" s="1">
        <v>23</v>
      </c>
      <c r="M2202" s="2">
        <v>42066</v>
      </c>
      <c r="N2202" s="1">
        <v>23</v>
      </c>
      <c r="O2202" s="2">
        <v>42066</v>
      </c>
      <c r="P2202" s="1">
        <v>23750</v>
      </c>
      <c r="Q2202" s="1" t="s">
        <v>197</v>
      </c>
      <c r="R2202" s="2">
        <v>42132</v>
      </c>
      <c r="S2202" s="1">
        <v>228760</v>
      </c>
      <c r="U2202" s="1">
        <v>1093</v>
      </c>
      <c r="V2202" s="1" t="s">
        <v>10315</v>
      </c>
      <c r="W2202" s="1" t="s">
        <v>304</v>
      </c>
      <c r="Y2202" s="1">
        <v>4</v>
      </c>
      <c r="Z2202" s="1" t="s">
        <v>370</v>
      </c>
      <c r="AA2202" s="1" t="s">
        <v>1732</v>
      </c>
      <c r="AB2202" s="1">
        <v>60139</v>
      </c>
      <c r="AD2202" s="1" t="s">
        <v>10316</v>
      </c>
      <c r="AE2202" s="1" t="s">
        <v>19608</v>
      </c>
      <c r="AF2202" s="1">
        <v>1995</v>
      </c>
      <c r="AG2202" s="1" t="s">
        <v>204</v>
      </c>
      <c r="AH2202" s="1" t="s">
        <v>1735</v>
      </c>
      <c r="AI2202" s="1" t="s">
        <v>206</v>
      </c>
      <c r="AJ2202" s="1" t="s">
        <v>207</v>
      </c>
      <c r="AK2202" s="1" t="s">
        <v>1398</v>
      </c>
      <c r="AL2202" s="1">
        <v>5</v>
      </c>
      <c r="AM2202" s="1">
        <v>2</v>
      </c>
      <c r="AN2202" s="1">
        <v>1</v>
      </c>
      <c r="AO2202" s="1">
        <v>1</v>
      </c>
      <c r="AP2202" s="1" t="s">
        <v>667</v>
      </c>
      <c r="AQ2202" s="1">
        <v>0</v>
      </c>
      <c r="AR2202" s="1" t="s">
        <v>210</v>
      </c>
      <c r="AS2202" s="1" t="s">
        <v>204</v>
      </c>
      <c r="AT2202" s="1" t="s">
        <v>211</v>
      </c>
      <c r="AU2202" s="1">
        <v>1</v>
      </c>
      <c r="AW2202" s="1" t="s">
        <v>204</v>
      </c>
      <c r="AX2202" s="1" t="s">
        <v>212</v>
      </c>
      <c r="AZ2202" s="1">
        <v>4522</v>
      </c>
      <c r="BA2202" s="1">
        <v>2013</v>
      </c>
      <c r="BE2202" s="1">
        <v>1125</v>
      </c>
      <c r="BF2202" s="1">
        <v>1</v>
      </c>
      <c r="BG2202" s="1">
        <v>0</v>
      </c>
      <c r="BL2202" s="1">
        <v>202</v>
      </c>
      <c r="BM2202" s="1" t="s">
        <v>204</v>
      </c>
      <c r="BN2202" s="1" t="s">
        <v>213</v>
      </c>
      <c r="BO2202" s="1">
        <v>999</v>
      </c>
      <c r="BP2202" s="1" t="s">
        <v>204</v>
      </c>
      <c r="BR2202" s="1" t="str">
        <f>"0503104167"</f>
        <v>0503104167</v>
      </c>
      <c r="BT2202" s="1" t="s">
        <v>19609</v>
      </c>
      <c r="BX2202" s="1">
        <v>41</v>
      </c>
      <c r="BY2202" s="1">
        <v>41</v>
      </c>
      <c r="BZ2202" s="1">
        <v>87</v>
      </c>
      <c r="CB2202" s="1" t="str">
        <f>"1"</f>
        <v>1</v>
      </c>
      <c r="CC2202" s="1" t="str">
        <f>""</f>
        <v/>
      </c>
      <c r="CD2202" s="1">
        <v>23</v>
      </c>
      <c r="CG2202" s="1" t="s">
        <v>2042</v>
      </c>
      <c r="CH2202" s="1" t="s">
        <v>219</v>
      </c>
      <c r="CK2202" s="1" t="s">
        <v>278</v>
      </c>
      <c r="CL2202" s="1" t="s">
        <v>277</v>
      </c>
      <c r="CO2202" s="1" t="s">
        <v>379</v>
      </c>
      <c r="CP2202" s="1" t="s">
        <v>219</v>
      </c>
      <c r="CS2202" s="1" t="s">
        <v>1358</v>
      </c>
      <c r="CT2202" s="1" t="s">
        <v>277</v>
      </c>
      <c r="CX2202" s="1" t="s">
        <v>224</v>
      </c>
      <c r="DB2202" s="1" t="s">
        <v>224</v>
      </c>
      <c r="DE2202" s="1" t="s">
        <v>409</v>
      </c>
      <c r="DF2202" s="1" t="s">
        <v>219</v>
      </c>
      <c r="DJ2202" s="1" t="s">
        <v>224</v>
      </c>
      <c r="DS2202" s="1" t="s">
        <v>230</v>
      </c>
      <c r="DW2202" s="1" t="s">
        <v>230</v>
      </c>
      <c r="EA2202" s="1" t="s">
        <v>230</v>
      </c>
      <c r="EE2202" s="1" t="s">
        <v>230</v>
      </c>
      <c r="EI2202" s="1" t="s">
        <v>230</v>
      </c>
      <c r="EL2202" s="1" t="s">
        <v>670</v>
      </c>
      <c r="EM2202" s="1" t="s">
        <v>232</v>
      </c>
      <c r="EN2202" s="1" t="s">
        <v>282</v>
      </c>
      <c r="EO2202" s="1" t="s">
        <v>234</v>
      </c>
      <c r="ER2202" s="1" t="s">
        <v>210</v>
      </c>
      <c r="EV2202" s="1" t="s">
        <v>240</v>
      </c>
      <c r="EW2202" s="1" t="s">
        <v>867</v>
      </c>
      <c r="EZ2202" s="1" t="s">
        <v>287</v>
      </c>
      <c r="FB2202" s="1" t="s">
        <v>289</v>
      </c>
      <c r="FD2202" s="1" t="s">
        <v>495</v>
      </c>
      <c r="FE2202" s="1" t="s">
        <v>1006</v>
      </c>
      <c r="FF2202" s="1" t="s">
        <v>248</v>
      </c>
      <c r="FH2202" s="1" t="s">
        <v>550</v>
      </c>
      <c r="FL2202" s="1" t="s">
        <v>358</v>
      </c>
      <c r="FM2202" s="1" t="s">
        <v>252</v>
      </c>
      <c r="FN2202" s="1" t="s">
        <v>213</v>
      </c>
      <c r="FO2202" s="1" t="s">
        <v>213</v>
      </c>
      <c r="FQ2202" s="1" t="s">
        <v>689</v>
      </c>
      <c r="FR2202" s="1" t="s">
        <v>210</v>
      </c>
      <c r="FS2202" s="1" t="s">
        <v>1575</v>
      </c>
      <c r="FT2202" s="1" t="s">
        <v>584</v>
      </c>
      <c r="FU2202" s="1" t="s">
        <v>204</v>
      </c>
      <c r="FW2202" s="1" t="s">
        <v>1388</v>
      </c>
      <c r="FX2202" s="1">
        <v>23948</v>
      </c>
      <c r="FY2202" s="1" t="s">
        <v>1389</v>
      </c>
      <c r="FZ2202" s="1" t="s">
        <v>1390</v>
      </c>
      <c r="GA2202" s="1">
        <v>214765</v>
      </c>
      <c r="GB2202" s="1" t="s">
        <v>1391</v>
      </c>
      <c r="GE2202" s="1" t="s">
        <v>210</v>
      </c>
      <c r="GI2202" s="1" t="s">
        <v>213</v>
      </c>
      <c r="GJ2202" s="1" t="s">
        <v>260</v>
      </c>
      <c r="GK2202" s="1" t="s">
        <v>210</v>
      </c>
      <c r="GL2202" s="2">
        <v>42133</v>
      </c>
      <c r="GM2202" s="1" t="s">
        <v>1392</v>
      </c>
    </row>
    <row r="2203" spans="1:195">
      <c r="A2203" s="1">
        <v>240000</v>
      </c>
      <c r="B2203" s="1" t="s">
        <v>195</v>
      </c>
      <c r="C2203" s="1" t="str">
        <f>"08752349"</f>
        <v>08752349</v>
      </c>
      <c r="D2203" s="1" t="s">
        <v>196</v>
      </c>
      <c r="F2203" s="1" t="str">
        <f>"562"</f>
        <v>562</v>
      </c>
      <c r="G2203" s="2">
        <v>41926</v>
      </c>
      <c r="H2203" s="1">
        <v>249900</v>
      </c>
      <c r="I2203" s="1">
        <v>249900</v>
      </c>
      <c r="J2203" s="1">
        <v>240000</v>
      </c>
      <c r="K2203" s="2">
        <v>41926</v>
      </c>
      <c r="L2203" s="1">
        <v>66</v>
      </c>
      <c r="M2203" s="2">
        <v>41991</v>
      </c>
      <c r="N2203" s="1">
        <v>66</v>
      </c>
      <c r="O2203" s="2">
        <v>41991</v>
      </c>
      <c r="P2203" s="1">
        <v>22093</v>
      </c>
      <c r="Q2203" s="1" t="s">
        <v>302</v>
      </c>
      <c r="R2203" s="2">
        <v>42080</v>
      </c>
      <c r="S2203" s="1">
        <v>222258</v>
      </c>
      <c r="U2203" s="1">
        <v>2869</v>
      </c>
      <c r="V2203" s="1" t="s">
        <v>19610</v>
      </c>
      <c r="W2203" s="1" t="s">
        <v>504</v>
      </c>
      <c r="Y2203" s="1">
        <v>3</v>
      </c>
      <c r="Z2203" s="1" t="s">
        <v>370</v>
      </c>
      <c r="AA2203" s="1" t="s">
        <v>899</v>
      </c>
      <c r="AB2203" s="1">
        <v>60561</v>
      </c>
      <c r="AD2203" s="1" t="s">
        <v>19532</v>
      </c>
      <c r="AE2203" s="1" t="s">
        <v>19611</v>
      </c>
      <c r="AF2203" s="1">
        <v>1990</v>
      </c>
      <c r="AG2203" s="1" t="s">
        <v>204</v>
      </c>
      <c r="AH2203" s="1" t="s">
        <v>902</v>
      </c>
      <c r="AI2203" s="1" t="s">
        <v>206</v>
      </c>
      <c r="AJ2203" s="1" t="s">
        <v>903</v>
      </c>
      <c r="AL2203" s="1">
        <v>5</v>
      </c>
      <c r="AM2203" s="1">
        <v>2</v>
      </c>
      <c r="AN2203" s="1">
        <v>2</v>
      </c>
      <c r="AO2203" s="1">
        <v>0</v>
      </c>
      <c r="AP2203" s="1" t="s">
        <v>209</v>
      </c>
      <c r="AQ2203" s="1">
        <v>1</v>
      </c>
      <c r="AR2203" s="1" t="s">
        <v>209</v>
      </c>
      <c r="AS2203" s="1" t="s">
        <v>204</v>
      </c>
      <c r="AT2203" s="1" t="s">
        <v>211</v>
      </c>
      <c r="AU2203" s="1">
        <v>2</v>
      </c>
      <c r="AW2203" s="1" t="s">
        <v>204</v>
      </c>
      <c r="AX2203" s="1" t="s">
        <v>19612</v>
      </c>
      <c r="AZ2203" s="1">
        <v>5500</v>
      </c>
      <c r="BA2203" s="1">
        <v>2013</v>
      </c>
      <c r="BB2203" s="1" t="s">
        <v>405</v>
      </c>
      <c r="BE2203" s="1">
        <v>1400</v>
      </c>
      <c r="BF2203" s="1">
        <v>1</v>
      </c>
      <c r="BG2203" s="1">
        <v>30</v>
      </c>
      <c r="BL2203" s="1">
        <v>210</v>
      </c>
      <c r="BM2203" s="1" t="s">
        <v>204</v>
      </c>
      <c r="BN2203" s="1" t="s">
        <v>213</v>
      </c>
      <c r="BO2203" s="1">
        <v>999</v>
      </c>
      <c r="BP2203" s="1" t="s">
        <v>204</v>
      </c>
      <c r="BR2203" s="1" t="str">
        <f>"0931412006"</f>
        <v>0931412006</v>
      </c>
      <c r="BT2203" s="1" t="s">
        <v>19613</v>
      </c>
      <c r="BW2203" s="1" t="s">
        <v>3099</v>
      </c>
      <c r="BX2203" s="1">
        <v>66</v>
      </c>
      <c r="BY2203" s="1">
        <v>66</v>
      </c>
      <c r="BZ2203" s="1">
        <v>99</v>
      </c>
      <c r="CB2203" s="1" t="str">
        <f t="shared" ref="CB2203:CC2203" si="1686">""</f>
        <v/>
      </c>
      <c r="CC2203" s="1" t="str">
        <f t="shared" si="1686"/>
        <v/>
      </c>
      <c r="CG2203" s="1" t="s">
        <v>729</v>
      </c>
      <c r="CH2203" s="1" t="s">
        <v>219</v>
      </c>
      <c r="CI2203" s="1" t="s">
        <v>438</v>
      </c>
      <c r="CJ2203" s="1" t="s">
        <v>252</v>
      </c>
      <c r="CK2203" s="1" t="s">
        <v>538</v>
      </c>
      <c r="CL2203" s="1" t="s">
        <v>219</v>
      </c>
      <c r="CM2203" s="1" t="s">
        <v>220</v>
      </c>
      <c r="CN2203" s="1" t="s">
        <v>252</v>
      </c>
      <c r="CO2203" s="1" t="s">
        <v>461</v>
      </c>
      <c r="CP2203" s="1" t="s">
        <v>219</v>
      </c>
      <c r="CQ2203" s="1" t="s">
        <v>438</v>
      </c>
      <c r="CR2203" s="1" t="s">
        <v>252</v>
      </c>
      <c r="CS2203" s="1" t="s">
        <v>461</v>
      </c>
      <c r="CT2203" s="1" t="s">
        <v>219</v>
      </c>
      <c r="CU2203" s="1" t="s">
        <v>220</v>
      </c>
      <c r="CX2203" s="1" t="s">
        <v>224</v>
      </c>
      <c r="DB2203" s="1" t="s">
        <v>224</v>
      </c>
      <c r="DE2203" s="1" t="s">
        <v>318</v>
      </c>
      <c r="DF2203" s="1" t="s">
        <v>219</v>
      </c>
      <c r="DG2203" s="1" t="s">
        <v>226</v>
      </c>
      <c r="DJ2203" s="1" t="s">
        <v>224</v>
      </c>
      <c r="DS2203" s="1" t="s">
        <v>230</v>
      </c>
      <c r="DW2203" s="1" t="s">
        <v>230</v>
      </c>
      <c r="EA2203" s="1" t="s">
        <v>230</v>
      </c>
      <c r="EE2203" s="1" t="s">
        <v>230</v>
      </c>
      <c r="EI2203" s="1" t="s">
        <v>230</v>
      </c>
      <c r="EL2203" s="1" t="s">
        <v>382</v>
      </c>
      <c r="EM2203" s="1" t="s">
        <v>232</v>
      </c>
      <c r="EN2203" s="1" t="s">
        <v>282</v>
      </c>
      <c r="EO2203" s="1" t="s">
        <v>234</v>
      </c>
      <c r="EQ2203" s="1" t="s">
        <v>492</v>
      </c>
      <c r="ER2203" s="1" t="s">
        <v>7700</v>
      </c>
      <c r="ES2203" s="1" t="s">
        <v>1552</v>
      </c>
      <c r="ET2203" s="1" t="s">
        <v>323</v>
      </c>
      <c r="EU2203" s="1" t="s">
        <v>1820</v>
      </c>
      <c r="EV2203" s="1" t="s">
        <v>352</v>
      </c>
      <c r="EW2203" s="1" t="s">
        <v>547</v>
      </c>
      <c r="EZ2203" s="1" t="s">
        <v>287</v>
      </c>
      <c r="FA2203" s="1" t="s">
        <v>19614</v>
      </c>
      <c r="FD2203" s="1" t="s">
        <v>246</v>
      </c>
      <c r="FE2203" s="1" t="s">
        <v>247</v>
      </c>
      <c r="FF2203" s="1" t="s">
        <v>248</v>
      </c>
      <c r="FG2203" s="1" t="s">
        <v>1204</v>
      </c>
      <c r="FH2203" s="1" t="s">
        <v>1205</v>
      </c>
      <c r="FI2203" s="1" t="s">
        <v>473</v>
      </c>
      <c r="FL2203" s="1" t="s">
        <v>358</v>
      </c>
      <c r="FM2203" s="1" t="s">
        <v>252</v>
      </c>
      <c r="FN2203" s="1" t="s">
        <v>213</v>
      </c>
      <c r="FO2203" s="1" t="s">
        <v>213</v>
      </c>
      <c r="FQ2203" s="1" t="s">
        <v>19615</v>
      </c>
      <c r="FR2203" s="1" t="s">
        <v>210</v>
      </c>
      <c r="FS2203" s="1" t="s">
        <v>3061</v>
      </c>
      <c r="FT2203" s="1" t="s">
        <v>295</v>
      </c>
      <c r="FU2203" s="1" t="s">
        <v>204</v>
      </c>
      <c r="FW2203" s="1" t="s">
        <v>11184</v>
      </c>
      <c r="FX2203" s="1">
        <v>20199</v>
      </c>
      <c r="FY2203" s="1" t="s">
        <v>11185</v>
      </c>
      <c r="FZ2203" s="1" t="s">
        <v>19616</v>
      </c>
      <c r="GA2203" s="1">
        <v>230387</v>
      </c>
      <c r="GB2203" s="1" t="s">
        <v>19617</v>
      </c>
      <c r="GE2203" s="1" t="s">
        <v>776</v>
      </c>
      <c r="GI2203" s="1" t="s">
        <v>213</v>
      </c>
      <c r="GJ2203" s="1" t="s">
        <v>260</v>
      </c>
      <c r="GK2203" s="1" t="s">
        <v>210</v>
      </c>
      <c r="GL2203" s="2">
        <v>42080</v>
      </c>
    </row>
    <row r="2204" spans="1:195">
      <c r="A2204" s="1">
        <v>28000</v>
      </c>
      <c r="B2204" s="1" t="s">
        <v>195</v>
      </c>
      <c r="C2204" s="1" t="str">
        <f>"08749588"</f>
        <v>08749588</v>
      </c>
      <c r="D2204" s="1" t="s">
        <v>196</v>
      </c>
      <c r="F2204" s="1" t="str">
        <f>"507"</f>
        <v>507</v>
      </c>
      <c r="G2204" s="2">
        <v>41921</v>
      </c>
      <c r="H2204" s="1">
        <v>29900</v>
      </c>
      <c r="I2204" s="1">
        <v>29900</v>
      </c>
      <c r="J2204" s="1">
        <v>28000</v>
      </c>
      <c r="K2204" s="2">
        <v>41921</v>
      </c>
      <c r="L2204" s="1">
        <v>25</v>
      </c>
      <c r="M2204" s="2">
        <v>41935</v>
      </c>
      <c r="N2204" s="1">
        <v>15</v>
      </c>
      <c r="O2204" s="2">
        <v>41935</v>
      </c>
      <c r="P2204" s="1">
        <v>31360</v>
      </c>
      <c r="Q2204" s="1" t="s">
        <v>302</v>
      </c>
      <c r="R2204" s="2">
        <v>42019</v>
      </c>
      <c r="S2204" s="1">
        <v>313607</v>
      </c>
      <c r="U2204" s="1">
        <v>1321</v>
      </c>
      <c r="V2204" s="1" t="s">
        <v>9300</v>
      </c>
      <c r="W2204" s="1" t="s">
        <v>449</v>
      </c>
      <c r="X2204" s="1" t="s">
        <v>483</v>
      </c>
      <c r="Y2204" s="1">
        <v>4</v>
      </c>
      <c r="Z2204" s="1" t="s">
        <v>249</v>
      </c>
      <c r="AA2204" s="1" t="s">
        <v>1123</v>
      </c>
      <c r="AB2204" s="1">
        <v>60506</v>
      </c>
      <c r="AE2204" s="1" t="s">
        <v>19618</v>
      </c>
      <c r="AF2204" s="1">
        <v>1972</v>
      </c>
      <c r="AG2204" s="1" t="s">
        <v>213</v>
      </c>
      <c r="AH2204" s="1" t="s">
        <v>1126</v>
      </c>
      <c r="AI2204" s="1" t="s">
        <v>665</v>
      </c>
      <c r="AJ2204" s="1" t="s">
        <v>1126</v>
      </c>
      <c r="AL2204" s="1">
        <v>5</v>
      </c>
      <c r="AM2204" s="1">
        <v>2</v>
      </c>
      <c r="AN2204" s="1">
        <v>1</v>
      </c>
      <c r="AO2204" s="1">
        <v>0</v>
      </c>
      <c r="AP2204" s="1" t="s">
        <v>210</v>
      </c>
      <c r="AR2204" s="1" t="s">
        <v>210</v>
      </c>
      <c r="AS2204" s="1" t="s">
        <v>204</v>
      </c>
      <c r="AT2204" s="1" t="s">
        <v>211</v>
      </c>
      <c r="AU2204" s="1">
        <v>1</v>
      </c>
      <c r="AW2204" s="1" t="s">
        <v>204</v>
      </c>
      <c r="AX2204" s="1" t="s">
        <v>212</v>
      </c>
      <c r="AZ2204" s="1">
        <v>923</v>
      </c>
      <c r="BA2204" s="1">
        <v>2013</v>
      </c>
      <c r="BB2204" s="1" t="s">
        <v>210</v>
      </c>
      <c r="BE2204" s="1">
        <v>968</v>
      </c>
      <c r="BF2204" s="1">
        <v>1</v>
      </c>
      <c r="BG2204" s="1">
        <v>30</v>
      </c>
      <c r="BL2204" s="1">
        <v>182</v>
      </c>
      <c r="BM2204" s="1" t="s">
        <v>413</v>
      </c>
      <c r="BN2204" s="1" t="s">
        <v>213</v>
      </c>
      <c r="BO2204" s="1">
        <v>0</v>
      </c>
      <c r="BP2204" s="1" t="s">
        <v>204</v>
      </c>
      <c r="BR2204" s="1" t="str">
        <f>"1517256036"</f>
        <v>1517256036</v>
      </c>
      <c r="BT2204" s="1" t="s">
        <v>19619</v>
      </c>
      <c r="BX2204" s="1">
        <v>129</v>
      </c>
      <c r="BY2204" s="1">
        <v>129</v>
      </c>
      <c r="BZ2204" s="1">
        <v>129</v>
      </c>
      <c r="CB2204" s="1" t="str">
        <f t="shared" ref="CB2204:CC2204" si="1687">"0"</f>
        <v>0</v>
      </c>
      <c r="CC2204" s="1" t="str">
        <f t="shared" si="1687"/>
        <v>0</v>
      </c>
      <c r="CD2204" s="1">
        <v>37</v>
      </c>
      <c r="CE2204" s="1">
        <v>6</v>
      </c>
      <c r="CG2204" s="1" t="s">
        <v>1045</v>
      </c>
      <c r="CH2204" s="1" t="s">
        <v>219</v>
      </c>
      <c r="CI2204" s="1" t="s">
        <v>220</v>
      </c>
      <c r="CK2204" s="1" t="s">
        <v>344</v>
      </c>
      <c r="CL2204" s="1" t="s">
        <v>277</v>
      </c>
      <c r="CM2204" s="1" t="s">
        <v>220</v>
      </c>
      <c r="CO2204" s="1" t="s">
        <v>348</v>
      </c>
      <c r="CP2204" s="1" t="s">
        <v>219</v>
      </c>
      <c r="CQ2204" s="1" t="s">
        <v>220</v>
      </c>
      <c r="CS2204" s="1" t="s">
        <v>318</v>
      </c>
      <c r="CT2204" s="1" t="s">
        <v>277</v>
      </c>
      <c r="CU2204" s="1" t="s">
        <v>220</v>
      </c>
      <c r="CX2204" s="1" t="s">
        <v>224</v>
      </c>
      <c r="DB2204" s="1" t="s">
        <v>224</v>
      </c>
      <c r="DE2204" s="1" t="s">
        <v>380</v>
      </c>
      <c r="DF2204" s="1" t="s">
        <v>219</v>
      </c>
      <c r="DG2204" s="1" t="s">
        <v>342</v>
      </c>
      <c r="DJ2204" s="1" t="s">
        <v>224</v>
      </c>
      <c r="DS2204" s="1" t="s">
        <v>230</v>
      </c>
      <c r="DW2204" s="1" t="s">
        <v>230</v>
      </c>
      <c r="EA2204" s="1" t="s">
        <v>230</v>
      </c>
      <c r="EE2204" s="1" t="s">
        <v>230</v>
      </c>
      <c r="EI2204" s="1" t="s">
        <v>230</v>
      </c>
      <c r="EL2204" s="1" t="s">
        <v>605</v>
      </c>
      <c r="EM2204" s="1" t="s">
        <v>319</v>
      </c>
      <c r="EN2204" s="1" t="s">
        <v>282</v>
      </c>
      <c r="EO2204" s="1" t="s">
        <v>234</v>
      </c>
      <c r="ER2204" s="1" t="s">
        <v>210</v>
      </c>
      <c r="ES2204" s="1" t="s">
        <v>545</v>
      </c>
      <c r="EV2204" s="1" t="s">
        <v>240</v>
      </c>
      <c r="EW2204" s="1" t="s">
        <v>937</v>
      </c>
      <c r="EZ2204" s="1" t="s">
        <v>287</v>
      </c>
      <c r="FD2204" s="1" t="s">
        <v>246</v>
      </c>
      <c r="FE2204" s="1" t="s">
        <v>2623</v>
      </c>
      <c r="FF2204" s="1" t="s">
        <v>6618</v>
      </c>
      <c r="FH2204" s="1" t="s">
        <v>249</v>
      </c>
      <c r="FL2204" s="1" t="s">
        <v>358</v>
      </c>
      <c r="FM2204" s="1" t="s">
        <v>252</v>
      </c>
      <c r="FN2204" s="1" t="s">
        <v>213</v>
      </c>
      <c r="FO2204" s="1" t="s">
        <v>213</v>
      </c>
      <c r="FQ2204" s="1" t="s">
        <v>19620</v>
      </c>
      <c r="FR2204" s="1" t="s">
        <v>210</v>
      </c>
      <c r="FS2204" s="1" t="s">
        <v>19621</v>
      </c>
      <c r="FT2204" s="1" t="s">
        <v>362</v>
      </c>
      <c r="FU2204" s="1" t="s">
        <v>204</v>
      </c>
      <c r="FW2204" s="1" t="s">
        <v>19078</v>
      </c>
      <c r="FX2204" s="1">
        <v>85452</v>
      </c>
      <c r="FY2204" s="1" t="s">
        <v>19079</v>
      </c>
      <c r="FZ2204" s="1" t="s">
        <v>19080</v>
      </c>
      <c r="GA2204" s="1">
        <v>109968</v>
      </c>
      <c r="GE2204" s="1" t="s">
        <v>210</v>
      </c>
      <c r="GH2204" s="1" t="s">
        <v>230</v>
      </c>
      <c r="GI2204" s="1" t="s">
        <v>204</v>
      </c>
      <c r="GJ2204" s="1" t="s">
        <v>260</v>
      </c>
      <c r="GK2204" s="1" t="s">
        <v>210</v>
      </c>
      <c r="GL2204" s="2">
        <v>42022</v>
      </c>
      <c r="GM2204" s="1" t="s">
        <v>19622</v>
      </c>
    </row>
    <row r="2205" spans="1:195">
      <c r="A2205" s="1">
        <v>270000</v>
      </c>
      <c r="B2205" s="1" t="s">
        <v>195</v>
      </c>
      <c r="C2205" s="1" t="str">
        <f>"08765041"</f>
        <v>08765041</v>
      </c>
      <c r="D2205" s="1" t="s">
        <v>196</v>
      </c>
      <c r="F2205" s="1" t="str">
        <f>"108"</f>
        <v>108</v>
      </c>
      <c r="G2205" s="2">
        <v>41942</v>
      </c>
      <c r="H2205" s="1">
        <v>279500</v>
      </c>
      <c r="I2205" s="1">
        <v>279500</v>
      </c>
      <c r="J2205" s="1">
        <v>270000</v>
      </c>
      <c r="K2205" s="2">
        <v>41942</v>
      </c>
      <c r="L2205" s="1">
        <v>188</v>
      </c>
      <c r="M2205" s="2">
        <v>41999</v>
      </c>
      <c r="N2205" s="1">
        <v>58</v>
      </c>
      <c r="O2205" s="2">
        <v>41999</v>
      </c>
      <c r="P2205" s="1">
        <v>25309</v>
      </c>
      <c r="Q2205" s="1" t="s">
        <v>302</v>
      </c>
      <c r="R2205" s="2">
        <v>42016</v>
      </c>
      <c r="S2205" s="1">
        <v>232831</v>
      </c>
      <c r="U2205" s="1">
        <v>205</v>
      </c>
      <c r="V2205" s="1" t="s">
        <v>19623</v>
      </c>
      <c r="W2205" s="1" t="s">
        <v>304</v>
      </c>
      <c r="X2205" s="1">
        <v>205</v>
      </c>
      <c r="Y2205" s="1">
        <v>4</v>
      </c>
      <c r="Z2205" s="1" t="s">
        <v>370</v>
      </c>
      <c r="AA2205" s="1" t="s">
        <v>829</v>
      </c>
      <c r="AB2205" s="1">
        <v>60108</v>
      </c>
      <c r="AD2205" s="1" t="s">
        <v>19624</v>
      </c>
      <c r="AE2205" s="1" t="s">
        <v>19625</v>
      </c>
      <c r="AF2205" s="1">
        <v>1997</v>
      </c>
      <c r="AG2205" s="1" t="s">
        <v>204</v>
      </c>
      <c r="AH2205" s="1" t="s">
        <v>269</v>
      </c>
      <c r="AI2205" s="1" t="s">
        <v>206</v>
      </c>
      <c r="AJ2205" s="1" t="s">
        <v>269</v>
      </c>
      <c r="AL2205" s="1">
        <v>7</v>
      </c>
      <c r="AM2205" s="1">
        <v>2</v>
      </c>
      <c r="AN2205" s="1">
        <v>2</v>
      </c>
      <c r="AO2205" s="1">
        <v>2</v>
      </c>
      <c r="AP2205" s="1" t="s">
        <v>209</v>
      </c>
      <c r="AQ2205" s="1">
        <v>1</v>
      </c>
      <c r="AR2205" s="1" t="s">
        <v>209</v>
      </c>
      <c r="AS2205" s="1" t="s">
        <v>204</v>
      </c>
      <c r="AT2205" s="1" t="s">
        <v>211</v>
      </c>
      <c r="AU2205" s="1">
        <v>2</v>
      </c>
      <c r="AW2205" s="1" t="s">
        <v>204</v>
      </c>
      <c r="AX2205" s="1" t="s">
        <v>750</v>
      </c>
      <c r="AZ2205" s="1">
        <v>7040</v>
      </c>
      <c r="BA2205" s="1">
        <v>2013</v>
      </c>
      <c r="BB2205" s="1" t="s">
        <v>405</v>
      </c>
      <c r="BE2205" s="1">
        <v>1984</v>
      </c>
      <c r="BF2205" s="1">
        <v>1</v>
      </c>
      <c r="BG2205" s="1">
        <v>0</v>
      </c>
      <c r="BJ2205" s="1">
        <v>100</v>
      </c>
      <c r="BL2205" s="1">
        <v>224</v>
      </c>
      <c r="BM2205" s="1" t="s">
        <v>213</v>
      </c>
      <c r="BN2205" s="1" t="s">
        <v>213</v>
      </c>
      <c r="BO2205" s="1">
        <v>0</v>
      </c>
      <c r="BP2205" s="1" t="s">
        <v>204</v>
      </c>
      <c r="BR2205" s="1" t="str">
        <f>"0216215074"</f>
        <v>0216215074</v>
      </c>
      <c r="BT2205" s="1" t="s">
        <v>19626</v>
      </c>
      <c r="BU2205" s="1" t="s">
        <v>1611</v>
      </c>
      <c r="BV2205" s="1" t="s">
        <v>834</v>
      </c>
      <c r="BW2205" s="1" t="s">
        <v>275</v>
      </c>
      <c r="BX2205" s="1">
        <v>13</v>
      </c>
      <c r="BY2205" s="1">
        <v>13</v>
      </c>
      <c r="BZ2205" s="1">
        <v>108</v>
      </c>
      <c r="CB2205" s="1" t="str">
        <f>"4"</f>
        <v>4</v>
      </c>
      <c r="CC2205" s="1" t="str">
        <f>"0"</f>
        <v>0</v>
      </c>
      <c r="CD2205" s="1">
        <v>24</v>
      </c>
      <c r="CE2205" s="1">
        <v>0</v>
      </c>
      <c r="CG2205" s="1" t="s">
        <v>1936</v>
      </c>
      <c r="CH2205" s="1" t="s">
        <v>219</v>
      </c>
      <c r="CI2205" s="1" t="s">
        <v>220</v>
      </c>
      <c r="CJ2205" s="1" t="s">
        <v>252</v>
      </c>
      <c r="CK2205" s="1" t="s">
        <v>885</v>
      </c>
      <c r="CL2205" s="1" t="s">
        <v>219</v>
      </c>
      <c r="CM2205" s="1" t="s">
        <v>220</v>
      </c>
      <c r="CN2205" s="1" t="s">
        <v>252</v>
      </c>
      <c r="CO2205" s="1" t="s">
        <v>1533</v>
      </c>
      <c r="CP2205" s="1" t="s">
        <v>219</v>
      </c>
      <c r="CQ2205" s="1" t="s">
        <v>220</v>
      </c>
      <c r="CS2205" s="1" t="s">
        <v>437</v>
      </c>
      <c r="CT2205" s="1" t="s">
        <v>277</v>
      </c>
      <c r="CU2205" s="1" t="s">
        <v>220</v>
      </c>
      <c r="CV2205" s="1" t="s">
        <v>252</v>
      </c>
      <c r="CX2205" s="1" t="s">
        <v>224</v>
      </c>
      <c r="DB2205" s="1" t="s">
        <v>224</v>
      </c>
      <c r="DE2205" s="1" t="s">
        <v>379</v>
      </c>
      <c r="DF2205" s="1" t="s">
        <v>219</v>
      </c>
      <c r="DG2205" s="1" t="s">
        <v>229</v>
      </c>
      <c r="DJ2205" s="1" t="s">
        <v>224</v>
      </c>
      <c r="DM2205" s="1" t="s">
        <v>464</v>
      </c>
      <c r="DN2205" s="1" t="s">
        <v>1548</v>
      </c>
      <c r="DR2205" s="1" t="s">
        <v>1200</v>
      </c>
      <c r="DS2205" s="1" t="s">
        <v>277</v>
      </c>
      <c r="DT2205" s="1" t="s">
        <v>220</v>
      </c>
      <c r="DU2205" s="1" t="s">
        <v>252</v>
      </c>
      <c r="DV2205" s="1" t="s">
        <v>281</v>
      </c>
      <c r="DW2205" s="1" t="s">
        <v>219</v>
      </c>
      <c r="DX2205" s="1" t="s">
        <v>229</v>
      </c>
      <c r="EA2205" s="1" t="s">
        <v>230</v>
      </c>
      <c r="EE2205" s="1" t="s">
        <v>230</v>
      </c>
      <c r="EI2205" s="1" t="s">
        <v>230</v>
      </c>
      <c r="EL2205" s="1" t="s">
        <v>670</v>
      </c>
      <c r="EM2205" s="1" t="s">
        <v>232</v>
      </c>
      <c r="EN2205" s="1" t="s">
        <v>282</v>
      </c>
      <c r="EO2205" s="1" t="s">
        <v>234</v>
      </c>
      <c r="EP2205" s="1" t="s">
        <v>1489</v>
      </c>
      <c r="ER2205" s="1" t="s">
        <v>1249</v>
      </c>
      <c r="ET2205" s="1" t="s">
        <v>19627</v>
      </c>
      <c r="EV2205" s="1" t="s">
        <v>324</v>
      </c>
      <c r="EW2205" s="1" t="s">
        <v>911</v>
      </c>
      <c r="EY2205" s="1" t="s">
        <v>790</v>
      </c>
      <c r="EZ2205" s="1" t="s">
        <v>3544</v>
      </c>
      <c r="FA2205" s="1" t="s">
        <v>5059</v>
      </c>
      <c r="FB2205" s="1" t="s">
        <v>1505</v>
      </c>
      <c r="FC2205" s="1" t="s">
        <v>548</v>
      </c>
      <c r="FD2205" s="1" t="s">
        <v>246</v>
      </c>
      <c r="FE2205" s="1" t="s">
        <v>549</v>
      </c>
      <c r="FF2205" s="1" t="s">
        <v>387</v>
      </c>
      <c r="FG2205" s="1" t="s">
        <v>6211</v>
      </c>
      <c r="FH2205" s="1" t="s">
        <v>550</v>
      </c>
      <c r="FI2205" s="1" t="s">
        <v>473</v>
      </c>
      <c r="FJ2205" s="1" t="s">
        <v>518</v>
      </c>
      <c r="FL2205" s="1" t="s">
        <v>358</v>
      </c>
      <c r="FM2205" s="1" t="s">
        <v>252</v>
      </c>
      <c r="FN2205" s="1" t="s">
        <v>213</v>
      </c>
      <c r="FO2205" s="1" t="s">
        <v>213</v>
      </c>
      <c r="FQ2205" s="1" t="s">
        <v>9805</v>
      </c>
      <c r="FR2205" s="1" t="s">
        <v>210</v>
      </c>
      <c r="FS2205" s="1" t="s">
        <v>19628</v>
      </c>
      <c r="FT2205" s="1" t="s">
        <v>520</v>
      </c>
      <c r="FU2205" s="1" t="s">
        <v>204</v>
      </c>
      <c r="FW2205" s="1" t="s">
        <v>10180</v>
      </c>
      <c r="FX2205" s="1">
        <v>24185</v>
      </c>
      <c r="FY2205" s="1" t="s">
        <v>10181</v>
      </c>
      <c r="FZ2205" s="1" t="s">
        <v>17505</v>
      </c>
      <c r="GA2205" s="1">
        <v>242081</v>
      </c>
      <c r="GB2205" s="1" t="s">
        <v>17506</v>
      </c>
      <c r="GE2205" s="1" t="s">
        <v>1187</v>
      </c>
      <c r="GI2205" s="1" t="s">
        <v>213</v>
      </c>
      <c r="GJ2205" s="1" t="s">
        <v>260</v>
      </c>
      <c r="GK2205" s="1" t="s">
        <v>210</v>
      </c>
      <c r="GL2205" s="2">
        <v>42017</v>
      </c>
    </row>
    <row r="2206" spans="1:195">
      <c r="A2206" s="1">
        <v>165540</v>
      </c>
      <c r="B2206" s="1" t="s">
        <v>195</v>
      </c>
      <c r="C2206" s="1" t="str">
        <f>"08747536"</f>
        <v>08747536</v>
      </c>
      <c r="D2206" s="1" t="s">
        <v>196</v>
      </c>
      <c r="F2206" s="1" t="str">
        <f>"73"</f>
        <v>73</v>
      </c>
      <c r="G2206" s="2">
        <v>41919</v>
      </c>
      <c r="H2206" s="1">
        <v>164355</v>
      </c>
      <c r="I2206" s="1">
        <v>164355</v>
      </c>
      <c r="J2206" s="1">
        <v>165540</v>
      </c>
      <c r="K2206" s="2">
        <v>41916</v>
      </c>
      <c r="L2206" s="1">
        <v>4</v>
      </c>
      <c r="M2206" s="2">
        <v>41919</v>
      </c>
      <c r="N2206" s="1">
        <v>4</v>
      </c>
      <c r="O2206" s="2">
        <v>41919</v>
      </c>
      <c r="P2206" s="1" t="s">
        <v>1039</v>
      </c>
      <c r="Q2206" s="1" t="s">
        <v>302</v>
      </c>
      <c r="R2206" s="2">
        <v>42074</v>
      </c>
      <c r="S2206" s="1">
        <v>99999</v>
      </c>
      <c r="U2206" s="1">
        <v>769</v>
      </c>
      <c r="V2206" s="1" t="s">
        <v>6484</v>
      </c>
      <c r="W2206" s="1" t="s">
        <v>504</v>
      </c>
      <c r="Y2206" s="1">
        <v>6</v>
      </c>
      <c r="Z2206" s="1" t="s">
        <v>370</v>
      </c>
      <c r="AA2206" s="1" t="s">
        <v>1259</v>
      </c>
      <c r="AB2206" s="1">
        <v>60073</v>
      </c>
      <c r="AD2206" s="1" t="s">
        <v>6485</v>
      </c>
      <c r="AE2206" s="1" t="s">
        <v>6486</v>
      </c>
      <c r="AF2206" s="1">
        <v>2014</v>
      </c>
      <c r="AG2206" s="1" t="s">
        <v>204</v>
      </c>
      <c r="AH2206" s="1" t="s">
        <v>1262</v>
      </c>
      <c r="AI2206" s="1" t="s">
        <v>509</v>
      </c>
      <c r="AJ2206" s="1" t="s">
        <v>1016</v>
      </c>
      <c r="AK2206" s="1" t="s">
        <v>7907</v>
      </c>
      <c r="AL2206" s="1">
        <v>7</v>
      </c>
      <c r="AM2206" s="1">
        <v>2</v>
      </c>
      <c r="AN2206" s="1">
        <v>2</v>
      </c>
      <c r="AO2206" s="1">
        <v>1</v>
      </c>
      <c r="AP2206" s="1" t="s">
        <v>209</v>
      </c>
      <c r="AR2206" s="1" t="s">
        <v>210</v>
      </c>
      <c r="AT2206" s="1" t="s">
        <v>211</v>
      </c>
      <c r="AU2206" s="1">
        <v>2</v>
      </c>
      <c r="AW2206" s="1" t="s">
        <v>204</v>
      </c>
      <c r="AX2206" s="1" t="s">
        <v>1265</v>
      </c>
      <c r="AZ2206" s="1" t="s">
        <v>751</v>
      </c>
      <c r="BA2206" s="1">
        <v>2013</v>
      </c>
      <c r="BE2206" s="1">
        <v>1585</v>
      </c>
      <c r="BF2206" s="1">
        <v>1</v>
      </c>
      <c r="BG2206" s="1">
        <v>0</v>
      </c>
      <c r="BL2206" s="1">
        <v>170</v>
      </c>
      <c r="BM2206" s="1" t="s">
        <v>204</v>
      </c>
      <c r="BN2206" s="1" t="s">
        <v>213</v>
      </c>
      <c r="BO2206" s="1">
        <v>999</v>
      </c>
      <c r="BP2206" s="1" t="s">
        <v>213</v>
      </c>
      <c r="BQ2206" s="2">
        <v>41942</v>
      </c>
      <c r="BR2206" s="1" t="str">
        <f>"05362010000000"</f>
        <v>05362010000000</v>
      </c>
      <c r="BT2206" s="1" t="s">
        <v>19629</v>
      </c>
      <c r="BU2206" s="1" t="s">
        <v>6153</v>
      </c>
      <c r="BV2206" s="1" t="s">
        <v>6488</v>
      </c>
      <c r="BW2206" s="1" t="s">
        <v>2264</v>
      </c>
      <c r="BX2206" s="1">
        <v>38</v>
      </c>
      <c r="BY2206" s="1">
        <v>38</v>
      </c>
      <c r="BZ2206" s="1">
        <v>124</v>
      </c>
      <c r="CB2206" s="1" t="str">
        <f t="shared" ref="CB2206:CC2206" si="1688">""</f>
        <v/>
      </c>
      <c r="CC2206" s="1" t="str">
        <f t="shared" si="1688"/>
        <v/>
      </c>
      <c r="CG2206" s="1" t="s">
        <v>461</v>
      </c>
      <c r="CH2206" s="1" t="s">
        <v>219</v>
      </c>
      <c r="CK2206" s="1" t="s">
        <v>757</v>
      </c>
      <c r="CL2206" s="1" t="s">
        <v>277</v>
      </c>
      <c r="CO2206" s="1" t="s">
        <v>465</v>
      </c>
      <c r="CP2206" s="1" t="s">
        <v>219</v>
      </c>
      <c r="CS2206" s="1" t="s">
        <v>379</v>
      </c>
      <c r="CT2206" s="1" t="s">
        <v>277</v>
      </c>
      <c r="CX2206" s="1" t="s">
        <v>224</v>
      </c>
      <c r="DB2206" s="1" t="s">
        <v>224</v>
      </c>
      <c r="DE2206" s="1" t="s">
        <v>317</v>
      </c>
      <c r="DF2206" s="1" t="s">
        <v>219</v>
      </c>
      <c r="DI2206" s="1" t="s">
        <v>757</v>
      </c>
      <c r="DJ2206" s="1" t="s">
        <v>219</v>
      </c>
      <c r="DM2206" s="1" t="s">
        <v>464</v>
      </c>
      <c r="DR2206" s="1" t="s">
        <v>379</v>
      </c>
      <c r="DS2206" s="1" t="s">
        <v>277</v>
      </c>
      <c r="DW2206" s="1" t="s">
        <v>230</v>
      </c>
      <c r="EA2206" s="1" t="s">
        <v>230</v>
      </c>
      <c r="EE2206" s="1" t="s">
        <v>230</v>
      </c>
      <c r="EI2206" s="1" t="s">
        <v>230</v>
      </c>
      <c r="EL2206" s="1" t="s">
        <v>760</v>
      </c>
      <c r="EM2206" s="1" t="s">
        <v>319</v>
      </c>
      <c r="EN2206" s="1" t="s">
        <v>282</v>
      </c>
      <c r="EO2206" s="1" t="s">
        <v>234</v>
      </c>
      <c r="EP2206" s="1" t="s">
        <v>936</v>
      </c>
      <c r="ER2206" s="1" t="s">
        <v>210</v>
      </c>
      <c r="ES2206" s="1" t="s">
        <v>1552</v>
      </c>
      <c r="EU2206" s="1" t="s">
        <v>712</v>
      </c>
      <c r="EV2206" s="1" t="s">
        <v>324</v>
      </c>
      <c r="EW2206" s="1" t="s">
        <v>937</v>
      </c>
      <c r="EZ2206" s="1" t="s">
        <v>464</v>
      </c>
      <c r="FD2206" s="1" t="s">
        <v>495</v>
      </c>
      <c r="FE2206" s="1" t="s">
        <v>765</v>
      </c>
      <c r="FF2206" s="1" t="s">
        <v>248</v>
      </c>
      <c r="FH2206" s="1" t="s">
        <v>550</v>
      </c>
      <c r="FL2206" s="1" t="s">
        <v>358</v>
      </c>
      <c r="FM2206" s="1" t="s">
        <v>252</v>
      </c>
      <c r="FN2206" s="1" t="s">
        <v>213</v>
      </c>
      <c r="FO2206" s="1" t="s">
        <v>213</v>
      </c>
      <c r="FQ2206" s="1" t="s">
        <v>6489</v>
      </c>
      <c r="FR2206" s="1" t="s">
        <v>210</v>
      </c>
      <c r="FS2206" s="1" t="s">
        <v>6490</v>
      </c>
      <c r="FT2206" s="1" t="s">
        <v>6491</v>
      </c>
      <c r="FU2206" s="1" t="s">
        <v>204</v>
      </c>
      <c r="FW2206" s="1" t="s">
        <v>2590</v>
      </c>
      <c r="FX2206" s="1">
        <v>2644</v>
      </c>
      <c r="FY2206" s="1" t="s">
        <v>2591</v>
      </c>
      <c r="FZ2206" s="1" t="s">
        <v>6492</v>
      </c>
      <c r="GA2206" s="1">
        <v>18736</v>
      </c>
      <c r="GB2206" s="1" t="s">
        <v>6493</v>
      </c>
      <c r="GE2206" s="1" t="s">
        <v>1256</v>
      </c>
      <c r="GH2206" s="1" t="s">
        <v>421</v>
      </c>
      <c r="GI2206" s="1" t="s">
        <v>213</v>
      </c>
      <c r="GJ2206" s="1" t="s">
        <v>260</v>
      </c>
      <c r="GK2206" s="1" t="s">
        <v>261</v>
      </c>
      <c r="GL2206" s="2">
        <v>42074</v>
      </c>
      <c r="GM2206" s="1" t="s">
        <v>19630</v>
      </c>
    </row>
    <row r="2207" spans="1:195">
      <c r="A2207" s="1">
        <v>169900</v>
      </c>
      <c r="B2207" s="1" t="s">
        <v>195</v>
      </c>
      <c r="C2207" s="1" t="str">
        <f>"08754757"</f>
        <v>08754757</v>
      </c>
      <c r="D2207" s="1" t="s">
        <v>196</v>
      </c>
      <c r="F2207" s="1" t="str">
        <f>"185"</f>
        <v>185</v>
      </c>
      <c r="G2207" s="2">
        <v>41928</v>
      </c>
      <c r="H2207" s="1">
        <v>169900</v>
      </c>
      <c r="I2207" s="1">
        <v>169900</v>
      </c>
      <c r="J2207" s="1">
        <v>169900</v>
      </c>
      <c r="K2207" s="2">
        <v>41928</v>
      </c>
      <c r="L2207" s="1">
        <v>670</v>
      </c>
      <c r="M2207" s="2">
        <v>41953</v>
      </c>
      <c r="N2207" s="1">
        <v>26</v>
      </c>
      <c r="O2207" s="2">
        <v>41953</v>
      </c>
      <c r="P2207" s="1">
        <v>25279</v>
      </c>
      <c r="Q2207" s="1" t="s">
        <v>197</v>
      </c>
      <c r="R2207" s="2">
        <v>42058</v>
      </c>
      <c r="S2207" s="1">
        <v>259466</v>
      </c>
      <c r="U2207" s="1">
        <v>1121</v>
      </c>
      <c r="V2207" s="1" t="s">
        <v>19631</v>
      </c>
      <c r="W2207" s="1" t="s">
        <v>504</v>
      </c>
      <c r="Y2207" s="1">
        <v>4</v>
      </c>
      <c r="Z2207" s="1" t="s">
        <v>200</v>
      </c>
      <c r="AA2207" s="1" t="s">
        <v>10833</v>
      </c>
      <c r="AB2207" s="1">
        <v>60185</v>
      </c>
      <c r="AD2207" s="1" t="s">
        <v>19632</v>
      </c>
      <c r="AE2207" s="1" t="s">
        <v>19633</v>
      </c>
      <c r="AF2207" s="1">
        <v>1998</v>
      </c>
      <c r="AG2207" s="1" t="s">
        <v>204</v>
      </c>
      <c r="AH2207" s="1" t="s">
        <v>10835</v>
      </c>
      <c r="AI2207" s="1" t="s">
        <v>206</v>
      </c>
      <c r="AJ2207" s="1" t="s">
        <v>2654</v>
      </c>
      <c r="AL2207" s="1">
        <v>7</v>
      </c>
      <c r="AM2207" s="1">
        <v>2</v>
      </c>
      <c r="AN2207" s="1">
        <v>3</v>
      </c>
      <c r="AO2207" s="1">
        <v>1</v>
      </c>
      <c r="AP2207" s="1" t="s">
        <v>209</v>
      </c>
      <c r="AR2207" s="1" t="s">
        <v>209</v>
      </c>
      <c r="AS2207" s="1" t="s">
        <v>213</v>
      </c>
      <c r="AT2207" s="1" t="s">
        <v>211</v>
      </c>
      <c r="AU2207" s="1">
        <v>2</v>
      </c>
      <c r="AW2207" s="1" t="s">
        <v>204</v>
      </c>
      <c r="AX2207" s="1">
        <v>1447</v>
      </c>
      <c r="AZ2207" s="1">
        <v>5653</v>
      </c>
      <c r="BA2207" s="1">
        <v>2013</v>
      </c>
      <c r="BE2207" s="1">
        <v>1373</v>
      </c>
      <c r="BF2207" s="1">
        <v>1</v>
      </c>
      <c r="BG2207" s="1">
        <v>0</v>
      </c>
      <c r="BL2207" s="1">
        <v>184</v>
      </c>
      <c r="BM2207" s="1" t="s">
        <v>204</v>
      </c>
      <c r="BN2207" s="1" t="s">
        <v>213</v>
      </c>
      <c r="BO2207" s="1">
        <v>0</v>
      </c>
      <c r="BP2207" s="1" t="s">
        <v>204</v>
      </c>
      <c r="BR2207" s="1" t="str">
        <f>"0133416161"</f>
        <v>0133416161</v>
      </c>
      <c r="BT2207" s="1" t="s">
        <v>19634</v>
      </c>
      <c r="BU2207" s="1" t="s">
        <v>19635</v>
      </c>
      <c r="BW2207" s="1" t="s">
        <v>1675</v>
      </c>
      <c r="BX2207" s="1">
        <v>33</v>
      </c>
      <c r="BY2207" s="1">
        <v>33</v>
      </c>
      <c r="BZ2207" s="1">
        <v>94</v>
      </c>
      <c r="CB2207" s="1" t="str">
        <f t="shared" ref="CB2207:CC2207" si="1689">""</f>
        <v/>
      </c>
      <c r="CC2207" s="1" t="str">
        <f t="shared" si="1689"/>
        <v/>
      </c>
      <c r="CG2207" s="1" t="s">
        <v>437</v>
      </c>
      <c r="CH2207" s="1" t="s">
        <v>219</v>
      </c>
      <c r="CI2207" s="1" t="s">
        <v>220</v>
      </c>
      <c r="CJ2207" s="1" t="s">
        <v>343</v>
      </c>
      <c r="CK2207" s="1" t="s">
        <v>437</v>
      </c>
      <c r="CL2207" s="1" t="s">
        <v>277</v>
      </c>
      <c r="CM2207" s="1" t="s">
        <v>220</v>
      </c>
      <c r="CN2207" s="1" t="s">
        <v>343</v>
      </c>
      <c r="CO2207" s="1" t="s">
        <v>346</v>
      </c>
      <c r="CP2207" s="1" t="s">
        <v>219</v>
      </c>
      <c r="CQ2207" s="1" t="s">
        <v>220</v>
      </c>
      <c r="CR2207" s="1" t="s">
        <v>343</v>
      </c>
      <c r="CS2207" s="1" t="s">
        <v>379</v>
      </c>
      <c r="CT2207" s="1" t="s">
        <v>277</v>
      </c>
      <c r="CU2207" s="1" t="s">
        <v>220</v>
      </c>
      <c r="CV2207" s="1" t="s">
        <v>343</v>
      </c>
      <c r="CW2207" s="1" t="s">
        <v>5899</v>
      </c>
      <c r="CX2207" s="1" t="s">
        <v>43</v>
      </c>
      <c r="CY2207" s="1" t="s">
        <v>220</v>
      </c>
      <c r="DB2207" s="1" t="s">
        <v>224</v>
      </c>
      <c r="DE2207" s="1" t="s">
        <v>1297</v>
      </c>
      <c r="DF2207" s="1" t="s">
        <v>219</v>
      </c>
      <c r="DG2207" s="1" t="s">
        <v>438</v>
      </c>
      <c r="DJ2207" s="1" t="s">
        <v>224</v>
      </c>
      <c r="DM2207" s="1" t="s">
        <v>464</v>
      </c>
      <c r="DR2207" s="1" t="s">
        <v>281</v>
      </c>
      <c r="DS2207" s="1" t="s">
        <v>277</v>
      </c>
      <c r="DT2207" s="1" t="s">
        <v>220</v>
      </c>
      <c r="DU2207" s="1" t="s">
        <v>343</v>
      </c>
      <c r="DW2207" s="1" t="s">
        <v>230</v>
      </c>
      <c r="EA2207" s="1" t="s">
        <v>230</v>
      </c>
      <c r="EE2207" s="1" t="s">
        <v>230</v>
      </c>
      <c r="EI2207" s="1" t="s">
        <v>230</v>
      </c>
      <c r="EL2207" s="1" t="s">
        <v>670</v>
      </c>
      <c r="EM2207" s="1" t="s">
        <v>232</v>
      </c>
      <c r="EN2207" s="1" t="s">
        <v>282</v>
      </c>
      <c r="EO2207" s="1" t="s">
        <v>234</v>
      </c>
      <c r="EP2207" s="1" t="s">
        <v>650</v>
      </c>
      <c r="EQ2207" s="1" t="s">
        <v>236</v>
      </c>
      <c r="ER2207" s="1" t="s">
        <v>544</v>
      </c>
      <c r="ES2207" s="1" t="s">
        <v>608</v>
      </c>
      <c r="EV2207" s="1" t="s">
        <v>240</v>
      </c>
      <c r="EW2207" s="1" t="s">
        <v>867</v>
      </c>
      <c r="EY2207" s="1" t="s">
        <v>242</v>
      </c>
      <c r="EZ2207" s="1" t="s">
        <v>464</v>
      </c>
      <c r="FB2207" s="1" t="s">
        <v>289</v>
      </c>
      <c r="FC2207" s="1" t="s">
        <v>633</v>
      </c>
      <c r="FD2207" s="1" t="s">
        <v>246</v>
      </c>
      <c r="FE2207" s="1" t="s">
        <v>870</v>
      </c>
      <c r="FF2207" s="1" t="s">
        <v>248</v>
      </c>
      <c r="FH2207" s="1" t="s">
        <v>550</v>
      </c>
      <c r="FI2207" s="1" t="s">
        <v>357</v>
      </c>
      <c r="FJ2207" s="1" t="s">
        <v>197</v>
      </c>
      <c r="FL2207" s="1" t="s">
        <v>358</v>
      </c>
      <c r="FM2207" s="1" t="s">
        <v>252</v>
      </c>
      <c r="FN2207" s="1" t="s">
        <v>213</v>
      </c>
      <c r="FO2207" s="1" t="s">
        <v>213</v>
      </c>
      <c r="FQ2207" s="1" t="s">
        <v>19636</v>
      </c>
      <c r="FR2207" s="1" t="s">
        <v>360</v>
      </c>
      <c r="FS2207" s="1" t="s">
        <v>19637</v>
      </c>
      <c r="FT2207" s="1" t="s">
        <v>362</v>
      </c>
      <c r="FU2207" s="1" t="s">
        <v>204</v>
      </c>
      <c r="FW2207" s="1" t="s">
        <v>2144</v>
      </c>
      <c r="FX2207" s="1">
        <v>23163</v>
      </c>
      <c r="FY2207" s="1" t="s">
        <v>2145</v>
      </c>
      <c r="FZ2207" s="1" t="s">
        <v>2146</v>
      </c>
      <c r="GA2207" s="1">
        <v>254277</v>
      </c>
      <c r="GB2207" s="1" t="s">
        <v>2147</v>
      </c>
      <c r="GC2207" s="1">
        <v>215425</v>
      </c>
      <c r="GD2207" s="1" t="s">
        <v>2148</v>
      </c>
      <c r="GE2207" s="1" t="s">
        <v>1764</v>
      </c>
      <c r="GI2207" s="1" t="s">
        <v>213</v>
      </c>
      <c r="GJ2207" s="1" t="s">
        <v>260</v>
      </c>
      <c r="GK2207" s="1" t="s">
        <v>210</v>
      </c>
      <c r="GL2207" s="2">
        <v>42058</v>
      </c>
      <c r="GM2207" s="1" t="s">
        <v>19638</v>
      </c>
    </row>
    <row r="2208" spans="1:195">
      <c r="A2208" s="1">
        <v>111069</v>
      </c>
      <c r="B2208" s="1" t="s">
        <v>195</v>
      </c>
      <c r="C2208" s="1" t="str">
        <f>"08749778"</f>
        <v>08749778</v>
      </c>
      <c r="D2208" s="1" t="s">
        <v>196</v>
      </c>
      <c r="F2208" s="1" t="str">
        <f>"139"</f>
        <v>139</v>
      </c>
      <c r="G2208" s="2">
        <v>41922</v>
      </c>
      <c r="H2208" s="1">
        <v>132500</v>
      </c>
      <c r="I2208" s="1">
        <v>114000</v>
      </c>
      <c r="J2208" s="1">
        <v>111069</v>
      </c>
      <c r="K2208" s="2">
        <v>41922</v>
      </c>
      <c r="L2208" s="1">
        <v>174</v>
      </c>
      <c r="M2208" s="2">
        <v>42095</v>
      </c>
      <c r="N2208" s="1">
        <v>174</v>
      </c>
      <c r="O2208" s="2">
        <v>42095</v>
      </c>
      <c r="P2208" s="1">
        <v>24007</v>
      </c>
      <c r="Q2208" s="1" t="s">
        <v>302</v>
      </c>
      <c r="R2208" s="2">
        <v>42143</v>
      </c>
      <c r="S2208" s="1">
        <v>228463</v>
      </c>
      <c r="U2208" s="1">
        <v>172</v>
      </c>
      <c r="V2208" s="1" t="s">
        <v>6460</v>
      </c>
      <c r="W2208" s="1" t="s">
        <v>264</v>
      </c>
      <c r="Y2208" s="1">
        <v>5</v>
      </c>
      <c r="Z2208" s="1" t="s">
        <v>370</v>
      </c>
      <c r="AA2208" s="1" t="s">
        <v>1732</v>
      </c>
      <c r="AB2208" s="1">
        <v>60139</v>
      </c>
      <c r="AE2208" s="1" t="s">
        <v>19639</v>
      </c>
      <c r="AF2208" s="1">
        <v>1989</v>
      </c>
      <c r="AG2208" s="1" t="s">
        <v>204</v>
      </c>
      <c r="AH2208" s="1" t="s">
        <v>1735</v>
      </c>
      <c r="AI2208" s="1" t="s">
        <v>206</v>
      </c>
      <c r="AJ2208" s="1" t="s">
        <v>269</v>
      </c>
      <c r="AK2208" s="1" t="s">
        <v>12647</v>
      </c>
      <c r="AL2208" s="1">
        <v>4</v>
      </c>
      <c r="AM2208" s="1">
        <v>2</v>
      </c>
      <c r="AN2208" s="1">
        <v>2</v>
      </c>
      <c r="AO2208" s="1">
        <v>1</v>
      </c>
      <c r="AP2208" s="1" t="s">
        <v>209</v>
      </c>
      <c r="AQ2208" s="1">
        <v>1</v>
      </c>
      <c r="AR2208" s="1" t="s">
        <v>210</v>
      </c>
      <c r="AT2208" s="1" t="s">
        <v>211</v>
      </c>
      <c r="AU2208" s="1">
        <v>1</v>
      </c>
      <c r="AW2208" s="1" t="s">
        <v>204</v>
      </c>
      <c r="AX2208" s="1" t="s">
        <v>212</v>
      </c>
      <c r="AZ2208" s="1">
        <v>4473</v>
      </c>
      <c r="BA2208" s="1">
        <v>2013</v>
      </c>
      <c r="BE2208" s="1">
        <v>1248</v>
      </c>
      <c r="BF2208" s="1">
        <v>1</v>
      </c>
      <c r="BG2208" s="1">
        <v>0</v>
      </c>
      <c r="BL2208" s="1">
        <v>196</v>
      </c>
      <c r="BM2208" s="1" t="s">
        <v>413</v>
      </c>
      <c r="BN2208" s="1" t="s">
        <v>213</v>
      </c>
      <c r="BO2208" s="1">
        <v>0</v>
      </c>
      <c r="BP2208" s="1" t="s">
        <v>204</v>
      </c>
      <c r="BR2208" s="1" t="str">
        <f>"0233204197"</f>
        <v>0233204197</v>
      </c>
      <c r="BT2208" s="1" t="s">
        <v>3770</v>
      </c>
      <c r="BU2208" s="1" t="s">
        <v>6319</v>
      </c>
      <c r="BV2208" s="1" t="s">
        <v>3645</v>
      </c>
      <c r="BW2208" s="1" t="s">
        <v>2169</v>
      </c>
      <c r="BX2208" s="1">
        <v>16</v>
      </c>
      <c r="BY2208" s="1">
        <v>16</v>
      </c>
      <c r="BZ2208" s="1">
        <v>87</v>
      </c>
      <c r="CB2208" s="1" t="str">
        <f>"2"</f>
        <v>2</v>
      </c>
      <c r="CC2208" s="1" t="str">
        <f>"0"</f>
        <v>0</v>
      </c>
      <c r="CD2208" s="1">
        <v>24</v>
      </c>
      <c r="CE2208" s="1">
        <v>0</v>
      </c>
      <c r="CG2208" s="1" t="s">
        <v>2042</v>
      </c>
      <c r="CH2208" s="1" t="s">
        <v>219</v>
      </c>
      <c r="CI2208" s="1" t="s">
        <v>229</v>
      </c>
      <c r="CK2208" s="1" t="s">
        <v>757</v>
      </c>
      <c r="CL2208" s="1" t="s">
        <v>277</v>
      </c>
      <c r="CM2208" s="1" t="s">
        <v>220</v>
      </c>
      <c r="CP2208" s="1" t="s">
        <v>224</v>
      </c>
      <c r="CS2208" s="1" t="s">
        <v>465</v>
      </c>
      <c r="CT2208" s="1" t="s">
        <v>277</v>
      </c>
      <c r="CU2208" s="1" t="s">
        <v>220</v>
      </c>
      <c r="CX2208" s="1" t="s">
        <v>224</v>
      </c>
      <c r="DB2208" s="1" t="s">
        <v>224</v>
      </c>
      <c r="DE2208" s="1" t="s">
        <v>973</v>
      </c>
      <c r="DF2208" s="1" t="s">
        <v>219</v>
      </c>
      <c r="DG2208" s="1" t="s">
        <v>229</v>
      </c>
      <c r="DJ2208" s="1" t="s">
        <v>224</v>
      </c>
      <c r="DS2208" s="1" t="s">
        <v>230</v>
      </c>
      <c r="DW2208" s="1" t="s">
        <v>230</v>
      </c>
      <c r="EA2208" s="1" t="s">
        <v>230</v>
      </c>
      <c r="EE2208" s="1" t="s">
        <v>230</v>
      </c>
      <c r="EI2208" s="1" t="s">
        <v>230</v>
      </c>
      <c r="EL2208" s="1" t="s">
        <v>382</v>
      </c>
      <c r="EM2208" s="1" t="s">
        <v>319</v>
      </c>
      <c r="EN2208" s="1" t="s">
        <v>282</v>
      </c>
      <c r="EO2208" s="1" t="s">
        <v>234</v>
      </c>
      <c r="ER2208" s="1" t="s">
        <v>210</v>
      </c>
      <c r="ES2208" s="1" t="s">
        <v>322</v>
      </c>
      <c r="EW2208" s="1" t="s">
        <v>1679</v>
      </c>
      <c r="EZ2208" s="1" t="s">
        <v>287</v>
      </c>
      <c r="FD2208" s="1" t="s">
        <v>246</v>
      </c>
      <c r="FE2208" s="1" t="s">
        <v>247</v>
      </c>
      <c r="FF2208" s="1" t="s">
        <v>248</v>
      </c>
      <c r="FG2208" s="1" t="s">
        <v>2406</v>
      </c>
      <c r="FH2208" s="1" t="s">
        <v>550</v>
      </c>
      <c r="FI2208" s="1" t="s">
        <v>357</v>
      </c>
      <c r="FJ2208" s="1" t="s">
        <v>1472</v>
      </c>
      <c r="FL2208" s="1" t="s">
        <v>358</v>
      </c>
      <c r="FM2208" s="1" t="s">
        <v>252</v>
      </c>
      <c r="FN2208" s="1" t="s">
        <v>213</v>
      </c>
      <c r="FO2208" s="1" t="s">
        <v>213</v>
      </c>
      <c r="FQ2208" s="1" t="s">
        <v>582</v>
      </c>
      <c r="FR2208" s="1" t="s">
        <v>210</v>
      </c>
      <c r="FS2208" s="1" t="s">
        <v>3772</v>
      </c>
      <c r="FT2208" s="1" t="s">
        <v>3773</v>
      </c>
      <c r="FU2208" s="1" t="s">
        <v>204</v>
      </c>
      <c r="FW2208" s="1" t="s">
        <v>3774</v>
      </c>
      <c r="FX2208" s="1">
        <v>1984</v>
      </c>
      <c r="FY2208" s="1" t="s">
        <v>3775</v>
      </c>
      <c r="FZ2208" s="1" t="s">
        <v>3776</v>
      </c>
      <c r="GA2208" s="1">
        <v>922950</v>
      </c>
      <c r="GE2208" s="1" t="s">
        <v>210</v>
      </c>
      <c r="GI2208" s="1" t="s">
        <v>204</v>
      </c>
      <c r="GJ2208" s="1" t="s">
        <v>260</v>
      </c>
      <c r="GK2208" s="1" t="s">
        <v>210</v>
      </c>
      <c r="GL2208" s="2">
        <v>42144</v>
      </c>
      <c r="GM2208" s="1" t="s">
        <v>3777</v>
      </c>
    </row>
    <row r="2209" spans="1:195">
      <c r="A2209" s="1">
        <v>235000</v>
      </c>
      <c r="B2209" s="1" t="s">
        <v>195</v>
      </c>
      <c r="C2209" s="1" t="str">
        <f>"08756600"</f>
        <v>08756600</v>
      </c>
      <c r="D2209" s="1" t="s">
        <v>196</v>
      </c>
      <c r="F2209" s="1" t="str">
        <f>"515"</f>
        <v>515</v>
      </c>
      <c r="G2209" s="2">
        <v>41931</v>
      </c>
      <c r="H2209" s="1">
        <v>249900</v>
      </c>
      <c r="I2209" s="1">
        <v>249900</v>
      </c>
      <c r="J2209" s="1">
        <v>235000</v>
      </c>
      <c r="K2209" s="2">
        <v>41931</v>
      </c>
      <c r="L2209" s="1">
        <v>54</v>
      </c>
      <c r="M2209" s="2">
        <v>41984</v>
      </c>
      <c r="N2209" s="1">
        <v>54</v>
      </c>
      <c r="O2209" s="2">
        <v>41984</v>
      </c>
      <c r="P2209" s="1">
        <v>24695</v>
      </c>
      <c r="Q2209" s="1" t="s">
        <v>197</v>
      </c>
      <c r="R2209" s="2">
        <v>42047</v>
      </c>
      <c r="S2209" s="1">
        <v>234503</v>
      </c>
      <c r="U2209" s="1">
        <v>1036</v>
      </c>
      <c r="V2209" s="1" t="s">
        <v>12939</v>
      </c>
      <c r="W2209" s="1" t="s">
        <v>264</v>
      </c>
      <c r="Y2209" s="1">
        <v>4</v>
      </c>
      <c r="Z2209" s="1" t="s">
        <v>370</v>
      </c>
      <c r="AA2209" s="1" t="s">
        <v>1294</v>
      </c>
      <c r="AB2209" s="1">
        <v>60516</v>
      </c>
      <c r="AD2209" s="1" t="s">
        <v>19640</v>
      </c>
      <c r="AE2209" s="1" t="s">
        <v>19641</v>
      </c>
      <c r="AF2209" s="1">
        <v>1993</v>
      </c>
      <c r="AG2209" s="1" t="s">
        <v>204</v>
      </c>
      <c r="AH2209" s="1" t="s">
        <v>903</v>
      </c>
      <c r="AI2209" s="1" t="s">
        <v>206</v>
      </c>
      <c r="AJ2209" s="1" t="s">
        <v>903</v>
      </c>
      <c r="AK2209" s="1" t="s">
        <v>19642</v>
      </c>
      <c r="AL2209" s="1">
        <v>6</v>
      </c>
      <c r="AM2209" s="1">
        <v>2</v>
      </c>
      <c r="AN2209" s="1">
        <v>1</v>
      </c>
      <c r="AO2209" s="1">
        <v>1</v>
      </c>
      <c r="AP2209" s="1" t="s">
        <v>210</v>
      </c>
      <c r="AR2209" s="1" t="s">
        <v>209</v>
      </c>
      <c r="AS2209" s="1" t="s">
        <v>204</v>
      </c>
      <c r="AT2209" s="1" t="s">
        <v>211</v>
      </c>
      <c r="AU2209" s="1">
        <v>2</v>
      </c>
      <c r="AW2209" s="1" t="s">
        <v>204</v>
      </c>
      <c r="AX2209" s="1" t="s">
        <v>19643</v>
      </c>
      <c r="AZ2209" s="4">
        <v>4486.78</v>
      </c>
      <c r="BA2209" s="1">
        <v>2013</v>
      </c>
      <c r="BB2209" s="1" t="s">
        <v>405</v>
      </c>
      <c r="BE2209" s="1">
        <v>1800</v>
      </c>
      <c r="BF2209" s="1">
        <v>1</v>
      </c>
      <c r="BG2209" s="1">
        <v>0</v>
      </c>
      <c r="BL2209" s="1">
        <v>140</v>
      </c>
      <c r="BM2209" s="1" t="s">
        <v>204</v>
      </c>
      <c r="BN2209" s="1" t="s">
        <v>213</v>
      </c>
      <c r="BO2209" s="1">
        <v>999</v>
      </c>
      <c r="BP2209" s="1" t="s">
        <v>204</v>
      </c>
      <c r="BR2209" s="1" t="str">
        <f>"0929114014"</f>
        <v>0929114014</v>
      </c>
      <c r="BT2209" s="1" t="s">
        <v>19644</v>
      </c>
      <c r="BU2209" s="1" t="s">
        <v>1892</v>
      </c>
      <c r="BV2209" s="1" t="s">
        <v>4258</v>
      </c>
      <c r="BW2209" s="1" t="s">
        <v>3099</v>
      </c>
      <c r="BX2209" s="1">
        <v>58</v>
      </c>
      <c r="BY2209" s="1">
        <v>58</v>
      </c>
      <c r="BZ2209" s="1">
        <v>99</v>
      </c>
      <c r="CB2209" s="1" t="str">
        <f t="shared" ref="CB2209:CC2209" si="1690">"0"</f>
        <v>0</v>
      </c>
      <c r="CC2209" s="1" t="str">
        <f t="shared" si="1690"/>
        <v>0</v>
      </c>
      <c r="CD2209" s="1">
        <v>20</v>
      </c>
      <c r="CE2209" s="1">
        <v>7</v>
      </c>
      <c r="CG2209" s="1" t="s">
        <v>3913</v>
      </c>
      <c r="CH2209" s="1" t="s">
        <v>219</v>
      </c>
      <c r="CI2209" s="1" t="s">
        <v>220</v>
      </c>
      <c r="CJ2209" s="1" t="s">
        <v>463</v>
      </c>
      <c r="CK2209" s="1" t="s">
        <v>228</v>
      </c>
      <c r="CL2209" s="1" t="s">
        <v>277</v>
      </c>
      <c r="CM2209" s="1" t="s">
        <v>220</v>
      </c>
      <c r="CN2209" s="1" t="s">
        <v>463</v>
      </c>
      <c r="CO2209" s="1" t="s">
        <v>539</v>
      </c>
      <c r="CP2209" s="1" t="s">
        <v>219</v>
      </c>
      <c r="CQ2209" s="1" t="s">
        <v>220</v>
      </c>
      <c r="CR2209" s="1" t="s">
        <v>463</v>
      </c>
      <c r="CS2209" s="1" t="s">
        <v>2935</v>
      </c>
      <c r="CT2209" s="1" t="s">
        <v>277</v>
      </c>
      <c r="CU2209" s="1" t="s">
        <v>220</v>
      </c>
      <c r="CV2209" s="1" t="s">
        <v>463</v>
      </c>
      <c r="CX2209" s="1" t="s">
        <v>224</v>
      </c>
      <c r="DB2209" s="1" t="s">
        <v>224</v>
      </c>
      <c r="DE2209" s="1" t="s">
        <v>539</v>
      </c>
      <c r="DF2209" s="1" t="s">
        <v>219</v>
      </c>
      <c r="DG2209" s="1" t="s">
        <v>226</v>
      </c>
      <c r="DJ2209" s="1" t="s">
        <v>224</v>
      </c>
      <c r="DM2209" s="1" t="s">
        <v>464</v>
      </c>
      <c r="DR2209" s="1" t="s">
        <v>280</v>
      </c>
      <c r="DS2209" s="1" t="s">
        <v>277</v>
      </c>
      <c r="DT2209" s="1" t="s">
        <v>220</v>
      </c>
      <c r="DU2209" s="1" t="s">
        <v>463</v>
      </c>
      <c r="DW2209" s="1" t="s">
        <v>230</v>
      </c>
      <c r="EA2209" s="1" t="s">
        <v>230</v>
      </c>
      <c r="EE2209" s="1" t="s">
        <v>230</v>
      </c>
      <c r="EI2209" s="1" t="s">
        <v>230</v>
      </c>
      <c r="EL2209" s="1" t="s">
        <v>382</v>
      </c>
      <c r="EM2209" s="1" t="s">
        <v>232</v>
      </c>
      <c r="EN2209" s="1" t="s">
        <v>282</v>
      </c>
      <c r="EO2209" s="1" t="s">
        <v>234</v>
      </c>
      <c r="EP2209" s="1" t="s">
        <v>210</v>
      </c>
      <c r="EQ2209" s="1" t="s">
        <v>492</v>
      </c>
      <c r="ER2209" s="1" t="s">
        <v>1249</v>
      </c>
      <c r="ES2209" s="1" t="s">
        <v>493</v>
      </c>
      <c r="ET2209" s="1" t="s">
        <v>1201</v>
      </c>
      <c r="EV2209" s="1" t="s">
        <v>352</v>
      </c>
      <c r="EW2209" s="1" t="s">
        <v>867</v>
      </c>
      <c r="EY2209" s="1" t="s">
        <v>242</v>
      </c>
      <c r="EZ2209" s="1" t="s">
        <v>464</v>
      </c>
      <c r="FA2209" s="1" t="s">
        <v>19645</v>
      </c>
      <c r="FB2209" s="1" t="s">
        <v>2888</v>
      </c>
      <c r="FC2209" s="1" t="s">
        <v>1386</v>
      </c>
      <c r="FD2209" s="1" t="s">
        <v>246</v>
      </c>
      <c r="FE2209" s="1" t="s">
        <v>975</v>
      </c>
      <c r="FF2209" s="1" t="s">
        <v>248</v>
      </c>
      <c r="FH2209" s="1" t="s">
        <v>550</v>
      </c>
      <c r="FI2209" s="1" t="s">
        <v>3300</v>
      </c>
      <c r="FL2209" s="1" t="s">
        <v>358</v>
      </c>
      <c r="FM2209" s="1" t="s">
        <v>252</v>
      </c>
      <c r="FN2209" s="1" t="s">
        <v>213</v>
      </c>
      <c r="FO2209" s="1" t="s">
        <v>213</v>
      </c>
      <c r="FQ2209" s="1" t="s">
        <v>19646</v>
      </c>
      <c r="FR2209" s="1" t="s">
        <v>210</v>
      </c>
      <c r="FS2209" s="1" t="s">
        <v>19647</v>
      </c>
      <c r="FT2209" s="1" t="s">
        <v>362</v>
      </c>
      <c r="FU2209" s="1" t="s">
        <v>204</v>
      </c>
      <c r="FW2209" s="1" t="s">
        <v>1961</v>
      </c>
      <c r="FX2209" s="1">
        <v>20150</v>
      </c>
      <c r="FY2209" s="1" t="s">
        <v>1962</v>
      </c>
      <c r="FZ2209" s="1" t="s">
        <v>3979</v>
      </c>
      <c r="GA2209" s="1">
        <v>212118</v>
      </c>
      <c r="GB2209" s="1" t="s">
        <v>3980</v>
      </c>
      <c r="GD2209" s="1" t="s">
        <v>3981</v>
      </c>
      <c r="GE2209" s="1" t="s">
        <v>480</v>
      </c>
      <c r="GI2209" s="1" t="s">
        <v>213</v>
      </c>
      <c r="GJ2209" s="1" t="s">
        <v>260</v>
      </c>
      <c r="GK2209" s="1" t="s">
        <v>261</v>
      </c>
      <c r="GL2209" s="2">
        <v>42047</v>
      </c>
      <c r="GM2209" s="1" t="s">
        <v>19648</v>
      </c>
    </row>
    <row r="2210" spans="1:195">
      <c r="A2210" s="1">
        <v>96000</v>
      </c>
      <c r="B2210" s="1" t="s">
        <v>195</v>
      </c>
      <c r="C2210" s="1" t="str">
        <f>"08755983"</f>
        <v>08755983</v>
      </c>
      <c r="D2210" s="1" t="s">
        <v>196</v>
      </c>
      <c r="F2210" s="1" t="str">
        <f>"507"</f>
        <v>507</v>
      </c>
      <c r="G2210" s="2">
        <v>41929</v>
      </c>
      <c r="H2210" s="1">
        <v>104900</v>
      </c>
      <c r="I2210" s="1">
        <v>104900</v>
      </c>
      <c r="J2210" s="1">
        <v>96000</v>
      </c>
      <c r="K2210" s="2">
        <v>41929</v>
      </c>
      <c r="L2210" s="1">
        <v>23</v>
      </c>
      <c r="M2210" s="2">
        <v>41951</v>
      </c>
      <c r="N2210" s="1">
        <v>23</v>
      </c>
      <c r="O2210" s="2">
        <v>41951</v>
      </c>
      <c r="P2210" s="1">
        <v>23922</v>
      </c>
      <c r="Q2210" s="1" t="s">
        <v>197</v>
      </c>
      <c r="R2210" s="2">
        <v>41978</v>
      </c>
      <c r="S2210" s="1">
        <v>241159</v>
      </c>
      <c r="U2210" s="1">
        <v>2681</v>
      </c>
      <c r="V2210" s="1" t="s">
        <v>878</v>
      </c>
      <c r="W2210" s="1" t="s">
        <v>304</v>
      </c>
      <c r="Y2210" s="1">
        <v>4</v>
      </c>
      <c r="Z2210" s="1" t="s">
        <v>200</v>
      </c>
      <c r="AA2210" s="1" t="s">
        <v>1123</v>
      </c>
      <c r="AB2210" s="1">
        <v>60502</v>
      </c>
      <c r="AD2210" s="1" t="s">
        <v>19649</v>
      </c>
      <c r="AE2210" s="1" t="s">
        <v>19650</v>
      </c>
      <c r="AF2210" s="1">
        <v>1988</v>
      </c>
      <c r="AG2210" s="1" t="s">
        <v>204</v>
      </c>
      <c r="AH2210" s="1" t="s">
        <v>1126</v>
      </c>
      <c r="AI2210" s="1" t="s">
        <v>206</v>
      </c>
      <c r="AJ2210" s="1" t="s">
        <v>924</v>
      </c>
      <c r="AL2210" s="1">
        <v>4</v>
      </c>
      <c r="AM2210" s="1">
        <v>2</v>
      </c>
      <c r="AN2210" s="1">
        <v>1</v>
      </c>
      <c r="AO2210" s="1">
        <v>0</v>
      </c>
      <c r="AP2210" s="1" t="s">
        <v>210</v>
      </c>
      <c r="AR2210" s="1" t="s">
        <v>210</v>
      </c>
      <c r="AS2210" s="1" t="s">
        <v>204</v>
      </c>
      <c r="AT2210" s="1" t="s">
        <v>211</v>
      </c>
      <c r="AU2210" s="1">
        <v>1</v>
      </c>
      <c r="AW2210" s="1" t="s">
        <v>204</v>
      </c>
      <c r="AX2210" s="1" t="s">
        <v>19651</v>
      </c>
      <c r="AZ2210" s="1">
        <v>1633</v>
      </c>
      <c r="BA2210" s="1">
        <v>2013</v>
      </c>
      <c r="BB2210" s="1" t="s">
        <v>405</v>
      </c>
      <c r="BE2210" s="1">
        <v>832</v>
      </c>
      <c r="BF2210" s="1">
        <v>1</v>
      </c>
      <c r="BG2210" s="1">
        <v>0</v>
      </c>
      <c r="BL2210" s="1">
        <v>250</v>
      </c>
      <c r="BM2210" s="1" t="s">
        <v>413</v>
      </c>
      <c r="BN2210" s="1" t="s">
        <v>213</v>
      </c>
      <c r="BO2210" s="1">
        <v>999</v>
      </c>
      <c r="BP2210" s="1" t="s">
        <v>204</v>
      </c>
      <c r="BR2210" s="1" t="str">
        <f>"0706209083"</f>
        <v>0706209083</v>
      </c>
      <c r="BT2210" s="1" t="s">
        <v>19652</v>
      </c>
      <c r="BX2210" s="1">
        <v>204</v>
      </c>
      <c r="BY2210" s="1">
        <v>204</v>
      </c>
      <c r="BZ2210" s="1">
        <v>204</v>
      </c>
      <c r="CB2210" s="1" t="str">
        <f t="shared" ref="CB2210:CC2210" si="1691">""</f>
        <v/>
      </c>
      <c r="CC2210" s="1" t="str">
        <f t="shared" si="1691"/>
        <v/>
      </c>
      <c r="CD2210" s="1">
        <v>32</v>
      </c>
      <c r="CE2210" s="1">
        <v>4</v>
      </c>
      <c r="CG2210" s="1" t="s">
        <v>344</v>
      </c>
      <c r="CH2210" s="1" t="s">
        <v>219</v>
      </c>
      <c r="CI2210" s="1" t="s">
        <v>220</v>
      </c>
      <c r="CJ2210" s="1" t="s">
        <v>343</v>
      </c>
      <c r="CK2210" s="1" t="s">
        <v>223</v>
      </c>
      <c r="CL2210" s="1" t="s">
        <v>277</v>
      </c>
      <c r="CM2210" s="1" t="s">
        <v>220</v>
      </c>
      <c r="CN2210" s="1" t="s">
        <v>343</v>
      </c>
      <c r="CP2210" s="1" t="s">
        <v>224</v>
      </c>
      <c r="CS2210" s="1" t="s">
        <v>837</v>
      </c>
      <c r="CT2210" s="1" t="s">
        <v>277</v>
      </c>
      <c r="CU2210" s="1" t="s">
        <v>220</v>
      </c>
      <c r="CV2210" s="1" t="s">
        <v>343</v>
      </c>
      <c r="CX2210" s="1" t="s">
        <v>224</v>
      </c>
      <c r="DB2210" s="1" t="s">
        <v>224</v>
      </c>
      <c r="DE2210" s="1" t="s">
        <v>223</v>
      </c>
      <c r="DF2210" s="1" t="s">
        <v>219</v>
      </c>
      <c r="DG2210" s="1" t="s">
        <v>226</v>
      </c>
      <c r="DH2210" s="1" t="s">
        <v>343</v>
      </c>
      <c r="DJ2210" s="1" t="s">
        <v>224</v>
      </c>
      <c r="DS2210" s="1" t="s">
        <v>230</v>
      </c>
      <c r="DW2210" s="1" t="s">
        <v>230</v>
      </c>
      <c r="EA2210" s="1" t="s">
        <v>230</v>
      </c>
      <c r="EE2210" s="1" t="s">
        <v>230</v>
      </c>
      <c r="EI2210" s="1" t="s">
        <v>230</v>
      </c>
      <c r="EL2210" s="1" t="s">
        <v>542</v>
      </c>
      <c r="EM2210" s="1" t="s">
        <v>319</v>
      </c>
      <c r="EN2210" s="1" t="s">
        <v>282</v>
      </c>
      <c r="EO2210" s="1" t="s">
        <v>234</v>
      </c>
      <c r="ER2210" s="1" t="s">
        <v>383</v>
      </c>
      <c r="EW2210" s="1" t="s">
        <v>353</v>
      </c>
      <c r="EZ2210" s="1" t="s">
        <v>287</v>
      </c>
      <c r="FD2210" s="1" t="s">
        <v>246</v>
      </c>
      <c r="FE2210" s="1" t="s">
        <v>870</v>
      </c>
      <c r="FF2210" s="1" t="s">
        <v>248</v>
      </c>
      <c r="FH2210" s="1" t="s">
        <v>550</v>
      </c>
      <c r="FI2210" s="1" t="s">
        <v>473</v>
      </c>
      <c r="FL2210" s="1" t="s">
        <v>414</v>
      </c>
      <c r="FM2210" s="1" t="s">
        <v>252</v>
      </c>
      <c r="FN2210" s="1" t="s">
        <v>213</v>
      </c>
      <c r="FO2210" s="1" t="s">
        <v>213</v>
      </c>
      <c r="FQ2210" s="1" t="s">
        <v>19653</v>
      </c>
      <c r="FR2210" s="1" t="s">
        <v>210</v>
      </c>
      <c r="FS2210" s="1" t="s">
        <v>19654</v>
      </c>
      <c r="FT2210" s="1" t="s">
        <v>1182</v>
      </c>
      <c r="FU2210" s="1" t="s">
        <v>204</v>
      </c>
      <c r="FW2210" s="1" t="s">
        <v>13637</v>
      </c>
      <c r="FX2210" s="1">
        <v>31380</v>
      </c>
      <c r="FY2210" s="1" t="s">
        <v>13638</v>
      </c>
      <c r="FZ2210" s="1" t="s">
        <v>19655</v>
      </c>
      <c r="GA2210" s="1">
        <v>313802</v>
      </c>
      <c r="GB2210" s="1" t="s">
        <v>19656</v>
      </c>
      <c r="GE2210" s="1" t="s">
        <v>480</v>
      </c>
      <c r="GI2210" s="1" t="s">
        <v>213</v>
      </c>
      <c r="GJ2210" s="1" t="s">
        <v>260</v>
      </c>
      <c r="GK2210" s="1" t="s">
        <v>261</v>
      </c>
      <c r="GL2210" s="2">
        <v>41978</v>
      </c>
    </row>
    <row r="2211" spans="1:195">
      <c r="A2211" s="1">
        <v>127000</v>
      </c>
      <c r="B2211" s="1" t="s">
        <v>195</v>
      </c>
      <c r="C2211" s="1" t="str">
        <f>"08757037"</f>
        <v>08757037</v>
      </c>
      <c r="D2211" s="1" t="s">
        <v>196</v>
      </c>
      <c r="F2211" s="1" t="str">
        <f>"540"</f>
        <v>540</v>
      </c>
      <c r="G2211" s="2">
        <v>41932</v>
      </c>
      <c r="H2211" s="1">
        <v>145000</v>
      </c>
      <c r="I2211" s="1">
        <v>145000</v>
      </c>
      <c r="J2211" s="1">
        <v>127000</v>
      </c>
      <c r="K2211" s="2">
        <v>41932</v>
      </c>
      <c r="L2211" s="1">
        <v>27</v>
      </c>
      <c r="M2211" s="2">
        <v>41958</v>
      </c>
      <c r="N2211" s="1">
        <v>27</v>
      </c>
      <c r="O2211" s="2">
        <v>41958</v>
      </c>
      <c r="P2211" s="1">
        <v>25279</v>
      </c>
      <c r="Q2211" s="1" t="s">
        <v>197</v>
      </c>
      <c r="R2211" s="2">
        <v>41995</v>
      </c>
      <c r="S2211" s="1">
        <v>253873</v>
      </c>
      <c r="U2211" s="1">
        <v>463</v>
      </c>
      <c r="V2211" s="1" t="s">
        <v>19657</v>
      </c>
      <c r="W2211" s="1" t="s">
        <v>264</v>
      </c>
      <c r="X2211" s="1">
        <v>104</v>
      </c>
      <c r="Y2211" s="1">
        <v>6</v>
      </c>
      <c r="Z2211" s="1" t="s">
        <v>249</v>
      </c>
      <c r="AA2211" s="1" t="s">
        <v>921</v>
      </c>
      <c r="AB2211" s="1">
        <v>60563</v>
      </c>
      <c r="AE2211" s="1" t="s">
        <v>19658</v>
      </c>
      <c r="AF2211" s="1">
        <v>1992</v>
      </c>
      <c r="AG2211" s="1" t="s">
        <v>204</v>
      </c>
      <c r="AH2211" s="1" t="s">
        <v>924</v>
      </c>
      <c r="AI2211" s="1" t="s">
        <v>206</v>
      </c>
      <c r="AJ2211" s="1" t="s">
        <v>924</v>
      </c>
      <c r="AL2211" s="1">
        <v>5</v>
      </c>
      <c r="AM2211" s="1">
        <v>2</v>
      </c>
      <c r="AN2211" s="1">
        <v>2</v>
      </c>
      <c r="AO2211" s="1">
        <v>0</v>
      </c>
      <c r="AP2211" s="1" t="s">
        <v>209</v>
      </c>
      <c r="AQ2211" s="1">
        <v>0</v>
      </c>
      <c r="AR2211" s="1" t="s">
        <v>210</v>
      </c>
      <c r="AT2211" s="1" t="s">
        <v>375</v>
      </c>
      <c r="AU2211" s="1">
        <v>1</v>
      </c>
      <c r="AV2211" s="1">
        <v>1</v>
      </c>
      <c r="AW2211" s="1" t="s">
        <v>204</v>
      </c>
      <c r="AX2211" s="1" t="s">
        <v>212</v>
      </c>
      <c r="AZ2211" s="1">
        <v>2542</v>
      </c>
      <c r="BA2211" s="1">
        <v>2013</v>
      </c>
      <c r="BB2211" s="1" t="s">
        <v>405</v>
      </c>
      <c r="BE2211" s="1">
        <v>1213</v>
      </c>
      <c r="BF2211" s="1">
        <v>1</v>
      </c>
      <c r="BG2211" s="1">
        <v>30</v>
      </c>
      <c r="BL2211" s="1">
        <v>155</v>
      </c>
      <c r="BM2211" s="1" t="s">
        <v>204</v>
      </c>
      <c r="BN2211" s="1" t="s">
        <v>213</v>
      </c>
      <c r="BO2211" s="1">
        <v>16</v>
      </c>
      <c r="BP2211" s="1" t="s">
        <v>204</v>
      </c>
      <c r="BR2211" s="1" t="str">
        <f>"0714229004"</f>
        <v>0714229004</v>
      </c>
      <c r="BT2211" s="1" t="s">
        <v>19659</v>
      </c>
      <c r="BU2211" s="1" t="s">
        <v>2823</v>
      </c>
      <c r="BV2211" s="1" t="s">
        <v>2824</v>
      </c>
      <c r="BW2211" s="1" t="s">
        <v>2825</v>
      </c>
      <c r="BX2211" s="1">
        <v>203</v>
      </c>
      <c r="BY2211" s="1">
        <v>203</v>
      </c>
      <c r="BZ2211" s="1">
        <v>203</v>
      </c>
      <c r="CB2211" s="1" t="str">
        <f t="shared" ref="CB2211:CC2211" si="1692">""</f>
        <v/>
      </c>
      <c r="CC2211" s="1" t="str">
        <f t="shared" si="1692"/>
        <v/>
      </c>
      <c r="CG2211" s="1" t="s">
        <v>1936</v>
      </c>
      <c r="CH2211" s="1" t="s">
        <v>219</v>
      </c>
      <c r="CI2211" s="1" t="s">
        <v>229</v>
      </c>
      <c r="CJ2211" s="1" t="s">
        <v>343</v>
      </c>
      <c r="CK2211" s="1" t="s">
        <v>315</v>
      </c>
      <c r="CL2211" s="1" t="s">
        <v>219</v>
      </c>
      <c r="CM2211" s="1" t="s">
        <v>220</v>
      </c>
      <c r="CN2211" s="1" t="s">
        <v>343</v>
      </c>
      <c r="CO2211" s="1" t="s">
        <v>1046</v>
      </c>
      <c r="CP2211" s="1" t="s">
        <v>219</v>
      </c>
      <c r="CQ2211" s="1" t="s">
        <v>229</v>
      </c>
      <c r="CR2211" s="1" t="s">
        <v>343</v>
      </c>
      <c r="CS2211" s="1" t="s">
        <v>378</v>
      </c>
      <c r="CT2211" s="1" t="s">
        <v>219</v>
      </c>
      <c r="CU2211" s="1" t="s">
        <v>220</v>
      </c>
      <c r="CV2211" s="1" t="s">
        <v>343</v>
      </c>
      <c r="CX2211" s="1" t="s">
        <v>224</v>
      </c>
      <c r="DB2211" s="1" t="s">
        <v>224</v>
      </c>
      <c r="DE2211" s="1" t="s">
        <v>316</v>
      </c>
      <c r="DF2211" s="1" t="s">
        <v>219</v>
      </c>
      <c r="DG2211" s="1" t="s">
        <v>229</v>
      </c>
      <c r="DH2211" s="1" t="s">
        <v>343</v>
      </c>
      <c r="DJ2211" s="1" t="s">
        <v>224</v>
      </c>
      <c r="DS2211" s="1" t="s">
        <v>230</v>
      </c>
      <c r="DW2211" s="1" t="s">
        <v>230</v>
      </c>
      <c r="EA2211" s="1" t="s">
        <v>230</v>
      </c>
      <c r="EE2211" s="1" t="s">
        <v>230</v>
      </c>
      <c r="EI2211" s="1" t="s">
        <v>230</v>
      </c>
      <c r="EL2211" s="1" t="s">
        <v>382</v>
      </c>
      <c r="EM2211" s="1" t="s">
        <v>319</v>
      </c>
      <c r="EN2211" s="1" t="s">
        <v>282</v>
      </c>
      <c r="EO2211" s="1" t="s">
        <v>234</v>
      </c>
      <c r="EP2211" s="1" t="s">
        <v>650</v>
      </c>
      <c r="EQ2211" s="1" t="s">
        <v>19660</v>
      </c>
      <c r="ER2211" s="1" t="s">
        <v>210</v>
      </c>
      <c r="EU2211" s="1" t="s">
        <v>1820</v>
      </c>
      <c r="EW2211" s="1" t="s">
        <v>353</v>
      </c>
      <c r="EZ2211" s="1" t="s">
        <v>287</v>
      </c>
      <c r="FA2211" s="1" t="s">
        <v>1270</v>
      </c>
      <c r="FB2211" s="1" t="s">
        <v>734</v>
      </c>
      <c r="FD2211" s="1" t="s">
        <v>290</v>
      </c>
      <c r="FE2211" s="1" t="s">
        <v>247</v>
      </c>
      <c r="FF2211" s="1" t="s">
        <v>248</v>
      </c>
      <c r="FH2211" s="1" t="s">
        <v>249</v>
      </c>
      <c r="FI2211" s="1" t="s">
        <v>473</v>
      </c>
      <c r="FK2211" s="1" t="s">
        <v>2309</v>
      </c>
      <c r="FL2211" s="1" t="s">
        <v>358</v>
      </c>
      <c r="FM2211" s="1" t="s">
        <v>252</v>
      </c>
      <c r="FN2211" s="1" t="s">
        <v>213</v>
      </c>
      <c r="FO2211" s="1" t="s">
        <v>213</v>
      </c>
      <c r="FQ2211" s="1" t="s">
        <v>956</v>
      </c>
      <c r="FR2211" s="1" t="s">
        <v>210</v>
      </c>
      <c r="FS2211" s="1" t="s">
        <v>1575</v>
      </c>
      <c r="FT2211" s="1" t="s">
        <v>19661</v>
      </c>
      <c r="FU2211" s="1" t="s">
        <v>204</v>
      </c>
      <c r="FW2211" s="1" t="s">
        <v>943</v>
      </c>
      <c r="FX2211" s="1">
        <v>23120</v>
      </c>
      <c r="FY2211" s="1" t="s">
        <v>944</v>
      </c>
      <c r="FZ2211" s="1" t="s">
        <v>19662</v>
      </c>
      <c r="GA2211" s="1">
        <v>232940</v>
      </c>
      <c r="GB2211" s="1" t="s">
        <v>19663</v>
      </c>
      <c r="GE2211" s="1" t="s">
        <v>1764</v>
      </c>
      <c r="GI2211" s="1" t="s">
        <v>213</v>
      </c>
      <c r="GJ2211" s="1" t="s">
        <v>260</v>
      </c>
      <c r="GK2211" s="1" t="s">
        <v>210</v>
      </c>
      <c r="GL2211" s="2">
        <v>41996</v>
      </c>
      <c r="GM2211" s="1" t="s">
        <v>19664</v>
      </c>
    </row>
    <row r="2212" spans="1:195">
      <c r="A2212" s="1">
        <v>130000</v>
      </c>
      <c r="B2212" s="1" t="s">
        <v>195</v>
      </c>
      <c r="C2212" s="1" t="str">
        <f>"08753628"</f>
        <v>08753628</v>
      </c>
      <c r="D2212" s="1" t="s">
        <v>196</v>
      </c>
      <c r="F2212" s="1" t="str">
        <f t="shared" ref="F2212:F2213" si="1693">"123"</f>
        <v>123</v>
      </c>
      <c r="G2212" s="2">
        <v>41927</v>
      </c>
      <c r="H2212" s="1">
        <v>139900</v>
      </c>
      <c r="I2212" s="1">
        <v>132900</v>
      </c>
      <c r="J2212" s="1">
        <v>130000</v>
      </c>
      <c r="K2212" s="2">
        <v>41927</v>
      </c>
      <c r="L2212" s="1">
        <v>64</v>
      </c>
      <c r="M2212" s="2">
        <v>41990</v>
      </c>
      <c r="N2212" s="1">
        <v>64</v>
      </c>
      <c r="O2212" s="2">
        <v>41990</v>
      </c>
      <c r="P2212" s="1">
        <v>25003</v>
      </c>
      <c r="Q2212" s="1" t="s">
        <v>197</v>
      </c>
      <c r="R2212" s="2">
        <v>42032</v>
      </c>
      <c r="S2212" s="1">
        <v>240848</v>
      </c>
      <c r="U2212" s="1">
        <v>547</v>
      </c>
      <c r="V2212" s="1" t="s">
        <v>3064</v>
      </c>
      <c r="W2212" s="1" t="s">
        <v>449</v>
      </c>
      <c r="Y2212" s="1">
        <v>4</v>
      </c>
      <c r="Z2212" s="1" t="s">
        <v>249</v>
      </c>
      <c r="AA2212" s="1" t="s">
        <v>1173</v>
      </c>
      <c r="AB2212" s="1">
        <v>60123</v>
      </c>
      <c r="AD2212" s="1" t="s">
        <v>12610</v>
      </c>
      <c r="AE2212" s="1" t="s">
        <v>19665</v>
      </c>
      <c r="AF2212" s="1">
        <v>1995</v>
      </c>
      <c r="AG2212" s="1" t="s">
        <v>204</v>
      </c>
      <c r="AH2212" s="1" t="s">
        <v>1175</v>
      </c>
      <c r="AI2212" s="1" t="s">
        <v>665</v>
      </c>
      <c r="AJ2212" s="1" t="s">
        <v>1175</v>
      </c>
      <c r="AK2212" s="1" t="s">
        <v>4117</v>
      </c>
      <c r="AL2212" s="1">
        <v>7</v>
      </c>
      <c r="AM2212" s="1">
        <v>2</v>
      </c>
      <c r="AN2212" s="1">
        <v>2</v>
      </c>
      <c r="AO2212" s="1">
        <v>1</v>
      </c>
      <c r="AP2212" s="1" t="s">
        <v>209</v>
      </c>
      <c r="AQ2212" s="1">
        <v>1</v>
      </c>
      <c r="AR2212" s="1" t="s">
        <v>209</v>
      </c>
      <c r="AS2212" s="1" t="s">
        <v>204</v>
      </c>
      <c r="AT2212" s="1" t="s">
        <v>211</v>
      </c>
      <c r="AU2212" s="1">
        <v>2</v>
      </c>
      <c r="AW2212" s="1" t="s">
        <v>204</v>
      </c>
      <c r="AX2212" s="1" t="s">
        <v>212</v>
      </c>
      <c r="AZ2212" s="1">
        <v>3812.2</v>
      </c>
      <c r="BA2212" s="1">
        <v>2013</v>
      </c>
      <c r="BE2212" s="1">
        <v>1531</v>
      </c>
      <c r="BF2212" s="1">
        <v>1</v>
      </c>
      <c r="BG2212" s="1">
        <v>0</v>
      </c>
      <c r="BL2212" s="1">
        <v>175</v>
      </c>
      <c r="BM2212" s="1" t="s">
        <v>204</v>
      </c>
      <c r="BN2212" s="1" t="s">
        <v>213</v>
      </c>
      <c r="BO2212" s="1" t="s">
        <v>230</v>
      </c>
      <c r="BP2212" s="1" t="s">
        <v>204</v>
      </c>
      <c r="BR2212" s="1" t="str">
        <f>"0621377010"</f>
        <v>0621377010</v>
      </c>
      <c r="BT2212" s="1" t="s">
        <v>19666</v>
      </c>
      <c r="BX2212" s="1">
        <v>46</v>
      </c>
      <c r="BY2212" s="1">
        <v>46</v>
      </c>
      <c r="BZ2212" s="1">
        <v>46</v>
      </c>
      <c r="CB2212" s="1" t="str">
        <f t="shared" ref="CB2212:CC2212" si="1694">""</f>
        <v/>
      </c>
      <c r="CC2212" s="1" t="str">
        <f t="shared" si="1694"/>
        <v/>
      </c>
      <c r="CG2212" s="1" t="s">
        <v>601</v>
      </c>
      <c r="CH2212" s="1" t="s">
        <v>219</v>
      </c>
      <c r="CI2212" s="1" t="s">
        <v>347</v>
      </c>
      <c r="CK2212" s="1" t="s">
        <v>1737</v>
      </c>
      <c r="CL2212" s="1" t="s">
        <v>277</v>
      </c>
      <c r="CM2212" s="1" t="s">
        <v>220</v>
      </c>
      <c r="CO2212" s="1" t="s">
        <v>409</v>
      </c>
      <c r="CP2212" s="1" t="s">
        <v>219</v>
      </c>
      <c r="CQ2212" s="1" t="s">
        <v>347</v>
      </c>
      <c r="CS2212" s="1" t="s">
        <v>318</v>
      </c>
      <c r="CT2212" s="1" t="s">
        <v>277</v>
      </c>
      <c r="CU2212" s="1" t="s">
        <v>220</v>
      </c>
      <c r="CX2212" s="1" t="s">
        <v>224</v>
      </c>
      <c r="DB2212" s="1" t="s">
        <v>224</v>
      </c>
      <c r="DE2212" s="1" t="s">
        <v>223</v>
      </c>
      <c r="DF2212" s="1" t="s">
        <v>219</v>
      </c>
      <c r="DG2212" s="1" t="s">
        <v>347</v>
      </c>
      <c r="DI2212" s="1" t="s">
        <v>4322</v>
      </c>
      <c r="DJ2212" s="1" t="s">
        <v>822</v>
      </c>
      <c r="DK2212" s="1" t="s">
        <v>220</v>
      </c>
      <c r="DM2212" s="1" t="s">
        <v>464</v>
      </c>
      <c r="DR2212" s="1" t="s">
        <v>1358</v>
      </c>
      <c r="DS2212" s="1" t="s">
        <v>277</v>
      </c>
      <c r="DT2212" s="1" t="s">
        <v>220</v>
      </c>
      <c r="DW2212" s="1" t="s">
        <v>230</v>
      </c>
      <c r="EA2212" s="1" t="s">
        <v>230</v>
      </c>
      <c r="EE2212" s="1" t="s">
        <v>230</v>
      </c>
      <c r="EI2212" s="1" t="s">
        <v>230</v>
      </c>
      <c r="EL2212" s="1" t="s">
        <v>670</v>
      </c>
      <c r="EM2212" s="1" t="s">
        <v>319</v>
      </c>
      <c r="EN2212" s="1" t="s">
        <v>282</v>
      </c>
      <c r="EO2212" s="1" t="s">
        <v>234</v>
      </c>
      <c r="EP2212" s="1" t="s">
        <v>650</v>
      </c>
      <c r="EQ2212" s="1" t="s">
        <v>2416</v>
      </c>
      <c r="ER2212" s="1" t="s">
        <v>544</v>
      </c>
      <c r="ES2212" s="1" t="s">
        <v>493</v>
      </c>
      <c r="EU2212" s="1" t="s">
        <v>610</v>
      </c>
      <c r="EV2212" s="1" t="s">
        <v>240</v>
      </c>
      <c r="EW2212" s="1" t="s">
        <v>19667</v>
      </c>
      <c r="EZ2212" s="1" t="s">
        <v>464</v>
      </c>
      <c r="FD2212" s="1" t="s">
        <v>246</v>
      </c>
      <c r="FE2212" s="1" t="s">
        <v>1031</v>
      </c>
      <c r="FF2212" s="1" t="s">
        <v>248</v>
      </c>
      <c r="FH2212" s="1" t="s">
        <v>550</v>
      </c>
      <c r="FL2212" s="1" t="s">
        <v>358</v>
      </c>
      <c r="FM2212" s="1" t="s">
        <v>252</v>
      </c>
      <c r="FN2212" s="1" t="s">
        <v>213</v>
      </c>
      <c r="FO2212" s="1" t="s">
        <v>213</v>
      </c>
      <c r="FQ2212" s="1" t="s">
        <v>582</v>
      </c>
      <c r="FR2212" s="1" t="s">
        <v>210</v>
      </c>
      <c r="FS2212" s="1" t="s">
        <v>12520</v>
      </c>
      <c r="FT2212" s="1" t="s">
        <v>1828</v>
      </c>
      <c r="FU2212" s="1" t="s">
        <v>204</v>
      </c>
      <c r="FW2212" s="1" t="s">
        <v>1097</v>
      </c>
      <c r="FX2212" s="1">
        <v>7661</v>
      </c>
      <c r="FY2212" s="1" t="s">
        <v>7072</v>
      </c>
      <c r="FZ2212" s="1" t="s">
        <v>12521</v>
      </c>
      <c r="GA2212" s="1">
        <v>7844</v>
      </c>
      <c r="GB2212" s="1" t="s">
        <v>12522</v>
      </c>
      <c r="GE2212" s="1" t="s">
        <v>210</v>
      </c>
      <c r="GI2212" s="1" t="s">
        <v>213</v>
      </c>
      <c r="GJ2212" s="1" t="s">
        <v>260</v>
      </c>
      <c r="GK2212" s="1" t="s">
        <v>210</v>
      </c>
      <c r="GL2212" s="2">
        <v>42033</v>
      </c>
      <c r="GM2212" s="1" t="s">
        <v>19668</v>
      </c>
    </row>
    <row r="2213" spans="1:195">
      <c r="A2213" s="1">
        <v>133000</v>
      </c>
      <c r="B2213" s="1" t="s">
        <v>195</v>
      </c>
      <c r="C2213" s="1" t="str">
        <f>"08812325"</f>
        <v>08812325</v>
      </c>
      <c r="D2213" s="1" t="s">
        <v>196</v>
      </c>
      <c r="F2213" s="1" t="str">
        <f t="shared" si="1693"/>
        <v>123</v>
      </c>
      <c r="G2213" s="2">
        <v>42012</v>
      </c>
      <c r="H2213" s="1">
        <v>145000</v>
      </c>
      <c r="I2213" s="1">
        <v>135000</v>
      </c>
      <c r="J2213" s="1">
        <v>133000</v>
      </c>
      <c r="K2213" s="2">
        <v>42012</v>
      </c>
      <c r="L2213" s="1">
        <v>62</v>
      </c>
      <c r="M2213" s="2">
        <v>42073</v>
      </c>
      <c r="N2213" s="1">
        <v>62</v>
      </c>
      <c r="O2213" s="2">
        <v>42073</v>
      </c>
      <c r="P2213" s="1">
        <v>1109</v>
      </c>
      <c r="Q2213" s="1" t="s">
        <v>197</v>
      </c>
      <c r="R2213" s="2">
        <v>42122</v>
      </c>
      <c r="S2213" s="1">
        <v>243060</v>
      </c>
      <c r="U2213" s="1">
        <v>29</v>
      </c>
      <c r="V2213" s="1" t="s">
        <v>19669</v>
      </c>
      <c r="W2213" s="1" t="s">
        <v>304</v>
      </c>
      <c r="Y2213" s="1">
        <v>1</v>
      </c>
      <c r="Z2213" s="1" t="s">
        <v>370</v>
      </c>
      <c r="AA2213" s="1" t="s">
        <v>1173</v>
      </c>
      <c r="AB2213" s="1">
        <v>60123</v>
      </c>
      <c r="AD2213" s="1" t="s">
        <v>19670</v>
      </c>
      <c r="AE2213" s="1" t="s">
        <v>19671</v>
      </c>
      <c r="AF2213" s="1">
        <v>1993</v>
      </c>
      <c r="AG2213" s="1" t="s">
        <v>204</v>
      </c>
      <c r="AH2213" s="1" t="s">
        <v>1175</v>
      </c>
      <c r="AI2213" s="1" t="s">
        <v>665</v>
      </c>
      <c r="AJ2213" s="1" t="s">
        <v>1175</v>
      </c>
      <c r="AL2213" s="1">
        <v>5</v>
      </c>
      <c r="AM2213" s="1">
        <v>2</v>
      </c>
      <c r="AN2213" s="1">
        <v>2</v>
      </c>
      <c r="AO2213" s="1">
        <v>0</v>
      </c>
      <c r="AP2213" s="1" t="s">
        <v>209</v>
      </c>
      <c r="AQ2213" s="1">
        <v>1</v>
      </c>
      <c r="AR2213" s="1" t="s">
        <v>209</v>
      </c>
      <c r="AS2213" s="1" t="s">
        <v>213</v>
      </c>
      <c r="AT2213" s="1" t="s">
        <v>211</v>
      </c>
      <c r="AU2213" s="1">
        <v>2</v>
      </c>
      <c r="AW2213" s="1" t="s">
        <v>204</v>
      </c>
      <c r="AX2213" s="1">
        <v>2000</v>
      </c>
      <c r="AZ2213" s="1">
        <v>3568.14</v>
      </c>
      <c r="BA2213" s="1">
        <v>2013</v>
      </c>
      <c r="BE2213" s="1">
        <v>1228</v>
      </c>
      <c r="BF2213" s="1">
        <v>1</v>
      </c>
      <c r="BG2213" s="1">
        <v>0</v>
      </c>
      <c r="BL2213" s="1">
        <v>215</v>
      </c>
      <c r="BM2213" s="1" t="s">
        <v>204</v>
      </c>
      <c r="BN2213" s="1" t="s">
        <v>213</v>
      </c>
      <c r="BO2213" s="1">
        <v>999</v>
      </c>
      <c r="BP2213" s="1" t="s">
        <v>204</v>
      </c>
      <c r="BR2213" s="1" t="str">
        <f>"0610413017"</f>
        <v>0610413017</v>
      </c>
      <c r="BT2213" s="1" t="s">
        <v>19672</v>
      </c>
      <c r="BU2213" s="1" t="s">
        <v>5656</v>
      </c>
      <c r="BV2213" s="1" t="s">
        <v>19673</v>
      </c>
      <c r="BW2213" s="1" t="s">
        <v>1488</v>
      </c>
      <c r="BX2213" s="1">
        <v>46</v>
      </c>
      <c r="BY2213" s="1">
        <v>46</v>
      </c>
      <c r="BZ2213" s="1">
        <v>46</v>
      </c>
      <c r="CB2213" s="1" t="str">
        <f t="shared" ref="CB2213:CC2213" si="1695">""</f>
        <v/>
      </c>
      <c r="CC2213" s="1" t="str">
        <f t="shared" si="1695"/>
        <v/>
      </c>
      <c r="CG2213" s="1" t="s">
        <v>490</v>
      </c>
      <c r="CH2213" s="1" t="s">
        <v>219</v>
      </c>
      <c r="CK2213" s="1" t="s">
        <v>2402</v>
      </c>
      <c r="CL2213" s="1" t="s">
        <v>277</v>
      </c>
      <c r="CO2213" s="1" t="s">
        <v>318</v>
      </c>
      <c r="CP2213" s="1" t="s">
        <v>219</v>
      </c>
      <c r="CS2213" s="1" t="s">
        <v>461</v>
      </c>
      <c r="CT2213" s="1" t="s">
        <v>822</v>
      </c>
      <c r="CX2213" s="1" t="s">
        <v>224</v>
      </c>
      <c r="DB2213" s="1" t="s">
        <v>224</v>
      </c>
      <c r="DE2213" s="1" t="s">
        <v>1107</v>
      </c>
      <c r="DF2213" s="1" t="s">
        <v>219</v>
      </c>
      <c r="DJ2213" s="1" t="s">
        <v>224</v>
      </c>
      <c r="DS2213" s="1" t="s">
        <v>230</v>
      </c>
      <c r="DW2213" s="1" t="s">
        <v>230</v>
      </c>
      <c r="EA2213" s="1" t="s">
        <v>230</v>
      </c>
      <c r="EE2213" s="1" t="s">
        <v>230</v>
      </c>
      <c r="EI2213" s="1" t="s">
        <v>230</v>
      </c>
      <c r="EL2213" s="1" t="s">
        <v>382</v>
      </c>
      <c r="EM2213" s="1" t="s">
        <v>319</v>
      </c>
      <c r="EN2213" s="1" t="s">
        <v>282</v>
      </c>
      <c r="EO2213" s="1" t="s">
        <v>234</v>
      </c>
      <c r="ER2213" s="1" t="s">
        <v>544</v>
      </c>
      <c r="EW2213" s="1" t="s">
        <v>887</v>
      </c>
      <c r="EZ2213" s="1" t="s">
        <v>287</v>
      </c>
      <c r="FD2213" s="1" t="s">
        <v>246</v>
      </c>
      <c r="FE2213" s="1" t="s">
        <v>247</v>
      </c>
      <c r="FF2213" s="1" t="s">
        <v>248</v>
      </c>
      <c r="FH2213" s="1" t="s">
        <v>550</v>
      </c>
      <c r="FJ2213" s="1" t="s">
        <v>197</v>
      </c>
      <c r="FL2213" s="1" t="s">
        <v>414</v>
      </c>
      <c r="FM2213" s="1" t="s">
        <v>252</v>
      </c>
      <c r="FN2213" s="1" t="s">
        <v>213</v>
      </c>
      <c r="FO2213" s="1" t="s">
        <v>213</v>
      </c>
      <c r="FQ2213" s="1" t="s">
        <v>582</v>
      </c>
      <c r="FR2213" s="1" t="s">
        <v>210</v>
      </c>
      <c r="FS2213" s="1" t="s">
        <v>12520</v>
      </c>
      <c r="FT2213" s="1" t="s">
        <v>1828</v>
      </c>
      <c r="FU2213" s="1" t="s">
        <v>204</v>
      </c>
      <c r="FW2213" s="1" t="s">
        <v>1097</v>
      </c>
      <c r="FX2213" s="1">
        <v>7661</v>
      </c>
      <c r="FY2213" s="1" t="s">
        <v>7072</v>
      </c>
      <c r="FZ2213" s="1" t="s">
        <v>12521</v>
      </c>
      <c r="GA2213" s="1">
        <v>7844</v>
      </c>
      <c r="GB2213" s="1" t="s">
        <v>12522</v>
      </c>
      <c r="GE2213" s="1" t="s">
        <v>210</v>
      </c>
      <c r="GI2213" s="1" t="s">
        <v>213</v>
      </c>
      <c r="GJ2213" s="1" t="s">
        <v>260</v>
      </c>
      <c r="GK2213" s="1" t="s">
        <v>210</v>
      </c>
      <c r="GL2213" s="2">
        <v>42122</v>
      </c>
      <c r="GM2213" s="1" t="s">
        <v>19674</v>
      </c>
    </row>
    <row r="2214" spans="1:195">
      <c r="A2214" s="1">
        <v>191500</v>
      </c>
      <c r="B2214" s="1" t="s">
        <v>195</v>
      </c>
      <c r="C2214" s="1" t="str">
        <f>"08757381"</f>
        <v>08757381</v>
      </c>
      <c r="D2214" s="1" t="s">
        <v>196</v>
      </c>
      <c r="F2214" s="1" t="str">
        <f>"107"</f>
        <v>107</v>
      </c>
      <c r="G2214" s="2">
        <v>41932</v>
      </c>
      <c r="H2214" s="1">
        <v>199900</v>
      </c>
      <c r="I2214" s="1">
        <v>197900</v>
      </c>
      <c r="J2214" s="1">
        <v>191500</v>
      </c>
      <c r="K2214" s="2">
        <v>41932</v>
      </c>
      <c r="L2214" s="1">
        <v>277</v>
      </c>
      <c r="M2214" s="2">
        <v>41973</v>
      </c>
      <c r="N2214" s="1">
        <v>42</v>
      </c>
      <c r="O2214" s="2">
        <v>41973</v>
      </c>
      <c r="P2214" s="1">
        <v>25003</v>
      </c>
      <c r="Q2214" s="1" t="s">
        <v>197</v>
      </c>
      <c r="R2214" s="2">
        <v>42009</v>
      </c>
      <c r="S2214" s="1">
        <v>243127</v>
      </c>
      <c r="U2214" s="1">
        <v>161</v>
      </c>
      <c r="V2214" s="1" t="s">
        <v>19675</v>
      </c>
      <c r="W2214" s="1" t="s">
        <v>264</v>
      </c>
      <c r="Y2214" s="1">
        <v>4</v>
      </c>
      <c r="Z2214" s="1" t="s">
        <v>370</v>
      </c>
      <c r="AA2214" s="1" t="s">
        <v>1211</v>
      </c>
      <c r="AB2214" s="1">
        <v>60107</v>
      </c>
      <c r="AD2214" s="1" t="s">
        <v>19676</v>
      </c>
      <c r="AE2214" s="1" t="s">
        <v>19677</v>
      </c>
      <c r="AF2214" s="1">
        <v>2000</v>
      </c>
      <c r="AG2214" s="1" t="s">
        <v>204</v>
      </c>
      <c r="AH2214" s="1" t="s">
        <v>1214</v>
      </c>
      <c r="AI2214" s="1" t="s">
        <v>310</v>
      </c>
      <c r="AJ2214" s="1" t="s">
        <v>374</v>
      </c>
      <c r="AL2214" s="1">
        <v>8</v>
      </c>
      <c r="AM2214" s="1">
        <v>2</v>
      </c>
      <c r="AN2214" s="1">
        <v>3</v>
      </c>
      <c r="AO2214" s="1">
        <v>1</v>
      </c>
      <c r="AP2214" s="1" t="s">
        <v>209</v>
      </c>
      <c r="AQ2214" s="1">
        <v>1</v>
      </c>
      <c r="AR2214" s="1" t="s">
        <v>209</v>
      </c>
      <c r="AS2214" s="1" t="s">
        <v>213</v>
      </c>
      <c r="AT2214" s="1" t="s">
        <v>375</v>
      </c>
      <c r="AU2214" s="1">
        <v>2</v>
      </c>
      <c r="AV2214" s="1">
        <v>2</v>
      </c>
      <c r="AW2214" s="1" t="s">
        <v>204</v>
      </c>
      <c r="AX2214" s="1" t="s">
        <v>212</v>
      </c>
      <c r="AZ2214" s="1">
        <v>5201</v>
      </c>
      <c r="BA2214" s="1">
        <v>2012</v>
      </c>
      <c r="BB2214" s="1" t="s">
        <v>599</v>
      </c>
      <c r="BE2214" s="1">
        <v>0</v>
      </c>
      <c r="BF2214" s="1">
        <v>1</v>
      </c>
      <c r="BG2214" s="1">
        <v>0</v>
      </c>
      <c r="BL2214" s="1">
        <v>197</v>
      </c>
      <c r="BM2214" s="1" t="s">
        <v>204</v>
      </c>
      <c r="BN2214" s="1" t="s">
        <v>213</v>
      </c>
      <c r="BO2214" s="1">
        <v>50</v>
      </c>
      <c r="BP2214" s="1" t="s">
        <v>204</v>
      </c>
      <c r="BR2214" s="1" t="str">
        <f>"06282030621186"</f>
        <v>06282030621186</v>
      </c>
      <c r="BT2214" s="1" t="s">
        <v>19678</v>
      </c>
      <c r="BU2214" s="1" t="s">
        <v>5010</v>
      </c>
      <c r="BV2214" s="1" t="s">
        <v>3557</v>
      </c>
      <c r="BW2214" s="1" t="s">
        <v>1217</v>
      </c>
      <c r="BX2214" s="1">
        <v>46</v>
      </c>
      <c r="BY2214" s="1">
        <v>46</v>
      </c>
      <c r="BZ2214" s="1">
        <v>46</v>
      </c>
      <c r="CB2214" s="1" t="str">
        <f t="shared" ref="CB2214:CC2214" si="1696">""</f>
        <v/>
      </c>
      <c r="CC2214" s="1" t="str">
        <f t="shared" si="1696"/>
        <v/>
      </c>
      <c r="CG2214" s="1" t="s">
        <v>669</v>
      </c>
      <c r="CH2214" s="1" t="s">
        <v>219</v>
      </c>
      <c r="CI2214" s="1" t="s">
        <v>229</v>
      </c>
      <c r="CJ2214" s="1" t="s">
        <v>343</v>
      </c>
      <c r="CK2214" s="1" t="s">
        <v>757</v>
      </c>
      <c r="CL2214" s="1" t="s">
        <v>219</v>
      </c>
      <c r="CM2214" s="1" t="s">
        <v>229</v>
      </c>
      <c r="CN2214" s="1" t="s">
        <v>343</v>
      </c>
      <c r="CO2214" s="1" t="s">
        <v>379</v>
      </c>
      <c r="CP2214" s="1" t="s">
        <v>219</v>
      </c>
      <c r="CQ2214" s="1" t="s">
        <v>229</v>
      </c>
      <c r="CR2214" s="1" t="s">
        <v>343</v>
      </c>
      <c r="CS2214" s="1" t="s">
        <v>346</v>
      </c>
      <c r="CT2214" s="1" t="s">
        <v>277</v>
      </c>
      <c r="CU2214" s="1" t="s">
        <v>220</v>
      </c>
      <c r="CV2214" s="1" t="s">
        <v>343</v>
      </c>
      <c r="DB2214" s="1" t="s">
        <v>224</v>
      </c>
      <c r="DE2214" s="1" t="s">
        <v>1454</v>
      </c>
      <c r="DF2214" s="1" t="s">
        <v>219</v>
      </c>
      <c r="DG2214" s="1" t="s">
        <v>229</v>
      </c>
      <c r="DH2214" s="1" t="s">
        <v>343</v>
      </c>
      <c r="DJ2214" s="1" t="s">
        <v>224</v>
      </c>
      <c r="DM2214" s="1" t="s">
        <v>934</v>
      </c>
      <c r="DN2214" s="1" t="s">
        <v>227</v>
      </c>
      <c r="DO2214" s="1" t="s">
        <v>464</v>
      </c>
      <c r="DR2214" s="1" t="s">
        <v>3100</v>
      </c>
      <c r="DS2214" s="1" t="s">
        <v>822</v>
      </c>
      <c r="DT2214" s="1" t="s">
        <v>347</v>
      </c>
      <c r="DV2214" s="1" t="s">
        <v>318</v>
      </c>
      <c r="DW2214" s="1" t="s">
        <v>43</v>
      </c>
      <c r="DX2214" s="1" t="s">
        <v>347</v>
      </c>
      <c r="DZ2214" s="1" t="s">
        <v>669</v>
      </c>
      <c r="EA2214" s="1" t="s">
        <v>277</v>
      </c>
      <c r="EB2214" s="1" t="s">
        <v>220</v>
      </c>
      <c r="EC2214" s="1" t="s">
        <v>343</v>
      </c>
      <c r="EE2214" s="1" t="s">
        <v>230</v>
      </c>
      <c r="EI2214" s="1" t="s">
        <v>230</v>
      </c>
      <c r="EL2214" s="1" t="s">
        <v>466</v>
      </c>
      <c r="EM2214" s="1" t="s">
        <v>319</v>
      </c>
      <c r="EN2214" s="1" t="s">
        <v>282</v>
      </c>
      <c r="EO2214" s="1" t="s">
        <v>234</v>
      </c>
      <c r="EQ2214" s="1" t="s">
        <v>236</v>
      </c>
      <c r="ER2214" s="1" t="s">
        <v>544</v>
      </c>
      <c r="ES2214" s="1" t="s">
        <v>824</v>
      </c>
      <c r="ET2214" s="1" t="s">
        <v>7232</v>
      </c>
      <c r="EV2214" s="1" t="s">
        <v>240</v>
      </c>
      <c r="EW2214" s="1" t="s">
        <v>1250</v>
      </c>
      <c r="EZ2214" s="1" t="s">
        <v>19679</v>
      </c>
      <c r="FA2214" s="1" t="s">
        <v>1427</v>
      </c>
      <c r="FD2214" s="1" t="s">
        <v>246</v>
      </c>
      <c r="FE2214" s="1" t="s">
        <v>975</v>
      </c>
      <c r="FF2214" s="1" t="s">
        <v>248</v>
      </c>
      <c r="FG2214" s="1" t="s">
        <v>2406</v>
      </c>
      <c r="FH2214" s="1" t="s">
        <v>550</v>
      </c>
      <c r="FI2214" s="1" t="s">
        <v>473</v>
      </c>
      <c r="FK2214" s="1" t="s">
        <v>768</v>
      </c>
      <c r="FL2214" s="1" t="s">
        <v>358</v>
      </c>
      <c r="FM2214" s="1" t="s">
        <v>252</v>
      </c>
      <c r="FN2214" s="1" t="s">
        <v>213</v>
      </c>
      <c r="FO2214" s="1" t="s">
        <v>213</v>
      </c>
      <c r="FQ2214" s="1" t="s">
        <v>359</v>
      </c>
      <c r="FR2214" s="1" t="s">
        <v>210</v>
      </c>
      <c r="FS2214" s="1" t="s">
        <v>9403</v>
      </c>
      <c r="FT2214" s="1" t="s">
        <v>295</v>
      </c>
      <c r="FU2214" s="1" t="s">
        <v>204</v>
      </c>
      <c r="FW2214" s="1" t="s">
        <v>585</v>
      </c>
      <c r="FX2214" s="1">
        <v>6485</v>
      </c>
      <c r="FY2214" s="1" t="s">
        <v>8303</v>
      </c>
      <c r="FZ2214" s="1" t="s">
        <v>11405</v>
      </c>
      <c r="GA2214" s="1">
        <v>63185</v>
      </c>
      <c r="GB2214" s="1" t="s">
        <v>11406</v>
      </c>
      <c r="GE2214" s="1" t="s">
        <v>480</v>
      </c>
      <c r="GI2214" s="1" t="s">
        <v>213</v>
      </c>
      <c r="GJ2214" s="1" t="s">
        <v>260</v>
      </c>
      <c r="GK2214" s="1" t="s">
        <v>210</v>
      </c>
      <c r="GL2214" s="2">
        <v>42009</v>
      </c>
    </row>
    <row r="2215" spans="1:195">
      <c r="A2215" s="1">
        <v>163500</v>
      </c>
      <c r="B2215" s="1" t="s">
        <v>195</v>
      </c>
      <c r="C2215" s="1" t="str">
        <f>"08754027"</f>
        <v>08754027</v>
      </c>
      <c r="D2215" s="1" t="s">
        <v>196</v>
      </c>
      <c r="F2215" s="1" t="str">
        <f>"555"</f>
        <v>555</v>
      </c>
      <c r="G2215" s="2">
        <v>41927</v>
      </c>
      <c r="H2215" s="1">
        <v>174900</v>
      </c>
      <c r="I2215" s="1">
        <v>174900</v>
      </c>
      <c r="J2215" s="1">
        <v>163500</v>
      </c>
      <c r="K2215" s="2">
        <v>41927</v>
      </c>
      <c r="L2215" s="1">
        <v>83</v>
      </c>
      <c r="M2215" s="2">
        <v>41945</v>
      </c>
      <c r="N2215" s="1">
        <v>19</v>
      </c>
      <c r="O2215" s="2">
        <v>41945</v>
      </c>
      <c r="P2215" s="1">
        <v>21682</v>
      </c>
      <c r="Q2215" s="1" t="s">
        <v>197</v>
      </c>
      <c r="R2215" s="2">
        <v>41978</v>
      </c>
      <c r="S2215" s="1">
        <v>232332</v>
      </c>
      <c r="U2215" s="1" t="s">
        <v>19680</v>
      </c>
      <c r="V2215" s="1" t="s">
        <v>3043</v>
      </c>
      <c r="W2215" s="1" t="s">
        <v>304</v>
      </c>
      <c r="Y2215" s="1">
        <v>6</v>
      </c>
      <c r="Z2215" s="1" t="s">
        <v>249</v>
      </c>
      <c r="AA2215" s="1" t="s">
        <v>984</v>
      </c>
      <c r="AB2215" s="1">
        <v>60555</v>
      </c>
      <c r="AD2215" s="1" t="s">
        <v>19681</v>
      </c>
      <c r="AE2215" s="1" t="s">
        <v>19682</v>
      </c>
      <c r="AF2215" s="1">
        <v>1990</v>
      </c>
      <c r="AG2215" s="1" t="s">
        <v>204</v>
      </c>
      <c r="AH2215" s="1" t="s">
        <v>986</v>
      </c>
      <c r="AI2215" s="1" t="s">
        <v>206</v>
      </c>
      <c r="AJ2215" s="1" t="s">
        <v>987</v>
      </c>
      <c r="AK2215" s="1" t="s">
        <v>2391</v>
      </c>
      <c r="AL2215" s="1">
        <v>6</v>
      </c>
      <c r="AM2215" s="1">
        <v>2</v>
      </c>
      <c r="AN2215" s="1">
        <v>2</v>
      </c>
      <c r="AO2215" s="1">
        <v>1</v>
      </c>
      <c r="AP2215" s="1" t="s">
        <v>209</v>
      </c>
      <c r="AQ2215" s="1">
        <v>1</v>
      </c>
      <c r="AR2215" s="1" t="s">
        <v>210</v>
      </c>
      <c r="AS2215" s="1" t="s">
        <v>204</v>
      </c>
      <c r="AT2215" s="1" t="s">
        <v>211</v>
      </c>
      <c r="AU2215" s="1">
        <v>2</v>
      </c>
      <c r="AW2215" s="1" t="s">
        <v>204</v>
      </c>
      <c r="AX2215" s="1" t="s">
        <v>212</v>
      </c>
      <c r="AZ2215" s="1">
        <v>5802</v>
      </c>
      <c r="BA2215" s="1">
        <v>2013</v>
      </c>
      <c r="BB2215" s="1" t="s">
        <v>405</v>
      </c>
      <c r="BE2215" s="1">
        <v>1558</v>
      </c>
      <c r="BF2215" s="1">
        <v>1</v>
      </c>
      <c r="BG2215" s="1">
        <v>0</v>
      </c>
      <c r="BL2215" s="1">
        <v>228</v>
      </c>
      <c r="BM2215" s="1" t="s">
        <v>204</v>
      </c>
      <c r="BN2215" s="1" t="s">
        <v>213</v>
      </c>
      <c r="BO2215" s="1">
        <v>999</v>
      </c>
      <c r="BP2215" s="1" t="s">
        <v>204</v>
      </c>
      <c r="BR2215" s="1" t="str">
        <f>"0421418034"</f>
        <v>0421418034</v>
      </c>
      <c r="BT2215" s="1" t="s">
        <v>19683</v>
      </c>
      <c r="BU2215" s="1" t="s">
        <v>1673</v>
      </c>
      <c r="BV2215" s="1" t="s">
        <v>1674</v>
      </c>
      <c r="BW2215" s="1" t="s">
        <v>1675</v>
      </c>
      <c r="BX2215" s="1">
        <v>33</v>
      </c>
      <c r="BY2215" s="1">
        <v>33</v>
      </c>
      <c r="BZ2215" s="1">
        <v>94</v>
      </c>
      <c r="CB2215" s="1" t="str">
        <f t="shared" ref="CB2215:CC2215" si="1697">"0"</f>
        <v>0</v>
      </c>
      <c r="CC2215" s="1" t="str">
        <f t="shared" si="1697"/>
        <v>0</v>
      </c>
      <c r="CD2215" s="1">
        <v>30</v>
      </c>
      <c r="CE2215" s="1">
        <v>1</v>
      </c>
      <c r="CG2215" s="1" t="s">
        <v>228</v>
      </c>
      <c r="CH2215" s="1" t="s">
        <v>219</v>
      </c>
      <c r="CI2215" s="1" t="s">
        <v>220</v>
      </c>
      <c r="CK2215" s="1" t="s">
        <v>344</v>
      </c>
      <c r="CL2215" s="1" t="s">
        <v>277</v>
      </c>
      <c r="CM2215" s="1" t="s">
        <v>220</v>
      </c>
      <c r="CN2215" s="1" t="s">
        <v>343</v>
      </c>
      <c r="CO2215" s="1" t="s">
        <v>346</v>
      </c>
      <c r="CP2215" s="1" t="s">
        <v>219</v>
      </c>
      <c r="CQ2215" s="1" t="s">
        <v>220</v>
      </c>
      <c r="CS2215" s="1" t="s">
        <v>346</v>
      </c>
      <c r="CT2215" s="1" t="s">
        <v>277</v>
      </c>
      <c r="CU2215" s="1" t="s">
        <v>220</v>
      </c>
      <c r="CX2215" s="1" t="s">
        <v>224</v>
      </c>
      <c r="DB2215" s="1" t="s">
        <v>224</v>
      </c>
      <c r="DE2215" s="1" t="s">
        <v>1046</v>
      </c>
      <c r="DF2215" s="1" t="s">
        <v>219</v>
      </c>
      <c r="DG2215" s="1" t="s">
        <v>226</v>
      </c>
      <c r="DJ2215" s="1" t="s">
        <v>224</v>
      </c>
      <c r="DM2215" s="1" t="s">
        <v>464</v>
      </c>
      <c r="DR2215" s="1" t="s">
        <v>346</v>
      </c>
      <c r="DS2215" s="1" t="s">
        <v>277</v>
      </c>
      <c r="DT2215" s="1" t="s">
        <v>220</v>
      </c>
      <c r="DW2215" s="1" t="s">
        <v>230</v>
      </c>
      <c r="EA2215" s="1" t="s">
        <v>230</v>
      </c>
      <c r="EE2215" s="1" t="s">
        <v>230</v>
      </c>
      <c r="EI2215" s="1" t="s">
        <v>230</v>
      </c>
      <c r="EL2215" s="1" t="s">
        <v>382</v>
      </c>
      <c r="EM2215" s="1" t="s">
        <v>319</v>
      </c>
      <c r="EN2215" s="1" t="s">
        <v>282</v>
      </c>
      <c r="EO2215" s="1" t="s">
        <v>840</v>
      </c>
      <c r="EP2215" s="1" t="s">
        <v>5192</v>
      </c>
      <c r="EQ2215" s="1" t="s">
        <v>236</v>
      </c>
      <c r="ER2215" s="1" t="s">
        <v>210</v>
      </c>
      <c r="ES2215" s="1" t="s">
        <v>1552</v>
      </c>
      <c r="ET2215" s="1" t="s">
        <v>19684</v>
      </c>
      <c r="EV2215" s="1" t="s">
        <v>324</v>
      </c>
      <c r="EW2215" s="1" t="s">
        <v>1617</v>
      </c>
      <c r="EY2215" s="1" t="s">
        <v>242</v>
      </c>
      <c r="EZ2215" s="1" t="s">
        <v>464</v>
      </c>
      <c r="FA2215" s="1" t="s">
        <v>672</v>
      </c>
      <c r="FB2215" s="1" t="s">
        <v>289</v>
      </c>
      <c r="FC2215" s="1" t="s">
        <v>1362</v>
      </c>
      <c r="FD2215" s="1" t="s">
        <v>246</v>
      </c>
      <c r="FE2215" s="1" t="s">
        <v>472</v>
      </c>
      <c r="FF2215" s="1" t="s">
        <v>1113</v>
      </c>
      <c r="FG2215" s="1" t="s">
        <v>715</v>
      </c>
      <c r="FH2215" s="1" t="s">
        <v>550</v>
      </c>
      <c r="FI2215" s="1" t="s">
        <v>473</v>
      </c>
      <c r="FJ2215" s="1" t="s">
        <v>197</v>
      </c>
      <c r="FL2215" s="1" t="s">
        <v>358</v>
      </c>
      <c r="FM2215" s="1" t="s">
        <v>252</v>
      </c>
      <c r="FN2215" s="1" t="s">
        <v>213</v>
      </c>
      <c r="FO2215" s="1" t="s">
        <v>213</v>
      </c>
      <c r="FQ2215" s="1" t="s">
        <v>4594</v>
      </c>
      <c r="FR2215" s="1" t="s">
        <v>210</v>
      </c>
      <c r="FS2215" s="1" t="s">
        <v>19685</v>
      </c>
      <c r="FT2215" s="1" t="s">
        <v>362</v>
      </c>
      <c r="FU2215" s="1" t="s">
        <v>204</v>
      </c>
      <c r="FW2215" s="1" t="s">
        <v>2235</v>
      </c>
      <c r="FX2215" s="1">
        <v>24321</v>
      </c>
      <c r="FY2215" s="1" t="s">
        <v>2236</v>
      </c>
      <c r="FZ2215" s="1" t="s">
        <v>10133</v>
      </c>
      <c r="GA2215" s="1">
        <v>245704</v>
      </c>
      <c r="GB2215" s="1" t="s">
        <v>10134</v>
      </c>
      <c r="GE2215" s="1" t="s">
        <v>210</v>
      </c>
      <c r="GI2215" s="1" t="s">
        <v>213</v>
      </c>
      <c r="GJ2215" s="1" t="s">
        <v>260</v>
      </c>
      <c r="GK2215" s="1" t="s">
        <v>210</v>
      </c>
      <c r="GL2215" s="2">
        <v>41978</v>
      </c>
      <c r="GM2215" s="1" t="s">
        <v>19686</v>
      </c>
    </row>
    <row r="2216" spans="1:195">
      <c r="A2216" s="1">
        <v>91500</v>
      </c>
      <c r="B2216" s="1" t="s">
        <v>195</v>
      </c>
      <c r="C2216" s="1" t="str">
        <f>"08752745"</f>
        <v>08752745</v>
      </c>
      <c r="D2216" s="1" t="s">
        <v>196</v>
      </c>
      <c r="F2216" s="1" t="str">
        <f>"635"</f>
        <v>635</v>
      </c>
      <c r="G2216" s="2">
        <v>41926</v>
      </c>
      <c r="H2216" s="1">
        <v>94900</v>
      </c>
      <c r="I2216" s="1">
        <v>94800</v>
      </c>
      <c r="J2216" s="1">
        <v>91500</v>
      </c>
      <c r="K2216" s="2">
        <v>41926</v>
      </c>
      <c r="L2216" s="1">
        <v>35</v>
      </c>
      <c r="M2216" s="2">
        <v>41960</v>
      </c>
      <c r="N2216" s="1">
        <v>35</v>
      </c>
      <c r="O2216" s="2">
        <v>41960</v>
      </c>
      <c r="P2216" s="1">
        <v>8540</v>
      </c>
      <c r="Q2216" s="1" t="s">
        <v>197</v>
      </c>
      <c r="R2216" s="2">
        <v>41988</v>
      </c>
      <c r="S2216" s="1">
        <v>89706</v>
      </c>
      <c r="U2216" s="1">
        <v>7441</v>
      </c>
      <c r="V2216" s="1" t="s">
        <v>10245</v>
      </c>
      <c r="W2216" s="1" t="s">
        <v>425</v>
      </c>
      <c r="X2216" s="1" t="s">
        <v>10396</v>
      </c>
      <c r="Y2216" s="1">
        <v>6</v>
      </c>
      <c r="Z2216" s="1" t="s">
        <v>249</v>
      </c>
      <c r="AA2216" s="1" t="s">
        <v>2377</v>
      </c>
      <c r="AB2216" s="1">
        <v>60707</v>
      </c>
      <c r="AE2216" s="1" t="s">
        <v>19687</v>
      </c>
      <c r="AF2216" s="1">
        <v>1972</v>
      </c>
      <c r="AG2216" s="1" t="s">
        <v>213</v>
      </c>
      <c r="AH2216" s="1" t="s">
        <v>5686</v>
      </c>
      <c r="AI2216" s="1" t="s">
        <v>310</v>
      </c>
      <c r="AJ2216" s="1" t="s">
        <v>311</v>
      </c>
      <c r="AL2216" s="1">
        <v>5</v>
      </c>
      <c r="AM2216" s="1">
        <v>2</v>
      </c>
      <c r="AN2216" s="1">
        <v>1</v>
      </c>
      <c r="AO2216" s="1">
        <v>0</v>
      </c>
      <c r="AP2216" s="1" t="s">
        <v>210</v>
      </c>
      <c r="AQ2216" s="1">
        <v>0</v>
      </c>
      <c r="AR2216" s="1" t="s">
        <v>210</v>
      </c>
      <c r="AS2216" s="1" t="s">
        <v>204</v>
      </c>
      <c r="AT2216" s="1" t="s">
        <v>271</v>
      </c>
      <c r="AV2216" s="1">
        <v>1</v>
      </c>
      <c r="AW2216" s="1" t="s">
        <v>204</v>
      </c>
      <c r="AX2216" s="1" t="s">
        <v>212</v>
      </c>
      <c r="AZ2216" s="1">
        <v>1546</v>
      </c>
      <c r="BA2216" s="1">
        <v>2012</v>
      </c>
      <c r="BB2216" s="1" t="s">
        <v>405</v>
      </c>
      <c r="BE2216" s="1">
        <v>900</v>
      </c>
      <c r="BF2216" s="1">
        <v>1</v>
      </c>
      <c r="BG2216" s="1">
        <v>30</v>
      </c>
      <c r="BL2216" s="1">
        <v>264</v>
      </c>
      <c r="BM2216" s="1" t="s">
        <v>204</v>
      </c>
      <c r="BN2216" s="1" t="s">
        <v>213</v>
      </c>
      <c r="BO2216" s="1">
        <v>999</v>
      </c>
      <c r="BP2216" s="1" t="s">
        <v>204</v>
      </c>
      <c r="BR2216" s="1" t="str">
        <f>"12362020401000"</f>
        <v>12362020401000</v>
      </c>
      <c r="BT2216" s="1" t="s">
        <v>19688</v>
      </c>
      <c r="BX2216" s="1">
        <v>401</v>
      </c>
      <c r="BY2216" s="1">
        <v>401</v>
      </c>
      <c r="BZ2216" s="1">
        <v>401</v>
      </c>
      <c r="CB2216" s="1" t="str">
        <f>"2400"</f>
        <v>2400</v>
      </c>
      <c r="CC2216" s="1" t="str">
        <f>"0"</f>
        <v>0</v>
      </c>
      <c r="CD2216" s="1">
        <v>7441</v>
      </c>
      <c r="CE2216" s="1">
        <v>0</v>
      </c>
      <c r="CG2216" s="1" t="s">
        <v>378</v>
      </c>
      <c r="CH2216" s="1" t="s">
        <v>219</v>
      </c>
      <c r="CI2216" s="1" t="s">
        <v>438</v>
      </c>
      <c r="CK2216" s="1" t="s">
        <v>378</v>
      </c>
      <c r="CL2216" s="1" t="s">
        <v>219</v>
      </c>
      <c r="CM2216" s="1" t="s">
        <v>438</v>
      </c>
      <c r="CO2216" s="1" t="s">
        <v>318</v>
      </c>
      <c r="CP2216" s="1" t="s">
        <v>219</v>
      </c>
      <c r="CQ2216" s="1" t="s">
        <v>226</v>
      </c>
      <c r="CS2216" s="1" t="s">
        <v>318</v>
      </c>
      <c r="CT2216" s="1" t="s">
        <v>219</v>
      </c>
      <c r="CU2216" s="1" t="s">
        <v>438</v>
      </c>
      <c r="CX2216" s="1" t="s">
        <v>224</v>
      </c>
      <c r="DB2216" s="1" t="s">
        <v>224</v>
      </c>
      <c r="DE2216" s="1" t="s">
        <v>318</v>
      </c>
      <c r="DF2216" s="1" t="s">
        <v>219</v>
      </c>
      <c r="DG2216" s="1" t="s">
        <v>226</v>
      </c>
      <c r="DJ2216" s="1" t="s">
        <v>224</v>
      </c>
      <c r="DS2216" s="1" t="s">
        <v>230</v>
      </c>
      <c r="DW2216" s="1" t="s">
        <v>230</v>
      </c>
      <c r="EA2216" s="1" t="s">
        <v>230</v>
      </c>
      <c r="EE2216" s="1" t="s">
        <v>230</v>
      </c>
      <c r="EI2216" s="1" t="s">
        <v>230</v>
      </c>
      <c r="EL2216" s="1" t="s">
        <v>605</v>
      </c>
      <c r="EM2216" s="1" t="s">
        <v>232</v>
      </c>
      <c r="EN2216" s="1" t="s">
        <v>210</v>
      </c>
      <c r="EO2216" s="1" t="s">
        <v>234</v>
      </c>
      <c r="EP2216" s="1" t="s">
        <v>17937</v>
      </c>
      <c r="EQ2216" s="1" t="s">
        <v>19689</v>
      </c>
      <c r="ER2216" s="1" t="s">
        <v>210</v>
      </c>
      <c r="EV2216" s="1" t="s">
        <v>352</v>
      </c>
      <c r="EW2216" s="1" t="s">
        <v>3792</v>
      </c>
      <c r="EY2216" s="1" t="s">
        <v>242</v>
      </c>
      <c r="EZ2216" s="1" t="s">
        <v>287</v>
      </c>
      <c r="FB2216" s="1" t="s">
        <v>289</v>
      </c>
      <c r="FD2216" s="1" t="s">
        <v>246</v>
      </c>
      <c r="FE2216" s="1" t="s">
        <v>247</v>
      </c>
      <c r="FF2216" s="1" t="s">
        <v>3103</v>
      </c>
      <c r="FH2216" s="1" t="s">
        <v>249</v>
      </c>
      <c r="FJ2216" s="1" t="s">
        <v>197</v>
      </c>
      <c r="FK2216" s="1" t="s">
        <v>291</v>
      </c>
      <c r="FL2216" s="1" t="s">
        <v>2233</v>
      </c>
      <c r="FM2216" s="1" t="s">
        <v>252</v>
      </c>
      <c r="FN2216" s="1" t="s">
        <v>213</v>
      </c>
      <c r="FO2216" s="1" t="s">
        <v>213</v>
      </c>
      <c r="FQ2216" s="1" t="s">
        <v>793</v>
      </c>
      <c r="FR2216" s="1" t="s">
        <v>210</v>
      </c>
      <c r="FS2216" s="1" t="s">
        <v>19690</v>
      </c>
      <c r="FT2216" s="1" t="s">
        <v>19691</v>
      </c>
      <c r="FU2216" s="1" t="s">
        <v>204</v>
      </c>
      <c r="FW2216" s="1" t="s">
        <v>8192</v>
      </c>
      <c r="FX2216" s="1">
        <v>18080</v>
      </c>
      <c r="FY2216" s="1" t="s">
        <v>8193</v>
      </c>
      <c r="FZ2216" s="1" t="s">
        <v>19692</v>
      </c>
      <c r="GA2216" s="1">
        <v>142375</v>
      </c>
      <c r="GB2216" s="1" t="s">
        <v>19693</v>
      </c>
      <c r="GE2216" s="1" t="s">
        <v>210</v>
      </c>
      <c r="GH2216" s="1" t="s">
        <v>589</v>
      </c>
      <c r="GI2216" s="1" t="s">
        <v>213</v>
      </c>
      <c r="GJ2216" s="1" t="s">
        <v>260</v>
      </c>
      <c r="GK2216" s="1" t="s">
        <v>210</v>
      </c>
      <c r="GL2216" s="2">
        <v>41990</v>
      </c>
      <c r="GM2216" s="1" t="s">
        <v>19694</v>
      </c>
    </row>
    <row r="2217" spans="1:195">
      <c r="A2217" s="1">
        <v>126100</v>
      </c>
      <c r="B2217" s="1" t="s">
        <v>195</v>
      </c>
      <c r="C2217" s="1" t="str">
        <f>"08753026"</f>
        <v>08753026</v>
      </c>
      <c r="D2217" s="1" t="s">
        <v>196</v>
      </c>
      <c r="F2217" s="1" t="str">
        <f>"178"</f>
        <v>178</v>
      </c>
      <c r="G2217" s="2">
        <v>41926</v>
      </c>
      <c r="H2217" s="1">
        <v>136900</v>
      </c>
      <c r="I2217" s="1">
        <v>129900</v>
      </c>
      <c r="J2217" s="1">
        <v>126100</v>
      </c>
      <c r="K2217" s="2">
        <v>41926</v>
      </c>
      <c r="L2217" s="1">
        <v>58</v>
      </c>
      <c r="M2217" s="2">
        <v>41983</v>
      </c>
      <c r="N2217" s="1">
        <v>58</v>
      </c>
      <c r="O2217" s="2">
        <v>41983</v>
      </c>
      <c r="P2217" s="1">
        <v>7630</v>
      </c>
      <c r="Q2217" s="1" t="s">
        <v>197</v>
      </c>
      <c r="R2217" s="2">
        <v>42017</v>
      </c>
      <c r="S2217" s="1">
        <v>77006</v>
      </c>
      <c r="U2217" s="1">
        <v>1168</v>
      </c>
      <c r="V2217" s="1" t="s">
        <v>1669</v>
      </c>
      <c r="W2217" s="1" t="s">
        <v>504</v>
      </c>
      <c r="Y2217" s="1">
        <v>2</v>
      </c>
      <c r="Z2217" s="1" t="s">
        <v>200</v>
      </c>
      <c r="AA2217" s="1" t="s">
        <v>3334</v>
      </c>
      <c r="AB2217" s="1">
        <v>60178</v>
      </c>
      <c r="AE2217" s="1" t="s">
        <v>19695</v>
      </c>
      <c r="AF2217" s="1">
        <v>2002</v>
      </c>
      <c r="AG2217" s="1" t="s">
        <v>204</v>
      </c>
      <c r="AH2217" s="1" t="s">
        <v>3336</v>
      </c>
      <c r="AI2217" s="1" t="s">
        <v>2246</v>
      </c>
      <c r="AJ2217" s="1" t="s">
        <v>3336</v>
      </c>
      <c r="AL2217" s="1">
        <v>6</v>
      </c>
      <c r="AM2217" s="1">
        <v>2</v>
      </c>
      <c r="AN2217" s="1">
        <v>2</v>
      </c>
      <c r="AO2217" s="1">
        <v>0</v>
      </c>
      <c r="AP2217" s="1" t="s">
        <v>209</v>
      </c>
      <c r="AQ2217" s="1">
        <v>1</v>
      </c>
      <c r="AR2217" s="1" t="s">
        <v>209</v>
      </c>
      <c r="AS2217" s="1" t="s">
        <v>204</v>
      </c>
      <c r="AT2217" s="1" t="s">
        <v>211</v>
      </c>
      <c r="AU2217" s="1">
        <v>2</v>
      </c>
      <c r="AW2217" s="1" t="s">
        <v>204</v>
      </c>
      <c r="AX2217" s="1" t="s">
        <v>19696</v>
      </c>
      <c r="AZ2217" s="1">
        <v>4173.08</v>
      </c>
      <c r="BA2217" s="1">
        <v>2013</v>
      </c>
      <c r="BE2217" s="1">
        <v>1426</v>
      </c>
      <c r="BF2217" s="1">
        <v>1</v>
      </c>
      <c r="BG2217" s="1">
        <v>0</v>
      </c>
      <c r="BJ2217" s="1">
        <v>100</v>
      </c>
      <c r="BL2217" s="1">
        <v>0</v>
      </c>
      <c r="BM2217" s="1" t="s">
        <v>413</v>
      </c>
      <c r="BN2217" s="1" t="s">
        <v>213</v>
      </c>
      <c r="BO2217" s="1">
        <v>999</v>
      </c>
      <c r="BP2217" s="1" t="s">
        <v>204</v>
      </c>
      <c r="BR2217" s="1" t="str">
        <f>"0628302035"</f>
        <v>0628302035</v>
      </c>
      <c r="BT2217" s="1" t="s">
        <v>19697</v>
      </c>
      <c r="BX2217" s="1">
        <v>427</v>
      </c>
      <c r="BY2217" s="1">
        <v>427</v>
      </c>
      <c r="BZ2217" s="1">
        <v>427</v>
      </c>
      <c r="CB2217" s="1" t="str">
        <f t="shared" ref="CB2217:CC2217" si="1698">""</f>
        <v/>
      </c>
      <c r="CC2217" s="1" t="str">
        <f t="shared" si="1698"/>
        <v/>
      </c>
      <c r="CG2217" s="1" t="s">
        <v>3389</v>
      </c>
      <c r="CH2217" s="1" t="s">
        <v>219</v>
      </c>
      <c r="CI2217" s="1" t="s">
        <v>220</v>
      </c>
      <c r="CK2217" s="1" t="s">
        <v>1788</v>
      </c>
      <c r="CL2217" s="1" t="s">
        <v>219</v>
      </c>
      <c r="CM2217" s="1" t="s">
        <v>220</v>
      </c>
      <c r="CO2217" s="1" t="s">
        <v>3318</v>
      </c>
      <c r="CP2217" s="1" t="s">
        <v>219</v>
      </c>
      <c r="CQ2217" s="1" t="s">
        <v>438</v>
      </c>
      <c r="CS2217" s="1" t="s">
        <v>836</v>
      </c>
      <c r="CT2217" s="1" t="s">
        <v>219</v>
      </c>
      <c r="CU2217" s="1" t="s">
        <v>220</v>
      </c>
      <c r="CX2217" s="1" t="s">
        <v>224</v>
      </c>
      <c r="DB2217" s="1" t="s">
        <v>224</v>
      </c>
      <c r="DE2217" s="1" t="s">
        <v>1107</v>
      </c>
      <c r="DF2217" s="1" t="s">
        <v>219</v>
      </c>
      <c r="DG2217" s="1" t="s">
        <v>438</v>
      </c>
      <c r="DJ2217" s="1" t="s">
        <v>224</v>
      </c>
      <c r="DM2217" s="1" t="s">
        <v>1548</v>
      </c>
      <c r="DR2217" s="1" t="s">
        <v>19698</v>
      </c>
      <c r="DS2217" s="1" t="s">
        <v>219</v>
      </c>
      <c r="DT2217" s="1" t="s">
        <v>438</v>
      </c>
      <c r="DW2217" s="1" t="s">
        <v>230</v>
      </c>
      <c r="EA2217" s="1" t="s">
        <v>230</v>
      </c>
      <c r="EE2217" s="1" t="s">
        <v>230</v>
      </c>
      <c r="EI2217" s="1" t="s">
        <v>230</v>
      </c>
      <c r="EL2217" s="1" t="s">
        <v>466</v>
      </c>
      <c r="EM2217" s="1" t="s">
        <v>319</v>
      </c>
      <c r="EN2217" s="1" t="s">
        <v>282</v>
      </c>
      <c r="EO2217" s="1" t="s">
        <v>234</v>
      </c>
      <c r="EP2217" s="1" t="s">
        <v>19699</v>
      </c>
      <c r="ER2217" s="1" t="s">
        <v>1249</v>
      </c>
      <c r="ES2217" s="1" t="s">
        <v>322</v>
      </c>
      <c r="ET2217" s="1" t="s">
        <v>4523</v>
      </c>
      <c r="EV2217" s="1" t="s">
        <v>352</v>
      </c>
      <c r="EW2217" s="1" t="s">
        <v>210</v>
      </c>
      <c r="EZ2217" s="1" t="s">
        <v>1548</v>
      </c>
      <c r="FB2217" s="1" t="s">
        <v>734</v>
      </c>
      <c r="FD2217" s="1" t="s">
        <v>246</v>
      </c>
      <c r="FE2217" s="1" t="s">
        <v>975</v>
      </c>
      <c r="FF2217" s="1" t="s">
        <v>248</v>
      </c>
      <c r="FH2217" s="1" t="s">
        <v>442</v>
      </c>
      <c r="FL2217" s="1" t="s">
        <v>358</v>
      </c>
      <c r="FM2217" s="1" t="s">
        <v>252</v>
      </c>
      <c r="FN2217" s="1" t="s">
        <v>213</v>
      </c>
      <c r="FO2217" s="1" t="s">
        <v>213</v>
      </c>
      <c r="FQ2217" s="1" t="s">
        <v>582</v>
      </c>
      <c r="FR2217" s="1" t="s">
        <v>652</v>
      </c>
      <c r="FS2217" s="1" t="s">
        <v>552</v>
      </c>
      <c r="FT2217" s="1" t="s">
        <v>584</v>
      </c>
      <c r="FU2217" s="1" t="s">
        <v>204</v>
      </c>
      <c r="FW2217" s="1" t="s">
        <v>9823</v>
      </c>
      <c r="FX2217" s="1">
        <v>93162</v>
      </c>
      <c r="FY2217" s="1" t="s">
        <v>9824</v>
      </c>
      <c r="FZ2217" s="1" t="s">
        <v>9825</v>
      </c>
      <c r="GA2217" s="1">
        <v>931530</v>
      </c>
      <c r="GD2217" s="1" t="s">
        <v>9826</v>
      </c>
      <c r="GE2217" s="1" t="s">
        <v>776</v>
      </c>
      <c r="GI2217" s="1" t="s">
        <v>213</v>
      </c>
      <c r="GJ2217" s="1" t="s">
        <v>260</v>
      </c>
      <c r="GK2217" s="1" t="s">
        <v>210</v>
      </c>
      <c r="GL2217" s="2">
        <v>42017</v>
      </c>
      <c r="GM2217" s="1" t="s">
        <v>19282</v>
      </c>
    </row>
    <row r="2218" spans="1:195">
      <c r="A2218" s="1">
        <v>144900</v>
      </c>
      <c r="B2218" s="1" t="s">
        <v>195</v>
      </c>
      <c r="C2218" s="1" t="str">
        <f>"08753035"</f>
        <v>08753035</v>
      </c>
      <c r="D2218" s="1" t="s">
        <v>196</v>
      </c>
      <c r="F2218" s="1" t="str">
        <f>"107"</f>
        <v>107</v>
      </c>
      <c r="G2218" s="2">
        <v>41926</v>
      </c>
      <c r="H2218" s="1">
        <v>189900</v>
      </c>
      <c r="I2218" s="1">
        <v>149900</v>
      </c>
      <c r="J2218" s="1">
        <v>144900</v>
      </c>
      <c r="K2218" s="2">
        <v>41926</v>
      </c>
      <c r="L2218" s="1">
        <v>105</v>
      </c>
      <c r="M2218" s="2">
        <v>42030</v>
      </c>
      <c r="N2218" s="1">
        <v>105</v>
      </c>
      <c r="O2218" s="2">
        <v>42030</v>
      </c>
      <c r="P2218" s="1">
        <v>1166</v>
      </c>
      <c r="Q2218" s="1" t="s">
        <v>423</v>
      </c>
      <c r="R2218" s="2">
        <v>42083</v>
      </c>
      <c r="S2218" s="1">
        <v>923027</v>
      </c>
      <c r="U2218" s="1">
        <v>115</v>
      </c>
      <c r="V2218" s="1" t="s">
        <v>19700</v>
      </c>
      <c r="W2218" s="1" t="s">
        <v>504</v>
      </c>
      <c r="Y2218" s="1">
        <v>6</v>
      </c>
      <c r="Z2218" s="1" t="s">
        <v>370</v>
      </c>
      <c r="AA2218" s="1" t="s">
        <v>1211</v>
      </c>
      <c r="AB2218" s="1">
        <v>60107</v>
      </c>
      <c r="AD2218" s="1" t="s">
        <v>19701</v>
      </c>
      <c r="AE2218" s="1" t="s">
        <v>19702</v>
      </c>
      <c r="AF2218" s="1">
        <v>2002</v>
      </c>
      <c r="AG2218" s="1" t="s">
        <v>204</v>
      </c>
      <c r="AH2218" s="1" t="s">
        <v>1214</v>
      </c>
      <c r="AI2218" s="1" t="s">
        <v>310</v>
      </c>
      <c r="AJ2218" s="1" t="s">
        <v>374</v>
      </c>
      <c r="AL2218" s="1">
        <v>7</v>
      </c>
      <c r="AM2218" s="1">
        <v>2</v>
      </c>
      <c r="AN2218" s="1">
        <v>2</v>
      </c>
      <c r="AO2218" s="1">
        <v>1</v>
      </c>
      <c r="AP2218" s="1" t="s">
        <v>209</v>
      </c>
      <c r="AQ2218" s="1">
        <v>2</v>
      </c>
      <c r="AR2218" s="1" t="s">
        <v>209</v>
      </c>
      <c r="AS2218" s="1" t="s">
        <v>204</v>
      </c>
      <c r="AT2218" s="1" t="s">
        <v>211</v>
      </c>
      <c r="AU2218" s="1">
        <v>2</v>
      </c>
      <c r="AW2218" s="1" t="s">
        <v>204</v>
      </c>
      <c r="AX2218" s="1" t="s">
        <v>212</v>
      </c>
      <c r="AZ2218" s="1">
        <v>3541.23</v>
      </c>
      <c r="BA2218" s="1">
        <v>2012</v>
      </c>
      <c r="BB2218" s="1" t="s">
        <v>405</v>
      </c>
      <c r="BE2218" s="1">
        <v>1800</v>
      </c>
      <c r="BF2218" s="1">
        <v>2</v>
      </c>
      <c r="BG2218" s="1">
        <v>30</v>
      </c>
      <c r="BL2218" s="1">
        <v>199</v>
      </c>
      <c r="BM2218" s="1" t="s">
        <v>204</v>
      </c>
      <c r="BN2218" s="1" t="s">
        <v>213</v>
      </c>
      <c r="BO2218" s="1" t="s">
        <v>432</v>
      </c>
      <c r="BP2218" s="1" t="s">
        <v>204</v>
      </c>
      <c r="BR2218" s="1" t="str">
        <f>"06261180091015"</f>
        <v>06261180091015</v>
      </c>
      <c r="BT2218" s="1" t="s">
        <v>19703</v>
      </c>
      <c r="BU2218" s="1" t="s">
        <v>1216</v>
      </c>
      <c r="BV2218" s="1" t="s">
        <v>3623</v>
      </c>
      <c r="BW2218" s="1" t="s">
        <v>1217</v>
      </c>
      <c r="BX2218" s="1">
        <v>46</v>
      </c>
      <c r="BY2218" s="1">
        <v>46</v>
      </c>
      <c r="BZ2218" s="1">
        <v>46</v>
      </c>
      <c r="CB2218" s="1" t="str">
        <f>"9"</f>
        <v>9</v>
      </c>
      <c r="CC2218" s="1" t="str">
        <f>"0"</f>
        <v>0</v>
      </c>
      <c r="CD2218" s="1">
        <v>28</v>
      </c>
      <c r="CE2218" s="1">
        <v>0</v>
      </c>
      <c r="CG2218" s="1" t="s">
        <v>1267</v>
      </c>
      <c r="CH2218" s="1" t="s">
        <v>219</v>
      </c>
      <c r="CI2218" s="1" t="s">
        <v>226</v>
      </c>
      <c r="CJ2218" s="1" t="s">
        <v>252</v>
      </c>
      <c r="CK2218" s="1" t="s">
        <v>437</v>
      </c>
      <c r="CL2218" s="1" t="s">
        <v>219</v>
      </c>
      <c r="CM2218" s="1" t="s">
        <v>220</v>
      </c>
      <c r="CN2218" s="1" t="s">
        <v>252</v>
      </c>
      <c r="CO2218" s="1" t="s">
        <v>1297</v>
      </c>
      <c r="CP2218" s="1" t="s">
        <v>219</v>
      </c>
      <c r="CQ2218" s="1" t="s">
        <v>226</v>
      </c>
      <c r="CR2218" s="1" t="s">
        <v>252</v>
      </c>
      <c r="CS2218" s="1" t="s">
        <v>465</v>
      </c>
      <c r="CT2218" s="1" t="s">
        <v>822</v>
      </c>
      <c r="CU2218" s="1" t="s">
        <v>220</v>
      </c>
      <c r="CV2218" s="1" t="s">
        <v>252</v>
      </c>
      <c r="CX2218" s="1" t="s">
        <v>224</v>
      </c>
      <c r="DB2218" s="1" t="s">
        <v>224</v>
      </c>
      <c r="DE2218" s="1" t="s">
        <v>786</v>
      </c>
      <c r="DF2218" s="1" t="s">
        <v>219</v>
      </c>
      <c r="DG2218" s="1" t="s">
        <v>226</v>
      </c>
      <c r="DH2218" s="1" t="s">
        <v>252</v>
      </c>
      <c r="DI2218" s="1" t="s">
        <v>862</v>
      </c>
      <c r="DJ2218" s="1" t="s">
        <v>822</v>
      </c>
      <c r="DK2218" s="1" t="s">
        <v>438</v>
      </c>
      <c r="DL2218" s="1" t="s">
        <v>343</v>
      </c>
      <c r="DM2218" s="1" t="s">
        <v>1005</v>
      </c>
      <c r="DR2218" s="1" t="s">
        <v>1297</v>
      </c>
      <c r="DS2218" s="1" t="s">
        <v>219</v>
      </c>
      <c r="DT2218" s="1" t="s">
        <v>220</v>
      </c>
      <c r="DU2218" s="1" t="s">
        <v>210</v>
      </c>
      <c r="DW2218" s="1" t="s">
        <v>230</v>
      </c>
      <c r="EA2218" s="1" t="s">
        <v>230</v>
      </c>
      <c r="EE2218" s="1" t="s">
        <v>230</v>
      </c>
      <c r="EI2218" s="1" t="s">
        <v>230</v>
      </c>
      <c r="EL2218" s="1" t="s">
        <v>466</v>
      </c>
      <c r="EM2218" s="1" t="s">
        <v>319</v>
      </c>
      <c r="EN2218" s="1" t="s">
        <v>282</v>
      </c>
      <c r="EO2218" s="1" t="s">
        <v>234</v>
      </c>
      <c r="EQ2218" s="1" t="s">
        <v>236</v>
      </c>
      <c r="ER2218" s="1" t="s">
        <v>1249</v>
      </c>
      <c r="ES2218" s="1" t="s">
        <v>608</v>
      </c>
      <c r="ET2218" s="1" t="s">
        <v>1161</v>
      </c>
      <c r="EV2218" s="1" t="s">
        <v>352</v>
      </c>
      <c r="EW2218" s="1" t="s">
        <v>1219</v>
      </c>
      <c r="EY2218" s="1" t="s">
        <v>242</v>
      </c>
      <c r="EZ2218" s="1" t="s">
        <v>1005</v>
      </c>
      <c r="FD2218" s="1" t="s">
        <v>246</v>
      </c>
      <c r="FE2218" s="1" t="s">
        <v>386</v>
      </c>
      <c r="FF2218" s="1" t="s">
        <v>248</v>
      </c>
      <c r="FG2218" s="1" t="s">
        <v>1204</v>
      </c>
      <c r="FH2218" s="1" t="s">
        <v>550</v>
      </c>
      <c r="FI2218" s="1" t="s">
        <v>473</v>
      </c>
      <c r="FL2218" s="1" t="s">
        <v>358</v>
      </c>
      <c r="FM2218" s="1" t="s">
        <v>252</v>
      </c>
      <c r="FN2218" s="1" t="s">
        <v>213</v>
      </c>
      <c r="FO2218" s="1" t="s">
        <v>213</v>
      </c>
      <c r="FQ2218" s="1" t="s">
        <v>1300</v>
      </c>
      <c r="FR2218" s="1" t="s">
        <v>210</v>
      </c>
      <c r="FS2218" s="1" t="s">
        <v>1827</v>
      </c>
      <c r="FT2218" s="1" t="s">
        <v>1828</v>
      </c>
      <c r="FU2218" s="1" t="s">
        <v>204</v>
      </c>
      <c r="FW2218" s="1" t="s">
        <v>1097</v>
      </c>
      <c r="FX2218" s="1">
        <v>8094</v>
      </c>
      <c r="FY2218" s="1" t="s">
        <v>1829</v>
      </c>
      <c r="FZ2218" s="1" t="s">
        <v>1830</v>
      </c>
      <c r="GA2218" s="1">
        <v>28736</v>
      </c>
      <c r="GB2218" s="1" t="s">
        <v>1831</v>
      </c>
      <c r="GE2218" s="1" t="s">
        <v>480</v>
      </c>
      <c r="GI2218" s="1" t="s">
        <v>204</v>
      </c>
      <c r="GJ2218" s="1" t="s">
        <v>260</v>
      </c>
      <c r="GK2218" s="1" t="s">
        <v>210</v>
      </c>
      <c r="GL2218" s="2">
        <v>42083</v>
      </c>
      <c r="GM2218" s="1" t="s">
        <v>19704</v>
      </c>
    </row>
    <row r="2219" spans="1:195">
      <c r="A2219" s="1">
        <v>335860</v>
      </c>
      <c r="B2219" s="1" t="s">
        <v>195</v>
      </c>
      <c r="C2219" s="1" t="str">
        <f>"08756701"</f>
        <v>08756701</v>
      </c>
      <c r="D2219" s="1" t="s">
        <v>196</v>
      </c>
      <c r="F2219" s="1" t="str">
        <f>"134"</f>
        <v>134</v>
      </c>
      <c r="G2219" s="2">
        <v>41932</v>
      </c>
      <c r="H2219" s="1">
        <v>329376</v>
      </c>
      <c r="I2219" s="1">
        <v>329376</v>
      </c>
      <c r="J2219" s="1">
        <v>335860</v>
      </c>
      <c r="K2219" s="2">
        <v>41931</v>
      </c>
      <c r="L2219" s="1">
        <v>64</v>
      </c>
      <c r="M2219" s="2">
        <v>41994</v>
      </c>
      <c r="N2219" s="1">
        <v>64</v>
      </c>
      <c r="O2219" s="2">
        <v>41994</v>
      </c>
      <c r="P2219" s="1">
        <v>25200</v>
      </c>
      <c r="Q2219" s="1" t="s">
        <v>197</v>
      </c>
      <c r="R2219" s="2">
        <v>42023</v>
      </c>
      <c r="S2219" s="1">
        <v>255045</v>
      </c>
      <c r="U2219" s="1">
        <v>119</v>
      </c>
      <c r="V2219" s="1" t="s">
        <v>19705</v>
      </c>
      <c r="W2219" s="1" t="s">
        <v>725</v>
      </c>
      <c r="Y2219" s="1">
        <v>2</v>
      </c>
      <c r="Z2219" s="1" t="s">
        <v>200</v>
      </c>
      <c r="AA2219" s="1" t="s">
        <v>661</v>
      </c>
      <c r="AB2219" s="1">
        <v>60134</v>
      </c>
      <c r="AE2219" s="1" t="s">
        <v>19706</v>
      </c>
      <c r="AF2219" s="1">
        <v>2014</v>
      </c>
      <c r="AG2219" s="1" t="s">
        <v>204</v>
      </c>
      <c r="AH2219" s="1" t="s">
        <v>664</v>
      </c>
      <c r="AI2219" s="1" t="s">
        <v>665</v>
      </c>
      <c r="AJ2219" s="1" t="s">
        <v>664</v>
      </c>
      <c r="AL2219" s="1">
        <v>8</v>
      </c>
      <c r="AM2219" s="1">
        <v>2</v>
      </c>
      <c r="AN2219" s="1">
        <v>3</v>
      </c>
      <c r="AO2219" s="1">
        <v>1</v>
      </c>
      <c r="AP2219" s="1" t="s">
        <v>209</v>
      </c>
      <c r="AQ2219" s="1">
        <v>1</v>
      </c>
      <c r="AR2219" s="1" t="s">
        <v>209</v>
      </c>
      <c r="AS2219" s="1" t="s">
        <v>213</v>
      </c>
      <c r="AT2219" s="1" t="s">
        <v>211</v>
      </c>
      <c r="AU2219" s="1">
        <v>1</v>
      </c>
      <c r="AW2219" s="1" t="s">
        <v>204</v>
      </c>
      <c r="AX2219" s="1" t="s">
        <v>212</v>
      </c>
      <c r="AZ2219" s="1" t="s">
        <v>751</v>
      </c>
      <c r="BA2219" s="1">
        <v>2012</v>
      </c>
      <c r="BE2219" s="1">
        <v>1844</v>
      </c>
      <c r="BF2219" s="1">
        <v>1</v>
      </c>
      <c r="BG2219" s="1">
        <v>0</v>
      </c>
      <c r="BL2219" s="1">
        <v>150</v>
      </c>
      <c r="BM2219" s="1" t="s">
        <v>204</v>
      </c>
      <c r="BN2219" s="1" t="s">
        <v>213</v>
      </c>
      <c r="BO2219" s="1" t="s">
        <v>2932</v>
      </c>
      <c r="BP2219" s="1" t="s">
        <v>213</v>
      </c>
      <c r="BQ2219" s="2">
        <v>42076</v>
      </c>
      <c r="BR2219" s="1" t="str">
        <f>"1203429025"</f>
        <v>1203429025</v>
      </c>
      <c r="BT2219" s="1" t="s">
        <v>19707</v>
      </c>
      <c r="BX2219" s="1">
        <v>304</v>
      </c>
      <c r="BY2219" s="1">
        <v>304</v>
      </c>
      <c r="BZ2219" s="1">
        <v>304</v>
      </c>
      <c r="CB2219" s="1" t="str">
        <f t="shared" ref="CB2219:CC2219" si="1699">""</f>
        <v/>
      </c>
      <c r="CC2219" s="1" t="str">
        <f t="shared" si="1699"/>
        <v/>
      </c>
      <c r="CH2219" s="1" t="s">
        <v>224</v>
      </c>
      <c r="CK2219" s="1" t="s">
        <v>2511</v>
      </c>
      <c r="CL2219" s="1" t="s">
        <v>277</v>
      </c>
      <c r="CM2219" s="1" t="s">
        <v>220</v>
      </c>
      <c r="CN2219" s="1" t="s">
        <v>210</v>
      </c>
      <c r="CO2219" s="1" t="s">
        <v>7355</v>
      </c>
      <c r="CP2219" s="1" t="s">
        <v>219</v>
      </c>
      <c r="CQ2219" s="1" t="s">
        <v>438</v>
      </c>
      <c r="CR2219" s="1" t="s">
        <v>210</v>
      </c>
      <c r="CS2219" s="1" t="s">
        <v>1469</v>
      </c>
      <c r="CT2219" s="1" t="s">
        <v>277</v>
      </c>
      <c r="CU2219" s="1" t="s">
        <v>220</v>
      </c>
      <c r="CV2219" s="1" t="s">
        <v>210</v>
      </c>
      <c r="CW2219" s="1" t="s">
        <v>408</v>
      </c>
      <c r="CX2219" s="1" t="s">
        <v>43</v>
      </c>
      <c r="CY2219" s="1" t="s">
        <v>220</v>
      </c>
      <c r="CZ2219" s="1" t="s">
        <v>210</v>
      </c>
      <c r="DB2219" s="1" t="s">
        <v>224</v>
      </c>
      <c r="DE2219" s="1" t="s">
        <v>2466</v>
      </c>
      <c r="DF2219" s="1" t="s">
        <v>219</v>
      </c>
      <c r="DG2219" s="1" t="s">
        <v>438</v>
      </c>
      <c r="DH2219" s="1" t="s">
        <v>210</v>
      </c>
      <c r="DI2219" s="1" t="s">
        <v>4556</v>
      </c>
      <c r="DJ2219" s="1" t="s">
        <v>219</v>
      </c>
      <c r="DK2219" s="1" t="s">
        <v>438</v>
      </c>
      <c r="DL2219" s="1" t="s">
        <v>210</v>
      </c>
      <c r="DM2219" s="1" t="s">
        <v>1005</v>
      </c>
      <c r="DN2219" s="1" t="s">
        <v>934</v>
      </c>
      <c r="DR2219" s="1" t="s">
        <v>951</v>
      </c>
      <c r="DS2219" s="1" t="s">
        <v>219</v>
      </c>
      <c r="DT2219" s="1" t="s">
        <v>438</v>
      </c>
      <c r="DU2219" s="1" t="s">
        <v>210</v>
      </c>
      <c r="DV2219" s="1" t="s">
        <v>5955</v>
      </c>
      <c r="DW2219" s="1" t="s">
        <v>43</v>
      </c>
      <c r="DX2219" s="1" t="s">
        <v>220</v>
      </c>
      <c r="DY2219" s="1" t="s">
        <v>210</v>
      </c>
      <c r="EA2219" s="1" t="s">
        <v>230</v>
      </c>
      <c r="EE2219" s="1" t="s">
        <v>230</v>
      </c>
      <c r="EI2219" s="1" t="s">
        <v>230</v>
      </c>
      <c r="EL2219" s="1" t="s">
        <v>760</v>
      </c>
      <c r="EM2219" s="1" t="s">
        <v>319</v>
      </c>
      <c r="EN2219" s="1" t="s">
        <v>282</v>
      </c>
      <c r="EO2219" s="1" t="s">
        <v>234</v>
      </c>
      <c r="EQ2219" s="1" t="s">
        <v>4356</v>
      </c>
      <c r="ER2219" s="1" t="s">
        <v>544</v>
      </c>
      <c r="ES2219" s="1" t="s">
        <v>865</v>
      </c>
      <c r="EU2219" s="1" t="s">
        <v>239</v>
      </c>
      <c r="EW2219" s="1" t="s">
        <v>353</v>
      </c>
      <c r="EY2219" s="1" t="s">
        <v>1315</v>
      </c>
      <c r="EZ2219" s="1" t="s">
        <v>2539</v>
      </c>
      <c r="FC2219" s="1" t="s">
        <v>1405</v>
      </c>
      <c r="FD2219" s="1" t="s">
        <v>246</v>
      </c>
      <c r="FE2219" s="1" t="s">
        <v>975</v>
      </c>
      <c r="FF2219" s="1" t="s">
        <v>248</v>
      </c>
      <c r="FH2219" s="1" t="s">
        <v>442</v>
      </c>
      <c r="FI2219" s="1" t="s">
        <v>473</v>
      </c>
      <c r="FJ2219" s="1" t="s">
        <v>518</v>
      </c>
      <c r="FL2219" s="1" t="s">
        <v>414</v>
      </c>
      <c r="FM2219" s="1" t="s">
        <v>252</v>
      </c>
      <c r="FN2219" s="1" t="s">
        <v>213</v>
      </c>
      <c r="FO2219" s="1" t="s">
        <v>213</v>
      </c>
      <c r="FQ2219" s="1" t="s">
        <v>849</v>
      </c>
      <c r="FR2219" s="1" t="s">
        <v>210</v>
      </c>
      <c r="FS2219" s="1" t="s">
        <v>19708</v>
      </c>
      <c r="FT2219" s="1" t="s">
        <v>19709</v>
      </c>
      <c r="FU2219" s="1" t="s">
        <v>204</v>
      </c>
      <c r="FW2219" s="1" t="s">
        <v>19710</v>
      </c>
      <c r="FX2219" s="1">
        <v>85399</v>
      </c>
      <c r="FY2219" s="1" t="s">
        <v>19711</v>
      </c>
      <c r="FZ2219" s="1" t="s">
        <v>19712</v>
      </c>
      <c r="GA2219" s="1">
        <v>189649</v>
      </c>
      <c r="GB2219" s="1" t="s">
        <v>19711</v>
      </c>
      <c r="GE2219" s="1" t="s">
        <v>1256</v>
      </c>
      <c r="GI2219" s="1" t="s">
        <v>204</v>
      </c>
      <c r="GJ2219" s="1" t="s">
        <v>260</v>
      </c>
      <c r="GK2219" s="1" t="s">
        <v>210</v>
      </c>
      <c r="GL2219" s="2">
        <v>42095</v>
      </c>
      <c r="GM2219" s="1" t="s">
        <v>19713</v>
      </c>
    </row>
    <row r="2220" spans="1:195">
      <c r="A2220" s="1">
        <v>62000</v>
      </c>
      <c r="B2220" s="1" t="s">
        <v>195</v>
      </c>
      <c r="C2220" s="1" t="str">
        <f>"08758321"</f>
        <v>08758321</v>
      </c>
      <c r="D2220" s="1" t="s">
        <v>196</v>
      </c>
      <c r="F2220" s="1" t="str">
        <f>"107"</f>
        <v>107</v>
      </c>
      <c r="G2220" s="2">
        <v>41933</v>
      </c>
      <c r="H2220" s="1">
        <v>55900</v>
      </c>
      <c r="I2220" s="1">
        <v>55900</v>
      </c>
      <c r="J2220" s="1">
        <v>62000</v>
      </c>
      <c r="K2220" s="2">
        <v>41933</v>
      </c>
      <c r="L2220" s="1">
        <v>22</v>
      </c>
      <c r="M2220" s="2">
        <v>41954</v>
      </c>
      <c r="N2220" s="1">
        <v>22</v>
      </c>
      <c r="O2220" s="2">
        <v>41954</v>
      </c>
      <c r="P2220" s="1">
        <v>85413</v>
      </c>
      <c r="Q2220" s="1" t="s">
        <v>302</v>
      </c>
      <c r="R2220" s="2">
        <v>41995</v>
      </c>
      <c r="S2220" s="1">
        <v>111010</v>
      </c>
      <c r="U2220" s="1">
        <v>1813</v>
      </c>
      <c r="V2220" s="1" t="s">
        <v>6958</v>
      </c>
      <c r="W2220" s="1" t="s">
        <v>425</v>
      </c>
      <c r="Y2220" s="1">
        <v>4</v>
      </c>
      <c r="Z2220" s="1" t="s">
        <v>370</v>
      </c>
      <c r="AA2220" s="1" t="s">
        <v>1211</v>
      </c>
      <c r="AB2220" s="1">
        <v>60107</v>
      </c>
      <c r="AD2220" s="1" t="s">
        <v>6959</v>
      </c>
      <c r="AE2220" s="1" t="s">
        <v>19714</v>
      </c>
      <c r="AF2220" s="1">
        <v>1973</v>
      </c>
      <c r="AG2220" s="1" t="s">
        <v>213</v>
      </c>
      <c r="AH2220" s="1" t="s">
        <v>1214</v>
      </c>
      <c r="AI2220" s="1" t="s">
        <v>310</v>
      </c>
      <c r="AJ2220" s="1" t="s">
        <v>374</v>
      </c>
      <c r="AL2220" s="1">
        <v>4</v>
      </c>
      <c r="AM2220" s="1">
        <v>2</v>
      </c>
      <c r="AN2220" s="1">
        <v>1</v>
      </c>
      <c r="AO2220" s="1">
        <v>1</v>
      </c>
      <c r="AP2220" s="1" t="s">
        <v>210</v>
      </c>
      <c r="AR2220" s="1" t="s">
        <v>210</v>
      </c>
      <c r="AS2220" s="1" t="s">
        <v>204</v>
      </c>
      <c r="AT2220" s="1" t="s">
        <v>271</v>
      </c>
      <c r="AV2220" s="1">
        <v>2</v>
      </c>
      <c r="AW2220" s="1" t="s">
        <v>204</v>
      </c>
      <c r="AX2220" s="1" t="s">
        <v>19715</v>
      </c>
      <c r="AZ2220" s="1">
        <v>2572.2600000000002</v>
      </c>
      <c r="BA2220" s="1">
        <v>2012</v>
      </c>
      <c r="BB2220" s="1" t="s">
        <v>210</v>
      </c>
      <c r="BE2220" s="1">
        <v>1000</v>
      </c>
      <c r="BF2220" s="1">
        <v>1</v>
      </c>
      <c r="BG2220" s="1">
        <v>0</v>
      </c>
      <c r="BL2220" s="1">
        <v>170</v>
      </c>
      <c r="BM2220" s="1" t="s">
        <v>413</v>
      </c>
      <c r="BN2220" s="1" t="s">
        <v>213</v>
      </c>
      <c r="BO2220" s="1">
        <v>0</v>
      </c>
      <c r="BP2220" s="1" t="s">
        <v>204</v>
      </c>
      <c r="BR2220" s="1" t="str">
        <f>"06361230240000"</f>
        <v>06361230240000</v>
      </c>
      <c r="BT2220" s="1" t="s">
        <v>19716</v>
      </c>
      <c r="BX2220" s="1">
        <v>46</v>
      </c>
      <c r="BY2220" s="1">
        <v>46</v>
      </c>
      <c r="BZ2220" s="1">
        <v>46</v>
      </c>
      <c r="CB2220" s="1" t="str">
        <f>"27"</f>
        <v>27</v>
      </c>
      <c r="CC2220" s="1" t="str">
        <f t="shared" ref="CC2220:CC2221" si="1700">""</f>
        <v/>
      </c>
      <c r="CD2220" s="1">
        <v>9</v>
      </c>
      <c r="CG2220" s="1" t="s">
        <v>344</v>
      </c>
      <c r="CH2220" s="1" t="s">
        <v>219</v>
      </c>
      <c r="CI2220" s="1" t="s">
        <v>220</v>
      </c>
      <c r="CJ2220" s="1" t="s">
        <v>252</v>
      </c>
      <c r="CK2220" s="1" t="s">
        <v>461</v>
      </c>
      <c r="CL2220" s="1" t="s">
        <v>277</v>
      </c>
      <c r="CM2220" s="1" t="s">
        <v>220</v>
      </c>
      <c r="CN2220" s="1" t="s">
        <v>252</v>
      </c>
      <c r="CP2220" s="1" t="s">
        <v>224</v>
      </c>
      <c r="CS2220" s="1" t="s">
        <v>346</v>
      </c>
      <c r="CT2220" s="1" t="s">
        <v>277</v>
      </c>
      <c r="CU2220" s="1" t="s">
        <v>220</v>
      </c>
      <c r="CV2220" s="1" t="s">
        <v>252</v>
      </c>
      <c r="CX2220" s="1" t="s">
        <v>224</v>
      </c>
      <c r="DB2220" s="1" t="s">
        <v>224</v>
      </c>
      <c r="DE2220" s="1" t="s">
        <v>1297</v>
      </c>
      <c r="DF2220" s="1" t="s">
        <v>219</v>
      </c>
      <c r="DG2220" s="1" t="s">
        <v>342</v>
      </c>
      <c r="DH2220" s="1" t="s">
        <v>252</v>
      </c>
      <c r="DJ2220" s="1" t="s">
        <v>224</v>
      </c>
      <c r="DS2220" s="1" t="s">
        <v>230</v>
      </c>
      <c r="DW2220" s="1" t="s">
        <v>230</v>
      </c>
      <c r="EA2220" s="1" t="s">
        <v>230</v>
      </c>
      <c r="EE2220" s="1" t="s">
        <v>230</v>
      </c>
      <c r="EI2220" s="1" t="s">
        <v>230</v>
      </c>
      <c r="EL2220" s="1" t="s">
        <v>605</v>
      </c>
      <c r="EM2220" s="1" t="s">
        <v>319</v>
      </c>
      <c r="EN2220" s="1" t="s">
        <v>282</v>
      </c>
      <c r="EO2220" s="1" t="s">
        <v>234</v>
      </c>
      <c r="ER2220" s="1" t="s">
        <v>210</v>
      </c>
      <c r="EW2220" s="1" t="s">
        <v>19717</v>
      </c>
      <c r="EZ2220" s="1" t="s">
        <v>287</v>
      </c>
      <c r="FC2220" s="1" t="s">
        <v>633</v>
      </c>
      <c r="FD2220" s="1" t="s">
        <v>246</v>
      </c>
      <c r="FE2220" s="1" t="s">
        <v>355</v>
      </c>
      <c r="FF2220" s="1" t="s">
        <v>248</v>
      </c>
      <c r="FH2220" s="1" t="s">
        <v>550</v>
      </c>
      <c r="FJ2220" s="1" t="s">
        <v>2046</v>
      </c>
      <c r="FK2220" s="1" t="s">
        <v>291</v>
      </c>
      <c r="FL2220" s="1" t="s">
        <v>414</v>
      </c>
      <c r="FM2220" s="1" t="s">
        <v>252</v>
      </c>
      <c r="FN2220" s="1" t="s">
        <v>213</v>
      </c>
      <c r="FO2220" s="1" t="s">
        <v>213</v>
      </c>
      <c r="FQ2220" s="1" t="s">
        <v>849</v>
      </c>
      <c r="FR2220" s="1" t="s">
        <v>210</v>
      </c>
      <c r="FS2220" s="1" t="s">
        <v>12383</v>
      </c>
      <c r="FT2220" s="1" t="s">
        <v>1408</v>
      </c>
      <c r="FU2220" s="1" t="s">
        <v>204</v>
      </c>
      <c r="FW2220" s="1" t="s">
        <v>813</v>
      </c>
      <c r="FX2220" s="1">
        <v>5152</v>
      </c>
      <c r="FY2220" s="1" t="s">
        <v>6427</v>
      </c>
      <c r="FZ2220" s="1" t="s">
        <v>6428</v>
      </c>
      <c r="GA2220" s="1">
        <v>55298</v>
      </c>
      <c r="GB2220" s="1" t="s">
        <v>6429</v>
      </c>
      <c r="GC2220" s="1">
        <v>55332</v>
      </c>
      <c r="GD2220" s="1" t="s">
        <v>6430</v>
      </c>
      <c r="GE2220" s="1" t="s">
        <v>480</v>
      </c>
      <c r="GI2220" s="1" t="s">
        <v>213</v>
      </c>
      <c r="GJ2220" s="1" t="s">
        <v>260</v>
      </c>
      <c r="GK2220" s="1" t="s">
        <v>210</v>
      </c>
      <c r="GL2220" s="2">
        <v>41995</v>
      </c>
      <c r="GM2220" s="1" t="s">
        <v>19718</v>
      </c>
    </row>
    <row r="2221" spans="1:195">
      <c r="A2221" s="1">
        <v>74900</v>
      </c>
      <c r="B2221" s="1" t="s">
        <v>195</v>
      </c>
      <c r="C2221" s="1" t="str">
        <f>"08754468"</f>
        <v>08754468</v>
      </c>
      <c r="D2221" s="1" t="s">
        <v>196</v>
      </c>
      <c r="F2221" s="1" t="str">
        <f>"103"</f>
        <v>103</v>
      </c>
      <c r="G2221" s="2">
        <v>41928</v>
      </c>
      <c r="H2221" s="1">
        <v>74900</v>
      </c>
      <c r="I2221" s="1">
        <v>74900</v>
      </c>
      <c r="J2221" s="1">
        <v>74900</v>
      </c>
      <c r="K2221" s="2">
        <v>41928</v>
      </c>
      <c r="L2221" s="1">
        <v>35</v>
      </c>
      <c r="M2221" s="2">
        <v>41962</v>
      </c>
      <c r="N2221" s="1">
        <v>35</v>
      </c>
      <c r="O2221" s="2">
        <v>41962</v>
      </c>
      <c r="P2221" s="1">
        <v>18267</v>
      </c>
      <c r="Q2221" s="1" t="s">
        <v>302</v>
      </c>
      <c r="R2221" s="2">
        <v>42055</v>
      </c>
      <c r="S2221" s="1">
        <v>161392</v>
      </c>
      <c r="U2221" s="1">
        <v>1341</v>
      </c>
      <c r="V2221" s="1" t="s">
        <v>2024</v>
      </c>
      <c r="W2221" s="1" t="s">
        <v>264</v>
      </c>
      <c r="X2221" s="1">
        <v>4</v>
      </c>
      <c r="Y2221" s="1">
        <v>4</v>
      </c>
      <c r="Z2221" s="1" t="s">
        <v>249</v>
      </c>
      <c r="AA2221" s="1" t="s">
        <v>337</v>
      </c>
      <c r="AB2221" s="1">
        <v>60133</v>
      </c>
      <c r="AD2221" s="1" t="s">
        <v>19719</v>
      </c>
      <c r="AE2221" s="1" t="s">
        <v>19720</v>
      </c>
      <c r="AF2221" s="1">
        <v>1975</v>
      </c>
      <c r="AG2221" s="1" t="s">
        <v>213</v>
      </c>
      <c r="AH2221" s="1" t="s">
        <v>339</v>
      </c>
      <c r="AI2221" s="1" t="s">
        <v>310</v>
      </c>
      <c r="AJ2221" s="1" t="s">
        <v>1717</v>
      </c>
      <c r="AL2221" s="1">
        <v>4</v>
      </c>
      <c r="AM2221" s="1">
        <v>2</v>
      </c>
      <c r="AN2221" s="1">
        <v>1</v>
      </c>
      <c r="AO2221" s="1">
        <v>0</v>
      </c>
      <c r="AP2221" s="1" t="s">
        <v>210</v>
      </c>
      <c r="AQ2221" s="1">
        <v>0</v>
      </c>
      <c r="AR2221" s="1" t="s">
        <v>210</v>
      </c>
      <c r="AS2221" s="1" t="s">
        <v>204</v>
      </c>
      <c r="AT2221" s="1" t="s">
        <v>211</v>
      </c>
      <c r="AU2221" s="1">
        <v>1</v>
      </c>
      <c r="AW2221" s="1" t="s">
        <v>204</v>
      </c>
      <c r="AX2221" s="1" t="s">
        <v>212</v>
      </c>
      <c r="AZ2221" s="1">
        <v>2109</v>
      </c>
      <c r="BA2221" s="1">
        <v>2012</v>
      </c>
      <c r="BB2221" s="1" t="s">
        <v>405</v>
      </c>
      <c r="BE2221" s="1">
        <v>0</v>
      </c>
      <c r="BF2221" s="1">
        <v>2</v>
      </c>
      <c r="BG2221" s="1">
        <v>15</v>
      </c>
      <c r="BJ2221" s="1">
        <v>50</v>
      </c>
      <c r="BK2221" s="1">
        <v>50</v>
      </c>
      <c r="BL2221" s="1">
        <v>213</v>
      </c>
      <c r="BM2221" s="1" t="s">
        <v>204</v>
      </c>
      <c r="BN2221" s="1" t="s">
        <v>213</v>
      </c>
      <c r="BO2221" s="1">
        <v>999</v>
      </c>
      <c r="BP2221" s="1" t="s">
        <v>204</v>
      </c>
      <c r="BR2221" s="1" t="str">
        <f>"07303002310100"</f>
        <v>07303002310100</v>
      </c>
      <c r="BT2221" s="1" t="s">
        <v>19721</v>
      </c>
      <c r="BU2221" s="1" t="s">
        <v>2029</v>
      </c>
      <c r="BV2221" s="1" t="s">
        <v>1721</v>
      </c>
      <c r="BW2221" s="1" t="s">
        <v>2030</v>
      </c>
      <c r="BX2221" s="1">
        <v>54</v>
      </c>
      <c r="BY2221" s="1">
        <v>54</v>
      </c>
      <c r="BZ2221" s="1">
        <v>211</v>
      </c>
      <c r="CB2221" s="1" t="str">
        <f>"9"</f>
        <v>9</v>
      </c>
      <c r="CC2221" s="1" t="str">
        <f t="shared" si="1700"/>
        <v/>
      </c>
      <c r="CD2221" s="1">
        <v>26</v>
      </c>
      <c r="CG2221" s="1" t="s">
        <v>648</v>
      </c>
      <c r="CH2221" s="1" t="s">
        <v>277</v>
      </c>
      <c r="CI2221" s="1" t="s">
        <v>220</v>
      </c>
      <c r="CJ2221" s="1" t="s">
        <v>343</v>
      </c>
      <c r="CK2221" s="1" t="s">
        <v>539</v>
      </c>
      <c r="CL2221" s="1" t="s">
        <v>277</v>
      </c>
      <c r="CM2221" s="1" t="s">
        <v>220</v>
      </c>
      <c r="CN2221" s="1" t="s">
        <v>463</v>
      </c>
      <c r="CP2221" s="1" t="s">
        <v>224</v>
      </c>
      <c r="CS2221" s="1" t="s">
        <v>837</v>
      </c>
      <c r="CT2221" s="1" t="s">
        <v>277</v>
      </c>
      <c r="CU2221" s="1" t="s">
        <v>220</v>
      </c>
      <c r="CV2221" s="1" t="s">
        <v>463</v>
      </c>
      <c r="CX2221" s="1" t="s">
        <v>224</v>
      </c>
      <c r="DB2221" s="1" t="s">
        <v>224</v>
      </c>
      <c r="DE2221" s="1" t="s">
        <v>380</v>
      </c>
      <c r="DF2221" s="1" t="s">
        <v>277</v>
      </c>
      <c r="DG2221" s="1" t="s">
        <v>342</v>
      </c>
      <c r="DH2221" s="1" t="s">
        <v>343</v>
      </c>
      <c r="DJ2221" s="1" t="s">
        <v>224</v>
      </c>
      <c r="DM2221" s="1" t="s">
        <v>709</v>
      </c>
      <c r="DR2221" s="1" t="s">
        <v>2968</v>
      </c>
      <c r="DS2221" s="1" t="s">
        <v>277</v>
      </c>
      <c r="DT2221" s="1" t="s">
        <v>226</v>
      </c>
      <c r="DU2221" s="1" t="s">
        <v>463</v>
      </c>
      <c r="DW2221" s="1" t="s">
        <v>230</v>
      </c>
      <c r="EA2221" s="1" t="s">
        <v>230</v>
      </c>
      <c r="EE2221" s="1" t="s">
        <v>230</v>
      </c>
      <c r="EI2221" s="1" t="s">
        <v>230</v>
      </c>
      <c r="EL2221" s="1" t="s">
        <v>231</v>
      </c>
      <c r="EM2221" s="1" t="s">
        <v>232</v>
      </c>
      <c r="EN2221" s="1" t="s">
        <v>282</v>
      </c>
      <c r="EO2221" s="1" t="s">
        <v>234</v>
      </c>
      <c r="EP2221" s="1" t="s">
        <v>650</v>
      </c>
      <c r="EQ2221" s="1" t="s">
        <v>3718</v>
      </c>
      <c r="ER2221" s="1" t="s">
        <v>210</v>
      </c>
      <c r="ES2221" s="1" t="s">
        <v>1160</v>
      </c>
      <c r="EU2221" s="1" t="s">
        <v>6227</v>
      </c>
      <c r="EV2221" s="1" t="s">
        <v>240</v>
      </c>
      <c r="EW2221" s="1" t="s">
        <v>1219</v>
      </c>
      <c r="EY2221" s="1" t="s">
        <v>1315</v>
      </c>
      <c r="EZ2221" s="1" t="s">
        <v>709</v>
      </c>
      <c r="FA2221" s="1" t="s">
        <v>1427</v>
      </c>
      <c r="FB2221" s="1" t="s">
        <v>289</v>
      </c>
      <c r="FC2221" s="1" t="s">
        <v>326</v>
      </c>
      <c r="FD2221" s="1" t="s">
        <v>246</v>
      </c>
      <c r="FE2221" s="1" t="s">
        <v>2623</v>
      </c>
      <c r="FF2221" s="1" t="s">
        <v>248</v>
      </c>
      <c r="FH2221" s="1" t="s">
        <v>249</v>
      </c>
      <c r="FJ2221" s="1" t="s">
        <v>1472</v>
      </c>
      <c r="FL2221" s="1" t="s">
        <v>358</v>
      </c>
      <c r="FM2221" s="1" t="s">
        <v>252</v>
      </c>
      <c r="FN2221" s="1" t="s">
        <v>213</v>
      </c>
      <c r="FO2221" s="1" t="s">
        <v>213</v>
      </c>
      <c r="FQ2221" s="1" t="s">
        <v>359</v>
      </c>
      <c r="FR2221" s="1" t="s">
        <v>360</v>
      </c>
      <c r="FS2221" s="1" t="s">
        <v>19722</v>
      </c>
      <c r="FT2221" s="1" t="s">
        <v>295</v>
      </c>
      <c r="FU2221" s="1" t="s">
        <v>204</v>
      </c>
      <c r="FW2221" s="1" t="s">
        <v>585</v>
      </c>
      <c r="FX2221" s="1">
        <v>8012</v>
      </c>
      <c r="FY2221" s="1" t="s">
        <v>7225</v>
      </c>
      <c r="FZ2221" s="1" t="s">
        <v>19723</v>
      </c>
      <c r="GA2221" s="1">
        <v>81614</v>
      </c>
      <c r="GB2221" s="1" t="s">
        <v>19724</v>
      </c>
      <c r="GE2221" s="1" t="s">
        <v>480</v>
      </c>
      <c r="GI2221" s="1" t="s">
        <v>213</v>
      </c>
      <c r="GJ2221" s="1" t="s">
        <v>260</v>
      </c>
      <c r="GK2221" s="1" t="s">
        <v>210</v>
      </c>
      <c r="GL2221" s="2">
        <v>42055</v>
      </c>
      <c r="GM2221" s="1" t="s">
        <v>397</v>
      </c>
    </row>
    <row r="2222" spans="1:195">
      <c r="A2222" s="1">
        <v>99000</v>
      </c>
      <c r="B2222" s="1" t="s">
        <v>195</v>
      </c>
      <c r="C2222" s="1" t="str">
        <f>"08754111"</f>
        <v>08754111</v>
      </c>
      <c r="D2222" s="1" t="s">
        <v>196</v>
      </c>
      <c r="F2222" s="1" t="str">
        <f>"532"</f>
        <v>532</v>
      </c>
      <c r="G2222" s="2">
        <v>41927</v>
      </c>
      <c r="H2222" s="1">
        <v>99000</v>
      </c>
      <c r="I2222" s="1">
        <v>99000</v>
      </c>
      <c r="J2222" s="1">
        <v>99000</v>
      </c>
      <c r="K2222" s="2">
        <v>41927</v>
      </c>
      <c r="L2222" s="1">
        <v>17</v>
      </c>
      <c r="M2222" s="2">
        <v>41943</v>
      </c>
      <c r="N2222" s="1">
        <v>17</v>
      </c>
      <c r="O2222" s="2">
        <v>41943</v>
      </c>
      <c r="P2222" s="1">
        <v>25005</v>
      </c>
      <c r="Q2222" s="1" t="s">
        <v>302</v>
      </c>
      <c r="R2222" s="2">
        <v>41977</v>
      </c>
      <c r="S2222" s="1">
        <v>252421</v>
      </c>
      <c r="U2222" s="1">
        <v>5820</v>
      </c>
      <c r="V2222" s="1" t="s">
        <v>6309</v>
      </c>
      <c r="W2222" s="1" t="s">
        <v>264</v>
      </c>
      <c r="X2222" s="1" t="s">
        <v>19725</v>
      </c>
      <c r="Y2222" s="1">
        <v>60</v>
      </c>
      <c r="Z2222" s="1" t="s">
        <v>249</v>
      </c>
      <c r="AA2222" s="1" t="s">
        <v>1566</v>
      </c>
      <c r="AB2222" s="1">
        <v>60532</v>
      </c>
      <c r="AD2222" s="1" t="s">
        <v>1567</v>
      </c>
      <c r="AE2222" s="1" t="s">
        <v>19726</v>
      </c>
      <c r="AF2222" s="1">
        <v>1974</v>
      </c>
      <c r="AG2222" s="1" t="s">
        <v>213</v>
      </c>
      <c r="AH2222" s="1" t="s">
        <v>882</v>
      </c>
      <c r="AI2222" s="1" t="s">
        <v>206</v>
      </c>
      <c r="AJ2222" s="1" t="s">
        <v>925</v>
      </c>
      <c r="AL2222" s="1">
        <v>5</v>
      </c>
      <c r="AM2222" s="1">
        <v>2</v>
      </c>
      <c r="AN2222" s="1">
        <v>1</v>
      </c>
      <c r="AO2222" s="1">
        <v>0</v>
      </c>
      <c r="AP2222" s="1" t="s">
        <v>210</v>
      </c>
      <c r="AQ2222" s="1">
        <v>1</v>
      </c>
      <c r="AR2222" s="1" t="s">
        <v>210</v>
      </c>
      <c r="AS2222" s="1" t="s">
        <v>204</v>
      </c>
      <c r="AT2222" s="1" t="s">
        <v>271</v>
      </c>
      <c r="AV2222" s="1">
        <v>1</v>
      </c>
      <c r="AW2222" s="1" t="s">
        <v>204</v>
      </c>
      <c r="AX2222" s="1" t="s">
        <v>212</v>
      </c>
      <c r="AZ2222" s="3">
        <v>3271</v>
      </c>
      <c r="BA2222" s="1">
        <v>2013</v>
      </c>
      <c r="BE2222" s="1">
        <v>980</v>
      </c>
      <c r="BF2222" s="1">
        <v>4</v>
      </c>
      <c r="BG2222" s="1">
        <v>10</v>
      </c>
      <c r="BL2222" s="1">
        <v>304</v>
      </c>
      <c r="BM2222" s="1" t="s">
        <v>204</v>
      </c>
      <c r="BN2222" s="1" t="s">
        <v>213</v>
      </c>
      <c r="BO2222" s="1">
        <v>999</v>
      </c>
      <c r="BP2222" s="1" t="s">
        <v>204</v>
      </c>
      <c r="BR2222" s="1" t="str">
        <f>"0815108168"</f>
        <v>0815108168</v>
      </c>
      <c r="BT2222" s="1" t="s">
        <v>19727</v>
      </c>
      <c r="BU2222" s="1" t="s">
        <v>3190</v>
      </c>
      <c r="BV2222" s="1" t="s">
        <v>2856</v>
      </c>
      <c r="BW2222" s="1" t="s">
        <v>3099</v>
      </c>
      <c r="BX2222" s="1">
        <v>68</v>
      </c>
      <c r="BY2222" s="1">
        <v>68</v>
      </c>
      <c r="BZ2222" s="1">
        <v>99</v>
      </c>
      <c r="CB2222" s="1" t="str">
        <f t="shared" ref="CB2222:CC2222" si="1701">""</f>
        <v/>
      </c>
      <c r="CC2222" s="1" t="str">
        <f t="shared" si="1701"/>
        <v/>
      </c>
      <c r="CG2222" s="1" t="s">
        <v>2934</v>
      </c>
      <c r="CH2222" s="1" t="s">
        <v>219</v>
      </c>
      <c r="CI2222" s="1" t="s">
        <v>220</v>
      </c>
      <c r="CK2222" s="1" t="s">
        <v>461</v>
      </c>
      <c r="CL2222" s="1" t="s">
        <v>219</v>
      </c>
      <c r="CM2222" s="1" t="s">
        <v>220</v>
      </c>
      <c r="CO2222" s="1" t="s">
        <v>316</v>
      </c>
      <c r="CP2222" s="1" t="s">
        <v>219</v>
      </c>
      <c r="CQ2222" s="1" t="s">
        <v>220</v>
      </c>
      <c r="CS2222" s="1" t="s">
        <v>461</v>
      </c>
      <c r="CT2222" s="1" t="s">
        <v>219</v>
      </c>
      <c r="CX2222" s="1" t="s">
        <v>224</v>
      </c>
      <c r="DB2222" s="1" t="s">
        <v>224</v>
      </c>
      <c r="DE2222" s="1" t="s">
        <v>345</v>
      </c>
      <c r="DF2222" s="1" t="s">
        <v>219</v>
      </c>
      <c r="DG2222" s="1" t="s">
        <v>226</v>
      </c>
      <c r="DJ2222" s="1" t="s">
        <v>224</v>
      </c>
      <c r="DS2222" s="1" t="s">
        <v>230</v>
      </c>
      <c r="DW2222" s="1" t="s">
        <v>230</v>
      </c>
      <c r="EA2222" s="1" t="s">
        <v>230</v>
      </c>
      <c r="EE2222" s="1" t="s">
        <v>230</v>
      </c>
      <c r="EI2222" s="1" t="s">
        <v>230</v>
      </c>
      <c r="EL2222" s="1" t="s">
        <v>231</v>
      </c>
      <c r="EM2222" s="1" t="s">
        <v>232</v>
      </c>
      <c r="EN2222" s="1" t="s">
        <v>282</v>
      </c>
      <c r="EO2222" s="1" t="s">
        <v>234</v>
      </c>
      <c r="EP2222" s="1" t="s">
        <v>19728</v>
      </c>
      <c r="EQ2222" s="1" t="s">
        <v>236</v>
      </c>
      <c r="ER2222" s="1" t="s">
        <v>210</v>
      </c>
      <c r="ES2222" s="1" t="s">
        <v>545</v>
      </c>
      <c r="ET2222" s="1" t="s">
        <v>842</v>
      </c>
      <c r="EU2222" s="1" t="s">
        <v>19729</v>
      </c>
      <c r="EW2222" s="1" t="s">
        <v>19730</v>
      </c>
      <c r="EZ2222" s="1" t="s">
        <v>287</v>
      </c>
      <c r="FC2222" s="1" t="s">
        <v>735</v>
      </c>
      <c r="FD2222" s="1" t="s">
        <v>246</v>
      </c>
      <c r="FE2222" s="1" t="s">
        <v>247</v>
      </c>
      <c r="FF2222" s="1" t="s">
        <v>3574</v>
      </c>
      <c r="FG2222" s="1" t="s">
        <v>1682</v>
      </c>
      <c r="FH2222" s="1" t="s">
        <v>1942</v>
      </c>
      <c r="FJ2222" s="1" t="s">
        <v>19731</v>
      </c>
      <c r="FK2222" s="1" t="s">
        <v>389</v>
      </c>
      <c r="FL2222" s="1" t="s">
        <v>358</v>
      </c>
      <c r="FM2222" s="1" t="s">
        <v>210</v>
      </c>
      <c r="FN2222" s="1" t="s">
        <v>204</v>
      </c>
      <c r="FO2222" s="1" t="s">
        <v>204</v>
      </c>
      <c r="FQ2222" s="1" t="s">
        <v>19732</v>
      </c>
      <c r="FR2222" s="1" t="s">
        <v>210</v>
      </c>
      <c r="FS2222" s="1" t="s">
        <v>19733</v>
      </c>
      <c r="FT2222" s="1" t="s">
        <v>295</v>
      </c>
      <c r="FU2222" s="1" t="s">
        <v>204</v>
      </c>
      <c r="FW2222" s="1" t="s">
        <v>4666</v>
      </c>
      <c r="FX2222" s="1">
        <v>25494</v>
      </c>
      <c r="FY2222" s="1" t="s">
        <v>4667</v>
      </c>
      <c r="FZ2222" s="1" t="s">
        <v>19734</v>
      </c>
      <c r="GA2222" s="1">
        <v>240108</v>
      </c>
      <c r="GE2222" s="1" t="s">
        <v>1764</v>
      </c>
      <c r="GI2222" s="1" t="s">
        <v>213</v>
      </c>
      <c r="GJ2222" s="1" t="s">
        <v>260</v>
      </c>
      <c r="GK2222" s="1" t="s">
        <v>210</v>
      </c>
      <c r="GL2222" s="2">
        <v>41978</v>
      </c>
      <c r="GM2222" s="1" t="s">
        <v>19735</v>
      </c>
    </row>
    <row r="2223" spans="1:195">
      <c r="A2223" s="1">
        <v>57500</v>
      </c>
      <c r="B2223" s="1" t="s">
        <v>195</v>
      </c>
      <c r="C2223" s="1" t="str">
        <f>"08750827"</f>
        <v>08750827</v>
      </c>
      <c r="D2223" s="1" t="s">
        <v>196</v>
      </c>
      <c r="F2223" s="1" t="str">
        <f>"118"</f>
        <v>118</v>
      </c>
      <c r="G2223" s="2">
        <v>41923</v>
      </c>
      <c r="H2223" s="1">
        <v>86000</v>
      </c>
      <c r="I2223" s="1">
        <v>86000</v>
      </c>
      <c r="J2223" s="1">
        <v>57500</v>
      </c>
      <c r="K2223" s="2">
        <v>41923</v>
      </c>
      <c r="L2223" s="1">
        <v>58</v>
      </c>
      <c r="M2223" s="2">
        <v>41980</v>
      </c>
      <c r="N2223" s="1">
        <v>58</v>
      </c>
      <c r="O2223" s="2">
        <v>41980</v>
      </c>
      <c r="P2223" s="1">
        <v>5153</v>
      </c>
      <c r="Q2223" s="1" t="s">
        <v>302</v>
      </c>
      <c r="R2223" s="2">
        <v>42013</v>
      </c>
      <c r="S2223" s="1">
        <v>55327</v>
      </c>
      <c r="U2223" s="1">
        <v>605</v>
      </c>
      <c r="V2223" s="1" t="s">
        <v>6729</v>
      </c>
      <c r="W2223" s="1" t="s">
        <v>425</v>
      </c>
      <c r="X2223" s="1">
        <v>236</v>
      </c>
      <c r="Y2223" s="1">
        <v>90</v>
      </c>
      <c r="Z2223" s="1" t="s">
        <v>249</v>
      </c>
      <c r="AA2223" s="1" t="s">
        <v>4079</v>
      </c>
      <c r="AB2223" s="1">
        <v>60118</v>
      </c>
      <c r="AC2223" s="1">
        <v>1414</v>
      </c>
      <c r="AD2223" s="1" t="s">
        <v>12785</v>
      </c>
      <c r="AE2223" s="1" t="s">
        <v>19736</v>
      </c>
      <c r="AF2223" s="1">
        <v>2000</v>
      </c>
      <c r="AG2223" s="1" t="s">
        <v>204</v>
      </c>
      <c r="AH2223" s="1" t="s">
        <v>7861</v>
      </c>
      <c r="AI2223" s="1" t="s">
        <v>665</v>
      </c>
      <c r="AJ2223" s="1" t="s">
        <v>805</v>
      </c>
      <c r="AL2223" s="1">
        <v>4</v>
      </c>
      <c r="AM2223" s="1">
        <v>2</v>
      </c>
      <c r="AN2223" s="1">
        <v>1</v>
      </c>
      <c r="AO2223" s="1">
        <v>1</v>
      </c>
      <c r="AP2223" s="1" t="s">
        <v>210</v>
      </c>
      <c r="AQ2223" s="1">
        <v>0</v>
      </c>
      <c r="AR2223" s="1" t="s">
        <v>209</v>
      </c>
      <c r="AS2223" s="1" t="s">
        <v>204</v>
      </c>
      <c r="AT2223" s="1" t="s">
        <v>210</v>
      </c>
      <c r="AW2223" s="1" t="s">
        <v>204</v>
      </c>
      <c r="AX2223" s="1" t="s">
        <v>1581</v>
      </c>
      <c r="AZ2223" s="1">
        <v>2677</v>
      </c>
      <c r="BA2223" s="1">
        <v>2013</v>
      </c>
      <c r="BB2223" s="1" t="s">
        <v>210</v>
      </c>
      <c r="BC2223" s="1">
        <v>0</v>
      </c>
      <c r="BE2223" s="1">
        <v>975</v>
      </c>
      <c r="BF2223" s="1">
        <v>2</v>
      </c>
      <c r="BG2223" s="1">
        <v>0</v>
      </c>
      <c r="BL2223" s="1">
        <v>1104</v>
      </c>
      <c r="BM2223" s="1" t="s">
        <v>204</v>
      </c>
      <c r="BN2223" s="1" t="s">
        <v>213</v>
      </c>
      <c r="BP2223" s="1" t="s">
        <v>204</v>
      </c>
      <c r="BR2223" s="1" t="str">
        <f>"0323510980"</f>
        <v>0323510980</v>
      </c>
      <c r="BT2223" s="1" t="s">
        <v>19737</v>
      </c>
      <c r="BU2223" s="1" t="s">
        <v>12716</v>
      </c>
      <c r="BV2223" s="1" t="s">
        <v>8986</v>
      </c>
      <c r="BW2223" s="1" t="s">
        <v>809</v>
      </c>
      <c r="BX2223" s="1">
        <v>300</v>
      </c>
      <c r="BY2223" s="1">
        <v>300</v>
      </c>
      <c r="BZ2223" s="1">
        <v>300</v>
      </c>
      <c r="CB2223" s="1" t="str">
        <f>"16"</f>
        <v>16</v>
      </c>
      <c r="CC2223" s="1" t="str">
        <f>"0"</f>
        <v>0</v>
      </c>
      <c r="CD2223" s="1">
        <v>33</v>
      </c>
      <c r="CE2223" s="1">
        <v>0</v>
      </c>
      <c r="CG2223" s="1" t="s">
        <v>1267</v>
      </c>
      <c r="CH2223" s="1" t="s">
        <v>277</v>
      </c>
      <c r="CI2223" s="1" t="s">
        <v>220</v>
      </c>
      <c r="CJ2223" s="1" t="s">
        <v>252</v>
      </c>
      <c r="CK2223" s="1" t="s">
        <v>344</v>
      </c>
      <c r="CL2223" s="1" t="s">
        <v>277</v>
      </c>
      <c r="CM2223" s="1" t="s">
        <v>220</v>
      </c>
      <c r="CN2223" s="1" t="s">
        <v>252</v>
      </c>
      <c r="CP2223" s="1" t="s">
        <v>224</v>
      </c>
      <c r="CS2223" s="1" t="s">
        <v>317</v>
      </c>
      <c r="CT2223" s="1" t="s">
        <v>277</v>
      </c>
      <c r="CU2223" s="1" t="s">
        <v>220</v>
      </c>
      <c r="CV2223" s="1" t="s">
        <v>252</v>
      </c>
      <c r="CX2223" s="1" t="s">
        <v>224</v>
      </c>
      <c r="DB2223" s="1" t="s">
        <v>224</v>
      </c>
      <c r="DE2223" s="1" t="s">
        <v>346</v>
      </c>
      <c r="DF2223" s="1" t="s">
        <v>277</v>
      </c>
      <c r="DG2223" s="1" t="s">
        <v>342</v>
      </c>
      <c r="DJ2223" s="1" t="s">
        <v>224</v>
      </c>
      <c r="DS2223" s="1" t="s">
        <v>230</v>
      </c>
      <c r="DW2223" s="1" t="s">
        <v>230</v>
      </c>
      <c r="EA2223" s="1" t="s">
        <v>230</v>
      </c>
      <c r="EE2223" s="1" t="s">
        <v>230</v>
      </c>
      <c r="EI2223" s="1" t="s">
        <v>230</v>
      </c>
      <c r="EL2223" s="1" t="s">
        <v>466</v>
      </c>
      <c r="EM2223" s="1" t="s">
        <v>319</v>
      </c>
      <c r="EN2223" s="1" t="s">
        <v>282</v>
      </c>
      <c r="EO2223" s="1" t="s">
        <v>234</v>
      </c>
      <c r="EP2223" s="1" t="s">
        <v>19738</v>
      </c>
      <c r="EQ2223" s="1" t="s">
        <v>492</v>
      </c>
      <c r="ER2223" s="1" t="s">
        <v>1249</v>
      </c>
      <c r="ES2223" s="1" t="s">
        <v>322</v>
      </c>
      <c r="ET2223" s="1" t="s">
        <v>609</v>
      </c>
      <c r="EU2223" s="1" t="s">
        <v>712</v>
      </c>
      <c r="EW2223" s="1" t="s">
        <v>14052</v>
      </c>
      <c r="EY2223" s="1" t="s">
        <v>242</v>
      </c>
      <c r="EZ2223" s="1" t="s">
        <v>287</v>
      </c>
      <c r="FA2223" s="1" t="s">
        <v>1586</v>
      </c>
      <c r="FB2223" s="1" t="s">
        <v>2888</v>
      </c>
      <c r="FC2223" s="1" t="s">
        <v>1386</v>
      </c>
      <c r="FD2223" s="1" t="s">
        <v>4003</v>
      </c>
      <c r="FE2223" s="1" t="s">
        <v>247</v>
      </c>
      <c r="FF2223" s="1" t="s">
        <v>248</v>
      </c>
      <c r="FH2223" s="1" t="s">
        <v>249</v>
      </c>
      <c r="FJ2223" s="1" t="s">
        <v>197</v>
      </c>
      <c r="FL2223" s="1" t="s">
        <v>1826</v>
      </c>
      <c r="FM2223" s="1" t="s">
        <v>252</v>
      </c>
      <c r="FN2223" s="1" t="s">
        <v>213</v>
      </c>
      <c r="FO2223" s="1" t="s">
        <v>213</v>
      </c>
      <c r="FQ2223" s="1" t="s">
        <v>913</v>
      </c>
      <c r="FR2223" s="1" t="s">
        <v>210</v>
      </c>
      <c r="FS2223" s="1" t="s">
        <v>1587</v>
      </c>
      <c r="FT2223" s="1" t="s">
        <v>362</v>
      </c>
      <c r="FU2223" s="1" t="s">
        <v>204</v>
      </c>
      <c r="FV2223" s="1" t="s">
        <v>1589</v>
      </c>
      <c r="FW2223" s="1" t="s">
        <v>1097</v>
      </c>
      <c r="FX2223" s="1">
        <v>5153</v>
      </c>
      <c r="FY2223" s="1" t="s">
        <v>1590</v>
      </c>
      <c r="FZ2223" s="1" t="s">
        <v>1591</v>
      </c>
      <c r="GA2223" s="1">
        <v>55327</v>
      </c>
      <c r="GB2223" s="1" t="s">
        <v>1592</v>
      </c>
      <c r="GD2223" s="1" t="s">
        <v>1593</v>
      </c>
      <c r="GE2223" s="1" t="s">
        <v>16498</v>
      </c>
      <c r="GI2223" s="1" t="s">
        <v>213</v>
      </c>
      <c r="GJ2223" s="1" t="s">
        <v>260</v>
      </c>
      <c r="GK2223" s="1" t="s">
        <v>210</v>
      </c>
      <c r="GL2223" s="2">
        <v>42013</v>
      </c>
      <c r="GM2223" s="1" t="s">
        <v>19739</v>
      </c>
    </row>
    <row r="2224" spans="1:195">
      <c r="A2224" s="1">
        <v>220000</v>
      </c>
      <c r="B2224" s="1" t="s">
        <v>195</v>
      </c>
      <c r="C2224" s="1" t="str">
        <f>"08760220"</f>
        <v>08760220</v>
      </c>
      <c r="D2224" s="1" t="s">
        <v>196</v>
      </c>
      <c r="F2224" s="1" t="str">
        <f>"523"</f>
        <v>523</v>
      </c>
      <c r="G2224" s="2">
        <v>41935</v>
      </c>
      <c r="H2224" s="1">
        <v>239500</v>
      </c>
      <c r="I2224" s="1">
        <v>235000</v>
      </c>
      <c r="J2224" s="1">
        <v>220000</v>
      </c>
      <c r="K2224" s="2">
        <v>41935</v>
      </c>
      <c r="L2224" s="1">
        <v>77</v>
      </c>
      <c r="M2224" s="2">
        <v>42011</v>
      </c>
      <c r="N2224" s="1">
        <v>77</v>
      </c>
      <c r="O2224" s="2">
        <v>42011</v>
      </c>
      <c r="P2224" s="1">
        <v>22145</v>
      </c>
      <c r="Q2224" s="1" t="s">
        <v>302</v>
      </c>
      <c r="R2224" s="2">
        <v>42030</v>
      </c>
      <c r="S2224" s="1">
        <v>226985</v>
      </c>
      <c r="U2224" s="1">
        <v>1</v>
      </c>
      <c r="V2224" s="1" t="s">
        <v>3816</v>
      </c>
      <c r="W2224" s="1" t="s">
        <v>264</v>
      </c>
      <c r="X2224" s="1" t="s">
        <v>19740</v>
      </c>
      <c r="Y2224" s="1">
        <v>107</v>
      </c>
      <c r="Z2224" s="1" t="s">
        <v>249</v>
      </c>
      <c r="AA2224" s="1" t="s">
        <v>3818</v>
      </c>
      <c r="AB2224" s="1">
        <v>60523</v>
      </c>
      <c r="AD2224" s="1" t="s">
        <v>19741</v>
      </c>
      <c r="AE2224" s="1" t="s">
        <v>19742</v>
      </c>
      <c r="AF2224" s="1">
        <v>1970</v>
      </c>
      <c r="AG2224" s="1" t="s">
        <v>213</v>
      </c>
      <c r="AH2224" s="1" t="s">
        <v>3820</v>
      </c>
      <c r="AI2224" s="1" t="s">
        <v>206</v>
      </c>
      <c r="AJ2224" s="1" t="s">
        <v>1608</v>
      </c>
      <c r="AL2224" s="1">
        <v>5</v>
      </c>
      <c r="AM2224" s="1">
        <v>2</v>
      </c>
      <c r="AN2224" s="1">
        <v>2</v>
      </c>
      <c r="AO2224" s="1">
        <v>0</v>
      </c>
      <c r="AP2224" s="1" t="s">
        <v>209</v>
      </c>
      <c r="AQ2224" s="1">
        <v>1</v>
      </c>
      <c r="AR2224" s="1" t="s">
        <v>210</v>
      </c>
      <c r="AS2224" s="1" t="s">
        <v>204</v>
      </c>
      <c r="AT2224" s="1" t="s">
        <v>211</v>
      </c>
      <c r="AU2224" s="1">
        <v>1</v>
      </c>
      <c r="AW2224" s="1" t="s">
        <v>204</v>
      </c>
      <c r="AX2224" s="1" t="s">
        <v>212</v>
      </c>
      <c r="AZ2224" s="1">
        <v>2469</v>
      </c>
      <c r="BA2224" s="1">
        <v>2013</v>
      </c>
      <c r="BB2224" s="1" t="s">
        <v>210</v>
      </c>
      <c r="BE2224" s="1">
        <v>1383</v>
      </c>
      <c r="BF2224" s="1">
        <v>1</v>
      </c>
      <c r="BG2224" s="1">
        <v>14</v>
      </c>
      <c r="BJ2224" s="1">
        <v>100</v>
      </c>
      <c r="BL2224" s="1">
        <v>694</v>
      </c>
      <c r="BM2224" s="1" t="s">
        <v>204</v>
      </c>
      <c r="BN2224" s="1" t="s">
        <v>213</v>
      </c>
      <c r="BO2224" s="1">
        <v>20</v>
      </c>
      <c r="BP2224" s="1" t="s">
        <v>204</v>
      </c>
      <c r="BR2224" s="1" t="str">
        <f>"0623106027"</f>
        <v>0623106027</v>
      </c>
      <c r="BT2224" s="1" t="s">
        <v>19743</v>
      </c>
      <c r="BU2224" s="1" t="s">
        <v>3822</v>
      </c>
      <c r="BV2224" s="1" t="s">
        <v>3315</v>
      </c>
      <c r="BW2224" s="1" t="s">
        <v>2201</v>
      </c>
      <c r="BX2224" s="1">
        <v>48</v>
      </c>
      <c r="BY2224" s="1">
        <v>48</v>
      </c>
      <c r="BZ2224" s="1">
        <v>88</v>
      </c>
      <c r="CB2224" s="1" t="str">
        <f t="shared" ref="CB2224:CC2224" si="1702">""</f>
        <v/>
      </c>
      <c r="CC2224" s="1" t="str">
        <f t="shared" si="1702"/>
        <v/>
      </c>
      <c r="CG2224" s="1" t="s">
        <v>2402</v>
      </c>
      <c r="CH2224" s="1" t="s">
        <v>219</v>
      </c>
      <c r="CI2224" s="1" t="s">
        <v>347</v>
      </c>
      <c r="CJ2224" s="1" t="s">
        <v>210</v>
      </c>
      <c r="CK2224" s="1" t="s">
        <v>315</v>
      </c>
      <c r="CL2224" s="1" t="s">
        <v>219</v>
      </c>
      <c r="CM2224" s="1" t="s">
        <v>347</v>
      </c>
      <c r="CN2224" s="1" t="s">
        <v>210</v>
      </c>
      <c r="CO2224" s="1" t="s">
        <v>317</v>
      </c>
      <c r="CP2224" s="1" t="s">
        <v>219</v>
      </c>
      <c r="CQ2224" s="1" t="s">
        <v>347</v>
      </c>
      <c r="CR2224" s="1" t="s">
        <v>210</v>
      </c>
      <c r="CS2224" s="1" t="s">
        <v>378</v>
      </c>
      <c r="CT2224" s="1" t="s">
        <v>219</v>
      </c>
      <c r="CU2224" s="1" t="s">
        <v>347</v>
      </c>
      <c r="CV2224" s="1" t="s">
        <v>210</v>
      </c>
      <c r="CX2224" s="1" t="s">
        <v>224</v>
      </c>
      <c r="DB2224" s="1" t="s">
        <v>224</v>
      </c>
      <c r="DE2224" s="1" t="s">
        <v>465</v>
      </c>
      <c r="DF2224" s="1" t="s">
        <v>219</v>
      </c>
      <c r="DG2224" s="1" t="s">
        <v>347</v>
      </c>
      <c r="DH2224" s="1" t="s">
        <v>210</v>
      </c>
      <c r="DJ2224" s="1" t="s">
        <v>224</v>
      </c>
      <c r="DS2224" s="1" t="s">
        <v>230</v>
      </c>
      <c r="DW2224" s="1" t="s">
        <v>230</v>
      </c>
      <c r="EA2224" s="1" t="s">
        <v>230</v>
      </c>
      <c r="EE2224" s="1" t="s">
        <v>230</v>
      </c>
      <c r="EI2224" s="1" t="s">
        <v>230</v>
      </c>
      <c r="EL2224" s="1" t="s">
        <v>605</v>
      </c>
      <c r="EM2224" s="1" t="s">
        <v>232</v>
      </c>
      <c r="EN2224" s="1" t="s">
        <v>282</v>
      </c>
      <c r="EO2224" s="1" t="s">
        <v>234</v>
      </c>
      <c r="EP2224" s="1" t="s">
        <v>19744</v>
      </c>
      <c r="EQ2224" s="1" t="s">
        <v>284</v>
      </c>
      <c r="ER2224" s="1" t="s">
        <v>210</v>
      </c>
      <c r="ES2224" s="1" t="s">
        <v>322</v>
      </c>
      <c r="EV2224" s="1" t="s">
        <v>352</v>
      </c>
      <c r="EW2224" s="1" t="s">
        <v>19745</v>
      </c>
      <c r="EY2224" s="1" t="s">
        <v>242</v>
      </c>
      <c r="EZ2224" s="1" t="s">
        <v>287</v>
      </c>
      <c r="FA2224" s="1" t="s">
        <v>7111</v>
      </c>
      <c r="FB2224" s="1" t="s">
        <v>244</v>
      </c>
      <c r="FC2224" s="1" t="s">
        <v>633</v>
      </c>
      <c r="FD2224" s="1" t="s">
        <v>495</v>
      </c>
      <c r="FE2224" s="1" t="s">
        <v>247</v>
      </c>
      <c r="FF2224" s="1" t="s">
        <v>248</v>
      </c>
      <c r="FH2224" s="1" t="s">
        <v>249</v>
      </c>
      <c r="FI2224" s="1" t="s">
        <v>1114</v>
      </c>
      <c r="FL2224" s="1" t="s">
        <v>1073</v>
      </c>
      <c r="FM2224" s="1" t="s">
        <v>252</v>
      </c>
      <c r="FN2224" s="1" t="s">
        <v>213</v>
      </c>
      <c r="FO2224" s="1" t="s">
        <v>213</v>
      </c>
      <c r="FQ2224" s="1" t="s">
        <v>615</v>
      </c>
      <c r="FR2224" s="1" t="s">
        <v>210</v>
      </c>
      <c r="FS2224" s="1" t="s">
        <v>19746</v>
      </c>
      <c r="FT2224" s="1" t="s">
        <v>255</v>
      </c>
      <c r="FU2224" s="1" t="s">
        <v>204</v>
      </c>
      <c r="FW2224" s="1" t="s">
        <v>915</v>
      </c>
      <c r="FX2224" s="1">
        <v>22076</v>
      </c>
      <c r="FY2224" s="1" t="s">
        <v>916</v>
      </c>
      <c r="FZ2224" s="1" t="s">
        <v>19747</v>
      </c>
      <c r="GA2224" s="1">
        <v>223339</v>
      </c>
      <c r="GB2224" s="1" t="s">
        <v>19748</v>
      </c>
      <c r="GC2224" s="1">
        <v>222203</v>
      </c>
      <c r="GE2224" s="1" t="s">
        <v>1120</v>
      </c>
      <c r="GI2224" s="1" t="s">
        <v>213</v>
      </c>
      <c r="GJ2224" s="1" t="s">
        <v>260</v>
      </c>
      <c r="GK2224" s="1" t="s">
        <v>210</v>
      </c>
      <c r="GL2224" s="2">
        <v>42030</v>
      </c>
    </row>
    <row r="2225" spans="1:195">
      <c r="A2225" s="1">
        <v>25000</v>
      </c>
      <c r="B2225" s="1" t="s">
        <v>195</v>
      </c>
      <c r="C2225" s="1" t="str">
        <f>"08755154"</f>
        <v>08755154</v>
      </c>
      <c r="D2225" s="1" t="s">
        <v>196</v>
      </c>
      <c r="F2225" s="1" t="str">
        <f>"8049"</f>
        <v>8049</v>
      </c>
      <c r="G2225" s="2">
        <v>41929</v>
      </c>
      <c r="H2225" s="1">
        <v>29900</v>
      </c>
      <c r="I2225" s="1">
        <v>29900</v>
      </c>
      <c r="J2225" s="1">
        <v>25000</v>
      </c>
      <c r="K2225" s="2">
        <v>41929</v>
      </c>
      <c r="L2225" s="1">
        <v>171</v>
      </c>
      <c r="M2225" s="2">
        <v>41964</v>
      </c>
      <c r="N2225" s="1">
        <v>36</v>
      </c>
      <c r="O2225" s="2">
        <v>41964</v>
      </c>
      <c r="P2225" s="1">
        <v>85646</v>
      </c>
      <c r="Q2225" s="1" t="s">
        <v>302</v>
      </c>
      <c r="R2225" s="2">
        <v>41996</v>
      </c>
      <c r="S2225" s="1">
        <v>128967</v>
      </c>
      <c r="U2225" s="1">
        <v>246</v>
      </c>
      <c r="V2225" s="1" t="s">
        <v>19749</v>
      </c>
      <c r="W2225" s="1" t="s">
        <v>725</v>
      </c>
      <c r="X2225" s="1">
        <v>246</v>
      </c>
      <c r="Y2225" s="1">
        <v>1</v>
      </c>
      <c r="Z2225" s="1" t="s">
        <v>200</v>
      </c>
      <c r="AA2225" s="1" t="s">
        <v>400</v>
      </c>
      <c r="AB2225" s="1">
        <v>60619</v>
      </c>
      <c r="AC2225" s="1">
        <v>7332</v>
      </c>
      <c r="AE2225" s="1" t="s">
        <v>19750</v>
      </c>
      <c r="AF2225" s="1">
        <v>1947</v>
      </c>
      <c r="AG2225" s="1" t="s">
        <v>213</v>
      </c>
      <c r="AH2225" s="1" t="s">
        <v>403</v>
      </c>
      <c r="AI2225" s="1" t="s">
        <v>310</v>
      </c>
      <c r="AJ2225" s="1" t="s">
        <v>562</v>
      </c>
      <c r="AL2225" s="1">
        <v>6</v>
      </c>
      <c r="AM2225" s="1">
        <v>2</v>
      </c>
      <c r="AN2225" s="1">
        <v>2</v>
      </c>
      <c r="AO2225" s="1">
        <v>0</v>
      </c>
      <c r="AP2225" s="1" t="s">
        <v>210</v>
      </c>
      <c r="AR2225" s="1" t="s">
        <v>1631</v>
      </c>
      <c r="AS2225" s="1" t="s">
        <v>204</v>
      </c>
      <c r="AT2225" s="1" t="s">
        <v>210</v>
      </c>
      <c r="AW2225" s="1" t="s">
        <v>204</v>
      </c>
      <c r="AX2225" s="1" t="s">
        <v>212</v>
      </c>
      <c r="AZ2225" s="1">
        <v>1108.1600000000001</v>
      </c>
      <c r="BA2225" s="1">
        <v>2012</v>
      </c>
      <c r="BC2225" s="1">
        <v>0</v>
      </c>
      <c r="BE2225" s="1">
        <v>1111</v>
      </c>
      <c r="BF2225" s="1">
        <v>1</v>
      </c>
      <c r="BG2225" s="1">
        <v>0</v>
      </c>
      <c r="BL2225" s="1">
        <v>0</v>
      </c>
      <c r="BM2225" s="1" t="s">
        <v>204</v>
      </c>
      <c r="BN2225" s="1" t="s">
        <v>213</v>
      </c>
      <c r="BO2225" s="1">
        <v>999</v>
      </c>
      <c r="BP2225" s="1" t="s">
        <v>204</v>
      </c>
      <c r="BR2225" s="1" t="str">
        <f>"25033060310000"</f>
        <v>25033060310000</v>
      </c>
      <c r="BT2225" s="1" t="s">
        <v>19751</v>
      </c>
      <c r="BX2225" s="1">
        <v>299</v>
      </c>
      <c r="BY2225" s="1">
        <v>299</v>
      </c>
      <c r="BZ2225" s="1">
        <v>299</v>
      </c>
      <c r="CB2225" s="1" t="str">
        <f>"0"</f>
        <v>0</v>
      </c>
      <c r="CC2225" s="1" t="str">
        <f>"246"</f>
        <v>246</v>
      </c>
      <c r="CD2225" s="1">
        <v>0</v>
      </c>
      <c r="CE2225" s="1">
        <v>9200</v>
      </c>
      <c r="CG2225" s="1" t="s">
        <v>932</v>
      </c>
      <c r="CH2225" s="1" t="s">
        <v>219</v>
      </c>
      <c r="CK2225" s="1" t="s">
        <v>317</v>
      </c>
      <c r="CL2225" s="1" t="s">
        <v>277</v>
      </c>
      <c r="CO2225" s="1" t="s">
        <v>346</v>
      </c>
      <c r="CP2225" s="1" t="s">
        <v>219</v>
      </c>
      <c r="CS2225" s="1" t="s">
        <v>379</v>
      </c>
      <c r="CT2225" s="1" t="s">
        <v>277</v>
      </c>
      <c r="CX2225" s="1" t="s">
        <v>224</v>
      </c>
      <c r="DB2225" s="1" t="s">
        <v>224</v>
      </c>
      <c r="DE2225" s="1" t="s">
        <v>1470</v>
      </c>
      <c r="DF2225" s="1" t="s">
        <v>219</v>
      </c>
      <c r="DI2225" s="1" t="s">
        <v>228</v>
      </c>
      <c r="DJ2225" s="1" t="s">
        <v>219</v>
      </c>
      <c r="DK2225" s="1" t="s">
        <v>220</v>
      </c>
      <c r="DL2225" s="1" t="s">
        <v>210</v>
      </c>
      <c r="DS2225" s="1" t="s">
        <v>230</v>
      </c>
      <c r="DW2225" s="1" t="s">
        <v>230</v>
      </c>
      <c r="EA2225" s="1" t="s">
        <v>230</v>
      </c>
      <c r="EE2225" s="1" t="s">
        <v>230</v>
      </c>
      <c r="EI2225" s="1" t="s">
        <v>230</v>
      </c>
      <c r="EL2225" s="1" t="s">
        <v>3717</v>
      </c>
      <c r="EM2225" s="1" t="s">
        <v>319</v>
      </c>
      <c r="EN2225" s="1" t="s">
        <v>210</v>
      </c>
      <c r="EO2225" s="1" t="s">
        <v>234</v>
      </c>
      <c r="ER2225" s="1" t="s">
        <v>1249</v>
      </c>
      <c r="EW2225" s="1" t="s">
        <v>210</v>
      </c>
      <c r="EZ2225" s="1" t="s">
        <v>287</v>
      </c>
      <c r="FD2225" s="1" t="s">
        <v>246</v>
      </c>
      <c r="FE2225" s="1" t="s">
        <v>247</v>
      </c>
      <c r="FF2225" s="1" t="s">
        <v>248</v>
      </c>
      <c r="FH2225" s="1" t="s">
        <v>550</v>
      </c>
      <c r="FL2225" s="1" t="s">
        <v>414</v>
      </c>
      <c r="FM2225" s="1" t="s">
        <v>252</v>
      </c>
      <c r="FN2225" s="1" t="s">
        <v>213</v>
      </c>
      <c r="FO2225" s="1" t="s">
        <v>213</v>
      </c>
      <c r="FQ2225" s="1" t="s">
        <v>3794</v>
      </c>
      <c r="FR2225" s="1" t="s">
        <v>210</v>
      </c>
      <c r="FS2225" s="1" t="s">
        <v>7299</v>
      </c>
      <c r="FT2225" s="1" t="s">
        <v>2609</v>
      </c>
      <c r="FU2225" s="1" t="s">
        <v>204</v>
      </c>
      <c r="FW2225" s="1" t="s">
        <v>7300</v>
      </c>
      <c r="FX2225" s="1">
        <v>16801</v>
      </c>
      <c r="FY2225" s="1" t="s">
        <v>7301</v>
      </c>
      <c r="FZ2225" s="1" t="s">
        <v>7302</v>
      </c>
      <c r="GA2225" s="1">
        <v>184278</v>
      </c>
      <c r="GE2225" s="1" t="s">
        <v>210</v>
      </c>
      <c r="GH2225" s="1" t="s">
        <v>800</v>
      </c>
      <c r="GI2225" s="1" t="s">
        <v>213</v>
      </c>
      <c r="GJ2225" s="1" t="s">
        <v>260</v>
      </c>
      <c r="GK2225" s="1" t="s">
        <v>210</v>
      </c>
      <c r="GL2225" s="2">
        <v>41997</v>
      </c>
      <c r="GM2225" s="1" t="s">
        <v>19752</v>
      </c>
    </row>
    <row r="2226" spans="1:195">
      <c r="A2226" s="1">
        <v>185500</v>
      </c>
      <c r="B2226" s="1" t="s">
        <v>195</v>
      </c>
      <c r="C2226" s="1" t="str">
        <f>"08756106"</f>
        <v>08756106</v>
      </c>
      <c r="D2226" s="1" t="s">
        <v>196</v>
      </c>
      <c r="F2226" s="1" t="str">
        <f>"540"</f>
        <v>540</v>
      </c>
      <c r="G2226" s="2">
        <v>41929</v>
      </c>
      <c r="H2226" s="1">
        <v>195000</v>
      </c>
      <c r="I2226" s="1">
        <v>192500</v>
      </c>
      <c r="J2226" s="1">
        <v>185500</v>
      </c>
      <c r="K2226" s="2">
        <v>41929</v>
      </c>
      <c r="L2226" s="1">
        <v>154</v>
      </c>
      <c r="M2226" s="2">
        <v>42082</v>
      </c>
      <c r="N2226" s="1">
        <v>154</v>
      </c>
      <c r="O2226" s="2">
        <v>42082</v>
      </c>
      <c r="P2226" s="1">
        <v>18505</v>
      </c>
      <c r="Q2226" s="1" t="s">
        <v>423</v>
      </c>
      <c r="R2226" s="2">
        <v>42124</v>
      </c>
      <c r="S2226" s="1">
        <v>164655</v>
      </c>
      <c r="U2226" s="1">
        <v>1880</v>
      </c>
      <c r="V2226" s="1" t="s">
        <v>9989</v>
      </c>
      <c r="W2226" s="1" t="s">
        <v>504</v>
      </c>
      <c r="Y2226" s="1">
        <v>4</v>
      </c>
      <c r="Z2226" s="1" t="s">
        <v>370</v>
      </c>
      <c r="AA2226" s="1" t="s">
        <v>921</v>
      </c>
      <c r="AB2226" s="1">
        <v>60564</v>
      </c>
      <c r="AE2226" s="1" t="s">
        <v>19753</v>
      </c>
      <c r="AF2226" s="1">
        <v>1995</v>
      </c>
      <c r="AG2226" s="1" t="s">
        <v>204</v>
      </c>
      <c r="AH2226" s="1" t="s">
        <v>924</v>
      </c>
      <c r="AI2226" s="1" t="s">
        <v>1800</v>
      </c>
      <c r="AJ2226" s="1" t="s">
        <v>1801</v>
      </c>
      <c r="AL2226" s="1">
        <v>7</v>
      </c>
      <c r="AM2226" s="1">
        <v>2</v>
      </c>
      <c r="AN2226" s="1">
        <v>1</v>
      </c>
      <c r="AO2226" s="1">
        <v>1</v>
      </c>
      <c r="AP2226" s="1" t="s">
        <v>667</v>
      </c>
      <c r="AQ2226" s="1">
        <v>1</v>
      </c>
      <c r="AR2226" s="1" t="s">
        <v>209</v>
      </c>
      <c r="AS2226" s="1" t="s">
        <v>204</v>
      </c>
      <c r="AT2226" s="1" t="s">
        <v>211</v>
      </c>
      <c r="AU2226" s="1">
        <v>2</v>
      </c>
      <c r="AW2226" s="1" t="s">
        <v>204</v>
      </c>
      <c r="AX2226" s="1" t="s">
        <v>212</v>
      </c>
      <c r="AZ2226" s="1">
        <v>4948</v>
      </c>
      <c r="BA2226" s="1">
        <v>2013</v>
      </c>
      <c r="BE2226" s="1">
        <v>1342</v>
      </c>
      <c r="BF2226" s="1">
        <v>1</v>
      </c>
      <c r="BG2226" s="1">
        <v>30</v>
      </c>
      <c r="BL2226" s="1">
        <v>185</v>
      </c>
      <c r="BM2226" s="1" t="s">
        <v>204</v>
      </c>
      <c r="BN2226" s="1" t="s">
        <v>213</v>
      </c>
      <c r="BO2226" s="1">
        <v>100</v>
      </c>
      <c r="BP2226" s="1" t="s">
        <v>204</v>
      </c>
      <c r="BR2226" s="1" t="str">
        <f>"01023070200000"</f>
        <v>01023070200000</v>
      </c>
      <c r="BT2226" s="1" t="s">
        <v>19754</v>
      </c>
      <c r="BU2226" s="1" t="s">
        <v>10595</v>
      </c>
      <c r="BV2226" s="1" t="s">
        <v>6754</v>
      </c>
      <c r="BW2226" s="1" t="s">
        <v>2218</v>
      </c>
      <c r="BX2226" s="1">
        <v>204</v>
      </c>
      <c r="BY2226" s="1">
        <v>204</v>
      </c>
      <c r="BZ2226" s="1">
        <v>204</v>
      </c>
      <c r="CB2226" s="1" t="str">
        <f t="shared" ref="CB2226:CC2226" si="1703">""</f>
        <v/>
      </c>
      <c r="CC2226" s="1" t="str">
        <f t="shared" si="1703"/>
        <v/>
      </c>
      <c r="CG2226" s="1" t="s">
        <v>885</v>
      </c>
      <c r="CH2226" s="1" t="s">
        <v>219</v>
      </c>
      <c r="CI2226" s="1" t="s">
        <v>229</v>
      </c>
      <c r="CJ2226" s="1" t="s">
        <v>343</v>
      </c>
      <c r="CK2226" s="1" t="s">
        <v>437</v>
      </c>
      <c r="CL2226" s="1" t="s">
        <v>277</v>
      </c>
      <c r="CM2226" s="1" t="s">
        <v>220</v>
      </c>
      <c r="CN2226" s="1" t="s">
        <v>252</v>
      </c>
      <c r="CO2226" s="1" t="s">
        <v>346</v>
      </c>
      <c r="CP2226" s="1" t="s">
        <v>219</v>
      </c>
      <c r="CQ2226" s="1" t="s">
        <v>229</v>
      </c>
      <c r="CR2226" s="1" t="s">
        <v>343</v>
      </c>
      <c r="CS2226" s="1" t="s">
        <v>1297</v>
      </c>
      <c r="CT2226" s="1" t="s">
        <v>277</v>
      </c>
      <c r="CU2226" s="1" t="s">
        <v>220</v>
      </c>
      <c r="CV2226" s="1" t="s">
        <v>252</v>
      </c>
      <c r="CX2226" s="1" t="s">
        <v>224</v>
      </c>
      <c r="DB2226" s="1" t="s">
        <v>224</v>
      </c>
      <c r="DE2226" s="1" t="s">
        <v>348</v>
      </c>
      <c r="DF2226" s="1" t="s">
        <v>219</v>
      </c>
      <c r="DG2226" s="1" t="s">
        <v>342</v>
      </c>
      <c r="DH2226" s="1" t="s">
        <v>343</v>
      </c>
      <c r="DJ2226" s="1" t="s">
        <v>224</v>
      </c>
      <c r="DM2226" s="1" t="s">
        <v>381</v>
      </c>
      <c r="DN2226" s="1" t="s">
        <v>934</v>
      </c>
      <c r="DR2226" s="1" t="s">
        <v>3284</v>
      </c>
      <c r="DS2226" s="1" t="s">
        <v>219</v>
      </c>
      <c r="DT2226" s="1" t="s">
        <v>342</v>
      </c>
      <c r="DU2226" s="1" t="s">
        <v>343</v>
      </c>
      <c r="DV2226" s="1" t="s">
        <v>11448</v>
      </c>
      <c r="DW2226" s="1" t="s">
        <v>43</v>
      </c>
      <c r="DX2226" s="1" t="s">
        <v>220</v>
      </c>
      <c r="DY2226" s="1" t="s">
        <v>210</v>
      </c>
      <c r="EA2226" s="1" t="s">
        <v>230</v>
      </c>
      <c r="EE2226" s="1" t="s">
        <v>230</v>
      </c>
      <c r="EI2226" s="1" t="s">
        <v>230</v>
      </c>
      <c r="EL2226" s="1" t="s">
        <v>670</v>
      </c>
      <c r="EM2226" s="1" t="s">
        <v>232</v>
      </c>
      <c r="EN2226" s="1" t="s">
        <v>282</v>
      </c>
      <c r="EO2226" s="1" t="s">
        <v>234</v>
      </c>
      <c r="EP2226" s="1" t="s">
        <v>283</v>
      </c>
      <c r="ER2226" s="1" t="s">
        <v>6260</v>
      </c>
      <c r="ET2226" s="1" t="s">
        <v>866</v>
      </c>
      <c r="EU2226" s="1" t="s">
        <v>239</v>
      </c>
      <c r="EW2226" s="1" t="s">
        <v>353</v>
      </c>
      <c r="EY2226" s="1" t="s">
        <v>242</v>
      </c>
      <c r="EZ2226" s="1" t="s">
        <v>5119</v>
      </c>
      <c r="FA2226" s="1" t="s">
        <v>5059</v>
      </c>
      <c r="FB2226" s="1" t="s">
        <v>289</v>
      </c>
      <c r="FC2226" s="1" t="s">
        <v>1386</v>
      </c>
      <c r="FD2226" s="1" t="s">
        <v>246</v>
      </c>
      <c r="FE2226" s="1" t="s">
        <v>549</v>
      </c>
      <c r="FF2226" s="1" t="s">
        <v>248</v>
      </c>
      <c r="FG2226" s="1" t="s">
        <v>912</v>
      </c>
      <c r="FH2226" s="1" t="s">
        <v>550</v>
      </c>
      <c r="FI2226" s="1" t="s">
        <v>250</v>
      </c>
      <c r="FL2226" s="1" t="s">
        <v>358</v>
      </c>
      <c r="FM2226" s="1" t="s">
        <v>252</v>
      </c>
      <c r="FN2226" s="1" t="s">
        <v>213</v>
      </c>
      <c r="FO2226" s="1" t="s">
        <v>213</v>
      </c>
      <c r="FQ2226" s="1" t="s">
        <v>4594</v>
      </c>
      <c r="FR2226" s="1" t="s">
        <v>210</v>
      </c>
      <c r="FS2226" s="1" t="s">
        <v>19755</v>
      </c>
      <c r="FT2226" s="1" t="s">
        <v>13660</v>
      </c>
      <c r="FU2226" s="1" t="s">
        <v>204</v>
      </c>
      <c r="FW2226" s="1" t="s">
        <v>813</v>
      </c>
      <c r="FX2226" s="1">
        <v>23177</v>
      </c>
      <c r="FY2226" s="1" t="s">
        <v>5258</v>
      </c>
      <c r="FZ2226" s="1" t="s">
        <v>13661</v>
      </c>
      <c r="GA2226" s="1">
        <v>230115</v>
      </c>
      <c r="GB2226" s="1" t="s">
        <v>13662</v>
      </c>
      <c r="GE2226" s="1" t="s">
        <v>210</v>
      </c>
      <c r="GI2226" s="1" t="s">
        <v>213</v>
      </c>
      <c r="GJ2226" s="1" t="s">
        <v>260</v>
      </c>
      <c r="GK2226" s="1" t="s">
        <v>210</v>
      </c>
      <c r="GL2226" s="2">
        <v>42128</v>
      </c>
      <c r="GM2226" s="1" t="s">
        <v>19756</v>
      </c>
    </row>
    <row r="2227" spans="1:195">
      <c r="A2227" s="1">
        <v>565000</v>
      </c>
      <c r="B2227" s="1" t="s">
        <v>195</v>
      </c>
      <c r="C2227" s="1" t="str">
        <f>"08759007"</f>
        <v>08759007</v>
      </c>
      <c r="D2227" s="1" t="s">
        <v>196</v>
      </c>
      <c r="F2227" s="1" t="str">
        <f>"523"</f>
        <v>523</v>
      </c>
      <c r="G2227" s="2">
        <v>41934</v>
      </c>
      <c r="H2227" s="1">
        <v>749000</v>
      </c>
      <c r="I2227" s="1">
        <v>689000</v>
      </c>
      <c r="J2227" s="1">
        <v>565000</v>
      </c>
      <c r="K2227" s="2">
        <v>41934</v>
      </c>
      <c r="L2227" s="1">
        <v>160</v>
      </c>
      <c r="M2227" s="2">
        <v>42093</v>
      </c>
      <c r="N2227" s="1">
        <v>160</v>
      </c>
      <c r="O2227" s="2">
        <v>42093</v>
      </c>
      <c r="P2227" s="1">
        <v>22076</v>
      </c>
      <c r="Q2227" s="1" t="s">
        <v>302</v>
      </c>
      <c r="R2227" s="2">
        <v>42125</v>
      </c>
      <c r="S2227" s="1">
        <v>222203</v>
      </c>
      <c r="U2227" s="1">
        <v>189</v>
      </c>
      <c r="V2227" s="1" t="s">
        <v>19757</v>
      </c>
      <c r="Y2227" s="1">
        <v>3</v>
      </c>
      <c r="Z2227" s="1" t="s">
        <v>200</v>
      </c>
      <c r="AA2227" s="1" t="s">
        <v>3818</v>
      </c>
      <c r="AB2227" s="1">
        <v>60523</v>
      </c>
      <c r="AD2227" s="1" t="s">
        <v>16573</v>
      </c>
      <c r="AE2227" s="1" t="s">
        <v>19758</v>
      </c>
      <c r="AF2227" s="1">
        <v>1974</v>
      </c>
      <c r="AG2227" s="1" t="s">
        <v>213</v>
      </c>
      <c r="AH2227" s="1" t="s">
        <v>3820</v>
      </c>
      <c r="AI2227" s="1" t="s">
        <v>206</v>
      </c>
      <c r="AJ2227" s="1" t="s">
        <v>1608</v>
      </c>
      <c r="AL2227" s="1">
        <v>6</v>
      </c>
      <c r="AM2227" s="1">
        <v>2</v>
      </c>
      <c r="AN2227" s="1">
        <v>3</v>
      </c>
      <c r="AO2227" s="1">
        <v>0</v>
      </c>
      <c r="AP2227" s="1" t="s">
        <v>209</v>
      </c>
      <c r="AQ2227" s="1">
        <v>1</v>
      </c>
      <c r="AR2227" s="1" t="s">
        <v>1421</v>
      </c>
      <c r="AS2227" s="1" t="s">
        <v>204</v>
      </c>
      <c r="AT2227" s="1" t="s">
        <v>211</v>
      </c>
      <c r="AU2227" s="1">
        <v>2.5</v>
      </c>
      <c r="AW2227" s="1" t="s">
        <v>213</v>
      </c>
      <c r="AX2227" s="1" t="s">
        <v>212</v>
      </c>
      <c r="AZ2227" s="1">
        <v>4589</v>
      </c>
      <c r="BA2227" s="1">
        <v>2013</v>
      </c>
      <c r="BB2227" s="1" t="s">
        <v>2694</v>
      </c>
      <c r="BE2227" s="1">
        <v>2721</v>
      </c>
      <c r="BF2227" s="1">
        <v>1</v>
      </c>
      <c r="BG2227" s="1">
        <v>15</v>
      </c>
      <c r="BJ2227" s="1">
        <v>100</v>
      </c>
      <c r="BL2227" s="1">
        <v>7000</v>
      </c>
      <c r="BM2227" s="1" t="s">
        <v>204</v>
      </c>
      <c r="BN2227" s="1" t="s">
        <v>213</v>
      </c>
      <c r="BO2227" s="1" t="s">
        <v>6360</v>
      </c>
      <c r="BP2227" s="1" t="s">
        <v>204</v>
      </c>
      <c r="BR2227" s="1" t="str">
        <f>"0627203034"</f>
        <v>0627203034</v>
      </c>
      <c r="BT2227" s="1" t="s">
        <v>19759</v>
      </c>
      <c r="BU2227" s="1" t="s">
        <v>19760</v>
      </c>
      <c r="BV2227" s="1" t="s">
        <v>19761</v>
      </c>
      <c r="BW2227" s="1" t="s">
        <v>1546</v>
      </c>
      <c r="BX2227" s="1">
        <v>53</v>
      </c>
      <c r="BY2227" s="1">
        <v>53</v>
      </c>
      <c r="BZ2227" s="1">
        <v>86</v>
      </c>
      <c r="CB2227" s="1" t="str">
        <f t="shared" ref="CB2227:CC2227" si="1704">""</f>
        <v/>
      </c>
      <c r="CC2227" s="1" t="str">
        <f t="shared" si="1704"/>
        <v/>
      </c>
      <c r="CG2227" s="1" t="s">
        <v>707</v>
      </c>
      <c r="CH2227" s="1" t="s">
        <v>219</v>
      </c>
      <c r="CI2227" s="1" t="s">
        <v>220</v>
      </c>
      <c r="CJ2227" s="1" t="s">
        <v>463</v>
      </c>
      <c r="CK2227" s="1" t="s">
        <v>861</v>
      </c>
      <c r="CL2227" s="1" t="s">
        <v>219</v>
      </c>
      <c r="CM2227" s="1" t="s">
        <v>220</v>
      </c>
      <c r="CN2227" s="1" t="s">
        <v>210</v>
      </c>
      <c r="CO2227" s="1" t="s">
        <v>581</v>
      </c>
      <c r="CP2227" s="1" t="s">
        <v>219</v>
      </c>
      <c r="CQ2227" s="1" t="s">
        <v>220</v>
      </c>
      <c r="CR2227" s="1" t="s">
        <v>2449</v>
      </c>
      <c r="CS2227" s="1" t="s">
        <v>378</v>
      </c>
      <c r="CT2227" s="1" t="s">
        <v>277</v>
      </c>
      <c r="CU2227" s="1" t="s">
        <v>220</v>
      </c>
      <c r="CV2227" s="1" t="s">
        <v>343</v>
      </c>
      <c r="CX2227" s="1" t="s">
        <v>224</v>
      </c>
      <c r="DB2227" s="1" t="s">
        <v>224</v>
      </c>
      <c r="DE2227" s="1" t="s">
        <v>6941</v>
      </c>
      <c r="DF2227" s="1" t="s">
        <v>219</v>
      </c>
      <c r="DG2227" s="1" t="s">
        <v>226</v>
      </c>
      <c r="DH2227" s="1" t="s">
        <v>439</v>
      </c>
      <c r="DJ2227" s="1" t="s">
        <v>224</v>
      </c>
      <c r="DM2227" s="1" t="s">
        <v>1005</v>
      </c>
      <c r="DR2227" s="1" t="s">
        <v>757</v>
      </c>
      <c r="DS2227" s="1" t="s">
        <v>277</v>
      </c>
      <c r="DT2227" s="1" t="s">
        <v>220</v>
      </c>
      <c r="DU2227" s="1" t="s">
        <v>343</v>
      </c>
      <c r="DW2227" s="1" t="s">
        <v>230</v>
      </c>
      <c r="EA2227" s="1" t="s">
        <v>230</v>
      </c>
      <c r="EE2227" s="1" t="s">
        <v>230</v>
      </c>
      <c r="EI2227" s="1" t="s">
        <v>230</v>
      </c>
      <c r="EL2227" s="1" t="s">
        <v>605</v>
      </c>
      <c r="EM2227" s="1" t="s">
        <v>232</v>
      </c>
      <c r="EN2227" s="1" t="s">
        <v>282</v>
      </c>
      <c r="EO2227" s="1" t="s">
        <v>347</v>
      </c>
      <c r="EP2227" s="1" t="s">
        <v>19762</v>
      </c>
      <c r="EQ2227" s="1" t="s">
        <v>19763</v>
      </c>
      <c r="ER2227" s="1" t="s">
        <v>8320</v>
      </c>
      <c r="ES2227" s="1" t="s">
        <v>608</v>
      </c>
      <c r="EU2227" s="1" t="s">
        <v>19764</v>
      </c>
      <c r="EV2227" s="1" t="s">
        <v>324</v>
      </c>
      <c r="EW2227" s="1" t="s">
        <v>19765</v>
      </c>
      <c r="EZ2227" s="1" t="s">
        <v>1005</v>
      </c>
      <c r="FB2227" s="1" t="s">
        <v>244</v>
      </c>
      <c r="FC2227" s="1" t="s">
        <v>4152</v>
      </c>
      <c r="FD2227" s="1" t="s">
        <v>246</v>
      </c>
      <c r="FE2227" s="1" t="s">
        <v>247</v>
      </c>
      <c r="FF2227" s="1" t="s">
        <v>248</v>
      </c>
      <c r="FG2227" s="1" t="s">
        <v>3324</v>
      </c>
      <c r="FH2227" s="1" t="s">
        <v>825</v>
      </c>
      <c r="FI2227" s="1" t="s">
        <v>473</v>
      </c>
      <c r="FL2227" s="1" t="s">
        <v>358</v>
      </c>
      <c r="FM2227" s="1" t="s">
        <v>252</v>
      </c>
      <c r="FN2227" s="1" t="s">
        <v>213</v>
      </c>
      <c r="FO2227" s="1" t="s">
        <v>213</v>
      </c>
      <c r="FQ2227" s="1" t="s">
        <v>793</v>
      </c>
      <c r="FR2227" s="1" t="s">
        <v>210</v>
      </c>
      <c r="FS2227" s="1" t="s">
        <v>19766</v>
      </c>
      <c r="FT2227" s="1" t="s">
        <v>362</v>
      </c>
      <c r="FU2227" s="1" t="s">
        <v>204</v>
      </c>
      <c r="FW2227" s="1" t="s">
        <v>915</v>
      </c>
      <c r="FX2227" s="1">
        <v>22076</v>
      </c>
      <c r="FY2227" s="1" t="s">
        <v>916</v>
      </c>
      <c r="FZ2227" s="1" t="s">
        <v>19767</v>
      </c>
      <c r="GA2227" s="1">
        <v>222203</v>
      </c>
      <c r="GB2227" s="1" t="s">
        <v>19768</v>
      </c>
      <c r="GC2227" s="1">
        <v>223339</v>
      </c>
      <c r="GE2227" s="1" t="s">
        <v>623</v>
      </c>
      <c r="GI2227" s="1" t="s">
        <v>213</v>
      </c>
      <c r="GJ2227" s="1" t="s">
        <v>260</v>
      </c>
      <c r="GK2227" s="1" t="s">
        <v>210</v>
      </c>
      <c r="GL2227" s="2">
        <v>42128</v>
      </c>
      <c r="GM2227" s="1" t="s">
        <v>19769</v>
      </c>
    </row>
    <row r="2228" spans="1:195">
      <c r="A2228" s="1">
        <v>32000</v>
      </c>
      <c r="B2228" s="1" t="s">
        <v>195</v>
      </c>
      <c r="C2228" s="1" t="str">
        <f>"08756642"</f>
        <v>08756642</v>
      </c>
      <c r="D2228" s="1" t="s">
        <v>196</v>
      </c>
      <c r="F2228" s="1" t="str">
        <f>"8051"</f>
        <v>8051</v>
      </c>
      <c r="G2228" s="2">
        <v>41931</v>
      </c>
      <c r="H2228" s="1">
        <v>39900</v>
      </c>
      <c r="I2228" s="1">
        <v>39900</v>
      </c>
      <c r="J2228" s="1">
        <v>32000</v>
      </c>
      <c r="K2228" s="2">
        <v>41931</v>
      </c>
      <c r="L2228" s="1">
        <v>45</v>
      </c>
      <c r="M2228" s="2">
        <v>41975</v>
      </c>
      <c r="N2228" s="1">
        <v>45</v>
      </c>
      <c r="O2228" s="2">
        <v>41975</v>
      </c>
      <c r="P2228" s="1">
        <v>85772</v>
      </c>
      <c r="Q2228" s="1" t="s">
        <v>197</v>
      </c>
      <c r="R2228" s="2">
        <v>41992</v>
      </c>
      <c r="S2228" s="1">
        <v>159318</v>
      </c>
      <c r="T2228" s="1">
        <v>500</v>
      </c>
      <c r="U2228" s="1">
        <v>9722</v>
      </c>
      <c r="V2228" s="1" t="s">
        <v>19770</v>
      </c>
      <c r="W2228" s="1" t="s">
        <v>425</v>
      </c>
      <c r="Y2228" s="1">
        <v>1</v>
      </c>
      <c r="Z2228" s="1" t="s">
        <v>200</v>
      </c>
      <c r="AA2228" s="1" t="s">
        <v>400</v>
      </c>
      <c r="AB2228" s="1">
        <v>60617</v>
      </c>
      <c r="AE2228" s="1" t="s">
        <v>19771</v>
      </c>
      <c r="AF2228" s="1">
        <v>1941</v>
      </c>
      <c r="AG2228" s="1" t="s">
        <v>213</v>
      </c>
      <c r="AH2228" s="1" t="s">
        <v>403</v>
      </c>
      <c r="AI2228" s="1" t="s">
        <v>310</v>
      </c>
      <c r="AJ2228" s="1" t="s">
        <v>562</v>
      </c>
      <c r="AL2228" s="1">
        <v>5</v>
      </c>
      <c r="AM2228" s="1">
        <v>2</v>
      </c>
      <c r="AN2228" s="1">
        <v>1</v>
      </c>
      <c r="AO2228" s="1">
        <v>0</v>
      </c>
      <c r="AP2228" s="1" t="s">
        <v>210</v>
      </c>
      <c r="AR2228" s="1" t="s">
        <v>209</v>
      </c>
      <c r="AS2228" s="1" t="s">
        <v>204</v>
      </c>
      <c r="AT2228" s="1" t="s">
        <v>211</v>
      </c>
      <c r="AU2228" s="1">
        <v>1</v>
      </c>
      <c r="AW2228" s="1" t="s">
        <v>204</v>
      </c>
      <c r="AX2228" s="1">
        <v>3750</v>
      </c>
      <c r="AZ2228" s="1">
        <v>859.07</v>
      </c>
      <c r="BA2228" s="1">
        <v>2012</v>
      </c>
      <c r="BB2228" s="1" t="s">
        <v>405</v>
      </c>
      <c r="BE2228" s="1">
        <v>931</v>
      </c>
      <c r="BF2228" s="1">
        <v>1</v>
      </c>
      <c r="BG2228" s="1">
        <v>0</v>
      </c>
      <c r="BJ2228" s="1">
        <v>100</v>
      </c>
      <c r="BK2228" s="1">
        <v>100</v>
      </c>
      <c r="BL2228" s="1">
        <v>0</v>
      </c>
      <c r="BM2228" s="1" t="s">
        <v>204</v>
      </c>
      <c r="BN2228" s="1" t="s">
        <v>213</v>
      </c>
      <c r="BO2228" s="1">
        <v>999</v>
      </c>
      <c r="BP2228" s="1" t="s">
        <v>204</v>
      </c>
      <c r="BR2228" s="1" t="str">
        <f>"26071220270000"</f>
        <v>26071220270000</v>
      </c>
      <c r="BT2228" s="1" t="s">
        <v>19772</v>
      </c>
      <c r="BX2228" s="1">
        <v>299</v>
      </c>
      <c r="BY2228" s="1">
        <v>299</v>
      </c>
      <c r="BZ2228" s="1">
        <v>299</v>
      </c>
      <c r="CB2228" s="1" t="str">
        <f>"0"</f>
        <v>0</v>
      </c>
      <c r="CC2228" s="1" t="str">
        <f>"2400"</f>
        <v>2400</v>
      </c>
      <c r="CD2228" s="1">
        <v>0</v>
      </c>
      <c r="CE2228" s="1">
        <v>9722</v>
      </c>
      <c r="CG2228" s="1" t="s">
        <v>757</v>
      </c>
      <c r="CH2228" s="1" t="s">
        <v>219</v>
      </c>
      <c r="CI2228" s="1" t="s">
        <v>438</v>
      </c>
      <c r="CK2228" s="1" t="s">
        <v>2466</v>
      </c>
      <c r="CL2228" s="1" t="s">
        <v>277</v>
      </c>
      <c r="CM2228" s="1" t="s">
        <v>438</v>
      </c>
      <c r="CO2228" s="1" t="s">
        <v>951</v>
      </c>
      <c r="CP2228" s="1" t="s">
        <v>219</v>
      </c>
      <c r="CQ2228" s="1" t="s">
        <v>438</v>
      </c>
      <c r="CS2228" s="1" t="s">
        <v>836</v>
      </c>
      <c r="CT2228" s="1" t="s">
        <v>277</v>
      </c>
      <c r="CU2228" s="1" t="s">
        <v>438</v>
      </c>
      <c r="CX2228" s="1" t="s">
        <v>224</v>
      </c>
      <c r="DB2228" s="1" t="s">
        <v>224</v>
      </c>
      <c r="DE2228" s="1" t="s">
        <v>2982</v>
      </c>
      <c r="DF2228" s="1" t="s">
        <v>219</v>
      </c>
      <c r="DG2228" s="1" t="s">
        <v>438</v>
      </c>
      <c r="DJ2228" s="1" t="s">
        <v>224</v>
      </c>
      <c r="DS2228" s="1" t="s">
        <v>230</v>
      </c>
      <c r="DW2228" s="1" t="s">
        <v>230</v>
      </c>
      <c r="EA2228" s="1" t="s">
        <v>230</v>
      </c>
      <c r="EE2228" s="1" t="s">
        <v>230</v>
      </c>
      <c r="EI2228" s="1" t="s">
        <v>230</v>
      </c>
      <c r="EL2228" s="1" t="s">
        <v>440</v>
      </c>
      <c r="EM2228" s="1" t="s">
        <v>730</v>
      </c>
      <c r="EN2228" s="1" t="s">
        <v>282</v>
      </c>
      <c r="EO2228" s="1" t="s">
        <v>234</v>
      </c>
      <c r="EP2228" s="1" t="s">
        <v>210</v>
      </c>
      <c r="EQ2228" s="1" t="s">
        <v>3572</v>
      </c>
      <c r="ER2228" s="1" t="s">
        <v>351</v>
      </c>
      <c r="ES2228" s="1" t="s">
        <v>493</v>
      </c>
      <c r="EV2228" s="1" t="s">
        <v>324</v>
      </c>
      <c r="EW2228" s="1" t="s">
        <v>210</v>
      </c>
      <c r="EY2228" s="1" t="s">
        <v>242</v>
      </c>
      <c r="EZ2228" s="1" t="s">
        <v>287</v>
      </c>
      <c r="FD2228" s="1" t="s">
        <v>246</v>
      </c>
      <c r="FE2228" s="1" t="s">
        <v>247</v>
      </c>
      <c r="FF2228" s="1" t="s">
        <v>248</v>
      </c>
      <c r="FH2228" s="1" t="s">
        <v>550</v>
      </c>
      <c r="FI2228" s="1" t="s">
        <v>2827</v>
      </c>
      <c r="FJ2228" s="1" t="s">
        <v>1620</v>
      </c>
      <c r="FL2228" s="1" t="s">
        <v>414</v>
      </c>
      <c r="FM2228" s="1" t="s">
        <v>252</v>
      </c>
      <c r="FN2228" s="1" t="s">
        <v>213</v>
      </c>
      <c r="FO2228" s="1" t="s">
        <v>213</v>
      </c>
      <c r="FQ2228" s="1" t="s">
        <v>849</v>
      </c>
      <c r="FR2228" s="1" t="s">
        <v>210</v>
      </c>
      <c r="FS2228" s="1" t="s">
        <v>19773</v>
      </c>
      <c r="FT2228" s="1" t="s">
        <v>255</v>
      </c>
      <c r="FU2228" s="1" t="s">
        <v>204</v>
      </c>
      <c r="FW2228" s="1" t="s">
        <v>19774</v>
      </c>
      <c r="FX2228" s="1">
        <v>85772</v>
      </c>
      <c r="FY2228" s="1" t="s">
        <v>19775</v>
      </c>
      <c r="FZ2228" s="1" t="s">
        <v>19776</v>
      </c>
      <c r="GA2228" s="1">
        <v>159318</v>
      </c>
      <c r="GB2228" s="1" t="s">
        <v>19777</v>
      </c>
      <c r="GE2228" s="1" t="s">
        <v>210</v>
      </c>
      <c r="GH2228" s="1" t="s">
        <v>421</v>
      </c>
      <c r="GI2228" s="1" t="s">
        <v>213</v>
      </c>
      <c r="GJ2228" s="1" t="s">
        <v>260</v>
      </c>
      <c r="GK2228" s="1" t="s">
        <v>210</v>
      </c>
      <c r="GL2228" s="2">
        <v>41995</v>
      </c>
    </row>
    <row r="2229" spans="1:195">
      <c r="A2229" s="1">
        <v>93500</v>
      </c>
      <c r="B2229" s="1" t="s">
        <v>195</v>
      </c>
      <c r="C2229" s="1" t="str">
        <f>"08755541"</f>
        <v>08755541</v>
      </c>
      <c r="D2229" s="1" t="s">
        <v>196</v>
      </c>
      <c r="F2229" s="1" t="str">
        <f>"540"</f>
        <v>540</v>
      </c>
      <c r="G2229" s="2">
        <v>41929</v>
      </c>
      <c r="H2229" s="1">
        <v>94800</v>
      </c>
      <c r="I2229" s="1">
        <v>92500</v>
      </c>
      <c r="J2229" s="1">
        <v>93500</v>
      </c>
      <c r="K2229" s="2">
        <v>41929</v>
      </c>
      <c r="L2229" s="1">
        <v>135</v>
      </c>
      <c r="M2229" s="2">
        <v>42063</v>
      </c>
      <c r="N2229" s="1">
        <v>135</v>
      </c>
      <c r="O2229" s="2">
        <v>42063</v>
      </c>
      <c r="P2229" s="1">
        <v>23030</v>
      </c>
      <c r="Q2229" s="1" t="s">
        <v>197</v>
      </c>
      <c r="R2229" s="2">
        <v>42118</v>
      </c>
      <c r="S2229" s="1">
        <v>231970</v>
      </c>
      <c r="U2229" s="1" t="s">
        <v>5278</v>
      </c>
      <c r="V2229" s="1" t="s">
        <v>5279</v>
      </c>
      <c r="W2229" s="1" t="s">
        <v>504</v>
      </c>
      <c r="X2229" s="1" t="s">
        <v>19778</v>
      </c>
      <c r="Y2229" s="1">
        <v>40</v>
      </c>
      <c r="Z2229" s="1" t="s">
        <v>249</v>
      </c>
      <c r="AA2229" s="1" t="s">
        <v>921</v>
      </c>
      <c r="AB2229" s="1">
        <v>60563</v>
      </c>
      <c r="AE2229" s="1" t="s">
        <v>19779</v>
      </c>
      <c r="AF2229" s="1">
        <v>1974</v>
      </c>
      <c r="AG2229" s="1" t="s">
        <v>213</v>
      </c>
      <c r="AH2229" s="1" t="s">
        <v>882</v>
      </c>
      <c r="AI2229" s="1" t="s">
        <v>206</v>
      </c>
      <c r="AJ2229" s="1" t="s">
        <v>924</v>
      </c>
      <c r="AL2229" s="1">
        <v>5</v>
      </c>
      <c r="AM2229" s="1">
        <v>2</v>
      </c>
      <c r="AN2229" s="1">
        <v>1</v>
      </c>
      <c r="AO2229" s="1">
        <v>1</v>
      </c>
      <c r="AP2229" s="1" t="s">
        <v>1234</v>
      </c>
      <c r="AR2229" s="1" t="s">
        <v>210</v>
      </c>
      <c r="AS2229" s="1" t="s">
        <v>204</v>
      </c>
      <c r="AT2229" s="1" t="s">
        <v>211</v>
      </c>
      <c r="AU2229" s="1">
        <v>1</v>
      </c>
      <c r="AW2229" s="1" t="s">
        <v>204</v>
      </c>
      <c r="AX2229" s="1" t="s">
        <v>212</v>
      </c>
      <c r="AZ2229" s="1">
        <v>1532</v>
      </c>
      <c r="BA2229" s="1">
        <v>2013</v>
      </c>
      <c r="BB2229" s="1" t="s">
        <v>405</v>
      </c>
      <c r="BE2229" s="1">
        <v>1095</v>
      </c>
      <c r="BF2229" s="1">
        <v>2</v>
      </c>
      <c r="BG2229" s="1">
        <v>0</v>
      </c>
      <c r="BJ2229" s="1">
        <v>100</v>
      </c>
      <c r="BL2229" s="1">
        <v>371</v>
      </c>
      <c r="BM2229" s="1" t="s">
        <v>204</v>
      </c>
      <c r="BN2229" s="1" t="s">
        <v>213</v>
      </c>
      <c r="BP2229" s="1" t="s">
        <v>204</v>
      </c>
      <c r="BR2229" s="1" t="str">
        <f>"0709219056"</f>
        <v>0709219056</v>
      </c>
      <c r="BT2229" s="1" t="s">
        <v>19780</v>
      </c>
      <c r="BU2229" s="1" t="s">
        <v>5426</v>
      </c>
      <c r="BV2229" s="1" t="s">
        <v>1248</v>
      </c>
      <c r="BW2229" s="1" t="s">
        <v>1131</v>
      </c>
      <c r="BX2229" s="1">
        <v>204</v>
      </c>
      <c r="BY2229" s="1">
        <v>204</v>
      </c>
      <c r="BZ2229" s="1">
        <v>204</v>
      </c>
      <c r="CB2229" s="1" t="str">
        <f t="shared" ref="CB2229:CC2229" si="1705">""</f>
        <v/>
      </c>
      <c r="CC2229" s="1" t="str">
        <f t="shared" si="1705"/>
        <v/>
      </c>
      <c r="CG2229" s="1" t="s">
        <v>1995</v>
      </c>
      <c r="CH2229" s="1" t="s">
        <v>219</v>
      </c>
      <c r="CI2229" s="1" t="s">
        <v>220</v>
      </c>
      <c r="CJ2229" s="1" t="s">
        <v>343</v>
      </c>
      <c r="CK2229" s="1" t="s">
        <v>490</v>
      </c>
      <c r="CL2229" s="1" t="s">
        <v>219</v>
      </c>
      <c r="CM2229" s="1" t="s">
        <v>220</v>
      </c>
      <c r="CN2229" s="1" t="s">
        <v>343</v>
      </c>
      <c r="CO2229" s="1" t="s">
        <v>318</v>
      </c>
      <c r="CP2229" s="1" t="s">
        <v>219</v>
      </c>
      <c r="CQ2229" s="1" t="s">
        <v>229</v>
      </c>
      <c r="CS2229" s="1" t="s">
        <v>1854</v>
      </c>
      <c r="CT2229" s="1" t="s">
        <v>219</v>
      </c>
      <c r="CU2229" s="1" t="s">
        <v>220</v>
      </c>
      <c r="CV2229" s="1" t="s">
        <v>343</v>
      </c>
      <c r="CX2229" s="1" t="s">
        <v>224</v>
      </c>
      <c r="DB2229" s="1" t="s">
        <v>224</v>
      </c>
      <c r="DE2229" s="1" t="s">
        <v>3657</v>
      </c>
      <c r="DF2229" s="1" t="s">
        <v>219</v>
      </c>
      <c r="DG2229" s="1" t="s">
        <v>229</v>
      </c>
      <c r="DJ2229" s="1" t="s">
        <v>224</v>
      </c>
      <c r="DS2229" s="1" t="s">
        <v>230</v>
      </c>
      <c r="DW2229" s="1" t="s">
        <v>230</v>
      </c>
      <c r="EA2229" s="1" t="s">
        <v>230</v>
      </c>
      <c r="EE2229" s="1" t="s">
        <v>230</v>
      </c>
      <c r="EI2229" s="1" t="s">
        <v>230</v>
      </c>
      <c r="EL2229" s="1" t="s">
        <v>605</v>
      </c>
      <c r="EM2229" s="1" t="s">
        <v>232</v>
      </c>
      <c r="EN2229" s="1" t="s">
        <v>282</v>
      </c>
      <c r="EO2229" s="1" t="s">
        <v>234</v>
      </c>
      <c r="EP2229" s="1" t="s">
        <v>2497</v>
      </c>
      <c r="EQ2229" s="1" t="s">
        <v>1551</v>
      </c>
      <c r="ER2229" s="1" t="s">
        <v>210</v>
      </c>
      <c r="ES2229" s="1" t="s">
        <v>545</v>
      </c>
      <c r="EV2229" s="1" t="s">
        <v>324</v>
      </c>
      <c r="EW2229" s="1" t="s">
        <v>733</v>
      </c>
      <c r="EY2229" s="1" t="s">
        <v>1315</v>
      </c>
      <c r="EZ2229" s="1" t="s">
        <v>287</v>
      </c>
      <c r="FB2229" s="1" t="s">
        <v>289</v>
      </c>
      <c r="FC2229" s="1" t="s">
        <v>1386</v>
      </c>
      <c r="FD2229" s="1" t="s">
        <v>736</v>
      </c>
      <c r="FE2229" s="1" t="s">
        <v>247</v>
      </c>
      <c r="FF2229" s="1" t="s">
        <v>248</v>
      </c>
      <c r="FH2229" s="1" t="s">
        <v>249</v>
      </c>
      <c r="FI2229" s="1" t="s">
        <v>4004</v>
      </c>
      <c r="FJ2229" s="1" t="s">
        <v>197</v>
      </c>
      <c r="FL2229" s="1" t="s">
        <v>358</v>
      </c>
      <c r="FM2229" s="1" t="s">
        <v>252</v>
      </c>
      <c r="FN2229" s="1" t="s">
        <v>213</v>
      </c>
      <c r="FO2229" s="1" t="s">
        <v>213</v>
      </c>
      <c r="FQ2229" s="1" t="s">
        <v>9782</v>
      </c>
      <c r="FR2229" s="1" t="s">
        <v>210</v>
      </c>
      <c r="FS2229" s="1" t="s">
        <v>19781</v>
      </c>
      <c r="FT2229" s="1" t="s">
        <v>362</v>
      </c>
      <c r="FU2229" s="1" t="s">
        <v>204</v>
      </c>
      <c r="FV2229" s="1" t="s">
        <v>19782</v>
      </c>
      <c r="FW2229" s="1" t="s">
        <v>943</v>
      </c>
      <c r="FX2229" s="1">
        <v>23120</v>
      </c>
      <c r="FY2229" s="1" t="s">
        <v>944</v>
      </c>
      <c r="FZ2229" s="1" t="s">
        <v>19783</v>
      </c>
      <c r="GA2229" s="1">
        <v>232005</v>
      </c>
      <c r="GB2229" s="1" t="s">
        <v>19784</v>
      </c>
      <c r="GE2229" s="1" t="s">
        <v>480</v>
      </c>
      <c r="GI2229" s="1" t="s">
        <v>213</v>
      </c>
      <c r="GJ2229" s="1" t="s">
        <v>260</v>
      </c>
      <c r="GK2229" s="1" t="s">
        <v>210</v>
      </c>
      <c r="GL2229" s="2">
        <v>42118</v>
      </c>
      <c r="GM2229" s="1" t="s">
        <v>19785</v>
      </c>
    </row>
    <row r="2230" spans="1:195">
      <c r="A2230" s="1">
        <v>162500</v>
      </c>
      <c r="B2230" s="1" t="s">
        <v>195</v>
      </c>
      <c r="C2230" s="1" t="str">
        <f>"08759117"</f>
        <v>08759117</v>
      </c>
      <c r="D2230" s="1" t="s">
        <v>196</v>
      </c>
      <c r="F2230" s="1" t="str">
        <f t="shared" ref="F2230:F2231" si="1706">"107"</f>
        <v>107</v>
      </c>
      <c r="G2230" s="2">
        <v>41934</v>
      </c>
      <c r="H2230" s="1">
        <v>165000</v>
      </c>
      <c r="I2230" s="1">
        <v>165000</v>
      </c>
      <c r="J2230" s="1">
        <v>162500</v>
      </c>
      <c r="K2230" s="2">
        <v>41934</v>
      </c>
      <c r="L2230" s="1">
        <v>9</v>
      </c>
      <c r="M2230" s="2">
        <v>41942</v>
      </c>
      <c r="N2230" s="1">
        <v>9</v>
      </c>
      <c r="O2230" s="2">
        <v>41942</v>
      </c>
      <c r="P2230" s="1">
        <v>25739</v>
      </c>
      <c r="Q2230" s="1" t="s">
        <v>197</v>
      </c>
      <c r="R2230" s="2">
        <v>41991</v>
      </c>
      <c r="S2230" s="1">
        <v>89396</v>
      </c>
      <c r="T2230" s="1">
        <v>1500</v>
      </c>
      <c r="U2230" s="1">
        <v>126</v>
      </c>
      <c r="V2230" s="1" t="s">
        <v>19786</v>
      </c>
      <c r="W2230" s="1" t="s">
        <v>264</v>
      </c>
      <c r="Y2230" s="1">
        <v>6</v>
      </c>
      <c r="Z2230" s="1" t="s">
        <v>370</v>
      </c>
      <c r="AA2230" s="1" t="s">
        <v>1211</v>
      </c>
      <c r="AB2230" s="1">
        <v>60107</v>
      </c>
      <c r="AD2230" s="1" t="s">
        <v>13379</v>
      </c>
      <c r="AE2230" s="1" t="s">
        <v>19787</v>
      </c>
      <c r="AF2230" s="1">
        <v>1995</v>
      </c>
      <c r="AG2230" s="1" t="s">
        <v>204</v>
      </c>
      <c r="AH2230" s="1" t="s">
        <v>1214</v>
      </c>
      <c r="AI2230" s="1" t="s">
        <v>310</v>
      </c>
      <c r="AJ2230" s="1" t="s">
        <v>374</v>
      </c>
      <c r="AK2230" s="1" t="s">
        <v>19788</v>
      </c>
      <c r="AL2230" s="1">
        <v>6</v>
      </c>
      <c r="AM2230" s="1">
        <v>2</v>
      </c>
      <c r="AN2230" s="1">
        <v>2</v>
      </c>
      <c r="AO2230" s="1">
        <v>1</v>
      </c>
      <c r="AP2230" s="1" t="s">
        <v>209</v>
      </c>
      <c r="AR2230" s="1" t="s">
        <v>210</v>
      </c>
      <c r="AS2230" s="1" t="s">
        <v>204</v>
      </c>
      <c r="AT2230" s="1" t="s">
        <v>211</v>
      </c>
      <c r="AU2230" s="1">
        <v>2</v>
      </c>
      <c r="AW2230" s="1" t="s">
        <v>204</v>
      </c>
      <c r="AX2230" s="1" t="s">
        <v>19789</v>
      </c>
      <c r="AZ2230" s="1">
        <v>2883</v>
      </c>
      <c r="BA2230" s="1">
        <v>2013</v>
      </c>
      <c r="BB2230" s="1" t="s">
        <v>599</v>
      </c>
      <c r="BE2230" s="1">
        <v>1547</v>
      </c>
      <c r="BF2230" s="1">
        <v>1</v>
      </c>
      <c r="BG2230" s="1">
        <v>0</v>
      </c>
      <c r="BL2230" s="1">
        <v>175</v>
      </c>
      <c r="BM2230" s="1" t="s">
        <v>204</v>
      </c>
      <c r="BN2230" s="1" t="s">
        <v>213</v>
      </c>
      <c r="BO2230" s="1">
        <v>100</v>
      </c>
      <c r="BP2230" s="1" t="s">
        <v>204</v>
      </c>
      <c r="BR2230" s="1" t="str">
        <f>"06263670250000"</f>
        <v>06263670250000</v>
      </c>
      <c r="BT2230" s="1" t="s">
        <v>19790</v>
      </c>
      <c r="BU2230" s="1" t="s">
        <v>1216</v>
      </c>
      <c r="BV2230" s="1" t="s">
        <v>3623</v>
      </c>
      <c r="BW2230" s="1" t="s">
        <v>1217</v>
      </c>
      <c r="BX2230" s="1">
        <v>46</v>
      </c>
      <c r="BY2230" s="1">
        <v>46</v>
      </c>
      <c r="BZ2230" s="1">
        <v>46</v>
      </c>
      <c r="CB2230" s="1" t="str">
        <f t="shared" ref="CB2230:CB2231" si="1707">"9"</f>
        <v>9</v>
      </c>
      <c r="CC2230" s="1" t="str">
        <f t="shared" ref="CC2230:CC2232" si="1708">"0"</f>
        <v>0</v>
      </c>
      <c r="CD2230" s="1">
        <v>28</v>
      </c>
      <c r="CE2230" s="1">
        <v>0</v>
      </c>
      <c r="CG2230" s="1" t="s">
        <v>861</v>
      </c>
      <c r="CH2230" s="1" t="s">
        <v>219</v>
      </c>
      <c r="CI2230" s="1" t="s">
        <v>220</v>
      </c>
      <c r="CJ2230" s="1" t="s">
        <v>252</v>
      </c>
      <c r="CK2230" s="1" t="s">
        <v>228</v>
      </c>
      <c r="CL2230" s="1" t="s">
        <v>277</v>
      </c>
      <c r="CM2230" s="1" t="s">
        <v>220</v>
      </c>
      <c r="CN2230" s="1" t="s">
        <v>343</v>
      </c>
      <c r="CO2230" s="1" t="s">
        <v>379</v>
      </c>
      <c r="CP2230" s="1" t="s">
        <v>219</v>
      </c>
      <c r="CQ2230" s="1" t="s">
        <v>342</v>
      </c>
      <c r="CR2230" s="1" t="s">
        <v>343</v>
      </c>
      <c r="CS2230" s="1" t="s">
        <v>378</v>
      </c>
      <c r="CT2230" s="1" t="s">
        <v>277</v>
      </c>
      <c r="CU2230" s="1" t="s">
        <v>220</v>
      </c>
      <c r="CV2230" s="1" t="s">
        <v>343</v>
      </c>
      <c r="CX2230" s="1" t="s">
        <v>224</v>
      </c>
      <c r="DB2230" s="1" t="s">
        <v>224</v>
      </c>
      <c r="DE2230" s="1" t="s">
        <v>380</v>
      </c>
      <c r="DF2230" s="1" t="s">
        <v>219</v>
      </c>
      <c r="DG2230" s="1" t="s">
        <v>342</v>
      </c>
      <c r="DH2230" s="1" t="s">
        <v>210</v>
      </c>
      <c r="DJ2230" s="1" t="s">
        <v>224</v>
      </c>
      <c r="DM2230" s="1" t="s">
        <v>464</v>
      </c>
      <c r="DR2230" s="1" t="s">
        <v>461</v>
      </c>
      <c r="DS2230" s="1" t="s">
        <v>277</v>
      </c>
      <c r="DT2230" s="1" t="s">
        <v>220</v>
      </c>
      <c r="DU2230" s="1" t="s">
        <v>343</v>
      </c>
      <c r="DW2230" s="1" t="s">
        <v>230</v>
      </c>
      <c r="EA2230" s="1" t="s">
        <v>230</v>
      </c>
      <c r="EE2230" s="1" t="s">
        <v>230</v>
      </c>
      <c r="EI2230" s="1" t="s">
        <v>230</v>
      </c>
      <c r="EL2230" s="1" t="s">
        <v>670</v>
      </c>
      <c r="EM2230" s="1" t="s">
        <v>232</v>
      </c>
      <c r="EN2230" s="1" t="s">
        <v>282</v>
      </c>
      <c r="EO2230" s="1" t="s">
        <v>234</v>
      </c>
      <c r="EQ2230" s="1" t="s">
        <v>468</v>
      </c>
      <c r="ER2230" s="1" t="s">
        <v>383</v>
      </c>
      <c r="ES2230" s="1" t="s">
        <v>493</v>
      </c>
      <c r="EW2230" s="1" t="s">
        <v>1219</v>
      </c>
      <c r="EY2230" s="1" t="s">
        <v>242</v>
      </c>
      <c r="EZ2230" s="1" t="s">
        <v>464</v>
      </c>
      <c r="FD2230" s="1" t="s">
        <v>246</v>
      </c>
      <c r="FE2230" s="1" t="s">
        <v>765</v>
      </c>
      <c r="FF2230" s="1" t="s">
        <v>3103</v>
      </c>
      <c r="FH2230" s="1" t="s">
        <v>550</v>
      </c>
      <c r="FI2230" s="1" t="s">
        <v>357</v>
      </c>
      <c r="FJ2230" s="1" t="s">
        <v>1251</v>
      </c>
      <c r="FL2230" s="1" t="s">
        <v>358</v>
      </c>
      <c r="FM2230" s="1" t="s">
        <v>252</v>
      </c>
      <c r="FN2230" s="1" t="s">
        <v>213</v>
      </c>
      <c r="FO2230" s="1" t="s">
        <v>213</v>
      </c>
      <c r="FQ2230" s="1" t="s">
        <v>793</v>
      </c>
      <c r="FR2230" s="1" t="s">
        <v>210</v>
      </c>
      <c r="FS2230" s="1" t="s">
        <v>6713</v>
      </c>
      <c r="FT2230" s="1" t="s">
        <v>295</v>
      </c>
      <c r="FU2230" s="1" t="s">
        <v>204</v>
      </c>
      <c r="FV2230" s="1" t="s">
        <v>19791</v>
      </c>
      <c r="FW2230" s="1" t="s">
        <v>4125</v>
      </c>
      <c r="FX2230" s="1">
        <v>8073</v>
      </c>
      <c r="FY2230" s="1" t="s">
        <v>4126</v>
      </c>
      <c r="FZ2230" s="1" t="s">
        <v>6714</v>
      </c>
      <c r="GA2230" s="1">
        <v>81720</v>
      </c>
      <c r="GB2230" s="1" t="s">
        <v>6715</v>
      </c>
      <c r="GE2230" s="1" t="s">
        <v>210</v>
      </c>
      <c r="GI2230" s="1" t="s">
        <v>213</v>
      </c>
      <c r="GJ2230" s="1" t="s">
        <v>260</v>
      </c>
      <c r="GK2230" s="1" t="s">
        <v>210</v>
      </c>
      <c r="GL2230" s="2">
        <v>41991</v>
      </c>
      <c r="GM2230" s="1" t="s">
        <v>19792</v>
      </c>
    </row>
    <row r="2231" spans="1:195">
      <c r="A2231" s="1">
        <v>57000</v>
      </c>
      <c r="B2231" s="1" t="s">
        <v>195</v>
      </c>
      <c r="C2231" s="1" t="str">
        <f>"08759421"</f>
        <v>08759421</v>
      </c>
      <c r="D2231" s="1" t="s">
        <v>196</v>
      </c>
      <c r="F2231" s="1" t="str">
        <f t="shared" si="1706"/>
        <v>107</v>
      </c>
      <c r="G2231" s="2">
        <v>41934</v>
      </c>
      <c r="H2231" s="1">
        <v>57000</v>
      </c>
      <c r="I2231" s="1">
        <v>57000</v>
      </c>
      <c r="J2231" s="1">
        <v>57000</v>
      </c>
      <c r="K2231" s="2">
        <v>41934</v>
      </c>
      <c r="L2231" s="1">
        <v>10</v>
      </c>
      <c r="M2231" s="2">
        <v>41943</v>
      </c>
      <c r="N2231" s="1">
        <v>10</v>
      </c>
      <c r="O2231" s="2">
        <v>41943</v>
      </c>
      <c r="P2231" s="1">
        <v>22029</v>
      </c>
      <c r="Q2231" s="1" t="s">
        <v>197</v>
      </c>
      <c r="R2231" s="2">
        <v>41990</v>
      </c>
      <c r="S2231" s="1">
        <v>83411</v>
      </c>
      <c r="U2231" s="1">
        <v>2054</v>
      </c>
      <c r="V2231" s="1" t="s">
        <v>3067</v>
      </c>
      <c r="W2231" s="1" t="s">
        <v>304</v>
      </c>
      <c r="Y2231" s="1">
        <v>5</v>
      </c>
      <c r="Z2231" s="1" t="s">
        <v>370</v>
      </c>
      <c r="AA2231" s="1" t="s">
        <v>1211</v>
      </c>
      <c r="AB2231" s="1">
        <v>60107</v>
      </c>
      <c r="AE2231" s="1" t="s">
        <v>19793</v>
      </c>
      <c r="AF2231" s="1">
        <v>1968</v>
      </c>
      <c r="AG2231" s="1" t="s">
        <v>213</v>
      </c>
      <c r="AH2231" s="1" t="s">
        <v>1214</v>
      </c>
      <c r="AI2231" s="1" t="s">
        <v>310</v>
      </c>
      <c r="AJ2231" s="1" t="s">
        <v>374</v>
      </c>
      <c r="AK2231" s="1" t="s">
        <v>2247</v>
      </c>
      <c r="AL2231" s="1">
        <v>5</v>
      </c>
      <c r="AM2231" s="1">
        <v>2</v>
      </c>
      <c r="AN2231" s="1">
        <v>1</v>
      </c>
      <c r="AO2231" s="1">
        <v>1</v>
      </c>
      <c r="AP2231" s="1" t="s">
        <v>210</v>
      </c>
      <c r="AR2231" s="1" t="s">
        <v>209</v>
      </c>
      <c r="AS2231" s="1" t="s">
        <v>204</v>
      </c>
      <c r="AT2231" s="1" t="s">
        <v>271</v>
      </c>
      <c r="AV2231" s="1">
        <v>2</v>
      </c>
      <c r="AW2231" s="1" t="s">
        <v>204</v>
      </c>
      <c r="AX2231" s="1">
        <v>1098</v>
      </c>
      <c r="AZ2231" s="1">
        <v>2852.29</v>
      </c>
      <c r="BA2231" s="1">
        <v>2012</v>
      </c>
      <c r="BE2231" s="1">
        <v>900</v>
      </c>
      <c r="BF2231" s="1">
        <v>1</v>
      </c>
      <c r="BG2231" s="1">
        <v>0</v>
      </c>
      <c r="BL2231" s="1">
        <v>170</v>
      </c>
      <c r="BM2231" s="1" t="s">
        <v>413</v>
      </c>
      <c r="BN2231" s="1" t="s">
        <v>213</v>
      </c>
      <c r="BO2231" s="1">
        <v>999</v>
      </c>
      <c r="BP2231" s="1" t="s">
        <v>204</v>
      </c>
      <c r="BR2231" s="1" t="str">
        <f>"06263530250000"</f>
        <v>06263530250000</v>
      </c>
      <c r="BT2231" s="1" t="s">
        <v>19794</v>
      </c>
      <c r="BX2231" s="1">
        <v>46</v>
      </c>
      <c r="BY2231" s="1">
        <v>46</v>
      </c>
      <c r="BZ2231" s="1">
        <v>46</v>
      </c>
      <c r="CB2231" s="1" t="str">
        <f t="shared" si="1707"/>
        <v>9</v>
      </c>
      <c r="CC2231" s="1" t="str">
        <f t="shared" si="1708"/>
        <v>0</v>
      </c>
      <c r="CD2231" s="1">
        <v>28</v>
      </c>
      <c r="CE2231" s="1">
        <v>0</v>
      </c>
      <c r="CG2231" s="1" t="s">
        <v>437</v>
      </c>
      <c r="CH2231" s="1" t="s">
        <v>219</v>
      </c>
      <c r="CK2231" s="1" t="s">
        <v>539</v>
      </c>
      <c r="CL2231" s="1" t="s">
        <v>277</v>
      </c>
      <c r="CP2231" s="1" t="s">
        <v>224</v>
      </c>
      <c r="CS2231" s="1" t="s">
        <v>318</v>
      </c>
      <c r="CT2231" s="1" t="s">
        <v>277</v>
      </c>
      <c r="CX2231" s="1" t="s">
        <v>224</v>
      </c>
      <c r="DB2231" s="1" t="s">
        <v>224</v>
      </c>
      <c r="DE2231" s="1" t="s">
        <v>1297</v>
      </c>
      <c r="DF2231" s="1" t="s">
        <v>219</v>
      </c>
      <c r="DI2231" s="1" t="s">
        <v>344</v>
      </c>
      <c r="DJ2231" s="1" t="s">
        <v>822</v>
      </c>
      <c r="DS2231" s="1" t="s">
        <v>230</v>
      </c>
      <c r="DW2231" s="1" t="s">
        <v>230</v>
      </c>
      <c r="EA2231" s="1" t="s">
        <v>230</v>
      </c>
      <c r="EE2231" s="1" t="s">
        <v>230</v>
      </c>
      <c r="EI2231" s="1" t="s">
        <v>230</v>
      </c>
      <c r="EL2231" s="1" t="s">
        <v>605</v>
      </c>
      <c r="EM2231" s="1" t="s">
        <v>319</v>
      </c>
      <c r="EN2231" s="1" t="s">
        <v>210</v>
      </c>
      <c r="EO2231" s="1" t="s">
        <v>840</v>
      </c>
      <c r="EP2231" s="1" t="s">
        <v>650</v>
      </c>
      <c r="ER2231" s="1" t="s">
        <v>544</v>
      </c>
      <c r="ES2231" s="1" t="s">
        <v>322</v>
      </c>
      <c r="EU2231" s="1" t="s">
        <v>546</v>
      </c>
      <c r="EW2231" s="1" t="s">
        <v>1895</v>
      </c>
      <c r="EZ2231" s="1" t="s">
        <v>287</v>
      </c>
      <c r="FD2231" s="1" t="s">
        <v>246</v>
      </c>
      <c r="FE2231" s="1" t="s">
        <v>247</v>
      </c>
      <c r="FF2231" s="1" t="s">
        <v>248</v>
      </c>
      <c r="FH2231" s="1" t="s">
        <v>550</v>
      </c>
      <c r="FK2231" s="1" t="s">
        <v>291</v>
      </c>
      <c r="FL2231" s="1" t="s">
        <v>358</v>
      </c>
      <c r="FM2231" s="1" t="s">
        <v>252</v>
      </c>
      <c r="FN2231" s="1" t="s">
        <v>213</v>
      </c>
      <c r="FO2231" s="1" t="s">
        <v>213</v>
      </c>
      <c r="FQ2231" s="1" t="s">
        <v>689</v>
      </c>
      <c r="FR2231" s="1" t="s">
        <v>210</v>
      </c>
      <c r="FS2231" s="1" t="s">
        <v>8256</v>
      </c>
      <c r="FT2231" s="1" t="s">
        <v>1828</v>
      </c>
      <c r="FU2231" s="1" t="s">
        <v>204</v>
      </c>
      <c r="FW2231" s="1" t="s">
        <v>8257</v>
      </c>
      <c r="FX2231" s="1">
        <v>16339</v>
      </c>
      <c r="FY2231" s="1" t="s">
        <v>8258</v>
      </c>
      <c r="FZ2231" s="1" t="s">
        <v>16836</v>
      </c>
      <c r="GA2231" s="1">
        <v>106496</v>
      </c>
      <c r="GC2231" s="1">
        <v>165879</v>
      </c>
      <c r="GE2231" s="1" t="s">
        <v>210</v>
      </c>
      <c r="GI2231" s="1" t="s">
        <v>204</v>
      </c>
      <c r="GJ2231" s="1" t="s">
        <v>260</v>
      </c>
      <c r="GK2231" s="1" t="s">
        <v>210</v>
      </c>
      <c r="GL2231" s="2">
        <v>41991</v>
      </c>
      <c r="GM2231" s="1" t="s">
        <v>8260</v>
      </c>
    </row>
    <row r="2232" spans="1:195">
      <c r="A2232" s="1">
        <v>103000</v>
      </c>
      <c r="B2232" s="1" t="s">
        <v>195</v>
      </c>
      <c r="C2232" s="1" t="str">
        <f>"08756593"</f>
        <v>08756593</v>
      </c>
      <c r="D2232" s="1" t="s">
        <v>196</v>
      </c>
      <c r="F2232" s="1" t="str">
        <f>"61"</f>
        <v>61</v>
      </c>
      <c r="G2232" s="2">
        <v>41931</v>
      </c>
      <c r="H2232" s="1">
        <v>115900</v>
      </c>
      <c r="I2232" s="1">
        <v>110900</v>
      </c>
      <c r="J2232" s="1">
        <v>103000</v>
      </c>
      <c r="K2232" s="2">
        <v>41931</v>
      </c>
      <c r="L2232" s="1">
        <v>27</v>
      </c>
      <c r="M2232" s="2">
        <v>41957</v>
      </c>
      <c r="N2232" s="1">
        <v>27</v>
      </c>
      <c r="O2232" s="2">
        <v>41957</v>
      </c>
      <c r="P2232" s="1">
        <v>3718</v>
      </c>
      <c r="Q2232" s="1" t="s">
        <v>302</v>
      </c>
      <c r="R2232" s="2">
        <v>41976</v>
      </c>
      <c r="S2232" s="1">
        <v>36034</v>
      </c>
      <c r="U2232" s="1">
        <v>13</v>
      </c>
      <c r="V2232" s="1" t="s">
        <v>9350</v>
      </c>
      <c r="W2232" s="1" t="s">
        <v>304</v>
      </c>
      <c r="X2232" s="1">
        <v>9</v>
      </c>
      <c r="Y2232" s="1">
        <v>18</v>
      </c>
      <c r="Z2232" s="1" t="s">
        <v>249</v>
      </c>
      <c r="AA2232" s="1" t="s">
        <v>505</v>
      </c>
      <c r="AB2232" s="1">
        <v>60061</v>
      </c>
      <c r="AD2232" s="1" t="s">
        <v>9351</v>
      </c>
      <c r="AE2232" s="1" t="s">
        <v>19795</v>
      </c>
      <c r="AF2232" s="1">
        <v>1985</v>
      </c>
      <c r="AG2232" s="1" t="s">
        <v>204</v>
      </c>
      <c r="AH2232" s="1" t="s">
        <v>508</v>
      </c>
      <c r="AI2232" s="1" t="s">
        <v>509</v>
      </c>
      <c r="AJ2232" s="1" t="s">
        <v>510</v>
      </c>
      <c r="AL2232" s="1">
        <v>5</v>
      </c>
      <c r="AM2232" s="1">
        <v>2</v>
      </c>
      <c r="AN2232" s="1">
        <v>1</v>
      </c>
      <c r="AO2232" s="1">
        <v>1</v>
      </c>
      <c r="AP2232" s="1" t="s">
        <v>210</v>
      </c>
      <c r="AQ2232" s="1">
        <v>0</v>
      </c>
      <c r="AR2232" s="1" t="s">
        <v>210</v>
      </c>
      <c r="AS2232" s="1" t="s">
        <v>204</v>
      </c>
      <c r="AT2232" s="1" t="s">
        <v>271</v>
      </c>
      <c r="AV2232" s="1">
        <v>2</v>
      </c>
      <c r="AW2232" s="1" t="s">
        <v>204</v>
      </c>
      <c r="AX2232" s="1" t="s">
        <v>579</v>
      </c>
      <c r="AZ2232" s="1">
        <v>2327</v>
      </c>
      <c r="BA2232" s="1">
        <v>2012</v>
      </c>
      <c r="BE2232" s="1">
        <v>948</v>
      </c>
      <c r="BF2232" s="1">
        <v>2</v>
      </c>
      <c r="BG2232" s="1">
        <v>0</v>
      </c>
      <c r="BL2232" s="1">
        <v>239</v>
      </c>
      <c r="BM2232" s="1" t="s">
        <v>204</v>
      </c>
      <c r="BN2232" s="1" t="s">
        <v>213</v>
      </c>
      <c r="BO2232" s="1">
        <v>999</v>
      </c>
      <c r="BP2232" s="1" t="s">
        <v>204</v>
      </c>
      <c r="BR2232" s="1" t="str">
        <f>"11322052150000"</f>
        <v>11322052150000</v>
      </c>
      <c r="BT2232" s="1" t="s">
        <v>19796</v>
      </c>
      <c r="BU2232" s="1" t="s">
        <v>1879</v>
      </c>
      <c r="BV2232" s="1" t="s">
        <v>1880</v>
      </c>
      <c r="BW2232" s="1" t="s">
        <v>514</v>
      </c>
      <c r="BX2232" s="1">
        <v>73</v>
      </c>
      <c r="BY2232" s="1">
        <v>73</v>
      </c>
      <c r="BZ2232" s="1">
        <v>128</v>
      </c>
      <c r="CB2232" s="1" t="str">
        <f>"26"</f>
        <v>26</v>
      </c>
      <c r="CC2232" s="1" t="str">
        <f t="shared" si="1708"/>
        <v>0</v>
      </c>
      <c r="CD2232" s="1">
        <v>17</v>
      </c>
      <c r="CE2232" s="1">
        <v>0</v>
      </c>
      <c r="CG2232" s="1" t="s">
        <v>2402</v>
      </c>
      <c r="CH2232" s="1" t="s">
        <v>277</v>
      </c>
      <c r="CI2232" s="1" t="s">
        <v>229</v>
      </c>
      <c r="CK2232" s="1" t="s">
        <v>539</v>
      </c>
      <c r="CL2232" s="1" t="s">
        <v>277</v>
      </c>
      <c r="CM2232" s="1" t="s">
        <v>229</v>
      </c>
      <c r="CO2232" s="1" t="s">
        <v>1724</v>
      </c>
      <c r="CP2232" s="1" t="s">
        <v>277</v>
      </c>
      <c r="CQ2232" s="1" t="s">
        <v>229</v>
      </c>
      <c r="CR2232" s="1" t="s">
        <v>210</v>
      </c>
      <c r="CS2232" s="1" t="s">
        <v>346</v>
      </c>
      <c r="CT2232" s="1" t="s">
        <v>277</v>
      </c>
      <c r="CU2232" s="1" t="s">
        <v>229</v>
      </c>
      <c r="CX2232" s="1" t="s">
        <v>224</v>
      </c>
      <c r="DB2232" s="1" t="s">
        <v>224</v>
      </c>
      <c r="DE2232" s="1" t="s">
        <v>409</v>
      </c>
      <c r="DF2232" s="1" t="s">
        <v>277</v>
      </c>
      <c r="DG2232" s="1" t="s">
        <v>229</v>
      </c>
      <c r="DH2232" s="1" t="s">
        <v>210</v>
      </c>
      <c r="DJ2232" s="1" t="s">
        <v>224</v>
      </c>
      <c r="DS2232" s="1" t="s">
        <v>230</v>
      </c>
      <c r="DW2232" s="1" t="s">
        <v>230</v>
      </c>
      <c r="EA2232" s="1" t="s">
        <v>230</v>
      </c>
      <c r="EE2232" s="1" t="s">
        <v>230</v>
      </c>
      <c r="EI2232" s="1" t="s">
        <v>230</v>
      </c>
      <c r="EL2232" s="1" t="s">
        <v>542</v>
      </c>
      <c r="EM2232" s="1" t="s">
        <v>232</v>
      </c>
      <c r="EN2232" s="1" t="s">
        <v>1158</v>
      </c>
      <c r="EO2232" s="1" t="s">
        <v>234</v>
      </c>
      <c r="EP2232" s="1" t="s">
        <v>19797</v>
      </c>
      <c r="EQ2232" s="1" t="s">
        <v>4462</v>
      </c>
      <c r="ER2232" s="1" t="s">
        <v>210</v>
      </c>
      <c r="ES2232" s="1" t="s">
        <v>824</v>
      </c>
      <c r="EV2232" s="1" t="s">
        <v>240</v>
      </c>
      <c r="EW2232" s="1" t="s">
        <v>2232</v>
      </c>
      <c r="EZ2232" s="1" t="s">
        <v>287</v>
      </c>
      <c r="FA2232" s="1" t="s">
        <v>1048</v>
      </c>
      <c r="FB2232" s="1" t="s">
        <v>289</v>
      </c>
      <c r="FD2232" s="1" t="s">
        <v>246</v>
      </c>
      <c r="FE2232" s="1" t="s">
        <v>247</v>
      </c>
      <c r="FF2232" s="1" t="s">
        <v>248</v>
      </c>
      <c r="FH2232" s="1" t="s">
        <v>249</v>
      </c>
      <c r="FK2232" s="1" t="s">
        <v>891</v>
      </c>
      <c r="FL2232" s="1" t="s">
        <v>17590</v>
      </c>
      <c r="FM2232" s="1" t="s">
        <v>252</v>
      </c>
      <c r="FN2232" s="1" t="s">
        <v>213</v>
      </c>
      <c r="FO2232" s="1" t="s">
        <v>213</v>
      </c>
      <c r="FQ2232" s="1" t="s">
        <v>11975</v>
      </c>
      <c r="FR2232" s="1" t="s">
        <v>210</v>
      </c>
      <c r="FS2232" s="1" t="s">
        <v>19798</v>
      </c>
      <c r="FT2232" s="1" t="s">
        <v>295</v>
      </c>
      <c r="FU2232" s="1" t="s">
        <v>204</v>
      </c>
      <c r="FW2232" s="1" t="s">
        <v>19799</v>
      </c>
      <c r="FX2232" s="1">
        <v>4674</v>
      </c>
      <c r="FY2232" s="1" t="s">
        <v>19800</v>
      </c>
      <c r="FZ2232" s="1" t="s">
        <v>19801</v>
      </c>
      <c r="GA2232" s="1">
        <v>32236</v>
      </c>
      <c r="GB2232" s="1" t="s">
        <v>19800</v>
      </c>
      <c r="GE2232" s="1" t="s">
        <v>480</v>
      </c>
      <c r="GI2232" s="1" t="s">
        <v>213</v>
      </c>
      <c r="GJ2232" s="1" t="s">
        <v>260</v>
      </c>
      <c r="GK2232" s="1" t="s">
        <v>210</v>
      </c>
      <c r="GL2232" s="2">
        <v>41976</v>
      </c>
    </row>
    <row r="2233" spans="1:195">
      <c r="A2233" s="1">
        <v>237500</v>
      </c>
      <c r="B2233" s="1" t="s">
        <v>195</v>
      </c>
      <c r="C2233" s="1" t="str">
        <f>"08754087"</f>
        <v>08754087</v>
      </c>
      <c r="D2233" s="1" t="s">
        <v>196</v>
      </c>
      <c r="F2233" s="1" t="str">
        <f>"540"</f>
        <v>540</v>
      </c>
      <c r="G2233" s="2">
        <v>41927</v>
      </c>
      <c r="H2233" s="1">
        <v>250000</v>
      </c>
      <c r="I2233" s="1">
        <v>250000</v>
      </c>
      <c r="J2233" s="1">
        <v>237500</v>
      </c>
      <c r="K2233" s="2">
        <v>41927</v>
      </c>
      <c r="L2233" s="1">
        <v>52</v>
      </c>
      <c r="M2233" s="2">
        <v>41978</v>
      </c>
      <c r="N2233" s="1">
        <v>52</v>
      </c>
      <c r="O2233" s="2">
        <v>41978</v>
      </c>
      <c r="P2233" s="1">
        <v>22029</v>
      </c>
      <c r="Q2233" s="1" t="s">
        <v>302</v>
      </c>
      <c r="R2233" s="2">
        <v>42026</v>
      </c>
      <c r="S2233" s="1">
        <v>233970</v>
      </c>
      <c r="U2233" s="1">
        <v>509</v>
      </c>
      <c r="V2233" s="1" t="s">
        <v>1123</v>
      </c>
      <c r="W2233" s="1" t="s">
        <v>425</v>
      </c>
      <c r="X2233" s="1">
        <v>604</v>
      </c>
      <c r="Y2233" s="1">
        <v>120</v>
      </c>
      <c r="Z2233" s="1" t="s">
        <v>249</v>
      </c>
      <c r="AA2233" s="1" t="s">
        <v>921</v>
      </c>
      <c r="AB2233" s="1">
        <v>60540</v>
      </c>
      <c r="AD2233" s="1" t="s">
        <v>4486</v>
      </c>
      <c r="AE2233" s="1" t="s">
        <v>19802</v>
      </c>
      <c r="AF2233" s="1">
        <v>1986</v>
      </c>
      <c r="AG2233" s="1" t="s">
        <v>204</v>
      </c>
      <c r="AH2233" s="1" t="s">
        <v>924</v>
      </c>
      <c r="AI2233" s="1" t="s">
        <v>206</v>
      </c>
      <c r="AJ2233" s="1" t="s">
        <v>924</v>
      </c>
      <c r="AK2233" s="1" t="s">
        <v>4488</v>
      </c>
      <c r="AL2233" s="1">
        <v>5</v>
      </c>
      <c r="AM2233" s="1">
        <v>2</v>
      </c>
      <c r="AN2233" s="1">
        <v>2</v>
      </c>
      <c r="AO2233" s="1">
        <v>0</v>
      </c>
      <c r="AP2233" s="1" t="s">
        <v>209</v>
      </c>
      <c r="AQ2233" s="1">
        <v>1</v>
      </c>
      <c r="AR2233" s="1" t="s">
        <v>210</v>
      </c>
      <c r="AS2233" s="1" t="s">
        <v>204</v>
      </c>
      <c r="AT2233" s="1" t="s">
        <v>375</v>
      </c>
      <c r="AU2233" s="1">
        <v>0</v>
      </c>
      <c r="AV2233" s="1">
        <v>1</v>
      </c>
      <c r="AW2233" s="1" t="s">
        <v>204</v>
      </c>
      <c r="AX2233" s="1" t="s">
        <v>212</v>
      </c>
      <c r="AZ2233" s="3">
        <v>4873</v>
      </c>
      <c r="BA2233" s="1">
        <v>2013</v>
      </c>
      <c r="BB2233" s="1" t="s">
        <v>599</v>
      </c>
      <c r="BE2233" s="1">
        <v>1332</v>
      </c>
      <c r="BF2233" s="1">
        <v>6</v>
      </c>
      <c r="BG2233" s="1">
        <v>0</v>
      </c>
      <c r="BL2233" s="1">
        <v>550</v>
      </c>
      <c r="BM2233" s="1" t="s">
        <v>204</v>
      </c>
      <c r="BN2233" s="1" t="s">
        <v>213</v>
      </c>
      <c r="BP2233" s="1" t="s">
        <v>204</v>
      </c>
      <c r="BR2233" s="1" t="str">
        <f>"0724124291"</f>
        <v>0724124291</v>
      </c>
      <c r="BT2233" s="1" t="s">
        <v>19803</v>
      </c>
      <c r="BU2233" s="1" t="s">
        <v>928</v>
      </c>
      <c r="BV2233" s="1" t="s">
        <v>929</v>
      </c>
      <c r="BW2233" s="1" t="s">
        <v>930</v>
      </c>
      <c r="BX2233" s="1">
        <v>203</v>
      </c>
      <c r="BY2233" s="1">
        <v>203</v>
      </c>
      <c r="BZ2233" s="1">
        <v>203</v>
      </c>
      <c r="CB2233" s="1" t="str">
        <f t="shared" ref="CB2233:CC2233" si="1709">""</f>
        <v/>
      </c>
      <c r="CC2233" s="1" t="str">
        <f t="shared" si="1709"/>
        <v/>
      </c>
      <c r="CG2233" s="1" t="s">
        <v>1995</v>
      </c>
      <c r="CH2233" s="1" t="s">
        <v>219</v>
      </c>
      <c r="CI2233" s="1" t="s">
        <v>220</v>
      </c>
      <c r="CJ2233" s="1" t="s">
        <v>252</v>
      </c>
      <c r="CK2233" s="1" t="s">
        <v>462</v>
      </c>
      <c r="CL2233" s="1" t="s">
        <v>219</v>
      </c>
      <c r="CM2233" s="1" t="s">
        <v>220</v>
      </c>
      <c r="CN2233" s="1" t="s">
        <v>252</v>
      </c>
      <c r="CO2233" s="1" t="s">
        <v>3657</v>
      </c>
      <c r="CP2233" s="1" t="s">
        <v>219</v>
      </c>
      <c r="CQ2233" s="1" t="s">
        <v>220</v>
      </c>
      <c r="CR2233" s="1" t="s">
        <v>252</v>
      </c>
      <c r="CS2233" s="1" t="s">
        <v>1046</v>
      </c>
      <c r="CT2233" s="1" t="s">
        <v>219</v>
      </c>
      <c r="CU2233" s="1" t="s">
        <v>220</v>
      </c>
      <c r="CV2233" s="1" t="s">
        <v>343</v>
      </c>
      <c r="CX2233" s="1" t="s">
        <v>224</v>
      </c>
      <c r="DB2233" s="1" t="s">
        <v>224</v>
      </c>
      <c r="DE2233" s="1" t="s">
        <v>345</v>
      </c>
      <c r="DF2233" s="1" t="s">
        <v>219</v>
      </c>
      <c r="DG2233" s="1" t="s">
        <v>347</v>
      </c>
      <c r="DJ2233" s="1" t="s">
        <v>224</v>
      </c>
      <c r="DS2233" s="1" t="s">
        <v>230</v>
      </c>
      <c r="DW2233" s="1" t="s">
        <v>230</v>
      </c>
      <c r="EA2233" s="1" t="s">
        <v>230</v>
      </c>
      <c r="EE2233" s="1" t="s">
        <v>230</v>
      </c>
      <c r="EI2233" s="1" t="s">
        <v>230</v>
      </c>
      <c r="EL2233" s="1" t="s">
        <v>542</v>
      </c>
      <c r="EM2233" s="1" t="s">
        <v>232</v>
      </c>
      <c r="EN2233" s="1" t="s">
        <v>282</v>
      </c>
      <c r="EO2233" s="1" t="s">
        <v>234</v>
      </c>
      <c r="EP2233" s="1" t="s">
        <v>19804</v>
      </c>
      <c r="EQ2233" s="1" t="s">
        <v>236</v>
      </c>
      <c r="ER2233" s="1" t="s">
        <v>210</v>
      </c>
      <c r="ES2233" s="1" t="s">
        <v>545</v>
      </c>
      <c r="EU2233" s="1" t="s">
        <v>19805</v>
      </c>
      <c r="EV2233" s="1" t="s">
        <v>240</v>
      </c>
      <c r="EW2233" s="1" t="s">
        <v>19806</v>
      </c>
      <c r="EY2233" s="1" t="s">
        <v>242</v>
      </c>
      <c r="EZ2233" s="1" t="s">
        <v>287</v>
      </c>
      <c r="FA2233" s="1" t="s">
        <v>19807</v>
      </c>
      <c r="FB2233" s="1" t="s">
        <v>613</v>
      </c>
      <c r="FD2233" s="1" t="s">
        <v>4003</v>
      </c>
      <c r="FE2233" s="1" t="s">
        <v>247</v>
      </c>
      <c r="FF2233" s="1" t="s">
        <v>248</v>
      </c>
      <c r="FG2233" s="1" t="s">
        <v>715</v>
      </c>
      <c r="FH2233" s="1" t="s">
        <v>1942</v>
      </c>
      <c r="FI2233" s="1" t="s">
        <v>2827</v>
      </c>
      <c r="FJ2233" s="1" t="s">
        <v>1251</v>
      </c>
      <c r="FK2233" s="1" t="s">
        <v>19808</v>
      </c>
      <c r="FL2233" s="1" t="s">
        <v>4895</v>
      </c>
      <c r="FM2233" s="1" t="s">
        <v>252</v>
      </c>
      <c r="FN2233" s="1" t="s">
        <v>213</v>
      </c>
      <c r="FO2233" s="1" t="s">
        <v>213</v>
      </c>
      <c r="FQ2233" s="1" t="s">
        <v>4088</v>
      </c>
      <c r="FR2233" s="1" t="s">
        <v>210</v>
      </c>
      <c r="FS2233" s="1" t="s">
        <v>19809</v>
      </c>
      <c r="FT2233" s="1" t="s">
        <v>362</v>
      </c>
      <c r="FU2233" s="1" t="s">
        <v>204</v>
      </c>
      <c r="FV2233" s="1" t="s">
        <v>19810</v>
      </c>
      <c r="FW2233" s="1" t="s">
        <v>521</v>
      </c>
      <c r="FX2233" s="1">
        <v>25042</v>
      </c>
      <c r="FY2233" s="1" t="s">
        <v>522</v>
      </c>
      <c r="FZ2233" s="1" t="s">
        <v>19811</v>
      </c>
      <c r="GA2233" s="1">
        <v>214123</v>
      </c>
      <c r="GB2233" s="1" t="s">
        <v>19812</v>
      </c>
      <c r="GD2233" s="1" t="s">
        <v>19810</v>
      </c>
      <c r="GE2233" s="1" t="s">
        <v>335</v>
      </c>
      <c r="GI2233" s="1" t="s">
        <v>204</v>
      </c>
      <c r="GJ2233" s="1" t="s">
        <v>260</v>
      </c>
      <c r="GK2233" s="1" t="s">
        <v>210</v>
      </c>
      <c r="GL2233" s="2">
        <v>42026</v>
      </c>
      <c r="GM2233" s="1" t="s">
        <v>19813</v>
      </c>
    </row>
    <row r="2234" spans="1:195">
      <c r="A2234" s="1">
        <v>45000</v>
      </c>
      <c r="B2234" s="1" t="s">
        <v>195</v>
      </c>
      <c r="C2234" s="1" t="str">
        <f>"08759080"</f>
        <v>08759080</v>
      </c>
      <c r="D2234" s="1" t="s">
        <v>196</v>
      </c>
      <c r="F2234" s="1" t="str">
        <f>"73"</f>
        <v>73</v>
      </c>
      <c r="G2234" s="2">
        <v>41934</v>
      </c>
      <c r="H2234" s="1">
        <v>54900</v>
      </c>
      <c r="I2234" s="1">
        <v>54900</v>
      </c>
      <c r="J2234" s="1">
        <v>45000</v>
      </c>
      <c r="K2234" s="2">
        <v>41933</v>
      </c>
      <c r="L2234" s="1">
        <v>12</v>
      </c>
      <c r="M2234" s="2">
        <v>41944</v>
      </c>
      <c r="N2234" s="1">
        <v>12</v>
      </c>
      <c r="O2234" s="2">
        <v>41944</v>
      </c>
      <c r="P2234" s="1">
        <v>2208</v>
      </c>
      <c r="Q2234" s="1" t="s">
        <v>302</v>
      </c>
      <c r="R2234" s="2">
        <v>41977</v>
      </c>
      <c r="S2234" s="1">
        <v>80921</v>
      </c>
      <c r="U2234" s="1">
        <v>523</v>
      </c>
      <c r="V2234" s="1" t="s">
        <v>8735</v>
      </c>
      <c r="W2234" s="1" t="s">
        <v>504</v>
      </c>
      <c r="X2234" s="1">
        <v>523</v>
      </c>
      <c r="Y2234" s="1">
        <v>6</v>
      </c>
      <c r="Z2234" s="1" t="s">
        <v>370</v>
      </c>
      <c r="AA2234" s="1" t="s">
        <v>1027</v>
      </c>
      <c r="AB2234" s="1">
        <v>60073</v>
      </c>
      <c r="AD2234" s="1" t="s">
        <v>8735</v>
      </c>
      <c r="AE2234" s="1" t="s">
        <v>19814</v>
      </c>
      <c r="AF2234" s="1">
        <v>1983</v>
      </c>
      <c r="AG2234" s="1" t="s">
        <v>204</v>
      </c>
      <c r="AH2234" s="1" t="s">
        <v>1029</v>
      </c>
      <c r="AI2234" s="1" t="s">
        <v>509</v>
      </c>
      <c r="AJ2234" s="1" t="s">
        <v>1263</v>
      </c>
      <c r="AL2234" s="1">
        <v>5</v>
      </c>
      <c r="AM2234" s="1">
        <v>2</v>
      </c>
      <c r="AN2234" s="1">
        <v>1</v>
      </c>
      <c r="AO2234" s="1">
        <v>1</v>
      </c>
      <c r="AP2234" s="1" t="s">
        <v>210</v>
      </c>
      <c r="AR2234" s="1" t="s">
        <v>210</v>
      </c>
      <c r="AS2234" s="1" t="s">
        <v>204</v>
      </c>
      <c r="AT2234" s="1" t="s">
        <v>211</v>
      </c>
      <c r="AU2234" s="1">
        <v>1</v>
      </c>
      <c r="AW2234" s="1" t="s">
        <v>204</v>
      </c>
      <c r="AX2234" s="1" t="s">
        <v>1581</v>
      </c>
      <c r="AZ2234" s="1">
        <v>1831.99</v>
      </c>
      <c r="BA2234" s="1">
        <v>2013</v>
      </c>
      <c r="BB2234" s="1" t="s">
        <v>405</v>
      </c>
      <c r="BE2234" s="1">
        <v>960</v>
      </c>
      <c r="BF2234" s="1">
        <v>1</v>
      </c>
      <c r="BG2234" s="1">
        <v>0</v>
      </c>
      <c r="BL2234" s="1">
        <v>235</v>
      </c>
      <c r="BM2234" s="1" t="s">
        <v>204</v>
      </c>
      <c r="BN2234" s="1" t="s">
        <v>213</v>
      </c>
      <c r="BO2234" s="1">
        <v>99</v>
      </c>
      <c r="BP2234" s="1" t="s">
        <v>204</v>
      </c>
      <c r="BR2234" s="1" t="str">
        <f>"06171220090000"</f>
        <v>06171220090000</v>
      </c>
      <c r="BT2234" s="1" t="s">
        <v>19815</v>
      </c>
      <c r="BU2234" s="1" t="s">
        <v>7672</v>
      </c>
      <c r="BV2234" s="1" t="s">
        <v>4025</v>
      </c>
      <c r="BW2234" s="1" t="s">
        <v>4026</v>
      </c>
      <c r="BX2234" s="1">
        <v>116</v>
      </c>
      <c r="BY2234" s="1">
        <v>116</v>
      </c>
      <c r="BZ2234" s="1">
        <v>116</v>
      </c>
      <c r="CB2234" s="1" t="str">
        <f>"35"</f>
        <v>35</v>
      </c>
      <c r="CC2234" s="1" t="str">
        <f>"0"</f>
        <v>0</v>
      </c>
      <c r="CD2234" s="1">
        <v>23</v>
      </c>
      <c r="CE2234" s="1">
        <v>0</v>
      </c>
      <c r="CG2234" s="1" t="s">
        <v>648</v>
      </c>
      <c r="CH2234" s="1" t="s">
        <v>219</v>
      </c>
      <c r="CI2234" s="1" t="s">
        <v>220</v>
      </c>
      <c r="CK2234" s="1" t="s">
        <v>461</v>
      </c>
      <c r="CL2234" s="1" t="s">
        <v>277</v>
      </c>
      <c r="CM2234" s="1" t="s">
        <v>220</v>
      </c>
      <c r="CO2234" s="1" t="s">
        <v>629</v>
      </c>
      <c r="CP2234" s="1" t="s">
        <v>219</v>
      </c>
      <c r="CS2234" s="1" t="s">
        <v>1297</v>
      </c>
      <c r="CT2234" s="1" t="s">
        <v>277</v>
      </c>
      <c r="CU2234" s="1" t="s">
        <v>220</v>
      </c>
      <c r="CX2234" s="1" t="s">
        <v>224</v>
      </c>
      <c r="DB2234" s="1" t="s">
        <v>224</v>
      </c>
      <c r="DE2234" s="1" t="s">
        <v>318</v>
      </c>
      <c r="DF2234" s="1" t="s">
        <v>219</v>
      </c>
      <c r="DG2234" s="1" t="s">
        <v>226</v>
      </c>
      <c r="DJ2234" s="1" t="s">
        <v>224</v>
      </c>
      <c r="DS2234" s="1" t="s">
        <v>230</v>
      </c>
      <c r="DW2234" s="1" t="s">
        <v>230</v>
      </c>
      <c r="EA2234" s="1" t="s">
        <v>230</v>
      </c>
      <c r="EE2234" s="1" t="s">
        <v>230</v>
      </c>
      <c r="EI2234" s="1" t="s">
        <v>230</v>
      </c>
      <c r="EL2234" s="1" t="s">
        <v>231</v>
      </c>
      <c r="EM2234" s="1" t="s">
        <v>319</v>
      </c>
      <c r="EN2234" s="1" t="s">
        <v>282</v>
      </c>
      <c r="EO2234" s="1" t="s">
        <v>234</v>
      </c>
      <c r="EP2234" s="1" t="s">
        <v>19816</v>
      </c>
      <c r="EQ2234" s="1" t="s">
        <v>468</v>
      </c>
      <c r="ER2234" s="1" t="s">
        <v>383</v>
      </c>
      <c r="EU2234" s="1" t="s">
        <v>5043</v>
      </c>
      <c r="EV2234" s="1" t="s">
        <v>240</v>
      </c>
      <c r="EW2234" s="1" t="s">
        <v>9701</v>
      </c>
      <c r="EZ2234" s="1" t="s">
        <v>287</v>
      </c>
      <c r="FD2234" s="1" t="s">
        <v>246</v>
      </c>
      <c r="FE2234" s="1" t="s">
        <v>355</v>
      </c>
      <c r="FF2234" s="1" t="s">
        <v>248</v>
      </c>
      <c r="FH2234" s="1" t="s">
        <v>550</v>
      </c>
      <c r="FL2234" s="1" t="s">
        <v>358</v>
      </c>
      <c r="FM2234" s="1" t="s">
        <v>252</v>
      </c>
      <c r="FN2234" s="1" t="s">
        <v>213</v>
      </c>
      <c r="FO2234" s="1" t="s">
        <v>213</v>
      </c>
      <c r="FQ2234" s="1" t="s">
        <v>4413</v>
      </c>
      <c r="FR2234" s="1" t="s">
        <v>210</v>
      </c>
      <c r="FS2234" s="1" t="s">
        <v>2753</v>
      </c>
      <c r="FT2234" s="1" t="s">
        <v>295</v>
      </c>
      <c r="FU2234" s="1" t="s">
        <v>204</v>
      </c>
      <c r="FW2234" s="1" t="s">
        <v>10180</v>
      </c>
      <c r="FX2234" s="1">
        <v>24185</v>
      </c>
      <c r="FY2234" s="1" t="s">
        <v>10181</v>
      </c>
      <c r="FZ2234" s="1" t="s">
        <v>10182</v>
      </c>
      <c r="GA2234" s="1">
        <v>237462</v>
      </c>
      <c r="GB2234" s="1" t="s">
        <v>10183</v>
      </c>
      <c r="GE2234" s="1" t="s">
        <v>1333</v>
      </c>
      <c r="GI2234" s="1" t="s">
        <v>213</v>
      </c>
      <c r="GJ2234" s="1" t="s">
        <v>260</v>
      </c>
      <c r="GK2234" s="1" t="s">
        <v>210</v>
      </c>
      <c r="GL2234" s="2">
        <v>41985</v>
      </c>
      <c r="GM2234" s="1" t="s">
        <v>19817</v>
      </c>
    </row>
    <row r="2235" spans="1:195">
      <c r="A2235" s="1">
        <v>140000</v>
      </c>
      <c r="B2235" s="1" t="s">
        <v>195</v>
      </c>
      <c r="C2235" s="1" t="str">
        <f>"08849267"</f>
        <v>08849267</v>
      </c>
      <c r="D2235" s="1" t="s">
        <v>196</v>
      </c>
      <c r="F2235" s="1" t="str">
        <f>"61"</f>
        <v>61</v>
      </c>
      <c r="G2235" s="2">
        <v>42064</v>
      </c>
      <c r="H2235" s="1">
        <v>160000</v>
      </c>
      <c r="I2235" s="1">
        <v>160000</v>
      </c>
      <c r="J2235" s="1">
        <v>140000</v>
      </c>
      <c r="K2235" s="2">
        <v>42064</v>
      </c>
      <c r="L2235" s="1">
        <v>9</v>
      </c>
      <c r="M2235" s="2">
        <v>42072</v>
      </c>
      <c r="N2235" s="1">
        <v>9</v>
      </c>
      <c r="O2235" s="2">
        <v>42072</v>
      </c>
      <c r="P2235" s="1">
        <v>3665</v>
      </c>
      <c r="Q2235" s="1" t="s">
        <v>197</v>
      </c>
      <c r="R2235" s="2">
        <v>42107</v>
      </c>
      <c r="S2235" s="1">
        <v>40328</v>
      </c>
      <c r="U2235" s="1">
        <v>224</v>
      </c>
      <c r="V2235" s="1" t="s">
        <v>5180</v>
      </c>
      <c r="W2235" s="1" t="s">
        <v>449</v>
      </c>
      <c r="X2235" s="1">
        <v>224</v>
      </c>
      <c r="Y2235" s="1">
        <v>4</v>
      </c>
      <c r="Z2235" s="1" t="s">
        <v>370</v>
      </c>
      <c r="AA2235" s="1" t="s">
        <v>505</v>
      </c>
      <c r="AB2235" s="1">
        <v>60061</v>
      </c>
      <c r="AE2235" s="1" t="s">
        <v>19818</v>
      </c>
      <c r="AF2235" s="1">
        <v>1983</v>
      </c>
      <c r="AG2235" s="1" t="s">
        <v>204</v>
      </c>
      <c r="AH2235" s="1" t="s">
        <v>508</v>
      </c>
      <c r="AI2235" s="1" t="s">
        <v>509</v>
      </c>
      <c r="AJ2235" s="1" t="s">
        <v>1693</v>
      </c>
      <c r="AL2235" s="1">
        <v>6</v>
      </c>
      <c r="AM2235" s="1">
        <v>2</v>
      </c>
      <c r="AN2235" s="1">
        <v>2</v>
      </c>
      <c r="AO2235" s="1">
        <v>0</v>
      </c>
      <c r="AP2235" s="1" t="s">
        <v>209</v>
      </c>
      <c r="AQ2235" s="1">
        <v>1</v>
      </c>
      <c r="AR2235" s="1" t="s">
        <v>210</v>
      </c>
      <c r="AS2235" s="1" t="s">
        <v>204</v>
      </c>
      <c r="AT2235" s="1" t="s">
        <v>211</v>
      </c>
      <c r="AU2235" s="1">
        <v>1</v>
      </c>
      <c r="AW2235" s="1" t="s">
        <v>204</v>
      </c>
      <c r="AX2235" s="1" t="s">
        <v>579</v>
      </c>
      <c r="AZ2235" s="1">
        <v>3324.13</v>
      </c>
      <c r="BA2235" s="1">
        <v>2013</v>
      </c>
      <c r="BB2235" s="1" t="s">
        <v>405</v>
      </c>
      <c r="BE2235" s="1">
        <v>1246</v>
      </c>
      <c r="BF2235" s="1">
        <v>2</v>
      </c>
      <c r="BG2235" s="1">
        <v>0</v>
      </c>
      <c r="BL2235" s="1">
        <v>245</v>
      </c>
      <c r="BM2235" s="1" t="s">
        <v>204</v>
      </c>
      <c r="BN2235" s="1" t="s">
        <v>213</v>
      </c>
      <c r="BO2235" s="1">
        <v>300</v>
      </c>
      <c r="BP2235" s="1" t="s">
        <v>204</v>
      </c>
      <c r="BR2235" s="1" t="str">
        <f>"11331011290000"</f>
        <v>11331011290000</v>
      </c>
      <c r="BT2235" s="1" t="s">
        <v>19819</v>
      </c>
      <c r="BU2235" s="1" t="s">
        <v>1879</v>
      </c>
      <c r="BV2235" s="1" t="s">
        <v>1880</v>
      </c>
      <c r="BW2235" s="1" t="s">
        <v>514</v>
      </c>
      <c r="BX2235" s="1">
        <v>73</v>
      </c>
      <c r="BY2235" s="1">
        <v>73</v>
      </c>
      <c r="BZ2235" s="1">
        <v>128</v>
      </c>
      <c r="CB2235" s="1" t="str">
        <f>"26"</f>
        <v>26</v>
      </c>
      <c r="CC2235" s="1" t="str">
        <f>""</f>
        <v/>
      </c>
      <c r="CD2235" s="1">
        <v>16</v>
      </c>
      <c r="CG2235" s="1" t="s">
        <v>931</v>
      </c>
      <c r="CH2235" s="1" t="s">
        <v>219</v>
      </c>
      <c r="CI2235" s="1" t="s">
        <v>220</v>
      </c>
      <c r="CK2235" s="1" t="s">
        <v>223</v>
      </c>
      <c r="CL2235" s="1" t="s">
        <v>219</v>
      </c>
      <c r="CM2235" s="1" t="s">
        <v>220</v>
      </c>
      <c r="CO2235" s="1" t="s">
        <v>316</v>
      </c>
      <c r="CP2235" s="1" t="s">
        <v>219</v>
      </c>
      <c r="CQ2235" s="1" t="s">
        <v>226</v>
      </c>
      <c r="CS2235" s="1" t="s">
        <v>465</v>
      </c>
      <c r="CT2235" s="1" t="s">
        <v>219</v>
      </c>
      <c r="CU2235" s="1" t="s">
        <v>220</v>
      </c>
      <c r="CX2235" s="1" t="s">
        <v>224</v>
      </c>
      <c r="DB2235" s="1" t="s">
        <v>224</v>
      </c>
      <c r="DE2235" s="1" t="s">
        <v>318</v>
      </c>
      <c r="DF2235" s="1" t="s">
        <v>219</v>
      </c>
      <c r="DG2235" s="1" t="s">
        <v>226</v>
      </c>
      <c r="DJ2235" s="1" t="s">
        <v>224</v>
      </c>
      <c r="DM2235" s="1" t="s">
        <v>3011</v>
      </c>
      <c r="DN2235" s="1" t="s">
        <v>381</v>
      </c>
      <c r="DR2235" s="1" t="s">
        <v>5954</v>
      </c>
      <c r="DS2235" s="1" t="s">
        <v>219</v>
      </c>
      <c r="DT2235" s="1" t="s">
        <v>342</v>
      </c>
      <c r="DU2235" s="1" t="s">
        <v>210</v>
      </c>
      <c r="DV2235" s="1" t="s">
        <v>1571</v>
      </c>
      <c r="DW2235" s="1" t="s">
        <v>219</v>
      </c>
      <c r="DX2235" s="1" t="s">
        <v>226</v>
      </c>
      <c r="EA2235" s="1" t="s">
        <v>230</v>
      </c>
      <c r="EE2235" s="1" t="s">
        <v>230</v>
      </c>
      <c r="EI2235" s="1" t="s">
        <v>230</v>
      </c>
      <c r="EL2235" s="1" t="s">
        <v>231</v>
      </c>
      <c r="EM2235" s="1" t="s">
        <v>319</v>
      </c>
      <c r="EN2235" s="1" t="s">
        <v>282</v>
      </c>
      <c r="EO2235" s="1" t="s">
        <v>234</v>
      </c>
      <c r="EP2235" s="1" t="s">
        <v>19820</v>
      </c>
      <c r="EQ2235" s="1" t="s">
        <v>468</v>
      </c>
      <c r="ER2235" s="1" t="s">
        <v>210</v>
      </c>
      <c r="ES2235" s="1" t="s">
        <v>545</v>
      </c>
      <c r="EU2235" s="1" t="s">
        <v>6227</v>
      </c>
      <c r="EW2235" s="1" t="s">
        <v>19821</v>
      </c>
      <c r="EY2235" s="1" t="s">
        <v>242</v>
      </c>
      <c r="EZ2235" s="1" t="s">
        <v>14328</v>
      </c>
      <c r="FB2235" s="1" t="s">
        <v>289</v>
      </c>
      <c r="FC2235" s="1" t="s">
        <v>1362</v>
      </c>
      <c r="FD2235" s="1" t="s">
        <v>246</v>
      </c>
      <c r="FE2235" s="1" t="s">
        <v>549</v>
      </c>
      <c r="FF2235" s="1" t="s">
        <v>248</v>
      </c>
      <c r="FH2235" s="1" t="s">
        <v>249</v>
      </c>
      <c r="FI2235" s="1" t="s">
        <v>473</v>
      </c>
      <c r="FJ2235" s="1" t="s">
        <v>197</v>
      </c>
      <c r="FL2235" s="1" t="s">
        <v>358</v>
      </c>
      <c r="FM2235" s="1" t="s">
        <v>252</v>
      </c>
      <c r="FN2235" s="1" t="s">
        <v>213</v>
      </c>
      <c r="FO2235" s="1" t="s">
        <v>213</v>
      </c>
      <c r="FQ2235" s="1" t="s">
        <v>1074</v>
      </c>
      <c r="FR2235" s="1" t="s">
        <v>210</v>
      </c>
      <c r="FS2235" s="1" t="s">
        <v>4124</v>
      </c>
      <c r="FT2235" s="1" t="s">
        <v>255</v>
      </c>
      <c r="FU2235" s="1" t="s">
        <v>204</v>
      </c>
      <c r="FW2235" s="1" t="s">
        <v>1077</v>
      </c>
      <c r="FX2235" s="1">
        <v>2752</v>
      </c>
      <c r="FY2235" s="1" t="s">
        <v>1078</v>
      </c>
      <c r="FZ2235" s="1" t="s">
        <v>19822</v>
      </c>
      <c r="GA2235" s="1">
        <v>18274</v>
      </c>
      <c r="GB2235" s="1" t="s">
        <v>19823</v>
      </c>
      <c r="GE2235" s="1" t="s">
        <v>480</v>
      </c>
      <c r="GI2235" s="1" t="s">
        <v>213</v>
      </c>
      <c r="GJ2235" s="1" t="s">
        <v>260</v>
      </c>
      <c r="GK2235" s="1" t="s">
        <v>210</v>
      </c>
      <c r="GL2235" s="2">
        <v>42108</v>
      </c>
      <c r="GM2235" s="1" t="s">
        <v>19824</v>
      </c>
    </row>
    <row r="2236" spans="1:195">
      <c r="A2236" s="1">
        <v>62000</v>
      </c>
      <c r="B2236" s="1" t="s">
        <v>195</v>
      </c>
      <c r="C2236" s="1" t="str">
        <f>"08457583"</f>
        <v>08457583</v>
      </c>
      <c r="D2236" s="1" t="s">
        <v>196</v>
      </c>
      <c r="F2236" s="1" t="str">
        <f>"8064"</f>
        <v>8064</v>
      </c>
      <c r="G2236" s="2">
        <v>41548</v>
      </c>
      <c r="H2236" s="1">
        <v>67900</v>
      </c>
      <c r="I2236" s="1">
        <v>62000</v>
      </c>
      <c r="J2236" s="1">
        <v>62000</v>
      </c>
      <c r="K2236" s="2">
        <v>41548</v>
      </c>
      <c r="L2236" s="1">
        <v>291</v>
      </c>
      <c r="M2236" s="2">
        <v>41838</v>
      </c>
      <c r="N2236" s="1">
        <v>291</v>
      </c>
      <c r="O2236" s="2">
        <v>41838</v>
      </c>
      <c r="P2236" s="1">
        <v>12555</v>
      </c>
      <c r="Q2236" s="1" t="s">
        <v>197</v>
      </c>
      <c r="R2236" s="2">
        <v>41974</v>
      </c>
      <c r="S2236" s="1">
        <v>110736</v>
      </c>
      <c r="U2236" s="1">
        <v>6444</v>
      </c>
      <c r="V2236" s="1" t="s">
        <v>4922</v>
      </c>
      <c r="W2236" s="1" t="s">
        <v>425</v>
      </c>
      <c r="X2236" s="1" t="s">
        <v>3744</v>
      </c>
      <c r="Y2236" s="1">
        <v>9</v>
      </c>
      <c r="Z2236" s="1" t="s">
        <v>200</v>
      </c>
      <c r="AA2236" s="1" t="s">
        <v>400</v>
      </c>
      <c r="AB2236" s="1">
        <v>60638</v>
      </c>
      <c r="AE2236" s="1" t="s">
        <v>19825</v>
      </c>
      <c r="AF2236" s="1">
        <v>1986</v>
      </c>
      <c r="AG2236" s="1" t="s">
        <v>204</v>
      </c>
      <c r="AH2236" s="1" t="s">
        <v>403</v>
      </c>
      <c r="AI2236" s="1" t="s">
        <v>310</v>
      </c>
      <c r="AJ2236" s="1" t="s">
        <v>683</v>
      </c>
      <c r="AK2236" s="1" t="s">
        <v>270</v>
      </c>
      <c r="AL2236" s="1">
        <v>5</v>
      </c>
      <c r="AM2236" s="1">
        <v>2</v>
      </c>
      <c r="AN2236" s="1">
        <v>2</v>
      </c>
      <c r="AO2236" s="1">
        <v>0</v>
      </c>
      <c r="AP2236" s="1" t="s">
        <v>209</v>
      </c>
      <c r="AR2236" s="1" t="s">
        <v>210</v>
      </c>
      <c r="AT2236" s="1" t="s">
        <v>271</v>
      </c>
      <c r="AV2236" s="1">
        <v>1</v>
      </c>
      <c r="AW2236" s="1" t="s">
        <v>204</v>
      </c>
      <c r="AX2236" s="1" t="s">
        <v>3387</v>
      </c>
      <c r="AZ2236" s="1">
        <v>1758.59</v>
      </c>
      <c r="BA2236" s="1">
        <v>2011</v>
      </c>
      <c r="BB2236" s="1" t="s">
        <v>405</v>
      </c>
      <c r="BE2236" s="1">
        <v>900</v>
      </c>
      <c r="BF2236" s="1">
        <v>1</v>
      </c>
      <c r="BG2236" s="1">
        <v>10</v>
      </c>
      <c r="BJ2236" s="1">
        <v>100</v>
      </c>
      <c r="BL2236" s="1">
        <v>125</v>
      </c>
      <c r="BM2236" s="1" t="s">
        <v>204</v>
      </c>
      <c r="BN2236" s="1" t="s">
        <v>213</v>
      </c>
      <c r="BO2236" s="1">
        <v>65</v>
      </c>
      <c r="BP2236" s="1" t="s">
        <v>204</v>
      </c>
      <c r="BR2236" s="1" t="str">
        <f>"19192150231001"</f>
        <v>19192150231001</v>
      </c>
      <c r="BT2236" s="1" t="s">
        <v>19826</v>
      </c>
      <c r="BX2236" s="1">
        <v>299</v>
      </c>
      <c r="BY2236" s="1">
        <v>299</v>
      </c>
      <c r="BZ2236" s="1">
        <v>299</v>
      </c>
      <c r="CB2236" s="1" t="str">
        <f t="shared" ref="CB2236:CC2236" si="1710">"0"</f>
        <v>0</v>
      </c>
      <c r="CC2236" s="1" t="str">
        <f t="shared" si="1710"/>
        <v>0</v>
      </c>
      <c r="CD2236" s="1">
        <v>6400</v>
      </c>
      <c r="CE2236" s="1">
        <v>6444</v>
      </c>
      <c r="CG2236" s="1" t="s">
        <v>1737</v>
      </c>
      <c r="CH2236" s="1" t="s">
        <v>219</v>
      </c>
      <c r="CI2236" s="1" t="s">
        <v>220</v>
      </c>
      <c r="CJ2236" s="1" t="s">
        <v>252</v>
      </c>
      <c r="CK2236" s="1" t="s">
        <v>539</v>
      </c>
      <c r="CL2236" s="1" t="s">
        <v>219</v>
      </c>
      <c r="CM2236" s="1" t="s">
        <v>220</v>
      </c>
      <c r="CN2236" s="1" t="s">
        <v>252</v>
      </c>
      <c r="CO2236" s="1" t="s">
        <v>2138</v>
      </c>
      <c r="CP2236" s="1" t="s">
        <v>219</v>
      </c>
      <c r="CQ2236" s="1" t="s">
        <v>347</v>
      </c>
      <c r="CR2236" s="1" t="s">
        <v>252</v>
      </c>
      <c r="CS2236" s="1" t="s">
        <v>1297</v>
      </c>
      <c r="CT2236" s="1" t="s">
        <v>219</v>
      </c>
      <c r="CU2236" s="1" t="s">
        <v>220</v>
      </c>
      <c r="CV2236" s="1" t="s">
        <v>252</v>
      </c>
      <c r="CX2236" s="1" t="s">
        <v>224</v>
      </c>
      <c r="DB2236" s="1" t="s">
        <v>224</v>
      </c>
      <c r="DE2236" s="1" t="s">
        <v>2138</v>
      </c>
      <c r="DF2236" s="1" t="s">
        <v>219</v>
      </c>
      <c r="DG2236" s="1" t="s">
        <v>342</v>
      </c>
      <c r="DH2236" s="1" t="s">
        <v>252</v>
      </c>
      <c r="DJ2236" s="1" t="s">
        <v>224</v>
      </c>
      <c r="DM2236" s="1" t="s">
        <v>838</v>
      </c>
      <c r="DS2236" s="1" t="s">
        <v>230</v>
      </c>
      <c r="DW2236" s="1" t="s">
        <v>230</v>
      </c>
      <c r="EA2236" s="1" t="s">
        <v>230</v>
      </c>
      <c r="EE2236" s="1" t="s">
        <v>230</v>
      </c>
      <c r="EI2236" s="1" t="s">
        <v>230</v>
      </c>
      <c r="EL2236" s="1" t="s">
        <v>542</v>
      </c>
      <c r="EM2236" s="1" t="s">
        <v>730</v>
      </c>
      <c r="EN2236" s="1" t="s">
        <v>282</v>
      </c>
      <c r="EO2236" s="1" t="s">
        <v>234</v>
      </c>
      <c r="EQ2236" s="1" t="s">
        <v>19827</v>
      </c>
      <c r="ER2236" s="1" t="s">
        <v>210</v>
      </c>
      <c r="ES2236" s="1" t="s">
        <v>322</v>
      </c>
      <c r="EW2236" s="1" t="s">
        <v>6511</v>
      </c>
      <c r="EZ2236" s="1" t="s">
        <v>838</v>
      </c>
      <c r="FB2236" s="1" t="s">
        <v>244</v>
      </c>
      <c r="FD2236" s="1" t="s">
        <v>246</v>
      </c>
      <c r="FE2236" s="1" t="s">
        <v>247</v>
      </c>
      <c r="FF2236" s="1" t="s">
        <v>248</v>
      </c>
      <c r="FH2236" s="1" t="s">
        <v>249</v>
      </c>
      <c r="FJ2236" s="1" t="s">
        <v>197</v>
      </c>
      <c r="FK2236" s="1" t="s">
        <v>291</v>
      </c>
      <c r="FL2236" s="1" t="s">
        <v>358</v>
      </c>
      <c r="FM2236" s="1" t="s">
        <v>252</v>
      </c>
      <c r="FN2236" s="1" t="s">
        <v>213</v>
      </c>
      <c r="FO2236" s="1" t="s">
        <v>213</v>
      </c>
      <c r="FQ2236" s="1" t="s">
        <v>19828</v>
      </c>
      <c r="FR2236" s="1" t="s">
        <v>360</v>
      </c>
      <c r="FS2236" s="1" t="s">
        <v>8342</v>
      </c>
      <c r="FT2236" s="1" t="s">
        <v>1139</v>
      </c>
      <c r="FU2236" s="1" t="s">
        <v>204</v>
      </c>
      <c r="FW2236" s="1" t="s">
        <v>5576</v>
      </c>
      <c r="FX2236" s="1">
        <v>84624</v>
      </c>
      <c r="FY2236" s="1" t="s">
        <v>18987</v>
      </c>
      <c r="FZ2236" s="1" t="s">
        <v>18988</v>
      </c>
      <c r="GA2236" s="1">
        <v>103547</v>
      </c>
      <c r="GB2236" s="1" t="s">
        <v>18989</v>
      </c>
      <c r="GE2236" s="1" t="s">
        <v>210</v>
      </c>
      <c r="GH2236" s="1" t="s">
        <v>421</v>
      </c>
      <c r="GI2236" s="1" t="s">
        <v>213</v>
      </c>
      <c r="GJ2236" s="1" t="s">
        <v>260</v>
      </c>
      <c r="GK2236" s="1" t="s">
        <v>210</v>
      </c>
      <c r="GL2236" s="2">
        <v>41974</v>
      </c>
      <c r="GM2236" s="1" t="s">
        <v>19829</v>
      </c>
    </row>
    <row r="2237" spans="1:195">
      <c r="A2237" s="1">
        <v>130000</v>
      </c>
      <c r="B2237" s="1" t="s">
        <v>195</v>
      </c>
      <c r="C2237" s="1" t="str">
        <f>"08459791"</f>
        <v>08459791</v>
      </c>
      <c r="D2237" s="1" t="s">
        <v>196</v>
      </c>
      <c r="F2237" s="1" t="str">
        <f>"61"</f>
        <v>61</v>
      </c>
      <c r="G2237" s="2">
        <v>41550</v>
      </c>
      <c r="H2237" s="1">
        <v>99700</v>
      </c>
      <c r="I2237" s="1">
        <v>120000</v>
      </c>
      <c r="J2237" s="1">
        <v>130000</v>
      </c>
      <c r="K2237" s="2">
        <v>41550</v>
      </c>
      <c r="L2237" s="1">
        <v>400</v>
      </c>
      <c r="M2237" s="2">
        <v>41949</v>
      </c>
      <c r="N2237" s="1">
        <v>400</v>
      </c>
      <c r="O2237" s="2">
        <v>41949</v>
      </c>
      <c r="P2237" s="1">
        <v>21419</v>
      </c>
      <c r="Q2237" s="1" t="s">
        <v>197</v>
      </c>
      <c r="R2237" s="2">
        <v>42033</v>
      </c>
      <c r="S2237" s="1">
        <v>221447</v>
      </c>
      <c r="U2237" s="1">
        <v>92</v>
      </c>
      <c r="V2237" s="1" t="s">
        <v>19830</v>
      </c>
      <c r="W2237" s="1" t="s">
        <v>304</v>
      </c>
      <c r="Y2237" s="1">
        <v>4</v>
      </c>
      <c r="Z2237" s="1" t="s">
        <v>249</v>
      </c>
      <c r="AA2237" s="1" t="s">
        <v>505</v>
      </c>
      <c r="AB2237" s="1">
        <v>60061</v>
      </c>
      <c r="AE2237" s="1" t="s">
        <v>19831</v>
      </c>
      <c r="AF2237" s="1">
        <v>1975</v>
      </c>
      <c r="AG2237" s="1" t="s">
        <v>213</v>
      </c>
      <c r="AH2237" s="1" t="s">
        <v>508</v>
      </c>
      <c r="AI2237" s="1" t="s">
        <v>509</v>
      </c>
      <c r="AJ2237" s="1" t="s">
        <v>510</v>
      </c>
      <c r="AL2237" s="1">
        <v>5</v>
      </c>
      <c r="AM2237" s="1">
        <v>2</v>
      </c>
      <c r="AN2237" s="1">
        <v>1</v>
      </c>
      <c r="AO2237" s="1">
        <v>1</v>
      </c>
      <c r="AP2237" s="1" t="s">
        <v>210</v>
      </c>
      <c r="AQ2237" s="1">
        <v>0</v>
      </c>
      <c r="AR2237" s="1" t="s">
        <v>210</v>
      </c>
      <c r="AS2237" s="1" t="s">
        <v>204</v>
      </c>
      <c r="AT2237" s="1" t="s">
        <v>211</v>
      </c>
      <c r="AU2237" s="1">
        <v>1</v>
      </c>
      <c r="AW2237" s="1" t="s">
        <v>204</v>
      </c>
      <c r="AX2237" s="1" t="s">
        <v>212</v>
      </c>
      <c r="AZ2237" s="1">
        <v>3630.05</v>
      </c>
      <c r="BA2237" s="1">
        <v>2012</v>
      </c>
      <c r="BE2237" s="1">
        <v>1244</v>
      </c>
      <c r="BF2237" s="1">
        <v>1</v>
      </c>
      <c r="BG2237" s="1">
        <v>30</v>
      </c>
      <c r="BL2237" s="1">
        <v>247</v>
      </c>
      <c r="BM2237" s="1" t="s">
        <v>204</v>
      </c>
      <c r="BN2237" s="1" t="s">
        <v>213</v>
      </c>
      <c r="BO2237" s="1">
        <v>0</v>
      </c>
      <c r="BP2237" s="1" t="s">
        <v>204</v>
      </c>
      <c r="BR2237" s="1" t="str">
        <f>"11324141230000"</f>
        <v>11324141230000</v>
      </c>
      <c r="BT2237" s="1" t="s">
        <v>19832</v>
      </c>
      <c r="BU2237" s="1" t="s">
        <v>1879</v>
      </c>
      <c r="BV2237" s="1" t="s">
        <v>1880</v>
      </c>
      <c r="BW2237" s="1" t="s">
        <v>514</v>
      </c>
      <c r="BX2237" s="1">
        <v>73</v>
      </c>
      <c r="BY2237" s="1">
        <v>73</v>
      </c>
      <c r="BZ2237" s="1">
        <v>128</v>
      </c>
      <c r="CB2237" s="1" t="str">
        <f t="shared" ref="CB2237:CC2237" si="1711">""</f>
        <v/>
      </c>
      <c r="CC2237" s="1" t="str">
        <f t="shared" si="1711"/>
        <v/>
      </c>
      <c r="CG2237" s="1" t="s">
        <v>538</v>
      </c>
      <c r="CH2237" s="1" t="s">
        <v>219</v>
      </c>
      <c r="CI2237" s="1" t="s">
        <v>220</v>
      </c>
      <c r="CK2237" s="1" t="s">
        <v>344</v>
      </c>
      <c r="CL2237" s="1" t="s">
        <v>277</v>
      </c>
      <c r="CM2237" s="1" t="s">
        <v>220</v>
      </c>
      <c r="CO2237" s="1" t="s">
        <v>348</v>
      </c>
      <c r="CP2237" s="1" t="s">
        <v>219</v>
      </c>
      <c r="CQ2237" s="1" t="s">
        <v>220</v>
      </c>
      <c r="CS2237" s="1" t="s">
        <v>346</v>
      </c>
      <c r="CT2237" s="1" t="s">
        <v>277</v>
      </c>
      <c r="CU2237" s="1" t="s">
        <v>220</v>
      </c>
      <c r="CX2237" s="1" t="s">
        <v>224</v>
      </c>
      <c r="DB2237" s="1" t="s">
        <v>224</v>
      </c>
      <c r="DE2237" s="1" t="s">
        <v>2203</v>
      </c>
      <c r="DF2237" s="1" t="s">
        <v>219</v>
      </c>
      <c r="DG2237" s="1" t="s">
        <v>226</v>
      </c>
      <c r="DJ2237" s="1" t="s">
        <v>224</v>
      </c>
      <c r="DS2237" s="1" t="s">
        <v>230</v>
      </c>
      <c r="DW2237" s="1" t="s">
        <v>230</v>
      </c>
      <c r="EA2237" s="1" t="s">
        <v>230</v>
      </c>
      <c r="EE2237" s="1" t="s">
        <v>230</v>
      </c>
      <c r="EI2237" s="1" t="s">
        <v>230</v>
      </c>
      <c r="EL2237" s="1" t="s">
        <v>231</v>
      </c>
      <c r="EM2237" s="1" t="s">
        <v>730</v>
      </c>
      <c r="EN2237" s="1" t="s">
        <v>282</v>
      </c>
      <c r="EO2237" s="1" t="s">
        <v>234</v>
      </c>
      <c r="EP2237" s="1" t="s">
        <v>6972</v>
      </c>
      <c r="ER2237" s="1" t="s">
        <v>210</v>
      </c>
      <c r="EU2237" s="1" t="s">
        <v>19833</v>
      </c>
      <c r="EW2237" s="1" t="s">
        <v>19834</v>
      </c>
      <c r="EZ2237" s="1" t="s">
        <v>287</v>
      </c>
      <c r="FC2237" s="1" t="s">
        <v>1362</v>
      </c>
      <c r="FD2237" s="1" t="s">
        <v>246</v>
      </c>
      <c r="FE2237" s="1" t="s">
        <v>472</v>
      </c>
      <c r="FF2237" s="1" t="s">
        <v>248</v>
      </c>
      <c r="FH2237" s="1" t="s">
        <v>550</v>
      </c>
      <c r="FL2237" s="1" t="s">
        <v>358</v>
      </c>
      <c r="FM2237" s="1" t="s">
        <v>252</v>
      </c>
      <c r="FN2237" s="1" t="s">
        <v>213</v>
      </c>
      <c r="FO2237" s="1" t="s">
        <v>213</v>
      </c>
      <c r="FQ2237" s="1" t="s">
        <v>253</v>
      </c>
      <c r="FR2237" s="1" t="s">
        <v>360</v>
      </c>
      <c r="FS2237" s="1" t="s">
        <v>19835</v>
      </c>
      <c r="FT2237" s="1" t="s">
        <v>17560</v>
      </c>
      <c r="FU2237" s="1" t="s">
        <v>204</v>
      </c>
      <c r="FW2237" s="1" t="s">
        <v>915</v>
      </c>
      <c r="FX2237" s="1">
        <v>4477</v>
      </c>
      <c r="FY2237" s="1" t="s">
        <v>2034</v>
      </c>
      <c r="FZ2237" s="1" t="s">
        <v>19836</v>
      </c>
      <c r="GA2237" s="1">
        <v>36372</v>
      </c>
      <c r="GD2237" s="1" t="s">
        <v>19837</v>
      </c>
      <c r="GE2237" s="1" t="s">
        <v>480</v>
      </c>
      <c r="GI2237" s="1" t="s">
        <v>213</v>
      </c>
      <c r="GJ2237" s="1" t="s">
        <v>260</v>
      </c>
      <c r="GK2237" s="1" t="s">
        <v>210</v>
      </c>
      <c r="GL2237" s="2">
        <v>42034</v>
      </c>
      <c r="GM2237" s="1" t="s">
        <v>19838</v>
      </c>
    </row>
    <row r="2238" spans="1:195">
      <c r="A2238" s="1">
        <v>53000</v>
      </c>
      <c r="B2238" s="1" t="s">
        <v>195</v>
      </c>
      <c r="C2238" s="1" t="str">
        <f>"08461125"</f>
        <v>08461125</v>
      </c>
      <c r="D2238" s="1" t="s">
        <v>196</v>
      </c>
      <c r="F2238" s="1" t="str">
        <f>"164"</f>
        <v>164</v>
      </c>
      <c r="G2238" s="2">
        <v>41552</v>
      </c>
      <c r="H2238" s="1">
        <v>89900</v>
      </c>
      <c r="I2238" s="1">
        <v>59900</v>
      </c>
      <c r="J2238" s="1">
        <v>53000</v>
      </c>
      <c r="K2238" s="2">
        <v>41552</v>
      </c>
      <c r="L2238" s="1">
        <v>365</v>
      </c>
      <c r="M2238" s="2">
        <v>41916</v>
      </c>
      <c r="N2238" s="1">
        <v>365</v>
      </c>
      <c r="O2238" s="2">
        <v>41916</v>
      </c>
      <c r="P2238" s="1">
        <v>8889</v>
      </c>
      <c r="Q2238" s="1" t="s">
        <v>302</v>
      </c>
      <c r="R2238" s="2">
        <v>42076</v>
      </c>
      <c r="S2238" s="1">
        <v>28121</v>
      </c>
      <c r="U2238" s="1">
        <v>40</v>
      </c>
      <c r="V2238" s="1" t="s">
        <v>19839</v>
      </c>
      <c r="W2238" s="1" t="s">
        <v>304</v>
      </c>
      <c r="X2238" s="1">
        <v>4</v>
      </c>
      <c r="Y2238" s="1">
        <v>20</v>
      </c>
      <c r="Z2238" s="1" t="s">
        <v>249</v>
      </c>
      <c r="AA2238" s="1" t="s">
        <v>5771</v>
      </c>
      <c r="AB2238" s="1">
        <v>60164</v>
      </c>
      <c r="AD2238" s="1" t="s">
        <v>19840</v>
      </c>
      <c r="AE2238" s="1" t="s">
        <v>19841</v>
      </c>
      <c r="AF2238" s="1">
        <v>1972</v>
      </c>
      <c r="AG2238" s="1" t="s">
        <v>213</v>
      </c>
      <c r="AH2238" s="1" t="s">
        <v>5773</v>
      </c>
      <c r="AI2238" s="1" t="s">
        <v>310</v>
      </c>
      <c r="AJ2238" s="1" t="s">
        <v>311</v>
      </c>
      <c r="AL2238" s="1">
        <v>6</v>
      </c>
      <c r="AM2238" s="1">
        <v>2</v>
      </c>
      <c r="AN2238" s="1">
        <v>1</v>
      </c>
      <c r="AO2238" s="1">
        <v>1</v>
      </c>
      <c r="AP2238" s="1" t="s">
        <v>1234</v>
      </c>
      <c r="AQ2238" s="1">
        <v>0</v>
      </c>
      <c r="AR2238" s="1" t="s">
        <v>209</v>
      </c>
      <c r="AS2238" s="1" t="s">
        <v>213</v>
      </c>
      <c r="AT2238" s="1" t="s">
        <v>271</v>
      </c>
      <c r="AV2238" s="1">
        <v>1</v>
      </c>
      <c r="AW2238" s="1" t="s">
        <v>204</v>
      </c>
      <c r="AX2238" s="1" t="s">
        <v>212</v>
      </c>
      <c r="AZ2238" s="1">
        <v>551.61</v>
      </c>
      <c r="BA2238" s="1">
        <v>2013</v>
      </c>
      <c r="BB2238" s="1" t="s">
        <v>405</v>
      </c>
      <c r="BE2238" s="1">
        <v>1000</v>
      </c>
      <c r="BF2238" s="1">
        <v>1</v>
      </c>
      <c r="BG2238" s="1">
        <v>10</v>
      </c>
      <c r="BK2238" s="1">
        <v>1.5</v>
      </c>
      <c r="BL2238" s="1">
        <v>255</v>
      </c>
      <c r="BM2238" s="1" t="s">
        <v>204</v>
      </c>
      <c r="BN2238" s="1" t="s">
        <v>213</v>
      </c>
      <c r="BO2238" s="1">
        <v>0</v>
      </c>
      <c r="BP2238" s="1" t="s">
        <v>204</v>
      </c>
      <c r="BR2238" s="1" t="str">
        <f>"12304020521024"</f>
        <v>12304020521024</v>
      </c>
      <c r="BT2238" s="1" t="s">
        <v>19842</v>
      </c>
      <c r="BX2238" s="1">
        <v>83</v>
      </c>
      <c r="BY2238" s="1">
        <v>83</v>
      </c>
      <c r="BZ2238" s="1">
        <v>212</v>
      </c>
      <c r="CB2238" s="1" t="str">
        <f>"3"</f>
        <v>3</v>
      </c>
      <c r="CC2238" s="1" t="str">
        <f>"0"</f>
        <v>0</v>
      </c>
      <c r="CD2238" s="1">
        <v>14</v>
      </c>
      <c r="CE2238" s="1">
        <v>0</v>
      </c>
      <c r="CG2238" s="1" t="s">
        <v>221</v>
      </c>
      <c r="CH2238" s="1" t="s">
        <v>219</v>
      </c>
      <c r="CI2238" s="1" t="s">
        <v>438</v>
      </c>
      <c r="CK2238" s="1" t="s">
        <v>315</v>
      </c>
      <c r="CL2238" s="1" t="s">
        <v>822</v>
      </c>
      <c r="CM2238" s="1" t="s">
        <v>347</v>
      </c>
      <c r="CO2238" s="1" t="s">
        <v>973</v>
      </c>
      <c r="CP2238" s="1" t="s">
        <v>219</v>
      </c>
      <c r="CQ2238" s="1" t="s">
        <v>226</v>
      </c>
      <c r="CR2238" s="1" t="s">
        <v>210</v>
      </c>
      <c r="CS2238" s="1" t="s">
        <v>317</v>
      </c>
      <c r="CT2238" s="1" t="s">
        <v>219</v>
      </c>
      <c r="CU2238" s="1" t="s">
        <v>438</v>
      </c>
      <c r="CX2238" s="1" t="s">
        <v>224</v>
      </c>
      <c r="DB2238" s="1" t="s">
        <v>224</v>
      </c>
      <c r="DE2238" s="1" t="s">
        <v>346</v>
      </c>
      <c r="DF2238" s="1" t="s">
        <v>219</v>
      </c>
      <c r="DG2238" s="1" t="s">
        <v>226</v>
      </c>
      <c r="DH2238" s="1" t="s">
        <v>210</v>
      </c>
      <c r="DI2238" s="1" t="s">
        <v>1267</v>
      </c>
      <c r="DJ2238" s="1" t="s">
        <v>822</v>
      </c>
      <c r="DK2238" s="1" t="s">
        <v>347</v>
      </c>
      <c r="DL2238" s="1" t="s">
        <v>210</v>
      </c>
      <c r="DS2238" s="1" t="s">
        <v>230</v>
      </c>
      <c r="DW2238" s="1" t="s">
        <v>230</v>
      </c>
      <c r="EA2238" s="1" t="s">
        <v>230</v>
      </c>
      <c r="EE2238" s="1" t="s">
        <v>230</v>
      </c>
      <c r="EI2238" s="1" t="s">
        <v>230</v>
      </c>
      <c r="EL2238" s="1" t="s">
        <v>605</v>
      </c>
      <c r="EM2238" s="1" t="s">
        <v>319</v>
      </c>
      <c r="EN2238" s="1" t="s">
        <v>233</v>
      </c>
      <c r="EO2238" s="1" t="s">
        <v>234</v>
      </c>
      <c r="EP2238" s="1" t="s">
        <v>19843</v>
      </c>
      <c r="EQ2238" s="1" t="s">
        <v>2994</v>
      </c>
      <c r="ER2238" s="1" t="s">
        <v>544</v>
      </c>
      <c r="EU2238" s="1" t="s">
        <v>239</v>
      </c>
      <c r="EV2238" s="1" t="s">
        <v>324</v>
      </c>
      <c r="EW2238" s="1" t="s">
        <v>5625</v>
      </c>
      <c r="EY2238" s="1" t="s">
        <v>790</v>
      </c>
      <c r="EZ2238" s="1" t="s">
        <v>287</v>
      </c>
      <c r="FA2238" s="1" t="s">
        <v>471</v>
      </c>
      <c r="FB2238" s="1" t="s">
        <v>734</v>
      </c>
      <c r="FC2238" s="1" t="s">
        <v>1386</v>
      </c>
      <c r="FD2238" s="1" t="s">
        <v>246</v>
      </c>
      <c r="FE2238" s="1" t="s">
        <v>247</v>
      </c>
      <c r="FF2238" s="1" t="s">
        <v>248</v>
      </c>
      <c r="FH2238" s="1" t="s">
        <v>249</v>
      </c>
      <c r="FK2238" s="1" t="s">
        <v>291</v>
      </c>
      <c r="FL2238" s="1" t="s">
        <v>2233</v>
      </c>
      <c r="FM2238" s="1" t="s">
        <v>252</v>
      </c>
      <c r="FN2238" s="1" t="s">
        <v>213</v>
      </c>
      <c r="FO2238" s="1" t="s">
        <v>213</v>
      </c>
      <c r="FQ2238" s="1" t="s">
        <v>11915</v>
      </c>
      <c r="FR2238" s="1" t="s">
        <v>360</v>
      </c>
      <c r="FS2238" s="1" t="s">
        <v>19844</v>
      </c>
      <c r="FT2238" s="1" t="s">
        <v>295</v>
      </c>
      <c r="FU2238" s="1" t="s">
        <v>204</v>
      </c>
      <c r="FW2238" s="1" t="s">
        <v>19845</v>
      </c>
      <c r="FX2238" s="1">
        <v>84326</v>
      </c>
      <c r="FY2238" s="1" t="s">
        <v>19846</v>
      </c>
      <c r="FZ2238" s="1" t="s">
        <v>19847</v>
      </c>
      <c r="GA2238" s="1">
        <v>404972</v>
      </c>
      <c r="GB2238" s="1" t="s">
        <v>19848</v>
      </c>
      <c r="GD2238" s="1" t="s">
        <v>19849</v>
      </c>
      <c r="GE2238" s="1" t="s">
        <v>210</v>
      </c>
      <c r="GI2238" s="1" t="s">
        <v>213</v>
      </c>
      <c r="GJ2238" s="1" t="s">
        <v>260</v>
      </c>
      <c r="GK2238" s="1" t="s">
        <v>210</v>
      </c>
      <c r="GL2238" s="2">
        <v>42077</v>
      </c>
      <c r="GM2238" s="1" t="s">
        <v>19850</v>
      </c>
    </row>
    <row r="2239" spans="1:195">
      <c r="A2239" s="1">
        <v>78674</v>
      </c>
      <c r="B2239" s="1" t="s">
        <v>195</v>
      </c>
      <c r="C2239" s="1" t="str">
        <f>"08749781"</f>
        <v>08749781</v>
      </c>
      <c r="D2239" s="1" t="s">
        <v>196</v>
      </c>
      <c r="F2239" s="1" t="str">
        <f>"134"</f>
        <v>134</v>
      </c>
      <c r="G2239" s="2">
        <v>41922</v>
      </c>
      <c r="H2239" s="1">
        <v>112360</v>
      </c>
      <c r="I2239" s="1">
        <v>82360</v>
      </c>
      <c r="J2239" s="1">
        <v>78674</v>
      </c>
      <c r="K2239" s="2">
        <v>41922</v>
      </c>
      <c r="L2239" s="1">
        <v>106</v>
      </c>
      <c r="M2239" s="2">
        <v>42027</v>
      </c>
      <c r="N2239" s="1">
        <v>106</v>
      </c>
      <c r="O2239" s="2">
        <v>42027</v>
      </c>
      <c r="P2239" s="1">
        <v>890</v>
      </c>
      <c r="Q2239" s="1" t="s">
        <v>302</v>
      </c>
      <c r="R2239" s="2">
        <v>42074</v>
      </c>
      <c r="S2239" s="1">
        <v>8770</v>
      </c>
      <c r="U2239" s="1">
        <v>175</v>
      </c>
      <c r="V2239" s="1" t="s">
        <v>11104</v>
      </c>
      <c r="W2239" s="1" t="s">
        <v>264</v>
      </c>
      <c r="X2239" s="1" t="s">
        <v>483</v>
      </c>
      <c r="Y2239" s="1">
        <v>4</v>
      </c>
      <c r="Z2239" s="1" t="s">
        <v>370</v>
      </c>
      <c r="AA2239" s="1" t="s">
        <v>661</v>
      </c>
      <c r="AB2239" s="1">
        <v>60134</v>
      </c>
      <c r="AE2239" s="1" t="s">
        <v>19851</v>
      </c>
      <c r="AF2239" s="1">
        <v>1973</v>
      </c>
      <c r="AG2239" s="1" t="s">
        <v>213</v>
      </c>
      <c r="AH2239" s="1" t="s">
        <v>664</v>
      </c>
      <c r="AI2239" s="1" t="s">
        <v>665</v>
      </c>
      <c r="AJ2239" s="1" t="s">
        <v>664</v>
      </c>
      <c r="AL2239" s="1">
        <v>4</v>
      </c>
      <c r="AM2239" s="1">
        <v>2</v>
      </c>
      <c r="AN2239" s="1">
        <v>2</v>
      </c>
      <c r="AO2239" s="1">
        <v>1</v>
      </c>
      <c r="AP2239" s="1" t="s">
        <v>667</v>
      </c>
      <c r="AQ2239" s="1">
        <v>1</v>
      </c>
      <c r="AR2239" s="1" t="s">
        <v>209</v>
      </c>
      <c r="AS2239" s="1" t="s">
        <v>204</v>
      </c>
      <c r="AT2239" s="1" t="s">
        <v>211</v>
      </c>
      <c r="AU2239" s="1">
        <v>1</v>
      </c>
      <c r="AW2239" s="1" t="s">
        <v>204</v>
      </c>
      <c r="AX2239" s="1">
        <v>2178</v>
      </c>
      <c r="AZ2239" s="1">
        <v>2857</v>
      </c>
      <c r="BA2239" s="1">
        <v>2013</v>
      </c>
      <c r="BE2239" s="1">
        <v>1051</v>
      </c>
      <c r="BF2239" s="1">
        <v>1</v>
      </c>
      <c r="BG2239" s="1">
        <v>0</v>
      </c>
      <c r="BL2239" s="1">
        <v>210</v>
      </c>
      <c r="BM2239" s="1" t="s">
        <v>413</v>
      </c>
      <c r="BN2239" s="1" t="s">
        <v>213</v>
      </c>
      <c r="BO2239" s="1">
        <v>0</v>
      </c>
      <c r="BP2239" s="1" t="s">
        <v>204</v>
      </c>
      <c r="BR2239" s="1" t="str">
        <f>"1201303005"</f>
        <v>1201303005</v>
      </c>
      <c r="BT2239" s="1" t="s">
        <v>3770</v>
      </c>
      <c r="BU2239" s="1" t="s">
        <v>11726</v>
      </c>
      <c r="BV2239" s="1" t="s">
        <v>2447</v>
      </c>
      <c r="BW2239" s="1" t="s">
        <v>2448</v>
      </c>
      <c r="BX2239" s="1">
        <v>304</v>
      </c>
      <c r="BY2239" s="1">
        <v>304</v>
      </c>
      <c r="BZ2239" s="1">
        <v>304</v>
      </c>
      <c r="CB2239" s="1" t="str">
        <f t="shared" ref="CB2239:CC2239" si="1712">""</f>
        <v/>
      </c>
      <c r="CC2239" s="1" t="str">
        <f t="shared" si="1712"/>
        <v/>
      </c>
      <c r="CG2239" s="1" t="s">
        <v>885</v>
      </c>
      <c r="CH2239" s="1" t="s">
        <v>219</v>
      </c>
      <c r="CI2239" s="1" t="s">
        <v>229</v>
      </c>
      <c r="CK2239" s="1" t="s">
        <v>221</v>
      </c>
      <c r="CL2239" s="1" t="s">
        <v>277</v>
      </c>
      <c r="CM2239" s="1" t="s">
        <v>220</v>
      </c>
      <c r="CP2239" s="1" t="s">
        <v>224</v>
      </c>
      <c r="CS2239" s="1" t="s">
        <v>3151</v>
      </c>
      <c r="CT2239" s="1" t="s">
        <v>277</v>
      </c>
      <c r="CU2239" s="1" t="s">
        <v>220</v>
      </c>
      <c r="CX2239" s="1" t="s">
        <v>224</v>
      </c>
      <c r="DB2239" s="1" t="s">
        <v>224</v>
      </c>
      <c r="DE2239" s="1" t="s">
        <v>837</v>
      </c>
      <c r="DF2239" s="1" t="s">
        <v>219</v>
      </c>
      <c r="DG2239" s="1" t="s">
        <v>342</v>
      </c>
      <c r="DJ2239" s="1" t="s">
        <v>224</v>
      </c>
      <c r="DS2239" s="1" t="s">
        <v>230</v>
      </c>
      <c r="DW2239" s="1" t="s">
        <v>230</v>
      </c>
      <c r="EA2239" s="1" t="s">
        <v>230</v>
      </c>
      <c r="EE2239" s="1" t="s">
        <v>230</v>
      </c>
      <c r="EI2239" s="1" t="s">
        <v>230</v>
      </c>
      <c r="EL2239" s="1" t="s">
        <v>605</v>
      </c>
      <c r="EM2239" s="1" t="s">
        <v>319</v>
      </c>
      <c r="EN2239" s="1" t="s">
        <v>282</v>
      </c>
      <c r="EO2239" s="1" t="s">
        <v>234</v>
      </c>
      <c r="ER2239" s="1" t="s">
        <v>351</v>
      </c>
      <c r="ES2239" s="1" t="s">
        <v>322</v>
      </c>
      <c r="EW2239" s="1" t="s">
        <v>4250</v>
      </c>
      <c r="EZ2239" s="1" t="s">
        <v>287</v>
      </c>
      <c r="FC2239" s="1" t="s">
        <v>326</v>
      </c>
      <c r="FD2239" s="1" t="s">
        <v>246</v>
      </c>
      <c r="FE2239" s="1" t="s">
        <v>889</v>
      </c>
      <c r="FF2239" s="1" t="s">
        <v>248</v>
      </c>
      <c r="FG2239" s="1" t="s">
        <v>871</v>
      </c>
      <c r="FH2239" s="1" t="s">
        <v>19852</v>
      </c>
      <c r="FI2239" s="1" t="s">
        <v>357</v>
      </c>
      <c r="FJ2239" s="1" t="s">
        <v>2046</v>
      </c>
      <c r="FL2239" s="1" t="s">
        <v>358</v>
      </c>
      <c r="FM2239" s="1" t="s">
        <v>252</v>
      </c>
      <c r="FN2239" s="1" t="s">
        <v>213</v>
      </c>
      <c r="FO2239" s="1" t="s">
        <v>213</v>
      </c>
      <c r="FQ2239" s="1" t="s">
        <v>582</v>
      </c>
      <c r="FR2239" s="1" t="s">
        <v>210</v>
      </c>
      <c r="FS2239" s="1" t="s">
        <v>3772</v>
      </c>
      <c r="FT2239" s="1" t="s">
        <v>3773</v>
      </c>
      <c r="FU2239" s="1" t="s">
        <v>204</v>
      </c>
      <c r="FW2239" s="1" t="s">
        <v>3774</v>
      </c>
      <c r="FX2239" s="1">
        <v>1984</v>
      </c>
      <c r="FY2239" s="1" t="s">
        <v>3775</v>
      </c>
      <c r="FZ2239" s="1" t="s">
        <v>3776</v>
      </c>
      <c r="GA2239" s="1">
        <v>922950</v>
      </c>
      <c r="GE2239" s="1" t="s">
        <v>210</v>
      </c>
      <c r="GH2239" s="1" t="s">
        <v>230</v>
      </c>
      <c r="GI2239" s="1" t="s">
        <v>204</v>
      </c>
      <c r="GJ2239" s="1" t="s">
        <v>260</v>
      </c>
      <c r="GK2239" s="1" t="s">
        <v>210</v>
      </c>
      <c r="GL2239" s="2">
        <v>42075</v>
      </c>
      <c r="GM2239" s="1" t="s">
        <v>3777</v>
      </c>
    </row>
    <row r="2240" spans="1:195">
      <c r="A2240" s="1">
        <v>105000</v>
      </c>
      <c r="B2240" s="1" t="s">
        <v>195</v>
      </c>
      <c r="C2240" s="1" t="str">
        <f>"08470905"</f>
        <v>08470905</v>
      </c>
      <c r="D2240" s="1" t="s">
        <v>196</v>
      </c>
      <c r="F2240" s="1" t="str">
        <f>"60"</f>
        <v>60</v>
      </c>
      <c r="G2240" s="2">
        <v>41566</v>
      </c>
      <c r="H2240" s="1">
        <v>112000</v>
      </c>
      <c r="I2240" s="1">
        <v>107400</v>
      </c>
      <c r="J2240" s="1">
        <v>105000</v>
      </c>
      <c r="K2240" s="2">
        <v>41564</v>
      </c>
      <c r="L2240" s="1">
        <v>332</v>
      </c>
      <c r="M2240" s="2">
        <v>41895</v>
      </c>
      <c r="N2240" s="1">
        <v>332</v>
      </c>
      <c r="O2240" s="2">
        <v>41895</v>
      </c>
      <c r="P2240" s="1">
        <v>25528</v>
      </c>
      <c r="Q2240" s="1" t="s">
        <v>302</v>
      </c>
      <c r="R2240" s="2">
        <v>42003</v>
      </c>
      <c r="S2240" s="1">
        <v>81665</v>
      </c>
      <c r="U2240" s="1">
        <v>564</v>
      </c>
      <c r="V2240" s="1" t="s">
        <v>13047</v>
      </c>
      <c r="W2240" s="1" t="s">
        <v>264</v>
      </c>
      <c r="X2240" s="1">
        <v>564</v>
      </c>
      <c r="Y2240" s="1">
        <v>6</v>
      </c>
      <c r="Z2240" s="1" t="s">
        <v>370</v>
      </c>
      <c r="AA2240" s="1" t="s">
        <v>1689</v>
      </c>
      <c r="AB2240" s="1">
        <v>60060</v>
      </c>
      <c r="AE2240" s="1" t="s">
        <v>19853</v>
      </c>
      <c r="AF2240" s="1">
        <v>1991</v>
      </c>
      <c r="AG2240" s="1" t="s">
        <v>204</v>
      </c>
      <c r="AH2240" s="1" t="s">
        <v>1692</v>
      </c>
      <c r="AI2240" s="1" t="s">
        <v>509</v>
      </c>
      <c r="AJ2240" s="1" t="s">
        <v>9736</v>
      </c>
      <c r="AL2240" s="1">
        <v>5</v>
      </c>
      <c r="AM2240" s="1">
        <v>2</v>
      </c>
      <c r="AN2240" s="1">
        <v>2</v>
      </c>
      <c r="AO2240" s="1">
        <v>1</v>
      </c>
      <c r="AP2240" s="1" t="s">
        <v>209</v>
      </c>
      <c r="AR2240" s="1" t="s">
        <v>210</v>
      </c>
      <c r="AS2240" s="1" t="s">
        <v>204</v>
      </c>
      <c r="AT2240" s="1" t="s">
        <v>211</v>
      </c>
      <c r="AU2240" s="1">
        <v>1</v>
      </c>
      <c r="AW2240" s="1" t="s">
        <v>204</v>
      </c>
      <c r="AX2240" s="1" t="s">
        <v>1265</v>
      </c>
      <c r="AZ2240" s="1">
        <v>4557.57</v>
      </c>
      <c r="BA2240" s="1">
        <v>2012</v>
      </c>
      <c r="BB2240" s="1" t="s">
        <v>405</v>
      </c>
      <c r="BE2240" s="1">
        <v>1122</v>
      </c>
      <c r="BF2240" s="1">
        <v>1</v>
      </c>
      <c r="BG2240" s="1">
        <v>0</v>
      </c>
      <c r="BL2240" s="1">
        <v>169</v>
      </c>
      <c r="BM2240" s="1" t="s">
        <v>204</v>
      </c>
      <c r="BN2240" s="1" t="s">
        <v>213</v>
      </c>
      <c r="BO2240" s="1">
        <v>20</v>
      </c>
      <c r="BP2240" s="1" t="s">
        <v>204</v>
      </c>
      <c r="BR2240" s="1" t="str">
        <f>"10234130470000"</f>
        <v>10234130470000</v>
      </c>
      <c r="BT2240" s="1" t="s">
        <v>19854</v>
      </c>
      <c r="BX2240" s="1">
        <v>75</v>
      </c>
      <c r="BY2240" s="1">
        <v>75</v>
      </c>
      <c r="BZ2240" s="1">
        <v>120</v>
      </c>
      <c r="CB2240" s="1" t="str">
        <f t="shared" ref="CB2240:CC2240" si="1713">""</f>
        <v/>
      </c>
      <c r="CC2240" s="1" t="str">
        <f t="shared" si="1713"/>
        <v/>
      </c>
      <c r="CG2240" s="1" t="s">
        <v>3100</v>
      </c>
      <c r="CH2240" s="1" t="s">
        <v>219</v>
      </c>
      <c r="CI2240" s="1" t="s">
        <v>229</v>
      </c>
      <c r="CK2240" s="1" t="s">
        <v>539</v>
      </c>
      <c r="CL2240" s="1" t="s">
        <v>277</v>
      </c>
      <c r="CM2240" s="1" t="s">
        <v>220</v>
      </c>
      <c r="CO2240" s="1" t="s">
        <v>629</v>
      </c>
      <c r="CP2240" s="1" t="s">
        <v>219</v>
      </c>
      <c r="CS2240" s="1" t="s">
        <v>1297</v>
      </c>
      <c r="CT2240" s="1" t="s">
        <v>277</v>
      </c>
      <c r="CU2240" s="1" t="s">
        <v>229</v>
      </c>
      <c r="CX2240" s="1" t="s">
        <v>224</v>
      </c>
      <c r="DB2240" s="1" t="s">
        <v>224</v>
      </c>
      <c r="DE2240" s="1" t="s">
        <v>316</v>
      </c>
      <c r="DF2240" s="1" t="s">
        <v>219</v>
      </c>
      <c r="DJ2240" s="1" t="s">
        <v>224</v>
      </c>
      <c r="DS2240" s="1" t="s">
        <v>230</v>
      </c>
      <c r="DW2240" s="1" t="s">
        <v>230</v>
      </c>
      <c r="EA2240" s="1" t="s">
        <v>230</v>
      </c>
      <c r="EE2240" s="1" t="s">
        <v>230</v>
      </c>
      <c r="EI2240" s="1" t="s">
        <v>230</v>
      </c>
      <c r="EL2240" s="1" t="s">
        <v>382</v>
      </c>
      <c r="EM2240" s="1" t="s">
        <v>319</v>
      </c>
      <c r="EN2240" s="1" t="s">
        <v>282</v>
      </c>
      <c r="EO2240" s="1" t="s">
        <v>234</v>
      </c>
      <c r="EQ2240" s="1" t="s">
        <v>1094</v>
      </c>
      <c r="ER2240" s="1" t="s">
        <v>383</v>
      </c>
      <c r="ES2240" s="1" t="s">
        <v>545</v>
      </c>
      <c r="EW2240" s="1" t="s">
        <v>887</v>
      </c>
      <c r="EZ2240" s="1" t="s">
        <v>287</v>
      </c>
      <c r="FD2240" s="1" t="s">
        <v>246</v>
      </c>
      <c r="FE2240" s="1" t="s">
        <v>472</v>
      </c>
      <c r="FF2240" s="1" t="s">
        <v>248</v>
      </c>
      <c r="FH2240" s="1" t="s">
        <v>550</v>
      </c>
      <c r="FJ2240" s="1" t="s">
        <v>197</v>
      </c>
      <c r="FL2240" s="1" t="s">
        <v>358</v>
      </c>
      <c r="FM2240" s="1" t="s">
        <v>252</v>
      </c>
      <c r="FN2240" s="1" t="s">
        <v>213</v>
      </c>
      <c r="FO2240" s="1" t="s">
        <v>213</v>
      </c>
      <c r="FQ2240" s="1" t="s">
        <v>3545</v>
      </c>
      <c r="FR2240" s="1" t="s">
        <v>360</v>
      </c>
      <c r="FS2240" s="1" t="s">
        <v>19855</v>
      </c>
      <c r="FT2240" s="1" t="s">
        <v>362</v>
      </c>
      <c r="FU2240" s="1" t="s">
        <v>204</v>
      </c>
      <c r="FW2240" s="1" t="s">
        <v>9076</v>
      </c>
      <c r="FX2240" s="1">
        <v>2512</v>
      </c>
      <c r="FY2240" s="1" t="s">
        <v>9077</v>
      </c>
      <c r="FZ2240" s="1" t="s">
        <v>9469</v>
      </c>
      <c r="GA2240" s="1">
        <v>11383</v>
      </c>
      <c r="GB2240" s="1" t="s">
        <v>9470</v>
      </c>
      <c r="GE2240" s="1" t="s">
        <v>210</v>
      </c>
      <c r="GI2240" s="1" t="s">
        <v>213</v>
      </c>
      <c r="GJ2240" s="1" t="s">
        <v>260</v>
      </c>
      <c r="GK2240" s="1" t="s">
        <v>210</v>
      </c>
      <c r="GL2240" s="2">
        <v>42003</v>
      </c>
      <c r="GM2240" s="1" t="s">
        <v>19856</v>
      </c>
    </row>
    <row r="2241" spans="1:195">
      <c r="A2241" s="1">
        <v>110000</v>
      </c>
      <c r="B2241" s="1" t="s">
        <v>195</v>
      </c>
      <c r="C2241" s="1" t="str">
        <f>"08466683"</f>
        <v>08466683</v>
      </c>
      <c r="D2241" s="1" t="s">
        <v>196</v>
      </c>
      <c r="F2241" s="1" t="str">
        <f>"507"</f>
        <v>507</v>
      </c>
      <c r="G2241" s="2">
        <v>41561</v>
      </c>
      <c r="H2241" s="1">
        <v>130000</v>
      </c>
      <c r="I2241" s="1">
        <v>125000</v>
      </c>
      <c r="J2241" s="1">
        <v>110000</v>
      </c>
      <c r="K2241" s="2">
        <v>41561</v>
      </c>
      <c r="L2241" s="1">
        <v>193</v>
      </c>
      <c r="M2241" s="2">
        <v>41753</v>
      </c>
      <c r="N2241" s="1">
        <v>193</v>
      </c>
      <c r="O2241" s="2">
        <v>41753</v>
      </c>
      <c r="P2241" s="1">
        <v>23286</v>
      </c>
      <c r="Q2241" s="1" t="s">
        <v>197</v>
      </c>
      <c r="R2241" s="2">
        <v>42041</v>
      </c>
      <c r="S2241" s="1">
        <v>216829</v>
      </c>
      <c r="U2241" s="1">
        <v>1039</v>
      </c>
      <c r="V2241" s="1" t="s">
        <v>3768</v>
      </c>
      <c r="W2241" s="1" t="s">
        <v>304</v>
      </c>
      <c r="X2241" s="1">
        <v>1039</v>
      </c>
      <c r="Y2241" s="1">
        <v>4</v>
      </c>
      <c r="Z2241" s="1" t="s">
        <v>200</v>
      </c>
      <c r="AA2241" s="1" t="s">
        <v>1123</v>
      </c>
      <c r="AB2241" s="1">
        <v>60502</v>
      </c>
      <c r="AE2241" s="1" t="s">
        <v>19857</v>
      </c>
      <c r="AF2241" s="1">
        <v>1999</v>
      </c>
      <c r="AG2241" s="1" t="s">
        <v>204</v>
      </c>
      <c r="AH2241" s="1" t="s">
        <v>1126</v>
      </c>
      <c r="AI2241" s="1" t="s">
        <v>206</v>
      </c>
      <c r="AJ2241" s="1" t="s">
        <v>924</v>
      </c>
      <c r="AL2241" s="1">
        <v>5</v>
      </c>
      <c r="AM2241" s="1">
        <v>2</v>
      </c>
      <c r="AN2241" s="1">
        <v>2</v>
      </c>
      <c r="AO2241" s="1">
        <v>1</v>
      </c>
      <c r="AP2241" s="1" t="s">
        <v>209</v>
      </c>
      <c r="AR2241" s="1" t="s">
        <v>210</v>
      </c>
      <c r="AS2241" s="1" t="s">
        <v>204</v>
      </c>
      <c r="AT2241" s="1" t="s">
        <v>211</v>
      </c>
      <c r="AU2241" s="1">
        <v>1</v>
      </c>
      <c r="AW2241" s="1" t="s">
        <v>204</v>
      </c>
      <c r="AX2241" s="1" t="s">
        <v>212</v>
      </c>
      <c r="AZ2241" s="1">
        <v>3318</v>
      </c>
      <c r="BA2241" s="1">
        <v>2013</v>
      </c>
      <c r="BB2241" s="1" t="s">
        <v>405</v>
      </c>
      <c r="BE2241" s="1">
        <v>1213</v>
      </c>
      <c r="BF2241" s="1">
        <v>1</v>
      </c>
      <c r="BG2241" s="1">
        <v>0</v>
      </c>
      <c r="BL2241" s="1">
        <v>155</v>
      </c>
      <c r="BM2241" s="1" t="s">
        <v>204</v>
      </c>
      <c r="BN2241" s="1" t="s">
        <v>213</v>
      </c>
      <c r="BO2241" s="1">
        <v>20</v>
      </c>
      <c r="BP2241" s="1" t="s">
        <v>204</v>
      </c>
      <c r="BR2241" s="1" t="str">
        <f>"0718413104"</f>
        <v>0718413104</v>
      </c>
      <c r="BT2241" s="1" t="s">
        <v>19858</v>
      </c>
      <c r="BU2241" s="1" t="s">
        <v>1129</v>
      </c>
      <c r="BV2241" s="1" t="s">
        <v>1130</v>
      </c>
      <c r="BW2241" s="1" t="s">
        <v>1131</v>
      </c>
      <c r="BX2241" s="1">
        <v>204</v>
      </c>
      <c r="BY2241" s="1">
        <v>204</v>
      </c>
      <c r="BZ2241" s="1">
        <v>204</v>
      </c>
      <c r="CB2241" s="1" t="str">
        <f t="shared" ref="CB2241:CC2241" si="1714">""</f>
        <v/>
      </c>
      <c r="CC2241" s="1" t="str">
        <f t="shared" si="1714"/>
        <v/>
      </c>
      <c r="CG2241" s="1" t="s">
        <v>786</v>
      </c>
      <c r="CH2241" s="1" t="s">
        <v>219</v>
      </c>
      <c r="CI2241" s="1" t="s">
        <v>220</v>
      </c>
      <c r="CJ2241" s="1" t="s">
        <v>463</v>
      </c>
      <c r="CK2241" s="1" t="s">
        <v>564</v>
      </c>
      <c r="CL2241" s="1" t="s">
        <v>277</v>
      </c>
      <c r="CM2241" s="1" t="s">
        <v>220</v>
      </c>
      <c r="CN2241" s="1" t="s">
        <v>252</v>
      </c>
      <c r="CO2241" s="1" t="s">
        <v>758</v>
      </c>
      <c r="CP2241" s="1" t="s">
        <v>219</v>
      </c>
      <c r="CQ2241" s="1" t="s">
        <v>220</v>
      </c>
      <c r="CS2241" s="1" t="s">
        <v>379</v>
      </c>
      <c r="CT2241" s="1" t="s">
        <v>277</v>
      </c>
      <c r="CU2241" s="1" t="s">
        <v>220</v>
      </c>
      <c r="CV2241" s="1" t="s">
        <v>252</v>
      </c>
      <c r="CX2241" s="1" t="s">
        <v>224</v>
      </c>
      <c r="DB2241" s="1" t="s">
        <v>224</v>
      </c>
      <c r="DE2241" s="1" t="s">
        <v>837</v>
      </c>
      <c r="DF2241" s="1" t="s">
        <v>219</v>
      </c>
      <c r="DG2241" s="1" t="s">
        <v>342</v>
      </c>
      <c r="DJ2241" s="1" t="s">
        <v>224</v>
      </c>
      <c r="DM2241" s="1" t="s">
        <v>1770</v>
      </c>
      <c r="DR2241" s="1" t="s">
        <v>3492</v>
      </c>
      <c r="DS2241" s="1" t="s">
        <v>277</v>
      </c>
      <c r="DT2241" s="1" t="s">
        <v>342</v>
      </c>
      <c r="DW2241" s="1" t="s">
        <v>230</v>
      </c>
      <c r="EA2241" s="1" t="s">
        <v>230</v>
      </c>
      <c r="EE2241" s="1" t="s">
        <v>230</v>
      </c>
      <c r="EI2241" s="1" t="s">
        <v>230</v>
      </c>
      <c r="EL2241" s="1" t="s">
        <v>466</v>
      </c>
      <c r="EM2241" s="1" t="s">
        <v>319</v>
      </c>
      <c r="EN2241" s="1" t="s">
        <v>282</v>
      </c>
      <c r="EO2241" s="1" t="s">
        <v>234</v>
      </c>
      <c r="EP2241" s="1" t="s">
        <v>19859</v>
      </c>
      <c r="EQ2241" s="1" t="s">
        <v>236</v>
      </c>
      <c r="ER2241" s="1" t="s">
        <v>210</v>
      </c>
      <c r="ES2241" s="1" t="s">
        <v>1552</v>
      </c>
      <c r="EV2241" s="1" t="s">
        <v>240</v>
      </c>
      <c r="EW2241" s="1" t="s">
        <v>1679</v>
      </c>
      <c r="EY2241" s="1" t="s">
        <v>2455</v>
      </c>
      <c r="EZ2241" s="1" t="s">
        <v>1770</v>
      </c>
      <c r="FD2241" s="1" t="s">
        <v>246</v>
      </c>
      <c r="FE2241" s="1" t="s">
        <v>386</v>
      </c>
      <c r="FF2241" s="1" t="s">
        <v>248</v>
      </c>
      <c r="FH2241" s="1" t="s">
        <v>550</v>
      </c>
      <c r="FI2241" s="1" t="s">
        <v>473</v>
      </c>
      <c r="FL2241" s="1" t="s">
        <v>358</v>
      </c>
      <c r="FM2241" s="1" t="s">
        <v>252</v>
      </c>
      <c r="FN2241" s="1" t="s">
        <v>213</v>
      </c>
      <c r="FO2241" s="1" t="s">
        <v>213</v>
      </c>
      <c r="FQ2241" s="1" t="s">
        <v>2793</v>
      </c>
      <c r="FR2241" s="1" t="s">
        <v>360</v>
      </c>
      <c r="FS2241" s="1" t="s">
        <v>19860</v>
      </c>
      <c r="FT2241" s="1" t="s">
        <v>295</v>
      </c>
      <c r="FU2241" s="1" t="s">
        <v>204</v>
      </c>
      <c r="FW2241" s="1" t="s">
        <v>915</v>
      </c>
      <c r="FX2241" s="1">
        <v>24071</v>
      </c>
      <c r="FY2241" s="1" t="s">
        <v>2208</v>
      </c>
      <c r="FZ2241" s="1" t="s">
        <v>19861</v>
      </c>
      <c r="GA2241" s="1">
        <v>215825</v>
      </c>
      <c r="GB2241" s="1" t="s">
        <v>2208</v>
      </c>
      <c r="GE2241" s="1" t="s">
        <v>480</v>
      </c>
      <c r="GI2241" s="1" t="s">
        <v>213</v>
      </c>
      <c r="GJ2241" s="1" t="s">
        <v>260</v>
      </c>
      <c r="GK2241" s="1" t="s">
        <v>210</v>
      </c>
      <c r="GL2241" s="2">
        <v>42044</v>
      </c>
      <c r="GM2241" s="1" t="s">
        <v>19862</v>
      </c>
    </row>
    <row r="2242" spans="1:195">
      <c r="A2242" s="1">
        <v>65000</v>
      </c>
      <c r="B2242" s="1" t="s">
        <v>195</v>
      </c>
      <c r="C2242" s="1" t="str">
        <f>"08468022"</f>
        <v>08468022</v>
      </c>
      <c r="D2242" s="1" t="s">
        <v>196</v>
      </c>
      <c r="F2242" s="1" t="str">
        <f>"188"</f>
        <v>188</v>
      </c>
      <c r="G2242" s="2">
        <v>41562</v>
      </c>
      <c r="H2242" s="1">
        <v>62300</v>
      </c>
      <c r="I2242" s="1">
        <v>65000</v>
      </c>
      <c r="J2242" s="1">
        <v>65000</v>
      </c>
      <c r="K2242" s="2">
        <v>41562</v>
      </c>
      <c r="L2242" s="1">
        <v>744</v>
      </c>
      <c r="M2242" s="2">
        <v>42067</v>
      </c>
      <c r="N2242" s="1">
        <v>506</v>
      </c>
      <c r="O2242" s="2">
        <v>42067</v>
      </c>
      <c r="P2242" s="1">
        <v>24475</v>
      </c>
      <c r="Q2242" s="1" t="s">
        <v>302</v>
      </c>
      <c r="R2242" s="2">
        <v>42069</v>
      </c>
      <c r="S2242" s="1">
        <v>237705</v>
      </c>
      <c r="U2242" s="1">
        <v>548</v>
      </c>
      <c r="V2242" s="1" t="s">
        <v>19863</v>
      </c>
      <c r="W2242" s="1" t="s">
        <v>264</v>
      </c>
      <c r="X2242" s="1">
        <v>106</v>
      </c>
      <c r="Y2242" s="1">
        <v>12</v>
      </c>
      <c r="Z2242" s="1" t="s">
        <v>249</v>
      </c>
      <c r="AA2242" s="1" t="s">
        <v>1084</v>
      </c>
      <c r="AB2242" s="1">
        <v>60188</v>
      </c>
      <c r="AE2242" s="1" t="s">
        <v>19864</v>
      </c>
      <c r="AF2242" s="1">
        <v>1977</v>
      </c>
      <c r="AG2242" s="1" t="s">
        <v>213</v>
      </c>
      <c r="AH2242" s="1" t="s">
        <v>1087</v>
      </c>
      <c r="AI2242" s="1" t="s">
        <v>206</v>
      </c>
      <c r="AJ2242" s="1" t="s">
        <v>207</v>
      </c>
      <c r="AL2242" s="1">
        <v>4</v>
      </c>
      <c r="AM2242" s="1">
        <v>2</v>
      </c>
      <c r="AN2242" s="1">
        <v>1</v>
      </c>
      <c r="AO2242" s="1">
        <v>1</v>
      </c>
      <c r="AP2242" s="1" t="s">
        <v>5067</v>
      </c>
      <c r="AQ2242" s="1">
        <v>0</v>
      </c>
      <c r="AR2242" s="1" t="s">
        <v>210</v>
      </c>
      <c r="AS2242" s="1" t="s">
        <v>204</v>
      </c>
      <c r="AT2242" s="1" t="s">
        <v>211</v>
      </c>
      <c r="AU2242" s="1">
        <v>1</v>
      </c>
      <c r="AW2242" s="1" t="s">
        <v>204</v>
      </c>
      <c r="AX2242" s="1" t="s">
        <v>212</v>
      </c>
      <c r="AZ2242" s="1">
        <v>2897</v>
      </c>
      <c r="BA2242" s="1">
        <v>2013</v>
      </c>
      <c r="BB2242" s="1" t="s">
        <v>405</v>
      </c>
      <c r="BE2242" s="1">
        <v>0</v>
      </c>
      <c r="BF2242" s="1">
        <v>1</v>
      </c>
      <c r="BG2242" s="1">
        <v>0</v>
      </c>
      <c r="BL2242" s="1">
        <v>290</v>
      </c>
      <c r="BM2242" s="1" t="s">
        <v>204</v>
      </c>
      <c r="BN2242" s="1" t="s">
        <v>213</v>
      </c>
      <c r="BP2242" s="1" t="s">
        <v>204</v>
      </c>
      <c r="BR2242" s="1" t="str">
        <f>"0503305030"</f>
        <v>0503305030</v>
      </c>
      <c r="BT2242" s="1" t="s">
        <v>19865</v>
      </c>
      <c r="BU2242" s="1" t="s">
        <v>2167</v>
      </c>
      <c r="BV2242" s="1" t="s">
        <v>2168</v>
      </c>
      <c r="BW2242" s="1" t="s">
        <v>2169</v>
      </c>
      <c r="BX2242" s="1">
        <v>41</v>
      </c>
      <c r="BY2242" s="1">
        <v>41</v>
      </c>
      <c r="BZ2242" s="1">
        <v>87</v>
      </c>
      <c r="CB2242" s="1" t="str">
        <f>"1"</f>
        <v>1</v>
      </c>
      <c r="CC2242" s="1" t="str">
        <f t="shared" ref="CC2242:CC2245" si="1715">"0"</f>
        <v>0</v>
      </c>
      <c r="CD2242" s="1">
        <v>23</v>
      </c>
      <c r="CE2242" s="1">
        <v>0</v>
      </c>
      <c r="CG2242" s="1" t="s">
        <v>931</v>
      </c>
      <c r="CH2242" s="1" t="s">
        <v>219</v>
      </c>
      <c r="CI2242" s="1" t="s">
        <v>220</v>
      </c>
      <c r="CK2242" s="1" t="s">
        <v>278</v>
      </c>
      <c r="CL2242" s="1" t="s">
        <v>219</v>
      </c>
      <c r="CM2242" s="1" t="s">
        <v>220</v>
      </c>
      <c r="CP2242" s="1" t="s">
        <v>224</v>
      </c>
      <c r="CS2242" s="1" t="s">
        <v>346</v>
      </c>
      <c r="CT2242" s="1" t="s">
        <v>219</v>
      </c>
      <c r="CU2242" s="1" t="s">
        <v>220</v>
      </c>
      <c r="CX2242" s="1" t="s">
        <v>224</v>
      </c>
      <c r="DB2242" s="1" t="s">
        <v>224</v>
      </c>
      <c r="DE2242" s="1" t="s">
        <v>4147</v>
      </c>
      <c r="DF2242" s="1" t="s">
        <v>219</v>
      </c>
      <c r="DG2242" s="1" t="s">
        <v>5665</v>
      </c>
      <c r="DJ2242" s="1" t="s">
        <v>224</v>
      </c>
      <c r="DN2242" s="1" t="s">
        <v>1771</v>
      </c>
      <c r="DS2242" s="1" t="s">
        <v>230</v>
      </c>
      <c r="DV2242" s="1" t="s">
        <v>19866</v>
      </c>
      <c r="DW2242" s="1" t="s">
        <v>219</v>
      </c>
      <c r="DX2242" s="1" t="s">
        <v>220</v>
      </c>
      <c r="DY2242" s="1" t="s">
        <v>210</v>
      </c>
      <c r="EA2242" s="1" t="s">
        <v>230</v>
      </c>
      <c r="EE2242" s="1" t="s">
        <v>230</v>
      </c>
      <c r="EI2242" s="1" t="s">
        <v>230</v>
      </c>
      <c r="EL2242" s="1" t="s">
        <v>231</v>
      </c>
      <c r="EM2242" s="1" t="s">
        <v>232</v>
      </c>
      <c r="EN2242" s="1" t="s">
        <v>282</v>
      </c>
      <c r="EO2242" s="1" t="s">
        <v>840</v>
      </c>
      <c r="EP2242" s="1" t="s">
        <v>19867</v>
      </c>
      <c r="EQ2242" s="1" t="s">
        <v>284</v>
      </c>
      <c r="ER2242" s="1" t="s">
        <v>210</v>
      </c>
      <c r="ES2242" s="1" t="s">
        <v>608</v>
      </c>
      <c r="ET2242" s="1" t="s">
        <v>323</v>
      </c>
      <c r="EU2242" s="1" t="s">
        <v>546</v>
      </c>
      <c r="EW2242" s="1" t="s">
        <v>1940</v>
      </c>
      <c r="EY2242" s="1" t="s">
        <v>790</v>
      </c>
      <c r="EZ2242" s="1" t="s">
        <v>1771</v>
      </c>
      <c r="FA2242" s="1" t="s">
        <v>19868</v>
      </c>
      <c r="FC2242" s="1" t="s">
        <v>633</v>
      </c>
      <c r="FD2242" s="1" t="s">
        <v>736</v>
      </c>
      <c r="FE2242" s="1" t="s">
        <v>549</v>
      </c>
      <c r="FF2242" s="1" t="s">
        <v>2998</v>
      </c>
      <c r="FH2242" s="1" t="s">
        <v>716</v>
      </c>
      <c r="FI2242" s="1" t="s">
        <v>473</v>
      </c>
      <c r="FJ2242" s="1" t="s">
        <v>1472</v>
      </c>
      <c r="FL2242" s="1" t="s">
        <v>1073</v>
      </c>
      <c r="FM2242" s="1" t="s">
        <v>252</v>
      </c>
      <c r="FN2242" s="1" t="s">
        <v>213</v>
      </c>
      <c r="FO2242" s="1" t="s">
        <v>213</v>
      </c>
      <c r="FQ2242" s="1" t="s">
        <v>3784</v>
      </c>
      <c r="FR2242" s="1" t="s">
        <v>360</v>
      </c>
      <c r="FS2242" s="1" t="s">
        <v>19869</v>
      </c>
      <c r="FT2242" s="1" t="s">
        <v>295</v>
      </c>
      <c r="FU2242" s="1" t="s">
        <v>204</v>
      </c>
      <c r="FW2242" s="1" t="s">
        <v>521</v>
      </c>
      <c r="FX2242" s="1">
        <v>25042</v>
      </c>
      <c r="FY2242" s="1" t="s">
        <v>522</v>
      </c>
      <c r="FZ2242" s="1" t="s">
        <v>19870</v>
      </c>
      <c r="GA2242" s="1">
        <v>223679</v>
      </c>
      <c r="GB2242" s="1" t="s">
        <v>19871</v>
      </c>
      <c r="GE2242" s="1" t="s">
        <v>210</v>
      </c>
      <c r="GI2242" s="1" t="s">
        <v>204</v>
      </c>
      <c r="GJ2242" s="1" t="s">
        <v>260</v>
      </c>
      <c r="GK2242" s="1" t="s">
        <v>210</v>
      </c>
      <c r="GL2242" s="2">
        <v>42073</v>
      </c>
      <c r="GM2242" s="2" t="s">
        <v>19872</v>
      </c>
    </row>
    <row r="2243" spans="1:195">
      <c r="A2243" s="1">
        <v>174500</v>
      </c>
      <c r="B2243" s="1" t="s">
        <v>195</v>
      </c>
      <c r="C2243" s="1" t="str">
        <f>"08481540"</f>
        <v>08481540</v>
      </c>
      <c r="D2243" s="1" t="s">
        <v>196</v>
      </c>
      <c r="F2243" s="1" t="str">
        <f t="shared" ref="F2243:F2244" si="1716">"177"</f>
        <v>177</v>
      </c>
      <c r="G2243" s="2">
        <v>41582</v>
      </c>
      <c r="H2243" s="1">
        <v>179900</v>
      </c>
      <c r="I2243" s="1">
        <v>173900</v>
      </c>
      <c r="J2243" s="1">
        <v>174500</v>
      </c>
      <c r="K2243" s="2">
        <v>41582</v>
      </c>
      <c r="L2243" s="1">
        <v>745</v>
      </c>
      <c r="M2243" s="2">
        <v>42052</v>
      </c>
      <c r="N2243" s="1">
        <v>471</v>
      </c>
      <c r="O2243" s="2">
        <v>42052</v>
      </c>
      <c r="P2243" s="1">
        <v>7661</v>
      </c>
      <c r="Q2243" s="1" t="s">
        <v>197</v>
      </c>
      <c r="R2243" s="2">
        <v>42090</v>
      </c>
      <c r="S2243" s="1">
        <v>77547</v>
      </c>
      <c r="U2243" s="1">
        <v>10</v>
      </c>
      <c r="V2243" s="1" t="s">
        <v>19873</v>
      </c>
      <c r="W2243" s="1" t="s">
        <v>725</v>
      </c>
      <c r="X2243" s="1">
        <v>207</v>
      </c>
      <c r="Y2243" s="1">
        <v>45</v>
      </c>
      <c r="Z2243" s="1" t="s">
        <v>249</v>
      </c>
      <c r="AA2243" s="1" t="s">
        <v>1461</v>
      </c>
      <c r="AB2243" s="1">
        <v>60177</v>
      </c>
      <c r="AC2243" s="1">
        <v>1705</v>
      </c>
      <c r="AD2243" s="1" t="s">
        <v>5149</v>
      </c>
      <c r="AE2243" s="1" t="s">
        <v>19874</v>
      </c>
      <c r="AF2243" s="1" t="s">
        <v>402</v>
      </c>
      <c r="AG2243" s="1" t="s">
        <v>204</v>
      </c>
      <c r="AH2243" s="1" t="s">
        <v>1464</v>
      </c>
      <c r="AI2243" s="1" t="s">
        <v>665</v>
      </c>
      <c r="AJ2243" s="1" t="s">
        <v>1175</v>
      </c>
      <c r="AK2243" s="1" t="s">
        <v>11046</v>
      </c>
      <c r="AL2243" s="1">
        <v>5</v>
      </c>
      <c r="AM2243" s="1">
        <v>2</v>
      </c>
      <c r="AN2243" s="1">
        <v>2</v>
      </c>
      <c r="AO2243" s="1">
        <v>1</v>
      </c>
      <c r="AP2243" s="1" t="s">
        <v>209</v>
      </c>
      <c r="AR2243" s="1" t="s">
        <v>210</v>
      </c>
      <c r="AS2243" s="1" t="s">
        <v>204</v>
      </c>
      <c r="AT2243" s="1" t="s">
        <v>211</v>
      </c>
      <c r="AU2243" s="1">
        <v>1</v>
      </c>
      <c r="AW2243" s="1" t="s">
        <v>204</v>
      </c>
      <c r="AX2243" s="1" t="s">
        <v>212</v>
      </c>
      <c r="AZ2243" s="1">
        <v>146.6</v>
      </c>
      <c r="BA2243" s="1">
        <v>2013</v>
      </c>
      <c r="BB2243" s="1" t="s">
        <v>210</v>
      </c>
      <c r="BE2243" s="1">
        <v>1820</v>
      </c>
      <c r="BF2243" s="1">
        <v>2</v>
      </c>
      <c r="BG2243" s="1">
        <v>0</v>
      </c>
      <c r="BL2243" s="1">
        <v>173</v>
      </c>
      <c r="BM2243" s="1" t="s">
        <v>204</v>
      </c>
      <c r="BN2243" s="1" t="s">
        <v>213</v>
      </c>
      <c r="BO2243" s="1">
        <v>30</v>
      </c>
      <c r="BP2243" s="1" t="s">
        <v>213</v>
      </c>
      <c r="BQ2243" s="2">
        <v>41992</v>
      </c>
      <c r="BR2243" s="1" t="str">
        <f>"0635258031"</f>
        <v>0635258031</v>
      </c>
      <c r="BT2243" s="1" t="s">
        <v>19875</v>
      </c>
      <c r="BU2243" s="1" t="s">
        <v>19876</v>
      </c>
      <c r="BV2243" s="1" t="s">
        <v>19877</v>
      </c>
      <c r="BW2243" s="1" t="s">
        <v>19878</v>
      </c>
      <c r="BX2243" s="1">
        <v>46</v>
      </c>
      <c r="BY2243" s="1">
        <v>46</v>
      </c>
      <c r="BZ2243" s="1">
        <v>46</v>
      </c>
      <c r="CB2243" s="1" t="str">
        <f t="shared" ref="CB2243:CB2244" si="1717">"8"</f>
        <v>8</v>
      </c>
      <c r="CC2243" s="1" t="str">
        <f t="shared" si="1715"/>
        <v>0</v>
      </c>
      <c r="CD2243" s="1">
        <v>34</v>
      </c>
      <c r="CE2243" s="1">
        <v>0</v>
      </c>
      <c r="CG2243" s="1" t="s">
        <v>3873</v>
      </c>
      <c r="CH2243" s="1" t="s">
        <v>219</v>
      </c>
      <c r="CK2243" s="1" t="s">
        <v>669</v>
      </c>
      <c r="CL2243" s="1" t="s">
        <v>219</v>
      </c>
      <c r="CO2243" s="1" t="s">
        <v>629</v>
      </c>
      <c r="CP2243" s="1" t="s">
        <v>219</v>
      </c>
      <c r="CS2243" s="1" t="s">
        <v>932</v>
      </c>
      <c r="CT2243" s="1" t="s">
        <v>219</v>
      </c>
      <c r="CX2243" s="1" t="s">
        <v>224</v>
      </c>
      <c r="DB2243" s="1" t="s">
        <v>224</v>
      </c>
      <c r="DE2243" s="1" t="s">
        <v>461</v>
      </c>
      <c r="DF2243" s="1" t="s">
        <v>219</v>
      </c>
      <c r="DJ2243" s="1" t="s">
        <v>224</v>
      </c>
      <c r="DM2243" s="1" t="s">
        <v>709</v>
      </c>
      <c r="DN2243" s="1" t="s">
        <v>838</v>
      </c>
      <c r="DR2243" s="1" t="s">
        <v>972</v>
      </c>
      <c r="DS2243" s="1" t="s">
        <v>219</v>
      </c>
      <c r="DV2243" s="1" t="s">
        <v>379</v>
      </c>
      <c r="DW2243" s="1" t="s">
        <v>219</v>
      </c>
      <c r="EA2243" s="1" t="s">
        <v>230</v>
      </c>
      <c r="EE2243" s="1" t="s">
        <v>230</v>
      </c>
      <c r="EI2243" s="1" t="s">
        <v>230</v>
      </c>
      <c r="EL2243" s="1" t="s">
        <v>760</v>
      </c>
      <c r="EM2243" s="1" t="s">
        <v>319</v>
      </c>
      <c r="EN2243" s="1" t="s">
        <v>282</v>
      </c>
      <c r="EO2243" s="1" t="s">
        <v>234</v>
      </c>
      <c r="EP2243" s="1" t="s">
        <v>19879</v>
      </c>
      <c r="EQ2243" s="1" t="s">
        <v>236</v>
      </c>
      <c r="ER2243" s="1" t="s">
        <v>210</v>
      </c>
      <c r="ES2243" s="1" t="s">
        <v>1791</v>
      </c>
      <c r="ET2243" s="1" t="s">
        <v>866</v>
      </c>
      <c r="EU2243" s="1" t="s">
        <v>5503</v>
      </c>
      <c r="EV2243" s="1" t="s">
        <v>240</v>
      </c>
      <c r="EW2243" s="1" t="s">
        <v>6238</v>
      </c>
      <c r="EY2243" s="1" t="s">
        <v>242</v>
      </c>
      <c r="EZ2243" s="1" t="s">
        <v>3826</v>
      </c>
      <c r="FA2243" s="1" t="s">
        <v>19880</v>
      </c>
      <c r="FB2243" s="1" t="s">
        <v>244</v>
      </c>
      <c r="FC2243" s="1" t="s">
        <v>633</v>
      </c>
      <c r="FD2243" s="1" t="s">
        <v>290</v>
      </c>
      <c r="FE2243" s="1" t="s">
        <v>247</v>
      </c>
      <c r="FF2243" s="1" t="s">
        <v>248</v>
      </c>
      <c r="FH2243" s="1" t="s">
        <v>716</v>
      </c>
      <c r="FI2243" s="1" t="s">
        <v>250</v>
      </c>
      <c r="FJ2243" s="1" t="s">
        <v>11050</v>
      </c>
      <c r="FL2243" s="1" t="s">
        <v>358</v>
      </c>
      <c r="FM2243" s="1" t="s">
        <v>252</v>
      </c>
      <c r="FN2243" s="1" t="s">
        <v>213</v>
      </c>
      <c r="FO2243" s="1" t="s">
        <v>213</v>
      </c>
      <c r="FQ2243" s="1" t="s">
        <v>4853</v>
      </c>
      <c r="FR2243" s="1" t="s">
        <v>652</v>
      </c>
      <c r="FS2243" s="1" t="s">
        <v>19881</v>
      </c>
      <c r="FT2243" s="1" t="s">
        <v>2589</v>
      </c>
      <c r="FU2243" s="1" t="s">
        <v>204</v>
      </c>
      <c r="FW2243" s="1" t="s">
        <v>585</v>
      </c>
      <c r="FX2243" s="1">
        <v>49</v>
      </c>
      <c r="FY2243" s="1" t="s">
        <v>2408</v>
      </c>
      <c r="FZ2243" s="1" t="s">
        <v>9578</v>
      </c>
      <c r="GA2243" s="1">
        <v>1222</v>
      </c>
      <c r="GB2243" s="1" t="s">
        <v>9579</v>
      </c>
      <c r="GE2243" s="1" t="s">
        <v>623</v>
      </c>
      <c r="GH2243" s="1" t="s">
        <v>230</v>
      </c>
      <c r="GI2243" s="1" t="s">
        <v>213</v>
      </c>
      <c r="GJ2243" s="1" t="s">
        <v>260</v>
      </c>
      <c r="GK2243" s="1" t="s">
        <v>210</v>
      </c>
      <c r="GL2243" s="2">
        <v>42090</v>
      </c>
      <c r="GM2243" s="1" t="s">
        <v>19882</v>
      </c>
    </row>
    <row r="2244" spans="1:195">
      <c r="A2244" s="1">
        <v>152000</v>
      </c>
      <c r="B2244" s="1" t="s">
        <v>195</v>
      </c>
      <c r="C2244" s="1" t="str">
        <f>"08481512"</f>
        <v>08481512</v>
      </c>
      <c r="D2244" s="1" t="s">
        <v>196</v>
      </c>
      <c r="F2244" s="1" t="str">
        <f t="shared" si="1716"/>
        <v>177</v>
      </c>
      <c r="G2244" s="2">
        <v>41582</v>
      </c>
      <c r="H2244" s="1">
        <v>179900</v>
      </c>
      <c r="I2244" s="1">
        <v>159900</v>
      </c>
      <c r="J2244" s="1">
        <v>152000</v>
      </c>
      <c r="K2244" s="2">
        <v>41582</v>
      </c>
      <c r="L2244" s="1">
        <v>648</v>
      </c>
      <c r="M2244" s="2">
        <v>41955</v>
      </c>
      <c r="N2244" s="1">
        <v>374</v>
      </c>
      <c r="O2244" s="2">
        <v>41955</v>
      </c>
      <c r="P2244" s="1">
        <v>74</v>
      </c>
      <c r="Q2244" s="1" t="s">
        <v>302</v>
      </c>
      <c r="R2244" s="2">
        <v>41981</v>
      </c>
      <c r="S2244" s="1">
        <v>1153</v>
      </c>
      <c r="U2244" s="1">
        <v>10</v>
      </c>
      <c r="V2244" s="1" t="s">
        <v>19873</v>
      </c>
      <c r="W2244" s="1" t="s">
        <v>725</v>
      </c>
      <c r="X2244" s="1">
        <v>118</v>
      </c>
      <c r="Y2244" s="1">
        <v>45</v>
      </c>
      <c r="Z2244" s="1" t="s">
        <v>249</v>
      </c>
      <c r="AA2244" s="1" t="s">
        <v>1461</v>
      </c>
      <c r="AB2244" s="1">
        <v>60177</v>
      </c>
      <c r="AC2244" s="1">
        <v>1706</v>
      </c>
      <c r="AD2244" s="1" t="s">
        <v>5149</v>
      </c>
      <c r="AE2244" s="1" t="s">
        <v>19883</v>
      </c>
      <c r="AF2244" s="1">
        <v>2014</v>
      </c>
      <c r="AG2244" s="1" t="s">
        <v>204</v>
      </c>
      <c r="AH2244" s="1" t="s">
        <v>1464</v>
      </c>
      <c r="AI2244" s="1" t="s">
        <v>665</v>
      </c>
      <c r="AJ2244" s="1" t="s">
        <v>1175</v>
      </c>
      <c r="AK2244" s="1" t="s">
        <v>19884</v>
      </c>
      <c r="AL2244" s="1">
        <v>5</v>
      </c>
      <c r="AM2244" s="1">
        <v>2</v>
      </c>
      <c r="AN2244" s="1">
        <v>2</v>
      </c>
      <c r="AO2244" s="1">
        <v>0</v>
      </c>
      <c r="AP2244" s="1" t="s">
        <v>209</v>
      </c>
      <c r="AR2244" s="1" t="s">
        <v>210</v>
      </c>
      <c r="AS2244" s="1" t="s">
        <v>204</v>
      </c>
      <c r="AT2244" s="1" t="s">
        <v>211</v>
      </c>
      <c r="AU2244" s="1">
        <v>1</v>
      </c>
      <c r="AW2244" s="1" t="s">
        <v>204</v>
      </c>
      <c r="AX2244" s="1" t="s">
        <v>579</v>
      </c>
      <c r="AZ2244" s="1">
        <v>146.6</v>
      </c>
      <c r="BA2244" s="1">
        <v>2013</v>
      </c>
      <c r="BB2244" s="1" t="s">
        <v>210</v>
      </c>
      <c r="BE2244" s="1">
        <v>1755</v>
      </c>
      <c r="BF2244" s="1">
        <v>1</v>
      </c>
      <c r="BG2244" s="1">
        <v>0</v>
      </c>
      <c r="BL2244" s="1">
        <v>173</v>
      </c>
      <c r="BM2244" s="1" t="s">
        <v>204</v>
      </c>
      <c r="BN2244" s="1" t="s">
        <v>213</v>
      </c>
      <c r="BO2244" s="1">
        <v>30</v>
      </c>
      <c r="BP2244" s="1" t="s">
        <v>213</v>
      </c>
      <c r="BQ2244" s="2">
        <v>41883</v>
      </c>
      <c r="BR2244" s="1" t="str">
        <f>"0635258025"</f>
        <v>0635258025</v>
      </c>
      <c r="BT2244" s="1" t="s">
        <v>19885</v>
      </c>
      <c r="BU2244" s="1" t="s">
        <v>1466</v>
      </c>
      <c r="BV2244" s="1" t="s">
        <v>1467</v>
      </c>
      <c r="BW2244" s="1" t="s">
        <v>1468</v>
      </c>
      <c r="BX2244" s="1">
        <v>46</v>
      </c>
      <c r="BY2244" s="1">
        <v>46</v>
      </c>
      <c r="BZ2244" s="1">
        <v>46</v>
      </c>
      <c r="CB2244" s="1" t="str">
        <f t="shared" si="1717"/>
        <v>8</v>
      </c>
      <c r="CC2244" s="1" t="str">
        <f t="shared" si="1715"/>
        <v>0</v>
      </c>
      <c r="CD2244" s="1">
        <v>34</v>
      </c>
      <c r="CE2244" s="1">
        <v>0</v>
      </c>
      <c r="CG2244" s="1" t="s">
        <v>10859</v>
      </c>
      <c r="CH2244" s="1" t="s">
        <v>219</v>
      </c>
      <c r="CK2244" s="1" t="s">
        <v>1004</v>
      </c>
      <c r="CL2244" s="1" t="s">
        <v>219</v>
      </c>
      <c r="CO2244" s="1" t="s">
        <v>629</v>
      </c>
      <c r="CP2244" s="1" t="s">
        <v>219</v>
      </c>
      <c r="CS2244" s="1" t="s">
        <v>315</v>
      </c>
      <c r="CT2244" s="1" t="s">
        <v>219</v>
      </c>
      <c r="CX2244" s="1" t="s">
        <v>224</v>
      </c>
      <c r="DB2244" s="1" t="s">
        <v>224</v>
      </c>
      <c r="DE2244" s="1" t="s">
        <v>317</v>
      </c>
      <c r="DF2244" s="1" t="s">
        <v>219</v>
      </c>
      <c r="DJ2244" s="1" t="s">
        <v>224</v>
      </c>
      <c r="DM2244" s="1" t="s">
        <v>838</v>
      </c>
      <c r="DN2244" s="1" t="s">
        <v>709</v>
      </c>
      <c r="DR2244" s="1" t="s">
        <v>910</v>
      </c>
      <c r="DS2244" s="1" t="s">
        <v>219</v>
      </c>
      <c r="DV2244" s="1" t="s">
        <v>516</v>
      </c>
      <c r="DW2244" s="1" t="s">
        <v>219</v>
      </c>
      <c r="EA2244" s="1" t="s">
        <v>230</v>
      </c>
      <c r="EE2244" s="1" t="s">
        <v>230</v>
      </c>
      <c r="EI2244" s="1" t="s">
        <v>230</v>
      </c>
      <c r="EL2244" s="1" t="s">
        <v>19886</v>
      </c>
      <c r="EM2244" s="1" t="s">
        <v>319</v>
      </c>
      <c r="EN2244" s="1" t="s">
        <v>282</v>
      </c>
      <c r="EO2244" s="1" t="s">
        <v>234</v>
      </c>
      <c r="EP2244" s="1" t="s">
        <v>19887</v>
      </c>
      <c r="EQ2244" s="1" t="s">
        <v>236</v>
      </c>
      <c r="ER2244" s="1" t="s">
        <v>210</v>
      </c>
      <c r="ES2244" s="1" t="s">
        <v>1791</v>
      </c>
      <c r="ET2244" s="1" t="s">
        <v>238</v>
      </c>
      <c r="EU2244" s="1" t="s">
        <v>6227</v>
      </c>
      <c r="EV2244" s="1" t="s">
        <v>240</v>
      </c>
      <c r="EW2244" s="1" t="s">
        <v>6238</v>
      </c>
      <c r="EY2244" s="1" t="s">
        <v>790</v>
      </c>
      <c r="EZ2244" s="1" t="s">
        <v>3826</v>
      </c>
      <c r="FA2244" s="1" t="s">
        <v>19880</v>
      </c>
      <c r="FB2244" s="1" t="s">
        <v>846</v>
      </c>
      <c r="FC2244" s="1" t="s">
        <v>1386</v>
      </c>
      <c r="FD2244" s="1" t="s">
        <v>5377</v>
      </c>
      <c r="FE2244" s="1" t="s">
        <v>247</v>
      </c>
      <c r="FF2244" s="1" t="s">
        <v>248</v>
      </c>
      <c r="FH2244" s="1" t="s">
        <v>15005</v>
      </c>
      <c r="FI2244" s="1" t="s">
        <v>250</v>
      </c>
      <c r="FJ2244" s="1" t="s">
        <v>9574</v>
      </c>
      <c r="FL2244" s="1" t="s">
        <v>358</v>
      </c>
      <c r="FM2244" s="1" t="s">
        <v>252</v>
      </c>
      <c r="FN2244" s="1" t="s">
        <v>213</v>
      </c>
      <c r="FO2244" s="1" t="s">
        <v>213</v>
      </c>
      <c r="FQ2244" s="1" t="s">
        <v>4853</v>
      </c>
      <c r="FR2244" s="1" t="s">
        <v>652</v>
      </c>
      <c r="FS2244" s="1" t="s">
        <v>19888</v>
      </c>
      <c r="FT2244" s="1" t="s">
        <v>9577</v>
      </c>
      <c r="FU2244" s="1" t="s">
        <v>204</v>
      </c>
      <c r="FW2244" s="1" t="s">
        <v>585</v>
      </c>
      <c r="FX2244" s="1">
        <v>49</v>
      </c>
      <c r="FY2244" s="1" t="s">
        <v>2408</v>
      </c>
      <c r="FZ2244" s="1" t="s">
        <v>9578</v>
      </c>
      <c r="GA2244" s="1">
        <v>1222</v>
      </c>
      <c r="GB2244" s="1" t="s">
        <v>9579</v>
      </c>
      <c r="GE2244" s="1" t="s">
        <v>623</v>
      </c>
      <c r="GH2244" s="1" t="s">
        <v>230</v>
      </c>
      <c r="GI2244" s="1" t="s">
        <v>213</v>
      </c>
      <c r="GJ2244" s="1" t="s">
        <v>260</v>
      </c>
      <c r="GK2244" s="1" t="s">
        <v>210</v>
      </c>
      <c r="GL2244" s="2">
        <v>41981</v>
      </c>
      <c r="GM2244" s="1" t="s">
        <v>19889</v>
      </c>
    </row>
    <row r="2245" spans="1:195">
      <c r="A2245" s="1">
        <v>269990</v>
      </c>
      <c r="B2245" s="1" t="s">
        <v>195</v>
      </c>
      <c r="C2245" s="1" t="str">
        <f>"08482131"</f>
        <v>08482131</v>
      </c>
      <c r="D2245" s="1" t="s">
        <v>196</v>
      </c>
      <c r="F2245" s="1" t="str">
        <f>"107"</f>
        <v>107</v>
      </c>
      <c r="G2245" s="2">
        <v>41583</v>
      </c>
      <c r="H2245" s="1">
        <v>295450</v>
      </c>
      <c r="I2245" s="1">
        <v>269990</v>
      </c>
      <c r="J2245" s="1">
        <v>269990</v>
      </c>
      <c r="K2245" s="2">
        <v>41583</v>
      </c>
      <c r="L2245" s="1">
        <v>339</v>
      </c>
      <c r="M2245" s="2">
        <v>41921</v>
      </c>
      <c r="N2245" s="1">
        <v>339</v>
      </c>
      <c r="O2245" s="2">
        <v>41921</v>
      </c>
      <c r="P2245" s="1" t="s">
        <v>1039</v>
      </c>
      <c r="Q2245" s="1" t="s">
        <v>423</v>
      </c>
      <c r="R2245" s="2">
        <v>41975</v>
      </c>
      <c r="S2245" s="1">
        <v>99999</v>
      </c>
      <c r="U2245" s="1">
        <v>37</v>
      </c>
      <c r="V2245" s="1" t="s">
        <v>10540</v>
      </c>
      <c r="W2245" s="1" t="s">
        <v>304</v>
      </c>
      <c r="Y2245" s="1">
        <v>2</v>
      </c>
      <c r="Z2245" s="1" t="s">
        <v>370</v>
      </c>
      <c r="AA2245" s="1" t="s">
        <v>1211</v>
      </c>
      <c r="AB2245" s="1">
        <v>60107</v>
      </c>
      <c r="AD2245" s="1" t="s">
        <v>10541</v>
      </c>
      <c r="AE2245" s="1" t="s">
        <v>10542</v>
      </c>
      <c r="AF2245" s="1">
        <v>2013</v>
      </c>
      <c r="AG2245" s="1" t="s">
        <v>204</v>
      </c>
      <c r="AH2245" s="1" t="s">
        <v>1214</v>
      </c>
      <c r="AI2245" s="1" t="s">
        <v>310</v>
      </c>
      <c r="AJ2245" s="1" t="s">
        <v>374</v>
      </c>
      <c r="AK2245" s="1" t="s">
        <v>7829</v>
      </c>
      <c r="AL2245" s="1">
        <v>5</v>
      </c>
      <c r="AM2245" s="1">
        <v>2</v>
      </c>
      <c r="AN2245" s="1">
        <v>2</v>
      </c>
      <c r="AO2245" s="1">
        <v>0</v>
      </c>
      <c r="AP2245" s="1" t="s">
        <v>209</v>
      </c>
      <c r="AR2245" s="1" t="s">
        <v>1483</v>
      </c>
      <c r="AS2245" s="1" t="s">
        <v>204</v>
      </c>
      <c r="AT2245" s="1" t="s">
        <v>211</v>
      </c>
      <c r="AU2245" s="1">
        <v>2</v>
      </c>
      <c r="AW2245" s="1" t="s">
        <v>204</v>
      </c>
      <c r="AX2245" s="1" t="s">
        <v>212</v>
      </c>
      <c r="AZ2245" s="1" t="s">
        <v>751</v>
      </c>
      <c r="BA2245" s="1">
        <v>2012</v>
      </c>
      <c r="BE2245" s="1">
        <v>1286</v>
      </c>
      <c r="BF2245" s="1">
        <v>1</v>
      </c>
      <c r="BG2245" s="1">
        <v>0</v>
      </c>
      <c r="BL2245" s="1">
        <v>198</v>
      </c>
      <c r="BM2245" s="1" t="s">
        <v>204</v>
      </c>
      <c r="BN2245" s="1" t="s">
        <v>213</v>
      </c>
      <c r="BO2245" s="1">
        <v>0</v>
      </c>
      <c r="BP2245" s="1" t="s">
        <v>213</v>
      </c>
      <c r="BQ2245" s="2">
        <v>41579</v>
      </c>
      <c r="BR2245" s="1" t="str">
        <f>"06151040160000"</f>
        <v>06151040160000</v>
      </c>
      <c r="BT2245" s="1" t="s">
        <v>19890</v>
      </c>
      <c r="BU2245" s="1" t="s">
        <v>5886</v>
      </c>
      <c r="BV2245" s="1" t="s">
        <v>3557</v>
      </c>
      <c r="BW2245" s="1" t="s">
        <v>1217</v>
      </c>
      <c r="BX2245" s="1">
        <v>46</v>
      </c>
      <c r="BY2245" s="1">
        <v>46</v>
      </c>
      <c r="BZ2245" s="1">
        <v>46</v>
      </c>
      <c r="CB2245" s="1" t="str">
        <f>"11"</f>
        <v>11</v>
      </c>
      <c r="CC2245" s="1" t="str">
        <f t="shared" si="1715"/>
        <v>0</v>
      </c>
      <c r="CD2245" s="1">
        <v>29</v>
      </c>
      <c r="CE2245" s="1">
        <v>0</v>
      </c>
      <c r="CG2245" s="1" t="s">
        <v>932</v>
      </c>
      <c r="CH2245" s="1" t="s">
        <v>219</v>
      </c>
      <c r="CI2245" s="1" t="s">
        <v>438</v>
      </c>
      <c r="CK2245" s="1" t="s">
        <v>757</v>
      </c>
      <c r="CL2245" s="1" t="s">
        <v>219</v>
      </c>
      <c r="CM2245" s="1" t="s">
        <v>220</v>
      </c>
      <c r="CO2245" s="1" t="s">
        <v>461</v>
      </c>
      <c r="CP2245" s="1" t="s">
        <v>219</v>
      </c>
      <c r="CQ2245" s="1" t="s">
        <v>438</v>
      </c>
      <c r="CS2245" s="1" t="s">
        <v>1046</v>
      </c>
      <c r="CT2245" s="1" t="s">
        <v>219</v>
      </c>
      <c r="CU2245" s="1" t="s">
        <v>220</v>
      </c>
      <c r="CX2245" s="1" t="s">
        <v>224</v>
      </c>
      <c r="DB2245" s="1" t="s">
        <v>224</v>
      </c>
      <c r="DE2245" s="1" t="s">
        <v>757</v>
      </c>
      <c r="DF2245" s="1" t="s">
        <v>219</v>
      </c>
      <c r="DG2245" s="1" t="s">
        <v>438</v>
      </c>
      <c r="DJ2245" s="1" t="s">
        <v>224</v>
      </c>
      <c r="DM2245" s="1" t="s">
        <v>3011</v>
      </c>
      <c r="DR2245" s="1" t="s">
        <v>2103</v>
      </c>
      <c r="DS2245" s="1" t="s">
        <v>219</v>
      </c>
      <c r="DT2245" s="1" t="s">
        <v>342</v>
      </c>
      <c r="DW2245" s="1" t="s">
        <v>230</v>
      </c>
      <c r="EA2245" s="1" t="s">
        <v>230</v>
      </c>
      <c r="EE2245" s="1" t="s">
        <v>230</v>
      </c>
      <c r="EI2245" s="1" t="s">
        <v>230</v>
      </c>
      <c r="EL2245" s="1" t="s">
        <v>760</v>
      </c>
      <c r="EM2245" s="1" t="s">
        <v>319</v>
      </c>
      <c r="EN2245" s="1" t="s">
        <v>282</v>
      </c>
      <c r="EO2245" s="1" t="s">
        <v>234</v>
      </c>
      <c r="EP2245" s="1" t="s">
        <v>1489</v>
      </c>
      <c r="EQ2245" s="1" t="s">
        <v>8369</v>
      </c>
      <c r="ER2245" s="1" t="s">
        <v>9860</v>
      </c>
      <c r="ES2245" s="1" t="s">
        <v>322</v>
      </c>
      <c r="ET2245" s="1" t="s">
        <v>238</v>
      </c>
      <c r="EU2245" s="1" t="s">
        <v>239</v>
      </c>
      <c r="EV2245" s="1" t="s">
        <v>324</v>
      </c>
      <c r="EW2245" s="1" t="s">
        <v>867</v>
      </c>
      <c r="EY2245" s="1" t="s">
        <v>1315</v>
      </c>
      <c r="EZ2245" s="1" t="s">
        <v>3011</v>
      </c>
      <c r="FA2245" s="1" t="s">
        <v>1270</v>
      </c>
      <c r="FD2245" s="1" t="s">
        <v>495</v>
      </c>
      <c r="FE2245" s="1" t="s">
        <v>549</v>
      </c>
      <c r="FF2245" s="1" t="s">
        <v>248</v>
      </c>
      <c r="FH2245" s="1" t="s">
        <v>1205</v>
      </c>
      <c r="FJ2245" s="1" t="s">
        <v>518</v>
      </c>
      <c r="FL2245" s="1" t="s">
        <v>358</v>
      </c>
      <c r="FM2245" s="1" t="s">
        <v>252</v>
      </c>
      <c r="FN2245" s="1" t="s">
        <v>213</v>
      </c>
      <c r="FO2245" s="1" t="s">
        <v>213</v>
      </c>
      <c r="FQ2245" s="1" t="s">
        <v>19891</v>
      </c>
      <c r="FR2245" s="1" t="s">
        <v>13319</v>
      </c>
      <c r="FS2245" s="1" t="s">
        <v>19892</v>
      </c>
      <c r="FT2245" s="1" t="s">
        <v>4778</v>
      </c>
      <c r="FU2245" s="1" t="s">
        <v>204</v>
      </c>
      <c r="FV2245" s="1" t="s">
        <v>19893</v>
      </c>
      <c r="FW2245" s="1" t="s">
        <v>3857</v>
      </c>
      <c r="FX2245" s="1">
        <v>23223</v>
      </c>
      <c r="FY2245" s="1" t="s">
        <v>3858</v>
      </c>
      <c r="FZ2245" s="1" t="s">
        <v>3859</v>
      </c>
      <c r="GA2245" s="1">
        <v>236300</v>
      </c>
      <c r="GC2245" s="1">
        <v>210778</v>
      </c>
      <c r="GE2245" s="1" t="s">
        <v>210</v>
      </c>
      <c r="GI2245" s="1" t="s">
        <v>204</v>
      </c>
      <c r="GJ2245" s="1" t="s">
        <v>300</v>
      </c>
      <c r="GK2245" s="1" t="s">
        <v>210</v>
      </c>
      <c r="GL2245" s="2">
        <v>41975</v>
      </c>
      <c r="GM2245" s="1" t="s">
        <v>19894</v>
      </c>
    </row>
    <row r="2246" spans="1:195">
      <c r="A2246" s="1">
        <v>122000</v>
      </c>
      <c r="B2246" s="1" t="s">
        <v>195</v>
      </c>
      <c r="C2246" s="1" t="str">
        <f>"08814829"</f>
        <v>08814829</v>
      </c>
      <c r="D2246" s="1" t="s">
        <v>196</v>
      </c>
      <c r="F2246" s="1" t="str">
        <f>"188"</f>
        <v>188</v>
      </c>
      <c r="G2246" s="2">
        <v>42016</v>
      </c>
      <c r="H2246" s="1">
        <v>116900</v>
      </c>
      <c r="I2246" s="1">
        <v>119900</v>
      </c>
      <c r="J2246" s="1">
        <v>122000</v>
      </c>
      <c r="K2246" s="2">
        <v>42016</v>
      </c>
      <c r="L2246" s="1">
        <v>35</v>
      </c>
      <c r="M2246" s="2">
        <v>42050</v>
      </c>
      <c r="N2246" s="1">
        <v>35</v>
      </c>
      <c r="O2246" s="2">
        <v>42050</v>
      </c>
      <c r="P2246" s="1">
        <v>8073</v>
      </c>
      <c r="Q2246" s="1" t="s">
        <v>197</v>
      </c>
      <c r="R2246" s="2">
        <v>42096</v>
      </c>
      <c r="S2246" s="1">
        <v>245068</v>
      </c>
      <c r="U2246" s="1">
        <v>735</v>
      </c>
      <c r="V2246" s="1" t="s">
        <v>16886</v>
      </c>
      <c r="W2246" s="1" t="s">
        <v>304</v>
      </c>
      <c r="Y2246" s="1">
        <v>4</v>
      </c>
      <c r="Z2246" s="1" t="s">
        <v>370</v>
      </c>
      <c r="AA2246" s="1" t="s">
        <v>1084</v>
      </c>
      <c r="AB2246" s="1">
        <v>60188</v>
      </c>
      <c r="AD2246" s="1" t="s">
        <v>19895</v>
      </c>
      <c r="AE2246" s="1" t="s">
        <v>19896</v>
      </c>
      <c r="AF2246" s="1">
        <v>1975</v>
      </c>
      <c r="AG2246" s="1" t="s">
        <v>213</v>
      </c>
      <c r="AH2246" s="1" t="s">
        <v>1087</v>
      </c>
      <c r="AI2246" s="1" t="s">
        <v>206</v>
      </c>
      <c r="AJ2246" s="1" t="s">
        <v>2654</v>
      </c>
      <c r="AL2246" s="1">
        <v>7</v>
      </c>
      <c r="AM2246" s="1">
        <v>2</v>
      </c>
      <c r="AN2246" s="1">
        <v>1</v>
      </c>
      <c r="AO2246" s="1">
        <v>1</v>
      </c>
      <c r="AP2246" s="1" t="s">
        <v>210</v>
      </c>
      <c r="AQ2246" s="1">
        <v>0</v>
      </c>
      <c r="AR2246" s="1" t="s">
        <v>209</v>
      </c>
      <c r="AS2246" s="1" t="s">
        <v>204</v>
      </c>
      <c r="AT2246" s="1" t="s">
        <v>211</v>
      </c>
      <c r="AU2246" s="1">
        <v>1</v>
      </c>
      <c r="AW2246" s="1" t="s">
        <v>204</v>
      </c>
      <c r="AX2246" s="1" t="s">
        <v>19897</v>
      </c>
      <c r="AZ2246" s="1">
        <v>3427</v>
      </c>
      <c r="BA2246" s="1">
        <v>2013</v>
      </c>
      <c r="BB2246" s="1" t="s">
        <v>405</v>
      </c>
      <c r="BE2246" s="1">
        <v>1264</v>
      </c>
      <c r="BF2246" s="1">
        <v>1</v>
      </c>
      <c r="BG2246" s="1">
        <v>0</v>
      </c>
      <c r="BL2246" s="1">
        <v>275</v>
      </c>
      <c r="BM2246" s="1" t="s">
        <v>204</v>
      </c>
      <c r="BN2246" s="1" t="s">
        <v>213</v>
      </c>
      <c r="BO2246" s="1" t="s">
        <v>19898</v>
      </c>
      <c r="BP2246" s="1" t="s">
        <v>204</v>
      </c>
      <c r="BR2246" s="1" t="str">
        <f>"0136205035"</f>
        <v>0136205035</v>
      </c>
      <c r="BT2246" s="1" t="s">
        <v>19899</v>
      </c>
      <c r="BU2246" s="1" t="s">
        <v>19900</v>
      </c>
      <c r="BV2246" s="1" t="s">
        <v>1091</v>
      </c>
      <c r="BW2246" s="1" t="s">
        <v>1092</v>
      </c>
      <c r="BX2246" s="1">
        <v>93</v>
      </c>
      <c r="BY2246" s="1">
        <v>93</v>
      </c>
      <c r="BZ2246" s="1">
        <v>87</v>
      </c>
      <c r="CB2246" s="1" t="str">
        <f t="shared" ref="CB2246:CC2246" si="1718">""</f>
        <v/>
      </c>
      <c r="CC2246" s="1" t="str">
        <f t="shared" si="1718"/>
        <v/>
      </c>
      <c r="CG2246" s="1" t="s">
        <v>538</v>
      </c>
      <c r="CH2246" s="1" t="s">
        <v>219</v>
      </c>
      <c r="CI2246" s="1" t="s">
        <v>438</v>
      </c>
      <c r="CK2246" s="1" t="s">
        <v>1533</v>
      </c>
      <c r="CL2246" s="1" t="s">
        <v>277</v>
      </c>
      <c r="CM2246" s="1" t="s">
        <v>438</v>
      </c>
      <c r="CO2246" s="1" t="s">
        <v>14453</v>
      </c>
      <c r="CP2246" s="1" t="s">
        <v>219</v>
      </c>
      <c r="CQ2246" s="1" t="s">
        <v>438</v>
      </c>
      <c r="CS2246" s="1" t="s">
        <v>379</v>
      </c>
      <c r="CT2246" s="1" t="s">
        <v>277</v>
      </c>
      <c r="CU2246" s="1" t="s">
        <v>438</v>
      </c>
      <c r="CW2246" s="1" t="s">
        <v>539</v>
      </c>
      <c r="CX2246" s="1" t="s">
        <v>43</v>
      </c>
      <c r="CY2246" s="1" t="s">
        <v>220</v>
      </c>
      <c r="DB2246" s="1" t="s">
        <v>224</v>
      </c>
      <c r="DE2246" s="1" t="s">
        <v>1358</v>
      </c>
      <c r="DF2246" s="1" t="s">
        <v>219</v>
      </c>
      <c r="DG2246" s="1" t="s">
        <v>226</v>
      </c>
      <c r="DJ2246" s="1" t="s">
        <v>224</v>
      </c>
      <c r="DM2246" s="1" t="s">
        <v>934</v>
      </c>
      <c r="DR2246" s="1" t="s">
        <v>1570</v>
      </c>
      <c r="DS2246" s="1" t="s">
        <v>43</v>
      </c>
      <c r="DT2246" s="1" t="s">
        <v>220</v>
      </c>
      <c r="DW2246" s="1" t="s">
        <v>230</v>
      </c>
      <c r="EA2246" s="1" t="s">
        <v>230</v>
      </c>
      <c r="EE2246" s="1" t="s">
        <v>230</v>
      </c>
      <c r="EI2246" s="1" t="s">
        <v>230</v>
      </c>
      <c r="EL2246" s="1" t="s">
        <v>231</v>
      </c>
      <c r="EM2246" s="1" t="s">
        <v>232</v>
      </c>
      <c r="EN2246" s="1" t="s">
        <v>282</v>
      </c>
      <c r="EO2246" s="1" t="s">
        <v>234</v>
      </c>
      <c r="EP2246" s="1" t="s">
        <v>1881</v>
      </c>
      <c r="EQ2246" s="1" t="s">
        <v>236</v>
      </c>
      <c r="ER2246" s="1" t="s">
        <v>544</v>
      </c>
      <c r="ES2246" s="1" t="s">
        <v>322</v>
      </c>
      <c r="EU2246" s="1" t="s">
        <v>1110</v>
      </c>
      <c r="EV2246" s="1" t="s">
        <v>352</v>
      </c>
      <c r="EW2246" s="1" t="s">
        <v>19901</v>
      </c>
      <c r="EY2246" s="1" t="s">
        <v>790</v>
      </c>
      <c r="EZ2246" s="1" t="s">
        <v>934</v>
      </c>
      <c r="FA2246" s="1" t="s">
        <v>19138</v>
      </c>
      <c r="FB2246" s="1" t="s">
        <v>289</v>
      </c>
      <c r="FD2246" s="1" t="s">
        <v>246</v>
      </c>
      <c r="FE2246" s="1" t="s">
        <v>355</v>
      </c>
      <c r="FF2246" s="1" t="s">
        <v>248</v>
      </c>
      <c r="FH2246" s="1" t="s">
        <v>550</v>
      </c>
      <c r="FI2246" s="1" t="s">
        <v>473</v>
      </c>
      <c r="FJ2246" s="1" t="s">
        <v>1179</v>
      </c>
      <c r="FL2246" s="1" t="s">
        <v>358</v>
      </c>
      <c r="FM2246" s="1" t="s">
        <v>252</v>
      </c>
      <c r="FN2246" s="1" t="s">
        <v>213</v>
      </c>
      <c r="FO2246" s="1" t="s">
        <v>213</v>
      </c>
      <c r="FQ2246" s="1" t="s">
        <v>1758</v>
      </c>
      <c r="FR2246" s="1" t="s">
        <v>210</v>
      </c>
      <c r="FS2246" s="1" t="s">
        <v>19902</v>
      </c>
      <c r="FT2246" s="1" t="s">
        <v>362</v>
      </c>
      <c r="FU2246" s="1" t="s">
        <v>204</v>
      </c>
      <c r="FW2246" s="1" t="s">
        <v>915</v>
      </c>
      <c r="FX2246" s="1">
        <v>25088</v>
      </c>
      <c r="FY2246" s="1" t="s">
        <v>1761</v>
      </c>
      <c r="FZ2246" s="1" t="s">
        <v>14868</v>
      </c>
      <c r="GA2246" s="1">
        <v>251165</v>
      </c>
      <c r="GB2246" s="1" t="s">
        <v>14869</v>
      </c>
      <c r="GE2246" s="1" t="s">
        <v>210</v>
      </c>
      <c r="GI2246" s="1" t="s">
        <v>213</v>
      </c>
      <c r="GJ2246" s="1" t="s">
        <v>260</v>
      </c>
      <c r="GK2246" s="1" t="s">
        <v>210</v>
      </c>
      <c r="GL2246" s="2">
        <v>42096</v>
      </c>
      <c r="GM2246" s="1" t="s">
        <v>19903</v>
      </c>
    </row>
    <row r="2247" spans="1:195">
      <c r="A2247" s="1">
        <v>209000</v>
      </c>
      <c r="B2247" s="1" t="s">
        <v>195</v>
      </c>
      <c r="C2247" s="1" t="str">
        <f>"08808339"</f>
        <v>08808339</v>
      </c>
      <c r="D2247" s="1" t="s">
        <v>196</v>
      </c>
      <c r="F2247" s="1" t="str">
        <f t="shared" ref="F2247:F2248" si="1719">"108"</f>
        <v>108</v>
      </c>
      <c r="G2247" s="2">
        <v>42006</v>
      </c>
      <c r="H2247" s="1">
        <v>211900</v>
      </c>
      <c r="I2247" s="1">
        <v>211900</v>
      </c>
      <c r="J2247" s="1">
        <v>209000</v>
      </c>
      <c r="K2247" s="2">
        <v>42006</v>
      </c>
      <c r="L2247" s="1">
        <v>252</v>
      </c>
      <c r="M2247" s="2">
        <v>42044</v>
      </c>
      <c r="N2247" s="1">
        <v>39</v>
      </c>
      <c r="O2247" s="2">
        <v>42044</v>
      </c>
      <c r="P2247" s="1">
        <v>16548</v>
      </c>
      <c r="Q2247" s="1" t="s">
        <v>423</v>
      </c>
      <c r="R2247" s="2">
        <v>42090</v>
      </c>
      <c r="S2247" s="1">
        <v>166968</v>
      </c>
      <c r="U2247" s="1">
        <v>125</v>
      </c>
      <c r="V2247" s="1" t="s">
        <v>828</v>
      </c>
      <c r="W2247" s="1" t="s">
        <v>264</v>
      </c>
      <c r="X2247" s="1">
        <v>604</v>
      </c>
      <c r="Y2247" s="1">
        <v>80</v>
      </c>
      <c r="Z2247" s="1" t="s">
        <v>249</v>
      </c>
      <c r="AA2247" s="1" t="s">
        <v>829</v>
      </c>
      <c r="AB2247" s="1">
        <v>60108</v>
      </c>
      <c r="AE2247" s="1" t="s">
        <v>11942</v>
      </c>
      <c r="AF2247" s="1">
        <v>2008</v>
      </c>
      <c r="AG2247" s="1" t="s">
        <v>204</v>
      </c>
      <c r="AH2247" s="1" t="s">
        <v>269</v>
      </c>
      <c r="AI2247" s="1" t="s">
        <v>206</v>
      </c>
      <c r="AJ2247" s="1" t="s">
        <v>269</v>
      </c>
      <c r="AL2247" s="1">
        <v>5</v>
      </c>
      <c r="AM2247" s="1">
        <v>2</v>
      </c>
      <c r="AN2247" s="1">
        <v>2</v>
      </c>
      <c r="AO2247" s="1">
        <v>0</v>
      </c>
      <c r="AP2247" s="1" t="s">
        <v>209</v>
      </c>
      <c r="AR2247" s="1" t="s">
        <v>210</v>
      </c>
      <c r="AS2247" s="1" t="s">
        <v>204</v>
      </c>
      <c r="AT2247" s="1" t="s">
        <v>375</v>
      </c>
      <c r="AU2247" s="1">
        <v>1</v>
      </c>
      <c r="AV2247" s="1">
        <v>1</v>
      </c>
      <c r="AW2247" s="1" t="s">
        <v>204</v>
      </c>
      <c r="AX2247" s="1" t="s">
        <v>270</v>
      </c>
      <c r="AZ2247" s="1">
        <v>1923.66</v>
      </c>
      <c r="BA2247" s="1">
        <v>2013</v>
      </c>
      <c r="BE2247" s="1">
        <v>1332</v>
      </c>
      <c r="BF2247" s="1">
        <v>6</v>
      </c>
      <c r="BG2247" s="1">
        <v>0</v>
      </c>
      <c r="BL2247" s="1">
        <v>189</v>
      </c>
      <c r="BM2247" s="1" t="s">
        <v>204</v>
      </c>
      <c r="BN2247" s="1" t="s">
        <v>213</v>
      </c>
      <c r="BO2247" s="1">
        <v>999</v>
      </c>
      <c r="BP2247" s="1" t="s">
        <v>204</v>
      </c>
      <c r="BR2247" s="1" t="str">
        <f>"0214120096"</f>
        <v>0214120096</v>
      </c>
      <c r="BT2247" s="1" t="s">
        <v>11943</v>
      </c>
      <c r="BX2247" s="1">
        <v>13</v>
      </c>
      <c r="BY2247" s="1">
        <v>13</v>
      </c>
      <c r="BZ2247" s="1">
        <v>108</v>
      </c>
      <c r="CB2247" s="1" t="str">
        <f t="shared" ref="CB2247:CC2247" si="1720">""</f>
        <v/>
      </c>
      <c r="CC2247" s="1" t="str">
        <f t="shared" si="1720"/>
        <v/>
      </c>
      <c r="CG2247" s="1" t="s">
        <v>931</v>
      </c>
      <c r="CH2247" s="1" t="s">
        <v>219</v>
      </c>
      <c r="CK2247" s="1" t="s">
        <v>315</v>
      </c>
      <c r="CL2247" s="1" t="s">
        <v>219</v>
      </c>
      <c r="CO2247" s="1" t="s">
        <v>629</v>
      </c>
      <c r="CP2247" s="1" t="s">
        <v>219</v>
      </c>
      <c r="CS2247" s="1" t="s">
        <v>1358</v>
      </c>
      <c r="CT2247" s="1" t="s">
        <v>219</v>
      </c>
      <c r="CX2247" s="1" t="s">
        <v>224</v>
      </c>
      <c r="DB2247" s="1" t="s">
        <v>224</v>
      </c>
      <c r="DE2247" s="1" t="s">
        <v>316</v>
      </c>
      <c r="DF2247" s="1" t="s">
        <v>219</v>
      </c>
      <c r="DJ2247" s="1" t="s">
        <v>224</v>
      </c>
      <c r="DS2247" s="1" t="s">
        <v>230</v>
      </c>
      <c r="DW2247" s="1" t="s">
        <v>230</v>
      </c>
      <c r="EA2247" s="1" t="s">
        <v>230</v>
      </c>
      <c r="EE2247" s="1" t="s">
        <v>230</v>
      </c>
      <c r="EI2247" s="1" t="s">
        <v>230</v>
      </c>
      <c r="EL2247" s="1" t="s">
        <v>491</v>
      </c>
      <c r="EM2247" s="1" t="s">
        <v>319</v>
      </c>
      <c r="EN2247" s="1" t="s">
        <v>282</v>
      </c>
      <c r="EO2247" s="1" t="s">
        <v>234</v>
      </c>
      <c r="ER2247" s="1" t="s">
        <v>210</v>
      </c>
      <c r="EW2247" s="1" t="s">
        <v>7866</v>
      </c>
      <c r="EZ2247" s="1" t="s">
        <v>287</v>
      </c>
      <c r="FD2247" s="1" t="s">
        <v>495</v>
      </c>
      <c r="FE2247" s="1" t="s">
        <v>247</v>
      </c>
      <c r="FF2247" s="1" t="s">
        <v>248</v>
      </c>
      <c r="FH2247" s="1" t="s">
        <v>249</v>
      </c>
      <c r="FL2247" s="1" t="s">
        <v>414</v>
      </c>
      <c r="FM2247" s="1" t="s">
        <v>252</v>
      </c>
      <c r="FN2247" s="1" t="s">
        <v>213</v>
      </c>
      <c r="FO2247" s="1" t="s">
        <v>213</v>
      </c>
      <c r="FQ2247" s="1" t="s">
        <v>849</v>
      </c>
      <c r="FR2247" s="1" t="s">
        <v>210</v>
      </c>
      <c r="FS2247" s="1" t="s">
        <v>19904</v>
      </c>
      <c r="FT2247" s="1" t="s">
        <v>7868</v>
      </c>
      <c r="FU2247" s="1" t="s">
        <v>213</v>
      </c>
      <c r="FW2247" s="1" t="s">
        <v>852</v>
      </c>
      <c r="FX2247" s="1">
        <v>22250</v>
      </c>
      <c r="FY2247" s="1" t="s">
        <v>853</v>
      </c>
      <c r="FZ2247" s="1" t="s">
        <v>854</v>
      </c>
      <c r="GA2247" s="1">
        <v>242148</v>
      </c>
      <c r="GE2247" s="1" t="s">
        <v>480</v>
      </c>
      <c r="GI2247" s="1" t="s">
        <v>213</v>
      </c>
      <c r="GJ2247" s="1" t="s">
        <v>260</v>
      </c>
      <c r="GK2247" s="1" t="s">
        <v>210</v>
      </c>
      <c r="GL2247" s="2">
        <v>42090</v>
      </c>
      <c r="GM2247" s="1" t="s">
        <v>19905</v>
      </c>
    </row>
    <row r="2248" spans="1:195">
      <c r="A2248" s="1">
        <v>220000</v>
      </c>
      <c r="B2248" s="1" t="s">
        <v>195</v>
      </c>
      <c r="C2248" s="1" t="str">
        <f>"08808366"</f>
        <v>08808366</v>
      </c>
      <c r="D2248" s="1" t="s">
        <v>196</v>
      </c>
      <c r="F2248" s="1" t="str">
        <f t="shared" si="1719"/>
        <v>108</v>
      </c>
      <c r="G2248" s="2">
        <v>42006</v>
      </c>
      <c r="H2248" s="1">
        <v>224900</v>
      </c>
      <c r="I2248" s="1">
        <v>224900</v>
      </c>
      <c r="J2248" s="1">
        <v>220000</v>
      </c>
      <c r="K2248" s="2">
        <v>42006</v>
      </c>
      <c r="L2248" s="1">
        <v>213</v>
      </c>
      <c r="M2248" s="2">
        <v>42013</v>
      </c>
      <c r="N2248" s="1">
        <v>8</v>
      </c>
      <c r="O2248" s="2">
        <v>42013</v>
      </c>
      <c r="P2248" s="1">
        <v>22250</v>
      </c>
      <c r="Q2248" s="1" t="s">
        <v>1393</v>
      </c>
      <c r="R2248" s="2">
        <v>42062</v>
      </c>
      <c r="S2248" s="1">
        <v>223251</v>
      </c>
      <c r="U2248" s="1">
        <v>105</v>
      </c>
      <c r="V2248" s="1" t="s">
        <v>828</v>
      </c>
      <c r="W2248" s="1" t="s">
        <v>264</v>
      </c>
      <c r="X2248" s="1">
        <v>401</v>
      </c>
      <c r="Y2248" s="1">
        <v>36</v>
      </c>
      <c r="Z2248" s="1" t="s">
        <v>249</v>
      </c>
      <c r="AA2248" s="1" t="s">
        <v>829</v>
      </c>
      <c r="AB2248" s="1">
        <v>60108</v>
      </c>
      <c r="AE2248" s="1" t="s">
        <v>9694</v>
      </c>
      <c r="AF2248" s="1">
        <v>2008</v>
      </c>
      <c r="AG2248" s="1" t="s">
        <v>204</v>
      </c>
      <c r="AH2248" s="1" t="s">
        <v>269</v>
      </c>
      <c r="AI2248" s="1" t="s">
        <v>206</v>
      </c>
      <c r="AJ2248" s="1" t="s">
        <v>269</v>
      </c>
      <c r="AL2248" s="1">
        <v>5</v>
      </c>
      <c r="AM2248" s="1">
        <v>2</v>
      </c>
      <c r="AN2248" s="1">
        <v>2</v>
      </c>
      <c r="AO2248" s="1">
        <v>0</v>
      </c>
      <c r="AP2248" s="1" t="s">
        <v>209</v>
      </c>
      <c r="AR2248" s="1" t="s">
        <v>210</v>
      </c>
      <c r="AS2248" s="1" t="s">
        <v>204</v>
      </c>
      <c r="AT2248" s="1" t="s">
        <v>375</v>
      </c>
      <c r="AU2248" s="1">
        <v>1</v>
      </c>
      <c r="AV2248" s="1">
        <v>1</v>
      </c>
      <c r="AW2248" s="1" t="s">
        <v>204</v>
      </c>
      <c r="AX2248" s="1" t="s">
        <v>270</v>
      </c>
      <c r="AZ2248" s="1">
        <v>3288.32</v>
      </c>
      <c r="BA2248" s="1">
        <v>2013</v>
      </c>
      <c r="BE2248" s="1">
        <v>1418</v>
      </c>
      <c r="BF2248" s="1">
        <v>4</v>
      </c>
      <c r="BG2248" s="1">
        <v>0</v>
      </c>
      <c r="BL2248" s="1">
        <v>185</v>
      </c>
      <c r="BM2248" s="1" t="s">
        <v>204</v>
      </c>
      <c r="BN2248" s="1" t="s">
        <v>213</v>
      </c>
      <c r="BO2248" s="1">
        <v>999</v>
      </c>
      <c r="BP2248" s="1" t="s">
        <v>204</v>
      </c>
      <c r="BR2248" s="1" t="str">
        <f>"0214120007"</f>
        <v>0214120007</v>
      </c>
      <c r="BT2248" s="1" t="s">
        <v>19906</v>
      </c>
      <c r="BX2248" s="1">
        <v>13</v>
      </c>
      <c r="BY2248" s="1">
        <v>13</v>
      </c>
      <c r="BZ2248" s="1">
        <v>108</v>
      </c>
      <c r="CB2248" s="1" t="str">
        <f t="shared" ref="CB2248:CC2248" si="1721">""</f>
        <v/>
      </c>
      <c r="CC2248" s="1" t="str">
        <f t="shared" si="1721"/>
        <v/>
      </c>
      <c r="CG2248" s="1" t="s">
        <v>221</v>
      </c>
      <c r="CH2248" s="1" t="s">
        <v>219</v>
      </c>
      <c r="CK2248" s="1" t="s">
        <v>2121</v>
      </c>
      <c r="CL2248" s="1" t="s">
        <v>219</v>
      </c>
      <c r="CO2248" s="1" t="s">
        <v>409</v>
      </c>
      <c r="CP2248" s="1" t="s">
        <v>219</v>
      </c>
      <c r="CS2248" s="1" t="s">
        <v>836</v>
      </c>
      <c r="CT2248" s="1" t="s">
        <v>219</v>
      </c>
      <c r="CX2248" s="1" t="s">
        <v>224</v>
      </c>
      <c r="DB2248" s="1" t="s">
        <v>224</v>
      </c>
      <c r="DE2248" s="1" t="s">
        <v>2031</v>
      </c>
      <c r="DF2248" s="1" t="s">
        <v>219</v>
      </c>
      <c r="DJ2248" s="1" t="s">
        <v>224</v>
      </c>
      <c r="DM2248" s="1" t="s">
        <v>838</v>
      </c>
      <c r="DR2248" s="1" t="s">
        <v>839</v>
      </c>
      <c r="DS2248" s="1" t="s">
        <v>219</v>
      </c>
      <c r="DW2248" s="1" t="s">
        <v>230</v>
      </c>
      <c r="EA2248" s="1" t="s">
        <v>230</v>
      </c>
      <c r="EE2248" s="1" t="s">
        <v>230</v>
      </c>
      <c r="EI2248" s="1" t="s">
        <v>230</v>
      </c>
      <c r="EL2248" s="1" t="s">
        <v>491</v>
      </c>
      <c r="EM2248" s="1" t="s">
        <v>319</v>
      </c>
      <c r="EN2248" s="1" t="s">
        <v>282</v>
      </c>
      <c r="EO2248" s="1" t="s">
        <v>234</v>
      </c>
      <c r="ER2248" s="1" t="s">
        <v>210</v>
      </c>
      <c r="EW2248" s="1" t="s">
        <v>7866</v>
      </c>
      <c r="EZ2248" s="1" t="s">
        <v>838</v>
      </c>
      <c r="FD2248" s="1" t="s">
        <v>495</v>
      </c>
      <c r="FE2248" s="1" t="s">
        <v>247</v>
      </c>
      <c r="FF2248" s="1" t="s">
        <v>248</v>
      </c>
      <c r="FH2248" s="1" t="s">
        <v>249</v>
      </c>
      <c r="FL2248" s="1" t="s">
        <v>414</v>
      </c>
      <c r="FM2248" s="1" t="s">
        <v>252</v>
      </c>
      <c r="FN2248" s="1" t="s">
        <v>213</v>
      </c>
      <c r="FO2248" s="1" t="s">
        <v>213</v>
      </c>
      <c r="FQ2248" s="1" t="s">
        <v>849</v>
      </c>
      <c r="FR2248" s="1" t="s">
        <v>210</v>
      </c>
      <c r="FS2248" s="1" t="s">
        <v>19907</v>
      </c>
      <c r="FT2248" s="1" t="s">
        <v>7868</v>
      </c>
      <c r="FU2248" s="1" t="s">
        <v>213</v>
      </c>
      <c r="FW2248" s="1" t="s">
        <v>852</v>
      </c>
      <c r="FX2248" s="1">
        <v>22250</v>
      </c>
      <c r="FY2248" s="1" t="s">
        <v>853</v>
      </c>
      <c r="FZ2248" s="1" t="s">
        <v>854</v>
      </c>
      <c r="GA2248" s="1">
        <v>242148</v>
      </c>
      <c r="GE2248" s="1" t="s">
        <v>480</v>
      </c>
      <c r="GI2248" s="1" t="s">
        <v>213</v>
      </c>
      <c r="GJ2248" s="1" t="s">
        <v>260</v>
      </c>
      <c r="GK2248" s="1" t="s">
        <v>210</v>
      </c>
      <c r="GL2248" s="2">
        <v>42062</v>
      </c>
      <c r="GM2248" s="1" t="s">
        <v>19908</v>
      </c>
    </row>
    <row r="2249" spans="1:195">
      <c r="A2249" s="1">
        <v>59000</v>
      </c>
      <c r="B2249" s="1" t="s">
        <v>195</v>
      </c>
      <c r="C2249" s="1" t="str">
        <f>"08808723"</f>
        <v>08808723</v>
      </c>
      <c r="D2249" s="1" t="s">
        <v>196</v>
      </c>
      <c r="F2249" s="1" t="str">
        <f>"20"</f>
        <v>20</v>
      </c>
      <c r="G2249" s="2">
        <v>42006</v>
      </c>
      <c r="H2249" s="1">
        <v>64900</v>
      </c>
      <c r="I2249" s="1">
        <v>64900</v>
      </c>
      <c r="J2249" s="1">
        <v>59000</v>
      </c>
      <c r="K2249" s="2">
        <v>42006</v>
      </c>
      <c r="L2249" s="1">
        <v>914</v>
      </c>
      <c r="M2249" s="2">
        <v>42043</v>
      </c>
      <c r="N2249" s="1">
        <v>38</v>
      </c>
      <c r="O2249" s="2">
        <v>42043</v>
      </c>
      <c r="P2249" s="1">
        <v>22076</v>
      </c>
      <c r="Q2249" s="1" t="s">
        <v>19909</v>
      </c>
      <c r="R2249" s="2">
        <v>42054</v>
      </c>
      <c r="S2249" s="1">
        <v>217762</v>
      </c>
      <c r="U2249" s="1">
        <v>10</v>
      </c>
      <c r="V2249" s="1" t="s">
        <v>11494</v>
      </c>
      <c r="X2249" s="1">
        <v>1</v>
      </c>
      <c r="Y2249" s="1">
        <v>7</v>
      </c>
      <c r="Z2249" s="1" t="s">
        <v>249</v>
      </c>
      <c r="AA2249" s="1" t="s">
        <v>592</v>
      </c>
      <c r="AB2249" s="1">
        <v>60020</v>
      </c>
      <c r="AD2249" s="1" t="s">
        <v>11495</v>
      </c>
      <c r="AE2249" s="1" t="s">
        <v>19910</v>
      </c>
      <c r="AF2249" s="1">
        <v>1970</v>
      </c>
      <c r="AG2249" s="1" t="s">
        <v>213</v>
      </c>
      <c r="AH2249" s="1" t="s">
        <v>595</v>
      </c>
      <c r="AI2249" s="1" t="s">
        <v>509</v>
      </c>
      <c r="AJ2249" s="1" t="s">
        <v>596</v>
      </c>
      <c r="AK2249" s="1" t="s">
        <v>11497</v>
      </c>
      <c r="AL2249" s="1">
        <v>5</v>
      </c>
      <c r="AM2249" s="1">
        <v>2</v>
      </c>
      <c r="AN2249" s="1">
        <v>1</v>
      </c>
      <c r="AO2249" s="1">
        <v>0</v>
      </c>
      <c r="AP2249" s="1" t="s">
        <v>210</v>
      </c>
      <c r="AQ2249" s="1">
        <v>1</v>
      </c>
      <c r="AR2249" s="1" t="s">
        <v>210</v>
      </c>
      <c r="AS2249" s="1" t="s">
        <v>204</v>
      </c>
      <c r="AT2249" s="1" t="s">
        <v>271</v>
      </c>
      <c r="AV2249" s="1">
        <v>2</v>
      </c>
      <c r="AW2249" s="1" t="s">
        <v>213</v>
      </c>
      <c r="AX2249" s="1" t="s">
        <v>212</v>
      </c>
      <c r="AZ2249" s="5">
        <v>2265.31</v>
      </c>
      <c r="BA2249" s="1">
        <v>2013</v>
      </c>
      <c r="BB2249" s="1" t="s">
        <v>210</v>
      </c>
      <c r="BE2249" s="1">
        <v>690</v>
      </c>
      <c r="BF2249" s="1">
        <v>1</v>
      </c>
      <c r="BG2249" s="1">
        <v>7</v>
      </c>
      <c r="BL2249" s="1">
        <v>336</v>
      </c>
      <c r="BM2249" s="1" t="s">
        <v>204</v>
      </c>
      <c r="BN2249" s="1" t="s">
        <v>213</v>
      </c>
      <c r="BO2249" s="1">
        <v>80</v>
      </c>
      <c r="BP2249" s="1" t="s">
        <v>204</v>
      </c>
      <c r="BR2249" s="1" t="str">
        <f>"01331004990000"</f>
        <v>01331004990000</v>
      </c>
      <c r="BT2249" s="1" t="s">
        <v>19911</v>
      </c>
      <c r="BU2249" s="1" t="s">
        <v>2262</v>
      </c>
      <c r="BV2249" s="1" t="s">
        <v>2263</v>
      </c>
      <c r="BW2249" s="1" t="s">
        <v>2264</v>
      </c>
      <c r="BX2249" s="1">
        <v>114</v>
      </c>
      <c r="BY2249" s="1">
        <v>114</v>
      </c>
      <c r="BZ2249" s="1">
        <v>124</v>
      </c>
      <c r="CB2249" s="1" t="str">
        <f>"38"</f>
        <v>38</v>
      </c>
      <c r="CC2249" s="1" t="str">
        <f t="shared" ref="CC2249:CC2250" si="1722">"0"</f>
        <v>0</v>
      </c>
      <c r="CD2249" s="1">
        <v>28</v>
      </c>
      <c r="CE2249" s="1">
        <v>0</v>
      </c>
      <c r="CG2249" s="1" t="s">
        <v>7335</v>
      </c>
      <c r="CH2249" s="1" t="s">
        <v>219</v>
      </c>
      <c r="CI2249" s="1" t="s">
        <v>4958</v>
      </c>
      <c r="CJ2249" s="1" t="s">
        <v>463</v>
      </c>
      <c r="CK2249" s="1" t="s">
        <v>378</v>
      </c>
      <c r="CL2249" s="1" t="s">
        <v>277</v>
      </c>
      <c r="CM2249" s="1" t="s">
        <v>220</v>
      </c>
      <c r="CN2249" s="1" t="s">
        <v>463</v>
      </c>
      <c r="CO2249" s="1" t="s">
        <v>629</v>
      </c>
      <c r="CP2249" s="1" t="s">
        <v>219</v>
      </c>
      <c r="CQ2249" s="1" t="s">
        <v>4958</v>
      </c>
      <c r="CR2249" s="1" t="s">
        <v>463</v>
      </c>
      <c r="CS2249" s="1" t="s">
        <v>408</v>
      </c>
      <c r="CT2249" s="1" t="s">
        <v>277</v>
      </c>
      <c r="CU2249" s="1" t="s">
        <v>438</v>
      </c>
      <c r="CV2249" s="1" t="s">
        <v>463</v>
      </c>
      <c r="CX2249" s="1" t="s">
        <v>224</v>
      </c>
      <c r="DB2249" s="1" t="s">
        <v>224</v>
      </c>
      <c r="DE2249" s="1" t="s">
        <v>7848</v>
      </c>
      <c r="DF2249" s="1" t="s">
        <v>219</v>
      </c>
      <c r="DG2249" s="1" t="s">
        <v>4958</v>
      </c>
      <c r="DH2249" s="1" t="s">
        <v>210</v>
      </c>
      <c r="DJ2249" s="1" t="s">
        <v>224</v>
      </c>
      <c r="DS2249" s="1" t="s">
        <v>230</v>
      </c>
      <c r="DW2249" s="1" t="s">
        <v>230</v>
      </c>
      <c r="EA2249" s="1" t="s">
        <v>230</v>
      </c>
      <c r="EE2249" s="1" t="s">
        <v>230</v>
      </c>
      <c r="EI2249" s="1" t="s">
        <v>230</v>
      </c>
      <c r="EL2249" s="1" t="s">
        <v>605</v>
      </c>
      <c r="EM2249" s="1" t="s">
        <v>319</v>
      </c>
      <c r="EN2249" s="1" t="s">
        <v>282</v>
      </c>
      <c r="EO2249" s="1" t="s">
        <v>234</v>
      </c>
      <c r="EP2249" s="1" t="s">
        <v>11500</v>
      </c>
      <c r="EQ2249" s="1" t="s">
        <v>4356</v>
      </c>
      <c r="ER2249" s="1" t="s">
        <v>210</v>
      </c>
      <c r="ES2249" s="1" t="s">
        <v>493</v>
      </c>
      <c r="EU2249" s="1" t="s">
        <v>11502</v>
      </c>
      <c r="EW2249" s="1" t="s">
        <v>11503</v>
      </c>
      <c r="EY2249" s="1" t="s">
        <v>242</v>
      </c>
      <c r="EZ2249" s="1" t="s">
        <v>287</v>
      </c>
      <c r="FA2249" s="1" t="s">
        <v>15118</v>
      </c>
      <c r="FB2249" s="1" t="s">
        <v>16970</v>
      </c>
      <c r="FC2249" s="1" t="s">
        <v>11504</v>
      </c>
      <c r="FD2249" s="1" t="s">
        <v>290</v>
      </c>
      <c r="FE2249" s="1" t="s">
        <v>889</v>
      </c>
      <c r="FF2249" s="1" t="s">
        <v>248</v>
      </c>
      <c r="FG2249" s="1" t="s">
        <v>2003</v>
      </c>
      <c r="FH2249" s="1" t="s">
        <v>249</v>
      </c>
      <c r="FK2249" s="1" t="s">
        <v>4663</v>
      </c>
      <c r="FL2249" s="1" t="s">
        <v>292</v>
      </c>
      <c r="FM2249" s="1" t="s">
        <v>252</v>
      </c>
      <c r="FN2249" s="1" t="s">
        <v>213</v>
      </c>
      <c r="FO2249" s="1" t="s">
        <v>213</v>
      </c>
      <c r="FQ2249" s="1" t="s">
        <v>2267</v>
      </c>
      <c r="FR2249" s="1" t="s">
        <v>210</v>
      </c>
      <c r="FS2249" s="1" t="s">
        <v>11506</v>
      </c>
      <c r="FT2249" s="1" t="s">
        <v>362</v>
      </c>
      <c r="FU2249" s="1" t="s">
        <v>204</v>
      </c>
      <c r="FW2249" s="1" t="s">
        <v>2269</v>
      </c>
      <c r="FX2249" s="1">
        <v>2424</v>
      </c>
      <c r="FY2249" s="1" t="s">
        <v>2270</v>
      </c>
      <c r="FZ2249" s="1" t="s">
        <v>2271</v>
      </c>
      <c r="GA2249" s="1">
        <v>923399</v>
      </c>
      <c r="GB2249" s="1" t="s">
        <v>2272</v>
      </c>
      <c r="GE2249" s="1" t="s">
        <v>1256</v>
      </c>
      <c r="GI2249" s="1" t="s">
        <v>213</v>
      </c>
      <c r="GJ2249" s="1" t="s">
        <v>260</v>
      </c>
      <c r="GK2249" s="1" t="s">
        <v>210</v>
      </c>
      <c r="GL2249" s="2">
        <v>42054</v>
      </c>
      <c r="GM2249" s="1" t="s">
        <v>19912</v>
      </c>
    </row>
    <row r="2250" spans="1:195">
      <c r="A2250" s="1">
        <v>131000</v>
      </c>
      <c r="B2250" s="1" t="s">
        <v>195</v>
      </c>
      <c r="C2250" s="1" t="str">
        <f>"08808506"</f>
        <v>08808506</v>
      </c>
      <c r="D2250" s="1" t="s">
        <v>196</v>
      </c>
      <c r="F2250" s="1" t="str">
        <f>"107"</f>
        <v>107</v>
      </c>
      <c r="G2250" s="2">
        <v>42006</v>
      </c>
      <c r="H2250" s="1">
        <v>135000</v>
      </c>
      <c r="I2250" s="1">
        <v>135000</v>
      </c>
      <c r="J2250" s="1">
        <v>131000</v>
      </c>
      <c r="K2250" s="2">
        <v>42006</v>
      </c>
      <c r="L2250" s="1">
        <v>185</v>
      </c>
      <c r="M2250" s="2">
        <v>42052</v>
      </c>
      <c r="N2250" s="1">
        <v>47</v>
      </c>
      <c r="O2250" s="2">
        <v>42052</v>
      </c>
      <c r="P2250" s="1">
        <v>8079</v>
      </c>
      <c r="Q2250" s="1" t="s">
        <v>423</v>
      </c>
      <c r="R2250" s="2">
        <v>42086</v>
      </c>
      <c r="S2250" s="1">
        <v>239190</v>
      </c>
      <c r="T2250" s="1">
        <v>2000</v>
      </c>
      <c r="U2250" s="1">
        <v>25</v>
      </c>
      <c r="V2250" s="1" t="s">
        <v>13078</v>
      </c>
      <c r="W2250" s="1" t="s">
        <v>304</v>
      </c>
      <c r="X2250" s="1" t="s">
        <v>1688</v>
      </c>
      <c r="Y2250" s="1">
        <v>8</v>
      </c>
      <c r="Z2250" s="1" t="s">
        <v>249</v>
      </c>
      <c r="AA2250" s="1" t="s">
        <v>1211</v>
      </c>
      <c r="AB2250" s="1">
        <v>60107</v>
      </c>
      <c r="AD2250" s="1" t="s">
        <v>3552</v>
      </c>
      <c r="AE2250" s="1" t="s">
        <v>19913</v>
      </c>
      <c r="AF2250" s="1">
        <v>1991</v>
      </c>
      <c r="AG2250" s="1" t="s">
        <v>204</v>
      </c>
      <c r="AH2250" s="1" t="s">
        <v>1214</v>
      </c>
      <c r="AI2250" s="1" t="s">
        <v>310</v>
      </c>
      <c r="AJ2250" s="1" t="s">
        <v>374</v>
      </c>
      <c r="AK2250" s="1" t="s">
        <v>19914</v>
      </c>
      <c r="AL2250" s="1">
        <v>5</v>
      </c>
      <c r="AM2250" s="1">
        <v>2</v>
      </c>
      <c r="AN2250" s="1">
        <v>2</v>
      </c>
      <c r="AO2250" s="1">
        <v>0</v>
      </c>
      <c r="AP2250" s="1" t="s">
        <v>209</v>
      </c>
      <c r="AR2250" s="1" t="s">
        <v>210</v>
      </c>
      <c r="AT2250" s="1" t="s">
        <v>211</v>
      </c>
      <c r="AU2250" s="1">
        <v>1</v>
      </c>
      <c r="AW2250" s="1" t="s">
        <v>213</v>
      </c>
      <c r="AX2250" s="1" t="s">
        <v>4740</v>
      </c>
      <c r="AZ2250" s="1">
        <v>2134.13</v>
      </c>
      <c r="BA2250" s="1">
        <v>2013</v>
      </c>
      <c r="BB2250" s="1" t="s">
        <v>405</v>
      </c>
      <c r="BE2250" s="1">
        <v>1369</v>
      </c>
      <c r="BF2250" s="1">
        <v>2</v>
      </c>
      <c r="BG2250" s="1">
        <v>0</v>
      </c>
      <c r="BL2250" s="1">
        <v>238</v>
      </c>
      <c r="BM2250" s="1" t="s">
        <v>204</v>
      </c>
      <c r="BN2250" s="1" t="s">
        <v>213</v>
      </c>
      <c r="BO2250" s="1">
        <v>150</v>
      </c>
      <c r="BP2250" s="1" t="s">
        <v>204</v>
      </c>
      <c r="BR2250" s="1" t="str">
        <f>"06223030361210"</f>
        <v>06223030361210</v>
      </c>
      <c r="BT2250" s="1" t="s">
        <v>19915</v>
      </c>
      <c r="BU2250" s="1" t="s">
        <v>3556</v>
      </c>
      <c r="BV2250" s="1" t="s">
        <v>3557</v>
      </c>
      <c r="BW2250" s="1" t="s">
        <v>1217</v>
      </c>
      <c r="BX2250" s="1">
        <v>46</v>
      </c>
      <c r="BY2250" s="1">
        <v>46</v>
      </c>
      <c r="BZ2250" s="1">
        <v>46</v>
      </c>
      <c r="CB2250" s="1" t="str">
        <f>"10"</f>
        <v>10</v>
      </c>
      <c r="CC2250" s="1" t="str">
        <f t="shared" si="1722"/>
        <v>0</v>
      </c>
      <c r="CD2250" s="1">
        <v>29</v>
      </c>
      <c r="CE2250" s="1">
        <v>0</v>
      </c>
      <c r="CG2250" s="1" t="s">
        <v>5897</v>
      </c>
      <c r="CH2250" s="1" t="s">
        <v>277</v>
      </c>
      <c r="CI2250" s="1" t="s">
        <v>220</v>
      </c>
      <c r="CJ2250" s="1" t="s">
        <v>343</v>
      </c>
      <c r="CK2250" s="1" t="s">
        <v>1533</v>
      </c>
      <c r="CL2250" s="1" t="s">
        <v>277</v>
      </c>
      <c r="CM2250" s="1" t="s">
        <v>220</v>
      </c>
      <c r="CN2250" s="1" t="s">
        <v>343</v>
      </c>
      <c r="CO2250" s="1" t="s">
        <v>409</v>
      </c>
      <c r="CP2250" s="1" t="s">
        <v>277</v>
      </c>
      <c r="CQ2250" s="1" t="s">
        <v>220</v>
      </c>
      <c r="CR2250" s="1" t="s">
        <v>210</v>
      </c>
      <c r="CS2250" s="1" t="s">
        <v>837</v>
      </c>
      <c r="CT2250" s="1" t="s">
        <v>277</v>
      </c>
      <c r="CU2250" s="1" t="s">
        <v>220</v>
      </c>
      <c r="CV2250" s="1" t="s">
        <v>343</v>
      </c>
      <c r="CX2250" s="1" t="s">
        <v>224</v>
      </c>
      <c r="DB2250" s="1" t="s">
        <v>224</v>
      </c>
      <c r="DE2250" s="1" t="s">
        <v>1533</v>
      </c>
      <c r="DF2250" s="1" t="s">
        <v>277</v>
      </c>
      <c r="DG2250" s="1" t="s">
        <v>229</v>
      </c>
      <c r="DH2250" s="1" t="s">
        <v>343</v>
      </c>
      <c r="DJ2250" s="1" t="s">
        <v>224</v>
      </c>
      <c r="DS2250" s="1" t="s">
        <v>230</v>
      </c>
      <c r="DW2250" s="1" t="s">
        <v>230</v>
      </c>
      <c r="EA2250" s="1" t="s">
        <v>230</v>
      </c>
      <c r="EE2250" s="1" t="s">
        <v>230</v>
      </c>
      <c r="EI2250" s="1" t="s">
        <v>230</v>
      </c>
      <c r="EL2250" s="1" t="s">
        <v>382</v>
      </c>
      <c r="EM2250" s="1" t="s">
        <v>319</v>
      </c>
      <c r="EN2250" s="1" t="s">
        <v>282</v>
      </c>
      <c r="EO2250" s="1" t="s">
        <v>234</v>
      </c>
      <c r="EQ2250" s="1" t="s">
        <v>1094</v>
      </c>
      <c r="ER2250" s="1" t="s">
        <v>210</v>
      </c>
      <c r="ES2250" s="1" t="s">
        <v>824</v>
      </c>
      <c r="EU2250" s="1" t="s">
        <v>19916</v>
      </c>
      <c r="EV2250" s="1" t="s">
        <v>324</v>
      </c>
      <c r="EW2250" s="1" t="s">
        <v>937</v>
      </c>
      <c r="EY2250" s="1" t="s">
        <v>790</v>
      </c>
      <c r="EZ2250" s="1" t="s">
        <v>287</v>
      </c>
      <c r="FA2250" s="1" t="s">
        <v>1726</v>
      </c>
      <c r="FB2250" s="1" t="s">
        <v>289</v>
      </c>
      <c r="FD2250" s="1" t="s">
        <v>246</v>
      </c>
      <c r="FE2250" s="1" t="s">
        <v>386</v>
      </c>
      <c r="FF2250" s="1" t="s">
        <v>387</v>
      </c>
      <c r="FH2250" s="1" t="s">
        <v>825</v>
      </c>
      <c r="FI2250" s="1" t="s">
        <v>357</v>
      </c>
      <c r="FJ2250" s="1" t="s">
        <v>518</v>
      </c>
      <c r="FL2250" s="1" t="s">
        <v>358</v>
      </c>
      <c r="FM2250" s="1" t="s">
        <v>252</v>
      </c>
      <c r="FN2250" s="1" t="s">
        <v>213</v>
      </c>
      <c r="FO2250" s="1" t="s">
        <v>213</v>
      </c>
      <c r="FQ2250" s="1" t="s">
        <v>569</v>
      </c>
      <c r="FR2250" s="1" t="s">
        <v>210</v>
      </c>
      <c r="FS2250" s="1" t="s">
        <v>19917</v>
      </c>
      <c r="FT2250" s="1" t="s">
        <v>295</v>
      </c>
      <c r="FU2250" s="1" t="s">
        <v>204</v>
      </c>
      <c r="FW2250" s="1" t="s">
        <v>1559</v>
      </c>
      <c r="FX2250" s="1">
        <v>23871</v>
      </c>
      <c r="FY2250" s="1" t="s">
        <v>6964</v>
      </c>
      <c r="FZ2250" s="1" t="s">
        <v>19918</v>
      </c>
      <c r="GA2250" s="1">
        <v>230235</v>
      </c>
      <c r="GB2250" s="1" t="s">
        <v>19919</v>
      </c>
      <c r="GD2250" s="1" t="s">
        <v>19920</v>
      </c>
      <c r="GE2250" s="1" t="s">
        <v>480</v>
      </c>
      <c r="GI2250" s="1" t="s">
        <v>213</v>
      </c>
      <c r="GJ2250" s="1" t="s">
        <v>260</v>
      </c>
      <c r="GK2250" s="1" t="s">
        <v>210</v>
      </c>
      <c r="GL2250" s="2">
        <v>42088</v>
      </c>
    </row>
    <row r="2251" spans="1:195">
      <c r="A2251" s="1">
        <v>159000</v>
      </c>
      <c r="B2251" s="1" t="s">
        <v>195</v>
      </c>
      <c r="C2251" s="1" t="str">
        <f>"08808732"</f>
        <v>08808732</v>
      </c>
      <c r="D2251" s="1" t="s">
        <v>196</v>
      </c>
      <c r="F2251" s="1" t="str">
        <f>"507"</f>
        <v>507</v>
      </c>
      <c r="G2251" s="2">
        <v>42006</v>
      </c>
      <c r="H2251" s="1">
        <v>169900</v>
      </c>
      <c r="I2251" s="1">
        <v>169900</v>
      </c>
      <c r="J2251" s="1">
        <v>159000</v>
      </c>
      <c r="K2251" s="2">
        <v>42006</v>
      </c>
      <c r="L2251" s="1">
        <v>13</v>
      </c>
      <c r="M2251" s="2">
        <v>42018</v>
      </c>
      <c r="N2251" s="1">
        <v>13</v>
      </c>
      <c r="O2251" s="2">
        <v>42018</v>
      </c>
      <c r="P2251" s="1">
        <v>24695</v>
      </c>
      <c r="Q2251" s="1" t="s">
        <v>197</v>
      </c>
      <c r="R2251" s="2">
        <v>42062</v>
      </c>
      <c r="S2251" s="1">
        <v>217860</v>
      </c>
      <c r="U2251" s="1">
        <v>2401</v>
      </c>
      <c r="V2251" s="1" t="s">
        <v>19921</v>
      </c>
      <c r="W2251" s="1" t="s">
        <v>504</v>
      </c>
      <c r="Y2251" s="1">
        <v>4</v>
      </c>
      <c r="Z2251" s="1" t="s">
        <v>370</v>
      </c>
      <c r="AA2251" s="1" t="s">
        <v>1123</v>
      </c>
      <c r="AB2251" s="1">
        <v>60502</v>
      </c>
      <c r="AE2251" s="1" t="s">
        <v>19922</v>
      </c>
      <c r="AF2251" s="1">
        <v>2002</v>
      </c>
      <c r="AG2251" s="1" t="s">
        <v>204</v>
      </c>
      <c r="AH2251" s="1" t="s">
        <v>924</v>
      </c>
      <c r="AI2251" s="1" t="s">
        <v>206</v>
      </c>
      <c r="AJ2251" s="1" t="s">
        <v>924</v>
      </c>
      <c r="AL2251" s="1">
        <v>6</v>
      </c>
      <c r="AM2251" s="1">
        <v>2</v>
      </c>
      <c r="AN2251" s="1">
        <v>2</v>
      </c>
      <c r="AO2251" s="1">
        <v>0</v>
      </c>
      <c r="AP2251" s="1" t="s">
        <v>209</v>
      </c>
      <c r="AQ2251" s="1">
        <v>1</v>
      </c>
      <c r="AR2251" s="1" t="s">
        <v>210</v>
      </c>
      <c r="AT2251" s="1" t="s">
        <v>211</v>
      </c>
      <c r="AU2251" s="1">
        <v>1</v>
      </c>
      <c r="AW2251" s="1" t="s">
        <v>204</v>
      </c>
      <c r="AX2251" s="1" t="s">
        <v>212</v>
      </c>
      <c r="AZ2251" s="1">
        <v>4510</v>
      </c>
      <c r="BA2251" s="1">
        <v>2013</v>
      </c>
      <c r="BB2251" s="1" t="s">
        <v>405</v>
      </c>
      <c r="BE2251" s="1">
        <v>1658</v>
      </c>
      <c r="BF2251" s="1">
        <v>2</v>
      </c>
      <c r="BG2251" s="1">
        <v>0</v>
      </c>
      <c r="BL2251" s="1">
        <v>193</v>
      </c>
      <c r="BM2251" s="1" t="s">
        <v>204</v>
      </c>
      <c r="BN2251" s="1" t="s">
        <v>213</v>
      </c>
      <c r="BO2251" s="1">
        <v>0</v>
      </c>
      <c r="BP2251" s="1" t="s">
        <v>204</v>
      </c>
      <c r="BR2251" s="1" t="str">
        <f>"0706215016"</f>
        <v>0706215016</v>
      </c>
      <c r="BT2251" s="1" t="s">
        <v>19923</v>
      </c>
      <c r="BU2251" s="1" t="s">
        <v>1129</v>
      </c>
      <c r="BV2251" s="1" t="s">
        <v>1130</v>
      </c>
      <c r="BW2251" s="1" t="s">
        <v>1131</v>
      </c>
      <c r="BX2251" s="1">
        <v>204</v>
      </c>
      <c r="BY2251" s="1">
        <v>204</v>
      </c>
      <c r="BZ2251" s="1">
        <v>204</v>
      </c>
      <c r="CB2251" s="1" t="str">
        <f t="shared" ref="CB2251:CC2251" si="1723">""</f>
        <v/>
      </c>
      <c r="CC2251" s="1" t="str">
        <f t="shared" si="1723"/>
        <v/>
      </c>
      <c r="CG2251" s="1" t="s">
        <v>437</v>
      </c>
      <c r="CH2251" s="1" t="s">
        <v>219</v>
      </c>
      <c r="CI2251" s="1" t="s">
        <v>220</v>
      </c>
      <c r="CK2251" s="1" t="s">
        <v>317</v>
      </c>
      <c r="CL2251" s="1" t="s">
        <v>219</v>
      </c>
      <c r="CM2251" s="1" t="s">
        <v>220</v>
      </c>
      <c r="CO2251" s="1" t="s">
        <v>281</v>
      </c>
      <c r="CP2251" s="1" t="s">
        <v>219</v>
      </c>
      <c r="CQ2251" s="1" t="s">
        <v>220</v>
      </c>
      <c r="CS2251" s="1" t="s">
        <v>346</v>
      </c>
      <c r="CT2251" s="1" t="s">
        <v>219</v>
      </c>
      <c r="CU2251" s="1" t="s">
        <v>220</v>
      </c>
      <c r="CX2251" s="1" t="s">
        <v>224</v>
      </c>
      <c r="DB2251" s="1" t="s">
        <v>224</v>
      </c>
      <c r="DE2251" s="1" t="s">
        <v>315</v>
      </c>
      <c r="DF2251" s="1" t="s">
        <v>219</v>
      </c>
      <c r="DG2251" s="1" t="s">
        <v>438</v>
      </c>
      <c r="DI2251" s="1" t="s">
        <v>379</v>
      </c>
      <c r="DJ2251" s="1" t="s">
        <v>219</v>
      </c>
      <c r="DK2251" s="1" t="s">
        <v>220</v>
      </c>
      <c r="DS2251" s="1" t="s">
        <v>230</v>
      </c>
      <c r="DW2251" s="1" t="s">
        <v>230</v>
      </c>
      <c r="EA2251" s="1" t="s">
        <v>230</v>
      </c>
      <c r="EE2251" s="1" t="s">
        <v>230</v>
      </c>
      <c r="EI2251" s="1" t="s">
        <v>230</v>
      </c>
      <c r="EL2251" s="1" t="s">
        <v>466</v>
      </c>
      <c r="EM2251" s="1" t="s">
        <v>319</v>
      </c>
      <c r="EN2251" s="1" t="s">
        <v>282</v>
      </c>
      <c r="EO2251" s="1" t="s">
        <v>234</v>
      </c>
      <c r="EQ2251" s="1" t="s">
        <v>953</v>
      </c>
      <c r="ER2251" s="1" t="s">
        <v>210</v>
      </c>
      <c r="ES2251" s="1" t="s">
        <v>17230</v>
      </c>
      <c r="ET2251" s="1" t="s">
        <v>2404</v>
      </c>
      <c r="EV2251" s="1" t="s">
        <v>240</v>
      </c>
      <c r="EW2251" s="1" t="s">
        <v>353</v>
      </c>
      <c r="EZ2251" s="1" t="s">
        <v>287</v>
      </c>
      <c r="FD2251" s="1" t="s">
        <v>246</v>
      </c>
      <c r="FE2251" s="1" t="s">
        <v>472</v>
      </c>
      <c r="FF2251" s="1" t="s">
        <v>248</v>
      </c>
      <c r="FG2251" s="1" t="s">
        <v>2540</v>
      </c>
      <c r="FH2251" s="1" t="s">
        <v>825</v>
      </c>
      <c r="FI2251" s="1" t="s">
        <v>357</v>
      </c>
      <c r="FL2251" s="1" t="s">
        <v>358</v>
      </c>
      <c r="FM2251" s="1" t="s">
        <v>252</v>
      </c>
      <c r="FN2251" s="1" t="s">
        <v>213</v>
      </c>
      <c r="FO2251" s="1" t="s">
        <v>213</v>
      </c>
      <c r="FQ2251" s="1" t="s">
        <v>1032</v>
      </c>
      <c r="FR2251" s="1" t="s">
        <v>210</v>
      </c>
      <c r="FS2251" s="1" t="s">
        <v>19924</v>
      </c>
      <c r="FT2251" s="1" t="s">
        <v>295</v>
      </c>
      <c r="FU2251" s="1" t="s">
        <v>204</v>
      </c>
      <c r="FW2251" s="1" t="s">
        <v>3546</v>
      </c>
      <c r="FX2251" s="1">
        <v>24695</v>
      </c>
      <c r="FY2251" s="1" t="s">
        <v>3547</v>
      </c>
      <c r="FZ2251" s="1" t="s">
        <v>8949</v>
      </c>
      <c r="GA2251" s="1">
        <v>256379</v>
      </c>
      <c r="GB2251" s="1" t="s">
        <v>8950</v>
      </c>
      <c r="GD2251" s="1" t="s">
        <v>8951</v>
      </c>
      <c r="GE2251" s="1" t="s">
        <v>210</v>
      </c>
      <c r="GI2251" s="1" t="s">
        <v>213</v>
      </c>
      <c r="GJ2251" s="1" t="s">
        <v>260</v>
      </c>
      <c r="GK2251" s="1" t="s">
        <v>210</v>
      </c>
      <c r="GL2251" s="2">
        <v>42066</v>
      </c>
      <c r="GM2251" s="1" t="s">
        <v>19925</v>
      </c>
    </row>
    <row r="2252" spans="1:195">
      <c r="A2252" s="1">
        <v>97500</v>
      </c>
      <c r="B2252" s="1" t="s">
        <v>195</v>
      </c>
      <c r="C2252" s="1" t="str">
        <f>"08809291"</f>
        <v>08809291</v>
      </c>
      <c r="D2252" s="1" t="s">
        <v>196</v>
      </c>
      <c r="F2252" s="1" t="str">
        <f>"148"</f>
        <v>148</v>
      </c>
      <c r="G2252" s="2">
        <v>42008</v>
      </c>
      <c r="H2252" s="1">
        <v>114500</v>
      </c>
      <c r="I2252" s="1">
        <v>114500</v>
      </c>
      <c r="J2252" s="1">
        <v>97500</v>
      </c>
      <c r="K2252" s="2">
        <v>42008</v>
      </c>
      <c r="L2252" s="1">
        <v>18</v>
      </c>
      <c r="M2252" s="2">
        <v>42025</v>
      </c>
      <c r="N2252" s="1">
        <v>18</v>
      </c>
      <c r="O2252" s="2">
        <v>42025</v>
      </c>
      <c r="P2252" s="1">
        <v>24321</v>
      </c>
      <c r="Q2252" s="1" t="s">
        <v>197</v>
      </c>
      <c r="R2252" s="2">
        <v>42117</v>
      </c>
      <c r="S2252" s="1">
        <v>241778</v>
      </c>
      <c r="U2252" s="1">
        <v>1301</v>
      </c>
      <c r="V2252" s="1" t="s">
        <v>19926</v>
      </c>
      <c r="W2252" s="1" t="s">
        <v>1056</v>
      </c>
      <c r="X2252" s="1">
        <v>102</v>
      </c>
      <c r="Y2252" s="1">
        <v>84</v>
      </c>
      <c r="Z2252" s="1" t="s">
        <v>249</v>
      </c>
      <c r="AA2252" s="1" t="s">
        <v>1927</v>
      </c>
      <c r="AB2252" s="1">
        <v>60148</v>
      </c>
      <c r="AD2252" s="1" t="s">
        <v>2227</v>
      </c>
      <c r="AE2252" s="1" t="s">
        <v>19927</v>
      </c>
      <c r="AF2252" s="1">
        <v>1973</v>
      </c>
      <c r="AG2252" s="1" t="s">
        <v>213</v>
      </c>
      <c r="AH2252" s="1" t="s">
        <v>1930</v>
      </c>
      <c r="AI2252" s="1" t="s">
        <v>206</v>
      </c>
      <c r="AJ2252" s="1" t="s">
        <v>1608</v>
      </c>
      <c r="AL2252" s="1">
        <v>5</v>
      </c>
      <c r="AM2252" s="1">
        <v>2</v>
      </c>
      <c r="AN2252" s="1">
        <v>1</v>
      </c>
      <c r="AO2252" s="1">
        <v>1</v>
      </c>
      <c r="AP2252" s="1" t="s">
        <v>1234</v>
      </c>
      <c r="AR2252" s="1" t="s">
        <v>210</v>
      </c>
      <c r="AT2252" s="1" t="s">
        <v>210</v>
      </c>
      <c r="AW2252" s="1" t="s">
        <v>204</v>
      </c>
      <c r="AX2252" s="1" t="s">
        <v>212</v>
      </c>
      <c r="AZ2252" s="1">
        <v>1650</v>
      </c>
      <c r="BA2252" s="1">
        <v>2013</v>
      </c>
      <c r="BB2252" s="1" t="s">
        <v>405</v>
      </c>
      <c r="BE2252" s="1">
        <v>1137</v>
      </c>
      <c r="BF2252" s="1">
        <v>1</v>
      </c>
      <c r="BG2252" s="1">
        <v>30</v>
      </c>
      <c r="BL2252" s="1">
        <v>394</v>
      </c>
      <c r="BM2252" s="1" t="s">
        <v>413</v>
      </c>
      <c r="BN2252" s="1" t="s">
        <v>213</v>
      </c>
      <c r="BO2252" s="1">
        <v>25</v>
      </c>
      <c r="BP2252" s="1" t="s">
        <v>204</v>
      </c>
      <c r="BR2252" s="1" t="str">
        <f>"0619212002"</f>
        <v>0619212002</v>
      </c>
      <c r="BT2252" s="1" t="s">
        <v>19928</v>
      </c>
      <c r="BU2252" s="1" t="s">
        <v>1933</v>
      </c>
      <c r="BV2252" s="1" t="s">
        <v>1934</v>
      </c>
      <c r="BW2252" s="1" t="s">
        <v>1935</v>
      </c>
      <c r="BX2252" s="1">
        <v>44</v>
      </c>
      <c r="BY2252" s="1">
        <v>44</v>
      </c>
      <c r="BZ2252" s="1">
        <v>87</v>
      </c>
      <c r="CB2252" s="1" t="str">
        <f t="shared" ref="CB2252:CC2252" si="1724">"0"</f>
        <v>0</v>
      </c>
      <c r="CC2252" s="1" t="str">
        <f t="shared" si="1724"/>
        <v>0</v>
      </c>
      <c r="CD2252" s="1">
        <v>20</v>
      </c>
      <c r="CE2252" s="1">
        <v>1</v>
      </c>
      <c r="CG2252" s="1" t="s">
        <v>9891</v>
      </c>
      <c r="CH2252" s="1" t="s">
        <v>219</v>
      </c>
      <c r="CI2252" s="1" t="s">
        <v>220</v>
      </c>
      <c r="CK2252" s="1" t="s">
        <v>437</v>
      </c>
      <c r="CL2252" s="1" t="s">
        <v>219</v>
      </c>
      <c r="CM2252" s="1" t="s">
        <v>220</v>
      </c>
      <c r="CO2252" s="1" t="s">
        <v>629</v>
      </c>
      <c r="CP2252" s="1" t="s">
        <v>219</v>
      </c>
      <c r="CQ2252" s="1" t="s">
        <v>220</v>
      </c>
      <c r="CS2252" s="1" t="s">
        <v>437</v>
      </c>
      <c r="CT2252" s="1" t="s">
        <v>219</v>
      </c>
      <c r="CU2252" s="1" t="s">
        <v>220</v>
      </c>
      <c r="CX2252" s="1" t="s">
        <v>224</v>
      </c>
      <c r="DB2252" s="1" t="s">
        <v>224</v>
      </c>
      <c r="DE2252" s="1" t="s">
        <v>465</v>
      </c>
      <c r="DF2252" s="1" t="s">
        <v>219</v>
      </c>
      <c r="DG2252" s="1" t="s">
        <v>226</v>
      </c>
      <c r="DJ2252" s="1" t="s">
        <v>224</v>
      </c>
      <c r="DS2252" s="1" t="s">
        <v>230</v>
      </c>
      <c r="DW2252" s="1" t="s">
        <v>230</v>
      </c>
      <c r="EA2252" s="1" t="s">
        <v>230</v>
      </c>
      <c r="EE2252" s="1" t="s">
        <v>230</v>
      </c>
      <c r="EI2252" s="1" t="s">
        <v>230</v>
      </c>
      <c r="EL2252" s="1" t="s">
        <v>605</v>
      </c>
      <c r="EM2252" s="1" t="s">
        <v>232</v>
      </c>
      <c r="EN2252" s="1" t="s">
        <v>1158</v>
      </c>
      <c r="EO2252" s="1" t="s">
        <v>234</v>
      </c>
      <c r="EP2252" s="1" t="s">
        <v>19929</v>
      </c>
      <c r="EQ2252" s="1" t="s">
        <v>953</v>
      </c>
      <c r="ER2252" s="1" t="s">
        <v>210</v>
      </c>
      <c r="ES2252" s="1" t="s">
        <v>322</v>
      </c>
      <c r="EV2252" s="1" t="s">
        <v>240</v>
      </c>
      <c r="EW2252" s="1" t="s">
        <v>19930</v>
      </c>
      <c r="EZ2252" s="1" t="s">
        <v>287</v>
      </c>
      <c r="FB2252" s="1" t="s">
        <v>244</v>
      </c>
      <c r="FD2252" s="1" t="s">
        <v>290</v>
      </c>
      <c r="FE2252" s="1" t="s">
        <v>247</v>
      </c>
      <c r="FF2252" s="1" t="s">
        <v>387</v>
      </c>
      <c r="FH2252" s="1" t="s">
        <v>249</v>
      </c>
      <c r="FL2252" s="1" t="s">
        <v>614</v>
      </c>
      <c r="FM2252" s="1" t="s">
        <v>252</v>
      </c>
      <c r="FN2252" s="1" t="s">
        <v>213</v>
      </c>
      <c r="FO2252" s="1" t="s">
        <v>213</v>
      </c>
      <c r="FQ2252" s="1" t="s">
        <v>2004</v>
      </c>
      <c r="FR2252" s="1" t="s">
        <v>210</v>
      </c>
      <c r="FS2252" s="1" t="s">
        <v>19931</v>
      </c>
      <c r="FT2252" s="1" t="s">
        <v>295</v>
      </c>
      <c r="FU2252" s="1" t="s">
        <v>204</v>
      </c>
      <c r="FW2252" s="1" t="s">
        <v>5556</v>
      </c>
      <c r="FX2252" s="1">
        <v>25769</v>
      </c>
      <c r="FY2252" s="1" t="s">
        <v>5557</v>
      </c>
      <c r="FZ2252" s="1" t="s">
        <v>19932</v>
      </c>
      <c r="GA2252" s="1">
        <v>219393</v>
      </c>
      <c r="GB2252" s="1" t="s">
        <v>19933</v>
      </c>
      <c r="GE2252" s="1" t="s">
        <v>210</v>
      </c>
      <c r="GH2252" s="1" t="s">
        <v>421</v>
      </c>
      <c r="GI2252" s="1" t="s">
        <v>213</v>
      </c>
      <c r="GJ2252" s="1" t="s">
        <v>260</v>
      </c>
      <c r="GK2252" s="1" t="s">
        <v>210</v>
      </c>
      <c r="GL2252" s="2">
        <v>42117</v>
      </c>
    </row>
    <row r="2253" spans="1:195">
      <c r="A2253" s="1">
        <v>195000</v>
      </c>
      <c r="B2253" s="1" t="s">
        <v>195</v>
      </c>
      <c r="C2253" s="1" t="str">
        <f>"08811985"</f>
        <v>08811985</v>
      </c>
      <c r="D2253" s="1" t="s">
        <v>196</v>
      </c>
      <c r="F2253" s="1" t="str">
        <f>"562"</f>
        <v>562</v>
      </c>
      <c r="G2253" s="2">
        <v>42012</v>
      </c>
      <c r="H2253" s="1">
        <v>192900</v>
      </c>
      <c r="I2253" s="1">
        <v>192900</v>
      </c>
      <c r="J2253" s="1">
        <v>195000</v>
      </c>
      <c r="K2253" s="2">
        <v>42012</v>
      </c>
      <c r="L2253" s="1">
        <v>5</v>
      </c>
      <c r="M2253" s="2">
        <v>42016</v>
      </c>
      <c r="N2253" s="1">
        <v>5</v>
      </c>
      <c r="O2253" s="2">
        <v>42016</v>
      </c>
      <c r="P2253" s="1">
        <v>20179</v>
      </c>
      <c r="Q2253" s="1" t="s">
        <v>302</v>
      </c>
      <c r="R2253" s="2">
        <v>42033</v>
      </c>
      <c r="S2253" s="1">
        <v>213291</v>
      </c>
      <c r="T2253" s="1">
        <v>1000</v>
      </c>
      <c r="U2253" s="1">
        <v>2301</v>
      </c>
      <c r="V2253" s="1" t="s">
        <v>3053</v>
      </c>
      <c r="W2253" s="1" t="s">
        <v>3006</v>
      </c>
      <c r="X2253" s="1">
        <v>403</v>
      </c>
      <c r="Y2253" s="1">
        <v>40</v>
      </c>
      <c r="Z2253" s="1" t="s">
        <v>249</v>
      </c>
      <c r="AA2253" s="1" t="s">
        <v>899</v>
      </c>
      <c r="AB2253" s="1">
        <v>60561</v>
      </c>
      <c r="AD2253" s="1" t="s">
        <v>3054</v>
      </c>
      <c r="AE2253" s="1" t="s">
        <v>19934</v>
      </c>
      <c r="AF2253" s="1">
        <v>2000</v>
      </c>
      <c r="AG2253" s="1" t="s">
        <v>204</v>
      </c>
      <c r="AH2253" s="1" t="s">
        <v>903</v>
      </c>
      <c r="AI2253" s="1" t="s">
        <v>206</v>
      </c>
      <c r="AJ2253" s="1" t="s">
        <v>903</v>
      </c>
      <c r="AL2253" s="1">
        <v>7</v>
      </c>
      <c r="AM2253" s="1">
        <v>2</v>
      </c>
      <c r="AN2253" s="1">
        <v>2</v>
      </c>
      <c r="AO2253" s="1">
        <v>0</v>
      </c>
      <c r="AP2253" s="1" t="s">
        <v>209</v>
      </c>
      <c r="AQ2253" s="1">
        <v>0</v>
      </c>
      <c r="AR2253" s="1" t="s">
        <v>210</v>
      </c>
      <c r="AS2253" s="1" t="s">
        <v>204</v>
      </c>
      <c r="AT2253" s="1" t="s">
        <v>211</v>
      </c>
      <c r="AU2253" s="1">
        <v>1</v>
      </c>
      <c r="AW2253" s="1" t="s">
        <v>204</v>
      </c>
      <c r="AX2253" s="1" t="s">
        <v>212</v>
      </c>
      <c r="AZ2253" s="1">
        <v>3944</v>
      </c>
      <c r="BA2253" s="1">
        <v>2013</v>
      </c>
      <c r="BB2253" s="1" t="s">
        <v>405</v>
      </c>
      <c r="BE2253" s="1">
        <v>1775</v>
      </c>
      <c r="BF2253" s="1">
        <v>4</v>
      </c>
      <c r="BG2253" s="1">
        <v>7</v>
      </c>
      <c r="BL2253" s="1">
        <v>353</v>
      </c>
      <c r="BM2253" s="1" t="s">
        <v>204</v>
      </c>
      <c r="BN2253" s="1" t="s">
        <v>213</v>
      </c>
      <c r="BO2253" s="1">
        <v>0</v>
      </c>
      <c r="BP2253" s="1" t="s">
        <v>204</v>
      </c>
      <c r="BR2253" s="1" t="str">
        <f>"1005409051"</f>
        <v>1005409051</v>
      </c>
      <c r="BT2253" s="1" t="s">
        <v>19935</v>
      </c>
      <c r="BU2253" s="1" t="s">
        <v>19936</v>
      </c>
      <c r="BV2253" s="1" t="s">
        <v>19937</v>
      </c>
      <c r="BW2253" s="1" t="s">
        <v>19938</v>
      </c>
      <c r="BX2253" s="1" t="s">
        <v>19939</v>
      </c>
      <c r="BY2253" s="1" t="s">
        <v>19939</v>
      </c>
      <c r="BZ2253" s="1">
        <v>210</v>
      </c>
      <c r="CB2253" s="1" t="str">
        <f t="shared" ref="CB2253:CC2253" si="1725">"0"</f>
        <v>0</v>
      </c>
      <c r="CC2253" s="1" t="str">
        <f t="shared" si="1725"/>
        <v>0</v>
      </c>
      <c r="CD2253" s="1">
        <v>18</v>
      </c>
      <c r="CE2253" s="1">
        <v>10</v>
      </c>
      <c r="CG2253" s="1" t="s">
        <v>1132</v>
      </c>
      <c r="CH2253" s="1" t="s">
        <v>219</v>
      </c>
      <c r="CI2253" s="1" t="s">
        <v>220</v>
      </c>
      <c r="CK2253" s="1" t="s">
        <v>1155</v>
      </c>
      <c r="CL2253" s="1" t="s">
        <v>219</v>
      </c>
      <c r="CM2253" s="1" t="s">
        <v>220</v>
      </c>
      <c r="CO2253" s="1" t="s">
        <v>465</v>
      </c>
      <c r="CP2253" s="1" t="s">
        <v>219</v>
      </c>
      <c r="CQ2253" s="1" t="s">
        <v>220</v>
      </c>
      <c r="CS2253" s="1" t="s">
        <v>221</v>
      </c>
      <c r="CT2253" s="1" t="s">
        <v>219</v>
      </c>
      <c r="CU2253" s="1" t="s">
        <v>220</v>
      </c>
      <c r="CX2253" s="1" t="s">
        <v>224</v>
      </c>
      <c r="DB2253" s="1" t="s">
        <v>224</v>
      </c>
      <c r="DE2253" s="1" t="s">
        <v>346</v>
      </c>
      <c r="DF2253" s="1" t="s">
        <v>219</v>
      </c>
      <c r="DG2253" s="1" t="s">
        <v>226</v>
      </c>
      <c r="DI2253" s="1" t="s">
        <v>669</v>
      </c>
      <c r="DJ2253" s="1" t="s">
        <v>219</v>
      </c>
      <c r="DK2253" s="1" t="s">
        <v>220</v>
      </c>
      <c r="DM2253" s="1" t="s">
        <v>381</v>
      </c>
      <c r="DR2253" s="1" t="s">
        <v>409</v>
      </c>
      <c r="DS2253" s="1" t="s">
        <v>219</v>
      </c>
      <c r="DT2253" s="1" t="s">
        <v>226</v>
      </c>
      <c r="DW2253" s="1" t="s">
        <v>230</v>
      </c>
      <c r="EA2253" s="1" t="s">
        <v>230</v>
      </c>
      <c r="EE2253" s="1" t="s">
        <v>230</v>
      </c>
      <c r="EI2253" s="1" t="s">
        <v>230</v>
      </c>
      <c r="EL2253" s="1" t="s">
        <v>466</v>
      </c>
      <c r="EM2253" s="1" t="s">
        <v>232</v>
      </c>
      <c r="EN2253" s="1" t="s">
        <v>282</v>
      </c>
      <c r="EO2253" s="1" t="s">
        <v>840</v>
      </c>
      <c r="EP2253" s="1" t="s">
        <v>13840</v>
      </c>
      <c r="EQ2253" s="1" t="s">
        <v>2188</v>
      </c>
      <c r="ER2253" s="1" t="s">
        <v>210</v>
      </c>
      <c r="ES2253" s="1" t="s">
        <v>322</v>
      </c>
      <c r="ET2253" s="1" t="s">
        <v>238</v>
      </c>
      <c r="EV2253" s="1" t="s">
        <v>240</v>
      </c>
      <c r="EW2253" s="1" t="s">
        <v>733</v>
      </c>
      <c r="EZ2253" s="1" t="s">
        <v>381</v>
      </c>
      <c r="FA2253" s="1" t="s">
        <v>1270</v>
      </c>
      <c r="FB2253" s="1" t="s">
        <v>1505</v>
      </c>
      <c r="FC2253" s="1" t="s">
        <v>3976</v>
      </c>
      <c r="FD2253" s="1" t="s">
        <v>246</v>
      </c>
      <c r="FE2253" s="1" t="s">
        <v>17849</v>
      </c>
      <c r="FF2253" s="1" t="s">
        <v>248</v>
      </c>
      <c r="FH2253" s="1" t="s">
        <v>249</v>
      </c>
      <c r="FI2253" s="1" t="s">
        <v>1114</v>
      </c>
      <c r="FJ2253" s="1" t="s">
        <v>518</v>
      </c>
      <c r="FL2253" s="1" t="s">
        <v>3179</v>
      </c>
      <c r="FM2253" s="1" t="s">
        <v>252</v>
      </c>
      <c r="FN2253" s="1" t="s">
        <v>213</v>
      </c>
      <c r="FO2253" s="1" t="s">
        <v>213</v>
      </c>
      <c r="FQ2253" s="1" t="s">
        <v>19940</v>
      </c>
      <c r="FR2253" s="1" t="s">
        <v>210</v>
      </c>
      <c r="FS2253" s="1" t="s">
        <v>3061</v>
      </c>
      <c r="FT2253" s="1" t="s">
        <v>295</v>
      </c>
      <c r="FU2253" s="1" t="s">
        <v>204</v>
      </c>
      <c r="FW2253" s="1" t="s">
        <v>2179</v>
      </c>
      <c r="FX2253" s="1">
        <v>22039</v>
      </c>
      <c r="FY2253" s="1" t="s">
        <v>2180</v>
      </c>
      <c r="FZ2253" s="1" t="s">
        <v>3062</v>
      </c>
      <c r="GA2253" s="1">
        <v>239022</v>
      </c>
      <c r="GD2253" s="1" t="s">
        <v>19941</v>
      </c>
      <c r="GE2253" s="1" t="s">
        <v>210</v>
      </c>
      <c r="GI2253" s="1" t="s">
        <v>213</v>
      </c>
      <c r="GJ2253" s="1" t="s">
        <v>260</v>
      </c>
      <c r="GK2253" s="1" t="s">
        <v>261</v>
      </c>
      <c r="GL2253" s="2">
        <v>42034</v>
      </c>
    </row>
    <row r="2254" spans="1:195">
      <c r="A2254" s="1">
        <v>215000</v>
      </c>
      <c r="B2254" s="1" t="s">
        <v>195</v>
      </c>
      <c r="C2254" s="1" t="str">
        <f>"08809530"</f>
        <v>08809530</v>
      </c>
      <c r="D2254" s="1" t="s">
        <v>196</v>
      </c>
      <c r="F2254" s="1" t="str">
        <f>"8039"</f>
        <v>8039</v>
      </c>
      <c r="G2254" s="2">
        <v>42009</v>
      </c>
      <c r="H2254" s="1">
        <v>239900</v>
      </c>
      <c r="I2254" s="1">
        <v>239900</v>
      </c>
      <c r="J2254" s="1">
        <v>215000</v>
      </c>
      <c r="K2254" s="2">
        <v>42009</v>
      </c>
      <c r="L2254" s="1">
        <v>312</v>
      </c>
      <c r="M2254" s="2">
        <v>42102</v>
      </c>
      <c r="N2254" s="1">
        <v>94</v>
      </c>
      <c r="O2254" s="2">
        <v>42102</v>
      </c>
      <c r="P2254" s="1">
        <v>85646</v>
      </c>
      <c r="Q2254" s="1" t="s">
        <v>302</v>
      </c>
      <c r="R2254" s="2">
        <v>42131</v>
      </c>
      <c r="S2254" s="1">
        <v>116152</v>
      </c>
      <c r="U2254" s="1">
        <v>4800</v>
      </c>
      <c r="V2254" s="1" t="s">
        <v>19942</v>
      </c>
      <c r="W2254" s="1" t="s">
        <v>264</v>
      </c>
      <c r="X2254" s="1" t="s">
        <v>19943</v>
      </c>
      <c r="Y2254" s="1">
        <v>728</v>
      </c>
      <c r="Z2254" s="1" t="s">
        <v>249</v>
      </c>
      <c r="AA2254" s="1" t="s">
        <v>400</v>
      </c>
      <c r="AB2254" s="1">
        <v>60615</v>
      </c>
      <c r="AD2254" s="1" t="s">
        <v>19944</v>
      </c>
      <c r="AE2254" s="1" t="s">
        <v>19945</v>
      </c>
      <c r="AF2254" s="1">
        <v>1965</v>
      </c>
      <c r="AG2254" s="1" t="s">
        <v>213</v>
      </c>
      <c r="AH2254" s="1" t="s">
        <v>403</v>
      </c>
      <c r="AI2254" s="1" t="s">
        <v>310</v>
      </c>
      <c r="AJ2254" s="1" t="s">
        <v>562</v>
      </c>
      <c r="AL2254" s="1">
        <v>5</v>
      </c>
      <c r="AM2254" s="1">
        <v>2</v>
      </c>
      <c r="AN2254" s="1">
        <v>2</v>
      </c>
      <c r="AO2254" s="1">
        <v>0</v>
      </c>
      <c r="AP2254" s="1" t="s">
        <v>209</v>
      </c>
      <c r="AR2254" s="1" t="s">
        <v>210</v>
      </c>
      <c r="AT2254" s="1" t="s">
        <v>210</v>
      </c>
      <c r="AW2254" s="1" t="s">
        <v>204</v>
      </c>
      <c r="AX2254" s="1" t="s">
        <v>212</v>
      </c>
      <c r="AZ2254" s="1">
        <v>1920.75</v>
      </c>
      <c r="BA2254" s="1">
        <v>2013</v>
      </c>
      <c r="BB2254" s="1" t="s">
        <v>210</v>
      </c>
      <c r="BE2254" s="1">
        <v>1158</v>
      </c>
      <c r="BF2254" s="1">
        <v>25</v>
      </c>
      <c r="BG2254" s="1">
        <v>30</v>
      </c>
      <c r="BL2254" s="1">
        <v>710</v>
      </c>
      <c r="BM2254" s="1" t="s">
        <v>204</v>
      </c>
      <c r="BN2254" s="1" t="s">
        <v>213</v>
      </c>
      <c r="BP2254" s="1" t="s">
        <v>204</v>
      </c>
      <c r="BR2254" s="1" t="str">
        <f>"20121000031492"</f>
        <v>20121000031492</v>
      </c>
      <c r="BT2254" s="1" t="s">
        <v>19946</v>
      </c>
      <c r="BX2254" s="1">
        <v>299</v>
      </c>
      <c r="BY2254" s="1">
        <v>299</v>
      </c>
      <c r="BZ2254" s="1">
        <v>299</v>
      </c>
      <c r="CB2254" s="1" t="str">
        <f>"0"</f>
        <v>0</v>
      </c>
      <c r="CC2254" s="1" t="str">
        <f>"1750"</f>
        <v>1750</v>
      </c>
      <c r="CD2254" s="1">
        <v>0</v>
      </c>
      <c r="CE2254" s="1">
        <v>4800</v>
      </c>
      <c r="CG2254" s="1" t="s">
        <v>3389</v>
      </c>
      <c r="CH2254" s="1" t="s">
        <v>219</v>
      </c>
      <c r="CI2254" s="1" t="s">
        <v>438</v>
      </c>
      <c r="CK2254" s="1" t="s">
        <v>1788</v>
      </c>
      <c r="CL2254" s="1" t="s">
        <v>219</v>
      </c>
      <c r="CM2254" s="1" t="s">
        <v>220</v>
      </c>
      <c r="CO2254" s="1" t="s">
        <v>4999</v>
      </c>
      <c r="CP2254" s="1" t="s">
        <v>219</v>
      </c>
      <c r="CQ2254" s="1" t="s">
        <v>438</v>
      </c>
      <c r="CS2254" s="1" t="s">
        <v>1469</v>
      </c>
      <c r="CT2254" s="1" t="s">
        <v>219</v>
      </c>
      <c r="CU2254" s="1" t="s">
        <v>220</v>
      </c>
      <c r="CX2254" s="1" t="s">
        <v>224</v>
      </c>
      <c r="DB2254" s="1" t="s">
        <v>224</v>
      </c>
      <c r="DE2254" s="1" t="s">
        <v>3657</v>
      </c>
      <c r="DF2254" s="1" t="s">
        <v>219</v>
      </c>
      <c r="DG2254" s="1" t="s">
        <v>438</v>
      </c>
      <c r="DJ2254" s="1" t="s">
        <v>224</v>
      </c>
      <c r="DS2254" s="1" t="s">
        <v>230</v>
      </c>
      <c r="DW2254" s="1" t="s">
        <v>230</v>
      </c>
      <c r="EA2254" s="1" t="s">
        <v>230</v>
      </c>
      <c r="EE2254" s="1" t="s">
        <v>230</v>
      </c>
      <c r="EI2254" s="1" t="s">
        <v>230</v>
      </c>
      <c r="EL2254" s="1" t="s">
        <v>605</v>
      </c>
      <c r="EM2254" s="1" t="s">
        <v>730</v>
      </c>
      <c r="EN2254" s="1" t="s">
        <v>233</v>
      </c>
      <c r="EO2254" s="1" t="s">
        <v>234</v>
      </c>
      <c r="EP2254" s="1" t="s">
        <v>19947</v>
      </c>
      <c r="EQ2254" s="1" t="s">
        <v>8208</v>
      </c>
      <c r="ER2254" s="1" t="s">
        <v>210</v>
      </c>
      <c r="ES2254" s="1" t="s">
        <v>3719</v>
      </c>
      <c r="EV2254" s="1" t="s">
        <v>352</v>
      </c>
      <c r="EW2254" s="1" t="s">
        <v>19948</v>
      </c>
      <c r="EY2254" s="1" t="s">
        <v>242</v>
      </c>
      <c r="EZ2254" s="1" t="s">
        <v>287</v>
      </c>
      <c r="FB2254" s="1" t="s">
        <v>1755</v>
      </c>
      <c r="FC2254" s="1" t="s">
        <v>19949</v>
      </c>
      <c r="FD2254" s="1" t="s">
        <v>736</v>
      </c>
      <c r="FE2254" s="1" t="s">
        <v>6104</v>
      </c>
      <c r="FF2254" s="1" t="s">
        <v>248</v>
      </c>
      <c r="FH2254" s="1" t="s">
        <v>2432</v>
      </c>
      <c r="FL2254" s="1" t="s">
        <v>19950</v>
      </c>
      <c r="FM2254" s="1" t="s">
        <v>252</v>
      </c>
      <c r="FN2254" s="1" t="s">
        <v>213</v>
      </c>
      <c r="FO2254" s="1" t="s">
        <v>213</v>
      </c>
      <c r="FQ2254" s="1" t="s">
        <v>5000</v>
      </c>
      <c r="FR2254" s="1" t="s">
        <v>210</v>
      </c>
      <c r="FS2254" s="1" t="s">
        <v>19951</v>
      </c>
      <c r="FT2254" s="1" t="s">
        <v>362</v>
      </c>
      <c r="FU2254" s="1" t="s">
        <v>204</v>
      </c>
      <c r="FW2254" s="1" t="s">
        <v>13354</v>
      </c>
      <c r="FX2254" s="1">
        <v>12937</v>
      </c>
      <c r="FY2254" s="1" t="s">
        <v>13355</v>
      </c>
      <c r="FZ2254" s="1" t="s">
        <v>19952</v>
      </c>
      <c r="GA2254" s="1">
        <v>119250</v>
      </c>
      <c r="GB2254" s="1" t="s">
        <v>19953</v>
      </c>
      <c r="GE2254" s="1" t="s">
        <v>1576</v>
      </c>
      <c r="GH2254" s="1" t="s">
        <v>421</v>
      </c>
      <c r="GI2254" s="1" t="s">
        <v>213</v>
      </c>
      <c r="GJ2254" s="1" t="s">
        <v>260</v>
      </c>
      <c r="GK2254" s="1" t="s">
        <v>210</v>
      </c>
      <c r="GL2254" s="2">
        <v>42131</v>
      </c>
    </row>
    <row r="2255" spans="1:195">
      <c r="A2255" s="1">
        <v>118500</v>
      </c>
      <c r="B2255" s="1" t="s">
        <v>195</v>
      </c>
      <c r="C2255" s="1" t="str">
        <f>"08811488"</f>
        <v>08811488</v>
      </c>
      <c r="D2255" s="1" t="s">
        <v>196</v>
      </c>
      <c r="F2255" s="1" t="str">
        <f>"10"</f>
        <v>10</v>
      </c>
      <c r="G2255" s="2">
        <v>42011</v>
      </c>
      <c r="H2255" s="1">
        <v>139900</v>
      </c>
      <c r="I2255" s="1">
        <v>129900</v>
      </c>
      <c r="J2255" s="1">
        <v>118500</v>
      </c>
      <c r="K2255" s="2">
        <v>42011</v>
      </c>
      <c r="L2255" s="1">
        <v>48</v>
      </c>
      <c r="M2255" s="2">
        <v>42058</v>
      </c>
      <c r="N2255" s="1">
        <v>48</v>
      </c>
      <c r="O2255" s="2">
        <v>42058</v>
      </c>
      <c r="P2255" s="1">
        <v>16734</v>
      </c>
      <c r="Q2255" s="1" t="s">
        <v>302</v>
      </c>
      <c r="R2255" s="2">
        <v>42087</v>
      </c>
      <c r="S2255" s="1">
        <v>188365</v>
      </c>
      <c r="U2255" s="1">
        <v>550</v>
      </c>
      <c r="V2255" s="1" t="s">
        <v>4253</v>
      </c>
      <c r="W2255" s="1" t="s">
        <v>725</v>
      </c>
      <c r="X2255" s="1" t="s">
        <v>399</v>
      </c>
      <c r="Y2255" s="1">
        <v>12</v>
      </c>
      <c r="Z2255" s="1" t="s">
        <v>249</v>
      </c>
      <c r="AA2255" s="1" t="s">
        <v>6288</v>
      </c>
      <c r="AB2255" s="1">
        <v>60010</v>
      </c>
      <c r="AD2255" s="1" t="s">
        <v>19954</v>
      </c>
      <c r="AE2255" s="1" t="s">
        <v>19955</v>
      </c>
      <c r="AF2255" s="1">
        <v>1971</v>
      </c>
      <c r="AG2255" s="1" t="s">
        <v>213</v>
      </c>
      <c r="AH2255" s="1" t="s">
        <v>6729</v>
      </c>
      <c r="AI2255" s="1" t="s">
        <v>509</v>
      </c>
      <c r="AJ2255" s="1" t="s">
        <v>1989</v>
      </c>
      <c r="AL2255" s="1">
        <v>5</v>
      </c>
      <c r="AM2255" s="1">
        <v>2</v>
      </c>
      <c r="AN2255" s="1">
        <v>2</v>
      </c>
      <c r="AO2255" s="1">
        <v>0</v>
      </c>
      <c r="AP2255" s="1" t="s">
        <v>209</v>
      </c>
      <c r="AR2255" s="1" t="s">
        <v>210</v>
      </c>
      <c r="AS2255" s="1" t="s">
        <v>204</v>
      </c>
      <c r="AT2255" s="1" t="s">
        <v>211</v>
      </c>
      <c r="AU2255" s="1">
        <v>1</v>
      </c>
      <c r="AW2255" s="1" t="s">
        <v>204</v>
      </c>
      <c r="AX2255" s="1">
        <v>0.02</v>
      </c>
      <c r="AZ2255" s="1">
        <v>2602</v>
      </c>
      <c r="BA2255" s="1">
        <v>2013</v>
      </c>
      <c r="BE2255" s="1">
        <v>1184</v>
      </c>
      <c r="BF2255" s="1">
        <v>2</v>
      </c>
      <c r="BG2255" s="1">
        <v>0</v>
      </c>
      <c r="BL2255" s="1">
        <v>360</v>
      </c>
      <c r="BM2255" s="1" t="s">
        <v>413</v>
      </c>
      <c r="BN2255" s="1" t="s">
        <v>213</v>
      </c>
      <c r="BO2255" s="1">
        <v>999</v>
      </c>
      <c r="BP2255" s="1" t="s">
        <v>204</v>
      </c>
      <c r="BR2255" s="1" t="str">
        <f>"13364070130000"</f>
        <v>13364070130000</v>
      </c>
      <c r="BT2255" s="1" t="s">
        <v>19956</v>
      </c>
      <c r="BU2255" s="1" t="s">
        <v>19957</v>
      </c>
      <c r="BV2255" s="1" t="s">
        <v>9687</v>
      </c>
      <c r="BW2255" s="1" t="s">
        <v>1994</v>
      </c>
      <c r="BX2255" s="1">
        <v>220</v>
      </c>
      <c r="BY2255" s="1">
        <v>220</v>
      </c>
      <c r="BZ2255" s="1">
        <v>220</v>
      </c>
      <c r="CB2255" s="1" t="str">
        <f>"20"</f>
        <v>20</v>
      </c>
      <c r="CC2255" s="1" t="str">
        <f t="shared" ref="CC2255:CC2257" si="1726">"0"</f>
        <v>0</v>
      </c>
      <c r="CD2255" s="1">
        <v>25</v>
      </c>
      <c r="CE2255" s="1">
        <v>0</v>
      </c>
      <c r="CG2255" s="1" t="s">
        <v>931</v>
      </c>
      <c r="CH2255" s="1" t="s">
        <v>219</v>
      </c>
      <c r="CI2255" s="1" t="s">
        <v>220</v>
      </c>
      <c r="CJ2255" s="1" t="s">
        <v>210</v>
      </c>
      <c r="CK2255" s="1" t="s">
        <v>757</v>
      </c>
      <c r="CL2255" s="1" t="s">
        <v>219</v>
      </c>
      <c r="CM2255" s="1" t="s">
        <v>220</v>
      </c>
      <c r="CN2255" s="1" t="s">
        <v>210</v>
      </c>
      <c r="CP2255" s="1" t="s">
        <v>224</v>
      </c>
      <c r="CS2255" s="1" t="s">
        <v>1358</v>
      </c>
      <c r="CT2255" s="1" t="s">
        <v>219</v>
      </c>
      <c r="CU2255" s="1" t="s">
        <v>220</v>
      </c>
      <c r="CV2255" s="1" t="s">
        <v>210</v>
      </c>
      <c r="CX2255" s="1" t="s">
        <v>224</v>
      </c>
      <c r="DB2255" s="1" t="s">
        <v>224</v>
      </c>
      <c r="DE2255" s="1" t="s">
        <v>348</v>
      </c>
      <c r="DF2255" s="1" t="s">
        <v>219</v>
      </c>
      <c r="DG2255" s="1" t="s">
        <v>347</v>
      </c>
      <c r="DJ2255" s="1" t="s">
        <v>224</v>
      </c>
      <c r="DM2255" s="1" t="s">
        <v>381</v>
      </c>
      <c r="DR2255" s="1" t="s">
        <v>5233</v>
      </c>
      <c r="DS2255" s="1" t="s">
        <v>219</v>
      </c>
      <c r="DT2255" s="1" t="s">
        <v>347</v>
      </c>
      <c r="DW2255" s="1" t="s">
        <v>230</v>
      </c>
      <c r="EA2255" s="1" t="s">
        <v>230</v>
      </c>
      <c r="EE2255" s="1" t="s">
        <v>230</v>
      </c>
      <c r="EI2255" s="1" t="s">
        <v>230</v>
      </c>
      <c r="EL2255" s="1" t="s">
        <v>605</v>
      </c>
      <c r="EM2255" s="1" t="s">
        <v>319</v>
      </c>
      <c r="EN2255" s="1" t="s">
        <v>233</v>
      </c>
      <c r="EO2255" s="1" t="s">
        <v>234</v>
      </c>
      <c r="EP2255" s="1" t="s">
        <v>2172</v>
      </c>
      <c r="ER2255" s="1" t="s">
        <v>210</v>
      </c>
      <c r="EW2255" s="1" t="s">
        <v>19958</v>
      </c>
      <c r="EZ2255" s="1" t="s">
        <v>381</v>
      </c>
      <c r="FA2255" s="1" t="s">
        <v>471</v>
      </c>
      <c r="FD2255" s="1" t="s">
        <v>385</v>
      </c>
      <c r="FE2255" s="1" t="s">
        <v>247</v>
      </c>
      <c r="FF2255" s="1" t="s">
        <v>248</v>
      </c>
      <c r="FH2255" s="1" t="s">
        <v>992</v>
      </c>
      <c r="FI2255" s="1" t="s">
        <v>357</v>
      </c>
      <c r="FL2255" s="1" t="s">
        <v>328</v>
      </c>
      <c r="FM2255" s="1" t="s">
        <v>252</v>
      </c>
      <c r="FN2255" s="1" t="s">
        <v>213</v>
      </c>
      <c r="FO2255" s="1" t="s">
        <v>213</v>
      </c>
      <c r="FQ2255" s="1" t="s">
        <v>2004</v>
      </c>
      <c r="FR2255" s="1" t="s">
        <v>210</v>
      </c>
      <c r="FS2255" s="1" t="s">
        <v>19959</v>
      </c>
      <c r="FT2255" s="1" t="s">
        <v>295</v>
      </c>
      <c r="FU2255" s="1" t="s">
        <v>204</v>
      </c>
      <c r="FW2255" s="1" t="s">
        <v>2006</v>
      </c>
      <c r="FX2255" s="1">
        <v>4777</v>
      </c>
      <c r="FY2255" s="1" t="s">
        <v>2007</v>
      </c>
      <c r="FZ2255" s="1" t="s">
        <v>2008</v>
      </c>
      <c r="GA2255" s="1">
        <v>62531</v>
      </c>
      <c r="GB2255" s="1" t="s">
        <v>2009</v>
      </c>
      <c r="GD2255" s="1" t="s">
        <v>19960</v>
      </c>
      <c r="GE2255" s="1" t="s">
        <v>1333</v>
      </c>
      <c r="GH2255" s="1" t="s">
        <v>800</v>
      </c>
      <c r="GI2255" s="1" t="s">
        <v>213</v>
      </c>
      <c r="GJ2255" s="1" t="s">
        <v>260</v>
      </c>
      <c r="GK2255" s="1" t="s">
        <v>210</v>
      </c>
      <c r="GL2255" s="2">
        <v>42087</v>
      </c>
      <c r="GM2255" s="1" t="s">
        <v>19961</v>
      </c>
    </row>
    <row r="2256" spans="1:195">
      <c r="A2256" s="1">
        <v>179900</v>
      </c>
      <c r="B2256" s="1" t="s">
        <v>195</v>
      </c>
      <c r="C2256" s="1" t="str">
        <f>"08808960"</f>
        <v>08808960</v>
      </c>
      <c r="D2256" s="1" t="s">
        <v>196</v>
      </c>
      <c r="F2256" s="1" t="str">
        <f>"174"</f>
        <v>174</v>
      </c>
      <c r="G2256" s="2">
        <v>42007</v>
      </c>
      <c r="H2256" s="1">
        <v>199900</v>
      </c>
      <c r="I2256" s="1">
        <v>189900</v>
      </c>
      <c r="J2256" s="1">
        <v>179900</v>
      </c>
      <c r="K2256" s="2">
        <v>42007</v>
      </c>
      <c r="L2256" s="1">
        <v>22</v>
      </c>
      <c r="M2256" s="2">
        <v>42028</v>
      </c>
      <c r="N2256" s="1">
        <v>22</v>
      </c>
      <c r="O2256" s="2">
        <v>42028</v>
      </c>
      <c r="P2256" s="1">
        <v>7077</v>
      </c>
      <c r="Q2256" s="1" t="s">
        <v>423</v>
      </c>
      <c r="R2256" s="2">
        <v>42073</v>
      </c>
      <c r="S2256" s="1">
        <v>77596</v>
      </c>
      <c r="T2256" s="1">
        <v>2000</v>
      </c>
      <c r="U2256" s="1">
        <v>308</v>
      </c>
      <c r="V2256" s="1" t="s">
        <v>19962</v>
      </c>
      <c r="W2256" s="1" t="s">
        <v>264</v>
      </c>
      <c r="X2256" s="1">
        <v>308</v>
      </c>
      <c r="Y2256" s="1">
        <v>2</v>
      </c>
      <c r="Z2256" s="1" t="s">
        <v>200</v>
      </c>
      <c r="AA2256" s="1" t="s">
        <v>879</v>
      </c>
      <c r="AB2256" s="1">
        <v>60175</v>
      </c>
      <c r="AD2256" s="1" t="s">
        <v>14498</v>
      </c>
      <c r="AE2256" s="1" t="s">
        <v>19963</v>
      </c>
      <c r="AF2256" s="1">
        <v>1999</v>
      </c>
      <c r="AG2256" s="1" t="s">
        <v>204</v>
      </c>
      <c r="AH2256" s="1" t="s">
        <v>883</v>
      </c>
      <c r="AI2256" s="1" t="s">
        <v>665</v>
      </c>
      <c r="AJ2256" s="1" t="s">
        <v>883</v>
      </c>
      <c r="AK2256" s="1" t="s">
        <v>19964</v>
      </c>
      <c r="AL2256" s="1">
        <v>7</v>
      </c>
      <c r="AM2256" s="1">
        <v>2</v>
      </c>
      <c r="AN2256" s="1">
        <v>2</v>
      </c>
      <c r="AO2256" s="1">
        <v>1</v>
      </c>
      <c r="AP2256" s="1" t="s">
        <v>209</v>
      </c>
      <c r="AQ2256" s="1">
        <v>0</v>
      </c>
      <c r="AR2256" s="1" t="s">
        <v>210</v>
      </c>
      <c r="AS2256" s="1" t="s">
        <v>204</v>
      </c>
      <c r="AT2256" s="1" t="s">
        <v>211</v>
      </c>
      <c r="AU2256" s="1">
        <v>2</v>
      </c>
      <c r="AW2256" s="1" t="s">
        <v>204</v>
      </c>
      <c r="AX2256" s="1" t="s">
        <v>212</v>
      </c>
      <c r="AZ2256" s="1">
        <v>4987.04</v>
      </c>
      <c r="BA2256" s="1">
        <v>2013</v>
      </c>
      <c r="BB2256" s="1" t="s">
        <v>405</v>
      </c>
      <c r="BE2256" s="1">
        <v>1875</v>
      </c>
      <c r="BF2256" s="1">
        <v>1</v>
      </c>
      <c r="BG2256" s="1">
        <v>0</v>
      </c>
      <c r="BK2256" s="1">
        <v>0</v>
      </c>
      <c r="BL2256" s="1">
        <v>147</v>
      </c>
      <c r="BM2256" s="1" t="s">
        <v>204</v>
      </c>
      <c r="BN2256" s="1" t="s">
        <v>213</v>
      </c>
      <c r="BO2256" s="1">
        <v>100</v>
      </c>
      <c r="BP2256" s="1" t="s">
        <v>204</v>
      </c>
      <c r="BR2256" s="1" t="str">
        <f>"0932129022"</f>
        <v>0932129022</v>
      </c>
      <c r="BT2256" s="1" t="s">
        <v>19965</v>
      </c>
      <c r="BX2256" s="1">
        <v>303</v>
      </c>
      <c r="BY2256" s="1">
        <v>303</v>
      </c>
      <c r="BZ2256" s="1">
        <v>303</v>
      </c>
      <c r="CB2256" s="1" t="str">
        <f>"3"</f>
        <v>3</v>
      </c>
      <c r="CC2256" s="1" t="str">
        <f t="shared" si="1726"/>
        <v>0</v>
      </c>
      <c r="CD2256" s="1">
        <v>37</v>
      </c>
      <c r="CE2256" s="1">
        <v>0</v>
      </c>
      <c r="CG2256" s="1" t="s">
        <v>601</v>
      </c>
      <c r="CH2256" s="1" t="s">
        <v>219</v>
      </c>
      <c r="CI2256" s="1" t="s">
        <v>438</v>
      </c>
      <c r="CK2256" s="1" t="s">
        <v>669</v>
      </c>
      <c r="CL2256" s="1" t="s">
        <v>277</v>
      </c>
      <c r="CM2256" s="1" t="s">
        <v>220</v>
      </c>
      <c r="CO2256" s="1" t="s">
        <v>1046</v>
      </c>
      <c r="CP2256" s="1" t="s">
        <v>219</v>
      </c>
      <c r="CQ2256" s="1" t="s">
        <v>438</v>
      </c>
      <c r="CR2256" s="1" t="s">
        <v>210</v>
      </c>
      <c r="CS2256" s="1" t="s">
        <v>461</v>
      </c>
      <c r="CT2256" s="1" t="s">
        <v>277</v>
      </c>
      <c r="CU2256" s="1" t="s">
        <v>220</v>
      </c>
      <c r="CX2256" s="1" t="s">
        <v>224</v>
      </c>
      <c r="DB2256" s="1" t="s">
        <v>224</v>
      </c>
      <c r="DE2256" s="1" t="s">
        <v>3264</v>
      </c>
      <c r="DF2256" s="1" t="s">
        <v>219</v>
      </c>
      <c r="DG2256" s="1" t="s">
        <v>438</v>
      </c>
      <c r="DI2256" s="1" t="s">
        <v>932</v>
      </c>
      <c r="DJ2256" s="1" t="s">
        <v>219</v>
      </c>
      <c r="DK2256" s="1" t="s">
        <v>438</v>
      </c>
      <c r="DM2256" s="1" t="s">
        <v>464</v>
      </c>
      <c r="DR2256" s="1" t="s">
        <v>317</v>
      </c>
      <c r="DS2256" s="1" t="s">
        <v>277</v>
      </c>
      <c r="DT2256" s="1" t="s">
        <v>220</v>
      </c>
      <c r="DU2256" s="1" t="s">
        <v>210</v>
      </c>
      <c r="DW2256" s="1" t="s">
        <v>230</v>
      </c>
      <c r="EA2256" s="1" t="s">
        <v>230</v>
      </c>
      <c r="EE2256" s="1" t="s">
        <v>230</v>
      </c>
      <c r="EI2256" s="1" t="s">
        <v>230</v>
      </c>
      <c r="EL2256" s="1" t="s">
        <v>670</v>
      </c>
      <c r="EM2256" s="1" t="s">
        <v>319</v>
      </c>
      <c r="EN2256" s="1" t="s">
        <v>282</v>
      </c>
      <c r="EO2256" s="1" t="s">
        <v>1020</v>
      </c>
      <c r="EP2256" s="1" t="s">
        <v>1268</v>
      </c>
      <c r="EQ2256" s="1" t="s">
        <v>1109</v>
      </c>
      <c r="ER2256" s="1" t="s">
        <v>210</v>
      </c>
      <c r="ES2256" s="1" t="s">
        <v>1868</v>
      </c>
      <c r="ET2256" s="1" t="s">
        <v>238</v>
      </c>
      <c r="EV2256" s="1" t="s">
        <v>324</v>
      </c>
      <c r="EW2256" s="1" t="s">
        <v>353</v>
      </c>
      <c r="EY2256" s="1" t="s">
        <v>242</v>
      </c>
      <c r="EZ2256" s="1" t="s">
        <v>464</v>
      </c>
      <c r="FA2256" s="1" t="s">
        <v>19966</v>
      </c>
      <c r="FC2256" s="1" t="s">
        <v>633</v>
      </c>
      <c r="FD2256" s="1" t="s">
        <v>246</v>
      </c>
      <c r="FE2256" s="1" t="s">
        <v>472</v>
      </c>
      <c r="FF2256" s="1" t="s">
        <v>248</v>
      </c>
      <c r="FH2256" s="1" t="s">
        <v>550</v>
      </c>
      <c r="FI2256" s="1" t="s">
        <v>473</v>
      </c>
      <c r="FL2256" s="1" t="s">
        <v>358</v>
      </c>
      <c r="FM2256" s="1" t="s">
        <v>252</v>
      </c>
      <c r="FN2256" s="1" t="s">
        <v>213</v>
      </c>
      <c r="FO2256" s="1" t="s">
        <v>213</v>
      </c>
      <c r="FQ2256" s="1" t="s">
        <v>7233</v>
      </c>
      <c r="FR2256" s="1" t="s">
        <v>210</v>
      </c>
      <c r="FS2256" s="1" t="s">
        <v>19131</v>
      </c>
      <c r="FT2256" s="1" t="s">
        <v>295</v>
      </c>
      <c r="FU2256" s="1" t="s">
        <v>204</v>
      </c>
      <c r="FW2256" s="1" t="s">
        <v>7235</v>
      </c>
      <c r="FX2256" s="1">
        <v>303</v>
      </c>
      <c r="FY2256" s="1" t="s">
        <v>7236</v>
      </c>
      <c r="FZ2256" s="1" t="s">
        <v>7237</v>
      </c>
      <c r="GA2256" s="1">
        <v>8523</v>
      </c>
      <c r="GB2256" s="1" t="s">
        <v>7238</v>
      </c>
      <c r="GE2256" s="1" t="s">
        <v>480</v>
      </c>
      <c r="GI2256" s="1" t="s">
        <v>204</v>
      </c>
      <c r="GJ2256" s="1" t="s">
        <v>260</v>
      </c>
      <c r="GK2256" s="1" t="s">
        <v>210</v>
      </c>
      <c r="GL2256" s="2">
        <v>42080</v>
      </c>
      <c r="GM2256" s="1" t="s">
        <v>19967</v>
      </c>
    </row>
    <row r="2257" spans="1:195">
      <c r="A2257" s="1">
        <v>92000</v>
      </c>
      <c r="B2257" s="1" t="s">
        <v>195</v>
      </c>
      <c r="C2257" s="1" t="str">
        <f>"08811199"</f>
        <v>08811199</v>
      </c>
      <c r="D2257" s="1" t="s">
        <v>196</v>
      </c>
      <c r="F2257" s="1" t="str">
        <f>"177"</f>
        <v>177</v>
      </c>
      <c r="G2257" s="2">
        <v>42011</v>
      </c>
      <c r="H2257" s="1">
        <v>98000</v>
      </c>
      <c r="I2257" s="1">
        <v>98000</v>
      </c>
      <c r="J2257" s="1">
        <v>92000</v>
      </c>
      <c r="K2257" s="2">
        <v>42009</v>
      </c>
      <c r="L2257" s="1">
        <v>11</v>
      </c>
      <c r="M2257" s="2">
        <v>42019</v>
      </c>
      <c r="N2257" s="1">
        <v>11</v>
      </c>
      <c r="O2257" s="2">
        <v>42019</v>
      </c>
      <c r="P2257" s="1">
        <v>23591</v>
      </c>
      <c r="Q2257" s="1" t="s">
        <v>302</v>
      </c>
      <c r="R2257" s="2">
        <v>42065</v>
      </c>
      <c r="S2257" s="1">
        <v>239982</v>
      </c>
      <c r="U2257" s="1">
        <v>280</v>
      </c>
      <c r="V2257" s="1" t="s">
        <v>2850</v>
      </c>
      <c r="W2257" s="1" t="s">
        <v>449</v>
      </c>
      <c r="X2257" s="1" t="s">
        <v>483</v>
      </c>
      <c r="Y2257" s="1">
        <v>8</v>
      </c>
      <c r="Z2257" s="1" t="s">
        <v>249</v>
      </c>
      <c r="AA2257" s="1" t="s">
        <v>1461</v>
      </c>
      <c r="AB2257" s="1">
        <v>60177</v>
      </c>
      <c r="AD2257" s="1" t="s">
        <v>2853</v>
      </c>
      <c r="AE2257" s="1" t="s">
        <v>19968</v>
      </c>
      <c r="AF2257" s="1">
        <v>1993</v>
      </c>
      <c r="AG2257" s="1" t="s">
        <v>204</v>
      </c>
      <c r="AH2257" s="1" t="s">
        <v>1464</v>
      </c>
      <c r="AI2257" s="1" t="s">
        <v>665</v>
      </c>
      <c r="AJ2257" s="1" t="s">
        <v>883</v>
      </c>
      <c r="AL2257" s="1">
        <v>5</v>
      </c>
      <c r="AM2257" s="1">
        <v>2</v>
      </c>
      <c r="AN2257" s="1">
        <v>1</v>
      </c>
      <c r="AO2257" s="1">
        <v>0</v>
      </c>
      <c r="AP2257" s="1" t="s">
        <v>210</v>
      </c>
      <c r="AQ2257" s="1">
        <v>1</v>
      </c>
      <c r="AR2257" s="1" t="s">
        <v>210</v>
      </c>
      <c r="AS2257" s="1" t="s">
        <v>204</v>
      </c>
      <c r="AT2257" s="1" t="s">
        <v>211</v>
      </c>
      <c r="AU2257" s="1">
        <v>2</v>
      </c>
      <c r="AW2257" s="1" t="s">
        <v>204</v>
      </c>
      <c r="AX2257" s="1" t="s">
        <v>212</v>
      </c>
      <c r="AZ2257" s="1">
        <v>2262.34</v>
      </c>
      <c r="BA2257" s="1">
        <v>2013</v>
      </c>
      <c r="BB2257" s="1" t="s">
        <v>405</v>
      </c>
      <c r="BE2257" s="1">
        <v>1116</v>
      </c>
      <c r="BF2257" s="1">
        <v>1</v>
      </c>
      <c r="BG2257" s="1">
        <v>0</v>
      </c>
      <c r="BL2257" s="1">
        <v>140</v>
      </c>
      <c r="BM2257" s="1" t="s">
        <v>204</v>
      </c>
      <c r="BN2257" s="1" t="s">
        <v>213</v>
      </c>
      <c r="BO2257" s="1">
        <v>999</v>
      </c>
      <c r="BP2257" s="1" t="s">
        <v>204</v>
      </c>
      <c r="BR2257" s="1" t="str">
        <f>"0902105011"</f>
        <v>0902105011</v>
      </c>
      <c r="BT2257" s="1" t="s">
        <v>19969</v>
      </c>
      <c r="BX2257" s="1">
        <v>303</v>
      </c>
      <c r="BY2257" s="1">
        <v>303</v>
      </c>
      <c r="BZ2257" s="1">
        <v>303</v>
      </c>
      <c r="CB2257" s="1" t="str">
        <f>"7"</f>
        <v>7</v>
      </c>
      <c r="CC2257" s="1" t="str">
        <f t="shared" si="1726"/>
        <v>0</v>
      </c>
      <c r="CD2257" s="1">
        <v>35</v>
      </c>
      <c r="CE2257" s="1">
        <v>0</v>
      </c>
      <c r="CG2257" s="1" t="s">
        <v>1737</v>
      </c>
      <c r="CH2257" s="1" t="s">
        <v>219</v>
      </c>
      <c r="CI2257" s="1" t="s">
        <v>220</v>
      </c>
      <c r="CJ2257" s="1" t="s">
        <v>210</v>
      </c>
      <c r="CK2257" s="1" t="s">
        <v>669</v>
      </c>
      <c r="CL2257" s="1" t="s">
        <v>219</v>
      </c>
      <c r="CM2257" s="1" t="s">
        <v>220</v>
      </c>
      <c r="CN2257" s="1" t="s">
        <v>210</v>
      </c>
      <c r="CO2257" s="1" t="s">
        <v>281</v>
      </c>
      <c r="CP2257" s="1" t="s">
        <v>219</v>
      </c>
      <c r="CQ2257" s="1" t="s">
        <v>220</v>
      </c>
      <c r="CR2257" s="1" t="s">
        <v>210</v>
      </c>
      <c r="CS2257" s="1" t="s">
        <v>1046</v>
      </c>
      <c r="CT2257" s="1" t="s">
        <v>219</v>
      </c>
      <c r="CU2257" s="1" t="s">
        <v>220</v>
      </c>
      <c r="CV2257" s="1" t="s">
        <v>210</v>
      </c>
      <c r="CX2257" s="1" t="s">
        <v>224</v>
      </c>
      <c r="DB2257" s="1" t="s">
        <v>224</v>
      </c>
      <c r="DE2257" s="1" t="s">
        <v>1046</v>
      </c>
      <c r="DF2257" s="1" t="s">
        <v>219</v>
      </c>
      <c r="DG2257" s="1" t="s">
        <v>342</v>
      </c>
      <c r="DJ2257" s="1" t="s">
        <v>224</v>
      </c>
      <c r="DM2257" s="1" t="s">
        <v>3011</v>
      </c>
      <c r="DR2257" s="1" t="s">
        <v>7164</v>
      </c>
      <c r="DS2257" s="1" t="s">
        <v>219</v>
      </c>
      <c r="DT2257" s="1" t="s">
        <v>342</v>
      </c>
      <c r="DU2257" s="1" t="s">
        <v>210</v>
      </c>
      <c r="DW2257" s="1" t="s">
        <v>230</v>
      </c>
      <c r="EA2257" s="1" t="s">
        <v>230</v>
      </c>
      <c r="EE2257" s="1" t="s">
        <v>230</v>
      </c>
      <c r="EI2257" s="1" t="s">
        <v>230</v>
      </c>
      <c r="EL2257" s="1" t="s">
        <v>382</v>
      </c>
      <c r="EM2257" s="1" t="s">
        <v>319</v>
      </c>
      <c r="EN2257" s="1" t="s">
        <v>282</v>
      </c>
      <c r="EO2257" s="1" t="s">
        <v>234</v>
      </c>
      <c r="EP2257" s="1" t="s">
        <v>3782</v>
      </c>
      <c r="EQ2257" s="1" t="s">
        <v>284</v>
      </c>
      <c r="ER2257" s="1" t="s">
        <v>210</v>
      </c>
      <c r="ES2257" s="1" t="s">
        <v>1552</v>
      </c>
      <c r="EU2257" s="1" t="s">
        <v>239</v>
      </c>
      <c r="EV2257" s="1" t="s">
        <v>352</v>
      </c>
      <c r="EW2257" s="1" t="s">
        <v>887</v>
      </c>
      <c r="EY2257" s="1" t="s">
        <v>242</v>
      </c>
      <c r="EZ2257" s="1" t="s">
        <v>3011</v>
      </c>
      <c r="FA2257" s="1" t="s">
        <v>1072</v>
      </c>
      <c r="FB2257" s="1" t="s">
        <v>289</v>
      </c>
      <c r="FC2257" s="1" t="s">
        <v>1362</v>
      </c>
      <c r="FD2257" s="1" t="s">
        <v>495</v>
      </c>
      <c r="FE2257" s="1" t="s">
        <v>975</v>
      </c>
      <c r="FF2257" s="1" t="s">
        <v>248</v>
      </c>
      <c r="FG2257" s="1" t="s">
        <v>2406</v>
      </c>
      <c r="FH2257" s="1" t="s">
        <v>249</v>
      </c>
      <c r="FI2257" s="1" t="s">
        <v>2889</v>
      </c>
      <c r="FJ2257" s="1" t="s">
        <v>197</v>
      </c>
      <c r="FL2257" s="1" t="s">
        <v>358</v>
      </c>
      <c r="FM2257" s="1" t="s">
        <v>252</v>
      </c>
      <c r="FN2257" s="1" t="s">
        <v>213</v>
      </c>
      <c r="FO2257" s="1" t="s">
        <v>213</v>
      </c>
      <c r="FQ2257" s="1" t="s">
        <v>8137</v>
      </c>
      <c r="FR2257" s="1" t="s">
        <v>210</v>
      </c>
      <c r="FS2257" s="1" t="s">
        <v>12520</v>
      </c>
      <c r="FT2257" s="1" t="s">
        <v>255</v>
      </c>
      <c r="FU2257" s="1" t="s">
        <v>204</v>
      </c>
      <c r="FW2257" s="1" t="s">
        <v>1097</v>
      </c>
      <c r="FX2257" s="1">
        <v>7661</v>
      </c>
      <c r="FY2257" s="1" t="s">
        <v>7072</v>
      </c>
      <c r="FZ2257" s="1" t="s">
        <v>17619</v>
      </c>
      <c r="GA2257" s="1">
        <v>77134</v>
      </c>
      <c r="GB2257" s="1" t="s">
        <v>17620</v>
      </c>
      <c r="GE2257" s="1" t="s">
        <v>480</v>
      </c>
      <c r="GI2257" s="1" t="s">
        <v>213</v>
      </c>
      <c r="GJ2257" s="1" t="s">
        <v>260</v>
      </c>
      <c r="GK2257" s="1" t="s">
        <v>261</v>
      </c>
      <c r="GL2257" s="2">
        <v>42065</v>
      </c>
      <c r="GM2257" s="1" t="s">
        <v>19970</v>
      </c>
    </row>
    <row r="2258" spans="1:195">
      <c r="A2258" s="1">
        <v>45000</v>
      </c>
      <c r="B2258" s="1" t="s">
        <v>195</v>
      </c>
      <c r="C2258" s="1" t="str">
        <f>"08812868"</f>
        <v>08812868</v>
      </c>
      <c r="D2258" s="1" t="s">
        <v>196</v>
      </c>
      <c r="F2258" s="1" t="str">
        <f>"8072"</f>
        <v>8072</v>
      </c>
      <c r="G2258" s="2">
        <v>42013</v>
      </c>
      <c r="H2258" s="1">
        <v>35900</v>
      </c>
      <c r="I2258" s="1">
        <v>35900</v>
      </c>
      <c r="J2258" s="1">
        <v>45000</v>
      </c>
      <c r="K2258" s="2">
        <v>42013</v>
      </c>
      <c r="L2258" s="1">
        <v>457</v>
      </c>
      <c r="M2258" s="2">
        <v>42030</v>
      </c>
      <c r="N2258" s="1">
        <v>18</v>
      </c>
      <c r="O2258" s="2">
        <v>42030</v>
      </c>
      <c r="P2258" s="1">
        <v>60119</v>
      </c>
      <c r="Q2258" s="1" t="s">
        <v>302</v>
      </c>
      <c r="R2258" s="2">
        <v>42060</v>
      </c>
      <c r="S2258" s="1">
        <v>217768</v>
      </c>
      <c r="U2258" s="1">
        <v>1629</v>
      </c>
      <c r="V2258" s="1" t="s">
        <v>19971</v>
      </c>
      <c r="W2258" s="1" t="s">
        <v>725</v>
      </c>
      <c r="X2258" s="1" t="s">
        <v>18564</v>
      </c>
      <c r="Y2258" s="1">
        <v>4</v>
      </c>
      <c r="Z2258" s="1" t="s">
        <v>200</v>
      </c>
      <c r="AA2258" s="1" t="s">
        <v>400</v>
      </c>
      <c r="AB2258" s="1">
        <v>60643</v>
      </c>
      <c r="AE2258" s="1" t="s">
        <v>19972</v>
      </c>
      <c r="AF2258" s="1">
        <v>1970</v>
      </c>
      <c r="AG2258" s="1" t="s">
        <v>213</v>
      </c>
      <c r="AH2258" s="1" t="s">
        <v>403</v>
      </c>
      <c r="AI2258" s="1" t="s">
        <v>310</v>
      </c>
      <c r="AJ2258" s="1" t="s">
        <v>683</v>
      </c>
      <c r="AL2258" s="1">
        <v>5</v>
      </c>
      <c r="AM2258" s="1">
        <v>2</v>
      </c>
      <c r="AN2258" s="1">
        <v>1</v>
      </c>
      <c r="AO2258" s="1">
        <v>1</v>
      </c>
      <c r="AP2258" s="1" t="s">
        <v>209</v>
      </c>
      <c r="AR2258" s="1" t="s">
        <v>1631</v>
      </c>
      <c r="AS2258" s="1" t="s">
        <v>204</v>
      </c>
      <c r="AT2258" s="1" t="s">
        <v>211</v>
      </c>
      <c r="AU2258" s="1">
        <v>1</v>
      </c>
      <c r="AW2258" s="1" t="s">
        <v>204</v>
      </c>
      <c r="AX2258" s="1" t="s">
        <v>212</v>
      </c>
      <c r="AZ2258" s="1">
        <v>1173.95</v>
      </c>
      <c r="BA2258" s="1">
        <v>2013</v>
      </c>
      <c r="BE2258" s="1">
        <v>900</v>
      </c>
      <c r="BF2258" s="1">
        <v>2</v>
      </c>
      <c r="BG2258" s="1">
        <v>30</v>
      </c>
      <c r="BL2258" s="1">
        <v>297</v>
      </c>
      <c r="BM2258" s="1" t="s">
        <v>413</v>
      </c>
      <c r="BN2258" s="1" t="s">
        <v>213</v>
      </c>
      <c r="BO2258" s="1">
        <v>25</v>
      </c>
      <c r="BP2258" s="1" t="s">
        <v>204</v>
      </c>
      <c r="BR2258" s="1" t="str">
        <f>"25182030661007"</f>
        <v>25182030661007</v>
      </c>
      <c r="BT2258" s="1" t="s">
        <v>19973</v>
      </c>
      <c r="BX2258" s="1">
        <v>299</v>
      </c>
      <c r="BY2258" s="1">
        <v>299</v>
      </c>
      <c r="BZ2258" s="1">
        <v>299</v>
      </c>
      <c r="CB2258" s="1" t="str">
        <f t="shared" ref="CB2258:CC2258" si="1727">"0"</f>
        <v>0</v>
      </c>
      <c r="CC2258" s="1" t="str">
        <f t="shared" si="1727"/>
        <v>0</v>
      </c>
      <c r="CD2258" s="1">
        <v>1629</v>
      </c>
      <c r="CE2258" s="1">
        <v>103</v>
      </c>
      <c r="CG2258" s="1" t="s">
        <v>8089</v>
      </c>
      <c r="CH2258" s="1" t="s">
        <v>219</v>
      </c>
      <c r="CI2258" s="1" t="s">
        <v>438</v>
      </c>
      <c r="CK2258" s="1" t="s">
        <v>2170</v>
      </c>
      <c r="CL2258" s="1" t="s">
        <v>219</v>
      </c>
      <c r="CO2258" s="1" t="s">
        <v>2982</v>
      </c>
      <c r="CP2258" s="1" t="s">
        <v>219</v>
      </c>
      <c r="CS2258" s="1" t="s">
        <v>318</v>
      </c>
      <c r="CT2258" s="1" t="s">
        <v>219</v>
      </c>
      <c r="CX2258" s="1" t="s">
        <v>224</v>
      </c>
      <c r="DB2258" s="1" t="s">
        <v>224</v>
      </c>
      <c r="DE2258" s="1" t="s">
        <v>4999</v>
      </c>
      <c r="DF2258" s="1" t="s">
        <v>219</v>
      </c>
      <c r="DG2258" s="1" t="s">
        <v>438</v>
      </c>
      <c r="DJ2258" s="1" t="s">
        <v>224</v>
      </c>
      <c r="DS2258" s="1" t="s">
        <v>230</v>
      </c>
      <c r="DW2258" s="1" t="s">
        <v>230</v>
      </c>
      <c r="EA2258" s="1" t="s">
        <v>230</v>
      </c>
      <c r="EE2258" s="1" t="s">
        <v>230</v>
      </c>
      <c r="EI2258" s="1" t="s">
        <v>230</v>
      </c>
      <c r="EL2258" s="1" t="s">
        <v>605</v>
      </c>
      <c r="EM2258" s="1" t="s">
        <v>232</v>
      </c>
      <c r="EN2258" s="1" t="s">
        <v>282</v>
      </c>
      <c r="EO2258" s="1" t="s">
        <v>234</v>
      </c>
      <c r="EQ2258" s="1" t="s">
        <v>19974</v>
      </c>
      <c r="ER2258" s="1" t="s">
        <v>1249</v>
      </c>
      <c r="EW2258" s="1" t="s">
        <v>1804</v>
      </c>
      <c r="EZ2258" s="1" t="s">
        <v>287</v>
      </c>
      <c r="FD2258" s="1" t="s">
        <v>246</v>
      </c>
      <c r="FE2258" s="1" t="s">
        <v>247</v>
      </c>
      <c r="FF2258" s="1" t="s">
        <v>387</v>
      </c>
      <c r="FH2258" s="1" t="s">
        <v>249</v>
      </c>
      <c r="FI2258" s="1" t="s">
        <v>357</v>
      </c>
      <c r="FL2258" s="1" t="s">
        <v>414</v>
      </c>
      <c r="FM2258" s="1" t="s">
        <v>252</v>
      </c>
      <c r="FN2258" s="1" t="s">
        <v>213</v>
      </c>
      <c r="FO2258" s="1" t="s">
        <v>213</v>
      </c>
      <c r="FQ2258" s="1" t="s">
        <v>689</v>
      </c>
      <c r="FR2258" s="1" t="s">
        <v>210</v>
      </c>
      <c r="FS2258" s="1" t="s">
        <v>19975</v>
      </c>
      <c r="FT2258" s="1" t="s">
        <v>255</v>
      </c>
      <c r="FU2258" s="1" t="s">
        <v>204</v>
      </c>
      <c r="FW2258" s="1" t="s">
        <v>8419</v>
      </c>
      <c r="FX2258" s="1">
        <v>12119</v>
      </c>
      <c r="FY2258" s="1" t="s">
        <v>8420</v>
      </c>
      <c r="FZ2258" s="1" t="s">
        <v>8421</v>
      </c>
      <c r="GA2258" s="1">
        <v>116161</v>
      </c>
      <c r="GB2258" s="1" t="s">
        <v>8420</v>
      </c>
      <c r="GD2258" s="1" t="s">
        <v>8422</v>
      </c>
      <c r="GE2258" s="1" t="s">
        <v>210</v>
      </c>
      <c r="GH2258" s="1" t="s">
        <v>589</v>
      </c>
      <c r="GI2258" s="1" t="s">
        <v>213</v>
      </c>
      <c r="GJ2258" s="1" t="s">
        <v>260</v>
      </c>
      <c r="GK2258" s="1" t="s">
        <v>210</v>
      </c>
      <c r="GL2258" s="2">
        <v>42062</v>
      </c>
    </row>
    <row r="2259" spans="1:195">
      <c r="A2259" s="1">
        <v>147000</v>
      </c>
      <c r="B2259" s="1" t="s">
        <v>195</v>
      </c>
      <c r="C2259" s="1" t="str">
        <f>"08813205"</f>
        <v>08813205</v>
      </c>
      <c r="D2259" s="1" t="s">
        <v>196</v>
      </c>
      <c r="F2259" s="1" t="str">
        <f>"31"</f>
        <v>31</v>
      </c>
      <c r="G2259" s="2">
        <v>42013</v>
      </c>
      <c r="H2259" s="1">
        <v>154000</v>
      </c>
      <c r="I2259" s="1">
        <v>149000</v>
      </c>
      <c r="J2259" s="1">
        <v>147000</v>
      </c>
      <c r="K2259" s="2">
        <v>42013</v>
      </c>
      <c r="L2259" s="1">
        <v>52</v>
      </c>
      <c r="M2259" s="2">
        <v>42033</v>
      </c>
      <c r="N2259" s="1">
        <v>21</v>
      </c>
      <c r="O2259" s="2">
        <v>42033</v>
      </c>
      <c r="P2259" s="1">
        <v>1747</v>
      </c>
      <c r="Q2259" s="1" t="s">
        <v>423</v>
      </c>
      <c r="R2259" s="2">
        <v>42062</v>
      </c>
      <c r="S2259" s="1">
        <v>85141</v>
      </c>
      <c r="U2259" s="1">
        <v>6732</v>
      </c>
      <c r="V2259" s="1" t="s">
        <v>19976</v>
      </c>
      <c r="W2259" s="1" t="s">
        <v>304</v>
      </c>
      <c r="X2259" s="1" t="s">
        <v>5590</v>
      </c>
      <c r="Y2259" s="1">
        <v>4</v>
      </c>
      <c r="Z2259" s="1" t="s">
        <v>370</v>
      </c>
      <c r="AA2259" s="1" t="s">
        <v>1057</v>
      </c>
      <c r="AB2259" s="1">
        <v>60031</v>
      </c>
      <c r="AD2259" s="1" t="s">
        <v>19977</v>
      </c>
      <c r="AE2259" s="1" t="s">
        <v>19978</v>
      </c>
      <c r="AF2259" s="1">
        <v>1992</v>
      </c>
      <c r="AG2259" s="1" t="s">
        <v>204</v>
      </c>
      <c r="AH2259" s="1" t="s">
        <v>1060</v>
      </c>
      <c r="AI2259" s="1" t="s">
        <v>509</v>
      </c>
      <c r="AJ2259" s="1" t="s">
        <v>1061</v>
      </c>
      <c r="AL2259" s="1">
        <v>7</v>
      </c>
      <c r="AM2259" s="1">
        <v>2</v>
      </c>
      <c r="AN2259" s="1">
        <v>2</v>
      </c>
      <c r="AO2259" s="1">
        <v>1</v>
      </c>
      <c r="AP2259" s="1" t="s">
        <v>209</v>
      </c>
      <c r="AQ2259" s="1">
        <v>1</v>
      </c>
      <c r="AR2259" s="1" t="s">
        <v>1483</v>
      </c>
      <c r="AS2259" s="1" t="s">
        <v>204</v>
      </c>
      <c r="AT2259" s="1" t="s">
        <v>211</v>
      </c>
      <c r="AU2259" s="1">
        <v>1</v>
      </c>
      <c r="AW2259" s="1" t="s">
        <v>204</v>
      </c>
      <c r="AX2259" s="1" t="s">
        <v>1581</v>
      </c>
      <c r="AZ2259" s="1">
        <v>4194.6899999999996</v>
      </c>
      <c r="BA2259" s="1">
        <v>2013</v>
      </c>
      <c r="BB2259" s="1" t="s">
        <v>405</v>
      </c>
      <c r="BE2259" s="1">
        <v>1636</v>
      </c>
      <c r="BF2259" s="1">
        <v>1</v>
      </c>
      <c r="BG2259" s="1">
        <v>0</v>
      </c>
      <c r="BL2259" s="1">
        <v>190</v>
      </c>
      <c r="BM2259" s="1" t="s">
        <v>204</v>
      </c>
      <c r="BN2259" s="1" t="s">
        <v>213</v>
      </c>
      <c r="BO2259" s="1">
        <v>0</v>
      </c>
      <c r="BP2259" s="1" t="s">
        <v>204</v>
      </c>
      <c r="BR2259" s="1" t="str">
        <f>"07172010450000"</f>
        <v>07172010450000</v>
      </c>
      <c r="BT2259" s="1" t="s">
        <v>19979</v>
      </c>
      <c r="BU2259" s="1" t="s">
        <v>1064</v>
      </c>
      <c r="BV2259" s="1" t="s">
        <v>1065</v>
      </c>
      <c r="BW2259" s="1" t="s">
        <v>1066</v>
      </c>
      <c r="BX2259" s="1">
        <v>50</v>
      </c>
      <c r="BY2259" s="1">
        <v>50</v>
      </c>
      <c r="BZ2259" s="1">
        <v>121</v>
      </c>
      <c r="CB2259" s="1" t="str">
        <f>"35"</f>
        <v>35</v>
      </c>
      <c r="CC2259" s="1" t="str">
        <f>"0"</f>
        <v>0</v>
      </c>
      <c r="CD2259" s="1">
        <v>17</v>
      </c>
      <c r="CE2259" s="1">
        <v>0</v>
      </c>
      <c r="CG2259" s="1" t="s">
        <v>581</v>
      </c>
      <c r="CH2259" s="1" t="s">
        <v>219</v>
      </c>
      <c r="CI2259" s="1" t="s">
        <v>229</v>
      </c>
      <c r="CK2259" s="1" t="s">
        <v>314</v>
      </c>
      <c r="CL2259" s="1" t="s">
        <v>277</v>
      </c>
      <c r="CM2259" s="1" t="s">
        <v>229</v>
      </c>
      <c r="CO2259" s="1" t="s">
        <v>318</v>
      </c>
      <c r="CP2259" s="1" t="s">
        <v>219</v>
      </c>
      <c r="CQ2259" s="1" t="s">
        <v>229</v>
      </c>
      <c r="CS2259" s="1" t="s">
        <v>539</v>
      </c>
      <c r="CT2259" s="1" t="s">
        <v>277</v>
      </c>
      <c r="CU2259" s="1" t="s">
        <v>229</v>
      </c>
      <c r="CX2259" s="1" t="s">
        <v>224</v>
      </c>
      <c r="DB2259" s="1" t="s">
        <v>224</v>
      </c>
      <c r="DE2259" s="1" t="s">
        <v>5105</v>
      </c>
      <c r="DF2259" s="1" t="s">
        <v>219</v>
      </c>
      <c r="DG2259" s="1" t="s">
        <v>226</v>
      </c>
      <c r="DI2259" s="1" t="s">
        <v>2402</v>
      </c>
      <c r="DJ2259" s="1" t="s">
        <v>822</v>
      </c>
      <c r="DK2259" s="1" t="s">
        <v>220</v>
      </c>
      <c r="DM2259" s="1" t="s">
        <v>464</v>
      </c>
      <c r="DR2259" s="1" t="s">
        <v>1133</v>
      </c>
      <c r="DS2259" s="1" t="s">
        <v>277</v>
      </c>
      <c r="DT2259" s="1" t="s">
        <v>229</v>
      </c>
      <c r="DW2259" s="1" t="s">
        <v>230</v>
      </c>
      <c r="EA2259" s="1" t="s">
        <v>230</v>
      </c>
      <c r="EE2259" s="1" t="s">
        <v>230</v>
      </c>
      <c r="EI2259" s="1" t="s">
        <v>230</v>
      </c>
      <c r="EL2259" s="1" t="s">
        <v>382</v>
      </c>
      <c r="EM2259" s="1" t="s">
        <v>319</v>
      </c>
      <c r="EN2259" s="1" t="s">
        <v>282</v>
      </c>
      <c r="EO2259" s="1" t="s">
        <v>234</v>
      </c>
      <c r="EP2259" s="1" t="s">
        <v>1093</v>
      </c>
      <c r="EQ2259" s="1" t="s">
        <v>236</v>
      </c>
      <c r="ER2259" s="1" t="s">
        <v>544</v>
      </c>
      <c r="ES2259" s="1" t="s">
        <v>322</v>
      </c>
      <c r="EU2259" s="1" t="s">
        <v>712</v>
      </c>
      <c r="EV2259" s="1" t="s">
        <v>240</v>
      </c>
      <c r="EW2259" s="1" t="s">
        <v>1426</v>
      </c>
      <c r="EZ2259" s="1" t="s">
        <v>464</v>
      </c>
      <c r="FA2259" s="1" t="s">
        <v>5405</v>
      </c>
      <c r="FB2259" s="1" t="s">
        <v>289</v>
      </c>
      <c r="FC2259" s="1" t="s">
        <v>633</v>
      </c>
      <c r="FD2259" s="1" t="s">
        <v>246</v>
      </c>
      <c r="FE2259" s="1" t="s">
        <v>386</v>
      </c>
      <c r="FF2259" s="1" t="s">
        <v>248</v>
      </c>
      <c r="FG2259" s="1" t="s">
        <v>939</v>
      </c>
      <c r="FH2259" s="1" t="s">
        <v>550</v>
      </c>
      <c r="FI2259" s="1" t="s">
        <v>473</v>
      </c>
      <c r="FL2259" s="1" t="s">
        <v>358</v>
      </c>
      <c r="FM2259" s="1" t="s">
        <v>252</v>
      </c>
      <c r="FN2259" s="1" t="s">
        <v>213</v>
      </c>
      <c r="FO2259" s="1" t="s">
        <v>213</v>
      </c>
      <c r="FQ2259" s="1" t="s">
        <v>8834</v>
      </c>
      <c r="FR2259" s="1" t="s">
        <v>210</v>
      </c>
      <c r="FS2259" s="1" t="s">
        <v>19980</v>
      </c>
      <c r="FT2259" s="1" t="s">
        <v>362</v>
      </c>
      <c r="FU2259" s="1" t="s">
        <v>204</v>
      </c>
      <c r="FW2259" s="1" t="s">
        <v>1077</v>
      </c>
      <c r="FX2259" s="1">
        <v>2752</v>
      </c>
      <c r="FY2259" s="1" t="s">
        <v>1078</v>
      </c>
      <c r="FZ2259" s="1" t="s">
        <v>19981</v>
      </c>
      <c r="GA2259" s="1">
        <v>20363</v>
      </c>
      <c r="GB2259" s="1" t="s">
        <v>19982</v>
      </c>
      <c r="GE2259" s="1" t="s">
        <v>210</v>
      </c>
      <c r="GI2259" s="1" t="s">
        <v>213</v>
      </c>
      <c r="GJ2259" s="1" t="s">
        <v>260</v>
      </c>
      <c r="GK2259" s="1" t="s">
        <v>210</v>
      </c>
      <c r="GL2259" s="2">
        <v>42065</v>
      </c>
      <c r="GM2259" s="1" t="s">
        <v>19983</v>
      </c>
    </row>
    <row r="2260" spans="1:195">
      <c r="A2260" s="1">
        <v>236000</v>
      </c>
      <c r="B2260" s="1" t="s">
        <v>195</v>
      </c>
      <c r="C2260" s="1" t="str">
        <f>"08813411"</f>
        <v>08813411</v>
      </c>
      <c r="D2260" s="1" t="s">
        <v>196</v>
      </c>
      <c r="F2260" s="1" t="str">
        <f>"126"</f>
        <v>126</v>
      </c>
      <c r="G2260" s="2">
        <v>42013</v>
      </c>
      <c r="H2260" s="1">
        <v>237000</v>
      </c>
      <c r="I2260" s="1">
        <v>236000</v>
      </c>
      <c r="J2260" s="1">
        <v>236000</v>
      </c>
      <c r="K2260" s="2">
        <v>42013</v>
      </c>
      <c r="L2260" s="1">
        <v>57</v>
      </c>
      <c r="M2260" s="2">
        <v>42069</v>
      </c>
      <c r="N2260" s="1">
        <v>57</v>
      </c>
      <c r="O2260" s="2">
        <v>42069</v>
      </c>
      <c r="P2260" s="1">
        <v>24042</v>
      </c>
      <c r="Q2260" s="1" t="s">
        <v>197</v>
      </c>
      <c r="R2260" s="2">
        <v>42111</v>
      </c>
      <c r="S2260" s="1">
        <v>222049</v>
      </c>
      <c r="U2260" s="1">
        <v>1</v>
      </c>
      <c r="V2260" s="1" t="s">
        <v>19984</v>
      </c>
      <c r="W2260" s="1" t="s">
        <v>304</v>
      </c>
      <c r="Y2260" s="1">
        <v>5</v>
      </c>
      <c r="Z2260" s="1" t="s">
        <v>249</v>
      </c>
      <c r="AA2260" s="1" t="s">
        <v>3169</v>
      </c>
      <c r="AB2260" s="1">
        <v>60126</v>
      </c>
      <c r="AE2260" s="1" t="s">
        <v>19985</v>
      </c>
      <c r="AF2260" s="1">
        <v>1995</v>
      </c>
      <c r="AG2260" s="1" t="s">
        <v>204</v>
      </c>
      <c r="AH2260" s="1" t="s">
        <v>3172</v>
      </c>
      <c r="AI2260" s="1" t="s">
        <v>206</v>
      </c>
      <c r="AJ2260" s="1" t="s">
        <v>1608</v>
      </c>
      <c r="AL2260" s="1">
        <v>5</v>
      </c>
      <c r="AM2260" s="1">
        <v>2</v>
      </c>
      <c r="AN2260" s="1">
        <v>2</v>
      </c>
      <c r="AO2260" s="1">
        <v>1</v>
      </c>
      <c r="AP2260" s="1" t="s">
        <v>209</v>
      </c>
      <c r="AQ2260" s="1">
        <v>1</v>
      </c>
      <c r="AR2260" s="1" t="s">
        <v>210</v>
      </c>
      <c r="AS2260" s="1" t="s">
        <v>204</v>
      </c>
      <c r="AT2260" s="1" t="s">
        <v>211</v>
      </c>
      <c r="AU2260" s="1">
        <v>2</v>
      </c>
      <c r="AW2260" s="1" t="s">
        <v>204</v>
      </c>
      <c r="AX2260" s="1" t="s">
        <v>212</v>
      </c>
      <c r="AZ2260" s="1">
        <v>3470</v>
      </c>
      <c r="BA2260" s="1">
        <v>2013</v>
      </c>
      <c r="BE2260" s="1">
        <v>0</v>
      </c>
      <c r="BF2260" s="1">
        <v>1</v>
      </c>
      <c r="BG2260" s="1">
        <v>0</v>
      </c>
      <c r="BL2260" s="1">
        <v>137</v>
      </c>
      <c r="BM2260" s="1" t="s">
        <v>204</v>
      </c>
      <c r="BN2260" s="1" t="s">
        <v>213</v>
      </c>
      <c r="BO2260" s="1">
        <v>999</v>
      </c>
      <c r="BP2260" s="1" t="s">
        <v>204</v>
      </c>
      <c r="BR2260" s="1" t="str">
        <f>"0614320078"</f>
        <v>0614320078</v>
      </c>
      <c r="BT2260" s="1" t="s">
        <v>19986</v>
      </c>
      <c r="BX2260" s="1">
        <v>48</v>
      </c>
      <c r="BY2260" s="1">
        <v>48</v>
      </c>
      <c r="BZ2260" s="1">
        <v>88</v>
      </c>
      <c r="CB2260" s="1" t="str">
        <f t="shared" ref="CB2260:CC2260" si="1728">""</f>
        <v/>
      </c>
      <c r="CC2260" s="1" t="str">
        <f t="shared" si="1728"/>
        <v/>
      </c>
      <c r="CG2260" s="1" t="s">
        <v>218</v>
      </c>
      <c r="CH2260" s="1" t="s">
        <v>219</v>
      </c>
      <c r="CI2260" s="1" t="s">
        <v>438</v>
      </c>
      <c r="CK2260" s="1" t="s">
        <v>223</v>
      </c>
      <c r="CL2260" s="1" t="s">
        <v>277</v>
      </c>
      <c r="CM2260" s="1" t="s">
        <v>438</v>
      </c>
      <c r="CO2260" s="1" t="s">
        <v>629</v>
      </c>
      <c r="CP2260" s="1" t="s">
        <v>219</v>
      </c>
      <c r="CQ2260" s="1" t="s">
        <v>438</v>
      </c>
      <c r="CS2260" s="1" t="s">
        <v>379</v>
      </c>
      <c r="CT2260" s="1" t="s">
        <v>277</v>
      </c>
      <c r="CU2260" s="1" t="s">
        <v>438</v>
      </c>
      <c r="CX2260" s="1" t="s">
        <v>224</v>
      </c>
      <c r="DB2260" s="1" t="s">
        <v>224</v>
      </c>
      <c r="DE2260" s="1" t="s">
        <v>380</v>
      </c>
      <c r="DF2260" s="1" t="s">
        <v>219</v>
      </c>
      <c r="DG2260" s="1" t="s">
        <v>4958</v>
      </c>
      <c r="DJ2260" s="1" t="s">
        <v>224</v>
      </c>
      <c r="DS2260" s="1" t="s">
        <v>230</v>
      </c>
      <c r="DW2260" s="1" t="s">
        <v>230</v>
      </c>
      <c r="EA2260" s="1" t="s">
        <v>230</v>
      </c>
      <c r="EE2260" s="1" t="s">
        <v>230</v>
      </c>
      <c r="EI2260" s="1" t="s">
        <v>230</v>
      </c>
      <c r="EL2260" s="1" t="s">
        <v>670</v>
      </c>
      <c r="EM2260" s="1" t="s">
        <v>232</v>
      </c>
      <c r="EN2260" s="1" t="s">
        <v>282</v>
      </c>
      <c r="EO2260" s="1" t="s">
        <v>1020</v>
      </c>
      <c r="EQ2260" s="1" t="s">
        <v>3718</v>
      </c>
      <c r="ER2260" s="1" t="s">
        <v>383</v>
      </c>
      <c r="ES2260" s="1" t="s">
        <v>322</v>
      </c>
      <c r="EV2260" s="1" t="s">
        <v>240</v>
      </c>
      <c r="EW2260" s="1" t="s">
        <v>887</v>
      </c>
      <c r="EZ2260" s="1" t="s">
        <v>287</v>
      </c>
      <c r="FD2260" s="1" t="s">
        <v>246</v>
      </c>
      <c r="FE2260" s="1" t="s">
        <v>247</v>
      </c>
      <c r="FF2260" s="1" t="s">
        <v>248</v>
      </c>
      <c r="FG2260" s="1" t="s">
        <v>14522</v>
      </c>
      <c r="FH2260" s="1" t="s">
        <v>550</v>
      </c>
      <c r="FI2260" s="1" t="s">
        <v>357</v>
      </c>
      <c r="FL2260" s="1" t="s">
        <v>414</v>
      </c>
      <c r="FM2260" s="1" t="s">
        <v>252</v>
      </c>
      <c r="FN2260" s="1" t="s">
        <v>213</v>
      </c>
      <c r="FO2260" s="1" t="s">
        <v>213</v>
      </c>
      <c r="FQ2260" s="1" t="s">
        <v>2004</v>
      </c>
      <c r="FR2260" s="1" t="s">
        <v>210</v>
      </c>
      <c r="FS2260" s="1" t="s">
        <v>19987</v>
      </c>
      <c r="FT2260" s="1" t="s">
        <v>255</v>
      </c>
      <c r="FU2260" s="1" t="s">
        <v>204</v>
      </c>
      <c r="FW2260" s="1" t="s">
        <v>2006</v>
      </c>
      <c r="FX2260" s="1">
        <v>25792</v>
      </c>
      <c r="FY2260" s="1" t="s">
        <v>3181</v>
      </c>
      <c r="FZ2260" s="1" t="s">
        <v>13679</v>
      </c>
      <c r="GA2260" s="1">
        <v>222669</v>
      </c>
      <c r="GB2260" s="1" t="s">
        <v>13680</v>
      </c>
      <c r="GE2260" s="1" t="s">
        <v>210</v>
      </c>
      <c r="GI2260" s="1" t="s">
        <v>213</v>
      </c>
      <c r="GJ2260" s="1" t="s">
        <v>260</v>
      </c>
      <c r="GK2260" s="1" t="s">
        <v>210</v>
      </c>
      <c r="GL2260" s="2">
        <v>42111</v>
      </c>
    </row>
    <row r="2261" spans="1:195">
      <c r="A2261" s="1">
        <v>138299</v>
      </c>
      <c r="B2261" s="1" t="s">
        <v>195</v>
      </c>
      <c r="C2261" s="1" t="str">
        <f>"08811280"</f>
        <v>08811280</v>
      </c>
      <c r="D2261" s="1" t="s">
        <v>196</v>
      </c>
      <c r="F2261" s="1" t="str">
        <f>"540"</f>
        <v>540</v>
      </c>
      <c r="G2261" s="2">
        <v>42011</v>
      </c>
      <c r="H2261" s="1">
        <v>147000</v>
      </c>
      <c r="I2261" s="1">
        <v>139900</v>
      </c>
      <c r="J2261" s="1">
        <v>138299</v>
      </c>
      <c r="K2261" s="2">
        <v>42011</v>
      </c>
      <c r="L2261" s="1">
        <v>62</v>
      </c>
      <c r="M2261" s="2">
        <v>42072</v>
      </c>
      <c r="N2261" s="1">
        <v>62</v>
      </c>
      <c r="O2261" s="2">
        <v>42072</v>
      </c>
      <c r="P2261" s="1">
        <v>84590</v>
      </c>
      <c r="Q2261" s="1" t="s">
        <v>302</v>
      </c>
      <c r="R2261" s="2">
        <v>42118</v>
      </c>
      <c r="S2261" s="1">
        <v>148266</v>
      </c>
      <c r="U2261" s="1">
        <v>2932</v>
      </c>
      <c r="V2261" s="1" t="s">
        <v>373</v>
      </c>
      <c r="W2261" s="1" t="s">
        <v>304</v>
      </c>
      <c r="X2261" s="1">
        <v>202</v>
      </c>
      <c r="Y2261" s="1">
        <v>6</v>
      </c>
      <c r="Z2261" s="1" t="s">
        <v>370</v>
      </c>
      <c r="AA2261" s="1" t="s">
        <v>921</v>
      </c>
      <c r="AB2261" s="1">
        <v>60564</v>
      </c>
      <c r="AD2261" s="1" t="s">
        <v>2213</v>
      </c>
      <c r="AE2261" s="1" t="s">
        <v>19988</v>
      </c>
      <c r="AF2261" s="1">
        <v>2001</v>
      </c>
      <c r="AG2261" s="1" t="s">
        <v>204</v>
      </c>
      <c r="AH2261" s="1" t="s">
        <v>924</v>
      </c>
      <c r="AI2261" s="1" t="s">
        <v>1800</v>
      </c>
      <c r="AJ2261" s="1" t="s">
        <v>1801</v>
      </c>
      <c r="AK2261" s="1" t="s">
        <v>5180</v>
      </c>
      <c r="AL2261" s="1">
        <v>5</v>
      </c>
      <c r="AM2261" s="1">
        <v>2</v>
      </c>
      <c r="AN2261" s="1">
        <v>2</v>
      </c>
      <c r="AO2261" s="1">
        <v>0</v>
      </c>
      <c r="AP2261" s="1" t="s">
        <v>209</v>
      </c>
      <c r="AQ2261" s="1">
        <v>0</v>
      </c>
      <c r="AR2261" s="1" t="s">
        <v>210</v>
      </c>
      <c r="AS2261" s="1" t="s">
        <v>204</v>
      </c>
      <c r="AT2261" s="1" t="s">
        <v>211</v>
      </c>
      <c r="AU2261" s="1">
        <v>1</v>
      </c>
      <c r="AW2261" s="1" t="s">
        <v>204</v>
      </c>
      <c r="AX2261" s="1" t="s">
        <v>212</v>
      </c>
      <c r="AZ2261" s="5">
        <v>3690.96</v>
      </c>
      <c r="BA2261" s="1">
        <v>2013</v>
      </c>
      <c r="BE2261" s="1">
        <v>1304</v>
      </c>
      <c r="BF2261" s="1">
        <v>2</v>
      </c>
      <c r="BG2261" s="1">
        <v>20</v>
      </c>
      <c r="BL2261" s="1">
        <v>161</v>
      </c>
      <c r="BM2261" s="1" t="s">
        <v>204</v>
      </c>
      <c r="BN2261" s="1" t="s">
        <v>213</v>
      </c>
      <c r="BO2261" s="1">
        <v>999</v>
      </c>
      <c r="BP2261" s="1" t="s">
        <v>204</v>
      </c>
      <c r="BR2261" s="1" t="str">
        <f>"01031020481006"</f>
        <v>01031020481006</v>
      </c>
      <c r="BT2261" s="1" t="s">
        <v>19989</v>
      </c>
      <c r="BX2261" s="1">
        <v>204</v>
      </c>
      <c r="BY2261" s="1">
        <v>204</v>
      </c>
      <c r="BZ2261" s="1">
        <v>204</v>
      </c>
      <c r="CB2261" s="1" t="str">
        <f t="shared" ref="CB2261:CC2261" si="1729">"0"</f>
        <v>0</v>
      </c>
      <c r="CC2261" s="1" t="str">
        <f t="shared" si="1729"/>
        <v>0</v>
      </c>
      <c r="CD2261" s="1">
        <v>29</v>
      </c>
      <c r="CE2261" s="1">
        <v>10</v>
      </c>
      <c r="CG2261" s="1" t="s">
        <v>669</v>
      </c>
      <c r="CH2261" s="1" t="s">
        <v>277</v>
      </c>
      <c r="CK2261" s="1" t="s">
        <v>539</v>
      </c>
      <c r="CL2261" s="1" t="s">
        <v>277</v>
      </c>
      <c r="CO2261" s="1" t="s">
        <v>379</v>
      </c>
      <c r="CP2261" s="1" t="s">
        <v>277</v>
      </c>
      <c r="CS2261" s="1" t="s">
        <v>972</v>
      </c>
      <c r="CT2261" s="1" t="s">
        <v>277</v>
      </c>
      <c r="CX2261" s="1" t="s">
        <v>224</v>
      </c>
      <c r="DB2261" s="1" t="s">
        <v>224</v>
      </c>
      <c r="DE2261" s="1" t="s">
        <v>1358</v>
      </c>
      <c r="DF2261" s="1" t="s">
        <v>277</v>
      </c>
      <c r="DJ2261" s="1" t="s">
        <v>224</v>
      </c>
      <c r="DS2261" s="1" t="s">
        <v>230</v>
      </c>
      <c r="DW2261" s="1" t="s">
        <v>230</v>
      </c>
      <c r="EA2261" s="1" t="s">
        <v>230</v>
      </c>
      <c r="EE2261" s="1" t="s">
        <v>230</v>
      </c>
      <c r="EI2261" s="1" t="s">
        <v>230</v>
      </c>
      <c r="EL2261" s="1" t="s">
        <v>466</v>
      </c>
      <c r="EM2261" s="1" t="s">
        <v>319</v>
      </c>
      <c r="EN2261" s="1" t="s">
        <v>282</v>
      </c>
      <c r="EO2261" s="1" t="s">
        <v>234</v>
      </c>
      <c r="EP2261" s="1" t="s">
        <v>15106</v>
      </c>
      <c r="ER2261" s="1" t="s">
        <v>210</v>
      </c>
      <c r="ES2261" s="1" t="s">
        <v>608</v>
      </c>
      <c r="EV2261" s="1" t="s">
        <v>352</v>
      </c>
      <c r="EW2261" s="1" t="s">
        <v>937</v>
      </c>
      <c r="EZ2261" s="1" t="s">
        <v>287</v>
      </c>
      <c r="FD2261" s="1" t="s">
        <v>246</v>
      </c>
      <c r="FE2261" s="1" t="s">
        <v>1031</v>
      </c>
      <c r="FF2261" s="1" t="s">
        <v>248</v>
      </c>
      <c r="FH2261" s="1" t="s">
        <v>550</v>
      </c>
      <c r="FL2261" s="1" t="s">
        <v>414</v>
      </c>
      <c r="FM2261" s="1" t="s">
        <v>252</v>
      </c>
      <c r="FN2261" s="1" t="s">
        <v>213</v>
      </c>
      <c r="FO2261" s="1" t="s">
        <v>213</v>
      </c>
      <c r="FQ2261" s="1" t="s">
        <v>689</v>
      </c>
      <c r="FR2261" s="1" t="s">
        <v>210</v>
      </c>
      <c r="FS2261" s="1" t="s">
        <v>3516</v>
      </c>
      <c r="FT2261" s="1" t="s">
        <v>255</v>
      </c>
      <c r="FU2261" s="1" t="s">
        <v>204</v>
      </c>
      <c r="FW2261" s="1" t="s">
        <v>3517</v>
      </c>
      <c r="FX2261" s="1">
        <v>20114</v>
      </c>
      <c r="FY2261" s="1" t="s">
        <v>3518</v>
      </c>
      <c r="FZ2261" s="1" t="s">
        <v>3519</v>
      </c>
      <c r="GA2261" s="1">
        <v>216033</v>
      </c>
      <c r="GB2261" s="1" t="s">
        <v>3520</v>
      </c>
      <c r="GD2261" s="1" t="s">
        <v>3521</v>
      </c>
      <c r="GE2261" s="1" t="s">
        <v>210</v>
      </c>
      <c r="GH2261" s="1" t="s">
        <v>230</v>
      </c>
      <c r="GI2261" s="1" t="s">
        <v>204</v>
      </c>
      <c r="GJ2261" s="1" t="s">
        <v>260</v>
      </c>
      <c r="GK2261" s="1" t="s">
        <v>261</v>
      </c>
      <c r="GL2261" s="2">
        <v>42132</v>
      </c>
      <c r="GM2261" s="1" t="s">
        <v>19990</v>
      </c>
    </row>
    <row r="2262" spans="1:195">
      <c r="A2262" s="1">
        <v>60000</v>
      </c>
      <c r="B2262" s="1" t="s">
        <v>195</v>
      </c>
      <c r="C2262" s="1" t="str">
        <f>"08811261"</f>
        <v>08811261</v>
      </c>
      <c r="D2262" s="1" t="s">
        <v>196</v>
      </c>
      <c r="F2262" s="1" t="str">
        <f>"513"</f>
        <v>513</v>
      </c>
      <c r="G2262" s="2">
        <v>42011</v>
      </c>
      <c r="H2262" s="1">
        <v>99900</v>
      </c>
      <c r="I2262" s="1">
        <v>84900</v>
      </c>
      <c r="J2262" s="1">
        <v>60000</v>
      </c>
      <c r="K2262" s="2">
        <v>42011</v>
      </c>
      <c r="L2262" s="1">
        <v>227</v>
      </c>
      <c r="M2262" s="2">
        <v>42083</v>
      </c>
      <c r="N2262" s="1">
        <v>73</v>
      </c>
      <c r="O2262" s="2">
        <v>42083</v>
      </c>
      <c r="P2262" s="1">
        <v>18031</v>
      </c>
      <c r="Q2262" s="1" t="s">
        <v>302</v>
      </c>
      <c r="R2262" s="2">
        <v>42115</v>
      </c>
      <c r="S2262" s="1">
        <v>149571</v>
      </c>
      <c r="U2262" s="1">
        <v>3907</v>
      </c>
      <c r="V2262" s="1" t="s">
        <v>3963</v>
      </c>
      <c r="W2262" s="1" t="s">
        <v>425</v>
      </c>
      <c r="Y2262" s="1">
        <v>4</v>
      </c>
      <c r="Z2262" s="1" t="s">
        <v>200</v>
      </c>
      <c r="AA2262" s="1" t="s">
        <v>644</v>
      </c>
      <c r="AB2262" s="1">
        <v>60513</v>
      </c>
      <c r="AE2262" s="1" t="s">
        <v>19991</v>
      </c>
      <c r="AF2262" s="1">
        <v>1955</v>
      </c>
      <c r="AG2262" s="1" t="s">
        <v>213</v>
      </c>
      <c r="AH2262" s="1" t="s">
        <v>646</v>
      </c>
      <c r="AI2262" s="1" t="s">
        <v>310</v>
      </c>
      <c r="AJ2262" s="1" t="s">
        <v>702</v>
      </c>
      <c r="AK2262" s="1" t="s">
        <v>9420</v>
      </c>
      <c r="AL2262" s="1">
        <v>4</v>
      </c>
      <c r="AM2262" s="1">
        <v>2</v>
      </c>
      <c r="AN2262" s="1">
        <v>1</v>
      </c>
      <c r="AO2262" s="1">
        <v>0</v>
      </c>
      <c r="AP2262" s="1" t="s">
        <v>210</v>
      </c>
      <c r="AR2262" s="1" t="s">
        <v>210</v>
      </c>
      <c r="AS2262" s="1" t="s">
        <v>204</v>
      </c>
      <c r="AT2262" s="1" t="s">
        <v>271</v>
      </c>
      <c r="AV2262" s="1">
        <v>2</v>
      </c>
      <c r="AW2262" s="1" t="s">
        <v>204</v>
      </c>
      <c r="AX2262" s="1" t="s">
        <v>19992</v>
      </c>
      <c r="AZ2262" s="5">
        <v>3427.07</v>
      </c>
      <c r="BA2262" s="1">
        <v>2012</v>
      </c>
      <c r="BB2262" s="1" t="s">
        <v>405</v>
      </c>
      <c r="BE2262" s="1">
        <v>975</v>
      </c>
      <c r="BF2262" s="1">
        <v>1</v>
      </c>
      <c r="BG2262" s="1">
        <v>0</v>
      </c>
      <c r="BL2262" s="1">
        <v>0</v>
      </c>
      <c r="BM2262" s="1" t="s">
        <v>204</v>
      </c>
      <c r="BN2262" s="1" t="s">
        <v>213</v>
      </c>
      <c r="BP2262" s="1" t="s">
        <v>204</v>
      </c>
      <c r="BR2262" s="1" t="str">
        <f>"18031080570000"</f>
        <v>18031080570000</v>
      </c>
      <c r="BT2262" s="1" t="s">
        <v>19993</v>
      </c>
      <c r="BX2262" s="1">
        <v>102</v>
      </c>
      <c r="BY2262" s="1">
        <v>102</v>
      </c>
      <c r="BZ2262" s="1">
        <v>204</v>
      </c>
      <c r="CB2262" s="1" t="str">
        <f t="shared" ref="CB2262:CC2262" si="1730">"0"</f>
        <v>0</v>
      </c>
      <c r="CC2262" s="1" t="str">
        <f t="shared" si="1730"/>
        <v>0</v>
      </c>
      <c r="CD2262" s="1">
        <v>11</v>
      </c>
      <c r="CE2262" s="1">
        <v>4</v>
      </c>
      <c r="CG2262" s="1" t="s">
        <v>729</v>
      </c>
      <c r="CH2262" s="1" t="s">
        <v>219</v>
      </c>
      <c r="CI2262" s="1" t="s">
        <v>229</v>
      </c>
      <c r="CJ2262" s="1" t="s">
        <v>463</v>
      </c>
      <c r="CK2262" s="1" t="s">
        <v>729</v>
      </c>
      <c r="CL2262" s="1" t="s">
        <v>277</v>
      </c>
      <c r="CM2262" s="1" t="s">
        <v>438</v>
      </c>
      <c r="CN2262" s="1" t="s">
        <v>463</v>
      </c>
      <c r="CP2262" s="1" t="s">
        <v>224</v>
      </c>
      <c r="CS2262" s="1" t="s">
        <v>1046</v>
      </c>
      <c r="CT2262" s="1" t="s">
        <v>277</v>
      </c>
      <c r="CU2262" s="1" t="s">
        <v>438</v>
      </c>
      <c r="CV2262" s="1" t="s">
        <v>343</v>
      </c>
      <c r="CX2262" s="1" t="s">
        <v>224</v>
      </c>
      <c r="DB2262" s="1" t="s">
        <v>224</v>
      </c>
      <c r="DE2262" s="1" t="s">
        <v>380</v>
      </c>
      <c r="DF2262" s="1" t="s">
        <v>219</v>
      </c>
      <c r="DG2262" s="1" t="s">
        <v>342</v>
      </c>
      <c r="DH2262" s="1" t="s">
        <v>210</v>
      </c>
      <c r="DJ2262" s="1" t="s">
        <v>224</v>
      </c>
      <c r="DM2262" s="1" t="s">
        <v>3011</v>
      </c>
      <c r="DR2262" s="1" t="s">
        <v>951</v>
      </c>
      <c r="DS2262" s="1" t="s">
        <v>219</v>
      </c>
      <c r="DT2262" s="1" t="s">
        <v>342</v>
      </c>
      <c r="DU2262" s="1" t="s">
        <v>210</v>
      </c>
      <c r="DW2262" s="1" t="s">
        <v>230</v>
      </c>
      <c r="EA2262" s="1" t="s">
        <v>230</v>
      </c>
      <c r="EE2262" s="1" t="s">
        <v>230</v>
      </c>
      <c r="EI2262" s="1" t="s">
        <v>230</v>
      </c>
      <c r="EL2262" s="1" t="s">
        <v>649</v>
      </c>
      <c r="EM2262" s="1" t="s">
        <v>232</v>
      </c>
      <c r="EN2262" s="1" t="s">
        <v>1158</v>
      </c>
      <c r="EO2262" s="1" t="s">
        <v>234</v>
      </c>
      <c r="EP2262" s="1" t="s">
        <v>210</v>
      </c>
      <c r="EQ2262" s="1" t="s">
        <v>3718</v>
      </c>
      <c r="ER2262" s="1" t="s">
        <v>1069</v>
      </c>
      <c r="EW2262" s="1" t="s">
        <v>210</v>
      </c>
      <c r="EY2262" s="1" t="s">
        <v>242</v>
      </c>
      <c r="EZ2262" s="1" t="s">
        <v>3011</v>
      </c>
      <c r="FA2262" s="1" t="s">
        <v>714</v>
      </c>
      <c r="FC2262" s="1" t="s">
        <v>633</v>
      </c>
      <c r="FD2262" s="1" t="s">
        <v>4003</v>
      </c>
      <c r="FE2262" s="1" t="s">
        <v>651</v>
      </c>
      <c r="FF2262" s="1" t="s">
        <v>248</v>
      </c>
      <c r="FH2262" s="1" t="s">
        <v>550</v>
      </c>
      <c r="FK2262" s="1" t="s">
        <v>2522</v>
      </c>
      <c r="FL2262" s="1" t="s">
        <v>358</v>
      </c>
      <c r="FM2262" s="1" t="s">
        <v>252</v>
      </c>
      <c r="FN2262" s="1" t="s">
        <v>213</v>
      </c>
      <c r="FO2262" s="1" t="s">
        <v>213</v>
      </c>
      <c r="FQ2262" s="1" t="s">
        <v>849</v>
      </c>
      <c r="FR2262" s="1" t="s">
        <v>210</v>
      </c>
      <c r="FS2262" s="1" t="s">
        <v>3576</v>
      </c>
      <c r="FT2262" s="1" t="s">
        <v>295</v>
      </c>
      <c r="FU2262" s="1" t="s">
        <v>204</v>
      </c>
      <c r="FW2262" s="1" t="s">
        <v>10730</v>
      </c>
      <c r="FX2262" s="1">
        <v>40335</v>
      </c>
      <c r="FY2262" s="1" t="s">
        <v>10731</v>
      </c>
      <c r="FZ2262" s="1" t="s">
        <v>19994</v>
      </c>
      <c r="GA2262" s="1">
        <v>407595</v>
      </c>
      <c r="GB2262" s="1" t="s">
        <v>19995</v>
      </c>
      <c r="GD2262" s="1" t="s">
        <v>19996</v>
      </c>
      <c r="GE2262" s="1" t="s">
        <v>1256</v>
      </c>
      <c r="GI2262" s="1" t="s">
        <v>204</v>
      </c>
      <c r="GJ2262" s="1" t="s">
        <v>260</v>
      </c>
      <c r="GK2262" s="1" t="s">
        <v>210</v>
      </c>
      <c r="GL2262" s="2">
        <v>42115</v>
      </c>
      <c r="GM2262" s="1" t="s">
        <v>19997</v>
      </c>
    </row>
    <row r="2263" spans="1:195">
      <c r="A2263" s="1">
        <v>152000</v>
      </c>
      <c r="B2263" s="1" t="s">
        <v>195</v>
      </c>
      <c r="C2263" s="1" t="str">
        <f>"08822464"</f>
        <v>08822464</v>
      </c>
      <c r="D2263" s="1" t="s">
        <v>196</v>
      </c>
      <c r="F2263" s="1" t="str">
        <f>"516"</f>
        <v>516</v>
      </c>
      <c r="G2263" s="2">
        <v>42027</v>
      </c>
      <c r="H2263" s="1">
        <v>159900</v>
      </c>
      <c r="I2263" s="1">
        <v>159900</v>
      </c>
      <c r="J2263" s="1">
        <v>152000</v>
      </c>
      <c r="K2263" s="2">
        <v>42027</v>
      </c>
      <c r="L2263" s="1">
        <v>33</v>
      </c>
      <c r="M2263" s="2">
        <v>42059</v>
      </c>
      <c r="N2263" s="1">
        <v>33</v>
      </c>
      <c r="O2263" s="2">
        <v>42059</v>
      </c>
      <c r="P2263" s="1">
        <v>22205</v>
      </c>
      <c r="Q2263" s="1" t="s">
        <v>302</v>
      </c>
      <c r="R2263" s="2">
        <v>42118</v>
      </c>
      <c r="S2263" s="1">
        <v>223740</v>
      </c>
      <c r="U2263" s="1">
        <v>6337</v>
      </c>
      <c r="V2263" s="1" t="s">
        <v>2691</v>
      </c>
      <c r="W2263" s="1" t="s">
        <v>1056</v>
      </c>
      <c r="X2263" s="1">
        <v>18</v>
      </c>
      <c r="Y2263" s="1">
        <v>20</v>
      </c>
      <c r="Z2263" s="1" t="s">
        <v>249</v>
      </c>
      <c r="AA2263" s="1" t="s">
        <v>1417</v>
      </c>
      <c r="AB2263" s="1">
        <v>60527</v>
      </c>
      <c r="AD2263" s="1" t="s">
        <v>19998</v>
      </c>
      <c r="AE2263" s="1" t="s">
        <v>19999</v>
      </c>
      <c r="AF2263" s="1">
        <v>1984</v>
      </c>
      <c r="AG2263" s="1" t="s">
        <v>204</v>
      </c>
      <c r="AH2263" s="1" t="s">
        <v>1419</v>
      </c>
      <c r="AI2263" s="1" t="s">
        <v>206</v>
      </c>
      <c r="AJ2263" s="1" t="s">
        <v>903</v>
      </c>
      <c r="AK2263" s="1" t="s">
        <v>20000</v>
      </c>
      <c r="AL2263" s="1">
        <v>5</v>
      </c>
      <c r="AM2263" s="1">
        <v>2</v>
      </c>
      <c r="AN2263" s="1">
        <v>2</v>
      </c>
      <c r="AO2263" s="1">
        <v>0</v>
      </c>
      <c r="AP2263" s="1" t="s">
        <v>209</v>
      </c>
      <c r="AQ2263" s="1">
        <v>1</v>
      </c>
      <c r="AR2263" s="1" t="s">
        <v>210</v>
      </c>
      <c r="AS2263" s="1" t="s">
        <v>204</v>
      </c>
      <c r="AT2263" s="1" t="s">
        <v>211</v>
      </c>
      <c r="AU2263" s="1">
        <v>1</v>
      </c>
      <c r="AW2263" s="1" t="s">
        <v>204</v>
      </c>
      <c r="AX2263" s="1" t="s">
        <v>212</v>
      </c>
      <c r="AZ2263" s="1">
        <v>2176</v>
      </c>
      <c r="BA2263" s="1">
        <v>2013</v>
      </c>
      <c r="BB2263" s="1" t="s">
        <v>599</v>
      </c>
      <c r="BE2263" s="1">
        <v>1150</v>
      </c>
      <c r="BF2263" s="1">
        <v>1</v>
      </c>
      <c r="BG2263" s="1">
        <v>0</v>
      </c>
      <c r="BJ2263" s="1">
        <v>100</v>
      </c>
      <c r="BL2263" s="1">
        <v>281</v>
      </c>
      <c r="BM2263" s="1" t="s">
        <v>204</v>
      </c>
      <c r="BN2263" s="1" t="s">
        <v>204</v>
      </c>
      <c r="BP2263" s="1" t="s">
        <v>204</v>
      </c>
      <c r="BR2263" s="1" t="str">
        <f>"0923120018"</f>
        <v>0923120018</v>
      </c>
      <c r="BT2263" s="1" t="s">
        <v>20001</v>
      </c>
      <c r="BX2263" s="1">
        <v>60</v>
      </c>
      <c r="BY2263" s="1">
        <v>60</v>
      </c>
      <c r="BZ2263" s="1">
        <v>86</v>
      </c>
      <c r="CB2263" s="1" t="str">
        <f t="shared" ref="CB2263:CC2263" si="1731">""</f>
        <v/>
      </c>
      <c r="CC2263" s="1" t="str">
        <f t="shared" si="1731"/>
        <v/>
      </c>
      <c r="CD2263" s="1">
        <v>16</v>
      </c>
      <c r="CE2263" s="1">
        <v>7</v>
      </c>
      <c r="CG2263" s="1" t="s">
        <v>1004</v>
      </c>
      <c r="CH2263" s="1" t="s">
        <v>219</v>
      </c>
      <c r="CI2263" s="1" t="s">
        <v>229</v>
      </c>
      <c r="CJ2263" s="1" t="s">
        <v>343</v>
      </c>
      <c r="CK2263" s="1" t="s">
        <v>729</v>
      </c>
      <c r="CL2263" s="1" t="s">
        <v>219</v>
      </c>
      <c r="CM2263" s="1" t="s">
        <v>220</v>
      </c>
      <c r="CN2263" s="1" t="s">
        <v>343</v>
      </c>
      <c r="CO2263" s="1" t="s">
        <v>465</v>
      </c>
      <c r="CP2263" s="1" t="s">
        <v>219</v>
      </c>
      <c r="CQ2263" s="1" t="s">
        <v>229</v>
      </c>
      <c r="CR2263" s="1" t="s">
        <v>210</v>
      </c>
      <c r="CS2263" s="1" t="s">
        <v>1358</v>
      </c>
      <c r="CT2263" s="1" t="s">
        <v>219</v>
      </c>
      <c r="CU2263" s="1" t="s">
        <v>220</v>
      </c>
      <c r="CV2263" s="1" t="s">
        <v>343</v>
      </c>
      <c r="CX2263" s="1" t="s">
        <v>224</v>
      </c>
      <c r="DB2263" s="1" t="s">
        <v>224</v>
      </c>
      <c r="DE2263" s="1" t="s">
        <v>379</v>
      </c>
      <c r="DF2263" s="1" t="s">
        <v>219</v>
      </c>
      <c r="DG2263" s="1" t="s">
        <v>226</v>
      </c>
      <c r="DH2263" s="1" t="s">
        <v>343</v>
      </c>
      <c r="DJ2263" s="1" t="s">
        <v>224</v>
      </c>
      <c r="DS2263" s="1" t="s">
        <v>230</v>
      </c>
      <c r="DW2263" s="1" t="s">
        <v>230</v>
      </c>
      <c r="EA2263" s="1" t="s">
        <v>230</v>
      </c>
      <c r="EE2263" s="1" t="s">
        <v>230</v>
      </c>
      <c r="EI2263" s="1" t="s">
        <v>230</v>
      </c>
      <c r="EL2263" s="1" t="s">
        <v>231</v>
      </c>
      <c r="EM2263" s="1" t="s">
        <v>232</v>
      </c>
      <c r="EN2263" s="1" t="s">
        <v>282</v>
      </c>
      <c r="EO2263" s="1" t="s">
        <v>234</v>
      </c>
      <c r="EQ2263" s="1" t="s">
        <v>492</v>
      </c>
      <c r="ER2263" s="1" t="s">
        <v>210</v>
      </c>
      <c r="EU2263" s="1" t="s">
        <v>239</v>
      </c>
      <c r="EV2263" s="1" t="s">
        <v>324</v>
      </c>
      <c r="EW2263" s="1" t="s">
        <v>286</v>
      </c>
      <c r="EZ2263" s="1" t="s">
        <v>287</v>
      </c>
      <c r="FB2263" s="1" t="s">
        <v>289</v>
      </c>
      <c r="FC2263" s="1" t="s">
        <v>1362</v>
      </c>
      <c r="FD2263" s="1" t="s">
        <v>1112</v>
      </c>
      <c r="FE2263" s="1" t="s">
        <v>247</v>
      </c>
      <c r="FF2263" s="1" t="s">
        <v>248</v>
      </c>
      <c r="FG2263" s="1" t="s">
        <v>1271</v>
      </c>
      <c r="FH2263" s="1" t="s">
        <v>249</v>
      </c>
      <c r="FI2263" s="1" t="s">
        <v>357</v>
      </c>
      <c r="FJ2263" s="1" t="s">
        <v>197</v>
      </c>
      <c r="FL2263" s="1" t="s">
        <v>358</v>
      </c>
      <c r="FM2263" s="1" t="s">
        <v>252</v>
      </c>
      <c r="FN2263" s="1" t="s">
        <v>213</v>
      </c>
      <c r="FO2263" s="1" t="s">
        <v>213</v>
      </c>
      <c r="FQ2263" s="1" t="s">
        <v>793</v>
      </c>
      <c r="FR2263" s="1" t="s">
        <v>210</v>
      </c>
      <c r="FS2263" s="1" t="s">
        <v>20002</v>
      </c>
      <c r="FT2263" s="1" t="s">
        <v>295</v>
      </c>
      <c r="FU2263" s="1" t="s">
        <v>204</v>
      </c>
      <c r="FW2263" s="1" t="s">
        <v>5648</v>
      </c>
      <c r="FX2263" s="1">
        <v>23099</v>
      </c>
      <c r="FY2263" s="1" t="s">
        <v>5649</v>
      </c>
      <c r="FZ2263" s="1" t="s">
        <v>16407</v>
      </c>
      <c r="GA2263" s="1">
        <v>220929</v>
      </c>
      <c r="GB2263" s="1" t="s">
        <v>16408</v>
      </c>
      <c r="GD2263" s="1" t="s">
        <v>16409</v>
      </c>
      <c r="GE2263" s="1" t="s">
        <v>1576</v>
      </c>
      <c r="GI2263" s="1" t="s">
        <v>213</v>
      </c>
      <c r="GJ2263" s="1" t="s">
        <v>260</v>
      </c>
      <c r="GK2263" s="1" t="s">
        <v>210</v>
      </c>
      <c r="GL2263" s="2">
        <v>42118</v>
      </c>
      <c r="GM2263" s="1" t="s">
        <v>20003</v>
      </c>
    </row>
    <row r="2264" spans="1:195">
      <c r="A2264" s="1">
        <v>92000</v>
      </c>
      <c r="B2264" s="1" t="s">
        <v>195</v>
      </c>
      <c r="C2264" s="1" t="str">
        <f>"08816284"</f>
        <v>08816284</v>
      </c>
      <c r="D2264" s="1" t="s">
        <v>196</v>
      </c>
      <c r="F2264" s="1" t="str">
        <f>"517"</f>
        <v>517</v>
      </c>
      <c r="G2264" s="2">
        <v>42018</v>
      </c>
      <c r="H2264" s="1">
        <v>95000</v>
      </c>
      <c r="I2264" s="1">
        <v>95000</v>
      </c>
      <c r="J2264" s="1">
        <v>92000</v>
      </c>
      <c r="K2264" s="2">
        <v>42017</v>
      </c>
      <c r="L2264" s="1">
        <v>39</v>
      </c>
      <c r="M2264" s="2">
        <v>42055</v>
      </c>
      <c r="N2264" s="1">
        <v>39</v>
      </c>
      <c r="O2264" s="2">
        <v>42055</v>
      </c>
      <c r="P2264" s="1">
        <v>23265</v>
      </c>
      <c r="Q2264" s="1" t="s">
        <v>1393</v>
      </c>
      <c r="R2264" s="2">
        <v>42122</v>
      </c>
      <c r="S2264" s="1">
        <v>212343</v>
      </c>
      <c r="T2264" s="1">
        <v>2000</v>
      </c>
      <c r="U2264" s="1">
        <v>2221</v>
      </c>
      <c r="V2264" s="1" t="s">
        <v>5730</v>
      </c>
      <c r="W2264" s="1" t="s">
        <v>264</v>
      </c>
      <c r="X2264" s="1">
        <v>203</v>
      </c>
      <c r="Y2264" s="1">
        <v>8</v>
      </c>
      <c r="Z2264" s="1" t="s">
        <v>249</v>
      </c>
      <c r="AA2264" s="1" t="s">
        <v>2850</v>
      </c>
      <c r="AB2264" s="1">
        <v>60517</v>
      </c>
      <c r="AE2264" s="1" t="s">
        <v>20004</v>
      </c>
      <c r="AF2264" s="1">
        <v>1980</v>
      </c>
      <c r="AG2264" s="1" t="s">
        <v>204</v>
      </c>
      <c r="AH2264" s="1" t="s">
        <v>2853</v>
      </c>
      <c r="AI2264" s="1" t="s">
        <v>206</v>
      </c>
      <c r="AJ2264" s="1" t="s">
        <v>903</v>
      </c>
      <c r="AL2264" s="1">
        <v>5</v>
      </c>
      <c r="AM2264" s="1">
        <v>2</v>
      </c>
      <c r="AN2264" s="1">
        <v>2</v>
      </c>
      <c r="AO2264" s="1">
        <v>0</v>
      </c>
      <c r="AP2264" s="1" t="s">
        <v>209</v>
      </c>
      <c r="AQ2264" s="1">
        <v>1</v>
      </c>
      <c r="AR2264" s="1" t="s">
        <v>210</v>
      </c>
      <c r="AT2264" s="1" t="s">
        <v>375</v>
      </c>
      <c r="AU2264" s="1">
        <v>1</v>
      </c>
      <c r="AV2264" s="1">
        <v>1</v>
      </c>
      <c r="AW2264" s="1" t="s">
        <v>213</v>
      </c>
      <c r="AX2264" s="1">
        <v>0</v>
      </c>
      <c r="AZ2264" s="1">
        <v>1643</v>
      </c>
      <c r="BA2264" s="1">
        <v>2013</v>
      </c>
      <c r="BB2264" s="1" t="s">
        <v>599</v>
      </c>
      <c r="BE2264" s="1">
        <v>0</v>
      </c>
      <c r="BF2264" s="1">
        <v>1</v>
      </c>
      <c r="BG2264" s="1">
        <v>30</v>
      </c>
      <c r="BL2264" s="1">
        <v>216</v>
      </c>
      <c r="BM2264" s="1" t="s">
        <v>204</v>
      </c>
      <c r="BN2264" s="1" t="s">
        <v>213</v>
      </c>
      <c r="BO2264" s="1">
        <v>50</v>
      </c>
      <c r="BP2264" s="1" t="s">
        <v>204</v>
      </c>
      <c r="BR2264" s="1" t="str">
        <f>"0836210027"</f>
        <v>0836210027</v>
      </c>
      <c r="BT2264" s="1" t="s">
        <v>20005</v>
      </c>
      <c r="BX2264" s="1">
        <v>68</v>
      </c>
      <c r="BY2264" s="1">
        <v>68</v>
      </c>
      <c r="BZ2264" s="1">
        <v>99</v>
      </c>
      <c r="CB2264" s="1" t="str">
        <f t="shared" ref="CB2264:CC2264" si="1732">""</f>
        <v/>
      </c>
      <c r="CC2264" s="1" t="str">
        <f t="shared" si="1732"/>
        <v/>
      </c>
      <c r="CG2264" s="1" t="s">
        <v>581</v>
      </c>
      <c r="CH2264" s="1" t="s">
        <v>219</v>
      </c>
      <c r="CI2264" s="1" t="s">
        <v>220</v>
      </c>
      <c r="CJ2264" s="1" t="s">
        <v>343</v>
      </c>
      <c r="CK2264" s="1" t="s">
        <v>757</v>
      </c>
      <c r="CL2264" s="1" t="s">
        <v>219</v>
      </c>
      <c r="CM2264" s="1" t="s">
        <v>220</v>
      </c>
      <c r="CO2264" s="1" t="s">
        <v>630</v>
      </c>
      <c r="CP2264" s="1" t="s">
        <v>219</v>
      </c>
      <c r="CQ2264" s="1" t="s">
        <v>220</v>
      </c>
      <c r="CS2264" s="1" t="s">
        <v>1358</v>
      </c>
      <c r="CT2264" s="1" t="s">
        <v>219</v>
      </c>
      <c r="CU2264" s="1" t="s">
        <v>220</v>
      </c>
      <c r="CX2264" s="1" t="s">
        <v>224</v>
      </c>
      <c r="DB2264" s="1" t="s">
        <v>224</v>
      </c>
      <c r="DE2264" s="1" t="s">
        <v>687</v>
      </c>
      <c r="DF2264" s="1" t="s">
        <v>219</v>
      </c>
      <c r="DG2264" s="1" t="s">
        <v>342</v>
      </c>
      <c r="DJ2264" s="1" t="s">
        <v>224</v>
      </c>
      <c r="DS2264" s="1" t="s">
        <v>230</v>
      </c>
      <c r="DW2264" s="1" t="s">
        <v>230</v>
      </c>
      <c r="EA2264" s="1" t="s">
        <v>230</v>
      </c>
      <c r="EE2264" s="1" t="s">
        <v>230</v>
      </c>
      <c r="EI2264" s="1" t="s">
        <v>230</v>
      </c>
      <c r="EL2264" s="1" t="s">
        <v>231</v>
      </c>
      <c r="EM2264" s="1" t="s">
        <v>232</v>
      </c>
      <c r="EN2264" s="1" t="s">
        <v>282</v>
      </c>
      <c r="EO2264" s="1" t="s">
        <v>234</v>
      </c>
      <c r="EQ2264" s="1" t="s">
        <v>468</v>
      </c>
      <c r="ER2264" s="1" t="s">
        <v>210</v>
      </c>
      <c r="EU2264" s="1" t="s">
        <v>20006</v>
      </c>
      <c r="EW2264" s="1" t="s">
        <v>1504</v>
      </c>
      <c r="EY2264" s="1" t="s">
        <v>242</v>
      </c>
      <c r="EZ2264" s="1" t="s">
        <v>287</v>
      </c>
      <c r="FA2264" s="1" t="s">
        <v>3915</v>
      </c>
      <c r="FD2264" s="1" t="s">
        <v>246</v>
      </c>
      <c r="FE2264" s="1" t="s">
        <v>247</v>
      </c>
      <c r="FF2264" s="1" t="s">
        <v>248</v>
      </c>
      <c r="FG2264" s="1" t="s">
        <v>871</v>
      </c>
      <c r="FH2264" s="1" t="s">
        <v>249</v>
      </c>
      <c r="FI2264" s="1" t="s">
        <v>357</v>
      </c>
      <c r="FK2264" s="1" t="s">
        <v>891</v>
      </c>
      <c r="FL2264" s="1" t="s">
        <v>358</v>
      </c>
      <c r="FM2264" s="1" t="s">
        <v>252</v>
      </c>
      <c r="FN2264" s="1" t="s">
        <v>213</v>
      </c>
      <c r="FO2264" s="1" t="s">
        <v>213</v>
      </c>
      <c r="FQ2264" s="1" t="s">
        <v>4005</v>
      </c>
      <c r="FR2264" s="1" t="s">
        <v>210</v>
      </c>
      <c r="FS2264" s="1" t="s">
        <v>20007</v>
      </c>
      <c r="FT2264" s="1" t="s">
        <v>255</v>
      </c>
      <c r="FU2264" s="1" t="s">
        <v>204</v>
      </c>
      <c r="FW2264" s="1" t="s">
        <v>15537</v>
      </c>
      <c r="FX2264" s="1">
        <v>23803</v>
      </c>
      <c r="FY2264" s="1" t="s">
        <v>4482</v>
      </c>
      <c r="FZ2264" s="1" t="s">
        <v>20008</v>
      </c>
      <c r="GA2264" s="1">
        <v>259353</v>
      </c>
      <c r="GB2264" s="1" t="s">
        <v>20009</v>
      </c>
      <c r="GE2264" s="1" t="s">
        <v>210</v>
      </c>
      <c r="GI2264" s="1" t="s">
        <v>213</v>
      </c>
      <c r="GJ2264" s="1" t="s">
        <v>260</v>
      </c>
      <c r="GK2264" s="1" t="s">
        <v>210</v>
      </c>
      <c r="GL2264" s="2">
        <v>42122</v>
      </c>
      <c r="GM2264" s="1" t="s">
        <v>20010</v>
      </c>
    </row>
    <row r="2265" spans="1:195">
      <c r="A2265" s="1">
        <v>135000</v>
      </c>
      <c r="B2265" s="1" t="s">
        <v>195</v>
      </c>
      <c r="C2265" s="1" t="str">
        <f>"08814784"</f>
        <v>08814784</v>
      </c>
      <c r="D2265" s="1" t="s">
        <v>196</v>
      </c>
      <c r="F2265" s="1" t="str">
        <f t="shared" ref="F2265:F2266" si="1733">"560"</f>
        <v>560</v>
      </c>
      <c r="G2265" s="2">
        <v>42016</v>
      </c>
      <c r="H2265" s="1">
        <v>136900</v>
      </c>
      <c r="I2265" s="1">
        <v>136900</v>
      </c>
      <c r="J2265" s="1">
        <v>135000</v>
      </c>
      <c r="K2265" s="2">
        <v>42016</v>
      </c>
      <c r="L2265" s="1">
        <v>53</v>
      </c>
      <c r="M2265" s="2">
        <v>42068</v>
      </c>
      <c r="N2265" s="1">
        <v>53</v>
      </c>
      <c r="O2265" s="2">
        <v>42068</v>
      </c>
      <c r="P2265" s="1">
        <v>79923</v>
      </c>
      <c r="Q2265" s="1" t="s">
        <v>423</v>
      </c>
      <c r="R2265" s="2">
        <v>42104</v>
      </c>
      <c r="S2265" s="1">
        <v>703838</v>
      </c>
      <c r="T2265" s="1">
        <v>2500</v>
      </c>
      <c r="U2265" s="1">
        <v>484</v>
      </c>
      <c r="V2265" s="1" t="s">
        <v>20011</v>
      </c>
      <c r="W2265" s="1" t="s">
        <v>425</v>
      </c>
      <c r="X2265" s="1">
        <v>484</v>
      </c>
      <c r="Y2265" s="1">
        <v>5</v>
      </c>
      <c r="Z2265" s="1" t="s">
        <v>249</v>
      </c>
      <c r="AA2265" s="1" t="s">
        <v>484</v>
      </c>
      <c r="AB2265" s="1">
        <v>60560</v>
      </c>
      <c r="AD2265" s="1" t="s">
        <v>20012</v>
      </c>
      <c r="AE2265" s="1" t="s">
        <v>20013</v>
      </c>
      <c r="AF2265" s="1">
        <v>2004</v>
      </c>
      <c r="AG2265" s="1" t="s">
        <v>204</v>
      </c>
      <c r="AH2265" s="1" t="s">
        <v>487</v>
      </c>
      <c r="AI2265" s="1" t="s">
        <v>453</v>
      </c>
      <c r="AJ2265" s="1" t="s">
        <v>454</v>
      </c>
      <c r="AL2265" s="1">
        <v>5</v>
      </c>
      <c r="AM2265" s="1">
        <v>2</v>
      </c>
      <c r="AN2265" s="1">
        <v>2</v>
      </c>
      <c r="AO2265" s="1">
        <v>1</v>
      </c>
      <c r="AP2265" s="1" t="s">
        <v>209</v>
      </c>
      <c r="AQ2265" s="1">
        <v>0</v>
      </c>
      <c r="AR2265" s="1" t="s">
        <v>210</v>
      </c>
      <c r="AS2265" s="1" t="s">
        <v>204</v>
      </c>
      <c r="AT2265" s="1" t="s">
        <v>211</v>
      </c>
      <c r="AU2265" s="1">
        <v>2</v>
      </c>
      <c r="AW2265" s="1" t="s">
        <v>204</v>
      </c>
      <c r="AX2265" s="1" t="s">
        <v>212</v>
      </c>
      <c r="AZ2265" s="1">
        <v>3650</v>
      </c>
      <c r="BA2265" s="1">
        <v>2013</v>
      </c>
      <c r="BB2265" s="1" t="s">
        <v>405</v>
      </c>
      <c r="BE2265" s="1">
        <v>0</v>
      </c>
      <c r="BF2265" s="1">
        <v>1</v>
      </c>
      <c r="BG2265" s="1">
        <v>0</v>
      </c>
      <c r="BL2265" s="1">
        <v>166</v>
      </c>
      <c r="BM2265" s="1" t="s">
        <v>204</v>
      </c>
      <c r="BN2265" s="1" t="s">
        <v>213</v>
      </c>
      <c r="BO2265" s="1">
        <v>999</v>
      </c>
      <c r="BP2265" s="1" t="s">
        <v>204</v>
      </c>
      <c r="BR2265" s="1" t="str">
        <f>"0228401037"</f>
        <v>0228401037</v>
      </c>
      <c r="BT2265" s="1" t="s">
        <v>20014</v>
      </c>
      <c r="BW2265" s="1" t="s">
        <v>9633</v>
      </c>
      <c r="BX2265" s="1">
        <v>115</v>
      </c>
      <c r="BY2265" s="1">
        <v>115</v>
      </c>
      <c r="BZ2265" s="1">
        <v>115</v>
      </c>
      <c r="CB2265" s="1" t="str">
        <f t="shared" ref="CB2265:CC2265" si="1734">"0"</f>
        <v>0</v>
      </c>
      <c r="CC2265" s="1" t="str">
        <f t="shared" si="1734"/>
        <v>0</v>
      </c>
      <c r="CD2265" s="1">
        <v>42</v>
      </c>
      <c r="CE2265" s="1">
        <v>14</v>
      </c>
      <c r="CG2265" s="1" t="s">
        <v>377</v>
      </c>
      <c r="CH2265" s="1" t="s">
        <v>219</v>
      </c>
      <c r="CI2265" s="1" t="s">
        <v>220</v>
      </c>
      <c r="CK2265" s="1" t="s">
        <v>1267</v>
      </c>
      <c r="CL2265" s="1" t="s">
        <v>277</v>
      </c>
      <c r="CM2265" s="1" t="s">
        <v>220</v>
      </c>
      <c r="CO2265" s="1" t="s">
        <v>318</v>
      </c>
      <c r="CP2265" s="1" t="s">
        <v>219</v>
      </c>
      <c r="CQ2265" s="1" t="s">
        <v>220</v>
      </c>
      <c r="CS2265" s="1" t="s">
        <v>465</v>
      </c>
      <c r="CT2265" s="1" t="s">
        <v>277</v>
      </c>
      <c r="CU2265" s="1" t="s">
        <v>229</v>
      </c>
      <c r="CX2265" s="1" t="s">
        <v>224</v>
      </c>
      <c r="DB2265" s="1" t="s">
        <v>224</v>
      </c>
      <c r="DE2265" s="1" t="s">
        <v>669</v>
      </c>
      <c r="DF2265" s="1" t="s">
        <v>219</v>
      </c>
      <c r="DG2265" s="1" t="s">
        <v>438</v>
      </c>
      <c r="DJ2265" s="1" t="s">
        <v>224</v>
      </c>
      <c r="DM2265" s="1" t="s">
        <v>3011</v>
      </c>
      <c r="DR2265" s="1" t="s">
        <v>5954</v>
      </c>
      <c r="DS2265" s="1" t="s">
        <v>219</v>
      </c>
      <c r="DW2265" s="1" t="s">
        <v>230</v>
      </c>
      <c r="EA2265" s="1" t="s">
        <v>230</v>
      </c>
      <c r="EE2265" s="1" t="s">
        <v>230</v>
      </c>
      <c r="EI2265" s="1" t="s">
        <v>230</v>
      </c>
      <c r="EL2265" s="1" t="s">
        <v>466</v>
      </c>
      <c r="EM2265" s="1" t="s">
        <v>319</v>
      </c>
      <c r="EN2265" s="1" t="s">
        <v>282</v>
      </c>
      <c r="EO2265" s="1" t="s">
        <v>234</v>
      </c>
      <c r="EP2265" s="1" t="s">
        <v>210</v>
      </c>
      <c r="EQ2265" s="1" t="s">
        <v>1094</v>
      </c>
      <c r="ER2265" s="1" t="s">
        <v>210</v>
      </c>
      <c r="ES2265" s="1" t="s">
        <v>824</v>
      </c>
      <c r="EU2265" s="1" t="s">
        <v>239</v>
      </c>
      <c r="EV2265" s="1" t="s">
        <v>240</v>
      </c>
      <c r="EW2265" s="1" t="s">
        <v>937</v>
      </c>
      <c r="EY2265" s="1" t="s">
        <v>242</v>
      </c>
      <c r="EZ2265" s="1" t="s">
        <v>3011</v>
      </c>
      <c r="FA2265" s="1" t="s">
        <v>3690</v>
      </c>
      <c r="FD2265" s="1" t="s">
        <v>246</v>
      </c>
      <c r="FE2265" s="1" t="s">
        <v>247</v>
      </c>
      <c r="FF2265" s="1" t="s">
        <v>248</v>
      </c>
      <c r="FH2265" s="1" t="s">
        <v>249</v>
      </c>
      <c r="FI2265" s="1" t="s">
        <v>357</v>
      </c>
      <c r="FL2265" s="1" t="s">
        <v>358</v>
      </c>
      <c r="FM2265" s="1" t="s">
        <v>252</v>
      </c>
      <c r="FN2265" s="1" t="s">
        <v>213</v>
      </c>
      <c r="FO2265" s="1" t="s">
        <v>213</v>
      </c>
      <c r="FQ2265" s="1" t="s">
        <v>9915</v>
      </c>
      <c r="FR2265" s="1" t="s">
        <v>210</v>
      </c>
      <c r="FS2265" s="1" t="s">
        <v>20015</v>
      </c>
      <c r="FT2265" s="1" t="s">
        <v>1408</v>
      </c>
      <c r="FU2265" s="1" t="s">
        <v>204</v>
      </c>
      <c r="FW2265" s="1" t="s">
        <v>20016</v>
      </c>
      <c r="FX2265" s="1">
        <v>24215</v>
      </c>
      <c r="FY2265" s="1" t="s">
        <v>20017</v>
      </c>
      <c r="FZ2265" s="1" t="s">
        <v>20018</v>
      </c>
      <c r="GA2265" s="1">
        <v>235647</v>
      </c>
      <c r="GB2265" s="1" t="s">
        <v>20019</v>
      </c>
      <c r="GE2265" s="1" t="s">
        <v>210</v>
      </c>
      <c r="GI2265" s="1" t="s">
        <v>213</v>
      </c>
      <c r="GJ2265" s="1" t="s">
        <v>260</v>
      </c>
      <c r="GK2265" s="1" t="s">
        <v>210</v>
      </c>
      <c r="GL2265" s="2">
        <v>42104</v>
      </c>
    </row>
    <row r="2266" spans="1:195">
      <c r="A2266" s="1">
        <v>46500</v>
      </c>
      <c r="B2266" s="1" t="s">
        <v>195</v>
      </c>
      <c r="C2266" s="1" t="str">
        <f>"08811877"</f>
        <v>08811877</v>
      </c>
      <c r="D2266" s="1" t="s">
        <v>196</v>
      </c>
      <c r="F2266" s="1" t="str">
        <f t="shared" si="1733"/>
        <v>560</v>
      </c>
      <c r="G2266" s="2">
        <v>42011</v>
      </c>
      <c r="H2266" s="1">
        <v>46000</v>
      </c>
      <c r="I2266" s="1">
        <v>46000</v>
      </c>
      <c r="J2266" s="1">
        <v>46500</v>
      </c>
      <c r="K2266" s="2">
        <v>42011</v>
      </c>
      <c r="L2266" s="1">
        <v>15</v>
      </c>
      <c r="M2266" s="2">
        <v>42025</v>
      </c>
      <c r="N2266" s="1">
        <v>15</v>
      </c>
      <c r="O2266" s="2">
        <v>42025</v>
      </c>
      <c r="P2266" s="1">
        <v>22737</v>
      </c>
      <c r="Q2266" s="1" t="s">
        <v>302</v>
      </c>
      <c r="R2266" s="2">
        <v>42069</v>
      </c>
      <c r="S2266" s="1">
        <v>257004</v>
      </c>
      <c r="U2266" s="1">
        <v>124</v>
      </c>
      <c r="V2266" s="1" t="s">
        <v>482</v>
      </c>
      <c r="W2266" s="1" t="s">
        <v>264</v>
      </c>
      <c r="X2266" s="1" t="s">
        <v>483</v>
      </c>
      <c r="Y2266" s="1">
        <v>8</v>
      </c>
      <c r="Z2266" s="1" t="s">
        <v>249</v>
      </c>
      <c r="AA2266" s="1" t="s">
        <v>484</v>
      </c>
      <c r="AB2266" s="1">
        <v>60560</v>
      </c>
      <c r="AD2266" s="1" t="s">
        <v>485</v>
      </c>
      <c r="AE2266" s="1" t="s">
        <v>20020</v>
      </c>
      <c r="AF2266" s="1">
        <v>2006</v>
      </c>
      <c r="AG2266" s="1" t="s">
        <v>204</v>
      </c>
      <c r="AH2266" s="1" t="s">
        <v>487</v>
      </c>
      <c r="AI2266" s="1" t="s">
        <v>453</v>
      </c>
      <c r="AJ2266" s="1" t="s">
        <v>454</v>
      </c>
      <c r="AK2266" s="1" t="s">
        <v>19233</v>
      </c>
      <c r="AL2266" s="1">
        <v>5</v>
      </c>
      <c r="AM2266" s="1">
        <v>2</v>
      </c>
      <c r="AN2266" s="1">
        <v>2</v>
      </c>
      <c r="AO2266" s="1">
        <v>0</v>
      </c>
      <c r="AP2266" s="1" t="s">
        <v>209</v>
      </c>
      <c r="AR2266" s="1" t="s">
        <v>210</v>
      </c>
      <c r="AS2266" s="1" t="s">
        <v>204</v>
      </c>
      <c r="AT2266" s="1" t="s">
        <v>211</v>
      </c>
      <c r="AU2266" s="1">
        <v>1</v>
      </c>
      <c r="AW2266" s="1" t="s">
        <v>204</v>
      </c>
      <c r="AX2266" s="1" t="s">
        <v>4740</v>
      </c>
      <c r="AZ2266" s="1">
        <v>3690.08</v>
      </c>
      <c r="BA2266" s="1">
        <v>2012</v>
      </c>
      <c r="BB2266" s="1" t="s">
        <v>210</v>
      </c>
      <c r="BE2266" s="1">
        <v>1049</v>
      </c>
      <c r="BF2266" s="1">
        <v>1</v>
      </c>
      <c r="BG2266" s="1">
        <v>0</v>
      </c>
      <c r="BL2266" s="1">
        <v>190</v>
      </c>
      <c r="BM2266" s="1" t="s">
        <v>213</v>
      </c>
      <c r="BN2266" s="1" t="s">
        <v>213</v>
      </c>
      <c r="BO2266" s="1">
        <v>999</v>
      </c>
      <c r="BP2266" s="1" t="s">
        <v>204</v>
      </c>
      <c r="BR2266" s="1" t="str">
        <f>"0204390038"</f>
        <v>0204390038</v>
      </c>
      <c r="BT2266" s="1" t="s">
        <v>20021</v>
      </c>
      <c r="BX2266" s="1">
        <v>115</v>
      </c>
      <c r="BY2266" s="1">
        <v>115</v>
      </c>
      <c r="BZ2266" s="1">
        <v>115</v>
      </c>
      <c r="CB2266" s="1" t="str">
        <f t="shared" ref="CB2266:CC2266" si="1735">"0"</f>
        <v>0</v>
      </c>
      <c r="CC2266" s="1" t="str">
        <f t="shared" si="1735"/>
        <v>0</v>
      </c>
      <c r="CD2266" s="1">
        <v>42</v>
      </c>
      <c r="CE2266" s="1">
        <v>10</v>
      </c>
      <c r="CG2266" s="1" t="s">
        <v>344</v>
      </c>
      <c r="CH2266" s="1" t="s">
        <v>219</v>
      </c>
      <c r="CI2266" s="1" t="s">
        <v>220</v>
      </c>
      <c r="CK2266" s="1" t="s">
        <v>278</v>
      </c>
      <c r="CL2266" s="1" t="s">
        <v>219</v>
      </c>
      <c r="CM2266" s="1" t="s">
        <v>220</v>
      </c>
      <c r="CO2266" s="1" t="s">
        <v>316</v>
      </c>
      <c r="CP2266" s="1" t="s">
        <v>219</v>
      </c>
      <c r="CQ2266" s="1" t="s">
        <v>220</v>
      </c>
      <c r="CS2266" s="1" t="s">
        <v>932</v>
      </c>
      <c r="CT2266" s="1" t="s">
        <v>219</v>
      </c>
      <c r="CU2266" s="1" t="s">
        <v>220</v>
      </c>
      <c r="CX2266" s="1" t="s">
        <v>224</v>
      </c>
      <c r="DB2266" s="1" t="s">
        <v>224</v>
      </c>
      <c r="DE2266" s="1" t="s">
        <v>836</v>
      </c>
      <c r="DF2266" s="1" t="s">
        <v>219</v>
      </c>
      <c r="DG2266" s="1" t="s">
        <v>438</v>
      </c>
      <c r="DJ2266" s="1" t="s">
        <v>224</v>
      </c>
      <c r="DS2266" s="1" t="s">
        <v>230</v>
      </c>
      <c r="DW2266" s="1" t="s">
        <v>230</v>
      </c>
      <c r="EA2266" s="1" t="s">
        <v>230</v>
      </c>
      <c r="EE2266" s="1" t="s">
        <v>230</v>
      </c>
      <c r="EI2266" s="1" t="s">
        <v>230</v>
      </c>
      <c r="EL2266" s="1" t="s">
        <v>491</v>
      </c>
      <c r="EM2266" s="1" t="s">
        <v>319</v>
      </c>
      <c r="EN2266" s="1" t="s">
        <v>20022</v>
      </c>
      <c r="EO2266" s="1" t="s">
        <v>234</v>
      </c>
      <c r="EP2266" s="1" t="s">
        <v>20023</v>
      </c>
      <c r="ER2266" s="1" t="s">
        <v>210</v>
      </c>
      <c r="ES2266" s="1" t="s">
        <v>608</v>
      </c>
      <c r="EV2266" s="1" t="s">
        <v>240</v>
      </c>
      <c r="EW2266" s="1" t="s">
        <v>494</v>
      </c>
      <c r="EY2266" s="1" t="s">
        <v>441</v>
      </c>
      <c r="EZ2266" s="1" t="s">
        <v>287</v>
      </c>
      <c r="FD2266" s="1" t="s">
        <v>246</v>
      </c>
      <c r="FE2266" s="1" t="s">
        <v>975</v>
      </c>
      <c r="FF2266" s="1" t="s">
        <v>248</v>
      </c>
      <c r="FH2266" s="1" t="s">
        <v>249</v>
      </c>
      <c r="FI2266" s="1" t="s">
        <v>473</v>
      </c>
      <c r="FL2266" s="1" t="s">
        <v>20024</v>
      </c>
      <c r="FM2266" s="1" t="s">
        <v>252</v>
      </c>
      <c r="FN2266" s="1" t="s">
        <v>213</v>
      </c>
      <c r="FO2266" s="1" t="s">
        <v>213</v>
      </c>
      <c r="FQ2266" s="1" t="s">
        <v>582</v>
      </c>
      <c r="FR2266" s="1" t="s">
        <v>210</v>
      </c>
      <c r="FS2266" s="1" t="s">
        <v>5209</v>
      </c>
      <c r="FT2266" s="1" t="s">
        <v>654</v>
      </c>
      <c r="FU2266" s="1" t="s">
        <v>204</v>
      </c>
      <c r="FW2266" s="1" t="s">
        <v>3015</v>
      </c>
      <c r="FX2266" s="1">
        <v>24199</v>
      </c>
      <c r="FY2266" s="1" t="s">
        <v>3016</v>
      </c>
      <c r="FZ2266" s="1" t="s">
        <v>3017</v>
      </c>
      <c r="GA2266" s="1">
        <v>235607</v>
      </c>
      <c r="GB2266" s="1" t="s">
        <v>3018</v>
      </c>
      <c r="GC2266" s="1">
        <v>237175</v>
      </c>
      <c r="GE2266" s="1" t="s">
        <v>210</v>
      </c>
      <c r="GI2266" s="1" t="s">
        <v>204</v>
      </c>
      <c r="GJ2266" s="1" t="s">
        <v>260</v>
      </c>
      <c r="GK2266" s="1" t="s">
        <v>210</v>
      </c>
      <c r="GL2266" s="2">
        <v>42073</v>
      </c>
      <c r="GM2266" s="1" t="s">
        <v>20025</v>
      </c>
    </row>
    <row r="2267" spans="1:195">
      <c r="A2267" s="1">
        <v>80000</v>
      </c>
      <c r="B2267" s="1" t="s">
        <v>195</v>
      </c>
      <c r="C2267" s="1" t="str">
        <f>"08812793"</f>
        <v>08812793</v>
      </c>
      <c r="D2267" s="1" t="s">
        <v>196</v>
      </c>
      <c r="F2267" s="1" t="str">
        <f>"31"</f>
        <v>31</v>
      </c>
      <c r="G2267" s="2">
        <v>42013</v>
      </c>
      <c r="H2267" s="1">
        <v>84900</v>
      </c>
      <c r="I2267" s="1">
        <v>84900</v>
      </c>
      <c r="J2267" s="1">
        <v>80000</v>
      </c>
      <c r="K2267" s="2">
        <v>42011</v>
      </c>
      <c r="L2267" s="1">
        <v>2</v>
      </c>
      <c r="M2267" s="2">
        <v>42012</v>
      </c>
      <c r="N2267" s="1">
        <v>2</v>
      </c>
      <c r="O2267" s="2">
        <v>42012</v>
      </c>
      <c r="P2267" s="1">
        <v>2644</v>
      </c>
      <c r="Q2267" s="1" t="s">
        <v>197</v>
      </c>
      <c r="R2267" s="2">
        <v>42055</v>
      </c>
      <c r="S2267" s="1">
        <v>16586</v>
      </c>
      <c r="U2267" s="1">
        <v>930</v>
      </c>
      <c r="V2267" s="1" t="s">
        <v>20026</v>
      </c>
      <c r="W2267" s="1" t="s">
        <v>264</v>
      </c>
      <c r="X2267" s="1">
        <v>107</v>
      </c>
      <c r="Y2267" s="1">
        <v>47</v>
      </c>
      <c r="Z2267" s="1" t="s">
        <v>370</v>
      </c>
      <c r="AA2267" s="1" t="s">
        <v>1057</v>
      </c>
      <c r="AB2267" s="1">
        <v>60031</v>
      </c>
      <c r="AD2267" s="1" t="s">
        <v>4200</v>
      </c>
      <c r="AE2267" s="1" t="s">
        <v>20027</v>
      </c>
      <c r="AF2267" s="1">
        <v>1978</v>
      </c>
      <c r="AG2267" s="1" t="s">
        <v>204</v>
      </c>
      <c r="AH2267" s="1" t="s">
        <v>1060</v>
      </c>
      <c r="AI2267" s="1" t="s">
        <v>509</v>
      </c>
      <c r="AJ2267" s="1" t="s">
        <v>1061</v>
      </c>
      <c r="AK2267" s="1" t="s">
        <v>16535</v>
      </c>
      <c r="AL2267" s="1">
        <v>5</v>
      </c>
      <c r="AM2267" s="1">
        <v>2</v>
      </c>
      <c r="AN2267" s="1">
        <v>2</v>
      </c>
      <c r="AO2267" s="1">
        <v>0</v>
      </c>
      <c r="AP2267" s="1" t="s">
        <v>209</v>
      </c>
      <c r="AR2267" s="1" t="s">
        <v>210</v>
      </c>
      <c r="AS2267" s="1" t="s">
        <v>204</v>
      </c>
      <c r="AT2267" s="1" t="s">
        <v>211</v>
      </c>
      <c r="AU2267" s="1">
        <v>1</v>
      </c>
      <c r="AW2267" s="1" t="s">
        <v>204</v>
      </c>
      <c r="AX2267" s="1" t="s">
        <v>212</v>
      </c>
      <c r="AZ2267" s="1">
        <v>1910.52</v>
      </c>
      <c r="BA2267" s="1">
        <v>2013</v>
      </c>
      <c r="BB2267" s="1" t="s">
        <v>405</v>
      </c>
      <c r="BE2267" s="1">
        <v>1200</v>
      </c>
      <c r="BF2267" s="1">
        <v>1</v>
      </c>
      <c r="BG2267" s="1">
        <v>0</v>
      </c>
      <c r="BL2267" s="1">
        <v>375</v>
      </c>
      <c r="BM2267" s="1" t="s">
        <v>204</v>
      </c>
      <c r="BN2267" s="1" t="s">
        <v>213</v>
      </c>
      <c r="BO2267" s="1">
        <v>999</v>
      </c>
      <c r="BP2267" s="1" t="s">
        <v>204</v>
      </c>
      <c r="BR2267" s="1" t="str">
        <f>"07284060070000"</f>
        <v>07284060070000</v>
      </c>
      <c r="BT2267" s="1" t="s">
        <v>20028</v>
      </c>
      <c r="BU2267" s="1" t="s">
        <v>1064</v>
      </c>
      <c r="BV2267" s="1" t="s">
        <v>1065</v>
      </c>
      <c r="BW2267" s="1" t="s">
        <v>1066</v>
      </c>
      <c r="BX2267" s="1">
        <v>50</v>
      </c>
      <c r="BY2267" s="1">
        <v>50</v>
      </c>
      <c r="BZ2267" s="1">
        <v>121</v>
      </c>
      <c r="CB2267" s="1" t="str">
        <f>"33"</f>
        <v>33</v>
      </c>
      <c r="CC2267" s="1" t="str">
        <f>"0"</f>
        <v>0</v>
      </c>
      <c r="CD2267" s="1">
        <v>16</v>
      </c>
      <c r="CE2267" s="1">
        <v>0</v>
      </c>
      <c r="CG2267" s="1" t="s">
        <v>2402</v>
      </c>
      <c r="CH2267" s="1" t="s">
        <v>685</v>
      </c>
      <c r="CI2267" s="1" t="s">
        <v>220</v>
      </c>
      <c r="CK2267" s="1" t="s">
        <v>1004</v>
      </c>
      <c r="CL2267" s="1" t="s">
        <v>685</v>
      </c>
      <c r="CM2267" s="1" t="s">
        <v>220</v>
      </c>
      <c r="CO2267" s="1" t="s">
        <v>516</v>
      </c>
      <c r="CP2267" s="1" t="s">
        <v>685</v>
      </c>
      <c r="CQ2267" s="1" t="s">
        <v>220</v>
      </c>
      <c r="CS2267" s="1" t="s">
        <v>1358</v>
      </c>
      <c r="CT2267" s="1" t="s">
        <v>685</v>
      </c>
      <c r="CU2267" s="1" t="s">
        <v>220</v>
      </c>
      <c r="CX2267" s="1" t="s">
        <v>224</v>
      </c>
      <c r="DB2267" s="1" t="s">
        <v>224</v>
      </c>
      <c r="DE2267" s="1" t="s">
        <v>222</v>
      </c>
      <c r="DF2267" s="1" t="s">
        <v>685</v>
      </c>
      <c r="DG2267" s="1" t="s">
        <v>342</v>
      </c>
      <c r="DJ2267" s="1" t="s">
        <v>224</v>
      </c>
      <c r="DS2267" s="1" t="s">
        <v>230</v>
      </c>
      <c r="DW2267" s="1" t="s">
        <v>230</v>
      </c>
      <c r="EA2267" s="1" t="s">
        <v>230</v>
      </c>
      <c r="EE2267" s="1" t="s">
        <v>230</v>
      </c>
      <c r="EI2267" s="1" t="s">
        <v>230</v>
      </c>
      <c r="EL2267" s="1" t="s">
        <v>231</v>
      </c>
      <c r="EM2267" s="1" t="s">
        <v>319</v>
      </c>
      <c r="EN2267" s="1" t="s">
        <v>282</v>
      </c>
      <c r="EO2267" s="1" t="s">
        <v>234</v>
      </c>
      <c r="EP2267" s="1" t="s">
        <v>20029</v>
      </c>
      <c r="EQ2267" s="1" t="s">
        <v>1094</v>
      </c>
      <c r="ER2267" s="1" t="s">
        <v>210</v>
      </c>
      <c r="EU2267" s="1" t="s">
        <v>610</v>
      </c>
      <c r="EV2267" s="1" t="s">
        <v>324</v>
      </c>
      <c r="EW2267" s="1" t="s">
        <v>20030</v>
      </c>
      <c r="EZ2267" s="1" t="s">
        <v>287</v>
      </c>
      <c r="FB2267" s="1" t="s">
        <v>244</v>
      </c>
      <c r="FD2267" s="1" t="s">
        <v>736</v>
      </c>
      <c r="FE2267" s="1" t="s">
        <v>247</v>
      </c>
      <c r="FF2267" s="1" t="s">
        <v>248</v>
      </c>
      <c r="FH2267" s="1" t="s">
        <v>249</v>
      </c>
      <c r="FI2267" s="1" t="s">
        <v>473</v>
      </c>
      <c r="FL2267" s="1" t="s">
        <v>1073</v>
      </c>
      <c r="FM2267" s="1" t="s">
        <v>252</v>
      </c>
      <c r="FN2267" s="1" t="s">
        <v>213</v>
      </c>
      <c r="FO2267" s="1" t="s">
        <v>213</v>
      </c>
      <c r="FQ2267" s="1" t="s">
        <v>329</v>
      </c>
      <c r="FR2267" s="1" t="s">
        <v>210</v>
      </c>
      <c r="FS2267" s="1" t="s">
        <v>2588</v>
      </c>
      <c r="FT2267" s="1" t="s">
        <v>2589</v>
      </c>
      <c r="FU2267" s="1" t="s">
        <v>204</v>
      </c>
      <c r="FW2267" s="1" t="s">
        <v>2590</v>
      </c>
      <c r="FX2267" s="1">
        <v>2644</v>
      </c>
      <c r="FY2267" s="1" t="s">
        <v>2591</v>
      </c>
      <c r="FZ2267" s="1" t="s">
        <v>2592</v>
      </c>
      <c r="GA2267" s="1">
        <v>16586</v>
      </c>
      <c r="GB2267" s="1" t="s">
        <v>2593</v>
      </c>
      <c r="GD2267" s="1" t="s">
        <v>2594</v>
      </c>
      <c r="GE2267" s="1" t="s">
        <v>480</v>
      </c>
      <c r="GI2267" s="1" t="s">
        <v>213</v>
      </c>
      <c r="GJ2267" s="1" t="s">
        <v>260</v>
      </c>
      <c r="GK2267" s="1" t="s">
        <v>210</v>
      </c>
      <c r="GL2267" s="2">
        <v>42055</v>
      </c>
    </row>
    <row r="2268" spans="1:195">
      <c r="A2268" s="1">
        <v>136000</v>
      </c>
      <c r="B2268" s="1" t="s">
        <v>195</v>
      </c>
      <c r="C2268" s="1" t="str">
        <f>"08812840"</f>
        <v>08812840</v>
      </c>
      <c r="D2268" s="1" t="s">
        <v>196</v>
      </c>
      <c r="F2268" s="1" t="str">
        <f>"507"</f>
        <v>507</v>
      </c>
      <c r="G2268" s="2">
        <v>42013</v>
      </c>
      <c r="H2268" s="1">
        <v>149900</v>
      </c>
      <c r="I2268" s="1">
        <v>149900</v>
      </c>
      <c r="J2268" s="1">
        <v>136000</v>
      </c>
      <c r="K2268" s="2">
        <v>42013</v>
      </c>
      <c r="L2268" s="1">
        <v>7</v>
      </c>
      <c r="M2268" s="2">
        <v>42019</v>
      </c>
      <c r="N2268" s="1">
        <v>7</v>
      </c>
      <c r="O2268" s="2">
        <v>42019</v>
      </c>
      <c r="P2268" s="1">
        <v>25163</v>
      </c>
      <c r="Q2268" s="1" t="s">
        <v>423</v>
      </c>
      <c r="R2268" s="2">
        <v>42062</v>
      </c>
      <c r="S2268" s="1">
        <v>253931</v>
      </c>
      <c r="U2268" s="1">
        <v>2942</v>
      </c>
      <c r="V2268" s="1" t="s">
        <v>6974</v>
      </c>
      <c r="W2268" s="1" t="s">
        <v>449</v>
      </c>
      <c r="Y2268" s="1">
        <v>6</v>
      </c>
      <c r="Z2268" s="1" t="s">
        <v>200</v>
      </c>
      <c r="AA2268" s="1" t="s">
        <v>1123</v>
      </c>
      <c r="AB2268" s="1">
        <v>60504</v>
      </c>
      <c r="AD2268" s="1" t="s">
        <v>14011</v>
      </c>
      <c r="AE2268" s="1" t="s">
        <v>20031</v>
      </c>
      <c r="AF2268" s="1">
        <v>1997</v>
      </c>
      <c r="AG2268" s="1" t="s">
        <v>204</v>
      </c>
      <c r="AH2268" s="1" t="s">
        <v>1126</v>
      </c>
      <c r="AI2268" s="1" t="s">
        <v>206</v>
      </c>
      <c r="AJ2268" s="1" t="s">
        <v>924</v>
      </c>
      <c r="AK2268" s="1" t="s">
        <v>1310</v>
      </c>
      <c r="AL2268" s="1">
        <v>4</v>
      </c>
      <c r="AM2268" s="1">
        <v>2</v>
      </c>
      <c r="AN2268" s="1">
        <v>2</v>
      </c>
      <c r="AO2268" s="1">
        <v>1</v>
      </c>
      <c r="AP2268" s="1" t="s">
        <v>209</v>
      </c>
      <c r="AR2268" s="1" t="s">
        <v>210</v>
      </c>
      <c r="AS2268" s="1" t="s">
        <v>204</v>
      </c>
      <c r="AT2268" s="1" t="s">
        <v>211</v>
      </c>
      <c r="AU2268" s="1">
        <v>1</v>
      </c>
      <c r="AW2268" s="1" t="s">
        <v>204</v>
      </c>
      <c r="AX2268" s="1" t="s">
        <v>212</v>
      </c>
      <c r="AZ2268" s="1">
        <v>2992</v>
      </c>
      <c r="BA2268" s="1">
        <v>2013</v>
      </c>
      <c r="BB2268" s="1" t="s">
        <v>405</v>
      </c>
      <c r="BE2268" s="1">
        <v>1336</v>
      </c>
      <c r="BF2268" s="1">
        <v>1</v>
      </c>
      <c r="BG2268" s="1">
        <v>0</v>
      </c>
      <c r="BL2268" s="1">
        <v>199</v>
      </c>
      <c r="BM2268" s="1" t="s">
        <v>204</v>
      </c>
      <c r="BN2268" s="1" t="s">
        <v>213</v>
      </c>
      <c r="BO2268" s="1">
        <v>99</v>
      </c>
      <c r="BP2268" s="1" t="s">
        <v>204</v>
      </c>
      <c r="BR2268" s="1" t="str">
        <f>"0720313194"</f>
        <v>0720313194</v>
      </c>
      <c r="BT2268" s="1" t="s">
        <v>20032</v>
      </c>
      <c r="BU2268" s="1" t="s">
        <v>1647</v>
      </c>
      <c r="BV2268" s="1" t="s">
        <v>1648</v>
      </c>
      <c r="BW2268" s="1" t="s">
        <v>1312</v>
      </c>
      <c r="BX2268" s="1">
        <v>204</v>
      </c>
      <c r="BY2268" s="1">
        <v>204</v>
      </c>
      <c r="BZ2268" s="1">
        <v>204</v>
      </c>
      <c r="CB2268" s="1" t="str">
        <f t="shared" ref="CB2268:CC2268" si="1736">"0"</f>
        <v>0</v>
      </c>
      <c r="CC2268" s="1" t="str">
        <f t="shared" si="1736"/>
        <v>0</v>
      </c>
      <c r="CD2268" s="1">
        <v>31</v>
      </c>
      <c r="CE2268" s="1">
        <v>7</v>
      </c>
      <c r="CH2268" s="1" t="s">
        <v>224</v>
      </c>
      <c r="CK2268" s="1" t="s">
        <v>729</v>
      </c>
      <c r="CL2268" s="1" t="s">
        <v>277</v>
      </c>
      <c r="CM2268" s="1" t="s">
        <v>220</v>
      </c>
      <c r="CP2268" s="1" t="s">
        <v>224</v>
      </c>
      <c r="CS2268" s="1" t="s">
        <v>1297</v>
      </c>
      <c r="CT2268" s="1" t="s">
        <v>277</v>
      </c>
      <c r="CU2268" s="1" t="s">
        <v>220</v>
      </c>
      <c r="CX2268" s="1" t="s">
        <v>224</v>
      </c>
      <c r="DB2268" s="1" t="s">
        <v>224</v>
      </c>
      <c r="DE2268" s="1" t="s">
        <v>378</v>
      </c>
      <c r="DF2268" s="1" t="s">
        <v>219</v>
      </c>
      <c r="DG2268" s="1" t="s">
        <v>438</v>
      </c>
      <c r="DH2268" s="1" t="s">
        <v>210</v>
      </c>
      <c r="DI2268" s="1" t="s">
        <v>2511</v>
      </c>
      <c r="DJ2268" s="1" t="s">
        <v>219</v>
      </c>
      <c r="DK2268" s="1" t="s">
        <v>220</v>
      </c>
      <c r="DS2268" s="1" t="s">
        <v>230</v>
      </c>
      <c r="DW2268" s="1" t="s">
        <v>230</v>
      </c>
      <c r="EA2268" s="1" t="s">
        <v>230</v>
      </c>
      <c r="EE2268" s="1" t="s">
        <v>230</v>
      </c>
      <c r="EI2268" s="1" t="s">
        <v>230</v>
      </c>
      <c r="EL2268" s="1" t="s">
        <v>670</v>
      </c>
      <c r="EM2268" s="1" t="s">
        <v>232</v>
      </c>
      <c r="EN2268" s="1" t="s">
        <v>282</v>
      </c>
      <c r="EO2268" s="1" t="s">
        <v>234</v>
      </c>
      <c r="EP2268" s="1" t="s">
        <v>650</v>
      </c>
      <c r="EQ2268" s="1" t="s">
        <v>1094</v>
      </c>
      <c r="ER2268" s="1" t="s">
        <v>210</v>
      </c>
      <c r="ES2268" s="1" t="s">
        <v>3932</v>
      </c>
      <c r="ET2268" s="1" t="s">
        <v>842</v>
      </c>
      <c r="EW2268" s="1" t="s">
        <v>353</v>
      </c>
      <c r="EY2268" s="1" t="s">
        <v>242</v>
      </c>
      <c r="EZ2268" s="1" t="s">
        <v>287</v>
      </c>
      <c r="FA2268" s="1" t="s">
        <v>2333</v>
      </c>
      <c r="FD2268" s="1" t="s">
        <v>246</v>
      </c>
      <c r="FE2268" s="1" t="s">
        <v>247</v>
      </c>
      <c r="FF2268" s="1" t="s">
        <v>248</v>
      </c>
      <c r="FH2268" s="1" t="s">
        <v>940</v>
      </c>
      <c r="FI2268" s="1" t="s">
        <v>473</v>
      </c>
      <c r="FL2268" s="1" t="s">
        <v>358</v>
      </c>
      <c r="FM2268" s="1" t="s">
        <v>252</v>
      </c>
      <c r="FN2268" s="1" t="s">
        <v>213</v>
      </c>
      <c r="FO2268" s="1" t="s">
        <v>213</v>
      </c>
      <c r="FQ2268" s="1" t="s">
        <v>6026</v>
      </c>
      <c r="FR2268" s="1" t="s">
        <v>210</v>
      </c>
      <c r="FS2268" s="1" t="s">
        <v>20033</v>
      </c>
      <c r="FT2268" s="1" t="s">
        <v>20034</v>
      </c>
      <c r="FU2268" s="1" t="s">
        <v>204</v>
      </c>
      <c r="FW2268" s="1" t="s">
        <v>915</v>
      </c>
      <c r="FX2268" s="1">
        <v>25088</v>
      </c>
      <c r="FY2268" s="1" t="s">
        <v>1761</v>
      </c>
      <c r="FZ2268" s="1" t="s">
        <v>7796</v>
      </c>
      <c r="GA2268" s="1">
        <v>217185</v>
      </c>
      <c r="GB2268" s="1" t="s">
        <v>7797</v>
      </c>
      <c r="GC2268" s="1">
        <v>243375</v>
      </c>
      <c r="GE2268" s="1" t="s">
        <v>480</v>
      </c>
      <c r="GI2268" s="1" t="s">
        <v>213</v>
      </c>
      <c r="GJ2268" s="1" t="s">
        <v>300</v>
      </c>
      <c r="GK2268" s="1" t="s">
        <v>210</v>
      </c>
      <c r="GL2268" s="2">
        <v>42062</v>
      </c>
      <c r="GM2268" s="1" t="s">
        <v>20035</v>
      </c>
    </row>
    <row r="2269" spans="1:195">
      <c r="A2269" s="1">
        <v>170000</v>
      </c>
      <c r="B2269" s="1" t="s">
        <v>195</v>
      </c>
      <c r="C2269" s="1" t="str">
        <f>"08827316"</f>
        <v>08827316</v>
      </c>
      <c r="D2269" s="1" t="s">
        <v>196</v>
      </c>
      <c r="F2269" s="1" t="str">
        <f>"172"</f>
        <v>172</v>
      </c>
      <c r="G2269" s="2">
        <v>42034</v>
      </c>
      <c r="H2269" s="1">
        <v>168900</v>
      </c>
      <c r="I2269" s="1">
        <v>168900</v>
      </c>
      <c r="J2269" s="1">
        <v>170000</v>
      </c>
      <c r="K2269" s="2">
        <v>42034</v>
      </c>
      <c r="L2269" s="1">
        <v>13</v>
      </c>
      <c r="M2269" s="2">
        <v>42046</v>
      </c>
      <c r="N2269" s="1">
        <v>13</v>
      </c>
      <c r="O2269" s="2">
        <v>42046</v>
      </c>
      <c r="P2269" s="1">
        <v>24229</v>
      </c>
      <c r="Q2269" s="1" t="s">
        <v>302</v>
      </c>
      <c r="R2269" s="2">
        <v>42090</v>
      </c>
      <c r="S2269" s="1">
        <v>243610</v>
      </c>
      <c r="U2269" s="1">
        <v>17</v>
      </c>
      <c r="V2269" s="1" t="s">
        <v>12306</v>
      </c>
      <c r="W2269" s="1" t="s">
        <v>425</v>
      </c>
      <c r="X2269" s="1">
        <v>401</v>
      </c>
      <c r="Y2269" s="1">
        <v>40</v>
      </c>
      <c r="Z2269" s="1" t="s">
        <v>370</v>
      </c>
      <c r="AA2269" s="1" t="s">
        <v>266</v>
      </c>
      <c r="AB2269" s="1">
        <v>60172</v>
      </c>
      <c r="AD2269" s="1" t="s">
        <v>12307</v>
      </c>
      <c r="AE2269" s="1" t="s">
        <v>20036</v>
      </c>
      <c r="AF2269" s="1">
        <v>1999</v>
      </c>
      <c r="AG2269" s="1" t="s">
        <v>204</v>
      </c>
      <c r="AH2269" s="1" t="s">
        <v>3952</v>
      </c>
      <c r="AI2269" s="1" t="s">
        <v>206</v>
      </c>
      <c r="AJ2269" s="1" t="s">
        <v>269</v>
      </c>
      <c r="AL2269" s="1">
        <v>4</v>
      </c>
      <c r="AM2269" s="1">
        <v>2</v>
      </c>
      <c r="AN2269" s="1">
        <v>2</v>
      </c>
      <c r="AO2269" s="1">
        <v>0</v>
      </c>
      <c r="AP2269" s="1" t="s">
        <v>209</v>
      </c>
      <c r="AR2269" s="1" t="s">
        <v>210</v>
      </c>
      <c r="AS2269" s="1" t="s">
        <v>204</v>
      </c>
      <c r="AT2269" s="1" t="s">
        <v>211</v>
      </c>
      <c r="AU2269" s="1">
        <v>2</v>
      </c>
      <c r="AW2269" s="1" t="s">
        <v>204</v>
      </c>
      <c r="AX2269" s="1" t="s">
        <v>212</v>
      </c>
      <c r="AZ2269" s="1">
        <v>3381</v>
      </c>
      <c r="BA2269" s="1">
        <v>2013</v>
      </c>
      <c r="BB2269" s="1" t="s">
        <v>405</v>
      </c>
      <c r="BE2269" s="1">
        <v>1260</v>
      </c>
      <c r="BF2269" s="1">
        <v>4</v>
      </c>
      <c r="BG2269" s="1">
        <v>7</v>
      </c>
      <c r="BJ2269" s="1">
        <v>100</v>
      </c>
      <c r="BL2269" s="1">
        <v>334</v>
      </c>
      <c r="BM2269" s="1" t="s">
        <v>204</v>
      </c>
      <c r="BN2269" s="1" t="s">
        <v>213</v>
      </c>
      <c r="BO2269" s="1">
        <v>45</v>
      </c>
      <c r="BP2269" s="1" t="s">
        <v>204</v>
      </c>
      <c r="BR2269" s="1" t="str">
        <f>"0203219003"</f>
        <v>0203219003</v>
      </c>
      <c r="BT2269" s="1" t="s">
        <v>20037</v>
      </c>
      <c r="BU2269" s="1" t="s">
        <v>9447</v>
      </c>
      <c r="BV2269" s="1" t="s">
        <v>9448</v>
      </c>
      <c r="BW2269" s="1" t="s">
        <v>275</v>
      </c>
      <c r="BX2269" s="1">
        <v>12</v>
      </c>
      <c r="BY2269" s="1">
        <v>12</v>
      </c>
      <c r="BZ2269" s="1">
        <v>108</v>
      </c>
      <c r="CB2269" s="1" t="str">
        <f>"7"</f>
        <v>7</v>
      </c>
      <c r="CC2269" s="1" t="str">
        <f t="shared" ref="CC2269:CC2270" si="1737">"0"</f>
        <v>0</v>
      </c>
      <c r="CD2269" s="1">
        <v>23</v>
      </c>
      <c r="CE2269" s="1">
        <v>0</v>
      </c>
      <c r="CG2269" s="1" t="s">
        <v>1723</v>
      </c>
      <c r="CH2269" s="1" t="s">
        <v>685</v>
      </c>
      <c r="CI2269" s="1" t="s">
        <v>229</v>
      </c>
      <c r="CJ2269" s="1" t="s">
        <v>343</v>
      </c>
      <c r="CK2269" s="1" t="s">
        <v>757</v>
      </c>
      <c r="CL2269" s="1" t="s">
        <v>685</v>
      </c>
      <c r="CM2269" s="1" t="s">
        <v>229</v>
      </c>
      <c r="CN2269" s="1" t="s">
        <v>343</v>
      </c>
      <c r="CP2269" s="1" t="s">
        <v>224</v>
      </c>
      <c r="CS2269" s="1" t="s">
        <v>1358</v>
      </c>
      <c r="CT2269" s="1" t="s">
        <v>685</v>
      </c>
      <c r="CU2269" s="1" t="s">
        <v>229</v>
      </c>
      <c r="CX2269" s="1" t="s">
        <v>224</v>
      </c>
      <c r="DB2269" s="1" t="s">
        <v>224</v>
      </c>
      <c r="DE2269" s="1" t="s">
        <v>565</v>
      </c>
      <c r="DF2269" s="1" t="s">
        <v>685</v>
      </c>
      <c r="DG2269" s="1" t="s">
        <v>226</v>
      </c>
      <c r="DH2269" s="1" t="s">
        <v>343</v>
      </c>
      <c r="DJ2269" s="1" t="s">
        <v>224</v>
      </c>
      <c r="DS2269" s="1" t="s">
        <v>230</v>
      </c>
      <c r="DW2269" s="1" t="s">
        <v>230</v>
      </c>
      <c r="EA2269" s="1" t="s">
        <v>230</v>
      </c>
      <c r="EE2269" s="1" t="s">
        <v>230</v>
      </c>
      <c r="EI2269" s="1" t="s">
        <v>230</v>
      </c>
      <c r="EL2269" s="1" t="s">
        <v>670</v>
      </c>
      <c r="EM2269" s="1" t="s">
        <v>232</v>
      </c>
      <c r="EN2269" s="1" t="s">
        <v>282</v>
      </c>
      <c r="EO2269" s="1" t="s">
        <v>234</v>
      </c>
      <c r="EP2269" s="1" t="s">
        <v>10476</v>
      </c>
      <c r="EQ2269" s="1" t="s">
        <v>236</v>
      </c>
      <c r="ER2269" s="1" t="s">
        <v>383</v>
      </c>
      <c r="ES2269" s="1" t="s">
        <v>322</v>
      </c>
      <c r="EW2269" s="1" t="s">
        <v>10986</v>
      </c>
      <c r="EY2269" s="1" t="s">
        <v>242</v>
      </c>
      <c r="EZ2269" s="1" t="s">
        <v>287</v>
      </c>
      <c r="FA2269" s="1" t="s">
        <v>1270</v>
      </c>
      <c r="FB2269" s="1" t="s">
        <v>289</v>
      </c>
      <c r="FC2269" s="1" t="s">
        <v>548</v>
      </c>
      <c r="FD2269" s="1" t="s">
        <v>290</v>
      </c>
      <c r="FE2269" s="1" t="s">
        <v>247</v>
      </c>
      <c r="FF2269" s="1" t="s">
        <v>248</v>
      </c>
      <c r="FH2269" s="1" t="s">
        <v>249</v>
      </c>
      <c r="FI2269" s="1" t="s">
        <v>250</v>
      </c>
      <c r="FL2269" s="1" t="s">
        <v>5304</v>
      </c>
      <c r="FM2269" s="1" t="s">
        <v>252</v>
      </c>
      <c r="FN2269" s="1" t="s">
        <v>213</v>
      </c>
      <c r="FO2269" s="1" t="s">
        <v>213</v>
      </c>
      <c r="FQ2269" s="1" t="s">
        <v>3545</v>
      </c>
      <c r="FR2269" s="1" t="s">
        <v>210</v>
      </c>
      <c r="FS2269" s="1" t="s">
        <v>20038</v>
      </c>
      <c r="FT2269" s="1" t="s">
        <v>255</v>
      </c>
      <c r="FU2269" s="1" t="s">
        <v>204</v>
      </c>
      <c r="FW2269" s="1" t="s">
        <v>915</v>
      </c>
      <c r="FX2269" s="1">
        <v>25200</v>
      </c>
      <c r="FY2269" s="1" t="s">
        <v>6011</v>
      </c>
      <c r="FZ2269" s="1" t="s">
        <v>20039</v>
      </c>
      <c r="GA2269" s="1">
        <v>255870</v>
      </c>
      <c r="GB2269" s="1" t="s">
        <v>20040</v>
      </c>
      <c r="GC2269" s="1">
        <v>220619</v>
      </c>
      <c r="GE2269" s="1" t="s">
        <v>1333</v>
      </c>
      <c r="GH2269" s="1" t="s">
        <v>800</v>
      </c>
      <c r="GI2269" s="1" t="s">
        <v>213</v>
      </c>
      <c r="GJ2269" s="1" t="s">
        <v>260</v>
      </c>
      <c r="GK2269" s="1" t="s">
        <v>210</v>
      </c>
      <c r="GL2269" s="2">
        <v>42090</v>
      </c>
      <c r="GM2269" s="1" t="s">
        <v>20041</v>
      </c>
    </row>
    <row r="2270" spans="1:195">
      <c r="A2270" s="1">
        <v>136500</v>
      </c>
      <c r="B2270" s="1" t="s">
        <v>195</v>
      </c>
      <c r="C2270" s="1" t="str">
        <f>"08814841"</f>
        <v>08814841</v>
      </c>
      <c r="D2270" s="1" t="s">
        <v>196</v>
      </c>
      <c r="F2270" s="1" t="str">
        <f>"30"</f>
        <v>30</v>
      </c>
      <c r="G2270" s="2">
        <v>42016</v>
      </c>
      <c r="H2270" s="1">
        <v>138500</v>
      </c>
      <c r="I2270" s="1">
        <v>138500</v>
      </c>
      <c r="J2270" s="1">
        <v>136500</v>
      </c>
      <c r="K2270" s="2">
        <v>42016</v>
      </c>
      <c r="L2270" s="1">
        <v>119</v>
      </c>
      <c r="M2270" s="2">
        <v>42041</v>
      </c>
      <c r="N2270" s="1">
        <v>26</v>
      </c>
      <c r="O2270" s="2">
        <v>42041</v>
      </c>
      <c r="P2270" s="1">
        <v>8002</v>
      </c>
      <c r="Q2270" s="1" t="s">
        <v>423</v>
      </c>
      <c r="R2270" s="2">
        <v>42095</v>
      </c>
      <c r="S2270" s="1">
        <v>243799</v>
      </c>
      <c r="U2270" s="1">
        <v>884</v>
      </c>
      <c r="V2270" s="1" t="s">
        <v>16299</v>
      </c>
      <c r="W2270" s="1" t="s">
        <v>449</v>
      </c>
      <c r="Y2270" s="1">
        <v>4</v>
      </c>
      <c r="Z2270" s="1" t="s">
        <v>370</v>
      </c>
      <c r="AA2270" s="1" t="s">
        <v>1834</v>
      </c>
      <c r="AB2270" s="1">
        <v>60030</v>
      </c>
      <c r="AD2270" s="1" t="s">
        <v>20042</v>
      </c>
      <c r="AE2270" s="1" t="s">
        <v>20043</v>
      </c>
      <c r="AF2270" s="1">
        <v>1994</v>
      </c>
      <c r="AG2270" s="1" t="s">
        <v>204</v>
      </c>
      <c r="AH2270" s="1" t="s">
        <v>1837</v>
      </c>
      <c r="AI2270" s="1" t="s">
        <v>509</v>
      </c>
      <c r="AJ2270" s="1" t="s">
        <v>1263</v>
      </c>
      <c r="AL2270" s="1">
        <v>7</v>
      </c>
      <c r="AM2270" s="1">
        <v>2</v>
      </c>
      <c r="AN2270" s="1">
        <v>2</v>
      </c>
      <c r="AO2270" s="1">
        <v>1</v>
      </c>
      <c r="AP2270" s="1" t="s">
        <v>209</v>
      </c>
      <c r="AQ2270" s="1">
        <v>0</v>
      </c>
      <c r="AR2270" s="1" t="s">
        <v>1631</v>
      </c>
      <c r="AS2270" s="1" t="s">
        <v>204</v>
      </c>
      <c r="AT2270" s="1" t="s">
        <v>211</v>
      </c>
      <c r="AU2270" s="1">
        <v>2</v>
      </c>
      <c r="AW2270" s="1" t="s">
        <v>204</v>
      </c>
      <c r="AX2270" s="1" t="s">
        <v>212</v>
      </c>
      <c r="AZ2270" s="1">
        <v>5040.96</v>
      </c>
      <c r="BA2270" s="1">
        <v>2013</v>
      </c>
      <c r="BB2270" s="1" t="s">
        <v>405</v>
      </c>
      <c r="BE2270" s="1">
        <v>1560</v>
      </c>
      <c r="BF2270" s="1">
        <v>1</v>
      </c>
      <c r="BG2270" s="1">
        <v>0</v>
      </c>
      <c r="BL2270" s="1">
        <v>245</v>
      </c>
      <c r="BM2270" s="1" t="s">
        <v>204</v>
      </c>
      <c r="BN2270" s="1" t="s">
        <v>213</v>
      </c>
      <c r="BO2270" s="1">
        <v>99</v>
      </c>
      <c r="BP2270" s="1" t="s">
        <v>204</v>
      </c>
      <c r="BR2270" s="1" t="str">
        <f>"06243020270000"</f>
        <v>06243020270000</v>
      </c>
      <c r="BT2270" s="1" t="s">
        <v>20044</v>
      </c>
      <c r="BU2270" s="1" t="s">
        <v>5527</v>
      </c>
      <c r="BV2270" s="1" t="s">
        <v>1842</v>
      </c>
      <c r="BW2270" s="1" t="s">
        <v>2737</v>
      </c>
      <c r="BX2270" s="1">
        <v>46</v>
      </c>
      <c r="BY2270" s="1">
        <v>46</v>
      </c>
      <c r="BZ2270" s="1">
        <v>127</v>
      </c>
      <c r="CB2270" s="1" t="str">
        <f>"33"</f>
        <v>33</v>
      </c>
      <c r="CC2270" s="1" t="str">
        <f t="shared" si="1737"/>
        <v>0</v>
      </c>
      <c r="CD2270" s="1">
        <v>19</v>
      </c>
      <c r="CE2270" s="1">
        <v>0</v>
      </c>
      <c r="CG2270" s="1" t="s">
        <v>2511</v>
      </c>
      <c r="CH2270" s="1" t="s">
        <v>219</v>
      </c>
      <c r="CI2270" s="1" t="s">
        <v>229</v>
      </c>
      <c r="CJ2270" s="1" t="s">
        <v>909</v>
      </c>
      <c r="CK2270" s="1" t="s">
        <v>1045</v>
      </c>
      <c r="CL2270" s="1" t="s">
        <v>277</v>
      </c>
      <c r="CM2270" s="1" t="s">
        <v>220</v>
      </c>
      <c r="CN2270" s="1" t="s">
        <v>909</v>
      </c>
      <c r="CO2270" s="1" t="s">
        <v>629</v>
      </c>
      <c r="CP2270" s="1" t="s">
        <v>219</v>
      </c>
      <c r="CQ2270" s="1" t="s">
        <v>229</v>
      </c>
      <c r="CS2270" s="1" t="s">
        <v>2982</v>
      </c>
      <c r="CT2270" s="1" t="s">
        <v>277</v>
      </c>
      <c r="CU2270" s="1" t="s">
        <v>220</v>
      </c>
      <c r="CV2270" s="1" t="s">
        <v>909</v>
      </c>
      <c r="CW2270" s="1" t="s">
        <v>1854</v>
      </c>
      <c r="CX2270" s="1" t="s">
        <v>43</v>
      </c>
      <c r="CY2270" s="1" t="s">
        <v>220</v>
      </c>
      <c r="CZ2270" s="1" t="s">
        <v>909</v>
      </c>
      <c r="DB2270" s="1" t="s">
        <v>224</v>
      </c>
      <c r="DE2270" s="1" t="s">
        <v>757</v>
      </c>
      <c r="DF2270" s="1" t="s">
        <v>219</v>
      </c>
      <c r="DG2270" s="1" t="s">
        <v>229</v>
      </c>
      <c r="DJ2270" s="1" t="s">
        <v>224</v>
      </c>
      <c r="DM2270" s="1" t="s">
        <v>464</v>
      </c>
      <c r="DN2270" s="1" t="s">
        <v>709</v>
      </c>
      <c r="DR2270" s="1" t="s">
        <v>409</v>
      </c>
      <c r="DS2270" s="1" t="s">
        <v>277</v>
      </c>
      <c r="DT2270" s="1" t="s">
        <v>220</v>
      </c>
      <c r="DV2270" s="1" t="s">
        <v>7164</v>
      </c>
      <c r="DW2270" s="1" t="s">
        <v>219</v>
      </c>
      <c r="EA2270" s="1" t="s">
        <v>230</v>
      </c>
      <c r="EE2270" s="1" t="s">
        <v>230</v>
      </c>
      <c r="EI2270" s="1" t="s">
        <v>230</v>
      </c>
      <c r="EL2270" s="1" t="s">
        <v>382</v>
      </c>
      <c r="EM2270" s="1" t="s">
        <v>319</v>
      </c>
      <c r="EN2270" s="1" t="s">
        <v>282</v>
      </c>
      <c r="EO2270" s="1" t="s">
        <v>234</v>
      </c>
      <c r="EP2270" s="1" t="s">
        <v>650</v>
      </c>
      <c r="EQ2270" s="1" t="s">
        <v>953</v>
      </c>
      <c r="ER2270" s="1" t="s">
        <v>544</v>
      </c>
      <c r="ES2270" s="1" t="s">
        <v>322</v>
      </c>
      <c r="EU2270" s="1" t="s">
        <v>20045</v>
      </c>
      <c r="EV2270" s="1" t="s">
        <v>240</v>
      </c>
      <c r="EW2270" s="1" t="s">
        <v>887</v>
      </c>
      <c r="EZ2270" s="1" t="s">
        <v>2549</v>
      </c>
      <c r="FB2270" s="1" t="s">
        <v>289</v>
      </c>
      <c r="FC2270" s="1" t="s">
        <v>1362</v>
      </c>
      <c r="FD2270" s="1" t="s">
        <v>246</v>
      </c>
      <c r="FE2270" s="1" t="s">
        <v>472</v>
      </c>
      <c r="FF2270" s="1" t="s">
        <v>248</v>
      </c>
      <c r="FH2270" s="1" t="s">
        <v>1428</v>
      </c>
      <c r="FI2270" s="1" t="s">
        <v>473</v>
      </c>
      <c r="FL2270" s="1" t="s">
        <v>358</v>
      </c>
      <c r="FM2270" s="1" t="s">
        <v>252</v>
      </c>
      <c r="FN2270" s="1" t="s">
        <v>213</v>
      </c>
      <c r="FO2270" s="1" t="s">
        <v>213</v>
      </c>
      <c r="FQ2270" s="1" t="s">
        <v>1896</v>
      </c>
      <c r="FR2270" s="1" t="s">
        <v>210</v>
      </c>
      <c r="FS2270" s="1" t="s">
        <v>20046</v>
      </c>
      <c r="FT2270" s="1" t="s">
        <v>295</v>
      </c>
      <c r="FU2270" s="1" t="s">
        <v>204</v>
      </c>
      <c r="FW2270" s="1" t="s">
        <v>2590</v>
      </c>
      <c r="FX2270" s="1">
        <v>2644</v>
      </c>
      <c r="FY2270" s="1" t="s">
        <v>2591</v>
      </c>
      <c r="FZ2270" s="1" t="s">
        <v>16857</v>
      </c>
      <c r="GA2270" s="1">
        <v>241679</v>
      </c>
      <c r="GE2270" s="1" t="s">
        <v>210</v>
      </c>
      <c r="GI2270" s="1" t="s">
        <v>213</v>
      </c>
      <c r="GJ2270" s="1" t="s">
        <v>260</v>
      </c>
      <c r="GK2270" s="1" t="s">
        <v>210</v>
      </c>
      <c r="GL2270" s="2">
        <v>42096</v>
      </c>
      <c r="GM2270" s="1" t="s">
        <v>20047</v>
      </c>
    </row>
    <row r="2271" spans="1:195">
      <c r="A2271" s="1">
        <v>124000</v>
      </c>
      <c r="B2271" s="1" t="s">
        <v>195</v>
      </c>
      <c r="C2271" s="1" t="str">
        <f>"08811859"</f>
        <v>08811859</v>
      </c>
      <c r="D2271" s="1" t="s">
        <v>196</v>
      </c>
      <c r="F2271" s="1" t="str">
        <f>"108"</f>
        <v>108</v>
      </c>
      <c r="G2271" s="2">
        <v>42011</v>
      </c>
      <c r="H2271" s="1">
        <v>124900</v>
      </c>
      <c r="I2271" s="1">
        <v>124900</v>
      </c>
      <c r="J2271" s="1">
        <v>124000</v>
      </c>
      <c r="K2271" s="2">
        <v>42011</v>
      </c>
      <c r="L2271" s="1">
        <v>21</v>
      </c>
      <c r="M2271" s="2">
        <v>42031</v>
      </c>
      <c r="N2271" s="1">
        <v>21</v>
      </c>
      <c r="O2271" s="2">
        <v>42031</v>
      </c>
      <c r="P2271" s="1">
        <v>25083</v>
      </c>
      <c r="Q2271" s="1" t="s">
        <v>1393</v>
      </c>
      <c r="R2271" s="2">
        <v>42068</v>
      </c>
      <c r="S2271" s="1">
        <v>250887</v>
      </c>
      <c r="U2271" s="1">
        <v>317</v>
      </c>
      <c r="V2271" s="1" t="s">
        <v>4222</v>
      </c>
      <c r="W2271" s="1" t="s">
        <v>304</v>
      </c>
      <c r="X2271" s="1" t="s">
        <v>527</v>
      </c>
      <c r="Y2271" s="1">
        <v>4</v>
      </c>
      <c r="Z2271" s="1" t="s">
        <v>370</v>
      </c>
      <c r="AA2271" s="1" t="s">
        <v>829</v>
      </c>
      <c r="AB2271" s="1">
        <v>60108</v>
      </c>
      <c r="AD2271" s="1" t="s">
        <v>1001</v>
      </c>
      <c r="AE2271" s="1" t="s">
        <v>20048</v>
      </c>
      <c r="AF2271" s="1">
        <v>1973</v>
      </c>
      <c r="AG2271" s="1" t="s">
        <v>213</v>
      </c>
      <c r="AH2271" s="1" t="s">
        <v>269</v>
      </c>
      <c r="AI2271" s="1" t="s">
        <v>206</v>
      </c>
      <c r="AJ2271" s="1" t="s">
        <v>269</v>
      </c>
      <c r="AK2271" s="1" t="s">
        <v>1088</v>
      </c>
      <c r="AL2271" s="1">
        <v>7</v>
      </c>
      <c r="AM2271" s="1">
        <v>2</v>
      </c>
      <c r="AN2271" s="1">
        <v>1</v>
      </c>
      <c r="AO2271" s="1">
        <v>0</v>
      </c>
      <c r="AP2271" s="1" t="s">
        <v>210</v>
      </c>
      <c r="AR2271" s="1" t="s">
        <v>209</v>
      </c>
      <c r="AS2271" s="1" t="s">
        <v>204</v>
      </c>
      <c r="AT2271" s="1" t="s">
        <v>211</v>
      </c>
      <c r="AU2271" s="1">
        <v>1</v>
      </c>
      <c r="AW2271" s="1" t="s">
        <v>204</v>
      </c>
      <c r="AX2271" s="1" t="s">
        <v>212</v>
      </c>
      <c r="AZ2271" s="1">
        <v>3552</v>
      </c>
      <c r="BA2271" s="1">
        <v>2013</v>
      </c>
      <c r="BE2271" s="1">
        <v>982</v>
      </c>
      <c r="BF2271" s="1">
        <v>1</v>
      </c>
      <c r="BG2271" s="1">
        <v>30</v>
      </c>
      <c r="BL2271" s="1">
        <v>194</v>
      </c>
      <c r="BM2271" s="1" t="s">
        <v>413</v>
      </c>
      <c r="BN2271" s="1" t="s">
        <v>213</v>
      </c>
      <c r="BO2271" s="1">
        <v>50</v>
      </c>
      <c r="BP2271" s="1" t="s">
        <v>204</v>
      </c>
      <c r="BR2271" s="1" t="str">
        <f>"0223121002"</f>
        <v>0223121002</v>
      </c>
      <c r="BT2271" s="1" t="s">
        <v>20049</v>
      </c>
      <c r="BU2271" s="1" t="s">
        <v>2014</v>
      </c>
      <c r="BV2271" s="1" t="s">
        <v>2015</v>
      </c>
      <c r="BW2271" s="1" t="s">
        <v>1935</v>
      </c>
      <c r="BX2271" s="1">
        <v>15</v>
      </c>
      <c r="BY2271" s="1">
        <v>15</v>
      </c>
      <c r="BZ2271" s="1">
        <v>87</v>
      </c>
      <c r="CB2271" s="1" t="str">
        <f t="shared" ref="CB2271:CC2271" si="1738">""</f>
        <v/>
      </c>
      <c r="CC2271" s="1" t="str">
        <f t="shared" si="1738"/>
        <v/>
      </c>
      <c r="CG2271" s="1" t="s">
        <v>931</v>
      </c>
      <c r="CH2271" s="1" t="s">
        <v>219</v>
      </c>
      <c r="CI2271" s="1" t="s">
        <v>220</v>
      </c>
      <c r="CJ2271" s="1" t="s">
        <v>210</v>
      </c>
      <c r="CK2271" s="1" t="s">
        <v>437</v>
      </c>
      <c r="CL2271" s="1" t="s">
        <v>219</v>
      </c>
      <c r="CM2271" s="1" t="s">
        <v>220</v>
      </c>
      <c r="CN2271" s="1" t="s">
        <v>210</v>
      </c>
      <c r="CO2271" s="1" t="s">
        <v>316</v>
      </c>
      <c r="CP2271" s="1" t="s">
        <v>219</v>
      </c>
      <c r="CQ2271" s="1" t="s">
        <v>342</v>
      </c>
      <c r="CR2271" s="1" t="s">
        <v>210</v>
      </c>
      <c r="CS2271" s="1" t="s">
        <v>687</v>
      </c>
      <c r="CT2271" s="1" t="s">
        <v>219</v>
      </c>
      <c r="CU2271" s="1" t="s">
        <v>220</v>
      </c>
      <c r="CV2271" s="1" t="s">
        <v>210</v>
      </c>
      <c r="CX2271" s="1" t="s">
        <v>224</v>
      </c>
      <c r="DB2271" s="1" t="s">
        <v>224</v>
      </c>
      <c r="DE2271" s="1" t="s">
        <v>2308</v>
      </c>
      <c r="DF2271" s="1" t="s">
        <v>219</v>
      </c>
      <c r="DG2271" s="1" t="s">
        <v>342</v>
      </c>
      <c r="DH2271" s="1" t="s">
        <v>210</v>
      </c>
      <c r="DI2271" s="1" t="s">
        <v>908</v>
      </c>
      <c r="DJ2271" s="1" t="s">
        <v>43</v>
      </c>
      <c r="DK2271" s="1" t="s">
        <v>226</v>
      </c>
      <c r="DL2271" s="1" t="s">
        <v>210</v>
      </c>
      <c r="DM2271" s="1" t="s">
        <v>934</v>
      </c>
      <c r="DR2271" s="1" t="s">
        <v>461</v>
      </c>
      <c r="DS2271" s="1" t="s">
        <v>43</v>
      </c>
      <c r="DT2271" s="1" t="s">
        <v>226</v>
      </c>
      <c r="DU2271" s="1" t="s">
        <v>210</v>
      </c>
      <c r="DW2271" s="1" t="s">
        <v>230</v>
      </c>
      <c r="EA2271" s="1" t="s">
        <v>230</v>
      </c>
      <c r="EE2271" s="1" t="s">
        <v>230</v>
      </c>
      <c r="EI2271" s="1" t="s">
        <v>230</v>
      </c>
      <c r="EL2271" s="1" t="s">
        <v>605</v>
      </c>
      <c r="EM2271" s="1" t="s">
        <v>232</v>
      </c>
      <c r="EN2271" s="1" t="s">
        <v>282</v>
      </c>
      <c r="EO2271" s="1" t="s">
        <v>234</v>
      </c>
      <c r="EP2271" s="1" t="s">
        <v>1093</v>
      </c>
      <c r="EQ2271" s="1" t="s">
        <v>492</v>
      </c>
      <c r="ER2271" s="1" t="s">
        <v>544</v>
      </c>
      <c r="ES2271" s="1" t="s">
        <v>1160</v>
      </c>
      <c r="EU2271" s="1" t="s">
        <v>1202</v>
      </c>
      <c r="EW2271" s="1" t="s">
        <v>887</v>
      </c>
      <c r="EY2271" s="1" t="s">
        <v>242</v>
      </c>
      <c r="EZ2271" s="1" t="s">
        <v>934</v>
      </c>
      <c r="FB2271" s="1" t="s">
        <v>289</v>
      </c>
      <c r="FC2271" s="1" t="s">
        <v>2470</v>
      </c>
      <c r="FD2271" s="1" t="s">
        <v>495</v>
      </c>
      <c r="FE2271" s="1" t="s">
        <v>975</v>
      </c>
      <c r="FF2271" s="1" t="s">
        <v>248</v>
      </c>
      <c r="FH2271" s="1" t="s">
        <v>825</v>
      </c>
      <c r="FI2271" s="1" t="s">
        <v>357</v>
      </c>
      <c r="FJ2271" s="1" t="s">
        <v>518</v>
      </c>
      <c r="FL2271" s="1" t="s">
        <v>358</v>
      </c>
      <c r="FM2271" s="1" t="s">
        <v>252</v>
      </c>
      <c r="FN2271" s="1" t="s">
        <v>213</v>
      </c>
      <c r="FO2271" s="1" t="s">
        <v>213</v>
      </c>
      <c r="FQ2271" s="1" t="s">
        <v>569</v>
      </c>
      <c r="FR2271" s="1" t="s">
        <v>210</v>
      </c>
      <c r="FS2271" s="1" t="s">
        <v>20050</v>
      </c>
      <c r="FT2271" s="1" t="s">
        <v>1182</v>
      </c>
      <c r="FU2271" s="1" t="s">
        <v>204</v>
      </c>
      <c r="FW2271" s="1" t="s">
        <v>1559</v>
      </c>
      <c r="FX2271" s="1">
        <v>25083</v>
      </c>
      <c r="FY2271" s="1" t="s">
        <v>4110</v>
      </c>
      <c r="FZ2271" s="1" t="s">
        <v>4503</v>
      </c>
      <c r="GA2271" s="1">
        <v>250887</v>
      </c>
      <c r="GC2271" s="1">
        <v>220742</v>
      </c>
      <c r="GD2271" s="1" t="s">
        <v>20051</v>
      </c>
      <c r="GE2271" s="1" t="s">
        <v>480</v>
      </c>
      <c r="GI2271" s="1" t="s">
        <v>213</v>
      </c>
      <c r="GJ2271" s="1" t="s">
        <v>260</v>
      </c>
      <c r="GK2271" s="1" t="s">
        <v>210</v>
      </c>
      <c r="GL2271" s="2">
        <v>42068</v>
      </c>
      <c r="GM2271" s="1" t="s">
        <v>20052</v>
      </c>
    </row>
    <row r="2272" spans="1:195">
      <c r="A2272" s="1">
        <v>178000</v>
      </c>
      <c r="B2272" s="1" t="s">
        <v>195</v>
      </c>
      <c r="C2272" s="1" t="str">
        <f>"08816965"</f>
        <v>08816965</v>
      </c>
      <c r="D2272" s="1" t="s">
        <v>196</v>
      </c>
      <c r="F2272" s="1" t="str">
        <f>"507"</f>
        <v>507</v>
      </c>
      <c r="G2272" s="2">
        <v>42019</v>
      </c>
      <c r="H2272" s="1">
        <v>182000</v>
      </c>
      <c r="I2272" s="1">
        <v>182000</v>
      </c>
      <c r="J2272" s="1">
        <v>178000</v>
      </c>
      <c r="K2272" s="2">
        <v>42019</v>
      </c>
      <c r="L2272" s="1">
        <v>33</v>
      </c>
      <c r="M2272" s="2">
        <v>42051</v>
      </c>
      <c r="N2272" s="1">
        <v>33</v>
      </c>
      <c r="O2272" s="2">
        <v>42051</v>
      </c>
      <c r="P2272" s="1">
        <v>21242</v>
      </c>
      <c r="Q2272" s="1" t="s">
        <v>197</v>
      </c>
      <c r="R2272" s="2">
        <v>42083</v>
      </c>
      <c r="S2272" s="1">
        <v>219848</v>
      </c>
      <c r="T2272" s="1">
        <v>3000</v>
      </c>
      <c r="U2272" s="1">
        <v>2416</v>
      </c>
      <c r="V2272" s="1" t="s">
        <v>6254</v>
      </c>
      <c r="W2272" s="1" t="s">
        <v>449</v>
      </c>
      <c r="Y2272" s="1">
        <v>4</v>
      </c>
      <c r="Z2272" s="1" t="s">
        <v>370</v>
      </c>
      <c r="AA2272" s="1" t="s">
        <v>1123</v>
      </c>
      <c r="AB2272" s="1">
        <v>60502</v>
      </c>
      <c r="AE2272" s="1" t="s">
        <v>20053</v>
      </c>
      <c r="AF2272" s="1">
        <v>2002</v>
      </c>
      <c r="AG2272" s="1" t="s">
        <v>204</v>
      </c>
      <c r="AH2272" s="1" t="s">
        <v>1126</v>
      </c>
      <c r="AI2272" s="1" t="s">
        <v>206</v>
      </c>
      <c r="AJ2272" s="1" t="s">
        <v>924</v>
      </c>
      <c r="AL2272" s="1">
        <v>6</v>
      </c>
      <c r="AM2272" s="1">
        <v>2</v>
      </c>
      <c r="AN2272" s="1">
        <v>2</v>
      </c>
      <c r="AO2272" s="1">
        <v>1</v>
      </c>
      <c r="AP2272" s="1" t="s">
        <v>209</v>
      </c>
      <c r="AQ2272" s="1">
        <v>1</v>
      </c>
      <c r="AR2272" s="1" t="s">
        <v>210</v>
      </c>
      <c r="AS2272" s="1" t="s">
        <v>204</v>
      </c>
      <c r="AT2272" s="1" t="s">
        <v>211</v>
      </c>
      <c r="AU2272" s="1">
        <v>2</v>
      </c>
      <c r="AW2272" s="1" t="s">
        <v>204</v>
      </c>
      <c r="AX2272" s="1" t="s">
        <v>212</v>
      </c>
      <c r="AZ2272" s="1">
        <v>3908</v>
      </c>
      <c r="BA2272" s="1">
        <v>2013</v>
      </c>
      <c r="BE2272" s="1">
        <v>1668</v>
      </c>
      <c r="BF2272" s="1">
        <v>1</v>
      </c>
      <c r="BG2272" s="1">
        <v>30</v>
      </c>
      <c r="BL2272" s="1">
        <v>157</v>
      </c>
      <c r="BM2272" s="1" t="s">
        <v>204</v>
      </c>
      <c r="BN2272" s="1" t="s">
        <v>213</v>
      </c>
      <c r="BO2272" s="1">
        <v>999</v>
      </c>
      <c r="BP2272" s="1" t="s">
        <v>204</v>
      </c>
      <c r="BR2272" s="1" t="str">
        <f>"0719316060"</f>
        <v>0719316060</v>
      </c>
      <c r="BT2272" s="1" t="s">
        <v>20054</v>
      </c>
      <c r="BU2272" s="1" t="s">
        <v>6259</v>
      </c>
      <c r="BV2272" s="1" t="s">
        <v>1648</v>
      </c>
      <c r="BW2272" s="1" t="s">
        <v>1312</v>
      </c>
      <c r="BX2272" s="1">
        <v>204</v>
      </c>
      <c r="BY2272" s="1">
        <v>204</v>
      </c>
      <c r="BZ2272" s="1">
        <v>204</v>
      </c>
      <c r="CB2272" s="1" t="str">
        <f t="shared" ref="CB2272:CC2272" si="1739">""</f>
        <v/>
      </c>
      <c r="CC2272" s="1" t="str">
        <f t="shared" si="1739"/>
        <v/>
      </c>
      <c r="CG2272" s="1" t="s">
        <v>602</v>
      </c>
      <c r="CH2272" s="1" t="s">
        <v>219</v>
      </c>
      <c r="CI2272" s="1" t="s">
        <v>220</v>
      </c>
      <c r="CJ2272" s="1" t="s">
        <v>343</v>
      </c>
      <c r="CK2272" s="1" t="s">
        <v>538</v>
      </c>
      <c r="CL2272" s="1" t="s">
        <v>277</v>
      </c>
      <c r="CM2272" s="1" t="s">
        <v>220</v>
      </c>
      <c r="CN2272" s="1" t="s">
        <v>343</v>
      </c>
      <c r="CO2272" s="1" t="s">
        <v>346</v>
      </c>
      <c r="CP2272" s="1" t="s">
        <v>219</v>
      </c>
      <c r="CQ2272" s="1" t="s">
        <v>220</v>
      </c>
      <c r="CR2272" s="1" t="s">
        <v>343</v>
      </c>
      <c r="CS2272" s="1" t="s">
        <v>379</v>
      </c>
      <c r="CT2272" s="1" t="s">
        <v>277</v>
      </c>
      <c r="CU2272" s="1" t="s">
        <v>220</v>
      </c>
      <c r="CV2272" s="1" t="s">
        <v>343</v>
      </c>
      <c r="CX2272" s="1" t="s">
        <v>224</v>
      </c>
      <c r="DB2272" s="1" t="s">
        <v>224</v>
      </c>
      <c r="DE2272" s="1" t="s">
        <v>837</v>
      </c>
      <c r="DF2272" s="1" t="s">
        <v>219</v>
      </c>
      <c r="DG2272" s="1" t="s">
        <v>226</v>
      </c>
      <c r="DH2272" s="1" t="s">
        <v>210</v>
      </c>
      <c r="DJ2272" s="1" t="s">
        <v>224</v>
      </c>
      <c r="DM2272" s="1" t="s">
        <v>464</v>
      </c>
      <c r="DR2272" s="1" t="s">
        <v>602</v>
      </c>
      <c r="DS2272" s="1" t="s">
        <v>277</v>
      </c>
      <c r="DT2272" s="1" t="s">
        <v>220</v>
      </c>
      <c r="DU2272" s="1" t="s">
        <v>343</v>
      </c>
      <c r="DW2272" s="1" t="s">
        <v>230</v>
      </c>
      <c r="EA2272" s="1" t="s">
        <v>230</v>
      </c>
      <c r="EE2272" s="1" t="s">
        <v>230</v>
      </c>
      <c r="EI2272" s="1" t="s">
        <v>230</v>
      </c>
      <c r="EL2272" s="1" t="s">
        <v>466</v>
      </c>
      <c r="EM2272" s="1" t="s">
        <v>319</v>
      </c>
      <c r="EN2272" s="1" t="s">
        <v>282</v>
      </c>
      <c r="EO2272" s="1" t="s">
        <v>840</v>
      </c>
      <c r="EQ2272" s="1" t="s">
        <v>671</v>
      </c>
      <c r="ER2272" s="1" t="s">
        <v>383</v>
      </c>
      <c r="EV2272" s="1" t="s">
        <v>240</v>
      </c>
      <c r="EW2272" s="1" t="s">
        <v>887</v>
      </c>
      <c r="EZ2272" s="1" t="s">
        <v>464</v>
      </c>
      <c r="FD2272" s="1" t="s">
        <v>495</v>
      </c>
      <c r="FE2272" s="1" t="s">
        <v>975</v>
      </c>
      <c r="FF2272" s="1" t="s">
        <v>248</v>
      </c>
      <c r="FG2272" s="1" t="s">
        <v>912</v>
      </c>
      <c r="FH2272" s="1" t="s">
        <v>550</v>
      </c>
      <c r="FL2272" s="1" t="s">
        <v>358</v>
      </c>
      <c r="FM2272" s="1" t="s">
        <v>252</v>
      </c>
      <c r="FN2272" s="1" t="s">
        <v>213</v>
      </c>
      <c r="FO2272" s="1" t="s">
        <v>213</v>
      </c>
      <c r="FQ2272" s="1" t="s">
        <v>582</v>
      </c>
      <c r="FR2272" s="1" t="s">
        <v>210</v>
      </c>
      <c r="FS2272" s="1" t="s">
        <v>20055</v>
      </c>
      <c r="FT2272" s="1" t="s">
        <v>295</v>
      </c>
      <c r="FU2272" s="1" t="s">
        <v>204</v>
      </c>
      <c r="FW2272" s="1" t="s">
        <v>943</v>
      </c>
      <c r="FX2272" s="1">
        <v>23120</v>
      </c>
      <c r="FY2272" s="1" t="s">
        <v>944</v>
      </c>
      <c r="FZ2272" s="1" t="s">
        <v>20056</v>
      </c>
      <c r="GA2272" s="1">
        <v>228430</v>
      </c>
      <c r="GB2272" s="1" t="s">
        <v>20057</v>
      </c>
      <c r="GE2272" s="1" t="s">
        <v>480</v>
      </c>
      <c r="GI2272" s="1" t="s">
        <v>213</v>
      </c>
      <c r="GJ2272" s="1" t="s">
        <v>260</v>
      </c>
      <c r="GK2272" s="1" t="s">
        <v>210</v>
      </c>
      <c r="GL2272" s="2">
        <v>42083</v>
      </c>
      <c r="GM2272" s="1" t="s">
        <v>20058</v>
      </c>
    </row>
    <row r="2273" spans="1:195">
      <c r="A2273" s="1">
        <v>73000</v>
      </c>
      <c r="B2273" s="1" t="s">
        <v>195</v>
      </c>
      <c r="C2273" s="1" t="str">
        <f>"08813947"</f>
        <v>08813947</v>
      </c>
      <c r="D2273" s="1" t="s">
        <v>196</v>
      </c>
      <c r="F2273" s="1" t="str">
        <f>"562"</f>
        <v>562</v>
      </c>
      <c r="G2273" s="2">
        <v>42015</v>
      </c>
      <c r="H2273" s="1">
        <v>79000</v>
      </c>
      <c r="I2273" s="1">
        <v>79000</v>
      </c>
      <c r="J2273" s="1">
        <v>73000</v>
      </c>
      <c r="K2273" s="2">
        <v>42014</v>
      </c>
      <c r="L2273" s="1">
        <v>7</v>
      </c>
      <c r="M2273" s="2">
        <v>42020</v>
      </c>
      <c r="N2273" s="1">
        <v>7</v>
      </c>
      <c r="O2273" s="2">
        <v>42020</v>
      </c>
      <c r="P2273" s="1">
        <v>84157</v>
      </c>
      <c r="Q2273" s="1" t="s">
        <v>302</v>
      </c>
      <c r="R2273" s="2">
        <v>42037</v>
      </c>
      <c r="S2273" s="1">
        <v>187653</v>
      </c>
      <c r="U2273" s="1">
        <v>7413</v>
      </c>
      <c r="V2273" s="1" t="s">
        <v>5858</v>
      </c>
      <c r="W2273" s="1" t="s">
        <v>264</v>
      </c>
      <c r="X2273" s="1">
        <v>202</v>
      </c>
      <c r="Y2273" s="1">
        <v>28</v>
      </c>
      <c r="Z2273" s="1" t="s">
        <v>249</v>
      </c>
      <c r="AA2273" s="1" t="s">
        <v>899</v>
      </c>
      <c r="AB2273" s="1">
        <v>60561</v>
      </c>
      <c r="AE2273" s="1" t="s">
        <v>20059</v>
      </c>
      <c r="AF2273" s="1">
        <v>1967</v>
      </c>
      <c r="AG2273" s="1" t="s">
        <v>213</v>
      </c>
      <c r="AH2273" s="1" t="s">
        <v>902</v>
      </c>
      <c r="AI2273" s="1" t="s">
        <v>206</v>
      </c>
      <c r="AJ2273" s="1" t="s">
        <v>903</v>
      </c>
      <c r="AL2273" s="1">
        <v>4</v>
      </c>
      <c r="AM2273" s="1">
        <v>2</v>
      </c>
      <c r="AN2273" s="1">
        <v>1</v>
      </c>
      <c r="AO2273" s="1">
        <v>0</v>
      </c>
      <c r="AP2273" s="1" t="s">
        <v>210</v>
      </c>
      <c r="AR2273" s="1" t="s">
        <v>210</v>
      </c>
      <c r="AS2273" s="1" t="s">
        <v>204</v>
      </c>
      <c r="AT2273" s="1" t="s">
        <v>271</v>
      </c>
      <c r="AV2273" s="1">
        <v>4</v>
      </c>
      <c r="AW2273" s="1" t="s">
        <v>204</v>
      </c>
      <c r="AX2273" s="1" t="s">
        <v>212</v>
      </c>
      <c r="AZ2273" s="1">
        <v>1407</v>
      </c>
      <c r="BA2273" s="1">
        <v>2013</v>
      </c>
      <c r="BE2273" s="1">
        <v>972</v>
      </c>
      <c r="BF2273" s="1">
        <v>2</v>
      </c>
      <c r="BG2273" s="1">
        <v>0</v>
      </c>
      <c r="BL2273" s="1">
        <v>332</v>
      </c>
      <c r="BM2273" s="1" t="s">
        <v>204</v>
      </c>
      <c r="BN2273" s="1" t="s">
        <v>213</v>
      </c>
      <c r="BO2273" s="1">
        <v>35</v>
      </c>
      <c r="BP2273" s="1" t="s">
        <v>204</v>
      </c>
      <c r="BR2273" s="1" t="str">
        <f>"0927208076"</f>
        <v>0927208076</v>
      </c>
      <c r="BT2273" s="1" t="s">
        <v>20060</v>
      </c>
      <c r="BU2273" s="1" t="s">
        <v>3097</v>
      </c>
      <c r="BV2273" s="1" t="s">
        <v>3098</v>
      </c>
      <c r="BW2273" s="1" t="s">
        <v>907</v>
      </c>
      <c r="BX2273" s="1">
        <v>61</v>
      </c>
      <c r="BY2273" s="1">
        <v>61</v>
      </c>
      <c r="BZ2273" s="1">
        <v>86</v>
      </c>
      <c r="CB2273" s="1" t="str">
        <f t="shared" ref="CB2273:CC2273" si="1740">""</f>
        <v/>
      </c>
      <c r="CC2273" s="1" t="str">
        <f t="shared" si="1740"/>
        <v/>
      </c>
      <c r="CG2273" s="1" t="s">
        <v>1737</v>
      </c>
      <c r="CH2273" s="1" t="s">
        <v>219</v>
      </c>
      <c r="CI2273" s="1" t="s">
        <v>229</v>
      </c>
      <c r="CK2273" s="1" t="s">
        <v>757</v>
      </c>
      <c r="CL2273" s="1" t="s">
        <v>219</v>
      </c>
      <c r="CM2273" s="1" t="s">
        <v>229</v>
      </c>
      <c r="CP2273" s="1" t="s">
        <v>224</v>
      </c>
      <c r="CS2273" s="1" t="s">
        <v>317</v>
      </c>
      <c r="CT2273" s="1" t="s">
        <v>219</v>
      </c>
      <c r="CU2273" s="1" t="s">
        <v>229</v>
      </c>
      <c r="CX2273" s="1" t="s">
        <v>224</v>
      </c>
      <c r="DB2273" s="1" t="s">
        <v>224</v>
      </c>
      <c r="DE2273" s="1" t="s">
        <v>757</v>
      </c>
      <c r="DF2273" s="1" t="s">
        <v>219</v>
      </c>
      <c r="DG2273" s="1" t="s">
        <v>229</v>
      </c>
      <c r="DJ2273" s="1" t="s">
        <v>224</v>
      </c>
      <c r="DS2273" s="1" t="s">
        <v>230</v>
      </c>
      <c r="DW2273" s="1" t="s">
        <v>230</v>
      </c>
      <c r="EA2273" s="1" t="s">
        <v>230</v>
      </c>
      <c r="EE2273" s="1" t="s">
        <v>230</v>
      </c>
      <c r="EI2273" s="1" t="s">
        <v>230</v>
      </c>
      <c r="EL2273" s="1" t="s">
        <v>605</v>
      </c>
      <c r="EM2273" s="1" t="s">
        <v>232</v>
      </c>
      <c r="EN2273" s="1" t="s">
        <v>1158</v>
      </c>
      <c r="EO2273" s="1" t="s">
        <v>234</v>
      </c>
      <c r="EP2273" s="1" t="s">
        <v>20061</v>
      </c>
      <c r="ER2273" s="1" t="s">
        <v>210</v>
      </c>
      <c r="ES2273" s="1" t="s">
        <v>322</v>
      </c>
      <c r="EW2273" s="1" t="s">
        <v>20062</v>
      </c>
      <c r="EZ2273" s="1" t="s">
        <v>287</v>
      </c>
      <c r="FB2273" s="1" t="s">
        <v>289</v>
      </c>
      <c r="FD2273" s="1" t="s">
        <v>246</v>
      </c>
      <c r="FE2273" s="1" t="s">
        <v>247</v>
      </c>
      <c r="FF2273" s="1" t="s">
        <v>248</v>
      </c>
      <c r="FH2273" s="1" t="s">
        <v>249</v>
      </c>
      <c r="FL2273" s="1" t="s">
        <v>328</v>
      </c>
      <c r="FM2273" s="1" t="s">
        <v>252</v>
      </c>
      <c r="FN2273" s="1" t="s">
        <v>213</v>
      </c>
      <c r="FO2273" s="1" t="s">
        <v>213</v>
      </c>
      <c r="FQ2273" s="1" t="s">
        <v>4088</v>
      </c>
      <c r="FR2273" s="1" t="s">
        <v>210</v>
      </c>
      <c r="FS2273" s="1" t="s">
        <v>20063</v>
      </c>
      <c r="FT2273" s="1" t="s">
        <v>675</v>
      </c>
      <c r="FU2273" s="1" t="s">
        <v>204</v>
      </c>
      <c r="FW2273" s="1" t="s">
        <v>5648</v>
      </c>
      <c r="FX2273" s="1">
        <v>23099</v>
      </c>
      <c r="FY2273" s="1" t="s">
        <v>5649</v>
      </c>
      <c r="FZ2273" s="1" t="s">
        <v>5650</v>
      </c>
      <c r="GA2273" s="1">
        <v>223832</v>
      </c>
      <c r="GB2273" s="1" t="s">
        <v>5651</v>
      </c>
      <c r="GE2273" s="1" t="s">
        <v>335</v>
      </c>
      <c r="GI2273" s="1" t="s">
        <v>213</v>
      </c>
      <c r="GJ2273" s="1" t="s">
        <v>260</v>
      </c>
      <c r="GK2273" s="1" t="s">
        <v>210</v>
      </c>
      <c r="GL2273" s="2">
        <v>42037</v>
      </c>
      <c r="GM2273" s="1" t="s">
        <v>20064</v>
      </c>
    </row>
    <row r="2274" spans="1:195">
      <c r="A2274" s="1">
        <v>195000</v>
      </c>
      <c r="B2274" s="1" t="s">
        <v>195</v>
      </c>
      <c r="C2274" s="1" t="str">
        <f>"08812229"</f>
        <v>08812229</v>
      </c>
      <c r="D2274" s="1" t="s">
        <v>196</v>
      </c>
      <c r="F2274" s="1" t="str">
        <f>"540"</f>
        <v>540</v>
      </c>
      <c r="G2274" s="2">
        <v>42012</v>
      </c>
      <c r="H2274" s="1">
        <v>199900</v>
      </c>
      <c r="I2274" s="1">
        <v>199900</v>
      </c>
      <c r="J2274" s="1">
        <v>195000</v>
      </c>
      <c r="K2274" s="2">
        <v>42012</v>
      </c>
      <c r="L2274" s="1">
        <v>8</v>
      </c>
      <c r="M2274" s="2">
        <v>42019</v>
      </c>
      <c r="N2274" s="1">
        <v>8</v>
      </c>
      <c r="O2274" s="2">
        <v>42019</v>
      </c>
      <c r="P2274" s="1">
        <v>21682</v>
      </c>
      <c r="Q2274" s="1" t="s">
        <v>197</v>
      </c>
      <c r="R2274" s="2">
        <v>42062</v>
      </c>
      <c r="S2274" s="1">
        <v>233793</v>
      </c>
      <c r="U2274" s="1">
        <v>1963</v>
      </c>
      <c r="V2274" s="1" t="s">
        <v>15718</v>
      </c>
      <c r="W2274" s="1" t="s">
        <v>504</v>
      </c>
      <c r="Y2274" s="1">
        <v>5</v>
      </c>
      <c r="Z2274" s="1" t="s">
        <v>370</v>
      </c>
      <c r="AA2274" s="1" t="s">
        <v>921</v>
      </c>
      <c r="AB2274" s="1">
        <v>60563</v>
      </c>
      <c r="AD2274" s="1" t="s">
        <v>20065</v>
      </c>
      <c r="AE2274" s="1" t="s">
        <v>20066</v>
      </c>
      <c r="AF2274" s="1">
        <v>2001</v>
      </c>
      <c r="AG2274" s="1" t="s">
        <v>204</v>
      </c>
      <c r="AH2274" s="1" t="s">
        <v>924</v>
      </c>
      <c r="AI2274" s="1" t="s">
        <v>206</v>
      </c>
      <c r="AJ2274" s="1" t="s">
        <v>924</v>
      </c>
      <c r="AK2274" s="1" t="s">
        <v>20067</v>
      </c>
      <c r="AL2274" s="1">
        <v>6</v>
      </c>
      <c r="AM2274" s="1">
        <v>2</v>
      </c>
      <c r="AN2274" s="1">
        <v>2</v>
      </c>
      <c r="AO2274" s="1">
        <v>0</v>
      </c>
      <c r="AP2274" s="1" t="s">
        <v>209</v>
      </c>
      <c r="AQ2274" s="1">
        <v>1</v>
      </c>
      <c r="AR2274" s="1" t="s">
        <v>210</v>
      </c>
      <c r="AS2274" s="1" t="s">
        <v>204</v>
      </c>
      <c r="AT2274" s="1" t="s">
        <v>211</v>
      </c>
      <c r="AU2274" s="1">
        <v>2</v>
      </c>
      <c r="AW2274" s="1" t="s">
        <v>213</v>
      </c>
      <c r="AX2274" s="1" t="s">
        <v>212</v>
      </c>
      <c r="AZ2274" s="1">
        <v>3745.32</v>
      </c>
      <c r="BA2274" s="1">
        <v>2013</v>
      </c>
      <c r="BB2274" s="1" t="s">
        <v>405</v>
      </c>
      <c r="BE2274" s="1">
        <v>1300</v>
      </c>
      <c r="BF2274" s="1">
        <v>1</v>
      </c>
      <c r="BG2274" s="1">
        <v>0</v>
      </c>
      <c r="BL2274" s="1">
        <v>198</v>
      </c>
      <c r="BM2274" s="1" t="s">
        <v>204</v>
      </c>
      <c r="BN2274" s="1" t="s">
        <v>213</v>
      </c>
      <c r="BO2274" s="1" t="s">
        <v>2932</v>
      </c>
      <c r="BP2274" s="1" t="s">
        <v>204</v>
      </c>
      <c r="BR2274" s="1" t="str">
        <f>"0715107018"</f>
        <v>0715107018</v>
      </c>
      <c r="BT2274" s="1" t="s">
        <v>20068</v>
      </c>
      <c r="BU2274" s="1" t="s">
        <v>1247</v>
      </c>
      <c r="BV2274" s="1" t="s">
        <v>1248</v>
      </c>
      <c r="BW2274" s="1" t="s">
        <v>1131</v>
      </c>
      <c r="BX2274" s="1">
        <v>204</v>
      </c>
      <c r="BY2274" s="1">
        <v>204</v>
      </c>
      <c r="BZ2274" s="1">
        <v>204</v>
      </c>
      <c r="CB2274" s="1" t="str">
        <f t="shared" ref="CB2274:CC2274" si="1741">""</f>
        <v/>
      </c>
      <c r="CC2274" s="1" t="str">
        <f t="shared" si="1741"/>
        <v/>
      </c>
      <c r="CG2274" s="1" t="s">
        <v>1267</v>
      </c>
      <c r="CH2274" s="1" t="s">
        <v>219</v>
      </c>
      <c r="CI2274" s="1" t="s">
        <v>220</v>
      </c>
      <c r="CK2274" s="1" t="s">
        <v>315</v>
      </c>
      <c r="CL2274" s="1" t="s">
        <v>219</v>
      </c>
      <c r="CM2274" s="1" t="s">
        <v>220</v>
      </c>
      <c r="CO2274" s="1" t="s">
        <v>409</v>
      </c>
      <c r="CP2274" s="1" t="s">
        <v>219</v>
      </c>
      <c r="CQ2274" s="1" t="s">
        <v>220</v>
      </c>
      <c r="CS2274" s="1" t="s">
        <v>346</v>
      </c>
      <c r="CT2274" s="1" t="s">
        <v>219</v>
      </c>
      <c r="CU2274" s="1" t="s">
        <v>220</v>
      </c>
      <c r="CX2274" s="1" t="s">
        <v>224</v>
      </c>
      <c r="DB2274" s="1" t="s">
        <v>224</v>
      </c>
      <c r="DE2274" s="1" t="s">
        <v>318</v>
      </c>
      <c r="DF2274" s="1" t="s">
        <v>219</v>
      </c>
      <c r="DG2274" s="1" t="s">
        <v>226</v>
      </c>
      <c r="DJ2274" s="1" t="s">
        <v>224</v>
      </c>
      <c r="DM2274" s="1" t="s">
        <v>381</v>
      </c>
      <c r="DR2274" s="1" t="s">
        <v>316</v>
      </c>
      <c r="DS2274" s="1" t="s">
        <v>219</v>
      </c>
      <c r="DT2274" s="1" t="s">
        <v>226</v>
      </c>
      <c r="DW2274" s="1" t="s">
        <v>230</v>
      </c>
      <c r="EA2274" s="1" t="s">
        <v>230</v>
      </c>
      <c r="EE2274" s="1" t="s">
        <v>230</v>
      </c>
      <c r="EI2274" s="1" t="s">
        <v>230</v>
      </c>
      <c r="EL2274" s="1" t="s">
        <v>466</v>
      </c>
      <c r="EM2274" s="1" t="s">
        <v>319</v>
      </c>
      <c r="EN2274" s="1" t="s">
        <v>282</v>
      </c>
      <c r="EO2274" s="1" t="s">
        <v>234</v>
      </c>
      <c r="EQ2274" s="1" t="s">
        <v>2188</v>
      </c>
      <c r="ER2274" s="1" t="s">
        <v>210</v>
      </c>
      <c r="ES2274" s="1" t="s">
        <v>824</v>
      </c>
      <c r="EV2274" s="1" t="s">
        <v>240</v>
      </c>
      <c r="EW2274" s="1" t="s">
        <v>353</v>
      </c>
      <c r="EY2274" s="1" t="s">
        <v>242</v>
      </c>
      <c r="EZ2274" s="1" t="s">
        <v>381</v>
      </c>
      <c r="FA2274" s="1" t="s">
        <v>714</v>
      </c>
      <c r="FB2274" s="1" t="s">
        <v>289</v>
      </c>
      <c r="FC2274" s="1" t="s">
        <v>1386</v>
      </c>
      <c r="FD2274" s="1" t="s">
        <v>246</v>
      </c>
      <c r="FE2274" s="1" t="s">
        <v>472</v>
      </c>
      <c r="FF2274" s="1" t="s">
        <v>2998</v>
      </c>
      <c r="FG2274" s="1" t="s">
        <v>912</v>
      </c>
      <c r="FH2274" s="1" t="s">
        <v>825</v>
      </c>
      <c r="FI2274" s="1" t="s">
        <v>473</v>
      </c>
      <c r="FJ2274" s="1" t="s">
        <v>518</v>
      </c>
      <c r="FL2274" s="1" t="s">
        <v>358</v>
      </c>
      <c r="FM2274" s="1" t="s">
        <v>252</v>
      </c>
      <c r="FN2274" s="1" t="s">
        <v>213</v>
      </c>
      <c r="FO2274" s="1" t="s">
        <v>213</v>
      </c>
      <c r="FQ2274" s="1" t="s">
        <v>11797</v>
      </c>
      <c r="FR2274" s="1" t="s">
        <v>210</v>
      </c>
      <c r="FS2274" s="1" t="s">
        <v>20069</v>
      </c>
      <c r="FT2274" s="1" t="s">
        <v>14432</v>
      </c>
      <c r="FU2274" s="1" t="s">
        <v>204</v>
      </c>
      <c r="FW2274" s="1" t="s">
        <v>676</v>
      </c>
      <c r="FX2274" s="1">
        <v>30</v>
      </c>
      <c r="FY2274" s="1" t="s">
        <v>677</v>
      </c>
      <c r="FZ2274" s="1" t="s">
        <v>3935</v>
      </c>
      <c r="GA2274" s="1">
        <v>8173</v>
      </c>
      <c r="GB2274" s="1" t="s">
        <v>3936</v>
      </c>
      <c r="GC2274" s="1">
        <v>8174</v>
      </c>
      <c r="GE2274" s="1" t="s">
        <v>335</v>
      </c>
      <c r="GI2274" s="1" t="s">
        <v>204</v>
      </c>
      <c r="GJ2274" s="1" t="s">
        <v>260</v>
      </c>
      <c r="GK2274" s="1" t="s">
        <v>210</v>
      </c>
      <c r="GL2274" s="2">
        <v>42063</v>
      </c>
      <c r="GM2274" s="1" t="s">
        <v>20070</v>
      </c>
    </row>
    <row r="2275" spans="1:195">
      <c r="A2275" s="1">
        <v>108500</v>
      </c>
      <c r="B2275" s="1" t="s">
        <v>195</v>
      </c>
      <c r="C2275" s="1" t="str">
        <f>"08813790"</f>
        <v>08813790</v>
      </c>
      <c r="D2275" s="1" t="s">
        <v>196</v>
      </c>
      <c r="F2275" s="1" t="str">
        <f>"555"</f>
        <v>555</v>
      </c>
      <c r="G2275" s="2">
        <v>42014</v>
      </c>
      <c r="H2275" s="1">
        <v>121000</v>
      </c>
      <c r="I2275" s="1">
        <v>109900</v>
      </c>
      <c r="J2275" s="1">
        <v>108500</v>
      </c>
      <c r="K2275" s="2">
        <v>42012</v>
      </c>
      <c r="L2275" s="1">
        <v>49</v>
      </c>
      <c r="M2275" s="2">
        <v>42060</v>
      </c>
      <c r="N2275" s="1">
        <v>49</v>
      </c>
      <c r="O2275" s="2">
        <v>42060</v>
      </c>
      <c r="P2275" s="1">
        <v>25088</v>
      </c>
      <c r="Q2275" s="1" t="s">
        <v>197</v>
      </c>
      <c r="R2275" s="2">
        <v>42114</v>
      </c>
      <c r="S2275" s="1">
        <v>256862</v>
      </c>
      <c r="T2275" s="1">
        <v>3000</v>
      </c>
      <c r="U2275" s="1" t="s">
        <v>20071</v>
      </c>
      <c r="V2275" s="1" t="s">
        <v>4626</v>
      </c>
      <c r="W2275" s="1" t="s">
        <v>304</v>
      </c>
      <c r="Y2275" s="1">
        <v>4</v>
      </c>
      <c r="Z2275" s="1" t="s">
        <v>370</v>
      </c>
      <c r="AA2275" s="1" t="s">
        <v>984</v>
      </c>
      <c r="AB2275" s="1">
        <v>60555</v>
      </c>
      <c r="AD2275" s="1" t="s">
        <v>4628</v>
      </c>
      <c r="AE2275" s="1" t="s">
        <v>20072</v>
      </c>
      <c r="AF2275" s="1">
        <v>1974</v>
      </c>
      <c r="AG2275" s="1" t="s">
        <v>213</v>
      </c>
      <c r="AH2275" s="1" t="s">
        <v>986</v>
      </c>
      <c r="AI2275" s="1" t="s">
        <v>206</v>
      </c>
      <c r="AJ2275" s="1" t="s">
        <v>987</v>
      </c>
      <c r="AK2275" s="1" t="s">
        <v>2247</v>
      </c>
      <c r="AL2275" s="1">
        <v>7</v>
      </c>
      <c r="AM2275" s="1">
        <v>2</v>
      </c>
      <c r="AN2275" s="1">
        <v>1</v>
      </c>
      <c r="AO2275" s="1">
        <v>1</v>
      </c>
      <c r="AP2275" s="1" t="s">
        <v>210</v>
      </c>
      <c r="AQ2275" s="1">
        <v>1</v>
      </c>
      <c r="AR2275" s="1" t="s">
        <v>209</v>
      </c>
      <c r="AS2275" s="1" t="s">
        <v>204</v>
      </c>
      <c r="AT2275" s="1" t="s">
        <v>211</v>
      </c>
      <c r="AU2275" s="1">
        <v>2</v>
      </c>
      <c r="AW2275" s="1" t="s">
        <v>204</v>
      </c>
      <c r="AX2275" s="1">
        <v>1923</v>
      </c>
      <c r="AZ2275" s="1">
        <v>2964.36</v>
      </c>
      <c r="BA2275" s="1">
        <v>2013</v>
      </c>
      <c r="BB2275" s="1" t="s">
        <v>405</v>
      </c>
      <c r="BE2275" s="1">
        <v>1200</v>
      </c>
      <c r="BF2275" s="1">
        <v>1</v>
      </c>
      <c r="BG2275" s="1">
        <v>0</v>
      </c>
      <c r="BL2275" s="1">
        <v>284</v>
      </c>
      <c r="BM2275" s="1" t="s">
        <v>413</v>
      </c>
      <c r="BN2275" s="1" t="s">
        <v>213</v>
      </c>
      <c r="BO2275" s="1">
        <v>999</v>
      </c>
      <c r="BP2275" s="1" t="s">
        <v>204</v>
      </c>
      <c r="BR2275" s="1" t="str">
        <f>"0427413040"</f>
        <v>0427413040</v>
      </c>
      <c r="BT2275" s="1" t="s">
        <v>20073</v>
      </c>
      <c r="BU2275" s="1" t="s">
        <v>989</v>
      </c>
      <c r="BV2275" s="1" t="s">
        <v>990</v>
      </c>
      <c r="BW2275" s="1" t="s">
        <v>971</v>
      </c>
      <c r="BX2275" s="1">
        <v>200</v>
      </c>
      <c r="BY2275" s="1">
        <v>200</v>
      </c>
      <c r="BZ2275" s="1">
        <v>200</v>
      </c>
      <c r="CB2275" s="1" t="str">
        <f t="shared" ref="CB2275:CC2275" si="1742">"0"</f>
        <v>0</v>
      </c>
      <c r="CC2275" s="1" t="str">
        <f t="shared" si="1742"/>
        <v>0</v>
      </c>
      <c r="CD2275" s="1">
        <v>29</v>
      </c>
      <c r="CE2275" s="1">
        <v>2</v>
      </c>
      <c r="CG2275" s="1" t="s">
        <v>581</v>
      </c>
      <c r="CH2275" s="1" t="s">
        <v>219</v>
      </c>
      <c r="CI2275" s="1" t="s">
        <v>220</v>
      </c>
      <c r="CK2275" s="1" t="s">
        <v>317</v>
      </c>
      <c r="CL2275" s="1" t="s">
        <v>277</v>
      </c>
      <c r="CM2275" s="1" t="s">
        <v>220</v>
      </c>
      <c r="CO2275" s="1" t="s">
        <v>4648</v>
      </c>
      <c r="CP2275" s="1" t="s">
        <v>219</v>
      </c>
      <c r="CQ2275" s="1" t="s">
        <v>220</v>
      </c>
      <c r="CS2275" s="1" t="s">
        <v>346</v>
      </c>
      <c r="CT2275" s="1" t="s">
        <v>277</v>
      </c>
      <c r="CU2275" s="1" t="s">
        <v>220</v>
      </c>
      <c r="CX2275" s="1" t="s">
        <v>224</v>
      </c>
      <c r="DB2275" s="1" t="s">
        <v>224</v>
      </c>
      <c r="DE2275" s="1" t="s">
        <v>604</v>
      </c>
      <c r="DF2275" s="1" t="s">
        <v>219</v>
      </c>
      <c r="DG2275" s="1" t="s">
        <v>342</v>
      </c>
      <c r="DI2275" s="1" t="s">
        <v>223</v>
      </c>
      <c r="DJ2275" s="1" t="s">
        <v>43</v>
      </c>
      <c r="DK2275" s="1" t="s">
        <v>220</v>
      </c>
      <c r="DM2275" s="1" t="s">
        <v>934</v>
      </c>
      <c r="DR2275" s="1" t="s">
        <v>346</v>
      </c>
      <c r="DS2275" s="1" t="s">
        <v>43</v>
      </c>
      <c r="DT2275" s="1" t="s">
        <v>220</v>
      </c>
      <c r="DW2275" s="1" t="s">
        <v>230</v>
      </c>
      <c r="EA2275" s="1" t="s">
        <v>230</v>
      </c>
      <c r="EE2275" s="1" t="s">
        <v>230</v>
      </c>
      <c r="EI2275" s="1" t="s">
        <v>230</v>
      </c>
      <c r="EL2275" s="1" t="s">
        <v>605</v>
      </c>
      <c r="EM2275" s="1" t="s">
        <v>319</v>
      </c>
      <c r="EN2275" s="1" t="s">
        <v>282</v>
      </c>
      <c r="EO2275" s="1" t="s">
        <v>234</v>
      </c>
      <c r="EP2275" s="1" t="s">
        <v>20074</v>
      </c>
      <c r="EQ2275" s="1" t="s">
        <v>468</v>
      </c>
      <c r="ER2275" s="1" t="s">
        <v>351</v>
      </c>
      <c r="ES2275" s="1" t="s">
        <v>322</v>
      </c>
      <c r="EV2275" s="1" t="s">
        <v>240</v>
      </c>
      <c r="EW2275" s="1" t="s">
        <v>1617</v>
      </c>
      <c r="EZ2275" s="1" t="s">
        <v>934</v>
      </c>
      <c r="FB2275" s="1" t="s">
        <v>289</v>
      </c>
      <c r="FD2275" s="1" t="s">
        <v>495</v>
      </c>
      <c r="FE2275" s="1" t="s">
        <v>889</v>
      </c>
      <c r="FF2275" s="1" t="s">
        <v>248</v>
      </c>
      <c r="FH2275" s="1" t="s">
        <v>550</v>
      </c>
      <c r="FL2275" s="1" t="s">
        <v>358</v>
      </c>
      <c r="FM2275" s="1" t="s">
        <v>252</v>
      </c>
      <c r="FN2275" s="1" t="s">
        <v>213</v>
      </c>
      <c r="FO2275" s="1" t="s">
        <v>213</v>
      </c>
      <c r="FQ2275" s="1" t="s">
        <v>689</v>
      </c>
      <c r="FR2275" s="1" t="s">
        <v>210</v>
      </c>
      <c r="FS2275" s="1" t="s">
        <v>1958</v>
      </c>
      <c r="FT2275" s="1" t="s">
        <v>1959</v>
      </c>
      <c r="FU2275" s="1" t="s">
        <v>204</v>
      </c>
      <c r="FV2275" s="1" t="s">
        <v>1960</v>
      </c>
      <c r="FW2275" s="1" t="s">
        <v>1961</v>
      </c>
      <c r="FX2275" s="1">
        <v>20150</v>
      </c>
      <c r="FY2275" s="1" t="s">
        <v>1962</v>
      </c>
      <c r="FZ2275" s="1" t="s">
        <v>1963</v>
      </c>
      <c r="GA2275" s="1">
        <v>211012</v>
      </c>
      <c r="GB2275" s="1" t="s">
        <v>1964</v>
      </c>
      <c r="GE2275" s="1" t="s">
        <v>210</v>
      </c>
      <c r="GI2275" s="1" t="s">
        <v>204</v>
      </c>
      <c r="GJ2275" s="1" t="s">
        <v>260</v>
      </c>
      <c r="GK2275" s="1" t="s">
        <v>261</v>
      </c>
      <c r="GL2275" s="2">
        <v>42116</v>
      </c>
      <c r="GM2275" s="1" t="s">
        <v>1965</v>
      </c>
    </row>
    <row r="2276" spans="1:195">
      <c r="A2276" s="1">
        <v>125000</v>
      </c>
      <c r="B2276" s="1" t="s">
        <v>195</v>
      </c>
      <c r="C2276" s="1" t="str">
        <f>"08819385"</f>
        <v>08819385</v>
      </c>
      <c r="D2276" s="1" t="s">
        <v>196</v>
      </c>
      <c r="F2276" s="1" t="str">
        <f>"523"</f>
        <v>523</v>
      </c>
      <c r="G2276" s="2">
        <v>42023</v>
      </c>
      <c r="H2276" s="1">
        <v>130000</v>
      </c>
      <c r="I2276" s="1">
        <v>130000</v>
      </c>
      <c r="J2276" s="1">
        <v>125000</v>
      </c>
      <c r="K2276" s="2">
        <v>42023</v>
      </c>
      <c r="L2276" s="1">
        <v>6</v>
      </c>
      <c r="M2276" s="2">
        <v>42028</v>
      </c>
      <c r="N2276" s="1">
        <v>6</v>
      </c>
      <c r="O2276" s="2">
        <v>42028</v>
      </c>
      <c r="P2276" s="1">
        <v>22924</v>
      </c>
      <c r="Q2276" s="1" t="s">
        <v>197</v>
      </c>
      <c r="R2276" s="2">
        <v>42069</v>
      </c>
      <c r="S2276" s="1">
        <v>221614</v>
      </c>
      <c r="U2276" s="1">
        <v>40</v>
      </c>
      <c r="V2276" s="1" t="s">
        <v>12386</v>
      </c>
      <c r="W2276" s="1" t="s">
        <v>1056</v>
      </c>
      <c r="X2276" s="1" t="s">
        <v>20075</v>
      </c>
      <c r="Y2276" s="1">
        <v>194</v>
      </c>
      <c r="Z2276" s="1" t="s">
        <v>249</v>
      </c>
      <c r="AA2276" s="1" t="s">
        <v>3818</v>
      </c>
      <c r="AB2276" s="1">
        <v>60523</v>
      </c>
      <c r="AD2276" s="1" t="s">
        <v>20076</v>
      </c>
      <c r="AE2276" s="1" t="s">
        <v>20077</v>
      </c>
      <c r="AF2276" s="1" t="s">
        <v>402</v>
      </c>
      <c r="AG2276" s="1" t="s">
        <v>213</v>
      </c>
      <c r="AH2276" s="1" t="s">
        <v>3820</v>
      </c>
      <c r="AI2276" s="1" t="s">
        <v>206</v>
      </c>
      <c r="AJ2276" s="1" t="s">
        <v>1608</v>
      </c>
      <c r="AK2276" s="1" t="s">
        <v>20078</v>
      </c>
      <c r="AL2276" s="1">
        <v>5</v>
      </c>
      <c r="AM2276" s="1">
        <v>2</v>
      </c>
      <c r="AN2276" s="1">
        <v>2</v>
      </c>
      <c r="AO2276" s="1">
        <v>0</v>
      </c>
      <c r="AP2276" s="1" t="s">
        <v>209</v>
      </c>
      <c r="AR2276" s="1" t="s">
        <v>210</v>
      </c>
      <c r="AS2276" s="1" t="s">
        <v>204</v>
      </c>
      <c r="AT2276" s="1" t="s">
        <v>211</v>
      </c>
      <c r="AU2276" s="1">
        <v>1</v>
      </c>
      <c r="AW2276" s="1" t="s">
        <v>204</v>
      </c>
      <c r="AX2276" s="1" t="s">
        <v>212</v>
      </c>
      <c r="AZ2276" s="1">
        <v>2000</v>
      </c>
      <c r="BA2276" s="1">
        <v>2013</v>
      </c>
      <c r="BB2276" s="1" t="s">
        <v>599</v>
      </c>
      <c r="BE2276" s="1">
        <v>0</v>
      </c>
      <c r="BF2276" s="1">
        <v>9</v>
      </c>
      <c r="BG2276" s="1">
        <v>30</v>
      </c>
      <c r="BL2276" s="1">
        <v>448</v>
      </c>
      <c r="BM2276" s="1" t="s">
        <v>204</v>
      </c>
      <c r="BN2276" s="1" t="s">
        <v>204</v>
      </c>
      <c r="BP2276" s="1" t="s">
        <v>204</v>
      </c>
      <c r="BR2276" s="1" t="str">
        <f>"0628107323"</f>
        <v>0628107323</v>
      </c>
      <c r="BT2276" s="1" t="s">
        <v>20079</v>
      </c>
      <c r="BU2276" s="1" t="s">
        <v>2199</v>
      </c>
      <c r="BV2276" s="1" t="s">
        <v>2200</v>
      </c>
      <c r="BW2276" s="1" t="s">
        <v>2201</v>
      </c>
      <c r="BX2276" s="1">
        <v>45</v>
      </c>
      <c r="BY2276" s="1">
        <v>45</v>
      </c>
      <c r="BZ2276" s="1">
        <v>88</v>
      </c>
      <c r="CB2276" s="1" t="str">
        <f t="shared" ref="CB2276:CC2276" si="1743">""</f>
        <v/>
      </c>
      <c r="CC2276" s="1" t="str">
        <f t="shared" si="1743"/>
        <v/>
      </c>
      <c r="CG2276" s="1" t="s">
        <v>5801</v>
      </c>
      <c r="CH2276" s="1" t="s">
        <v>219</v>
      </c>
      <c r="CI2276" s="1" t="s">
        <v>220</v>
      </c>
      <c r="CJ2276" s="1" t="s">
        <v>210</v>
      </c>
      <c r="CK2276" s="1" t="s">
        <v>1045</v>
      </c>
      <c r="CL2276" s="1" t="s">
        <v>219</v>
      </c>
      <c r="CM2276" s="1" t="s">
        <v>220</v>
      </c>
      <c r="CN2276" s="1" t="s">
        <v>210</v>
      </c>
      <c r="CO2276" s="1" t="s">
        <v>465</v>
      </c>
      <c r="CP2276" s="1" t="s">
        <v>219</v>
      </c>
      <c r="CQ2276" s="1" t="s">
        <v>220</v>
      </c>
      <c r="CR2276" s="1" t="s">
        <v>343</v>
      </c>
      <c r="CS2276" s="1" t="s">
        <v>378</v>
      </c>
      <c r="CT2276" s="1" t="s">
        <v>219</v>
      </c>
      <c r="CU2276" s="1" t="s">
        <v>220</v>
      </c>
      <c r="CV2276" s="1" t="s">
        <v>343</v>
      </c>
      <c r="CX2276" s="1" t="s">
        <v>224</v>
      </c>
      <c r="DB2276" s="1" t="s">
        <v>224</v>
      </c>
      <c r="DE2276" s="1" t="s">
        <v>785</v>
      </c>
      <c r="DF2276" s="1" t="s">
        <v>219</v>
      </c>
      <c r="DG2276" s="1" t="s">
        <v>342</v>
      </c>
      <c r="DH2276" s="1" t="s">
        <v>210</v>
      </c>
      <c r="DJ2276" s="1" t="s">
        <v>224</v>
      </c>
      <c r="DS2276" s="1" t="s">
        <v>230</v>
      </c>
      <c r="DW2276" s="1" t="s">
        <v>230</v>
      </c>
      <c r="EA2276" s="1" t="s">
        <v>230</v>
      </c>
      <c r="EE2276" s="1" t="s">
        <v>230</v>
      </c>
      <c r="EI2276" s="1" t="s">
        <v>230</v>
      </c>
      <c r="EL2276" s="1" t="s">
        <v>605</v>
      </c>
      <c r="EM2276" s="1" t="s">
        <v>232</v>
      </c>
      <c r="EN2276" s="1" t="s">
        <v>233</v>
      </c>
      <c r="EO2276" s="1" t="s">
        <v>234</v>
      </c>
      <c r="EP2276" s="1" t="s">
        <v>20080</v>
      </c>
      <c r="EQ2276" s="1" t="s">
        <v>20081</v>
      </c>
      <c r="ER2276" s="1" t="s">
        <v>210</v>
      </c>
      <c r="ES2276" s="1" t="s">
        <v>545</v>
      </c>
      <c r="ET2276" s="1" t="s">
        <v>20082</v>
      </c>
      <c r="EV2276" s="1" t="s">
        <v>324</v>
      </c>
      <c r="EW2276" s="1" t="s">
        <v>20083</v>
      </c>
      <c r="EY2276" s="1" t="s">
        <v>441</v>
      </c>
      <c r="EZ2276" s="1" t="s">
        <v>287</v>
      </c>
      <c r="FA2276" s="1" t="s">
        <v>2723</v>
      </c>
      <c r="FD2276" s="1" t="s">
        <v>1112</v>
      </c>
      <c r="FE2276" s="1" t="s">
        <v>247</v>
      </c>
      <c r="FF2276" s="1" t="s">
        <v>248</v>
      </c>
      <c r="FH2276" s="1" t="s">
        <v>249</v>
      </c>
      <c r="FI2276" s="1" t="s">
        <v>1114</v>
      </c>
      <c r="FL2276" s="1" t="s">
        <v>1164</v>
      </c>
      <c r="FM2276" s="1" t="s">
        <v>252</v>
      </c>
      <c r="FN2276" s="1" t="s">
        <v>213</v>
      </c>
      <c r="FO2276" s="1" t="s">
        <v>213</v>
      </c>
      <c r="FQ2276" s="1" t="s">
        <v>13065</v>
      </c>
      <c r="FR2276" s="1" t="s">
        <v>210</v>
      </c>
      <c r="FS2276" s="1" t="s">
        <v>20084</v>
      </c>
      <c r="FT2276" s="1" t="s">
        <v>362</v>
      </c>
      <c r="FU2276" s="1" t="s">
        <v>204</v>
      </c>
      <c r="FW2276" s="1" t="s">
        <v>1288</v>
      </c>
      <c r="FX2276" s="1">
        <v>22097</v>
      </c>
      <c r="FY2276" s="1" t="s">
        <v>1289</v>
      </c>
      <c r="FZ2276" s="1" t="s">
        <v>20085</v>
      </c>
      <c r="GA2276" s="1">
        <v>221702</v>
      </c>
      <c r="GB2276" s="1" t="s">
        <v>20086</v>
      </c>
      <c r="GE2276" s="1" t="s">
        <v>1145</v>
      </c>
      <c r="GH2276" s="1" t="s">
        <v>230</v>
      </c>
      <c r="GI2276" s="1" t="s">
        <v>213</v>
      </c>
      <c r="GJ2276" s="1" t="s">
        <v>260</v>
      </c>
      <c r="GK2276" s="1" t="s">
        <v>210</v>
      </c>
      <c r="GL2276" s="2">
        <v>42072</v>
      </c>
      <c r="GM2276" s="1" t="s">
        <v>20087</v>
      </c>
    </row>
    <row r="2277" spans="1:195">
      <c r="A2277" s="1">
        <v>279990</v>
      </c>
      <c r="B2277" s="1" t="s">
        <v>195</v>
      </c>
      <c r="C2277" s="1" t="str">
        <f>"08823401"</f>
        <v>08823401</v>
      </c>
      <c r="D2277" s="1" t="s">
        <v>196</v>
      </c>
      <c r="F2277" s="1" t="str">
        <f>"540"</f>
        <v>540</v>
      </c>
      <c r="G2277" s="2">
        <v>42028</v>
      </c>
      <c r="H2277" s="1">
        <v>279990</v>
      </c>
      <c r="I2277" s="1">
        <v>279990</v>
      </c>
      <c r="J2277" s="1">
        <v>279990</v>
      </c>
      <c r="K2277" s="2">
        <v>42028</v>
      </c>
      <c r="L2277" s="1">
        <v>48</v>
      </c>
      <c r="M2277" s="2">
        <v>42075</v>
      </c>
      <c r="N2277" s="1">
        <v>48</v>
      </c>
      <c r="O2277" s="2">
        <v>42075</v>
      </c>
      <c r="P2277" s="1" t="s">
        <v>1039</v>
      </c>
      <c r="Q2277" s="1" t="s">
        <v>197</v>
      </c>
      <c r="R2277" s="2">
        <v>42123</v>
      </c>
      <c r="S2277" s="1">
        <v>99995</v>
      </c>
      <c r="U2277" s="1">
        <v>2613</v>
      </c>
      <c r="V2277" s="1" t="s">
        <v>6288</v>
      </c>
      <c r="W2277" s="1" t="s">
        <v>304</v>
      </c>
      <c r="X2277" s="1">
        <v>4604</v>
      </c>
      <c r="Y2277" s="1">
        <v>4</v>
      </c>
      <c r="Z2277" s="1" t="s">
        <v>370</v>
      </c>
      <c r="AA2277" s="1" t="s">
        <v>921</v>
      </c>
      <c r="AB2277" s="1">
        <v>60564</v>
      </c>
      <c r="AD2277" s="1" t="s">
        <v>3249</v>
      </c>
      <c r="AE2277" s="1" t="s">
        <v>20088</v>
      </c>
      <c r="AF2277" s="1">
        <v>2015</v>
      </c>
      <c r="AG2277" s="1" t="s">
        <v>204</v>
      </c>
      <c r="AH2277" s="1" t="s">
        <v>924</v>
      </c>
      <c r="AI2277" s="1" t="s">
        <v>1800</v>
      </c>
      <c r="AJ2277" s="1" t="s">
        <v>1801</v>
      </c>
      <c r="AK2277" s="1" t="s">
        <v>16198</v>
      </c>
      <c r="AL2277" s="1">
        <v>5</v>
      </c>
      <c r="AM2277" s="1">
        <v>2</v>
      </c>
      <c r="AN2277" s="1">
        <v>2</v>
      </c>
      <c r="AO2277" s="1">
        <v>0</v>
      </c>
      <c r="AP2277" s="1" t="s">
        <v>209</v>
      </c>
      <c r="AR2277" s="1" t="s">
        <v>210</v>
      </c>
      <c r="AS2277" s="1" t="s">
        <v>204</v>
      </c>
      <c r="AT2277" s="1" t="s">
        <v>211</v>
      </c>
      <c r="AU2277" s="1">
        <v>2</v>
      </c>
      <c r="AW2277" s="1" t="s">
        <v>204</v>
      </c>
      <c r="AX2277" s="1" t="s">
        <v>9109</v>
      </c>
      <c r="AZ2277" s="1" t="s">
        <v>751</v>
      </c>
      <c r="BA2277" s="1">
        <v>2012</v>
      </c>
      <c r="BE2277" s="1">
        <v>1717</v>
      </c>
      <c r="BF2277" s="1">
        <v>1</v>
      </c>
      <c r="BG2277" s="1">
        <v>0</v>
      </c>
      <c r="BL2277" s="1">
        <v>244</v>
      </c>
      <c r="BM2277" s="1" t="s">
        <v>204</v>
      </c>
      <c r="BN2277" s="1" t="s">
        <v>213</v>
      </c>
      <c r="BO2277" s="1">
        <v>999</v>
      </c>
      <c r="BP2277" s="1" t="s">
        <v>213</v>
      </c>
      <c r="BQ2277" s="2">
        <v>42129</v>
      </c>
      <c r="BR2277" s="1" t="str">
        <f>"01054100370000"</f>
        <v>01054100370000</v>
      </c>
      <c r="BT2277" s="1" t="s">
        <v>20089</v>
      </c>
      <c r="BX2277" s="1">
        <v>204</v>
      </c>
      <c r="BY2277" s="1">
        <v>204</v>
      </c>
      <c r="BZ2277" s="1">
        <v>204</v>
      </c>
      <c r="CB2277" s="1" t="str">
        <f t="shared" ref="CB2277:CC2277" si="1744">""</f>
        <v/>
      </c>
      <c r="CC2277" s="1" t="str">
        <f t="shared" si="1744"/>
        <v/>
      </c>
      <c r="CG2277" s="1" t="s">
        <v>1132</v>
      </c>
      <c r="CH2277" s="1" t="s">
        <v>219</v>
      </c>
      <c r="CK2277" s="1" t="s">
        <v>462</v>
      </c>
      <c r="CL2277" s="1" t="s">
        <v>219</v>
      </c>
      <c r="CO2277" s="1" t="s">
        <v>629</v>
      </c>
      <c r="CP2277" s="1" t="s">
        <v>219</v>
      </c>
      <c r="CS2277" s="1" t="s">
        <v>408</v>
      </c>
      <c r="CT2277" s="1" t="s">
        <v>219</v>
      </c>
      <c r="CX2277" s="1" t="s">
        <v>224</v>
      </c>
      <c r="DB2277" s="1" t="s">
        <v>224</v>
      </c>
      <c r="DE2277" s="1" t="s">
        <v>1267</v>
      </c>
      <c r="DF2277" s="1" t="s">
        <v>219</v>
      </c>
      <c r="DJ2277" s="1" t="s">
        <v>224</v>
      </c>
      <c r="DM2277" s="1" t="s">
        <v>603</v>
      </c>
      <c r="DR2277" s="1" t="s">
        <v>1598</v>
      </c>
      <c r="DS2277" s="1" t="s">
        <v>219</v>
      </c>
      <c r="DW2277" s="1" t="s">
        <v>230</v>
      </c>
      <c r="EA2277" s="1" t="s">
        <v>230</v>
      </c>
      <c r="EE2277" s="1" t="s">
        <v>230</v>
      </c>
      <c r="EI2277" s="1" t="s">
        <v>230</v>
      </c>
      <c r="EL2277" s="1" t="s">
        <v>760</v>
      </c>
      <c r="EM2277" s="1" t="s">
        <v>730</v>
      </c>
      <c r="EN2277" s="1" t="s">
        <v>282</v>
      </c>
      <c r="EO2277" s="1" t="s">
        <v>840</v>
      </c>
      <c r="EP2277" s="1" t="s">
        <v>3254</v>
      </c>
      <c r="ER2277" s="1" t="s">
        <v>210</v>
      </c>
      <c r="EW2277" s="1" t="s">
        <v>3255</v>
      </c>
      <c r="EZ2277" s="1" t="s">
        <v>603</v>
      </c>
      <c r="FD2277" s="1" t="s">
        <v>246</v>
      </c>
      <c r="FE2277" s="1" t="s">
        <v>975</v>
      </c>
      <c r="FF2277" s="1" t="s">
        <v>248</v>
      </c>
      <c r="FH2277" s="1" t="s">
        <v>825</v>
      </c>
      <c r="FL2277" s="1" t="s">
        <v>358</v>
      </c>
      <c r="FM2277" s="1" t="s">
        <v>252</v>
      </c>
      <c r="FN2277" s="1" t="s">
        <v>204</v>
      </c>
      <c r="FO2277" s="1" t="s">
        <v>213</v>
      </c>
      <c r="FQ2277" s="1" t="s">
        <v>582</v>
      </c>
      <c r="FR2277" s="1" t="s">
        <v>210</v>
      </c>
      <c r="FS2277" s="1" t="s">
        <v>20090</v>
      </c>
      <c r="FT2277" s="1" t="s">
        <v>771</v>
      </c>
      <c r="FU2277" s="1" t="s">
        <v>204</v>
      </c>
      <c r="FW2277" s="1" t="s">
        <v>772</v>
      </c>
      <c r="FX2277" s="1">
        <v>92038</v>
      </c>
      <c r="FY2277" s="1" t="s">
        <v>773</v>
      </c>
      <c r="FZ2277" s="1" t="s">
        <v>774</v>
      </c>
      <c r="GA2277" s="1">
        <v>21137</v>
      </c>
      <c r="GB2277" s="1" t="s">
        <v>775</v>
      </c>
      <c r="GE2277" s="1" t="s">
        <v>623</v>
      </c>
      <c r="GI2277" s="1" t="s">
        <v>204</v>
      </c>
      <c r="GJ2277" s="1" t="s">
        <v>260</v>
      </c>
      <c r="GK2277" s="1" t="s">
        <v>210</v>
      </c>
      <c r="GL2277" s="2">
        <v>42137</v>
      </c>
      <c r="GM2277" s="1" t="s">
        <v>20091</v>
      </c>
    </row>
    <row r="2278" spans="1:195">
      <c r="A2278" s="1">
        <v>86000</v>
      </c>
      <c r="B2278" s="1" t="s">
        <v>195</v>
      </c>
      <c r="C2278" s="1" t="str">
        <f>"08819494"</f>
        <v>08819494</v>
      </c>
      <c r="D2278" s="1" t="s">
        <v>196</v>
      </c>
      <c r="F2278" s="1" t="str">
        <f>"107"</f>
        <v>107</v>
      </c>
      <c r="G2278" s="2">
        <v>42023</v>
      </c>
      <c r="H2278" s="1">
        <v>86000</v>
      </c>
      <c r="I2278" s="1">
        <v>86000</v>
      </c>
      <c r="J2278" s="1">
        <v>86000</v>
      </c>
      <c r="K2278" s="2">
        <v>42023</v>
      </c>
      <c r="L2278" s="1">
        <v>5</v>
      </c>
      <c r="M2278" s="2">
        <v>42027</v>
      </c>
      <c r="N2278" s="1">
        <v>5</v>
      </c>
      <c r="O2278" s="2">
        <v>42027</v>
      </c>
      <c r="P2278" s="1">
        <v>8969</v>
      </c>
      <c r="Q2278" s="1" t="s">
        <v>302</v>
      </c>
      <c r="R2278" s="2">
        <v>42116</v>
      </c>
      <c r="S2278" s="1">
        <v>29046</v>
      </c>
      <c r="U2278" s="1">
        <v>15</v>
      </c>
      <c r="V2278" s="1" t="s">
        <v>20092</v>
      </c>
      <c r="W2278" s="1" t="s">
        <v>449</v>
      </c>
      <c r="X2278" s="1" t="s">
        <v>4806</v>
      </c>
      <c r="Y2278" s="1">
        <v>335</v>
      </c>
      <c r="Z2278" s="1" t="s">
        <v>249</v>
      </c>
      <c r="AA2278" s="1" t="s">
        <v>1211</v>
      </c>
      <c r="AB2278" s="1">
        <v>60107</v>
      </c>
      <c r="AC2278" s="1">
        <v>6010</v>
      </c>
      <c r="AD2278" s="1" t="s">
        <v>5883</v>
      </c>
      <c r="AE2278" s="1" t="s">
        <v>20093</v>
      </c>
      <c r="AF2278" s="1">
        <v>1987</v>
      </c>
      <c r="AG2278" s="1" t="s">
        <v>204</v>
      </c>
      <c r="AH2278" s="1" t="s">
        <v>1214</v>
      </c>
      <c r="AI2278" s="1" t="s">
        <v>310</v>
      </c>
      <c r="AJ2278" s="1" t="s">
        <v>374</v>
      </c>
      <c r="AK2278" s="1" t="s">
        <v>1460</v>
      </c>
      <c r="AL2278" s="1">
        <v>5</v>
      </c>
      <c r="AM2278" s="1">
        <v>2</v>
      </c>
      <c r="AN2278" s="1">
        <v>1</v>
      </c>
      <c r="AO2278" s="1">
        <v>0</v>
      </c>
      <c r="AP2278" s="1" t="s">
        <v>209</v>
      </c>
      <c r="AR2278" s="1" t="s">
        <v>210</v>
      </c>
      <c r="AT2278" s="1" t="s">
        <v>211</v>
      </c>
      <c r="AU2278" s="1">
        <v>1</v>
      </c>
      <c r="AW2278" s="1" t="s">
        <v>204</v>
      </c>
      <c r="AX2278" s="1" t="s">
        <v>212</v>
      </c>
      <c r="AZ2278" s="1">
        <v>1537.24</v>
      </c>
      <c r="BA2278" s="1">
        <v>2013</v>
      </c>
      <c r="BB2278" s="1" t="s">
        <v>210</v>
      </c>
      <c r="BE2278" s="1">
        <v>900</v>
      </c>
      <c r="BF2278" s="1">
        <v>2</v>
      </c>
      <c r="BG2278" s="1">
        <v>0</v>
      </c>
      <c r="BL2278" s="1">
        <v>227</v>
      </c>
      <c r="BM2278" s="1" t="s">
        <v>413</v>
      </c>
      <c r="BN2278" s="1" t="s">
        <v>213</v>
      </c>
      <c r="BO2278" s="1">
        <v>999</v>
      </c>
      <c r="BP2278" s="1" t="s">
        <v>204</v>
      </c>
      <c r="BR2278" s="1" t="str">
        <f>"06144280151038"</f>
        <v>06144280151038</v>
      </c>
      <c r="BT2278" s="1" t="s">
        <v>20094</v>
      </c>
      <c r="BX2278" s="1">
        <v>46</v>
      </c>
      <c r="BY2278" s="1">
        <v>46</v>
      </c>
      <c r="BZ2278" s="1">
        <v>46</v>
      </c>
      <c r="CB2278" s="1" t="str">
        <f>"11"</f>
        <v>11</v>
      </c>
      <c r="CC2278" s="1" t="str">
        <f>"0"</f>
        <v>0</v>
      </c>
      <c r="CD2278" s="1">
        <v>18</v>
      </c>
      <c r="CE2278" s="1">
        <v>0</v>
      </c>
      <c r="CG2278" s="1" t="s">
        <v>228</v>
      </c>
      <c r="CH2278" s="1" t="s">
        <v>277</v>
      </c>
      <c r="CI2278" s="1" t="s">
        <v>438</v>
      </c>
      <c r="CK2278" s="1" t="s">
        <v>757</v>
      </c>
      <c r="CL2278" s="1" t="s">
        <v>277</v>
      </c>
      <c r="CM2278" s="1" t="s">
        <v>220</v>
      </c>
      <c r="CO2278" s="1" t="s">
        <v>629</v>
      </c>
      <c r="CP2278" s="1" t="s">
        <v>277</v>
      </c>
      <c r="CQ2278" s="1" t="s">
        <v>438</v>
      </c>
      <c r="CS2278" s="1" t="s">
        <v>461</v>
      </c>
      <c r="CT2278" s="1" t="s">
        <v>277</v>
      </c>
      <c r="CU2278" s="1" t="s">
        <v>220</v>
      </c>
      <c r="CX2278" s="1" t="s">
        <v>224</v>
      </c>
      <c r="DB2278" s="1" t="s">
        <v>224</v>
      </c>
      <c r="DE2278" s="1" t="s">
        <v>516</v>
      </c>
      <c r="DF2278" s="1" t="s">
        <v>277</v>
      </c>
      <c r="DG2278" s="1" t="s">
        <v>438</v>
      </c>
      <c r="DJ2278" s="1" t="s">
        <v>224</v>
      </c>
      <c r="DS2278" s="1" t="s">
        <v>230</v>
      </c>
      <c r="DW2278" s="1" t="s">
        <v>230</v>
      </c>
      <c r="EA2278" s="1" t="s">
        <v>230</v>
      </c>
      <c r="EE2278" s="1" t="s">
        <v>230</v>
      </c>
      <c r="EI2278" s="1" t="s">
        <v>230</v>
      </c>
      <c r="EL2278" s="1" t="s">
        <v>542</v>
      </c>
      <c r="EM2278" s="1" t="s">
        <v>730</v>
      </c>
      <c r="EN2278" s="1" t="s">
        <v>282</v>
      </c>
      <c r="EO2278" s="1" t="s">
        <v>234</v>
      </c>
      <c r="ER2278" s="1" t="s">
        <v>210</v>
      </c>
      <c r="EW2278" s="1" t="s">
        <v>1426</v>
      </c>
      <c r="EZ2278" s="1" t="s">
        <v>287</v>
      </c>
      <c r="FD2278" s="1" t="s">
        <v>1649</v>
      </c>
      <c r="FE2278" s="1" t="s">
        <v>1031</v>
      </c>
      <c r="FF2278" s="1" t="s">
        <v>248</v>
      </c>
      <c r="FH2278" s="1" t="s">
        <v>388</v>
      </c>
      <c r="FL2278" s="1" t="s">
        <v>358</v>
      </c>
      <c r="FM2278" s="1" t="s">
        <v>252</v>
      </c>
      <c r="FN2278" s="1" t="s">
        <v>204</v>
      </c>
      <c r="FO2278" s="1" t="s">
        <v>204</v>
      </c>
      <c r="FQ2278" s="1" t="s">
        <v>20095</v>
      </c>
      <c r="FR2278" s="1" t="s">
        <v>360</v>
      </c>
      <c r="FS2278" s="1" t="s">
        <v>20096</v>
      </c>
      <c r="FT2278" s="1" t="s">
        <v>4073</v>
      </c>
      <c r="FU2278" s="1" t="s">
        <v>204</v>
      </c>
      <c r="FW2278" s="1" t="s">
        <v>4074</v>
      </c>
      <c r="FX2278" s="1">
        <v>1085</v>
      </c>
      <c r="FY2278" s="1" t="s">
        <v>4075</v>
      </c>
      <c r="FZ2278" s="1" t="s">
        <v>20097</v>
      </c>
      <c r="GA2278" s="1">
        <v>28555</v>
      </c>
      <c r="GB2278" s="1" t="s">
        <v>20098</v>
      </c>
      <c r="GE2278" s="1" t="s">
        <v>210</v>
      </c>
      <c r="GI2278" s="1" t="s">
        <v>204</v>
      </c>
      <c r="GJ2278" s="1" t="s">
        <v>260</v>
      </c>
      <c r="GK2278" s="1" t="s">
        <v>210</v>
      </c>
      <c r="GL2278" s="2">
        <v>42117</v>
      </c>
      <c r="GM2278" s="2" t="s">
        <v>20099</v>
      </c>
    </row>
    <row r="2279" spans="1:195">
      <c r="A2279" s="1">
        <v>86500</v>
      </c>
      <c r="B2279" s="1" t="s">
        <v>195</v>
      </c>
      <c r="C2279" s="1" t="str">
        <f>"08819331"</f>
        <v>08819331</v>
      </c>
      <c r="D2279" s="1" t="s">
        <v>196</v>
      </c>
      <c r="F2279" s="1" t="str">
        <f>"516"</f>
        <v>516</v>
      </c>
      <c r="G2279" s="2">
        <v>42023</v>
      </c>
      <c r="H2279" s="1">
        <v>90000</v>
      </c>
      <c r="I2279" s="1">
        <v>88900</v>
      </c>
      <c r="J2279" s="1">
        <v>86500</v>
      </c>
      <c r="K2279" s="2">
        <v>42021</v>
      </c>
      <c r="L2279" s="1">
        <v>44</v>
      </c>
      <c r="M2279" s="2">
        <v>42064</v>
      </c>
      <c r="N2279" s="1">
        <v>44</v>
      </c>
      <c r="O2279" s="2">
        <v>42064</v>
      </c>
      <c r="P2279" s="1">
        <v>22029</v>
      </c>
      <c r="Q2279" s="1" t="s">
        <v>197</v>
      </c>
      <c r="R2279" s="2">
        <v>42108</v>
      </c>
      <c r="S2279" s="1">
        <v>242593</v>
      </c>
      <c r="U2279" s="1" t="s">
        <v>20100</v>
      </c>
      <c r="V2279" s="1" t="s">
        <v>20101</v>
      </c>
      <c r="W2279" s="1" t="s">
        <v>264</v>
      </c>
      <c r="X2279" s="1">
        <v>106</v>
      </c>
      <c r="Y2279" s="1">
        <v>12</v>
      </c>
      <c r="Z2279" s="1" t="s">
        <v>249</v>
      </c>
      <c r="AA2279" s="1" t="s">
        <v>1417</v>
      </c>
      <c r="AB2279" s="1">
        <v>60527</v>
      </c>
      <c r="AD2279" s="1" t="s">
        <v>20102</v>
      </c>
      <c r="AE2279" s="1" t="s">
        <v>20103</v>
      </c>
      <c r="AF2279" s="1">
        <v>1970</v>
      </c>
      <c r="AG2279" s="1" t="s">
        <v>213</v>
      </c>
      <c r="AH2279" s="1" t="s">
        <v>882</v>
      </c>
      <c r="AI2279" s="1" t="s">
        <v>206</v>
      </c>
      <c r="AJ2279" s="1" t="s">
        <v>903</v>
      </c>
      <c r="AK2279" s="1" t="s">
        <v>1151</v>
      </c>
      <c r="AL2279" s="1">
        <v>5</v>
      </c>
      <c r="AM2279" s="1">
        <v>2</v>
      </c>
      <c r="AN2279" s="1">
        <v>1</v>
      </c>
      <c r="AO2279" s="1">
        <v>0</v>
      </c>
      <c r="AP2279" s="1" t="s">
        <v>667</v>
      </c>
      <c r="AR2279" s="1" t="s">
        <v>210</v>
      </c>
      <c r="AS2279" s="1" t="s">
        <v>204</v>
      </c>
      <c r="AT2279" s="1" t="s">
        <v>271</v>
      </c>
      <c r="AV2279" s="1">
        <v>0</v>
      </c>
      <c r="AW2279" s="1" t="s">
        <v>204</v>
      </c>
      <c r="AX2279" s="1" t="s">
        <v>212</v>
      </c>
      <c r="AZ2279" s="1">
        <v>724</v>
      </c>
      <c r="BA2279" s="1">
        <v>2013</v>
      </c>
      <c r="BB2279" s="1" t="s">
        <v>405</v>
      </c>
      <c r="BE2279" s="1">
        <v>920</v>
      </c>
      <c r="BF2279" s="1">
        <v>1</v>
      </c>
      <c r="BG2279" s="1">
        <v>30</v>
      </c>
      <c r="BL2279" s="1">
        <v>343</v>
      </c>
      <c r="BM2279" s="1" t="s">
        <v>204</v>
      </c>
      <c r="BN2279" s="1" t="s">
        <v>213</v>
      </c>
      <c r="BP2279" s="1" t="s">
        <v>204</v>
      </c>
      <c r="BR2279" s="1" t="str">
        <f>"0935114213"</f>
        <v>0935114213</v>
      </c>
      <c r="BT2279" s="1" t="s">
        <v>20104</v>
      </c>
      <c r="BU2279" s="1" t="s">
        <v>6602</v>
      </c>
      <c r="BV2279" s="1" t="s">
        <v>6603</v>
      </c>
      <c r="BW2279" s="1" t="s">
        <v>907</v>
      </c>
      <c r="BX2279" s="1">
        <v>62</v>
      </c>
      <c r="BY2279" s="1">
        <v>62</v>
      </c>
      <c r="BZ2279" s="1">
        <v>86</v>
      </c>
      <c r="CB2279" s="1" t="str">
        <f t="shared" ref="CB2279:CC2279" si="1745">"0"</f>
        <v>0</v>
      </c>
      <c r="CC2279" s="1" t="str">
        <f t="shared" si="1745"/>
        <v>0</v>
      </c>
      <c r="CD2279" s="1">
        <v>16</v>
      </c>
      <c r="CE2279" s="1">
        <v>9</v>
      </c>
      <c r="CG2279" s="1" t="s">
        <v>1045</v>
      </c>
      <c r="CH2279" s="1" t="s">
        <v>219</v>
      </c>
      <c r="CI2279" s="1" t="s">
        <v>229</v>
      </c>
      <c r="CK2279" s="1" t="s">
        <v>1454</v>
      </c>
      <c r="CL2279" s="1" t="s">
        <v>219</v>
      </c>
      <c r="CM2279" s="1" t="s">
        <v>229</v>
      </c>
      <c r="CO2279" s="1" t="s">
        <v>951</v>
      </c>
      <c r="CP2279" s="1" t="s">
        <v>219</v>
      </c>
      <c r="CQ2279" s="1" t="s">
        <v>229</v>
      </c>
      <c r="CS2279" s="1" t="s">
        <v>223</v>
      </c>
      <c r="CT2279" s="1" t="s">
        <v>219</v>
      </c>
      <c r="CU2279" s="1" t="s">
        <v>229</v>
      </c>
      <c r="CX2279" s="1" t="s">
        <v>224</v>
      </c>
      <c r="DB2279" s="1" t="s">
        <v>224</v>
      </c>
      <c r="DE2279" s="1" t="s">
        <v>409</v>
      </c>
      <c r="DF2279" s="1" t="s">
        <v>219</v>
      </c>
      <c r="DG2279" s="1" t="s">
        <v>229</v>
      </c>
      <c r="DJ2279" s="1" t="s">
        <v>224</v>
      </c>
      <c r="DS2279" s="1" t="s">
        <v>230</v>
      </c>
      <c r="DW2279" s="1" t="s">
        <v>230</v>
      </c>
      <c r="EA2279" s="1" t="s">
        <v>230</v>
      </c>
      <c r="EE2279" s="1" t="s">
        <v>230</v>
      </c>
      <c r="EI2279" s="1" t="s">
        <v>230</v>
      </c>
      <c r="EL2279" s="1" t="s">
        <v>605</v>
      </c>
      <c r="EM2279" s="1" t="s">
        <v>232</v>
      </c>
      <c r="EN2279" s="1" t="s">
        <v>1158</v>
      </c>
      <c r="EO2279" s="1" t="s">
        <v>234</v>
      </c>
      <c r="EP2279" s="1" t="s">
        <v>20105</v>
      </c>
      <c r="EQ2279" s="1" t="s">
        <v>3572</v>
      </c>
      <c r="ER2279" s="1" t="s">
        <v>210</v>
      </c>
      <c r="ES2279" s="1" t="s">
        <v>322</v>
      </c>
      <c r="EU2279" s="1" t="s">
        <v>239</v>
      </c>
      <c r="EV2279" s="1" t="s">
        <v>324</v>
      </c>
      <c r="EW2279" s="1" t="s">
        <v>20106</v>
      </c>
      <c r="EY2279" s="1" t="s">
        <v>242</v>
      </c>
      <c r="EZ2279" s="1" t="s">
        <v>287</v>
      </c>
      <c r="FA2279" s="1" t="s">
        <v>243</v>
      </c>
      <c r="FB2279" s="1" t="s">
        <v>244</v>
      </c>
      <c r="FC2279" s="1" t="s">
        <v>633</v>
      </c>
      <c r="FD2279" s="1" t="s">
        <v>736</v>
      </c>
      <c r="FE2279" s="1" t="s">
        <v>247</v>
      </c>
      <c r="FF2279" s="1" t="s">
        <v>248</v>
      </c>
      <c r="FH2279" s="1" t="s">
        <v>1316</v>
      </c>
      <c r="FK2279" s="1" t="s">
        <v>6240</v>
      </c>
      <c r="FL2279" s="1" t="s">
        <v>6699</v>
      </c>
      <c r="FM2279" s="1" t="s">
        <v>252</v>
      </c>
      <c r="FN2279" s="1" t="s">
        <v>213</v>
      </c>
      <c r="FO2279" s="1" t="s">
        <v>213</v>
      </c>
      <c r="FQ2279" s="1" t="s">
        <v>2293</v>
      </c>
      <c r="FR2279" s="1" t="s">
        <v>210</v>
      </c>
      <c r="FS2279" s="1" t="s">
        <v>20107</v>
      </c>
      <c r="FT2279" s="1" t="s">
        <v>520</v>
      </c>
      <c r="FU2279" s="1" t="s">
        <v>204</v>
      </c>
      <c r="FW2279" s="1" t="s">
        <v>1559</v>
      </c>
      <c r="FX2279" s="1">
        <v>24587</v>
      </c>
      <c r="FY2279" s="1" t="s">
        <v>6179</v>
      </c>
      <c r="FZ2279" s="1" t="s">
        <v>20108</v>
      </c>
      <c r="GA2279" s="1">
        <v>221552</v>
      </c>
      <c r="GB2279" s="1" t="s">
        <v>20109</v>
      </c>
      <c r="GE2279" s="1" t="s">
        <v>776</v>
      </c>
      <c r="GI2279" s="1" t="s">
        <v>213</v>
      </c>
      <c r="GJ2279" s="1" t="s">
        <v>260</v>
      </c>
      <c r="GK2279" s="1" t="s">
        <v>210</v>
      </c>
      <c r="GL2279" s="2">
        <v>42114</v>
      </c>
      <c r="GM2279" s="1" t="s">
        <v>20110</v>
      </c>
    </row>
    <row r="2280" spans="1:195">
      <c r="A2280" s="1">
        <v>81000</v>
      </c>
      <c r="B2280" s="1" t="s">
        <v>195</v>
      </c>
      <c r="C2280" s="1" t="str">
        <f>"08813490"</f>
        <v>08813490</v>
      </c>
      <c r="D2280" s="1" t="s">
        <v>196</v>
      </c>
      <c r="F2280" s="1" t="str">
        <f>"187"</f>
        <v>187</v>
      </c>
      <c r="G2280" s="2">
        <v>42013</v>
      </c>
      <c r="H2280" s="1">
        <v>92000</v>
      </c>
      <c r="I2280" s="1">
        <v>84000</v>
      </c>
      <c r="J2280" s="1">
        <v>81000</v>
      </c>
      <c r="K2280" s="2">
        <v>42011</v>
      </c>
      <c r="L2280" s="1">
        <v>60</v>
      </c>
      <c r="M2280" s="2">
        <v>42070</v>
      </c>
      <c r="N2280" s="1">
        <v>60</v>
      </c>
      <c r="O2280" s="2">
        <v>42070</v>
      </c>
      <c r="P2280" s="1">
        <v>24213</v>
      </c>
      <c r="Q2280" s="1" t="s">
        <v>302</v>
      </c>
      <c r="R2280" s="2">
        <v>42094</v>
      </c>
      <c r="S2280" s="1">
        <v>242400</v>
      </c>
      <c r="U2280" s="1">
        <v>1480</v>
      </c>
      <c r="V2280" s="1" t="s">
        <v>1040</v>
      </c>
      <c r="W2280" s="1" t="s">
        <v>449</v>
      </c>
      <c r="X2280" s="1" t="s">
        <v>20111</v>
      </c>
      <c r="Y2280" s="1">
        <v>12</v>
      </c>
      <c r="Z2280" s="1" t="s">
        <v>249</v>
      </c>
      <c r="AA2280" s="1" t="s">
        <v>964</v>
      </c>
      <c r="AB2280" s="1">
        <v>60187</v>
      </c>
      <c r="AD2280" s="1" t="s">
        <v>1042</v>
      </c>
      <c r="AE2280" s="1" t="s">
        <v>20112</v>
      </c>
      <c r="AF2280" s="1">
        <v>1982</v>
      </c>
      <c r="AG2280" s="1" t="s">
        <v>204</v>
      </c>
      <c r="AH2280" s="1" t="s">
        <v>967</v>
      </c>
      <c r="AI2280" s="1" t="s">
        <v>206</v>
      </c>
      <c r="AJ2280" s="1" t="s">
        <v>207</v>
      </c>
      <c r="AL2280" s="1">
        <v>5</v>
      </c>
      <c r="AM2280" s="1">
        <v>2</v>
      </c>
      <c r="AN2280" s="1">
        <v>2</v>
      </c>
      <c r="AO2280" s="1">
        <v>0</v>
      </c>
      <c r="AP2280" s="1" t="s">
        <v>209</v>
      </c>
      <c r="AQ2280" s="1">
        <v>0</v>
      </c>
      <c r="AR2280" s="1" t="s">
        <v>210</v>
      </c>
      <c r="AS2280" s="1" t="s">
        <v>204</v>
      </c>
      <c r="AT2280" s="1" t="s">
        <v>271</v>
      </c>
      <c r="AV2280" s="1">
        <v>1</v>
      </c>
      <c r="AW2280" s="1" t="s">
        <v>204</v>
      </c>
      <c r="AX2280" s="1" t="s">
        <v>212</v>
      </c>
      <c r="AZ2280" s="1">
        <v>2611</v>
      </c>
      <c r="BA2280" s="1">
        <v>2013</v>
      </c>
      <c r="BB2280" s="1" t="s">
        <v>405</v>
      </c>
      <c r="BE2280" s="1">
        <v>972</v>
      </c>
      <c r="BF2280" s="1">
        <v>1</v>
      </c>
      <c r="BG2280" s="1">
        <v>0</v>
      </c>
      <c r="BL2280" s="1">
        <v>248</v>
      </c>
      <c r="BM2280" s="1" t="s">
        <v>204</v>
      </c>
      <c r="BN2280" s="1" t="s">
        <v>213</v>
      </c>
      <c r="BO2280" s="1">
        <v>35</v>
      </c>
      <c r="BP2280" s="1" t="s">
        <v>204</v>
      </c>
      <c r="BR2280" s="1" t="str">
        <f>"0519414037"</f>
        <v>0519414037</v>
      </c>
      <c r="BT2280" s="1" t="s">
        <v>20113</v>
      </c>
      <c r="BU2280" s="1" t="s">
        <v>1327</v>
      </c>
      <c r="BV2280" s="1" t="s">
        <v>970</v>
      </c>
      <c r="BW2280" s="1" t="s">
        <v>971</v>
      </c>
      <c r="BX2280" s="1">
        <v>200</v>
      </c>
      <c r="BY2280" s="1">
        <v>200</v>
      </c>
      <c r="BZ2280" s="1">
        <v>200</v>
      </c>
      <c r="CB2280" s="1" t="str">
        <f t="shared" ref="CB2280:CC2280" si="1746">"0"</f>
        <v>0</v>
      </c>
      <c r="CC2280" s="1" t="str">
        <f t="shared" si="1746"/>
        <v>0</v>
      </c>
      <c r="CD2280" s="1">
        <v>26</v>
      </c>
      <c r="CE2280" s="1">
        <v>1</v>
      </c>
      <c r="CG2280" s="1" t="s">
        <v>757</v>
      </c>
      <c r="CH2280" s="1" t="s">
        <v>219</v>
      </c>
      <c r="CI2280" s="1" t="s">
        <v>220</v>
      </c>
      <c r="CK2280" s="1" t="s">
        <v>461</v>
      </c>
      <c r="CL2280" s="1" t="s">
        <v>219</v>
      </c>
      <c r="CM2280" s="1" t="s">
        <v>220</v>
      </c>
      <c r="CO2280" s="1" t="s">
        <v>348</v>
      </c>
      <c r="CP2280" s="1" t="s">
        <v>219</v>
      </c>
      <c r="CQ2280" s="1" t="s">
        <v>220</v>
      </c>
      <c r="CR2280" s="1" t="s">
        <v>210</v>
      </c>
      <c r="CS2280" s="1" t="s">
        <v>346</v>
      </c>
      <c r="CT2280" s="1" t="s">
        <v>219</v>
      </c>
      <c r="CU2280" s="1" t="s">
        <v>220</v>
      </c>
      <c r="CX2280" s="1" t="s">
        <v>224</v>
      </c>
      <c r="DB2280" s="1" t="s">
        <v>224</v>
      </c>
      <c r="DE2280" s="1" t="s">
        <v>316</v>
      </c>
      <c r="DF2280" s="1" t="s">
        <v>219</v>
      </c>
      <c r="DH2280" s="1" t="s">
        <v>210</v>
      </c>
      <c r="DJ2280" s="1" t="s">
        <v>224</v>
      </c>
      <c r="DS2280" s="1" t="s">
        <v>230</v>
      </c>
      <c r="DW2280" s="1" t="s">
        <v>230</v>
      </c>
      <c r="EA2280" s="1" t="s">
        <v>230</v>
      </c>
      <c r="EE2280" s="1" t="s">
        <v>230</v>
      </c>
      <c r="EI2280" s="1" t="s">
        <v>230</v>
      </c>
      <c r="EL2280" s="1" t="s">
        <v>231</v>
      </c>
      <c r="EM2280" s="1" t="s">
        <v>319</v>
      </c>
      <c r="EN2280" s="1" t="s">
        <v>282</v>
      </c>
      <c r="EO2280" s="1" t="s">
        <v>234</v>
      </c>
      <c r="ER2280" s="1" t="s">
        <v>210</v>
      </c>
      <c r="EV2280" s="1" t="s">
        <v>240</v>
      </c>
      <c r="EW2280" s="1" t="s">
        <v>286</v>
      </c>
      <c r="EZ2280" s="1" t="s">
        <v>287</v>
      </c>
      <c r="FA2280" s="1" t="s">
        <v>471</v>
      </c>
      <c r="FD2280" s="1" t="s">
        <v>246</v>
      </c>
      <c r="FE2280" s="1" t="s">
        <v>651</v>
      </c>
      <c r="FF2280" s="1" t="s">
        <v>248</v>
      </c>
      <c r="FH2280" s="1" t="s">
        <v>249</v>
      </c>
      <c r="FK2280" s="1" t="s">
        <v>389</v>
      </c>
      <c r="FL2280" s="1" t="s">
        <v>292</v>
      </c>
      <c r="FM2280" s="1" t="s">
        <v>252</v>
      </c>
      <c r="FN2280" s="1" t="s">
        <v>213</v>
      </c>
      <c r="FO2280" s="1" t="s">
        <v>213</v>
      </c>
      <c r="FQ2280" s="1" t="s">
        <v>689</v>
      </c>
      <c r="FR2280" s="1" t="s">
        <v>210</v>
      </c>
      <c r="FS2280" s="1" t="s">
        <v>552</v>
      </c>
      <c r="FT2280" s="1" t="s">
        <v>1828</v>
      </c>
      <c r="FU2280" s="1" t="s">
        <v>204</v>
      </c>
      <c r="FW2280" s="1" t="s">
        <v>915</v>
      </c>
      <c r="FX2280" s="1">
        <v>23076</v>
      </c>
      <c r="FY2280" s="1" t="s">
        <v>1909</v>
      </c>
      <c r="FZ2280" s="1" t="s">
        <v>7957</v>
      </c>
      <c r="GA2280" s="1">
        <v>255553</v>
      </c>
      <c r="GB2280" s="1" t="s">
        <v>7958</v>
      </c>
      <c r="GE2280" s="1" t="s">
        <v>1333</v>
      </c>
      <c r="GI2280" s="1" t="s">
        <v>213</v>
      </c>
      <c r="GJ2280" s="1" t="s">
        <v>260</v>
      </c>
      <c r="GK2280" s="1" t="s">
        <v>210</v>
      </c>
      <c r="GL2280" s="2">
        <v>42095</v>
      </c>
      <c r="GM2280" s="1" t="s">
        <v>20114</v>
      </c>
    </row>
    <row r="2281" spans="1:195">
      <c r="A2281" s="1">
        <v>233000</v>
      </c>
      <c r="B2281" s="1" t="s">
        <v>195</v>
      </c>
      <c r="C2281" s="1" t="str">
        <f>"08819433"</f>
        <v>08819433</v>
      </c>
      <c r="D2281" s="1" t="s">
        <v>196</v>
      </c>
      <c r="F2281" s="1" t="str">
        <f>"554"</f>
        <v>554</v>
      </c>
      <c r="G2281" s="2">
        <v>42023</v>
      </c>
      <c r="H2281" s="1">
        <v>239900</v>
      </c>
      <c r="I2281" s="1">
        <v>239900</v>
      </c>
      <c r="J2281" s="1">
        <v>233000</v>
      </c>
      <c r="K2281" s="2">
        <v>42023</v>
      </c>
      <c r="L2281" s="1">
        <v>27</v>
      </c>
      <c r="M2281" s="2">
        <v>42049</v>
      </c>
      <c r="N2281" s="1">
        <v>27</v>
      </c>
      <c r="O2281" s="2">
        <v>42049</v>
      </c>
      <c r="P2281" s="1">
        <v>23099</v>
      </c>
      <c r="Q2281" s="1" t="s">
        <v>302</v>
      </c>
      <c r="R2281" s="2">
        <v>42096</v>
      </c>
      <c r="S2281" s="1">
        <v>227658</v>
      </c>
      <c r="U2281" s="1">
        <v>23</v>
      </c>
      <c r="V2281" s="1" t="s">
        <v>9833</v>
      </c>
      <c r="W2281" s="1" t="s">
        <v>264</v>
      </c>
      <c r="Y2281" s="1">
        <v>2</v>
      </c>
      <c r="Z2281" s="1" t="s">
        <v>370</v>
      </c>
      <c r="AA2281" s="1" t="s">
        <v>3443</v>
      </c>
      <c r="AB2281" s="1">
        <v>60554</v>
      </c>
      <c r="AD2281" s="1" t="s">
        <v>20115</v>
      </c>
      <c r="AE2281" s="1" t="s">
        <v>20116</v>
      </c>
      <c r="AF2281" s="1">
        <v>1988</v>
      </c>
      <c r="AG2281" s="1" t="s">
        <v>204</v>
      </c>
      <c r="AH2281" s="1" t="s">
        <v>3240</v>
      </c>
      <c r="AI2281" s="1" t="s">
        <v>665</v>
      </c>
      <c r="AJ2281" s="1" t="s">
        <v>3240</v>
      </c>
      <c r="AL2281" s="1">
        <v>7</v>
      </c>
      <c r="AM2281" s="1">
        <v>2</v>
      </c>
      <c r="AN2281" s="1">
        <v>3</v>
      </c>
      <c r="AO2281" s="1">
        <v>0</v>
      </c>
      <c r="AP2281" s="1" t="s">
        <v>209</v>
      </c>
      <c r="AQ2281" s="1">
        <v>2</v>
      </c>
      <c r="AR2281" s="1" t="s">
        <v>209</v>
      </c>
      <c r="AS2281" s="1" t="s">
        <v>213</v>
      </c>
      <c r="AT2281" s="1" t="s">
        <v>211</v>
      </c>
      <c r="AU2281" s="1">
        <v>2</v>
      </c>
      <c r="AW2281" s="1" t="s">
        <v>204</v>
      </c>
      <c r="AX2281" s="1">
        <v>5227</v>
      </c>
      <c r="AZ2281" s="1">
        <v>5490.58</v>
      </c>
      <c r="BA2281" s="1">
        <v>2013</v>
      </c>
      <c r="BB2281" s="1" t="s">
        <v>599</v>
      </c>
      <c r="BE2281" s="1">
        <v>1819</v>
      </c>
      <c r="BF2281" s="1">
        <v>1</v>
      </c>
      <c r="BG2281" s="1">
        <v>0</v>
      </c>
      <c r="BL2281" s="1">
        <v>224</v>
      </c>
      <c r="BM2281" s="1" t="s">
        <v>204</v>
      </c>
      <c r="BN2281" s="1" t="s">
        <v>213</v>
      </c>
      <c r="BO2281" s="1">
        <v>999</v>
      </c>
      <c r="BP2281" s="1" t="s">
        <v>204</v>
      </c>
      <c r="BR2281" s="1" t="str">
        <f>"1410339034"</f>
        <v>1410339034</v>
      </c>
      <c r="BT2281" s="1" t="s">
        <v>20117</v>
      </c>
      <c r="BX2281" s="1">
        <v>129</v>
      </c>
      <c r="BY2281" s="1">
        <v>129</v>
      </c>
      <c r="BZ2281" s="1">
        <v>129</v>
      </c>
      <c r="CB2281" s="1" t="str">
        <f t="shared" ref="CB2281:CC2281" si="1747">""</f>
        <v/>
      </c>
      <c r="CC2281" s="1" t="str">
        <f t="shared" si="1747"/>
        <v/>
      </c>
      <c r="CF2281" s="1" t="s">
        <v>20118</v>
      </c>
      <c r="CG2281" s="1" t="s">
        <v>1723</v>
      </c>
      <c r="CH2281" s="1" t="s">
        <v>219</v>
      </c>
      <c r="CI2281" s="1" t="s">
        <v>220</v>
      </c>
      <c r="CK2281" s="1" t="s">
        <v>669</v>
      </c>
      <c r="CL2281" s="1" t="s">
        <v>219</v>
      </c>
      <c r="CM2281" s="1" t="s">
        <v>220</v>
      </c>
      <c r="CO2281" s="1" t="s">
        <v>221</v>
      </c>
      <c r="CP2281" s="1" t="s">
        <v>219</v>
      </c>
      <c r="CQ2281" s="1" t="s">
        <v>226</v>
      </c>
      <c r="CS2281" s="1" t="s">
        <v>539</v>
      </c>
      <c r="CT2281" s="1" t="s">
        <v>219</v>
      </c>
      <c r="CU2281" s="1" t="s">
        <v>220</v>
      </c>
      <c r="CX2281" s="1" t="s">
        <v>224</v>
      </c>
      <c r="DB2281" s="1" t="s">
        <v>224</v>
      </c>
      <c r="DE2281" s="1" t="s">
        <v>1155</v>
      </c>
      <c r="DF2281" s="1" t="s">
        <v>219</v>
      </c>
      <c r="DG2281" s="1" t="s">
        <v>226</v>
      </c>
      <c r="DI2281" s="1" t="s">
        <v>4838</v>
      </c>
      <c r="DJ2281" s="1" t="s">
        <v>43</v>
      </c>
      <c r="DK2281" s="1" t="s">
        <v>220</v>
      </c>
      <c r="DM2281" s="1" t="s">
        <v>411</v>
      </c>
      <c r="DR2281" s="1" t="s">
        <v>344</v>
      </c>
      <c r="DS2281" s="1" t="s">
        <v>43</v>
      </c>
      <c r="DT2281" s="1" t="s">
        <v>220</v>
      </c>
      <c r="DW2281" s="1" t="s">
        <v>230</v>
      </c>
      <c r="EA2281" s="1" t="s">
        <v>230</v>
      </c>
      <c r="EE2281" s="1" t="s">
        <v>230</v>
      </c>
      <c r="EI2281" s="1" t="s">
        <v>230</v>
      </c>
      <c r="EL2281" s="1" t="s">
        <v>542</v>
      </c>
      <c r="EM2281" s="1" t="s">
        <v>319</v>
      </c>
      <c r="EN2281" s="1" t="s">
        <v>282</v>
      </c>
      <c r="EO2281" s="1" t="s">
        <v>234</v>
      </c>
      <c r="EQ2281" s="1" t="s">
        <v>236</v>
      </c>
      <c r="ER2281" s="1" t="s">
        <v>544</v>
      </c>
      <c r="ES2281" s="1" t="s">
        <v>1868</v>
      </c>
      <c r="ET2281" s="1" t="s">
        <v>609</v>
      </c>
      <c r="EV2281" s="1" t="s">
        <v>324</v>
      </c>
      <c r="EW2281" s="1" t="s">
        <v>1679</v>
      </c>
      <c r="EZ2281" s="1" t="s">
        <v>411</v>
      </c>
      <c r="FB2281" s="1" t="s">
        <v>289</v>
      </c>
      <c r="FD2281" s="1" t="s">
        <v>246</v>
      </c>
      <c r="FE2281" s="1" t="s">
        <v>247</v>
      </c>
      <c r="FF2281" s="1" t="s">
        <v>248</v>
      </c>
      <c r="FG2281" s="1" t="s">
        <v>14522</v>
      </c>
      <c r="FH2281" s="1" t="s">
        <v>825</v>
      </c>
      <c r="FL2281" s="1" t="s">
        <v>358</v>
      </c>
      <c r="FM2281" s="1" t="s">
        <v>252</v>
      </c>
      <c r="FN2281" s="1" t="s">
        <v>213</v>
      </c>
      <c r="FO2281" s="1" t="s">
        <v>213</v>
      </c>
      <c r="FQ2281" s="1" t="s">
        <v>913</v>
      </c>
      <c r="FR2281" s="1" t="s">
        <v>210</v>
      </c>
      <c r="FS2281" s="1" t="s">
        <v>1318</v>
      </c>
      <c r="FT2281" s="1" t="s">
        <v>295</v>
      </c>
      <c r="FU2281" s="1" t="s">
        <v>204</v>
      </c>
      <c r="FW2281" s="1" t="s">
        <v>2093</v>
      </c>
      <c r="FX2281" s="1">
        <v>31580</v>
      </c>
      <c r="FY2281" s="1" t="s">
        <v>2094</v>
      </c>
      <c r="FZ2281" s="1" t="s">
        <v>12059</v>
      </c>
      <c r="GA2281" s="1">
        <v>315831</v>
      </c>
      <c r="GB2281" s="1" t="s">
        <v>12060</v>
      </c>
      <c r="GE2281" s="1" t="s">
        <v>776</v>
      </c>
      <c r="GI2281" s="1" t="s">
        <v>213</v>
      </c>
      <c r="GJ2281" s="1" t="s">
        <v>260</v>
      </c>
      <c r="GK2281" s="1" t="s">
        <v>210</v>
      </c>
      <c r="GL2281" s="2">
        <v>42097</v>
      </c>
      <c r="GM2281" s="1" t="s">
        <v>20119</v>
      </c>
    </row>
    <row r="2282" spans="1:195">
      <c r="A2282" s="1">
        <v>14003</v>
      </c>
      <c r="B2282" s="1" t="s">
        <v>195</v>
      </c>
      <c r="C2282" s="1" t="str">
        <f>"08815165"</f>
        <v>08815165</v>
      </c>
      <c r="D2282" s="1" t="s">
        <v>196</v>
      </c>
      <c r="F2282" s="1" t="str">
        <f>"8037"</f>
        <v>8037</v>
      </c>
      <c r="G2282" s="2">
        <v>42017</v>
      </c>
      <c r="H2282" s="1">
        <v>13500</v>
      </c>
      <c r="I2282" s="1">
        <v>13500</v>
      </c>
      <c r="J2282" s="1">
        <v>14003</v>
      </c>
      <c r="K2282" s="2">
        <v>42017</v>
      </c>
      <c r="L2282" s="1">
        <v>7</v>
      </c>
      <c r="M2282" s="2">
        <v>42023</v>
      </c>
      <c r="N2282" s="1">
        <v>7</v>
      </c>
      <c r="O2282" s="2">
        <v>42023</v>
      </c>
      <c r="P2282" s="1">
        <v>15189</v>
      </c>
      <c r="Q2282" s="1" t="s">
        <v>302</v>
      </c>
      <c r="R2282" s="2">
        <v>42048</v>
      </c>
      <c r="S2282" s="1">
        <v>156972</v>
      </c>
      <c r="U2282" s="1">
        <v>310</v>
      </c>
      <c r="V2282" s="1" t="s">
        <v>20120</v>
      </c>
      <c r="W2282" s="1" t="s">
        <v>725</v>
      </c>
      <c r="Y2282" s="1">
        <v>6</v>
      </c>
      <c r="Z2282" s="1" t="s">
        <v>200</v>
      </c>
      <c r="AA2282" s="1" t="s">
        <v>400</v>
      </c>
      <c r="AB2282" s="1">
        <v>60609</v>
      </c>
      <c r="AE2282" s="1" t="s">
        <v>20121</v>
      </c>
      <c r="AF2282" s="1">
        <v>1954</v>
      </c>
      <c r="AG2282" s="1" t="s">
        <v>213</v>
      </c>
      <c r="AH2282" s="1" t="s">
        <v>403</v>
      </c>
      <c r="AI2282" s="1" t="s">
        <v>310</v>
      </c>
      <c r="AJ2282" s="1" t="s">
        <v>562</v>
      </c>
      <c r="AL2282" s="1">
        <v>4</v>
      </c>
      <c r="AM2282" s="1">
        <v>2</v>
      </c>
      <c r="AN2282" s="1">
        <v>1</v>
      </c>
      <c r="AO2282" s="1">
        <v>0</v>
      </c>
      <c r="AP2282" s="1" t="s">
        <v>210</v>
      </c>
      <c r="AR2282" s="1" t="s">
        <v>210</v>
      </c>
      <c r="AS2282" s="1" t="s">
        <v>204</v>
      </c>
      <c r="AT2282" s="1" t="s">
        <v>210</v>
      </c>
      <c r="AW2282" s="1" t="s">
        <v>204</v>
      </c>
      <c r="AX2282" s="1" t="s">
        <v>20122</v>
      </c>
      <c r="AZ2282" s="1">
        <v>781.46</v>
      </c>
      <c r="BA2282" s="1">
        <v>2012</v>
      </c>
      <c r="BE2282" s="1">
        <v>900</v>
      </c>
      <c r="BF2282" s="1">
        <v>1</v>
      </c>
      <c r="BG2282" s="1">
        <v>0</v>
      </c>
      <c r="BL2282" s="1">
        <v>0</v>
      </c>
      <c r="BM2282" s="1" t="s">
        <v>204</v>
      </c>
      <c r="BN2282" s="1" t="s">
        <v>213</v>
      </c>
      <c r="BO2282" s="1">
        <v>999</v>
      </c>
      <c r="BP2282" s="1" t="s">
        <v>204</v>
      </c>
      <c r="BR2282" s="1" t="str">
        <f>"20044440580000"</f>
        <v>20044440580000</v>
      </c>
      <c r="BT2282" s="1" t="s">
        <v>20123</v>
      </c>
      <c r="BX2282" s="1">
        <v>299</v>
      </c>
      <c r="BY2282" s="1">
        <v>299</v>
      </c>
      <c r="BZ2282" s="1">
        <v>299</v>
      </c>
      <c r="CB2282" s="1" t="str">
        <f t="shared" ref="CB2282:CC2282" si="1748">"0"</f>
        <v>0</v>
      </c>
      <c r="CC2282" s="1" t="str">
        <f t="shared" si="1748"/>
        <v>0</v>
      </c>
      <c r="CD2282" s="1">
        <v>300</v>
      </c>
      <c r="CE2282" s="1">
        <v>4700</v>
      </c>
      <c r="CG2282" s="1" t="s">
        <v>280</v>
      </c>
      <c r="CH2282" s="1" t="s">
        <v>219</v>
      </c>
      <c r="CK2282" s="1" t="s">
        <v>378</v>
      </c>
      <c r="CL2282" s="1" t="s">
        <v>277</v>
      </c>
      <c r="CP2282" s="1" t="s">
        <v>224</v>
      </c>
      <c r="CS2282" s="1" t="s">
        <v>318</v>
      </c>
      <c r="CT2282" s="1" t="s">
        <v>277</v>
      </c>
      <c r="CX2282" s="1" t="s">
        <v>224</v>
      </c>
      <c r="DB2282" s="1" t="s">
        <v>224</v>
      </c>
      <c r="DE2282" s="1" t="s">
        <v>1470</v>
      </c>
      <c r="DF2282" s="1" t="s">
        <v>219</v>
      </c>
      <c r="DJ2282" s="1" t="s">
        <v>224</v>
      </c>
      <c r="DS2282" s="1" t="s">
        <v>230</v>
      </c>
      <c r="DW2282" s="1" t="s">
        <v>230</v>
      </c>
      <c r="EA2282" s="1" t="s">
        <v>230</v>
      </c>
      <c r="EE2282" s="1" t="s">
        <v>230</v>
      </c>
      <c r="EI2282" s="1" t="s">
        <v>230</v>
      </c>
      <c r="EL2282" s="1" t="s">
        <v>3717</v>
      </c>
      <c r="EM2282" s="1" t="s">
        <v>232</v>
      </c>
      <c r="EN2282" s="1" t="s">
        <v>210</v>
      </c>
      <c r="EO2282" s="1" t="s">
        <v>234</v>
      </c>
      <c r="ER2282" s="1" t="s">
        <v>210</v>
      </c>
      <c r="EW2282" s="1" t="s">
        <v>210</v>
      </c>
      <c r="EZ2282" s="1" t="s">
        <v>287</v>
      </c>
      <c r="FD2282" s="1" t="s">
        <v>246</v>
      </c>
      <c r="FE2282" s="1" t="s">
        <v>247</v>
      </c>
      <c r="FF2282" s="1" t="s">
        <v>248</v>
      </c>
      <c r="FH2282" s="1" t="s">
        <v>550</v>
      </c>
      <c r="FJ2282" s="1" t="s">
        <v>2046</v>
      </c>
      <c r="FL2282" s="1" t="s">
        <v>414</v>
      </c>
      <c r="FM2282" s="1" t="s">
        <v>252</v>
      </c>
      <c r="FN2282" s="1" t="s">
        <v>213</v>
      </c>
      <c r="FO2282" s="1" t="s">
        <v>213</v>
      </c>
      <c r="FQ2282" s="1" t="s">
        <v>1300</v>
      </c>
      <c r="FR2282" s="1" t="s">
        <v>210</v>
      </c>
      <c r="FS2282" s="1" t="s">
        <v>1429</v>
      </c>
      <c r="FT2282" s="1" t="s">
        <v>9831</v>
      </c>
      <c r="FU2282" s="1" t="s">
        <v>213</v>
      </c>
      <c r="FW2282" s="1" t="s">
        <v>6417</v>
      </c>
      <c r="FX2282" s="1">
        <v>84495</v>
      </c>
      <c r="FY2282" s="1" t="s">
        <v>6418</v>
      </c>
      <c r="FZ2282" s="1" t="s">
        <v>6419</v>
      </c>
      <c r="GA2282" s="1">
        <v>139484</v>
      </c>
      <c r="GB2282" s="1" t="s">
        <v>6418</v>
      </c>
      <c r="GE2282" s="1" t="s">
        <v>210</v>
      </c>
      <c r="GH2282" s="1" t="s">
        <v>589</v>
      </c>
      <c r="GI2282" s="1" t="s">
        <v>213</v>
      </c>
      <c r="GJ2282" s="1" t="s">
        <v>260</v>
      </c>
      <c r="GK2282" s="1" t="s">
        <v>210</v>
      </c>
      <c r="GL2282" s="2">
        <v>42048</v>
      </c>
      <c r="GM2282" s="1" t="s">
        <v>20124</v>
      </c>
    </row>
    <row r="2283" spans="1:195">
      <c r="A2283" s="1">
        <v>69100</v>
      </c>
      <c r="B2283" s="1" t="s">
        <v>195</v>
      </c>
      <c r="C2283" s="1" t="str">
        <f>"08813431"</f>
        <v>08813431</v>
      </c>
      <c r="D2283" s="1" t="s">
        <v>196</v>
      </c>
      <c r="F2283" s="1" t="str">
        <f>"73"</f>
        <v>73</v>
      </c>
      <c r="G2283" s="2">
        <v>42013</v>
      </c>
      <c r="H2283" s="1">
        <v>69100</v>
      </c>
      <c r="I2283" s="1">
        <v>69100</v>
      </c>
      <c r="J2283" s="1">
        <v>69100</v>
      </c>
      <c r="K2283" s="2">
        <v>42013</v>
      </c>
      <c r="L2283" s="1">
        <v>18</v>
      </c>
      <c r="M2283" s="2">
        <v>42030</v>
      </c>
      <c r="N2283" s="1">
        <v>18</v>
      </c>
      <c r="O2283" s="2">
        <v>42030</v>
      </c>
      <c r="P2283" s="1">
        <v>3600</v>
      </c>
      <c r="Q2283" s="1" t="s">
        <v>302</v>
      </c>
      <c r="R2283" s="2">
        <v>42074</v>
      </c>
      <c r="S2283" s="1">
        <v>39905</v>
      </c>
      <c r="T2283" s="1">
        <v>2000</v>
      </c>
      <c r="U2283" s="1">
        <v>1404</v>
      </c>
      <c r="V2283" s="1" t="s">
        <v>20125</v>
      </c>
      <c r="W2283" s="1" t="s">
        <v>449</v>
      </c>
      <c r="X2283" s="1">
        <v>1404</v>
      </c>
      <c r="Y2283" s="1">
        <v>4</v>
      </c>
      <c r="Z2283" s="1" t="s">
        <v>249</v>
      </c>
      <c r="AA2283" s="1" t="s">
        <v>1027</v>
      </c>
      <c r="AB2283" s="1">
        <v>60073</v>
      </c>
      <c r="AD2283" s="1" t="s">
        <v>20126</v>
      </c>
      <c r="AE2283" s="1" t="s">
        <v>20127</v>
      </c>
      <c r="AF2283" s="1">
        <v>2001</v>
      </c>
      <c r="AG2283" s="1" t="s">
        <v>204</v>
      </c>
      <c r="AH2283" s="1" t="s">
        <v>1029</v>
      </c>
      <c r="AI2283" s="1" t="s">
        <v>509</v>
      </c>
      <c r="AJ2283" s="1" t="s">
        <v>1263</v>
      </c>
      <c r="AK2283" s="1" t="s">
        <v>6151</v>
      </c>
      <c r="AL2283" s="1">
        <v>6</v>
      </c>
      <c r="AM2283" s="1">
        <v>2</v>
      </c>
      <c r="AN2283" s="1">
        <v>2</v>
      </c>
      <c r="AO2283" s="1">
        <v>1</v>
      </c>
      <c r="AP2283" s="1" t="s">
        <v>209</v>
      </c>
      <c r="AR2283" s="1" t="s">
        <v>210</v>
      </c>
      <c r="AT2283" s="1" t="s">
        <v>211</v>
      </c>
      <c r="AU2283" s="1">
        <v>1</v>
      </c>
      <c r="AW2283" s="1" t="s">
        <v>204</v>
      </c>
      <c r="AX2283" s="1" t="s">
        <v>212</v>
      </c>
      <c r="AZ2283" s="1">
        <v>3961</v>
      </c>
      <c r="BA2283" s="1">
        <v>2013</v>
      </c>
      <c r="BE2283" s="1">
        <v>1421</v>
      </c>
      <c r="BF2283" s="1">
        <v>1</v>
      </c>
      <c r="BG2283" s="1">
        <v>0</v>
      </c>
      <c r="BL2283" s="1">
        <v>218</v>
      </c>
      <c r="BM2283" s="1" t="s">
        <v>413</v>
      </c>
      <c r="BN2283" s="1" t="s">
        <v>213</v>
      </c>
      <c r="BO2283" s="1">
        <v>0</v>
      </c>
      <c r="BP2283" s="1" t="s">
        <v>204</v>
      </c>
      <c r="BR2283" s="1" t="str">
        <f>"06191090260000"</f>
        <v>06191090260000</v>
      </c>
      <c r="BT2283" s="1" t="s">
        <v>20128</v>
      </c>
      <c r="BX2283" s="1">
        <v>116</v>
      </c>
      <c r="BY2283" s="1">
        <v>116</v>
      </c>
      <c r="BZ2283" s="1">
        <v>116</v>
      </c>
      <c r="CB2283" s="1" t="str">
        <f t="shared" ref="CB2283:CC2283" si="1749">""</f>
        <v/>
      </c>
      <c r="CC2283" s="1" t="str">
        <f t="shared" si="1749"/>
        <v/>
      </c>
      <c r="CG2283" s="1" t="s">
        <v>228</v>
      </c>
      <c r="CH2283" s="1" t="s">
        <v>219</v>
      </c>
      <c r="CK2283" s="1" t="s">
        <v>278</v>
      </c>
      <c r="CL2283" s="1" t="s">
        <v>277</v>
      </c>
      <c r="CO2283" s="1" t="s">
        <v>346</v>
      </c>
      <c r="CP2283" s="1" t="s">
        <v>219</v>
      </c>
      <c r="CS2283" s="1" t="s">
        <v>1046</v>
      </c>
      <c r="CT2283" s="1" t="s">
        <v>277</v>
      </c>
      <c r="CX2283" s="1" t="s">
        <v>224</v>
      </c>
      <c r="DB2283" s="1" t="s">
        <v>224</v>
      </c>
      <c r="DE2283" s="1" t="s">
        <v>837</v>
      </c>
      <c r="DF2283" s="1" t="s">
        <v>219</v>
      </c>
      <c r="DJ2283" s="1" t="s">
        <v>224</v>
      </c>
      <c r="DM2283" s="1" t="s">
        <v>1005</v>
      </c>
      <c r="DR2283" s="1" t="s">
        <v>346</v>
      </c>
      <c r="DS2283" s="1" t="s">
        <v>219</v>
      </c>
      <c r="DW2283" s="1" t="s">
        <v>230</v>
      </c>
      <c r="EA2283" s="1" t="s">
        <v>230</v>
      </c>
      <c r="EE2283" s="1" t="s">
        <v>230</v>
      </c>
      <c r="EI2283" s="1" t="s">
        <v>230</v>
      </c>
      <c r="EL2283" s="1" t="s">
        <v>466</v>
      </c>
      <c r="EM2283" s="1" t="s">
        <v>319</v>
      </c>
      <c r="EN2283" s="1" t="s">
        <v>282</v>
      </c>
      <c r="EO2283" s="1" t="s">
        <v>234</v>
      </c>
      <c r="ER2283" s="1" t="s">
        <v>210</v>
      </c>
      <c r="EW2283" s="1" t="s">
        <v>347</v>
      </c>
      <c r="EZ2283" s="1" t="s">
        <v>1005</v>
      </c>
      <c r="FD2283" s="1" t="s">
        <v>1649</v>
      </c>
      <c r="FE2283" s="1" t="s">
        <v>496</v>
      </c>
      <c r="FF2283" s="1" t="s">
        <v>248</v>
      </c>
      <c r="FH2283" s="1" t="s">
        <v>550</v>
      </c>
      <c r="FL2283" s="1" t="s">
        <v>358</v>
      </c>
      <c r="FM2283" s="1" t="s">
        <v>252</v>
      </c>
      <c r="FN2283" s="1" t="s">
        <v>213</v>
      </c>
      <c r="FO2283" s="1" t="s">
        <v>213</v>
      </c>
      <c r="FQ2283" s="1" t="s">
        <v>689</v>
      </c>
      <c r="FR2283" s="1" t="s">
        <v>210</v>
      </c>
      <c r="FS2283" s="1" t="s">
        <v>2541</v>
      </c>
      <c r="FT2283" s="1" t="s">
        <v>654</v>
      </c>
      <c r="FU2283" s="1" t="s">
        <v>204</v>
      </c>
      <c r="FW2283" s="1" t="s">
        <v>4399</v>
      </c>
      <c r="FX2283" s="1">
        <v>8698</v>
      </c>
      <c r="FY2283" s="1" t="s">
        <v>4400</v>
      </c>
      <c r="FZ2283" s="1" t="s">
        <v>4401</v>
      </c>
      <c r="GA2283" s="1">
        <v>85273</v>
      </c>
      <c r="GB2283" s="1" t="s">
        <v>4400</v>
      </c>
      <c r="GE2283" s="1" t="s">
        <v>210</v>
      </c>
      <c r="GH2283" s="1" t="s">
        <v>589</v>
      </c>
      <c r="GI2283" s="1" t="s">
        <v>204</v>
      </c>
      <c r="GJ2283" s="1" t="s">
        <v>260</v>
      </c>
      <c r="GK2283" s="1" t="s">
        <v>210</v>
      </c>
      <c r="GL2283" s="2">
        <v>42074</v>
      </c>
      <c r="GM2283" s="1" t="s">
        <v>20129</v>
      </c>
    </row>
    <row r="2284" spans="1:195">
      <c r="A2284" s="1">
        <v>92000</v>
      </c>
      <c r="B2284" s="1" t="s">
        <v>195</v>
      </c>
      <c r="C2284" s="1" t="str">
        <f>"08815603"</f>
        <v>08815603</v>
      </c>
      <c r="D2284" s="1" t="s">
        <v>196</v>
      </c>
      <c r="F2284" s="1" t="str">
        <f>"123"</f>
        <v>123</v>
      </c>
      <c r="G2284" s="2">
        <v>42017</v>
      </c>
      <c r="H2284" s="1">
        <v>90000</v>
      </c>
      <c r="I2284" s="1">
        <v>95000</v>
      </c>
      <c r="J2284" s="1">
        <v>92000</v>
      </c>
      <c r="K2284" s="2">
        <v>42016</v>
      </c>
      <c r="L2284" s="1">
        <v>92</v>
      </c>
      <c r="M2284" s="2">
        <v>42107</v>
      </c>
      <c r="N2284" s="1">
        <v>92</v>
      </c>
      <c r="O2284" s="2">
        <v>42107</v>
      </c>
      <c r="P2284" s="1">
        <v>25003</v>
      </c>
      <c r="Q2284" s="1" t="s">
        <v>197</v>
      </c>
      <c r="R2284" s="2">
        <v>42146</v>
      </c>
      <c r="S2284" s="1">
        <v>236743</v>
      </c>
      <c r="T2284" s="1">
        <v>1500</v>
      </c>
      <c r="U2284" s="1">
        <v>635</v>
      </c>
      <c r="V2284" s="1" t="s">
        <v>5892</v>
      </c>
      <c r="W2284" s="1" t="s">
        <v>264</v>
      </c>
      <c r="X2284" s="1" t="s">
        <v>1688</v>
      </c>
      <c r="Y2284" s="1">
        <v>4</v>
      </c>
      <c r="Z2284" s="1" t="s">
        <v>249</v>
      </c>
      <c r="AA2284" s="1" t="s">
        <v>1173</v>
      </c>
      <c r="AB2284" s="1">
        <v>60120</v>
      </c>
      <c r="AD2284" s="1" t="s">
        <v>20130</v>
      </c>
      <c r="AE2284" s="1" t="s">
        <v>20131</v>
      </c>
      <c r="AF2284" s="1">
        <v>1992</v>
      </c>
      <c r="AG2284" s="1" t="s">
        <v>204</v>
      </c>
      <c r="AH2284" s="1" t="s">
        <v>339</v>
      </c>
      <c r="AI2284" s="1" t="s">
        <v>310</v>
      </c>
      <c r="AJ2284" s="1" t="s">
        <v>374</v>
      </c>
      <c r="AK2284" s="1" t="s">
        <v>13031</v>
      </c>
      <c r="AL2284" s="1">
        <v>6</v>
      </c>
      <c r="AM2284" s="1">
        <v>2</v>
      </c>
      <c r="AN2284" s="1">
        <v>2</v>
      </c>
      <c r="AO2284" s="1">
        <v>0</v>
      </c>
      <c r="AP2284" s="1" t="s">
        <v>209</v>
      </c>
      <c r="AR2284" s="1" t="s">
        <v>210</v>
      </c>
      <c r="AS2284" s="1" t="s">
        <v>204</v>
      </c>
      <c r="AT2284" s="1" t="s">
        <v>211</v>
      </c>
      <c r="AU2284" s="1">
        <v>1</v>
      </c>
      <c r="AW2284" s="1" t="s">
        <v>204</v>
      </c>
      <c r="AX2284" s="1" t="s">
        <v>212</v>
      </c>
      <c r="AZ2284" s="1">
        <v>1699.54</v>
      </c>
      <c r="BA2284" s="1">
        <v>2013</v>
      </c>
      <c r="BB2284" s="1" t="s">
        <v>599</v>
      </c>
      <c r="BE2284" s="1">
        <v>0</v>
      </c>
      <c r="BF2284" s="1">
        <v>1</v>
      </c>
      <c r="BG2284" s="1">
        <v>0</v>
      </c>
      <c r="BL2284" s="1">
        <v>169</v>
      </c>
      <c r="BM2284" s="1" t="s">
        <v>204</v>
      </c>
      <c r="BN2284" s="1" t="s">
        <v>213</v>
      </c>
      <c r="BO2284" s="1">
        <v>0</v>
      </c>
      <c r="BP2284" s="1" t="s">
        <v>204</v>
      </c>
      <c r="BR2284" s="1" t="str">
        <f>"06073130451034"</f>
        <v>06073130451034</v>
      </c>
      <c r="BT2284" s="1" t="s">
        <v>20132</v>
      </c>
      <c r="BX2284" s="1">
        <v>46</v>
      </c>
      <c r="BY2284" s="1">
        <v>46</v>
      </c>
      <c r="BZ2284" s="1">
        <v>46</v>
      </c>
      <c r="CB2284" s="1" t="str">
        <f>"12"</f>
        <v>12</v>
      </c>
      <c r="CC2284" s="1" t="str">
        <f>""</f>
        <v/>
      </c>
      <c r="CD2284" s="1">
        <v>32</v>
      </c>
      <c r="CG2284" s="1" t="s">
        <v>729</v>
      </c>
      <c r="CH2284" s="1" t="s">
        <v>219</v>
      </c>
      <c r="CI2284" s="1" t="s">
        <v>220</v>
      </c>
      <c r="CJ2284" s="1" t="s">
        <v>252</v>
      </c>
      <c r="CK2284" s="1" t="s">
        <v>315</v>
      </c>
      <c r="CL2284" s="1" t="s">
        <v>219</v>
      </c>
      <c r="CM2284" s="1" t="s">
        <v>220</v>
      </c>
      <c r="CN2284" s="1" t="s">
        <v>252</v>
      </c>
      <c r="CO2284" s="1" t="s">
        <v>345</v>
      </c>
      <c r="CP2284" s="1" t="s">
        <v>219</v>
      </c>
      <c r="CQ2284" s="1" t="s">
        <v>220</v>
      </c>
      <c r="CR2284" s="1" t="s">
        <v>252</v>
      </c>
      <c r="CS2284" s="1" t="s">
        <v>461</v>
      </c>
      <c r="CT2284" s="1" t="s">
        <v>219</v>
      </c>
      <c r="CV2284" s="1" t="s">
        <v>252</v>
      </c>
      <c r="CX2284" s="1" t="s">
        <v>224</v>
      </c>
      <c r="DB2284" s="1" t="s">
        <v>224</v>
      </c>
      <c r="DE2284" s="1" t="s">
        <v>1788</v>
      </c>
      <c r="DF2284" s="1" t="s">
        <v>219</v>
      </c>
      <c r="DG2284" s="1" t="s">
        <v>342</v>
      </c>
      <c r="DH2284" s="1" t="s">
        <v>252</v>
      </c>
      <c r="DJ2284" s="1" t="s">
        <v>224</v>
      </c>
      <c r="DM2284" s="1" t="s">
        <v>709</v>
      </c>
      <c r="DN2284" s="1" t="s">
        <v>381</v>
      </c>
      <c r="DR2284" s="1" t="s">
        <v>4260</v>
      </c>
      <c r="DS2284" s="1" t="s">
        <v>219</v>
      </c>
      <c r="DT2284" s="1" t="s">
        <v>342</v>
      </c>
      <c r="DU2284" s="1" t="s">
        <v>210</v>
      </c>
      <c r="DV2284" s="1" t="s">
        <v>1133</v>
      </c>
      <c r="DW2284" s="1" t="s">
        <v>219</v>
      </c>
      <c r="DX2284" s="1" t="s">
        <v>342</v>
      </c>
      <c r="DY2284" s="1" t="s">
        <v>252</v>
      </c>
      <c r="EA2284" s="1" t="s">
        <v>230</v>
      </c>
      <c r="EE2284" s="1" t="s">
        <v>230</v>
      </c>
      <c r="EI2284" s="1" t="s">
        <v>230</v>
      </c>
      <c r="EL2284" s="1" t="s">
        <v>382</v>
      </c>
      <c r="EM2284" s="1" t="s">
        <v>319</v>
      </c>
      <c r="EN2284" s="1" t="s">
        <v>282</v>
      </c>
      <c r="EO2284" s="1" t="s">
        <v>234</v>
      </c>
      <c r="EP2284" s="1" t="s">
        <v>20133</v>
      </c>
      <c r="EQ2284" s="1" t="s">
        <v>20134</v>
      </c>
      <c r="ER2284" s="1" t="s">
        <v>210</v>
      </c>
      <c r="ES2284" s="1" t="s">
        <v>824</v>
      </c>
      <c r="EU2284" s="1" t="s">
        <v>1202</v>
      </c>
      <c r="EV2284" s="1" t="s">
        <v>352</v>
      </c>
      <c r="EW2284" s="1" t="s">
        <v>911</v>
      </c>
      <c r="EY2284" s="1" t="s">
        <v>441</v>
      </c>
      <c r="EZ2284" s="1" t="s">
        <v>8019</v>
      </c>
      <c r="FA2284" s="1" t="s">
        <v>20135</v>
      </c>
      <c r="FB2284" s="1" t="s">
        <v>289</v>
      </c>
      <c r="FD2284" s="1" t="s">
        <v>495</v>
      </c>
      <c r="FE2284" s="1" t="s">
        <v>549</v>
      </c>
      <c r="FF2284" s="1" t="s">
        <v>248</v>
      </c>
      <c r="FH2284" s="1" t="s">
        <v>249</v>
      </c>
      <c r="FI2284" s="1" t="s">
        <v>4358</v>
      </c>
      <c r="FJ2284" s="1" t="s">
        <v>197</v>
      </c>
      <c r="FL2284" s="1" t="s">
        <v>358</v>
      </c>
      <c r="FM2284" s="1" t="s">
        <v>252</v>
      </c>
      <c r="FN2284" s="1" t="s">
        <v>213</v>
      </c>
      <c r="FO2284" s="1" t="s">
        <v>213</v>
      </c>
      <c r="FQ2284" s="1" t="s">
        <v>2700</v>
      </c>
      <c r="FR2284" s="1" t="s">
        <v>210</v>
      </c>
      <c r="FS2284" s="1" t="s">
        <v>20136</v>
      </c>
      <c r="FT2284" s="1" t="s">
        <v>295</v>
      </c>
      <c r="FU2284" s="1" t="s">
        <v>204</v>
      </c>
      <c r="FW2284" s="1" t="s">
        <v>585</v>
      </c>
      <c r="FX2284" s="1">
        <v>4317</v>
      </c>
      <c r="FY2284" s="1" t="s">
        <v>3661</v>
      </c>
      <c r="FZ2284" s="1" t="s">
        <v>20137</v>
      </c>
      <c r="GA2284" s="1">
        <v>39485</v>
      </c>
      <c r="GB2284" s="1" t="s">
        <v>20138</v>
      </c>
      <c r="GE2284" s="1" t="s">
        <v>480</v>
      </c>
      <c r="GI2284" s="1" t="s">
        <v>213</v>
      </c>
      <c r="GJ2284" s="1" t="s">
        <v>260</v>
      </c>
      <c r="GK2284" s="1" t="s">
        <v>210</v>
      </c>
      <c r="GL2284" s="2">
        <v>42150</v>
      </c>
      <c r="GM2284" s="1" t="s">
        <v>20139</v>
      </c>
    </row>
    <row r="2285" spans="1:195">
      <c r="A2285" s="1">
        <v>148000</v>
      </c>
      <c r="B2285" s="1" t="s">
        <v>195</v>
      </c>
      <c r="C2285" s="1" t="str">
        <f>"08815268"</f>
        <v>08815268</v>
      </c>
      <c r="D2285" s="1" t="s">
        <v>196</v>
      </c>
      <c r="F2285" s="1" t="str">
        <f>"516"</f>
        <v>516</v>
      </c>
      <c r="G2285" s="2">
        <v>42017</v>
      </c>
      <c r="H2285" s="1">
        <v>164999</v>
      </c>
      <c r="I2285" s="1">
        <v>149999</v>
      </c>
      <c r="J2285" s="1">
        <v>148000</v>
      </c>
      <c r="K2285" s="2">
        <v>42017</v>
      </c>
      <c r="L2285" s="1">
        <v>373</v>
      </c>
      <c r="M2285" s="2">
        <v>42105</v>
      </c>
      <c r="N2285" s="1">
        <v>89</v>
      </c>
      <c r="O2285" s="2">
        <v>42105</v>
      </c>
      <c r="P2285" s="1">
        <v>90812</v>
      </c>
      <c r="Q2285" s="1" t="s">
        <v>197</v>
      </c>
      <c r="R2285" s="2">
        <v>42146</v>
      </c>
      <c r="S2285" s="1">
        <v>901251</v>
      </c>
      <c r="T2285" s="1">
        <v>2000</v>
      </c>
      <c r="U2285" s="1">
        <v>6333</v>
      </c>
      <c r="V2285" s="1" t="s">
        <v>2691</v>
      </c>
      <c r="W2285" s="1" t="s">
        <v>1056</v>
      </c>
      <c r="X2285" s="1">
        <v>16</v>
      </c>
      <c r="Y2285" s="1">
        <v>4</v>
      </c>
      <c r="Z2285" s="1" t="s">
        <v>249</v>
      </c>
      <c r="AA2285" s="1" t="s">
        <v>1417</v>
      </c>
      <c r="AB2285" s="1">
        <v>60527</v>
      </c>
      <c r="AD2285" s="1" t="s">
        <v>19998</v>
      </c>
      <c r="AE2285" s="1" t="s">
        <v>20140</v>
      </c>
      <c r="AF2285" s="1">
        <v>1982</v>
      </c>
      <c r="AG2285" s="1" t="s">
        <v>204</v>
      </c>
      <c r="AH2285" s="1" t="s">
        <v>1419</v>
      </c>
      <c r="AI2285" s="1" t="s">
        <v>206</v>
      </c>
      <c r="AJ2285" s="1" t="s">
        <v>903</v>
      </c>
      <c r="AL2285" s="1">
        <v>5</v>
      </c>
      <c r="AM2285" s="1">
        <v>2</v>
      </c>
      <c r="AN2285" s="1">
        <v>2</v>
      </c>
      <c r="AO2285" s="1">
        <v>0</v>
      </c>
      <c r="AP2285" s="1" t="s">
        <v>209</v>
      </c>
      <c r="AQ2285" s="1">
        <v>0</v>
      </c>
      <c r="AR2285" s="1" t="s">
        <v>210</v>
      </c>
      <c r="AT2285" s="1" t="s">
        <v>211</v>
      </c>
      <c r="AU2285" s="1">
        <v>1</v>
      </c>
      <c r="AW2285" s="1" t="s">
        <v>204</v>
      </c>
      <c r="AX2285" s="1" t="s">
        <v>212</v>
      </c>
      <c r="AZ2285" s="1">
        <v>2526</v>
      </c>
      <c r="BA2285" s="1">
        <v>2013</v>
      </c>
      <c r="BB2285" s="1" t="s">
        <v>405</v>
      </c>
      <c r="BE2285" s="1">
        <v>1200</v>
      </c>
      <c r="BF2285" s="1">
        <v>2</v>
      </c>
      <c r="BG2285" s="1">
        <v>0</v>
      </c>
      <c r="BJ2285" s="1">
        <v>100</v>
      </c>
      <c r="BL2285" s="1">
        <v>283</v>
      </c>
      <c r="BM2285" s="1" t="s">
        <v>204</v>
      </c>
      <c r="BN2285" s="1" t="s">
        <v>204</v>
      </c>
      <c r="BP2285" s="1" t="s">
        <v>204</v>
      </c>
      <c r="BR2285" s="1" t="str">
        <f>"0923120016"</f>
        <v>0923120016</v>
      </c>
      <c r="BT2285" s="1" t="s">
        <v>20141</v>
      </c>
      <c r="BU2285" s="1" t="s">
        <v>10088</v>
      </c>
      <c r="BV2285" s="1" t="s">
        <v>2981</v>
      </c>
      <c r="BW2285" s="1" t="s">
        <v>1546</v>
      </c>
      <c r="BX2285" s="1">
        <v>60</v>
      </c>
      <c r="BY2285" s="1">
        <v>60</v>
      </c>
      <c r="BZ2285" s="1">
        <v>86</v>
      </c>
      <c r="CB2285" s="1" t="str">
        <f t="shared" ref="CB2285:CC2285" si="1750">"0"</f>
        <v>0</v>
      </c>
      <c r="CC2285" s="1" t="str">
        <f t="shared" si="1750"/>
        <v>0</v>
      </c>
      <c r="CD2285" s="1">
        <v>16</v>
      </c>
      <c r="CE2285" s="1">
        <v>7</v>
      </c>
      <c r="CG2285" s="1" t="s">
        <v>628</v>
      </c>
      <c r="CH2285" s="1" t="s">
        <v>219</v>
      </c>
      <c r="CI2285" s="1" t="s">
        <v>220</v>
      </c>
      <c r="CK2285" s="1" t="s">
        <v>228</v>
      </c>
      <c r="CL2285" s="1" t="s">
        <v>219</v>
      </c>
      <c r="CM2285" s="1" t="s">
        <v>220</v>
      </c>
      <c r="CO2285" s="1" t="s">
        <v>378</v>
      </c>
      <c r="CP2285" s="1" t="s">
        <v>219</v>
      </c>
      <c r="CQ2285" s="1" t="s">
        <v>220</v>
      </c>
      <c r="CR2285" s="1" t="s">
        <v>210</v>
      </c>
      <c r="CS2285" s="1" t="s">
        <v>1297</v>
      </c>
      <c r="CT2285" s="1" t="s">
        <v>219</v>
      </c>
      <c r="CU2285" s="1" t="s">
        <v>220</v>
      </c>
      <c r="CX2285" s="1" t="s">
        <v>224</v>
      </c>
      <c r="DB2285" s="1" t="s">
        <v>224</v>
      </c>
      <c r="DE2285" s="1" t="s">
        <v>465</v>
      </c>
      <c r="DF2285" s="1" t="s">
        <v>219</v>
      </c>
      <c r="DG2285" s="1" t="s">
        <v>229</v>
      </c>
      <c r="DH2285" s="1" t="s">
        <v>210</v>
      </c>
      <c r="DJ2285" s="1" t="s">
        <v>224</v>
      </c>
      <c r="DS2285" s="1" t="s">
        <v>230</v>
      </c>
      <c r="DW2285" s="1" t="s">
        <v>230</v>
      </c>
      <c r="EA2285" s="1" t="s">
        <v>230</v>
      </c>
      <c r="EE2285" s="1" t="s">
        <v>230</v>
      </c>
      <c r="EI2285" s="1" t="s">
        <v>230</v>
      </c>
      <c r="EL2285" s="1" t="s">
        <v>231</v>
      </c>
      <c r="EM2285" s="1" t="s">
        <v>232</v>
      </c>
      <c r="EN2285" s="1" t="s">
        <v>282</v>
      </c>
      <c r="EO2285" s="1" t="s">
        <v>234</v>
      </c>
      <c r="EP2285" s="1" t="s">
        <v>650</v>
      </c>
      <c r="EQ2285" s="1" t="s">
        <v>236</v>
      </c>
      <c r="ER2285" s="1" t="s">
        <v>210</v>
      </c>
      <c r="ES2285" s="1" t="s">
        <v>824</v>
      </c>
      <c r="EV2285" s="1" t="s">
        <v>240</v>
      </c>
      <c r="EW2285" s="1" t="s">
        <v>9179</v>
      </c>
      <c r="EY2285" s="1" t="s">
        <v>242</v>
      </c>
      <c r="EZ2285" s="1" t="s">
        <v>287</v>
      </c>
      <c r="FA2285" s="1" t="s">
        <v>3462</v>
      </c>
      <c r="FB2285" s="1" t="s">
        <v>289</v>
      </c>
      <c r="FC2285" s="1" t="s">
        <v>326</v>
      </c>
      <c r="FD2285" s="1" t="s">
        <v>1112</v>
      </c>
      <c r="FE2285" s="1" t="s">
        <v>247</v>
      </c>
      <c r="FF2285" s="1" t="s">
        <v>248</v>
      </c>
      <c r="FH2285" s="1" t="s">
        <v>249</v>
      </c>
      <c r="FI2285" s="1" t="s">
        <v>473</v>
      </c>
      <c r="FJ2285" s="1" t="s">
        <v>197</v>
      </c>
      <c r="FL2285" s="1" t="s">
        <v>358</v>
      </c>
      <c r="FM2285" s="1" t="s">
        <v>252</v>
      </c>
      <c r="FN2285" s="1" t="s">
        <v>213</v>
      </c>
      <c r="FO2285" s="1" t="s">
        <v>213</v>
      </c>
      <c r="FQ2285" s="1" t="s">
        <v>329</v>
      </c>
      <c r="FR2285" s="1" t="s">
        <v>652</v>
      </c>
      <c r="FS2285" s="1" t="s">
        <v>20142</v>
      </c>
      <c r="FT2285" s="1" t="s">
        <v>362</v>
      </c>
      <c r="FU2285" s="1" t="s">
        <v>204</v>
      </c>
      <c r="FW2285" s="1" t="s">
        <v>20143</v>
      </c>
      <c r="FX2285" s="1">
        <v>16246</v>
      </c>
      <c r="FY2285" s="1" t="s">
        <v>20144</v>
      </c>
      <c r="FZ2285" s="1" t="s">
        <v>20145</v>
      </c>
      <c r="GA2285" s="1">
        <v>111893</v>
      </c>
      <c r="GB2285" s="1" t="s">
        <v>20144</v>
      </c>
      <c r="GE2285" s="1" t="s">
        <v>210</v>
      </c>
      <c r="GI2285" s="1" t="s">
        <v>204</v>
      </c>
      <c r="GJ2285" s="1" t="s">
        <v>260</v>
      </c>
      <c r="GK2285" s="1" t="s">
        <v>210</v>
      </c>
      <c r="GL2285" s="2">
        <v>42149</v>
      </c>
      <c r="GM2285" s="1" t="s">
        <v>20146</v>
      </c>
    </row>
    <row r="2286" spans="1:195">
      <c r="A2286" s="1">
        <v>66750</v>
      </c>
      <c r="B2286" s="1" t="s">
        <v>195</v>
      </c>
      <c r="C2286" s="1" t="str">
        <f>"08820382"</f>
        <v>08820382</v>
      </c>
      <c r="D2286" s="1" t="s">
        <v>196</v>
      </c>
      <c r="F2286" s="1" t="str">
        <f>"139"</f>
        <v>139</v>
      </c>
      <c r="G2286" s="2">
        <v>42024</v>
      </c>
      <c r="H2286" s="1">
        <v>68900</v>
      </c>
      <c r="I2286" s="1">
        <v>68900</v>
      </c>
      <c r="J2286" s="1">
        <v>66750</v>
      </c>
      <c r="K2286" s="2">
        <v>42022</v>
      </c>
      <c r="L2286" s="1">
        <v>47</v>
      </c>
      <c r="M2286" s="2">
        <v>42068</v>
      </c>
      <c r="N2286" s="1">
        <v>47</v>
      </c>
      <c r="O2286" s="2">
        <v>42068</v>
      </c>
      <c r="P2286" s="1">
        <v>22739</v>
      </c>
      <c r="Q2286" s="1" t="s">
        <v>302</v>
      </c>
      <c r="R2286" s="2">
        <v>42109</v>
      </c>
      <c r="S2286" s="1">
        <v>229520</v>
      </c>
      <c r="U2286" s="1">
        <v>193</v>
      </c>
      <c r="V2286" s="1" t="s">
        <v>2831</v>
      </c>
      <c r="W2286" s="1" t="s">
        <v>264</v>
      </c>
      <c r="X2286" s="1">
        <v>302</v>
      </c>
      <c r="Y2286" s="1">
        <v>6</v>
      </c>
      <c r="Z2286" s="1" t="s">
        <v>249</v>
      </c>
      <c r="AA2286" s="1" t="s">
        <v>1732</v>
      </c>
      <c r="AB2286" s="1">
        <v>60139</v>
      </c>
      <c r="AD2286" s="1" t="s">
        <v>6975</v>
      </c>
      <c r="AE2286" s="1" t="s">
        <v>20147</v>
      </c>
      <c r="AF2286" s="1">
        <v>1980</v>
      </c>
      <c r="AG2286" s="1" t="s">
        <v>204</v>
      </c>
      <c r="AH2286" s="1" t="s">
        <v>1735</v>
      </c>
      <c r="AI2286" s="1" t="s">
        <v>206</v>
      </c>
      <c r="AJ2286" s="1" t="s">
        <v>269</v>
      </c>
      <c r="AK2286" s="1" t="s">
        <v>20148</v>
      </c>
      <c r="AL2286" s="1">
        <v>5</v>
      </c>
      <c r="AM2286" s="1">
        <v>2</v>
      </c>
      <c r="AN2286" s="1">
        <v>2</v>
      </c>
      <c r="AO2286" s="1">
        <v>0</v>
      </c>
      <c r="AP2286" s="1" t="s">
        <v>209</v>
      </c>
      <c r="AR2286" s="1" t="s">
        <v>210</v>
      </c>
      <c r="AT2286" s="1" t="s">
        <v>211</v>
      </c>
      <c r="AU2286" s="1">
        <v>1</v>
      </c>
      <c r="AW2286" s="1" t="s">
        <v>204</v>
      </c>
      <c r="AX2286" s="1" t="s">
        <v>212</v>
      </c>
      <c r="AZ2286" s="1">
        <v>2760</v>
      </c>
      <c r="BA2286" s="1">
        <v>2013</v>
      </c>
      <c r="BE2286" s="1">
        <v>988</v>
      </c>
      <c r="BF2286" s="1">
        <v>3</v>
      </c>
      <c r="BG2286" s="1">
        <v>0</v>
      </c>
      <c r="BL2286" s="1">
        <v>224</v>
      </c>
      <c r="BM2286" s="1" t="s">
        <v>204</v>
      </c>
      <c r="BN2286" s="1" t="s">
        <v>213</v>
      </c>
      <c r="BO2286" s="1">
        <v>50</v>
      </c>
      <c r="BP2286" s="1" t="s">
        <v>204</v>
      </c>
      <c r="BR2286" s="1" t="str">
        <f>"0222113034"</f>
        <v>0222113034</v>
      </c>
      <c r="BT2286" s="1" t="s">
        <v>20149</v>
      </c>
      <c r="BU2286" s="1" t="s">
        <v>3570</v>
      </c>
      <c r="BV2286" s="1" t="s">
        <v>2015</v>
      </c>
      <c r="BX2286" s="1">
        <v>15</v>
      </c>
      <c r="BY2286" s="1">
        <v>15</v>
      </c>
      <c r="BZ2286" s="1">
        <v>87</v>
      </c>
      <c r="CB2286" s="1" t="str">
        <f t="shared" ref="CB2286:CC2286" si="1751">""</f>
        <v/>
      </c>
      <c r="CC2286" s="1" t="str">
        <f t="shared" si="1751"/>
        <v/>
      </c>
      <c r="CG2286" s="1" t="s">
        <v>729</v>
      </c>
      <c r="CH2286" s="1" t="s">
        <v>277</v>
      </c>
      <c r="CI2286" s="1" t="s">
        <v>220</v>
      </c>
      <c r="CJ2286" s="1" t="s">
        <v>343</v>
      </c>
      <c r="CK2286" s="1" t="s">
        <v>465</v>
      </c>
      <c r="CL2286" s="1" t="s">
        <v>277</v>
      </c>
      <c r="CM2286" s="1" t="s">
        <v>220</v>
      </c>
      <c r="CN2286" s="1" t="s">
        <v>343</v>
      </c>
      <c r="CO2286" s="1" t="s">
        <v>2138</v>
      </c>
      <c r="CP2286" s="1" t="s">
        <v>277</v>
      </c>
      <c r="CQ2286" s="1" t="s">
        <v>220</v>
      </c>
      <c r="CS2286" s="1" t="s">
        <v>465</v>
      </c>
      <c r="CT2286" s="1" t="s">
        <v>277</v>
      </c>
      <c r="CU2286" s="1" t="s">
        <v>220</v>
      </c>
      <c r="CV2286" s="1" t="s">
        <v>343</v>
      </c>
      <c r="CX2286" s="1" t="s">
        <v>224</v>
      </c>
      <c r="DB2286" s="1" t="s">
        <v>224</v>
      </c>
      <c r="DE2286" s="1" t="s">
        <v>346</v>
      </c>
      <c r="DF2286" s="1" t="s">
        <v>277</v>
      </c>
      <c r="DG2286" s="1" t="s">
        <v>342</v>
      </c>
      <c r="DH2286" s="1" t="s">
        <v>343</v>
      </c>
      <c r="DJ2286" s="1" t="s">
        <v>224</v>
      </c>
      <c r="DS2286" s="1" t="s">
        <v>230</v>
      </c>
      <c r="DW2286" s="1" t="s">
        <v>230</v>
      </c>
      <c r="EA2286" s="1" t="s">
        <v>230</v>
      </c>
      <c r="EE2286" s="1" t="s">
        <v>230</v>
      </c>
      <c r="EI2286" s="1" t="s">
        <v>230</v>
      </c>
      <c r="EL2286" s="1" t="s">
        <v>231</v>
      </c>
      <c r="EM2286" s="1" t="s">
        <v>232</v>
      </c>
      <c r="EN2286" s="1" t="s">
        <v>1158</v>
      </c>
      <c r="EO2286" s="1" t="s">
        <v>234</v>
      </c>
      <c r="EP2286" s="1" t="s">
        <v>17499</v>
      </c>
      <c r="ER2286" s="1" t="s">
        <v>210</v>
      </c>
      <c r="EU2286" s="1" t="s">
        <v>5943</v>
      </c>
      <c r="EW2286" s="1" t="s">
        <v>286</v>
      </c>
      <c r="EZ2286" s="1" t="s">
        <v>287</v>
      </c>
      <c r="FB2286" s="1" t="s">
        <v>289</v>
      </c>
      <c r="FD2286" s="1" t="s">
        <v>246</v>
      </c>
      <c r="FE2286" s="1" t="s">
        <v>247</v>
      </c>
      <c r="FF2286" s="1" t="s">
        <v>248</v>
      </c>
      <c r="FH2286" s="1" t="s">
        <v>249</v>
      </c>
      <c r="FL2286" s="1" t="s">
        <v>292</v>
      </c>
      <c r="FM2286" s="1" t="s">
        <v>210</v>
      </c>
      <c r="FN2286" s="1" t="s">
        <v>204</v>
      </c>
      <c r="FO2286" s="1" t="s">
        <v>204</v>
      </c>
      <c r="FQ2286" s="1" t="s">
        <v>582</v>
      </c>
      <c r="FR2286" s="1" t="s">
        <v>210</v>
      </c>
      <c r="FS2286" s="1" t="s">
        <v>20150</v>
      </c>
      <c r="FT2286" s="1" t="s">
        <v>2589</v>
      </c>
      <c r="FU2286" s="1" t="s">
        <v>204</v>
      </c>
      <c r="FW2286" s="1" t="s">
        <v>12903</v>
      </c>
      <c r="FX2286" s="1">
        <v>60623</v>
      </c>
      <c r="FY2286" s="1" t="s">
        <v>12904</v>
      </c>
      <c r="FZ2286" s="1" t="s">
        <v>12905</v>
      </c>
      <c r="GA2286" s="1">
        <v>506433</v>
      </c>
      <c r="GB2286" s="1" t="s">
        <v>12906</v>
      </c>
      <c r="GE2286" s="1" t="s">
        <v>335</v>
      </c>
      <c r="GH2286" s="1" t="s">
        <v>230</v>
      </c>
      <c r="GI2286" s="1" t="s">
        <v>213</v>
      </c>
      <c r="GJ2286" s="1" t="s">
        <v>260</v>
      </c>
      <c r="GK2286" s="1" t="s">
        <v>210</v>
      </c>
      <c r="GL2286" s="2">
        <v>42115</v>
      </c>
      <c r="GM2286" s="1" t="s">
        <v>20151</v>
      </c>
    </row>
    <row r="2287" spans="1:195">
      <c r="A2287" s="1">
        <v>108000</v>
      </c>
      <c r="B2287" s="1" t="s">
        <v>195</v>
      </c>
      <c r="C2287" s="1" t="str">
        <f>"08820384"</f>
        <v>08820384</v>
      </c>
      <c r="D2287" s="1" t="s">
        <v>196</v>
      </c>
      <c r="F2287" s="1" t="str">
        <f>"30"</f>
        <v>30</v>
      </c>
      <c r="G2287" s="2">
        <v>42024</v>
      </c>
      <c r="H2287" s="1">
        <v>121900</v>
      </c>
      <c r="I2287" s="1">
        <v>121900</v>
      </c>
      <c r="J2287" s="1">
        <v>108000</v>
      </c>
      <c r="K2287" s="2">
        <v>42024</v>
      </c>
      <c r="L2287" s="1">
        <v>38</v>
      </c>
      <c r="M2287" s="2">
        <v>42061</v>
      </c>
      <c r="N2287" s="1">
        <v>38</v>
      </c>
      <c r="O2287" s="2">
        <v>42061</v>
      </c>
      <c r="P2287" s="1">
        <v>24695</v>
      </c>
      <c r="Q2287" s="1" t="s">
        <v>302</v>
      </c>
      <c r="R2287" s="2">
        <v>42069</v>
      </c>
      <c r="S2287" s="1">
        <v>26967</v>
      </c>
      <c r="T2287" s="1">
        <v>510</v>
      </c>
      <c r="U2287" s="1">
        <v>1363</v>
      </c>
      <c r="V2287" s="1" t="s">
        <v>17962</v>
      </c>
      <c r="W2287" s="1" t="s">
        <v>304</v>
      </c>
      <c r="Y2287" s="1">
        <v>6</v>
      </c>
      <c r="Z2287" s="1" t="s">
        <v>370</v>
      </c>
      <c r="AA2287" s="1" t="s">
        <v>1834</v>
      </c>
      <c r="AB2287" s="1">
        <v>60030</v>
      </c>
      <c r="AE2287" s="1" t="s">
        <v>20152</v>
      </c>
      <c r="AF2287" s="1">
        <v>1999</v>
      </c>
      <c r="AG2287" s="1" t="s">
        <v>204</v>
      </c>
      <c r="AH2287" s="1" t="s">
        <v>1837</v>
      </c>
      <c r="AI2287" s="1" t="s">
        <v>509</v>
      </c>
      <c r="AJ2287" s="1" t="s">
        <v>1263</v>
      </c>
      <c r="AL2287" s="1">
        <v>5</v>
      </c>
      <c r="AM2287" s="1">
        <v>2</v>
      </c>
      <c r="AN2287" s="1">
        <v>2</v>
      </c>
      <c r="AO2287" s="1">
        <v>1</v>
      </c>
      <c r="AP2287" s="1" t="s">
        <v>209</v>
      </c>
      <c r="AR2287" s="1" t="s">
        <v>210</v>
      </c>
      <c r="AT2287" s="1" t="s">
        <v>211</v>
      </c>
      <c r="AU2287" s="1">
        <v>1</v>
      </c>
      <c r="AW2287" s="1" t="s">
        <v>204</v>
      </c>
      <c r="AX2287" s="1" t="s">
        <v>212</v>
      </c>
      <c r="AZ2287" s="1">
        <v>5783.47</v>
      </c>
      <c r="BA2287" s="1">
        <v>2013</v>
      </c>
      <c r="BB2287" s="1" t="s">
        <v>405</v>
      </c>
      <c r="BE2287" s="1">
        <v>1437</v>
      </c>
      <c r="BF2287" s="1">
        <v>1</v>
      </c>
      <c r="BG2287" s="1">
        <v>0</v>
      </c>
      <c r="BL2287" s="1">
        <v>128</v>
      </c>
      <c r="BM2287" s="1" t="s">
        <v>413</v>
      </c>
      <c r="BN2287" s="1" t="s">
        <v>213</v>
      </c>
      <c r="BO2287" s="1" t="s">
        <v>2932</v>
      </c>
      <c r="BP2287" s="1" t="s">
        <v>204</v>
      </c>
      <c r="BR2287" s="1" t="str">
        <f>"06222081200000"</f>
        <v>06222081200000</v>
      </c>
      <c r="BT2287" s="1" t="s">
        <v>20153</v>
      </c>
      <c r="BX2287" s="1">
        <v>4</v>
      </c>
      <c r="BY2287" s="1">
        <v>4</v>
      </c>
      <c r="BZ2287" s="1">
        <v>127</v>
      </c>
      <c r="CB2287" s="1" t="str">
        <f t="shared" ref="CB2287:CC2287" si="1752">""</f>
        <v/>
      </c>
      <c r="CC2287" s="1" t="str">
        <f t="shared" si="1752"/>
        <v/>
      </c>
      <c r="CG2287" s="1" t="s">
        <v>315</v>
      </c>
      <c r="CH2287" s="1" t="s">
        <v>219</v>
      </c>
      <c r="CK2287" s="1" t="s">
        <v>437</v>
      </c>
      <c r="CL2287" s="1" t="s">
        <v>277</v>
      </c>
      <c r="CO2287" s="1" t="s">
        <v>409</v>
      </c>
      <c r="CP2287" s="1" t="s">
        <v>219</v>
      </c>
      <c r="CS2287" s="1" t="s">
        <v>379</v>
      </c>
      <c r="CT2287" s="1" t="s">
        <v>277</v>
      </c>
      <c r="CX2287" s="1" t="s">
        <v>224</v>
      </c>
      <c r="DB2287" s="1" t="s">
        <v>224</v>
      </c>
      <c r="DE2287" s="1" t="s">
        <v>2122</v>
      </c>
      <c r="DF2287" s="1" t="s">
        <v>219</v>
      </c>
      <c r="DJ2287" s="1" t="s">
        <v>224</v>
      </c>
      <c r="DS2287" s="1" t="s">
        <v>230</v>
      </c>
      <c r="DW2287" s="1" t="s">
        <v>230</v>
      </c>
      <c r="EA2287" s="1" t="s">
        <v>230</v>
      </c>
      <c r="EE2287" s="1" t="s">
        <v>230</v>
      </c>
      <c r="EI2287" s="1" t="s">
        <v>230</v>
      </c>
      <c r="EL2287" s="1" t="s">
        <v>670</v>
      </c>
      <c r="EM2287" s="1" t="s">
        <v>319</v>
      </c>
      <c r="EN2287" s="1" t="s">
        <v>282</v>
      </c>
      <c r="EO2287" s="1" t="s">
        <v>234</v>
      </c>
      <c r="ER2287" s="1" t="s">
        <v>210</v>
      </c>
      <c r="ET2287" s="1" t="s">
        <v>2404</v>
      </c>
      <c r="EU2287" s="1" t="s">
        <v>1110</v>
      </c>
      <c r="EW2287" s="1" t="s">
        <v>1250</v>
      </c>
      <c r="EZ2287" s="1" t="s">
        <v>287</v>
      </c>
      <c r="FD2287" s="1" t="s">
        <v>246</v>
      </c>
      <c r="FE2287" s="1" t="s">
        <v>1031</v>
      </c>
      <c r="FF2287" s="1" t="s">
        <v>248</v>
      </c>
      <c r="FH2287" s="1" t="s">
        <v>550</v>
      </c>
      <c r="FL2287" s="1" t="s">
        <v>358</v>
      </c>
      <c r="FM2287" s="1" t="s">
        <v>252</v>
      </c>
      <c r="FN2287" s="1" t="s">
        <v>213</v>
      </c>
      <c r="FO2287" s="1" t="s">
        <v>213</v>
      </c>
      <c r="FQ2287" s="1" t="s">
        <v>689</v>
      </c>
      <c r="FR2287" s="1" t="s">
        <v>210</v>
      </c>
      <c r="FS2287" s="1" t="s">
        <v>15702</v>
      </c>
      <c r="FT2287" s="1" t="s">
        <v>584</v>
      </c>
      <c r="FU2287" s="1" t="s">
        <v>204</v>
      </c>
      <c r="FW2287" s="1" t="s">
        <v>15703</v>
      </c>
      <c r="FX2287" s="1">
        <v>3319</v>
      </c>
      <c r="FY2287" s="1" t="s">
        <v>15704</v>
      </c>
      <c r="FZ2287" s="1" t="s">
        <v>15705</v>
      </c>
      <c r="GA2287" s="1">
        <v>35055</v>
      </c>
      <c r="GE2287" s="1" t="s">
        <v>210</v>
      </c>
      <c r="GI2287" s="1" t="s">
        <v>213</v>
      </c>
      <c r="GJ2287" s="1" t="s">
        <v>260</v>
      </c>
      <c r="GK2287" s="1" t="s">
        <v>210</v>
      </c>
      <c r="GL2287" s="2">
        <v>42069</v>
      </c>
      <c r="GM2287" s="1" t="s">
        <v>15706</v>
      </c>
    </row>
    <row r="2288" spans="1:195">
      <c r="A2288" s="1">
        <v>174000</v>
      </c>
      <c r="B2288" s="1" t="s">
        <v>195</v>
      </c>
      <c r="C2288" s="1" t="str">
        <f>"08820441"</f>
        <v>08820441</v>
      </c>
      <c r="D2288" s="1" t="s">
        <v>196</v>
      </c>
      <c r="F2288" s="1" t="str">
        <f>"164"</f>
        <v>164</v>
      </c>
      <c r="G2288" s="2">
        <v>42024</v>
      </c>
      <c r="H2288" s="1">
        <v>174900</v>
      </c>
      <c r="I2288" s="1">
        <v>174900</v>
      </c>
      <c r="J2288" s="1">
        <v>174000</v>
      </c>
      <c r="K2288" s="2">
        <v>42024</v>
      </c>
      <c r="L2288" s="1">
        <v>44</v>
      </c>
      <c r="M2288" s="2">
        <v>42067</v>
      </c>
      <c r="N2288" s="1">
        <v>44</v>
      </c>
      <c r="O2288" s="2">
        <v>42067</v>
      </c>
      <c r="P2288" s="1">
        <v>25042</v>
      </c>
      <c r="Q2288" s="1" t="s">
        <v>302</v>
      </c>
      <c r="R2288" s="2">
        <v>42104</v>
      </c>
      <c r="S2288" s="1">
        <v>223523</v>
      </c>
      <c r="U2288" s="1">
        <v>77</v>
      </c>
      <c r="V2288" s="1" t="s">
        <v>2489</v>
      </c>
      <c r="W2288" s="1" t="s">
        <v>1056</v>
      </c>
      <c r="X2288" s="1">
        <v>511</v>
      </c>
      <c r="Y2288" s="1">
        <v>60</v>
      </c>
      <c r="Z2288" s="1" t="s">
        <v>249</v>
      </c>
      <c r="AA2288" s="1" t="s">
        <v>5771</v>
      </c>
      <c r="AB2288" s="1">
        <v>60164</v>
      </c>
      <c r="AD2288" s="1" t="s">
        <v>10908</v>
      </c>
      <c r="AE2288" s="1" t="s">
        <v>17819</v>
      </c>
      <c r="AF2288" s="1">
        <v>2008</v>
      </c>
      <c r="AG2288" s="1" t="s">
        <v>204</v>
      </c>
      <c r="AH2288" s="1" t="s">
        <v>5773</v>
      </c>
      <c r="AI2288" s="1" t="s">
        <v>310</v>
      </c>
      <c r="AJ2288" s="1" t="s">
        <v>311</v>
      </c>
      <c r="AK2288" s="1" t="s">
        <v>683</v>
      </c>
      <c r="AL2288" s="1">
        <v>5</v>
      </c>
      <c r="AM2288" s="1">
        <v>2</v>
      </c>
      <c r="AN2288" s="1">
        <v>2</v>
      </c>
      <c r="AO2288" s="1">
        <v>0</v>
      </c>
      <c r="AP2288" s="1" t="s">
        <v>209</v>
      </c>
      <c r="AR2288" s="1" t="s">
        <v>210</v>
      </c>
      <c r="AT2288" s="1" t="s">
        <v>375</v>
      </c>
      <c r="AU2288" s="1">
        <v>1</v>
      </c>
      <c r="AV2288" s="1">
        <v>2</v>
      </c>
      <c r="AW2288" s="1" t="s">
        <v>204</v>
      </c>
      <c r="AX2288" s="1" t="s">
        <v>270</v>
      </c>
      <c r="AZ2288" s="1" t="s">
        <v>751</v>
      </c>
      <c r="BA2288" s="1">
        <v>2013</v>
      </c>
      <c r="BB2288" s="1" t="s">
        <v>210</v>
      </c>
      <c r="BE2288" s="1">
        <v>1344</v>
      </c>
      <c r="BF2288" s="1">
        <v>5</v>
      </c>
      <c r="BG2288" s="1">
        <v>0</v>
      </c>
      <c r="BL2288" s="1">
        <v>292</v>
      </c>
      <c r="BM2288" s="1" t="s">
        <v>204</v>
      </c>
      <c r="BN2288" s="1" t="s">
        <v>213</v>
      </c>
      <c r="BO2288" s="1">
        <v>999</v>
      </c>
      <c r="BP2288" s="1" t="s">
        <v>204</v>
      </c>
      <c r="BR2288" s="1" t="str">
        <f>"12323210201048"</f>
        <v>12323210201048</v>
      </c>
      <c r="BT2288" s="1" t="s">
        <v>20154</v>
      </c>
      <c r="BV2288" s="1" t="s">
        <v>2760</v>
      </c>
      <c r="BW2288" s="1" t="s">
        <v>5776</v>
      </c>
      <c r="BX2288" s="1">
        <v>87</v>
      </c>
      <c r="BY2288" s="1">
        <v>87</v>
      </c>
      <c r="BZ2288" s="1">
        <v>212</v>
      </c>
      <c r="CB2288" s="1" t="str">
        <f t="shared" ref="CB2288:CC2288" si="1753">""</f>
        <v/>
      </c>
      <c r="CC2288" s="1" t="str">
        <f t="shared" si="1753"/>
        <v/>
      </c>
      <c r="CG2288" s="1" t="s">
        <v>5931</v>
      </c>
      <c r="CH2288" s="1" t="s">
        <v>219</v>
      </c>
      <c r="CI2288" s="1" t="s">
        <v>220</v>
      </c>
      <c r="CJ2288" s="1" t="s">
        <v>210</v>
      </c>
      <c r="CK2288" s="1" t="s">
        <v>278</v>
      </c>
      <c r="CL2288" s="1" t="s">
        <v>219</v>
      </c>
      <c r="CM2288" s="1" t="s">
        <v>220</v>
      </c>
      <c r="CO2288" s="1" t="s">
        <v>629</v>
      </c>
      <c r="CP2288" s="1" t="s">
        <v>219</v>
      </c>
      <c r="CQ2288" s="1" t="s">
        <v>220</v>
      </c>
      <c r="CS2288" s="1" t="s">
        <v>317</v>
      </c>
      <c r="CT2288" s="1" t="s">
        <v>219</v>
      </c>
      <c r="CU2288" s="1" t="s">
        <v>220</v>
      </c>
      <c r="CX2288" s="1" t="s">
        <v>224</v>
      </c>
      <c r="DB2288" s="1" t="s">
        <v>224</v>
      </c>
      <c r="DE2288" s="1" t="s">
        <v>836</v>
      </c>
      <c r="DF2288" s="1" t="s">
        <v>219</v>
      </c>
      <c r="DG2288" s="1" t="s">
        <v>342</v>
      </c>
      <c r="DJ2288" s="1" t="s">
        <v>224</v>
      </c>
      <c r="DM2288" s="1" t="s">
        <v>1771</v>
      </c>
      <c r="DN2288" s="1" t="s">
        <v>838</v>
      </c>
      <c r="DR2288" s="1" t="s">
        <v>3126</v>
      </c>
      <c r="DS2288" s="1" t="s">
        <v>219</v>
      </c>
      <c r="DV2288" s="1" t="s">
        <v>8909</v>
      </c>
      <c r="DW2288" s="1" t="s">
        <v>219</v>
      </c>
      <c r="EA2288" s="1" t="s">
        <v>230</v>
      </c>
      <c r="EE2288" s="1" t="s">
        <v>230</v>
      </c>
      <c r="EI2288" s="1" t="s">
        <v>230</v>
      </c>
      <c r="EL2288" s="1" t="s">
        <v>491</v>
      </c>
      <c r="EM2288" s="1" t="s">
        <v>319</v>
      </c>
      <c r="EN2288" s="1" t="s">
        <v>282</v>
      </c>
      <c r="EO2288" s="1" t="s">
        <v>234</v>
      </c>
      <c r="EP2288" s="1" t="s">
        <v>6681</v>
      </c>
      <c r="ER2288" s="1" t="s">
        <v>210</v>
      </c>
      <c r="ET2288" s="1" t="s">
        <v>866</v>
      </c>
      <c r="EW2288" s="1" t="s">
        <v>733</v>
      </c>
      <c r="EZ2288" s="1" t="s">
        <v>1941</v>
      </c>
      <c r="FB2288" s="1" t="s">
        <v>289</v>
      </c>
      <c r="FC2288" s="1" t="s">
        <v>1386</v>
      </c>
      <c r="FD2288" s="1" t="s">
        <v>246</v>
      </c>
      <c r="FE2288" s="1" t="s">
        <v>247</v>
      </c>
      <c r="FF2288" s="1" t="s">
        <v>248</v>
      </c>
      <c r="FH2288" s="1" t="s">
        <v>1942</v>
      </c>
      <c r="FI2288" s="1" t="s">
        <v>634</v>
      </c>
      <c r="FJ2288" s="1" t="s">
        <v>1251</v>
      </c>
      <c r="FK2288" s="1" t="s">
        <v>389</v>
      </c>
      <c r="FL2288" s="1" t="s">
        <v>414</v>
      </c>
      <c r="FM2288" s="1" t="s">
        <v>252</v>
      </c>
      <c r="FN2288" s="1" t="s">
        <v>213</v>
      </c>
      <c r="FO2288" s="1" t="s">
        <v>213</v>
      </c>
      <c r="FQ2288" s="1" t="s">
        <v>1221</v>
      </c>
      <c r="FR2288" s="1" t="s">
        <v>210</v>
      </c>
      <c r="FS2288" s="1" t="s">
        <v>20155</v>
      </c>
      <c r="FT2288" s="1" t="s">
        <v>295</v>
      </c>
      <c r="FU2288" s="1" t="s">
        <v>204</v>
      </c>
      <c r="FW2288" s="1" t="s">
        <v>5780</v>
      </c>
      <c r="FX2288" s="1">
        <v>85391</v>
      </c>
      <c r="FY2288" s="1" t="s">
        <v>5781</v>
      </c>
      <c r="FZ2288" s="1" t="s">
        <v>5782</v>
      </c>
      <c r="GA2288" s="1">
        <v>103362</v>
      </c>
      <c r="GB2288" s="1" t="s">
        <v>5783</v>
      </c>
      <c r="GE2288" s="1" t="s">
        <v>1120</v>
      </c>
      <c r="GH2288" s="1" t="s">
        <v>230</v>
      </c>
      <c r="GI2288" s="1" t="s">
        <v>213</v>
      </c>
      <c r="GJ2288" s="1" t="s">
        <v>260</v>
      </c>
      <c r="GK2288" s="1" t="s">
        <v>210</v>
      </c>
      <c r="GL2288" s="2">
        <v>42107</v>
      </c>
      <c r="GM2288" s="1" t="s">
        <v>20156</v>
      </c>
    </row>
    <row r="2289" spans="1:195">
      <c r="A2289" s="1">
        <v>210000</v>
      </c>
      <c r="B2289" s="1" t="s">
        <v>195</v>
      </c>
      <c r="C2289" s="1" t="str">
        <f>"08835542"</f>
        <v>08835542</v>
      </c>
      <c r="D2289" s="1" t="s">
        <v>196</v>
      </c>
      <c r="F2289" s="1" t="str">
        <f>"126"</f>
        <v>126</v>
      </c>
      <c r="G2289" s="2">
        <v>42045</v>
      </c>
      <c r="H2289" s="1">
        <v>227000</v>
      </c>
      <c r="I2289" s="1">
        <v>227000</v>
      </c>
      <c r="J2289" s="1">
        <v>210000</v>
      </c>
      <c r="K2289" s="2">
        <v>42045</v>
      </c>
      <c r="L2289" s="1">
        <v>13</v>
      </c>
      <c r="M2289" s="2">
        <v>42057</v>
      </c>
      <c r="N2289" s="1">
        <v>13</v>
      </c>
      <c r="O2289" s="2">
        <v>42057</v>
      </c>
      <c r="P2289" s="1">
        <v>90812</v>
      </c>
      <c r="Q2289" s="1" t="s">
        <v>197</v>
      </c>
      <c r="R2289" s="2">
        <v>42121</v>
      </c>
      <c r="S2289" s="1">
        <v>901083</v>
      </c>
      <c r="U2289" s="1">
        <v>446</v>
      </c>
      <c r="V2289" s="1" t="s">
        <v>20157</v>
      </c>
      <c r="W2289" s="1" t="s">
        <v>725</v>
      </c>
      <c r="Y2289" s="1">
        <v>4</v>
      </c>
      <c r="Z2289" s="1" t="s">
        <v>200</v>
      </c>
      <c r="AA2289" s="1" t="s">
        <v>3169</v>
      </c>
      <c r="AB2289" s="1">
        <v>60126</v>
      </c>
      <c r="AE2289" s="1" t="s">
        <v>20158</v>
      </c>
      <c r="AF2289" s="1">
        <v>1955</v>
      </c>
      <c r="AG2289" s="1" t="s">
        <v>213</v>
      </c>
      <c r="AH2289" s="1" t="s">
        <v>3172</v>
      </c>
      <c r="AI2289" s="1" t="s">
        <v>206</v>
      </c>
      <c r="AJ2289" s="1" t="s">
        <v>1608</v>
      </c>
      <c r="AL2289" s="1">
        <v>5</v>
      </c>
      <c r="AM2289" s="1">
        <v>2</v>
      </c>
      <c r="AN2289" s="1">
        <v>1</v>
      </c>
      <c r="AO2289" s="1">
        <v>1</v>
      </c>
      <c r="AP2289" s="1" t="s">
        <v>210</v>
      </c>
      <c r="AR2289" s="1" t="s">
        <v>209</v>
      </c>
      <c r="AS2289" s="1" t="s">
        <v>204</v>
      </c>
      <c r="AT2289" s="1" t="s">
        <v>211</v>
      </c>
      <c r="AU2289" s="1">
        <v>1.1000000000000001</v>
      </c>
      <c r="AW2289" s="1" t="s">
        <v>204</v>
      </c>
      <c r="AX2289" s="1" t="s">
        <v>20159</v>
      </c>
      <c r="AZ2289" s="1">
        <v>2803</v>
      </c>
      <c r="BA2289" s="1">
        <v>2013</v>
      </c>
      <c r="BB2289" s="1" t="s">
        <v>405</v>
      </c>
      <c r="BE2289" s="1">
        <v>1068</v>
      </c>
      <c r="BF2289" s="1">
        <v>1</v>
      </c>
      <c r="BG2289" s="1">
        <v>0</v>
      </c>
      <c r="BL2289" s="1">
        <v>0</v>
      </c>
      <c r="BM2289" s="1" t="s">
        <v>204</v>
      </c>
      <c r="BN2289" s="1" t="s">
        <v>213</v>
      </c>
      <c r="BO2289" s="1">
        <v>999</v>
      </c>
      <c r="BP2289" s="1" t="s">
        <v>204</v>
      </c>
      <c r="BR2289" s="1" t="str">
        <f>"0612406011"</f>
        <v>0612406011</v>
      </c>
      <c r="BT2289" s="1" t="s">
        <v>20160</v>
      </c>
      <c r="BU2289" s="1" t="s">
        <v>20161</v>
      </c>
      <c r="BV2289" s="1" t="s">
        <v>20162</v>
      </c>
      <c r="BW2289" s="1" t="s">
        <v>3176</v>
      </c>
      <c r="BX2289" s="1">
        <v>205</v>
      </c>
      <c r="BY2289" s="1">
        <v>205</v>
      </c>
      <c r="BZ2289" s="1">
        <v>205</v>
      </c>
      <c r="CB2289" s="1" t="str">
        <f t="shared" ref="CB2289:CC2289" si="1754">""</f>
        <v/>
      </c>
      <c r="CC2289" s="1" t="str">
        <f t="shared" si="1754"/>
        <v/>
      </c>
      <c r="CD2289" s="1">
        <v>15</v>
      </c>
      <c r="CG2289" s="1" t="s">
        <v>228</v>
      </c>
      <c r="CH2289" s="1" t="s">
        <v>219</v>
      </c>
      <c r="CI2289" s="1" t="s">
        <v>438</v>
      </c>
      <c r="CK2289" s="1" t="s">
        <v>932</v>
      </c>
      <c r="CL2289" s="1" t="s">
        <v>277</v>
      </c>
      <c r="CM2289" s="1" t="s">
        <v>438</v>
      </c>
      <c r="CP2289" s="1" t="s">
        <v>224</v>
      </c>
      <c r="CS2289" s="1" t="s">
        <v>346</v>
      </c>
      <c r="CT2289" s="1" t="s">
        <v>277</v>
      </c>
      <c r="CU2289" s="1" t="s">
        <v>438</v>
      </c>
      <c r="CX2289" s="1" t="s">
        <v>224</v>
      </c>
      <c r="DB2289" s="1" t="s">
        <v>224</v>
      </c>
      <c r="DE2289" s="1" t="s">
        <v>346</v>
      </c>
      <c r="DF2289" s="1" t="s">
        <v>219</v>
      </c>
      <c r="DG2289" s="1" t="s">
        <v>226</v>
      </c>
      <c r="DI2289" s="1" t="s">
        <v>315</v>
      </c>
      <c r="DJ2289" s="1" t="s">
        <v>822</v>
      </c>
      <c r="DK2289" s="1" t="s">
        <v>220</v>
      </c>
      <c r="DS2289" s="1" t="s">
        <v>230</v>
      </c>
      <c r="DW2289" s="1" t="s">
        <v>230</v>
      </c>
      <c r="EA2289" s="1" t="s">
        <v>230</v>
      </c>
      <c r="EE2289" s="1" t="s">
        <v>230</v>
      </c>
      <c r="EI2289" s="1" t="s">
        <v>230</v>
      </c>
      <c r="EL2289" s="1" t="s">
        <v>649</v>
      </c>
      <c r="EM2289" s="1" t="s">
        <v>232</v>
      </c>
      <c r="EN2289" s="1" t="s">
        <v>282</v>
      </c>
      <c r="EO2289" s="1" t="s">
        <v>234</v>
      </c>
      <c r="EP2289" s="1" t="s">
        <v>650</v>
      </c>
      <c r="ER2289" s="1" t="s">
        <v>351</v>
      </c>
      <c r="EW2289" s="1" t="s">
        <v>210</v>
      </c>
      <c r="EZ2289" s="1" t="s">
        <v>287</v>
      </c>
      <c r="FC2289" s="1" t="s">
        <v>326</v>
      </c>
      <c r="FD2289" s="1" t="s">
        <v>246</v>
      </c>
      <c r="FE2289" s="1" t="s">
        <v>247</v>
      </c>
      <c r="FF2289" s="1" t="s">
        <v>248</v>
      </c>
      <c r="FH2289" s="1" t="s">
        <v>550</v>
      </c>
      <c r="FI2289" s="1" t="s">
        <v>473</v>
      </c>
      <c r="FL2289" s="1" t="s">
        <v>358</v>
      </c>
      <c r="FM2289" s="1" t="s">
        <v>252</v>
      </c>
      <c r="FN2289" s="1" t="s">
        <v>213</v>
      </c>
      <c r="FO2289" s="1" t="s">
        <v>213</v>
      </c>
      <c r="FQ2289" s="1" t="s">
        <v>1441</v>
      </c>
      <c r="FR2289" s="1" t="s">
        <v>210</v>
      </c>
      <c r="FS2289" s="1" t="s">
        <v>20163</v>
      </c>
      <c r="FT2289" s="1" t="s">
        <v>362</v>
      </c>
      <c r="FU2289" s="1" t="s">
        <v>204</v>
      </c>
      <c r="FW2289" s="1" t="s">
        <v>3328</v>
      </c>
      <c r="FX2289" s="1">
        <v>24330</v>
      </c>
      <c r="FY2289" s="1" t="s">
        <v>3329</v>
      </c>
      <c r="FZ2289" s="1" t="s">
        <v>20164</v>
      </c>
      <c r="GA2289" s="1">
        <v>241764</v>
      </c>
      <c r="GD2289" s="1" t="s">
        <v>20165</v>
      </c>
      <c r="GE2289" s="1" t="s">
        <v>480</v>
      </c>
      <c r="GH2289" s="1" t="s">
        <v>800</v>
      </c>
      <c r="GI2289" s="1" t="s">
        <v>213</v>
      </c>
      <c r="GJ2289" s="1" t="s">
        <v>260</v>
      </c>
      <c r="GK2289" s="1" t="s">
        <v>210</v>
      </c>
      <c r="GL2289" s="2">
        <v>42122</v>
      </c>
    </row>
    <row r="2290" spans="1:195">
      <c r="A2290" s="1">
        <v>24900</v>
      </c>
      <c r="B2290" s="1" t="s">
        <v>195</v>
      </c>
      <c r="C2290" s="1" t="str">
        <f>"08816151"</f>
        <v>08816151</v>
      </c>
      <c r="D2290" s="1" t="s">
        <v>196</v>
      </c>
      <c r="F2290" s="1" t="str">
        <f>"8069"</f>
        <v>8069</v>
      </c>
      <c r="G2290" s="2">
        <v>42018</v>
      </c>
      <c r="H2290" s="1">
        <v>24900</v>
      </c>
      <c r="I2290" s="1">
        <v>24900</v>
      </c>
      <c r="J2290" s="1">
        <v>24900</v>
      </c>
      <c r="K2290" s="2">
        <v>42017</v>
      </c>
      <c r="L2290" s="1">
        <v>23</v>
      </c>
      <c r="M2290" s="2">
        <v>42039</v>
      </c>
      <c r="N2290" s="1">
        <v>23</v>
      </c>
      <c r="O2290" s="2">
        <v>42039</v>
      </c>
      <c r="P2290" s="1">
        <v>85761</v>
      </c>
      <c r="Q2290" s="1" t="s">
        <v>302</v>
      </c>
      <c r="R2290" s="2">
        <v>42062</v>
      </c>
      <c r="S2290" s="1">
        <v>119476</v>
      </c>
      <c r="U2290" s="1">
        <v>917</v>
      </c>
      <c r="V2290" s="1" t="s">
        <v>8098</v>
      </c>
      <c r="W2290" s="1" t="s">
        <v>725</v>
      </c>
      <c r="X2290" s="1" t="s">
        <v>20166</v>
      </c>
      <c r="Y2290" s="1">
        <v>30</v>
      </c>
      <c r="Z2290" s="1" t="s">
        <v>200</v>
      </c>
      <c r="AA2290" s="1" t="s">
        <v>400</v>
      </c>
      <c r="AB2290" s="1">
        <v>60619</v>
      </c>
      <c r="AE2290" s="1" t="s">
        <v>20167</v>
      </c>
      <c r="AF2290" s="1">
        <v>1929</v>
      </c>
      <c r="AG2290" s="1" t="s">
        <v>213</v>
      </c>
      <c r="AH2290" s="1" t="s">
        <v>403</v>
      </c>
      <c r="AI2290" s="1" t="s">
        <v>310</v>
      </c>
      <c r="AJ2290" s="1" t="s">
        <v>562</v>
      </c>
      <c r="AL2290" s="1">
        <v>4</v>
      </c>
      <c r="AM2290" s="1">
        <v>2</v>
      </c>
      <c r="AN2290" s="1">
        <v>2</v>
      </c>
      <c r="AO2290" s="1">
        <v>0</v>
      </c>
      <c r="AP2290" s="1" t="s">
        <v>209</v>
      </c>
      <c r="AR2290" s="1" t="s">
        <v>210</v>
      </c>
      <c r="AS2290" s="1" t="s">
        <v>204</v>
      </c>
      <c r="AT2290" s="1" t="s">
        <v>210</v>
      </c>
      <c r="AW2290" s="1" t="s">
        <v>204</v>
      </c>
      <c r="AX2290" s="1">
        <v>0</v>
      </c>
      <c r="AZ2290" s="1">
        <v>1308.3699999999999</v>
      </c>
      <c r="BA2290" s="1">
        <v>2013</v>
      </c>
      <c r="BB2290" s="1" t="s">
        <v>405</v>
      </c>
      <c r="BE2290" s="1">
        <v>875</v>
      </c>
      <c r="BF2290" s="1">
        <v>2</v>
      </c>
      <c r="BG2290" s="1">
        <v>5</v>
      </c>
      <c r="BL2290" s="1">
        <v>218</v>
      </c>
      <c r="BM2290" s="1" t="s">
        <v>204</v>
      </c>
      <c r="BN2290" s="1" t="s">
        <v>213</v>
      </c>
      <c r="BO2290" s="1">
        <v>40</v>
      </c>
      <c r="BP2290" s="1" t="s">
        <v>204</v>
      </c>
      <c r="BR2290" s="1" t="str">
        <f>"20263190381012"</f>
        <v>20263190381012</v>
      </c>
      <c r="BT2290" s="1" t="s">
        <v>20168</v>
      </c>
      <c r="BX2290" s="1">
        <v>299</v>
      </c>
      <c r="BY2290" s="1">
        <v>299</v>
      </c>
      <c r="BZ2290" s="1">
        <v>299</v>
      </c>
      <c r="CB2290" s="1" t="str">
        <f>"0"</f>
        <v>0</v>
      </c>
      <c r="CC2290" s="1" t="str">
        <f>"917"</f>
        <v>917</v>
      </c>
      <c r="CD2290" s="1">
        <v>0</v>
      </c>
      <c r="CE2290" s="1">
        <v>7800</v>
      </c>
      <c r="CG2290" s="1" t="s">
        <v>317</v>
      </c>
      <c r="CH2290" s="1" t="s">
        <v>219</v>
      </c>
      <c r="CI2290" s="1" t="s">
        <v>438</v>
      </c>
      <c r="CK2290" s="1" t="s">
        <v>317</v>
      </c>
      <c r="CL2290" s="1" t="s">
        <v>219</v>
      </c>
      <c r="CM2290" s="1" t="s">
        <v>438</v>
      </c>
      <c r="CP2290" s="1" t="s">
        <v>224</v>
      </c>
      <c r="CS2290" s="1" t="s">
        <v>379</v>
      </c>
      <c r="CT2290" s="1" t="s">
        <v>219</v>
      </c>
      <c r="CU2290" s="1" t="s">
        <v>438</v>
      </c>
      <c r="CX2290" s="1" t="s">
        <v>224</v>
      </c>
      <c r="DB2290" s="1" t="s">
        <v>224</v>
      </c>
      <c r="DE2290" s="1" t="s">
        <v>437</v>
      </c>
      <c r="DF2290" s="1" t="s">
        <v>219</v>
      </c>
      <c r="DG2290" s="1" t="s">
        <v>438</v>
      </c>
      <c r="DJ2290" s="1" t="s">
        <v>224</v>
      </c>
      <c r="DS2290" s="1" t="s">
        <v>230</v>
      </c>
      <c r="DW2290" s="1" t="s">
        <v>230</v>
      </c>
      <c r="EA2290" s="1" t="s">
        <v>230</v>
      </c>
      <c r="EE2290" s="1" t="s">
        <v>230</v>
      </c>
      <c r="EI2290" s="1" t="s">
        <v>230</v>
      </c>
      <c r="EL2290" s="1" t="s">
        <v>2154</v>
      </c>
      <c r="EM2290" s="1" t="s">
        <v>232</v>
      </c>
      <c r="EN2290" s="1" t="s">
        <v>282</v>
      </c>
      <c r="EO2290" s="1" t="s">
        <v>234</v>
      </c>
      <c r="ER2290" s="1" t="s">
        <v>210</v>
      </c>
      <c r="EW2290" s="1" t="s">
        <v>1426</v>
      </c>
      <c r="EZ2290" s="1" t="s">
        <v>287</v>
      </c>
      <c r="FD2290" s="1" t="s">
        <v>246</v>
      </c>
      <c r="FE2290" s="1" t="s">
        <v>247</v>
      </c>
      <c r="FF2290" s="1" t="s">
        <v>248</v>
      </c>
      <c r="FH2290" s="1" t="s">
        <v>249</v>
      </c>
      <c r="FL2290" s="1" t="s">
        <v>358</v>
      </c>
      <c r="FM2290" s="1" t="s">
        <v>252</v>
      </c>
      <c r="FN2290" s="1" t="s">
        <v>213</v>
      </c>
      <c r="FO2290" s="1" t="s">
        <v>213</v>
      </c>
      <c r="FQ2290" s="1" t="s">
        <v>689</v>
      </c>
      <c r="FR2290" s="1" t="s">
        <v>210</v>
      </c>
      <c r="FS2290" s="1" t="s">
        <v>20169</v>
      </c>
      <c r="FT2290" s="1" t="s">
        <v>584</v>
      </c>
      <c r="FU2290" s="1" t="s">
        <v>204</v>
      </c>
      <c r="FW2290" s="1" t="s">
        <v>7498</v>
      </c>
      <c r="FX2290" s="1">
        <v>22994</v>
      </c>
      <c r="FY2290" s="1" t="s">
        <v>7499</v>
      </c>
      <c r="FZ2290" s="1" t="s">
        <v>7500</v>
      </c>
      <c r="GA2290" s="1">
        <v>502340</v>
      </c>
      <c r="GB2290" s="1" t="s">
        <v>7501</v>
      </c>
      <c r="GE2290" s="1" t="s">
        <v>210</v>
      </c>
      <c r="GH2290" s="1" t="s">
        <v>800</v>
      </c>
      <c r="GI2290" s="1" t="s">
        <v>213</v>
      </c>
      <c r="GJ2290" s="1" t="s">
        <v>260</v>
      </c>
      <c r="GK2290" s="1" t="s">
        <v>210</v>
      </c>
      <c r="GL2290" s="2">
        <v>42063</v>
      </c>
      <c r="GM2290" s="1" t="s">
        <v>20170</v>
      </c>
    </row>
    <row r="2291" spans="1:195">
      <c r="A2291" s="1">
        <v>98000</v>
      </c>
      <c r="B2291" s="1" t="s">
        <v>195</v>
      </c>
      <c r="C2291" s="1" t="str">
        <f>"08823350"</f>
        <v>08823350</v>
      </c>
      <c r="D2291" s="1" t="s">
        <v>196</v>
      </c>
      <c r="F2291" s="1" t="str">
        <f>"517"</f>
        <v>517</v>
      </c>
      <c r="G2291" s="2">
        <v>42028</v>
      </c>
      <c r="H2291" s="1">
        <v>119900</v>
      </c>
      <c r="I2291" s="1">
        <v>119900</v>
      </c>
      <c r="J2291" s="1">
        <v>98000</v>
      </c>
      <c r="K2291" s="2">
        <v>42028</v>
      </c>
      <c r="L2291" s="1">
        <v>37</v>
      </c>
      <c r="M2291" s="2">
        <v>42064</v>
      </c>
      <c r="N2291" s="1">
        <v>37</v>
      </c>
      <c r="O2291" s="2">
        <v>42064</v>
      </c>
      <c r="P2291" s="1">
        <v>22049</v>
      </c>
      <c r="Q2291" s="1" t="s">
        <v>197</v>
      </c>
      <c r="R2291" s="2">
        <v>42107</v>
      </c>
      <c r="S2291" s="1">
        <v>231770</v>
      </c>
      <c r="U2291" s="1">
        <v>2713</v>
      </c>
      <c r="V2291" s="1" t="s">
        <v>20171</v>
      </c>
      <c r="W2291" s="1" t="s">
        <v>264</v>
      </c>
      <c r="X2291" s="1">
        <v>2206</v>
      </c>
      <c r="Y2291" s="7">
        <v>42100</v>
      </c>
      <c r="Z2291" s="1" t="s">
        <v>249</v>
      </c>
      <c r="AA2291" s="1" t="s">
        <v>2850</v>
      </c>
      <c r="AB2291" s="1">
        <v>60517</v>
      </c>
      <c r="AD2291" s="1" t="s">
        <v>17622</v>
      </c>
      <c r="AE2291" s="1" t="s">
        <v>20172</v>
      </c>
      <c r="AF2291" s="1">
        <v>1986</v>
      </c>
      <c r="AG2291" s="1" t="s">
        <v>204</v>
      </c>
      <c r="AH2291" s="1" t="s">
        <v>2853</v>
      </c>
      <c r="AI2291" s="1" t="s">
        <v>206</v>
      </c>
      <c r="AJ2291" s="1" t="s">
        <v>925</v>
      </c>
      <c r="AL2291" s="1">
        <v>4</v>
      </c>
      <c r="AM2291" s="1">
        <v>2</v>
      </c>
      <c r="AN2291" s="1">
        <v>1</v>
      </c>
      <c r="AO2291" s="1">
        <v>1</v>
      </c>
      <c r="AP2291" s="1" t="s">
        <v>5067</v>
      </c>
      <c r="AR2291" s="1" t="s">
        <v>210</v>
      </c>
      <c r="AS2291" s="1" t="s">
        <v>204</v>
      </c>
      <c r="AT2291" s="1" t="s">
        <v>375</v>
      </c>
      <c r="AU2291" s="1">
        <v>1</v>
      </c>
      <c r="AV2291" s="1">
        <v>6</v>
      </c>
      <c r="AW2291" s="1" t="s">
        <v>204</v>
      </c>
      <c r="AX2291" s="1" t="s">
        <v>212</v>
      </c>
      <c r="AZ2291" s="1">
        <v>3066</v>
      </c>
      <c r="BA2291" s="1">
        <v>2013</v>
      </c>
      <c r="BB2291" s="1" t="s">
        <v>210</v>
      </c>
      <c r="BE2291" s="1">
        <v>1000</v>
      </c>
      <c r="BF2291" s="1">
        <v>3</v>
      </c>
      <c r="BG2291" s="1">
        <v>0</v>
      </c>
      <c r="BL2291" s="1">
        <v>295</v>
      </c>
      <c r="BM2291" s="1" t="s">
        <v>204</v>
      </c>
      <c r="BN2291" s="1" t="s">
        <v>213</v>
      </c>
      <c r="BO2291" s="1">
        <v>20</v>
      </c>
      <c r="BP2291" s="1" t="s">
        <v>204</v>
      </c>
      <c r="BR2291" s="1" t="str">
        <f>"0836316112"</f>
        <v>0836316112</v>
      </c>
      <c r="BT2291" s="1" t="s">
        <v>20173</v>
      </c>
      <c r="BU2291" s="1" t="s">
        <v>20174</v>
      </c>
      <c r="BV2291" s="1" t="s">
        <v>2856</v>
      </c>
      <c r="BW2291" s="1" t="s">
        <v>3099</v>
      </c>
      <c r="BX2291" s="1">
        <v>68</v>
      </c>
      <c r="BY2291" s="1">
        <v>68</v>
      </c>
      <c r="BZ2291" s="1">
        <v>99</v>
      </c>
      <c r="CB2291" s="1" t="str">
        <f t="shared" ref="CB2291:CC2291" si="1755">""</f>
        <v/>
      </c>
      <c r="CC2291" s="1" t="str">
        <f t="shared" si="1755"/>
        <v/>
      </c>
      <c r="CG2291" s="1" t="s">
        <v>2402</v>
      </c>
      <c r="CH2291" s="1" t="s">
        <v>784</v>
      </c>
      <c r="CI2291" s="1" t="s">
        <v>229</v>
      </c>
      <c r="CJ2291" s="1" t="s">
        <v>343</v>
      </c>
      <c r="CK2291" s="1" t="s">
        <v>539</v>
      </c>
      <c r="CL2291" s="1" t="s">
        <v>784</v>
      </c>
      <c r="CM2291" s="1" t="s">
        <v>220</v>
      </c>
      <c r="CN2291" s="1" t="s">
        <v>343</v>
      </c>
      <c r="CP2291" s="1" t="s">
        <v>224</v>
      </c>
      <c r="CS2291" s="1" t="s">
        <v>317</v>
      </c>
      <c r="CT2291" s="1" t="s">
        <v>784</v>
      </c>
      <c r="CU2291" s="1" t="s">
        <v>220</v>
      </c>
      <c r="CV2291" s="1" t="s">
        <v>343</v>
      </c>
      <c r="CX2291" s="1" t="s">
        <v>224</v>
      </c>
      <c r="DB2291" s="1" t="s">
        <v>224</v>
      </c>
      <c r="DE2291" s="1" t="s">
        <v>346</v>
      </c>
      <c r="DF2291" s="1" t="s">
        <v>784</v>
      </c>
      <c r="DG2291" s="1" t="s">
        <v>229</v>
      </c>
      <c r="DH2291" s="1" t="s">
        <v>210</v>
      </c>
      <c r="DJ2291" s="1" t="s">
        <v>224</v>
      </c>
      <c r="DS2291" s="1" t="s">
        <v>230</v>
      </c>
      <c r="DW2291" s="1" t="s">
        <v>230</v>
      </c>
      <c r="EA2291" s="1" t="s">
        <v>230</v>
      </c>
      <c r="EE2291" s="1" t="s">
        <v>230</v>
      </c>
      <c r="EI2291" s="1" t="s">
        <v>230</v>
      </c>
      <c r="EL2291" s="1" t="s">
        <v>542</v>
      </c>
      <c r="EM2291" s="1" t="s">
        <v>319</v>
      </c>
      <c r="EN2291" s="1" t="s">
        <v>1158</v>
      </c>
      <c r="EO2291" s="1" t="s">
        <v>234</v>
      </c>
      <c r="EQ2291" s="1" t="s">
        <v>1551</v>
      </c>
      <c r="ER2291" s="1" t="s">
        <v>210</v>
      </c>
      <c r="EW2291" s="1" t="s">
        <v>4815</v>
      </c>
      <c r="EY2291" s="1" t="s">
        <v>242</v>
      </c>
      <c r="EZ2291" s="1" t="s">
        <v>287</v>
      </c>
      <c r="FA2291" s="1" t="s">
        <v>471</v>
      </c>
      <c r="FD2291" s="1" t="s">
        <v>16939</v>
      </c>
      <c r="FE2291" s="1" t="s">
        <v>247</v>
      </c>
      <c r="FF2291" s="1" t="s">
        <v>248</v>
      </c>
      <c r="FH2291" s="1" t="s">
        <v>249</v>
      </c>
      <c r="FI2291" s="1" t="s">
        <v>473</v>
      </c>
      <c r="FJ2291" s="1" t="s">
        <v>197</v>
      </c>
      <c r="FK2291" s="1" t="s">
        <v>291</v>
      </c>
      <c r="FL2291" s="1" t="s">
        <v>1164</v>
      </c>
      <c r="FM2291" s="1" t="s">
        <v>252</v>
      </c>
      <c r="FN2291" s="1" t="s">
        <v>213</v>
      </c>
      <c r="FO2291" s="1" t="s">
        <v>213</v>
      </c>
      <c r="FQ2291" s="1" t="s">
        <v>3560</v>
      </c>
      <c r="FR2291" s="1" t="s">
        <v>210</v>
      </c>
      <c r="FS2291" s="1" t="s">
        <v>20175</v>
      </c>
      <c r="FT2291" s="1" t="s">
        <v>295</v>
      </c>
      <c r="FU2291" s="1" t="s">
        <v>204</v>
      </c>
      <c r="FW2291" s="1" t="s">
        <v>2144</v>
      </c>
      <c r="FX2291" s="1">
        <v>23163</v>
      </c>
      <c r="FY2291" s="1" t="s">
        <v>2145</v>
      </c>
      <c r="FZ2291" s="1" t="s">
        <v>7186</v>
      </c>
      <c r="GA2291" s="1">
        <v>215425</v>
      </c>
      <c r="GB2291" s="1" t="s">
        <v>7187</v>
      </c>
      <c r="GE2291" s="1" t="s">
        <v>1145</v>
      </c>
      <c r="GI2291" s="1" t="s">
        <v>213</v>
      </c>
      <c r="GJ2291" s="1" t="s">
        <v>260</v>
      </c>
      <c r="GK2291" s="1" t="s">
        <v>210</v>
      </c>
      <c r="GL2291" s="2">
        <v>42107</v>
      </c>
      <c r="GM2291" s="1" t="s">
        <v>20176</v>
      </c>
    </row>
    <row r="2292" spans="1:195">
      <c r="A2292" s="1">
        <v>157000</v>
      </c>
      <c r="B2292" s="1" t="s">
        <v>195</v>
      </c>
      <c r="C2292" s="1" t="str">
        <f>"08821783"</f>
        <v>08821783</v>
      </c>
      <c r="D2292" s="1" t="s">
        <v>196</v>
      </c>
      <c r="F2292" s="1" t="str">
        <f>"188"</f>
        <v>188</v>
      </c>
      <c r="G2292" s="2">
        <v>42026</v>
      </c>
      <c r="H2292" s="1">
        <v>153900</v>
      </c>
      <c r="I2292" s="1">
        <v>159900</v>
      </c>
      <c r="J2292" s="1">
        <v>157000</v>
      </c>
      <c r="K2292" s="2">
        <v>42026</v>
      </c>
      <c r="L2292" s="1">
        <v>28</v>
      </c>
      <c r="M2292" s="2">
        <v>42053</v>
      </c>
      <c r="N2292" s="1">
        <v>28</v>
      </c>
      <c r="O2292" s="2">
        <v>42053</v>
      </c>
      <c r="P2292" s="1">
        <v>4634</v>
      </c>
      <c r="Q2292" s="1" t="s">
        <v>197</v>
      </c>
      <c r="R2292" s="2">
        <v>42100</v>
      </c>
      <c r="S2292" s="1">
        <v>42534</v>
      </c>
      <c r="U2292" s="1">
        <v>275</v>
      </c>
      <c r="V2292" s="1" t="s">
        <v>20177</v>
      </c>
      <c r="W2292" s="1" t="s">
        <v>304</v>
      </c>
      <c r="X2292" s="1">
        <v>275</v>
      </c>
      <c r="Y2292" s="1">
        <v>4</v>
      </c>
      <c r="Z2292" s="1" t="s">
        <v>249</v>
      </c>
      <c r="AA2292" s="1" t="s">
        <v>1084</v>
      </c>
      <c r="AB2292" s="1">
        <v>60188</v>
      </c>
      <c r="AE2292" s="1" t="s">
        <v>20178</v>
      </c>
      <c r="AF2292" s="1">
        <v>1996</v>
      </c>
      <c r="AG2292" s="1" t="s">
        <v>204</v>
      </c>
      <c r="AH2292" s="1" t="s">
        <v>1087</v>
      </c>
      <c r="AI2292" s="1" t="s">
        <v>206</v>
      </c>
      <c r="AJ2292" s="1" t="s">
        <v>207</v>
      </c>
      <c r="AL2292" s="1">
        <v>5</v>
      </c>
      <c r="AM2292" s="1">
        <v>2</v>
      </c>
      <c r="AN2292" s="1">
        <v>2</v>
      </c>
      <c r="AO2292" s="1">
        <v>0</v>
      </c>
      <c r="AP2292" s="1" t="s">
        <v>209</v>
      </c>
      <c r="AQ2292" s="1">
        <v>1</v>
      </c>
      <c r="AR2292" s="1" t="s">
        <v>210</v>
      </c>
      <c r="AS2292" s="1" t="s">
        <v>204</v>
      </c>
      <c r="AT2292" s="1" t="s">
        <v>211</v>
      </c>
      <c r="AU2292" s="1">
        <v>1</v>
      </c>
      <c r="AW2292" s="1" t="s">
        <v>204</v>
      </c>
      <c r="AX2292" s="1" t="s">
        <v>212</v>
      </c>
      <c r="AZ2292" s="1">
        <v>4035</v>
      </c>
      <c r="BA2292" s="1">
        <v>2013</v>
      </c>
      <c r="BE2292" s="1">
        <v>1353</v>
      </c>
      <c r="BF2292" s="1">
        <v>2</v>
      </c>
      <c r="BG2292" s="1">
        <v>0</v>
      </c>
      <c r="BL2292" s="1">
        <v>157</v>
      </c>
      <c r="BM2292" s="1" t="s">
        <v>204</v>
      </c>
      <c r="BN2292" s="1" t="s">
        <v>213</v>
      </c>
      <c r="BO2292" s="1">
        <v>99</v>
      </c>
      <c r="BP2292" s="1" t="s">
        <v>204</v>
      </c>
      <c r="BR2292" s="1" t="str">
        <f>"0503110223"</f>
        <v>0503110223</v>
      </c>
      <c r="BT2292" s="1" t="s">
        <v>20179</v>
      </c>
      <c r="BU2292" s="1" t="s">
        <v>2305</v>
      </c>
      <c r="BV2292" s="1" t="s">
        <v>6455</v>
      </c>
      <c r="BW2292" s="1" t="s">
        <v>2169</v>
      </c>
      <c r="BX2292" s="1">
        <v>200</v>
      </c>
      <c r="BY2292" s="1">
        <v>200</v>
      </c>
      <c r="BZ2292" s="1">
        <v>87</v>
      </c>
      <c r="CB2292" s="1" t="str">
        <f t="shared" ref="CB2292:CC2292" si="1756">""</f>
        <v/>
      </c>
      <c r="CC2292" s="1" t="str">
        <f t="shared" si="1756"/>
        <v/>
      </c>
      <c r="CG2292" s="1" t="s">
        <v>539</v>
      </c>
      <c r="CH2292" s="1" t="s">
        <v>277</v>
      </c>
      <c r="CI2292" s="1" t="s">
        <v>220</v>
      </c>
      <c r="CJ2292" s="1" t="s">
        <v>252</v>
      </c>
      <c r="CK2292" s="1" t="s">
        <v>1045</v>
      </c>
      <c r="CL2292" s="1" t="s">
        <v>277</v>
      </c>
      <c r="CM2292" s="1" t="s">
        <v>220</v>
      </c>
      <c r="CN2292" s="1" t="s">
        <v>252</v>
      </c>
      <c r="CO2292" s="1" t="s">
        <v>539</v>
      </c>
      <c r="CP2292" s="1" t="s">
        <v>277</v>
      </c>
      <c r="CQ2292" s="1" t="s">
        <v>220</v>
      </c>
      <c r="CR2292" s="1" t="s">
        <v>210</v>
      </c>
      <c r="CS2292" s="1" t="s">
        <v>346</v>
      </c>
      <c r="CT2292" s="1" t="s">
        <v>277</v>
      </c>
      <c r="CU2292" s="1" t="s">
        <v>220</v>
      </c>
      <c r="CV2292" s="1" t="s">
        <v>252</v>
      </c>
      <c r="CX2292" s="1" t="s">
        <v>224</v>
      </c>
      <c r="DB2292" s="1" t="s">
        <v>224</v>
      </c>
      <c r="DE2292" s="1" t="s">
        <v>318</v>
      </c>
      <c r="DF2292" s="1" t="s">
        <v>277</v>
      </c>
      <c r="DG2292" s="1" t="s">
        <v>226</v>
      </c>
      <c r="DH2292" s="1" t="s">
        <v>252</v>
      </c>
      <c r="DJ2292" s="1" t="s">
        <v>224</v>
      </c>
      <c r="DM2292" s="1" t="s">
        <v>1359</v>
      </c>
      <c r="DR2292" s="1" t="s">
        <v>836</v>
      </c>
      <c r="DS2292" s="1" t="s">
        <v>277</v>
      </c>
      <c r="DW2292" s="1" t="s">
        <v>230</v>
      </c>
      <c r="EA2292" s="1" t="s">
        <v>230</v>
      </c>
      <c r="EE2292" s="1" t="s">
        <v>230</v>
      </c>
      <c r="EI2292" s="1" t="s">
        <v>230</v>
      </c>
      <c r="EL2292" s="1" t="s">
        <v>670</v>
      </c>
      <c r="EM2292" s="1" t="s">
        <v>232</v>
      </c>
      <c r="EN2292" s="1" t="s">
        <v>282</v>
      </c>
      <c r="EO2292" s="1" t="s">
        <v>234</v>
      </c>
      <c r="EP2292" s="1" t="s">
        <v>1489</v>
      </c>
      <c r="ER2292" s="1" t="s">
        <v>210</v>
      </c>
      <c r="ET2292" s="1" t="s">
        <v>323</v>
      </c>
      <c r="EW2292" s="1" t="s">
        <v>353</v>
      </c>
      <c r="EY2292" s="1" t="s">
        <v>790</v>
      </c>
      <c r="EZ2292" s="1" t="s">
        <v>1359</v>
      </c>
      <c r="FD2292" s="1" t="s">
        <v>246</v>
      </c>
      <c r="FE2292" s="1" t="s">
        <v>6104</v>
      </c>
      <c r="FF2292" s="1" t="s">
        <v>248</v>
      </c>
      <c r="FG2292" s="1" t="s">
        <v>912</v>
      </c>
      <c r="FH2292" s="1" t="s">
        <v>249</v>
      </c>
      <c r="FI2292" s="1" t="s">
        <v>473</v>
      </c>
      <c r="FL2292" s="1" t="s">
        <v>358</v>
      </c>
      <c r="FM2292" s="1" t="s">
        <v>252</v>
      </c>
      <c r="FN2292" s="1" t="s">
        <v>213</v>
      </c>
      <c r="FO2292" s="1" t="s">
        <v>213</v>
      </c>
      <c r="FQ2292" s="1" t="s">
        <v>20180</v>
      </c>
      <c r="FR2292" s="1" t="s">
        <v>210</v>
      </c>
      <c r="FS2292" s="1" t="s">
        <v>20181</v>
      </c>
      <c r="FT2292" s="1" t="s">
        <v>295</v>
      </c>
      <c r="FU2292" s="1" t="s">
        <v>204</v>
      </c>
      <c r="FW2292" s="1" t="s">
        <v>2144</v>
      </c>
      <c r="FX2292" s="1">
        <v>23163</v>
      </c>
      <c r="FY2292" s="1" t="s">
        <v>2145</v>
      </c>
      <c r="FZ2292" s="1" t="s">
        <v>20182</v>
      </c>
      <c r="GA2292" s="1">
        <v>252284</v>
      </c>
      <c r="GB2292" s="1" t="s">
        <v>20183</v>
      </c>
      <c r="GE2292" s="1" t="s">
        <v>480</v>
      </c>
      <c r="GI2292" s="1" t="s">
        <v>213</v>
      </c>
      <c r="GJ2292" s="1" t="s">
        <v>260</v>
      </c>
      <c r="GK2292" s="1" t="s">
        <v>210</v>
      </c>
      <c r="GL2292" s="2">
        <v>42101</v>
      </c>
    </row>
    <row r="2293" spans="1:195">
      <c r="A2293" s="1">
        <v>45000</v>
      </c>
      <c r="B2293" s="1" t="s">
        <v>195</v>
      </c>
      <c r="C2293" s="1" t="str">
        <f>"08816634"</f>
        <v>08816634</v>
      </c>
      <c r="D2293" s="1" t="s">
        <v>196</v>
      </c>
      <c r="F2293" s="1" t="str">
        <f>"8065"</f>
        <v>8065</v>
      </c>
      <c r="G2293" s="2">
        <v>42018</v>
      </c>
      <c r="H2293" s="1">
        <v>45000</v>
      </c>
      <c r="I2293" s="1">
        <v>45000</v>
      </c>
      <c r="J2293" s="1">
        <v>45000</v>
      </c>
      <c r="K2293" s="2">
        <v>42017</v>
      </c>
      <c r="L2293" s="1">
        <v>56</v>
      </c>
      <c r="M2293" s="2">
        <v>42045</v>
      </c>
      <c r="N2293" s="1">
        <v>29</v>
      </c>
      <c r="O2293" s="2">
        <v>42045</v>
      </c>
      <c r="P2293" s="1">
        <v>18016</v>
      </c>
      <c r="Q2293" s="1" t="s">
        <v>302</v>
      </c>
      <c r="R2293" s="2">
        <v>42094</v>
      </c>
      <c r="S2293" s="1">
        <v>860774</v>
      </c>
      <c r="U2293" s="1">
        <v>6200</v>
      </c>
      <c r="V2293" s="1" t="s">
        <v>20184</v>
      </c>
      <c r="W2293" s="1" t="s">
        <v>425</v>
      </c>
      <c r="X2293" s="1">
        <v>2</v>
      </c>
      <c r="Y2293" s="1">
        <v>5</v>
      </c>
      <c r="Z2293" s="1" t="s">
        <v>249</v>
      </c>
      <c r="AA2293" s="1" t="s">
        <v>400</v>
      </c>
      <c r="AB2293" s="1">
        <v>60629</v>
      </c>
      <c r="AE2293" s="1" t="s">
        <v>20185</v>
      </c>
      <c r="AF2293" s="1">
        <v>1927</v>
      </c>
      <c r="AG2293" s="1" t="s">
        <v>213</v>
      </c>
      <c r="AH2293" s="1" t="s">
        <v>403</v>
      </c>
      <c r="AI2293" s="1" t="s">
        <v>310</v>
      </c>
      <c r="AJ2293" s="1" t="s">
        <v>404</v>
      </c>
      <c r="AL2293" s="1">
        <v>5</v>
      </c>
      <c r="AM2293" s="1">
        <v>2</v>
      </c>
      <c r="AN2293" s="1">
        <v>1</v>
      </c>
      <c r="AO2293" s="1">
        <v>0</v>
      </c>
      <c r="AP2293" s="1" t="s">
        <v>210</v>
      </c>
      <c r="AR2293" s="1" t="s">
        <v>210</v>
      </c>
      <c r="AS2293" s="1" t="s">
        <v>204</v>
      </c>
      <c r="AT2293" s="1" t="s">
        <v>211</v>
      </c>
      <c r="AU2293" s="1">
        <v>1</v>
      </c>
      <c r="AW2293" s="1" t="s">
        <v>204</v>
      </c>
      <c r="AX2293" s="1" t="s">
        <v>212</v>
      </c>
      <c r="AZ2293" s="1">
        <v>1620.51</v>
      </c>
      <c r="BA2293" s="1">
        <v>2013</v>
      </c>
      <c r="BE2293" s="1">
        <v>650</v>
      </c>
      <c r="BF2293" s="1">
        <v>2</v>
      </c>
      <c r="BG2293" s="1">
        <v>1</v>
      </c>
      <c r="BL2293" s="1">
        <v>186</v>
      </c>
      <c r="BM2293" s="1" t="s">
        <v>204</v>
      </c>
      <c r="BN2293" s="1" t="s">
        <v>204</v>
      </c>
      <c r="BP2293" s="1" t="s">
        <v>204</v>
      </c>
      <c r="BR2293" s="1" t="str">
        <f>"19154230391002"</f>
        <v>19154230391002</v>
      </c>
      <c r="BT2293" s="1" t="s">
        <v>20186</v>
      </c>
      <c r="BX2293" s="1">
        <v>299</v>
      </c>
      <c r="BY2293" s="1">
        <v>299</v>
      </c>
      <c r="BZ2293" s="1">
        <v>299</v>
      </c>
      <c r="CB2293" s="1" t="str">
        <f t="shared" ref="CB2293:CC2293" si="1757">"0"</f>
        <v>0</v>
      </c>
      <c r="CC2293" s="1" t="str">
        <f t="shared" si="1757"/>
        <v>0</v>
      </c>
      <c r="CD2293" s="1">
        <v>4600</v>
      </c>
      <c r="CE2293" s="1">
        <v>6200</v>
      </c>
      <c r="CG2293" s="1" t="s">
        <v>4225</v>
      </c>
      <c r="CH2293" s="1" t="s">
        <v>219</v>
      </c>
      <c r="CI2293" s="1" t="s">
        <v>438</v>
      </c>
      <c r="CJ2293" s="1" t="s">
        <v>210</v>
      </c>
      <c r="CK2293" s="1" t="s">
        <v>379</v>
      </c>
      <c r="CL2293" s="1" t="s">
        <v>219</v>
      </c>
      <c r="CM2293" s="1" t="s">
        <v>438</v>
      </c>
      <c r="CN2293" s="1" t="s">
        <v>210</v>
      </c>
      <c r="CO2293" s="1" t="s">
        <v>380</v>
      </c>
      <c r="CP2293" s="1" t="s">
        <v>219</v>
      </c>
      <c r="CQ2293" s="1" t="s">
        <v>438</v>
      </c>
      <c r="CR2293" s="1" t="s">
        <v>210</v>
      </c>
      <c r="CS2293" s="1" t="s">
        <v>1297</v>
      </c>
      <c r="CT2293" s="1" t="s">
        <v>219</v>
      </c>
      <c r="CU2293" s="1" t="s">
        <v>438</v>
      </c>
      <c r="CV2293" s="1" t="s">
        <v>210</v>
      </c>
      <c r="CX2293" s="1" t="s">
        <v>224</v>
      </c>
      <c r="DB2293" s="1" t="s">
        <v>224</v>
      </c>
      <c r="DE2293" s="1" t="s">
        <v>380</v>
      </c>
      <c r="DF2293" s="1" t="s">
        <v>219</v>
      </c>
      <c r="DG2293" s="1" t="s">
        <v>438</v>
      </c>
      <c r="DH2293" s="1" t="s">
        <v>210</v>
      </c>
      <c r="DJ2293" s="1" t="s">
        <v>224</v>
      </c>
      <c r="DS2293" s="1" t="s">
        <v>230</v>
      </c>
      <c r="DW2293" s="1" t="s">
        <v>230</v>
      </c>
      <c r="EA2293" s="1" t="s">
        <v>230</v>
      </c>
      <c r="EE2293" s="1" t="s">
        <v>230</v>
      </c>
      <c r="EI2293" s="1" t="s">
        <v>230</v>
      </c>
      <c r="EL2293" s="1" t="s">
        <v>2154</v>
      </c>
      <c r="EM2293" s="1" t="s">
        <v>730</v>
      </c>
      <c r="EN2293" s="1" t="s">
        <v>210</v>
      </c>
      <c r="EO2293" s="1" t="s">
        <v>234</v>
      </c>
      <c r="ER2293" s="1" t="s">
        <v>210</v>
      </c>
      <c r="EW2293" s="1" t="s">
        <v>20187</v>
      </c>
      <c r="EZ2293" s="1" t="s">
        <v>287</v>
      </c>
      <c r="FB2293" s="1" t="s">
        <v>734</v>
      </c>
      <c r="FC2293" s="1" t="s">
        <v>1386</v>
      </c>
      <c r="FD2293" s="1" t="s">
        <v>1112</v>
      </c>
      <c r="FE2293" s="1" t="s">
        <v>247</v>
      </c>
      <c r="FF2293" s="1" t="s">
        <v>248</v>
      </c>
      <c r="FH2293" s="1" t="s">
        <v>249</v>
      </c>
      <c r="FL2293" s="1" t="s">
        <v>414</v>
      </c>
      <c r="FM2293" s="1" t="s">
        <v>252</v>
      </c>
      <c r="FN2293" s="1" t="s">
        <v>213</v>
      </c>
      <c r="FO2293" s="1" t="s">
        <v>213</v>
      </c>
      <c r="FQ2293" s="1" t="s">
        <v>849</v>
      </c>
      <c r="FR2293" s="1" t="s">
        <v>210</v>
      </c>
      <c r="FS2293" s="1" t="s">
        <v>1429</v>
      </c>
      <c r="FT2293" s="1" t="s">
        <v>255</v>
      </c>
      <c r="FU2293" s="1" t="s">
        <v>204</v>
      </c>
      <c r="FW2293" s="1" t="s">
        <v>5605</v>
      </c>
      <c r="FX2293" s="1">
        <v>12555</v>
      </c>
      <c r="FY2293" s="1" t="s">
        <v>5606</v>
      </c>
      <c r="FZ2293" s="1" t="s">
        <v>6579</v>
      </c>
      <c r="GA2293" s="1">
        <v>130892</v>
      </c>
      <c r="GB2293" s="1" t="s">
        <v>5606</v>
      </c>
      <c r="GC2293" s="1">
        <v>126892</v>
      </c>
      <c r="GE2293" s="1" t="s">
        <v>210</v>
      </c>
      <c r="GH2293" s="1" t="s">
        <v>421</v>
      </c>
      <c r="GI2293" s="1" t="s">
        <v>213</v>
      </c>
      <c r="GJ2293" s="1" t="s">
        <v>260</v>
      </c>
      <c r="GK2293" s="1" t="s">
        <v>210</v>
      </c>
      <c r="GL2293" s="2">
        <v>42094</v>
      </c>
      <c r="GM2293" s="1" t="s">
        <v>20188</v>
      </c>
    </row>
    <row r="2294" spans="1:195">
      <c r="A2294" s="1">
        <v>230000</v>
      </c>
      <c r="B2294" s="1" t="s">
        <v>195</v>
      </c>
      <c r="C2294" s="1" t="str">
        <f>"08812378"</f>
        <v>08812378</v>
      </c>
      <c r="D2294" s="1" t="s">
        <v>196</v>
      </c>
      <c r="F2294" s="1" t="str">
        <f>"108"</f>
        <v>108</v>
      </c>
      <c r="G2294" s="2">
        <v>42012</v>
      </c>
      <c r="H2294" s="1">
        <v>236900</v>
      </c>
      <c r="I2294" s="1">
        <v>236900</v>
      </c>
      <c r="J2294" s="1">
        <v>230000</v>
      </c>
      <c r="K2294" s="2">
        <v>42012</v>
      </c>
      <c r="L2294" s="1">
        <v>4</v>
      </c>
      <c r="M2294" s="2">
        <v>42015</v>
      </c>
      <c r="N2294" s="1">
        <v>4</v>
      </c>
      <c r="O2294" s="2">
        <v>42015</v>
      </c>
      <c r="P2294" s="1">
        <v>3970</v>
      </c>
      <c r="Q2294" s="1" t="s">
        <v>197</v>
      </c>
      <c r="R2294" s="2">
        <v>42081</v>
      </c>
      <c r="S2294" s="1">
        <v>33319</v>
      </c>
      <c r="U2294" s="1">
        <v>232</v>
      </c>
      <c r="V2294" s="1" t="s">
        <v>20189</v>
      </c>
      <c r="W2294" s="1" t="s">
        <v>304</v>
      </c>
      <c r="X2294" s="1">
        <v>232</v>
      </c>
      <c r="Y2294" s="1">
        <v>4</v>
      </c>
      <c r="Z2294" s="1" t="s">
        <v>370</v>
      </c>
      <c r="AA2294" s="1" t="s">
        <v>829</v>
      </c>
      <c r="AB2294" s="1">
        <v>60108</v>
      </c>
      <c r="AC2294" s="1">
        <v>1296</v>
      </c>
      <c r="AD2294" s="1" t="s">
        <v>18186</v>
      </c>
      <c r="AE2294" s="1" t="s">
        <v>20190</v>
      </c>
      <c r="AF2294" s="1">
        <v>1989</v>
      </c>
      <c r="AG2294" s="1" t="s">
        <v>204</v>
      </c>
      <c r="AH2294" s="1" t="s">
        <v>269</v>
      </c>
      <c r="AI2294" s="1" t="s">
        <v>206</v>
      </c>
      <c r="AJ2294" s="1" t="s">
        <v>269</v>
      </c>
      <c r="AL2294" s="1">
        <v>7</v>
      </c>
      <c r="AM2294" s="1">
        <v>2</v>
      </c>
      <c r="AN2294" s="1">
        <v>2</v>
      </c>
      <c r="AO2294" s="1">
        <v>0</v>
      </c>
      <c r="AP2294" s="1" t="s">
        <v>209</v>
      </c>
      <c r="AQ2294" s="1">
        <v>1</v>
      </c>
      <c r="AR2294" s="1" t="s">
        <v>209</v>
      </c>
      <c r="AS2294" s="1" t="s">
        <v>204</v>
      </c>
      <c r="AT2294" s="1" t="s">
        <v>211</v>
      </c>
      <c r="AU2294" s="1">
        <v>2</v>
      </c>
      <c r="AW2294" s="1" t="s">
        <v>204</v>
      </c>
      <c r="AX2294" s="1" t="s">
        <v>20191</v>
      </c>
      <c r="AZ2294" s="1">
        <v>5485</v>
      </c>
      <c r="BA2294" s="1">
        <v>2013</v>
      </c>
      <c r="BE2294" s="1">
        <v>1506</v>
      </c>
      <c r="BF2294" s="1">
        <v>1</v>
      </c>
      <c r="BG2294" s="1">
        <v>0</v>
      </c>
      <c r="BL2294" s="1">
        <v>320</v>
      </c>
      <c r="BM2294" s="1" t="s">
        <v>204</v>
      </c>
      <c r="BN2294" s="1" t="s">
        <v>213</v>
      </c>
      <c r="BO2294" s="1">
        <v>999</v>
      </c>
      <c r="BP2294" s="1" t="s">
        <v>204</v>
      </c>
      <c r="BR2294" s="1" t="str">
        <f>"0216210027"</f>
        <v>0216210027</v>
      </c>
      <c r="BT2294" s="1" t="s">
        <v>20192</v>
      </c>
      <c r="BU2294" s="1" t="s">
        <v>1611</v>
      </c>
      <c r="BV2294" s="1" t="s">
        <v>834</v>
      </c>
      <c r="BW2294" s="1" t="s">
        <v>275</v>
      </c>
      <c r="BX2294" s="1">
        <v>13</v>
      </c>
      <c r="BY2294" s="1">
        <v>13</v>
      </c>
      <c r="BZ2294" s="1">
        <v>108</v>
      </c>
      <c r="CB2294" s="1" t="str">
        <f>"5"</f>
        <v>5</v>
      </c>
      <c r="CC2294" s="1" t="str">
        <f>"0"</f>
        <v>0</v>
      </c>
      <c r="CD2294" s="1">
        <v>24</v>
      </c>
      <c r="CE2294" s="1">
        <v>0</v>
      </c>
      <c r="CG2294" s="1" t="s">
        <v>276</v>
      </c>
      <c r="CH2294" s="1" t="s">
        <v>219</v>
      </c>
      <c r="CI2294" s="1" t="s">
        <v>220</v>
      </c>
      <c r="CJ2294" s="1" t="s">
        <v>343</v>
      </c>
      <c r="CK2294" s="1" t="s">
        <v>228</v>
      </c>
      <c r="CL2294" s="1" t="s">
        <v>219</v>
      </c>
      <c r="CM2294" s="1" t="s">
        <v>438</v>
      </c>
      <c r="CN2294" s="1" t="s">
        <v>343</v>
      </c>
      <c r="CO2294" s="1" t="s">
        <v>729</v>
      </c>
      <c r="CP2294" s="1" t="s">
        <v>219</v>
      </c>
      <c r="CQ2294" s="1" t="s">
        <v>220</v>
      </c>
      <c r="CS2294" s="1" t="s">
        <v>461</v>
      </c>
      <c r="CT2294" s="1" t="s">
        <v>219</v>
      </c>
      <c r="CU2294" s="1" t="s">
        <v>438</v>
      </c>
      <c r="CV2294" s="1" t="s">
        <v>343</v>
      </c>
      <c r="CX2294" s="1" t="s">
        <v>224</v>
      </c>
      <c r="DB2294" s="1" t="s">
        <v>224</v>
      </c>
      <c r="DE2294" s="1" t="s">
        <v>932</v>
      </c>
      <c r="DF2294" s="1" t="s">
        <v>219</v>
      </c>
      <c r="DG2294" s="1" t="s">
        <v>226</v>
      </c>
      <c r="DH2294" s="1" t="s">
        <v>343</v>
      </c>
      <c r="DJ2294" s="1" t="s">
        <v>224</v>
      </c>
      <c r="DM2294" s="1" t="s">
        <v>934</v>
      </c>
      <c r="DN2294" s="1" t="s">
        <v>934</v>
      </c>
      <c r="DO2294" s="1" t="s">
        <v>347</v>
      </c>
      <c r="DP2294" s="1" t="s">
        <v>5320</v>
      </c>
      <c r="DR2294" s="1" t="s">
        <v>20193</v>
      </c>
      <c r="DS2294" s="1" t="s">
        <v>43</v>
      </c>
      <c r="DT2294" s="1" t="s">
        <v>220</v>
      </c>
      <c r="DU2294" s="1" t="s">
        <v>210</v>
      </c>
      <c r="DV2294" s="1" t="s">
        <v>931</v>
      </c>
      <c r="DW2294" s="1" t="s">
        <v>43</v>
      </c>
      <c r="DX2294" s="1" t="s">
        <v>220</v>
      </c>
      <c r="DY2294" s="1" t="s">
        <v>210</v>
      </c>
      <c r="DZ2294" s="1" t="s">
        <v>2467</v>
      </c>
      <c r="EA2294" s="1" t="s">
        <v>43</v>
      </c>
      <c r="EB2294" s="1" t="s">
        <v>347</v>
      </c>
      <c r="EC2294" s="1" t="s">
        <v>210</v>
      </c>
      <c r="ED2294" s="1" t="s">
        <v>932</v>
      </c>
      <c r="EE2294" s="1" t="s">
        <v>43</v>
      </c>
      <c r="EF2294" s="1" t="s">
        <v>226</v>
      </c>
      <c r="EG2294" s="1" t="s">
        <v>210</v>
      </c>
      <c r="EI2294" s="1" t="s">
        <v>230</v>
      </c>
      <c r="EL2294" s="1" t="s">
        <v>542</v>
      </c>
      <c r="EM2294" s="1" t="s">
        <v>232</v>
      </c>
      <c r="EN2294" s="1" t="s">
        <v>282</v>
      </c>
      <c r="EO2294" s="1" t="s">
        <v>1020</v>
      </c>
      <c r="EP2294" s="1" t="s">
        <v>3012</v>
      </c>
      <c r="EQ2294" s="1" t="s">
        <v>236</v>
      </c>
      <c r="ER2294" s="1" t="s">
        <v>351</v>
      </c>
      <c r="ES2294" s="1" t="s">
        <v>824</v>
      </c>
      <c r="ET2294" s="1" t="s">
        <v>1201</v>
      </c>
      <c r="EU2294" s="1" t="s">
        <v>12120</v>
      </c>
      <c r="EV2294" s="1" t="s">
        <v>240</v>
      </c>
      <c r="EW2294" s="1" t="s">
        <v>353</v>
      </c>
      <c r="EY2294" s="1" t="s">
        <v>242</v>
      </c>
      <c r="EZ2294" s="1" t="s">
        <v>20194</v>
      </c>
      <c r="FA2294" s="1" t="s">
        <v>20195</v>
      </c>
      <c r="FD2294" s="1" t="s">
        <v>246</v>
      </c>
      <c r="FE2294" s="1" t="s">
        <v>549</v>
      </c>
      <c r="FF2294" s="1" t="s">
        <v>248</v>
      </c>
      <c r="FG2294" s="1" t="s">
        <v>871</v>
      </c>
      <c r="FH2294" s="1" t="s">
        <v>825</v>
      </c>
      <c r="FI2294" s="1" t="s">
        <v>473</v>
      </c>
      <c r="FJ2294" s="1" t="s">
        <v>518</v>
      </c>
      <c r="FL2294" s="1" t="s">
        <v>358</v>
      </c>
      <c r="FM2294" s="1" t="s">
        <v>252</v>
      </c>
      <c r="FN2294" s="1" t="s">
        <v>213</v>
      </c>
      <c r="FO2294" s="1" t="s">
        <v>213</v>
      </c>
      <c r="FQ2294" s="1" t="s">
        <v>20196</v>
      </c>
      <c r="FR2294" s="1" t="s">
        <v>210</v>
      </c>
      <c r="FS2294" s="1" t="s">
        <v>20197</v>
      </c>
      <c r="FT2294" s="1" t="s">
        <v>295</v>
      </c>
      <c r="FU2294" s="1" t="s">
        <v>204</v>
      </c>
      <c r="FW2294" s="1" t="s">
        <v>873</v>
      </c>
      <c r="FX2294" s="1">
        <v>25309</v>
      </c>
      <c r="FY2294" s="1" t="s">
        <v>874</v>
      </c>
      <c r="FZ2294" s="1" t="s">
        <v>20198</v>
      </c>
      <c r="GA2294" s="1">
        <v>222376</v>
      </c>
      <c r="GB2294" s="1" t="s">
        <v>20199</v>
      </c>
      <c r="GD2294" s="1" t="s">
        <v>20200</v>
      </c>
      <c r="GE2294" s="1" t="s">
        <v>480</v>
      </c>
      <c r="GI2294" s="1" t="s">
        <v>213</v>
      </c>
      <c r="GJ2294" s="1" t="s">
        <v>260</v>
      </c>
      <c r="GK2294" s="1" t="s">
        <v>261</v>
      </c>
      <c r="GL2294" s="2">
        <v>42082</v>
      </c>
      <c r="GM2294" s="1" t="s">
        <v>20201</v>
      </c>
    </row>
    <row r="2295" spans="1:195">
      <c r="A2295" s="1">
        <v>115000</v>
      </c>
      <c r="B2295" s="1" t="s">
        <v>195</v>
      </c>
      <c r="C2295" s="1" t="str">
        <f>"08816928"</f>
        <v>08816928</v>
      </c>
      <c r="D2295" s="1" t="s">
        <v>196</v>
      </c>
      <c r="F2295" s="1" t="str">
        <f>"48"</f>
        <v>48</v>
      </c>
      <c r="G2295" s="2">
        <v>42019</v>
      </c>
      <c r="H2295" s="1">
        <v>115000</v>
      </c>
      <c r="I2295" s="1">
        <v>115000</v>
      </c>
      <c r="J2295" s="1">
        <v>115000</v>
      </c>
      <c r="K2295" s="2">
        <v>42019</v>
      </c>
      <c r="L2295" s="1">
        <v>1</v>
      </c>
      <c r="M2295" s="2">
        <v>42019</v>
      </c>
      <c r="N2295" s="1">
        <v>1</v>
      </c>
      <c r="O2295" s="2">
        <v>42019</v>
      </c>
      <c r="P2295" s="1">
        <v>4694</v>
      </c>
      <c r="Q2295" s="1" t="s">
        <v>302</v>
      </c>
      <c r="R2295" s="2">
        <v>42067</v>
      </c>
      <c r="S2295" s="1">
        <v>34563</v>
      </c>
      <c r="T2295" s="1">
        <v>1000</v>
      </c>
      <c r="U2295" s="1">
        <v>350</v>
      </c>
      <c r="V2295" s="1" t="s">
        <v>20202</v>
      </c>
      <c r="W2295" s="1" t="s">
        <v>425</v>
      </c>
      <c r="X2295" s="1" t="s">
        <v>1747</v>
      </c>
      <c r="Y2295" s="1">
        <v>16</v>
      </c>
      <c r="Z2295" s="1" t="s">
        <v>249</v>
      </c>
      <c r="AA2295" s="1" t="s">
        <v>6674</v>
      </c>
      <c r="AB2295" s="1">
        <v>60048</v>
      </c>
      <c r="AE2295" s="1" t="s">
        <v>20203</v>
      </c>
      <c r="AF2295" s="1">
        <v>1965</v>
      </c>
      <c r="AG2295" s="1" t="s">
        <v>213</v>
      </c>
      <c r="AH2295" s="1" t="s">
        <v>1693</v>
      </c>
      <c r="AI2295" s="1" t="s">
        <v>509</v>
      </c>
      <c r="AJ2295" s="1" t="s">
        <v>1693</v>
      </c>
      <c r="AL2295" s="1">
        <v>5</v>
      </c>
      <c r="AM2295" s="1">
        <v>2</v>
      </c>
      <c r="AN2295" s="1">
        <v>1</v>
      </c>
      <c r="AO2295" s="1">
        <v>0</v>
      </c>
      <c r="AP2295" s="1" t="s">
        <v>210</v>
      </c>
      <c r="AR2295" s="1" t="s">
        <v>209</v>
      </c>
      <c r="AS2295" s="1" t="s">
        <v>213</v>
      </c>
      <c r="AT2295" s="1" t="s">
        <v>211</v>
      </c>
      <c r="AU2295" s="1">
        <v>1</v>
      </c>
      <c r="AW2295" s="1" t="s">
        <v>204</v>
      </c>
      <c r="AX2295" s="1" t="s">
        <v>212</v>
      </c>
      <c r="AZ2295" s="1">
        <v>2666.75</v>
      </c>
      <c r="BA2295" s="1">
        <v>2013</v>
      </c>
      <c r="BE2295" s="1">
        <v>994</v>
      </c>
      <c r="BF2295" s="1">
        <v>1</v>
      </c>
      <c r="BG2295" s="1">
        <v>0</v>
      </c>
      <c r="BL2295" s="1">
        <v>300</v>
      </c>
      <c r="BM2295" s="1" t="s">
        <v>413</v>
      </c>
      <c r="BN2295" s="1" t="s">
        <v>204</v>
      </c>
      <c r="BP2295" s="1" t="s">
        <v>204</v>
      </c>
      <c r="BR2295" s="1" t="str">
        <f>"11163001080000"</f>
        <v>11163001080000</v>
      </c>
      <c r="BT2295" s="1" t="s">
        <v>20204</v>
      </c>
      <c r="BU2295" s="1" t="s">
        <v>18973</v>
      </c>
      <c r="BV2295" s="1" t="s">
        <v>6680</v>
      </c>
      <c r="BW2295" s="1" t="s">
        <v>1696</v>
      </c>
      <c r="BX2295" s="1">
        <v>70</v>
      </c>
      <c r="BY2295" s="1">
        <v>70</v>
      </c>
      <c r="BZ2295" s="1">
        <v>128</v>
      </c>
      <c r="CB2295" s="1" t="str">
        <f t="shared" ref="CB2295:CC2295" si="1758">""</f>
        <v/>
      </c>
      <c r="CC2295" s="1" t="str">
        <f t="shared" si="1758"/>
        <v/>
      </c>
      <c r="CG2295" s="1" t="s">
        <v>1004</v>
      </c>
      <c r="CH2295" s="1" t="s">
        <v>219</v>
      </c>
      <c r="CI2295" s="1" t="s">
        <v>220</v>
      </c>
      <c r="CK2295" s="1" t="s">
        <v>972</v>
      </c>
      <c r="CL2295" s="1" t="s">
        <v>219</v>
      </c>
      <c r="CM2295" s="1" t="s">
        <v>220</v>
      </c>
      <c r="CN2295" s="1" t="s">
        <v>343</v>
      </c>
      <c r="CO2295" s="1" t="s">
        <v>461</v>
      </c>
      <c r="CP2295" s="1" t="s">
        <v>219</v>
      </c>
      <c r="CQ2295" s="1" t="s">
        <v>220</v>
      </c>
      <c r="CR2295" s="1" t="s">
        <v>210</v>
      </c>
      <c r="CS2295" s="1" t="s">
        <v>1598</v>
      </c>
      <c r="CT2295" s="1" t="s">
        <v>219</v>
      </c>
      <c r="CU2295" s="1" t="s">
        <v>220</v>
      </c>
      <c r="CV2295" s="1" t="s">
        <v>343</v>
      </c>
      <c r="CX2295" s="1" t="s">
        <v>224</v>
      </c>
      <c r="DB2295" s="1" t="s">
        <v>224</v>
      </c>
      <c r="DE2295" s="1" t="s">
        <v>317</v>
      </c>
      <c r="DF2295" s="1" t="s">
        <v>219</v>
      </c>
      <c r="DJ2295" s="1" t="s">
        <v>224</v>
      </c>
      <c r="DS2295" s="1" t="s">
        <v>230</v>
      </c>
      <c r="DW2295" s="1" t="s">
        <v>230</v>
      </c>
      <c r="EA2295" s="1" t="s">
        <v>230</v>
      </c>
      <c r="EE2295" s="1" t="s">
        <v>230</v>
      </c>
      <c r="EI2295" s="1" t="s">
        <v>230</v>
      </c>
      <c r="EL2295" s="1" t="s">
        <v>605</v>
      </c>
      <c r="EM2295" s="1" t="s">
        <v>730</v>
      </c>
      <c r="EN2295" s="1" t="s">
        <v>731</v>
      </c>
      <c r="EO2295" s="1" t="s">
        <v>234</v>
      </c>
      <c r="EP2295" s="1" t="s">
        <v>20205</v>
      </c>
      <c r="EQ2295" s="1" t="s">
        <v>350</v>
      </c>
      <c r="ER2295" s="1" t="s">
        <v>351</v>
      </c>
      <c r="ES2295" s="1" t="s">
        <v>824</v>
      </c>
      <c r="EV2295" s="1" t="s">
        <v>324</v>
      </c>
      <c r="EW2295" s="1" t="s">
        <v>4815</v>
      </c>
      <c r="EZ2295" s="1" t="s">
        <v>287</v>
      </c>
      <c r="FD2295" s="1" t="s">
        <v>1112</v>
      </c>
      <c r="FE2295" s="1" t="s">
        <v>247</v>
      </c>
      <c r="FF2295" s="1" t="s">
        <v>248</v>
      </c>
      <c r="FH2295" s="1" t="s">
        <v>249</v>
      </c>
      <c r="FL2295" s="1" t="s">
        <v>328</v>
      </c>
      <c r="FM2295" s="1" t="s">
        <v>252</v>
      </c>
      <c r="FN2295" s="1" t="s">
        <v>213</v>
      </c>
      <c r="FO2295" s="1" t="s">
        <v>213</v>
      </c>
      <c r="FQ2295" s="1" t="s">
        <v>1599</v>
      </c>
      <c r="FR2295" s="1" t="s">
        <v>210</v>
      </c>
      <c r="FS2295" s="1" t="s">
        <v>20206</v>
      </c>
      <c r="FT2295" s="1" t="s">
        <v>1139</v>
      </c>
      <c r="FU2295" s="1" t="s">
        <v>204</v>
      </c>
      <c r="FW2295" s="1" t="s">
        <v>2006</v>
      </c>
      <c r="FX2295" s="1">
        <v>4694</v>
      </c>
      <c r="FY2295" s="1" t="s">
        <v>4745</v>
      </c>
      <c r="FZ2295" s="1" t="s">
        <v>20207</v>
      </c>
      <c r="GA2295" s="1">
        <v>34563</v>
      </c>
      <c r="GB2295" s="1" t="s">
        <v>20208</v>
      </c>
      <c r="GC2295" s="1">
        <v>41424</v>
      </c>
      <c r="GE2295" s="1" t="s">
        <v>658</v>
      </c>
      <c r="GI2295" s="1" t="s">
        <v>213</v>
      </c>
      <c r="GJ2295" s="1" t="s">
        <v>260</v>
      </c>
      <c r="GK2295" s="1" t="s">
        <v>210</v>
      </c>
      <c r="GL2295" s="2">
        <v>42067</v>
      </c>
      <c r="GM2295" s="1" t="s">
        <v>20209</v>
      </c>
    </row>
    <row r="2296" spans="1:195">
      <c r="A2296" s="1">
        <v>162000</v>
      </c>
      <c r="B2296" s="1" t="s">
        <v>195</v>
      </c>
      <c r="C2296" s="1" t="str">
        <f>"08813876"</f>
        <v>08813876</v>
      </c>
      <c r="D2296" s="1" t="s">
        <v>196</v>
      </c>
      <c r="F2296" s="1" t="str">
        <f>"480"</f>
        <v>480</v>
      </c>
      <c r="G2296" s="2">
        <v>42015</v>
      </c>
      <c r="H2296" s="1">
        <v>159900</v>
      </c>
      <c r="I2296" s="1">
        <v>159900</v>
      </c>
      <c r="J2296" s="1">
        <v>162000</v>
      </c>
      <c r="K2296" s="2">
        <v>42014</v>
      </c>
      <c r="L2296" s="1">
        <v>10</v>
      </c>
      <c r="M2296" s="2">
        <v>42023</v>
      </c>
      <c r="N2296" s="1">
        <v>10</v>
      </c>
      <c r="O2296" s="2">
        <v>42023</v>
      </c>
      <c r="P2296" s="1">
        <v>24587</v>
      </c>
      <c r="Q2296" s="1" t="s">
        <v>197</v>
      </c>
      <c r="R2296" s="2">
        <v>42066</v>
      </c>
      <c r="S2296" s="1">
        <v>229714</v>
      </c>
      <c r="U2296" s="1">
        <v>400</v>
      </c>
      <c r="V2296" s="1" t="s">
        <v>20210</v>
      </c>
      <c r="X2296" s="1">
        <v>210</v>
      </c>
      <c r="Y2296" s="1">
        <v>52</v>
      </c>
      <c r="Z2296" s="1" t="s">
        <v>200</v>
      </c>
      <c r="AA2296" s="1" t="s">
        <v>3145</v>
      </c>
      <c r="AB2296" s="1">
        <v>60480</v>
      </c>
      <c r="AE2296" s="1" t="s">
        <v>20211</v>
      </c>
      <c r="AF2296" s="1">
        <v>2005</v>
      </c>
      <c r="AG2296" s="1" t="s">
        <v>204</v>
      </c>
      <c r="AH2296" s="1" t="s">
        <v>3147</v>
      </c>
      <c r="AI2296" s="1" t="s">
        <v>310</v>
      </c>
      <c r="AJ2296" s="1" t="s">
        <v>702</v>
      </c>
      <c r="AL2296" s="1">
        <v>5</v>
      </c>
      <c r="AM2296" s="1">
        <v>2</v>
      </c>
      <c r="AN2296" s="1">
        <v>2</v>
      </c>
      <c r="AO2296" s="1">
        <v>0</v>
      </c>
      <c r="AP2296" s="1" t="s">
        <v>209</v>
      </c>
      <c r="AQ2296" s="1">
        <v>0</v>
      </c>
      <c r="AR2296" s="1" t="s">
        <v>210</v>
      </c>
      <c r="AT2296" s="1" t="s">
        <v>211</v>
      </c>
      <c r="AU2296" s="1">
        <v>2</v>
      </c>
      <c r="AW2296" s="1" t="s">
        <v>204</v>
      </c>
      <c r="AX2296" s="1" t="s">
        <v>212</v>
      </c>
      <c r="AZ2296" s="1">
        <v>1952.85</v>
      </c>
      <c r="BA2296" s="1">
        <v>2013</v>
      </c>
      <c r="BB2296" s="1" t="s">
        <v>405</v>
      </c>
      <c r="BC2296" s="1">
        <v>0</v>
      </c>
      <c r="BE2296" s="1">
        <v>1578</v>
      </c>
      <c r="BF2296" s="1">
        <v>2</v>
      </c>
      <c r="BG2296" s="1">
        <v>0</v>
      </c>
      <c r="BL2296" s="1">
        <v>339</v>
      </c>
      <c r="BM2296" s="1" t="s">
        <v>204</v>
      </c>
      <c r="BN2296" s="1" t="s">
        <v>213</v>
      </c>
      <c r="BO2296" s="1">
        <v>25</v>
      </c>
      <c r="BP2296" s="1" t="s">
        <v>204</v>
      </c>
      <c r="BR2296" s="1" t="str">
        <f>"18333300031020"</f>
        <v>18333300031020</v>
      </c>
      <c r="BT2296" s="1" t="s">
        <v>20212</v>
      </c>
      <c r="BU2296" s="1" t="s">
        <v>9154</v>
      </c>
      <c r="BV2296" s="1" t="s">
        <v>9154</v>
      </c>
      <c r="BW2296" s="1" t="s">
        <v>20213</v>
      </c>
      <c r="BX2296" s="1">
        <v>108</v>
      </c>
      <c r="BY2296" s="1">
        <v>108</v>
      </c>
      <c r="BZ2296" s="1">
        <v>217</v>
      </c>
      <c r="CB2296" s="1" t="str">
        <f t="shared" ref="CB2296:CC2296" si="1759">"0"</f>
        <v>0</v>
      </c>
      <c r="CC2296" s="1" t="str">
        <f t="shared" si="1759"/>
        <v>0</v>
      </c>
      <c r="CD2296" s="1">
        <v>12</v>
      </c>
      <c r="CE2296" s="1">
        <v>10</v>
      </c>
      <c r="CG2296" s="1" t="s">
        <v>2402</v>
      </c>
      <c r="CH2296" s="1" t="s">
        <v>277</v>
      </c>
      <c r="CI2296" s="1" t="s">
        <v>220</v>
      </c>
      <c r="CJ2296" s="1" t="s">
        <v>463</v>
      </c>
      <c r="CK2296" s="1" t="s">
        <v>581</v>
      </c>
      <c r="CL2296" s="1" t="s">
        <v>277</v>
      </c>
      <c r="CM2296" s="1" t="s">
        <v>220</v>
      </c>
      <c r="CN2296" s="1" t="s">
        <v>463</v>
      </c>
      <c r="CO2296" s="1" t="s">
        <v>629</v>
      </c>
      <c r="CP2296" s="1" t="s">
        <v>277</v>
      </c>
      <c r="CQ2296" s="1" t="s">
        <v>220</v>
      </c>
      <c r="CR2296" s="1" t="s">
        <v>210</v>
      </c>
      <c r="CS2296" s="1" t="s">
        <v>539</v>
      </c>
      <c r="CT2296" s="1" t="s">
        <v>277</v>
      </c>
      <c r="CU2296" s="1" t="s">
        <v>220</v>
      </c>
      <c r="CV2296" s="1" t="s">
        <v>343</v>
      </c>
      <c r="CX2296" s="1" t="s">
        <v>224</v>
      </c>
      <c r="DB2296" s="1" t="s">
        <v>224</v>
      </c>
      <c r="DE2296" s="1" t="s">
        <v>757</v>
      </c>
      <c r="DF2296" s="1" t="s">
        <v>277</v>
      </c>
      <c r="DG2296" s="1" t="s">
        <v>438</v>
      </c>
      <c r="DH2296" s="1" t="s">
        <v>210</v>
      </c>
      <c r="DJ2296" s="1" t="s">
        <v>224</v>
      </c>
      <c r="DM2296" s="1" t="s">
        <v>709</v>
      </c>
      <c r="DR2296" s="1" t="s">
        <v>2451</v>
      </c>
      <c r="DS2296" s="1" t="s">
        <v>277</v>
      </c>
      <c r="DT2296" s="1" t="s">
        <v>438</v>
      </c>
      <c r="DU2296" s="1" t="s">
        <v>463</v>
      </c>
      <c r="DW2296" s="1" t="s">
        <v>230</v>
      </c>
      <c r="EA2296" s="1" t="s">
        <v>230</v>
      </c>
      <c r="EE2296" s="1" t="s">
        <v>230</v>
      </c>
      <c r="EI2296" s="1" t="s">
        <v>230</v>
      </c>
      <c r="EL2296" s="1" t="s">
        <v>491</v>
      </c>
      <c r="EM2296" s="1" t="s">
        <v>232</v>
      </c>
      <c r="EN2296" s="1" t="s">
        <v>282</v>
      </c>
      <c r="EO2296" s="1" t="s">
        <v>234</v>
      </c>
      <c r="EP2296" s="1" t="s">
        <v>10476</v>
      </c>
      <c r="EQ2296" s="1" t="s">
        <v>236</v>
      </c>
      <c r="ER2296" s="1" t="s">
        <v>210</v>
      </c>
      <c r="ES2296" s="1" t="s">
        <v>4840</v>
      </c>
      <c r="ET2296" s="1" t="s">
        <v>238</v>
      </c>
      <c r="EV2296" s="1" t="s">
        <v>240</v>
      </c>
      <c r="EW2296" s="1" t="s">
        <v>20214</v>
      </c>
      <c r="EZ2296" s="1" t="s">
        <v>709</v>
      </c>
      <c r="FB2296" s="1" t="s">
        <v>846</v>
      </c>
      <c r="FD2296" s="1" t="s">
        <v>290</v>
      </c>
      <c r="FE2296" s="1" t="s">
        <v>247</v>
      </c>
      <c r="FF2296" s="1" t="s">
        <v>248</v>
      </c>
      <c r="FH2296" s="1" t="s">
        <v>249</v>
      </c>
      <c r="FI2296" s="1" t="s">
        <v>1114</v>
      </c>
      <c r="FL2296" s="1" t="s">
        <v>358</v>
      </c>
      <c r="FM2296" s="1" t="s">
        <v>252</v>
      </c>
      <c r="FN2296" s="1" t="s">
        <v>213</v>
      </c>
      <c r="FO2296" s="1" t="s">
        <v>213</v>
      </c>
      <c r="FQ2296" s="1" t="s">
        <v>8274</v>
      </c>
      <c r="FR2296" s="1" t="s">
        <v>210</v>
      </c>
      <c r="FS2296" s="1" t="s">
        <v>20215</v>
      </c>
      <c r="FT2296" s="1" t="s">
        <v>362</v>
      </c>
      <c r="FU2296" s="1" t="s">
        <v>204</v>
      </c>
      <c r="FW2296" s="1" t="s">
        <v>11360</v>
      </c>
      <c r="FX2296" s="1">
        <v>25089</v>
      </c>
      <c r="FY2296" s="1" t="s">
        <v>11361</v>
      </c>
      <c r="FZ2296" s="1" t="s">
        <v>20216</v>
      </c>
      <c r="GA2296" s="1">
        <v>216471</v>
      </c>
      <c r="GB2296" s="1" t="s">
        <v>20217</v>
      </c>
      <c r="GE2296" s="1" t="s">
        <v>1256</v>
      </c>
      <c r="GI2296" s="1" t="s">
        <v>213</v>
      </c>
      <c r="GJ2296" s="1" t="s">
        <v>300</v>
      </c>
      <c r="GK2296" s="1" t="s">
        <v>210</v>
      </c>
      <c r="GL2296" s="2">
        <v>42066</v>
      </c>
      <c r="GM2296" s="1" t="s">
        <v>20218</v>
      </c>
    </row>
    <row r="2297" spans="1:195">
      <c r="A2297" s="1">
        <v>170500</v>
      </c>
      <c r="B2297" s="1" t="s">
        <v>195</v>
      </c>
      <c r="C2297" s="1" t="str">
        <f>"08814555"</f>
        <v>08814555</v>
      </c>
      <c r="D2297" s="1" t="s">
        <v>196</v>
      </c>
      <c r="F2297" s="1" t="str">
        <f>"558"</f>
        <v>558</v>
      </c>
      <c r="G2297" s="2">
        <v>42016</v>
      </c>
      <c r="H2297" s="1">
        <v>174900</v>
      </c>
      <c r="I2297" s="1">
        <v>174900</v>
      </c>
      <c r="J2297" s="1">
        <v>170500</v>
      </c>
      <c r="K2297" s="2">
        <v>42016</v>
      </c>
      <c r="L2297" s="1">
        <v>16</v>
      </c>
      <c r="M2297" s="2">
        <v>42031</v>
      </c>
      <c r="N2297" s="1">
        <v>16</v>
      </c>
      <c r="O2297" s="2">
        <v>42031</v>
      </c>
      <c r="P2297" s="1">
        <v>22375</v>
      </c>
      <c r="Q2297" s="1" t="s">
        <v>197</v>
      </c>
      <c r="R2297" s="2">
        <v>42118</v>
      </c>
      <c r="S2297" s="1">
        <v>225063</v>
      </c>
      <c r="U2297" s="1" t="s">
        <v>20219</v>
      </c>
      <c r="V2297" s="1" t="s">
        <v>5770</v>
      </c>
      <c r="W2297" s="1" t="s">
        <v>1056</v>
      </c>
      <c r="X2297" s="1">
        <v>2</v>
      </c>
      <c r="Y2297" s="1">
        <v>4</v>
      </c>
      <c r="Z2297" s="1" t="s">
        <v>249</v>
      </c>
      <c r="AA2297" s="1" t="s">
        <v>2490</v>
      </c>
      <c r="AB2297" s="1">
        <v>60558</v>
      </c>
      <c r="AD2297" s="1" t="s">
        <v>20220</v>
      </c>
      <c r="AE2297" s="1" t="s">
        <v>20221</v>
      </c>
      <c r="AF2297" s="1">
        <v>1978</v>
      </c>
      <c r="AG2297" s="1" t="s">
        <v>204</v>
      </c>
      <c r="AH2297" s="1" t="s">
        <v>2493</v>
      </c>
      <c r="AI2297" s="1" t="s">
        <v>310</v>
      </c>
      <c r="AJ2297" s="1" t="s">
        <v>702</v>
      </c>
      <c r="AL2297" s="1">
        <v>5</v>
      </c>
      <c r="AM2297" s="1">
        <v>2</v>
      </c>
      <c r="AN2297" s="1">
        <v>2</v>
      </c>
      <c r="AO2297" s="1">
        <v>0</v>
      </c>
      <c r="AP2297" s="1" t="s">
        <v>209</v>
      </c>
      <c r="AR2297" s="1" t="s">
        <v>210</v>
      </c>
      <c r="AS2297" s="1" t="s">
        <v>204</v>
      </c>
      <c r="AT2297" s="1" t="s">
        <v>211</v>
      </c>
      <c r="AU2297" s="1">
        <v>1</v>
      </c>
      <c r="AW2297" s="1" t="s">
        <v>204</v>
      </c>
      <c r="AX2297" s="1" t="s">
        <v>212</v>
      </c>
      <c r="AZ2297" s="1">
        <v>3134.7</v>
      </c>
      <c r="BA2297" s="1">
        <v>2013</v>
      </c>
      <c r="BB2297" s="1" t="s">
        <v>599</v>
      </c>
      <c r="BE2297" s="1">
        <v>0</v>
      </c>
      <c r="BF2297" s="1">
        <v>1</v>
      </c>
      <c r="BG2297" s="1">
        <v>30</v>
      </c>
      <c r="BJ2297" s="1">
        <v>100</v>
      </c>
      <c r="BL2297" s="1">
        <v>317</v>
      </c>
      <c r="BM2297" s="1" t="s">
        <v>204</v>
      </c>
      <c r="BN2297" s="1" t="s">
        <v>204</v>
      </c>
      <c r="BP2297" s="1" t="s">
        <v>204</v>
      </c>
      <c r="BR2297" s="1" t="str">
        <f>"18182010861006"</f>
        <v>18182010861006</v>
      </c>
      <c r="BT2297" s="1" t="s">
        <v>20222</v>
      </c>
      <c r="BU2297" s="1" t="s">
        <v>2495</v>
      </c>
      <c r="BV2297" s="1" t="s">
        <v>2496</v>
      </c>
      <c r="BW2297" s="1" t="s">
        <v>706</v>
      </c>
      <c r="BX2297" s="1">
        <v>106</v>
      </c>
      <c r="BY2297" s="1">
        <v>106</v>
      </c>
      <c r="BZ2297" s="1">
        <v>204</v>
      </c>
      <c r="CB2297" s="1" t="str">
        <f t="shared" ref="CB2297:CC2297" si="1760">""</f>
        <v/>
      </c>
      <c r="CC2297" s="1" t="str">
        <f t="shared" si="1760"/>
        <v/>
      </c>
      <c r="CG2297" s="1" t="s">
        <v>908</v>
      </c>
      <c r="CH2297" s="1" t="s">
        <v>219</v>
      </c>
      <c r="CI2297" s="1" t="s">
        <v>220</v>
      </c>
      <c r="CJ2297" s="1" t="s">
        <v>463</v>
      </c>
      <c r="CK2297" s="1" t="s">
        <v>729</v>
      </c>
      <c r="CL2297" s="1" t="s">
        <v>219</v>
      </c>
      <c r="CM2297" s="1" t="s">
        <v>220</v>
      </c>
      <c r="CN2297" s="1" t="s">
        <v>2449</v>
      </c>
      <c r="CO2297" s="1" t="s">
        <v>1297</v>
      </c>
      <c r="CP2297" s="1" t="s">
        <v>219</v>
      </c>
      <c r="CQ2297" s="1" t="s">
        <v>220</v>
      </c>
      <c r="CR2297" s="1" t="s">
        <v>463</v>
      </c>
      <c r="CS2297" s="1" t="s">
        <v>461</v>
      </c>
      <c r="CT2297" s="1" t="s">
        <v>219</v>
      </c>
      <c r="CU2297" s="1" t="s">
        <v>220</v>
      </c>
      <c r="CV2297" s="1" t="s">
        <v>2449</v>
      </c>
      <c r="CX2297" s="1" t="s">
        <v>224</v>
      </c>
      <c r="DB2297" s="1" t="s">
        <v>224</v>
      </c>
      <c r="DE2297" s="1" t="s">
        <v>379</v>
      </c>
      <c r="DF2297" s="1" t="s">
        <v>219</v>
      </c>
      <c r="DG2297" s="1" t="s">
        <v>226</v>
      </c>
      <c r="DH2297" s="1" t="s">
        <v>210</v>
      </c>
      <c r="DJ2297" s="1" t="s">
        <v>224</v>
      </c>
      <c r="DM2297" s="1" t="s">
        <v>709</v>
      </c>
      <c r="DR2297" s="1" t="s">
        <v>1774</v>
      </c>
      <c r="DS2297" s="1" t="s">
        <v>219</v>
      </c>
      <c r="DT2297" s="1" t="s">
        <v>226</v>
      </c>
      <c r="DU2297" s="1" t="s">
        <v>210</v>
      </c>
      <c r="DW2297" s="1" t="s">
        <v>230</v>
      </c>
      <c r="EA2297" s="1" t="s">
        <v>230</v>
      </c>
      <c r="EE2297" s="1" t="s">
        <v>230</v>
      </c>
      <c r="EI2297" s="1" t="s">
        <v>230</v>
      </c>
      <c r="EL2297" s="1" t="s">
        <v>231</v>
      </c>
      <c r="EM2297" s="1" t="s">
        <v>232</v>
      </c>
      <c r="EN2297" s="1" t="s">
        <v>282</v>
      </c>
      <c r="EO2297" s="1" t="s">
        <v>234</v>
      </c>
      <c r="EP2297" s="1" t="s">
        <v>20223</v>
      </c>
      <c r="EQ2297" s="1" t="s">
        <v>236</v>
      </c>
      <c r="ER2297" s="1" t="s">
        <v>210</v>
      </c>
      <c r="ET2297" s="1" t="s">
        <v>323</v>
      </c>
      <c r="EV2297" s="1" t="s">
        <v>352</v>
      </c>
      <c r="EW2297" s="1" t="s">
        <v>937</v>
      </c>
      <c r="EY2297" s="1" t="s">
        <v>242</v>
      </c>
      <c r="EZ2297" s="1" t="s">
        <v>709</v>
      </c>
      <c r="FA2297" s="1" t="s">
        <v>20224</v>
      </c>
      <c r="FB2297" s="1" t="s">
        <v>289</v>
      </c>
      <c r="FC2297" s="1" t="s">
        <v>548</v>
      </c>
      <c r="FD2297" s="1" t="s">
        <v>1112</v>
      </c>
      <c r="FE2297" s="1" t="s">
        <v>651</v>
      </c>
      <c r="FF2297" s="1" t="s">
        <v>248</v>
      </c>
      <c r="FH2297" s="1" t="s">
        <v>249</v>
      </c>
      <c r="FI2297" s="1" t="s">
        <v>473</v>
      </c>
      <c r="FJ2297" s="1" t="s">
        <v>518</v>
      </c>
      <c r="FL2297" s="1" t="s">
        <v>358</v>
      </c>
      <c r="FM2297" s="1" t="s">
        <v>252</v>
      </c>
      <c r="FN2297" s="1" t="s">
        <v>213</v>
      </c>
      <c r="FO2297" s="1" t="s">
        <v>213</v>
      </c>
      <c r="FQ2297" s="1" t="s">
        <v>1286</v>
      </c>
      <c r="FR2297" s="1" t="s">
        <v>210</v>
      </c>
      <c r="FS2297" s="1" t="s">
        <v>2971</v>
      </c>
      <c r="FT2297" s="1" t="s">
        <v>362</v>
      </c>
      <c r="FU2297" s="1" t="s">
        <v>204</v>
      </c>
      <c r="FW2297" s="1" t="s">
        <v>1288</v>
      </c>
      <c r="FX2297" s="1">
        <v>22097</v>
      </c>
      <c r="FY2297" s="1" t="s">
        <v>1289</v>
      </c>
      <c r="FZ2297" s="1" t="s">
        <v>1290</v>
      </c>
      <c r="GA2297" s="1">
        <v>223617</v>
      </c>
      <c r="GB2297" s="1" t="s">
        <v>1291</v>
      </c>
      <c r="GC2297" s="1">
        <v>252272</v>
      </c>
      <c r="GE2297" s="1" t="s">
        <v>210</v>
      </c>
      <c r="GI2297" s="1" t="s">
        <v>213</v>
      </c>
      <c r="GJ2297" s="1" t="s">
        <v>260</v>
      </c>
      <c r="GK2297" s="1" t="s">
        <v>210</v>
      </c>
      <c r="GL2297" s="2">
        <v>42118</v>
      </c>
    </row>
    <row r="2298" spans="1:195">
      <c r="A2298" s="1">
        <v>30604</v>
      </c>
      <c r="B2298" s="1" t="s">
        <v>195</v>
      </c>
      <c r="C2298" s="1" t="str">
        <f>"08812982"</f>
        <v>08812982</v>
      </c>
      <c r="D2298" s="1" t="s">
        <v>196</v>
      </c>
      <c r="F2298" s="1" t="str">
        <f>"123"</f>
        <v>123</v>
      </c>
      <c r="G2298" s="2">
        <v>42013</v>
      </c>
      <c r="H2298" s="1">
        <v>31800</v>
      </c>
      <c r="I2298" s="1">
        <v>31800</v>
      </c>
      <c r="J2298" s="1">
        <v>30604</v>
      </c>
      <c r="K2298" s="2">
        <v>42013</v>
      </c>
      <c r="L2298" s="1">
        <v>14</v>
      </c>
      <c r="M2298" s="2">
        <v>42026</v>
      </c>
      <c r="N2298" s="1">
        <v>14</v>
      </c>
      <c r="O2298" s="2">
        <v>42026</v>
      </c>
      <c r="P2298" s="1" t="s">
        <v>1039</v>
      </c>
      <c r="Q2298" s="1" t="s">
        <v>302</v>
      </c>
      <c r="R2298" s="2">
        <v>42075</v>
      </c>
      <c r="S2298" s="1">
        <v>99999</v>
      </c>
      <c r="U2298" s="1">
        <v>1045</v>
      </c>
      <c r="V2298" s="1" t="s">
        <v>20225</v>
      </c>
      <c r="W2298" s="1" t="s">
        <v>264</v>
      </c>
      <c r="X2298" s="1">
        <v>2</v>
      </c>
      <c r="Y2298" s="1">
        <v>4</v>
      </c>
      <c r="Z2298" s="1" t="s">
        <v>249</v>
      </c>
      <c r="AA2298" s="1" t="s">
        <v>1173</v>
      </c>
      <c r="AB2298" s="1">
        <v>60123</v>
      </c>
      <c r="AE2298" s="1" t="s">
        <v>20226</v>
      </c>
      <c r="AF2298" s="1">
        <v>1970</v>
      </c>
      <c r="AG2298" s="1" t="s">
        <v>213</v>
      </c>
      <c r="AH2298" s="1" t="s">
        <v>1175</v>
      </c>
      <c r="AI2298" s="1" t="s">
        <v>665</v>
      </c>
      <c r="AJ2298" s="1" t="s">
        <v>1175</v>
      </c>
      <c r="AL2298" s="1">
        <v>4</v>
      </c>
      <c r="AM2298" s="1">
        <v>2</v>
      </c>
      <c r="AN2298" s="1">
        <v>1</v>
      </c>
      <c r="AO2298" s="1">
        <v>0</v>
      </c>
      <c r="AP2298" s="1" t="s">
        <v>210</v>
      </c>
      <c r="AR2298" s="1" t="s">
        <v>210</v>
      </c>
      <c r="AT2298" s="1" t="s">
        <v>210</v>
      </c>
      <c r="AW2298" s="1" t="s">
        <v>204</v>
      </c>
      <c r="AX2298" s="1" t="s">
        <v>212</v>
      </c>
      <c r="AZ2298" s="1">
        <v>1098.56</v>
      </c>
      <c r="BA2298" s="1">
        <v>2013</v>
      </c>
      <c r="BE2298" s="1">
        <v>975</v>
      </c>
      <c r="BF2298" s="1">
        <v>1</v>
      </c>
      <c r="BG2298" s="1">
        <v>0</v>
      </c>
      <c r="BL2298" s="1">
        <v>350</v>
      </c>
      <c r="BM2298" s="1" t="s">
        <v>413</v>
      </c>
      <c r="BN2298" s="1" t="s">
        <v>204</v>
      </c>
      <c r="BP2298" s="1" t="s">
        <v>204</v>
      </c>
      <c r="BR2298" s="1" t="str">
        <f>"0603454023"</f>
        <v>0603454023</v>
      </c>
      <c r="BT2298" s="1" t="s">
        <v>3770</v>
      </c>
      <c r="BX2298" s="1">
        <v>46</v>
      </c>
      <c r="BY2298" s="1">
        <v>46</v>
      </c>
      <c r="BZ2298" s="1">
        <v>46</v>
      </c>
      <c r="CB2298" s="1" t="str">
        <f t="shared" ref="CB2298:CC2298" si="1761">""</f>
        <v/>
      </c>
      <c r="CC2298" s="1" t="str">
        <f t="shared" si="1761"/>
        <v/>
      </c>
      <c r="CG2298" s="1" t="s">
        <v>581</v>
      </c>
      <c r="CH2298" s="1" t="s">
        <v>219</v>
      </c>
      <c r="CJ2298" s="1" t="s">
        <v>343</v>
      </c>
      <c r="CK2298" s="1" t="s">
        <v>378</v>
      </c>
      <c r="CL2298" s="1" t="s">
        <v>219</v>
      </c>
      <c r="CP2298" s="1" t="s">
        <v>224</v>
      </c>
      <c r="CS2298" s="1" t="s">
        <v>1046</v>
      </c>
      <c r="CT2298" s="1" t="s">
        <v>219</v>
      </c>
      <c r="CX2298" s="1" t="s">
        <v>224</v>
      </c>
      <c r="DB2298" s="1" t="s">
        <v>224</v>
      </c>
      <c r="DE2298" s="1" t="s">
        <v>378</v>
      </c>
      <c r="DF2298" s="1" t="s">
        <v>219</v>
      </c>
      <c r="DJ2298" s="1" t="s">
        <v>224</v>
      </c>
      <c r="DS2298" s="1" t="s">
        <v>230</v>
      </c>
      <c r="DW2298" s="1" t="s">
        <v>230</v>
      </c>
      <c r="EA2298" s="1" t="s">
        <v>230</v>
      </c>
      <c r="EE2298" s="1" t="s">
        <v>230</v>
      </c>
      <c r="EI2298" s="1" t="s">
        <v>230</v>
      </c>
      <c r="EL2298" s="1" t="s">
        <v>605</v>
      </c>
      <c r="EM2298" s="1" t="s">
        <v>319</v>
      </c>
      <c r="EN2298" s="1" t="s">
        <v>731</v>
      </c>
      <c r="EO2298" s="1" t="s">
        <v>234</v>
      </c>
      <c r="ER2298" s="1" t="s">
        <v>210</v>
      </c>
      <c r="EW2298" s="1" t="s">
        <v>347</v>
      </c>
      <c r="EZ2298" s="1" t="s">
        <v>287</v>
      </c>
      <c r="FD2298" s="1" t="s">
        <v>1112</v>
      </c>
      <c r="FE2298" s="1" t="s">
        <v>247</v>
      </c>
      <c r="FF2298" s="1" t="s">
        <v>248</v>
      </c>
      <c r="FH2298" s="1" t="s">
        <v>249</v>
      </c>
      <c r="FJ2298" s="1" t="s">
        <v>1472</v>
      </c>
      <c r="FL2298" s="1" t="s">
        <v>414</v>
      </c>
      <c r="FM2298" s="1" t="s">
        <v>252</v>
      </c>
      <c r="FN2298" s="1" t="s">
        <v>213</v>
      </c>
      <c r="FO2298" s="1" t="s">
        <v>213</v>
      </c>
      <c r="FQ2298" s="1" t="s">
        <v>5727</v>
      </c>
      <c r="FR2298" s="1" t="s">
        <v>210</v>
      </c>
      <c r="FS2298" s="1" t="s">
        <v>3772</v>
      </c>
      <c r="FT2298" s="1" t="s">
        <v>8607</v>
      </c>
      <c r="FU2298" s="1" t="s">
        <v>204</v>
      </c>
      <c r="FW2298" s="1" t="s">
        <v>3774</v>
      </c>
      <c r="FX2298" s="1">
        <v>1984</v>
      </c>
      <c r="FY2298" s="1" t="s">
        <v>3775</v>
      </c>
      <c r="FZ2298" s="1" t="s">
        <v>3776</v>
      </c>
      <c r="GA2298" s="1">
        <v>922950</v>
      </c>
      <c r="GE2298" s="1" t="s">
        <v>210</v>
      </c>
      <c r="GI2298" s="1" t="s">
        <v>204</v>
      </c>
      <c r="GJ2298" s="1" t="s">
        <v>260</v>
      </c>
      <c r="GK2298" s="1" t="s">
        <v>210</v>
      </c>
      <c r="GL2298" s="2">
        <v>42076</v>
      </c>
      <c r="GM2298" s="1" t="s">
        <v>6038</v>
      </c>
    </row>
    <row r="2299" spans="1:195">
      <c r="A2299" s="1">
        <v>108000</v>
      </c>
      <c r="B2299" s="1" t="s">
        <v>195</v>
      </c>
      <c r="C2299" s="1" t="str">
        <f>"08817086"</f>
        <v>08817086</v>
      </c>
      <c r="D2299" s="1" t="s">
        <v>196</v>
      </c>
      <c r="F2299" s="1" t="str">
        <f t="shared" ref="F2299:F2300" si="1762">"110"</f>
        <v>110</v>
      </c>
      <c r="G2299" s="2">
        <v>42019</v>
      </c>
      <c r="H2299" s="1">
        <v>117900</v>
      </c>
      <c r="I2299" s="1">
        <v>107900</v>
      </c>
      <c r="J2299" s="1">
        <v>108000</v>
      </c>
      <c r="K2299" s="2">
        <v>42018</v>
      </c>
      <c r="L2299" s="1">
        <v>36</v>
      </c>
      <c r="M2299" s="2">
        <v>42053</v>
      </c>
      <c r="N2299" s="1">
        <v>36</v>
      </c>
      <c r="O2299" s="2">
        <v>42053</v>
      </c>
      <c r="P2299" s="1">
        <v>7450</v>
      </c>
      <c r="Q2299" s="1" t="s">
        <v>302</v>
      </c>
      <c r="R2299" s="2">
        <v>42103</v>
      </c>
      <c r="S2299" s="1">
        <v>8423</v>
      </c>
      <c r="U2299" s="1">
        <v>2079</v>
      </c>
      <c r="V2299" s="1" t="s">
        <v>15377</v>
      </c>
      <c r="W2299" s="1" t="s">
        <v>504</v>
      </c>
      <c r="Y2299" s="1">
        <v>4</v>
      </c>
      <c r="Z2299" s="1" t="s">
        <v>370</v>
      </c>
      <c r="AA2299" s="1" t="s">
        <v>803</v>
      </c>
      <c r="AB2299" s="1">
        <v>60110</v>
      </c>
      <c r="AD2299" s="1" t="s">
        <v>9211</v>
      </c>
      <c r="AE2299" s="1" t="s">
        <v>20227</v>
      </c>
      <c r="AF2299" s="1">
        <v>1997</v>
      </c>
      <c r="AG2299" s="1" t="s">
        <v>204</v>
      </c>
      <c r="AH2299" s="1" t="s">
        <v>2557</v>
      </c>
      <c r="AI2299" s="1" t="s">
        <v>665</v>
      </c>
      <c r="AJ2299" s="1" t="s">
        <v>805</v>
      </c>
      <c r="AK2299" s="1" t="s">
        <v>16240</v>
      </c>
      <c r="AL2299" s="1">
        <v>6</v>
      </c>
      <c r="AM2299" s="1">
        <v>2</v>
      </c>
      <c r="AN2299" s="1">
        <v>1</v>
      </c>
      <c r="AO2299" s="1">
        <v>1</v>
      </c>
      <c r="AP2299" s="1" t="s">
        <v>210</v>
      </c>
      <c r="AR2299" s="1" t="s">
        <v>209</v>
      </c>
      <c r="AS2299" s="1" t="s">
        <v>204</v>
      </c>
      <c r="AT2299" s="1" t="s">
        <v>211</v>
      </c>
      <c r="AU2299" s="1">
        <v>1</v>
      </c>
      <c r="AW2299" s="1" t="s">
        <v>204</v>
      </c>
      <c r="AX2299" s="1" t="s">
        <v>579</v>
      </c>
      <c r="AZ2299" s="1">
        <v>2598</v>
      </c>
      <c r="BA2299" s="1">
        <v>2013</v>
      </c>
      <c r="BB2299" s="1" t="s">
        <v>210</v>
      </c>
      <c r="BE2299" s="1">
        <v>1007</v>
      </c>
      <c r="BF2299" s="1">
        <v>1</v>
      </c>
      <c r="BG2299" s="1">
        <v>0</v>
      </c>
      <c r="BL2299" s="1">
        <v>81</v>
      </c>
      <c r="BM2299" s="1" t="s">
        <v>413</v>
      </c>
      <c r="BN2299" s="1" t="s">
        <v>213</v>
      </c>
      <c r="BO2299" s="1">
        <v>0</v>
      </c>
      <c r="BP2299" s="1" t="s">
        <v>204</v>
      </c>
      <c r="BR2299" s="1" t="str">
        <f>"0318254059"</f>
        <v>0318254059</v>
      </c>
      <c r="BT2299" s="1" t="s">
        <v>20228</v>
      </c>
      <c r="BX2299" s="1">
        <v>300</v>
      </c>
      <c r="BY2299" s="1">
        <v>300</v>
      </c>
      <c r="BZ2299" s="1">
        <v>300</v>
      </c>
      <c r="CB2299" s="1" t="str">
        <f>"15"</f>
        <v>15</v>
      </c>
      <c r="CC2299" s="1" t="str">
        <f t="shared" ref="CC2299:CC2300" si="1763">"0"</f>
        <v>0</v>
      </c>
      <c r="CD2299" s="1">
        <v>37</v>
      </c>
      <c r="CE2299" s="1">
        <v>0</v>
      </c>
      <c r="CG2299" s="1" t="s">
        <v>669</v>
      </c>
      <c r="CH2299" s="1" t="s">
        <v>219</v>
      </c>
      <c r="CI2299" s="1" t="s">
        <v>220</v>
      </c>
      <c r="CJ2299" s="1" t="s">
        <v>252</v>
      </c>
      <c r="CK2299" s="1" t="s">
        <v>539</v>
      </c>
      <c r="CL2299" s="1" t="s">
        <v>219</v>
      </c>
      <c r="CM2299" s="1" t="s">
        <v>220</v>
      </c>
      <c r="CN2299" s="1" t="s">
        <v>252</v>
      </c>
      <c r="CO2299" s="1" t="s">
        <v>318</v>
      </c>
      <c r="CP2299" s="1" t="s">
        <v>219</v>
      </c>
      <c r="CQ2299" s="1" t="s">
        <v>220</v>
      </c>
      <c r="CR2299" s="1" t="s">
        <v>343</v>
      </c>
      <c r="CS2299" s="1" t="s">
        <v>318</v>
      </c>
      <c r="CT2299" s="1" t="s">
        <v>219</v>
      </c>
      <c r="CU2299" s="1" t="s">
        <v>220</v>
      </c>
      <c r="CV2299" s="1" t="s">
        <v>252</v>
      </c>
      <c r="CX2299" s="1" t="s">
        <v>224</v>
      </c>
      <c r="DB2299" s="1" t="s">
        <v>224</v>
      </c>
      <c r="DE2299" s="1" t="s">
        <v>1297</v>
      </c>
      <c r="DF2299" s="1" t="s">
        <v>219</v>
      </c>
      <c r="DG2299" s="1" t="s">
        <v>342</v>
      </c>
      <c r="DH2299" s="1" t="s">
        <v>252</v>
      </c>
      <c r="DI2299" s="1" t="s">
        <v>1723</v>
      </c>
      <c r="DJ2299" s="1" t="s">
        <v>43</v>
      </c>
      <c r="DK2299" s="1" t="s">
        <v>220</v>
      </c>
      <c r="DL2299" s="1" t="s">
        <v>252</v>
      </c>
      <c r="DS2299" s="1" t="s">
        <v>230</v>
      </c>
      <c r="DW2299" s="1" t="s">
        <v>230</v>
      </c>
      <c r="EA2299" s="1" t="s">
        <v>230</v>
      </c>
      <c r="EE2299" s="1" t="s">
        <v>230</v>
      </c>
      <c r="EI2299" s="1" t="s">
        <v>230</v>
      </c>
      <c r="EL2299" s="1" t="s">
        <v>670</v>
      </c>
      <c r="EM2299" s="1" t="s">
        <v>319</v>
      </c>
      <c r="EN2299" s="1" t="s">
        <v>282</v>
      </c>
      <c r="EO2299" s="1" t="s">
        <v>234</v>
      </c>
      <c r="ER2299" s="1" t="s">
        <v>544</v>
      </c>
      <c r="ES2299" s="1" t="s">
        <v>322</v>
      </c>
      <c r="EU2299" s="1" t="s">
        <v>1110</v>
      </c>
      <c r="EV2299" s="1" t="s">
        <v>240</v>
      </c>
      <c r="EW2299" s="1" t="s">
        <v>353</v>
      </c>
      <c r="EY2299" s="1" t="s">
        <v>242</v>
      </c>
      <c r="EZ2299" s="1" t="s">
        <v>287</v>
      </c>
      <c r="FB2299" s="1" t="s">
        <v>289</v>
      </c>
      <c r="FD2299" s="1" t="s">
        <v>246</v>
      </c>
      <c r="FE2299" s="1" t="s">
        <v>472</v>
      </c>
      <c r="FF2299" s="1" t="s">
        <v>248</v>
      </c>
      <c r="FH2299" s="1" t="s">
        <v>825</v>
      </c>
      <c r="FI2299" s="1" t="s">
        <v>473</v>
      </c>
      <c r="FL2299" s="1" t="s">
        <v>358</v>
      </c>
      <c r="FM2299" s="1" t="s">
        <v>252</v>
      </c>
      <c r="FN2299" s="1" t="s">
        <v>213</v>
      </c>
      <c r="FO2299" s="1" t="s">
        <v>213</v>
      </c>
      <c r="FQ2299" s="1" t="s">
        <v>2417</v>
      </c>
      <c r="FR2299" s="1" t="s">
        <v>210</v>
      </c>
      <c r="FS2299" s="1" t="s">
        <v>1429</v>
      </c>
      <c r="FT2299" s="1" t="s">
        <v>255</v>
      </c>
      <c r="FU2299" s="1" t="s">
        <v>204</v>
      </c>
      <c r="FW2299" s="1" t="s">
        <v>3353</v>
      </c>
      <c r="FX2299" s="1">
        <v>8658</v>
      </c>
      <c r="FY2299" s="1" t="s">
        <v>3354</v>
      </c>
      <c r="FZ2299" s="1" t="s">
        <v>3355</v>
      </c>
      <c r="GA2299" s="1">
        <v>84760</v>
      </c>
      <c r="GB2299" s="1" t="s">
        <v>3354</v>
      </c>
      <c r="GD2299" s="1" t="s">
        <v>3356</v>
      </c>
      <c r="GE2299" s="1" t="s">
        <v>480</v>
      </c>
      <c r="GI2299" s="1" t="s">
        <v>213</v>
      </c>
      <c r="GJ2299" s="1" t="s">
        <v>260</v>
      </c>
      <c r="GK2299" s="1" t="s">
        <v>210</v>
      </c>
      <c r="GL2299" s="2">
        <v>42109</v>
      </c>
      <c r="GM2299" s="1" t="s">
        <v>1965</v>
      </c>
    </row>
    <row r="2300" spans="1:195">
      <c r="A2300" s="1">
        <v>124000</v>
      </c>
      <c r="B2300" s="1" t="s">
        <v>195</v>
      </c>
      <c r="C2300" s="1" t="str">
        <f>"08813080"</f>
        <v>08813080</v>
      </c>
      <c r="D2300" s="1" t="s">
        <v>196</v>
      </c>
      <c r="F2300" s="1" t="str">
        <f t="shared" si="1762"/>
        <v>110</v>
      </c>
      <c r="G2300" s="2">
        <v>42013</v>
      </c>
      <c r="H2300" s="1">
        <v>126500</v>
      </c>
      <c r="I2300" s="1">
        <v>126500</v>
      </c>
      <c r="J2300" s="1">
        <v>124000</v>
      </c>
      <c r="K2300" s="2">
        <v>42012</v>
      </c>
      <c r="L2300" s="1">
        <v>33</v>
      </c>
      <c r="M2300" s="2">
        <v>42044</v>
      </c>
      <c r="N2300" s="1">
        <v>33</v>
      </c>
      <c r="O2300" s="2">
        <v>42044</v>
      </c>
      <c r="P2300" s="1">
        <v>30</v>
      </c>
      <c r="Q2300" s="1" t="s">
        <v>197</v>
      </c>
      <c r="R2300" s="2">
        <v>42072</v>
      </c>
      <c r="S2300" s="1">
        <v>1034</v>
      </c>
      <c r="U2300" s="1">
        <v>3542</v>
      </c>
      <c r="V2300" s="1" t="s">
        <v>15929</v>
      </c>
      <c r="W2300" s="1" t="s">
        <v>304</v>
      </c>
      <c r="X2300" s="1">
        <v>3542</v>
      </c>
      <c r="Y2300" s="1">
        <v>6</v>
      </c>
      <c r="Z2300" s="1" t="s">
        <v>370</v>
      </c>
      <c r="AA2300" s="1" t="s">
        <v>803</v>
      </c>
      <c r="AB2300" s="1">
        <v>60110</v>
      </c>
      <c r="AE2300" s="1" t="s">
        <v>20229</v>
      </c>
      <c r="AF2300" s="1">
        <v>1999</v>
      </c>
      <c r="AG2300" s="1" t="s">
        <v>204</v>
      </c>
      <c r="AH2300" s="1" t="s">
        <v>2557</v>
      </c>
      <c r="AI2300" s="1" t="s">
        <v>665</v>
      </c>
      <c r="AJ2300" s="1" t="s">
        <v>805</v>
      </c>
      <c r="AK2300" s="1" t="s">
        <v>9888</v>
      </c>
      <c r="AL2300" s="1">
        <v>6</v>
      </c>
      <c r="AM2300" s="1">
        <v>2</v>
      </c>
      <c r="AN2300" s="1">
        <v>2</v>
      </c>
      <c r="AO2300" s="1">
        <v>1</v>
      </c>
      <c r="AP2300" s="1" t="s">
        <v>667</v>
      </c>
      <c r="AQ2300" s="1">
        <v>0</v>
      </c>
      <c r="AR2300" s="1" t="s">
        <v>210</v>
      </c>
      <c r="AT2300" s="1" t="s">
        <v>211</v>
      </c>
      <c r="AU2300" s="1">
        <v>2</v>
      </c>
      <c r="AW2300" s="1" t="s">
        <v>204</v>
      </c>
      <c r="AX2300" s="1" t="s">
        <v>212</v>
      </c>
      <c r="AZ2300" s="1">
        <v>4450</v>
      </c>
      <c r="BA2300" s="1">
        <v>2013</v>
      </c>
      <c r="BE2300" s="1">
        <v>0</v>
      </c>
      <c r="BF2300" s="1">
        <v>1</v>
      </c>
      <c r="BG2300" s="1">
        <v>0</v>
      </c>
      <c r="BL2300" s="1">
        <v>138</v>
      </c>
      <c r="BM2300" s="1" t="s">
        <v>204</v>
      </c>
      <c r="BN2300" s="1" t="s">
        <v>213</v>
      </c>
      <c r="BO2300" s="1">
        <v>0</v>
      </c>
      <c r="BP2300" s="1" t="s">
        <v>204</v>
      </c>
      <c r="BR2300" s="1" t="str">
        <f>"0308425106"</f>
        <v>0308425106</v>
      </c>
      <c r="BT2300" s="1" t="s">
        <v>20230</v>
      </c>
      <c r="BU2300" s="1" t="s">
        <v>11901</v>
      </c>
      <c r="BV2300" s="1" t="s">
        <v>11901</v>
      </c>
      <c r="BW2300" s="1" t="s">
        <v>2668</v>
      </c>
      <c r="BX2300" s="1">
        <v>300</v>
      </c>
      <c r="BY2300" s="1">
        <v>300</v>
      </c>
      <c r="BZ2300" s="1">
        <v>300</v>
      </c>
      <c r="CB2300" s="1" t="str">
        <f>"18"</f>
        <v>18</v>
      </c>
      <c r="CC2300" s="1" t="str">
        <f t="shared" si="1763"/>
        <v>0</v>
      </c>
      <c r="CD2300" s="1">
        <v>36</v>
      </c>
      <c r="CE2300" s="1">
        <v>0</v>
      </c>
      <c r="CG2300" s="1" t="s">
        <v>2307</v>
      </c>
      <c r="CH2300" s="1" t="s">
        <v>219</v>
      </c>
      <c r="CI2300" s="1" t="s">
        <v>220</v>
      </c>
      <c r="CK2300" s="1" t="s">
        <v>757</v>
      </c>
      <c r="CL2300" s="1" t="s">
        <v>277</v>
      </c>
      <c r="CM2300" s="1" t="s">
        <v>220</v>
      </c>
      <c r="CO2300" s="1" t="s">
        <v>951</v>
      </c>
      <c r="CP2300" s="1" t="s">
        <v>219</v>
      </c>
      <c r="CQ2300" s="1" t="s">
        <v>220</v>
      </c>
      <c r="CS2300" s="1" t="s">
        <v>346</v>
      </c>
      <c r="CT2300" s="1" t="s">
        <v>277</v>
      </c>
      <c r="CU2300" s="1" t="s">
        <v>220</v>
      </c>
      <c r="CX2300" s="1" t="s">
        <v>224</v>
      </c>
      <c r="DB2300" s="1" t="s">
        <v>224</v>
      </c>
      <c r="DE2300" s="1" t="s">
        <v>972</v>
      </c>
      <c r="DF2300" s="1" t="s">
        <v>219</v>
      </c>
      <c r="DG2300" s="1" t="s">
        <v>342</v>
      </c>
      <c r="DJ2300" s="1" t="s">
        <v>224</v>
      </c>
      <c r="DM2300" s="1" t="s">
        <v>464</v>
      </c>
      <c r="DN2300" s="1" t="s">
        <v>709</v>
      </c>
      <c r="DR2300" s="1" t="s">
        <v>1297</v>
      </c>
      <c r="DS2300" s="1" t="s">
        <v>277</v>
      </c>
      <c r="DT2300" s="1" t="s">
        <v>220</v>
      </c>
      <c r="DV2300" s="1" t="s">
        <v>1571</v>
      </c>
      <c r="DW2300" s="1" t="s">
        <v>219</v>
      </c>
      <c r="DX2300" s="1" t="s">
        <v>342</v>
      </c>
      <c r="DY2300" s="1" t="s">
        <v>210</v>
      </c>
      <c r="EA2300" s="1" t="s">
        <v>230</v>
      </c>
      <c r="EE2300" s="1" t="s">
        <v>230</v>
      </c>
      <c r="EI2300" s="1" t="s">
        <v>230</v>
      </c>
      <c r="EL2300" s="1" t="s">
        <v>670</v>
      </c>
      <c r="EM2300" s="1" t="s">
        <v>319</v>
      </c>
      <c r="EN2300" s="1" t="s">
        <v>210</v>
      </c>
      <c r="EO2300" s="1" t="s">
        <v>234</v>
      </c>
      <c r="EQ2300" s="1" t="s">
        <v>492</v>
      </c>
      <c r="ER2300" s="1" t="s">
        <v>210</v>
      </c>
      <c r="ES2300" s="1" t="s">
        <v>608</v>
      </c>
      <c r="EU2300" s="1" t="s">
        <v>239</v>
      </c>
      <c r="EV2300" s="1" t="s">
        <v>352</v>
      </c>
      <c r="EW2300" s="1" t="s">
        <v>887</v>
      </c>
      <c r="EZ2300" s="1" t="s">
        <v>2549</v>
      </c>
      <c r="FA2300" s="1" t="s">
        <v>2843</v>
      </c>
      <c r="FD2300" s="1" t="s">
        <v>2252</v>
      </c>
      <c r="FE2300" s="1" t="s">
        <v>386</v>
      </c>
      <c r="FF2300" s="1" t="s">
        <v>248</v>
      </c>
      <c r="FH2300" s="1" t="s">
        <v>550</v>
      </c>
      <c r="FL2300" s="1" t="s">
        <v>358</v>
      </c>
      <c r="FM2300" s="1" t="s">
        <v>252</v>
      </c>
      <c r="FN2300" s="1" t="s">
        <v>213</v>
      </c>
      <c r="FO2300" s="1" t="s">
        <v>213</v>
      </c>
      <c r="FQ2300" s="1" t="s">
        <v>689</v>
      </c>
      <c r="FR2300" s="1" t="s">
        <v>210</v>
      </c>
      <c r="FS2300" s="1" t="s">
        <v>20231</v>
      </c>
      <c r="FT2300" s="1" t="s">
        <v>584</v>
      </c>
      <c r="FU2300" s="1" t="s">
        <v>204</v>
      </c>
      <c r="FW2300" s="1" t="s">
        <v>3132</v>
      </c>
      <c r="FX2300" s="1">
        <v>6267</v>
      </c>
      <c r="FY2300" s="1" t="s">
        <v>3133</v>
      </c>
      <c r="FZ2300" s="1" t="s">
        <v>20232</v>
      </c>
      <c r="GA2300" s="1">
        <v>62448</v>
      </c>
      <c r="GB2300" s="1" t="s">
        <v>20233</v>
      </c>
      <c r="GD2300" s="1" t="s">
        <v>20234</v>
      </c>
      <c r="GE2300" s="1" t="s">
        <v>210</v>
      </c>
      <c r="GI2300" s="1" t="s">
        <v>213</v>
      </c>
      <c r="GJ2300" s="1" t="s">
        <v>260</v>
      </c>
      <c r="GK2300" s="1" t="s">
        <v>210</v>
      </c>
      <c r="GL2300" s="2">
        <v>42072</v>
      </c>
      <c r="GM2300" s="1" t="s">
        <v>20235</v>
      </c>
    </row>
    <row r="2301" spans="1:195">
      <c r="A2301" s="1">
        <v>10000</v>
      </c>
      <c r="B2301" s="1" t="s">
        <v>195</v>
      </c>
      <c r="C2301" s="1" t="str">
        <f>"08816690"</f>
        <v>08816690</v>
      </c>
      <c r="D2301" s="1" t="s">
        <v>196</v>
      </c>
      <c r="F2301" s="1" t="str">
        <f>"8044"</f>
        <v>8044</v>
      </c>
      <c r="G2301" s="2">
        <v>42019</v>
      </c>
      <c r="H2301" s="1">
        <v>13000</v>
      </c>
      <c r="I2301" s="1">
        <v>12500</v>
      </c>
      <c r="J2301" s="1">
        <v>10000</v>
      </c>
      <c r="K2301" s="2">
        <v>42018</v>
      </c>
      <c r="L2301" s="1">
        <v>366</v>
      </c>
      <c r="M2301" s="2">
        <v>42107</v>
      </c>
      <c r="N2301" s="1">
        <v>90</v>
      </c>
      <c r="O2301" s="2">
        <v>42107</v>
      </c>
      <c r="P2301" s="1">
        <v>16072</v>
      </c>
      <c r="Q2301" s="1" t="s">
        <v>302</v>
      </c>
      <c r="R2301" s="2">
        <v>42124</v>
      </c>
      <c r="S2301" s="1">
        <v>868434</v>
      </c>
      <c r="U2301" s="1">
        <v>9219</v>
      </c>
      <c r="V2301" s="1" t="s">
        <v>20236</v>
      </c>
      <c r="W2301" s="1" t="s">
        <v>425</v>
      </c>
      <c r="X2301" s="1" t="s">
        <v>9965</v>
      </c>
      <c r="Y2301" s="1">
        <v>12</v>
      </c>
      <c r="Z2301" s="1" t="s">
        <v>200</v>
      </c>
      <c r="AA2301" s="1" t="s">
        <v>400</v>
      </c>
      <c r="AB2301" s="1">
        <v>60619</v>
      </c>
      <c r="AE2301" s="1" t="s">
        <v>20237</v>
      </c>
      <c r="AF2301" s="1">
        <v>1970</v>
      </c>
      <c r="AG2301" s="1" t="s">
        <v>213</v>
      </c>
      <c r="AH2301" s="1" t="s">
        <v>403</v>
      </c>
      <c r="AI2301" s="1" t="s">
        <v>310</v>
      </c>
      <c r="AJ2301" s="1" t="s">
        <v>562</v>
      </c>
      <c r="AL2301" s="1">
        <v>4</v>
      </c>
      <c r="AM2301" s="1">
        <v>2</v>
      </c>
      <c r="AN2301" s="1">
        <v>1</v>
      </c>
      <c r="AO2301" s="1">
        <v>0</v>
      </c>
      <c r="AP2301" s="1" t="s">
        <v>210</v>
      </c>
      <c r="AQ2301" s="1">
        <v>0</v>
      </c>
      <c r="AR2301" s="1" t="s">
        <v>210</v>
      </c>
      <c r="AS2301" s="1" t="s">
        <v>204</v>
      </c>
      <c r="AT2301" s="1" t="s">
        <v>271</v>
      </c>
      <c r="AV2301" s="1">
        <v>1</v>
      </c>
      <c r="AW2301" s="1" t="s">
        <v>204</v>
      </c>
      <c r="AX2301" s="1" t="s">
        <v>212</v>
      </c>
      <c r="AZ2301" s="1">
        <v>1325</v>
      </c>
      <c r="BA2301" s="1">
        <v>2013</v>
      </c>
      <c r="BB2301" s="1" t="s">
        <v>210</v>
      </c>
      <c r="BE2301" s="1">
        <v>750</v>
      </c>
      <c r="BF2301" s="1">
        <v>1</v>
      </c>
      <c r="BG2301" s="1">
        <v>3</v>
      </c>
      <c r="BL2301" s="1">
        <v>281</v>
      </c>
      <c r="BM2301" s="1" t="s">
        <v>413</v>
      </c>
      <c r="BN2301" s="1" t="s">
        <v>204</v>
      </c>
      <c r="BP2301" s="1" t="s">
        <v>204</v>
      </c>
      <c r="BR2301" s="1" t="str">
        <f>"25023070341014"</f>
        <v>25023070341014</v>
      </c>
      <c r="BT2301" s="1" t="s">
        <v>20238</v>
      </c>
      <c r="BX2301" s="1">
        <v>299</v>
      </c>
      <c r="BY2301" s="1">
        <v>299</v>
      </c>
      <c r="BZ2301" s="1">
        <v>299</v>
      </c>
      <c r="CB2301" s="1" t="str">
        <f>"0"</f>
        <v>0</v>
      </c>
      <c r="CC2301" s="1" t="str">
        <f>"800"</f>
        <v>800</v>
      </c>
      <c r="CD2301" s="1">
        <v>0</v>
      </c>
      <c r="CE2301" s="1">
        <v>9219</v>
      </c>
      <c r="CG2301" s="1" t="s">
        <v>407</v>
      </c>
      <c r="CH2301" s="1" t="s">
        <v>219</v>
      </c>
      <c r="CK2301" s="1" t="s">
        <v>2170</v>
      </c>
      <c r="CL2301" s="1" t="s">
        <v>219</v>
      </c>
      <c r="CP2301" s="1" t="s">
        <v>224</v>
      </c>
      <c r="CS2301" s="1" t="s">
        <v>1469</v>
      </c>
      <c r="CT2301" s="1" t="s">
        <v>219</v>
      </c>
      <c r="CX2301" s="1" t="s">
        <v>224</v>
      </c>
      <c r="DB2301" s="1" t="s">
        <v>224</v>
      </c>
      <c r="DE2301" s="1" t="s">
        <v>3460</v>
      </c>
      <c r="DF2301" s="1" t="s">
        <v>219</v>
      </c>
      <c r="DJ2301" s="1" t="s">
        <v>224</v>
      </c>
      <c r="DS2301" s="1" t="s">
        <v>230</v>
      </c>
      <c r="DW2301" s="1" t="s">
        <v>230</v>
      </c>
      <c r="EA2301" s="1" t="s">
        <v>230</v>
      </c>
      <c r="EE2301" s="1" t="s">
        <v>230</v>
      </c>
      <c r="EI2301" s="1" t="s">
        <v>230</v>
      </c>
      <c r="EL2301" s="1" t="s">
        <v>605</v>
      </c>
      <c r="EM2301" s="1" t="s">
        <v>319</v>
      </c>
      <c r="EN2301" s="1" t="s">
        <v>210</v>
      </c>
      <c r="EO2301" s="1" t="s">
        <v>234</v>
      </c>
      <c r="ER2301" s="1" t="s">
        <v>210</v>
      </c>
      <c r="EW2301" s="1" t="s">
        <v>10169</v>
      </c>
      <c r="EZ2301" s="1" t="s">
        <v>287</v>
      </c>
      <c r="FD2301" s="1" t="s">
        <v>1112</v>
      </c>
      <c r="FE2301" s="1" t="s">
        <v>247</v>
      </c>
      <c r="FF2301" s="1" t="s">
        <v>248</v>
      </c>
      <c r="FH2301" s="1" t="s">
        <v>249</v>
      </c>
      <c r="FL2301" s="1" t="s">
        <v>1907</v>
      </c>
      <c r="FM2301" s="1" t="s">
        <v>252</v>
      </c>
      <c r="FN2301" s="1" t="s">
        <v>213</v>
      </c>
      <c r="FO2301" s="1" t="s">
        <v>213</v>
      </c>
      <c r="FQ2301" s="1" t="s">
        <v>20239</v>
      </c>
      <c r="FR2301" s="1" t="s">
        <v>210</v>
      </c>
      <c r="FS2301" s="1" t="s">
        <v>4766</v>
      </c>
      <c r="FT2301" s="1" t="s">
        <v>1828</v>
      </c>
      <c r="FU2301" s="1" t="s">
        <v>204</v>
      </c>
      <c r="FW2301" s="1" t="s">
        <v>4767</v>
      </c>
      <c r="FX2301" s="1">
        <v>16165</v>
      </c>
      <c r="FY2301" s="1" t="s">
        <v>4768</v>
      </c>
      <c r="FZ2301" s="1" t="s">
        <v>4769</v>
      </c>
      <c r="GA2301" s="1">
        <v>171061</v>
      </c>
      <c r="GE2301" s="1" t="s">
        <v>210</v>
      </c>
      <c r="GH2301" s="1" t="s">
        <v>421</v>
      </c>
      <c r="GI2301" s="1" t="s">
        <v>204</v>
      </c>
      <c r="GJ2301" s="1" t="s">
        <v>260</v>
      </c>
      <c r="GK2301" s="1" t="s">
        <v>210</v>
      </c>
      <c r="GL2301" s="2">
        <v>42124</v>
      </c>
      <c r="GM2301" s="1" t="s">
        <v>20240</v>
      </c>
    </row>
    <row r="2302" spans="1:195">
      <c r="A2302" s="1">
        <v>205000</v>
      </c>
      <c r="B2302" s="1" t="s">
        <v>195</v>
      </c>
      <c r="C2302" s="1" t="str">
        <f>"08818791"</f>
        <v>08818791</v>
      </c>
      <c r="D2302" s="1" t="s">
        <v>196</v>
      </c>
      <c r="F2302" s="1" t="str">
        <f>"143"</f>
        <v>143</v>
      </c>
      <c r="G2302" s="2">
        <v>42022</v>
      </c>
      <c r="H2302" s="1">
        <v>219000</v>
      </c>
      <c r="I2302" s="1">
        <v>219000</v>
      </c>
      <c r="J2302" s="1">
        <v>205000</v>
      </c>
      <c r="K2302" s="2">
        <v>42021</v>
      </c>
      <c r="L2302" s="1">
        <v>283</v>
      </c>
      <c r="M2302" s="2">
        <v>42036</v>
      </c>
      <c r="N2302" s="1">
        <v>16</v>
      </c>
      <c r="O2302" s="2">
        <v>42036</v>
      </c>
      <c r="P2302" s="1">
        <v>92063</v>
      </c>
      <c r="Q2302" s="1" t="s">
        <v>302</v>
      </c>
      <c r="R2302" s="2">
        <v>42054</v>
      </c>
      <c r="S2302" s="1">
        <v>26265</v>
      </c>
      <c r="U2302" s="1">
        <v>158</v>
      </c>
      <c r="V2302" s="1" t="s">
        <v>11126</v>
      </c>
      <c r="Y2302" s="1">
        <v>6</v>
      </c>
      <c r="Z2302" s="1" t="s">
        <v>249</v>
      </c>
      <c r="AA2302" s="1" t="s">
        <v>7871</v>
      </c>
      <c r="AB2302" s="1">
        <v>60143</v>
      </c>
      <c r="AD2302" s="1" t="s">
        <v>17429</v>
      </c>
      <c r="AE2302" s="1" t="s">
        <v>20241</v>
      </c>
      <c r="AF2302" s="1">
        <v>1994</v>
      </c>
      <c r="AG2302" s="1" t="s">
        <v>204</v>
      </c>
      <c r="AH2302" s="1" t="s">
        <v>7873</v>
      </c>
      <c r="AI2302" s="1" t="s">
        <v>206</v>
      </c>
      <c r="AJ2302" s="1" t="s">
        <v>1233</v>
      </c>
      <c r="AL2302" s="1">
        <v>6</v>
      </c>
      <c r="AM2302" s="1">
        <v>2</v>
      </c>
      <c r="AN2302" s="1">
        <v>2</v>
      </c>
      <c r="AO2302" s="1">
        <v>1</v>
      </c>
      <c r="AP2302" s="1" t="s">
        <v>209</v>
      </c>
      <c r="AQ2302" s="1">
        <v>1</v>
      </c>
      <c r="AR2302" s="1" t="s">
        <v>210</v>
      </c>
      <c r="AT2302" s="1" t="s">
        <v>211</v>
      </c>
      <c r="AU2302" s="1">
        <v>2</v>
      </c>
      <c r="AW2302" s="1" t="s">
        <v>204</v>
      </c>
      <c r="AX2302" s="1" t="s">
        <v>4740</v>
      </c>
      <c r="AZ2302" s="1">
        <v>4268</v>
      </c>
      <c r="BA2302" s="1">
        <v>2013</v>
      </c>
      <c r="BB2302" s="1" t="s">
        <v>405</v>
      </c>
      <c r="BE2302" s="1">
        <v>1500</v>
      </c>
      <c r="BF2302" s="1">
        <v>1</v>
      </c>
      <c r="BG2302" s="1">
        <v>0</v>
      </c>
      <c r="BL2302" s="1">
        <v>233</v>
      </c>
      <c r="BM2302" s="1" t="s">
        <v>204</v>
      </c>
      <c r="BN2302" s="1" t="s">
        <v>213</v>
      </c>
      <c r="BO2302" s="1">
        <v>0</v>
      </c>
      <c r="BP2302" s="1" t="s">
        <v>204</v>
      </c>
      <c r="BR2302" s="1" t="str">
        <f>"0305313057"</f>
        <v>0305313057</v>
      </c>
      <c r="BT2302" s="1" t="s">
        <v>20242</v>
      </c>
      <c r="BU2302" s="1" t="s">
        <v>11130</v>
      </c>
      <c r="BV2302" s="1" t="s">
        <v>7877</v>
      </c>
      <c r="BW2302" s="1" t="s">
        <v>275</v>
      </c>
      <c r="BX2302" s="1">
        <v>10</v>
      </c>
      <c r="BY2302" s="1">
        <v>10</v>
      </c>
      <c r="BZ2302" s="1">
        <v>108</v>
      </c>
      <c r="CB2302" s="1" t="str">
        <f>"7"</f>
        <v>7</v>
      </c>
      <c r="CC2302" s="1" t="str">
        <f t="shared" ref="CC2302:CC2303" si="1764">""</f>
        <v/>
      </c>
      <c r="CD2302" s="1">
        <v>19</v>
      </c>
      <c r="CG2302" s="1" t="s">
        <v>278</v>
      </c>
      <c r="CH2302" s="1" t="s">
        <v>219</v>
      </c>
      <c r="CI2302" s="1" t="s">
        <v>438</v>
      </c>
      <c r="CJ2302" s="1" t="s">
        <v>252</v>
      </c>
      <c r="CK2302" s="1" t="s">
        <v>344</v>
      </c>
      <c r="CL2302" s="1" t="s">
        <v>277</v>
      </c>
      <c r="CM2302" s="1" t="s">
        <v>438</v>
      </c>
      <c r="CN2302" s="1" t="s">
        <v>252</v>
      </c>
      <c r="CO2302" s="1" t="s">
        <v>379</v>
      </c>
      <c r="CP2302" s="1" t="s">
        <v>219</v>
      </c>
      <c r="CQ2302" s="1" t="s">
        <v>438</v>
      </c>
      <c r="CR2302" s="1" t="s">
        <v>252</v>
      </c>
      <c r="CS2302" s="1" t="s">
        <v>379</v>
      </c>
      <c r="CT2302" s="1" t="s">
        <v>277</v>
      </c>
      <c r="CU2302" s="1" t="s">
        <v>220</v>
      </c>
      <c r="CV2302" s="1" t="s">
        <v>252</v>
      </c>
      <c r="CX2302" s="1" t="s">
        <v>224</v>
      </c>
      <c r="DB2302" s="1" t="s">
        <v>224</v>
      </c>
      <c r="DE2302" s="1" t="s">
        <v>379</v>
      </c>
      <c r="DF2302" s="1" t="s">
        <v>219</v>
      </c>
      <c r="DG2302" s="1" t="s">
        <v>438</v>
      </c>
      <c r="DJ2302" s="1" t="s">
        <v>224</v>
      </c>
      <c r="DM2302" s="1" t="s">
        <v>464</v>
      </c>
      <c r="DR2302" s="1" t="s">
        <v>318</v>
      </c>
      <c r="DS2302" s="1" t="s">
        <v>277</v>
      </c>
      <c r="DT2302" s="1" t="s">
        <v>438</v>
      </c>
      <c r="DU2302" s="1" t="s">
        <v>252</v>
      </c>
      <c r="DW2302" s="1" t="s">
        <v>230</v>
      </c>
      <c r="EA2302" s="1" t="s">
        <v>230</v>
      </c>
      <c r="EE2302" s="1" t="s">
        <v>230</v>
      </c>
      <c r="EI2302" s="1" t="s">
        <v>230</v>
      </c>
      <c r="EL2302" s="1" t="s">
        <v>382</v>
      </c>
      <c r="EM2302" s="1" t="s">
        <v>232</v>
      </c>
      <c r="EN2302" s="1" t="s">
        <v>282</v>
      </c>
      <c r="EO2302" s="1" t="s">
        <v>234</v>
      </c>
      <c r="EQ2302" s="1" t="s">
        <v>492</v>
      </c>
      <c r="ER2302" s="1" t="s">
        <v>210</v>
      </c>
      <c r="ES2302" s="1" t="s">
        <v>493</v>
      </c>
      <c r="EV2302" s="1" t="s">
        <v>352</v>
      </c>
      <c r="EW2302" s="1" t="s">
        <v>353</v>
      </c>
      <c r="EZ2302" s="1" t="s">
        <v>464</v>
      </c>
      <c r="FA2302" s="1" t="s">
        <v>1427</v>
      </c>
      <c r="FD2302" s="1" t="s">
        <v>246</v>
      </c>
      <c r="FE2302" s="1" t="s">
        <v>355</v>
      </c>
      <c r="FF2302" s="1" t="s">
        <v>248</v>
      </c>
      <c r="FG2302" s="1" t="s">
        <v>2406</v>
      </c>
      <c r="FH2302" s="1" t="s">
        <v>550</v>
      </c>
      <c r="FJ2302" s="1" t="s">
        <v>1251</v>
      </c>
      <c r="FL2302" s="1" t="s">
        <v>358</v>
      </c>
      <c r="FM2302" s="1" t="s">
        <v>252</v>
      </c>
      <c r="FN2302" s="1" t="s">
        <v>213</v>
      </c>
      <c r="FO2302" s="1" t="s">
        <v>213</v>
      </c>
      <c r="FQ2302" s="1" t="s">
        <v>2017</v>
      </c>
      <c r="FR2302" s="1" t="s">
        <v>652</v>
      </c>
      <c r="FS2302" s="1" t="s">
        <v>11984</v>
      </c>
      <c r="FT2302" s="1" t="s">
        <v>295</v>
      </c>
      <c r="FU2302" s="1" t="s">
        <v>204</v>
      </c>
      <c r="FW2302" s="1" t="s">
        <v>2019</v>
      </c>
      <c r="FX2302" s="1">
        <v>24007</v>
      </c>
      <c r="FY2302" s="1" t="s">
        <v>2020</v>
      </c>
      <c r="FZ2302" s="1" t="s">
        <v>11985</v>
      </c>
      <c r="GA2302" s="1">
        <v>222366</v>
      </c>
      <c r="GB2302" s="1" t="s">
        <v>11986</v>
      </c>
      <c r="GE2302" s="1" t="s">
        <v>480</v>
      </c>
      <c r="GI2302" s="1" t="s">
        <v>213</v>
      </c>
      <c r="GJ2302" s="1" t="s">
        <v>260</v>
      </c>
      <c r="GK2302" s="1" t="s">
        <v>210</v>
      </c>
      <c r="GL2302" s="2">
        <v>42055</v>
      </c>
      <c r="GM2302" s="1" t="s">
        <v>20243</v>
      </c>
    </row>
    <row r="2303" spans="1:195">
      <c r="A2303" s="1">
        <v>108000</v>
      </c>
      <c r="B2303" s="1" t="s">
        <v>195</v>
      </c>
      <c r="C2303" s="1" t="str">
        <f>"08813821"</f>
        <v>08813821</v>
      </c>
      <c r="D2303" s="1" t="s">
        <v>196</v>
      </c>
      <c r="F2303" s="1" t="str">
        <f>"20"</f>
        <v>20</v>
      </c>
      <c r="G2303" s="2">
        <v>42014</v>
      </c>
      <c r="H2303" s="1">
        <v>110000</v>
      </c>
      <c r="I2303" s="1">
        <v>110000</v>
      </c>
      <c r="J2303" s="1">
        <v>108000</v>
      </c>
      <c r="K2303" s="2">
        <v>42014</v>
      </c>
      <c r="L2303" s="1">
        <v>161</v>
      </c>
      <c r="M2303" s="2">
        <v>42023</v>
      </c>
      <c r="N2303" s="1">
        <v>10</v>
      </c>
      <c r="O2303" s="2">
        <v>42023</v>
      </c>
      <c r="P2303" s="1">
        <v>2424</v>
      </c>
      <c r="Q2303" s="1" t="s">
        <v>197</v>
      </c>
      <c r="R2303" s="2">
        <v>42062</v>
      </c>
      <c r="S2303" s="1">
        <v>923399</v>
      </c>
      <c r="U2303" s="1">
        <v>189</v>
      </c>
      <c r="V2303" s="1" t="s">
        <v>17546</v>
      </c>
      <c r="W2303" s="1" t="s">
        <v>304</v>
      </c>
      <c r="X2303" s="1">
        <v>1</v>
      </c>
      <c r="Y2303" s="1">
        <v>6</v>
      </c>
      <c r="Z2303" s="1" t="s">
        <v>249</v>
      </c>
      <c r="AA2303" s="1" t="s">
        <v>592</v>
      </c>
      <c r="AB2303" s="1">
        <v>60020</v>
      </c>
      <c r="AD2303" s="1" t="s">
        <v>20244</v>
      </c>
      <c r="AE2303" s="1" t="s">
        <v>20245</v>
      </c>
      <c r="AF2303" s="1">
        <v>1980</v>
      </c>
      <c r="AG2303" s="1" t="s">
        <v>204</v>
      </c>
      <c r="AH2303" s="1" t="s">
        <v>595</v>
      </c>
      <c r="AI2303" s="1" t="s">
        <v>509</v>
      </c>
      <c r="AJ2303" s="1" t="s">
        <v>1016</v>
      </c>
      <c r="AL2303" s="1">
        <v>5</v>
      </c>
      <c r="AM2303" s="1">
        <v>2</v>
      </c>
      <c r="AN2303" s="1">
        <v>2</v>
      </c>
      <c r="AO2303" s="1">
        <v>1</v>
      </c>
      <c r="AP2303" s="1" t="s">
        <v>209</v>
      </c>
      <c r="AQ2303" s="1">
        <v>1</v>
      </c>
      <c r="AR2303" s="1" t="s">
        <v>210</v>
      </c>
      <c r="AS2303" s="1" t="s">
        <v>204</v>
      </c>
      <c r="AT2303" s="1" t="s">
        <v>211</v>
      </c>
      <c r="AU2303" s="1">
        <v>1</v>
      </c>
      <c r="AW2303" s="1" t="s">
        <v>204</v>
      </c>
      <c r="AX2303" s="1" t="s">
        <v>212</v>
      </c>
      <c r="AZ2303" s="1">
        <v>3514</v>
      </c>
      <c r="BA2303" s="1">
        <v>2013</v>
      </c>
      <c r="BB2303" s="1" t="s">
        <v>210</v>
      </c>
      <c r="BE2303" s="1">
        <v>1545</v>
      </c>
      <c r="BF2303" s="1">
        <v>1</v>
      </c>
      <c r="BG2303" s="1">
        <v>0</v>
      </c>
      <c r="BL2303" s="1">
        <v>239</v>
      </c>
      <c r="BM2303" s="1" t="s">
        <v>204</v>
      </c>
      <c r="BN2303" s="1" t="s">
        <v>213</v>
      </c>
      <c r="BO2303" s="1">
        <v>99</v>
      </c>
      <c r="BP2303" s="1" t="s">
        <v>204</v>
      </c>
      <c r="BR2303" s="1" t="str">
        <f>"05031000260000"</f>
        <v>05031000260000</v>
      </c>
      <c r="BT2303" s="1" t="s">
        <v>20246</v>
      </c>
      <c r="BW2303" s="1" t="s">
        <v>2264</v>
      </c>
      <c r="BX2303" s="1">
        <v>114</v>
      </c>
      <c r="BY2303" s="1">
        <v>114</v>
      </c>
      <c r="BZ2303" s="1">
        <v>124</v>
      </c>
      <c r="CB2303" s="1" t="str">
        <f>"37"</f>
        <v>37</v>
      </c>
      <c r="CC2303" s="1" t="str">
        <f t="shared" si="1764"/>
        <v/>
      </c>
      <c r="CD2303" s="1">
        <v>27</v>
      </c>
      <c r="CG2303" s="1" t="s">
        <v>1004</v>
      </c>
      <c r="CH2303" s="1" t="s">
        <v>219</v>
      </c>
      <c r="CI2303" s="1" t="s">
        <v>220</v>
      </c>
      <c r="CK2303" s="1" t="s">
        <v>908</v>
      </c>
      <c r="CL2303" s="1" t="s">
        <v>277</v>
      </c>
      <c r="CM2303" s="1" t="s">
        <v>220</v>
      </c>
      <c r="CO2303" s="1" t="s">
        <v>758</v>
      </c>
      <c r="CP2303" s="1" t="s">
        <v>219</v>
      </c>
      <c r="CQ2303" s="1" t="s">
        <v>438</v>
      </c>
      <c r="CS2303" s="1" t="s">
        <v>1004</v>
      </c>
      <c r="CT2303" s="1" t="s">
        <v>277</v>
      </c>
      <c r="CU2303" s="1" t="s">
        <v>220</v>
      </c>
      <c r="CX2303" s="1" t="s">
        <v>224</v>
      </c>
      <c r="DB2303" s="1" t="s">
        <v>224</v>
      </c>
      <c r="DE2303" s="1" t="s">
        <v>379</v>
      </c>
      <c r="DF2303" s="1" t="s">
        <v>219</v>
      </c>
      <c r="DG2303" s="1" t="s">
        <v>438</v>
      </c>
      <c r="DJ2303" s="1" t="s">
        <v>224</v>
      </c>
      <c r="DS2303" s="1" t="s">
        <v>230</v>
      </c>
      <c r="DW2303" s="1" t="s">
        <v>230</v>
      </c>
      <c r="EA2303" s="1" t="s">
        <v>230</v>
      </c>
      <c r="EE2303" s="1" t="s">
        <v>230</v>
      </c>
      <c r="EI2303" s="1" t="s">
        <v>230</v>
      </c>
      <c r="EL2303" s="1" t="s">
        <v>231</v>
      </c>
      <c r="EM2303" s="1" t="s">
        <v>319</v>
      </c>
      <c r="EN2303" s="1" t="s">
        <v>282</v>
      </c>
      <c r="EO2303" s="1" t="s">
        <v>234</v>
      </c>
      <c r="EQ2303" s="1" t="s">
        <v>4356</v>
      </c>
      <c r="ER2303" s="1" t="s">
        <v>210</v>
      </c>
      <c r="ES2303" s="1" t="s">
        <v>824</v>
      </c>
      <c r="EU2303" s="1" t="s">
        <v>20247</v>
      </c>
      <c r="EV2303" s="1" t="s">
        <v>324</v>
      </c>
      <c r="EW2303" s="1" t="s">
        <v>19821</v>
      </c>
      <c r="EZ2303" s="1" t="s">
        <v>287</v>
      </c>
      <c r="FA2303" s="1" t="s">
        <v>6559</v>
      </c>
      <c r="FB2303" s="1" t="s">
        <v>244</v>
      </c>
      <c r="FD2303" s="1" t="s">
        <v>736</v>
      </c>
      <c r="FE2303" s="1" t="s">
        <v>12105</v>
      </c>
      <c r="FF2303" s="1" t="s">
        <v>387</v>
      </c>
      <c r="FG2303" s="1" t="s">
        <v>939</v>
      </c>
      <c r="FH2303" s="1" t="s">
        <v>550</v>
      </c>
      <c r="FI2303" s="1" t="s">
        <v>357</v>
      </c>
      <c r="FL2303" s="1" t="s">
        <v>358</v>
      </c>
      <c r="FM2303" s="1" t="s">
        <v>252</v>
      </c>
      <c r="FN2303" s="1" t="s">
        <v>213</v>
      </c>
      <c r="FO2303" s="1" t="s">
        <v>213</v>
      </c>
      <c r="FQ2303" s="1" t="s">
        <v>1286</v>
      </c>
      <c r="FR2303" s="1" t="s">
        <v>210</v>
      </c>
      <c r="FS2303" s="1" t="s">
        <v>19637</v>
      </c>
      <c r="FT2303" s="1" t="s">
        <v>1408</v>
      </c>
      <c r="FU2303" s="1" t="s">
        <v>204</v>
      </c>
      <c r="FW2303" s="1" t="s">
        <v>3546</v>
      </c>
      <c r="FX2303" s="1">
        <v>24695</v>
      </c>
      <c r="FY2303" s="1" t="s">
        <v>3547</v>
      </c>
      <c r="FZ2303" s="1" t="s">
        <v>6213</v>
      </c>
      <c r="GA2303" s="1">
        <v>20691</v>
      </c>
      <c r="GB2303" s="1" t="s">
        <v>6214</v>
      </c>
      <c r="GD2303" s="1" t="s">
        <v>6215</v>
      </c>
      <c r="GE2303" s="1" t="s">
        <v>1256</v>
      </c>
      <c r="GI2303" s="1" t="s">
        <v>213</v>
      </c>
      <c r="GJ2303" s="1" t="s">
        <v>260</v>
      </c>
      <c r="GK2303" s="1" t="s">
        <v>210</v>
      </c>
      <c r="GL2303" s="2">
        <v>42066</v>
      </c>
      <c r="GM2303" s="1" t="s">
        <v>20248</v>
      </c>
    </row>
    <row r="2304" spans="1:195">
      <c r="A2304" s="1">
        <v>159000</v>
      </c>
      <c r="B2304" s="1" t="s">
        <v>195</v>
      </c>
      <c r="C2304" s="1" t="str">
        <f>"08814749"</f>
        <v>08814749</v>
      </c>
      <c r="D2304" s="1" t="s">
        <v>196</v>
      </c>
      <c r="F2304" s="1" t="str">
        <f>"555"</f>
        <v>555</v>
      </c>
      <c r="G2304" s="2">
        <v>42016</v>
      </c>
      <c r="H2304" s="1">
        <v>169900</v>
      </c>
      <c r="I2304" s="1">
        <v>169900</v>
      </c>
      <c r="J2304" s="1">
        <v>159000</v>
      </c>
      <c r="K2304" s="2">
        <v>42016</v>
      </c>
      <c r="L2304" s="1">
        <v>13</v>
      </c>
      <c r="M2304" s="2">
        <v>42028</v>
      </c>
      <c r="N2304" s="1">
        <v>13</v>
      </c>
      <c r="O2304" s="2">
        <v>42028</v>
      </c>
      <c r="P2304" s="1">
        <v>24475</v>
      </c>
      <c r="Q2304" s="1" t="s">
        <v>197</v>
      </c>
      <c r="R2304" s="2">
        <v>42062</v>
      </c>
      <c r="S2304" s="1">
        <v>223030</v>
      </c>
      <c r="T2304" s="1">
        <v>3000</v>
      </c>
      <c r="U2304" s="1" t="s">
        <v>20249</v>
      </c>
      <c r="V2304" s="1" t="s">
        <v>9317</v>
      </c>
      <c r="W2304" s="1" t="s">
        <v>304</v>
      </c>
      <c r="Y2304" s="1">
        <v>4</v>
      </c>
      <c r="Z2304" s="1" t="s">
        <v>370</v>
      </c>
      <c r="AA2304" s="1" t="s">
        <v>984</v>
      </c>
      <c r="AB2304" s="1">
        <v>60555</v>
      </c>
      <c r="AD2304" s="1" t="s">
        <v>1670</v>
      </c>
      <c r="AE2304" s="1" t="s">
        <v>20250</v>
      </c>
      <c r="AF2304" s="1">
        <v>1992</v>
      </c>
      <c r="AG2304" s="1" t="s">
        <v>204</v>
      </c>
      <c r="AH2304" s="1" t="s">
        <v>986</v>
      </c>
      <c r="AI2304" s="1" t="s">
        <v>206</v>
      </c>
      <c r="AJ2304" s="1" t="s">
        <v>987</v>
      </c>
      <c r="AL2304" s="1">
        <v>5</v>
      </c>
      <c r="AM2304" s="1">
        <v>2</v>
      </c>
      <c r="AN2304" s="1">
        <v>2</v>
      </c>
      <c r="AO2304" s="1">
        <v>1</v>
      </c>
      <c r="AP2304" s="1" t="s">
        <v>209</v>
      </c>
      <c r="AQ2304" s="1">
        <v>1</v>
      </c>
      <c r="AR2304" s="1" t="s">
        <v>210</v>
      </c>
      <c r="AS2304" s="1" t="s">
        <v>204</v>
      </c>
      <c r="AT2304" s="1" t="s">
        <v>211</v>
      </c>
      <c r="AU2304" s="1">
        <v>2</v>
      </c>
      <c r="AW2304" s="1" t="s">
        <v>204</v>
      </c>
      <c r="AX2304" s="1" t="s">
        <v>212</v>
      </c>
      <c r="AZ2304" s="1">
        <v>5912</v>
      </c>
      <c r="BA2304" s="1">
        <v>2013</v>
      </c>
      <c r="BB2304" s="1" t="s">
        <v>405</v>
      </c>
      <c r="BE2304" s="1">
        <v>1516</v>
      </c>
      <c r="BF2304" s="1">
        <v>2</v>
      </c>
      <c r="BG2304" s="1">
        <v>0</v>
      </c>
      <c r="BL2304" s="1">
        <v>251</v>
      </c>
      <c r="BM2304" s="1" t="s">
        <v>204</v>
      </c>
      <c r="BN2304" s="1" t="s">
        <v>213</v>
      </c>
      <c r="BO2304" s="1">
        <v>999</v>
      </c>
      <c r="BP2304" s="1" t="s">
        <v>204</v>
      </c>
      <c r="BR2304" s="1" t="str">
        <f>"0421418226"</f>
        <v>0421418226</v>
      </c>
      <c r="BT2304" s="1" t="s">
        <v>20251</v>
      </c>
      <c r="BU2304" s="1" t="s">
        <v>1673</v>
      </c>
      <c r="BV2304" s="1" t="s">
        <v>1674</v>
      </c>
      <c r="BW2304" s="1" t="s">
        <v>1675</v>
      </c>
      <c r="BX2304" s="1">
        <v>33</v>
      </c>
      <c r="BY2304" s="1">
        <v>33</v>
      </c>
      <c r="BZ2304" s="1">
        <v>94</v>
      </c>
      <c r="CB2304" s="1" t="str">
        <f t="shared" ref="CB2304:CC2304" si="1765">"0"</f>
        <v>0</v>
      </c>
      <c r="CC2304" s="1" t="str">
        <f t="shared" si="1765"/>
        <v>0</v>
      </c>
      <c r="CD2304" s="1">
        <v>30</v>
      </c>
      <c r="CE2304" s="1">
        <v>1</v>
      </c>
      <c r="CG2304" s="1" t="s">
        <v>3100</v>
      </c>
      <c r="CH2304" s="1" t="s">
        <v>277</v>
      </c>
      <c r="CI2304" s="1" t="s">
        <v>438</v>
      </c>
      <c r="CK2304" s="1" t="s">
        <v>932</v>
      </c>
      <c r="CL2304" s="1" t="s">
        <v>277</v>
      </c>
      <c r="CM2304" s="1" t="s">
        <v>220</v>
      </c>
      <c r="CO2304" s="1" t="s">
        <v>1358</v>
      </c>
      <c r="CP2304" s="1" t="s">
        <v>277</v>
      </c>
      <c r="CQ2304" s="1" t="s">
        <v>438</v>
      </c>
      <c r="CS2304" s="1" t="s">
        <v>1046</v>
      </c>
      <c r="CT2304" s="1" t="s">
        <v>277</v>
      </c>
      <c r="CU2304" s="1" t="s">
        <v>220</v>
      </c>
      <c r="CX2304" s="1" t="s">
        <v>224</v>
      </c>
      <c r="DB2304" s="1" t="s">
        <v>224</v>
      </c>
      <c r="DE2304" s="1" t="s">
        <v>757</v>
      </c>
      <c r="DF2304" s="1" t="s">
        <v>277</v>
      </c>
      <c r="DG2304" s="1" t="s">
        <v>226</v>
      </c>
      <c r="DJ2304" s="1" t="s">
        <v>224</v>
      </c>
      <c r="DS2304" s="1" t="s">
        <v>230</v>
      </c>
      <c r="DW2304" s="1" t="s">
        <v>230</v>
      </c>
      <c r="EA2304" s="1" t="s">
        <v>230</v>
      </c>
      <c r="EE2304" s="1" t="s">
        <v>230</v>
      </c>
      <c r="EI2304" s="1" t="s">
        <v>230</v>
      </c>
      <c r="EL2304" s="1" t="s">
        <v>382</v>
      </c>
      <c r="EM2304" s="1" t="s">
        <v>232</v>
      </c>
      <c r="EN2304" s="1" t="s">
        <v>282</v>
      </c>
      <c r="EO2304" s="1" t="s">
        <v>234</v>
      </c>
      <c r="EP2304" s="1" t="s">
        <v>4938</v>
      </c>
      <c r="EQ2304" s="1" t="s">
        <v>468</v>
      </c>
      <c r="ER2304" s="1" t="s">
        <v>210</v>
      </c>
      <c r="ES2304" s="1" t="s">
        <v>322</v>
      </c>
      <c r="EV2304" s="1" t="s">
        <v>324</v>
      </c>
      <c r="EW2304" s="1" t="s">
        <v>6645</v>
      </c>
      <c r="EZ2304" s="1" t="s">
        <v>287</v>
      </c>
      <c r="FD2304" s="1" t="s">
        <v>246</v>
      </c>
      <c r="FE2304" s="1" t="s">
        <v>247</v>
      </c>
      <c r="FF2304" s="1" t="s">
        <v>248</v>
      </c>
      <c r="FG2304" s="1" t="s">
        <v>912</v>
      </c>
      <c r="FH2304" s="1" t="s">
        <v>825</v>
      </c>
      <c r="FI2304" s="1" t="s">
        <v>473</v>
      </c>
      <c r="FL2304" s="1" t="s">
        <v>358</v>
      </c>
      <c r="FM2304" s="1" t="s">
        <v>252</v>
      </c>
      <c r="FN2304" s="1" t="s">
        <v>213</v>
      </c>
      <c r="FO2304" s="1" t="s">
        <v>204</v>
      </c>
      <c r="FQ2304" s="1" t="s">
        <v>3616</v>
      </c>
      <c r="FR2304" s="1" t="s">
        <v>210</v>
      </c>
      <c r="FS2304" s="1" t="s">
        <v>3605</v>
      </c>
      <c r="FT2304" s="1" t="s">
        <v>295</v>
      </c>
      <c r="FU2304" s="1" t="s">
        <v>204</v>
      </c>
      <c r="FW2304" s="1" t="s">
        <v>813</v>
      </c>
      <c r="FX2304" s="1">
        <v>72505</v>
      </c>
      <c r="FY2304" s="1" t="s">
        <v>9297</v>
      </c>
      <c r="FZ2304" s="1" t="s">
        <v>20252</v>
      </c>
      <c r="GA2304" s="1">
        <v>705255</v>
      </c>
      <c r="GB2304" s="1" t="s">
        <v>20253</v>
      </c>
      <c r="GE2304" s="1" t="s">
        <v>210</v>
      </c>
      <c r="GI2304" s="1" t="s">
        <v>213</v>
      </c>
      <c r="GJ2304" s="1" t="s">
        <v>260</v>
      </c>
      <c r="GK2304" s="1" t="s">
        <v>210</v>
      </c>
      <c r="GL2304" s="2">
        <v>42067</v>
      </c>
      <c r="GM2304" s="1" t="s">
        <v>20254</v>
      </c>
    </row>
    <row r="2305" spans="1:195">
      <c r="A2305" s="1">
        <v>59000</v>
      </c>
      <c r="B2305" s="1" t="s">
        <v>195</v>
      </c>
      <c r="C2305" s="1" t="str">
        <f>"08815059"</f>
        <v>08815059</v>
      </c>
      <c r="D2305" s="1" t="s">
        <v>196</v>
      </c>
      <c r="F2305" s="1" t="str">
        <f>"8039"</f>
        <v>8039</v>
      </c>
      <c r="G2305" s="2">
        <v>42017</v>
      </c>
      <c r="H2305" s="1">
        <v>67725</v>
      </c>
      <c r="I2305" s="1">
        <v>67725</v>
      </c>
      <c r="J2305" s="1">
        <v>59000</v>
      </c>
      <c r="K2305" s="2">
        <v>42016</v>
      </c>
      <c r="L2305" s="1">
        <v>14</v>
      </c>
      <c r="M2305" s="2">
        <v>42029</v>
      </c>
      <c r="N2305" s="1">
        <v>14</v>
      </c>
      <c r="O2305" s="2">
        <v>42029</v>
      </c>
      <c r="P2305" s="1">
        <v>51720</v>
      </c>
      <c r="Q2305" s="1" t="s">
        <v>302</v>
      </c>
      <c r="R2305" s="2">
        <v>42104</v>
      </c>
      <c r="S2305" s="1">
        <v>606125</v>
      </c>
      <c r="U2305" s="1">
        <v>4537</v>
      </c>
      <c r="V2305" s="1" t="s">
        <v>9897</v>
      </c>
      <c r="W2305" s="1" t="s">
        <v>199</v>
      </c>
      <c r="X2305" s="1">
        <v>407</v>
      </c>
      <c r="Y2305" s="1">
        <v>54</v>
      </c>
      <c r="Z2305" s="1" t="s">
        <v>200</v>
      </c>
      <c r="AA2305" s="1" t="s">
        <v>400</v>
      </c>
      <c r="AB2305" s="1">
        <v>60653</v>
      </c>
      <c r="AD2305" s="1" t="s">
        <v>20255</v>
      </c>
      <c r="AE2305" s="1" t="s">
        <v>20256</v>
      </c>
      <c r="AF2305" s="1">
        <v>2004</v>
      </c>
      <c r="AG2305" s="1" t="s">
        <v>204</v>
      </c>
      <c r="AH2305" s="1" t="s">
        <v>403</v>
      </c>
      <c r="AI2305" s="1" t="s">
        <v>310</v>
      </c>
      <c r="AJ2305" s="1" t="s">
        <v>562</v>
      </c>
      <c r="AL2305" s="1">
        <v>4</v>
      </c>
      <c r="AM2305" s="1">
        <v>2</v>
      </c>
      <c r="AN2305" s="1">
        <v>1</v>
      </c>
      <c r="AO2305" s="1">
        <v>0</v>
      </c>
      <c r="AP2305" s="1" t="s">
        <v>210</v>
      </c>
      <c r="AQ2305" s="1">
        <v>1</v>
      </c>
      <c r="AR2305" s="1" t="s">
        <v>210</v>
      </c>
      <c r="AS2305" s="1" t="s">
        <v>204</v>
      </c>
      <c r="AT2305" s="1" t="s">
        <v>271</v>
      </c>
      <c r="AV2305" s="1">
        <v>1</v>
      </c>
      <c r="AW2305" s="1" t="s">
        <v>204</v>
      </c>
      <c r="AX2305" s="1" t="s">
        <v>212</v>
      </c>
      <c r="AZ2305" s="1">
        <v>1099</v>
      </c>
      <c r="BA2305" s="1">
        <v>2013</v>
      </c>
      <c r="BB2305" s="1" t="s">
        <v>405</v>
      </c>
      <c r="BE2305" s="1">
        <v>800</v>
      </c>
      <c r="BF2305" s="1">
        <v>4</v>
      </c>
      <c r="BG2305" s="1">
        <v>5</v>
      </c>
      <c r="BL2305" s="1">
        <v>328</v>
      </c>
      <c r="BM2305" s="1" t="s">
        <v>204</v>
      </c>
      <c r="BN2305" s="1" t="s">
        <v>213</v>
      </c>
      <c r="BO2305" s="1" t="s">
        <v>2932</v>
      </c>
      <c r="BP2305" s="1" t="s">
        <v>204</v>
      </c>
      <c r="BR2305" s="1" t="str">
        <f>"20023120541026"</f>
        <v>20023120541026</v>
      </c>
      <c r="BT2305" s="1" t="s">
        <v>20257</v>
      </c>
      <c r="BX2305" s="1">
        <v>299</v>
      </c>
      <c r="BY2305" s="1">
        <v>299</v>
      </c>
      <c r="BZ2305" s="1">
        <v>299</v>
      </c>
      <c r="CB2305" s="1" t="str">
        <f>"0"</f>
        <v>0</v>
      </c>
      <c r="CC2305" s="1" t="str">
        <f>"600"</f>
        <v>600</v>
      </c>
      <c r="CD2305" s="1">
        <v>0</v>
      </c>
      <c r="CE2305" s="1">
        <v>4537</v>
      </c>
      <c r="CG2305" s="1" t="s">
        <v>861</v>
      </c>
      <c r="CH2305" s="1" t="s">
        <v>219</v>
      </c>
      <c r="CI2305" s="1" t="s">
        <v>438</v>
      </c>
      <c r="CJ2305" s="1" t="s">
        <v>343</v>
      </c>
      <c r="CK2305" s="1" t="s">
        <v>317</v>
      </c>
      <c r="CL2305" s="1" t="s">
        <v>219</v>
      </c>
      <c r="CM2305" s="1" t="s">
        <v>220</v>
      </c>
      <c r="CN2305" s="1" t="s">
        <v>343</v>
      </c>
      <c r="CP2305" s="1" t="s">
        <v>224</v>
      </c>
      <c r="CS2305" s="1" t="s">
        <v>281</v>
      </c>
      <c r="CT2305" s="1" t="s">
        <v>219</v>
      </c>
      <c r="CU2305" s="1" t="s">
        <v>220</v>
      </c>
      <c r="CV2305" s="1" t="s">
        <v>343</v>
      </c>
      <c r="CX2305" s="1" t="s">
        <v>224</v>
      </c>
      <c r="DB2305" s="1" t="s">
        <v>224</v>
      </c>
      <c r="DE2305" s="1" t="s">
        <v>348</v>
      </c>
      <c r="DF2305" s="1" t="s">
        <v>219</v>
      </c>
      <c r="DG2305" s="1" t="s">
        <v>438</v>
      </c>
      <c r="DJ2305" s="1" t="s">
        <v>224</v>
      </c>
      <c r="DS2305" s="1" t="s">
        <v>230</v>
      </c>
      <c r="DW2305" s="1" t="s">
        <v>230</v>
      </c>
      <c r="EA2305" s="1" t="s">
        <v>230</v>
      </c>
      <c r="EE2305" s="1" t="s">
        <v>230</v>
      </c>
      <c r="EI2305" s="1" t="s">
        <v>230</v>
      </c>
      <c r="EL2305" s="1" t="s">
        <v>466</v>
      </c>
      <c r="EM2305" s="1" t="s">
        <v>232</v>
      </c>
      <c r="EN2305" s="1" t="s">
        <v>282</v>
      </c>
      <c r="EO2305" s="1" t="s">
        <v>234</v>
      </c>
      <c r="ER2305" s="1" t="s">
        <v>210</v>
      </c>
      <c r="EW2305" s="1" t="s">
        <v>20258</v>
      </c>
      <c r="EZ2305" s="1" t="s">
        <v>287</v>
      </c>
      <c r="FD2305" s="1" t="s">
        <v>246</v>
      </c>
      <c r="FE2305" s="1" t="s">
        <v>247</v>
      </c>
      <c r="FF2305" s="1" t="s">
        <v>248</v>
      </c>
      <c r="FG2305" s="1" t="s">
        <v>1204</v>
      </c>
      <c r="FH2305" s="1" t="s">
        <v>6474</v>
      </c>
      <c r="FL2305" s="1" t="s">
        <v>414</v>
      </c>
      <c r="FM2305" s="1" t="s">
        <v>252</v>
      </c>
      <c r="FN2305" s="1" t="s">
        <v>213</v>
      </c>
      <c r="FO2305" s="1" t="s">
        <v>213</v>
      </c>
      <c r="FQ2305" s="1" t="s">
        <v>1032</v>
      </c>
      <c r="FR2305" s="1" t="s">
        <v>360</v>
      </c>
      <c r="FS2305" s="1" t="s">
        <v>15721</v>
      </c>
      <c r="FT2305" s="1" t="s">
        <v>362</v>
      </c>
      <c r="FU2305" s="1" t="s">
        <v>204</v>
      </c>
      <c r="FW2305" s="1" t="s">
        <v>1652</v>
      </c>
      <c r="FX2305" s="1">
        <v>25623</v>
      </c>
      <c r="FY2305" s="1" t="s">
        <v>20259</v>
      </c>
      <c r="FZ2305" s="1" t="s">
        <v>20260</v>
      </c>
      <c r="GA2305" s="1">
        <v>506919</v>
      </c>
      <c r="GB2305" s="1" t="s">
        <v>20261</v>
      </c>
      <c r="GE2305" s="1" t="s">
        <v>2504</v>
      </c>
      <c r="GH2305" s="1" t="s">
        <v>421</v>
      </c>
      <c r="GI2305" s="1" t="s">
        <v>213</v>
      </c>
      <c r="GJ2305" s="1" t="s">
        <v>300</v>
      </c>
      <c r="GK2305" s="1" t="s">
        <v>210</v>
      </c>
      <c r="GL2305" s="2">
        <v>42107</v>
      </c>
      <c r="GM2305" s="1" t="s">
        <v>20262</v>
      </c>
    </row>
    <row r="2306" spans="1:195">
      <c r="A2306" s="1">
        <v>76000</v>
      </c>
      <c r="B2306" s="1" t="s">
        <v>195</v>
      </c>
      <c r="C2306" s="1" t="str">
        <f>"08816013"</f>
        <v>08816013</v>
      </c>
      <c r="D2306" s="1" t="s">
        <v>196</v>
      </c>
      <c r="F2306" s="1" t="str">
        <f>"107"</f>
        <v>107</v>
      </c>
      <c r="G2306" s="2">
        <v>42018</v>
      </c>
      <c r="H2306" s="1">
        <v>79900</v>
      </c>
      <c r="I2306" s="1">
        <v>79900</v>
      </c>
      <c r="J2306" s="1">
        <v>76000</v>
      </c>
      <c r="K2306" s="2">
        <v>42017</v>
      </c>
      <c r="L2306" s="1">
        <v>16</v>
      </c>
      <c r="M2306" s="2">
        <v>42032</v>
      </c>
      <c r="N2306" s="1">
        <v>16</v>
      </c>
      <c r="O2306" s="2">
        <v>42032</v>
      </c>
      <c r="P2306" s="1">
        <v>18752</v>
      </c>
      <c r="Q2306" s="1" t="s">
        <v>197</v>
      </c>
      <c r="R2306" s="2">
        <v>42074</v>
      </c>
      <c r="S2306" s="1">
        <v>841321</v>
      </c>
      <c r="U2306" s="1">
        <v>3056</v>
      </c>
      <c r="V2306" s="1" t="s">
        <v>10315</v>
      </c>
      <c r="W2306" s="1" t="s">
        <v>304</v>
      </c>
      <c r="X2306" s="1">
        <v>3056</v>
      </c>
      <c r="Y2306" s="1">
        <v>6</v>
      </c>
      <c r="Z2306" s="1" t="s">
        <v>370</v>
      </c>
      <c r="AA2306" s="1" t="s">
        <v>1211</v>
      </c>
      <c r="AB2306" s="1">
        <v>60107</v>
      </c>
      <c r="AD2306" s="1" t="s">
        <v>5383</v>
      </c>
      <c r="AE2306" s="1" t="s">
        <v>20263</v>
      </c>
      <c r="AF2306" s="1">
        <v>1969</v>
      </c>
      <c r="AG2306" s="1" t="s">
        <v>213</v>
      </c>
      <c r="AH2306" s="1" t="s">
        <v>1214</v>
      </c>
      <c r="AI2306" s="1" t="s">
        <v>310</v>
      </c>
      <c r="AJ2306" s="1" t="s">
        <v>374</v>
      </c>
      <c r="AK2306" s="1" t="s">
        <v>1088</v>
      </c>
      <c r="AL2306" s="1">
        <v>6</v>
      </c>
      <c r="AM2306" s="1">
        <v>2</v>
      </c>
      <c r="AN2306" s="1">
        <v>1</v>
      </c>
      <c r="AO2306" s="1">
        <v>0</v>
      </c>
      <c r="AP2306" s="1" t="s">
        <v>210</v>
      </c>
      <c r="AR2306" s="1" t="s">
        <v>209</v>
      </c>
      <c r="AS2306" s="1" t="s">
        <v>204</v>
      </c>
      <c r="AT2306" s="1" t="s">
        <v>271</v>
      </c>
      <c r="AV2306" s="1">
        <v>2</v>
      </c>
      <c r="AW2306" s="1" t="s">
        <v>204</v>
      </c>
      <c r="AX2306" s="1">
        <v>1338</v>
      </c>
      <c r="AZ2306" s="1">
        <v>2855.87</v>
      </c>
      <c r="BA2306" s="1">
        <v>2012</v>
      </c>
      <c r="BB2306" s="1" t="s">
        <v>210</v>
      </c>
      <c r="BE2306" s="1">
        <v>820</v>
      </c>
      <c r="BF2306" s="1">
        <v>1</v>
      </c>
      <c r="BG2306" s="1">
        <v>1</v>
      </c>
      <c r="BJ2306" s="1">
        <v>100</v>
      </c>
      <c r="BL2306" s="1">
        <v>185</v>
      </c>
      <c r="BM2306" s="1" t="s">
        <v>204</v>
      </c>
      <c r="BN2306" s="1" t="s">
        <v>213</v>
      </c>
      <c r="BO2306" s="1">
        <v>0</v>
      </c>
      <c r="BP2306" s="1" t="s">
        <v>204</v>
      </c>
      <c r="BR2306" s="1" t="str">
        <f>"06263090060000"</f>
        <v>06263090060000</v>
      </c>
      <c r="BT2306" s="1" t="s">
        <v>20264</v>
      </c>
      <c r="BU2306" s="1" t="s">
        <v>1216</v>
      </c>
      <c r="BV2306" s="1" t="s">
        <v>3623</v>
      </c>
      <c r="BW2306" s="1" t="s">
        <v>1217</v>
      </c>
      <c r="BX2306" s="1">
        <v>46</v>
      </c>
      <c r="BY2306" s="1">
        <v>46</v>
      </c>
      <c r="BZ2306" s="1">
        <v>46</v>
      </c>
      <c r="CB2306" s="1" t="str">
        <f>"9"</f>
        <v>9</v>
      </c>
      <c r="CC2306" s="1" t="str">
        <f>"0"</f>
        <v>0</v>
      </c>
      <c r="CD2306" s="1">
        <v>28</v>
      </c>
      <c r="CE2306" s="1">
        <v>0</v>
      </c>
      <c r="CG2306" s="1" t="s">
        <v>1045</v>
      </c>
      <c r="CH2306" s="1" t="s">
        <v>219</v>
      </c>
      <c r="CK2306" s="1" t="s">
        <v>539</v>
      </c>
      <c r="CL2306" s="1" t="s">
        <v>219</v>
      </c>
      <c r="CP2306" s="1" t="s">
        <v>224</v>
      </c>
      <c r="CS2306" s="1" t="s">
        <v>318</v>
      </c>
      <c r="CT2306" s="1" t="s">
        <v>219</v>
      </c>
      <c r="CX2306" s="1" t="s">
        <v>224</v>
      </c>
      <c r="DB2306" s="1" t="s">
        <v>224</v>
      </c>
      <c r="DE2306" s="1" t="s">
        <v>1612</v>
      </c>
      <c r="DF2306" s="1" t="s">
        <v>219</v>
      </c>
      <c r="DI2306" s="1" t="s">
        <v>4460</v>
      </c>
      <c r="DJ2306" s="1" t="s">
        <v>822</v>
      </c>
      <c r="DM2306" s="1" t="s">
        <v>1614</v>
      </c>
      <c r="DN2306" s="1" t="s">
        <v>381</v>
      </c>
      <c r="DR2306" s="1" t="s">
        <v>1132</v>
      </c>
      <c r="DS2306" s="1" t="s">
        <v>822</v>
      </c>
      <c r="DV2306" s="1" t="s">
        <v>1724</v>
      </c>
      <c r="DW2306" s="1" t="s">
        <v>219</v>
      </c>
      <c r="EA2306" s="1" t="s">
        <v>230</v>
      </c>
      <c r="EE2306" s="1" t="s">
        <v>230</v>
      </c>
      <c r="EI2306" s="1" t="s">
        <v>230</v>
      </c>
      <c r="EL2306" s="1" t="s">
        <v>605</v>
      </c>
      <c r="EM2306" s="1" t="s">
        <v>319</v>
      </c>
      <c r="EN2306" s="1" t="s">
        <v>210</v>
      </c>
      <c r="EO2306" s="1" t="s">
        <v>234</v>
      </c>
      <c r="EP2306" s="1" t="s">
        <v>6649</v>
      </c>
      <c r="ER2306" s="1" t="s">
        <v>351</v>
      </c>
      <c r="ES2306" s="1" t="s">
        <v>322</v>
      </c>
      <c r="EU2306" s="1" t="s">
        <v>546</v>
      </c>
      <c r="EW2306" s="1" t="s">
        <v>867</v>
      </c>
      <c r="EZ2306" s="1" t="s">
        <v>20265</v>
      </c>
      <c r="FA2306" s="1" t="s">
        <v>9249</v>
      </c>
      <c r="FD2306" s="1" t="s">
        <v>246</v>
      </c>
      <c r="FE2306" s="1" t="s">
        <v>247</v>
      </c>
      <c r="FF2306" s="1" t="s">
        <v>248</v>
      </c>
      <c r="FH2306" s="1" t="s">
        <v>825</v>
      </c>
      <c r="FJ2306" s="1" t="s">
        <v>197</v>
      </c>
      <c r="FK2306" s="1" t="s">
        <v>291</v>
      </c>
      <c r="FL2306" s="1" t="s">
        <v>358</v>
      </c>
      <c r="FM2306" s="1" t="s">
        <v>252</v>
      </c>
      <c r="FN2306" s="1" t="s">
        <v>213</v>
      </c>
      <c r="FO2306" s="1" t="s">
        <v>213</v>
      </c>
      <c r="FQ2306" s="1" t="s">
        <v>673</v>
      </c>
      <c r="FR2306" s="1" t="s">
        <v>210</v>
      </c>
      <c r="FS2306" s="1" t="s">
        <v>2106</v>
      </c>
      <c r="FT2306" s="1" t="s">
        <v>2107</v>
      </c>
      <c r="FU2306" s="1" t="s">
        <v>204</v>
      </c>
      <c r="FW2306" s="1" t="s">
        <v>2108</v>
      </c>
      <c r="FX2306" s="1">
        <v>5085</v>
      </c>
      <c r="FY2306" s="1" t="s">
        <v>2109</v>
      </c>
      <c r="FZ2306" s="1" t="s">
        <v>2110</v>
      </c>
      <c r="GA2306" s="1">
        <v>55549</v>
      </c>
      <c r="GE2306" s="1" t="s">
        <v>210</v>
      </c>
      <c r="GI2306" s="1" t="s">
        <v>213</v>
      </c>
      <c r="GJ2306" s="1" t="s">
        <v>260</v>
      </c>
      <c r="GK2306" s="1" t="s">
        <v>210</v>
      </c>
      <c r="GL2306" s="2">
        <v>42076</v>
      </c>
      <c r="GM2306" s="1" t="s">
        <v>2111</v>
      </c>
    </row>
    <row r="2307" spans="1:195">
      <c r="A2307" s="1">
        <v>176000</v>
      </c>
      <c r="B2307" s="1" t="s">
        <v>195</v>
      </c>
      <c r="C2307" s="1" t="str">
        <f>"08822580"</f>
        <v>08822580</v>
      </c>
      <c r="D2307" s="1" t="s">
        <v>196</v>
      </c>
      <c r="F2307" s="1" t="str">
        <f>"540"</f>
        <v>540</v>
      </c>
      <c r="G2307" s="2">
        <v>42027</v>
      </c>
      <c r="H2307" s="1">
        <v>179900</v>
      </c>
      <c r="I2307" s="1">
        <v>179900</v>
      </c>
      <c r="J2307" s="1">
        <v>176000</v>
      </c>
      <c r="K2307" s="2">
        <v>42027</v>
      </c>
      <c r="L2307" s="1">
        <v>16</v>
      </c>
      <c r="M2307" s="2">
        <v>42042</v>
      </c>
      <c r="N2307" s="1">
        <v>16</v>
      </c>
      <c r="O2307" s="2">
        <v>42042</v>
      </c>
      <c r="P2307" s="1">
        <v>22029</v>
      </c>
      <c r="Q2307" s="1" t="s">
        <v>197</v>
      </c>
      <c r="R2307" s="2">
        <v>42089</v>
      </c>
      <c r="S2307" s="1">
        <v>232707</v>
      </c>
      <c r="U2307" s="1">
        <v>2369</v>
      </c>
      <c r="V2307" s="1" t="s">
        <v>20266</v>
      </c>
      <c r="W2307" s="1" t="s">
        <v>304</v>
      </c>
      <c r="X2307" s="1">
        <v>2369</v>
      </c>
      <c r="Y2307" s="1">
        <v>4</v>
      </c>
      <c r="Z2307" s="1" t="s">
        <v>249</v>
      </c>
      <c r="AA2307" s="1" t="s">
        <v>921</v>
      </c>
      <c r="AB2307" s="1">
        <v>60563</v>
      </c>
      <c r="AD2307" s="1" t="s">
        <v>5950</v>
      </c>
      <c r="AE2307" s="1" t="s">
        <v>20267</v>
      </c>
      <c r="AF2307" s="1">
        <v>2001</v>
      </c>
      <c r="AG2307" s="1" t="s">
        <v>204</v>
      </c>
      <c r="AH2307" s="1" t="s">
        <v>924</v>
      </c>
      <c r="AI2307" s="1" t="s">
        <v>206</v>
      </c>
      <c r="AJ2307" s="1" t="s">
        <v>924</v>
      </c>
      <c r="AK2307" s="1" t="s">
        <v>17745</v>
      </c>
      <c r="AL2307" s="1">
        <v>6</v>
      </c>
      <c r="AM2307" s="1">
        <v>2</v>
      </c>
      <c r="AN2307" s="1">
        <v>2</v>
      </c>
      <c r="AO2307" s="1">
        <v>0</v>
      </c>
      <c r="AP2307" s="1" t="s">
        <v>209</v>
      </c>
      <c r="AQ2307" s="1">
        <v>1</v>
      </c>
      <c r="AR2307" s="1" t="s">
        <v>210</v>
      </c>
      <c r="AS2307" s="1" t="s">
        <v>204</v>
      </c>
      <c r="AT2307" s="1" t="s">
        <v>211</v>
      </c>
      <c r="AU2307" s="1">
        <v>1</v>
      </c>
      <c r="AW2307" s="1" t="s">
        <v>204</v>
      </c>
      <c r="AX2307" s="1" t="s">
        <v>212</v>
      </c>
      <c r="AZ2307" s="1">
        <v>3559</v>
      </c>
      <c r="BA2307" s="1">
        <v>2013</v>
      </c>
      <c r="BE2307" s="1">
        <v>1510</v>
      </c>
      <c r="BF2307" s="1">
        <v>2</v>
      </c>
      <c r="BG2307" s="1">
        <v>0</v>
      </c>
      <c r="BL2307" s="1">
        <v>220</v>
      </c>
      <c r="BM2307" s="1" t="s">
        <v>204</v>
      </c>
      <c r="BN2307" s="1" t="s">
        <v>213</v>
      </c>
      <c r="BO2307" s="1">
        <v>0</v>
      </c>
      <c r="BP2307" s="1" t="s">
        <v>204</v>
      </c>
      <c r="BR2307" s="1" t="str">
        <f>"0709310288"</f>
        <v>0709310288</v>
      </c>
      <c r="BT2307" s="1" t="s">
        <v>20268</v>
      </c>
      <c r="BU2307" s="1" t="s">
        <v>5426</v>
      </c>
      <c r="BV2307" s="1" t="s">
        <v>1130</v>
      </c>
      <c r="BW2307" s="1" t="s">
        <v>1131</v>
      </c>
      <c r="BX2307" s="1">
        <v>204</v>
      </c>
      <c r="BY2307" s="1">
        <v>204</v>
      </c>
      <c r="BZ2307" s="1">
        <v>204</v>
      </c>
      <c r="CB2307" s="1" t="str">
        <f t="shared" ref="CB2307:CC2307" si="1766">""</f>
        <v/>
      </c>
      <c r="CC2307" s="1" t="str">
        <f t="shared" si="1766"/>
        <v/>
      </c>
      <c r="CG2307" s="1" t="s">
        <v>686</v>
      </c>
      <c r="CH2307" s="1" t="s">
        <v>219</v>
      </c>
      <c r="CI2307" s="1" t="s">
        <v>438</v>
      </c>
      <c r="CK2307" s="1" t="s">
        <v>539</v>
      </c>
      <c r="CL2307" s="1" t="s">
        <v>219</v>
      </c>
      <c r="CM2307" s="1" t="s">
        <v>220</v>
      </c>
      <c r="CO2307" s="1" t="s">
        <v>837</v>
      </c>
      <c r="CP2307" s="1" t="s">
        <v>219</v>
      </c>
      <c r="CQ2307" s="1" t="s">
        <v>438</v>
      </c>
      <c r="CS2307" s="1" t="s">
        <v>1046</v>
      </c>
      <c r="CT2307" s="1" t="s">
        <v>219</v>
      </c>
      <c r="CU2307" s="1" t="s">
        <v>220</v>
      </c>
      <c r="CX2307" s="1" t="s">
        <v>224</v>
      </c>
      <c r="DB2307" s="1" t="s">
        <v>224</v>
      </c>
      <c r="DE2307" s="1" t="s">
        <v>1045</v>
      </c>
      <c r="DF2307" s="1" t="s">
        <v>219</v>
      </c>
      <c r="DG2307" s="1" t="s">
        <v>438</v>
      </c>
      <c r="DI2307" s="1" t="s">
        <v>1045</v>
      </c>
      <c r="DJ2307" s="1" t="s">
        <v>219</v>
      </c>
      <c r="DK2307" s="1" t="s">
        <v>438</v>
      </c>
      <c r="DS2307" s="1" t="s">
        <v>230</v>
      </c>
      <c r="DW2307" s="1" t="s">
        <v>230</v>
      </c>
      <c r="EA2307" s="1" t="s">
        <v>230</v>
      </c>
      <c r="EE2307" s="1" t="s">
        <v>230</v>
      </c>
      <c r="EI2307" s="1" t="s">
        <v>230</v>
      </c>
      <c r="EL2307" s="1" t="s">
        <v>466</v>
      </c>
      <c r="EM2307" s="1" t="s">
        <v>232</v>
      </c>
      <c r="EN2307" s="1" t="s">
        <v>282</v>
      </c>
      <c r="EO2307" s="1" t="s">
        <v>234</v>
      </c>
      <c r="EP2307" s="1" t="s">
        <v>20269</v>
      </c>
      <c r="EQ2307" s="1" t="s">
        <v>1551</v>
      </c>
      <c r="ER2307" s="1" t="s">
        <v>210</v>
      </c>
      <c r="ES2307" s="1" t="s">
        <v>608</v>
      </c>
      <c r="EV2307" s="1" t="s">
        <v>240</v>
      </c>
      <c r="EW2307" s="1" t="s">
        <v>1804</v>
      </c>
      <c r="EZ2307" s="1" t="s">
        <v>287</v>
      </c>
      <c r="FB2307" s="1" t="s">
        <v>289</v>
      </c>
      <c r="FD2307" s="1" t="s">
        <v>246</v>
      </c>
      <c r="FE2307" s="1" t="s">
        <v>472</v>
      </c>
      <c r="FF2307" s="1" t="s">
        <v>248</v>
      </c>
      <c r="FH2307" s="1" t="s">
        <v>249</v>
      </c>
      <c r="FI2307" s="1" t="s">
        <v>357</v>
      </c>
      <c r="FL2307" s="1" t="s">
        <v>810</v>
      </c>
      <c r="FM2307" s="1" t="s">
        <v>252</v>
      </c>
      <c r="FN2307" s="1" t="s">
        <v>213</v>
      </c>
      <c r="FO2307" s="1" t="s">
        <v>213</v>
      </c>
      <c r="FQ2307" s="1" t="s">
        <v>5902</v>
      </c>
      <c r="FR2307" s="1" t="s">
        <v>210</v>
      </c>
      <c r="FS2307" s="1" t="s">
        <v>20270</v>
      </c>
      <c r="FT2307" s="1" t="s">
        <v>255</v>
      </c>
      <c r="FU2307" s="1" t="s">
        <v>204</v>
      </c>
      <c r="FW2307" s="1" t="s">
        <v>585</v>
      </c>
      <c r="FX2307" s="1">
        <v>23156</v>
      </c>
      <c r="FY2307" s="1" t="s">
        <v>1253</v>
      </c>
      <c r="FZ2307" s="1" t="s">
        <v>20271</v>
      </c>
      <c r="GA2307" s="1">
        <v>221177</v>
      </c>
      <c r="GB2307" s="1" t="s">
        <v>20272</v>
      </c>
      <c r="GD2307" s="1" t="s">
        <v>20273</v>
      </c>
      <c r="GE2307" s="1" t="s">
        <v>480</v>
      </c>
      <c r="GI2307" s="1" t="s">
        <v>213</v>
      </c>
      <c r="GJ2307" s="1" t="s">
        <v>260</v>
      </c>
      <c r="GK2307" s="1" t="s">
        <v>210</v>
      </c>
      <c r="GL2307" s="2">
        <v>42089</v>
      </c>
      <c r="GM2307" s="1" t="s">
        <v>20274</v>
      </c>
    </row>
    <row r="2308" spans="1:195">
      <c r="A2308" s="1">
        <v>225000</v>
      </c>
      <c r="B2308" s="1" t="s">
        <v>195</v>
      </c>
      <c r="C2308" s="1" t="str">
        <f>"08813699"</f>
        <v>08813699</v>
      </c>
      <c r="D2308" s="1" t="s">
        <v>196</v>
      </c>
      <c r="F2308" s="1" t="str">
        <f>"507"</f>
        <v>507</v>
      </c>
      <c r="G2308" s="2">
        <v>42014</v>
      </c>
      <c r="H2308" s="1">
        <v>234608</v>
      </c>
      <c r="I2308" s="1">
        <v>234608</v>
      </c>
      <c r="J2308" s="1">
        <v>225000</v>
      </c>
      <c r="K2308" s="2">
        <v>42014</v>
      </c>
      <c r="L2308" s="1">
        <v>178</v>
      </c>
      <c r="M2308" s="2">
        <v>42052</v>
      </c>
      <c r="N2308" s="1">
        <v>39</v>
      </c>
      <c r="O2308" s="2">
        <v>42052</v>
      </c>
      <c r="P2308" s="1">
        <v>22205</v>
      </c>
      <c r="Q2308" s="1" t="s">
        <v>423</v>
      </c>
      <c r="R2308" s="2">
        <v>42093</v>
      </c>
      <c r="S2308" s="1">
        <v>250467</v>
      </c>
      <c r="U2308" s="1">
        <v>393</v>
      </c>
      <c r="V2308" s="1" t="s">
        <v>20275</v>
      </c>
      <c r="W2308" s="1" t="s">
        <v>449</v>
      </c>
      <c r="X2308" s="1">
        <v>393</v>
      </c>
      <c r="Y2308" s="1">
        <v>5</v>
      </c>
      <c r="Z2308" s="1" t="s">
        <v>370</v>
      </c>
      <c r="AA2308" s="1" t="s">
        <v>1123</v>
      </c>
      <c r="AB2308" s="1">
        <v>60502</v>
      </c>
      <c r="AD2308" s="1" t="s">
        <v>15756</v>
      </c>
      <c r="AE2308" s="1" t="s">
        <v>20276</v>
      </c>
      <c r="AF2308" s="1">
        <v>2004</v>
      </c>
      <c r="AG2308" s="1" t="s">
        <v>204</v>
      </c>
      <c r="AH2308" s="1" t="s">
        <v>1126</v>
      </c>
      <c r="AI2308" s="1" t="s">
        <v>206</v>
      </c>
      <c r="AJ2308" s="1" t="s">
        <v>924</v>
      </c>
      <c r="AL2308" s="1">
        <v>8</v>
      </c>
      <c r="AM2308" s="1">
        <v>2</v>
      </c>
      <c r="AN2308" s="1">
        <v>3</v>
      </c>
      <c r="AO2308" s="1">
        <v>1</v>
      </c>
      <c r="AP2308" s="1" t="s">
        <v>209</v>
      </c>
      <c r="AQ2308" s="1">
        <v>1</v>
      </c>
      <c r="AR2308" s="1" t="s">
        <v>209</v>
      </c>
      <c r="AS2308" s="1" t="s">
        <v>213</v>
      </c>
      <c r="AT2308" s="1" t="s">
        <v>211</v>
      </c>
      <c r="AU2308" s="1">
        <v>2</v>
      </c>
      <c r="AW2308" s="1" t="s">
        <v>204</v>
      </c>
      <c r="AX2308" s="1" t="s">
        <v>212</v>
      </c>
      <c r="AZ2308" s="1">
        <v>5433</v>
      </c>
      <c r="BA2308" s="1">
        <v>2013</v>
      </c>
      <c r="BE2308" s="1">
        <v>0</v>
      </c>
      <c r="BF2308" s="1">
        <v>1</v>
      </c>
      <c r="BG2308" s="1">
        <v>0</v>
      </c>
      <c r="BL2308" s="1">
        <v>178</v>
      </c>
      <c r="BM2308" s="1" t="s">
        <v>413</v>
      </c>
      <c r="BN2308" s="1" t="s">
        <v>213</v>
      </c>
      <c r="BO2308" s="1">
        <v>999</v>
      </c>
      <c r="BP2308" s="1" t="s">
        <v>204</v>
      </c>
      <c r="BR2308" s="1" t="str">
        <f>"0719420041"</f>
        <v>0719420041</v>
      </c>
      <c r="BT2308" s="1" t="s">
        <v>20277</v>
      </c>
      <c r="BU2308" s="1" t="s">
        <v>6259</v>
      </c>
      <c r="BV2308" s="1" t="s">
        <v>1130</v>
      </c>
      <c r="BW2308" s="1" t="s">
        <v>1131</v>
      </c>
      <c r="BX2308" s="1">
        <v>204</v>
      </c>
      <c r="BY2308" s="1">
        <v>204</v>
      </c>
      <c r="BZ2308" s="1">
        <v>204</v>
      </c>
      <c r="CB2308" s="1" t="str">
        <f t="shared" ref="CB2308:CC2308" si="1767">"0"</f>
        <v>0</v>
      </c>
      <c r="CC2308" s="1" t="str">
        <f t="shared" si="1767"/>
        <v>0</v>
      </c>
      <c r="CD2308" s="1">
        <v>32</v>
      </c>
      <c r="CE2308" s="1">
        <v>7</v>
      </c>
      <c r="CG2308" s="1" t="s">
        <v>1533</v>
      </c>
      <c r="CH2308" s="1" t="s">
        <v>219</v>
      </c>
      <c r="CI2308" s="1" t="s">
        <v>220</v>
      </c>
      <c r="CK2308" s="1" t="s">
        <v>377</v>
      </c>
      <c r="CL2308" s="1" t="s">
        <v>277</v>
      </c>
      <c r="CM2308" s="1" t="s">
        <v>220</v>
      </c>
      <c r="CO2308" s="1" t="s">
        <v>1297</v>
      </c>
      <c r="CP2308" s="1" t="s">
        <v>219</v>
      </c>
      <c r="CQ2308" s="1" t="s">
        <v>438</v>
      </c>
      <c r="CS2308" s="1" t="s">
        <v>461</v>
      </c>
      <c r="CT2308" s="1" t="s">
        <v>277</v>
      </c>
      <c r="CU2308" s="1" t="s">
        <v>220</v>
      </c>
      <c r="CX2308" s="1" t="s">
        <v>224</v>
      </c>
      <c r="DB2308" s="1" t="s">
        <v>224</v>
      </c>
      <c r="DE2308" s="1" t="s">
        <v>932</v>
      </c>
      <c r="DF2308" s="1" t="s">
        <v>219</v>
      </c>
      <c r="DG2308" s="1" t="s">
        <v>438</v>
      </c>
      <c r="DI2308" s="1" t="s">
        <v>3748</v>
      </c>
      <c r="DJ2308" s="1" t="s">
        <v>43</v>
      </c>
      <c r="DK2308" s="1" t="s">
        <v>220</v>
      </c>
      <c r="DM2308" s="1" t="s">
        <v>464</v>
      </c>
      <c r="DN2308" s="1" t="s">
        <v>934</v>
      </c>
      <c r="DR2308" s="1" t="s">
        <v>539</v>
      </c>
      <c r="DS2308" s="1" t="s">
        <v>277</v>
      </c>
      <c r="DT2308" s="1" t="s">
        <v>220</v>
      </c>
      <c r="DV2308" s="1" t="s">
        <v>3748</v>
      </c>
      <c r="DW2308" s="1" t="s">
        <v>43</v>
      </c>
      <c r="DX2308" s="1" t="s">
        <v>220</v>
      </c>
      <c r="EA2308" s="1" t="s">
        <v>230</v>
      </c>
      <c r="EE2308" s="1" t="s">
        <v>230</v>
      </c>
      <c r="EI2308" s="1" t="s">
        <v>230</v>
      </c>
      <c r="EL2308" s="1" t="s">
        <v>466</v>
      </c>
      <c r="EM2308" s="1" t="s">
        <v>319</v>
      </c>
      <c r="EN2308" s="1" t="s">
        <v>210</v>
      </c>
      <c r="EO2308" s="1" t="s">
        <v>234</v>
      </c>
      <c r="EQ2308" s="1" t="s">
        <v>492</v>
      </c>
      <c r="ER2308" s="1" t="s">
        <v>544</v>
      </c>
      <c r="ES2308" s="1" t="s">
        <v>322</v>
      </c>
      <c r="ET2308" s="1" t="s">
        <v>238</v>
      </c>
      <c r="EU2308" s="1" t="s">
        <v>1573</v>
      </c>
      <c r="EW2308" s="1" t="s">
        <v>1250</v>
      </c>
      <c r="EZ2308" s="1" t="s">
        <v>3875</v>
      </c>
      <c r="FA2308" s="1" t="s">
        <v>5059</v>
      </c>
      <c r="FD2308" s="1" t="s">
        <v>246</v>
      </c>
      <c r="FE2308" s="1" t="s">
        <v>20278</v>
      </c>
      <c r="FF2308" s="1" t="s">
        <v>387</v>
      </c>
      <c r="FG2308" s="1" t="s">
        <v>912</v>
      </c>
      <c r="FH2308" s="1" t="s">
        <v>550</v>
      </c>
      <c r="FI2308" s="1" t="s">
        <v>473</v>
      </c>
      <c r="FL2308" s="1" t="s">
        <v>358</v>
      </c>
      <c r="FM2308" s="1" t="s">
        <v>252</v>
      </c>
      <c r="FN2308" s="1" t="s">
        <v>213</v>
      </c>
      <c r="FO2308" s="1" t="s">
        <v>213</v>
      </c>
      <c r="FQ2308" s="1" t="s">
        <v>6135</v>
      </c>
      <c r="FR2308" s="1" t="s">
        <v>210</v>
      </c>
      <c r="FS2308" s="1" t="s">
        <v>20279</v>
      </c>
      <c r="FT2308" s="1" t="s">
        <v>295</v>
      </c>
      <c r="FU2308" s="1" t="s">
        <v>204</v>
      </c>
      <c r="FW2308" s="1" t="s">
        <v>5648</v>
      </c>
      <c r="FX2308" s="1">
        <v>23099</v>
      </c>
      <c r="FY2308" s="1" t="s">
        <v>5649</v>
      </c>
      <c r="FZ2308" s="1" t="s">
        <v>6137</v>
      </c>
      <c r="GA2308" s="1">
        <v>218883</v>
      </c>
      <c r="GB2308" s="1" t="s">
        <v>6138</v>
      </c>
      <c r="GE2308" s="1" t="s">
        <v>480</v>
      </c>
      <c r="GI2308" s="1" t="s">
        <v>213</v>
      </c>
      <c r="GJ2308" s="1" t="s">
        <v>260</v>
      </c>
      <c r="GK2308" s="1" t="s">
        <v>210</v>
      </c>
      <c r="GL2308" s="2">
        <v>42093</v>
      </c>
      <c r="GM2308" s="1" t="s">
        <v>20280</v>
      </c>
    </row>
    <row r="2309" spans="1:195">
      <c r="A2309" s="1">
        <v>66150</v>
      </c>
      <c r="B2309" s="1" t="s">
        <v>195</v>
      </c>
      <c r="C2309" s="1" t="str">
        <f>"08820218"</f>
        <v>08820218</v>
      </c>
      <c r="D2309" s="1" t="s">
        <v>196</v>
      </c>
      <c r="F2309" s="1" t="str">
        <f>"186"</f>
        <v>186</v>
      </c>
      <c r="G2309" s="2">
        <v>42024</v>
      </c>
      <c r="H2309" s="1">
        <v>90000</v>
      </c>
      <c r="I2309" s="1">
        <v>90000</v>
      </c>
      <c r="J2309" s="1">
        <v>66150</v>
      </c>
      <c r="K2309" s="2">
        <v>42024</v>
      </c>
      <c r="L2309" s="1">
        <v>231</v>
      </c>
      <c r="M2309" s="2">
        <v>42031</v>
      </c>
      <c r="N2309" s="1">
        <v>8</v>
      </c>
      <c r="O2309" s="2">
        <v>42031</v>
      </c>
      <c r="P2309" s="1" t="s">
        <v>1039</v>
      </c>
      <c r="Q2309" s="1" t="s">
        <v>302</v>
      </c>
      <c r="R2309" s="2">
        <v>42047</v>
      </c>
      <c r="S2309" s="1">
        <v>99999</v>
      </c>
      <c r="U2309" s="1" t="s">
        <v>20281</v>
      </c>
      <c r="V2309" s="1" t="s">
        <v>4803</v>
      </c>
      <c r="W2309" s="1" t="s">
        <v>425</v>
      </c>
      <c r="Y2309" s="1" t="s">
        <v>432</v>
      </c>
      <c r="Z2309" s="1" t="s">
        <v>370</v>
      </c>
      <c r="AA2309" s="1" t="s">
        <v>2099</v>
      </c>
      <c r="AB2309" s="1">
        <v>60181</v>
      </c>
      <c r="AE2309" s="1" t="s">
        <v>20282</v>
      </c>
      <c r="AF2309" s="1">
        <v>1968</v>
      </c>
      <c r="AG2309" s="1" t="s">
        <v>213</v>
      </c>
      <c r="AH2309" s="1" t="s">
        <v>882</v>
      </c>
      <c r="AI2309" s="1" t="s">
        <v>206</v>
      </c>
      <c r="AJ2309" s="1" t="s">
        <v>1608</v>
      </c>
      <c r="AL2309" s="1">
        <v>4</v>
      </c>
      <c r="AM2309" s="1">
        <v>2</v>
      </c>
      <c r="AN2309" s="1">
        <v>1</v>
      </c>
      <c r="AO2309" s="1">
        <v>1</v>
      </c>
      <c r="AP2309" s="1" t="s">
        <v>210</v>
      </c>
      <c r="AR2309" s="1" t="s">
        <v>209</v>
      </c>
      <c r="AS2309" s="1" t="s">
        <v>204</v>
      </c>
      <c r="AT2309" s="1" t="s">
        <v>271</v>
      </c>
      <c r="AV2309" s="1">
        <v>1</v>
      </c>
      <c r="AW2309" s="1" t="s">
        <v>204</v>
      </c>
      <c r="AX2309" s="1" t="s">
        <v>20283</v>
      </c>
      <c r="AZ2309" s="1">
        <v>1274</v>
      </c>
      <c r="BA2309" s="1">
        <v>2013</v>
      </c>
      <c r="BE2309" s="1">
        <v>876</v>
      </c>
      <c r="BF2309" s="1">
        <v>1</v>
      </c>
      <c r="BG2309" s="1">
        <v>0</v>
      </c>
      <c r="BL2309" s="1">
        <v>186</v>
      </c>
      <c r="BM2309" s="1" t="s">
        <v>204</v>
      </c>
      <c r="BN2309" s="1" t="s">
        <v>204</v>
      </c>
      <c r="BP2309" s="1" t="s">
        <v>204</v>
      </c>
      <c r="BR2309" s="1" t="str">
        <f>"0621213001"</f>
        <v>0621213001</v>
      </c>
      <c r="BT2309" s="1" t="s">
        <v>20284</v>
      </c>
      <c r="BX2309" s="1">
        <v>45</v>
      </c>
      <c r="BY2309" s="1">
        <v>45</v>
      </c>
      <c r="BZ2309" s="1">
        <v>88</v>
      </c>
      <c r="CB2309" s="1" t="str">
        <f t="shared" ref="CB2309:CC2309" si="1768">""</f>
        <v/>
      </c>
      <c r="CC2309" s="1" t="str">
        <f t="shared" si="1768"/>
        <v/>
      </c>
      <c r="CG2309" s="1" t="s">
        <v>2122</v>
      </c>
      <c r="CH2309" s="1" t="s">
        <v>219</v>
      </c>
      <c r="CK2309" s="1" t="s">
        <v>1107</v>
      </c>
      <c r="CL2309" s="1" t="s">
        <v>277</v>
      </c>
      <c r="CP2309" s="1" t="s">
        <v>224</v>
      </c>
      <c r="CS2309" s="1" t="s">
        <v>1470</v>
      </c>
      <c r="CT2309" s="1" t="s">
        <v>277</v>
      </c>
      <c r="CX2309" s="1" t="s">
        <v>224</v>
      </c>
      <c r="DB2309" s="1" t="s">
        <v>224</v>
      </c>
      <c r="DE2309" s="1" t="s">
        <v>408</v>
      </c>
      <c r="DF2309" s="1" t="s">
        <v>219</v>
      </c>
      <c r="DJ2309" s="1" t="s">
        <v>224</v>
      </c>
      <c r="DS2309" s="1" t="s">
        <v>230</v>
      </c>
      <c r="DW2309" s="1" t="s">
        <v>230</v>
      </c>
      <c r="EA2309" s="1" t="s">
        <v>230</v>
      </c>
      <c r="EE2309" s="1" t="s">
        <v>230</v>
      </c>
      <c r="EI2309" s="1" t="s">
        <v>230</v>
      </c>
      <c r="EL2309" s="1" t="s">
        <v>605</v>
      </c>
      <c r="EM2309" s="1" t="s">
        <v>319</v>
      </c>
      <c r="EN2309" s="1" t="s">
        <v>282</v>
      </c>
      <c r="EO2309" s="1" t="s">
        <v>234</v>
      </c>
      <c r="ER2309" s="1" t="s">
        <v>1249</v>
      </c>
      <c r="EW2309" s="1" t="s">
        <v>347</v>
      </c>
      <c r="EZ2309" s="1" t="s">
        <v>287</v>
      </c>
      <c r="FD2309" s="1" t="s">
        <v>1112</v>
      </c>
      <c r="FE2309" s="1" t="s">
        <v>247</v>
      </c>
      <c r="FF2309" s="1" t="s">
        <v>248</v>
      </c>
      <c r="FH2309" s="1" t="s">
        <v>550</v>
      </c>
      <c r="FK2309" s="1" t="s">
        <v>291</v>
      </c>
      <c r="FL2309" s="1" t="s">
        <v>1073</v>
      </c>
      <c r="FM2309" s="1" t="s">
        <v>252</v>
      </c>
      <c r="FN2309" s="1" t="s">
        <v>213</v>
      </c>
      <c r="FO2309" s="1" t="s">
        <v>213</v>
      </c>
      <c r="FQ2309" s="1" t="s">
        <v>20285</v>
      </c>
      <c r="FR2309" s="1" t="s">
        <v>210</v>
      </c>
      <c r="FS2309" s="1" t="s">
        <v>2984</v>
      </c>
      <c r="FT2309" s="1" t="s">
        <v>584</v>
      </c>
      <c r="FU2309" s="1" t="s">
        <v>204</v>
      </c>
      <c r="FW2309" s="1" t="s">
        <v>2985</v>
      </c>
      <c r="FX2309" s="1">
        <v>23959</v>
      </c>
      <c r="FY2309" s="1" t="s">
        <v>2986</v>
      </c>
      <c r="FZ2309" s="1" t="s">
        <v>6386</v>
      </c>
      <c r="GA2309" s="1">
        <v>238419</v>
      </c>
      <c r="GC2309" s="1">
        <v>220868</v>
      </c>
      <c r="GE2309" s="1" t="s">
        <v>210</v>
      </c>
      <c r="GI2309" s="1" t="s">
        <v>213</v>
      </c>
      <c r="GJ2309" s="1" t="s">
        <v>260</v>
      </c>
      <c r="GK2309" s="1" t="s">
        <v>210</v>
      </c>
      <c r="GL2309" s="2">
        <v>42047</v>
      </c>
      <c r="GM2309" s="1" t="s">
        <v>20286</v>
      </c>
    </row>
    <row r="2310" spans="1:195">
      <c r="A2310" s="1">
        <v>78000</v>
      </c>
      <c r="B2310" s="1" t="s">
        <v>195</v>
      </c>
      <c r="C2310" s="1" t="str">
        <f>"08816822"</f>
        <v>08816822</v>
      </c>
      <c r="D2310" s="1" t="s">
        <v>196</v>
      </c>
      <c r="F2310" s="1" t="str">
        <f>"176"</f>
        <v>176</v>
      </c>
      <c r="G2310" s="2">
        <v>42019</v>
      </c>
      <c r="H2310" s="1">
        <v>94900</v>
      </c>
      <c r="I2310" s="1">
        <v>89900</v>
      </c>
      <c r="J2310" s="1">
        <v>78000</v>
      </c>
      <c r="K2310" s="2">
        <v>42019</v>
      </c>
      <c r="L2310" s="1">
        <v>25</v>
      </c>
      <c r="M2310" s="2">
        <v>42043</v>
      </c>
      <c r="N2310" s="1">
        <v>25</v>
      </c>
      <c r="O2310" s="2">
        <v>42043</v>
      </c>
      <c r="P2310" s="1">
        <v>10115</v>
      </c>
      <c r="Q2310" s="1" t="s">
        <v>302</v>
      </c>
      <c r="R2310" s="2">
        <v>42065</v>
      </c>
      <c r="S2310" s="1">
        <v>113435</v>
      </c>
      <c r="U2310" s="1">
        <v>9245</v>
      </c>
      <c r="V2310" s="1" t="s">
        <v>1228</v>
      </c>
      <c r="W2310" s="1" t="s">
        <v>1056</v>
      </c>
      <c r="X2310" s="1" t="s">
        <v>5917</v>
      </c>
      <c r="Y2310" s="1">
        <v>12</v>
      </c>
      <c r="Z2310" s="1" t="s">
        <v>249</v>
      </c>
      <c r="AA2310" s="1" t="s">
        <v>306</v>
      </c>
      <c r="AB2310" s="1">
        <v>60176</v>
      </c>
      <c r="AE2310" s="1" t="s">
        <v>20287</v>
      </c>
      <c r="AF2310" s="1">
        <v>1970</v>
      </c>
      <c r="AG2310" s="1" t="s">
        <v>213</v>
      </c>
      <c r="AH2310" s="1" t="s">
        <v>309</v>
      </c>
      <c r="AI2310" s="1" t="s">
        <v>310</v>
      </c>
      <c r="AJ2310" s="1" t="s">
        <v>311</v>
      </c>
      <c r="AL2310" s="1">
        <v>4</v>
      </c>
      <c r="AM2310" s="1">
        <v>2</v>
      </c>
      <c r="AN2310" s="1">
        <v>1</v>
      </c>
      <c r="AO2310" s="1">
        <v>0</v>
      </c>
      <c r="AP2310" s="1" t="s">
        <v>210</v>
      </c>
      <c r="AR2310" s="1" t="s">
        <v>210</v>
      </c>
      <c r="AS2310" s="1" t="s">
        <v>204</v>
      </c>
      <c r="AT2310" s="1" t="s">
        <v>271</v>
      </c>
      <c r="AV2310" s="1">
        <v>1</v>
      </c>
      <c r="AW2310" s="1" t="s">
        <v>204</v>
      </c>
      <c r="AX2310" s="1" t="s">
        <v>212</v>
      </c>
      <c r="AZ2310" s="1">
        <v>1866.63</v>
      </c>
      <c r="BA2310" s="1">
        <v>2012</v>
      </c>
      <c r="BB2310" s="1" t="s">
        <v>405</v>
      </c>
      <c r="BE2310" s="1">
        <v>650</v>
      </c>
      <c r="BF2310" s="1">
        <v>1</v>
      </c>
      <c r="BG2310" s="1">
        <v>0</v>
      </c>
      <c r="BL2310" s="1">
        <v>152</v>
      </c>
      <c r="BM2310" s="1" t="s">
        <v>204</v>
      </c>
      <c r="BN2310" s="1" t="s">
        <v>213</v>
      </c>
      <c r="BO2310" s="1">
        <v>50</v>
      </c>
      <c r="BP2310" s="1" t="s">
        <v>204</v>
      </c>
      <c r="BR2310" s="1" t="str">
        <f>"12153260281006"</f>
        <v>12153260281006</v>
      </c>
      <c r="BT2310" s="1" t="s">
        <v>20288</v>
      </c>
      <c r="BX2310" s="1">
        <v>81</v>
      </c>
      <c r="BY2310" s="1">
        <v>81</v>
      </c>
      <c r="BZ2310" s="1">
        <v>212</v>
      </c>
      <c r="CB2310" s="1" t="str">
        <f t="shared" ref="CB2310:CC2310" si="1769">""</f>
        <v/>
      </c>
      <c r="CC2310" s="1" t="str">
        <f t="shared" si="1769"/>
        <v/>
      </c>
      <c r="CG2310" s="1" t="s">
        <v>228</v>
      </c>
      <c r="CH2310" s="1" t="s">
        <v>219</v>
      </c>
      <c r="CI2310" s="1" t="s">
        <v>438</v>
      </c>
      <c r="CK2310" s="1" t="s">
        <v>223</v>
      </c>
      <c r="CL2310" s="1" t="s">
        <v>219</v>
      </c>
      <c r="CM2310" s="1" t="s">
        <v>438</v>
      </c>
      <c r="CP2310" s="1" t="s">
        <v>224</v>
      </c>
      <c r="CS2310" s="1" t="s">
        <v>1297</v>
      </c>
      <c r="CT2310" s="1" t="s">
        <v>219</v>
      </c>
      <c r="CU2310" s="1" t="s">
        <v>438</v>
      </c>
      <c r="CX2310" s="1" t="s">
        <v>224</v>
      </c>
      <c r="DB2310" s="1" t="s">
        <v>224</v>
      </c>
      <c r="DE2310" s="1" t="s">
        <v>837</v>
      </c>
      <c r="DF2310" s="1" t="s">
        <v>219</v>
      </c>
      <c r="DG2310" s="1" t="s">
        <v>566</v>
      </c>
      <c r="DJ2310" s="1" t="s">
        <v>224</v>
      </c>
      <c r="DS2310" s="1" t="s">
        <v>230</v>
      </c>
      <c r="DW2310" s="1" t="s">
        <v>230</v>
      </c>
      <c r="EA2310" s="1" t="s">
        <v>230</v>
      </c>
      <c r="EE2310" s="1" t="s">
        <v>230</v>
      </c>
      <c r="EI2310" s="1" t="s">
        <v>230</v>
      </c>
      <c r="EL2310" s="1" t="s">
        <v>605</v>
      </c>
      <c r="EM2310" s="1" t="s">
        <v>730</v>
      </c>
      <c r="EN2310" s="1" t="s">
        <v>731</v>
      </c>
      <c r="EO2310" s="1" t="s">
        <v>234</v>
      </c>
      <c r="EP2310" s="1" t="s">
        <v>4323</v>
      </c>
      <c r="EQ2310" s="1" t="s">
        <v>4356</v>
      </c>
      <c r="ER2310" s="1" t="s">
        <v>210</v>
      </c>
      <c r="ES2310" s="1" t="s">
        <v>608</v>
      </c>
      <c r="ET2310" s="1" t="s">
        <v>1161</v>
      </c>
      <c r="EU2310" s="1" t="s">
        <v>546</v>
      </c>
      <c r="EW2310" s="1" t="s">
        <v>2792</v>
      </c>
      <c r="EY2310" s="1" t="s">
        <v>242</v>
      </c>
      <c r="EZ2310" s="1" t="s">
        <v>287</v>
      </c>
      <c r="FA2310" s="1" t="s">
        <v>1072</v>
      </c>
      <c r="FB2310" s="1" t="s">
        <v>289</v>
      </c>
      <c r="FD2310" s="1" t="s">
        <v>246</v>
      </c>
      <c r="FE2310" s="1" t="s">
        <v>247</v>
      </c>
      <c r="FF2310" s="1" t="s">
        <v>248</v>
      </c>
      <c r="FH2310" s="1" t="s">
        <v>716</v>
      </c>
      <c r="FK2310" s="1" t="s">
        <v>291</v>
      </c>
      <c r="FL2310" s="1" t="s">
        <v>1285</v>
      </c>
      <c r="FM2310" s="1" t="s">
        <v>252</v>
      </c>
      <c r="FN2310" s="1" t="s">
        <v>213</v>
      </c>
      <c r="FO2310" s="1" t="s">
        <v>213</v>
      </c>
      <c r="FQ2310" s="1" t="s">
        <v>6230</v>
      </c>
      <c r="FR2310" s="1" t="s">
        <v>210</v>
      </c>
      <c r="FS2310" s="1" t="s">
        <v>636</v>
      </c>
      <c r="FT2310" s="1" t="s">
        <v>362</v>
      </c>
      <c r="FU2310" s="1" t="s">
        <v>213</v>
      </c>
      <c r="FW2310" s="1" t="s">
        <v>3707</v>
      </c>
      <c r="FX2310" s="1">
        <v>25819</v>
      </c>
      <c r="FY2310" s="1" t="s">
        <v>3708</v>
      </c>
      <c r="FZ2310" s="1" t="s">
        <v>3709</v>
      </c>
      <c r="GA2310" s="1">
        <v>26806</v>
      </c>
      <c r="GB2310" s="1" t="s">
        <v>3710</v>
      </c>
      <c r="GE2310" s="1" t="s">
        <v>210</v>
      </c>
      <c r="GI2310" s="1" t="s">
        <v>213</v>
      </c>
      <c r="GJ2310" s="1" t="s">
        <v>260</v>
      </c>
      <c r="GK2310" s="1" t="s">
        <v>210</v>
      </c>
      <c r="GL2310" s="2">
        <v>42066</v>
      </c>
      <c r="GM2310" s="1" t="s">
        <v>20289</v>
      </c>
    </row>
    <row r="2311" spans="1:195">
      <c r="A2311" s="1">
        <v>67500</v>
      </c>
      <c r="B2311" s="1" t="s">
        <v>195</v>
      </c>
      <c r="C2311" s="1" t="str">
        <f>"08818232"</f>
        <v>08818232</v>
      </c>
      <c r="D2311" s="1" t="s">
        <v>196</v>
      </c>
      <c r="F2311" s="1" t="str">
        <f>"517"</f>
        <v>517</v>
      </c>
      <c r="G2311" s="2">
        <v>42020</v>
      </c>
      <c r="H2311" s="1">
        <v>79900</v>
      </c>
      <c r="I2311" s="1">
        <v>72900</v>
      </c>
      <c r="J2311" s="1">
        <v>67500</v>
      </c>
      <c r="K2311" s="2">
        <v>42020</v>
      </c>
      <c r="L2311" s="1">
        <v>43</v>
      </c>
      <c r="M2311" s="2">
        <v>42062</v>
      </c>
      <c r="N2311" s="1">
        <v>43</v>
      </c>
      <c r="O2311" s="2">
        <v>42062</v>
      </c>
      <c r="P2311" s="1">
        <v>5293</v>
      </c>
      <c r="Q2311" s="1" t="s">
        <v>197</v>
      </c>
      <c r="R2311" s="2">
        <v>42094</v>
      </c>
      <c r="S2311" s="1">
        <v>246085</v>
      </c>
      <c r="U2311" s="1">
        <v>2263</v>
      </c>
      <c r="V2311" s="1" t="s">
        <v>7960</v>
      </c>
      <c r="W2311" s="1" t="s">
        <v>264</v>
      </c>
      <c r="X2311" s="1">
        <v>2</v>
      </c>
      <c r="Y2311" s="1">
        <v>18</v>
      </c>
      <c r="Z2311" s="1" t="s">
        <v>370</v>
      </c>
      <c r="AA2311" s="1" t="s">
        <v>2850</v>
      </c>
      <c r="AB2311" s="1">
        <v>60517</v>
      </c>
      <c r="AE2311" s="1" t="s">
        <v>20290</v>
      </c>
      <c r="AF2311" s="1">
        <v>1979</v>
      </c>
      <c r="AG2311" s="1" t="s">
        <v>204</v>
      </c>
      <c r="AH2311" s="1" t="s">
        <v>2853</v>
      </c>
      <c r="AI2311" s="1" t="s">
        <v>206</v>
      </c>
      <c r="AJ2311" s="1" t="s">
        <v>925</v>
      </c>
      <c r="AL2311" s="1">
        <v>5</v>
      </c>
      <c r="AM2311" s="1">
        <v>2</v>
      </c>
      <c r="AN2311" s="1">
        <v>1</v>
      </c>
      <c r="AO2311" s="1">
        <v>0</v>
      </c>
      <c r="AP2311" s="1" t="s">
        <v>210</v>
      </c>
      <c r="AR2311" s="1" t="s">
        <v>210</v>
      </c>
      <c r="AS2311" s="1" t="s">
        <v>204</v>
      </c>
      <c r="AT2311" s="1" t="s">
        <v>271</v>
      </c>
      <c r="AV2311" s="1">
        <v>0</v>
      </c>
      <c r="AW2311" s="1" t="s">
        <v>204</v>
      </c>
      <c r="AX2311" s="1" t="s">
        <v>212</v>
      </c>
      <c r="AZ2311" s="1">
        <v>1438</v>
      </c>
      <c r="BA2311" s="1">
        <v>2013</v>
      </c>
      <c r="BE2311" s="1">
        <v>957</v>
      </c>
      <c r="BF2311" s="1">
        <v>1</v>
      </c>
      <c r="BG2311" s="1">
        <v>0</v>
      </c>
      <c r="BL2311" s="1">
        <v>280</v>
      </c>
      <c r="BM2311" s="1" t="s">
        <v>204</v>
      </c>
      <c r="BN2311" s="1" t="s">
        <v>213</v>
      </c>
      <c r="BO2311" s="1">
        <v>0</v>
      </c>
      <c r="BP2311" s="1" t="s">
        <v>204</v>
      </c>
      <c r="BR2311" s="1" t="str">
        <f>"0825422002"</f>
        <v>0825422002</v>
      </c>
      <c r="BT2311" s="1" t="s">
        <v>20291</v>
      </c>
      <c r="BX2311" s="1">
        <v>68</v>
      </c>
      <c r="BY2311" s="1">
        <v>68</v>
      </c>
      <c r="BZ2311" s="1">
        <v>99</v>
      </c>
      <c r="CB2311" s="1" t="str">
        <f t="shared" ref="CB2311:CC2311" si="1770">""</f>
        <v/>
      </c>
      <c r="CC2311" s="1" t="str">
        <f t="shared" si="1770"/>
        <v/>
      </c>
      <c r="CG2311" s="1" t="s">
        <v>5519</v>
      </c>
      <c r="CH2311" s="1" t="s">
        <v>219</v>
      </c>
      <c r="CI2311" s="1" t="s">
        <v>220</v>
      </c>
      <c r="CK2311" s="1" t="s">
        <v>885</v>
      </c>
      <c r="CL2311" s="1" t="s">
        <v>219</v>
      </c>
      <c r="CM2311" s="1" t="s">
        <v>220</v>
      </c>
      <c r="CO2311" s="1" t="s">
        <v>3284</v>
      </c>
      <c r="CP2311" s="1" t="s">
        <v>219</v>
      </c>
      <c r="CQ2311" s="1" t="s">
        <v>220</v>
      </c>
      <c r="CS2311" s="1" t="s">
        <v>1297</v>
      </c>
      <c r="CT2311" s="1" t="s">
        <v>219</v>
      </c>
      <c r="CU2311" s="1" t="s">
        <v>220</v>
      </c>
      <c r="CX2311" s="1" t="s">
        <v>224</v>
      </c>
      <c r="DB2311" s="1" t="s">
        <v>224</v>
      </c>
      <c r="DE2311" s="1" t="s">
        <v>5519</v>
      </c>
      <c r="DF2311" s="1" t="s">
        <v>219</v>
      </c>
      <c r="DG2311" s="1" t="s">
        <v>229</v>
      </c>
      <c r="DJ2311" s="1" t="s">
        <v>224</v>
      </c>
      <c r="DS2311" s="1" t="s">
        <v>230</v>
      </c>
      <c r="DW2311" s="1" t="s">
        <v>230</v>
      </c>
      <c r="EA2311" s="1" t="s">
        <v>230</v>
      </c>
      <c r="EE2311" s="1" t="s">
        <v>230</v>
      </c>
      <c r="EI2311" s="1" t="s">
        <v>230</v>
      </c>
      <c r="EL2311" s="1" t="s">
        <v>231</v>
      </c>
      <c r="EM2311" s="1" t="s">
        <v>319</v>
      </c>
      <c r="EN2311" s="1" t="s">
        <v>282</v>
      </c>
      <c r="EO2311" s="1" t="s">
        <v>234</v>
      </c>
      <c r="EQ2311" s="1" t="s">
        <v>10028</v>
      </c>
      <c r="ER2311" s="1" t="s">
        <v>210</v>
      </c>
      <c r="EW2311" s="1" t="s">
        <v>20292</v>
      </c>
      <c r="EZ2311" s="1" t="s">
        <v>287</v>
      </c>
      <c r="FD2311" s="1" t="s">
        <v>246</v>
      </c>
      <c r="FE2311" s="1" t="s">
        <v>247</v>
      </c>
      <c r="FF2311" s="1" t="s">
        <v>248</v>
      </c>
      <c r="FH2311" s="1" t="s">
        <v>249</v>
      </c>
      <c r="FL2311" s="1" t="s">
        <v>414</v>
      </c>
      <c r="FM2311" s="1" t="s">
        <v>252</v>
      </c>
      <c r="FN2311" s="1" t="s">
        <v>213</v>
      </c>
      <c r="FO2311" s="1" t="s">
        <v>213</v>
      </c>
      <c r="FQ2311" s="1" t="s">
        <v>4699</v>
      </c>
      <c r="FR2311" s="1" t="s">
        <v>210</v>
      </c>
      <c r="FS2311" s="1" t="s">
        <v>20293</v>
      </c>
      <c r="FT2311" s="1" t="s">
        <v>295</v>
      </c>
      <c r="FU2311" s="1" t="s">
        <v>213</v>
      </c>
      <c r="FW2311" s="1" t="s">
        <v>8200</v>
      </c>
      <c r="FX2311" s="1">
        <v>24223</v>
      </c>
      <c r="FY2311" s="1" t="s">
        <v>8201</v>
      </c>
      <c r="FZ2311" s="1" t="s">
        <v>8202</v>
      </c>
      <c r="GA2311" s="1">
        <v>219862</v>
      </c>
      <c r="GE2311" s="1" t="s">
        <v>210</v>
      </c>
      <c r="GI2311" s="1" t="s">
        <v>204</v>
      </c>
      <c r="GJ2311" s="1" t="s">
        <v>260</v>
      </c>
      <c r="GK2311" s="1" t="s">
        <v>210</v>
      </c>
      <c r="GL2311" s="2">
        <v>42095</v>
      </c>
      <c r="GM2311" s="1" t="s">
        <v>20294</v>
      </c>
    </row>
    <row r="2312" spans="1:195">
      <c r="A2312" s="1">
        <v>46000</v>
      </c>
      <c r="B2312" s="1" t="s">
        <v>195</v>
      </c>
      <c r="C2312" s="1" t="str">
        <f>"08817311"</f>
        <v>08817311</v>
      </c>
      <c r="D2312" s="1" t="s">
        <v>196</v>
      </c>
      <c r="F2312" s="1" t="str">
        <f>"560"</f>
        <v>560</v>
      </c>
      <c r="G2312" s="2">
        <v>42019</v>
      </c>
      <c r="H2312" s="1">
        <v>46400</v>
      </c>
      <c r="I2312" s="1">
        <v>46400</v>
      </c>
      <c r="J2312" s="1">
        <v>46000</v>
      </c>
      <c r="K2312" s="2">
        <v>42019</v>
      </c>
      <c r="L2312" s="1">
        <v>21</v>
      </c>
      <c r="M2312" s="2">
        <v>42039</v>
      </c>
      <c r="N2312" s="1">
        <v>21</v>
      </c>
      <c r="O2312" s="2">
        <v>42039</v>
      </c>
      <c r="P2312" s="1">
        <v>23196</v>
      </c>
      <c r="Q2312" s="1" t="s">
        <v>423</v>
      </c>
      <c r="R2312" s="2">
        <v>42111</v>
      </c>
      <c r="S2312" s="1">
        <v>225759</v>
      </c>
      <c r="U2312" s="1">
        <v>136</v>
      </c>
      <c r="V2312" s="1" t="s">
        <v>482</v>
      </c>
      <c r="W2312" s="1" t="s">
        <v>264</v>
      </c>
      <c r="X2312" s="1" t="s">
        <v>483</v>
      </c>
      <c r="Y2312" s="1">
        <v>12</v>
      </c>
      <c r="Z2312" s="1" t="s">
        <v>249</v>
      </c>
      <c r="AA2312" s="1" t="s">
        <v>484</v>
      </c>
      <c r="AB2312" s="1">
        <v>60560</v>
      </c>
      <c r="AE2312" s="1" t="s">
        <v>20295</v>
      </c>
      <c r="AF2312" s="1">
        <v>2006</v>
      </c>
      <c r="AG2312" s="1" t="s">
        <v>204</v>
      </c>
      <c r="AH2312" s="1" t="s">
        <v>487</v>
      </c>
      <c r="AI2312" s="1" t="s">
        <v>453</v>
      </c>
      <c r="AJ2312" s="1" t="s">
        <v>454</v>
      </c>
      <c r="AL2312" s="1">
        <v>5</v>
      </c>
      <c r="AM2312" s="1">
        <v>2</v>
      </c>
      <c r="AN2312" s="1">
        <v>2</v>
      </c>
      <c r="AO2312" s="1">
        <v>0</v>
      </c>
      <c r="AP2312" s="1" t="s">
        <v>210</v>
      </c>
      <c r="AR2312" s="1" t="s">
        <v>210</v>
      </c>
      <c r="AS2312" s="1" t="s">
        <v>204</v>
      </c>
      <c r="AT2312" s="1" t="s">
        <v>211</v>
      </c>
      <c r="AU2312" s="1">
        <v>1</v>
      </c>
      <c r="AW2312" s="1" t="s">
        <v>204</v>
      </c>
      <c r="AX2312" s="1" t="s">
        <v>212</v>
      </c>
      <c r="AZ2312" s="1">
        <v>4313.0600000000004</v>
      </c>
      <c r="BA2312" s="1">
        <v>2012</v>
      </c>
      <c r="BE2312" s="1">
        <v>992</v>
      </c>
      <c r="BF2312" s="1">
        <v>1</v>
      </c>
      <c r="BG2312" s="1">
        <v>0</v>
      </c>
      <c r="BL2312" s="1">
        <v>185</v>
      </c>
      <c r="BM2312" s="1" t="s">
        <v>413</v>
      </c>
      <c r="BN2312" s="1" t="s">
        <v>213</v>
      </c>
      <c r="BO2312" s="1">
        <v>0</v>
      </c>
      <c r="BP2312" s="1" t="s">
        <v>204</v>
      </c>
      <c r="BR2312" s="1" t="str">
        <f>"0204390315"</f>
        <v>0204390315</v>
      </c>
      <c r="BT2312" s="1" t="s">
        <v>20296</v>
      </c>
      <c r="BX2312" s="1">
        <v>115</v>
      </c>
      <c r="BY2312" s="1">
        <v>115</v>
      </c>
      <c r="BZ2312" s="1">
        <v>115</v>
      </c>
      <c r="CB2312" s="1" t="str">
        <f t="shared" ref="CB2312:CC2312" si="1771">""</f>
        <v/>
      </c>
      <c r="CC2312" s="1" t="str">
        <f t="shared" si="1771"/>
        <v/>
      </c>
      <c r="CG2312" s="1" t="s">
        <v>2466</v>
      </c>
      <c r="CH2312" s="1" t="s">
        <v>219</v>
      </c>
      <c r="CK2312" s="1" t="s">
        <v>465</v>
      </c>
      <c r="CL2312" s="1" t="s">
        <v>219</v>
      </c>
      <c r="CO2312" s="1" t="s">
        <v>4926</v>
      </c>
      <c r="CP2312" s="1" t="s">
        <v>219</v>
      </c>
      <c r="CS2312" s="1" t="s">
        <v>489</v>
      </c>
      <c r="CT2312" s="1" t="s">
        <v>219</v>
      </c>
      <c r="CX2312" s="1" t="s">
        <v>224</v>
      </c>
      <c r="DB2312" s="1" t="s">
        <v>224</v>
      </c>
      <c r="DE2312" s="1" t="s">
        <v>7101</v>
      </c>
      <c r="DF2312" s="1" t="s">
        <v>219</v>
      </c>
      <c r="DJ2312" s="1" t="s">
        <v>224</v>
      </c>
      <c r="DS2312" s="1" t="s">
        <v>230</v>
      </c>
      <c r="DW2312" s="1" t="s">
        <v>230</v>
      </c>
      <c r="EA2312" s="1" t="s">
        <v>230</v>
      </c>
      <c r="EE2312" s="1" t="s">
        <v>230</v>
      </c>
      <c r="EI2312" s="1" t="s">
        <v>230</v>
      </c>
      <c r="EL2312" s="1" t="s">
        <v>491</v>
      </c>
      <c r="EM2312" s="1" t="s">
        <v>319</v>
      </c>
      <c r="EN2312" s="1" t="s">
        <v>731</v>
      </c>
      <c r="EO2312" s="1" t="s">
        <v>234</v>
      </c>
      <c r="ER2312" s="1" t="s">
        <v>210</v>
      </c>
      <c r="EW2312" s="1" t="s">
        <v>347</v>
      </c>
      <c r="EZ2312" s="1" t="s">
        <v>287</v>
      </c>
      <c r="FD2312" s="1" t="s">
        <v>1649</v>
      </c>
      <c r="FE2312" s="1" t="s">
        <v>496</v>
      </c>
      <c r="FF2312" s="1" t="s">
        <v>248</v>
      </c>
      <c r="FH2312" s="1" t="s">
        <v>249</v>
      </c>
      <c r="FL2312" s="1" t="s">
        <v>292</v>
      </c>
      <c r="FM2312" s="1" t="s">
        <v>252</v>
      </c>
      <c r="FN2312" s="1" t="s">
        <v>213</v>
      </c>
      <c r="FO2312" s="1" t="s">
        <v>213</v>
      </c>
      <c r="FQ2312" s="1" t="s">
        <v>689</v>
      </c>
      <c r="FR2312" s="1" t="s">
        <v>210</v>
      </c>
      <c r="FS2312" s="1" t="s">
        <v>2541</v>
      </c>
      <c r="FT2312" s="1" t="s">
        <v>654</v>
      </c>
      <c r="FU2312" s="1" t="s">
        <v>204</v>
      </c>
      <c r="FW2312" s="1" t="s">
        <v>4399</v>
      </c>
      <c r="FX2312" s="1">
        <v>8698</v>
      </c>
      <c r="FY2312" s="1" t="s">
        <v>4400</v>
      </c>
      <c r="FZ2312" s="1" t="s">
        <v>4401</v>
      </c>
      <c r="GA2312" s="1">
        <v>85273</v>
      </c>
      <c r="GB2312" s="1" t="s">
        <v>4400</v>
      </c>
      <c r="GE2312" s="1" t="s">
        <v>210</v>
      </c>
      <c r="GI2312" s="1" t="s">
        <v>204</v>
      </c>
      <c r="GJ2312" s="1" t="s">
        <v>260</v>
      </c>
      <c r="GK2312" s="1" t="s">
        <v>210</v>
      </c>
      <c r="GL2312" s="2">
        <v>42111</v>
      </c>
      <c r="GM2312" s="1" t="s">
        <v>20297</v>
      </c>
    </row>
    <row r="2313" spans="1:195">
      <c r="A2313" s="1">
        <v>172000</v>
      </c>
      <c r="B2313" s="1" t="s">
        <v>195</v>
      </c>
      <c r="C2313" s="1" t="str">
        <f>"08820840"</f>
        <v>08820840</v>
      </c>
      <c r="D2313" s="1" t="s">
        <v>196</v>
      </c>
      <c r="F2313" s="1" t="str">
        <f>"510"</f>
        <v>510</v>
      </c>
      <c r="G2313" s="2">
        <v>42025</v>
      </c>
      <c r="H2313" s="1">
        <v>189900</v>
      </c>
      <c r="I2313" s="1">
        <v>189900</v>
      </c>
      <c r="J2313" s="1">
        <v>172000</v>
      </c>
      <c r="K2313" s="2">
        <v>42025</v>
      </c>
      <c r="L2313" s="1">
        <v>28</v>
      </c>
      <c r="M2313" s="2">
        <v>42052</v>
      </c>
      <c r="N2313" s="1">
        <v>28</v>
      </c>
      <c r="O2313" s="2">
        <v>42052</v>
      </c>
      <c r="P2313" s="1">
        <v>30</v>
      </c>
      <c r="Q2313" s="1" t="s">
        <v>197</v>
      </c>
      <c r="R2313" s="2">
        <v>42122</v>
      </c>
      <c r="S2313" s="1">
        <v>329</v>
      </c>
      <c r="U2313" s="1">
        <v>26</v>
      </c>
      <c r="V2313" s="1" t="s">
        <v>946</v>
      </c>
      <c r="W2313" s="1" t="s">
        <v>526</v>
      </c>
      <c r="Y2313" s="1">
        <v>4</v>
      </c>
      <c r="Z2313" s="1" t="s">
        <v>370</v>
      </c>
      <c r="AA2313" s="1" t="s">
        <v>947</v>
      </c>
      <c r="AB2313" s="1">
        <v>60510</v>
      </c>
      <c r="AD2313" s="1" t="s">
        <v>19231</v>
      </c>
      <c r="AE2313" s="1" t="s">
        <v>20298</v>
      </c>
      <c r="AF2313" s="1">
        <v>1995</v>
      </c>
      <c r="AG2313" s="1" t="s">
        <v>204</v>
      </c>
      <c r="AH2313" s="1" t="s">
        <v>949</v>
      </c>
      <c r="AI2313" s="1" t="s">
        <v>665</v>
      </c>
      <c r="AJ2313" s="1" t="s">
        <v>664</v>
      </c>
      <c r="AK2313" s="1" t="s">
        <v>2391</v>
      </c>
      <c r="AL2313" s="1">
        <v>5</v>
      </c>
      <c r="AM2313" s="1">
        <v>2</v>
      </c>
      <c r="AN2313" s="1">
        <v>2</v>
      </c>
      <c r="AO2313" s="1">
        <v>1</v>
      </c>
      <c r="AP2313" s="1" t="s">
        <v>209</v>
      </c>
      <c r="AQ2313" s="1">
        <v>0</v>
      </c>
      <c r="AR2313" s="1" t="s">
        <v>210</v>
      </c>
      <c r="AT2313" s="1" t="s">
        <v>211</v>
      </c>
      <c r="AU2313" s="1">
        <v>2</v>
      </c>
      <c r="AW2313" s="1" t="s">
        <v>204</v>
      </c>
      <c r="AX2313" s="1" t="s">
        <v>212</v>
      </c>
      <c r="AZ2313" s="1">
        <v>4741.16</v>
      </c>
      <c r="BA2313" s="1">
        <v>2013</v>
      </c>
      <c r="BB2313" s="1" t="s">
        <v>210</v>
      </c>
      <c r="BE2313" s="1">
        <v>1337</v>
      </c>
      <c r="BF2313" s="1">
        <v>1</v>
      </c>
      <c r="BG2313" s="1">
        <v>0</v>
      </c>
      <c r="BL2313" s="1">
        <v>195</v>
      </c>
      <c r="BM2313" s="1" t="s">
        <v>204</v>
      </c>
      <c r="BN2313" s="1" t="s">
        <v>213</v>
      </c>
      <c r="BO2313" s="1">
        <v>0</v>
      </c>
      <c r="BP2313" s="1" t="s">
        <v>204</v>
      </c>
      <c r="BR2313" s="1" t="str">
        <f>"1220230014"</f>
        <v>1220230014</v>
      </c>
      <c r="BT2313" s="1" t="s">
        <v>20299</v>
      </c>
      <c r="BU2313" s="1" t="s">
        <v>19235</v>
      </c>
      <c r="BV2313" s="1" t="s">
        <v>6404</v>
      </c>
      <c r="BW2313" s="1" t="s">
        <v>6405</v>
      </c>
      <c r="BX2313" s="1">
        <v>101</v>
      </c>
      <c r="BY2313" s="1">
        <v>101</v>
      </c>
      <c r="BZ2313" s="1">
        <v>101</v>
      </c>
      <c r="CB2313" s="1" t="str">
        <f t="shared" ref="CB2313:CC2313" si="1772">""</f>
        <v/>
      </c>
      <c r="CC2313" s="1" t="str">
        <f t="shared" si="1772"/>
        <v/>
      </c>
      <c r="CG2313" s="1" t="s">
        <v>2042</v>
      </c>
      <c r="CH2313" s="1" t="s">
        <v>219</v>
      </c>
      <c r="CI2313" s="1" t="s">
        <v>220</v>
      </c>
      <c r="CJ2313" s="1" t="s">
        <v>343</v>
      </c>
      <c r="CK2313" s="1" t="s">
        <v>1045</v>
      </c>
      <c r="CL2313" s="1" t="s">
        <v>277</v>
      </c>
      <c r="CM2313" s="1" t="s">
        <v>220</v>
      </c>
      <c r="CN2313" s="1" t="s">
        <v>343</v>
      </c>
      <c r="CO2313" s="1" t="s">
        <v>629</v>
      </c>
      <c r="CP2313" s="1" t="s">
        <v>219</v>
      </c>
      <c r="CQ2313" s="1" t="s">
        <v>220</v>
      </c>
      <c r="CR2313" s="1" t="s">
        <v>252</v>
      </c>
      <c r="CS2313" s="1" t="s">
        <v>1470</v>
      </c>
      <c r="CT2313" s="1" t="s">
        <v>277</v>
      </c>
      <c r="CU2313" s="1" t="s">
        <v>220</v>
      </c>
      <c r="CV2313" s="1" t="s">
        <v>343</v>
      </c>
      <c r="CX2313" s="1" t="s">
        <v>224</v>
      </c>
      <c r="DB2313" s="1" t="s">
        <v>224</v>
      </c>
      <c r="DE2313" s="1" t="s">
        <v>3319</v>
      </c>
      <c r="DF2313" s="1" t="s">
        <v>219</v>
      </c>
      <c r="DG2313" s="1" t="s">
        <v>226</v>
      </c>
      <c r="DH2313" s="1" t="s">
        <v>343</v>
      </c>
      <c r="DJ2313" s="1" t="s">
        <v>224</v>
      </c>
      <c r="DM2313" s="1" t="s">
        <v>709</v>
      </c>
      <c r="DN2313" s="1" t="s">
        <v>1771</v>
      </c>
      <c r="DR2313" s="1" t="s">
        <v>20300</v>
      </c>
      <c r="DS2313" s="1" t="s">
        <v>219</v>
      </c>
      <c r="DT2313" s="1" t="s">
        <v>226</v>
      </c>
      <c r="DU2313" s="1" t="s">
        <v>210</v>
      </c>
      <c r="DV2313" s="1" t="s">
        <v>2279</v>
      </c>
      <c r="DW2313" s="1" t="s">
        <v>277</v>
      </c>
      <c r="DX2313" s="1" t="s">
        <v>220</v>
      </c>
      <c r="DY2313" s="1" t="s">
        <v>210</v>
      </c>
      <c r="EA2313" s="1" t="s">
        <v>230</v>
      </c>
      <c r="EE2313" s="1" t="s">
        <v>230</v>
      </c>
      <c r="EI2313" s="1" t="s">
        <v>230</v>
      </c>
      <c r="EL2313" s="1" t="s">
        <v>670</v>
      </c>
      <c r="EM2313" s="1" t="s">
        <v>319</v>
      </c>
      <c r="EN2313" s="1" t="s">
        <v>282</v>
      </c>
      <c r="EO2313" s="1" t="s">
        <v>234</v>
      </c>
      <c r="EQ2313" s="1" t="s">
        <v>1109</v>
      </c>
      <c r="ER2313" s="1" t="s">
        <v>383</v>
      </c>
      <c r="ES2313" s="1" t="s">
        <v>1160</v>
      </c>
      <c r="ET2313" s="1" t="s">
        <v>842</v>
      </c>
      <c r="EV2313" s="1" t="s">
        <v>240</v>
      </c>
      <c r="EW2313" s="1" t="s">
        <v>867</v>
      </c>
      <c r="EZ2313" s="1" t="s">
        <v>2948</v>
      </c>
      <c r="FA2313" s="1" t="s">
        <v>471</v>
      </c>
      <c r="FD2313" s="1" t="s">
        <v>246</v>
      </c>
      <c r="FE2313" s="1" t="s">
        <v>355</v>
      </c>
      <c r="FF2313" s="1" t="s">
        <v>248</v>
      </c>
      <c r="FH2313" s="1" t="s">
        <v>550</v>
      </c>
      <c r="FI2313" s="1" t="s">
        <v>473</v>
      </c>
      <c r="FL2313" s="1" t="s">
        <v>358</v>
      </c>
      <c r="FM2313" s="1" t="s">
        <v>252</v>
      </c>
      <c r="FN2313" s="1" t="s">
        <v>213</v>
      </c>
      <c r="FO2313" s="1" t="s">
        <v>213</v>
      </c>
      <c r="FQ2313" s="1" t="s">
        <v>2091</v>
      </c>
      <c r="FR2313" s="1" t="s">
        <v>210</v>
      </c>
      <c r="FS2313" s="1" t="s">
        <v>20301</v>
      </c>
      <c r="FT2313" s="1" t="s">
        <v>675</v>
      </c>
      <c r="FU2313" s="1" t="s">
        <v>213</v>
      </c>
      <c r="FW2313" s="1" t="s">
        <v>13153</v>
      </c>
      <c r="FX2313" s="1">
        <v>280</v>
      </c>
      <c r="FY2313" s="1" t="s">
        <v>13154</v>
      </c>
      <c r="FZ2313" s="1" t="s">
        <v>13155</v>
      </c>
      <c r="GA2313" s="1">
        <v>1127</v>
      </c>
      <c r="GB2313" s="1" t="s">
        <v>13156</v>
      </c>
      <c r="GC2313" s="1">
        <v>2089</v>
      </c>
      <c r="GD2313" s="1" t="s">
        <v>15474</v>
      </c>
      <c r="GE2313" s="1" t="s">
        <v>335</v>
      </c>
      <c r="GH2313" s="1" t="s">
        <v>230</v>
      </c>
      <c r="GI2313" s="1" t="s">
        <v>213</v>
      </c>
      <c r="GJ2313" s="1" t="s">
        <v>260</v>
      </c>
      <c r="GK2313" s="1" t="s">
        <v>210</v>
      </c>
      <c r="GL2313" s="2">
        <v>42123</v>
      </c>
      <c r="GM2313" s="1" t="s">
        <v>20302</v>
      </c>
    </row>
    <row r="2314" spans="1:195">
      <c r="A2314" s="1">
        <v>92000</v>
      </c>
      <c r="B2314" s="1" t="s">
        <v>195</v>
      </c>
      <c r="C2314" s="1" t="str">
        <f>"08823012"</f>
        <v>08823012</v>
      </c>
      <c r="D2314" s="1" t="s">
        <v>196</v>
      </c>
      <c r="F2314" s="1" t="str">
        <f>"540"</f>
        <v>540</v>
      </c>
      <c r="G2314" s="2">
        <v>42027</v>
      </c>
      <c r="H2314" s="1">
        <v>97900</v>
      </c>
      <c r="I2314" s="1">
        <v>97900</v>
      </c>
      <c r="J2314" s="1">
        <v>92000</v>
      </c>
      <c r="K2314" s="2">
        <v>42027</v>
      </c>
      <c r="L2314" s="1">
        <v>18</v>
      </c>
      <c r="M2314" s="2">
        <v>42044</v>
      </c>
      <c r="N2314" s="1">
        <v>18</v>
      </c>
      <c r="O2314" s="2">
        <v>42044</v>
      </c>
      <c r="P2314" s="1">
        <v>21324</v>
      </c>
      <c r="Q2314" s="1" t="s">
        <v>197</v>
      </c>
      <c r="R2314" s="2">
        <v>42114</v>
      </c>
      <c r="S2314" s="1">
        <v>238009</v>
      </c>
      <c r="T2314" s="1">
        <v>100</v>
      </c>
      <c r="U2314" s="1">
        <v>451</v>
      </c>
      <c r="V2314" s="1" t="s">
        <v>20303</v>
      </c>
      <c r="W2314" s="1" t="s">
        <v>264</v>
      </c>
      <c r="X2314" s="1">
        <v>304</v>
      </c>
      <c r="Y2314" s="1">
        <v>12</v>
      </c>
      <c r="Z2314" s="1" t="s">
        <v>249</v>
      </c>
      <c r="AA2314" s="1" t="s">
        <v>921</v>
      </c>
      <c r="AB2314" s="1">
        <v>60563</v>
      </c>
      <c r="AE2314" s="1" t="s">
        <v>20304</v>
      </c>
      <c r="AF2314" s="1">
        <v>1989</v>
      </c>
      <c r="AG2314" s="1" t="s">
        <v>204</v>
      </c>
      <c r="AH2314" s="1" t="s">
        <v>924</v>
      </c>
      <c r="AI2314" s="1" t="s">
        <v>206</v>
      </c>
      <c r="AJ2314" s="1" t="s">
        <v>924</v>
      </c>
      <c r="AL2314" s="1">
        <v>5</v>
      </c>
      <c r="AM2314" s="1">
        <v>2</v>
      </c>
      <c r="AN2314" s="1">
        <v>2</v>
      </c>
      <c r="AO2314" s="1">
        <v>0</v>
      </c>
      <c r="AP2314" s="1" t="s">
        <v>209</v>
      </c>
      <c r="AQ2314" s="1">
        <v>1</v>
      </c>
      <c r="AR2314" s="1" t="s">
        <v>210</v>
      </c>
      <c r="AS2314" s="1" t="s">
        <v>204</v>
      </c>
      <c r="AT2314" s="1" t="s">
        <v>211</v>
      </c>
      <c r="AU2314" s="1">
        <v>1</v>
      </c>
      <c r="AW2314" s="1" t="s">
        <v>204</v>
      </c>
      <c r="AX2314" s="1" t="s">
        <v>212</v>
      </c>
      <c r="AZ2314" s="1">
        <v>2542</v>
      </c>
      <c r="BA2314" s="1">
        <v>2013</v>
      </c>
      <c r="BE2314" s="1">
        <v>1211</v>
      </c>
      <c r="BF2314" s="1">
        <v>3</v>
      </c>
      <c r="BG2314" s="1">
        <v>5</v>
      </c>
      <c r="BJ2314" s="1">
        <v>80</v>
      </c>
      <c r="BL2314" s="1">
        <v>250</v>
      </c>
      <c r="BM2314" s="1" t="s">
        <v>204</v>
      </c>
      <c r="BN2314" s="1" t="s">
        <v>213</v>
      </c>
      <c r="BO2314" s="1">
        <v>0</v>
      </c>
      <c r="BP2314" s="1" t="s">
        <v>204</v>
      </c>
      <c r="BR2314" s="1" t="str">
        <f>"0714225012"</f>
        <v>0714225012</v>
      </c>
      <c r="BT2314" s="1" t="s">
        <v>20305</v>
      </c>
      <c r="BX2314" s="1">
        <v>203</v>
      </c>
      <c r="BY2314" s="1">
        <v>203</v>
      </c>
      <c r="BZ2314" s="1">
        <v>203</v>
      </c>
      <c r="CB2314" s="1" t="str">
        <f t="shared" ref="CB2314:CC2314" si="1773">""</f>
        <v/>
      </c>
      <c r="CC2314" s="1" t="str">
        <f t="shared" si="1773"/>
        <v/>
      </c>
      <c r="CG2314" s="1" t="s">
        <v>2402</v>
      </c>
      <c r="CH2314" s="1" t="s">
        <v>219</v>
      </c>
      <c r="CI2314" s="1" t="s">
        <v>220</v>
      </c>
      <c r="CK2314" s="1" t="s">
        <v>757</v>
      </c>
      <c r="CL2314" s="1" t="s">
        <v>219</v>
      </c>
      <c r="CM2314" s="1" t="s">
        <v>220</v>
      </c>
      <c r="CO2314" s="1" t="s">
        <v>346</v>
      </c>
      <c r="CP2314" s="1" t="s">
        <v>219</v>
      </c>
      <c r="CQ2314" s="1" t="s">
        <v>220</v>
      </c>
      <c r="CS2314" s="1" t="s">
        <v>437</v>
      </c>
      <c r="CT2314" s="1" t="s">
        <v>219</v>
      </c>
      <c r="CU2314" s="1" t="s">
        <v>220</v>
      </c>
      <c r="CX2314" s="1" t="s">
        <v>224</v>
      </c>
      <c r="DB2314" s="1" t="s">
        <v>224</v>
      </c>
      <c r="DE2314" s="1" t="s">
        <v>1297</v>
      </c>
      <c r="DF2314" s="1" t="s">
        <v>219</v>
      </c>
      <c r="DG2314" s="1" t="s">
        <v>342</v>
      </c>
      <c r="DJ2314" s="1" t="s">
        <v>224</v>
      </c>
      <c r="DS2314" s="1" t="s">
        <v>230</v>
      </c>
      <c r="DW2314" s="1" t="s">
        <v>230</v>
      </c>
      <c r="EA2314" s="1" t="s">
        <v>230</v>
      </c>
      <c r="EE2314" s="1" t="s">
        <v>230</v>
      </c>
      <c r="EI2314" s="1" t="s">
        <v>230</v>
      </c>
      <c r="EL2314" s="1" t="s">
        <v>542</v>
      </c>
      <c r="EM2314" s="1" t="s">
        <v>319</v>
      </c>
      <c r="EN2314" s="1" t="s">
        <v>282</v>
      </c>
      <c r="EO2314" s="1" t="s">
        <v>234</v>
      </c>
      <c r="ER2314" s="1" t="s">
        <v>210</v>
      </c>
      <c r="EW2314" s="1" t="s">
        <v>887</v>
      </c>
      <c r="EZ2314" s="1" t="s">
        <v>287</v>
      </c>
      <c r="FB2314" s="1" t="s">
        <v>289</v>
      </c>
      <c r="FD2314" s="1" t="s">
        <v>246</v>
      </c>
      <c r="FE2314" s="1" t="s">
        <v>247</v>
      </c>
      <c r="FF2314" s="1" t="s">
        <v>248</v>
      </c>
      <c r="FH2314" s="1" t="s">
        <v>249</v>
      </c>
      <c r="FJ2314" s="1" t="s">
        <v>423</v>
      </c>
      <c r="FL2314" s="1" t="s">
        <v>358</v>
      </c>
      <c r="FM2314" s="1" t="s">
        <v>252</v>
      </c>
      <c r="FN2314" s="1" t="s">
        <v>213</v>
      </c>
      <c r="FO2314" s="1" t="s">
        <v>213</v>
      </c>
      <c r="FQ2314" s="1" t="s">
        <v>689</v>
      </c>
      <c r="FR2314" s="1" t="s">
        <v>652</v>
      </c>
      <c r="FS2314" s="1" t="s">
        <v>1318</v>
      </c>
      <c r="FT2314" s="1" t="s">
        <v>654</v>
      </c>
      <c r="FU2314" s="1" t="s">
        <v>204</v>
      </c>
      <c r="FW2314" s="1" t="s">
        <v>1857</v>
      </c>
      <c r="FX2314" s="1">
        <v>22993</v>
      </c>
      <c r="FY2314" s="1" t="s">
        <v>1858</v>
      </c>
      <c r="FZ2314" s="1" t="s">
        <v>1859</v>
      </c>
      <c r="GA2314" s="1">
        <v>233401</v>
      </c>
      <c r="GB2314" s="1" t="s">
        <v>1858</v>
      </c>
      <c r="GD2314" s="1" t="s">
        <v>1860</v>
      </c>
      <c r="GE2314" s="1" t="s">
        <v>1764</v>
      </c>
      <c r="GI2314" s="1" t="s">
        <v>213</v>
      </c>
      <c r="GJ2314" s="1" t="s">
        <v>260</v>
      </c>
      <c r="GK2314" s="1" t="s">
        <v>210</v>
      </c>
      <c r="GL2314" s="2">
        <v>42114</v>
      </c>
      <c r="GM2314" s="1" t="s">
        <v>20306</v>
      </c>
    </row>
    <row r="2315" spans="1:195">
      <c r="A2315" s="1">
        <v>31000</v>
      </c>
      <c r="B2315" s="1" t="s">
        <v>195</v>
      </c>
      <c r="C2315" s="1" t="str">
        <f>"08821421"</f>
        <v>08821421</v>
      </c>
      <c r="D2315" s="1" t="s">
        <v>196</v>
      </c>
      <c r="F2315" s="1" t="str">
        <f>"2104"</f>
        <v>2104</v>
      </c>
      <c r="G2315" s="2">
        <v>42025</v>
      </c>
      <c r="H2315" s="1">
        <v>21000</v>
      </c>
      <c r="I2315" s="1">
        <v>21000</v>
      </c>
      <c r="J2315" s="1">
        <v>31000</v>
      </c>
      <c r="K2315" s="2">
        <v>42024</v>
      </c>
      <c r="L2315" s="1">
        <v>20</v>
      </c>
      <c r="M2315" s="2">
        <v>42043</v>
      </c>
      <c r="N2315" s="1">
        <v>20</v>
      </c>
      <c r="O2315" s="2">
        <v>42043</v>
      </c>
      <c r="P2315" s="1">
        <v>15391</v>
      </c>
      <c r="Q2315" s="1" t="s">
        <v>302</v>
      </c>
      <c r="R2315" s="2">
        <v>42115</v>
      </c>
      <c r="S2315" s="1">
        <v>148794</v>
      </c>
      <c r="U2315" s="1">
        <v>4010</v>
      </c>
      <c r="V2315" s="1" t="s">
        <v>20307</v>
      </c>
      <c r="W2315" s="1" t="s">
        <v>725</v>
      </c>
      <c r="X2315" s="1">
        <v>104</v>
      </c>
      <c r="Y2315" s="1">
        <v>8</v>
      </c>
      <c r="Z2315" s="1" t="s">
        <v>249</v>
      </c>
      <c r="AA2315" s="1" t="s">
        <v>3029</v>
      </c>
      <c r="AB2315" s="1">
        <v>60104</v>
      </c>
      <c r="AE2315" s="1" t="s">
        <v>20308</v>
      </c>
      <c r="AF2315" s="1">
        <v>1960</v>
      </c>
      <c r="AG2315" s="1" t="s">
        <v>213</v>
      </c>
      <c r="AH2315" s="1" t="s">
        <v>3031</v>
      </c>
      <c r="AI2315" s="1" t="s">
        <v>310</v>
      </c>
      <c r="AJ2315" s="1" t="s">
        <v>429</v>
      </c>
      <c r="AL2315" s="1">
        <v>4</v>
      </c>
      <c r="AM2315" s="1">
        <v>2</v>
      </c>
      <c r="AN2315" s="1">
        <v>1</v>
      </c>
      <c r="AO2315" s="1">
        <v>0</v>
      </c>
      <c r="AP2315" s="1" t="s">
        <v>210</v>
      </c>
      <c r="AR2315" s="1" t="s">
        <v>209</v>
      </c>
      <c r="AS2315" s="1" t="s">
        <v>204</v>
      </c>
      <c r="AT2315" s="1" t="s">
        <v>271</v>
      </c>
      <c r="AV2315" s="1">
        <v>2</v>
      </c>
      <c r="AW2315" s="1" t="s">
        <v>204</v>
      </c>
      <c r="AX2315" s="1" t="s">
        <v>20309</v>
      </c>
      <c r="AZ2315" s="3">
        <v>2817</v>
      </c>
      <c r="BA2315" s="1">
        <v>2012</v>
      </c>
      <c r="BE2315" s="1">
        <v>650</v>
      </c>
      <c r="BF2315" s="1">
        <v>1</v>
      </c>
      <c r="BG2315" s="1">
        <v>36</v>
      </c>
      <c r="BL2315" s="1">
        <v>250</v>
      </c>
      <c r="BM2315" s="1" t="s">
        <v>204</v>
      </c>
      <c r="BN2315" s="1" t="s">
        <v>213</v>
      </c>
      <c r="BP2315" s="1" t="s">
        <v>204</v>
      </c>
      <c r="BR2315" s="1" t="str">
        <f>"15161010611004"</f>
        <v>15161010611004</v>
      </c>
      <c r="BT2315" s="1" t="s">
        <v>20310</v>
      </c>
      <c r="BX2315" s="1">
        <v>88</v>
      </c>
      <c r="BY2315" s="1">
        <v>88</v>
      </c>
      <c r="BZ2315" s="1">
        <v>209</v>
      </c>
      <c r="CB2315" s="1" t="str">
        <f t="shared" ref="CB2315:CC2315" si="1774">""</f>
        <v/>
      </c>
      <c r="CC2315" s="1" t="str">
        <f t="shared" si="1774"/>
        <v/>
      </c>
      <c r="CG2315" s="1" t="s">
        <v>1267</v>
      </c>
      <c r="CH2315" s="1" t="s">
        <v>219</v>
      </c>
      <c r="CI2315" s="1" t="s">
        <v>220</v>
      </c>
      <c r="CK2315" s="1" t="s">
        <v>278</v>
      </c>
      <c r="CL2315" s="1" t="s">
        <v>219</v>
      </c>
      <c r="CM2315" s="1" t="s">
        <v>438</v>
      </c>
      <c r="CP2315" s="1" t="s">
        <v>224</v>
      </c>
      <c r="CS2315" s="1" t="s">
        <v>465</v>
      </c>
      <c r="CT2315" s="1" t="s">
        <v>219</v>
      </c>
      <c r="CU2315" s="1" t="s">
        <v>438</v>
      </c>
      <c r="CX2315" s="1" t="s">
        <v>224</v>
      </c>
      <c r="DB2315" s="1" t="s">
        <v>224</v>
      </c>
      <c r="DE2315" s="1" t="s">
        <v>1358</v>
      </c>
      <c r="DF2315" s="1" t="s">
        <v>219</v>
      </c>
      <c r="DG2315" s="1" t="s">
        <v>226</v>
      </c>
      <c r="DJ2315" s="1" t="s">
        <v>224</v>
      </c>
      <c r="DS2315" s="1" t="s">
        <v>230</v>
      </c>
      <c r="DW2315" s="1" t="s">
        <v>230</v>
      </c>
      <c r="EA2315" s="1" t="s">
        <v>230</v>
      </c>
      <c r="EE2315" s="1" t="s">
        <v>230</v>
      </c>
      <c r="EI2315" s="1" t="s">
        <v>230</v>
      </c>
      <c r="EL2315" s="1" t="s">
        <v>649</v>
      </c>
      <c r="EM2315" s="1" t="s">
        <v>319</v>
      </c>
      <c r="EN2315" s="1" t="s">
        <v>731</v>
      </c>
      <c r="EO2315" s="1" t="s">
        <v>234</v>
      </c>
      <c r="EP2315" s="1" t="s">
        <v>4323</v>
      </c>
      <c r="ER2315" s="1" t="s">
        <v>351</v>
      </c>
      <c r="EW2315" s="1" t="s">
        <v>4815</v>
      </c>
      <c r="EZ2315" s="1" t="s">
        <v>287</v>
      </c>
      <c r="FC2315" s="1" t="s">
        <v>633</v>
      </c>
      <c r="FD2315" s="1" t="s">
        <v>736</v>
      </c>
      <c r="FE2315" s="1" t="s">
        <v>247</v>
      </c>
      <c r="FF2315" s="1" t="s">
        <v>248</v>
      </c>
      <c r="FH2315" s="1" t="s">
        <v>249</v>
      </c>
      <c r="FJ2315" s="1" t="s">
        <v>197</v>
      </c>
      <c r="FL2315" s="1" t="s">
        <v>1164</v>
      </c>
      <c r="FM2315" s="1" t="s">
        <v>252</v>
      </c>
      <c r="FN2315" s="1" t="s">
        <v>213</v>
      </c>
      <c r="FO2315" s="1" t="s">
        <v>213</v>
      </c>
      <c r="FQ2315" s="1" t="s">
        <v>20311</v>
      </c>
      <c r="FR2315" s="1" t="s">
        <v>360</v>
      </c>
      <c r="FS2315" s="1" t="s">
        <v>20312</v>
      </c>
      <c r="FT2315" s="1" t="s">
        <v>20313</v>
      </c>
      <c r="FU2315" s="1" t="s">
        <v>204</v>
      </c>
      <c r="FW2315" s="1" t="s">
        <v>20314</v>
      </c>
      <c r="FX2315" s="1">
        <v>252</v>
      </c>
      <c r="FY2315" s="1" t="s">
        <v>20315</v>
      </c>
      <c r="FZ2315" s="1" t="s">
        <v>20316</v>
      </c>
      <c r="GA2315" s="1">
        <v>8551</v>
      </c>
      <c r="GD2315" s="1">
        <v>7739795050</v>
      </c>
      <c r="GE2315" s="1" t="s">
        <v>1576</v>
      </c>
      <c r="GI2315" s="1" t="s">
        <v>204</v>
      </c>
      <c r="GJ2315" s="1" t="s">
        <v>260</v>
      </c>
      <c r="GK2315" s="1" t="s">
        <v>210</v>
      </c>
      <c r="GL2315" s="2">
        <v>42122</v>
      </c>
      <c r="GM2315" s="1" t="s">
        <v>20317</v>
      </c>
    </row>
    <row r="2316" spans="1:195">
      <c r="A2316" s="1">
        <v>150000</v>
      </c>
      <c r="B2316" s="1" t="s">
        <v>195</v>
      </c>
      <c r="C2316" s="1" t="str">
        <f>"08822475"</f>
        <v>08822475</v>
      </c>
      <c r="D2316" s="1" t="s">
        <v>196</v>
      </c>
      <c r="F2316" s="1" t="str">
        <f>"61"</f>
        <v>61</v>
      </c>
      <c r="G2316" s="2">
        <v>42027</v>
      </c>
      <c r="H2316" s="1">
        <v>169000</v>
      </c>
      <c r="I2316" s="1">
        <v>160000</v>
      </c>
      <c r="J2316" s="1">
        <v>150000</v>
      </c>
      <c r="K2316" s="2">
        <v>42025</v>
      </c>
      <c r="L2316" s="1">
        <v>103</v>
      </c>
      <c r="M2316" s="2">
        <v>42127</v>
      </c>
      <c r="N2316" s="1">
        <v>103</v>
      </c>
      <c r="O2316" s="2">
        <v>42127</v>
      </c>
      <c r="P2316" s="1">
        <v>3460</v>
      </c>
      <c r="Q2316" s="1" t="s">
        <v>302</v>
      </c>
      <c r="R2316" s="2">
        <v>42132</v>
      </c>
      <c r="S2316" s="1">
        <v>35222</v>
      </c>
      <c r="U2316" s="1">
        <v>1304</v>
      </c>
      <c r="V2316" s="1" t="s">
        <v>1211</v>
      </c>
      <c r="W2316" s="1" t="s">
        <v>504</v>
      </c>
      <c r="X2316" s="1">
        <v>309</v>
      </c>
      <c r="Y2316" s="1">
        <v>8</v>
      </c>
      <c r="Z2316" s="1" t="s">
        <v>370</v>
      </c>
      <c r="AA2316" s="1" t="s">
        <v>505</v>
      </c>
      <c r="AB2316" s="1">
        <v>60061</v>
      </c>
      <c r="AE2316" s="1" t="s">
        <v>20318</v>
      </c>
      <c r="AF2316" s="1">
        <v>1987</v>
      </c>
      <c r="AG2316" s="1" t="s">
        <v>204</v>
      </c>
      <c r="AH2316" s="1" t="s">
        <v>508</v>
      </c>
      <c r="AI2316" s="1" t="s">
        <v>509</v>
      </c>
      <c r="AJ2316" s="1" t="s">
        <v>1693</v>
      </c>
      <c r="AL2316" s="1">
        <v>5</v>
      </c>
      <c r="AM2316" s="1">
        <v>2</v>
      </c>
      <c r="AN2316" s="1">
        <v>1</v>
      </c>
      <c r="AO2316" s="1">
        <v>0</v>
      </c>
      <c r="AP2316" s="1" t="s">
        <v>667</v>
      </c>
      <c r="AR2316" s="1" t="s">
        <v>210</v>
      </c>
      <c r="AS2316" s="1" t="s">
        <v>204</v>
      </c>
      <c r="AT2316" s="1" t="s">
        <v>211</v>
      </c>
      <c r="AU2316" s="1">
        <v>1</v>
      </c>
      <c r="AW2316" s="1" t="s">
        <v>213</v>
      </c>
      <c r="AX2316" s="1" t="s">
        <v>212</v>
      </c>
      <c r="AZ2316" s="1">
        <v>3973.65</v>
      </c>
      <c r="BA2316" s="1">
        <v>2013</v>
      </c>
      <c r="BE2316" s="1">
        <v>1189</v>
      </c>
      <c r="BF2316" s="1">
        <v>1</v>
      </c>
      <c r="BG2316" s="1">
        <v>0</v>
      </c>
      <c r="BL2316" s="1">
        <v>238</v>
      </c>
      <c r="BM2316" s="1" t="s">
        <v>204</v>
      </c>
      <c r="BN2316" s="1" t="s">
        <v>213</v>
      </c>
      <c r="BP2316" s="1" t="s">
        <v>204</v>
      </c>
      <c r="BR2316" s="1" t="str">
        <f>"11331013090000"</f>
        <v>11331013090000</v>
      </c>
      <c r="BT2316" s="1" t="s">
        <v>20319</v>
      </c>
      <c r="BX2316" s="1">
        <v>73</v>
      </c>
      <c r="BY2316" s="1">
        <v>73</v>
      </c>
      <c r="BZ2316" s="1">
        <v>128</v>
      </c>
      <c r="CB2316" s="1" t="str">
        <f t="shared" ref="CB2316:CC2316" si="1775">""</f>
        <v/>
      </c>
      <c r="CC2316" s="1" t="str">
        <f t="shared" si="1775"/>
        <v/>
      </c>
      <c r="CG2316" s="1" t="s">
        <v>4225</v>
      </c>
      <c r="CH2316" s="1" t="s">
        <v>219</v>
      </c>
      <c r="CI2316" s="1" t="s">
        <v>220</v>
      </c>
      <c r="CJ2316" s="1" t="s">
        <v>343</v>
      </c>
      <c r="CK2316" s="1" t="s">
        <v>280</v>
      </c>
      <c r="CL2316" s="1" t="s">
        <v>219</v>
      </c>
      <c r="CM2316" s="1" t="s">
        <v>220</v>
      </c>
      <c r="CO2316" s="1" t="s">
        <v>1470</v>
      </c>
      <c r="CP2316" s="1" t="s">
        <v>219</v>
      </c>
      <c r="CQ2316" s="1" t="s">
        <v>220</v>
      </c>
      <c r="CS2316" s="1" t="s">
        <v>318</v>
      </c>
      <c r="CT2316" s="1" t="s">
        <v>219</v>
      </c>
      <c r="CX2316" s="1" t="s">
        <v>224</v>
      </c>
      <c r="DB2316" s="1" t="s">
        <v>224</v>
      </c>
      <c r="DE2316" s="1" t="s">
        <v>279</v>
      </c>
      <c r="DF2316" s="1" t="s">
        <v>219</v>
      </c>
      <c r="DG2316" s="1" t="s">
        <v>342</v>
      </c>
      <c r="DJ2316" s="1" t="s">
        <v>224</v>
      </c>
      <c r="DM2316" s="1" t="s">
        <v>3011</v>
      </c>
      <c r="DR2316" s="1" t="s">
        <v>1937</v>
      </c>
      <c r="DS2316" s="1" t="s">
        <v>219</v>
      </c>
      <c r="DW2316" s="1" t="s">
        <v>230</v>
      </c>
      <c r="EA2316" s="1" t="s">
        <v>230</v>
      </c>
      <c r="EE2316" s="1" t="s">
        <v>230</v>
      </c>
      <c r="EI2316" s="1" t="s">
        <v>230</v>
      </c>
      <c r="EL2316" s="1" t="s">
        <v>542</v>
      </c>
      <c r="EM2316" s="1" t="s">
        <v>232</v>
      </c>
      <c r="EN2316" s="1" t="s">
        <v>282</v>
      </c>
      <c r="EO2316" s="1" t="s">
        <v>234</v>
      </c>
      <c r="ER2316" s="1" t="s">
        <v>210</v>
      </c>
      <c r="EW2316" s="1" t="s">
        <v>1504</v>
      </c>
      <c r="EZ2316" s="1" t="s">
        <v>3011</v>
      </c>
      <c r="FD2316" s="1" t="s">
        <v>3287</v>
      </c>
      <c r="FE2316" s="1" t="s">
        <v>10096</v>
      </c>
      <c r="FF2316" s="1" t="s">
        <v>248</v>
      </c>
      <c r="FH2316" s="1" t="s">
        <v>388</v>
      </c>
      <c r="FL2316" s="1" t="s">
        <v>358</v>
      </c>
      <c r="FM2316" s="1" t="s">
        <v>252</v>
      </c>
      <c r="FN2316" s="1" t="s">
        <v>213</v>
      </c>
      <c r="FO2316" s="1" t="s">
        <v>213</v>
      </c>
      <c r="FQ2316" s="1" t="s">
        <v>1884</v>
      </c>
      <c r="FR2316" s="1" t="s">
        <v>210</v>
      </c>
      <c r="FS2316" s="1" t="s">
        <v>2608</v>
      </c>
      <c r="FT2316" s="1" t="s">
        <v>362</v>
      </c>
      <c r="FU2316" s="1" t="s">
        <v>204</v>
      </c>
      <c r="FW2316" s="1" t="s">
        <v>943</v>
      </c>
      <c r="FX2316" s="1">
        <v>23120</v>
      </c>
      <c r="FY2316" s="1" t="s">
        <v>944</v>
      </c>
      <c r="FZ2316" s="1" t="s">
        <v>1886</v>
      </c>
      <c r="GA2316" s="1">
        <v>241879</v>
      </c>
      <c r="GE2316" s="1" t="s">
        <v>210</v>
      </c>
      <c r="GH2316" s="1" t="s">
        <v>230</v>
      </c>
      <c r="GI2316" s="1" t="s">
        <v>213</v>
      </c>
      <c r="GJ2316" s="1" t="s">
        <v>260</v>
      </c>
      <c r="GK2316" s="1" t="s">
        <v>210</v>
      </c>
      <c r="GL2316" s="2">
        <v>42133</v>
      </c>
      <c r="GM2316" s="1" t="s">
        <v>20320</v>
      </c>
    </row>
    <row r="2317" spans="1:195">
      <c r="A2317" s="1">
        <v>135000</v>
      </c>
      <c r="B2317" s="1" t="s">
        <v>195</v>
      </c>
      <c r="C2317" s="1" t="str">
        <f>"08822092"</f>
        <v>08822092</v>
      </c>
      <c r="D2317" s="1" t="s">
        <v>196</v>
      </c>
      <c r="F2317" s="1" t="str">
        <f>"30"</f>
        <v>30</v>
      </c>
      <c r="G2317" s="2">
        <v>42026</v>
      </c>
      <c r="H2317" s="1">
        <v>139900</v>
      </c>
      <c r="I2317" s="1">
        <v>139900</v>
      </c>
      <c r="J2317" s="1">
        <v>135000</v>
      </c>
      <c r="K2317" s="2">
        <v>42026</v>
      </c>
      <c r="L2317" s="1">
        <v>5</v>
      </c>
      <c r="M2317" s="2">
        <v>42030</v>
      </c>
      <c r="N2317" s="1">
        <v>5</v>
      </c>
      <c r="O2317" s="2">
        <v>42030</v>
      </c>
      <c r="P2317" s="1">
        <v>2644</v>
      </c>
      <c r="Q2317" s="1" t="s">
        <v>302</v>
      </c>
      <c r="R2317" s="2">
        <v>42048</v>
      </c>
      <c r="S2317" s="1">
        <v>18736</v>
      </c>
      <c r="U2317" s="1">
        <v>10</v>
      </c>
      <c r="V2317" s="1" t="s">
        <v>509</v>
      </c>
      <c r="W2317" s="1" t="s">
        <v>725</v>
      </c>
      <c r="X2317" s="1">
        <v>201</v>
      </c>
      <c r="Y2317" s="1">
        <v>66</v>
      </c>
      <c r="Z2317" s="1" t="s">
        <v>370</v>
      </c>
      <c r="AA2317" s="1" t="s">
        <v>1834</v>
      </c>
      <c r="AB2317" s="1">
        <v>60030</v>
      </c>
      <c r="AD2317" s="1" t="s">
        <v>20321</v>
      </c>
      <c r="AE2317" s="1" t="s">
        <v>20322</v>
      </c>
      <c r="AF2317" s="1">
        <v>2007</v>
      </c>
      <c r="AG2317" s="1" t="s">
        <v>204</v>
      </c>
      <c r="AH2317" s="1" t="s">
        <v>1837</v>
      </c>
      <c r="AI2317" s="1" t="s">
        <v>509</v>
      </c>
      <c r="AJ2317" s="1" t="s">
        <v>1263</v>
      </c>
      <c r="AL2317" s="1">
        <v>5</v>
      </c>
      <c r="AM2317" s="1">
        <v>2</v>
      </c>
      <c r="AN2317" s="1">
        <v>2</v>
      </c>
      <c r="AO2317" s="1">
        <v>0</v>
      </c>
      <c r="AP2317" s="1" t="s">
        <v>209</v>
      </c>
      <c r="AQ2317" s="1">
        <v>0</v>
      </c>
      <c r="AR2317" s="1" t="s">
        <v>210</v>
      </c>
      <c r="AS2317" s="1" t="s">
        <v>204</v>
      </c>
      <c r="AT2317" s="1" t="s">
        <v>211</v>
      </c>
      <c r="AU2317" s="1">
        <v>1</v>
      </c>
      <c r="AW2317" s="1" t="s">
        <v>204</v>
      </c>
      <c r="AX2317" s="1" t="s">
        <v>1265</v>
      </c>
      <c r="AZ2317" s="1">
        <v>2897.87</v>
      </c>
      <c r="BA2317" s="1">
        <v>2013</v>
      </c>
      <c r="BB2317" s="1" t="s">
        <v>599</v>
      </c>
      <c r="BE2317" s="1">
        <v>1792</v>
      </c>
      <c r="BF2317" s="1">
        <v>2</v>
      </c>
      <c r="BG2317" s="1">
        <v>0</v>
      </c>
      <c r="BL2317" s="1">
        <v>310</v>
      </c>
      <c r="BM2317" s="1" t="s">
        <v>204</v>
      </c>
      <c r="BN2317" s="1" t="s">
        <v>213</v>
      </c>
      <c r="BO2317" s="1">
        <v>20</v>
      </c>
      <c r="BP2317" s="1" t="s">
        <v>204</v>
      </c>
      <c r="BR2317" s="1" t="str">
        <f>"06274100660000"</f>
        <v>06274100660000</v>
      </c>
      <c r="BT2317" s="1" t="s">
        <v>20323</v>
      </c>
      <c r="BU2317" s="1" t="s">
        <v>14227</v>
      </c>
      <c r="BV2317" s="1" t="s">
        <v>1842</v>
      </c>
      <c r="BW2317" s="1" t="s">
        <v>2737</v>
      </c>
      <c r="BX2317" s="1">
        <v>46</v>
      </c>
      <c r="BY2317" s="1">
        <v>46</v>
      </c>
      <c r="BZ2317" s="1">
        <v>127</v>
      </c>
      <c r="CB2317" s="1" t="str">
        <f t="shared" ref="CB2317:CC2317" si="1776">""</f>
        <v/>
      </c>
      <c r="CC2317" s="1" t="str">
        <f t="shared" si="1776"/>
        <v/>
      </c>
      <c r="CG2317" s="1" t="s">
        <v>2511</v>
      </c>
      <c r="CH2317" s="1" t="s">
        <v>277</v>
      </c>
      <c r="CI2317" s="1" t="s">
        <v>220</v>
      </c>
      <c r="CJ2317" s="1" t="s">
        <v>343</v>
      </c>
      <c r="CK2317" s="1" t="s">
        <v>932</v>
      </c>
      <c r="CL2317" s="1" t="s">
        <v>277</v>
      </c>
      <c r="CM2317" s="1" t="s">
        <v>220</v>
      </c>
      <c r="CN2317" s="1" t="s">
        <v>343</v>
      </c>
      <c r="CO2317" s="1" t="s">
        <v>1469</v>
      </c>
      <c r="CP2317" s="1" t="s">
        <v>277</v>
      </c>
      <c r="CQ2317" s="1" t="s">
        <v>220</v>
      </c>
      <c r="CR2317" s="1" t="s">
        <v>210</v>
      </c>
      <c r="CS2317" s="1" t="s">
        <v>1469</v>
      </c>
      <c r="CT2317" s="1" t="s">
        <v>277</v>
      </c>
      <c r="CU2317" s="1" t="s">
        <v>220</v>
      </c>
      <c r="CV2317" s="1" t="s">
        <v>343</v>
      </c>
      <c r="CX2317" s="1" t="s">
        <v>224</v>
      </c>
      <c r="DB2317" s="1" t="s">
        <v>224</v>
      </c>
      <c r="DE2317" s="1" t="s">
        <v>1106</v>
      </c>
      <c r="DF2317" s="1" t="s">
        <v>277</v>
      </c>
      <c r="DG2317" s="1" t="s">
        <v>342</v>
      </c>
      <c r="DH2317" s="1" t="s">
        <v>210</v>
      </c>
      <c r="DJ2317" s="1" t="s">
        <v>224</v>
      </c>
      <c r="DS2317" s="1" t="s">
        <v>230</v>
      </c>
      <c r="DW2317" s="1" t="s">
        <v>230</v>
      </c>
      <c r="EA2317" s="1" t="s">
        <v>230</v>
      </c>
      <c r="EE2317" s="1" t="s">
        <v>230</v>
      </c>
      <c r="EI2317" s="1" t="s">
        <v>230</v>
      </c>
      <c r="EL2317" s="1" t="s">
        <v>491</v>
      </c>
      <c r="EM2317" s="1" t="s">
        <v>319</v>
      </c>
      <c r="EN2317" s="1" t="s">
        <v>282</v>
      </c>
      <c r="EO2317" s="1" t="s">
        <v>234</v>
      </c>
      <c r="EQ2317" s="1" t="s">
        <v>468</v>
      </c>
      <c r="ER2317" s="1" t="s">
        <v>210</v>
      </c>
      <c r="ES2317" s="1" t="s">
        <v>3763</v>
      </c>
      <c r="ET2317" s="1" t="s">
        <v>866</v>
      </c>
      <c r="EU2317" s="1" t="s">
        <v>239</v>
      </c>
      <c r="EV2317" s="1" t="s">
        <v>240</v>
      </c>
      <c r="EW2317" s="1" t="s">
        <v>1111</v>
      </c>
      <c r="EY2317" s="1" t="s">
        <v>242</v>
      </c>
      <c r="EZ2317" s="1" t="s">
        <v>287</v>
      </c>
      <c r="FB2317" s="1" t="s">
        <v>289</v>
      </c>
      <c r="FD2317" s="1" t="s">
        <v>290</v>
      </c>
      <c r="FE2317" s="1" t="s">
        <v>247</v>
      </c>
      <c r="FF2317" s="1" t="s">
        <v>248</v>
      </c>
      <c r="FH2317" s="1" t="s">
        <v>249</v>
      </c>
      <c r="FI2317" s="1" t="s">
        <v>250</v>
      </c>
      <c r="FJ2317" s="1" t="s">
        <v>197</v>
      </c>
      <c r="FL2317" s="1" t="s">
        <v>358</v>
      </c>
      <c r="FM2317" s="1" t="s">
        <v>252</v>
      </c>
      <c r="FN2317" s="1" t="s">
        <v>213</v>
      </c>
      <c r="FO2317" s="1" t="s">
        <v>213</v>
      </c>
      <c r="FQ2317" s="1" t="s">
        <v>18977</v>
      </c>
      <c r="FR2317" s="1" t="s">
        <v>210</v>
      </c>
      <c r="FS2317" s="1" t="s">
        <v>20324</v>
      </c>
      <c r="FT2317" s="1" t="s">
        <v>295</v>
      </c>
      <c r="FU2317" s="1" t="s">
        <v>204</v>
      </c>
      <c r="FW2317" s="1" t="s">
        <v>20325</v>
      </c>
      <c r="FX2317" s="1">
        <v>25898</v>
      </c>
      <c r="FY2317" s="1" t="s">
        <v>20326</v>
      </c>
      <c r="FZ2317" s="1" t="s">
        <v>20327</v>
      </c>
      <c r="GA2317" s="1">
        <v>18453</v>
      </c>
      <c r="GB2317" s="1" t="s">
        <v>20326</v>
      </c>
      <c r="GE2317" s="1" t="s">
        <v>1333</v>
      </c>
      <c r="GI2317" s="1" t="s">
        <v>204</v>
      </c>
      <c r="GJ2317" s="1" t="s">
        <v>260</v>
      </c>
      <c r="GK2317" s="1" t="s">
        <v>210</v>
      </c>
      <c r="GL2317" s="2">
        <v>42049</v>
      </c>
    </row>
    <row r="2318" spans="1:195">
      <c r="A2318" s="1">
        <v>140000</v>
      </c>
      <c r="B2318" s="1" t="s">
        <v>195</v>
      </c>
      <c r="C2318" s="1" t="str">
        <f>"08837024"</f>
        <v>08837024</v>
      </c>
      <c r="D2318" s="1" t="s">
        <v>196</v>
      </c>
      <c r="F2318" s="1" t="str">
        <f>"171"</f>
        <v>171</v>
      </c>
      <c r="G2318" s="2">
        <v>42047</v>
      </c>
      <c r="H2318" s="1">
        <v>149500</v>
      </c>
      <c r="I2318" s="1">
        <v>149500</v>
      </c>
      <c r="J2318" s="1">
        <v>140000</v>
      </c>
      <c r="K2318" s="2">
        <v>42047</v>
      </c>
      <c r="L2318" s="1">
        <v>5</v>
      </c>
      <c r="M2318" s="2">
        <v>42051</v>
      </c>
      <c r="N2318" s="1">
        <v>5</v>
      </c>
      <c r="O2318" s="2">
        <v>42051</v>
      </c>
      <c r="P2318" s="1">
        <v>26118</v>
      </c>
      <c r="Q2318" s="1" t="s">
        <v>302</v>
      </c>
      <c r="R2318" s="2">
        <v>42132</v>
      </c>
      <c r="S2318" s="1">
        <v>85164</v>
      </c>
      <c r="U2318" s="1">
        <v>8550</v>
      </c>
      <c r="V2318" s="1" t="s">
        <v>3296</v>
      </c>
      <c r="W2318" s="1" t="s">
        <v>425</v>
      </c>
      <c r="X2318" s="1">
        <v>405</v>
      </c>
      <c r="Y2318" s="1">
        <v>24</v>
      </c>
      <c r="Z2318" s="1" t="s">
        <v>249</v>
      </c>
      <c r="AA2318" s="1" t="s">
        <v>2365</v>
      </c>
      <c r="AB2318" s="1">
        <v>60171</v>
      </c>
      <c r="AD2318" s="1" t="s">
        <v>15439</v>
      </c>
      <c r="AE2318" s="1" t="s">
        <v>20328</v>
      </c>
      <c r="AF2318" s="1">
        <v>2005</v>
      </c>
      <c r="AG2318" s="1" t="s">
        <v>204</v>
      </c>
      <c r="AH2318" s="1" t="s">
        <v>2367</v>
      </c>
      <c r="AI2318" s="1" t="s">
        <v>310</v>
      </c>
      <c r="AJ2318" s="1" t="s">
        <v>311</v>
      </c>
      <c r="AL2318" s="1">
        <v>5</v>
      </c>
      <c r="AM2318" s="1">
        <v>2</v>
      </c>
      <c r="AN2318" s="1">
        <v>2</v>
      </c>
      <c r="AO2318" s="1">
        <v>0</v>
      </c>
      <c r="AP2318" s="1" t="s">
        <v>209</v>
      </c>
      <c r="AQ2318" s="1">
        <v>0</v>
      </c>
      <c r="AR2318" s="1" t="s">
        <v>210</v>
      </c>
      <c r="AS2318" s="1" t="s">
        <v>204</v>
      </c>
      <c r="AT2318" s="1" t="s">
        <v>211</v>
      </c>
      <c r="AU2318" s="1">
        <v>1</v>
      </c>
      <c r="AW2318" s="1" t="s">
        <v>204</v>
      </c>
      <c r="AX2318" s="1" t="s">
        <v>10388</v>
      </c>
      <c r="AZ2318" s="1">
        <v>3051</v>
      </c>
      <c r="BA2318" s="1">
        <v>2013</v>
      </c>
      <c r="BB2318" s="1" t="s">
        <v>405</v>
      </c>
      <c r="BE2318" s="1">
        <v>0</v>
      </c>
      <c r="BF2318" s="1">
        <v>4</v>
      </c>
      <c r="BG2318" s="1">
        <v>0</v>
      </c>
      <c r="BJ2318" s="1">
        <v>100</v>
      </c>
      <c r="BL2318" s="1">
        <v>255</v>
      </c>
      <c r="BM2318" s="1" t="s">
        <v>204</v>
      </c>
      <c r="BN2318" s="1" t="s">
        <v>213</v>
      </c>
      <c r="BO2318" s="1">
        <v>30</v>
      </c>
      <c r="BP2318" s="1" t="s">
        <v>204</v>
      </c>
      <c r="BR2318" s="1" t="str">
        <f>"12263020151021"</f>
        <v>12263020151021</v>
      </c>
      <c r="BT2318" s="1" t="s">
        <v>20329</v>
      </c>
      <c r="BX2318" s="1">
        <v>84.5</v>
      </c>
      <c r="BY2318" s="1">
        <v>84.5</v>
      </c>
      <c r="BZ2318" s="1">
        <v>212</v>
      </c>
      <c r="CB2318" s="1" t="str">
        <f>"2500"</f>
        <v>2500</v>
      </c>
      <c r="CC2318" s="1" t="str">
        <f t="shared" ref="CC2318:CC2319" si="1777">""</f>
        <v/>
      </c>
      <c r="CD2318" s="1">
        <v>8550</v>
      </c>
      <c r="CG2318" s="1" t="s">
        <v>628</v>
      </c>
      <c r="CH2318" s="1" t="s">
        <v>219</v>
      </c>
      <c r="CI2318" s="1" t="s">
        <v>229</v>
      </c>
      <c r="CK2318" s="1" t="s">
        <v>6085</v>
      </c>
      <c r="CL2318" s="1" t="s">
        <v>219</v>
      </c>
      <c r="CM2318" s="1" t="s">
        <v>229</v>
      </c>
      <c r="CO2318" s="1" t="s">
        <v>629</v>
      </c>
      <c r="CP2318" s="1" t="s">
        <v>219</v>
      </c>
      <c r="CS2318" s="1" t="s">
        <v>1297</v>
      </c>
      <c r="CT2318" s="1" t="s">
        <v>219</v>
      </c>
      <c r="CU2318" s="1" t="s">
        <v>220</v>
      </c>
      <c r="CX2318" s="1" t="s">
        <v>224</v>
      </c>
      <c r="DB2318" s="1" t="s">
        <v>224</v>
      </c>
      <c r="DE2318" s="1" t="s">
        <v>465</v>
      </c>
      <c r="DF2318" s="1" t="s">
        <v>219</v>
      </c>
      <c r="DG2318" s="1" t="s">
        <v>229</v>
      </c>
      <c r="DJ2318" s="1" t="s">
        <v>224</v>
      </c>
      <c r="DS2318" s="1" t="s">
        <v>230</v>
      </c>
      <c r="DW2318" s="1" t="s">
        <v>230</v>
      </c>
      <c r="EA2318" s="1" t="s">
        <v>230</v>
      </c>
      <c r="EE2318" s="1" t="s">
        <v>230</v>
      </c>
      <c r="EI2318" s="1" t="s">
        <v>230</v>
      </c>
      <c r="EL2318" s="1" t="s">
        <v>491</v>
      </c>
      <c r="EM2318" s="1" t="s">
        <v>232</v>
      </c>
      <c r="EN2318" s="1" t="s">
        <v>282</v>
      </c>
      <c r="EO2318" s="1" t="s">
        <v>234</v>
      </c>
      <c r="EP2318" s="1" t="s">
        <v>20330</v>
      </c>
      <c r="EQ2318" s="1" t="s">
        <v>14553</v>
      </c>
      <c r="ER2318" s="1" t="s">
        <v>210</v>
      </c>
      <c r="ES2318" s="1" t="s">
        <v>493</v>
      </c>
      <c r="ET2318" s="1" t="s">
        <v>1201</v>
      </c>
      <c r="EV2318" s="1" t="s">
        <v>240</v>
      </c>
      <c r="EW2318" s="1" t="s">
        <v>2765</v>
      </c>
      <c r="EY2318" s="1" t="s">
        <v>242</v>
      </c>
      <c r="EZ2318" s="1" t="s">
        <v>287</v>
      </c>
      <c r="FC2318" s="1" t="s">
        <v>548</v>
      </c>
      <c r="FD2318" s="1" t="s">
        <v>246</v>
      </c>
      <c r="FE2318" s="1" t="s">
        <v>247</v>
      </c>
      <c r="FF2318" s="1" t="s">
        <v>248</v>
      </c>
      <c r="FH2318" s="1" t="s">
        <v>249</v>
      </c>
      <c r="FI2318" s="1" t="s">
        <v>357</v>
      </c>
      <c r="FL2318" s="1" t="s">
        <v>5304</v>
      </c>
      <c r="FM2318" s="1" t="s">
        <v>252</v>
      </c>
      <c r="FN2318" s="1" t="s">
        <v>213</v>
      </c>
      <c r="FO2318" s="1" t="s">
        <v>213</v>
      </c>
      <c r="FQ2318" s="1" t="s">
        <v>2293</v>
      </c>
      <c r="FR2318" s="1" t="s">
        <v>360</v>
      </c>
      <c r="FS2318" s="1" t="s">
        <v>20331</v>
      </c>
      <c r="FT2318" s="1" t="s">
        <v>20332</v>
      </c>
      <c r="FU2318" s="1" t="s">
        <v>204</v>
      </c>
      <c r="FW2318" s="1" t="s">
        <v>1559</v>
      </c>
      <c r="FX2318" s="1">
        <v>3770</v>
      </c>
      <c r="FY2318" s="1" t="s">
        <v>4962</v>
      </c>
      <c r="FZ2318" s="1" t="s">
        <v>20333</v>
      </c>
      <c r="GA2318" s="1">
        <v>30396</v>
      </c>
      <c r="GB2318" s="1" t="s">
        <v>20334</v>
      </c>
      <c r="GE2318" s="1" t="s">
        <v>210</v>
      </c>
      <c r="GH2318" s="1" t="s">
        <v>589</v>
      </c>
      <c r="GI2318" s="1" t="s">
        <v>213</v>
      </c>
      <c r="GJ2318" s="1" t="s">
        <v>260</v>
      </c>
      <c r="GK2318" s="1" t="s">
        <v>210</v>
      </c>
      <c r="GL2318" s="2">
        <v>42132</v>
      </c>
      <c r="GM2318" s="1" t="s">
        <v>20335</v>
      </c>
    </row>
    <row r="2319" spans="1:195">
      <c r="A2319" s="1">
        <v>65750</v>
      </c>
      <c r="B2319" s="1" t="s">
        <v>195</v>
      </c>
      <c r="C2319" s="1" t="str">
        <f>"08819033"</f>
        <v>08819033</v>
      </c>
      <c r="D2319" s="1" t="s">
        <v>196</v>
      </c>
      <c r="F2319" s="1" t="str">
        <f>"139"</f>
        <v>139</v>
      </c>
      <c r="G2319" s="2">
        <v>42023</v>
      </c>
      <c r="H2319" s="1">
        <v>68900</v>
      </c>
      <c r="I2319" s="1">
        <v>68900</v>
      </c>
      <c r="J2319" s="1">
        <v>65750</v>
      </c>
      <c r="K2319" s="2">
        <v>42023</v>
      </c>
      <c r="L2319" s="1">
        <v>19</v>
      </c>
      <c r="M2319" s="2">
        <v>42041</v>
      </c>
      <c r="N2319" s="1">
        <v>19</v>
      </c>
      <c r="O2319" s="2">
        <v>42041</v>
      </c>
      <c r="P2319" s="1">
        <v>25558</v>
      </c>
      <c r="Q2319" s="1" t="s">
        <v>197</v>
      </c>
      <c r="R2319" s="2">
        <v>42102</v>
      </c>
      <c r="S2319" s="1">
        <v>221820</v>
      </c>
      <c r="T2319" s="1">
        <v>500</v>
      </c>
      <c r="U2319" s="1">
        <v>148</v>
      </c>
      <c r="V2319" s="1" t="s">
        <v>3566</v>
      </c>
      <c r="W2319" s="1" t="s">
        <v>264</v>
      </c>
      <c r="X2319" s="1">
        <v>301</v>
      </c>
      <c r="Y2319" s="1">
        <v>6</v>
      </c>
      <c r="Z2319" s="1" t="s">
        <v>249</v>
      </c>
      <c r="AA2319" s="1" t="s">
        <v>1732</v>
      </c>
      <c r="AB2319" s="1">
        <v>60139</v>
      </c>
      <c r="AD2319" s="1" t="s">
        <v>3567</v>
      </c>
      <c r="AE2319" s="1" t="s">
        <v>20336</v>
      </c>
      <c r="AF2319" s="1">
        <v>1980</v>
      </c>
      <c r="AG2319" s="1" t="s">
        <v>204</v>
      </c>
      <c r="AH2319" s="1" t="s">
        <v>1735</v>
      </c>
      <c r="AI2319" s="1" t="s">
        <v>206</v>
      </c>
      <c r="AJ2319" s="1" t="s">
        <v>269</v>
      </c>
      <c r="AL2319" s="1">
        <v>5</v>
      </c>
      <c r="AM2319" s="1">
        <v>2</v>
      </c>
      <c r="AN2319" s="1">
        <v>1</v>
      </c>
      <c r="AO2319" s="1">
        <v>0</v>
      </c>
      <c r="AP2319" s="1" t="s">
        <v>210</v>
      </c>
      <c r="AR2319" s="1" t="s">
        <v>210</v>
      </c>
      <c r="AS2319" s="1" t="s">
        <v>204</v>
      </c>
      <c r="AT2319" s="1" t="s">
        <v>271</v>
      </c>
      <c r="AV2319" s="1">
        <v>1</v>
      </c>
      <c r="AW2319" s="1" t="s">
        <v>204</v>
      </c>
      <c r="AX2319" s="1" t="s">
        <v>212</v>
      </c>
      <c r="AZ2319" s="1">
        <v>615</v>
      </c>
      <c r="BA2319" s="1">
        <v>2013</v>
      </c>
      <c r="BB2319" s="1" t="s">
        <v>3996</v>
      </c>
      <c r="BE2319" s="1">
        <v>843</v>
      </c>
      <c r="BF2319" s="1">
        <v>3</v>
      </c>
      <c r="BG2319" s="1">
        <v>0</v>
      </c>
      <c r="BL2319" s="1">
        <v>265</v>
      </c>
      <c r="BM2319" s="1" t="s">
        <v>204</v>
      </c>
      <c r="BN2319" s="1" t="s">
        <v>213</v>
      </c>
      <c r="BO2319" s="1">
        <v>999</v>
      </c>
      <c r="BP2319" s="1" t="s">
        <v>204</v>
      </c>
      <c r="BR2319" s="1" t="str">
        <f>"0222112089"</f>
        <v>0222112089</v>
      </c>
      <c r="BT2319" s="1" t="s">
        <v>20337</v>
      </c>
      <c r="BX2319" s="1">
        <v>15</v>
      </c>
      <c r="BY2319" s="1">
        <v>15</v>
      </c>
      <c r="BZ2319" s="1">
        <v>87</v>
      </c>
      <c r="CB2319" s="1" t="str">
        <f>"4"</f>
        <v>4</v>
      </c>
      <c r="CC2319" s="1" t="str">
        <f t="shared" si="1777"/>
        <v/>
      </c>
      <c r="CD2319" s="1">
        <v>23</v>
      </c>
      <c r="CG2319" s="1" t="s">
        <v>315</v>
      </c>
      <c r="CH2319" s="1" t="s">
        <v>784</v>
      </c>
      <c r="CI2319" s="1" t="s">
        <v>220</v>
      </c>
      <c r="CJ2319" s="1" t="s">
        <v>343</v>
      </c>
      <c r="CK2319" s="1" t="s">
        <v>539</v>
      </c>
      <c r="CL2319" s="1" t="s">
        <v>784</v>
      </c>
      <c r="CM2319" s="1" t="s">
        <v>220</v>
      </c>
      <c r="CN2319" s="1" t="s">
        <v>343</v>
      </c>
      <c r="CO2319" s="1" t="s">
        <v>281</v>
      </c>
      <c r="CP2319" s="1" t="s">
        <v>784</v>
      </c>
      <c r="CQ2319" s="1" t="s">
        <v>220</v>
      </c>
      <c r="CR2319" s="1" t="s">
        <v>210</v>
      </c>
      <c r="CS2319" s="1" t="s">
        <v>1046</v>
      </c>
      <c r="CT2319" s="1" t="s">
        <v>784</v>
      </c>
      <c r="CU2319" s="1" t="s">
        <v>220</v>
      </c>
      <c r="CV2319" s="1" t="s">
        <v>343</v>
      </c>
      <c r="CX2319" s="1" t="s">
        <v>224</v>
      </c>
      <c r="DB2319" s="1" t="s">
        <v>224</v>
      </c>
      <c r="DE2319" s="1" t="s">
        <v>379</v>
      </c>
      <c r="DF2319" s="1" t="s">
        <v>784</v>
      </c>
      <c r="DG2319" s="1" t="s">
        <v>229</v>
      </c>
      <c r="DH2319" s="1" t="s">
        <v>343</v>
      </c>
      <c r="DJ2319" s="1" t="s">
        <v>224</v>
      </c>
      <c r="DS2319" s="1" t="s">
        <v>230</v>
      </c>
      <c r="DW2319" s="1" t="s">
        <v>230</v>
      </c>
      <c r="EA2319" s="1" t="s">
        <v>230</v>
      </c>
      <c r="EE2319" s="1" t="s">
        <v>230</v>
      </c>
      <c r="EI2319" s="1" t="s">
        <v>230</v>
      </c>
      <c r="EL2319" s="1" t="s">
        <v>231</v>
      </c>
      <c r="EM2319" s="1" t="s">
        <v>232</v>
      </c>
      <c r="EN2319" s="1" t="s">
        <v>731</v>
      </c>
      <c r="EO2319" s="1" t="s">
        <v>234</v>
      </c>
      <c r="EQ2319" s="1" t="s">
        <v>284</v>
      </c>
      <c r="ER2319" s="1" t="s">
        <v>210</v>
      </c>
      <c r="ES2319" s="1" t="s">
        <v>322</v>
      </c>
      <c r="EU2319" s="1" t="s">
        <v>239</v>
      </c>
      <c r="EV2319" s="1" t="s">
        <v>240</v>
      </c>
      <c r="EW2319" s="1" t="s">
        <v>286</v>
      </c>
      <c r="EZ2319" s="1" t="s">
        <v>287</v>
      </c>
      <c r="FD2319" s="1" t="s">
        <v>246</v>
      </c>
      <c r="FE2319" s="1" t="s">
        <v>247</v>
      </c>
      <c r="FF2319" s="1" t="s">
        <v>248</v>
      </c>
      <c r="FH2319" s="1" t="s">
        <v>249</v>
      </c>
      <c r="FL2319" s="1" t="s">
        <v>614</v>
      </c>
      <c r="FM2319" s="1" t="s">
        <v>252</v>
      </c>
      <c r="FN2319" s="1" t="s">
        <v>213</v>
      </c>
      <c r="FO2319" s="1" t="s">
        <v>213</v>
      </c>
      <c r="FQ2319" s="1" t="s">
        <v>20338</v>
      </c>
      <c r="FR2319" s="1" t="s">
        <v>210</v>
      </c>
      <c r="FS2319" s="1" t="s">
        <v>8342</v>
      </c>
      <c r="FT2319" s="1" t="s">
        <v>5439</v>
      </c>
      <c r="FU2319" s="1" t="s">
        <v>204</v>
      </c>
      <c r="FW2319" s="1" t="s">
        <v>11878</v>
      </c>
      <c r="FX2319" s="1">
        <v>8390</v>
      </c>
      <c r="FY2319" s="1" t="s">
        <v>11879</v>
      </c>
      <c r="FZ2319" s="1" t="s">
        <v>20339</v>
      </c>
      <c r="GA2319" s="1">
        <v>81466</v>
      </c>
      <c r="GB2319" s="1" t="s">
        <v>20340</v>
      </c>
      <c r="GE2319" s="1" t="s">
        <v>210</v>
      </c>
      <c r="GI2319" s="1" t="s">
        <v>213</v>
      </c>
      <c r="GJ2319" s="1" t="s">
        <v>260</v>
      </c>
      <c r="GK2319" s="1" t="s">
        <v>210</v>
      </c>
      <c r="GL2319" s="2">
        <v>42102</v>
      </c>
      <c r="GM2319" s="1" t="s">
        <v>20341</v>
      </c>
    </row>
    <row r="2320" spans="1:195">
      <c r="A2320" s="1">
        <v>93000</v>
      </c>
      <c r="B2320" s="1" t="s">
        <v>195</v>
      </c>
      <c r="C2320" s="1" t="str">
        <f>"08822093"</f>
        <v>08822093</v>
      </c>
      <c r="D2320" s="1" t="s">
        <v>196</v>
      </c>
      <c r="F2320" s="1" t="str">
        <f>"30"</f>
        <v>30</v>
      </c>
      <c r="G2320" s="2">
        <v>42026</v>
      </c>
      <c r="H2320" s="1">
        <v>94800</v>
      </c>
      <c r="I2320" s="1">
        <v>85320</v>
      </c>
      <c r="J2320" s="1">
        <v>93000</v>
      </c>
      <c r="K2320" s="2">
        <v>42026</v>
      </c>
      <c r="L2320" s="1">
        <v>79</v>
      </c>
      <c r="M2320" s="2">
        <v>42104</v>
      </c>
      <c r="N2320" s="1">
        <v>79</v>
      </c>
      <c r="O2320" s="2">
        <v>42104</v>
      </c>
      <c r="P2320" s="1">
        <v>2411</v>
      </c>
      <c r="Q2320" s="1" t="s">
        <v>197</v>
      </c>
      <c r="R2320" s="2">
        <v>42146</v>
      </c>
      <c r="S2320" s="1">
        <v>15497</v>
      </c>
      <c r="T2320" s="1">
        <v>2000</v>
      </c>
      <c r="U2320" s="1">
        <v>545</v>
      </c>
      <c r="V2320" s="1" t="s">
        <v>5609</v>
      </c>
      <c r="W2320" s="1" t="s">
        <v>504</v>
      </c>
      <c r="Y2320" s="1">
        <v>6</v>
      </c>
      <c r="Z2320" s="1" t="s">
        <v>249</v>
      </c>
      <c r="AA2320" s="1" t="s">
        <v>1628</v>
      </c>
      <c r="AB2320" s="1">
        <v>60073</v>
      </c>
      <c r="AE2320" s="1" t="s">
        <v>20342</v>
      </c>
      <c r="AF2320" s="1">
        <v>2000</v>
      </c>
      <c r="AG2320" s="1" t="s">
        <v>204</v>
      </c>
      <c r="AH2320" s="1" t="s">
        <v>1630</v>
      </c>
      <c r="AI2320" s="1" t="s">
        <v>509</v>
      </c>
      <c r="AJ2320" s="1" t="s">
        <v>1263</v>
      </c>
      <c r="AL2320" s="1">
        <v>5</v>
      </c>
      <c r="AM2320" s="1">
        <v>2</v>
      </c>
      <c r="AN2320" s="1">
        <v>2</v>
      </c>
      <c r="AO2320" s="1">
        <v>1</v>
      </c>
      <c r="AP2320" s="1" t="s">
        <v>209</v>
      </c>
      <c r="AR2320" s="1" t="s">
        <v>1631</v>
      </c>
      <c r="AS2320" s="1" t="s">
        <v>204</v>
      </c>
      <c r="AT2320" s="1" t="s">
        <v>211</v>
      </c>
      <c r="AU2320" s="1">
        <v>2</v>
      </c>
      <c r="AW2320" s="1" t="s">
        <v>204</v>
      </c>
      <c r="AX2320" s="1" t="s">
        <v>212</v>
      </c>
      <c r="AZ2320" s="1">
        <v>3344</v>
      </c>
      <c r="BA2320" s="1">
        <v>2013</v>
      </c>
      <c r="BE2320" s="1">
        <v>1280</v>
      </c>
      <c r="BF2320" s="1">
        <v>1</v>
      </c>
      <c r="BG2320" s="1">
        <v>0</v>
      </c>
      <c r="BL2320" s="1">
        <v>197</v>
      </c>
      <c r="BM2320" s="1" t="s">
        <v>413</v>
      </c>
      <c r="BN2320" s="1" t="s">
        <v>213</v>
      </c>
      <c r="BO2320" s="1">
        <v>0</v>
      </c>
      <c r="BP2320" s="1" t="s">
        <v>204</v>
      </c>
      <c r="BR2320" s="1" t="str">
        <f>"06284140530000"</f>
        <v>06284140530000</v>
      </c>
      <c r="BT2320" s="1" t="s">
        <v>20343</v>
      </c>
      <c r="BX2320" s="1">
        <v>116</v>
      </c>
      <c r="BY2320" s="1">
        <v>116</v>
      </c>
      <c r="BZ2320" s="1">
        <v>116</v>
      </c>
      <c r="CB2320" s="1" t="str">
        <f t="shared" ref="CB2320:CC2320" si="1778">""</f>
        <v/>
      </c>
      <c r="CC2320" s="1" t="str">
        <f t="shared" si="1778"/>
        <v/>
      </c>
      <c r="CG2320" s="1" t="s">
        <v>378</v>
      </c>
      <c r="CH2320" s="1" t="s">
        <v>219</v>
      </c>
      <c r="CK2320" s="1" t="s">
        <v>344</v>
      </c>
      <c r="CL2320" s="1" t="s">
        <v>277</v>
      </c>
      <c r="CO2320" s="1" t="s">
        <v>3083</v>
      </c>
      <c r="CP2320" s="1" t="s">
        <v>219</v>
      </c>
      <c r="CS2320" s="1" t="s">
        <v>461</v>
      </c>
      <c r="CT2320" s="1" t="s">
        <v>219</v>
      </c>
      <c r="CX2320" s="1" t="s">
        <v>224</v>
      </c>
      <c r="DB2320" s="1" t="s">
        <v>224</v>
      </c>
      <c r="DE2320" s="1" t="s">
        <v>933</v>
      </c>
      <c r="DF2320" s="1" t="s">
        <v>219</v>
      </c>
      <c r="DJ2320" s="1" t="s">
        <v>224</v>
      </c>
      <c r="DS2320" s="1" t="s">
        <v>230</v>
      </c>
      <c r="DW2320" s="1" t="s">
        <v>230</v>
      </c>
      <c r="EA2320" s="1" t="s">
        <v>230</v>
      </c>
      <c r="EE2320" s="1" t="s">
        <v>230</v>
      </c>
      <c r="EI2320" s="1" t="s">
        <v>230</v>
      </c>
      <c r="EL2320" s="1" t="s">
        <v>466</v>
      </c>
      <c r="EM2320" s="1" t="s">
        <v>319</v>
      </c>
      <c r="EN2320" s="1" t="s">
        <v>282</v>
      </c>
      <c r="EO2320" s="1" t="s">
        <v>234</v>
      </c>
      <c r="ER2320" s="1" t="s">
        <v>351</v>
      </c>
      <c r="EW2320" s="1" t="s">
        <v>347</v>
      </c>
      <c r="EZ2320" s="1" t="s">
        <v>287</v>
      </c>
      <c r="FD2320" s="1" t="s">
        <v>1649</v>
      </c>
      <c r="FE2320" s="1" t="s">
        <v>496</v>
      </c>
      <c r="FF2320" s="1" t="s">
        <v>248</v>
      </c>
      <c r="FH2320" s="1" t="s">
        <v>550</v>
      </c>
      <c r="FL2320" s="1" t="s">
        <v>358</v>
      </c>
      <c r="FM2320" s="1" t="s">
        <v>252</v>
      </c>
      <c r="FN2320" s="1" t="s">
        <v>213</v>
      </c>
      <c r="FO2320" s="1" t="s">
        <v>213</v>
      </c>
      <c r="FQ2320" s="1" t="s">
        <v>689</v>
      </c>
      <c r="FR2320" s="1" t="s">
        <v>210</v>
      </c>
      <c r="FS2320" s="1" t="s">
        <v>2541</v>
      </c>
      <c r="FT2320" s="1" t="s">
        <v>654</v>
      </c>
      <c r="FU2320" s="1" t="s">
        <v>204</v>
      </c>
      <c r="FW2320" s="1" t="s">
        <v>4399</v>
      </c>
      <c r="FX2320" s="1">
        <v>8698</v>
      </c>
      <c r="FY2320" s="1" t="s">
        <v>4400</v>
      </c>
      <c r="FZ2320" s="1" t="s">
        <v>4401</v>
      </c>
      <c r="GA2320" s="1">
        <v>85273</v>
      </c>
      <c r="GB2320" s="1" t="s">
        <v>4400</v>
      </c>
      <c r="GE2320" s="1" t="s">
        <v>210</v>
      </c>
      <c r="GI2320" s="1" t="s">
        <v>204</v>
      </c>
      <c r="GJ2320" s="1" t="s">
        <v>260</v>
      </c>
      <c r="GK2320" s="1" t="s">
        <v>210</v>
      </c>
      <c r="GL2320" s="2">
        <v>42146</v>
      </c>
      <c r="GM2320" s="1" t="s">
        <v>20344</v>
      </c>
    </row>
    <row r="2321" spans="1:195">
      <c r="A2321" s="1">
        <v>35000</v>
      </c>
      <c r="B2321" s="1" t="s">
        <v>195</v>
      </c>
      <c r="C2321" s="1" t="str">
        <f>"08822681"</f>
        <v>08822681</v>
      </c>
      <c r="D2321" s="1" t="s">
        <v>196</v>
      </c>
      <c r="F2321" s="1" t="str">
        <f>"8040"</f>
        <v>8040</v>
      </c>
      <c r="G2321" s="2">
        <v>42027</v>
      </c>
      <c r="H2321" s="1">
        <v>35000</v>
      </c>
      <c r="I2321" s="1">
        <v>35000</v>
      </c>
      <c r="J2321" s="1">
        <v>35000</v>
      </c>
      <c r="K2321" s="2">
        <v>42027</v>
      </c>
      <c r="L2321" s="1">
        <v>8</v>
      </c>
      <c r="M2321" s="2">
        <v>42034</v>
      </c>
      <c r="N2321" s="1">
        <v>8</v>
      </c>
      <c r="O2321" s="2">
        <v>42034</v>
      </c>
      <c r="P2321" s="1">
        <v>85141</v>
      </c>
      <c r="Q2321" s="1" t="s">
        <v>302</v>
      </c>
      <c r="R2321" s="2">
        <v>42101</v>
      </c>
      <c r="S2321" s="1">
        <v>164101</v>
      </c>
      <c r="U2321" s="1">
        <v>5812</v>
      </c>
      <c r="V2321" s="1" t="s">
        <v>20345</v>
      </c>
      <c r="W2321" s="1" t="s">
        <v>264</v>
      </c>
      <c r="X2321" s="1">
        <v>1</v>
      </c>
      <c r="Y2321" s="1">
        <v>3</v>
      </c>
      <c r="Z2321" s="1" t="s">
        <v>249</v>
      </c>
      <c r="AA2321" s="1" t="s">
        <v>400</v>
      </c>
      <c r="AB2321" s="1">
        <v>60637</v>
      </c>
      <c r="AE2321" s="1" t="s">
        <v>20346</v>
      </c>
      <c r="AF2321" s="1" t="s">
        <v>402</v>
      </c>
      <c r="AG2321" s="1" t="s">
        <v>213</v>
      </c>
      <c r="AH2321" s="1" t="s">
        <v>403</v>
      </c>
      <c r="AI2321" s="1" t="s">
        <v>310</v>
      </c>
      <c r="AJ2321" s="1" t="s">
        <v>562</v>
      </c>
      <c r="AL2321" s="1">
        <v>6</v>
      </c>
      <c r="AM2321" s="1">
        <v>2</v>
      </c>
      <c r="AN2321" s="1">
        <v>2</v>
      </c>
      <c r="AO2321" s="1">
        <v>0</v>
      </c>
      <c r="AP2321" s="1" t="s">
        <v>210</v>
      </c>
      <c r="AR2321" s="1" t="s">
        <v>209</v>
      </c>
      <c r="AS2321" s="1" t="s">
        <v>213</v>
      </c>
      <c r="AT2321" s="1" t="s">
        <v>271</v>
      </c>
      <c r="AV2321" s="1">
        <v>3</v>
      </c>
      <c r="AW2321" s="1" t="s">
        <v>204</v>
      </c>
      <c r="AX2321" s="1">
        <v>2200</v>
      </c>
      <c r="AZ2321" s="1">
        <v>2418.7800000000002</v>
      </c>
      <c r="BA2321" s="1">
        <v>2012</v>
      </c>
      <c r="BE2321" s="1">
        <v>2200</v>
      </c>
      <c r="BF2321" s="1">
        <v>1</v>
      </c>
      <c r="BG2321" s="1">
        <v>0</v>
      </c>
      <c r="BL2321" s="1">
        <v>200</v>
      </c>
      <c r="BM2321" s="1" t="s">
        <v>204</v>
      </c>
      <c r="BN2321" s="1" t="s">
        <v>213</v>
      </c>
      <c r="BO2321" s="1">
        <v>20</v>
      </c>
      <c r="BP2321" s="1" t="s">
        <v>204</v>
      </c>
      <c r="BR2321" s="1" t="str">
        <f>"20151240321001"</f>
        <v>20151240321001</v>
      </c>
      <c r="BX2321" s="1">
        <v>299</v>
      </c>
      <c r="BY2321" s="1">
        <v>299</v>
      </c>
      <c r="BZ2321" s="1">
        <v>299</v>
      </c>
      <c r="CB2321" s="1" t="str">
        <f>"0"</f>
        <v>0</v>
      </c>
      <c r="CC2321" s="1" t="str">
        <f>"400"</f>
        <v>400</v>
      </c>
      <c r="CD2321" s="1">
        <v>0</v>
      </c>
      <c r="CE2321" s="1">
        <v>5800</v>
      </c>
      <c r="CG2321" s="1" t="s">
        <v>931</v>
      </c>
      <c r="CH2321" s="1" t="s">
        <v>219</v>
      </c>
      <c r="CK2321" s="1" t="s">
        <v>228</v>
      </c>
      <c r="CL2321" s="1" t="s">
        <v>219</v>
      </c>
      <c r="CM2321" s="1" t="s">
        <v>438</v>
      </c>
      <c r="CO2321" s="1" t="s">
        <v>785</v>
      </c>
      <c r="CP2321" s="1" t="s">
        <v>219</v>
      </c>
      <c r="CS2321" s="1" t="s">
        <v>344</v>
      </c>
      <c r="CT2321" s="1" t="s">
        <v>219</v>
      </c>
      <c r="CW2321" s="1" t="s">
        <v>1046</v>
      </c>
      <c r="CX2321" s="1" t="s">
        <v>43</v>
      </c>
      <c r="DB2321" s="1" t="s">
        <v>224</v>
      </c>
      <c r="DE2321" s="1" t="s">
        <v>4299</v>
      </c>
      <c r="DF2321" s="1" t="s">
        <v>219</v>
      </c>
      <c r="DJ2321" s="1" t="s">
        <v>224</v>
      </c>
      <c r="DS2321" s="1" t="s">
        <v>230</v>
      </c>
      <c r="DW2321" s="1" t="s">
        <v>230</v>
      </c>
      <c r="EA2321" s="1" t="s">
        <v>230</v>
      </c>
      <c r="EE2321" s="1" t="s">
        <v>230</v>
      </c>
      <c r="EI2321" s="1" t="s">
        <v>230</v>
      </c>
      <c r="EL2321" s="1" t="s">
        <v>413</v>
      </c>
      <c r="EM2321" s="1" t="s">
        <v>232</v>
      </c>
      <c r="EN2321" s="1" t="s">
        <v>282</v>
      </c>
      <c r="EO2321" s="1" t="s">
        <v>234</v>
      </c>
      <c r="ER2321" s="1" t="s">
        <v>544</v>
      </c>
      <c r="EW2321" s="1" t="s">
        <v>9978</v>
      </c>
      <c r="EZ2321" s="1" t="s">
        <v>287</v>
      </c>
      <c r="FD2321" s="1" t="s">
        <v>736</v>
      </c>
      <c r="FE2321" s="1" t="s">
        <v>247</v>
      </c>
      <c r="FF2321" s="1" t="s">
        <v>248</v>
      </c>
      <c r="FH2321" s="1" t="s">
        <v>442</v>
      </c>
      <c r="FL2321" s="1" t="s">
        <v>414</v>
      </c>
      <c r="FM2321" s="1" t="s">
        <v>252</v>
      </c>
      <c r="FN2321" s="1" t="s">
        <v>213</v>
      </c>
      <c r="FO2321" s="1" t="s">
        <v>204</v>
      </c>
      <c r="FQ2321" s="1" t="s">
        <v>673</v>
      </c>
      <c r="FR2321" s="1" t="s">
        <v>360</v>
      </c>
      <c r="FS2321" s="1" t="s">
        <v>20347</v>
      </c>
      <c r="FT2321" s="1" t="s">
        <v>362</v>
      </c>
      <c r="FU2321" s="1" t="s">
        <v>213</v>
      </c>
      <c r="FW2321" s="1" t="s">
        <v>20348</v>
      </c>
      <c r="FX2321" s="1">
        <v>16072</v>
      </c>
      <c r="FY2321" s="1" t="s">
        <v>20349</v>
      </c>
      <c r="FZ2321" s="1" t="s">
        <v>20350</v>
      </c>
      <c r="GA2321" s="1">
        <v>868434</v>
      </c>
      <c r="GE2321" s="1" t="s">
        <v>210</v>
      </c>
      <c r="GH2321" s="1" t="s">
        <v>421</v>
      </c>
      <c r="GI2321" s="1" t="s">
        <v>213</v>
      </c>
      <c r="GJ2321" s="1" t="s">
        <v>260</v>
      </c>
      <c r="GK2321" s="1" t="s">
        <v>210</v>
      </c>
      <c r="GL2321" s="2">
        <v>42101</v>
      </c>
      <c r="GM2321" s="1" t="s">
        <v>397</v>
      </c>
    </row>
    <row r="2322" spans="1:195">
      <c r="A2322" s="1">
        <v>155000</v>
      </c>
      <c r="B2322" s="1" t="s">
        <v>195</v>
      </c>
      <c r="C2322" s="1" t="str">
        <f>"08823801"</f>
        <v>08823801</v>
      </c>
      <c r="D2322" s="1" t="s">
        <v>196</v>
      </c>
      <c r="F2322" s="1" t="str">
        <f>"31"</f>
        <v>31</v>
      </c>
      <c r="G2322" s="2">
        <v>42030</v>
      </c>
      <c r="H2322" s="1">
        <v>165000</v>
      </c>
      <c r="I2322" s="1">
        <v>165000</v>
      </c>
      <c r="J2322" s="1">
        <v>155000</v>
      </c>
      <c r="K2322" s="2">
        <v>42029</v>
      </c>
      <c r="L2322" s="1">
        <v>12</v>
      </c>
      <c r="M2322" s="2">
        <v>42040</v>
      </c>
      <c r="N2322" s="1">
        <v>12</v>
      </c>
      <c r="O2322" s="2">
        <v>42040</v>
      </c>
      <c r="P2322" s="1">
        <v>24330</v>
      </c>
      <c r="Q2322" s="1" t="s">
        <v>302</v>
      </c>
      <c r="R2322" s="2">
        <v>42076</v>
      </c>
      <c r="S2322" s="1">
        <v>243750</v>
      </c>
      <c r="U2322" s="1">
        <v>17695</v>
      </c>
      <c r="V2322" s="1" t="s">
        <v>20351</v>
      </c>
      <c r="W2322" s="1" t="s">
        <v>304</v>
      </c>
      <c r="Y2322" s="1">
        <v>4</v>
      </c>
      <c r="Z2322" s="1" t="s">
        <v>200</v>
      </c>
      <c r="AA2322" s="1" t="s">
        <v>1057</v>
      </c>
      <c r="AB2322" s="1">
        <v>60031</v>
      </c>
      <c r="AD2322" s="1" t="s">
        <v>20352</v>
      </c>
      <c r="AE2322" s="1" t="s">
        <v>20353</v>
      </c>
      <c r="AF2322" s="1">
        <v>1991</v>
      </c>
      <c r="AG2322" s="1" t="s">
        <v>204</v>
      </c>
      <c r="AH2322" s="1" t="s">
        <v>882</v>
      </c>
      <c r="AI2322" s="1" t="s">
        <v>509</v>
      </c>
      <c r="AJ2322" s="1" t="s">
        <v>1061</v>
      </c>
      <c r="AK2322" s="1" t="s">
        <v>1088</v>
      </c>
      <c r="AL2322" s="1">
        <v>6</v>
      </c>
      <c r="AM2322" s="1">
        <v>2</v>
      </c>
      <c r="AN2322" s="1">
        <v>2</v>
      </c>
      <c r="AO2322" s="1">
        <v>0</v>
      </c>
      <c r="AP2322" s="1" t="s">
        <v>209</v>
      </c>
      <c r="AQ2322" s="1">
        <v>1</v>
      </c>
      <c r="AR2322" s="1" t="s">
        <v>210</v>
      </c>
      <c r="AS2322" s="1" t="s">
        <v>204</v>
      </c>
      <c r="AT2322" s="1" t="s">
        <v>211</v>
      </c>
      <c r="AU2322" s="1">
        <v>2</v>
      </c>
      <c r="AW2322" s="1" t="s">
        <v>204</v>
      </c>
      <c r="AX2322" s="1" t="s">
        <v>579</v>
      </c>
      <c r="AZ2322" s="1">
        <v>3900</v>
      </c>
      <c r="BA2322" s="1">
        <v>2013</v>
      </c>
      <c r="BB2322" s="1" t="s">
        <v>405</v>
      </c>
      <c r="BE2322" s="1">
        <v>1286</v>
      </c>
      <c r="BF2322" s="1">
        <v>1</v>
      </c>
      <c r="BG2322" s="1">
        <v>0</v>
      </c>
      <c r="BL2322" s="1">
        <v>260</v>
      </c>
      <c r="BM2322" s="1" t="s">
        <v>204</v>
      </c>
      <c r="BN2322" s="1" t="s">
        <v>213</v>
      </c>
      <c r="BO2322" s="1">
        <v>100</v>
      </c>
      <c r="BP2322" s="1" t="s">
        <v>204</v>
      </c>
      <c r="BR2322" s="1" t="str">
        <f>"07083040560000"</f>
        <v>07083040560000</v>
      </c>
      <c r="BT2322" s="1" t="s">
        <v>20354</v>
      </c>
      <c r="BU2322" s="1" t="s">
        <v>1064</v>
      </c>
      <c r="BV2322" s="1" t="s">
        <v>1065</v>
      </c>
      <c r="BW2322" s="1" t="s">
        <v>1066</v>
      </c>
      <c r="BX2322" s="1">
        <v>50</v>
      </c>
      <c r="BY2322" s="1">
        <v>50</v>
      </c>
      <c r="BZ2322" s="1">
        <v>121</v>
      </c>
      <c r="CB2322" s="1" t="str">
        <f t="shared" ref="CB2322:CC2322" si="1779">""</f>
        <v/>
      </c>
      <c r="CC2322" s="1" t="str">
        <f t="shared" si="1779"/>
        <v/>
      </c>
      <c r="CG2322" s="1" t="s">
        <v>317</v>
      </c>
      <c r="CH2322" s="1" t="s">
        <v>219</v>
      </c>
      <c r="CI2322" s="1" t="s">
        <v>220</v>
      </c>
      <c r="CK2322" s="1" t="s">
        <v>278</v>
      </c>
      <c r="CL2322" s="1" t="s">
        <v>219</v>
      </c>
      <c r="CM2322" s="1" t="s">
        <v>220</v>
      </c>
      <c r="CO2322" s="1" t="s">
        <v>1297</v>
      </c>
      <c r="CP2322" s="1" t="s">
        <v>219</v>
      </c>
      <c r="CQ2322" s="1" t="s">
        <v>220</v>
      </c>
      <c r="CS2322" s="1" t="s">
        <v>1297</v>
      </c>
      <c r="CT2322" s="1" t="s">
        <v>219</v>
      </c>
      <c r="CU2322" s="1" t="s">
        <v>220</v>
      </c>
      <c r="CX2322" s="1" t="s">
        <v>224</v>
      </c>
      <c r="DB2322" s="1" t="s">
        <v>224</v>
      </c>
      <c r="DE2322" s="1" t="s">
        <v>379</v>
      </c>
      <c r="DF2322" s="1" t="s">
        <v>219</v>
      </c>
      <c r="DG2322" s="1" t="s">
        <v>438</v>
      </c>
      <c r="DI2322" s="1" t="s">
        <v>278</v>
      </c>
      <c r="DJ2322" s="1" t="s">
        <v>219</v>
      </c>
      <c r="DK2322" s="1" t="s">
        <v>438</v>
      </c>
      <c r="DS2322" s="1" t="s">
        <v>230</v>
      </c>
      <c r="DW2322" s="1" t="s">
        <v>230</v>
      </c>
      <c r="EA2322" s="1" t="s">
        <v>230</v>
      </c>
      <c r="EE2322" s="1" t="s">
        <v>230</v>
      </c>
      <c r="EI2322" s="1" t="s">
        <v>230</v>
      </c>
      <c r="EL2322" s="1" t="s">
        <v>382</v>
      </c>
      <c r="EM2322" s="1" t="s">
        <v>232</v>
      </c>
      <c r="EN2322" s="1" t="s">
        <v>282</v>
      </c>
      <c r="EO2322" s="1" t="s">
        <v>1020</v>
      </c>
      <c r="EP2322" s="1" t="s">
        <v>20355</v>
      </c>
      <c r="EQ2322" s="1" t="s">
        <v>1109</v>
      </c>
      <c r="ER2322" s="1" t="s">
        <v>210</v>
      </c>
      <c r="ES2322" s="1" t="s">
        <v>322</v>
      </c>
      <c r="EU2322" s="1" t="s">
        <v>4524</v>
      </c>
      <c r="EV2322" s="1" t="s">
        <v>324</v>
      </c>
      <c r="EW2322" s="1" t="s">
        <v>1895</v>
      </c>
      <c r="EY2322" s="1" t="s">
        <v>242</v>
      </c>
      <c r="EZ2322" s="1" t="s">
        <v>287</v>
      </c>
      <c r="FA2322" s="1" t="s">
        <v>672</v>
      </c>
      <c r="FD2322" s="1" t="s">
        <v>246</v>
      </c>
      <c r="FE2322" s="1" t="s">
        <v>975</v>
      </c>
      <c r="FF2322" s="1" t="s">
        <v>248</v>
      </c>
      <c r="FG2322" s="1" t="s">
        <v>1204</v>
      </c>
      <c r="FH2322" s="1" t="s">
        <v>825</v>
      </c>
      <c r="FI2322" s="1" t="s">
        <v>473</v>
      </c>
      <c r="FJ2322" s="1" t="s">
        <v>518</v>
      </c>
      <c r="FL2322" s="1" t="s">
        <v>358</v>
      </c>
      <c r="FM2322" s="1" t="s">
        <v>252</v>
      </c>
      <c r="FN2322" s="1" t="s">
        <v>213</v>
      </c>
      <c r="FO2322" s="1" t="s">
        <v>213</v>
      </c>
      <c r="FQ2322" s="1" t="s">
        <v>20356</v>
      </c>
      <c r="FR2322" s="1" t="s">
        <v>210</v>
      </c>
      <c r="FS2322" s="1" t="s">
        <v>20357</v>
      </c>
      <c r="FT2322" s="1" t="s">
        <v>520</v>
      </c>
      <c r="FU2322" s="1" t="s">
        <v>204</v>
      </c>
      <c r="FW2322" s="1" t="s">
        <v>1077</v>
      </c>
      <c r="FX2322" s="1">
        <v>2752</v>
      </c>
      <c r="FY2322" s="1" t="s">
        <v>1078</v>
      </c>
      <c r="FZ2322" s="1" t="s">
        <v>20358</v>
      </c>
      <c r="GA2322" s="1">
        <v>16918</v>
      </c>
      <c r="GB2322" s="1" t="s">
        <v>20359</v>
      </c>
      <c r="GE2322" s="1" t="s">
        <v>480</v>
      </c>
      <c r="GH2322" s="1" t="s">
        <v>589</v>
      </c>
      <c r="GI2322" s="1" t="s">
        <v>213</v>
      </c>
      <c r="GJ2322" s="1" t="s">
        <v>300</v>
      </c>
      <c r="GK2322" s="1" t="s">
        <v>210</v>
      </c>
      <c r="GL2322" s="2">
        <v>42079</v>
      </c>
      <c r="GM2322" s="1" t="s">
        <v>20360</v>
      </c>
    </row>
    <row r="2323" spans="1:195">
      <c r="A2323" s="1">
        <v>149000</v>
      </c>
      <c r="B2323" s="1" t="s">
        <v>195</v>
      </c>
      <c r="C2323" s="1" t="str">
        <f>"08825539"</f>
        <v>08825539</v>
      </c>
      <c r="D2323" s="1" t="s">
        <v>196</v>
      </c>
      <c r="F2323" s="1" t="str">
        <f>"107"</f>
        <v>107</v>
      </c>
      <c r="G2323" s="2">
        <v>42032</v>
      </c>
      <c r="H2323" s="1">
        <v>150000</v>
      </c>
      <c r="I2323" s="1">
        <v>150000</v>
      </c>
      <c r="J2323" s="1">
        <v>149000</v>
      </c>
      <c r="K2323" s="2">
        <v>42032</v>
      </c>
      <c r="L2323" s="1">
        <v>35</v>
      </c>
      <c r="M2323" s="2">
        <v>42066</v>
      </c>
      <c r="N2323" s="1">
        <v>35</v>
      </c>
      <c r="O2323" s="2">
        <v>42066</v>
      </c>
      <c r="P2323" s="1">
        <v>2700</v>
      </c>
      <c r="Q2323" s="1" t="s">
        <v>423</v>
      </c>
      <c r="R2323" s="2">
        <v>42123</v>
      </c>
      <c r="S2323" s="1">
        <v>81000</v>
      </c>
      <c r="U2323" s="1">
        <v>1928</v>
      </c>
      <c r="V2323" s="1" t="s">
        <v>18527</v>
      </c>
      <c r="W2323" s="1" t="s">
        <v>504</v>
      </c>
      <c r="Y2323" s="1">
        <v>4</v>
      </c>
      <c r="Z2323" s="1" t="s">
        <v>249</v>
      </c>
      <c r="AA2323" s="1" t="s">
        <v>1211</v>
      </c>
      <c r="AB2323" s="1">
        <v>60107</v>
      </c>
      <c r="AC2323" s="1">
        <v>1946</v>
      </c>
      <c r="AD2323" s="1" t="s">
        <v>18528</v>
      </c>
      <c r="AE2323" s="1" t="s">
        <v>20361</v>
      </c>
      <c r="AF2323" s="1">
        <v>1989</v>
      </c>
      <c r="AG2323" s="1" t="s">
        <v>204</v>
      </c>
      <c r="AH2323" s="1" t="s">
        <v>1214</v>
      </c>
      <c r="AI2323" s="1" t="s">
        <v>310</v>
      </c>
      <c r="AJ2323" s="1" t="s">
        <v>1717</v>
      </c>
      <c r="AK2323" s="1" t="s">
        <v>3587</v>
      </c>
      <c r="AL2323" s="1">
        <v>5</v>
      </c>
      <c r="AM2323" s="1">
        <v>2</v>
      </c>
      <c r="AN2323" s="1">
        <v>2</v>
      </c>
      <c r="AO2323" s="1">
        <v>0</v>
      </c>
      <c r="AP2323" s="1" t="s">
        <v>209</v>
      </c>
      <c r="AQ2323" s="1">
        <v>1</v>
      </c>
      <c r="AR2323" s="1" t="s">
        <v>210</v>
      </c>
      <c r="AS2323" s="1" t="s">
        <v>204</v>
      </c>
      <c r="AT2323" s="1" t="s">
        <v>211</v>
      </c>
      <c r="AU2323" s="1">
        <v>1</v>
      </c>
      <c r="AW2323" s="1" t="s">
        <v>204</v>
      </c>
      <c r="AX2323" s="1" t="s">
        <v>212</v>
      </c>
      <c r="AZ2323" s="1">
        <v>1793</v>
      </c>
      <c r="BA2323" s="1">
        <v>2013</v>
      </c>
      <c r="BB2323" s="1" t="s">
        <v>12584</v>
      </c>
      <c r="BE2323" s="1">
        <v>0</v>
      </c>
      <c r="BF2323" s="1">
        <v>2</v>
      </c>
      <c r="BG2323" s="1">
        <v>30</v>
      </c>
      <c r="BL2323" s="1">
        <v>308</v>
      </c>
      <c r="BM2323" s="1" t="s">
        <v>204</v>
      </c>
      <c r="BN2323" s="1" t="s">
        <v>213</v>
      </c>
      <c r="BO2323" s="1">
        <v>0</v>
      </c>
      <c r="BP2323" s="1" t="s">
        <v>204</v>
      </c>
      <c r="BR2323" s="1" t="str">
        <f>"07183000181024"</f>
        <v>07183000181024</v>
      </c>
      <c r="BT2323" s="1" t="s">
        <v>20362</v>
      </c>
      <c r="BU2323" s="1" t="s">
        <v>20363</v>
      </c>
      <c r="BV2323" s="1" t="s">
        <v>3098</v>
      </c>
      <c r="BW2323" s="1" t="s">
        <v>2030</v>
      </c>
      <c r="BX2323" s="1">
        <v>54</v>
      </c>
      <c r="BY2323" s="1">
        <v>54</v>
      </c>
      <c r="BZ2323" s="1">
        <v>211</v>
      </c>
      <c r="CB2323" s="1" t="str">
        <f>"11"</f>
        <v>11</v>
      </c>
      <c r="CC2323" s="1" t="str">
        <f>"0"</f>
        <v>0</v>
      </c>
      <c r="CD2323" s="1">
        <v>26</v>
      </c>
      <c r="CE2323" s="1">
        <v>0</v>
      </c>
      <c r="CG2323" s="1" t="s">
        <v>9134</v>
      </c>
      <c r="CH2323" s="1" t="s">
        <v>277</v>
      </c>
      <c r="CI2323" s="1" t="s">
        <v>220</v>
      </c>
      <c r="CJ2323" s="1" t="s">
        <v>343</v>
      </c>
      <c r="CK2323" s="1" t="s">
        <v>278</v>
      </c>
      <c r="CL2323" s="1" t="s">
        <v>277</v>
      </c>
      <c r="CM2323" s="1" t="s">
        <v>220</v>
      </c>
      <c r="CN2323" s="1" t="s">
        <v>343</v>
      </c>
      <c r="CP2323" s="1" t="s">
        <v>224</v>
      </c>
      <c r="CS2323" s="1" t="s">
        <v>346</v>
      </c>
      <c r="CT2323" s="1" t="s">
        <v>277</v>
      </c>
      <c r="CU2323" s="1" t="s">
        <v>220</v>
      </c>
      <c r="CV2323" s="1" t="s">
        <v>343</v>
      </c>
      <c r="CX2323" s="1" t="s">
        <v>224</v>
      </c>
      <c r="DB2323" s="1" t="s">
        <v>224</v>
      </c>
      <c r="DE2323" s="1" t="s">
        <v>315</v>
      </c>
      <c r="DF2323" s="1" t="s">
        <v>277</v>
      </c>
      <c r="DG2323" s="1" t="s">
        <v>226</v>
      </c>
      <c r="DH2323" s="1" t="s">
        <v>343</v>
      </c>
      <c r="DJ2323" s="1" t="s">
        <v>224</v>
      </c>
      <c r="DM2323" s="1" t="s">
        <v>1005</v>
      </c>
      <c r="DR2323" s="1" t="s">
        <v>318</v>
      </c>
      <c r="DS2323" s="1" t="s">
        <v>277</v>
      </c>
      <c r="DT2323" s="1" t="s">
        <v>220</v>
      </c>
      <c r="DU2323" s="1" t="s">
        <v>343</v>
      </c>
      <c r="DW2323" s="1" t="s">
        <v>230</v>
      </c>
      <c r="EA2323" s="1" t="s">
        <v>230</v>
      </c>
      <c r="EE2323" s="1" t="s">
        <v>230</v>
      </c>
      <c r="EI2323" s="1" t="s">
        <v>230</v>
      </c>
      <c r="EL2323" s="1" t="s">
        <v>542</v>
      </c>
      <c r="EM2323" s="1" t="s">
        <v>232</v>
      </c>
      <c r="EN2323" s="1" t="s">
        <v>282</v>
      </c>
      <c r="EO2323" s="1" t="s">
        <v>234</v>
      </c>
      <c r="EP2323" s="1" t="s">
        <v>2983</v>
      </c>
      <c r="EQ2323" s="1" t="s">
        <v>236</v>
      </c>
      <c r="ER2323" s="1" t="s">
        <v>210</v>
      </c>
      <c r="ES2323" s="1" t="s">
        <v>322</v>
      </c>
      <c r="ET2323" s="1" t="s">
        <v>2404</v>
      </c>
      <c r="EV2323" s="1" t="s">
        <v>240</v>
      </c>
      <c r="EW2323" s="1" t="s">
        <v>1698</v>
      </c>
      <c r="EY2323" s="1" t="s">
        <v>790</v>
      </c>
      <c r="EZ2323" s="1" t="s">
        <v>1005</v>
      </c>
      <c r="FB2323" s="1" t="s">
        <v>289</v>
      </c>
      <c r="FD2323" s="1" t="s">
        <v>246</v>
      </c>
      <c r="FE2323" s="1" t="s">
        <v>975</v>
      </c>
      <c r="FF2323" s="1" t="s">
        <v>248</v>
      </c>
      <c r="FG2323" s="1" t="s">
        <v>871</v>
      </c>
      <c r="FH2323" s="1" t="s">
        <v>825</v>
      </c>
      <c r="FI2323" s="1" t="s">
        <v>473</v>
      </c>
      <c r="FL2323" s="1" t="s">
        <v>358</v>
      </c>
      <c r="FM2323" s="1" t="s">
        <v>252</v>
      </c>
      <c r="FN2323" s="1" t="s">
        <v>213</v>
      </c>
      <c r="FO2323" s="1" t="s">
        <v>213</v>
      </c>
      <c r="FQ2323" s="1" t="s">
        <v>913</v>
      </c>
      <c r="FR2323" s="1" t="s">
        <v>210</v>
      </c>
      <c r="FS2323" s="1" t="s">
        <v>976</v>
      </c>
      <c r="FT2323" s="1" t="s">
        <v>295</v>
      </c>
      <c r="FU2323" s="1" t="s">
        <v>204</v>
      </c>
      <c r="FW2323" s="1" t="s">
        <v>977</v>
      </c>
      <c r="FX2323" s="1">
        <v>25266</v>
      </c>
      <c r="FY2323" s="1" t="s">
        <v>978</v>
      </c>
      <c r="FZ2323" s="1" t="s">
        <v>979</v>
      </c>
      <c r="GA2323" s="1">
        <v>231049</v>
      </c>
      <c r="GB2323" s="1" t="s">
        <v>980</v>
      </c>
      <c r="GE2323" s="1" t="s">
        <v>480</v>
      </c>
      <c r="GI2323" s="1" t="s">
        <v>213</v>
      </c>
      <c r="GJ2323" s="1" t="s">
        <v>260</v>
      </c>
      <c r="GK2323" s="1" t="s">
        <v>210</v>
      </c>
      <c r="GL2323" s="2">
        <v>42124</v>
      </c>
      <c r="GM2323" s="1" t="s">
        <v>20364</v>
      </c>
    </row>
    <row r="2324" spans="1:195">
      <c r="A2324" s="1">
        <v>133000</v>
      </c>
      <c r="B2324" s="1" t="s">
        <v>195</v>
      </c>
      <c r="C2324" s="1" t="str">
        <f>"08816582"</f>
        <v>08816582</v>
      </c>
      <c r="D2324" s="1" t="s">
        <v>196</v>
      </c>
      <c r="F2324" s="1" t="str">
        <f>"191"</f>
        <v>191</v>
      </c>
      <c r="G2324" s="2">
        <v>42018</v>
      </c>
      <c r="H2324" s="1">
        <v>145000</v>
      </c>
      <c r="I2324" s="1">
        <v>145000</v>
      </c>
      <c r="J2324" s="1">
        <v>133000</v>
      </c>
      <c r="K2324" s="2">
        <v>42018</v>
      </c>
      <c r="L2324" s="1">
        <v>61</v>
      </c>
      <c r="M2324" s="2">
        <v>42078</v>
      </c>
      <c r="N2324" s="1">
        <v>61</v>
      </c>
      <c r="O2324" s="2">
        <v>42078</v>
      </c>
      <c r="P2324" s="1">
        <v>8005</v>
      </c>
      <c r="Q2324" s="1" t="s">
        <v>302</v>
      </c>
      <c r="R2324" s="2">
        <v>42104</v>
      </c>
      <c r="S2324" s="1">
        <v>83789</v>
      </c>
      <c r="U2324" s="1">
        <v>190</v>
      </c>
      <c r="V2324" s="1" t="s">
        <v>1966</v>
      </c>
      <c r="W2324" s="1" t="s">
        <v>1056</v>
      </c>
      <c r="X2324" s="1">
        <v>801</v>
      </c>
      <c r="Y2324" s="1">
        <v>118</v>
      </c>
      <c r="Z2324" s="1" t="s">
        <v>249</v>
      </c>
      <c r="AA2324" s="1" t="s">
        <v>1966</v>
      </c>
      <c r="AB2324" s="1">
        <v>60191</v>
      </c>
      <c r="AD2324" s="1" t="s">
        <v>1967</v>
      </c>
      <c r="AE2324" s="1" t="s">
        <v>20365</v>
      </c>
      <c r="AF2324" s="1">
        <v>1971</v>
      </c>
      <c r="AG2324" s="1" t="s">
        <v>213</v>
      </c>
      <c r="AH2324" s="1" t="s">
        <v>1969</v>
      </c>
      <c r="AI2324" s="1" t="s">
        <v>206</v>
      </c>
      <c r="AJ2324" s="1" t="s">
        <v>1233</v>
      </c>
      <c r="AL2324" s="1">
        <v>5</v>
      </c>
      <c r="AM2324" s="1">
        <v>2</v>
      </c>
      <c r="AN2324" s="1">
        <v>2</v>
      </c>
      <c r="AO2324" s="1">
        <v>0</v>
      </c>
      <c r="AP2324" s="1" t="s">
        <v>209</v>
      </c>
      <c r="AR2324" s="1" t="s">
        <v>210</v>
      </c>
      <c r="AT2324" s="1" t="s">
        <v>211</v>
      </c>
      <c r="AU2324" s="1">
        <v>1</v>
      </c>
      <c r="AW2324" s="1" t="s">
        <v>204</v>
      </c>
      <c r="AX2324" s="1" t="s">
        <v>212</v>
      </c>
      <c r="AZ2324" s="1">
        <v>2751</v>
      </c>
      <c r="BA2324" s="1">
        <v>2013</v>
      </c>
      <c r="BB2324" s="1" t="s">
        <v>405</v>
      </c>
      <c r="BE2324" s="1">
        <v>1400</v>
      </c>
      <c r="BF2324" s="1">
        <v>8</v>
      </c>
      <c r="BG2324" s="1">
        <v>30</v>
      </c>
      <c r="BJ2324" s="1">
        <v>95</v>
      </c>
      <c r="BL2324" s="1">
        <v>410</v>
      </c>
      <c r="BM2324" s="1" t="s">
        <v>204</v>
      </c>
      <c r="BN2324" s="1" t="s">
        <v>213</v>
      </c>
      <c r="BP2324" s="1" t="s">
        <v>204</v>
      </c>
      <c r="BR2324" s="1" t="str">
        <f>"0316405072"</f>
        <v>0316405072</v>
      </c>
      <c r="BT2324" s="1" t="s">
        <v>20366</v>
      </c>
      <c r="BU2324" s="1" t="s">
        <v>1971</v>
      </c>
      <c r="BV2324" s="1" t="s">
        <v>1972</v>
      </c>
      <c r="BW2324" s="1" t="s">
        <v>1973</v>
      </c>
      <c r="BX2324" s="1">
        <v>7</v>
      </c>
      <c r="BY2324" s="1">
        <v>7</v>
      </c>
      <c r="BZ2324" s="1">
        <v>100</v>
      </c>
      <c r="CB2324" s="1" t="str">
        <f>"5"</f>
        <v>5</v>
      </c>
      <c r="CC2324" s="1" t="str">
        <f>""</f>
        <v/>
      </c>
      <c r="CD2324" s="1">
        <v>18</v>
      </c>
      <c r="CG2324" s="1" t="s">
        <v>6531</v>
      </c>
      <c r="CH2324" s="1" t="s">
        <v>219</v>
      </c>
      <c r="CI2324" s="1" t="s">
        <v>220</v>
      </c>
      <c r="CJ2324" s="1" t="s">
        <v>252</v>
      </c>
      <c r="CK2324" s="1" t="s">
        <v>581</v>
      </c>
      <c r="CL2324" s="1" t="s">
        <v>219</v>
      </c>
      <c r="CM2324" s="1" t="s">
        <v>220</v>
      </c>
      <c r="CN2324" s="1" t="s">
        <v>252</v>
      </c>
      <c r="CO2324" s="1" t="s">
        <v>465</v>
      </c>
      <c r="CP2324" s="1" t="s">
        <v>219</v>
      </c>
      <c r="CQ2324" s="1" t="s">
        <v>220</v>
      </c>
      <c r="CR2324" s="1" t="s">
        <v>252</v>
      </c>
      <c r="CS2324" s="1" t="s">
        <v>465</v>
      </c>
      <c r="CT2324" s="1" t="s">
        <v>219</v>
      </c>
      <c r="CU2324" s="1" t="s">
        <v>220</v>
      </c>
      <c r="CV2324" s="1" t="s">
        <v>252</v>
      </c>
      <c r="CX2324" s="1" t="s">
        <v>224</v>
      </c>
      <c r="DB2324" s="1" t="s">
        <v>224</v>
      </c>
      <c r="DE2324" s="1" t="s">
        <v>5105</v>
      </c>
      <c r="DF2324" s="1" t="s">
        <v>219</v>
      </c>
      <c r="DG2324" s="1" t="s">
        <v>342</v>
      </c>
      <c r="DJ2324" s="1" t="s">
        <v>224</v>
      </c>
      <c r="DM2324" s="1" t="s">
        <v>709</v>
      </c>
      <c r="DR2324" s="1" t="s">
        <v>4852</v>
      </c>
      <c r="DS2324" s="1" t="s">
        <v>219</v>
      </c>
      <c r="DT2324" s="1" t="s">
        <v>220</v>
      </c>
      <c r="DW2324" s="1" t="s">
        <v>230</v>
      </c>
      <c r="EA2324" s="1" t="s">
        <v>230</v>
      </c>
      <c r="EE2324" s="1" t="s">
        <v>230</v>
      </c>
      <c r="EI2324" s="1" t="s">
        <v>230</v>
      </c>
      <c r="EL2324" s="1" t="s">
        <v>605</v>
      </c>
      <c r="EM2324" s="1" t="s">
        <v>232</v>
      </c>
      <c r="EN2324" s="1" t="s">
        <v>282</v>
      </c>
      <c r="EO2324" s="1" t="s">
        <v>234</v>
      </c>
      <c r="EP2324" s="1" t="s">
        <v>20367</v>
      </c>
      <c r="EQ2324" s="1" t="s">
        <v>953</v>
      </c>
      <c r="ER2324" s="1" t="s">
        <v>210</v>
      </c>
      <c r="ES2324" s="1" t="s">
        <v>824</v>
      </c>
      <c r="EV2324" s="1" t="s">
        <v>352</v>
      </c>
      <c r="EW2324" s="1" t="s">
        <v>1976</v>
      </c>
      <c r="EY2324" s="1" t="s">
        <v>790</v>
      </c>
      <c r="EZ2324" s="1" t="s">
        <v>709</v>
      </c>
      <c r="FB2324" s="1" t="s">
        <v>289</v>
      </c>
      <c r="FC2324" s="1" t="s">
        <v>548</v>
      </c>
      <c r="FD2324" s="1" t="s">
        <v>736</v>
      </c>
      <c r="FE2324" s="1" t="s">
        <v>566</v>
      </c>
      <c r="FF2324" s="1" t="s">
        <v>248</v>
      </c>
      <c r="FH2324" s="1" t="s">
        <v>249</v>
      </c>
      <c r="FI2324" s="1" t="s">
        <v>250</v>
      </c>
      <c r="FL2324" s="1" t="s">
        <v>1073</v>
      </c>
      <c r="FM2324" s="1" t="s">
        <v>252</v>
      </c>
      <c r="FN2324" s="1" t="s">
        <v>213</v>
      </c>
      <c r="FO2324" s="1" t="s">
        <v>213</v>
      </c>
      <c r="FQ2324" s="1" t="s">
        <v>11194</v>
      </c>
      <c r="FR2324" s="1" t="s">
        <v>210</v>
      </c>
      <c r="FS2324" s="1" t="s">
        <v>20368</v>
      </c>
      <c r="FT2324" s="1" t="s">
        <v>295</v>
      </c>
      <c r="FU2324" s="1" t="s">
        <v>204</v>
      </c>
      <c r="FW2324" s="1" t="s">
        <v>20369</v>
      </c>
      <c r="FX2324" s="1">
        <v>18148</v>
      </c>
      <c r="FY2324" s="1" t="s">
        <v>20370</v>
      </c>
      <c r="FZ2324" s="1" t="s">
        <v>20371</v>
      </c>
      <c r="GA2324" s="1">
        <v>187953</v>
      </c>
      <c r="GB2324" s="1" t="s">
        <v>20372</v>
      </c>
      <c r="GE2324" s="1" t="s">
        <v>1256</v>
      </c>
      <c r="GH2324" s="1" t="s">
        <v>421</v>
      </c>
      <c r="GI2324" s="1" t="s">
        <v>204</v>
      </c>
      <c r="GJ2324" s="1" t="s">
        <v>260</v>
      </c>
      <c r="GK2324" s="1" t="s">
        <v>210</v>
      </c>
      <c r="GL2324" s="2">
        <v>42107</v>
      </c>
      <c r="GM2324" s="1" t="s">
        <v>20373</v>
      </c>
    </row>
    <row r="2325" spans="1:195">
      <c r="A2325" s="1">
        <v>100000</v>
      </c>
      <c r="B2325" s="1" t="s">
        <v>195</v>
      </c>
      <c r="C2325" s="1" t="str">
        <f>"08821482"</f>
        <v>08821482</v>
      </c>
      <c r="D2325" s="1" t="s">
        <v>196</v>
      </c>
      <c r="F2325" s="1" t="str">
        <f>"515"</f>
        <v>515</v>
      </c>
      <c r="G2325" s="2">
        <v>42025</v>
      </c>
      <c r="H2325" s="1">
        <v>105999</v>
      </c>
      <c r="I2325" s="1">
        <v>105999</v>
      </c>
      <c r="J2325" s="1">
        <v>100000</v>
      </c>
      <c r="K2325" s="2">
        <v>42025</v>
      </c>
      <c r="L2325" s="1">
        <v>36</v>
      </c>
      <c r="M2325" s="2">
        <v>42060</v>
      </c>
      <c r="N2325" s="1">
        <v>36</v>
      </c>
      <c r="O2325" s="2">
        <v>42060</v>
      </c>
      <c r="P2325" s="1">
        <v>23265</v>
      </c>
      <c r="Q2325" s="1" t="s">
        <v>302</v>
      </c>
      <c r="R2325" s="2">
        <v>42123</v>
      </c>
      <c r="S2325" s="1">
        <v>221588</v>
      </c>
      <c r="U2325" s="1">
        <v>500</v>
      </c>
      <c r="V2325" s="1" t="s">
        <v>11177</v>
      </c>
      <c r="W2325" s="1" t="s">
        <v>725</v>
      </c>
      <c r="X2325" s="1">
        <v>205</v>
      </c>
      <c r="Y2325" s="1">
        <v>12</v>
      </c>
      <c r="Z2325" s="1" t="s">
        <v>249</v>
      </c>
      <c r="AA2325" s="1" t="s">
        <v>1294</v>
      </c>
      <c r="AB2325" s="1">
        <v>60516</v>
      </c>
      <c r="AE2325" s="1" t="s">
        <v>20374</v>
      </c>
      <c r="AF2325" s="1">
        <v>1971</v>
      </c>
      <c r="AG2325" s="1" t="s">
        <v>213</v>
      </c>
      <c r="AH2325" s="1" t="s">
        <v>903</v>
      </c>
      <c r="AI2325" s="1" t="s">
        <v>206</v>
      </c>
      <c r="AJ2325" s="1" t="s">
        <v>903</v>
      </c>
      <c r="AL2325" s="1">
        <v>5</v>
      </c>
      <c r="AM2325" s="1">
        <v>2</v>
      </c>
      <c r="AN2325" s="1">
        <v>2</v>
      </c>
      <c r="AO2325" s="1">
        <v>0</v>
      </c>
      <c r="AP2325" s="1" t="s">
        <v>209</v>
      </c>
      <c r="AR2325" s="1" t="s">
        <v>210</v>
      </c>
      <c r="AS2325" s="1" t="s">
        <v>204</v>
      </c>
      <c r="AT2325" s="1" t="s">
        <v>271</v>
      </c>
      <c r="AV2325" s="1">
        <v>1</v>
      </c>
      <c r="AW2325" s="1" t="s">
        <v>204</v>
      </c>
      <c r="AX2325" s="1" t="s">
        <v>270</v>
      </c>
      <c r="AZ2325" s="1">
        <v>1152</v>
      </c>
      <c r="BA2325" s="1">
        <v>2013</v>
      </c>
      <c r="BB2325" s="1" t="s">
        <v>599</v>
      </c>
      <c r="BE2325" s="1">
        <v>1000</v>
      </c>
      <c r="BF2325" s="1">
        <v>2</v>
      </c>
      <c r="BG2325" s="1">
        <v>0</v>
      </c>
      <c r="BL2325" s="1">
        <v>312</v>
      </c>
      <c r="BM2325" s="1" t="s">
        <v>204</v>
      </c>
      <c r="BN2325" s="1" t="s">
        <v>213</v>
      </c>
      <c r="BO2325" s="1">
        <v>35</v>
      </c>
      <c r="BP2325" s="1" t="s">
        <v>204</v>
      </c>
      <c r="BR2325" s="1" t="str">
        <f>"0929214083"</f>
        <v>0929214083</v>
      </c>
      <c r="BT2325" s="1" t="s">
        <v>20375</v>
      </c>
      <c r="BX2325" s="1">
        <v>61</v>
      </c>
      <c r="BY2325" s="1">
        <v>61</v>
      </c>
      <c r="BZ2325" s="1">
        <v>99</v>
      </c>
      <c r="CB2325" s="1" t="str">
        <f t="shared" ref="CB2325:CC2325" si="1780">""</f>
        <v/>
      </c>
      <c r="CC2325" s="1" t="str">
        <f t="shared" si="1780"/>
        <v/>
      </c>
      <c r="CG2325" s="1" t="s">
        <v>1200</v>
      </c>
      <c r="CH2325" s="1" t="s">
        <v>219</v>
      </c>
      <c r="CI2325" s="1" t="s">
        <v>220</v>
      </c>
      <c r="CK2325" s="1" t="s">
        <v>757</v>
      </c>
      <c r="CL2325" s="1" t="s">
        <v>219</v>
      </c>
      <c r="CM2325" s="1" t="s">
        <v>438</v>
      </c>
      <c r="CN2325" s="1" t="s">
        <v>343</v>
      </c>
      <c r="CO2325" s="1" t="s">
        <v>348</v>
      </c>
      <c r="CP2325" s="1" t="s">
        <v>219</v>
      </c>
      <c r="CQ2325" s="1" t="s">
        <v>220</v>
      </c>
      <c r="CS2325" s="1" t="s">
        <v>539</v>
      </c>
      <c r="CT2325" s="1" t="s">
        <v>219</v>
      </c>
      <c r="CU2325" s="1" t="s">
        <v>438</v>
      </c>
      <c r="CV2325" s="1" t="s">
        <v>343</v>
      </c>
      <c r="CX2325" s="1" t="s">
        <v>224</v>
      </c>
      <c r="DB2325" s="1" t="s">
        <v>224</v>
      </c>
      <c r="DE2325" s="1" t="s">
        <v>348</v>
      </c>
      <c r="DF2325" s="1" t="s">
        <v>219</v>
      </c>
      <c r="DG2325" s="1" t="s">
        <v>226</v>
      </c>
      <c r="DJ2325" s="1" t="s">
        <v>224</v>
      </c>
      <c r="DS2325" s="1" t="s">
        <v>230</v>
      </c>
      <c r="DW2325" s="1" t="s">
        <v>230</v>
      </c>
      <c r="EA2325" s="1" t="s">
        <v>230</v>
      </c>
      <c r="EE2325" s="1" t="s">
        <v>230</v>
      </c>
      <c r="EI2325" s="1" t="s">
        <v>230</v>
      </c>
      <c r="EL2325" s="1" t="s">
        <v>605</v>
      </c>
      <c r="EM2325" s="1" t="s">
        <v>232</v>
      </c>
      <c r="EN2325" s="1" t="s">
        <v>282</v>
      </c>
      <c r="EO2325" s="1" t="s">
        <v>234</v>
      </c>
      <c r="ER2325" s="1" t="s">
        <v>210</v>
      </c>
      <c r="EW2325" s="1" t="s">
        <v>844</v>
      </c>
      <c r="EZ2325" s="1" t="s">
        <v>287</v>
      </c>
      <c r="FD2325" s="1" t="s">
        <v>385</v>
      </c>
      <c r="FE2325" s="1" t="s">
        <v>247</v>
      </c>
      <c r="FF2325" s="1" t="s">
        <v>3103</v>
      </c>
      <c r="FH2325" s="1" t="s">
        <v>249</v>
      </c>
      <c r="FK2325" s="1" t="s">
        <v>291</v>
      </c>
      <c r="FL2325" s="1" t="s">
        <v>414</v>
      </c>
      <c r="FM2325" s="1" t="s">
        <v>252</v>
      </c>
      <c r="FN2325" s="1" t="s">
        <v>213</v>
      </c>
      <c r="FO2325" s="1" t="s">
        <v>213</v>
      </c>
      <c r="FQ2325" s="1" t="s">
        <v>1473</v>
      </c>
      <c r="FR2325" s="1" t="s">
        <v>210</v>
      </c>
      <c r="FS2325" s="1" t="s">
        <v>20376</v>
      </c>
      <c r="FT2325" s="1" t="s">
        <v>295</v>
      </c>
      <c r="FU2325" s="1" t="s">
        <v>204</v>
      </c>
      <c r="FW2325" s="1" t="s">
        <v>1652</v>
      </c>
      <c r="FX2325" s="1">
        <v>349</v>
      </c>
      <c r="FY2325" s="1" t="s">
        <v>4818</v>
      </c>
      <c r="FZ2325" s="1" t="s">
        <v>4819</v>
      </c>
      <c r="GA2325" s="1">
        <v>8766</v>
      </c>
      <c r="GB2325" s="1" t="s">
        <v>4820</v>
      </c>
      <c r="GE2325" s="1" t="s">
        <v>210</v>
      </c>
      <c r="GI2325" s="1" t="s">
        <v>213</v>
      </c>
      <c r="GJ2325" s="1" t="s">
        <v>260</v>
      </c>
      <c r="GK2325" s="1" t="s">
        <v>210</v>
      </c>
      <c r="GL2325" s="2">
        <v>42123</v>
      </c>
      <c r="GM2325" s="1" t="s">
        <v>20377</v>
      </c>
    </row>
    <row r="2326" spans="1:195">
      <c r="A2326" s="1">
        <v>185000</v>
      </c>
      <c r="B2326" s="1" t="s">
        <v>195</v>
      </c>
      <c r="C2326" s="1" t="str">
        <f>"08819810"</f>
        <v>08819810</v>
      </c>
      <c r="D2326" s="1" t="s">
        <v>196</v>
      </c>
      <c r="F2326" s="1" t="str">
        <f>"181"</f>
        <v>181</v>
      </c>
      <c r="G2326" s="2">
        <v>42024</v>
      </c>
      <c r="H2326" s="1">
        <v>215000</v>
      </c>
      <c r="I2326" s="1">
        <v>200000</v>
      </c>
      <c r="J2326" s="1">
        <v>185000</v>
      </c>
      <c r="K2326" s="2">
        <v>42024</v>
      </c>
      <c r="L2326" s="1">
        <v>69</v>
      </c>
      <c r="M2326" s="2">
        <v>42092</v>
      </c>
      <c r="N2326" s="1">
        <v>69</v>
      </c>
      <c r="O2326" s="2">
        <v>42092</v>
      </c>
      <c r="P2326" s="1">
        <v>5105</v>
      </c>
      <c r="Q2326" s="1" t="s">
        <v>197</v>
      </c>
      <c r="R2326" s="2">
        <v>42102</v>
      </c>
      <c r="S2326" s="1">
        <v>55944</v>
      </c>
      <c r="U2326" s="1" t="s">
        <v>20378</v>
      </c>
      <c r="V2326" s="1" t="s">
        <v>6527</v>
      </c>
      <c r="W2326" s="1" t="s">
        <v>1056</v>
      </c>
      <c r="X2326" s="1" t="s">
        <v>20379</v>
      </c>
      <c r="Y2326" s="1">
        <v>8</v>
      </c>
      <c r="Z2326" s="1" t="s">
        <v>249</v>
      </c>
      <c r="AA2326" s="1" t="s">
        <v>3310</v>
      </c>
      <c r="AB2326" s="1">
        <v>60181</v>
      </c>
      <c r="AD2326" s="1" t="s">
        <v>20380</v>
      </c>
      <c r="AE2326" s="1" t="s">
        <v>20381</v>
      </c>
      <c r="AF2326" s="1">
        <v>1974</v>
      </c>
      <c r="AG2326" s="1" t="s">
        <v>213</v>
      </c>
      <c r="AH2326" s="1" t="s">
        <v>6529</v>
      </c>
      <c r="AI2326" s="1" t="s">
        <v>206</v>
      </c>
      <c r="AJ2326" s="1" t="s">
        <v>1608</v>
      </c>
      <c r="AK2326" s="1" t="s">
        <v>20382</v>
      </c>
      <c r="AL2326" s="1">
        <v>5</v>
      </c>
      <c r="AM2326" s="1">
        <v>2</v>
      </c>
      <c r="AN2326" s="1">
        <v>2</v>
      </c>
      <c r="AO2326" s="1">
        <v>0</v>
      </c>
      <c r="AP2326" s="1" t="s">
        <v>209</v>
      </c>
      <c r="AQ2326" s="1">
        <v>1</v>
      </c>
      <c r="AR2326" s="1" t="s">
        <v>210</v>
      </c>
      <c r="AS2326" s="1" t="s">
        <v>204</v>
      </c>
      <c r="AT2326" s="1" t="s">
        <v>375</v>
      </c>
      <c r="AU2326" s="1">
        <v>1</v>
      </c>
      <c r="AV2326" s="1">
        <v>1</v>
      </c>
      <c r="AW2326" s="1" t="s">
        <v>204</v>
      </c>
      <c r="AX2326" s="1" t="s">
        <v>212</v>
      </c>
      <c r="AZ2326" s="3">
        <v>2987</v>
      </c>
      <c r="BA2326" s="1">
        <v>2013</v>
      </c>
      <c r="BE2326" s="1">
        <v>1210</v>
      </c>
      <c r="BF2326" s="1">
        <v>1</v>
      </c>
      <c r="BG2326" s="1">
        <v>15</v>
      </c>
      <c r="BJ2326" s="1">
        <v>100</v>
      </c>
      <c r="BL2326" s="1">
        <v>412</v>
      </c>
      <c r="BM2326" s="1" t="s">
        <v>204</v>
      </c>
      <c r="BN2326" s="1" t="s">
        <v>213</v>
      </c>
      <c r="BO2326" s="1">
        <v>20</v>
      </c>
      <c r="BP2326" s="1" t="s">
        <v>204</v>
      </c>
      <c r="BR2326" s="1" t="str">
        <f>"0623110027"</f>
        <v>0623110027</v>
      </c>
      <c r="BT2326" s="1" t="s">
        <v>20383</v>
      </c>
      <c r="BU2326" s="1" t="s">
        <v>3822</v>
      </c>
      <c r="BV2326" s="1" t="s">
        <v>3315</v>
      </c>
      <c r="BW2326" s="1" t="s">
        <v>2201</v>
      </c>
      <c r="BX2326" s="1">
        <v>48</v>
      </c>
      <c r="BY2326" s="1">
        <v>48</v>
      </c>
      <c r="BZ2326" s="1">
        <v>88</v>
      </c>
      <c r="CB2326" s="1" t="str">
        <f t="shared" ref="CB2326:CC2326" si="1781">"0"</f>
        <v>0</v>
      </c>
      <c r="CC2326" s="1" t="str">
        <f t="shared" si="1781"/>
        <v>0</v>
      </c>
      <c r="CD2326" s="1">
        <v>16</v>
      </c>
      <c r="CE2326" s="1">
        <v>1</v>
      </c>
      <c r="CG2326" s="1" t="s">
        <v>5897</v>
      </c>
      <c r="CH2326" s="1" t="s">
        <v>219</v>
      </c>
      <c r="CI2326" s="1" t="s">
        <v>438</v>
      </c>
      <c r="CK2326" s="1" t="s">
        <v>581</v>
      </c>
      <c r="CL2326" s="1" t="s">
        <v>219</v>
      </c>
      <c r="CM2326" s="1" t="s">
        <v>220</v>
      </c>
      <c r="CO2326" s="1" t="s">
        <v>379</v>
      </c>
      <c r="CP2326" s="1" t="s">
        <v>219</v>
      </c>
      <c r="CQ2326" s="1" t="s">
        <v>438</v>
      </c>
      <c r="CS2326" s="1" t="s">
        <v>317</v>
      </c>
      <c r="CT2326" s="1" t="s">
        <v>219</v>
      </c>
      <c r="CU2326" s="1" t="s">
        <v>220</v>
      </c>
      <c r="CX2326" s="1" t="s">
        <v>224</v>
      </c>
      <c r="DB2326" s="1" t="s">
        <v>224</v>
      </c>
      <c r="DE2326" s="1" t="s">
        <v>378</v>
      </c>
      <c r="DF2326" s="1" t="s">
        <v>219</v>
      </c>
      <c r="DG2326" s="1" t="s">
        <v>226</v>
      </c>
      <c r="DH2326" s="1" t="s">
        <v>210</v>
      </c>
      <c r="DJ2326" s="1" t="s">
        <v>224</v>
      </c>
      <c r="DS2326" s="1" t="s">
        <v>230</v>
      </c>
      <c r="DW2326" s="1" t="s">
        <v>230</v>
      </c>
      <c r="EA2326" s="1" t="s">
        <v>230</v>
      </c>
      <c r="EE2326" s="1" t="s">
        <v>230</v>
      </c>
      <c r="EI2326" s="1" t="s">
        <v>230</v>
      </c>
      <c r="EL2326" s="1" t="s">
        <v>605</v>
      </c>
      <c r="EM2326" s="1" t="s">
        <v>232</v>
      </c>
      <c r="EN2326" s="1" t="s">
        <v>282</v>
      </c>
      <c r="EO2326" s="1" t="s">
        <v>234</v>
      </c>
      <c r="EP2326" s="1" t="s">
        <v>20384</v>
      </c>
      <c r="EQ2326" s="1" t="s">
        <v>492</v>
      </c>
      <c r="ER2326" s="1" t="s">
        <v>1069</v>
      </c>
      <c r="ES2326" s="1" t="s">
        <v>322</v>
      </c>
      <c r="EV2326" s="1" t="s">
        <v>324</v>
      </c>
      <c r="EW2326" s="1" t="s">
        <v>20385</v>
      </c>
      <c r="EY2326" s="1" t="s">
        <v>242</v>
      </c>
      <c r="EZ2326" s="1" t="s">
        <v>287</v>
      </c>
      <c r="FA2326" s="1" t="s">
        <v>243</v>
      </c>
      <c r="FB2326" s="1" t="s">
        <v>289</v>
      </c>
      <c r="FC2326" s="1" t="s">
        <v>1386</v>
      </c>
      <c r="FD2326" s="1" t="s">
        <v>888</v>
      </c>
      <c r="FE2326" s="1" t="s">
        <v>549</v>
      </c>
      <c r="FF2326" s="1" t="s">
        <v>248</v>
      </c>
      <c r="FG2326" s="1" t="s">
        <v>912</v>
      </c>
      <c r="FH2326" s="1" t="s">
        <v>249</v>
      </c>
      <c r="FI2326" s="1" t="s">
        <v>473</v>
      </c>
      <c r="FK2326" s="1" t="s">
        <v>291</v>
      </c>
      <c r="FL2326" s="1" t="s">
        <v>414</v>
      </c>
      <c r="FM2326" s="1" t="s">
        <v>252</v>
      </c>
      <c r="FN2326" s="1" t="s">
        <v>213</v>
      </c>
      <c r="FO2326" s="1" t="s">
        <v>213</v>
      </c>
      <c r="FQ2326" s="1" t="s">
        <v>329</v>
      </c>
      <c r="FR2326" s="1" t="s">
        <v>210</v>
      </c>
      <c r="FS2326" s="1" t="s">
        <v>20386</v>
      </c>
      <c r="FT2326" s="1" t="s">
        <v>255</v>
      </c>
      <c r="FU2326" s="1" t="s">
        <v>204</v>
      </c>
      <c r="FW2326" s="1" t="s">
        <v>3328</v>
      </c>
      <c r="FX2326" s="1">
        <v>24330</v>
      </c>
      <c r="FY2326" s="1" t="s">
        <v>3329</v>
      </c>
      <c r="FZ2326" s="1" t="s">
        <v>3330</v>
      </c>
      <c r="GA2326" s="1">
        <v>241279</v>
      </c>
      <c r="GB2326" s="1" t="s">
        <v>3331</v>
      </c>
      <c r="GE2326" s="1" t="s">
        <v>1764</v>
      </c>
      <c r="GI2326" s="1" t="s">
        <v>213</v>
      </c>
      <c r="GJ2326" s="1" t="s">
        <v>260</v>
      </c>
      <c r="GK2326" s="1" t="s">
        <v>210</v>
      </c>
      <c r="GL2326" s="2">
        <v>42102</v>
      </c>
      <c r="GM2326" s="1" t="s">
        <v>20387</v>
      </c>
    </row>
    <row r="2327" spans="1:195">
      <c r="A2327" s="1">
        <v>174500</v>
      </c>
      <c r="B2327" s="1" t="s">
        <v>195</v>
      </c>
      <c r="C2327" s="1" t="str">
        <f>"08821274"</f>
        <v>08821274</v>
      </c>
      <c r="D2327" s="1" t="s">
        <v>196</v>
      </c>
      <c r="F2327" s="1" t="str">
        <f>"510"</f>
        <v>510</v>
      </c>
      <c r="G2327" s="2">
        <v>42025</v>
      </c>
      <c r="H2327" s="1">
        <v>179000</v>
      </c>
      <c r="I2327" s="1">
        <v>179000</v>
      </c>
      <c r="J2327" s="1">
        <v>174500</v>
      </c>
      <c r="K2327" s="2">
        <v>42025</v>
      </c>
      <c r="L2327" s="1">
        <v>8</v>
      </c>
      <c r="M2327" s="2">
        <v>42032</v>
      </c>
      <c r="N2327" s="1">
        <v>8</v>
      </c>
      <c r="O2327" s="2">
        <v>42032</v>
      </c>
      <c r="P2327" s="1">
        <v>24007</v>
      </c>
      <c r="Q2327" s="1" t="s">
        <v>197</v>
      </c>
      <c r="R2327" s="2">
        <v>42082</v>
      </c>
      <c r="S2327" s="1">
        <v>241613</v>
      </c>
      <c r="U2327" s="1">
        <v>102</v>
      </c>
      <c r="V2327" s="1" t="s">
        <v>946</v>
      </c>
      <c r="W2327" s="1" t="s">
        <v>526</v>
      </c>
      <c r="X2327" s="1">
        <v>102</v>
      </c>
      <c r="Y2327" s="1">
        <v>4</v>
      </c>
      <c r="Z2327" s="1" t="s">
        <v>370</v>
      </c>
      <c r="AA2327" s="1" t="s">
        <v>947</v>
      </c>
      <c r="AB2327" s="1">
        <v>60510</v>
      </c>
      <c r="AD2327" s="1" t="s">
        <v>20388</v>
      </c>
      <c r="AE2327" s="1" t="s">
        <v>20389</v>
      </c>
      <c r="AF2327" s="1">
        <v>1995</v>
      </c>
      <c r="AG2327" s="1" t="s">
        <v>204</v>
      </c>
      <c r="AH2327" s="1" t="s">
        <v>949</v>
      </c>
      <c r="AI2327" s="1" t="s">
        <v>665</v>
      </c>
      <c r="AJ2327" s="1" t="s">
        <v>949</v>
      </c>
      <c r="AK2327" s="1" t="s">
        <v>6006</v>
      </c>
      <c r="AL2327" s="1">
        <v>7</v>
      </c>
      <c r="AM2327" s="1">
        <v>2</v>
      </c>
      <c r="AN2327" s="1">
        <v>2</v>
      </c>
      <c r="AO2327" s="1">
        <v>1</v>
      </c>
      <c r="AP2327" s="1" t="s">
        <v>209</v>
      </c>
      <c r="AQ2327" s="1">
        <v>1</v>
      </c>
      <c r="AR2327" s="1" t="s">
        <v>210</v>
      </c>
      <c r="AS2327" s="1" t="s">
        <v>204</v>
      </c>
      <c r="AT2327" s="1" t="s">
        <v>211</v>
      </c>
      <c r="AU2327" s="1">
        <v>2</v>
      </c>
      <c r="AW2327" s="1" t="s">
        <v>204</v>
      </c>
      <c r="AX2327" s="1" t="s">
        <v>212</v>
      </c>
      <c r="AZ2327" s="1">
        <v>5419.56</v>
      </c>
      <c r="BA2327" s="1">
        <v>2013</v>
      </c>
      <c r="BB2327" s="1" t="s">
        <v>405</v>
      </c>
      <c r="BE2327" s="1">
        <v>1647</v>
      </c>
      <c r="BF2327" s="1">
        <v>1</v>
      </c>
      <c r="BG2327" s="1">
        <v>0</v>
      </c>
      <c r="BL2327" s="1">
        <v>195</v>
      </c>
      <c r="BM2327" s="1" t="s">
        <v>204</v>
      </c>
      <c r="BN2327" s="1" t="s">
        <v>213</v>
      </c>
      <c r="BO2327" s="1">
        <v>999</v>
      </c>
      <c r="BP2327" s="1" t="s">
        <v>204</v>
      </c>
      <c r="BR2327" s="1" t="str">
        <f>"1220275023"</f>
        <v>1220275023</v>
      </c>
      <c r="BT2327" s="1" t="s">
        <v>20390</v>
      </c>
      <c r="BU2327" s="1" t="s">
        <v>19235</v>
      </c>
      <c r="BV2327" s="1" t="s">
        <v>6404</v>
      </c>
      <c r="BW2327" s="1" t="s">
        <v>6405</v>
      </c>
      <c r="BX2327" s="1">
        <v>101</v>
      </c>
      <c r="BY2327" s="1">
        <v>101</v>
      </c>
      <c r="BZ2327" s="1">
        <v>101</v>
      </c>
      <c r="CB2327" s="1" t="str">
        <f t="shared" ref="CB2327:CC2327" si="1782">"0"</f>
        <v>0</v>
      </c>
      <c r="CC2327" s="1" t="str">
        <f t="shared" si="1782"/>
        <v>0</v>
      </c>
      <c r="CD2327" s="1">
        <v>37</v>
      </c>
      <c r="CE2327" s="1">
        <v>1</v>
      </c>
      <c r="CG2327" s="1" t="s">
        <v>1454</v>
      </c>
      <c r="CH2327" s="1" t="s">
        <v>219</v>
      </c>
      <c r="CI2327" s="1" t="s">
        <v>220</v>
      </c>
      <c r="CJ2327" s="1" t="s">
        <v>343</v>
      </c>
      <c r="CK2327" s="1" t="s">
        <v>757</v>
      </c>
      <c r="CL2327" s="1" t="s">
        <v>277</v>
      </c>
      <c r="CM2327" s="1" t="s">
        <v>220</v>
      </c>
      <c r="CN2327" s="1" t="s">
        <v>343</v>
      </c>
      <c r="CO2327" s="1" t="s">
        <v>629</v>
      </c>
      <c r="CP2327" s="1" t="s">
        <v>219</v>
      </c>
      <c r="CQ2327" s="1" t="s">
        <v>220</v>
      </c>
      <c r="CR2327" s="1" t="s">
        <v>343</v>
      </c>
      <c r="CS2327" s="1" t="s">
        <v>379</v>
      </c>
      <c r="CT2327" s="1" t="s">
        <v>277</v>
      </c>
      <c r="CU2327" s="1" t="s">
        <v>220</v>
      </c>
      <c r="CV2327" s="1" t="s">
        <v>343</v>
      </c>
      <c r="CX2327" s="1" t="s">
        <v>224</v>
      </c>
      <c r="DB2327" s="1" t="s">
        <v>224</v>
      </c>
      <c r="DE2327" s="1" t="s">
        <v>837</v>
      </c>
      <c r="DF2327" s="1" t="s">
        <v>219</v>
      </c>
      <c r="DG2327" s="1" t="s">
        <v>438</v>
      </c>
      <c r="DJ2327" s="1" t="s">
        <v>224</v>
      </c>
      <c r="DM2327" s="1" t="s">
        <v>227</v>
      </c>
      <c r="DN2327" s="1" t="s">
        <v>709</v>
      </c>
      <c r="DO2327" s="1" t="s">
        <v>381</v>
      </c>
      <c r="DR2327" s="1" t="s">
        <v>346</v>
      </c>
      <c r="DS2327" s="1" t="s">
        <v>219</v>
      </c>
      <c r="DT2327" s="1" t="s">
        <v>226</v>
      </c>
      <c r="DV2327" s="1" t="s">
        <v>380</v>
      </c>
      <c r="DW2327" s="1" t="s">
        <v>219</v>
      </c>
      <c r="DX2327" s="1" t="s">
        <v>438</v>
      </c>
      <c r="DY2327" s="1" t="s">
        <v>343</v>
      </c>
      <c r="DZ2327" s="1" t="s">
        <v>516</v>
      </c>
      <c r="EA2327" s="1" t="s">
        <v>219</v>
      </c>
      <c r="EB2327" s="1" t="s">
        <v>438</v>
      </c>
      <c r="EC2327" s="1" t="s">
        <v>343</v>
      </c>
      <c r="EE2327" s="1" t="s">
        <v>230</v>
      </c>
      <c r="EI2327" s="1" t="s">
        <v>230</v>
      </c>
      <c r="EL2327" s="1" t="s">
        <v>670</v>
      </c>
      <c r="EM2327" s="1" t="s">
        <v>319</v>
      </c>
      <c r="EN2327" s="1" t="s">
        <v>282</v>
      </c>
      <c r="EO2327" s="1" t="s">
        <v>234</v>
      </c>
      <c r="EP2327" s="1" t="s">
        <v>1268</v>
      </c>
      <c r="EQ2327" s="1" t="s">
        <v>236</v>
      </c>
      <c r="ER2327" s="1" t="s">
        <v>383</v>
      </c>
      <c r="ES2327" s="1" t="s">
        <v>824</v>
      </c>
      <c r="ET2327" s="1" t="s">
        <v>238</v>
      </c>
      <c r="EU2327" s="1" t="s">
        <v>239</v>
      </c>
      <c r="EV2327" s="1" t="s">
        <v>240</v>
      </c>
      <c r="EW2327" s="1" t="s">
        <v>353</v>
      </c>
      <c r="EY2327" s="1" t="s">
        <v>242</v>
      </c>
      <c r="EZ2327" s="1" t="s">
        <v>20391</v>
      </c>
      <c r="FA2327" s="1" t="s">
        <v>471</v>
      </c>
      <c r="FB2327" s="1" t="s">
        <v>289</v>
      </c>
      <c r="FC2327" s="1" t="s">
        <v>633</v>
      </c>
      <c r="FD2327" s="1" t="s">
        <v>246</v>
      </c>
      <c r="FE2327" s="1" t="s">
        <v>355</v>
      </c>
      <c r="FF2327" s="1" t="s">
        <v>248</v>
      </c>
      <c r="FG2327" s="1" t="s">
        <v>871</v>
      </c>
      <c r="FH2327" s="1" t="s">
        <v>550</v>
      </c>
      <c r="FI2327" s="1" t="s">
        <v>473</v>
      </c>
      <c r="FJ2327" s="1" t="s">
        <v>518</v>
      </c>
      <c r="FL2327" s="1" t="s">
        <v>358</v>
      </c>
      <c r="FM2327" s="1" t="s">
        <v>252</v>
      </c>
      <c r="FN2327" s="1" t="s">
        <v>213</v>
      </c>
      <c r="FO2327" s="1" t="s">
        <v>213</v>
      </c>
      <c r="FQ2327" s="1" t="s">
        <v>793</v>
      </c>
      <c r="FR2327" s="1" t="s">
        <v>210</v>
      </c>
      <c r="FS2327" s="1" t="s">
        <v>20392</v>
      </c>
      <c r="FT2327" s="1" t="s">
        <v>295</v>
      </c>
      <c r="FU2327" s="1" t="s">
        <v>204</v>
      </c>
      <c r="FW2327" s="1" t="s">
        <v>915</v>
      </c>
      <c r="FX2327" s="1">
        <v>23591</v>
      </c>
      <c r="FY2327" s="1" t="s">
        <v>1710</v>
      </c>
      <c r="FZ2327" s="1" t="s">
        <v>20393</v>
      </c>
      <c r="GA2327" s="1">
        <v>229199</v>
      </c>
      <c r="GB2327" s="1" t="s">
        <v>1710</v>
      </c>
      <c r="GD2327" s="1" t="s">
        <v>20394</v>
      </c>
      <c r="GE2327" s="1" t="s">
        <v>480</v>
      </c>
      <c r="GH2327" s="1" t="s">
        <v>421</v>
      </c>
      <c r="GI2327" s="1" t="s">
        <v>213</v>
      </c>
      <c r="GJ2327" s="1" t="s">
        <v>260</v>
      </c>
      <c r="GK2327" s="1" t="s">
        <v>210</v>
      </c>
      <c r="GL2327" s="2">
        <v>42083</v>
      </c>
      <c r="GM2327" s="1" t="s">
        <v>20395</v>
      </c>
    </row>
    <row r="2328" spans="1:195">
      <c r="A2328" s="1">
        <v>79900</v>
      </c>
      <c r="B2328" s="1" t="s">
        <v>195</v>
      </c>
      <c r="C2328" s="1" t="str">
        <f>"08829887"</f>
        <v>08829887</v>
      </c>
      <c r="D2328" s="1" t="s">
        <v>196</v>
      </c>
      <c r="F2328" s="1" t="str">
        <f>"137"</f>
        <v>137</v>
      </c>
      <c r="G2328" s="2">
        <v>42038</v>
      </c>
      <c r="H2328" s="1">
        <v>79900</v>
      </c>
      <c r="I2328" s="1">
        <v>79900</v>
      </c>
      <c r="J2328" s="1">
        <v>79900</v>
      </c>
      <c r="K2328" s="2">
        <v>42038</v>
      </c>
      <c r="L2328" s="1">
        <v>1</v>
      </c>
      <c r="M2328" s="2">
        <v>42038</v>
      </c>
      <c r="N2328" s="1">
        <v>1</v>
      </c>
      <c r="O2328" s="2">
        <v>42038</v>
      </c>
      <c r="P2328" s="1">
        <v>25244</v>
      </c>
      <c r="Q2328" s="1" t="s">
        <v>197</v>
      </c>
      <c r="R2328" s="2">
        <v>42086</v>
      </c>
      <c r="S2328" s="1">
        <v>241851</v>
      </c>
      <c r="T2328" s="1">
        <v>2400</v>
      </c>
      <c r="U2328" s="1">
        <v>1198</v>
      </c>
      <c r="V2328" s="1" t="s">
        <v>20396</v>
      </c>
      <c r="W2328" s="1" t="s">
        <v>264</v>
      </c>
      <c r="X2328" s="1" t="s">
        <v>20397</v>
      </c>
      <c r="Y2328" s="1">
        <v>98</v>
      </c>
      <c r="Z2328" s="1" t="s">
        <v>249</v>
      </c>
      <c r="AA2328" s="1" t="s">
        <v>201</v>
      </c>
      <c r="AB2328" s="1">
        <v>60137</v>
      </c>
      <c r="AD2328" s="1" t="s">
        <v>20398</v>
      </c>
      <c r="AE2328" s="1" t="s">
        <v>20399</v>
      </c>
      <c r="AF2328" s="1">
        <v>1970</v>
      </c>
      <c r="AG2328" s="1" t="s">
        <v>213</v>
      </c>
      <c r="AH2328" s="1" t="s">
        <v>205</v>
      </c>
      <c r="AI2328" s="1" t="s">
        <v>206</v>
      </c>
      <c r="AJ2328" s="1" t="s">
        <v>1608</v>
      </c>
      <c r="AL2328" s="1">
        <v>5</v>
      </c>
      <c r="AM2328" s="1">
        <v>2</v>
      </c>
      <c r="AN2328" s="1">
        <v>1</v>
      </c>
      <c r="AO2328" s="1">
        <v>1</v>
      </c>
      <c r="AP2328" s="1" t="s">
        <v>210</v>
      </c>
      <c r="AQ2328" s="1">
        <v>1</v>
      </c>
      <c r="AR2328" s="1" t="s">
        <v>210</v>
      </c>
      <c r="AT2328" s="1" t="s">
        <v>271</v>
      </c>
      <c r="AV2328" s="1">
        <v>1</v>
      </c>
      <c r="AW2328" s="1" t="s">
        <v>204</v>
      </c>
      <c r="AX2328" s="1" t="s">
        <v>212</v>
      </c>
      <c r="AZ2328" s="1">
        <v>1637</v>
      </c>
      <c r="BA2328" s="1">
        <v>2013</v>
      </c>
      <c r="BE2328" s="1">
        <v>842</v>
      </c>
      <c r="BF2328" s="1">
        <v>3</v>
      </c>
      <c r="BG2328" s="1">
        <v>15</v>
      </c>
      <c r="BL2328" s="1">
        <v>421</v>
      </c>
      <c r="BM2328" s="1" t="s">
        <v>204</v>
      </c>
      <c r="BN2328" s="1" t="s">
        <v>204</v>
      </c>
      <c r="BP2328" s="1" t="s">
        <v>204</v>
      </c>
      <c r="BR2328" s="1" t="str">
        <f>"0618306191"</f>
        <v>0618306191</v>
      </c>
      <c r="BT2328" s="1" t="s">
        <v>20400</v>
      </c>
      <c r="BU2328" s="1" t="s">
        <v>1327</v>
      </c>
      <c r="BV2328" s="1" t="s">
        <v>1934</v>
      </c>
      <c r="BW2328" s="1" t="s">
        <v>1935</v>
      </c>
      <c r="BX2328" s="1">
        <v>44</v>
      </c>
      <c r="BY2328" s="1">
        <v>44</v>
      </c>
      <c r="BZ2328" s="1">
        <v>87</v>
      </c>
      <c r="CB2328" s="1" t="str">
        <f t="shared" ref="CB2328:CC2328" si="1783">""</f>
        <v/>
      </c>
      <c r="CC2328" s="1" t="str">
        <f t="shared" si="1783"/>
        <v/>
      </c>
      <c r="CD2328" s="1">
        <v>20</v>
      </c>
      <c r="CE2328" s="1">
        <v>0</v>
      </c>
      <c r="CG2328" s="1" t="s">
        <v>1155</v>
      </c>
      <c r="CH2328" s="1" t="s">
        <v>784</v>
      </c>
      <c r="CI2328" s="1" t="s">
        <v>220</v>
      </c>
      <c r="CJ2328" s="1" t="s">
        <v>210</v>
      </c>
      <c r="CK2328" s="1" t="s">
        <v>437</v>
      </c>
      <c r="CL2328" s="1" t="s">
        <v>784</v>
      </c>
      <c r="CM2328" s="1" t="s">
        <v>220</v>
      </c>
      <c r="CN2328" s="1" t="s">
        <v>439</v>
      </c>
      <c r="CO2328" s="1" t="s">
        <v>465</v>
      </c>
      <c r="CP2328" s="1" t="s">
        <v>784</v>
      </c>
      <c r="CQ2328" s="1" t="s">
        <v>220</v>
      </c>
      <c r="CS2328" s="1" t="s">
        <v>344</v>
      </c>
      <c r="CT2328" s="1" t="s">
        <v>784</v>
      </c>
      <c r="CU2328" s="1" t="s">
        <v>220</v>
      </c>
      <c r="CV2328" s="1" t="s">
        <v>439</v>
      </c>
      <c r="CX2328" s="1" t="s">
        <v>224</v>
      </c>
      <c r="DB2328" s="1" t="s">
        <v>224</v>
      </c>
      <c r="DE2328" s="1" t="s">
        <v>2308</v>
      </c>
      <c r="DF2328" s="1" t="s">
        <v>784</v>
      </c>
      <c r="DG2328" s="1" t="s">
        <v>342</v>
      </c>
      <c r="DJ2328" s="1" t="s">
        <v>224</v>
      </c>
      <c r="DM2328" s="1" t="s">
        <v>709</v>
      </c>
      <c r="DR2328" s="1" t="s">
        <v>6362</v>
      </c>
      <c r="DS2328" s="1" t="s">
        <v>784</v>
      </c>
      <c r="DT2328" s="1" t="s">
        <v>220</v>
      </c>
      <c r="DW2328" s="1" t="s">
        <v>230</v>
      </c>
      <c r="EA2328" s="1" t="s">
        <v>230</v>
      </c>
      <c r="EE2328" s="1" t="s">
        <v>230</v>
      </c>
      <c r="EI2328" s="1" t="s">
        <v>230</v>
      </c>
      <c r="EL2328" s="1" t="s">
        <v>605</v>
      </c>
      <c r="EM2328" s="1" t="s">
        <v>232</v>
      </c>
      <c r="EN2328" s="1" t="s">
        <v>1158</v>
      </c>
      <c r="EO2328" s="1" t="s">
        <v>234</v>
      </c>
      <c r="EP2328" s="1" t="s">
        <v>20401</v>
      </c>
      <c r="EQ2328" s="1" t="s">
        <v>1109</v>
      </c>
      <c r="ER2328" s="1" t="s">
        <v>210</v>
      </c>
      <c r="ES2328" s="1" t="s">
        <v>545</v>
      </c>
      <c r="EV2328" s="1" t="s">
        <v>240</v>
      </c>
      <c r="EW2328" s="1" t="s">
        <v>20402</v>
      </c>
      <c r="EY2328" s="1" t="s">
        <v>242</v>
      </c>
      <c r="EZ2328" s="1" t="s">
        <v>709</v>
      </c>
      <c r="FB2328" s="1" t="s">
        <v>244</v>
      </c>
      <c r="FD2328" s="1" t="s">
        <v>1112</v>
      </c>
      <c r="FE2328" s="1" t="s">
        <v>247</v>
      </c>
      <c r="FF2328" s="1" t="s">
        <v>248</v>
      </c>
      <c r="FH2328" s="1" t="s">
        <v>249</v>
      </c>
      <c r="FJ2328" s="1" t="s">
        <v>1472</v>
      </c>
      <c r="FK2328" s="1" t="s">
        <v>4663</v>
      </c>
      <c r="FL2328" s="1" t="s">
        <v>328</v>
      </c>
      <c r="FM2328" s="1" t="s">
        <v>252</v>
      </c>
      <c r="FN2328" s="1" t="s">
        <v>213</v>
      </c>
      <c r="FO2328" s="1" t="s">
        <v>213</v>
      </c>
      <c r="FQ2328" s="1" t="s">
        <v>293</v>
      </c>
      <c r="FR2328" s="1" t="s">
        <v>210</v>
      </c>
      <c r="FS2328" s="1" t="s">
        <v>20403</v>
      </c>
      <c r="FT2328" s="1" t="s">
        <v>362</v>
      </c>
      <c r="FU2328" s="1" t="s">
        <v>204</v>
      </c>
      <c r="FW2328" s="1" t="s">
        <v>256</v>
      </c>
      <c r="FX2328" s="1">
        <v>25244</v>
      </c>
      <c r="FY2328" s="1" t="s">
        <v>1365</v>
      </c>
      <c r="FZ2328" s="1" t="s">
        <v>20404</v>
      </c>
      <c r="GA2328" s="1">
        <v>241851</v>
      </c>
      <c r="GB2328" s="1" t="s">
        <v>1365</v>
      </c>
      <c r="GE2328" s="1" t="s">
        <v>1256</v>
      </c>
      <c r="GI2328" s="1" t="s">
        <v>213</v>
      </c>
      <c r="GJ2328" s="1" t="s">
        <v>260</v>
      </c>
      <c r="GK2328" s="1" t="s">
        <v>210</v>
      </c>
      <c r="GL2328" s="2">
        <v>42086</v>
      </c>
      <c r="GM2328" s="1" t="s">
        <v>20405</v>
      </c>
    </row>
    <row r="2329" spans="1:195">
      <c r="A2329" s="1">
        <v>92000</v>
      </c>
      <c r="B2329" s="1" t="s">
        <v>195</v>
      </c>
      <c r="C2329" s="1" t="str">
        <f>"08818578"</f>
        <v>08818578</v>
      </c>
      <c r="D2329" s="1" t="s">
        <v>196</v>
      </c>
      <c r="F2329" s="1" t="str">
        <f>"103"</f>
        <v>103</v>
      </c>
      <c r="G2329" s="2">
        <v>42021</v>
      </c>
      <c r="H2329" s="1">
        <v>94900</v>
      </c>
      <c r="I2329" s="1">
        <v>94900</v>
      </c>
      <c r="J2329" s="1">
        <v>92000</v>
      </c>
      <c r="K2329" s="2">
        <v>42021</v>
      </c>
      <c r="L2329" s="1">
        <v>25</v>
      </c>
      <c r="M2329" s="2">
        <v>42045</v>
      </c>
      <c r="N2329" s="1">
        <v>25</v>
      </c>
      <c r="O2329" s="2">
        <v>42045</v>
      </c>
      <c r="P2329" s="1">
        <v>8540</v>
      </c>
      <c r="Q2329" s="1" t="s">
        <v>197</v>
      </c>
      <c r="R2329" s="2">
        <v>42093</v>
      </c>
      <c r="S2329" s="1">
        <v>80051</v>
      </c>
      <c r="U2329" s="1">
        <v>1733</v>
      </c>
      <c r="V2329" s="1" t="s">
        <v>20406</v>
      </c>
      <c r="W2329" s="1" t="s">
        <v>504</v>
      </c>
      <c r="Y2329" s="1">
        <v>2</v>
      </c>
      <c r="Z2329" s="1" t="s">
        <v>200</v>
      </c>
      <c r="AA2329" s="1" t="s">
        <v>337</v>
      </c>
      <c r="AB2329" s="1">
        <v>60133</v>
      </c>
      <c r="AC2329" s="1">
        <v>5911</v>
      </c>
      <c r="AD2329" s="1" t="s">
        <v>20407</v>
      </c>
      <c r="AE2329" s="1" t="s">
        <v>20408</v>
      </c>
      <c r="AF2329" s="1">
        <v>1979</v>
      </c>
      <c r="AG2329" s="1" t="s">
        <v>204</v>
      </c>
      <c r="AH2329" s="1" t="s">
        <v>339</v>
      </c>
      <c r="AI2329" s="1" t="s">
        <v>206</v>
      </c>
      <c r="AJ2329" s="1" t="s">
        <v>2654</v>
      </c>
      <c r="AK2329" s="1" t="s">
        <v>3336</v>
      </c>
      <c r="AL2329" s="1">
        <v>6</v>
      </c>
      <c r="AM2329" s="1">
        <v>2</v>
      </c>
      <c r="AN2329" s="1">
        <v>1</v>
      </c>
      <c r="AO2329" s="1">
        <v>0</v>
      </c>
      <c r="AP2329" s="1" t="s">
        <v>210</v>
      </c>
      <c r="AR2329" s="1" t="s">
        <v>210</v>
      </c>
      <c r="AS2329" s="1" t="s">
        <v>204</v>
      </c>
      <c r="AT2329" s="1" t="s">
        <v>211</v>
      </c>
      <c r="AU2329" s="1">
        <v>1</v>
      </c>
      <c r="AW2329" s="1" t="s">
        <v>204</v>
      </c>
      <c r="AX2329" s="1" t="s">
        <v>20409</v>
      </c>
      <c r="AZ2329" s="1">
        <v>2669</v>
      </c>
      <c r="BA2329" s="1">
        <v>2013</v>
      </c>
      <c r="BB2329" s="1" t="s">
        <v>405</v>
      </c>
      <c r="BE2329" s="1">
        <v>1090</v>
      </c>
      <c r="BF2329" s="1">
        <v>1</v>
      </c>
      <c r="BG2329" s="1">
        <v>0</v>
      </c>
      <c r="BJ2329" s="1">
        <v>100</v>
      </c>
      <c r="BL2329" s="1">
        <v>0</v>
      </c>
      <c r="BM2329" s="1" t="s">
        <v>413</v>
      </c>
      <c r="BN2329" s="1" t="s">
        <v>213</v>
      </c>
      <c r="BO2329" s="1">
        <v>100</v>
      </c>
      <c r="BP2329" s="1" t="s">
        <v>204</v>
      </c>
      <c r="BR2329" s="1" t="str">
        <f>"0113221015"</f>
        <v>0113221015</v>
      </c>
      <c r="BT2329" s="1" t="s">
        <v>20410</v>
      </c>
      <c r="BU2329" s="1" t="s">
        <v>20411</v>
      </c>
      <c r="BV2329" s="1" t="s">
        <v>1091</v>
      </c>
      <c r="BW2329" s="1" t="s">
        <v>1092</v>
      </c>
      <c r="BX2329" s="1">
        <v>93</v>
      </c>
      <c r="BY2329" s="1">
        <v>93</v>
      </c>
      <c r="BZ2329" s="1">
        <v>87</v>
      </c>
      <c r="CB2329" s="1" t="str">
        <f>"5"</f>
        <v>5</v>
      </c>
      <c r="CC2329" s="1" t="str">
        <f t="shared" ref="CC2329:CC2330" si="1784">"0"</f>
        <v>0</v>
      </c>
      <c r="CD2329" s="1">
        <v>27</v>
      </c>
      <c r="CE2329" s="1">
        <v>0</v>
      </c>
      <c r="CG2329" s="1" t="s">
        <v>729</v>
      </c>
      <c r="CH2329" s="1" t="s">
        <v>219</v>
      </c>
      <c r="CI2329" s="1" t="s">
        <v>220</v>
      </c>
      <c r="CJ2329" s="1" t="s">
        <v>210</v>
      </c>
      <c r="CK2329" s="1" t="s">
        <v>757</v>
      </c>
      <c r="CL2329" s="1" t="s">
        <v>277</v>
      </c>
      <c r="CM2329" s="1" t="s">
        <v>220</v>
      </c>
      <c r="CN2329" s="1" t="s">
        <v>210</v>
      </c>
      <c r="CO2329" s="1" t="s">
        <v>3284</v>
      </c>
      <c r="CP2329" s="1" t="s">
        <v>219</v>
      </c>
      <c r="CQ2329" s="1" t="s">
        <v>229</v>
      </c>
      <c r="CR2329" s="1" t="s">
        <v>210</v>
      </c>
      <c r="CS2329" s="1" t="s">
        <v>408</v>
      </c>
      <c r="CT2329" s="1" t="s">
        <v>277</v>
      </c>
      <c r="CU2329" s="1" t="s">
        <v>347</v>
      </c>
      <c r="CV2329" s="1" t="s">
        <v>210</v>
      </c>
      <c r="CX2329" s="1" t="s">
        <v>224</v>
      </c>
      <c r="DB2329" s="1" t="s">
        <v>224</v>
      </c>
      <c r="DE2329" s="1" t="s">
        <v>1534</v>
      </c>
      <c r="DF2329" s="1" t="s">
        <v>219</v>
      </c>
      <c r="DG2329" s="1" t="s">
        <v>229</v>
      </c>
      <c r="DH2329" s="1" t="s">
        <v>210</v>
      </c>
      <c r="DJ2329" s="1" t="s">
        <v>224</v>
      </c>
      <c r="DM2329" s="1" t="s">
        <v>464</v>
      </c>
      <c r="DR2329" s="1" t="s">
        <v>465</v>
      </c>
      <c r="DS2329" s="1" t="s">
        <v>277</v>
      </c>
      <c r="DT2329" s="1" t="s">
        <v>220</v>
      </c>
      <c r="DU2329" s="1" t="s">
        <v>210</v>
      </c>
      <c r="DW2329" s="1" t="s">
        <v>230</v>
      </c>
      <c r="EA2329" s="1" t="s">
        <v>230</v>
      </c>
      <c r="EE2329" s="1" t="s">
        <v>230</v>
      </c>
      <c r="EI2329" s="1" t="s">
        <v>230</v>
      </c>
      <c r="EL2329" s="1" t="s">
        <v>231</v>
      </c>
      <c r="EM2329" s="1" t="s">
        <v>319</v>
      </c>
      <c r="EN2329" s="1" t="s">
        <v>282</v>
      </c>
      <c r="EO2329" s="1" t="s">
        <v>234</v>
      </c>
      <c r="EP2329" s="1" t="s">
        <v>936</v>
      </c>
      <c r="EQ2329" s="1" t="s">
        <v>20412</v>
      </c>
      <c r="ER2329" s="1" t="s">
        <v>383</v>
      </c>
      <c r="EU2329" s="1" t="s">
        <v>546</v>
      </c>
      <c r="EV2329" s="1" t="s">
        <v>240</v>
      </c>
      <c r="EW2329" s="1" t="s">
        <v>210</v>
      </c>
      <c r="EY2329" s="1" t="s">
        <v>790</v>
      </c>
      <c r="EZ2329" s="1" t="s">
        <v>464</v>
      </c>
      <c r="FA2329" s="1" t="s">
        <v>7111</v>
      </c>
      <c r="FB2329" s="1" t="s">
        <v>734</v>
      </c>
      <c r="FC2329" s="1" t="s">
        <v>326</v>
      </c>
      <c r="FD2329" s="1" t="s">
        <v>246</v>
      </c>
      <c r="FE2329" s="1" t="s">
        <v>17282</v>
      </c>
      <c r="FF2329" s="1" t="s">
        <v>248</v>
      </c>
      <c r="FH2329" s="1" t="s">
        <v>442</v>
      </c>
      <c r="FI2329" s="1" t="s">
        <v>2827</v>
      </c>
      <c r="FJ2329" s="1" t="s">
        <v>3943</v>
      </c>
      <c r="FL2329" s="1" t="s">
        <v>358</v>
      </c>
      <c r="FM2329" s="1" t="s">
        <v>252</v>
      </c>
      <c r="FN2329" s="1" t="s">
        <v>213</v>
      </c>
      <c r="FO2329" s="1" t="s">
        <v>213</v>
      </c>
      <c r="FQ2329" s="1" t="s">
        <v>582</v>
      </c>
      <c r="FR2329" s="1" t="s">
        <v>210</v>
      </c>
      <c r="FS2329" s="1" t="s">
        <v>1709</v>
      </c>
      <c r="FT2329" s="1" t="s">
        <v>362</v>
      </c>
      <c r="FU2329" s="1" t="s">
        <v>204</v>
      </c>
      <c r="FW2329" s="1" t="s">
        <v>2144</v>
      </c>
      <c r="FX2329" s="1">
        <v>23163</v>
      </c>
      <c r="FY2329" s="1" t="s">
        <v>2145</v>
      </c>
      <c r="FZ2329" s="1" t="s">
        <v>3945</v>
      </c>
      <c r="GA2329" s="1">
        <v>256811</v>
      </c>
      <c r="GB2329" s="1" t="s">
        <v>3946</v>
      </c>
      <c r="GE2329" s="1" t="s">
        <v>210</v>
      </c>
      <c r="GI2329" s="1" t="s">
        <v>204</v>
      </c>
      <c r="GJ2329" s="1" t="s">
        <v>260</v>
      </c>
      <c r="GK2329" s="1" t="s">
        <v>210</v>
      </c>
      <c r="GL2329" s="2">
        <v>42095</v>
      </c>
      <c r="GM2329" s="1" t="s">
        <v>20413</v>
      </c>
    </row>
    <row r="2330" spans="1:195">
      <c r="A2330" s="1">
        <v>180000</v>
      </c>
      <c r="B2330" s="1" t="s">
        <v>195</v>
      </c>
      <c r="C2330" s="1" t="str">
        <f>"08824149"</f>
        <v>08824149</v>
      </c>
      <c r="D2330" s="1" t="s">
        <v>196</v>
      </c>
      <c r="F2330" s="1" t="str">
        <f>"176"</f>
        <v>176</v>
      </c>
      <c r="G2330" s="2">
        <v>42030</v>
      </c>
      <c r="H2330" s="1">
        <v>85000</v>
      </c>
      <c r="I2330" s="1">
        <v>85000</v>
      </c>
      <c r="J2330" s="1">
        <v>180000</v>
      </c>
      <c r="K2330" s="2">
        <v>42030</v>
      </c>
      <c r="L2330" s="1">
        <v>37</v>
      </c>
      <c r="M2330" s="2">
        <v>42054</v>
      </c>
      <c r="N2330" s="1">
        <v>25</v>
      </c>
      <c r="O2330" s="2">
        <v>42054</v>
      </c>
      <c r="P2330" s="1">
        <v>13691</v>
      </c>
      <c r="Q2330" s="1" t="s">
        <v>302</v>
      </c>
      <c r="R2330" s="2">
        <v>42087</v>
      </c>
      <c r="S2330" s="1">
        <v>187652</v>
      </c>
      <c r="U2330" s="1">
        <v>9443</v>
      </c>
      <c r="V2330" s="1" t="s">
        <v>19120</v>
      </c>
      <c r="W2330" s="1" t="s">
        <v>504</v>
      </c>
      <c r="X2330" s="1">
        <v>3103</v>
      </c>
      <c r="Y2330" s="1">
        <v>6</v>
      </c>
      <c r="Z2330" s="1" t="s">
        <v>249</v>
      </c>
      <c r="AA2330" s="1" t="s">
        <v>306</v>
      </c>
      <c r="AB2330" s="1">
        <v>60176</v>
      </c>
      <c r="AD2330" s="1" t="s">
        <v>20414</v>
      </c>
      <c r="AE2330" s="1" t="s">
        <v>20415</v>
      </c>
      <c r="AF2330" s="1" t="s">
        <v>402</v>
      </c>
      <c r="AG2330" s="1" t="s">
        <v>213</v>
      </c>
      <c r="AH2330" s="1" t="s">
        <v>309</v>
      </c>
      <c r="AI2330" s="1" t="s">
        <v>310</v>
      </c>
      <c r="AJ2330" s="1" t="s">
        <v>311</v>
      </c>
      <c r="AL2330" s="1">
        <v>5</v>
      </c>
      <c r="AM2330" s="1">
        <v>2</v>
      </c>
      <c r="AN2330" s="1">
        <v>1</v>
      </c>
      <c r="AO2330" s="1">
        <v>0</v>
      </c>
      <c r="AP2330" s="1" t="s">
        <v>210</v>
      </c>
      <c r="AR2330" s="1" t="s">
        <v>210</v>
      </c>
      <c r="AS2330" s="1" t="s">
        <v>204</v>
      </c>
      <c r="AT2330" s="1" t="s">
        <v>271</v>
      </c>
      <c r="AV2330" s="1">
        <v>2</v>
      </c>
      <c r="AW2330" s="1" t="s">
        <v>204</v>
      </c>
      <c r="AX2330" s="1" t="s">
        <v>212</v>
      </c>
      <c r="AZ2330" s="1">
        <v>2589.1999999999998</v>
      </c>
      <c r="BA2330" s="1">
        <v>2013</v>
      </c>
      <c r="BB2330" s="1" t="s">
        <v>210</v>
      </c>
      <c r="BE2330" s="1">
        <v>0</v>
      </c>
      <c r="BF2330" s="1">
        <v>2</v>
      </c>
      <c r="BG2330" s="1">
        <v>30</v>
      </c>
      <c r="BL2330" s="1">
        <v>227</v>
      </c>
      <c r="BM2330" s="1" t="s">
        <v>204</v>
      </c>
      <c r="BN2330" s="1" t="s">
        <v>213</v>
      </c>
      <c r="BO2330" s="1">
        <v>30</v>
      </c>
      <c r="BP2330" s="1" t="s">
        <v>204</v>
      </c>
      <c r="BR2330" s="1" t="str">
        <f>"12103140231031"</f>
        <v>12103140231031</v>
      </c>
      <c r="BT2330" s="1" t="s">
        <v>20416</v>
      </c>
      <c r="BU2330" s="1" t="s">
        <v>2305</v>
      </c>
      <c r="BV2330" s="1" t="s">
        <v>2306</v>
      </c>
      <c r="BW2330" s="1" t="s">
        <v>313</v>
      </c>
      <c r="BX2330" s="1">
        <v>81</v>
      </c>
      <c r="BY2330" s="1">
        <v>81</v>
      </c>
      <c r="BZ2330" s="1">
        <v>212</v>
      </c>
      <c r="CB2330" s="1" t="str">
        <f>"4800"</f>
        <v>4800</v>
      </c>
      <c r="CC2330" s="1" t="str">
        <f t="shared" si="1784"/>
        <v>0</v>
      </c>
      <c r="CD2330" s="1">
        <v>9443</v>
      </c>
      <c r="CE2330" s="1">
        <v>0</v>
      </c>
      <c r="CG2330" s="1" t="s">
        <v>729</v>
      </c>
      <c r="CH2330" s="1" t="s">
        <v>277</v>
      </c>
      <c r="CI2330" s="1" t="s">
        <v>438</v>
      </c>
      <c r="CJ2330" s="1" t="s">
        <v>343</v>
      </c>
      <c r="CK2330" s="1" t="s">
        <v>539</v>
      </c>
      <c r="CL2330" s="1" t="s">
        <v>277</v>
      </c>
      <c r="CM2330" s="1" t="s">
        <v>438</v>
      </c>
      <c r="CO2330" s="1" t="s">
        <v>3284</v>
      </c>
      <c r="CP2330" s="1" t="s">
        <v>277</v>
      </c>
      <c r="CQ2330" s="1" t="s">
        <v>438</v>
      </c>
      <c r="CR2330" s="1" t="s">
        <v>343</v>
      </c>
      <c r="CS2330" s="1" t="s">
        <v>687</v>
      </c>
      <c r="CT2330" s="1" t="s">
        <v>277</v>
      </c>
      <c r="CU2330" s="1" t="s">
        <v>438</v>
      </c>
      <c r="CX2330" s="1" t="s">
        <v>224</v>
      </c>
      <c r="DB2330" s="1" t="s">
        <v>224</v>
      </c>
      <c r="DE2330" s="1" t="s">
        <v>3284</v>
      </c>
      <c r="DF2330" s="1" t="s">
        <v>277</v>
      </c>
      <c r="DG2330" s="1" t="s">
        <v>438</v>
      </c>
      <c r="DH2330" s="1" t="s">
        <v>343</v>
      </c>
      <c r="DJ2330" s="1" t="s">
        <v>224</v>
      </c>
      <c r="DS2330" s="1" t="s">
        <v>230</v>
      </c>
      <c r="DW2330" s="1" t="s">
        <v>230</v>
      </c>
      <c r="EA2330" s="1" t="s">
        <v>230</v>
      </c>
      <c r="EE2330" s="1" t="s">
        <v>230</v>
      </c>
      <c r="EI2330" s="1" t="s">
        <v>230</v>
      </c>
      <c r="EL2330" s="1" t="s">
        <v>605</v>
      </c>
      <c r="EM2330" s="1" t="s">
        <v>232</v>
      </c>
      <c r="EN2330" s="1" t="s">
        <v>1158</v>
      </c>
      <c r="EO2330" s="1" t="s">
        <v>234</v>
      </c>
      <c r="EP2330" s="1" t="s">
        <v>20417</v>
      </c>
      <c r="EQ2330" s="1" t="s">
        <v>350</v>
      </c>
      <c r="ER2330" s="1" t="s">
        <v>210</v>
      </c>
      <c r="ES2330" s="1" t="s">
        <v>322</v>
      </c>
      <c r="EV2330" s="1" t="s">
        <v>240</v>
      </c>
      <c r="EW2330" s="1" t="s">
        <v>1940</v>
      </c>
      <c r="EZ2330" s="1" t="s">
        <v>287</v>
      </c>
      <c r="FB2330" s="1" t="s">
        <v>244</v>
      </c>
      <c r="FD2330" s="1" t="s">
        <v>290</v>
      </c>
      <c r="FE2330" s="1" t="s">
        <v>247</v>
      </c>
      <c r="FF2330" s="1" t="s">
        <v>387</v>
      </c>
      <c r="FH2330" s="1" t="s">
        <v>249</v>
      </c>
      <c r="FL2330" s="1" t="s">
        <v>292</v>
      </c>
      <c r="FM2330" s="1" t="s">
        <v>252</v>
      </c>
      <c r="FN2330" s="1" t="s">
        <v>213</v>
      </c>
      <c r="FO2330" s="1" t="s">
        <v>213</v>
      </c>
      <c r="FQ2330" s="1" t="s">
        <v>20418</v>
      </c>
      <c r="FR2330" s="1" t="s">
        <v>411</v>
      </c>
      <c r="FS2330" s="1" t="s">
        <v>20419</v>
      </c>
      <c r="FT2330" s="1" t="s">
        <v>295</v>
      </c>
      <c r="FU2330" s="1" t="s">
        <v>204</v>
      </c>
      <c r="FW2330" s="1" t="s">
        <v>20420</v>
      </c>
      <c r="FX2330" s="1">
        <v>8031</v>
      </c>
      <c r="FY2330" s="1" t="s">
        <v>20421</v>
      </c>
      <c r="FZ2330" s="1" t="s">
        <v>20422</v>
      </c>
      <c r="GA2330" s="1">
        <v>88473</v>
      </c>
      <c r="GB2330" s="1" t="s">
        <v>20423</v>
      </c>
      <c r="GE2330" s="1" t="s">
        <v>335</v>
      </c>
      <c r="GI2330" s="1" t="s">
        <v>213</v>
      </c>
      <c r="GJ2330" s="1" t="s">
        <v>260</v>
      </c>
      <c r="GK2330" s="1" t="s">
        <v>210</v>
      </c>
      <c r="GL2330" s="2">
        <v>42089</v>
      </c>
      <c r="GM2330" s="1" t="s">
        <v>20424</v>
      </c>
    </row>
    <row r="2331" spans="1:195">
      <c r="A2331" s="1">
        <v>180000</v>
      </c>
      <c r="B2331" s="1" t="s">
        <v>195</v>
      </c>
      <c r="C2331" s="1" t="str">
        <f>"08821611"</f>
        <v>08821611</v>
      </c>
      <c r="D2331" s="1" t="s">
        <v>196</v>
      </c>
      <c r="F2331" s="1" t="str">
        <f>"531"</f>
        <v>531</v>
      </c>
      <c r="G2331" s="2">
        <v>42026</v>
      </c>
      <c r="H2331" s="1">
        <v>184888</v>
      </c>
      <c r="I2331" s="1">
        <v>184888</v>
      </c>
      <c r="J2331" s="1">
        <v>180000</v>
      </c>
      <c r="K2331" s="2">
        <v>42026</v>
      </c>
      <c r="L2331" s="1">
        <v>16</v>
      </c>
      <c r="M2331" s="2">
        <v>42041</v>
      </c>
      <c r="N2331" s="1">
        <v>16</v>
      </c>
      <c r="O2331" s="2">
        <v>42041</v>
      </c>
      <c r="P2331" s="1">
        <v>60021</v>
      </c>
      <c r="Q2331" s="1" t="s">
        <v>302</v>
      </c>
      <c r="R2331" s="2">
        <v>42081</v>
      </c>
      <c r="S2331" s="1">
        <v>223997</v>
      </c>
      <c r="U2331" s="1">
        <v>127</v>
      </c>
      <c r="V2331" s="1" t="s">
        <v>6937</v>
      </c>
      <c r="W2331" s="1" t="s">
        <v>449</v>
      </c>
      <c r="X2331" s="1">
        <v>206</v>
      </c>
      <c r="Y2331" s="1">
        <v>48</v>
      </c>
      <c r="Z2331" s="1" t="s">
        <v>249</v>
      </c>
      <c r="AA2331" s="1" t="s">
        <v>2326</v>
      </c>
      <c r="AB2331" s="1">
        <v>60525</v>
      </c>
      <c r="AD2331" s="1" t="s">
        <v>6938</v>
      </c>
      <c r="AE2331" s="1" t="s">
        <v>20425</v>
      </c>
      <c r="AF2331" s="1">
        <v>1990</v>
      </c>
      <c r="AG2331" s="1" t="s">
        <v>204</v>
      </c>
      <c r="AH2331" s="1" t="s">
        <v>2329</v>
      </c>
      <c r="AI2331" s="1" t="s">
        <v>310</v>
      </c>
      <c r="AJ2331" s="1" t="s">
        <v>702</v>
      </c>
      <c r="AL2331" s="1">
        <v>5</v>
      </c>
      <c r="AM2331" s="1">
        <v>2</v>
      </c>
      <c r="AN2331" s="1">
        <v>2</v>
      </c>
      <c r="AO2331" s="1">
        <v>0</v>
      </c>
      <c r="AP2331" s="1" t="s">
        <v>209</v>
      </c>
      <c r="AQ2331" s="1">
        <v>1</v>
      </c>
      <c r="AR2331" s="1" t="s">
        <v>210</v>
      </c>
      <c r="AS2331" s="1" t="s">
        <v>204</v>
      </c>
      <c r="AT2331" s="1" t="s">
        <v>211</v>
      </c>
      <c r="AU2331" s="1">
        <v>1</v>
      </c>
      <c r="AW2331" s="1" t="s">
        <v>204</v>
      </c>
      <c r="AX2331" s="1" t="s">
        <v>212</v>
      </c>
      <c r="AZ2331" s="1">
        <v>1711.27</v>
      </c>
      <c r="BA2331" s="1">
        <v>2013</v>
      </c>
      <c r="BB2331" s="1" t="s">
        <v>599</v>
      </c>
      <c r="BE2331" s="1">
        <v>0</v>
      </c>
      <c r="BF2331" s="1">
        <v>2</v>
      </c>
      <c r="BG2331" s="1">
        <v>0</v>
      </c>
      <c r="BL2331" s="1">
        <v>302</v>
      </c>
      <c r="BM2331" s="1" t="s">
        <v>204</v>
      </c>
      <c r="BN2331" s="1" t="s">
        <v>204</v>
      </c>
      <c r="BP2331" s="1" t="s">
        <v>204</v>
      </c>
      <c r="BR2331" s="1" t="str">
        <f>"18201000791015"</f>
        <v>18201000791015</v>
      </c>
      <c r="BT2331" s="1" t="s">
        <v>20426</v>
      </c>
      <c r="BU2331" s="1" t="s">
        <v>2495</v>
      </c>
      <c r="BV2331" s="1" t="s">
        <v>2496</v>
      </c>
      <c r="BW2331" s="1" t="s">
        <v>706</v>
      </c>
      <c r="BX2331" s="1">
        <v>106</v>
      </c>
      <c r="BY2331" s="1">
        <v>106</v>
      </c>
      <c r="BZ2331" s="1">
        <v>204</v>
      </c>
      <c r="CB2331" s="1" t="str">
        <f t="shared" ref="CB2331:CC2331" si="1785">""</f>
        <v/>
      </c>
      <c r="CC2331" s="1" t="str">
        <f t="shared" si="1785"/>
        <v/>
      </c>
      <c r="CG2331" s="1" t="s">
        <v>1155</v>
      </c>
      <c r="CH2331" s="1" t="s">
        <v>219</v>
      </c>
      <c r="CI2331" s="1" t="s">
        <v>1236</v>
      </c>
      <c r="CJ2331" s="1" t="s">
        <v>463</v>
      </c>
      <c r="CK2331" s="1" t="s">
        <v>581</v>
      </c>
      <c r="CL2331" s="1" t="s">
        <v>219</v>
      </c>
      <c r="CM2331" s="1" t="s">
        <v>220</v>
      </c>
      <c r="CN2331" s="1" t="s">
        <v>2449</v>
      </c>
      <c r="CO2331" s="1" t="s">
        <v>932</v>
      </c>
      <c r="CP2331" s="1" t="s">
        <v>219</v>
      </c>
      <c r="CQ2331" s="1" t="s">
        <v>1236</v>
      </c>
      <c r="CR2331" s="1" t="s">
        <v>210</v>
      </c>
      <c r="CS2331" s="1" t="s">
        <v>465</v>
      </c>
      <c r="CT2331" s="1" t="s">
        <v>219</v>
      </c>
      <c r="CU2331" s="1" t="s">
        <v>220</v>
      </c>
      <c r="CV2331" s="1" t="s">
        <v>2449</v>
      </c>
      <c r="CX2331" s="1" t="s">
        <v>224</v>
      </c>
      <c r="DB2331" s="1" t="s">
        <v>224</v>
      </c>
      <c r="DE2331" s="1" t="s">
        <v>465</v>
      </c>
      <c r="DF2331" s="1" t="s">
        <v>219</v>
      </c>
      <c r="DG2331" s="1" t="s">
        <v>1236</v>
      </c>
      <c r="DH2331" s="1" t="s">
        <v>210</v>
      </c>
      <c r="DJ2331" s="1" t="s">
        <v>224</v>
      </c>
      <c r="DS2331" s="1" t="s">
        <v>230</v>
      </c>
      <c r="DW2331" s="1" t="s">
        <v>230</v>
      </c>
      <c r="EA2331" s="1" t="s">
        <v>230</v>
      </c>
      <c r="EE2331" s="1" t="s">
        <v>230</v>
      </c>
      <c r="EI2331" s="1" t="s">
        <v>230</v>
      </c>
      <c r="EL2331" s="1" t="s">
        <v>382</v>
      </c>
      <c r="EM2331" s="1" t="s">
        <v>232</v>
      </c>
      <c r="EN2331" s="1" t="s">
        <v>282</v>
      </c>
      <c r="EO2331" s="1" t="s">
        <v>234</v>
      </c>
      <c r="EP2331" s="1" t="s">
        <v>20427</v>
      </c>
      <c r="EQ2331" s="1" t="s">
        <v>236</v>
      </c>
      <c r="ER2331" s="1" t="s">
        <v>210</v>
      </c>
      <c r="ES2331" s="1" t="s">
        <v>824</v>
      </c>
      <c r="ET2331" s="1" t="s">
        <v>842</v>
      </c>
      <c r="EV2331" s="1" t="s">
        <v>324</v>
      </c>
      <c r="EW2331" s="1" t="s">
        <v>241</v>
      </c>
      <c r="EY2331" s="1" t="s">
        <v>242</v>
      </c>
      <c r="EZ2331" s="1" t="s">
        <v>287</v>
      </c>
      <c r="FA2331" s="1" t="s">
        <v>20428</v>
      </c>
      <c r="FB2331" s="1" t="s">
        <v>289</v>
      </c>
      <c r="FD2331" s="1" t="s">
        <v>1112</v>
      </c>
      <c r="FE2331" s="1" t="s">
        <v>247</v>
      </c>
      <c r="FF2331" s="1" t="s">
        <v>248</v>
      </c>
      <c r="FG2331" s="1" t="s">
        <v>912</v>
      </c>
      <c r="FH2331" s="1" t="s">
        <v>249</v>
      </c>
      <c r="FI2331" s="1" t="s">
        <v>250</v>
      </c>
      <c r="FJ2331" s="1" t="s">
        <v>197</v>
      </c>
      <c r="FL2331" s="1" t="s">
        <v>358</v>
      </c>
      <c r="FM2331" s="1" t="s">
        <v>252</v>
      </c>
      <c r="FN2331" s="1" t="s">
        <v>213</v>
      </c>
      <c r="FO2331" s="1" t="s">
        <v>213</v>
      </c>
      <c r="FQ2331" s="1" t="s">
        <v>9915</v>
      </c>
      <c r="FR2331" s="1" t="s">
        <v>210</v>
      </c>
      <c r="FS2331" s="1" t="s">
        <v>20429</v>
      </c>
      <c r="FT2331" s="1" t="s">
        <v>295</v>
      </c>
      <c r="FU2331" s="1" t="s">
        <v>204</v>
      </c>
      <c r="FW2331" s="1" t="s">
        <v>5648</v>
      </c>
      <c r="FX2331" s="1">
        <v>23099</v>
      </c>
      <c r="FY2331" s="1" t="s">
        <v>5649</v>
      </c>
      <c r="FZ2331" s="1" t="s">
        <v>13066</v>
      </c>
      <c r="GA2331" s="1">
        <v>225033</v>
      </c>
      <c r="GB2331" s="1" t="s">
        <v>13067</v>
      </c>
      <c r="GC2331" s="1">
        <v>210181</v>
      </c>
      <c r="GE2331" s="1" t="s">
        <v>1379</v>
      </c>
      <c r="GI2331" s="1" t="s">
        <v>213</v>
      </c>
      <c r="GJ2331" s="1" t="s">
        <v>260</v>
      </c>
      <c r="GK2331" s="1" t="s">
        <v>210</v>
      </c>
      <c r="GL2331" s="2">
        <v>42081</v>
      </c>
      <c r="GM2331" s="1" t="s">
        <v>20430</v>
      </c>
    </row>
    <row r="2332" spans="1:195">
      <c r="A2332" s="1">
        <v>225000</v>
      </c>
      <c r="B2332" s="1" t="s">
        <v>195</v>
      </c>
      <c r="C2332" s="1" t="str">
        <f>"08831443"</f>
        <v>08831443</v>
      </c>
      <c r="D2332" s="1" t="s">
        <v>196</v>
      </c>
      <c r="F2332" s="1" t="str">
        <f>"507"</f>
        <v>507</v>
      </c>
      <c r="G2332" s="2">
        <v>42040</v>
      </c>
      <c r="H2332" s="1">
        <v>228000</v>
      </c>
      <c r="I2332" s="1">
        <v>228000</v>
      </c>
      <c r="J2332" s="1">
        <v>225000</v>
      </c>
      <c r="K2332" s="2">
        <v>42040</v>
      </c>
      <c r="L2332" s="1">
        <v>8</v>
      </c>
      <c r="M2332" s="2">
        <v>42047</v>
      </c>
      <c r="N2332" s="1">
        <v>8</v>
      </c>
      <c r="O2332" s="2">
        <v>42047</v>
      </c>
      <c r="P2332" s="1">
        <v>16636</v>
      </c>
      <c r="Q2332" s="1" t="s">
        <v>197</v>
      </c>
      <c r="R2332" s="2">
        <v>42093</v>
      </c>
      <c r="S2332" s="1">
        <v>114036</v>
      </c>
      <c r="U2332" s="1">
        <v>1205</v>
      </c>
      <c r="V2332" s="1" t="s">
        <v>20431</v>
      </c>
      <c r="W2332" s="1" t="s">
        <v>449</v>
      </c>
      <c r="X2332" s="1">
        <v>1205</v>
      </c>
      <c r="Y2332" s="1">
        <v>4</v>
      </c>
      <c r="Z2332" s="1" t="s">
        <v>200</v>
      </c>
      <c r="AA2332" s="1" t="s">
        <v>1123</v>
      </c>
      <c r="AB2332" s="1">
        <v>60502</v>
      </c>
      <c r="AD2332" s="1" t="s">
        <v>10334</v>
      </c>
      <c r="AE2332" s="1" t="s">
        <v>20432</v>
      </c>
      <c r="AF2332" s="1">
        <v>2002</v>
      </c>
      <c r="AG2332" s="1" t="s">
        <v>204</v>
      </c>
      <c r="AH2332" s="1" t="s">
        <v>1126</v>
      </c>
      <c r="AI2332" s="1" t="s">
        <v>206</v>
      </c>
      <c r="AJ2332" s="1" t="s">
        <v>924</v>
      </c>
      <c r="AK2332" s="1" t="s">
        <v>6257</v>
      </c>
      <c r="AL2332" s="1">
        <v>6</v>
      </c>
      <c r="AM2332" s="1">
        <v>2</v>
      </c>
      <c r="AN2332" s="1">
        <v>2</v>
      </c>
      <c r="AO2332" s="1">
        <v>1</v>
      </c>
      <c r="AP2332" s="1" t="s">
        <v>209</v>
      </c>
      <c r="AQ2332" s="1">
        <v>1</v>
      </c>
      <c r="AR2332" s="1" t="s">
        <v>209</v>
      </c>
      <c r="AS2332" s="1" t="s">
        <v>204</v>
      </c>
      <c r="AT2332" s="1" t="s">
        <v>211</v>
      </c>
      <c r="AU2332" s="1">
        <v>2</v>
      </c>
      <c r="AW2332" s="1" t="s">
        <v>213</v>
      </c>
      <c r="AX2332" s="1" t="s">
        <v>212</v>
      </c>
      <c r="AZ2332" s="1">
        <v>7438</v>
      </c>
      <c r="BA2332" s="1">
        <v>2013</v>
      </c>
      <c r="BB2332" s="1" t="s">
        <v>210</v>
      </c>
      <c r="BE2332" s="1">
        <v>2002</v>
      </c>
      <c r="BF2332" s="1">
        <v>1</v>
      </c>
      <c r="BG2332" s="1">
        <v>30</v>
      </c>
      <c r="BL2332" s="1">
        <v>220</v>
      </c>
      <c r="BM2332" s="1" t="s">
        <v>204</v>
      </c>
      <c r="BN2332" s="1" t="s">
        <v>213</v>
      </c>
      <c r="BP2332" s="1" t="s">
        <v>204</v>
      </c>
      <c r="BR2332" s="1" t="str">
        <f>"0708318003"</f>
        <v>0708318003</v>
      </c>
      <c r="BT2332" s="1" t="s">
        <v>20433</v>
      </c>
      <c r="BU2332" s="1" t="s">
        <v>5816</v>
      </c>
      <c r="BV2332" s="1" t="s">
        <v>1130</v>
      </c>
      <c r="BW2332" s="1" t="s">
        <v>1131</v>
      </c>
      <c r="BX2332" s="1">
        <v>204</v>
      </c>
      <c r="BY2332" s="1">
        <v>204</v>
      </c>
      <c r="BZ2332" s="1">
        <v>204</v>
      </c>
      <c r="CB2332" s="1" t="str">
        <f t="shared" ref="CB2332:CC2332" si="1786">""</f>
        <v/>
      </c>
      <c r="CC2332" s="1" t="str">
        <f t="shared" si="1786"/>
        <v/>
      </c>
      <c r="CG2332" s="1" t="s">
        <v>228</v>
      </c>
      <c r="CH2332" s="1" t="s">
        <v>219</v>
      </c>
      <c r="CI2332" s="1" t="s">
        <v>438</v>
      </c>
      <c r="CJ2332" s="1" t="s">
        <v>463</v>
      </c>
      <c r="CK2332" s="1" t="s">
        <v>669</v>
      </c>
      <c r="CL2332" s="1" t="s">
        <v>277</v>
      </c>
      <c r="CM2332" s="1" t="s">
        <v>220</v>
      </c>
      <c r="CN2332" s="1" t="s">
        <v>343</v>
      </c>
      <c r="CO2332" s="1" t="s">
        <v>318</v>
      </c>
      <c r="CP2332" s="1" t="s">
        <v>219</v>
      </c>
      <c r="CQ2332" s="1" t="s">
        <v>438</v>
      </c>
      <c r="CR2332" s="1" t="s">
        <v>463</v>
      </c>
      <c r="CS2332" s="1" t="s">
        <v>602</v>
      </c>
      <c r="CT2332" s="1" t="s">
        <v>277</v>
      </c>
      <c r="CU2332" s="1" t="s">
        <v>220</v>
      </c>
      <c r="CV2332" s="1" t="s">
        <v>343</v>
      </c>
      <c r="CX2332" s="1" t="s">
        <v>224</v>
      </c>
      <c r="DB2332" s="1" t="s">
        <v>224</v>
      </c>
      <c r="DE2332" s="1" t="s">
        <v>221</v>
      </c>
      <c r="DF2332" s="1" t="s">
        <v>219</v>
      </c>
      <c r="DG2332" s="1" t="s">
        <v>438</v>
      </c>
      <c r="DJ2332" s="1" t="s">
        <v>224</v>
      </c>
      <c r="DL2332" s="1" t="s">
        <v>210</v>
      </c>
      <c r="DN2332" s="1" t="s">
        <v>464</v>
      </c>
      <c r="DS2332" s="1" t="s">
        <v>230</v>
      </c>
      <c r="DV2332" s="1" t="s">
        <v>2992</v>
      </c>
      <c r="DW2332" s="1" t="s">
        <v>277</v>
      </c>
      <c r="DX2332" s="1" t="s">
        <v>220</v>
      </c>
      <c r="DY2332" s="1" t="s">
        <v>343</v>
      </c>
      <c r="EA2332" s="1" t="s">
        <v>230</v>
      </c>
      <c r="EE2332" s="1" t="s">
        <v>230</v>
      </c>
      <c r="EI2332" s="1" t="s">
        <v>230</v>
      </c>
      <c r="EL2332" s="1" t="s">
        <v>466</v>
      </c>
      <c r="EM2332" s="1" t="s">
        <v>319</v>
      </c>
      <c r="EN2332" s="1" t="s">
        <v>282</v>
      </c>
      <c r="EO2332" s="1" t="s">
        <v>234</v>
      </c>
      <c r="EP2332" s="1" t="s">
        <v>1268</v>
      </c>
      <c r="EQ2332" s="1" t="s">
        <v>20434</v>
      </c>
      <c r="ER2332" s="1" t="s">
        <v>1249</v>
      </c>
      <c r="EU2332" s="1" t="s">
        <v>20435</v>
      </c>
      <c r="EW2332" s="1" t="s">
        <v>10337</v>
      </c>
      <c r="EY2332" s="1" t="s">
        <v>242</v>
      </c>
      <c r="EZ2332" s="1" t="s">
        <v>464</v>
      </c>
      <c r="FA2332" s="1" t="s">
        <v>20436</v>
      </c>
      <c r="FD2332" s="1" t="s">
        <v>3287</v>
      </c>
      <c r="FE2332" s="1" t="s">
        <v>975</v>
      </c>
      <c r="FF2332" s="1" t="s">
        <v>3647</v>
      </c>
      <c r="FG2332" s="1" t="s">
        <v>2406</v>
      </c>
      <c r="FH2332" s="1" t="s">
        <v>550</v>
      </c>
      <c r="FI2332" s="1" t="s">
        <v>473</v>
      </c>
      <c r="FJ2332" s="1" t="s">
        <v>518</v>
      </c>
      <c r="FL2332" s="1" t="s">
        <v>358</v>
      </c>
      <c r="FM2332" s="1" t="s">
        <v>252</v>
      </c>
      <c r="FN2332" s="1" t="s">
        <v>213</v>
      </c>
      <c r="FO2332" s="1" t="s">
        <v>213</v>
      </c>
      <c r="FQ2332" s="1" t="s">
        <v>10987</v>
      </c>
      <c r="FR2332" s="1" t="s">
        <v>652</v>
      </c>
      <c r="FS2332" s="1" t="s">
        <v>20437</v>
      </c>
      <c r="FT2332" s="1" t="s">
        <v>1016</v>
      </c>
      <c r="FU2332" s="1" t="s">
        <v>204</v>
      </c>
      <c r="FW2332" s="1" t="s">
        <v>585</v>
      </c>
      <c r="FX2332" s="1">
        <v>23156</v>
      </c>
      <c r="FY2332" s="1" t="s">
        <v>1253</v>
      </c>
      <c r="FZ2332" s="1" t="s">
        <v>13201</v>
      </c>
      <c r="GA2332" s="1">
        <v>217201</v>
      </c>
      <c r="GB2332" s="1" t="s">
        <v>13202</v>
      </c>
      <c r="GD2332" s="1" t="s">
        <v>13203</v>
      </c>
      <c r="GE2332" s="1" t="s">
        <v>1226</v>
      </c>
      <c r="GI2332" s="1" t="s">
        <v>213</v>
      </c>
      <c r="GJ2332" s="1" t="s">
        <v>260</v>
      </c>
      <c r="GK2332" s="1" t="s">
        <v>210</v>
      </c>
      <c r="GL2332" s="2">
        <v>42093</v>
      </c>
      <c r="GM2332" s="1" t="s">
        <v>20438</v>
      </c>
    </row>
    <row r="2333" spans="1:195">
      <c r="A2333" s="1">
        <v>100000</v>
      </c>
      <c r="B2333" s="1" t="s">
        <v>195</v>
      </c>
      <c r="C2333" s="1" t="str">
        <f>"08819591"</f>
        <v>08819591</v>
      </c>
      <c r="D2333" s="1" t="s">
        <v>196</v>
      </c>
      <c r="F2333" s="1" t="str">
        <f t="shared" ref="F2333:F2334" si="1787">"8041"</f>
        <v>8041</v>
      </c>
      <c r="G2333" s="2">
        <v>42023</v>
      </c>
      <c r="H2333" s="1">
        <v>120000</v>
      </c>
      <c r="I2333" s="1">
        <v>120000</v>
      </c>
      <c r="J2333" s="1">
        <v>100000</v>
      </c>
      <c r="K2333" s="2">
        <v>42023</v>
      </c>
      <c r="L2333" s="1">
        <v>858</v>
      </c>
      <c r="M2333" s="2">
        <v>42073</v>
      </c>
      <c r="N2333" s="1">
        <v>51</v>
      </c>
      <c r="O2333" s="2">
        <v>42073</v>
      </c>
      <c r="P2333" s="1">
        <v>85646</v>
      </c>
      <c r="Q2333" s="1" t="s">
        <v>302</v>
      </c>
      <c r="R2333" s="2">
        <v>42073</v>
      </c>
      <c r="S2333" s="1">
        <v>116152</v>
      </c>
      <c r="U2333" s="1">
        <v>5532</v>
      </c>
      <c r="V2333" s="1" t="s">
        <v>9062</v>
      </c>
      <c r="W2333" s="1" t="s">
        <v>264</v>
      </c>
      <c r="X2333" s="1" t="s">
        <v>20439</v>
      </c>
      <c r="Y2333" s="1">
        <v>121</v>
      </c>
      <c r="Z2333" s="1" t="s">
        <v>2811</v>
      </c>
      <c r="AA2333" s="1" t="s">
        <v>400</v>
      </c>
      <c r="AB2333" s="1">
        <v>60637</v>
      </c>
      <c r="AE2333" s="1" t="s">
        <v>20440</v>
      </c>
      <c r="AF2333" s="1">
        <v>1948</v>
      </c>
      <c r="AG2333" s="1" t="s">
        <v>213</v>
      </c>
      <c r="AH2333" s="1" t="s">
        <v>403</v>
      </c>
      <c r="AI2333" s="1" t="s">
        <v>310</v>
      </c>
      <c r="AJ2333" s="1" t="s">
        <v>562</v>
      </c>
      <c r="AL2333" s="1">
        <v>5</v>
      </c>
      <c r="AM2333" s="1">
        <v>2</v>
      </c>
      <c r="AN2333" s="1">
        <v>2</v>
      </c>
      <c r="AO2333" s="1">
        <v>0</v>
      </c>
      <c r="AP2333" s="1" t="s">
        <v>209</v>
      </c>
      <c r="AR2333" s="1" t="s">
        <v>210</v>
      </c>
      <c r="AT2333" s="1" t="s">
        <v>210</v>
      </c>
      <c r="AW2333" s="1" t="s">
        <v>213</v>
      </c>
      <c r="AX2333" s="1" t="s">
        <v>212</v>
      </c>
      <c r="AZ2333" s="1">
        <v>1660</v>
      </c>
      <c r="BA2333" s="1">
        <v>2012</v>
      </c>
      <c r="BB2333" s="1" t="s">
        <v>599</v>
      </c>
      <c r="BE2333" s="1">
        <v>1150</v>
      </c>
      <c r="BF2333" s="1">
        <v>19</v>
      </c>
      <c r="BG2333" s="1">
        <v>30</v>
      </c>
      <c r="BL2333" s="1">
        <v>899</v>
      </c>
      <c r="BM2333" s="1" t="s">
        <v>204</v>
      </c>
      <c r="BN2333" s="1" t="s">
        <v>213</v>
      </c>
      <c r="BO2333" s="1">
        <v>0</v>
      </c>
      <c r="BP2333" s="1" t="s">
        <v>204</v>
      </c>
      <c r="BR2333" s="1" t="str">
        <f>"20131030090000"</f>
        <v>20131030090000</v>
      </c>
      <c r="BT2333" s="1" t="s">
        <v>20441</v>
      </c>
      <c r="BX2333" s="1">
        <v>299</v>
      </c>
      <c r="BY2333" s="1">
        <v>299</v>
      </c>
      <c r="BZ2333" s="1">
        <v>299</v>
      </c>
      <c r="CB2333" s="1" t="str">
        <f t="shared" ref="CB2333:CB2334" si="1788">"0"</f>
        <v>0</v>
      </c>
      <c r="CC2333" s="1" t="str">
        <f>"1800"</f>
        <v>1800</v>
      </c>
      <c r="CD2333" s="1">
        <v>0</v>
      </c>
      <c r="CE2333" s="1">
        <v>5532</v>
      </c>
      <c r="CG2333" s="1" t="s">
        <v>6949</v>
      </c>
      <c r="CH2333" s="1" t="s">
        <v>219</v>
      </c>
      <c r="CI2333" s="1" t="s">
        <v>220</v>
      </c>
      <c r="CK2333" s="1" t="s">
        <v>15264</v>
      </c>
      <c r="CL2333" s="1" t="s">
        <v>219</v>
      </c>
      <c r="CM2333" s="1" t="s">
        <v>220</v>
      </c>
      <c r="CO2333" s="1" t="s">
        <v>629</v>
      </c>
      <c r="CP2333" s="1" t="s">
        <v>219</v>
      </c>
      <c r="CS2333" s="1" t="s">
        <v>2466</v>
      </c>
      <c r="CT2333" s="1" t="s">
        <v>219</v>
      </c>
      <c r="CU2333" s="1" t="s">
        <v>220</v>
      </c>
      <c r="CX2333" s="1" t="s">
        <v>224</v>
      </c>
      <c r="DB2333" s="1" t="s">
        <v>224</v>
      </c>
      <c r="DE2333" s="1" t="s">
        <v>380</v>
      </c>
      <c r="DF2333" s="1" t="s">
        <v>219</v>
      </c>
      <c r="DG2333" s="1" t="s">
        <v>342</v>
      </c>
      <c r="DJ2333" s="1" t="s">
        <v>224</v>
      </c>
      <c r="DS2333" s="1" t="s">
        <v>230</v>
      </c>
      <c r="DW2333" s="1" t="s">
        <v>230</v>
      </c>
      <c r="EA2333" s="1" t="s">
        <v>230</v>
      </c>
      <c r="EE2333" s="1" t="s">
        <v>230</v>
      </c>
      <c r="EI2333" s="1" t="s">
        <v>230</v>
      </c>
      <c r="EL2333" s="1" t="s">
        <v>3717</v>
      </c>
      <c r="EM2333" s="1" t="s">
        <v>232</v>
      </c>
      <c r="EN2333" s="1" t="s">
        <v>731</v>
      </c>
      <c r="EO2333" s="1" t="s">
        <v>234</v>
      </c>
      <c r="EQ2333" s="1" t="s">
        <v>3572</v>
      </c>
      <c r="ER2333" s="1" t="s">
        <v>210</v>
      </c>
      <c r="ES2333" s="1" t="s">
        <v>545</v>
      </c>
      <c r="EV2333" s="1" t="s">
        <v>240</v>
      </c>
      <c r="EW2333" s="1" t="s">
        <v>20442</v>
      </c>
      <c r="EZ2333" s="1" t="s">
        <v>287</v>
      </c>
      <c r="FC2333" s="1" t="s">
        <v>20443</v>
      </c>
      <c r="FD2333" s="1" t="s">
        <v>246</v>
      </c>
      <c r="FE2333" s="1" t="s">
        <v>247</v>
      </c>
      <c r="FF2333" s="1" t="s">
        <v>248</v>
      </c>
      <c r="FH2333" s="1" t="s">
        <v>8075</v>
      </c>
      <c r="FL2333" s="1" t="s">
        <v>414</v>
      </c>
      <c r="FM2333" s="1" t="s">
        <v>252</v>
      </c>
      <c r="FN2333" s="1" t="s">
        <v>213</v>
      </c>
      <c r="FO2333" s="1" t="s">
        <v>213</v>
      </c>
      <c r="FQ2333" s="1" t="s">
        <v>793</v>
      </c>
      <c r="FR2333" s="1" t="s">
        <v>210</v>
      </c>
      <c r="FS2333" s="1" t="s">
        <v>20444</v>
      </c>
      <c r="FT2333" s="1" t="s">
        <v>295</v>
      </c>
      <c r="FU2333" s="1" t="s">
        <v>204</v>
      </c>
      <c r="FW2333" s="1" t="s">
        <v>1652</v>
      </c>
      <c r="FX2333" s="1">
        <v>85646</v>
      </c>
      <c r="FY2333" s="1" t="s">
        <v>6107</v>
      </c>
      <c r="FZ2333" s="1" t="s">
        <v>13363</v>
      </c>
      <c r="GA2333" s="1">
        <v>116152</v>
      </c>
      <c r="GB2333" s="1" t="s">
        <v>6107</v>
      </c>
      <c r="GE2333" s="1" t="s">
        <v>2504</v>
      </c>
      <c r="GH2333" s="1" t="s">
        <v>421</v>
      </c>
      <c r="GI2333" s="1" t="s">
        <v>213</v>
      </c>
      <c r="GJ2333" s="1" t="s">
        <v>260</v>
      </c>
      <c r="GK2333" s="1" t="s">
        <v>210</v>
      </c>
      <c r="GL2333" s="2">
        <v>42107</v>
      </c>
      <c r="GM2333" s="1" t="s">
        <v>20445</v>
      </c>
    </row>
    <row r="2334" spans="1:195">
      <c r="A2334" s="1">
        <v>151000</v>
      </c>
      <c r="B2334" s="1" t="s">
        <v>195</v>
      </c>
      <c r="C2334" s="1" t="str">
        <f>"08817504"</f>
        <v>08817504</v>
      </c>
      <c r="D2334" s="1" t="s">
        <v>196</v>
      </c>
      <c r="F2334" s="1" t="str">
        <f t="shared" si="1787"/>
        <v>8041</v>
      </c>
      <c r="G2334" s="2">
        <v>42019</v>
      </c>
      <c r="H2334" s="1">
        <v>189500</v>
      </c>
      <c r="I2334" s="1">
        <v>159900</v>
      </c>
      <c r="J2334" s="1">
        <v>151000</v>
      </c>
      <c r="K2334" s="2">
        <v>42019</v>
      </c>
      <c r="L2334" s="1">
        <v>50</v>
      </c>
      <c r="M2334" s="2">
        <v>42068</v>
      </c>
      <c r="N2334" s="1">
        <v>50</v>
      </c>
      <c r="O2334" s="2">
        <v>42068</v>
      </c>
      <c r="P2334" s="1">
        <v>85102</v>
      </c>
      <c r="Q2334" s="1" t="s">
        <v>197</v>
      </c>
      <c r="R2334" s="2">
        <v>42114</v>
      </c>
      <c r="S2334" s="1">
        <v>877760</v>
      </c>
      <c r="U2334" s="1">
        <v>5128</v>
      </c>
      <c r="V2334" s="1" t="s">
        <v>9040</v>
      </c>
      <c r="W2334" s="1" t="s">
        <v>425</v>
      </c>
      <c r="X2334" s="1" t="s">
        <v>20446</v>
      </c>
      <c r="Y2334" s="1">
        <v>44</v>
      </c>
      <c r="Z2334" s="1" t="s">
        <v>249</v>
      </c>
      <c r="AA2334" s="1" t="s">
        <v>400</v>
      </c>
      <c r="AB2334" s="1">
        <v>60615</v>
      </c>
      <c r="AE2334" s="1" t="s">
        <v>20447</v>
      </c>
      <c r="AF2334" s="1" t="s">
        <v>402</v>
      </c>
      <c r="AG2334" s="1" t="s">
        <v>213</v>
      </c>
      <c r="AH2334" s="1" t="s">
        <v>403</v>
      </c>
      <c r="AI2334" s="1" t="s">
        <v>310</v>
      </c>
      <c r="AJ2334" s="1" t="s">
        <v>562</v>
      </c>
      <c r="AL2334" s="1">
        <v>5</v>
      </c>
      <c r="AM2334" s="1">
        <v>2</v>
      </c>
      <c r="AN2334" s="1">
        <v>2</v>
      </c>
      <c r="AO2334" s="1">
        <v>0</v>
      </c>
      <c r="AP2334" s="1" t="s">
        <v>209</v>
      </c>
      <c r="AR2334" s="1" t="s">
        <v>210</v>
      </c>
      <c r="AS2334" s="1" t="s">
        <v>204</v>
      </c>
      <c r="AT2334" s="1" t="s">
        <v>210</v>
      </c>
      <c r="AW2334" s="1" t="s">
        <v>204</v>
      </c>
      <c r="AX2334" s="1" t="s">
        <v>270</v>
      </c>
      <c r="AZ2334" s="1">
        <v>3060.94</v>
      </c>
      <c r="BA2334" s="1">
        <v>2013</v>
      </c>
      <c r="BE2334" s="1">
        <v>1200</v>
      </c>
      <c r="BF2334" s="1">
        <v>3</v>
      </c>
      <c r="BG2334" s="1">
        <v>0</v>
      </c>
      <c r="BL2334" s="1">
        <v>329</v>
      </c>
      <c r="BM2334" s="1" t="s">
        <v>204</v>
      </c>
      <c r="BN2334" s="1" t="s">
        <v>213</v>
      </c>
      <c r="BO2334" s="1">
        <v>25</v>
      </c>
      <c r="BP2334" s="1" t="s">
        <v>204</v>
      </c>
      <c r="BR2334" s="1" t="str">
        <f>"20114000221018"</f>
        <v>20114000221018</v>
      </c>
      <c r="BT2334" s="1" t="s">
        <v>20448</v>
      </c>
      <c r="BX2334" s="1">
        <v>299</v>
      </c>
      <c r="BY2334" s="1">
        <v>299</v>
      </c>
      <c r="BZ2334" s="1">
        <v>299</v>
      </c>
      <c r="CB2334" s="1" t="str">
        <f t="shared" si="1788"/>
        <v>0</v>
      </c>
      <c r="CC2334" s="1" t="str">
        <f>"1250"</f>
        <v>1250</v>
      </c>
      <c r="CD2334" s="1">
        <v>0</v>
      </c>
      <c r="CE2334" s="1">
        <v>5128</v>
      </c>
      <c r="CG2334" s="1" t="s">
        <v>7336</v>
      </c>
      <c r="CH2334" s="1" t="s">
        <v>219</v>
      </c>
      <c r="CI2334" s="1" t="s">
        <v>438</v>
      </c>
      <c r="CK2334" s="1" t="s">
        <v>515</v>
      </c>
      <c r="CL2334" s="1" t="s">
        <v>219</v>
      </c>
      <c r="CM2334" s="1" t="s">
        <v>438</v>
      </c>
      <c r="CO2334" s="1" t="s">
        <v>629</v>
      </c>
      <c r="CP2334" s="1" t="s">
        <v>219</v>
      </c>
      <c r="CQ2334" s="1" t="s">
        <v>438</v>
      </c>
      <c r="CS2334" s="1" t="s">
        <v>2203</v>
      </c>
      <c r="CT2334" s="1" t="s">
        <v>219</v>
      </c>
      <c r="CU2334" s="1" t="s">
        <v>438</v>
      </c>
      <c r="CX2334" s="1" t="s">
        <v>224</v>
      </c>
      <c r="DB2334" s="1" t="s">
        <v>224</v>
      </c>
      <c r="DE2334" s="1" t="s">
        <v>316</v>
      </c>
      <c r="DF2334" s="1" t="s">
        <v>219</v>
      </c>
      <c r="DJ2334" s="1" t="s">
        <v>224</v>
      </c>
      <c r="DS2334" s="1" t="s">
        <v>230</v>
      </c>
      <c r="DW2334" s="1" t="s">
        <v>230</v>
      </c>
      <c r="EA2334" s="1" t="s">
        <v>230</v>
      </c>
      <c r="EE2334" s="1" t="s">
        <v>230</v>
      </c>
      <c r="EI2334" s="1" t="s">
        <v>230</v>
      </c>
      <c r="EL2334" s="1" t="s">
        <v>413</v>
      </c>
      <c r="EM2334" s="1" t="s">
        <v>232</v>
      </c>
      <c r="EN2334" s="1" t="s">
        <v>282</v>
      </c>
      <c r="EO2334" s="1" t="s">
        <v>3559</v>
      </c>
      <c r="ER2334" s="1" t="s">
        <v>210</v>
      </c>
      <c r="EW2334" s="1" t="s">
        <v>887</v>
      </c>
      <c r="EZ2334" s="1" t="s">
        <v>287</v>
      </c>
      <c r="FD2334" s="1" t="s">
        <v>246</v>
      </c>
      <c r="FE2334" s="1" t="s">
        <v>847</v>
      </c>
      <c r="FF2334" s="1" t="s">
        <v>248</v>
      </c>
      <c r="FH2334" s="1" t="s">
        <v>249</v>
      </c>
      <c r="FL2334" s="1" t="s">
        <v>414</v>
      </c>
      <c r="FM2334" s="1" t="s">
        <v>252</v>
      </c>
      <c r="FN2334" s="1" t="s">
        <v>213</v>
      </c>
      <c r="FO2334" s="1" t="s">
        <v>213</v>
      </c>
      <c r="FQ2334" s="1" t="s">
        <v>582</v>
      </c>
      <c r="FR2334" s="1" t="s">
        <v>210</v>
      </c>
      <c r="FS2334" s="1" t="s">
        <v>2753</v>
      </c>
      <c r="FT2334" s="1" t="s">
        <v>584</v>
      </c>
      <c r="FU2334" s="1" t="s">
        <v>204</v>
      </c>
      <c r="FW2334" s="1" t="s">
        <v>19112</v>
      </c>
      <c r="FX2334" s="1">
        <v>84077</v>
      </c>
      <c r="FY2334" s="1" t="s">
        <v>19113</v>
      </c>
      <c r="FZ2334" s="1" t="s">
        <v>19114</v>
      </c>
      <c r="GA2334" s="1">
        <v>175275</v>
      </c>
      <c r="GE2334" s="1" t="s">
        <v>210</v>
      </c>
      <c r="GH2334" s="1" t="s">
        <v>421</v>
      </c>
      <c r="GI2334" s="1" t="s">
        <v>213</v>
      </c>
      <c r="GJ2334" s="1" t="s">
        <v>260</v>
      </c>
      <c r="GK2334" s="1" t="s">
        <v>210</v>
      </c>
      <c r="GL2334" s="2">
        <v>42114</v>
      </c>
      <c r="GM2334" s="1" t="s">
        <v>20449</v>
      </c>
    </row>
    <row r="2335" spans="1:195">
      <c r="A2335" s="1">
        <v>81000</v>
      </c>
      <c r="B2335" s="1" t="s">
        <v>195</v>
      </c>
      <c r="C2335" s="1" t="str">
        <f>"08821571"</f>
        <v>08821571</v>
      </c>
      <c r="D2335" s="1" t="s">
        <v>196</v>
      </c>
      <c r="F2335" s="1" t="str">
        <f>"73"</f>
        <v>73</v>
      </c>
      <c r="G2335" s="2">
        <v>42026</v>
      </c>
      <c r="H2335" s="1">
        <v>83000</v>
      </c>
      <c r="I2335" s="1">
        <v>79999</v>
      </c>
      <c r="J2335" s="1">
        <v>81000</v>
      </c>
      <c r="K2335" s="2">
        <v>42025</v>
      </c>
      <c r="L2335" s="1">
        <v>49</v>
      </c>
      <c r="M2335" s="2">
        <v>42073</v>
      </c>
      <c r="N2335" s="1">
        <v>49</v>
      </c>
      <c r="O2335" s="2">
        <v>42073</v>
      </c>
      <c r="P2335" s="1">
        <v>5100</v>
      </c>
      <c r="Q2335" s="1" t="s">
        <v>197</v>
      </c>
      <c r="R2335" s="2">
        <v>42116</v>
      </c>
      <c r="S2335" s="1">
        <v>55321</v>
      </c>
      <c r="U2335" s="1">
        <v>1152</v>
      </c>
      <c r="V2335" s="1" t="s">
        <v>15801</v>
      </c>
      <c r="W2335" s="1" t="s">
        <v>449</v>
      </c>
      <c r="X2335" s="1">
        <v>2</v>
      </c>
      <c r="Y2335" s="1">
        <v>4</v>
      </c>
      <c r="Z2335" s="1" t="s">
        <v>370</v>
      </c>
      <c r="AA2335" s="1" t="s">
        <v>1027</v>
      </c>
      <c r="AB2335" s="1">
        <v>60073</v>
      </c>
      <c r="AD2335" s="1" t="s">
        <v>7669</v>
      </c>
      <c r="AE2335" s="1" t="s">
        <v>20450</v>
      </c>
      <c r="AF2335" s="1">
        <v>2000</v>
      </c>
      <c r="AG2335" s="1" t="s">
        <v>204</v>
      </c>
      <c r="AH2335" s="1" t="s">
        <v>1029</v>
      </c>
      <c r="AI2335" s="1" t="s">
        <v>509</v>
      </c>
      <c r="AJ2335" s="1" t="s">
        <v>1263</v>
      </c>
      <c r="AL2335" s="1">
        <v>5</v>
      </c>
      <c r="AM2335" s="1">
        <v>2</v>
      </c>
      <c r="AN2335" s="1">
        <v>2</v>
      </c>
      <c r="AO2335" s="1">
        <v>0</v>
      </c>
      <c r="AP2335" s="1" t="s">
        <v>209</v>
      </c>
      <c r="AR2335" s="1" t="s">
        <v>210</v>
      </c>
      <c r="AS2335" s="1" t="s">
        <v>204</v>
      </c>
      <c r="AT2335" s="1" t="s">
        <v>211</v>
      </c>
      <c r="AU2335" s="1">
        <v>1</v>
      </c>
      <c r="AW2335" s="1" t="s">
        <v>204</v>
      </c>
      <c r="AX2335" s="1" t="s">
        <v>212</v>
      </c>
      <c r="AZ2335" s="1">
        <v>2947.31</v>
      </c>
      <c r="BA2335" s="1">
        <v>2013</v>
      </c>
      <c r="BE2335" s="1">
        <v>1008</v>
      </c>
      <c r="BF2335" s="1">
        <v>1</v>
      </c>
      <c r="BG2335" s="1">
        <v>0</v>
      </c>
      <c r="BL2335" s="1">
        <v>175</v>
      </c>
      <c r="BM2335" s="1" t="s">
        <v>204</v>
      </c>
      <c r="BN2335" s="1" t="s">
        <v>213</v>
      </c>
      <c r="BO2335" s="1">
        <v>999</v>
      </c>
      <c r="BP2335" s="1" t="s">
        <v>204</v>
      </c>
      <c r="BR2335" s="1" t="str">
        <f>"06191020490000"</f>
        <v>06191020490000</v>
      </c>
      <c r="BT2335" s="1" t="s">
        <v>20451</v>
      </c>
      <c r="BX2335" s="1">
        <v>116</v>
      </c>
      <c r="BY2335" s="1">
        <v>116</v>
      </c>
      <c r="BZ2335" s="1">
        <v>116</v>
      </c>
      <c r="CB2335" s="1" t="str">
        <f t="shared" ref="CB2335:CC2335" si="1789">""</f>
        <v/>
      </c>
      <c r="CC2335" s="1" t="str">
        <f t="shared" si="1789"/>
        <v/>
      </c>
      <c r="CG2335" s="1" t="s">
        <v>757</v>
      </c>
      <c r="CH2335" s="1" t="s">
        <v>219</v>
      </c>
      <c r="CI2335" s="1" t="s">
        <v>220</v>
      </c>
      <c r="CK2335" s="1" t="s">
        <v>344</v>
      </c>
      <c r="CL2335" s="1" t="s">
        <v>219</v>
      </c>
      <c r="CM2335" s="1" t="s">
        <v>220</v>
      </c>
      <c r="CO2335" s="1" t="s">
        <v>630</v>
      </c>
      <c r="CP2335" s="1" t="s">
        <v>219</v>
      </c>
      <c r="CQ2335" s="1" t="s">
        <v>438</v>
      </c>
      <c r="CS2335" s="1" t="s">
        <v>346</v>
      </c>
      <c r="CT2335" s="1" t="s">
        <v>219</v>
      </c>
      <c r="CU2335" s="1" t="s">
        <v>220</v>
      </c>
      <c r="CX2335" s="1" t="s">
        <v>224</v>
      </c>
      <c r="DB2335" s="1" t="s">
        <v>224</v>
      </c>
      <c r="DE2335" s="1" t="s">
        <v>2277</v>
      </c>
      <c r="DF2335" s="1" t="s">
        <v>219</v>
      </c>
      <c r="DG2335" s="1" t="s">
        <v>438</v>
      </c>
      <c r="DJ2335" s="1" t="s">
        <v>224</v>
      </c>
      <c r="DS2335" s="1" t="s">
        <v>230</v>
      </c>
      <c r="DW2335" s="1" t="s">
        <v>230</v>
      </c>
      <c r="EA2335" s="1" t="s">
        <v>230</v>
      </c>
      <c r="EE2335" s="1" t="s">
        <v>230</v>
      </c>
      <c r="EI2335" s="1" t="s">
        <v>230</v>
      </c>
      <c r="EL2335" s="1" t="s">
        <v>466</v>
      </c>
      <c r="EM2335" s="1" t="s">
        <v>319</v>
      </c>
      <c r="EN2335" s="1" t="s">
        <v>282</v>
      </c>
      <c r="EO2335" s="1" t="s">
        <v>234</v>
      </c>
      <c r="EP2335" s="1" t="s">
        <v>936</v>
      </c>
      <c r="EQ2335" s="1" t="s">
        <v>1094</v>
      </c>
      <c r="ER2335" s="1" t="s">
        <v>383</v>
      </c>
      <c r="ES2335" s="1" t="s">
        <v>493</v>
      </c>
      <c r="ET2335" s="1" t="s">
        <v>842</v>
      </c>
      <c r="EU2335" s="1" t="s">
        <v>712</v>
      </c>
      <c r="EV2335" s="1" t="s">
        <v>324</v>
      </c>
      <c r="EW2335" s="1" t="s">
        <v>887</v>
      </c>
      <c r="EZ2335" s="1" t="s">
        <v>287</v>
      </c>
      <c r="FA2335" s="1" t="s">
        <v>1726</v>
      </c>
      <c r="FD2335" s="1" t="s">
        <v>246</v>
      </c>
      <c r="FE2335" s="1" t="s">
        <v>386</v>
      </c>
      <c r="FF2335" s="1" t="s">
        <v>248</v>
      </c>
      <c r="FH2335" s="1" t="s">
        <v>825</v>
      </c>
      <c r="FI2335" s="1" t="s">
        <v>473</v>
      </c>
      <c r="FL2335" s="1" t="s">
        <v>358</v>
      </c>
      <c r="FM2335" s="1" t="s">
        <v>252</v>
      </c>
      <c r="FN2335" s="1" t="s">
        <v>213</v>
      </c>
      <c r="FO2335" s="1" t="s">
        <v>213</v>
      </c>
      <c r="FQ2335" s="1" t="s">
        <v>253</v>
      </c>
      <c r="FR2335" s="1" t="s">
        <v>210</v>
      </c>
      <c r="FS2335" s="1" t="s">
        <v>6490</v>
      </c>
      <c r="FT2335" s="1" t="s">
        <v>255</v>
      </c>
      <c r="FU2335" s="1" t="s">
        <v>204</v>
      </c>
      <c r="FW2335" s="1" t="s">
        <v>2590</v>
      </c>
      <c r="FX2335" s="1">
        <v>2644</v>
      </c>
      <c r="FY2335" s="1" t="s">
        <v>2591</v>
      </c>
      <c r="FZ2335" s="1" t="s">
        <v>6492</v>
      </c>
      <c r="GA2335" s="1">
        <v>18736</v>
      </c>
      <c r="GB2335" s="1" t="s">
        <v>6493</v>
      </c>
      <c r="GE2335" s="1" t="s">
        <v>1256</v>
      </c>
      <c r="GH2335" s="1" t="s">
        <v>230</v>
      </c>
      <c r="GI2335" s="1" t="s">
        <v>213</v>
      </c>
      <c r="GJ2335" s="1" t="s">
        <v>260</v>
      </c>
      <c r="GK2335" s="1" t="s">
        <v>261</v>
      </c>
      <c r="GL2335" s="2">
        <v>42117</v>
      </c>
    </row>
    <row r="2336" spans="1:195">
      <c r="A2336" s="1">
        <v>95000</v>
      </c>
      <c r="B2336" s="1" t="s">
        <v>195</v>
      </c>
      <c r="C2336" s="1" t="str">
        <f>"08822223"</f>
        <v>08822223</v>
      </c>
      <c r="D2336" s="1" t="s">
        <v>196</v>
      </c>
      <c r="F2336" s="1" t="str">
        <f>"507"</f>
        <v>507</v>
      </c>
      <c r="G2336" s="2">
        <v>42026</v>
      </c>
      <c r="H2336" s="1">
        <v>105000</v>
      </c>
      <c r="I2336" s="1">
        <v>105000</v>
      </c>
      <c r="J2336" s="1">
        <v>95000</v>
      </c>
      <c r="K2336" s="2">
        <v>42026</v>
      </c>
      <c r="L2336" s="1">
        <v>31</v>
      </c>
      <c r="M2336" s="2">
        <v>42056</v>
      </c>
      <c r="N2336" s="1">
        <v>31</v>
      </c>
      <c r="O2336" s="2">
        <v>42056</v>
      </c>
      <c r="P2336" s="1">
        <v>22029</v>
      </c>
      <c r="Q2336" s="1" t="s">
        <v>197</v>
      </c>
      <c r="R2336" s="2">
        <v>42088</v>
      </c>
      <c r="S2336" s="1">
        <v>237951</v>
      </c>
      <c r="U2336" s="1">
        <v>415</v>
      </c>
      <c r="V2336" s="1" t="s">
        <v>503</v>
      </c>
      <c r="W2336" s="1" t="s">
        <v>304</v>
      </c>
      <c r="X2336" s="1" t="s">
        <v>527</v>
      </c>
      <c r="Y2336" s="1">
        <v>4</v>
      </c>
      <c r="Z2336" s="1" t="s">
        <v>249</v>
      </c>
      <c r="AA2336" s="1" t="s">
        <v>1123</v>
      </c>
      <c r="AB2336" s="1">
        <v>60504</v>
      </c>
      <c r="AD2336" s="1" t="s">
        <v>5542</v>
      </c>
      <c r="AE2336" s="1" t="s">
        <v>20452</v>
      </c>
      <c r="AF2336" s="1">
        <v>1979</v>
      </c>
      <c r="AG2336" s="1" t="s">
        <v>204</v>
      </c>
      <c r="AH2336" s="1" t="s">
        <v>1126</v>
      </c>
      <c r="AI2336" s="1" t="s">
        <v>206</v>
      </c>
      <c r="AJ2336" s="1" t="s">
        <v>924</v>
      </c>
      <c r="AL2336" s="1">
        <v>5</v>
      </c>
      <c r="AM2336" s="1">
        <v>2</v>
      </c>
      <c r="AN2336" s="1">
        <v>1</v>
      </c>
      <c r="AO2336" s="1">
        <v>0</v>
      </c>
      <c r="AP2336" s="1" t="s">
        <v>667</v>
      </c>
      <c r="AQ2336" s="1">
        <v>1</v>
      </c>
      <c r="AR2336" s="1" t="s">
        <v>210</v>
      </c>
      <c r="AS2336" s="1" t="s">
        <v>204</v>
      </c>
      <c r="AT2336" s="1" t="s">
        <v>211</v>
      </c>
      <c r="AU2336" s="1">
        <v>1</v>
      </c>
      <c r="AW2336" s="1" t="s">
        <v>204</v>
      </c>
      <c r="AX2336" s="1" t="s">
        <v>579</v>
      </c>
      <c r="AZ2336" s="1">
        <v>1734</v>
      </c>
      <c r="BA2336" s="1">
        <v>2013</v>
      </c>
      <c r="BB2336" s="1" t="s">
        <v>210</v>
      </c>
      <c r="BE2336" s="1">
        <v>989</v>
      </c>
      <c r="BF2336" s="1">
        <v>1</v>
      </c>
      <c r="BG2336" s="1">
        <v>0</v>
      </c>
      <c r="BL2336" s="1">
        <v>255</v>
      </c>
      <c r="BM2336" s="1" t="s">
        <v>204</v>
      </c>
      <c r="BN2336" s="1" t="s">
        <v>213</v>
      </c>
      <c r="BO2336" s="1">
        <v>30</v>
      </c>
      <c r="BP2336" s="1" t="s">
        <v>204</v>
      </c>
      <c r="BR2336" s="1" t="str">
        <f>"0720410050"</f>
        <v>0720410050</v>
      </c>
      <c r="BT2336" s="1" t="s">
        <v>20453</v>
      </c>
      <c r="BU2336" s="1" t="s">
        <v>2087</v>
      </c>
      <c r="BV2336" s="1" t="s">
        <v>1130</v>
      </c>
      <c r="BW2336" s="1" t="s">
        <v>1312</v>
      </c>
      <c r="BX2336" s="1">
        <v>204</v>
      </c>
      <c r="BY2336" s="1">
        <v>204</v>
      </c>
      <c r="BZ2336" s="1">
        <v>204</v>
      </c>
      <c r="CB2336" s="1" t="str">
        <f t="shared" ref="CB2336:CC2336" si="1790">"0"</f>
        <v>0</v>
      </c>
      <c r="CC2336" s="1" t="str">
        <f t="shared" si="1790"/>
        <v>0</v>
      </c>
      <c r="CD2336" s="1">
        <v>31</v>
      </c>
      <c r="CE2336" s="1">
        <v>7</v>
      </c>
      <c r="CH2336" s="1" t="s">
        <v>224</v>
      </c>
      <c r="CK2336" s="1" t="s">
        <v>461</v>
      </c>
      <c r="CL2336" s="1" t="s">
        <v>219</v>
      </c>
      <c r="CM2336" s="1" t="s">
        <v>220</v>
      </c>
      <c r="CO2336" s="1" t="s">
        <v>346</v>
      </c>
      <c r="CP2336" s="1" t="s">
        <v>219</v>
      </c>
      <c r="CQ2336" s="1" t="s">
        <v>229</v>
      </c>
      <c r="CS2336" s="1" t="s">
        <v>346</v>
      </c>
      <c r="CT2336" s="1" t="s">
        <v>219</v>
      </c>
      <c r="CU2336" s="1" t="s">
        <v>220</v>
      </c>
      <c r="CX2336" s="1" t="s">
        <v>224</v>
      </c>
      <c r="DB2336" s="1" t="s">
        <v>224</v>
      </c>
      <c r="DE2336" s="1" t="s">
        <v>346</v>
      </c>
      <c r="DF2336" s="1" t="s">
        <v>219</v>
      </c>
      <c r="DG2336" s="1" t="s">
        <v>229</v>
      </c>
      <c r="DI2336" s="1" t="s">
        <v>564</v>
      </c>
      <c r="DJ2336" s="1" t="s">
        <v>219</v>
      </c>
      <c r="DK2336" s="1" t="s">
        <v>220</v>
      </c>
      <c r="DS2336" s="1" t="s">
        <v>230</v>
      </c>
      <c r="DW2336" s="1" t="s">
        <v>230</v>
      </c>
      <c r="EA2336" s="1" t="s">
        <v>230</v>
      </c>
      <c r="EE2336" s="1" t="s">
        <v>230</v>
      </c>
      <c r="EI2336" s="1" t="s">
        <v>230</v>
      </c>
      <c r="EL2336" s="1" t="s">
        <v>231</v>
      </c>
      <c r="EM2336" s="1" t="s">
        <v>232</v>
      </c>
      <c r="EN2336" s="1" t="s">
        <v>282</v>
      </c>
      <c r="EO2336" s="1" t="s">
        <v>234</v>
      </c>
      <c r="EP2336" s="1" t="s">
        <v>5545</v>
      </c>
      <c r="EQ2336" s="1" t="s">
        <v>1094</v>
      </c>
      <c r="ER2336" s="1" t="s">
        <v>210</v>
      </c>
      <c r="ES2336" s="1" t="s">
        <v>322</v>
      </c>
      <c r="EV2336" s="1" t="s">
        <v>324</v>
      </c>
      <c r="EW2336" s="1" t="s">
        <v>5546</v>
      </c>
      <c r="EY2336" s="1" t="s">
        <v>790</v>
      </c>
      <c r="EZ2336" s="1" t="s">
        <v>287</v>
      </c>
      <c r="FA2336" s="1" t="s">
        <v>5547</v>
      </c>
      <c r="FB2336" s="1" t="s">
        <v>289</v>
      </c>
      <c r="FD2336" s="1" t="s">
        <v>246</v>
      </c>
      <c r="FE2336" s="1" t="s">
        <v>386</v>
      </c>
      <c r="FF2336" s="1" t="s">
        <v>248</v>
      </c>
      <c r="FG2336" s="1" t="s">
        <v>871</v>
      </c>
      <c r="FH2336" s="1" t="s">
        <v>1316</v>
      </c>
      <c r="FI2336" s="1" t="s">
        <v>473</v>
      </c>
      <c r="FL2336" s="1" t="s">
        <v>358</v>
      </c>
      <c r="FM2336" s="1" t="s">
        <v>252</v>
      </c>
      <c r="FN2336" s="1" t="s">
        <v>213</v>
      </c>
      <c r="FO2336" s="1" t="s">
        <v>204</v>
      </c>
      <c r="FQ2336" s="1" t="s">
        <v>5902</v>
      </c>
      <c r="FR2336" s="1" t="s">
        <v>210</v>
      </c>
      <c r="FS2336" s="1" t="s">
        <v>20454</v>
      </c>
      <c r="FT2336" s="1" t="s">
        <v>295</v>
      </c>
      <c r="FU2336" s="1" t="s">
        <v>204</v>
      </c>
      <c r="FW2336" s="1" t="s">
        <v>18588</v>
      </c>
      <c r="FX2336" s="1">
        <v>70211</v>
      </c>
      <c r="FY2336" s="1" t="s">
        <v>18589</v>
      </c>
      <c r="FZ2336" s="1" t="s">
        <v>18590</v>
      </c>
      <c r="GA2336" s="1">
        <v>702257</v>
      </c>
      <c r="GB2336" s="1" t="s">
        <v>18591</v>
      </c>
      <c r="GD2336" s="1" t="s">
        <v>20455</v>
      </c>
      <c r="GE2336" s="1" t="s">
        <v>480</v>
      </c>
      <c r="GI2336" s="1" t="s">
        <v>213</v>
      </c>
      <c r="GJ2336" s="1" t="s">
        <v>260</v>
      </c>
      <c r="GK2336" s="1" t="s">
        <v>210</v>
      </c>
      <c r="GL2336" s="2">
        <v>42088</v>
      </c>
      <c r="GM2336" s="1" t="s">
        <v>20456</v>
      </c>
    </row>
    <row r="2337" spans="1:195">
      <c r="A2337" s="1">
        <v>150000</v>
      </c>
      <c r="B2337" s="1" t="s">
        <v>195</v>
      </c>
      <c r="C2337" s="1" t="str">
        <f>"08822060"</f>
        <v>08822060</v>
      </c>
      <c r="D2337" s="1" t="s">
        <v>196</v>
      </c>
      <c r="F2337" s="1" t="str">
        <f>"10"</f>
        <v>10</v>
      </c>
      <c r="G2337" s="2">
        <v>42026</v>
      </c>
      <c r="H2337" s="1">
        <v>160000</v>
      </c>
      <c r="I2337" s="1">
        <v>160000</v>
      </c>
      <c r="J2337" s="1">
        <v>150000</v>
      </c>
      <c r="K2337" s="2">
        <v>42026</v>
      </c>
      <c r="L2337" s="1">
        <v>212</v>
      </c>
      <c r="M2337" s="2">
        <v>42065</v>
      </c>
      <c r="N2337" s="1">
        <v>40</v>
      </c>
      <c r="O2337" s="2">
        <v>42065</v>
      </c>
      <c r="P2337" s="1" t="s">
        <v>1039</v>
      </c>
      <c r="Q2337" s="1" t="s">
        <v>302</v>
      </c>
      <c r="R2337" s="2">
        <v>42124</v>
      </c>
      <c r="S2337" s="1">
        <v>99999</v>
      </c>
      <c r="U2337" s="1">
        <v>600</v>
      </c>
      <c r="V2337" s="1" t="s">
        <v>6726</v>
      </c>
      <c r="W2337" s="1" t="s">
        <v>725</v>
      </c>
      <c r="X2337" s="1">
        <v>202</v>
      </c>
      <c r="Y2337" s="1">
        <v>39</v>
      </c>
      <c r="Z2337" s="1" t="s">
        <v>249</v>
      </c>
      <c r="AA2337" s="1" t="s">
        <v>6288</v>
      </c>
      <c r="AB2337" s="1">
        <v>60010</v>
      </c>
      <c r="AD2337" s="1" t="s">
        <v>6727</v>
      </c>
      <c r="AE2337" s="1" t="s">
        <v>6728</v>
      </c>
      <c r="AF2337" s="1">
        <v>1965</v>
      </c>
      <c r="AG2337" s="1" t="s">
        <v>213</v>
      </c>
      <c r="AH2337" s="1" t="s">
        <v>6729</v>
      </c>
      <c r="AI2337" s="1" t="s">
        <v>310</v>
      </c>
      <c r="AJ2337" s="1" t="s">
        <v>6729</v>
      </c>
      <c r="AL2337" s="1">
        <v>5</v>
      </c>
      <c r="AM2337" s="1">
        <v>2</v>
      </c>
      <c r="AN2337" s="1">
        <v>1</v>
      </c>
      <c r="AO2337" s="1">
        <v>1</v>
      </c>
      <c r="AP2337" s="1" t="s">
        <v>209</v>
      </c>
      <c r="AR2337" s="1" t="s">
        <v>210</v>
      </c>
      <c r="AS2337" s="1" t="s">
        <v>204</v>
      </c>
      <c r="AT2337" s="1" t="s">
        <v>211</v>
      </c>
      <c r="AU2337" s="1">
        <v>1</v>
      </c>
      <c r="AW2337" s="1" t="s">
        <v>204</v>
      </c>
      <c r="AX2337" s="1" t="s">
        <v>212</v>
      </c>
      <c r="AZ2337" s="1">
        <v>1649.47</v>
      </c>
      <c r="BA2337" s="1">
        <v>2013</v>
      </c>
      <c r="BB2337" s="1" t="s">
        <v>210</v>
      </c>
      <c r="BE2337" s="1">
        <v>1014</v>
      </c>
      <c r="BF2337" s="1">
        <v>2</v>
      </c>
      <c r="BG2337" s="1">
        <v>0</v>
      </c>
      <c r="BL2337" s="1">
        <v>220</v>
      </c>
      <c r="BM2337" s="1" t="s">
        <v>204</v>
      </c>
      <c r="BN2337" s="1" t="s">
        <v>213</v>
      </c>
      <c r="BO2337" s="1">
        <v>85</v>
      </c>
      <c r="BP2337" s="1" t="s">
        <v>204</v>
      </c>
      <c r="BR2337" s="1" t="str">
        <f>"01022020501082"</f>
        <v>01022020501082</v>
      </c>
      <c r="BT2337" s="1" t="s">
        <v>20457</v>
      </c>
      <c r="BU2337" s="1" t="s">
        <v>6731</v>
      </c>
      <c r="BV2337" s="1" t="s">
        <v>6732</v>
      </c>
      <c r="BW2337" s="1" t="s">
        <v>1994</v>
      </c>
      <c r="BX2337" s="1">
        <v>220</v>
      </c>
      <c r="BY2337" s="1">
        <v>220</v>
      </c>
      <c r="BZ2337" s="1">
        <v>220</v>
      </c>
      <c r="CB2337" s="1" t="str">
        <f>"18"</f>
        <v>18</v>
      </c>
      <c r="CC2337" s="1" t="str">
        <f>"0"</f>
        <v>0</v>
      </c>
      <c r="CD2337" s="1">
        <v>26</v>
      </c>
      <c r="CE2337" s="1">
        <v>0</v>
      </c>
      <c r="CG2337" s="1" t="s">
        <v>278</v>
      </c>
      <c r="CH2337" s="1" t="s">
        <v>219</v>
      </c>
      <c r="CI2337" s="1" t="s">
        <v>438</v>
      </c>
      <c r="CK2337" s="1" t="s">
        <v>317</v>
      </c>
      <c r="CL2337" s="1" t="s">
        <v>219</v>
      </c>
      <c r="CM2337" s="1" t="s">
        <v>220</v>
      </c>
      <c r="CO2337" s="1" t="s">
        <v>821</v>
      </c>
      <c r="CP2337" s="1" t="s">
        <v>219</v>
      </c>
      <c r="CQ2337" s="1" t="s">
        <v>438</v>
      </c>
      <c r="CS2337" s="1" t="s">
        <v>539</v>
      </c>
      <c r="CT2337" s="1" t="s">
        <v>219</v>
      </c>
      <c r="CU2337" s="1" t="s">
        <v>220</v>
      </c>
      <c r="CX2337" s="1" t="s">
        <v>224</v>
      </c>
      <c r="DB2337" s="1" t="s">
        <v>224</v>
      </c>
      <c r="DE2337" s="1" t="s">
        <v>821</v>
      </c>
      <c r="DF2337" s="1" t="s">
        <v>219</v>
      </c>
      <c r="DG2337" s="1" t="s">
        <v>438</v>
      </c>
      <c r="DJ2337" s="1" t="s">
        <v>224</v>
      </c>
      <c r="DS2337" s="1" t="s">
        <v>230</v>
      </c>
      <c r="DW2337" s="1" t="s">
        <v>230</v>
      </c>
      <c r="EA2337" s="1" t="s">
        <v>230</v>
      </c>
      <c r="EE2337" s="1" t="s">
        <v>230</v>
      </c>
      <c r="EI2337" s="1" t="s">
        <v>230</v>
      </c>
      <c r="EL2337" s="1" t="s">
        <v>605</v>
      </c>
      <c r="EM2337" s="1" t="s">
        <v>319</v>
      </c>
      <c r="EN2337" s="1" t="s">
        <v>282</v>
      </c>
      <c r="EO2337" s="1" t="s">
        <v>234</v>
      </c>
      <c r="EP2337" s="1" t="s">
        <v>6733</v>
      </c>
      <c r="EQ2337" s="1" t="s">
        <v>2188</v>
      </c>
      <c r="ER2337" s="1" t="s">
        <v>210</v>
      </c>
      <c r="ES2337" s="1" t="s">
        <v>545</v>
      </c>
      <c r="EU2337" s="1" t="s">
        <v>6734</v>
      </c>
      <c r="EV2337" s="1" t="s">
        <v>240</v>
      </c>
      <c r="EW2337" s="1" t="s">
        <v>5806</v>
      </c>
      <c r="EZ2337" s="1" t="s">
        <v>287</v>
      </c>
      <c r="FA2337" s="1" t="s">
        <v>1048</v>
      </c>
      <c r="FB2337" s="1" t="s">
        <v>244</v>
      </c>
      <c r="FD2337" s="1" t="s">
        <v>290</v>
      </c>
      <c r="FE2337" s="1" t="s">
        <v>247</v>
      </c>
      <c r="FF2337" s="1" t="s">
        <v>248</v>
      </c>
      <c r="FH2337" s="1" t="s">
        <v>716</v>
      </c>
      <c r="FI2337" s="1" t="s">
        <v>1114</v>
      </c>
      <c r="FL2337" s="1" t="s">
        <v>292</v>
      </c>
      <c r="FM2337" s="1" t="s">
        <v>252</v>
      </c>
      <c r="FN2337" s="1" t="s">
        <v>213</v>
      </c>
      <c r="FO2337" s="1" t="s">
        <v>213</v>
      </c>
      <c r="FQ2337" s="1" t="s">
        <v>20458</v>
      </c>
      <c r="FR2337" s="1" t="s">
        <v>210</v>
      </c>
      <c r="FS2337" s="1" t="s">
        <v>20459</v>
      </c>
      <c r="FT2337" s="1" t="s">
        <v>520</v>
      </c>
      <c r="FU2337" s="1" t="s">
        <v>204</v>
      </c>
      <c r="FW2337" s="1" t="s">
        <v>6737</v>
      </c>
      <c r="FX2337" s="1">
        <v>10646</v>
      </c>
      <c r="FY2337" s="1" t="s">
        <v>6738</v>
      </c>
      <c r="FZ2337" s="1" t="s">
        <v>6739</v>
      </c>
      <c r="GA2337" s="1">
        <v>120575</v>
      </c>
      <c r="GB2337" s="1" t="s">
        <v>6740</v>
      </c>
      <c r="GE2337" s="1" t="s">
        <v>210</v>
      </c>
      <c r="GH2337" s="1" t="s">
        <v>589</v>
      </c>
      <c r="GI2337" s="1" t="s">
        <v>213</v>
      </c>
      <c r="GJ2337" s="1" t="s">
        <v>260</v>
      </c>
      <c r="GK2337" s="1" t="s">
        <v>210</v>
      </c>
      <c r="GL2337" s="2">
        <v>42125</v>
      </c>
    </row>
    <row r="2338" spans="1:195">
      <c r="A2338" s="1">
        <v>136000</v>
      </c>
      <c r="B2338" s="1" t="s">
        <v>195</v>
      </c>
      <c r="C2338" s="1" t="str">
        <f>"08817777"</f>
        <v>08817777</v>
      </c>
      <c r="D2338" s="1" t="s">
        <v>196</v>
      </c>
      <c r="F2338" s="1" t="str">
        <f>"516"</f>
        <v>516</v>
      </c>
      <c r="G2338" s="2">
        <v>42020</v>
      </c>
      <c r="H2338" s="1">
        <v>140000</v>
      </c>
      <c r="I2338" s="1">
        <v>137500</v>
      </c>
      <c r="J2338" s="1">
        <v>136000</v>
      </c>
      <c r="K2338" s="2">
        <v>42020</v>
      </c>
      <c r="L2338" s="1">
        <v>90</v>
      </c>
      <c r="M2338" s="2">
        <v>42109</v>
      </c>
      <c r="N2338" s="1">
        <v>90</v>
      </c>
      <c r="O2338" s="2">
        <v>42109</v>
      </c>
      <c r="P2338" s="1">
        <v>22029</v>
      </c>
      <c r="Q2338" s="1" t="s">
        <v>197</v>
      </c>
      <c r="R2338" s="2">
        <v>42144</v>
      </c>
      <c r="S2338" s="1">
        <v>239898</v>
      </c>
      <c r="T2338" s="1">
        <v>4000</v>
      </c>
      <c r="U2338" s="1">
        <v>318</v>
      </c>
      <c r="V2338" s="1" t="s">
        <v>11364</v>
      </c>
      <c r="W2338" s="1" t="s">
        <v>1056</v>
      </c>
      <c r="X2338" s="1" t="s">
        <v>3744</v>
      </c>
      <c r="Y2338" s="1">
        <v>8</v>
      </c>
      <c r="Z2338" s="1" t="s">
        <v>249</v>
      </c>
      <c r="AA2338" s="1" t="s">
        <v>1417</v>
      </c>
      <c r="AB2338" s="1">
        <v>60527</v>
      </c>
      <c r="AE2338" s="1" t="s">
        <v>20460</v>
      </c>
      <c r="AF2338" s="1">
        <v>1972</v>
      </c>
      <c r="AG2338" s="1" t="s">
        <v>213</v>
      </c>
      <c r="AH2338" s="1" t="s">
        <v>1419</v>
      </c>
      <c r="AI2338" s="1" t="s">
        <v>206</v>
      </c>
      <c r="AJ2338" s="1" t="s">
        <v>903</v>
      </c>
      <c r="AL2338" s="1">
        <v>5</v>
      </c>
      <c r="AM2338" s="1">
        <v>2</v>
      </c>
      <c r="AN2338" s="1">
        <v>2</v>
      </c>
      <c r="AO2338" s="1">
        <v>0</v>
      </c>
      <c r="AP2338" s="1" t="s">
        <v>209</v>
      </c>
      <c r="AQ2338" s="1">
        <v>1</v>
      </c>
      <c r="AR2338" s="1" t="s">
        <v>210</v>
      </c>
      <c r="AS2338" s="1" t="s">
        <v>204</v>
      </c>
      <c r="AT2338" s="1" t="s">
        <v>375</v>
      </c>
      <c r="AU2338" s="1">
        <v>1</v>
      </c>
      <c r="AV2338" s="1">
        <v>1</v>
      </c>
      <c r="AW2338" s="1" t="s">
        <v>204</v>
      </c>
      <c r="AX2338" s="1" t="s">
        <v>212</v>
      </c>
      <c r="AZ2338" s="1">
        <v>1711</v>
      </c>
      <c r="BA2338" s="1">
        <v>2013</v>
      </c>
      <c r="BB2338" s="1" t="s">
        <v>405</v>
      </c>
      <c r="BE2338" s="1">
        <v>1064</v>
      </c>
      <c r="BF2338" s="1">
        <v>1</v>
      </c>
      <c r="BG2338" s="1">
        <v>30</v>
      </c>
      <c r="BL2338" s="1">
        <v>295</v>
      </c>
      <c r="BM2338" s="1" t="s">
        <v>204</v>
      </c>
      <c r="BN2338" s="1" t="s">
        <v>213</v>
      </c>
      <c r="BO2338" s="1">
        <v>40</v>
      </c>
      <c r="BP2338" s="1" t="s">
        <v>204</v>
      </c>
      <c r="BR2338" s="1" t="str">
        <f>"0927414029"</f>
        <v>0927414029</v>
      </c>
      <c r="BT2338" s="1" t="s">
        <v>20461</v>
      </c>
      <c r="BU2338" s="1" t="s">
        <v>6602</v>
      </c>
      <c r="BV2338" s="1" t="s">
        <v>6603</v>
      </c>
      <c r="BW2338" s="1" t="s">
        <v>907</v>
      </c>
      <c r="BX2338" s="1">
        <v>62</v>
      </c>
      <c r="BY2338" s="1">
        <v>62</v>
      </c>
      <c r="BZ2338" s="1">
        <v>86</v>
      </c>
      <c r="CB2338" s="1" t="str">
        <f t="shared" ref="CB2338:CC2338" si="1791">""</f>
        <v/>
      </c>
      <c r="CC2338" s="1" t="str">
        <f t="shared" si="1791"/>
        <v/>
      </c>
      <c r="CG2338" s="1" t="s">
        <v>1817</v>
      </c>
      <c r="CH2338" s="1" t="s">
        <v>219</v>
      </c>
      <c r="CI2338" s="1" t="s">
        <v>220</v>
      </c>
      <c r="CJ2338" s="1" t="s">
        <v>210</v>
      </c>
      <c r="CK2338" s="1" t="s">
        <v>3591</v>
      </c>
      <c r="CL2338" s="1" t="s">
        <v>219</v>
      </c>
      <c r="CM2338" s="1" t="s">
        <v>220</v>
      </c>
      <c r="CN2338" s="1" t="s">
        <v>210</v>
      </c>
      <c r="CO2338" s="1" t="s">
        <v>629</v>
      </c>
      <c r="CP2338" s="1" t="s">
        <v>219</v>
      </c>
      <c r="CQ2338" s="1" t="s">
        <v>220</v>
      </c>
      <c r="CR2338" s="1" t="s">
        <v>210</v>
      </c>
      <c r="CS2338" s="1" t="s">
        <v>3591</v>
      </c>
      <c r="CT2338" s="1" t="s">
        <v>219</v>
      </c>
      <c r="CU2338" s="1" t="s">
        <v>220</v>
      </c>
      <c r="CV2338" s="1" t="s">
        <v>210</v>
      </c>
      <c r="CX2338" s="1" t="s">
        <v>224</v>
      </c>
      <c r="DB2338" s="1" t="s">
        <v>224</v>
      </c>
      <c r="DE2338" s="1" t="s">
        <v>4999</v>
      </c>
      <c r="DF2338" s="1" t="s">
        <v>219</v>
      </c>
      <c r="DG2338" s="1" t="s">
        <v>342</v>
      </c>
      <c r="DH2338" s="1" t="s">
        <v>210</v>
      </c>
      <c r="DJ2338" s="1" t="s">
        <v>224</v>
      </c>
      <c r="DM2338" s="1" t="s">
        <v>1614</v>
      </c>
      <c r="DN2338" s="1" t="s">
        <v>838</v>
      </c>
      <c r="DR2338" s="1" t="s">
        <v>2279</v>
      </c>
      <c r="DS2338" s="1" t="s">
        <v>822</v>
      </c>
      <c r="DT2338" s="1" t="s">
        <v>342</v>
      </c>
      <c r="DU2338" s="1" t="s">
        <v>210</v>
      </c>
      <c r="DV2338" s="1" t="s">
        <v>410</v>
      </c>
      <c r="DW2338" s="1" t="s">
        <v>219</v>
      </c>
      <c r="DX2338" s="1" t="s">
        <v>2043</v>
      </c>
      <c r="DY2338" s="1" t="s">
        <v>210</v>
      </c>
      <c r="EA2338" s="1" t="s">
        <v>230</v>
      </c>
      <c r="EE2338" s="1" t="s">
        <v>230</v>
      </c>
      <c r="EI2338" s="1" t="s">
        <v>230</v>
      </c>
      <c r="EL2338" s="1" t="s">
        <v>605</v>
      </c>
      <c r="EM2338" s="1" t="s">
        <v>319</v>
      </c>
      <c r="EN2338" s="1" t="s">
        <v>282</v>
      </c>
      <c r="EO2338" s="1" t="s">
        <v>234</v>
      </c>
      <c r="EQ2338" s="1" t="s">
        <v>492</v>
      </c>
      <c r="ER2338" s="1" t="s">
        <v>210</v>
      </c>
      <c r="ES2338" s="1" t="s">
        <v>493</v>
      </c>
      <c r="EV2338" s="1" t="s">
        <v>240</v>
      </c>
      <c r="EW2338" s="1" t="s">
        <v>384</v>
      </c>
      <c r="EY2338" s="1" t="s">
        <v>242</v>
      </c>
      <c r="EZ2338" s="1" t="s">
        <v>15060</v>
      </c>
      <c r="FD2338" s="1" t="s">
        <v>495</v>
      </c>
      <c r="FE2338" s="1" t="s">
        <v>247</v>
      </c>
      <c r="FF2338" s="1" t="s">
        <v>248</v>
      </c>
      <c r="FG2338" s="1" t="s">
        <v>5121</v>
      </c>
      <c r="FH2338" s="1" t="s">
        <v>249</v>
      </c>
      <c r="FI2338" s="1" t="s">
        <v>473</v>
      </c>
      <c r="FJ2338" s="1" t="s">
        <v>197</v>
      </c>
      <c r="FK2338" s="1" t="s">
        <v>291</v>
      </c>
      <c r="FL2338" s="1" t="s">
        <v>414</v>
      </c>
      <c r="FM2338" s="1" t="s">
        <v>252</v>
      </c>
      <c r="FN2338" s="1" t="s">
        <v>213</v>
      </c>
      <c r="FO2338" s="1" t="s">
        <v>213</v>
      </c>
      <c r="FQ2338" s="1" t="s">
        <v>12835</v>
      </c>
      <c r="FR2338" s="1" t="s">
        <v>210</v>
      </c>
      <c r="FS2338" s="1" t="s">
        <v>20462</v>
      </c>
      <c r="FT2338" s="1" t="s">
        <v>1139</v>
      </c>
      <c r="FU2338" s="1" t="s">
        <v>204</v>
      </c>
      <c r="FW2338" s="1" t="s">
        <v>585</v>
      </c>
      <c r="FX2338" s="1">
        <v>23610</v>
      </c>
      <c r="FY2338" s="1" t="s">
        <v>1166</v>
      </c>
      <c r="FZ2338" s="1" t="s">
        <v>20463</v>
      </c>
      <c r="GA2338" s="1">
        <v>223472</v>
      </c>
      <c r="GB2338" s="1" t="s">
        <v>20464</v>
      </c>
      <c r="GC2338" s="1">
        <v>242104</v>
      </c>
      <c r="GE2338" s="1" t="s">
        <v>210</v>
      </c>
      <c r="GI2338" s="1" t="s">
        <v>213</v>
      </c>
      <c r="GJ2338" s="1" t="s">
        <v>260</v>
      </c>
      <c r="GK2338" s="1" t="s">
        <v>210</v>
      </c>
      <c r="GL2338" s="2">
        <v>42147</v>
      </c>
      <c r="GM2338" s="1" t="s">
        <v>20465</v>
      </c>
    </row>
    <row r="2339" spans="1:195">
      <c r="A2339" s="1">
        <v>125000</v>
      </c>
      <c r="B2339" s="1" t="s">
        <v>195</v>
      </c>
      <c r="C2339" s="1" t="str">
        <f>"08822687"</f>
        <v>08822687</v>
      </c>
      <c r="D2339" s="1" t="s">
        <v>196</v>
      </c>
      <c r="F2339" s="1" t="str">
        <f>"108"</f>
        <v>108</v>
      </c>
      <c r="G2339" s="2">
        <v>42027</v>
      </c>
      <c r="H2339" s="1">
        <v>130000</v>
      </c>
      <c r="I2339" s="1">
        <v>130000</v>
      </c>
      <c r="J2339" s="1">
        <v>125000</v>
      </c>
      <c r="K2339" s="2">
        <v>42027</v>
      </c>
      <c r="L2339" s="1">
        <v>7</v>
      </c>
      <c r="M2339" s="2">
        <v>42033</v>
      </c>
      <c r="N2339" s="1">
        <v>7</v>
      </c>
      <c r="O2339" s="2">
        <v>42033</v>
      </c>
      <c r="P2339" s="1">
        <v>24269</v>
      </c>
      <c r="Q2339" s="1" t="s">
        <v>197</v>
      </c>
      <c r="R2339" s="2">
        <v>42087</v>
      </c>
      <c r="S2339" s="1">
        <v>245458</v>
      </c>
      <c r="U2339" s="1">
        <v>120</v>
      </c>
      <c r="V2339" s="1" t="s">
        <v>20466</v>
      </c>
      <c r="W2339" s="1" t="s">
        <v>304</v>
      </c>
      <c r="X2339" s="1" t="s">
        <v>527</v>
      </c>
      <c r="Y2339" s="1">
        <v>4</v>
      </c>
      <c r="Z2339" s="1" t="s">
        <v>249</v>
      </c>
      <c r="AA2339" s="1" t="s">
        <v>829</v>
      </c>
      <c r="AB2339" s="1">
        <v>60108</v>
      </c>
      <c r="AE2339" s="1" t="s">
        <v>20467</v>
      </c>
      <c r="AF2339" s="1">
        <v>1977</v>
      </c>
      <c r="AG2339" s="1" t="s">
        <v>213</v>
      </c>
      <c r="AH2339" s="1" t="s">
        <v>269</v>
      </c>
      <c r="AI2339" s="1" t="s">
        <v>206</v>
      </c>
      <c r="AJ2339" s="1" t="s">
        <v>269</v>
      </c>
      <c r="AL2339" s="1">
        <v>5</v>
      </c>
      <c r="AM2339" s="1">
        <v>2</v>
      </c>
      <c r="AN2339" s="1">
        <v>1</v>
      </c>
      <c r="AO2339" s="1">
        <v>0</v>
      </c>
      <c r="AP2339" s="1" t="s">
        <v>210</v>
      </c>
      <c r="AR2339" s="1" t="s">
        <v>210</v>
      </c>
      <c r="AS2339" s="1" t="s">
        <v>204</v>
      </c>
      <c r="AT2339" s="1" t="s">
        <v>211</v>
      </c>
      <c r="AU2339" s="1">
        <v>1</v>
      </c>
      <c r="AW2339" s="1" t="s">
        <v>204</v>
      </c>
      <c r="AX2339" s="1" t="s">
        <v>212</v>
      </c>
      <c r="AZ2339" s="1">
        <v>1792</v>
      </c>
      <c r="BA2339" s="1">
        <v>2013</v>
      </c>
      <c r="BB2339" s="1" t="s">
        <v>405</v>
      </c>
      <c r="BE2339" s="1">
        <v>1192</v>
      </c>
      <c r="BF2339" s="1">
        <v>2</v>
      </c>
      <c r="BG2339" s="1">
        <v>30</v>
      </c>
      <c r="BL2339" s="1">
        <v>166</v>
      </c>
      <c r="BM2339" s="1" t="s">
        <v>204</v>
      </c>
      <c r="BN2339" s="1" t="s">
        <v>213</v>
      </c>
      <c r="BO2339" s="1">
        <v>999</v>
      </c>
      <c r="BP2339" s="1" t="s">
        <v>204</v>
      </c>
      <c r="BR2339" s="1" t="str">
        <f>"0215407103"</f>
        <v>0215407103</v>
      </c>
      <c r="BT2339" s="1" t="s">
        <v>20468</v>
      </c>
      <c r="BX2339" s="1">
        <v>13</v>
      </c>
      <c r="BY2339" s="1">
        <v>13</v>
      </c>
      <c r="BZ2339" s="1">
        <v>108</v>
      </c>
      <c r="CB2339" s="1" t="str">
        <f>"5"</f>
        <v>5</v>
      </c>
      <c r="CC2339" s="1" t="str">
        <f>"0"</f>
        <v>0</v>
      </c>
      <c r="CD2339" s="1">
        <v>23</v>
      </c>
      <c r="CE2339" s="1">
        <v>0</v>
      </c>
      <c r="CG2339" s="1" t="s">
        <v>669</v>
      </c>
      <c r="CH2339" s="1" t="s">
        <v>277</v>
      </c>
      <c r="CI2339" s="1" t="s">
        <v>220</v>
      </c>
      <c r="CK2339" s="1" t="s">
        <v>462</v>
      </c>
      <c r="CL2339" s="1" t="s">
        <v>277</v>
      </c>
      <c r="CM2339" s="1" t="s">
        <v>220</v>
      </c>
      <c r="CO2339" s="1" t="s">
        <v>4999</v>
      </c>
      <c r="CP2339" s="1" t="s">
        <v>277</v>
      </c>
      <c r="CQ2339" s="1" t="s">
        <v>220</v>
      </c>
      <c r="CR2339" s="1" t="s">
        <v>210</v>
      </c>
      <c r="CS2339" s="1" t="s">
        <v>1107</v>
      </c>
      <c r="CT2339" s="1" t="s">
        <v>277</v>
      </c>
      <c r="CU2339" s="1" t="s">
        <v>220</v>
      </c>
      <c r="CX2339" s="1" t="s">
        <v>224</v>
      </c>
      <c r="DB2339" s="1" t="s">
        <v>224</v>
      </c>
      <c r="DE2339" s="1" t="s">
        <v>1360</v>
      </c>
      <c r="DF2339" s="1" t="s">
        <v>277</v>
      </c>
      <c r="DG2339" s="1" t="s">
        <v>342</v>
      </c>
      <c r="DJ2339" s="1" t="s">
        <v>224</v>
      </c>
      <c r="DM2339" s="1" t="s">
        <v>709</v>
      </c>
      <c r="DR2339" s="1" t="s">
        <v>14143</v>
      </c>
      <c r="DS2339" s="1" t="s">
        <v>219</v>
      </c>
      <c r="DT2339" s="1" t="s">
        <v>342</v>
      </c>
      <c r="DU2339" s="1" t="s">
        <v>210</v>
      </c>
      <c r="DW2339" s="1" t="s">
        <v>230</v>
      </c>
      <c r="EA2339" s="1" t="s">
        <v>230</v>
      </c>
      <c r="EE2339" s="1" t="s">
        <v>230</v>
      </c>
      <c r="EI2339" s="1" t="s">
        <v>230</v>
      </c>
      <c r="EL2339" s="1" t="s">
        <v>231</v>
      </c>
      <c r="EM2339" s="1" t="s">
        <v>319</v>
      </c>
      <c r="EN2339" s="1" t="s">
        <v>282</v>
      </c>
      <c r="EO2339" s="1" t="s">
        <v>234</v>
      </c>
      <c r="EP2339" s="1" t="s">
        <v>7792</v>
      </c>
      <c r="EQ2339" s="1" t="s">
        <v>468</v>
      </c>
      <c r="ER2339" s="1" t="s">
        <v>210</v>
      </c>
      <c r="ES2339" s="1" t="s">
        <v>322</v>
      </c>
      <c r="EU2339" s="1" t="s">
        <v>239</v>
      </c>
      <c r="EV2339" s="1" t="s">
        <v>240</v>
      </c>
      <c r="EW2339" s="1" t="s">
        <v>1679</v>
      </c>
      <c r="EY2339" s="1" t="s">
        <v>242</v>
      </c>
      <c r="EZ2339" s="1" t="s">
        <v>709</v>
      </c>
      <c r="FA2339" s="1" t="s">
        <v>1270</v>
      </c>
      <c r="FC2339" s="1" t="s">
        <v>1362</v>
      </c>
      <c r="FD2339" s="1" t="s">
        <v>495</v>
      </c>
      <c r="FE2339" s="1" t="s">
        <v>870</v>
      </c>
      <c r="FF2339" s="1" t="s">
        <v>248</v>
      </c>
      <c r="FH2339" s="1" t="s">
        <v>356</v>
      </c>
      <c r="FI2339" s="1" t="s">
        <v>473</v>
      </c>
      <c r="FL2339" s="1" t="s">
        <v>358</v>
      </c>
      <c r="FM2339" s="1" t="s">
        <v>252</v>
      </c>
      <c r="FN2339" s="1" t="s">
        <v>213</v>
      </c>
      <c r="FO2339" s="1" t="s">
        <v>213</v>
      </c>
      <c r="FQ2339" s="1" t="s">
        <v>2017</v>
      </c>
      <c r="FR2339" s="1" t="s">
        <v>210</v>
      </c>
      <c r="FS2339" s="1" t="s">
        <v>20469</v>
      </c>
      <c r="FT2339" s="1" t="s">
        <v>295</v>
      </c>
      <c r="FU2339" s="1" t="s">
        <v>204</v>
      </c>
      <c r="FW2339" s="1" t="s">
        <v>2019</v>
      </c>
      <c r="FX2339" s="1">
        <v>24007</v>
      </c>
      <c r="FY2339" s="1" t="s">
        <v>2020</v>
      </c>
      <c r="FZ2339" s="1" t="s">
        <v>20470</v>
      </c>
      <c r="GA2339" s="1">
        <v>231004</v>
      </c>
      <c r="GB2339" s="1" t="s">
        <v>20471</v>
      </c>
      <c r="GE2339" s="1" t="s">
        <v>210</v>
      </c>
      <c r="GI2339" s="1" t="s">
        <v>213</v>
      </c>
      <c r="GJ2339" s="1" t="s">
        <v>260</v>
      </c>
      <c r="GK2339" s="1" t="s">
        <v>210</v>
      </c>
      <c r="GL2339" s="2">
        <v>42087</v>
      </c>
      <c r="GM2339" s="1" t="s">
        <v>20472</v>
      </c>
    </row>
    <row r="2340" spans="1:195">
      <c r="A2340" s="1">
        <v>212000</v>
      </c>
      <c r="B2340" s="1" t="s">
        <v>195</v>
      </c>
      <c r="C2340" s="1" t="str">
        <f>"08826379"</f>
        <v>08826379</v>
      </c>
      <c r="D2340" s="1" t="s">
        <v>196</v>
      </c>
      <c r="F2340" s="1" t="str">
        <f>"531"</f>
        <v>531</v>
      </c>
      <c r="G2340" s="2">
        <v>42033</v>
      </c>
      <c r="H2340" s="1">
        <v>234900</v>
      </c>
      <c r="I2340" s="1">
        <v>234900</v>
      </c>
      <c r="J2340" s="1">
        <v>212000</v>
      </c>
      <c r="K2340" s="2">
        <v>42033</v>
      </c>
      <c r="L2340" s="1">
        <v>14</v>
      </c>
      <c r="M2340" s="2">
        <v>42046</v>
      </c>
      <c r="N2340" s="1">
        <v>14</v>
      </c>
      <c r="O2340" s="2">
        <v>42046</v>
      </c>
      <c r="P2340" s="1">
        <v>8073</v>
      </c>
      <c r="Q2340" s="1" t="s">
        <v>197</v>
      </c>
      <c r="R2340" s="2">
        <v>42093</v>
      </c>
      <c r="S2340" s="1">
        <v>241962</v>
      </c>
      <c r="U2340" s="1">
        <v>129</v>
      </c>
      <c r="V2340" s="1" t="s">
        <v>6937</v>
      </c>
      <c r="W2340" s="1" t="s">
        <v>449</v>
      </c>
      <c r="X2340" s="1" t="s">
        <v>20473</v>
      </c>
      <c r="Y2340" s="1">
        <v>48</v>
      </c>
      <c r="Z2340" s="1" t="s">
        <v>200</v>
      </c>
      <c r="AA2340" s="1" t="s">
        <v>2326</v>
      </c>
      <c r="AB2340" s="1">
        <v>60525</v>
      </c>
      <c r="AD2340" s="1" t="s">
        <v>20474</v>
      </c>
      <c r="AE2340" s="1" t="s">
        <v>20475</v>
      </c>
      <c r="AF2340" s="1" t="s">
        <v>402</v>
      </c>
      <c r="AG2340" s="1" t="s">
        <v>213</v>
      </c>
      <c r="AH2340" s="1" t="s">
        <v>2329</v>
      </c>
      <c r="AI2340" s="1" t="s">
        <v>310</v>
      </c>
      <c r="AJ2340" s="1" t="s">
        <v>702</v>
      </c>
      <c r="AL2340" s="1">
        <v>6</v>
      </c>
      <c r="AM2340" s="1">
        <v>2</v>
      </c>
      <c r="AN2340" s="1">
        <v>2</v>
      </c>
      <c r="AO2340" s="1">
        <v>0</v>
      </c>
      <c r="AP2340" s="1" t="s">
        <v>209</v>
      </c>
      <c r="AQ2340" s="1">
        <v>1</v>
      </c>
      <c r="AR2340" s="1" t="s">
        <v>210</v>
      </c>
      <c r="AT2340" s="1" t="s">
        <v>211</v>
      </c>
      <c r="AU2340" s="1">
        <v>2</v>
      </c>
      <c r="AW2340" s="1" t="s">
        <v>204</v>
      </c>
      <c r="AX2340" s="1" t="s">
        <v>212</v>
      </c>
      <c r="AZ2340" s="1">
        <v>3270</v>
      </c>
      <c r="BA2340" s="1">
        <v>2013</v>
      </c>
      <c r="BB2340" s="1" t="s">
        <v>405</v>
      </c>
      <c r="BE2340" s="1">
        <v>0</v>
      </c>
      <c r="BF2340" s="1">
        <v>5</v>
      </c>
      <c r="BG2340" s="1">
        <v>30</v>
      </c>
      <c r="BL2340" s="1">
        <v>394</v>
      </c>
      <c r="BM2340" s="1" t="s">
        <v>204</v>
      </c>
      <c r="BN2340" s="1" t="s">
        <v>204</v>
      </c>
      <c r="BP2340" s="1" t="s">
        <v>204</v>
      </c>
      <c r="BR2340" s="1" t="str">
        <f>"18201000791092"</f>
        <v>18201000791092</v>
      </c>
      <c r="BT2340" s="1" t="s">
        <v>20476</v>
      </c>
      <c r="BU2340" s="1" t="s">
        <v>2495</v>
      </c>
      <c r="BV2340" s="1" t="s">
        <v>2496</v>
      </c>
      <c r="BW2340" s="1" t="s">
        <v>706</v>
      </c>
      <c r="BX2340" s="1">
        <v>106</v>
      </c>
      <c r="BY2340" s="1">
        <v>106</v>
      </c>
      <c r="BZ2340" s="1">
        <v>204</v>
      </c>
      <c r="CB2340" s="1" t="str">
        <f t="shared" ref="CB2340:CC2340" si="1792">""</f>
        <v/>
      </c>
      <c r="CC2340" s="1" t="str">
        <f t="shared" si="1792"/>
        <v/>
      </c>
      <c r="CG2340" s="1" t="s">
        <v>2560</v>
      </c>
      <c r="CH2340" s="1" t="s">
        <v>219</v>
      </c>
      <c r="CI2340" s="1" t="s">
        <v>220</v>
      </c>
      <c r="CJ2340" s="1" t="s">
        <v>252</v>
      </c>
      <c r="CK2340" s="1" t="s">
        <v>1853</v>
      </c>
      <c r="CL2340" s="1" t="s">
        <v>219</v>
      </c>
      <c r="CM2340" s="1" t="s">
        <v>220</v>
      </c>
      <c r="CN2340" s="1" t="s">
        <v>252</v>
      </c>
      <c r="CO2340" s="1" t="s">
        <v>280</v>
      </c>
      <c r="CP2340" s="1" t="s">
        <v>219</v>
      </c>
      <c r="CQ2340" s="1" t="s">
        <v>220</v>
      </c>
      <c r="CS2340" s="1" t="s">
        <v>1469</v>
      </c>
      <c r="CT2340" s="1" t="s">
        <v>219</v>
      </c>
      <c r="CU2340" s="1" t="s">
        <v>220</v>
      </c>
      <c r="CV2340" s="1" t="s">
        <v>252</v>
      </c>
      <c r="CX2340" s="1" t="s">
        <v>224</v>
      </c>
      <c r="DB2340" s="1" t="s">
        <v>224</v>
      </c>
      <c r="DE2340" s="1" t="s">
        <v>11482</v>
      </c>
      <c r="DF2340" s="1" t="s">
        <v>219</v>
      </c>
      <c r="DG2340" s="1" t="s">
        <v>226</v>
      </c>
      <c r="DI2340" s="1" t="s">
        <v>1788</v>
      </c>
      <c r="DJ2340" s="1" t="s">
        <v>219</v>
      </c>
      <c r="DK2340" s="1" t="s">
        <v>220</v>
      </c>
      <c r="DL2340" s="1" t="s">
        <v>252</v>
      </c>
      <c r="DS2340" s="1" t="s">
        <v>230</v>
      </c>
      <c r="DW2340" s="1" t="s">
        <v>230</v>
      </c>
      <c r="EA2340" s="1" t="s">
        <v>230</v>
      </c>
      <c r="EE2340" s="1" t="s">
        <v>230</v>
      </c>
      <c r="EI2340" s="1" t="s">
        <v>230</v>
      </c>
      <c r="EL2340" s="1" t="s">
        <v>542</v>
      </c>
      <c r="EM2340" s="1" t="s">
        <v>319</v>
      </c>
      <c r="EN2340" s="1" t="s">
        <v>282</v>
      </c>
      <c r="EO2340" s="1" t="s">
        <v>234</v>
      </c>
      <c r="EP2340" s="1" t="s">
        <v>20477</v>
      </c>
      <c r="EQ2340" s="1" t="s">
        <v>492</v>
      </c>
      <c r="ER2340" s="1" t="s">
        <v>210</v>
      </c>
      <c r="ES2340" s="1" t="s">
        <v>493</v>
      </c>
      <c r="EV2340" s="1" t="s">
        <v>324</v>
      </c>
      <c r="EW2340" s="1" t="s">
        <v>6280</v>
      </c>
      <c r="EY2340" s="1" t="s">
        <v>242</v>
      </c>
      <c r="EZ2340" s="1" t="s">
        <v>287</v>
      </c>
      <c r="FA2340" s="1" t="s">
        <v>8633</v>
      </c>
      <c r="FB2340" s="1" t="s">
        <v>289</v>
      </c>
      <c r="FD2340" s="1" t="s">
        <v>1112</v>
      </c>
      <c r="FE2340" s="1" t="s">
        <v>247</v>
      </c>
      <c r="FF2340" s="1" t="s">
        <v>248</v>
      </c>
      <c r="FG2340" s="1" t="s">
        <v>2406</v>
      </c>
      <c r="FH2340" s="1" t="s">
        <v>249</v>
      </c>
      <c r="FI2340" s="1" t="s">
        <v>250</v>
      </c>
      <c r="FJ2340" s="1" t="s">
        <v>197</v>
      </c>
      <c r="FL2340" s="1" t="s">
        <v>414</v>
      </c>
      <c r="FM2340" s="1" t="s">
        <v>252</v>
      </c>
      <c r="FN2340" s="1" t="s">
        <v>213</v>
      </c>
      <c r="FO2340" s="1" t="s">
        <v>213</v>
      </c>
      <c r="FQ2340" s="1" t="s">
        <v>717</v>
      </c>
      <c r="FR2340" s="1" t="s">
        <v>210</v>
      </c>
      <c r="FS2340" s="1" t="s">
        <v>20478</v>
      </c>
      <c r="FT2340" s="1" t="s">
        <v>362</v>
      </c>
      <c r="FU2340" s="1" t="s">
        <v>204</v>
      </c>
      <c r="FV2340" s="1" t="s">
        <v>20479</v>
      </c>
      <c r="FW2340" s="1" t="s">
        <v>915</v>
      </c>
      <c r="FX2340" s="1">
        <v>22049</v>
      </c>
      <c r="FY2340" s="1" t="s">
        <v>4731</v>
      </c>
      <c r="FZ2340" s="1" t="s">
        <v>9478</v>
      </c>
      <c r="GA2340" s="1">
        <v>212552</v>
      </c>
      <c r="GB2340" s="1" t="s">
        <v>9479</v>
      </c>
      <c r="GE2340" s="1" t="s">
        <v>1379</v>
      </c>
      <c r="GI2340" s="1" t="s">
        <v>213</v>
      </c>
      <c r="GJ2340" s="1" t="s">
        <v>260</v>
      </c>
      <c r="GK2340" s="1" t="s">
        <v>210</v>
      </c>
      <c r="GL2340" s="2">
        <v>42093</v>
      </c>
      <c r="GM2340" s="1" t="s">
        <v>20480</v>
      </c>
    </row>
    <row r="2341" spans="1:195">
      <c r="A2341" s="1">
        <v>184000</v>
      </c>
      <c r="B2341" s="1" t="s">
        <v>195</v>
      </c>
      <c r="C2341" s="1" t="str">
        <f>"08841990"</f>
        <v>08841990</v>
      </c>
      <c r="D2341" s="1" t="s">
        <v>196</v>
      </c>
      <c r="F2341" s="1" t="str">
        <f>"507"</f>
        <v>507</v>
      </c>
      <c r="G2341" s="2">
        <v>42054</v>
      </c>
      <c r="H2341" s="1">
        <v>190000</v>
      </c>
      <c r="I2341" s="1">
        <v>190000</v>
      </c>
      <c r="J2341" s="1">
        <v>184000</v>
      </c>
      <c r="K2341" s="2">
        <v>42054</v>
      </c>
      <c r="L2341" s="1">
        <v>14</v>
      </c>
      <c r="M2341" s="2">
        <v>42067</v>
      </c>
      <c r="N2341" s="1">
        <v>14</v>
      </c>
      <c r="O2341" s="2">
        <v>42067</v>
      </c>
      <c r="P2341" s="1">
        <v>23300</v>
      </c>
      <c r="Q2341" s="1" t="s">
        <v>423</v>
      </c>
      <c r="R2341" s="2">
        <v>42117</v>
      </c>
      <c r="S2341" s="1">
        <v>232304</v>
      </c>
      <c r="T2341" s="1">
        <v>5000</v>
      </c>
      <c r="U2341" s="1">
        <v>2494</v>
      </c>
      <c r="V2341" s="1" t="s">
        <v>20481</v>
      </c>
      <c r="W2341" s="1" t="s">
        <v>449</v>
      </c>
      <c r="X2341" s="1">
        <v>2494</v>
      </c>
      <c r="Y2341" s="1">
        <v>6</v>
      </c>
      <c r="Z2341" s="1" t="s">
        <v>200</v>
      </c>
      <c r="AA2341" s="1" t="s">
        <v>1123</v>
      </c>
      <c r="AB2341" s="1">
        <v>60504</v>
      </c>
      <c r="AD2341" s="1" t="s">
        <v>7345</v>
      </c>
      <c r="AE2341" s="1" t="s">
        <v>20482</v>
      </c>
      <c r="AF2341" s="1">
        <v>2002</v>
      </c>
      <c r="AG2341" s="1" t="s">
        <v>204</v>
      </c>
      <c r="AH2341" s="1" t="s">
        <v>1126</v>
      </c>
      <c r="AI2341" s="1" t="s">
        <v>206</v>
      </c>
      <c r="AJ2341" s="1" t="s">
        <v>924</v>
      </c>
      <c r="AK2341" s="1" t="s">
        <v>6257</v>
      </c>
      <c r="AL2341" s="1">
        <v>6</v>
      </c>
      <c r="AM2341" s="1">
        <v>2</v>
      </c>
      <c r="AN2341" s="1">
        <v>2</v>
      </c>
      <c r="AO2341" s="1">
        <v>1</v>
      </c>
      <c r="AP2341" s="1" t="s">
        <v>209</v>
      </c>
      <c r="AQ2341" s="1">
        <v>1</v>
      </c>
      <c r="AR2341" s="1" t="s">
        <v>209</v>
      </c>
      <c r="AS2341" s="1" t="s">
        <v>204</v>
      </c>
      <c r="AT2341" s="1" t="s">
        <v>211</v>
      </c>
      <c r="AU2341" s="1">
        <v>2</v>
      </c>
      <c r="AW2341" s="1" t="s">
        <v>204</v>
      </c>
      <c r="AX2341" s="1" t="s">
        <v>212</v>
      </c>
      <c r="AZ2341" s="1">
        <v>4854</v>
      </c>
      <c r="BA2341" s="1">
        <v>2013</v>
      </c>
      <c r="BB2341" s="1" t="s">
        <v>210</v>
      </c>
      <c r="BE2341" s="1">
        <v>1580</v>
      </c>
      <c r="BF2341" s="1">
        <v>1</v>
      </c>
      <c r="BG2341" s="1">
        <v>0</v>
      </c>
      <c r="BL2341" s="1">
        <v>157</v>
      </c>
      <c r="BM2341" s="1" t="s">
        <v>204</v>
      </c>
      <c r="BN2341" s="1" t="s">
        <v>213</v>
      </c>
      <c r="BO2341" s="1">
        <v>0</v>
      </c>
      <c r="BP2341" s="1" t="s">
        <v>204</v>
      </c>
      <c r="BR2341" s="1" t="str">
        <f>"0719316116"</f>
        <v>0719316116</v>
      </c>
      <c r="BT2341" s="1" t="s">
        <v>20483</v>
      </c>
      <c r="BU2341" s="1" t="s">
        <v>6259</v>
      </c>
      <c r="BV2341" s="1" t="s">
        <v>1648</v>
      </c>
      <c r="BW2341" s="1" t="s">
        <v>1312</v>
      </c>
      <c r="BX2341" s="1">
        <v>204</v>
      </c>
      <c r="BY2341" s="1">
        <v>204</v>
      </c>
      <c r="BZ2341" s="1">
        <v>204</v>
      </c>
      <c r="CB2341" s="1" t="str">
        <f t="shared" ref="CB2341:CC2341" si="1793">"0"</f>
        <v>0</v>
      </c>
      <c r="CC2341" s="1" t="str">
        <f t="shared" si="1793"/>
        <v>0</v>
      </c>
      <c r="CD2341" s="1">
        <v>32</v>
      </c>
      <c r="CE2341" s="1">
        <v>7</v>
      </c>
      <c r="CH2341" s="1" t="s">
        <v>224</v>
      </c>
      <c r="CJ2341" s="1" t="s">
        <v>343</v>
      </c>
      <c r="CK2341" s="1" t="s">
        <v>1004</v>
      </c>
      <c r="CL2341" s="1" t="s">
        <v>277</v>
      </c>
      <c r="CM2341" s="1" t="s">
        <v>220</v>
      </c>
      <c r="CN2341" s="1" t="s">
        <v>343</v>
      </c>
      <c r="CO2341" s="1" t="s">
        <v>318</v>
      </c>
      <c r="CP2341" s="1" t="s">
        <v>219</v>
      </c>
      <c r="CQ2341" s="1" t="s">
        <v>220</v>
      </c>
      <c r="CR2341" s="1" t="s">
        <v>343</v>
      </c>
      <c r="CS2341" s="1" t="s">
        <v>379</v>
      </c>
      <c r="CT2341" s="1" t="s">
        <v>277</v>
      </c>
      <c r="CU2341" s="1" t="s">
        <v>220</v>
      </c>
      <c r="CV2341" s="1" t="s">
        <v>343</v>
      </c>
      <c r="CX2341" s="1" t="s">
        <v>224</v>
      </c>
      <c r="DB2341" s="1" t="s">
        <v>224</v>
      </c>
      <c r="DE2341" s="1" t="s">
        <v>346</v>
      </c>
      <c r="DF2341" s="1" t="s">
        <v>219</v>
      </c>
      <c r="DG2341" s="1" t="s">
        <v>226</v>
      </c>
      <c r="DI2341" s="1" t="s">
        <v>602</v>
      </c>
      <c r="DJ2341" s="1" t="s">
        <v>219</v>
      </c>
      <c r="DK2341" s="1" t="s">
        <v>220</v>
      </c>
      <c r="DP2341" s="1" t="s">
        <v>464</v>
      </c>
      <c r="DS2341" s="1" t="s">
        <v>230</v>
      </c>
      <c r="DW2341" s="1" t="s">
        <v>230</v>
      </c>
      <c r="EA2341" s="1" t="s">
        <v>230</v>
      </c>
      <c r="ED2341" s="1" t="s">
        <v>602</v>
      </c>
      <c r="EE2341" s="1" t="s">
        <v>277</v>
      </c>
      <c r="EF2341" s="1" t="s">
        <v>220</v>
      </c>
      <c r="EG2341" s="1" t="s">
        <v>343</v>
      </c>
      <c r="EI2341" s="1" t="s">
        <v>230</v>
      </c>
      <c r="EL2341" s="1" t="s">
        <v>466</v>
      </c>
      <c r="EM2341" s="1" t="s">
        <v>232</v>
      </c>
      <c r="EN2341" s="1" t="s">
        <v>282</v>
      </c>
      <c r="EO2341" s="1" t="s">
        <v>234</v>
      </c>
      <c r="ER2341" s="1" t="s">
        <v>1249</v>
      </c>
      <c r="EV2341" s="1" t="s">
        <v>1553</v>
      </c>
      <c r="EW2341" s="1" t="s">
        <v>887</v>
      </c>
      <c r="EY2341" s="1" t="s">
        <v>242</v>
      </c>
      <c r="EZ2341" s="1" t="s">
        <v>464</v>
      </c>
      <c r="FD2341" s="1" t="s">
        <v>246</v>
      </c>
      <c r="FE2341" s="1" t="s">
        <v>386</v>
      </c>
      <c r="FF2341" s="1" t="s">
        <v>248</v>
      </c>
      <c r="FG2341" s="1" t="s">
        <v>871</v>
      </c>
      <c r="FH2341" s="1" t="s">
        <v>550</v>
      </c>
      <c r="FI2341" s="1" t="s">
        <v>3300</v>
      </c>
      <c r="FL2341" s="1" t="s">
        <v>358</v>
      </c>
      <c r="FM2341" s="1" t="s">
        <v>252</v>
      </c>
      <c r="FN2341" s="1" t="s">
        <v>213</v>
      </c>
      <c r="FO2341" s="1" t="s">
        <v>213</v>
      </c>
      <c r="FQ2341" s="1" t="s">
        <v>3545</v>
      </c>
      <c r="FR2341" s="1" t="s">
        <v>210</v>
      </c>
      <c r="FS2341" s="1" t="s">
        <v>20484</v>
      </c>
      <c r="FT2341" s="1" t="s">
        <v>255</v>
      </c>
      <c r="FU2341" s="1" t="s">
        <v>204</v>
      </c>
      <c r="FW2341" s="1" t="s">
        <v>915</v>
      </c>
      <c r="FX2341" s="1">
        <v>23076</v>
      </c>
      <c r="FY2341" s="1" t="s">
        <v>1909</v>
      </c>
      <c r="FZ2341" s="1" t="s">
        <v>20485</v>
      </c>
      <c r="GA2341" s="1">
        <v>233982</v>
      </c>
      <c r="GB2341" s="1" t="s">
        <v>20486</v>
      </c>
      <c r="GE2341" s="1" t="s">
        <v>658</v>
      </c>
      <c r="GI2341" s="1" t="s">
        <v>213</v>
      </c>
      <c r="GJ2341" s="1" t="s">
        <v>260</v>
      </c>
      <c r="GK2341" s="1" t="s">
        <v>210</v>
      </c>
      <c r="GL2341" s="2">
        <v>42118</v>
      </c>
      <c r="GM2341" s="1" t="s">
        <v>20487</v>
      </c>
    </row>
    <row r="2342" spans="1:195">
      <c r="A2342" s="1">
        <v>210000</v>
      </c>
      <c r="B2342" s="1" t="s">
        <v>195</v>
      </c>
      <c r="C2342" s="1" t="str">
        <f>"08823169"</f>
        <v>08823169</v>
      </c>
      <c r="D2342" s="1" t="s">
        <v>196</v>
      </c>
      <c r="F2342" s="1" t="str">
        <f>"10"</f>
        <v>10</v>
      </c>
      <c r="G2342" s="2">
        <v>42027</v>
      </c>
      <c r="H2342" s="1">
        <v>221900</v>
      </c>
      <c r="I2342" s="1">
        <v>217900</v>
      </c>
      <c r="J2342" s="1">
        <v>210000</v>
      </c>
      <c r="K2342" s="2">
        <v>42027</v>
      </c>
      <c r="L2342" s="1">
        <v>180</v>
      </c>
      <c r="M2342" s="2">
        <v>42074</v>
      </c>
      <c r="N2342" s="1">
        <v>48</v>
      </c>
      <c r="O2342" s="2">
        <v>42074</v>
      </c>
      <c r="P2342" s="1">
        <v>4240</v>
      </c>
      <c r="Q2342" s="1" t="s">
        <v>423</v>
      </c>
      <c r="R2342" s="2">
        <v>42139</v>
      </c>
      <c r="S2342" s="1">
        <v>33784</v>
      </c>
      <c r="U2342" s="1">
        <v>436</v>
      </c>
      <c r="V2342" s="1" t="s">
        <v>20488</v>
      </c>
      <c r="W2342" s="1" t="s">
        <v>725</v>
      </c>
      <c r="X2342" s="1">
        <v>436</v>
      </c>
      <c r="Y2342" s="1">
        <v>6</v>
      </c>
      <c r="Z2342" s="1" t="s">
        <v>249</v>
      </c>
      <c r="AA2342" s="1" t="s">
        <v>6288</v>
      </c>
      <c r="AB2342" s="1">
        <v>60010</v>
      </c>
      <c r="AD2342" s="1" t="s">
        <v>6727</v>
      </c>
      <c r="AE2342" s="1" t="s">
        <v>20489</v>
      </c>
      <c r="AF2342" s="1">
        <v>1960</v>
      </c>
      <c r="AG2342" s="1" t="s">
        <v>213</v>
      </c>
      <c r="AH2342" s="1" t="s">
        <v>6729</v>
      </c>
      <c r="AI2342" s="1" t="s">
        <v>310</v>
      </c>
      <c r="AJ2342" s="1" t="s">
        <v>6729</v>
      </c>
      <c r="AL2342" s="1">
        <v>6</v>
      </c>
      <c r="AM2342" s="1">
        <v>2</v>
      </c>
      <c r="AN2342" s="1">
        <v>2</v>
      </c>
      <c r="AO2342" s="1">
        <v>0</v>
      </c>
      <c r="AP2342" s="1" t="s">
        <v>667</v>
      </c>
      <c r="AR2342" s="1" t="s">
        <v>2275</v>
      </c>
      <c r="AS2342" s="1" t="s">
        <v>213</v>
      </c>
      <c r="AT2342" s="1" t="s">
        <v>211</v>
      </c>
      <c r="AU2342" s="1">
        <v>1</v>
      </c>
      <c r="AW2342" s="1" t="s">
        <v>204</v>
      </c>
      <c r="AX2342" s="1" t="s">
        <v>212</v>
      </c>
      <c r="AZ2342" s="1">
        <v>3041</v>
      </c>
      <c r="BA2342" s="1">
        <v>2012</v>
      </c>
      <c r="BB2342" s="1" t="s">
        <v>405</v>
      </c>
      <c r="BE2342" s="1">
        <v>1788</v>
      </c>
      <c r="BF2342" s="1">
        <v>1</v>
      </c>
      <c r="BG2342" s="1">
        <v>30</v>
      </c>
      <c r="BL2342" s="1">
        <v>324</v>
      </c>
      <c r="BM2342" s="1" t="s">
        <v>204</v>
      </c>
      <c r="BN2342" s="1" t="s">
        <v>213</v>
      </c>
      <c r="BO2342" s="1">
        <v>85</v>
      </c>
      <c r="BP2342" s="1" t="s">
        <v>204</v>
      </c>
      <c r="BR2342" s="1" t="str">
        <f>"01022020400000"</f>
        <v>01022020400000</v>
      </c>
      <c r="BT2342" s="1" t="s">
        <v>20490</v>
      </c>
      <c r="BU2342" s="1" t="s">
        <v>6731</v>
      </c>
      <c r="BV2342" s="1" t="s">
        <v>6732</v>
      </c>
      <c r="BW2342" s="1" t="s">
        <v>1994</v>
      </c>
      <c r="BX2342" s="1">
        <v>220</v>
      </c>
      <c r="BY2342" s="1">
        <v>220</v>
      </c>
      <c r="BZ2342" s="1">
        <v>220</v>
      </c>
      <c r="CB2342" s="1" t="str">
        <f>"18"</f>
        <v>18</v>
      </c>
      <c r="CC2342" s="1" t="str">
        <f>"0"</f>
        <v>0</v>
      </c>
      <c r="CD2342" s="1">
        <v>26</v>
      </c>
      <c r="CE2342" s="1">
        <v>0</v>
      </c>
      <c r="CG2342" s="1" t="s">
        <v>1803</v>
      </c>
      <c r="CH2342" s="1" t="s">
        <v>219</v>
      </c>
      <c r="CI2342" s="1" t="s">
        <v>438</v>
      </c>
      <c r="CK2342" s="1" t="s">
        <v>223</v>
      </c>
      <c r="CL2342" s="1" t="s">
        <v>277</v>
      </c>
      <c r="CM2342" s="1" t="s">
        <v>220</v>
      </c>
      <c r="CO2342" s="1" t="s">
        <v>315</v>
      </c>
      <c r="CP2342" s="1" t="s">
        <v>219</v>
      </c>
      <c r="CQ2342" s="1" t="s">
        <v>438</v>
      </c>
      <c r="CR2342" s="1" t="s">
        <v>210</v>
      </c>
      <c r="CS2342" s="1" t="s">
        <v>1297</v>
      </c>
      <c r="CT2342" s="1" t="s">
        <v>277</v>
      </c>
      <c r="CU2342" s="1" t="s">
        <v>220</v>
      </c>
      <c r="CX2342" s="1" t="s">
        <v>224</v>
      </c>
      <c r="DB2342" s="1" t="s">
        <v>224</v>
      </c>
      <c r="DE2342" s="1" t="s">
        <v>516</v>
      </c>
      <c r="DF2342" s="1" t="s">
        <v>219</v>
      </c>
      <c r="DG2342" s="1" t="s">
        <v>438</v>
      </c>
      <c r="DI2342" s="1" t="s">
        <v>1570</v>
      </c>
      <c r="DJ2342" s="1" t="s">
        <v>822</v>
      </c>
      <c r="DK2342" s="1" t="s">
        <v>220</v>
      </c>
      <c r="DL2342" s="1" t="s">
        <v>210</v>
      </c>
      <c r="DS2342" s="1" t="s">
        <v>230</v>
      </c>
      <c r="DW2342" s="1" t="s">
        <v>230</v>
      </c>
      <c r="EA2342" s="1" t="s">
        <v>230</v>
      </c>
      <c r="EE2342" s="1" t="s">
        <v>230</v>
      </c>
      <c r="EI2342" s="1" t="s">
        <v>230</v>
      </c>
      <c r="EL2342" s="1" t="s">
        <v>649</v>
      </c>
      <c r="EM2342" s="1" t="s">
        <v>319</v>
      </c>
      <c r="EN2342" s="1" t="s">
        <v>282</v>
      </c>
      <c r="EO2342" s="1" t="s">
        <v>234</v>
      </c>
      <c r="EP2342" s="1" t="s">
        <v>20491</v>
      </c>
      <c r="EQ2342" s="1" t="s">
        <v>236</v>
      </c>
      <c r="ER2342" s="1" t="s">
        <v>823</v>
      </c>
      <c r="ES2342" s="1" t="s">
        <v>1160</v>
      </c>
      <c r="ET2342" s="1" t="s">
        <v>842</v>
      </c>
      <c r="EU2342" s="1" t="s">
        <v>19198</v>
      </c>
      <c r="EW2342" s="1" t="s">
        <v>14876</v>
      </c>
      <c r="EZ2342" s="1" t="s">
        <v>287</v>
      </c>
      <c r="FA2342" s="1" t="s">
        <v>1072</v>
      </c>
      <c r="FB2342" s="1" t="s">
        <v>846</v>
      </c>
      <c r="FD2342" s="1" t="s">
        <v>246</v>
      </c>
      <c r="FE2342" s="1" t="s">
        <v>247</v>
      </c>
      <c r="FF2342" s="1" t="s">
        <v>248</v>
      </c>
      <c r="FH2342" s="1" t="s">
        <v>1428</v>
      </c>
      <c r="FL2342" s="1" t="s">
        <v>358</v>
      </c>
      <c r="FM2342" s="1" t="s">
        <v>252</v>
      </c>
      <c r="FN2342" s="1" t="s">
        <v>213</v>
      </c>
      <c r="FO2342" s="1" t="s">
        <v>204</v>
      </c>
      <c r="FQ2342" s="1" t="s">
        <v>20492</v>
      </c>
      <c r="FR2342" s="1" t="s">
        <v>210</v>
      </c>
      <c r="FS2342" s="1" t="s">
        <v>20493</v>
      </c>
      <c r="FT2342" s="1" t="s">
        <v>295</v>
      </c>
      <c r="FU2342" s="1" t="s">
        <v>204</v>
      </c>
      <c r="FW2342" s="1" t="s">
        <v>3132</v>
      </c>
      <c r="FX2342" s="1">
        <v>6267</v>
      </c>
      <c r="FY2342" s="1" t="s">
        <v>3133</v>
      </c>
      <c r="FZ2342" s="1" t="s">
        <v>20494</v>
      </c>
      <c r="GA2342" s="1">
        <v>40460</v>
      </c>
      <c r="GB2342" s="1" t="s">
        <v>20495</v>
      </c>
      <c r="GD2342" s="1" t="s">
        <v>20496</v>
      </c>
      <c r="GE2342" s="1" t="s">
        <v>210</v>
      </c>
      <c r="GH2342" s="1" t="s">
        <v>589</v>
      </c>
      <c r="GI2342" s="1" t="s">
        <v>213</v>
      </c>
      <c r="GJ2342" s="1" t="s">
        <v>260</v>
      </c>
      <c r="GK2342" s="1" t="s">
        <v>210</v>
      </c>
      <c r="GL2342" s="2">
        <v>42139</v>
      </c>
      <c r="GM2342" s="1" t="s">
        <v>20497</v>
      </c>
    </row>
    <row r="2343" spans="1:195">
      <c r="A2343" s="1">
        <v>99900</v>
      </c>
      <c r="B2343" s="1" t="s">
        <v>195</v>
      </c>
      <c r="C2343" s="1" t="str">
        <f>"08820940"</f>
        <v>08820940</v>
      </c>
      <c r="D2343" s="1" t="s">
        <v>196</v>
      </c>
      <c r="F2343" s="1" t="str">
        <f>"507"</f>
        <v>507</v>
      </c>
      <c r="G2343" s="2">
        <v>42025</v>
      </c>
      <c r="H2343" s="1">
        <v>99900</v>
      </c>
      <c r="I2343" s="1">
        <v>99900</v>
      </c>
      <c r="J2343" s="1">
        <v>99900</v>
      </c>
      <c r="K2343" s="2">
        <v>42024</v>
      </c>
      <c r="L2343" s="1">
        <v>51</v>
      </c>
      <c r="M2343" s="2">
        <v>42054</v>
      </c>
      <c r="N2343" s="1">
        <v>31</v>
      </c>
      <c r="O2343" s="2">
        <v>42054</v>
      </c>
      <c r="P2343" s="1">
        <v>5105</v>
      </c>
      <c r="Q2343" s="1" t="s">
        <v>302</v>
      </c>
      <c r="R2343" s="2">
        <v>42069</v>
      </c>
      <c r="S2343" s="1">
        <v>55913</v>
      </c>
      <c r="U2343" s="1">
        <v>2674</v>
      </c>
      <c r="V2343" s="1" t="s">
        <v>20498</v>
      </c>
      <c r="W2343" s="1" t="s">
        <v>304</v>
      </c>
      <c r="Y2343" s="1">
        <v>4</v>
      </c>
      <c r="Z2343" s="1" t="s">
        <v>370</v>
      </c>
      <c r="AA2343" s="1" t="s">
        <v>1123</v>
      </c>
      <c r="AB2343" s="1">
        <v>60502</v>
      </c>
      <c r="AE2343" s="1" t="s">
        <v>20499</v>
      </c>
      <c r="AF2343" s="1">
        <v>1981</v>
      </c>
      <c r="AG2343" s="1" t="s">
        <v>204</v>
      </c>
      <c r="AH2343" s="1" t="s">
        <v>1126</v>
      </c>
      <c r="AI2343" s="1" t="s">
        <v>206</v>
      </c>
      <c r="AJ2343" s="1" t="s">
        <v>924</v>
      </c>
      <c r="AL2343" s="1">
        <v>5</v>
      </c>
      <c r="AM2343" s="1">
        <v>2</v>
      </c>
      <c r="AN2343" s="1">
        <v>1</v>
      </c>
      <c r="AO2343" s="1">
        <v>1</v>
      </c>
      <c r="AP2343" s="1" t="s">
        <v>210</v>
      </c>
      <c r="AR2343" s="1" t="s">
        <v>210</v>
      </c>
      <c r="AS2343" s="1" t="s">
        <v>204</v>
      </c>
      <c r="AT2343" s="1" t="s">
        <v>211</v>
      </c>
      <c r="AU2343" s="1">
        <v>1</v>
      </c>
      <c r="AW2343" s="1" t="s">
        <v>204</v>
      </c>
      <c r="AX2343" s="1" t="s">
        <v>212</v>
      </c>
      <c r="AZ2343" s="1">
        <v>1923</v>
      </c>
      <c r="BA2343" s="1">
        <v>2013</v>
      </c>
      <c r="BE2343" s="1">
        <v>1100</v>
      </c>
      <c r="BF2343" s="1">
        <v>1</v>
      </c>
      <c r="BG2343" s="1">
        <v>0</v>
      </c>
      <c r="BL2343" s="1">
        <v>140</v>
      </c>
      <c r="BM2343" s="1" t="s">
        <v>204</v>
      </c>
      <c r="BN2343" s="1" t="s">
        <v>213</v>
      </c>
      <c r="BO2343" s="1">
        <v>35</v>
      </c>
      <c r="BP2343" s="1" t="s">
        <v>204</v>
      </c>
      <c r="BR2343" s="1" t="str">
        <f>"0706209025"</f>
        <v>0706209025</v>
      </c>
      <c r="BT2343" s="1" t="s">
        <v>20500</v>
      </c>
      <c r="BX2343" s="1">
        <v>204</v>
      </c>
      <c r="BY2343" s="1">
        <v>204</v>
      </c>
      <c r="BZ2343" s="1">
        <v>204</v>
      </c>
      <c r="CB2343" s="1" t="str">
        <f t="shared" ref="CB2343:CC2343" si="1794">""</f>
        <v/>
      </c>
      <c r="CC2343" s="1" t="str">
        <f t="shared" si="1794"/>
        <v/>
      </c>
      <c r="CG2343" s="1" t="s">
        <v>581</v>
      </c>
      <c r="CH2343" s="1" t="s">
        <v>219</v>
      </c>
      <c r="CK2343" s="1" t="s">
        <v>437</v>
      </c>
      <c r="CL2343" s="1" t="s">
        <v>277</v>
      </c>
      <c r="CO2343" s="1" t="s">
        <v>629</v>
      </c>
      <c r="CP2343" s="1" t="s">
        <v>219</v>
      </c>
      <c r="CS2343" s="1" t="s">
        <v>786</v>
      </c>
      <c r="CT2343" s="1" t="s">
        <v>277</v>
      </c>
      <c r="CX2343" s="1" t="s">
        <v>224</v>
      </c>
      <c r="DB2343" s="1" t="s">
        <v>224</v>
      </c>
      <c r="DE2343" s="1" t="s">
        <v>972</v>
      </c>
      <c r="DF2343" s="1" t="s">
        <v>219</v>
      </c>
      <c r="DJ2343" s="1" t="s">
        <v>224</v>
      </c>
      <c r="DS2343" s="1" t="s">
        <v>230</v>
      </c>
      <c r="DW2343" s="1" t="s">
        <v>230</v>
      </c>
      <c r="EA2343" s="1" t="s">
        <v>230</v>
      </c>
      <c r="EE2343" s="1" t="s">
        <v>230</v>
      </c>
      <c r="EI2343" s="1" t="s">
        <v>230</v>
      </c>
      <c r="EL2343" s="1" t="s">
        <v>231</v>
      </c>
      <c r="EM2343" s="1" t="s">
        <v>319</v>
      </c>
      <c r="EN2343" s="1" t="s">
        <v>282</v>
      </c>
      <c r="EO2343" s="1" t="s">
        <v>234</v>
      </c>
      <c r="ER2343" s="1" t="s">
        <v>210</v>
      </c>
      <c r="EW2343" s="1" t="s">
        <v>7478</v>
      </c>
      <c r="EZ2343" s="1" t="s">
        <v>287</v>
      </c>
      <c r="FD2343" s="1" t="s">
        <v>246</v>
      </c>
      <c r="FE2343" s="1" t="s">
        <v>472</v>
      </c>
      <c r="FF2343" s="1" t="s">
        <v>248</v>
      </c>
      <c r="FH2343" s="1" t="s">
        <v>550</v>
      </c>
      <c r="FL2343" s="1" t="s">
        <v>358</v>
      </c>
      <c r="FM2343" s="1" t="s">
        <v>252</v>
      </c>
      <c r="FN2343" s="1" t="s">
        <v>213</v>
      </c>
      <c r="FO2343" s="1" t="s">
        <v>213</v>
      </c>
      <c r="FQ2343" s="1" t="s">
        <v>689</v>
      </c>
      <c r="FR2343" s="1" t="s">
        <v>210</v>
      </c>
      <c r="FS2343" s="1" t="s">
        <v>4028</v>
      </c>
      <c r="FT2343" s="1" t="s">
        <v>1182</v>
      </c>
      <c r="FU2343" s="1" t="s">
        <v>204</v>
      </c>
      <c r="FW2343" s="1" t="s">
        <v>4029</v>
      </c>
      <c r="FX2343" s="1">
        <v>4719</v>
      </c>
      <c r="FY2343" s="1" t="s">
        <v>4030</v>
      </c>
      <c r="FZ2343" s="1" t="s">
        <v>20501</v>
      </c>
      <c r="GA2343" s="1">
        <v>42420</v>
      </c>
      <c r="GE2343" s="1" t="s">
        <v>210</v>
      </c>
      <c r="GI2343" s="1" t="s">
        <v>213</v>
      </c>
      <c r="GJ2343" s="1" t="s">
        <v>260</v>
      </c>
      <c r="GK2343" s="1" t="s">
        <v>210</v>
      </c>
      <c r="GL2343" s="2">
        <v>42072</v>
      </c>
      <c r="GM2343" s="1" t="s">
        <v>20502</v>
      </c>
    </row>
    <row r="2344" spans="1:195">
      <c r="A2344" s="1">
        <v>182000</v>
      </c>
      <c r="B2344" s="1" t="s">
        <v>195</v>
      </c>
      <c r="C2344" s="1" t="str">
        <f>"08828454"</f>
        <v>08828454</v>
      </c>
      <c r="D2344" s="1" t="s">
        <v>196</v>
      </c>
      <c r="F2344" s="1" t="str">
        <f t="shared" ref="F2344:F2345" si="1795">"540"</f>
        <v>540</v>
      </c>
      <c r="G2344" s="2">
        <v>42036</v>
      </c>
      <c r="H2344" s="1">
        <v>195900</v>
      </c>
      <c r="I2344" s="1">
        <v>195900</v>
      </c>
      <c r="J2344" s="1">
        <v>182000</v>
      </c>
      <c r="K2344" s="2">
        <v>42036</v>
      </c>
      <c r="L2344" s="1">
        <v>8</v>
      </c>
      <c r="M2344" s="2">
        <v>42043</v>
      </c>
      <c r="N2344" s="1">
        <v>8</v>
      </c>
      <c r="O2344" s="2">
        <v>42043</v>
      </c>
      <c r="P2344" s="1">
        <v>23120</v>
      </c>
      <c r="Q2344" s="1" t="s">
        <v>197</v>
      </c>
      <c r="R2344" s="2">
        <v>42093</v>
      </c>
      <c r="S2344" s="1">
        <v>225948</v>
      </c>
      <c r="U2344" s="1">
        <v>2451</v>
      </c>
      <c r="V2344" s="1" t="s">
        <v>20503</v>
      </c>
      <c r="W2344" s="1" t="s">
        <v>449</v>
      </c>
      <c r="X2344" s="1">
        <v>2451</v>
      </c>
      <c r="Y2344" s="1">
        <v>6</v>
      </c>
      <c r="Z2344" s="1" t="s">
        <v>249</v>
      </c>
      <c r="AA2344" s="1" t="s">
        <v>921</v>
      </c>
      <c r="AB2344" s="1">
        <v>60563</v>
      </c>
      <c r="AD2344" s="1" t="s">
        <v>5950</v>
      </c>
      <c r="AE2344" s="1" t="s">
        <v>20504</v>
      </c>
      <c r="AF2344" s="1">
        <v>2002</v>
      </c>
      <c r="AG2344" s="1" t="s">
        <v>204</v>
      </c>
      <c r="AH2344" s="1" t="s">
        <v>924</v>
      </c>
      <c r="AI2344" s="1" t="s">
        <v>206</v>
      </c>
      <c r="AJ2344" s="1" t="s">
        <v>924</v>
      </c>
      <c r="AK2344" s="1" t="s">
        <v>6543</v>
      </c>
      <c r="AL2344" s="1">
        <v>7</v>
      </c>
      <c r="AM2344" s="1">
        <v>2</v>
      </c>
      <c r="AN2344" s="1">
        <v>2</v>
      </c>
      <c r="AO2344" s="1">
        <v>0</v>
      </c>
      <c r="AP2344" s="1" t="s">
        <v>209</v>
      </c>
      <c r="AQ2344" s="1">
        <v>1</v>
      </c>
      <c r="AR2344" s="1" t="s">
        <v>1483</v>
      </c>
      <c r="AS2344" s="1" t="s">
        <v>204</v>
      </c>
      <c r="AT2344" s="1" t="s">
        <v>211</v>
      </c>
      <c r="AU2344" s="1">
        <v>1</v>
      </c>
      <c r="AW2344" s="1" t="s">
        <v>204</v>
      </c>
      <c r="AX2344" s="1" t="s">
        <v>212</v>
      </c>
      <c r="AZ2344" s="1">
        <v>3752</v>
      </c>
      <c r="BA2344" s="1">
        <v>2013</v>
      </c>
      <c r="BB2344" s="1" t="s">
        <v>405</v>
      </c>
      <c r="BE2344" s="1">
        <v>1196</v>
      </c>
      <c r="BF2344" s="1">
        <v>1</v>
      </c>
      <c r="BG2344" s="1">
        <v>0</v>
      </c>
      <c r="BL2344" s="1">
        <v>194</v>
      </c>
      <c r="BM2344" s="1" t="s">
        <v>204</v>
      </c>
      <c r="BN2344" s="1" t="s">
        <v>213</v>
      </c>
      <c r="BO2344" s="1">
        <v>999</v>
      </c>
      <c r="BP2344" s="1" t="s">
        <v>204</v>
      </c>
      <c r="BR2344" s="1" t="str">
        <f>"07093103670000"</f>
        <v>07093103670000</v>
      </c>
      <c r="BT2344" s="1" t="s">
        <v>20505</v>
      </c>
      <c r="BU2344" s="1" t="s">
        <v>5426</v>
      </c>
      <c r="BV2344" s="1" t="s">
        <v>1130</v>
      </c>
      <c r="BW2344" s="1" t="s">
        <v>1131</v>
      </c>
      <c r="BX2344" s="1">
        <v>204</v>
      </c>
      <c r="BY2344" s="1">
        <v>204</v>
      </c>
      <c r="BZ2344" s="1">
        <v>204</v>
      </c>
      <c r="CB2344" s="1" t="str">
        <f t="shared" ref="CB2344:CC2344" si="1796">""</f>
        <v/>
      </c>
      <c r="CC2344" s="1" t="str">
        <f t="shared" si="1796"/>
        <v/>
      </c>
      <c r="CG2344" s="1" t="s">
        <v>757</v>
      </c>
      <c r="CH2344" s="1" t="s">
        <v>219</v>
      </c>
      <c r="CI2344" s="1" t="s">
        <v>438</v>
      </c>
      <c r="CJ2344" s="1" t="s">
        <v>252</v>
      </c>
      <c r="CK2344" s="1" t="s">
        <v>317</v>
      </c>
      <c r="CL2344" s="1" t="s">
        <v>219</v>
      </c>
      <c r="CM2344" s="1" t="s">
        <v>438</v>
      </c>
      <c r="CN2344" s="1" t="s">
        <v>252</v>
      </c>
      <c r="CO2344" s="1" t="s">
        <v>539</v>
      </c>
      <c r="CP2344" s="1" t="s">
        <v>219</v>
      </c>
      <c r="CQ2344" s="1" t="s">
        <v>438</v>
      </c>
      <c r="CR2344" s="1" t="s">
        <v>252</v>
      </c>
      <c r="CS2344" s="1" t="s">
        <v>346</v>
      </c>
      <c r="CT2344" s="1" t="s">
        <v>219</v>
      </c>
      <c r="CU2344" s="1" t="s">
        <v>438</v>
      </c>
      <c r="CV2344" s="1" t="s">
        <v>252</v>
      </c>
      <c r="CX2344" s="1" t="s">
        <v>224</v>
      </c>
      <c r="DB2344" s="1" t="s">
        <v>224</v>
      </c>
      <c r="DE2344" s="1" t="s">
        <v>318</v>
      </c>
      <c r="DF2344" s="1" t="s">
        <v>219</v>
      </c>
      <c r="DG2344" s="1" t="s">
        <v>438</v>
      </c>
      <c r="DH2344" s="1" t="s">
        <v>210</v>
      </c>
      <c r="DI2344" s="1" t="s">
        <v>3749</v>
      </c>
      <c r="DJ2344" s="1" t="s">
        <v>43</v>
      </c>
      <c r="DK2344" s="1" t="s">
        <v>220</v>
      </c>
      <c r="DL2344" s="1" t="s">
        <v>252</v>
      </c>
      <c r="DM2344" s="1" t="s">
        <v>227</v>
      </c>
      <c r="DN2344" s="1" t="s">
        <v>1614</v>
      </c>
      <c r="DR2344" s="1" t="s">
        <v>539</v>
      </c>
      <c r="DS2344" s="1" t="s">
        <v>43</v>
      </c>
      <c r="DT2344" s="1" t="s">
        <v>220</v>
      </c>
      <c r="DU2344" s="1" t="s">
        <v>252</v>
      </c>
      <c r="DV2344" s="1" t="s">
        <v>1454</v>
      </c>
      <c r="DW2344" s="1" t="s">
        <v>43</v>
      </c>
      <c r="DX2344" s="1" t="s">
        <v>347</v>
      </c>
      <c r="DY2344" s="1" t="s">
        <v>210</v>
      </c>
      <c r="EA2344" s="1" t="s">
        <v>230</v>
      </c>
      <c r="EE2344" s="1" t="s">
        <v>230</v>
      </c>
      <c r="EI2344" s="1" t="s">
        <v>230</v>
      </c>
      <c r="EL2344" s="1" t="s">
        <v>466</v>
      </c>
      <c r="EM2344" s="1" t="s">
        <v>232</v>
      </c>
      <c r="EN2344" s="1" t="s">
        <v>282</v>
      </c>
      <c r="EO2344" s="1" t="s">
        <v>234</v>
      </c>
      <c r="EP2344" s="1" t="s">
        <v>3012</v>
      </c>
      <c r="EQ2344" s="1" t="s">
        <v>236</v>
      </c>
      <c r="ER2344" s="1" t="s">
        <v>544</v>
      </c>
      <c r="ES2344" s="1" t="s">
        <v>1552</v>
      </c>
      <c r="ET2344" s="1" t="s">
        <v>1752</v>
      </c>
      <c r="EU2344" s="1" t="s">
        <v>20506</v>
      </c>
      <c r="EV2344" s="1" t="s">
        <v>324</v>
      </c>
      <c r="EW2344" s="1" t="s">
        <v>937</v>
      </c>
      <c r="EY2344" s="1" t="s">
        <v>612</v>
      </c>
      <c r="EZ2344" s="1" t="s">
        <v>20507</v>
      </c>
      <c r="FA2344" s="1" t="s">
        <v>6175</v>
      </c>
      <c r="FB2344" s="1" t="s">
        <v>289</v>
      </c>
      <c r="FC2344" s="1" t="s">
        <v>735</v>
      </c>
      <c r="FD2344" s="1" t="s">
        <v>246</v>
      </c>
      <c r="FE2344" s="1" t="s">
        <v>472</v>
      </c>
      <c r="FF2344" s="1" t="s">
        <v>248</v>
      </c>
      <c r="FG2344" s="1" t="s">
        <v>871</v>
      </c>
      <c r="FH2344" s="1" t="s">
        <v>249</v>
      </c>
      <c r="FI2344" s="1" t="s">
        <v>473</v>
      </c>
      <c r="FJ2344" s="1" t="s">
        <v>197</v>
      </c>
      <c r="FL2344" s="1" t="s">
        <v>358</v>
      </c>
      <c r="FM2344" s="1" t="s">
        <v>252</v>
      </c>
      <c r="FN2344" s="1" t="s">
        <v>213</v>
      </c>
      <c r="FO2344" s="1" t="s">
        <v>213</v>
      </c>
      <c r="FQ2344" s="1" t="s">
        <v>1650</v>
      </c>
      <c r="FR2344" s="1" t="s">
        <v>210</v>
      </c>
      <c r="FS2344" s="1" t="s">
        <v>20508</v>
      </c>
      <c r="FT2344" s="1" t="s">
        <v>255</v>
      </c>
      <c r="FU2344" s="1" t="s">
        <v>204</v>
      </c>
      <c r="FW2344" s="1" t="s">
        <v>1652</v>
      </c>
      <c r="FX2344" s="1">
        <v>70269</v>
      </c>
      <c r="FY2344" s="1" t="s">
        <v>1653</v>
      </c>
      <c r="FZ2344" s="1" t="s">
        <v>20509</v>
      </c>
      <c r="GA2344" s="1">
        <v>705807</v>
      </c>
      <c r="GB2344" s="1" t="s">
        <v>20510</v>
      </c>
      <c r="GC2344" s="1">
        <v>702786</v>
      </c>
      <c r="GD2344" s="1" t="s">
        <v>20511</v>
      </c>
      <c r="GE2344" s="1" t="s">
        <v>1226</v>
      </c>
      <c r="GI2344" s="1" t="s">
        <v>213</v>
      </c>
      <c r="GJ2344" s="1" t="s">
        <v>260</v>
      </c>
      <c r="GK2344" s="1" t="s">
        <v>261</v>
      </c>
      <c r="GL2344" s="2">
        <v>42094</v>
      </c>
      <c r="GM2344" s="1" t="s">
        <v>20512</v>
      </c>
    </row>
    <row r="2345" spans="1:195">
      <c r="A2345" s="1">
        <v>265000</v>
      </c>
      <c r="B2345" s="1" t="s">
        <v>195</v>
      </c>
      <c r="C2345" s="1" t="str">
        <f>"08847536"</f>
        <v>08847536</v>
      </c>
      <c r="D2345" s="1" t="s">
        <v>196</v>
      </c>
      <c r="F2345" s="1" t="str">
        <f t="shared" si="1795"/>
        <v>540</v>
      </c>
      <c r="G2345" s="2">
        <v>42061</v>
      </c>
      <c r="H2345" s="1">
        <v>272500</v>
      </c>
      <c r="I2345" s="1">
        <v>272500</v>
      </c>
      <c r="J2345" s="1">
        <v>265000</v>
      </c>
      <c r="K2345" s="2">
        <v>42061</v>
      </c>
      <c r="L2345" s="1">
        <v>8</v>
      </c>
      <c r="M2345" s="2">
        <v>42068</v>
      </c>
      <c r="N2345" s="1">
        <v>8</v>
      </c>
      <c r="O2345" s="2">
        <v>42068</v>
      </c>
      <c r="P2345" s="1">
        <v>23156</v>
      </c>
      <c r="Q2345" s="1" t="s">
        <v>197</v>
      </c>
      <c r="R2345" s="2">
        <v>42103</v>
      </c>
      <c r="S2345" s="1">
        <v>234273</v>
      </c>
      <c r="U2345" s="1">
        <v>1063</v>
      </c>
      <c r="V2345" s="1" t="s">
        <v>20513</v>
      </c>
      <c r="W2345" s="1" t="s">
        <v>504</v>
      </c>
      <c r="Y2345" s="1">
        <v>4</v>
      </c>
      <c r="Z2345" s="1" t="s">
        <v>370</v>
      </c>
      <c r="AA2345" s="1" t="s">
        <v>921</v>
      </c>
      <c r="AB2345" s="1">
        <v>60540</v>
      </c>
      <c r="AD2345" s="1" t="s">
        <v>14239</v>
      </c>
      <c r="AE2345" s="1" t="s">
        <v>20514</v>
      </c>
      <c r="AF2345" s="1">
        <v>1992</v>
      </c>
      <c r="AG2345" s="1" t="s">
        <v>204</v>
      </c>
      <c r="AH2345" s="1" t="s">
        <v>924</v>
      </c>
      <c r="AI2345" s="1" t="s">
        <v>206</v>
      </c>
      <c r="AJ2345" s="1" t="s">
        <v>925</v>
      </c>
      <c r="AL2345" s="1">
        <v>5</v>
      </c>
      <c r="AM2345" s="1">
        <v>2</v>
      </c>
      <c r="AN2345" s="1">
        <v>2</v>
      </c>
      <c r="AO2345" s="1">
        <v>1</v>
      </c>
      <c r="AP2345" s="1" t="s">
        <v>209</v>
      </c>
      <c r="AQ2345" s="1">
        <v>1</v>
      </c>
      <c r="AR2345" s="1" t="s">
        <v>209</v>
      </c>
      <c r="AS2345" s="1" t="s">
        <v>204</v>
      </c>
      <c r="AT2345" s="1" t="s">
        <v>211</v>
      </c>
      <c r="AU2345" s="1">
        <v>2</v>
      </c>
      <c r="AW2345" s="1" t="s">
        <v>204</v>
      </c>
      <c r="AX2345" s="1" t="s">
        <v>20515</v>
      </c>
      <c r="AZ2345" s="1">
        <v>5205</v>
      </c>
      <c r="BA2345" s="1">
        <v>2013</v>
      </c>
      <c r="BB2345" s="1" t="s">
        <v>405</v>
      </c>
      <c r="BE2345" s="1">
        <v>1507</v>
      </c>
      <c r="BF2345" s="1">
        <v>1</v>
      </c>
      <c r="BG2345" s="1">
        <v>0</v>
      </c>
      <c r="BL2345" s="1">
        <v>210</v>
      </c>
      <c r="BM2345" s="1" t="s">
        <v>204</v>
      </c>
      <c r="BN2345" s="1" t="s">
        <v>213</v>
      </c>
      <c r="BO2345" s="1">
        <v>999</v>
      </c>
      <c r="BP2345" s="1" t="s">
        <v>204</v>
      </c>
      <c r="BR2345" s="1" t="str">
        <f>"0818220037"</f>
        <v>0818220037</v>
      </c>
      <c r="BT2345" s="1" t="s">
        <v>20516</v>
      </c>
      <c r="BU2345" s="1" t="s">
        <v>2495</v>
      </c>
      <c r="BV2345" s="1" t="s">
        <v>4937</v>
      </c>
      <c r="BW2345" s="1" t="s">
        <v>2825</v>
      </c>
      <c r="BX2345" s="1">
        <v>203</v>
      </c>
      <c r="BY2345" s="1">
        <v>203</v>
      </c>
      <c r="BZ2345" s="1">
        <v>203</v>
      </c>
      <c r="CB2345" s="1" t="str">
        <f t="shared" ref="CB2345:CC2345" si="1797">""</f>
        <v/>
      </c>
      <c r="CC2345" s="1" t="str">
        <f t="shared" si="1797"/>
        <v/>
      </c>
      <c r="CH2345" s="1" t="s">
        <v>224</v>
      </c>
      <c r="CK2345" s="1" t="s">
        <v>862</v>
      </c>
      <c r="CL2345" s="1" t="s">
        <v>277</v>
      </c>
      <c r="CM2345" s="1" t="s">
        <v>220</v>
      </c>
      <c r="CN2345" s="1" t="s">
        <v>439</v>
      </c>
      <c r="CO2345" s="1" t="s">
        <v>465</v>
      </c>
      <c r="CP2345" s="1" t="s">
        <v>219</v>
      </c>
      <c r="CQ2345" s="1" t="s">
        <v>438</v>
      </c>
      <c r="CR2345" s="1" t="s">
        <v>439</v>
      </c>
      <c r="CS2345" s="1" t="s">
        <v>539</v>
      </c>
      <c r="CT2345" s="1" t="s">
        <v>277</v>
      </c>
      <c r="CU2345" s="1" t="s">
        <v>220</v>
      </c>
      <c r="CV2345" s="1" t="s">
        <v>343</v>
      </c>
      <c r="CX2345" s="1" t="s">
        <v>224</v>
      </c>
      <c r="DB2345" s="1" t="s">
        <v>224</v>
      </c>
      <c r="DE2345" s="1" t="s">
        <v>344</v>
      </c>
      <c r="DF2345" s="1" t="s">
        <v>219</v>
      </c>
      <c r="DG2345" s="1" t="s">
        <v>438</v>
      </c>
      <c r="DH2345" s="1" t="s">
        <v>439</v>
      </c>
      <c r="DI2345" s="1" t="s">
        <v>221</v>
      </c>
      <c r="DJ2345" s="1" t="s">
        <v>219</v>
      </c>
      <c r="DK2345" s="1" t="s">
        <v>438</v>
      </c>
      <c r="DL2345" s="1" t="s">
        <v>439</v>
      </c>
      <c r="DM2345" s="1" t="s">
        <v>1614</v>
      </c>
      <c r="DR2345" s="1" t="s">
        <v>20517</v>
      </c>
      <c r="DS2345" s="1" t="s">
        <v>43</v>
      </c>
      <c r="DT2345" s="1" t="s">
        <v>347</v>
      </c>
      <c r="DU2345" s="1" t="s">
        <v>210</v>
      </c>
      <c r="DW2345" s="1" t="s">
        <v>230</v>
      </c>
      <c r="EA2345" s="1" t="s">
        <v>230</v>
      </c>
      <c r="EE2345" s="1" t="s">
        <v>230</v>
      </c>
      <c r="EI2345" s="1" t="s">
        <v>230</v>
      </c>
      <c r="EL2345" s="1" t="s">
        <v>382</v>
      </c>
      <c r="EM2345" s="1" t="s">
        <v>730</v>
      </c>
      <c r="EN2345" s="1" t="s">
        <v>282</v>
      </c>
      <c r="EO2345" s="1" t="s">
        <v>234</v>
      </c>
      <c r="EP2345" s="1" t="s">
        <v>5574</v>
      </c>
      <c r="EQ2345" s="1" t="s">
        <v>236</v>
      </c>
      <c r="ER2345" s="1" t="s">
        <v>1249</v>
      </c>
      <c r="ES2345" s="1" t="s">
        <v>322</v>
      </c>
      <c r="ET2345" s="1" t="s">
        <v>842</v>
      </c>
      <c r="EU2345" s="1" t="s">
        <v>1573</v>
      </c>
      <c r="EV2345" s="1" t="s">
        <v>324</v>
      </c>
      <c r="EW2345" s="1" t="s">
        <v>353</v>
      </c>
      <c r="EY2345" s="1" t="s">
        <v>242</v>
      </c>
      <c r="EZ2345" s="1" t="s">
        <v>1614</v>
      </c>
      <c r="FA2345" s="1" t="s">
        <v>20518</v>
      </c>
      <c r="FB2345" s="1" t="s">
        <v>289</v>
      </c>
      <c r="FC2345" s="1" t="s">
        <v>548</v>
      </c>
      <c r="FD2345" s="1" t="s">
        <v>246</v>
      </c>
      <c r="FE2345" s="1" t="s">
        <v>549</v>
      </c>
      <c r="FF2345" s="1" t="s">
        <v>248</v>
      </c>
      <c r="FG2345" s="1" t="s">
        <v>2739</v>
      </c>
      <c r="FH2345" s="1" t="s">
        <v>550</v>
      </c>
      <c r="FI2345" s="1" t="s">
        <v>473</v>
      </c>
      <c r="FJ2345" s="1" t="s">
        <v>518</v>
      </c>
      <c r="FL2345" s="1" t="s">
        <v>358</v>
      </c>
      <c r="FM2345" s="1" t="s">
        <v>252</v>
      </c>
      <c r="FN2345" s="1" t="s">
        <v>213</v>
      </c>
      <c r="FO2345" s="1" t="s">
        <v>213</v>
      </c>
      <c r="FQ2345" s="1" t="s">
        <v>1599</v>
      </c>
      <c r="FR2345" s="1" t="s">
        <v>210</v>
      </c>
      <c r="FS2345" s="1" t="s">
        <v>20519</v>
      </c>
      <c r="FT2345" s="1" t="s">
        <v>295</v>
      </c>
      <c r="FU2345" s="1" t="s">
        <v>204</v>
      </c>
      <c r="FW2345" s="1" t="s">
        <v>585</v>
      </c>
      <c r="FX2345" s="1">
        <v>23156</v>
      </c>
      <c r="FY2345" s="1" t="s">
        <v>1253</v>
      </c>
      <c r="FZ2345" s="1" t="s">
        <v>12210</v>
      </c>
      <c r="GA2345" s="1">
        <v>220324</v>
      </c>
      <c r="GB2345" s="1" t="s">
        <v>12211</v>
      </c>
      <c r="GD2345" s="1" t="s">
        <v>12212</v>
      </c>
      <c r="GE2345" s="1" t="s">
        <v>658</v>
      </c>
      <c r="GI2345" s="1" t="s">
        <v>213</v>
      </c>
      <c r="GJ2345" s="1" t="s">
        <v>260</v>
      </c>
      <c r="GK2345" s="1" t="s">
        <v>210</v>
      </c>
      <c r="GL2345" s="2">
        <v>42103</v>
      </c>
      <c r="GM2345" s="1" t="s">
        <v>20520</v>
      </c>
    </row>
    <row r="2346" spans="1:195">
      <c r="A2346" s="1">
        <v>270000</v>
      </c>
      <c r="B2346" s="1" t="s">
        <v>195</v>
      </c>
      <c r="C2346" s="1" t="str">
        <f>"08823724"</f>
        <v>08823724</v>
      </c>
      <c r="D2346" s="1" t="s">
        <v>196</v>
      </c>
      <c r="F2346" s="1" t="str">
        <f>"8041"</f>
        <v>8041</v>
      </c>
      <c r="G2346" s="2">
        <v>42029</v>
      </c>
      <c r="H2346" s="1">
        <v>274000</v>
      </c>
      <c r="I2346" s="1">
        <v>274000</v>
      </c>
      <c r="J2346" s="1">
        <v>270000</v>
      </c>
      <c r="K2346" s="2">
        <v>42029</v>
      </c>
      <c r="L2346" s="1">
        <v>17</v>
      </c>
      <c r="M2346" s="2">
        <v>42045</v>
      </c>
      <c r="N2346" s="1">
        <v>17</v>
      </c>
      <c r="O2346" s="2">
        <v>42045</v>
      </c>
      <c r="P2346" s="1">
        <v>85175</v>
      </c>
      <c r="Q2346" s="1" t="s">
        <v>197</v>
      </c>
      <c r="R2346" s="2">
        <v>42146</v>
      </c>
      <c r="S2346" s="1">
        <v>133195</v>
      </c>
      <c r="U2346" s="1">
        <v>5616</v>
      </c>
      <c r="V2346" s="1" t="s">
        <v>9040</v>
      </c>
      <c r="W2346" s="1" t="s">
        <v>425</v>
      </c>
      <c r="X2346" s="1">
        <v>2</v>
      </c>
      <c r="Y2346" s="1">
        <v>6</v>
      </c>
      <c r="Z2346" s="1" t="s">
        <v>249</v>
      </c>
      <c r="AA2346" s="1" t="s">
        <v>400</v>
      </c>
      <c r="AB2346" s="1">
        <v>60637</v>
      </c>
      <c r="AE2346" s="1" t="s">
        <v>20521</v>
      </c>
      <c r="AF2346" s="1">
        <v>1908</v>
      </c>
      <c r="AG2346" s="1" t="s">
        <v>213</v>
      </c>
      <c r="AH2346" s="1" t="s">
        <v>403</v>
      </c>
      <c r="AI2346" s="1" t="s">
        <v>310</v>
      </c>
      <c r="AJ2346" s="1" t="s">
        <v>562</v>
      </c>
      <c r="AL2346" s="1">
        <v>6</v>
      </c>
      <c r="AM2346" s="1">
        <v>2</v>
      </c>
      <c r="AN2346" s="1">
        <v>1</v>
      </c>
      <c r="AO2346" s="1">
        <v>1</v>
      </c>
      <c r="AP2346" s="1" t="s">
        <v>210</v>
      </c>
      <c r="AQ2346" s="1">
        <v>1</v>
      </c>
      <c r="AR2346" s="1" t="s">
        <v>209</v>
      </c>
      <c r="AS2346" s="1" t="s">
        <v>204</v>
      </c>
      <c r="AT2346" s="1" t="s">
        <v>211</v>
      </c>
      <c r="AU2346" s="1">
        <v>1</v>
      </c>
      <c r="AW2346" s="1" t="s">
        <v>204</v>
      </c>
      <c r="AX2346" s="1" t="s">
        <v>212</v>
      </c>
      <c r="AZ2346" s="1">
        <v>3920.2</v>
      </c>
      <c r="BA2346" s="1">
        <v>2013</v>
      </c>
      <c r="BB2346" s="1" t="s">
        <v>405</v>
      </c>
      <c r="BE2346" s="1">
        <v>1280</v>
      </c>
      <c r="BF2346" s="1">
        <v>2</v>
      </c>
      <c r="BG2346" s="1">
        <v>30</v>
      </c>
      <c r="BH2346" s="1">
        <v>50</v>
      </c>
      <c r="BI2346" s="1">
        <v>50</v>
      </c>
      <c r="BL2346" s="1">
        <v>495</v>
      </c>
      <c r="BM2346" s="1" t="s">
        <v>204</v>
      </c>
      <c r="BN2346" s="1" t="s">
        <v>213</v>
      </c>
      <c r="BO2346" s="1">
        <v>999</v>
      </c>
      <c r="BP2346" s="1" t="s">
        <v>204</v>
      </c>
      <c r="BR2346" s="1" t="str">
        <f>"20142070371002"</f>
        <v>20142070371002</v>
      </c>
      <c r="BT2346" s="1" t="s">
        <v>20522</v>
      </c>
      <c r="BX2346" s="1">
        <v>299</v>
      </c>
      <c r="BY2346" s="1">
        <v>299</v>
      </c>
      <c r="BZ2346" s="1">
        <v>299</v>
      </c>
      <c r="CA2346" s="1">
        <v>299</v>
      </c>
      <c r="CB2346" s="1" t="str">
        <f>"0"</f>
        <v>0</v>
      </c>
      <c r="CC2346" s="1" t="str">
        <f>"1300"</f>
        <v>1300</v>
      </c>
      <c r="CD2346" s="1">
        <v>0</v>
      </c>
      <c r="CE2346" s="1">
        <v>5616</v>
      </c>
      <c r="CG2346" s="1" t="s">
        <v>4891</v>
      </c>
      <c r="CH2346" s="1" t="s">
        <v>219</v>
      </c>
      <c r="CI2346" s="1" t="s">
        <v>438</v>
      </c>
      <c r="CK2346" s="1" t="s">
        <v>462</v>
      </c>
      <c r="CL2346" s="1" t="s">
        <v>219</v>
      </c>
      <c r="CM2346" s="1" t="s">
        <v>438</v>
      </c>
      <c r="CO2346" s="1" t="s">
        <v>462</v>
      </c>
      <c r="CP2346" s="1" t="s">
        <v>219</v>
      </c>
      <c r="CQ2346" s="1" t="s">
        <v>438</v>
      </c>
      <c r="CS2346" s="1" t="s">
        <v>348</v>
      </c>
      <c r="CT2346" s="1" t="s">
        <v>219</v>
      </c>
      <c r="CU2346" s="1" t="s">
        <v>438</v>
      </c>
      <c r="CX2346" s="1" t="s">
        <v>224</v>
      </c>
      <c r="DB2346" s="1" t="s">
        <v>224</v>
      </c>
      <c r="DE2346" s="1" t="s">
        <v>317</v>
      </c>
      <c r="DF2346" s="1" t="s">
        <v>219</v>
      </c>
      <c r="DJ2346" s="1" t="s">
        <v>224</v>
      </c>
      <c r="DM2346" s="1" t="s">
        <v>3592</v>
      </c>
      <c r="DR2346" s="1" t="s">
        <v>7848</v>
      </c>
      <c r="DS2346" s="1" t="s">
        <v>219</v>
      </c>
      <c r="DW2346" s="1" t="s">
        <v>230</v>
      </c>
      <c r="EA2346" s="1" t="s">
        <v>230</v>
      </c>
      <c r="EE2346" s="1" t="s">
        <v>230</v>
      </c>
      <c r="EI2346" s="1" t="s">
        <v>230</v>
      </c>
      <c r="EL2346" s="1" t="s">
        <v>787</v>
      </c>
      <c r="EM2346" s="1" t="s">
        <v>319</v>
      </c>
      <c r="EN2346" s="1" t="s">
        <v>210</v>
      </c>
      <c r="EO2346" s="1" t="s">
        <v>234</v>
      </c>
      <c r="EP2346" s="1" t="s">
        <v>20523</v>
      </c>
      <c r="EQ2346" s="1" t="s">
        <v>1109</v>
      </c>
      <c r="ER2346" s="1" t="s">
        <v>1249</v>
      </c>
      <c r="EU2346" s="1" t="s">
        <v>3703</v>
      </c>
      <c r="EV2346" s="1" t="s">
        <v>324</v>
      </c>
      <c r="EW2346" s="1" t="s">
        <v>4815</v>
      </c>
      <c r="EY2346" s="1" t="s">
        <v>242</v>
      </c>
      <c r="EZ2346" s="1" t="s">
        <v>3592</v>
      </c>
      <c r="FB2346" s="1" t="s">
        <v>734</v>
      </c>
      <c r="FD2346" s="1" t="s">
        <v>246</v>
      </c>
      <c r="FE2346" s="1" t="s">
        <v>247</v>
      </c>
      <c r="FF2346" s="1" t="s">
        <v>248</v>
      </c>
      <c r="FG2346" s="1" t="s">
        <v>939</v>
      </c>
      <c r="FH2346" s="1" t="s">
        <v>20524</v>
      </c>
      <c r="FL2346" s="1" t="s">
        <v>6830</v>
      </c>
      <c r="FM2346" s="1" t="s">
        <v>252</v>
      </c>
      <c r="FN2346" s="1" t="s">
        <v>213</v>
      </c>
      <c r="FO2346" s="1" t="s">
        <v>213</v>
      </c>
      <c r="FQ2346" s="1" t="s">
        <v>20525</v>
      </c>
      <c r="FR2346" s="1" t="s">
        <v>210</v>
      </c>
      <c r="FS2346" s="1" t="s">
        <v>20526</v>
      </c>
      <c r="FT2346" s="1" t="s">
        <v>1139</v>
      </c>
      <c r="FU2346" s="1" t="s">
        <v>204</v>
      </c>
      <c r="FW2346" s="1" t="s">
        <v>13354</v>
      </c>
      <c r="FX2346" s="1">
        <v>12937</v>
      </c>
      <c r="FY2346" s="1" t="s">
        <v>13355</v>
      </c>
      <c r="FZ2346" s="1" t="s">
        <v>20527</v>
      </c>
      <c r="GA2346" s="1">
        <v>119804</v>
      </c>
      <c r="GB2346" s="1" t="s">
        <v>20528</v>
      </c>
      <c r="GE2346" s="1" t="s">
        <v>210</v>
      </c>
      <c r="GH2346" s="1" t="s">
        <v>421</v>
      </c>
      <c r="GI2346" s="1" t="s">
        <v>213</v>
      </c>
      <c r="GJ2346" s="1" t="s">
        <v>260</v>
      </c>
      <c r="GK2346" s="1" t="s">
        <v>210</v>
      </c>
      <c r="GL2346" s="2">
        <v>42146</v>
      </c>
      <c r="GM2346" s="1" t="s">
        <v>20529</v>
      </c>
    </row>
    <row r="2347" spans="1:195">
      <c r="A2347" s="1">
        <v>118665</v>
      </c>
      <c r="B2347" s="1" t="s">
        <v>195</v>
      </c>
      <c r="C2347" s="1" t="str">
        <f>"08826503"</f>
        <v>08826503</v>
      </c>
      <c r="D2347" s="1" t="s">
        <v>196</v>
      </c>
      <c r="F2347" s="1" t="str">
        <f>"140"</f>
        <v>140</v>
      </c>
      <c r="G2347" s="2">
        <v>42033</v>
      </c>
      <c r="H2347" s="1">
        <v>119990</v>
      </c>
      <c r="I2347" s="1">
        <v>119990</v>
      </c>
      <c r="J2347" s="1">
        <v>118665</v>
      </c>
      <c r="K2347" s="2">
        <v>42032</v>
      </c>
      <c r="L2347" s="1">
        <v>60</v>
      </c>
      <c r="M2347" s="2">
        <v>42091</v>
      </c>
      <c r="N2347" s="1">
        <v>60</v>
      </c>
      <c r="O2347" s="2">
        <v>42091</v>
      </c>
      <c r="P2347" s="1">
        <v>5040</v>
      </c>
      <c r="Q2347" s="1" t="s">
        <v>423</v>
      </c>
      <c r="R2347" s="2">
        <v>42126</v>
      </c>
      <c r="S2347" s="1">
        <v>54168</v>
      </c>
      <c r="U2347" s="1">
        <v>2561</v>
      </c>
      <c r="V2347" s="1" t="s">
        <v>1435</v>
      </c>
      <c r="W2347" s="1" t="s">
        <v>504</v>
      </c>
      <c r="Y2347" s="1">
        <v>1</v>
      </c>
      <c r="Z2347" s="1" t="s">
        <v>200</v>
      </c>
      <c r="AA2347" s="1" t="s">
        <v>1658</v>
      </c>
      <c r="AB2347" s="1">
        <v>60140</v>
      </c>
      <c r="AD2347" s="1" t="s">
        <v>20530</v>
      </c>
      <c r="AE2347" s="1" t="s">
        <v>20531</v>
      </c>
      <c r="AF2347" s="1">
        <v>2014</v>
      </c>
      <c r="AG2347" s="1" t="s">
        <v>204</v>
      </c>
      <c r="AH2347" s="1" t="s">
        <v>1660</v>
      </c>
      <c r="AI2347" s="1" t="s">
        <v>665</v>
      </c>
      <c r="AJ2347" s="1" t="s">
        <v>1660</v>
      </c>
      <c r="AK2347" s="1" t="s">
        <v>20532</v>
      </c>
      <c r="AL2347" s="1">
        <v>4</v>
      </c>
      <c r="AM2347" s="1">
        <v>2</v>
      </c>
      <c r="AN2347" s="1">
        <v>1</v>
      </c>
      <c r="AO2347" s="1">
        <v>1</v>
      </c>
      <c r="AP2347" s="1" t="s">
        <v>210</v>
      </c>
      <c r="AR2347" s="1" t="s">
        <v>210</v>
      </c>
      <c r="AS2347" s="1" t="s">
        <v>204</v>
      </c>
      <c r="AT2347" s="1" t="s">
        <v>211</v>
      </c>
      <c r="AU2347" s="1">
        <v>1</v>
      </c>
      <c r="AW2347" s="1" t="s">
        <v>204</v>
      </c>
      <c r="AX2347" s="1">
        <v>0</v>
      </c>
      <c r="AZ2347" s="1" t="s">
        <v>751</v>
      </c>
      <c r="BA2347" s="1">
        <v>2013</v>
      </c>
      <c r="BE2347" s="1">
        <v>1084</v>
      </c>
      <c r="BF2347" s="1">
        <v>1</v>
      </c>
      <c r="BG2347" s="1">
        <v>0</v>
      </c>
      <c r="BL2347" s="1">
        <v>34</v>
      </c>
      <c r="BM2347" s="1" t="s">
        <v>213</v>
      </c>
      <c r="BN2347" s="1" t="s">
        <v>213</v>
      </c>
      <c r="BO2347" s="1">
        <v>999</v>
      </c>
      <c r="BP2347" s="1" t="s">
        <v>213</v>
      </c>
      <c r="BQ2347" s="2">
        <v>42032</v>
      </c>
      <c r="BR2347" s="1" t="str">
        <f>"1111111000"</f>
        <v>1111111000</v>
      </c>
      <c r="BT2347" s="1" t="s">
        <v>20533</v>
      </c>
      <c r="BU2347" s="1" t="s">
        <v>753</v>
      </c>
      <c r="BV2347" s="1" t="s">
        <v>754</v>
      </c>
      <c r="BW2347" s="1" t="s">
        <v>755</v>
      </c>
      <c r="BX2347" s="1">
        <v>300</v>
      </c>
      <c r="BY2347" s="1">
        <v>300</v>
      </c>
      <c r="BZ2347" s="1">
        <v>300</v>
      </c>
      <c r="CB2347" s="1" t="str">
        <f t="shared" ref="CB2347:CC2347" si="1798">""</f>
        <v/>
      </c>
      <c r="CC2347" s="1" t="str">
        <f t="shared" si="1798"/>
        <v/>
      </c>
      <c r="CH2347" s="1" t="s">
        <v>224</v>
      </c>
      <c r="CK2347" s="1" t="s">
        <v>836</v>
      </c>
      <c r="CL2347" s="1" t="s">
        <v>277</v>
      </c>
      <c r="CP2347" s="1" t="s">
        <v>224</v>
      </c>
      <c r="CS2347" s="1" t="s">
        <v>836</v>
      </c>
      <c r="CT2347" s="1" t="s">
        <v>277</v>
      </c>
      <c r="CX2347" s="1" t="s">
        <v>224</v>
      </c>
      <c r="DB2347" s="1" t="s">
        <v>224</v>
      </c>
      <c r="DE2347" s="1" t="s">
        <v>3716</v>
      </c>
      <c r="DF2347" s="1" t="s">
        <v>219</v>
      </c>
      <c r="DJ2347" s="1" t="s">
        <v>224</v>
      </c>
      <c r="DM2347" s="1" t="s">
        <v>1676</v>
      </c>
      <c r="DR2347" s="1" t="s">
        <v>1469</v>
      </c>
      <c r="DS2347" s="1" t="s">
        <v>219</v>
      </c>
      <c r="DW2347" s="1" t="s">
        <v>230</v>
      </c>
      <c r="EA2347" s="1" t="s">
        <v>230</v>
      </c>
      <c r="EE2347" s="1" t="s">
        <v>230</v>
      </c>
      <c r="EI2347" s="1" t="s">
        <v>230</v>
      </c>
      <c r="EL2347" s="1" t="s">
        <v>1455</v>
      </c>
      <c r="EM2347" s="1" t="s">
        <v>319</v>
      </c>
      <c r="EN2347" s="1" t="s">
        <v>282</v>
      </c>
      <c r="EO2347" s="1" t="s">
        <v>234</v>
      </c>
      <c r="EP2347" s="1" t="s">
        <v>20534</v>
      </c>
      <c r="EQ2347" s="1" t="s">
        <v>350</v>
      </c>
      <c r="ER2347" s="1" t="s">
        <v>383</v>
      </c>
      <c r="ES2347" s="1" t="s">
        <v>824</v>
      </c>
      <c r="EW2347" s="1" t="s">
        <v>1662</v>
      </c>
      <c r="EZ2347" s="1" t="s">
        <v>1676</v>
      </c>
      <c r="FB2347" s="1" t="s">
        <v>289</v>
      </c>
      <c r="FD2347" s="1" t="s">
        <v>246</v>
      </c>
      <c r="FE2347" s="1" t="s">
        <v>472</v>
      </c>
      <c r="FF2347" s="1" t="s">
        <v>248</v>
      </c>
      <c r="FH2347" s="1" t="s">
        <v>442</v>
      </c>
      <c r="FL2347" s="1" t="s">
        <v>358</v>
      </c>
      <c r="FM2347" s="1" t="s">
        <v>252</v>
      </c>
      <c r="FN2347" s="1" t="s">
        <v>213</v>
      </c>
      <c r="FO2347" s="1" t="s">
        <v>213</v>
      </c>
      <c r="FQ2347" s="1" t="s">
        <v>20535</v>
      </c>
      <c r="FR2347" s="1" t="s">
        <v>210</v>
      </c>
      <c r="FS2347" s="1" t="s">
        <v>20536</v>
      </c>
      <c r="FT2347" s="1" t="s">
        <v>6491</v>
      </c>
      <c r="FU2347" s="1" t="s">
        <v>204</v>
      </c>
      <c r="FV2347" s="1" t="s">
        <v>20537</v>
      </c>
      <c r="FW2347" s="1" t="s">
        <v>1097</v>
      </c>
      <c r="FX2347" s="1">
        <v>7661</v>
      </c>
      <c r="FY2347" s="1" t="s">
        <v>7072</v>
      </c>
      <c r="FZ2347" s="1" t="s">
        <v>12521</v>
      </c>
      <c r="GA2347" s="1">
        <v>7844</v>
      </c>
      <c r="GB2347" s="1" t="s">
        <v>12522</v>
      </c>
      <c r="GE2347" s="1" t="s">
        <v>480</v>
      </c>
      <c r="GI2347" s="1" t="s">
        <v>213</v>
      </c>
      <c r="GJ2347" s="1" t="s">
        <v>260</v>
      </c>
      <c r="GK2347" s="1" t="s">
        <v>210</v>
      </c>
      <c r="GL2347" s="2">
        <v>42129</v>
      </c>
      <c r="GM2347" s="1" t="s">
        <v>20538</v>
      </c>
    </row>
    <row r="2348" spans="1:195">
      <c r="A2348" s="1">
        <v>133000</v>
      </c>
      <c r="B2348" s="1" t="s">
        <v>195</v>
      </c>
      <c r="C2348" s="1" t="str">
        <f>"08820604"</f>
        <v>08820604</v>
      </c>
      <c r="D2348" s="1" t="s">
        <v>196</v>
      </c>
      <c r="F2348" s="1" t="str">
        <f>"108"</f>
        <v>108</v>
      </c>
      <c r="G2348" s="2">
        <v>42024</v>
      </c>
      <c r="H2348" s="1">
        <v>139000</v>
      </c>
      <c r="I2348" s="1">
        <v>134000</v>
      </c>
      <c r="J2348" s="1">
        <v>133000</v>
      </c>
      <c r="K2348" s="2">
        <v>42023</v>
      </c>
      <c r="L2348" s="1">
        <v>23</v>
      </c>
      <c r="M2348" s="2">
        <v>42045</v>
      </c>
      <c r="N2348" s="1">
        <v>23</v>
      </c>
      <c r="O2348" s="2">
        <v>42045</v>
      </c>
      <c r="P2348" s="1">
        <v>24007</v>
      </c>
      <c r="Q2348" s="1" t="s">
        <v>197</v>
      </c>
      <c r="R2348" s="2">
        <v>42117</v>
      </c>
      <c r="S2348" s="1">
        <v>241255</v>
      </c>
      <c r="U2348" s="1">
        <v>1</v>
      </c>
      <c r="V2348" s="1" t="s">
        <v>829</v>
      </c>
      <c r="W2348" s="1" t="s">
        <v>779</v>
      </c>
      <c r="X2348" s="1">
        <v>802</v>
      </c>
      <c r="Y2348" s="1">
        <v>170</v>
      </c>
      <c r="Z2348" s="1" t="s">
        <v>249</v>
      </c>
      <c r="AA2348" s="1" t="s">
        <v>829</v>
      </c>
      <c r="AB2348" s="1">
        <v>60108</v>
      </c>
      <c r="AD2348" s="1" t="s">
        <v>12171</v>
      </c>
      <c r="AE2348" s="1" t="s">
        <v>20539</v>
      </c>
      <c r="AF2348" s="1">
        <v>1988</v>
      </c>
      <c r="AG2348" s="1" t="s">
        <v>204</v>
      </c>
      <c r="AH2348" s="1" t="s">
        <v>269</v>
      </c>
      <c r="AI2348" s="1" t="s">
        <v>206</v>
      </c>
      <c r="AJ2348" s="1" t="s">
        <v>269</v>
      </c>
      <c r="AL2348" s="1">
        <v>5</v>
      </c>
      <c r="AM2348" s="1">
        <v>2</v>
      </c>
      <c r="AN2348" s="1">
        <v>2</v>
      </c>
      <c r="AO2348" s="1">
        <v>0</v>
      </c>
      <c r="AP2348" s="1" t="s">
        <v>209</v>
      </c>
      <c r="AQ2348" s="1">
        <v>1</v>
      </c>
      <c r="AR2348" s="1" t="s">
        <v>210</v>
      </c>
      <c r="AS2348" s="1" t="s">
        <v>204</v>
      </c>
      <c r="AT2348" s="1" t="s">
        <v>211</v>
      </c>
      <c r="AU2348" s="1">
        <v>1</v>
      </c>
      <c r="AW2348" s="1" t="s">
        <v>204</v>
      </c>
      <c r="AX2348" s="1" t="s">
        <v>212</v>
      </c>
      <c r="AZ2348" s="1">
        <v>2201.04</v>
      </c>
      <c r="BA2348" s="1">
        <v>2013</v>
      </c>
      <c r="BB2348" s="1" t="s">
        <v>405</v>
      </c>
      <c r="BE2348" s="1">
        <v>990</v>
      </c>
      <c r="BF2348" s="1">
        <v>8</v>
      </c>
      <c r="BG2348" s="1">
        <v>30</v>
      </c>
      <c r="BL2348" s="1">
        <v>395</v>
      </c>
      <c r="BM2348" s="1" t="s">
        <v>204</v>
      </c>
      <c r="BN2348" s="1" t="s">
        <v>213</v>
      </c>
      <c r="BP2348" s="1" t="s">
        <v>204</v>
      </c>
      <c r="BR2348" s="1" t="str">
        <f>"0216220151"</f>
        <v>0216220151</v>
      </c>
      <c r="BT2348" s="1" t="s">
        <v>20540</v>
      </c>
      <c r="BU2348" s="1" t="s">
        <v>1611</v>
      </c>
      <c r="BV2348" s="1" t="s">
        <v>834</v>
      </c>
      <c r="BW2348" s="1" t="s">
        <v>275</v>
      </c>
      <c r="BX2348" s="1">
        <v>13</v>
      </c>
      <c r="BY2348" s="1">
        <v>13</v>
      </c>
      <c r="BZ2348" s="1">
        <v>108</v>
      </c>
      <c r="CB2348" s="1" t="str">
        <f t="shared" ref="CB2348:CC2348" si="1799">""</f>
        <v/>
      </c>
      <c r="CC2348" s="1" t="str">
        <f t="shared" si="1799"/>
        <v/>
      </c>
      <c r="CG2348" s="1" t="s">
        <v>228</v>
      </c>
      <c r="CH2348" s="1" t="s">
        <v>219</v>
      </c>
      <c r="CI2348" s="1" t="s">
        <v>229</v>
      </c>
      <c r="CJ2348" s="1" t="s">
        <v>909</v>
      </c>
      <c r="CK2348" s="1" t="s">
        <v>315</v>
      </c>
      <c r="CL2348" s="1" t="s">
        <v>219</v>
      </c>
      <c r="CM2348" s="1" t="s">
        <v>220</v>
      </c>
      <c r="CN2348" s="1" t="s">
        <v>343</v>
      </c>
      <c r="CO2348" s="1" t="s">
        <v>1470</v>
      </c>
      <c r="CP2348" s="1" t="s">
        <v>219</v>
      </c>
      <c r="CQ2348" s="1" t="s">
        <v>229</v>
      </c>
      <c r="CR2348" s="1" t="s">
        <v>909</v>
      </c>
      <c r="CS2348" s="1" t="s">
        <v>346</v>
      </c>
      <c r="CT2348" s="1" t="s">
        <v>219</v>
      </c>
      <c r="CU2348" s="1" t="s">
        <v>220</v>
      </c>
      <c r="CV2348" s="1" t="s">
        <v>343</v>
      </c>
      <c r="CX2348" s="1" t="s">
        <v>224</v>
      </c>
      <c r="DB2348" s="1" t="s">
        <v>224</v>
      </c>
      <c r="DE2348" s="1" t="s">
        <v>316</v>
      </c>
      <c r="DF2348" s="1" t="s">
        <v>219</v>
      </c>
      <c r="DG2348" s="1" t="s">
        <v>229</v>
      </c>
      <c r="DH2348" s="1" t="s">
        <v>210</v>
      </c>
      <c r="DJ2348" s="1" t="s">
        <v>224</v>
      </c>
      <c r="DM2348" s="1" t="s">
        <v>709</v>
      </c>
      <c r="DN2348" s="1" t="s">
        <v>838</v>
      </c>
      <c r="DR2348" s="1" t="s">
        <v>9678</v>
      </c>
      <c r="DS2348" s="1" t="s">
        <v>219</v>
      </c>
      <c r="DT2348" s="1" t="s">
        <v>229</v>
      </c>
      <c r="DV2348" s="1" t="s">
        <v>6226</v>
      </c>
      <c r="DW2348" s="1" t="s">
        <v>219</v>
      </c>
      <c r="EA2348" s="1" t="s">
        <v>230</v>
      </c>
      <c r="EE2348" s="1" t="s">
        <v>230</v>
      </c>
      <c r="EI2348" s="1" t="s">
        <v>230</v>
      </c>
      <c r="EL2348" s="1" t="s">
        <v>542</v>
      </c>
      <c r="EM2348" s="1" t="s">
        <v>232</v>
      </c>
      <c r="EN2348" s="1" t="s">
        <v>282</v>
      </c>
      <c r="EO2348" s="1" t="s">
        <v>234</v>
      </c>
      <c r="EP2348" s="1" t="s">
        <v>20541</v>
      </c>
      <c r="EQ2348" s="1" t="s">
        <v>2188</v>
      </c>
      <c r="ER2348" s="1" t="s">
        <v>210</v>
      </c>
      <c r="ES2348" s="1" t="s">
        <v>493</v>
      </c>
      <c r="EU2348" s="1" t="s">
        <v>9178</v>
      </c>
      <c r="EV2348" s="1" t="s">
        <v>352</v>
      </c>
      <c r="EW2348" s="1" t="s">
        <v>20542</v>
      </c>
      <c r="EZ2348" s="1" t="s">
        <v>3826</v>
      </c>
      <c r="FA2348" s="1" t="s">
        <v>1427</v>
      </c>
      <c r="FB2348" s="1" t="s">
        <v>244</v>
      </c>
      <c r="FC2348" s="1" t="s">
        <v>20543</v>
      </c>
      <c r="FD2348" s="1" t="s">
        <v>4003</v>
      </c>
      <c r="FE2348" s="1" t="s">
        <v>247</v>
      </c>
      <c r="FF2348" s="1" t="s">
        <v>248</v>
      </c>
      <c r="FG2348" s="1" t="s">
        <v>939</v>
      </c>
      <c r="FH2348" s="1" t="s">
        <v>249</v>
      </c>
      <c r="FI2348" s="1" t="s">
        <v>473</v>
      </c>
      <c r="FJ2348" s="1" t="s">
        <v>10837</v>
      </c>
      <c r="FL2348" s="1" t="s">
        <v>358</v>
      </c>
      <c r="FM2348" s="1" t="s">
        <v>252</v>
      </c>
      <c r="FN2348" s="1" t="s">
        <v>213</v>
      </c>
      <c r="FO2348" s="1" t="s">
        <v>213</v>
      </c>
      <c r="FQ2348" s="1" t="s">
        <v>20544</v>
      </c>
      <c r="FR2348" s="1" t="s">
        <v>210</v>
      </c>
      <c r="FS2348" s="1" t="s">
        <v>20545</v>
      </c>
      <c r="FT2348" s="1" t="s">
        <v>1182</v>
      </c>
      <c r="FU2348" s="1" t="s">
        <v>204</v>
      </c>
      <c r="FW2348" s="1" t="s">
        <v>3132</v>
      </c>
      <c r="FX2348" s="1">
        <v>8666</v>
      </c>
      <c r="FY2348" s="1" t="s">
        <v>3133</v>
      </c>
      <c r="FZ2348" s="1" t="s">
        <v>18241</v>
      </c>
      <c r="GA2348" s="1">
        <v>26083</v>
      </c>
      <c r="GB2348" s="1" t="s">
        <v>18242</v>
      </c>
      <c r="GE2348" s="1" t="s">
        <v>210</v>
      </c>
      <c r="GI2348" s="1" t="s">
        <v>213</v>
      </c>
      <c r="GJ2348" s="1" t="s">
        <v>260</v>
      </c>
      <c r="GK2348" s="1" t="s">
        <v>210</v>
      </c>
      <c r="GL2348" s="2">
        <v>42117</v>
      </c>
      <c r="GM2348" s="1" t="s">
        <v>20546</v>
      </c>
    </row>
    <row r="2349" spans="1:195">
      <c r="A2349" s="1">
        <v>72000</v>
      </c>
      <c r="B2349" s="1" t="s">
        <v>195</v>
      </c>
      <c r="C2349" s="1" t="str">
        <f>"08833144"</f>
        <v>08833144</v>
      </c>
      <c r="D2349" s="1" t="s">
        <v>196</v>
      </c>
      <c r="F2349" s="1" t="str">
        <f>"517"</f>
        <v>517</v>
      </c>
      <c r="G2349" s="2">
        <v>42041</v>
      </c>
      <c r="H2349" s="1">
        <v>75900</v>
      </c>
      <c r="I2349" s="1">
        <v>75900</v>
      </c>
      <c r="J2349" s="1">
        <v>72000</v>
      </c>
      <c r="K2349" s="2">
        <v>42040</v>
      </c>
      <c r="L2349" s="1">
        <v>30</v>
      </c>
      <c r="M2349" s="2">
        <v>42069</v>
      </c>
      <c r="N2349" s="1">
        <v>30</v>
      </c>
      <c r="O2349" s="2">
        <v>42069</v>
      </c>
      <c r="P2349" s="1">
        <v>22067</v>
      </c>
      <c r="Q2349" s="1" t="s">
        <v>302</v>
      </c>
      <c r="R2349" s="2">
        <v>42094</v>
      </c>
      <c r="S2349" s="1">
        <v>213895</v>
      </c>
      <c r="U2349" s="1">
        <v>2216</v>
      </c>
      <c r="V2349" s="1" t="s">
        <v>7960</v>
      </c>
      <c r="W2349" s="1" t="s">
        <v>264</v>
      </c>
      <c r="X2349" s="1">
        <v>15</v>
      </c>
      <c r="Y2349" s="1">
        <v>18</v>
      </c>
      <c r="Z2349" s="1" t="s">
        <v>249</v>
      </c>
      <c r="AA2349" s="1" t="s">
        <v>2850</v>
      </c>
      <c r="AB2349" s="1">
        <v>60517</v>
      </c>
      <c r="AD2349" s="1" t="s">
        <v>5193</v>
      </c>
      <c r="AE2349" s="1" t="s">
        <v>20547</v>
      </c>
      <c r="AF2349" s="1">
        <v>1979</v>
      </c>
      <c r="AG2349" s="1" t="s">
        <v>204</v>
      </c>
      <c r="AH2349" s="1" t="s">
        <v>2853</v>
      </c>
      <c r="AI2349" s="1" t="s">
        <v>206</v>
      </c>
      <c r="AJ2349" s="1" t="s">
        <v>925</v>
      </c>
      <c r="AL2349" s="1">
        <v>5</v>
      </c>
      <c r="AM2349" s="1">
        <v>2</v>
      </c>
      <c r="AN2349" s="1">
        <v>1</v>
      </c>
      <c r="AO2349" s="1">
        <v>0</v>
      </c>
      <c r="AP2349" s="1" t="s">
        <v>210</v>
      </c>
      <c r="AR2349" s="1" t="s">
        <v>210</v>
      </c>
      <c r="AS2349" s="1" t="s">
        <v>204</v>
      </c>
      <c r="AT2349" s="1" t="s">
        <v>271</v>
      </c>
      <c r="AV2349" s="1">
        <v>2</v>
      </c>
      <c r="AW2349" s="1" t="s">
        <v>204</v>
      </c>
      <c r="AX2349" s="1">
        <v>0</v>
      </c>
      <c r="AZ2349" s="1">
        <v>2055</v>
      </c>
      <c r="BA2349" s="1">
        <v>2013</v>
      </c>
      <c r="BE2349" s="1">
        <v>937</v>
      </c>
      <c r="BF2349" s="1">
        <v>2</v>
      </c>
      <c r="BG2349" s="1">
        <v>0</v>
      </c>
      <c r="BL2349" s="1">
        <v>293</v>
      </c>
      <c r="BM2349" s="1" t="s">
        <v>204</v>
      </c>
      <c r="BN2349" s="1" t="s">
        <v>213</v>
      </c>
      <c r="BO2349" s="1">
        <v>999</v>
      </c>
      <c r="BP2349" s="1" t="s">
        <v>204</v>
      </c>
      <c r="BR2349" s="1" t="str">
        <f>"0825413011"</f>
        <v>0825413011</v>
      </c>
      <c r="BT2349" s="1" t="s">
        <v>20548</v>
      </c>
      <c r="BU2349" s="1" t="s">
        <v>2855</v>
      </c>
      <c r="BV2349" s="1" t="s">
        <v>2856</v>
      </c>
      <c r="BW2349" s="1" t="s">
        <v>3099</v>
      </c>
      <c r="BX2349" s="1">
        <v>68</v>
      </c>
      <c r="BY2349" s="1">
        <v>68</v>
      </c>
      <c r="BZ2349" s="1">
        <v>99</v>
      </c>
      <c r="CB2349" s="1" t="str">
        <f t="shared" ref="CB2349:CC2349" si="1800">""</f>
        <v/>
      </c>
      <c r="CC2349" s="1" t="str">
        <f t="shared" si="1800"/>
        <v/>
      </c>
      <c r="CG2349" s="1" t="s">
        <v>861</v>
      </c>
      <c r="CH2349" s="1" t="s">
        <v>277</v>
      </c>
      <c r="CI2349" s="1" t="s">
        <v>229</v>
      </c>
      <c r="CK2349" s="1" t="s">
        <v>20549</v>
      </c>
      <c r="CL2349" s="1" t="s">
        <v>277</v>
      </c>
      <c r="CM2349" s="1" t="s">
        <v>220</v>
      </c>
      <c r="CO2349" s="1" t="s">
        <v>3284</v>
      </c>
      <c r="CP2349" s="1" t="s">
        <v>277</v>
      </c>
      <c r="CQ2349" s="1" t="s">
        <v>226</v>
      </c>
      <c r="CS2349" s="1" t="s">
        <v>346</v>
      </c>
      <c r="CT2349" s="1" t="s">
        <v>277</v>
      </c>
      <c r="CU2349" s="1" t="s">
        <v>220</v>
      </c>
      <c r="CX2349" s="1" t="s">
        <v>224</v>
      </c>
      <c r="DB2349" s="1" t="s">
        <v>224</v>
      </c>
      <c r="DE2349" s="1" t="s">
        <v>4148</v>
      </c>
      <c r="DF2349" s="1" t="s">
        <v>277</v>
      </c>
      <c r="DG2349" s="1" t="s">
        <v>226</v>
      </c>
      <c r="DJ2349" s="1" t="s">
        <v>224</v>
      </c>
      <c r="DS2349" s="1" t="s">
        <v>230</v>
      </c>
      <c r="DW2349" s="1" t="s">
        <v>230</v>
      </c>
      <c r="EA2349" s="1" t="s">
        <v>230</v>
      </c>
      <c r="EE2349" s="1" t="s">
        <v>230</v>
      </c>
      <c r="EI2349" s="1" t="s">
        <v>230</v>
      </c>
      <c r="EL2349" s="1" t="s">
        <v>231</v>
      </c>
      <c r="EM2349" s="1" t="s">
        <v>232</v>
      </c>
      <c r="EN2349" s="1" t="s">
        <v>282</v>
      </c>
      <c r="EO2349" s="1" t="s">
        <v>234</v>
      </c>
      <c r="EP2349" s="1" t="s">
        <v>4938</v>
      </c>
      <c r="EQ2349" s="1" t="s">
        <v>1109</v>
      </c>
      <c r="ER2349" s="1" t="s">
        <v>210</v>
      </c>
      <c r="ES2349" s="1" t="s">
        <v>545</v>
      </c>
      <c r="EW2349" s="1" t="s">
        <v>12358</v>
      </c>
      <c r="EZ2349" s="1" t="s">
        <v>287</v>
      </c>
      <c r="FD2349" s="1" t="s">
        <v>246</v>
      </c>
      <c r="FE2349" s="1" t="s">
        <v>247</v>
      </c>
      <c r="FF2349" s="1" t="s">
        <v>248</v>
      </c>
      <c r="FH2349" s="1" t="s">
        <v>249</v>
      </c>
      <c r="FK2349" s="1" t="s">
        <v>291</v>
      </c>
      <c r="FL2349" s="1" t="s">
        <v>358</v>
      </c>
      <c r="FM2349" s="1" t="s">
        <v>252</v>
      </c>
      <c r="FN2349" s="1" t="s">
        <v>213</v>
      </c>
      <c r="FO2349" s="1" t="s">
        <v>204</v>
      </c>
      <c r="FQ2349" s="1" t="s">
        <v>582</v>
      </c>
      <c r="FR2349" s="1" t="s">
        <v>210</v>
      </c>
      <c r="FS2349" s="1" t="s">
        <v>20550</v>
      </c>
      <c r="FT2349" s="1" t="s">
        <v>295</v>
      </c>
      <c r="FU2349" s="1" t="s">
        <v>213</v>
      </c>
      <c r="FW2349" s="1" t="s">
        <v>20551</v>
      </c>
      <c r="FX2349" s="1">
        <v>20288</v>
      </c>
      <c r="FY2349" s="1" t="s">
        <v>20552</v>
      </c>
      <c r="FZ2349" s="1" t="s">
        <v>20553</v>
      </c>
      <c r="GA2349" s="1">
        <v>243089</v>
      </c>
      <c r="GD2349" s="1" t="s">
        <v>20554</v>
      </c>
      <c r="GE2349" s="1" t="s">
        <v>210</v>
      </c>
      <c r="GI2349" s="1" t="s">
        <v>213</v>
      </c>
      <c r="GJ2349" s="1" t="s">
        <v>260</v>
      </c>
      <c r="GK2349" s="1" t="s">
        <v>210</v>
      </c>
      <c r="GL2349" s="2">
        <v>42096</v>
      </c>
    </row>
    <row r="2350" spans="1:195">
      <c r="A2350" s="1">
        <v>128000</v>
      </c>
      <c r="B2350" s="1" t="s">
        <v>195</v>
      </c>
      <c r="C2350" s="1" t="str">
        <f>"08818022"</f>
        <v>08818022</v>
      </c>
      <c r="D2350" s="1" t="s">
        <v>196</v>
      </c>
      <c r="F2350" s="1" t="str">
        <f>"560"</f>
        <v>560</v>
      </c>
      <c r="G2350" s="2">
        <v>42020</v>
      </c>
      <c r="H2350" s="1">
        <v>129900</v>
      </c>
      <c r="I2350" s="1">
        <v>129900</v>
      </c>
      <c r="J2350" s="1">
        <v>128000</v>
      </c>
      <c r="K2350" s="2">
        <v>42019</v>
      </c>
      <c r="L2350" s="1">
        <v>9</v>
      </c>
      <c r="M2350" s="2">
        <v>42027</v>
      </c>
      <c r="N2350" s="1">
        <v>9</v>
      </c>
      <c r="O2350" s="2">
        <v>42027</v>
      </c>
      <c r="P2350" s="1">
        <v>23196</v>
      </c>
      <c r="Q2350" s="1" t="s">
        <v>423</v>
      </c>
      <c r="R2350" s="2">
        <v>42075</v>
      </c>
      <c r="S2350" s="1">
        <v>233155</v>
      </c>
      <c r="T2350" s="1">
        <v>3840</v>
      </c>
      <c r="U2350" s="1">
        <v>409</v>
      </c>
      <c r="V2350" s="1" t="s">
        <v>15354</v>
      </c>
      <c r="W2350" s="1" t="s">
        <v>725</v>
      </c>
      <c r="X2350" s="1" t="s">
        <v>527</v>
      </c>
      <c r="Y2350" s="1">
        <v>2</v>
      </c>
      <c r="Z2350" s="1" t="s">
        <v>200</v>
      </c>
      <c r="AA2350" s="1" t="s">
        <v>484</v>
      </c>
      <c r="AB2350" s="1">
        <v>60560</v>
      </c>
      <c r="AE2350" s="1" t="s">
        <v>14626</v>
      </c>
      <c r="AF2350" s="1">
        <v>1993</v>
      </c>
      <c r="AG2350" s="1" t="s">
        <v>204</v>
      </c>
      <c r="AH2350" s="1" t="s">
        <v>487</v>
      </c>
      <c r="AI2350" s="1" t="s">
        <v>453</v>
      </c>
      <c r="AJ2350" s="1" t="s">
        <v>454</v>
      </c>
      <c r="AL2350" s="1">
        <v>7</v>
      </c>
      <c r="AM2350" s="1">
        <v>2</v>
      </c>
      <c r="AN2350" s="1">
        <v>2</v>
      </c>
      <c r="AO2350" s="1">
        <v>1</v>
      </c>
      <c r="AP2350" s="1" t="s">
        <v>209</v>
      </c>
      <c r="AR2350" s="1" t="s">
        <v>209</v>
      </c>
      <c r="AS2350" s="1" t="s">
        <v>213</v>
      </c>
      <c r="AT2350" s="1" t="s">
        <v>211</v>
      </c>
      <c r="AU2350" s="1">
        <v>1</v>
      </c>
      <c r="AW2350" s="1" t="s">
        <v>204</v>
      </c>
      <c r="AX2350" s="1" t="s">
        <v>20555</v>
      </c>
      <c r="AZ2350" s="1">
        <v>4322.5200000000004</v>
      </c>
      <c r="BA2350" s="1">
        <v>2013</v>
      </c>
      <c r="BE2350" s="1">
        <v>1292</v>
      </c>
      <c r="BF2350" s="1">
        <v>1</v>
      </c>
      <c r="BG2350" s="1">
        <v>0</v>
      </c>
      <c r="BL2350" s="1">
        <v>0</v>
      </c>
      <c r="BM2350" s="1" t="s">
        <v>204</v>
      </c>
      <c r="BN2350" s="1" t="s">
        <v>213</v>
      </c>
      <c r="BO2350" s="1">
        <v>999</v>
      </c>
      <c r="BP2350" s="1" t="s">
        <v>204</v>
      </c>
      <c r="BR2350" s="1" t="str">
        <f>"0228383038"</f>
        <v>0228383038</v>
      </c>
      <c r="BT2350" s="1" t="s">
        <v>20556</v>
      </c>
      <c r="BX2350" s="1">
        <v>115</v>
      </c>
      <c r="BY2350" s="1">
        <v>115</v>
      </c>
      <c r="BZ2350" s="1">
        <v>115</v>
      </c>
      <c r="CB2350" s="1" t="str">
        <f t="shared" ref="CB2350:CC2350" si="1801">""</f>
        <v/>
      </c>
      <c r="CC2350" s="1" t="str">
        <f t="shared" si="1801"/>
        <v/>
      </c>
      <c r="CG2350" s="1" t="s">
        <v>1045</v>
      </c>
      <c r="CH2350" s="1" t="s">
        <v>219</v>
      </c>
      <c r="CI2350" s="1" t="s">
        <v>229</v>
      </c>
      <c r="CK2350" s="1" t="s">
        <v>461</v>
      </c>
      <c r="CL2350" s="1" t="s">
        <v>219</v>
      </c>
      <c r="CM2350" s="1" t="s">
        <v>220</v>
      </c>
      <c r="CO2350" s="1" t="s">
        <v>2841</v>
      </c>
      <c r="CP2350" s="1" t="s">
        <v>219</v>
      </c>
      <c r="CQ2350" s="1" t="s">
        <v>342</v>
      </c>
      <c r="CS2350" s="1" t="s">
        <v>378</v>
      </c>
      <c r="CT2350" s="1" t="s">
        <v>219</v>
      </c>
      <c r="CU2350" s="1" t="s">
        <v>220</v>
      </c>
      <c r="CX2350" s="1" t="s">
        <v>224</v>
      </c>
      <c r="DB2350" s="1" t="s">
        <v>224</v>
      </c>
      <c r="DE2350" s="1" t="s">
        <v>2841</v>
      </c>
      <c r="DF2350" s="1" t="s">
        <v>219</v>
      </c>
      <c r="DG2350" s="1" t="s">
        <v>342</v>
      </c>
      <c r="DI2350" s="1" t="s">
        <v>932</v>
      </c>
      <c r="DJ2350" s="1" t="s">
        <v>43</v>
      </c>
      <c r="DK2350" s="1" t="s">
        <v>220</v>
      </c>
      <c r="DM2350" s="1" t="s">
        <v>227</v>
      </c>
      <c r="DR2350" s="1" t="s">
        <v>315</v>
      </c>
      <c r="DS2350" s="1" t="s">
        <v>43</v>
      </c>
      <c r="DT2350" s="1" t="s">
        <v>220</v>
      </c>
      <c r="DW2350" s="1" t="s">
        <v>230</v>
      </c>
      <c r="EA2350" s="1" t="s">
        <v>230</v>
      </c>
      <c r="EE2350" s="1" t="s">
        <v>230</v>
      </c>
      <c r="EI2350" s="1" t="s">
        <v>230</v>
      </c>
      <c r="EL2350" s="1" t="s">
        <v>382</v>
      </c>
      <c r="EM2350" s="1" t="s">
        <v>319</v>
      </c>
      <c r="EN2350" s="1" t="s">
        <v>282</v>
      </c>
      <c r="EO2350" s="1" t="s">
        <v>234</v>
      </c>
      <c r="ER2350" s="1" t="s">
        <v>351</v>
      </c>
      <c r="EV2350" s="1" t="s">
        <v>324</v>
      </c>
      <c r="EW2350" s="1" t="s">
        <v>210</v>
      </c>
      <c r="EY2350" s="1" t="s">
        <v>242</v>
      </c>
      <c r="EZ2350" s="1" t="s">
        <v>227</v>
      </c>
      <c r="FD2350" s="1" t="s">
        <v>246</v>
      </c>
      <c r="FE2350" s="1" t="s">
        <v>472</v>
      </c>
      <c r="FF2350" s="1" t="s">
        <v>248</v>
      </c>
      <c r="FH2350" s="1" t="s">
        <v>442</v>
      </c>
      <c r="FJ2350" s="1" t="s">
        <v>518</v>
      </c>
      <c r="FL2350" s="1" t="s">
        <v>358</v>
      </c>
      <c r="FM2350" s="1" t="s">
        <v>252</v>
      </c>
      <c r="FN2350" s="1" t="s">
        <v>213</v>
      </c>
      <c r="FO2350" s="1" t="s">
        <v>213</v>
      </c>
      <c r="FQ2350" s="1" t="s">
        <v>689</v>
      </c>
      <c r="FR2350" s="1" t="s">
        <v>210</v>
      </c>
      <c r="FS2350" s="1" t="s">
        <v>14654</v>
      </c>
      <c r="FT2350" s="1" t="s">
        <v>584</v>
      </c>
      <c r="FU2350" s="1" t="s">
        <v>204</v>
      </c>
      <c r="FW2350" s="1" t="s">
        <v>813</v>
      </c>
      <c r="FX2350" s="1">
        <v>22588</v>
      </c>
      <c r="FY2350" s="1" t="s">
        <v>2685</v>
      </c>
      <c r="FZ2350" s="1" t="s">
        <v>6282</v>
      </c>
      <c r="GA2350" s="1">
        <v>222152</v>
      </c>
      <c r="GB2350" s="1" t="s">
        <v>6283</v>
      </c>
      <c r="GC2350" s="1">
        <v>226878</v>
      </c>
      <c r="GD2350" s="1" t="s">
        <v>6284</v>
      </c>
      <c r="GE2350" s="1" t="s">
        <v>210</v>
      </c>
      <c r="GI2350" s="1" t="s">
        <v>213</v>
      </c>
      <c r="GJ2350" s="1" t="s">
        <v>260</v>
      </c>
      <c r="GK2350" s="1" t="s">
        <v>210</v>
      </c>
      <c r="GL2350" s="2">
        <v>42075</v>
      </c>
      <c r="GM2350" s="1" t="s">
        <v>14655</v>
      </c>
    </row>
    <row r="2351" spans="1:195">
      <c r="A2351" s="1">
        <v>61000</v>
      </c>
      <c r="B2351" s="1" t="s">
        <v>195</v>
      </c>
      <c r="C2351" s="1" t="str">
        <f>"08818722"</f>
        <v>08818722</v>
      </c>
      <c r="D2351" s="1" t="s">
        <v>196</v>
      </c>
      <c r="F2351" s="1" t="str">
        <f>"516"</f>
        <v>516</v>
      </c>
      <c r="G2351" s="2">
        <v>42022</v>
      </c>
      <c r="H2351" s="1">
        <v>78900</v>
      </c>
      <c r="I2351" s="1">
        <v>65000</v>
      </c>
      <c r="J2351" s="1">
        <v>61000</v>
      </c>
      <c r="K2351" s="2">
        <v>42020</v>
      </c>
      <c r="L2351" s="1">
        <v>95</v>
      </c>
      <c r="M2351" s="2">
        <v>42114</v>
      </c>
      <c r="N2351" s="1">
        <v>95</v>
      </c>
      <c r="O2351" s="2">
        <v>42114</v>
      </c>
      <c r="P2351" s="1">
        <v>72502</v>
      </c>
      <c r="Q2351" s="1" t="s">
        <v>302</v>
      </c>
      <c r="R2351" s="2">
        <v>42142</v>
      </c>
      <c r="S2351" s="1">
        <v>702930</v>
      </c>
      <c r="U2351" s="1" t="s">
        <v>20557</v>
      </c>
      <c r="V2351" s="1" t="s">
        <v>10484</v>
      </c>
      <c r="X2351" s="1">
        <v>103</v>
      </c>
      <c r="Y2351" s="1">
        <v>16</v>
      </c>
      <c r="Z2351" s="1" t="s">
        <v>249</v>
      </c>
      <c r="AA2351" s="1" t="s">
        <v>1417</v>
      </c>
      <c r="AB2351" s="1">
        <v>60527</v>
      </c>
      <c r="AE2351" s="1" t="s">
        <v>20558</v>
      </c>
      <c r="AF2351" s="1">
        <v>1981</v>
      </c>
      <c r="AG2351" s="1" t="s">
        <v>204</v>
      </c>
      <c r="AH2351" s="1" t="s">
        <v>1419</v>
      </c>
      <c r="AI2351" s="1" t="s">
        <v>206</v>
      </c>
      <c r="AJ2351" s="1" t="s">
        <v>903</v>
      </c>
      <c r="AL2351" s="1">
        <v>5</v>
      </c>
      <c r="AM2351" s="1">
        <v>2</v>
      </c>
      <c r="AN2351" s="1">
        <v>1</v>
      </c>
      <c r="AO2351" s="1">
        <v>0</v>
      </c>
      <c r="AP2351" s="1" t="s">
        <v>210</v>
      </c>
      <c r="AR2351" s="1" t="s">
        <v>210</v>
      </c>
      <c r="AS2351" s="1" t="s">
        <v>204</v>
      </c>
      <c r="AT2351" s="1" t="s">
        <v>210</v>
      </c>
      <c r="AW2351" s="1" t="s">
        <v>204</v>
      </c>
      <c r="AX2351" s="1" t="s">
        <v>270</v>
      </c>
      <c r="AZ2351" s="1">
        <v>946</v>
      </c>
      <c r="BA2351" s="1">
        <v>2013</v>
      </c>
      <c r="BE2351" s="1">
        <v>1026</v>
      </c>
      <c r="BF2351" s="1">
        <v>1</v>
      </c>
      <c r="BG2351" s="1">
        <v>30</v>
      </c>
      <c r="BL2351" s="1">
        <v>309</v>
      </c>
      <c r="BM2351" s="1" t="s">
        <v>204</v>
      </c>
      <c r="BN2351" s="1" t="s">
        <v>213</v>
      </c>
      <c r="BO2351" s="1">
        <v>999</v>
      </c>
      <c r="BP2351" s="1" t="s">
        <v>204</v>
      </c>
      <c r="BR2351" s="1" t="str">
        <f>"1002307083"</f>
        <v>1002307083</v>
      </c>
      <c r="BT2351" s="1" t="s">
        <v>20559</v>
      </c>
      <c r="BX2351" s="1">
        <v>180</v>
      </c>
      <c r="BY2351" s="1">
        <v>180</v>
      </c>
      <c r="BZ2351" s="1">
        <v>86</v>
      </c>
      <c r="CB2351" s="1" t="str">
        <f t="shared" ref="CB2351:CC2351" si="1802">""</f>
        <v/>
      </c>
      <c r="CC2351" s="1" t="str">
        <f t="shared" si="1802"/>
        <v/>
      </c>
      <c r="CG2351" s="1" t="s">
        <v>628</v>
      </c>
      <c r="CH2351" s="1" t="s">
        <v>219</v>
      </c>
      <c r="CK2351" s="1" t="s">
        <v>1533</v>
      </c>
      <c r="CL2351" s="1" t="s">
        <v>219</v>
      </c>
      <c r="CO2351" s="1" t="s">
        <v>3284</v>
      </c>
      <c r="CP2351" s="1" t="s">
        <v>219</v>
      </c>
      <c r="CS2351" s="1" t="s">
        <v>539</v>
      </c>
      <c r="CT2351" s="1" t="s">
        <v>219</v>
      </c>
      <c r="CX2351" s="1" t="s">
        <v>224</v>
      </c>
      <c r="DB2351" s="1" t="s">
        <v>224</v>
      </c>
      <c r="DE2351" s="1" t="s">
        <v>3284</v>
      </c>
      <c r="DF2351" s="1" t="s">
        <v>219</v>
      </c>
      <c r="DJ2351" s="1" t="s">
        <v>224</v>
      </c>
      <c r="DS2351" s="1" t="s">
        <v>230</v>
      </c>
      <c r="DW2351" s="1" t="s">
        <v>230</v>
      </c>
      <c r="EA2351" s="1" t="s">
        <v>230</v>
      </c>
      <c r="EE2351" s="1" t="s">
        <v>230</v>
      </c>
      <c r="EI2351" s="1" t="s">
        <v>230</v>
      </c>
      <c r="EL2351" s="1" t="s">
        <v>231</v>
      </c>
      <c r="EM2351" s="1" t="s">
        <v>319</v>
      </c>
      <c r="EN2351" s="1" t="s">
        <v>282</v>
      </c>
      <c r="EO2351" s="1" t="s">
        <v>234</v>
      </c>
      <c r="ER2351" s="1" t="s">
        <v>210</v>
      </c>
      <c r="EW2351" s="1" t="s">
        <v>20560</v>
      </c>
      <c r="EZ2351" s="1" t="s">
        <v>287</v>
      </c>
      <c r="FB2351" s="1" t="s">
        <v>244</v>
      </c>
      <c r="FD2351" s="1" t="s">
        <v>888</v>
      </c>
      <c r="FE2351" s="1" t="s">
        <v>247</v>
      </c>
      <c r="FF2351" s="1" t="s">
        <v>248</v>
      </c>
      <c r="FH2351" s="1" t="s">
        <v>249</v>
      </c>
      <c r="FL2351" s="1" t="s">
        <v>4215</v>
      </c>
      <c r="FM2351" s="1" t="s">
        <v>252</v>
      </c>
      <c r="FN2351" s="1" t="s">
        <v>213</v>
      </c>
      <c r="FO2351" s="1" t="s">
        <v>213</v>
      </c>
      <c r="FQ2351" s="1" t="s">
        <v>689</v>
      </c>
      <c r="FR2351" s="1" t="s">
        <v>210</v>
      </c>
      <c r="FS2351" s="1" t="s">
        <v>475</v>
      </c>
      <c r="FT2351" s="1" t="s">
        <v>4511</v>
      </c>
      <c r="FU2351" s="1" t="s">
        <v>204</v>
      </c>
      <c r="FW2351" s="1" t="s">
        <v>4512</v>
      </c>
      <c r="FX2351" s="1">
        <v>84804</v>
      </c>
      <c r="FY2351" s="1" t="s">
        <v>4513</v>
      </c>
      <c r="FZ2351" s="1" t="s">
        <v>4514</v>
      </c>
      <c r="GA2351" s="1">
        <v>141005</v>
      </c>
      <c r="GB2351" s="1" t="s">
        <v>4513</v>
      </c>
      <c r="GE2351" s="1" t="s">
        <v>480</v>
      </c>
      <c r="GI2351" s="1" t="s">
        <v>204</v>
      </c>
      <c r="GJ2351" s="1" t="s">
        <v>260</v>
      </c>
      <c r="GK2351" s="1" t="s">
        <v>210</v>
      </c>
      <c r="GL2351" s="2">
        <v>42145</v>
      </c>
      <c r="GM2351" s="1" t="s">
        <v>20561</v>
      </c>
    </row>
    <row r="2352" spans="1:195">
      <c r="A2352" s="1">
        <v>215000</v>
      </c>
      <c r="B2352" s="1" t="s">
        <v>195</v>
      </c>
      <c r="C2352" s="1" t="str">
        <f>"08820557"</f>
        <v>08820557</v>
      </c>
      <c r="D2352" s="1" t="s">
        <v>196</v>
      </c>
      <c r="F2352" s="1" t="str">
        <f>"108"</f>
        <v>108</v>
      </c>
      <c r="G2352" s="2">
        <v>42024</v>
      </c>
      <c r="H2352" s="1">
        <v>200000</v>
      </c>
      <c r="I2352" s="1">
        <v>200000</v>
      </c>
      <c r="J2352" s="1">
        <v>215000</v>
      </c>
      <c r="K2352" s="2">
        <v>42024</v>
      </c>
      <c r="L2352" s="1">
        <v>7</v>
      </c>
      <c r="M2352" s="2">
        <v>42030</v>
      </c>
      <c r="N2352" s="1">
        <v>7</v>
      </c>
      <c r="O2352" s="2">
        <v>42030</v>
      </c>
      <c r="P2352" s="1">
        <v>8965</v>
      </c>
      <c r="Q2352" s="1" t="s">
        <v>197</v>
      </c>
      <c r="R2352" s="2">
        <v>42082</v>
      </c>
      <c r="S2352" s="1">
        <v>922874</v>
      </c>
      <c r="U2352" s="1">
        <v>220</v>
      </c>
      <c r="V2352" s="1" t="s">
        <v>10377</v>
      </c>
      <c r="W2352" s="1" t="s">
        <v>504</v>
      </c>
      <c r="X2352" s="1">
        <v>220</v>
      </c>
      <c r="Y2352" s="1">
        <v>4</v>
      </c>
      <c r="Z2352" s="1" t="s">
        <v>370</v>
      </c>
      <c r="AA2352" s="1" t="s">
        <v>829</v>
      </c>
      <c r="AB2352" s="1">
        <v>60108</v>
      </c>
      <c r="AD2352" s="1" t="s">
        <v>20562</v>
      </c>
      <c r="AE2352" s="1" t="s">
        <v>20563</v>
      </c>
      <c r="AF2352" s="1">
        <v>1988</v>
      </c>
      <c r="AG2352" s="1" t="s">
        <v>204</v>
      </c>
      <c r="AH2352" s="1" t="s">
        <v>269</v>
      </c>
      <c r="AI2352" s="1" t="s">
        <v>206</v>
      </c>
      <c r="AJ2352" s="1" t="s">
        <v>269</v>
      </c>
      <c r="AL2352" s="1">
        <v>10</v>
      </c>
      <c r="AM2352" s="1">
        <v>2</v>
      </c>
      <c r="AN2352" s="1">
        <v>2</v>
      </c>
      <c r="AO2352" s="1">
        <v>1</v>
      </c>
      <c r="AP2352" s="1" t="s">
        <v>455</v>
      </c>
      <c r="AQ2352" s="1">
        <v>1</v>
      </c>
      <c r="AR2352" s="1" t="s">
        <v>209</v>
      </c>
      <c r="AS2352" s="1" t="s">
        <v>213</v>
      </c>
      <c r="AT2352" s="1" t="s">
        <v>211</v>
      </c>
      <c r="AU2352" s="1">
        <v>1</v>
      </c>
      <c r="AW2352" s="1" t="s">
        <v>204</v>
      </c>
      <c r="AX2352" s="1">
        <v>2193</v>
      </c>
      <c r="AZ2352" s="1">
        <v>5891</v>
      </c>
      <c r="BA2352" s="1">
        <v>2013</v>
      </c>
      <c r="BE2352" s="1">
        <v>2014</v>
      </c>
      <c r="BF2352" s="1">
        <v>1</v>
      </c>
      <c r="BG2352" s="1">
        <v>0</v>
      </c>
      <c r="BJ2352" s="1">
        <v>85</v>
      </c>
      <c r="BL2352" s="1">
        <v>235</v>
      </c>
      <c r="BM2352" s="1" t="s">
        <v>204</v>
      </c>
      <c r="BN2352" s="1" t="s">
        <v>213</v>
      </c>
      <c r="BO2352" s="1">
        <v>999</v>
      </c>
      <c r="BP2352" s="1" t="s">
        <v>204</v>
      </c>
      <c r="BR2352" s="1" t="str">
        <f>"0223203063"</f>
        <v>0223203063</v>
      </c>
      <c r="BT2352" s="1" t="s">
        <v>20564</v>
      </c>
      <c r="BX2352" s="1">
        <v>15</v>
      </c>
      <c r="BY2352" s="1">
        <v>15</v>
      </c>
      <c r="BZ2352" s="1">
        <v>87</v>
      </c>
      <c r="CB2352" s="1" t="str">
        <f t="shared" ref="CB2352:CB2353" si="1803">"4"</f>
        <v>4</v>
      </c>
      <c r="CC2352" s="1" t="str">
        <f>""</f>
        <v/>
      </c>
      <c r="CD2352" s="1">
        <v>22</v>
      </c>
      <c r="CG2352" s="1" t="s">
        <v>314</v>
      </c>
      <c r="CH2352" s="1" t="s">
        <v>219</v>
      </c>
      <c r="CI2352" s="1" t="s">
        <v>438</v>
      </c>
      <c r="CJ2352" s="1" t="s">
        <v>463</v>
      </c>
      <c r="CK2352" s="1" t="s">
        <v>1533</v>
      </c>
      <c r="CL2352" s="1" t="s">
        <v>277</v>
      </c>
      <c r="CM2352" s="1" t="s">
        <v>229</v>
      </c>
      <c r="CN2352" s="1" t="s">
        <v>909</v>
      </c>
      <c r="CO2352" s="1" t="s">
        <v>380</v>
      </c>
      <c r="CP2352" s="1" t="s">
        <v>219</v>
      </c>
      <c r="CQ2352" s="1" t="s">
        <v>438</v>
      </c>
      <c r="CS2352" s="1" t="s">
        <v>348</v>
      </c>
      <c r="CT2352" s="1" t="s">
        <v>277</v>
      </c>
      <c r="CU2352" s="1" t="s">
        <v>229</v>
      </c>
      <c r="CV2352" s="1" t="s">
        <v>343</v>
      </c>
      <c r="CW2352" s="1" t="s">
        <v>836</v>
      </c>
      <c r="CX2352" s="1" t="s">
        <v>43</v>
      </c>
      <c r="CY2352" s="1" t="s">
        <v>220</v>
      </c>
      <c r="DB2352" s="1" t="s">
        <v>224</v>
      </c>
      <c r="DE2352" s="1" t="s">
        <v>380</v>
      </c>
      <c r="DF2352" s="1" t="s">
        <v>219</v>
      </c>
      <c r="DG2352" s="1" t="s">
        <v>226</v>
      </c>
      <c r="DI2352" s="1" t="s">
        <v>318</v>
      </c>
      <c r="DJ2352" s="1" t="s">
        <v>43</v>
      </c>
      <c r="DK2352" s="1" t="s">
        <v>220</v>
      </c>
      <c r="DM2352" s="1" t="s">
        <v>464</v>
      </c>
      <c r="DN2352" s="1" t="s">
        <v>934</v>
      </c>
      <c r="DO2352" s="1" t="s">
        <v>411</v>
      </c>
      <c r="DR2352" s="1" t="s">
        <v>516</v>
      </c>
      <c r="DS2352" s="1" t="s">
        <v>277</v>
      </c>
      <c r="DT2352" s="1" t="s">
        <v>229</v>
      </c>
      <c r="DV2352" s="1" t="s">
        <v>379</v>
      </c>
      <c r="DW2352" s="1" t="s">
        <v>43</v>
      </c>
      <c r="DX2352" s="1" t="s">
        <v>220</v>
      </c>
      <c r="DZ2352" s="1" t="s">
        <v>318</v>
      </c>
      <c r="EA2352" s="1" t="s">
        <v>43</v>
      </c>
      <c r="EB2352" s="1" t="s">
        <v>220</v>
      </c>
      <c r="EE2352" s="1" t="s">
        <v>230</v>
      </c>
      <c r="EI2352" s="1" t="s">
        <v>230</v>
      </c>
      <c r="EL2352" s="1" t="s">
        <v>542</v>
      </c>
      <c r="EM2352" s="1" t="s">
        <v>232</v>
      </c>
      <c r="EN2352" s="1" t="s">
        <v>282</v>
      </c>
      <c r="EO2352" s="1" t="s">
        <v>1020</v>
      </c>
      <c r="EQ2352" s="1" t="s">
        <v>1551</v>
      </c>
      <c r="ER2352" s="1" t="s">
        <v>544</v>
      </c>
      <c r="ES2352" s="1" t="s">
        <v>954</v>
      </c>
      <c r="ET2352" s="1" t="s">
        <v>323</v>
      </c>
      <c r="EU2352" s="1" t="s">
        <v>5503</v>
      </c>
      <c r="EV2352" s="1" t="s">
        <v>240</v>
      </c>
      <c r="EW2352" s="1" t="s">
        <v>887</v>
      </c>
      <c r="EZ2352" s="1" t="s">
        <v>20565</v>
      </c>
      <c r="FA2352" s="1" t="s">
        <v>2291</v>
      </c>
      <c r="FB2352" s="1" t="s">
        <v>289</v>
      </c>
      <c r="FC2352" s="1" t="s">
        <v>326</v>
      </c>
      <c r="FD2352" s="1" t="s">
        <v>495</v>
      </c>
      <c r="FE2352" s="1" t="s">
        <v>2016</v>
      </c>
      <c r="FF2352" s="1" t="s">
        <v>248</v>
      </c>
      <c r="FG2352" s="1" t="s">
        <v>939</v>
      </c>
      <c r="FH2352" s="1" t="s">
        <v>20566</v>
      </c>
      <c r="FI2352" s="1" t="s">
        <v>357</v>
      </c>
      <c r="FJ2352" s="1" t="s">
        <v>10837</v>
      </c>
      <c r="FL2352" s="1" t="s">
        <v>358</v>
      </c>
      <c r="FM2352" s="1" t="s">
        <v>252</v>
      </c>
      <c r="FN2352" s="1" t="s">
        <v>213</v>
      </c>
      <c r="FO2352" s="1" t="s">
        <v>213</v>
      </c>
      <c r="FQ2352" s="1" t="s">
        <v>7855</v>
      </c>
      <c r="FR2352" s="1" t="s">
        <v>210</v>
      </c>
      <c r="FS2352" s="1" t="s">
        <v>20545</v>
      </c>
      <c r="FT2352" s="1" t="s">
        <v>1182</v>
      </c>
      <c r="FU2352" s="1" t="s">
        <v>213</v>
      </c>
      <c r="FW2352" s="1" t="s">
        <v>3132</v>
      </c>
      <c r="FX2352" s="1">
        <v>8666</v>
      </c>
      <c r="FY2352" s="1" t="s">
        <v>3133</v>
      </c>
      <c r="FZ2352" s="1" t="s">
        <v>18241</v>
      </c>
      <c r="GA2352" s="1">
        <v>26083</v>
      </c>
      <c r="GB2352" s="1" t="s">
        <v>18242</v>
      </c>
      <c r="GE2352" s="1" t="s">
        <v>210</v>
      </c>
      <c r="GI2352" s="1" t="s">
        <v>213</v>
      </c>
      <c r="GJ2352" s="1" t="s">
        <v>260</v>
      </c>
      <c r="GK2352" s="1" t="s">
        <v>210</v>
      </c>
      <c r="GL2352" s="2">
        <v>42083</v>
      </c>
      <c r="GM2352" s="1" t="s">
        <v>20567</v>
      </c>
    </row>
    <row r="2353" spans="1:195">
      <c r="A2353" s="1">
        <v>70100</v>
      </c>
      <c r="B2353" s="1" t="s">
        <v>195</v>
      </c>
      <c r="C2353" s="1" t="str">
        <f>"08818534"</f>
        <v>08818534</v>
      </c>
      <c r="D2353" s="1" t="s">
        <v>196</v>
      </c>
      <c r="F2353" s="1" t="str">
        <f>"101"</f>
        <v>101</v>
      </c>
      <c r="G2353" s="2">
        <v>42021</v>
      </c>
      <c r="H2353" s="1">
        <v>62000</v>
      </c>
      <c r="I2353" s="1">
        <v>62000</v>
      </c>
      <c r="J2353" s="1">
        <v>70100</v>
      </c>
      <c r="K2353" s="2">
        <v>42021</v>
      </c>
      <c r="L2353" s="1">
        <v>4</v>
      </c>
      <c r="M2353" s="2">
        <v>42024</v>
      </c>
      <c r="N2353" s="1">
        <v>4</v>
      </c>
      <c r="O2353" s="2">
        <v>42024</v>
      </c>
      <c r="P2353" s="1">
        <v>24229</v>
      </c>
      <c r="Q2353" s="1" t="s">
        <v>197</v>
      </c>
      <c r="R2353" s="2">
        <v>42116</v>
      </c>
      <c r="S2353" s="1">
        <v>243610</v>
      </c>
      <c r="U2353" s="1">
        <v>962</v>
      </c>
      <c r="V2353" s="1" t="s">
        <v>20568</v>
      </c>
      <c r="W2353" s="1" t="s">
        <v>1056</v>
      </c>
      <c r="X2353" s="1" t="s">
        <v>20569</v>
      </c>
      <c r="Y2353" s="1">
        <v>3</v>
      </c>
      <c r="Z2353" s="1" t="s">
        <v>249</v>
      </c>
      <c r="AA2353" s="1" t="s">
        <v>2631</v>
      </c>
      <c r="AB2353" s="1">
        <v>60101</v>
      </c>
      <c r="AE2353" s="1" t="s">
        <v>20570</v>
      </c>
      <c r="AF2353" s="1">
        <v>1979</v>
      </c>
      <c r="AG2353" s="1" t="s">
        <v>204</v>
      </c>
      <c r="AH2353" s="1" t="s">
        <v>1233</v>
      </c>
      <c r="AI2353" s="1" t="s">
        <v>206</v>
      </c>
      <c r="AJ2353" s="1" t="s">
        <v>269</v>
      </c>
      <c r="AL2353" s="1">
        <v>5</v>
      </c>
      <c r="AM2353" s="1">
        <v>2</v>
      </c>
      <c r="AN2353" s="1">
        <v>1</v>
      </c>
      <c r="AO2353" s="1">
        <v>1</v>
      </c>
      <c r="AP2353" s="1" t="s">
        <v>667</v>
      </c>
      <c r="AR2353" s="1" t="s">
        <v>210</v>
      </c>
      <c r="AS2353" s="1" t="s">
        <v>204</v>
      </c>
      <c r="AT2353" s="1" t="s">
        <v>271</v>
      </c>
      <c r="AV2353" s="1">
        <v>1</v>
      </c>
      <c r="AW2353" s="1" t="s">
        <v>204</v>
      </c>
      <c r="AX2353" s="1" t="s">
        <v>212</v>
      </c>
      <c r="AZ2353" s="1">
        <v>1204</v>
      </c>
      <c r="BA2353" s="1">
        <v>2013</v>
      </c>
      <c r="BB2353" s="1" t="s">
        <v>405</v>
      </c>
      <c r="BE2353" s="1">
        <v>922</v>
      </c>
      <c r="BF2353" s="1">
        <v>1</v>
      </c>
      <c r="BG2353" s="1">
        <v>0</v>
      </c>
      <c r="BL2353" s="1">
        <v>199</v>
      </c>
      <c r="BM2353" s="1" t="s">
        <v>204</v>
      </c>
      <c r="BN2353" s="1" t="s">
        <v>204</v>
      </c>
      <c r="BP2353" s="1" t="s">
        <v>204</v>
      </c>
      <c r="BR2353" s="1" t="str">
        <f>"0224210013"</f>
        <v>0224210013</v>
      </c>
      <c r="BT2353" s="1" t="s">
        <v>20571</v>
      </c>
      <c r="BU2353" s="1" t="s">
        <v>15057</v>
      </c>
      <c r="BV2353" s="1" t="s">
        <v>2720</v>
      </c>
      <c r="BW2353" s="1" t="s">
        <v>2721</v>
      </c>
      <c r="BX2353" s="1">
        <v>4</v>
      </c>
      <c r="BY2353" s="1">
        <v>4</v>
      </c>
      <c r="BZ2353" s="1">
        <v>88</v>
      </c>
      <c r="CB2353" s="1" t="str">
        <f t="shared" si="1803"/>
        <v>4</v>
      </c>
      <c r="CC2353" s="1" t="str">
        <f t="shared" ref="CC2353:CC2354" si="1804">"0"</f>
        <v>0</v>
      </c>
      <c r="CD2353" s="1">
        <v>21</v>
      </c>
      <c r="CE2353" s="1">
        <v>0</v>
      </c>
      <c r="CG2353" s="1" t="s">
        <v>932</v>
      </c>
      <c r="CH2353" s="1" t="s">
        <v>219</v>
      </c>
      <c r="CI2353" s="1" t="s">
        <v>226</v>
      </c>
      <c r="CK2353" s="1" t="s">
        <v>757</v>
      </c>
      <c r="CL2353" s="1" t="s">
        <v>219</v>
      </c>
      <c r="CM2353" s="1" t="s">
        <v>220</v>
      </c>
      <c r="CO2353" s="1" t="s">
        <v>346</v>
      </c>
      <c r="CP2353" s="1" t="s">
        <v>219</v>
      </c>
      <c r="CQ2353" s="1" t="s">
        <v>226</v>
      </c>
      <c r="CS2353" s="1" t="s">
        <v>378</v>
      </c>
      <c r="CT2353" s="1" t="s">
        <v>219</v>
      </c>
      <c r="CU2353" s="1" t="s">
        <v>220</v>
      </c>
      <c r="CX2353" s="1" t="s">
        <v>224</v>
      </c>
      <c r="DB2353" s="1" t="s">
        <v>224</v>
      </c>
      <c r="DE2353" s="1" t="s">
        <v>757</v>
      </c>
      <c r="DF2353" s="1" t="s">
        <v>219</v>
      </c>
      <c r="DG2353" s="1" t="s">
        <v>226</v>
      </c>
      <c r="DJ2353" s="1" t="s">
        <v>224</v>
      </c>
      <c r="DS2353" s="1" t="s">
        <v>230</v>
      </c>
      <c r="DW2353" s="1" t="s">
        <v>230</v>
      </c>
      <c r="EA2353" s="1" t="s">
        <v>230</v>
      </c>
      <c r="EE2353" s="1" t="s">
        <v>230</v>
      </c>
      <c r="EI2353" s="1" t="s">
        <v>230</v>
      </c>
      <c r="EL2353" s="1" t="s">
        <v>231</v>
      </c>
      <c r="EM2353" s="1" t="s">
        <v>232</v>
      </c>
      <c r="EN2353" s="1" t="s">
        <v>1158</v>
      </c>
      <c r="EO2353" s="1" t="s">
        <v>234</v>
      </c>
      <c r="EP2353" s="1" t="s">
        <v>650</v>
      </c>
      <c r="EQ2353" s="1" t="s">
        <v>492</v>
      </c>
      <c r="ER2353" s="1" t="s">
        <v>210</v>
      </c>
      <c r="ES2353" s="1" t="s">
        <v>322</v>
      </c>
      <c r="EU2353" s="1" t="s">
        <v>1517</v>
      </c>
      <c r="EV2353" s="1" t="s">
        <v>240</v>
      </c>
      <c r="EW2353" s="1" t="s">
        <v>1134</v>
      </c>
      <c r="EY2353" s="1" t="s">
        <v>441</v>
      </c>
      <c r="EZ2353" s="1" t="s">
        <v>287</v>
      </c>
      <c r="FD2353" s="1" t="s">
        <v>1112</v>
      </c>
      <c r="FE2353" s="1" t="s">
        <v>247</v>
      </c>
      <c r="FF2353" s="1" t="s">
        <v>387</v>
      </c>
      <c r="FH2353" s="1" t="s">
        <v>249</v>
      </c>
      <c r="FK2353" s="1" t="s">
        <v>291</v>
      </c>
      <c r="FL2353" s="1" t="s">
        <v>292</v>
      </c>
      <c r="FM2353" s="1" t="s">
        <v>252</v>
      </c>
      <c r="FN2353" s="1" t="s">
        <v>213</v>
      </c>
      <c r="FO2353" s="1" t="s">
        <v>213</v>
      </c>
      <c r="FQ2353" s="1" t="s">
        <v>1286</v>
      </c>
      <c r="FR2353" s="1" t="s">
        <v>210</v>
      </c>
      <c r="FS2353" s="1" t="s">
        <v>12353</v>
      </c>
      <c r="FT2353" s="1" t="s">
        <v>1408</v>
      </c>
      <c r="FU2353" s="1" t="s">
        <v>204</v>
      </c>
      <c r="FW2353" s="1" t="s">
        <v>3546</v>
      </c>
      <c r="FX2353" s="1">
        <v>24695</v>
      </c>
      <c r="FY2353" s="1" t="s">
        <v>3547</v>
      </c>
      <c r="FZ2353" s="1" t="s">
        <v>6213</v>
      </c>
      <c r="GA2353" s="1">
        <v>20691</v>
      </c>
      <c r="GB2353" s="1" t="s">
        <v>6214</v>
      </c>
      <c r="GD2353" s="1" t="s">
        <v>6215</v>
      </c>
      <c r="GE2353" s="1" t="s">
        <v>480</v>
      </c>
      <c r="GH2353" s="1" t="s">
        <v>230</v>
      </c>
      <c r="GI2353" s="1" t="s">
        <v>213</v>
      </c>
      <c r="GJ2353" s="1" t="s">
        <v>260</v>
      </c>
      <c r="GK2353" s="1" t="s">
        <v>210</v>
      </c>
      <c r="GL2353" s="2">
        <v>42117</v>
      </c>
      <c r="GM2353" s="1" t="s">
        <v>20572</v>
      </c>
    </row>
    <row r="2354" spans="1:195">
      <c r="A2354" s="1">
        <v>130000</v>
      </c>
      <c r="B2354" s="1" t="s">
        <v>195</v>
      </c>
      <c r="C2354" s="1" t="str">
        <f>"08819811"</f>
        <v>08819811</v>
      </c>
      <c r="D2354" s="1" t="s">
        <v>196</v>
      </c>
      <c r="F2354" s="1" t="str">
        <f>"60"</f>
        <v>60</v>
      </c>
      <c r="G2354" s="2">
        <v>42024</v>
      </c>
      <c r="H2354" s="1">
        <v>120000</v>
      </c>
      <c r="I2354" s="1">
        <v>120000</v>
      </c>
      <c r="J2354" s="1">
        <v>130000</v>
      </c>
      <c r="K2354" s="2">
        <v>42024</v>
      </c>
      <c r="L2354" s="1">
        <v>19</v>
      </c>
      <c r="M2354" s="2">
        <v>42042</v>
      </c>
      <c r="N2354" s="1">
        <v>19</v>
      </c>
      <c r="O2354" s="2">
        <v>42042</v>
      </c>
      <c r="P2354" s="1">
        <v>3811</v>
      </c>
      <c r="Q2354" s="1" t="s">
        <v>302</v>
      </c>
      <c r="R2354" s="2">
        <v>42110</v>
      </c>
      <c r="S2354" s="1">
        <v>33553</v>
      </c>
      <c r="U2354" s="1">
        <v>1331</v>
      </c>
      <c r="V2354" s="1" t="s">
        <v>8281</v>
      </c>
      <c r="W2354" s="1" t="s">
        <v>264</v>
      </c>
      <c r="Y2354" s="1">
        <v>4</v>
      </c>
      <c r="Z2354" s="1" t="s">
        <v>370</v>
      </c>
      <c r="AA2354" s="1" t="s">
        <v>1689</v>
      </c>
      <c r="AB2354" s="1">
        <v>60060</v>
      </c>
      <c r="AD2354" s="1" t="s">
        <v>20573</v>
      </c>
      <c r="AE2354" s="1" t="s">
        <v>20574</v>
      </c>
      <c r="AF2354" s="1">
        <v>1995</v>
      </c>
      <c r="AG2354" s="1" t="s">
        <v>204</v>
      </c>
      <c r="AH2354" s="1" t="s">
        <v>1692</v>
      </c>
      <c r="AI2354" s="1" t="s">
        <v>509</v>
      </c>
      <c r="AJ2354" s="1" t="s">
        <v>510</v>
      </c>
      <c r="AK2354" s="1" t="s">
        <v>20575</v>
      </c>
      <c r="AL2354" s="1">
        <v>5</v>
      </c>
      <c r="AM2354" s="1">
        <v>2</v>
      </c>
      <c r="AN2354" s="1">
        <v>2</v>
      </c>
      <c r="AO2354" s="1">
        <v>1</v>
      </c>
      <c r="AP2354" s="1" t="s">
        <v>209</v>
      </c>
      <c r="AR2354" s="1" t="s">
        <v>210</v>
      </c>
      <c r="AS2354" s="1" t="s">
        <v>204</v>
      </c>
      <c r="AT2354" s="1" t="s">
        <v>211</v>
      </c>
      <c r="AU2354" s="1">
        <v>1</v>
      </c>
      <c r="AW2354" s="1" t="s">
        <v>204</v>
      </c>
      <c r="AX2354" s="1" t="s">
        <v>579</v>
      </c>
      <c r="AZ2354" s="1">
        <v>4839</v>
      </c>
      <c r="BA2354" s="1">
        <v>2013</v>
      </c>
      <c r="BB2354" s="1" t="s">
        <v>405</v>
      </c>
      <c r="BE2354" s="1">
        <v>1340</v>
      </c>
      <c r="BF2354" s="1">
        <v>1</v>
      </c>
      <c r="BG2354" s="1">
        <v>10</v>
      </c>
      <c r="BL2354" s="1">
        <v>207</v>
      </c>
      <c r="BM2354" s="1" t="s">
        <v>204</v>
      </c>
      <c r="BN2354" s="1" t="s">
        <v>213</v>
      </c>
      <c r="BO2354" s="1" t="s">
        <v>432</v>
      </c>
      <c r="BP2354" s="1" t="s">
        <v>204</v>
      </c>
      <c r="BR2354" s="1" t="str">
        <f>"15051070840000"</f>
        <v>15051070840000</v>
      </c>
      <c r="BT2354" s="1" t="s">
        <v>20576</v>
      </c>
      <c r="BU2354" s="1" t="s">
        <v>512</v>
      </c>
      <c r="BV2354" s="1" t="s">
        <v>513</v>
      </c>
      <c r="BW2354" s="1" t="s">
        <v>5840</v>
      </c>
      <c r="BX2354" s="1">
        <v>73</v>
      </c>
      <c r="BY2354" s="1">
        <v>73</v>
      </c>
      <c r="BZ2354" s="1">
        <v>120</v>
      </c>
      <c r="CB2354" s="1" t="str">
        <f>"25"</f>
        <v>25</v>
      </c>
      <c r="CC2354" s="1" t="str">
        <f t="shared" si="1804"/>
        <v>0</v>
      </c>
      <c r="CD2354" s="1">
        <v>7</v>
      </c>
      <c r="CE2354" s="1">
        <v>0</v>
      </c>
      <c r="CG2354" s="1" t="s">
        <v>2042</v>
      </c>
      <c r="CH2354" s="1" t="s">
        <v>219</v>
      </c>
      <c r="CI2354" s="1" t="s">
        <v>229</v>
      </c>
      <c r="CJ2354" s="1" t="s">
        <v>343</v>
      </c>
      <c r="CK2354" s="1" t="s">
        <v>221</v>
      </c>
      <c r="CL2354" s="1" t="s">
        <v>277</v>
      </c>
      <c r="CM2354" s="1" t="s">
        <v>220</v>
      </c>
      <c r="CN2354" s="1" t="s">
        <v>343</v>
      </c>
      <c r="CO2354" s="1" t="s">
        <v>318</v>
      </c>
      <c r="CP2354" s="1" t="s">
        <v>219</v>
      </c>
      <c r="CQ2354" s="1" t="s">
        <v>229</v>
      </c>
      <c r="CR2354" s="1" t="s">
        <v>343</v>
      </c>
      <c r="CS2354" s="1" t="s">
        <v>539</v>
      </c>
      <c r="CT2354" s="1" t="s">
        <v>277</v>
      </c>
      <c r="CU2354" s="1" t="s">
        <v>220</v>
      </c>
      <c r="CV2354" s="1" t="s">
        <v>343</v>
      </c>
      <c r="CX2354" s="1" t="s">
        <v>224</v>
      </c>
      <c r="DB2354" s="1" t="s">
        <v>224</v>
      </c>
      <c r="DE2354" s="1" t="s">
        <v>2071</v>
      </c>
      <c r="DF2354" s="1" t="s">
        <v>219</v>
      </c>
      <c r="DG2354" s="1" t="s">
        <v>226</v>
      </c>
      <c r="DH2354" s="1" t="s">
        <v>343</v>
      </c>
      <c r="DJ2354" s="1" t="s">
        <v>224</v>
      </c>
      <c r="DS2354" s="1" t="s">
        <v>230</v>
      </c>
      <c r="DW2354" s="1" t="s">
        <v>230</v>
      </c>
      <c r="EA2354" s="1" t="s">
        <v>230</v>
      </c>
      <c r="EE2354" s="1" t="s">
        <v>230</v>
      </c>
      <c r="EI2354" s="1" t="s">
        <v>230</v>
      </c>
      <c r="EL2354" s="1" t="s">
        <v>670</v>
      </c>
      <c r="EM2354" s="1" t="s">
        <v>319</v>
      </c>
      <c r="EN2354" s="1" t="s">
        <v>282</v>
      </c>
      <c r="EO2354" s="1" t="s">
        <v>234</v>
      </c>
      <c r="EP2354" s="1" t="s">
        <v>1268</v>
      </c>
      <c r="EQ2354" s="1" t="s">
        <v>492</v>
      </c>
      <c r="ER2354" s="1" t="s">
        <v>210</v>
      </c>
      <c r="ES2354" s="1" t="s">
        <v>865</v>
      </c>
      <c r="EU2354" s="1" t="s">
        <v>6155</v>
      </c>
      <c r="EV2354" s="1" t="s">
        <v>240</v>
      </c>
      <c r="EW2354" s="1" t="s">
        <v>10974</v>
      </c>
      <c r="EZ2354" s="1" t="s">
        <v>287</v>
      </c>
      <c r="FB2354" s="1" t="s">
        <v>289</v>
      </c>
      <c r="FD2354" s="1" t="s">
        <v>5377</v>
      </c>
      <c r="FE2354" s="1" t="s">
        <v>1031</v>
      </c>
      <c r="FF2354" s="1" t="s">
        <v>248</v>
      </c>
      <c r="FH2354" s="1" t="s">
        <v>550</v>
      </c>
      <c r="FJ2354" s="1" t="s">
        <v>197</v>
      </c>
      <c r="FL2354" s="1" t="s">
        <v>358</v>
      </c>
      <c r="FM2354" s="1" t="s">
        <v>252</v>
      </c>
      <c r="FN2354" s="1" t="s">
        <v>213</v>
      </c>
      <c r="FO2354" s="1" t="s">
        <v>213</v>
      </c>
      <c r="FQ2354" s="1" t="s">
        <v>20577</v>
      </c>
      <c r="FR2354" s="1" t="s">
        <v>360</v>
      </c>
      <c r="FS2354" s="1" t="s">
        <v>20578</v>
      </c>
      <c r="FT2354" s="1" t="s">
        <v>295</v>
      </c>
      <c r="FU2354" s="1" t="s">
        <v>204</v>
      </c>
      <c r="FW2354" s="1" t="s">
        <v>18061</v>
      </c>
      <c r="FX2354" s="1">
        <v>3811</v>
      </c>
      <c r="FY2354" s="1" t="s">
        <v>18062</v>
      </c>
      <c r="FZ2354" s="1" t="s">
        <v>20579</v>
      </c>
      <c r="GA2354" s="1">
        <v>34729</v>
      </c>
      <c r="GB2354" s="1" t="s">
        <v>20580</v>
      </c>
      <c r="GE2354" s="1" t="s">
        <v>658</v>
      </c>
      <c r="GI2354" s="1" t="s">
        <v>213</v>
      </c>
      <c r="GJ2354" s="1" t="s">
        <v>260</v>
      </c>
      <c r="GK2354" s="1" t="s">
        <v>210</v>
      </c>
      <c r="GL2354" s="2">
        <v>42114</v>
      </c>
      <c r="GM2354" s="1" t="s">
        <v>20581</v>
      </c>
    </row>
    <row r="2355" spans="1:195">
      <c r="A2355" s="1">
        <v>116000</v>
      </c>
      <c r="B2355" s="1" t="s">
        <v>195</v>
      </c>
      <c r="C2355" s="1" t="str">
        <f>"08817907"</f>
        <v>08817907</v>
      </c>
      <c r="D2355" s="1" t="s">
        <v>196</v>
      </c>
      <c r="F2355" s="1" t="str">
        <f>"187"</f>
        <v>187</v>
      </c>
      <c r="G2355" s="2">
        <v>42020</v>
      </c>
      <c r="H2355" s="1">
        <v>129900</v>
      </c>
      <c r="I2355" s="1">
        <v>129900</v>
      </c>
      <c r="J2355" s="1">
        <v>116000</v>
      </c>
      <c r="K2355" s="2">
        <v>42020</v>
      </c>
      <c r="L2355" s="1">
        <v>16</v>
      </c>
      <c r="M2355" s="2">
        <v>42035</v>
      </c>
      <c r="N2355" s="1">
        <v>16</v>
      </c>
      <c r="O2355" s="2">
        <v>42035</v>
      </c>
      <c r="P2355" s="1">
        <v>3552</v>
      </c>
      <c r="Q2355" s="1" t="s">
        <v>197</v>
      </c>
      <c r="R2355" s="2">
        <v>42090</v>
      </c>
      <c r="S2355" s="1">
        <v>32680</v>
      </c>
      <c r="U2355" s="1">
        <v>1545</v>
      </c>
      <c r="V2355" s="1" t="s">
        <v>10371</v>
      </c>
      <c r="W2355" s="1" t="s">
        <v>504</v>
      </c>
      <c r="X2355" s="1" t="s">
        <v>1688</v>
      </c>
      <c r="Y2355" s="1">
        <v>4</v>
      </c>
      <c r="Z2355" s="1" t="s">
        <v>370</v>
      </c>
      <c r="AA2355" s="1" t="s">
        <v>964</v>
      </c>
      <c r="AB2355" s="1">
        <v>60189</v>
      </c>
      <c r="AE2355" s="1" t="s">
        <v>20582</v>
      </c>
      <c r="AF2355" s="1">
        <v>1974</v>
      </c>
      <c r="AG2355" s="1" t="s">
        <v>213</v>
      </c>
      <c r="AH2355" s="1" t="s">
        <v>967</v>
      </c>
      <c r="AI2355" s="1" t="s">
        <v>206</v>
      </c>
      <c r="AJ2355" s="1" t="s">
        <v>207</v>
      </c>
      <c r="AL2355" s="1">
        <v>5</v>
      </c>
      <c r="AM2355" s="1">
        <v>2</v>
      </c>
      <c r="AN2355" s="1">
        <v>1</v>
      </c>
      <c r="AO2355" s="1">
        <v>1</v>
      </c>
      <c r="AP2355" s="1" t="s">
        <v>667</v>
      </c>
      <c r="AQ2355" s="1">
        <v>0</v>
      </c>
      <c r="AR2355" s="1" t="s">
        <v>210</v>
      </c>
      <c r="AS2355" s="1" t="s">
        <v>204</v>
      </c>
      <c r="AT2355" s="1" t="s">
        <v>211</v>
      </c>
      <c r="AU2355" s="1">
        <v>1</v>
      </c>
      <c r="AW2355" s="1" t="s">
        <v>204</v>
      </c>
      <c r="AX2355" s="1" t="s">
        <v>212</v>
      </c>
      <c r="AZ2355" s="1">
        <v>2494</v>
      </c>
      <c r="BA2355" s="1">
        <v>2013</v>
      </c>
      <c r="BB2355" s="1" t="s">
        <v>405</v>
      </c>
      <c r="BE2355" s="1">
        <v>882</v>
      </c>
      <c r="BF2355" s="1">
        <v>1</v>
      </c>
      <c r="BG2355" s="1">
        <v>0</v>
      </c>
      <c r="BL2355" s="1">
        <v>230</v>
      </c>
      <c r="BM2355" s="1" t="s">
        <v>204</v>
      </c>
      <c r="BN2355" s="1" t="s">
        <v>213</v>
      </c>
      <c r="BO2355" s="1">
        <v>999</v>
      </c>
      <c r="BP2355" s="1" t="s">
        <v>204</v>
      </c>
      <c r="BR2355" s="1" t="str">
        <f>"0520115026"</f>
        <v>0520115026</v>
      </c>
      <c r="BT2355" s="1" t="s">
        <v>20583</v>
      </c>
      <c r="BU2355" s="1" t="s">
        <v>1327</v>
      </c>
      <c r="BV2355" s="1" t="s">
        <v>970</v>
      </c>
      <c r="BW2355" s="1" t="s">
        <v>971</v>
      </c>
      <c r="BX2355" s="1">
        <v>200</v>
      </c>
      <c r="BY2355" s="1">
        <v>200</v>
      </c>
      <c r="BZ2355" s="1">
        <v>200</v>
      </c>
      <c r="CB2355" s="1" t="str">
        <f t="shared" ref="CB2355:CC2355" si="1805">""</f>
        <v/>
      </c>
      <c r="CC2355" s="1" t="str">
        <f t="shared" si="1805"/>
        <v/>
      </c>
      <c r="CD2355" s="1">
        <v>26</v>
      </c>
      <c r="CE2355" s="1">
        <v>1</v>
      </c>
      <c r="CG2355" s="1" t="s">
        <v>581</v>
      </c>
      <c r="CH2355" s="1" t="s">
        <v>219</v>
      </c>
      <c r="CI2355" s="1" t="s">
        <v>220</v>
      </c>
      <c r="CJ2355" s="1" t="s">
        <v>343</v>
      </c>
      <c r="CK2355" s="1" t="s">
        <v>344</v>
      </c>
      <c r="CL2355" s="1" t="s">
        <v>277</v>
      </c>
      <c r="CM2355" s="1" t="s">
        <v>220</v>
      </c>
      <c r="CN2355" s="1" t="s">
        <v>343</v>
      </c>
      <c r="CO2355" s="1" t="s">
        <v>516</v>
      </c>
      <c r="CP2355" s="1" t="s">
        <v>219</v>
      </c>
      <c r="CQ2355" s="1" t="s">
        <v>229</v>
      </c>
      <c r="CR2355" s="1" t="s">
        <v>210</v>
      </c>
      <c r="CS2355" s="1" t="s">
        <v>346</v>
      </c>
      <c r="CT2355" s="1" t="s">
        <v>277</v>
      </c>
      <c r="CU2355" s="1" t="s">
        <v>220</v>
      </c>
      <c r="CV2355" s="1" t="s">
        <v>343</v>
      </c>
      <c r="CX2355" s="1" t="s">
        <v>224</v>
      </c>
      <c r="DB2355" s="1" t="s">
        <v>224</v>
      </c>
      <c r="DE2355" s="1" t="s">
        <v>516</v>
      </c>
      <c r="DF2355" s="1" t="s">
        <v>219</v>
      </c>
      <c r="DG2355" s="1" t="s">
        <v>229</v>
      </c>
      <c r="DH2355" s="1" t="s">
        <v>210</v>
      </c>
      <c r="DJ2355" s="1" t="s">
        <v>224</v>
      </c>
      <c r="DS2355" s="1" t="s">
        <v>230</v>
      </c>
      <c r="DW2355" s="1" t="s">
        <v>230</v>
      </c>
      <c r="EA2355" s="1" t="s">
        <v>230</v>
      </c>
      <c r="EE2355" s="1" t="s">
        <v>230</v>
      </c>
      <c r="EI2355" s="1" t="s">
        <v>230</v>
      </c>
      <c r="EL2355" s="1" t="s">
        <v>605</v>
      </c>
      <c r="EM2355" s="1" t="s">
        <v>232</v>
      </c>
      <c r="EN2355" s="1" t="s">
        <v>282</v>
      </c>
      <c r="EO2355" s="1" t="s">
        <v>234</v>
      </c>
      <c r="EP2355" s="1" t="s">
        <v>20584</v>
      </c>
      <c r="EQ2355" s="1" t="s">
        <v>2188</v>
      </c>
      <c r="ER2355" s="1" t="s">
        <v>210</v>
      </c>
      <c r="ES2355" s="1" t="s">
        <v>545</v>
      </c>
      <c r="EU2355" s="1" t="s">
        <v>239</v>
      </c>
      <c r="EV2355" s="1" t="s">
        <v>352</v>
      </c>
      <c r="EW2355" s="1" t="s">
        <v>20585</v>
      </c>
      <c r="EY2355" s="1" t="s">
        <v>242</v>
      </c>
      <c r="EZ2355" s="1" t="s">
        <v>287</v>
      </c>
      <c r="FB2355" s="1" t="s">
        <v>289</v>
      </c>
      <c r="FC2355" s="1" t="s">
        <v>548</v>
      </c>
      <c r="FD2355" s="1" t="s">
        <v>246</v>
      </c>
      <c r="FE2355" s="1" t="s">
        <v>386</v>
      </c>
      <c r="FF2355" s="1" t="s">
        <v>248</v>
      </c>
      <c r="FH2355" s="1" t="s">
        <v>249</v>
      </c>
      <c r="FI2355" s="1" t="s">
        <v>473</v>
      </c>
      <c r="FL2355" s="1" t="s">
        <v>358</v>
      </c>
      <c r="FM2355" s="1" t="s">
        <v>252</v>
      </c>
      <c r="FN2355" s="1" t="s">
        <v>213</v>
      </c>
      <c r="FO2355" s="1" t="s">
        <v>213</v>
      </c>
      <c r="FQ2355" s="1" t="s">
        <v>359</v>
      </c>
      <c r="FR2355" s="1" t="s">
        <v>652</v>
      </c>
      <c r="FS2355" s="1" t="s">
        <v>20586</v>
      </c>
      <c r="FT2355" s="1" t="s">
        <v>1182</v>
      </c>
      <c r="FU2355" s="1" t="s">
        <v>204</v>
      </c>
      <c r="FW2355" s="1" t="s">
        <v>256</v>
      </c>
      <c r="FX2355" s="1">
        <v>25163</v>
      </c>
      <c r="FY2355" s="1" t="s">
        <v>257</v>
      </c>
      <c r="FZ2355" s="1" t="s">
        <v>20587</v>
      </c>
      <c r="GA2355" s="1">
        <v>252438</v>
      </c>
      <c r="GB2355" s="1" t="s">
        <v>20588</v>
      </c>
      <c r="GE2355" s="1" t="s">
        <v>1256</v>
      </c>
      <c r="GI2355" s="1" t="s">
        <v>213</v>
      </c>
      <c r="GJ2355" s="1" t="s">
        <v>260</v>
      </c>
      <c r="GK2355" s="1" t="s">
        <v>261</v>
      </c>
      <c r="GL2355" s="2">
        <v>42090</v>
      </c>
      <c r="GM2355" s="1" t="s">
        <v>20589</v>
      </c>
    </row>
    <row r="2356" spans="1:195">
      <c r="A2356" s="1">
        <v>57000</v>
      </c>
      <c r="B2356" s="1" t="s">
        <v>195</v>
      </c>
      <c r="C2356" s="1" t="str">
        <f>"08818846"</f>
        <v>08818846</v>
      </c>
      <c r="D2356" s="1" t="s">
        <v>196</v>
      </c>
      <c r="F2356" s="1" t="str">
        <f>"139"</f>
        <v>139</v>
      </c>
      <c r="G2356" s="2">
        <v>42022</v>
      </c>
      <c r="H2356" s="1">
        <v>60500</v>
      </c>
      <c r="I2356" s="1">
        <v>60500</v>
      </c>
      <c r="J2356" s="1">
        <v>57000</v>
      </c>
      <c r="K2356" s="2">
        <v>42022</v>
      </c>
      <c r="L2356" s="1">
        <v>73</v>
      </c>
      <c r="M2356" s="2">
        <v>42024</v>
      </c>
      <c r="N2356" s="1">
        <v>3</v>
      </c>
      <c r="O2356" s="2">
        <v>42024</v>
      </c>
      <c r="P2356" s="1">
        <v>24232</v>
      </c>
      <c r="Q2356" s="1" t="s">
        <v>302</v>
      </c>
      <c r="R2356" s="2">
        <v>42034</v>
      </c>
      <c r="S2356" s="1">
        <v>256010</v>
      </c>
      <c r="U2356" s="1">
        <v>415</v>
      </c>
      <c r="V2356" s="1" t="s">
        <v>5621</v>
      </c>
      <c r="W2356" s="1" t="s">
        <v>425</v>
      </c>
      <c r="X2356" s="1" t="s">
        <v>5413</v>
      </c>
      <c r="Y2356" s="1">
        <v>6</v>
      </c>
      <c r="Z2356" s="1" t="s">
        <v>249</v>
      </c>
      <c r="AA2356" s="1" t="s">
        <v>1732</v>
      </c>
      <c r="AB2356" s="1">
        <v>60139</v>
      </c>
      <c r="AE2356" s="1" t="s">
        <v>20590</v>
      </c>
      <c r="AF2356" s="1">
        <v>1974</v>
      </c>
      <c r="AG2356" s="1" t="s">
        <v>213</v>
      </c>
      <c r="AH2356" s="1" t="s">
        <v>1735</v>
      </c>
      <c r="AI2356" s="1" t="s">
        <v>206</v>
      </c>
      <c r="AJ2356" s="1" t="s">
        <v>269</v>
      </c>
      <c r="AL2356" s="1">
        <v>5</v>
      </c>
      <c r="AM2356" s="1">
        <v>2</v>
      </c>
      <c r="AN2356" s="1">
        <v>1</v>
      </c>
      <c r="AO2356" s="1">
        <v>0</v>
      </c>
      <c r="AP2356" s="1" t="s">
        <v>210</v>
      </c>
      <c r="AQ2356" s="1">
        <v>0</v>
      </c>
      <c r="AR2356" s="1" t="s">
        <v>210</v>
      </c>
      <c r="AT2356" s="1" t="s">
        <v>271</v>
      </c>
      <c r="AV2356" s="1">
        <v>2</v>
      </c>
      <c r="AW2356" s="1" t="s">
        <v>204</v>
      </c>
      <c r="AX2356" s="1" t="s">
        <v>212</v>
      </c>
      <c r="AZ2356" s="1">
        <v>1543</v>
      </c>
      <c r="BA2356" s="1">
        <v>2013</v>
      </c>
      <c r="BE2356" s="1">
        <v>639</v>
      </c>
      <c r="BF2356" s="1">
        <v>1</v>
      </c>
      <c r="BG2356" s="1">
        <v>0</v>
      </c>
      <c r="BL2356" s="1">
        <v>227</v>
      </c>
      <c r="BM2356" s="1" t="s">
        <v>204</v>
      </c>
      <c r="BN2356" s="1" t="s">
        <v>213</v>
      </c>
      <c r="BO2356" s="1">
        <v>50</v>
      </c>
      <c r="BP2356" s="1" t="s">
        <v>204</v>
      </c>
      <c r="BR2356" s="1" t="str">
        <f>"0226108265"</f>
        <v>0226108265</v>
      </c>
      <c r="BT2356" s="1" t="s">
        <v>20591</v>
      </c>
      <c r="BX2356" s="1">
        <v>15</v>
      </c>
      <c r="BY2356" s="1">
        <v>15</v>
      </c>
      <c r="BZ2356" s="1">
        <v>87</v>
      </c>
      <c r="CB2356" s="1" t="str">
        <f t="shared" ref="CB2356:CC2356" si="1806">""</f>
        <v/>
      </c>
      <c r="CC2356" s="1" t="str">
        <f t="shared" si="1806"/>
        <v/>
      </c>
      <c r="CG2356" s="1" t="s">
        <v>932</v>
      </c>
      <c r="CH2356" s="1" t="s">
        <v>219</v>
      </c>
      <c r="CI2356" s="1" t="s">
        <v>229</v>
      </c>
      <c r="CK2356" s="1" t="s">
        <v>1297</v>
      </c>
      <c r="CL2356" s="1" t="s">
        <v>219</v>
      </c>
      <c r="CM2356" s="1" t="s">
        <v>229</v>
      </c>
      <c r="CO2356" s="1" t="s">
        <v>5954</v>
      </c>
      <c r="CP2356" s="1" t="s">
        <v>219</v>
      </c>
      <c r="CQ2356" s="1" t="s">
        <v>229</v>
      </c>
      <c r="CS2356" s="1" t="s">
        <v>837</v>
      </c>
      <c r="CT2356" s="1" t="s">
        <v>219</v>
      </c>
      <c r="CU2356" s="1" t="s">
        <v>229</v>
      </c>
      <c r="CX2356" s="1" t="s">
        <v>224</v>
      </c>
      <c r="DB2356" s="1" t="s">
        <v>224</v>
      </c>
      <c r="DE2356" s="1" t="s">
        <v>516</v>
      </c>
      <c r="DF2356" s="1" t="s">
        <v>219</v>
      </c>
      <c r="DG2356" s="1" t="s">
        <v>226</v>
      </c>
      <c r="DJ2356" s="1" t="s">
        <v>224</v>
      </c>
      <c r="DM2356" s="1" t="s">
        <v>838</v>
      </c>
      <c r="DR2356" s="1" t="s">
        <v>839</v>
      </c>
      <c r="DS2356" s="1" t="s">
        <v>219</v>
      </c>
      <c r="DW2356" s="1" t="s">
        <v>230</v>
      </c>
      <c r="EA2356" s="1" t="s">
        <v>230</v>
      </c>
      <c r="EE2356" s="1" t="s">
        <v>230</v>
      </c>
      <c r="EI2356" s="1" t="s">
        <v>230</v>
      </c>
      <c r="EL2356" s="1" t="s">
        <v>605</v>
      </c>
      <c r="EM2356" s="1" t="s">
        <v>319</v>
      </c>
      <c r="EN2356" s="1" t="s">
        <v>210</v>
      </c>
      <c r="EO2356" s="1" t="s">
        <v>234</v>
      </c>
      <c r="ER2356" s="1" t="s">
        <v>210</v>
      </c>
      <c r="EW2356" s="1" t="s">
        <v>9796</v>
      </c>
      <c r="EZ2356" s="1" t="s">
        <v>838</v>
      </c>
      <c r="FD2356" s="1" t="s">
        <v>246</v>
      </c>
      <c r="FE2356" s="1" t="s">
        <v>651</v>
      </c>
      <c r="FF2356" s="1" t="s">
        <v>248</v>
      </c>
      <c r="FH2356" s="1" t="s">
        <v>249</v>
      </c>
      <c r="FL2356" s="1" t="s">
        <v>328</v>
      </c>
      <c r="FM2356" s="1" t="s">
        <v>252</v>
      </c>
      <c r="FN2356" s="1" t="s">
        <v>204</v>
      </c>
      <c r="FO2356" s="1" t="s">
        <v>213</v>
      </c>
      <c r="FQ2356" s="1" t="s">
        <v>2915</v>
      </c>
      <c r="FR2356" s="1" t="s">
        <v>210</v>
      </c>
      <c r="FS2356" s="1" t="s">
        <v>20592</v>
      </c>
      <c r="FT2356" s="1" t="s">
        <v>2589</v>
      </c>
      <c r="FU2356" s="1" t="s">
        <v>204</v>
      </c>
      <c r="FW2356" s="1" t="s">
        <v>20593</v>
      </c>
      <c r="FX2356" s="1">
        <v>24232</v>
      </c>
      <c r="FY2356" s="1" t="s">
        <v>20594</v>
      </c>
      <c r="FZ2356" s="1" t="s">
        <v>20595</v>
      </c>
      <c r="GA2356" s="1">
        <v>256010</v>
      </c>
      <c r="GB2356" s="1" t="s">
        <v>20596</v>
      </c>
      <c r="GE2356" s="1" t="s">
        <v>210</v>
      </c>
      <c r="GI2356" s="1" t="s">
        <v>204</v>
      </c>
      <c r="GJ2356" s="1" t="s">
        <v>260</v>
      </c>
      <c r="GK2356" s="1" t="s">
        <v>210</v>
      </c>
      <c r="GL2356" s="2">
        <v>42035</v>
      </c>
    </row>
    <row r="2357" spans="1:195">
      <c r="A2357" s="1">
        <v>60000</v>
      </c>
      <c r="B2357" s="1" t="s">
        <v>195</v>
      </c>
      <c r="C2357" s="1" t="str">
        <f>"08820484"</f>
        <v>08820484</v>
      </c>
      <c r="D2357" s="1" t="s">
        <v>196</v>
      </c>
      <c r="F2357" s="1" t="str">
        <f>"507"</f>
        <v>507</v>
      </c>
      <c r="G2357" s="2">
        <v>42024</v>
      </c>
      <c r="H2357" s="1">
        <v>67000</v>
      </c>
      <c r="I2357" s="1">
        <v>62000</v>
      </c>
      <c r="J2357" s="1">
        <v>60000</v>
      </c>
      <c r="K2357" s="2">
        <v>42023</v>
      </c>
      <c r="L2357" s="1">
        <v>106</v>
      </c>
      <c r="M2357" s="2">
        <v>42060</v>
      </c>
      <c r="N2357" s="1">
        <v>38</v>
      </c>
      <c r="O2357" s="2">
        <v>42060</v>
      </c>
      <c r="P2357" s="1">
        <v>21754</v>
      </c>
      <c r="Q2357" s="1" t="s">
        <v>302</v>
      </c>
      <c r="R2357" s="2">
        <v>42079</v>
      </c>
      <c r="S2357" s="1">
        <v>228435</v>
      </c>
      <c r="T2357" s="1">
        <v>500</v>
      </c>
      <c r="U2357" s="1">
        <v>855</v>
      </c>
      <c r="V2357" s="1" t="s">
        <v>6346</v>
      </c>
      <c r="W2357" s="1" t="s">
        <v>725</v>
      </c>
      <c r="X2357" s="1" t="s">
        <v>4806</v>
      </c>
      <c r="Y2357" s="1">
        <v>7</v>
      </c>
      <c r="Z2357" s="1" t="s">
        <v>370</v>
      </c>
      <c r="AA2357" s="1" t="s">
        <v>1123</v>
      </c>
      <c r="AB2357" s="1">
        <v>60506</v>
      </c>
      <c r="AE2357" s="1" t="s">
        <v>20597</v>
      </c>
      <c r="AF2357" s="1">
        <v>1969</v>
      </c>
      <c r="AG2357" s="1" t="s">
        <v>213</v>
      </c>
      <c r="AH2357" s="1" t="s">
        <v>1126</v>
      </c>
      <c r="AI2357" s="1" t="s">
        <v>665</v>
      </c>
      <c r="AJ2357" s="1" t="s">
        <v>1126</v>
      </c>
      <c r="AL2357" s="1">
        <v>4</v>
      </c>
      <c r="AM2357" s="1">
        <v>2</v>
      </c>
      <c r="AN2357" s="1">
        <v>1</v>
      </c>
      <c r="AO2357" s="1">
        <v>1</v>
      </c>
      <c r="AP2357" s="1" t="s">
        <v>210</v>
      </c>
      <c r="AR2357" s="1" t="s">
        <v>210</v>
      </c>
      <c r="AS2357" s="1" t="s">
        <v>204</v>
      </c>
      <c r="AT2357" s="1" t="s">
        <v>211</v>
      </c>
      <c r="AU2357" s="1">
        <v>1</v>
      </c>
      <c r="AW2357" s="1" t="s">
        <v>204</v>
      </c>
      <c r="AX2357" s="1" t="s">
        <v>212</v>
      </c>
      <c r="AZ2357" s="1">
        <v>673.4</v>
      </c>
      <c r="BA2357" s="1">
        <v>2013</v>
      </c>
      <c r="BB2357" s="1" t="s">
        <v>405</v>
      </c>
      <c r="BE2357" s="1">
        <v>992</v>
      </c>
      <c r="BF2357" s="1">
        <v>1</v>
      </c>
      <c r="BG2357" s="1">
        <v>0</v>
      </c>
      <c r="BL2357" s="1">
        <v>195</v>
      </c>
      <c r="BM2357" s="1" t="s">
        <v>204</v>
      </c>
      <c r="BN2357" s="1" t="s">
        <v>213</v>
      </c>
      <c r="BO2357" s="1">
        <v>25</v>
      </c>
      <c r="BP2357" s="1" t="s">
        <v>204</v>
      </c>
      <c r="BR2357" s="1" t="str">
        <f>"1516105079"</f>
        <v>1516105079</v>
      </c>
      <c r="BT2357" s="1" t="s">
        <v>20598</v>
      </c>
      <c r="BX2357" s="1">
        <v>129</v>
      </c>
      <c r="BY2357" s="1">
        <v>129</v>
      </c>
      <c r="BZ2357" s="1">
        <v>129</v>
      </c>
      <c r="CB2357" s="1" t="str">
        <f t="shared" ref="CB2357:CC2357" si="1807">""</f>
        <v/>
      </c>
      <c r="CC2357" s="1" t="str">
        <f t="shared" si="1807"/>
        <v/>
      </c>
      <c r="CG2357" s="1" t="s">
        <v>3100</v>
      </c>
      <c r="CH2357" s="1" t="s">
        <v>219</v>
      </c>
      <c r="CI2357" s="1" t="s">
        <v>220</v>
      </c>
      <c r="CJ2357" s="1" t="s">
        <v>343</v>
      </c>
      <c r="CK2357" s="1" t="s">
        <v>932</v>
      </c>
      <c r="CL2357" s="1" t="s">
        <v>277</v>
      </c>
      <c r="CM2357" s="1" t="s">
        <v>220</v>
      </c>
      <c r="CN2357" s="1" t="s">
        <v>343</v>
      </c>
      <c r="CP2357" s="1" t="s">
        <v>224</v>
      </c>
      <c r="CS2357" s="1" t="s">
        <v>539</v>
      </c>
      <c r="CT2357" s="1" t="s">
        <v>277</v>
      </c>
      <c r="CU2357" s="1" t="s">
        <v>220</v>
      </c>
      <c r="CV2357" s="1" t="s">
        <v>343</v>
      </c>
      <c r="CX2357" s="1" t="s">
        <v>224</v>
      </c>
      <c r="DB2357" s="1" t="s">
        <v>224</v>
      </c>
      <c r="DE2357" s="1" t="s">
        <v>378</v>
      </c>
      <c r="DF2357" s="1" t="s">
        <v>219</v>
      </c>
      <c r="DG2357" s="1" t="s">
        <v>342</v>
      </c>
      <c r="DH2357" s="1" t="s">
        <v>343</v>
      </c>
      <c r="DJ2357" s="1" t="s">
        <v>224</v>
      </c>
      <c r="DS2357" s="1" t="s">
        <v>230</v>
      </c>
      <c r="DW2357" s="1" t="s">
        <v>230</v>
      </c>
      <c r="EA2357" s="1" t="s">
        <v>230</v>
      </c>
      <c r="EE2357" s="1" t="s">
        <v>230</v>
      </c>
      <c r="EI2357" s="1" t="s">
        <v>230</v>
      </c>
      <c r="EL2357" s="1" t="s">
        <v>605</v>
      </c>
      <c r="EM2357" s="1" t="s">
        <v>319</v>
      </c>
      <c r="EN2357" s="1" t="s">
        <v>1158</v>
      </c>
      <c r="EO2357" s="1" t="s">
        <v>234</v>
      </c>
      <c r="EP2357" s="1" t="s">
        <v>210</v>
      </c>
      <c r="ER2357" s="1" t="s">
        <v>383</v>
      </c>
      <c r="EW2357" s="1" t="s">
        <v>937</v>
      </c>
      <c r="EY2357" s="1" t="s">
        <v>790</v>
      </c>
      <c r="EZ2357" s="1" t="s">
        <v>287</v>
      </c>
      <c r="FB2357" s="1" t="s">
        <v>1505</v>
      </c>
      <c r="FC2357" s="1" t="s">
        <v>1386</v>
      </c>
      <c r="FD2357" s="1" t="s">
        <v>246</v>
      </c>
      <c r="FE2357" s="1" t="s">
        <v>651</v>
      </c>
      <c r="FF2357" s="1" t="s">
        <v>248</v>
      </c>
      <c r="FH2357" s="1" t="s">
        <v>550</v>
      </c>
      <c r="FI2357" s="1" t="s">
        <v>3300</v>
      </c>
      <c r="FJ2357" s="1" t="s">
        <v>197</v>
      </c>
      <c r="FL2357" s="1" t="s">
        <v>292</v>
      </c>
      <c r="FM2357" s="1" t="s">
        <v>252</v>
      </c>
      <c r="FN2357" s="1" t="s">
        <v>213</v>
      </c>
      <c r="FO2357" s="1" t="s">
        <v>213</v>
      </c>
      <c r="FQ2357" s="1" t="s">
        <v>20599</v>
      </c>
      <c r="FR2357" s="1" t="s">
        <v>210</v>
      </c>
      <c r="FS2357" s="1" t="s">
        <v>20600</v>
      </c>
      <c r="FT2357" s="1" t="s">
        <v>362</v>
      </c>
      <c r="FU2357" s="1" t="s">
        <v>204</v>
      </c>
      <c r="FW2357" s="1" t="s">
        <v>15200</v>
      </c>
      <c r="FX2357" s="1">
        <v>31500</v>
      </c>
      <c r="FY2357" s="1" t="s">
        <v>15201</v>
      </c>
      <c r="FZ2357" s="1" t="s">
        <v>20601</v>
      </c>
      <c r="GA2357" s="1">
        <v>315000</v>
      </c>
      <c r="GB2357" s="1" t="s">
        <v>20602</v>
      </c>
      <c r="GE2357" s="1" t="s">
        <v>210</v>
      </c>
      <c r="GI2357" s="1" t="s">
        <v>213</v>
      </c>
      <c r="GJ2357" s="1" t="s">
        <v>260</v>
      </c>
      <c r="GK2357" s="1" t="s">
        <v>210</v>
      </c>
      <c r="GL2357" s="2">
        <v>42079</v>
      </c>
      <c r="GM2357" s="1" t="s">
        <v>20603</v>
      </c>
    </row>
    <row r="2358" spans="1:195">
      <c r="A2358" s="1">
        <v>230000</v>
      </c>
      <c r="B2358" s="1" t="s">
        <v>195</v>
      </c>
      <c r="C2358" s="1" t="str">
        <f>"08824656"</f>
        <v>08824656</v>
      </c>
      <c r="D2358" s="1" t="s">
        <v>196</v>
      </c>
      <c r="F2358" s="1" t="str">
        <f>"562"</f>
        <v>562</v>
      </c>
      <c r="G2358" s="2">
        <v>42030</v>
      </c>
      <c r="H2358" s="1">
        <v>240000</v>
      </c>
      <c r="I2358" s="1">
        <v>240000</v>
      </c>
      <c r="J2358" s="1">
        <v>230000</v>
      </c>
      <c r="K2358" s="2">
        <v>42029</v>
      </c>
      <c r="L2358" s="1">
        <v>13</v>
      </c>
      <c r="M2358" s="2">
        <v>42041</v>
      </c>
      <c r="N2358" s="1">
        <v>13</v>
      </c>
      <c r="O2358" s="2">
        <v>42041</v>
      </c>
      <c r="P2358" s="1">
        <v>84701</v>
      </c>
      <c r="Q2358" s="1" t="s">
        <v>197</v>
      </c>
      <c r="R2358" s="2">
        <v>42079</v>
      </c>
      <c r="S2358" s="1">
        <v>179998</v>
      </c>
      <c r="U2358" s="1">
        <v>8032</v>
      </c>
      <c r="V2358" s="1" t="s">
        <v>16041</v>
      </c>
      <c r="W2358" s="1" t="s">
        <v>264</v>
      </c>
      <c r="Y2358" s="1">
        <v>4</v>
      </c>
      <c r="Z2358" s="1" t="s">
        <v>200</v>
      </c>
      <c r="AA2358" s="1" t="s">
        <v>899</v>
      </c>
      <c r="AB2358" s="1">
        <v>60561</v>
      </c>
      <c r="AD2358" s="1" t="s">
        <v>20604</v>
      </c>
      <c r="AE2358" s="1" t="s">
        <v>20605</v>
      </c>
      <c r="AF2358" s="1">
        <v>1996</v>
      </c>
      <c r="AG2358" s="1" t="s">
        <v>204</v>
      </c>
      <c r="AH2358" s="1" t="s">
        <v>902</v>
      </c>
      <c r="AI2358" s="1" t="s">
        <v>206</v>
      </c>
      <c r="AJ2358" s="1" t="s">
        <v>903</v>
      </c>
      <c r="AK2358" s="1" t="s">
        <v>6257</v>
      </c>
      <c r="AL2358" s="1">
        <v>6</v>
      </c>
      <c r="AM2358" s="1">
        <v>2</v>
      </c>
      <c r="AN2358" s="1">
        <v>1</v>
      </c>
      <c r="AO2358" s="1">
        <v>1</v>
      </c>
      <c r="AP2358" s="1" t="s">
        <v>667</v>
      </c>
      <c r="AQ2358" s="1">
        <v>1</v>
      </c>
      <c r="AR2358" s="1" t="s">
        <v>210</v>
      </c>
      <c r="AS2358" s="1" t="s">
        <v>204</v>
      </c>
      <c r="AT2358" s="1" t="s">
        <v>211</v>
      </c>
      <c r="AU2358" s="1">
        <v>2</v>
      </c>
      <c r="AW2358" s="1" t="s">
        <v>204</v>
      </c>
      <c r="AX2358" s="1" t="s">
        <v>20606</v>
      </c>
      <c r="AZ2358" s="1">
        <v>4586</v>
      </c>
      <c r="BA2358" s="1">
        <v>2013</v>
      </c>
      <c r="BE2358" s="1">
        <v>1790</v>
      </c>
      <c r="BF2358" s="1">
        <v>1</v>
      </c>
      <c r="BG2358" s="1">
        <v>0</v>
      </c>
      <c r="BL2358" s="1">
        <v>197</v>
      </c>
      <c r="BM2358" s="1" t="s">
        <v>204</v>
      </c>
      <c r="BN2358" s="1" t="s">
        <v>213</v>
      </c>
      <c r="BO2358" s="1">
        <v>99</v>
      </c>
      <c r="BP2358" s="1" t="s">
        <v>204</v>
      </c>
      <c r="BR2358" s="1" t="str">
        <f>"0933209079"</f>
        <v>0933209079</v>
      </c>
      <c r="BT2358" s="1" t="s">
        <v>20607</v>
      </c>
      <c r="BU2358" s="1" t="s">
        <v>2882</v>
      </c>
      <c r="BV2358" s="1" t="s">
        <v>2883</v>
      </c>
      <c r="BW2358" s="1" t="s">
        <v>907</v>
      </c>
      <c r="BX2358" s="1">
        <v>63</v>
      </c>
      <c r="BY2358" s="1">
        <v>63</v>
      </c>
      <c r="BZ2358" s="1">
        <v>86</v>
      </c>
      <c r="CB2358" s="1" t="str">
        <f t="shared" ref="CB2358:CC2358" si="1808">""</f>
        <v/>
      </c>
      <c r="CC2358" s="1" t="str">
        <f t="shared" si="1808"/>
        <v/>
      </c>
      <c r="CG2358" s="1" t="s">
        <v>1004</v>
      </c>
      <c r="CH2358" s="1" t="s">
        <v>219</v>
      </c>
      <c r="CI2358" s="1" t="s">
        <v>438</v>
      </c>
      <c r="CK2358" s="1" t="s">
        <v>1200</v>
      </c>
      <c r="CL2358" s="1" t="s">
        <v>277</v>
      </c>
      <c r="CM2358" s="1" t="s">
        <v>229</v>
      </c>
      <c r="CO2358" s="1" t="s">
        <v>348</v>
      </c>
      <c r="CP2358" s="1" t="s">
        <v>219</v>
      </c>
      <c r="CQ2358" s="1" t="s">
        <v>438</v>
      </c>
      <c r="CS2358" s="1" t="s">
        <v>317</v>
      </c>
      <c r="CT2358" s="1" t="s">
        <v>277</v>
      </c>
      <c r="CU2358" s="1" t="s">
        <v>229</v>
      </c>
      <c r="CX2358" s="1" t="s">
        <v>224</v>
      </c>
      <c r="DB2358" s="1" t="s">
        <v>224</v>
      </c>
      <c r="DE2358" s="1" t="s">
        <v>933</v>
      </c>
      <c r="DF2358" s="1" t="s">
        <v>219</v>
      </c>
      <c r="DG2358" s="1" t="s">
        <v>226</v>
      </c>
      <c r="DI2358" s="1" t="s">
        <v>317</v>
      </c>
      <c r="DJ2358" s="1" t="s">
        <v>277</v>
      </c>
      <c r="DK2358" s="1" t="s">
        <v>229</v>
      </c>
      <c r="DS2358" s="1" t="s">
        <v>230</v>
      </c>
      <c r="DW2358" s="1" t="s">
        <v>230</v>
      </c>
      <c r="EA2358" s="1" t="s">
        <v>230</v>
      </c>
      <c r="EE2358" s="1" t="s">
        <v>230</v>
      </c>
      <c r="EI2358" s="1" t="s">
        <v>230</v>
      </c>
      <c r="EL2358" s="1" t="s">
        <v>670</v>
      </c>
      <c r="EM2358" s="1" t="s">
        <v>232</v>
      </c>
      <c r="EN2358" s="1" t="s">
        <v>282</v>
      </c>
      <c r="EO2358" s="1" t="s">
        <v>840</v>
      </c>
      <c r="EQ2358" s="1" t="s">
        <v>1094</v>
      </c>
      <c r="ER2358" s="1" t="s">
        <v>210</v>
      </c>
      <c r="ES2358" s="1" t="s">
        <v>824</v>
      </c>
      <c r="EV2358" s="1" t="s">
        <v>352</v>
      </c>
      <c r="EW2358" s="1" t="s">
        <v>353</v>
      </c>
      <c r="EZ2358" s="1" t="s">
        <v>287</v>
      </c>
      <c r="FD2358" s="1" t="s">
        <v>246</v>
      </c>
      <c r="FE2358" s="1" t="s">
        <v>549</v>
      </c>
      <c r="FF2358" s="1" t="s">
        <v>248</v>
      </c>
      <c r="FG2358" s="1" t="s">
        <v>2739</v>
      </c>
      <c r="FH2358" s="1" t="s">
        <v>550</v>
      </c>
      <c r="FL2358" s="1" t="s">
        <v>358</v>
      </c>
      <c r="FM2358" s="1" t="s">
        <v>252</v>
      </c>
      <c r="FN2358" s="1" t="s">
        <v>213</v>
      </c>
      <c r="FO2358" s="1" t="s">
        <v>213</v>
      </c>
      <c r="FQ2358" s="1" t="s">
        <v>2293</v>
      </c>
      <c r="FR2358" s="1" t="s">
        <v>210</v>
      </c>
      <c r="FS2358" s="1" t="s">
        <v>20608</v>
      </c>
      <c r="FT2358" s="1" t="s">
        <v>295</v>
      </c>
      <c r="FU2358" s="1" t="s">
        <v>204</v>
      </c>
      <c r="FW2358" s="1" t="s">
        <v>1559</v>
      </c>
      <c r="FX2358" s="1">
        <v>24587</v>
      </c>
      <c r="FY2358" s="1" t="s">
        <v>6179</v>
      </c>
      <c r="FZ2358" s="1" t="s">
        <v>20609</v>
      </c>
      <c r="GA2358" s="1">
        <v>222546</v>
      </c>
      <c r="GB2358" s="1" t="s">
        <v>20610</v>
      </c>
      <c r="GC2358" s="1">
        <v>237201</v>
      </c>
      <c r="GD2358" s="1" t="s">
        <v>20611</v>
      </c>
      <c r="GE2358" s="1" t="s">
        <v>335</v>
      </c>
      <c r="GI2358" s="1" t="s">
        <v>213</v>
      </c>
      <c r="GJ2358" s="1" t="s">
        <v>260</v>
      </c>
      <c r="GK2358" s="1" t="s">
        <v>210</v>
      </c>
      <c r="GL2358" s="2">
        <v>42080</v>
      </c>
      <c r="GM2358" s="1" t="s">
        <v>20612</v>
      </c>
    </row>
    <row r="2359" spans="1:195">
      <c r="A2359" s="1">
        <v>68750</v>
      </c>
      <c r="B2359" s="1" t="s">
        <v>195</v>
      </c>
      <c r="C2359" s="1" t="str">
        <f>"08822156"</f>
        <v>08822156</v>
      </c>
      <c r="D2359" s="1" t="s">
        <v>196</v>
      </c>
      <c r="F2359" s="1" t="str">
        <f>"61"</f>
        <v>61</v>
      </c>
      <c r="G2359" s="2">
        <v>42026</v>
      </c>
      <c r="H2359" s="1">
        <v>74200</v>
      </c>
      <c r="I2359" s="1">
        <v>74200</v>
      </c>
      <c r="J2359" s="1">
        <v>68750</v>
      </c>
      <c r="K2359" s="2">
        <v>42026</v>
      </c>
      <c r="L2359" s="1">
        <v>20</v>
      </c>
      <c r="M2359" s="2">
        <v>42045</v>
      </c>
      <c r="N2359" s="1">
        <v>20</v>
      </c>
      <c r="O2359" s="2">
        <v>42045</v>
      </c>
      <c r="P2359" s="1">
        <v>22980</v>
      </c>
      <c r="Q2359" s="1" t="s">
        <v>302</v>
      </c>
      <c r="R2359" s="2">
        <v>42089</v>
      </c>
      <c r="S2359" s="1">
        <v>217346</v>
      </c>
      <c r="U2359" s="1">
        <v>13</v>
      </c>
      <c r="V2359" s="1" t="s">
        <v>8347</v>
      </c>
      <c r="W2359" s="1" t="s">
        <v>504</v>
      </c>
      <c r="X2359" s="1">
        <v>7</v>
      </c>
      <c r="Y2359" s="1">
        <v>16</v>
      </c>
      <c r="Z2359" s="1" t="s">
        <v>249</v>
      </c>
      <c r="AA2359" s="1" t="s">
        <v>505</v>
      </c>
      <c r="AB2359" s="1">
        <v>60061</v>
      </c>
      <c r="AD2359" s="1" t="s">
        <v>19998</v>
      </c>
      <c r="AE2359" s="1" t="s">
        <v>20613</v>
      </c>
      <c r="AF2359" s="1">
        <v>1979</v>
      </c>
      <c r="AG2359" s="1" t="s">
        <v>204</v>
      </c>
      <c r="AH2359" s="1" t="s">
        <v>508</v>
      </c>
      <c r="AI2359" s="1" t="s">
        <v>509</v>
      </c>
      <c r="AJ2359" s="1" t="s">
        <v>510</v>
      </c>
      <c r="AL2359" s="1">
        <v>5</v>
      </c>
      <c r="AM2359" s="1">
        <v>2</v>
      </c>
      <c r="AN2359" s="1">
        <v>1</v>
      </c>
      <c r="AO2359" s="1">
        <v>1</v>
      </c>
      <c r="AP2359" s="1" t="s">
        <v>210</v>
      </c>
      <c r="AR2359" s="1" t="s">
        <v>210</v>
      </c>
      <c r="AS2359" s="1" t="s">
        <v>204</v>
      </c>
      <c r="AT2359" s="1" t="s">
        <v>271</v>
      </c>
      <c r="AV2359" s="1">
        <v>2</v>
      </c>
      <c r="AW2359" s="1" t="s">
        <v>204</v>
      </c>
      <c r="AX2359" s="1" t="s">
        <v>212</v>
      </c>
      <c r="AZ2359" s="1">
        <v>1850.89</v>
      </c>
      <c r="BA2359" s="1">
        <v>2013</v>
      </c>
      <c r="BE2359" s="1">
        <v>948</v>
      </c>
      <c r="BF2359" s="1">
        <v>2</v>
      </c>
      <c r="BG2359" s="1">
        <v>0</v>
      </c>
      <c r="BL2359" s="1">
        <v>282</v>
      </c>
      <c r="BM2359" s="1" t="s">
        <v>413</v>
      </c>
      <c r="BN2359" s="1" t="s">
        <v>213</v>
      </c>
      <c r="BO2359" s="1">
        <v>25</v>
      </c>
      <c r="BP2359" s="1" t="s">
        <v>204</v>
      </c>
      <c r="BR2359" s="1" t="str">
        <f>"11324091170000"</f>
        <v>11324091170000</v>
      </c>
      <c r="BT2359" s="1" t="s">
        <v>20614</v>
      </c>
      <c r="BX2359" s="1">
        <v>73</v>
      </c>
      <c r="BY2359" s="1">
        <v>73</v>
      </c>
      <c r="BZ2359" s="1">
        <v>128</v>
      </c>
      <c r="CB2359" s="1" t="str">
        <f t="shared" ref="CB2359:CC2359" si="1809">""</f>
        <v/>
      </c>
      <c r="CC2359" s="1" t="str">
        <f t="shared" si="1809"/>
        <v/>
      </c>
      <c r="CG2359" s="1" t="s">
        <v>378</v>
      </c>
      <c r="CH2359" s="1" t="s">
        <v>277</v>
      </c>
      <c r="CK2359" s="1" t="s">
        <v>344</v>
      </c>
      <c r="CL2359" s="1" t="s">
        <v>277</v>
      </c>
      <c r="CO2359" s="1" t="s">
        <v>378</v>
      </c>
      <c r="CP2359" s="1" t="s">
        <v>277</v>
      </c>
      <c r="CS2359" s="1" t="s">
        <v>281</v>
      </c>
      <c r="CT2359" s="1" t="s">
        <v>277</v>
      </c>
      <c r="CX2359" s="1" t="s">
        <v>224</v>
      </c>
      <c r="DB2359" s="1" t="s">
        <v>224</v>
      </c>
      <c r="DE2359" s="1" t="s">
        <v>346</v>
      </c>
      <c r="DF2359" s="1" t="s">
        <v>277</v>
      </c>
      <c r="DJ2359" s="1" t="s">
        <v>224</v>
      </c>
      <c r="DS2359" s="1" t="s">
        <v>230</v>
      </c>
      <c r="DW2359" s="1" t="s">
        <v>230</v>
      </c>
      <c r="EA2359" s="1" t="s">
        <v>230</v>
      </c>
      <c r="EE2359" s="1" t="s">
        <v>230</v>
      </c>
      <c r="EI2359" s="1" t="s">
        <v>230</v>
      </c>
      <c r="EL2359" s="1" t="s">
        <v>231</v>
      </c>
      <c r="EM2359" s="1" t="s">
        <v>319</v>
      </c>
      <c r="EN2359" s="1" t="s">
        <v>1158</v>
      </c>
      <c r="EO2359" s="1" t="s">
        <v>234</v>
      </c>
      <c r="ER2359" s="1" t="s">
        <v>210</v>
      </c>
      <c r="EU2359" s="1" t="s">
        <v>239</v>
      </c>
      <c r="EW2359" s="1" t="s">
        <v>2344</v>
      </c>
      <c r="EZ2359" s="1" t="s">
        <v>287</v>
      </c>
      <c r="FB2359" s="1" t="s">
        <v>289</v>
      </c>
      <c r="FD2359" s="1" t="s">
        <v>246</v>
      </c>
      <c r="FE2359" s="1" t="s">
        <v>247</v>
      </c>
      <c r="FF2359" s="1" t="s">
        <v>248</v>
      </c>
      <c r="FH2359" s="1" t="s">
        <v>249</v>
      </c>
      <c r="FK2359" s="1" t="s">
        <v>891</v>
      </c>
      <c r="FL2359" s="1" t="s">
        <v>1164</v>
      </c>
      <c r="FM2359" s="1" t="s">
        <v>252</v>
      </c>
      <c r="FN2359" s="1" t="s">
        <v>213</v>
      </c>
      <c r="FO2359" s="1" t="s">
        <v>213</v>
      </c>
      <c r="FQ2359" s="1" t="s">
        <v>582</v>
      </c>
      <c r="FR2359" s="1" t="s">
        <v>210</v>
      </c>
      <c r="FS2359" s="1" t="s">
        <v>20615</v>
      </c>
      <c r="FT2359" s="1" t="s">
        <v>654</v>
      </c>
      <c r="FU2359" s="1" t="s">
        <v>204</v>
      </c>
      <c r="FW2359" s="1" t="s">
        <v>5082</v>
      </c>
      <c r="FX2359" s="1">
        <v>1989</v>
      </c>
      <c r="FY2359" s="1" t="s">
        <v>5083</v>
      </c>
      <c r="FZ2359" s="1" t="s">
        <v>5084</v>
      </c>
      <c r="GA2359" s="1">
        <v>81066</v>
      </c>
      <c r="GB2359" s="1" t="s">
        <v>5083</v>
      </c>
      <c r="GC2359" s="1">
        <v>86352</v>
      </c>
      <c r="GE2359" s="1" t="s">
        <v>210</v>
      </c>
      <c r="GI2359" s="1" t="s">
        <v>204</v>
      </c>
      <c r="GJ2359" s="1" t="s">
        <v>260</v>
      </c>
      <c r="GK2359" s="1" t="s">
        <v>210</v>
      </c>
      <c r="GL2359" s="2">
        <v>42090</v>
      </c>
      <c r="GM2359" s="1" t="s">
        <v>20616</v>
      </c>
    </row>
    <row r="2360" spans="1:195">
      <c r="A2360" s="1">
        <v>84000</v>
      </c>
      <c r="B2360" s="1" t="s">
        <v>195</v>
      </c>
      <c r="C2360" s="1" t="str">
        <f>"08820829"</f>
        <v>08820829</v>
      </c>
      <c r="D2360" s="1" t="s">
        <v>196</v>
      </c>
      <c r="F2360" s="1" t="str">
        <f>"176"</f>
        <v>176</v>
      </c>
      <c r="G2360" s="2">
        <v>42025</v>
      </c>
      <c r="H2360" s="1">
        <v>89900</v>
      </c>
      <c r="I2360" s="1">
        <v>89900</v>
      </c>
      <c r="J2360" s="1">
        <v>84000</v>
      </c>
      <c r="K2360" s="2">
        <v>42025</v>
      </c>
      <c r="L2360" s="1">
        <v>17</v>
      </c>
      <c r="M2360" s="2">
        <v>42041</v>
      </c>
      <c r="N2360" s="1">
        <v>17</v>
      </c>
      <c r="O2360" s="2">
        <v>42041</v>
      </c>
      <c r="P2360" s="1">
        <v>10267</v>
      </c>
      <c r="Q2360" s="1" t="s">
        <v>302</v>
      </c>
      <c r="R2360" s="2">
        <v>42063</v>
      </c>
      <c r="S2360" s="1">
        <v>108818</v>
      </c>
      <c r="U2360" s="1">
        <v>3818</v>
      </c>
      <c r="V2360" s="1" t="s">
        <v>1420</v>
      </c>
      <c r="W2360" s="1" t="s">
        <v>725</v>
      </c>
      <c r="X2360" s="1" t="s">
        <v>3744</v>
      </c>
      <c r="Y2360" s="1">
        <v>18</v>
      </c>
      <c r="Z2360" s="1" t="s">
        <v>249</v>
      </c>
      <c r="AA2360" s="1" t="s">
        <v>306</v>
      </c>
      <c r="AB2360" s="1">
        <v>60176</v>
      </c>
      <c r="AE2360" s="1" t="s">
        <v>20617</v>
      </c>
      <c r="AF2360" s="1">
        <v>1970</v>
      </c>
      <c r="AG2360" s="1" t="s">
        <v>213</v>
      </c>
      <c r="AH2360" s="1" t="s">
        <v>309</v>
      </c>
      <c r="AI2360" s="1" t="s">
        <v>310</v>
      </c>
      <c r="AJ2360" s="1" t="s">
        <v>311</v>
      </c>
      <c r="AL2360" s="1">
        <v>4</v>
      </c>
      <c r="AM2360" s="1">
        <v>2</v>
      </c>
      <c r="AN2360" s="1">
        <v>1</v>
      </c>
      <c r="AO2360" s="1">
        <v>0</v>
      </c>
      <c r="AP2360" s="1" t="s">
        <v>210</v>
      </c>
      <c r="AR2360" s="1" t="s">
        <v>209</v>
      </c>
      <c r="AS2360" s="1" t="s">
        <v>204</v>
      </c>
      <c r="AT2360" s="1" t="s">
        <v>271</v>
      </c>
      <c r="AV2360" s="1">
        <v>2</v>
      </c>
      <c r="AW2360" s="1" t="s">
        <v>204</v>
      </c>
      <c r="AX2360" s="1" t="s">
        <v>212</v>
      </c>
      <c r="AZ2360" s="1">
        <v>2934.24</v>
      </c>
      <c r="BA2360" s="1">
        <v>2013</v>
      </c>
      <c r="BB2360" s="1" t="s">
        <v>210</v>
      </c>
      <c r="BE2360" s="1">
        <v>800</v>
      </c>
      <c r="BF2360" s="1">
        <v>1</v>
      </c>
      <c r="BG2360" s="1">
        <v>0</v>
      </c>
      <c r="BJ2360" s="1">
        <v>80</v>
      </c>
      <c r="BL2360" s="1">
        <v>236</v>
      </c>
      <c r="BM2360" s="1" t="s">
        <v>204</v>
      </c>
      <c r="BN2360" s="1" t="s">
        <v>213</v>
      </c>
      <c r="BO2360" s="1">
        <v>50</v>
      </c>
      <c r="BP2360" s="1" t="s">
        <v>204</v>
      </c>
      <c r="BR2360" s="1" t="str">
        <f>"12212210751001"</f>
        <v>12212210751001</v>
      </c>
      <c r="BT2360" s="1" t="s">
        <v>20618</v>
      </c>
      <c r="BX2360" s="1">
        <v>81</v>
      </c>
      <c r="BY2360" s="1">
        <v>81</v>
      </c>
      <c r="BZ2360" s="1">
        <v>212</v>
      </c>
      <c r="CB2360" s="1" t="str">
        <f>"4"</f>
        <v>4</v>
      </c>
      <c r="CC2360" s="1" t="str">
        <f>""</f>
        <v/>
      </c>
      <c r="CD2360" s="1">
        <v>11</v>
      </c>
      <c r="CG2360" s="1" t="s">
        <v>729</v>
      </c>
      <c r="CH2360" s="1" t="s">
        <v>219</v>
      </c>
      <c r="CI2360" s="1" t="s">
        <v>438</v>
      </c>
      <c r="CJ2360" s="1" t="s">
        <v>343</v>
      </c>
      <c r="CK2360" s="1" t="s">
        <v>539</v>
      </c>
      <c r="CL2360" s="1" t="s">
        <v>219</v>
      </c>
      <c r="CM2360" s="1" t="s">
        <v>438</v>
      </c>
      <c r="CN2360" s="1" t="s">
        <v>343</v>
      </c>
      <c r="CP2360" s="1" t="s">
        <v>224</v>
      </c>
      <c r="CS2360" s="1" t="s">
        <v>1046</v>
      </c>
      <c r="CT2360" s="1" t="s">
        <v>219</v>
      </c>
      <c r="CU2360" s="1" t="s">
        <v>438</v>
      </c>
      <c r="CV2360" s="1" t="s">
        <v>343</v>
      </c>
      <c r="CX2360" s="1" t="s">
        <v>224</v>
      </c>
      <c r="DB2360" s="1" t="s">
        <v>224</v>
      </c>
      <c r="DE2360" s="1" t="s">
        <v>465</v>
      </c>
      <c r="DF2360" s="1" t="s">
        <v>219</v>
      </c>
      <c r="DG2360" s="1" t="s">
        <v>226</v>
      </c>
      <c r="DH2360" s="1" t="s">
        <v>343</v>
      </c>
      <c r="DJ2360" s="1" t="s">
        <v>224</v>
      </c>
      <c r="DS2360" s="1" t="s">
        <v>230</v>
      </c>
      <c r="DW2360" s="1" t="s">
        <v>230</v>
      </c>
      <c r="EA2360" s="1" t="s">
        <v>230</v>
      </c>
      <c r="EE2360" s="1" t="s">
        <v>230</v>
      </c>
      <c r="EI2360" s="1" t="s">
        <v>230</v>
      </c>
      <c r="EL2360" s="1" t="s">
        <v>605</v>
      </c>
      <c r="EM2360" s="1" t="s">
        <v>232</v>
      </c>
      <c r="EN2360" s="1" t="s">
        <v>731</v>
      </c>
      <c r="EO2360" s="1" t="s">
        <v>234</v>
      </c>
      <c r="EQ2360" s="1" t="s">
        <v>492</v>
      </c>
      <c r="ER2360" s="1" t="s">
        <v>1249</v>
      </c>
      <c r="ES2360" s="1" t="s">
        <v>322</v>
      </c>
      <c r="EW2360" s="1" t="s">
        <v>2765</v>
      </c>
      <c r="EY2360" s="1" t="s">
        <v>242</v>
      </c>
      <c r="EZ2360" s="1" t="s">
        <v>287</v>
      </c>
      <c r="FD2360" s="1" t="s">
        <v>290</v>
      </c>
      <c r="FE2360" s="1" t="s">
        <v>247</v>
      </c>
      <c r="FF2360" s="1" t="s">
        <v>248</v>
      </c>
      <c r="FH2360" s="1" t="s">
        <v>249</v>
      </c>
      <c r="FJ2360" s="1" t="s">
        <v>197</v>
      </c>
      <c r="FK2360" s="1" t="s">
        <v>291</v>
      </c>
      <c r="FL2360" s="1" t="s">
        <v>1164</v>
      </c>
      <c r="FM2360" s="1" t="s">
        <v>252</v>
      </c>
      <c r="FN2360" s="1" t="s">
        <v>213</v>
      </c>
      <c r="FO2360" s="1" t="s">
        <v>213</v>
      </c>
      <c r="FQ2360" s="1" t="s">
        <v>1599</v>
      </c>
      <c r="FR2360" s="1" t="s">
        <v>210</v>
      </c>
      <c r="FS2360" s="1" t="s">
        <v>1429</v>
      </c>
      <c r="FT2360" s="1" t="s">
        <v>255</v>
      </c>
      <c r="FU2360" s="1" t="s">
        <v>204</v>
      </c>
      <c r="FW2360" s="1" t="s">
        <v>10180</v>
      </c>
      <c r="FX2360" s="1">
        <v>24185</v>
      </c>
      <c r="FY2360" s="1" t="s">
        <v>10181</v>
      </c>
      <c r="FZ2360" s="1" t="s">
        <v>20619</v>
      </c>
      <c r="GA2360" s="1">
        <v>242191</v>
      </c>
      <c r="GB2360" s="1" t="s">
        <v>20620</v>
      </c>
      <c r="GC2360" s="1">
        <v>237462</v>
      </c>
      <c r="GE2360" s="1" t="s">
        <v>480</v>
      </c>
      <c r="GI2360" s="1" t="s">
        <v>213</v>
      </c>
      <c r="GJ2360" s="1" t="s">
        <v>260</v>
      </c>
      <c r="GK2360" s="1" t="s">
        <v>210</v>
      </c>
      <c r="GL2360" s="2">
        <v>42065</v>
      </c>
      <c r="GM2360" s="1" t="s">
        <v>20621</v>
      </c>
    </row>
    <row r="2361" spans="1:195">
      <c r="A2361" s="1">
        <v>113000</v>
      </c>
      <c r="B2361" s="1" t="s">
        <v>195</v>
      </c>
      <c r="C2361" s="1" t="str">
        <f>"08821703"</f>
        <v>08821703</v>
      </c>
      <c r="D2361" s="1" t="s">
        <v>196</v>
      </c>
      <c r="F2361" s="1" t="str">
        <f>"46"</f>
        <v>46</v>
      </c>
      <c r="G2361" s="2">
        <v>42026</v>
      </c>
      <c r="H2361" s="1">
        <v>115000</v>
      </c>
      <c r="I2361" s="1">
        <v>115000</v>
      </c>
      <c r="J2361" s="1">
        <v>113000</v>
      </c>
      <c r="K2361" s="2">
        <v>42026</v>
      </c>
      <c r="L2361" s="1">
        <v>45</v>
      </c>
      <c r="M2361" s="2">
        <v>42070</v>
      </c>
      <c r="N2361" s="1">
        <v>45</v>
      </c>
      <c r="O2361" s="2">
        <v>42070</v>
      </c>
      <c r="P2361" s="1">
        <v>10039</v>
      </c>
      <c r="Q2361" s="1" t="s">
        <v>302</v>
      </c>
      <c r="R2361" s="2">
        <v>42110</v>
      </c>
      <c r="S2361" s="1">
        <v>176030</v>
      </c>
      <c r="U2361" s="1">
        <v>3071</v>
      </c>
      <c r="V2361" s="1" t="s">
        <v>2771</v>
      </c>
      <c r="W2361" s="1" t="s">
        <v>504</v>
      </c>
      <c r="Y2361" s="1">
        <v>5</v>
      </c>
      <c r="Z2361" s="1" t="s">
        <v>370</v>
      </c>
      <c r="AA2361" s="1" t="s">
        <v>2772</v>
      </c>
      <c r="AB2361" s="1">
        <v>60046</v>
      </c>
      <c r="AE2361" s="1" t="s">
        <v>20622</v>
      </c>
      <c r="AF2361" s="1">
        <v>1999</v>
      </c>
      <c r="AG2361" s="1" t="s">
        <v>204</v>
      </c>
      <c r="AH2361" s="1" t="s">
        <v>2775</v>
      </c>
      <c r="AI2361" s="1" t="s">
        <v>509</v>
      </c>
      <c r="AJ2361" s="1" t="s">
        <v>1437</v>
      </c>
      <c r="AL2361" s="1">
        <v>5</v>
      </c>
      <c r="AM2361" s="1">
        <v>2</v>
      </c>
      <c r="AN2361" s="1">
        <v>1</v>
      </c>
      <c r="AO2361" s="1">
        <v>1</v>
      </c>
      <c r="AP2361" s="1" t="s">
        <v>667</v>
      </c>
      <c r="AQ2361" s="1">
        <v>0</v>
      </c>
      <c r="AR2361" s="1" t="s">
        <v>210</v>
      </c>
      <c r="AS2361" s="1" t="s">
        <v>204</v>
      </c>
      <c r="AT2361" s="1" t="s">
        <v>211</v>
      </c>
      <c r="AU2361" s="1">
        <v>1</v>
      </c>
      <c r="AW2361" s="1" t="s">
        <v>204</v>
      </c>
      <c r="AX2361" s="1">
        <v>0</v>
      </c>
      <c r="AZ2361" s="1">
        <v>3224.07</v>
      </c>
      <c r="BA2361" s="1">
        <v>2013</v>
      </c>
      <c r="BE2361" s="1">
        <v>1412</v>
      </c>
      <c r="BF2361" s="1">
        <v>1</v>
      </c>
      <c r="BG2361" s="1">
        <v>0</v>
      </c>
      <c r="BL2361" s="1">
        <v>255</v>
      </c>
      <c r="BM2361" s="1" t="s">
        <v>204</v>
      </c>
      <c r="BN2361" s="1" t="s">
        <v>213</v>
      </c>
      <c r="BO2361" s="1">
        <v>0</v>
      </c>
      <c r="BP2361" s="1" t="s">
        <v>204</v>
      </c>
      <c r="BR2361" s="1" t="str">
        <f>"06014040500000"</f>
        <v>06014040500000</v>
      </c>
      <c r="BT2361" s="1" t="s">
        <v>20623</v>
      </c>
      <c r="BU2361" s="1" t="s">
        <v>9591</v>
      </c>
      <c r="BV2361" s="1" t="s">
        <v>9591</v>
      </c>
      <c r="BW2361" s="1" t="s">
        <v>1843</v>
      </c>
      <c r="BX2361" s="1">
        <v>24</v>
      </c>
      <c r="BY2361" s="1">
        <v>24</v>
      </c>
      <c r="BZ2361" s="1">
        <v>127</v>
      </c>
      <c r="CB2361" s="1" t="str">
        <f t="shared" ref="CB2361:CC2361" si="1810">""</f>
        <v/>
      </c>
      <c r="CC2361" s="1" t="str">
        <f t="shared" si="1810"/>
        <v/>
      </c>
      <c r="CG2361" s="1" t="s">
        <v>2402</v>
      </c>
      <c r="CH2361" s="1" t="s">
        <v>219</v>
      </c>
      <c r="CI2361" s="1" t="s">
        <v>220</v>
      </c>
      <c r="CJ2361" s="1" t="s">
        <v>252</v>
      </c>
      <c r="CK2361" s="1" t="s">
        <v>757</v>
      </c>
      <c r="CL2361" s="1" t="s">
        <v>277</v>
      </c>
      <c r="CM2361" s="1" t="s">
        <v>220</v>
      </c>
      <c r="CN2361" s="1" t="s">
        <v>252</v>
      </c>
      <c r="CO2361" s="1" t="s">
        <v>629</v>
      </c>
      <c r="CP2361" s="1" t="s">
        <v>219</v>
      </c>
      <c r="CQ2361" s="1" t="s">
        <v>220</v>
      </c>
      <c r="CR2361" s="1" t="s">
        <v>210</v>
      </c>
      <c r="CS2361" s="1" t="s">
        <v>465</v>
      </c>
      <c r="CT2361" s="1" t="s">
        <v>277</v>
      </c>
      <c r="CU2361" s="1" t="s">
        <v>220</v>
      </c>
      <c r="CV2361" s="1" t="s">
        <v>252</v>
      </c>
      <c r="CX2361" s="1" t="s">
        <v>224</v>
      </c>
      <c r="DB2361" s="1" t="s">
        <v>224</v>
      </c>
      <c r="DE2361" s="1" t="s">
        <v>951</v>
      </c>
      <c r="DF2361" s="1" t="s">
        <v>219</v>
      </c>
      <c r="DG2361" s="1" t="s">
        <v>342</v>
      </c>
      <c r="DH2361" s="1" t="s">
        <v>210</v>
      </c>
      <c r="DJ2361" s="1" t="s">
        <v>224</v>
      </c>
      <c r="DS2361" s="1" t="s">
        <v>230</v>
      </c>
      <c r="DW2361" s="1" t="s">
        <v>230</v>
      </c>
      <c r="EA2361" s="1" t="s">
        <v>230</v>
      </c>
      <c r="EE2361" s="1" t="s">
        <v>230</v>
      </c>
      <c r="EI2361" s="1" t="s">
        <v>230</v>
      </c>
      <c r="EL2361" s="1" t="s">
        <v>670</v>
      </c>
      <c r="EM2361" s="1" t="s">
        <v>319</v>
      </c>
      <c r="EN2361" s="1" t="s">
        <v>282</v>
      </c>
      <c r="EO2361" s="1" t="s">
        <v>234</v>
      </c>
      <c r="EQ2361" s="1" t="s">
        <v>11636</v>
      </c>
      <c r="ER2361" s="1" t="s">
        <v>383</v>
      </c>
      <c r="ES2361" s="1" t="s">
        <v>493</v>
      </c>
      <c r="EV2361" s="1" t="s">
        <v>240</v>
      </c>
      <c r="EW2361" s="1" t="s">
        <v>1617</v>
      </c>
      <c r="EY2361" s="1" t="s">
        <v>242</v>
      </c>
      <c r="EZ2361" s="1" t="s">
        <v>287</v>
      </c>
      <c r="FA2361" s="1" t="s">
        <v>1554</v>
      </c>
      <c r="FD2361" s="1" t="s">
        <v>246</v>
      </c>
      <c r="FE2361" s="1" t="s">
        <v>472</v>
      </c>
      <c r="FF2361" s="1" t="s">
        <v>248</v>
      </c>
      <c r="FH2361" s="1" t="s">
        <v>550</v>
      </c>
      <c r="FI2361" s="1" t="s">
        <v>473</v>
      </c>
      <c r="FJ2361" s="1" t="s">
        <v>518</v>
      </c>
      <c r="FL2361" s="1" t="s">
        <v>358</v>
      </c>
      <c r="FM2361" s="1" t="s">
        <v>252</v>
      </c>
      <c r="FN2361" s="1" t="s">
        <v>213</v>
      </c>
      <c r="FO2361" s="1" t="s">
        <v>213</v>
      </c>
      <c r="FQ2361" s="1" t="s">
        <v>3616</v>
      </c>
      <c r="FR2361" s="1" t="s">
        <v>210</v>
      </c>
      <c r="FS2361" s="1" t="s">
        <v>1709</v>
      </c>
      <c r="FT2361" s="1" t="s">
        <v>20624</v>
      </c>
      <c r="FU2361" s="1" t="s">
        <v>204</v>
      </c>
      <c r="FW2361" s="1" t="s">
        <v>618</v>
      </c>
      <c r="FX2361" s="1">
        <v>2643</v>
      </c>
      <c r="FY2361" s="1" t="s">
        <v>619</v>
      </c>
      <c r="FZ2361" s="1" t="s">
        <v>14379</v>
      </c>
      <c r="GA2361" s="1">
        <v>20245</v>
      </c>
      <c r="GB2361" s="1" t="s">
        <v>14380</v>
      </c>
      <c r="GC2361" s="1">
        <v>12662</v>
      </c>
      <c r="GD2361" s="1" t="s">
        <v>14381</v>
      </c>
      <c r="GE2361" s="1" t="s">
        <v>1120</v>
      </c>
      <c r="GI2361" s="1" t="s">
        <v>213</v>
      </c>
      <c r="GJ2361" s="1" t="s">
        <v>260</v>
      </c>
      <c r="GK2361" s="1" t="s">
        <v>210</v>
      </c>
      <c r="GL2361" s="2">
        <v>42110</v>
      </c>
      <c r="GM2361" s="1" t="s">
        <v>20625</v>
      </c>
    </row>
    <row r="2362" spans="1:195">
      <c r="A2362" s="1">
        <v>55000</v>
      </c>
      <c r="B2362" s="1" t="s">
        <v>195</v>
      </c>
      <c r="C2362" s="1" t="str">
        <f>"08820054"</f>
        <v>08820054</v>
      </c>
      <c r="D2362" s="1" t="s">
        <v>196</v>
      </c>
      <c r="F2362" s="1" t="str">
        <f>"8064"</f>
        <v>8064</v>
      </c>
      <c r="G2362" s="2">
        <v>42024</v>
      </c>
      <c r="H2362" s="1">
        <v>58900</v>
      </c>
      <c r="I2362" s="1">
        <v>58900</v>
      </c>
      <c r="J2362" s="1">
        <v>55000</v>
      </c>
      <c r="K2362" s="2">
        <v>42021</v>
      </c>
      <c r="L2362" s="1">
        <v>2</v>
      </c>
      <c r="M2362" s="2">
        <v>42022</v>
      </c>
      <c r="N2362" s="1">
        <v>2</v>
      </c>
      <c r="O2362" s="2">
        <v>42022</v>
      </c>
      <c r="P2362" s="1">
        <v>60021</v>
      </c>
      <c r="Q2362" s="1" t="s">
        <v>302</v>
      </c>
      <c r="R2362" s="2">
        <v>42039</v>
      </c>
      <c r="S2362" s="1">
        <v>241166</v>
      </c>
      <c r="U2362" s="1">
        <v>6412</v>
      </c>
      <c r="V2362" s="1" t="s">
        <v>20626</v>
      </c>
      <c r="W2362" s="1" t="s">
        <v>425</v>
      </c>
      <c r="X2362" s="1">
        <v>6412</v>
      </c>
      <c r="Y2362" s="1">
        <v>4</v>
      </c>
      <c r="Z2362" s="1" t="s">
        <v>200</v>
      </c>
      <c r="AA2362" s="1" t="s">
        <v>400</v>
      </c>
      <c r="AB2362" s="1">
        <v>60638</v>
      </c>
      <c r="AE2362" s="1" t="s">
        <v>20627</v>
      </c>
      <c r="AF2362" s="1">
        <v>1941</v>
      </c>
      <c r="AG2362" s="1" t="s">
        <v>213</v>
      </c>
      <c r="AH2362" s="1" t="s">
        <v>403</v>
      </c>
      <c r="AI2362" s="1" t="s">
        <v>310</v>
      </c>
      <c r="AJ2362" s="1" t="s">
        <v>683</v>
      </c>
      <c r="AL2362" s="1">
        <v>5</v>
      </c>
      <c r="AM2362" s="1">
        <v>2</v>
      </c>
      <c r="AN2362" s="1">
        <v>1</v>
      </c>
      <c r="AO2362" s="1">
        <v>0</v>
      </c>
      <c r="AP2362" s="1" t="s">
        <v>210</v>
      </c>
      <c r="AR2362" s="1" t="s">
        <v>209</v>
      </c>
      <c r="AS2362" s="1" t="s">
        <v>204</v>
      </c>
      <c r="AT2362" s="1" t="s">
        <v>210</v>
      </c>
      <c r="AW2362" s="1" t="s">
        <v>204</v>
      </c>
      <c r="AX2362" s="1">
        <v>2000</v>
      </c>
      <c r="AZ2362" s="1">
        <v>1572</v>
      </c>
      <c r="BA2362" s="1">
        <v>2012</v>
      </c>
      <c r="BB2362" s="1" t="s">
        <v>405</v>
      </c>
      <c r="BE2362" s="1">
        <v>0</v>
      </c>
      <c r="BF2362" s="1">
        <v>1</v>
      </c>
      <c r="BG2362" s="1">
        <v>5</v>
      </c>
      <c r="BL2362" s="1">
        <v>0</v>
      </c>
      <c r="BM2362" s="1" t="s">
        <v>204</v>
      </c>
      <c r="BN2362" s="1" t="s">
        <v>213</v>
      </c>
      <c r="BO2362" s="1">
        <v>999</v>
      </c>
      <c r="BP2362" s="1" t="s">
        <v>204</v>
      </c>
      <c r="BR2362" s="1" t="str">
        <f>"19211100460000"</f>
        <v>19211100460000</v>
      </c>
      <c r="BT2362" s="1" t="s">
        <v>7175</v>
      </c>
      <c r="BX2362" s="1">
        <v>299</v>
      </c>
      <c r="BY2362" s="1">
        <v>299</v>
      </c>
      <c r="BZ2362" s="1">
        <v>299</v>
      </c>
      <c r="CB2362" s="1" t="str">
        <f t="shared" ref="CB2362:CC2362" si="1811">"0"</f>
        <v>0</v>
      </c>
      <c r="CC2362" s="1" t="str">
        <f t="shared" si="1811"/>
        <v>0</v>
      </c>
      <c r="CD2362" s="1">
        <v>5400</v>
      </c>
      <c r="CE2362" s="1">
        <v>6412</v>
      </c>
      <c r="CG2362" s="1" t="s">
        <v>602</v>
      </c>
      <c r="CH2362" s="1" t="s">
        <v>219</v>
      </c>
      <c r="CK2362" s="1" t="s">
        <v>223</v>
      </c>
      <c r="CL2362" s="1" t="s">
        <v>277</v>
      </c>
      <c r="CO2362" s="1" t="s">
        <v>7487</v>
      </c>
      <c r="CP2362" s="1" t="s">
        <v>219</v>
      </c>
      <c r="CS2362" s="1" t="s">
        <v>836</v>
      </c>
      <c r="CT2362" s="1" t="s">
        <v>277</v>
      </c>
      <c r="CX2362" s="1" t="s">
        <v>224</v>
      </c>
      <c r="DB2362" s="1" t="s">
        <v>224</v>
      </c>
      <c r="DE2362" s="1" t="s">
        <v>5974</v>
      </c>
      <c r="DF2362" s="1" t="s">
        <v>219</v>
      </c>
      <c r="DJ2362" s="1" t="s">
        <v>224</v>
      </c>
      <c r="DS2362" s="1" t="s">
        <v>230</v>
      </c>
      <c r="DW2362" s="1" t="s">
        <v>230</v>
      </c>
      <c r="EA2362" s="1" t="s">
        <v>230</v>
      </c>
      <c r="EE2362" s="1" t="s">
        <v>230</v>
      </c>
      <c r="EI2362" s="1" t="s">
        <v>230</v>
      </c>
      <c r="EL2362" s="1" t="s">
        <v>440</v>
      </c>
      <c r="EM2362" s="1" t="s">
        <v>232</v>
      </c>
      <c r="EN2362" s="1" t="s">
        <v>210</v>
      </c>
      <c r="EO2362" s="1" t="s">
        <v>234</v>
      </c>
      <c r="ER2362" s="1" t="s">
        <v>1249</v>
      </c>
      <c r="EW2362" s="1" t="s">
        <v>210</v>
      </c>
      <c r="EZ2362" s="1" t="s">
        <v>287</v>
      </c>
      <c r="FB2362" s="1" t="s">
        <v>734</v>
      </c>
      <c r="FC2362" s="1" t="s">
        <v>1386</v>
      </c>
      <c r="FD2362" s="1" t="s">
        <v>246</v>
      </c>
      <c r="FE2362" s="1" t="s">
        <v>247</v>
      </c>
      <c r="FF2362" s="1" t="s">
        <v>248</v>
      </c>
      <c r="FH2362" s="1" t="s">
        <v>550</v>
      </c>
      <c r="FJ2362" s="1" t="s">
        <v>2046</v>
      </c>
      <c r="FL2362" s="1" t="s">
        <v>414</v>
      </c>
      <c r="FM2362" s="1" t="s">
        <v>252</v>
      </c>
      <c r="FN2362" s="1" t="s">
        <v>213</v>
      </c>
      <c r="FO2362" s="1" t="s">
        <v>204</v>
      </c>
      <c r="FQ2362" s="1" t="s">
        <v>20628</v>
      </c>
      <c r="FR2362" s="1" t="s">
        <v>210</v>
      </c>
      <c r="FS2362" s="1" t="s">
        <v>11257</v>
      </c>
      <c r="FT2362" s="1" t="s">
        <v>255</v>
      </c>
      <c r="FU2362" s="1" t="s">
        <v>204</v>
      </c>
      <c r="FW2362" s="1" t="s">
        <v>20629</v>
      </c>
      <c r="FX2362" s="1">
        <v>60759</v>
      </c>
      <c r="FY2362" s="1" t="s">
        <v>20630</v>
      </c>
      <c r="FZ2362" s="1" t="s">
        <v>20631</v>
      </c>
      <c r="GA2362" s="1">
        <v>243578</v>
      </c>
      <c r="GD2362" s="1" t="s">
        <v>20632</v>
      </c>
      <c r="GE2362" s="1" t="s">
        <v>1576</v>
      </c>
      <c r="GH2362" s="1" t="s">
        <v>421</v>
      </c>
      <c r="GI2362" s="1" t="s">
        <v>213</v>
      </c>
      <c r="GJ2362" s="1" t="s">
        <v>260</v>
      </c>
      <c r="GK2362" s="1" t="s">
        <v>210</v>
      </c>
      <c r="GL2362" s="2">
        <v>42040</v>
      </c>
    </row>
    <row r="2363" spans="1:195">
      <c r="A2363" s="1">
        <v>132000</v>
      </c>
      <c r="B2363" s="1" t="s">
        <v>195</v>
      </c>
      <c r="C2363" s="1" t="str">
        <f>"08821162"</f>
        <v>08821162</v>
      </c>
      <c r="D2363" s="1" t="s">
        <v>196</v>
      </c>
      <c r="F2363" s="1" t="str">
        <f>"123"</f>
        <v>123</v>
      </c>
      <c r="G2363" s="2">
        <v>42025</v>
      </c>
      <c r="H2363" s="1">
        <v>144900</v>
      </c>
      <c r="I2363" s="1">
        <v>144900</v>
      </c>
      <c r="J2363" s="1">
        <v>132000</v>
      </c>
      <c r="K2363" s="2">
        <v>42024</v>
      </c>
      <c r="L2363" s="1">
        <v>30</v>
      </c>
      <c r="M2363" s="2">
        <v>42053</v>
      </c>
      <c r="N2363" s="1">
        <v>30</v>
      </c>
      <c r="O2363" s="2">
        <v>42053</v>
      </c>
      <c r="P2363" s="1">
        <v>5300</v>
      </c>
      <c r="Q2363" s="1" t="s">
        <v>197</v>
      </c>
      <c r="R2363" s="2">
        <v>42093</v>
      </c>
      <c r="S2363" s="1">
        <v>55398</v>
      </c>
      <c r="U2363" s="1">
        <v>792</v>
      </c>
      <c r="V2363" s="1" t="s">
        <v>10808</v>
      </c>
      <c r="W2363" s="1" t="s">
        <v>264</v>
      </c>
      <c r="Y2363" s="1">
        <v>4</v>
      </c>
      <c r="Z2363" s="1" t="s">
        <v>370</v>
      </c>
      <c r="AA2363" s="1" t="s">
        <v>1173</v>
      </c>
      <c r="AB2363" s="1">
        <v>60123</v>
      </c>
      <c r="AD2363" s="1" t="s">
        <v>20633</v>
      </c>
      <c r="AE2363" s="1" t="s">
        <v>20634</v>
      </c>
      <c r="AF2363" s="1">
        <v>1997</v>
      </c>
      <c r="AG2363" s="1" t="s">
        <v>204</v>
      </c>
      <c r="AH2363" s="1" t="s">
        <v>1175</v>
      </c>
      <c r="AI2363" s="1" t="s">
        <v>665</v>
      </c>
      <c r="AJ2363" s="1" t="s">
        <v>1175</v>
      </c>
      <c r="AK2363" s="1" t="s">
        <v>20635</v>
      </c>
      <c r="AL2363" s="1">
        <v>6</v>
      </c>
      <c r="AM2363" s="1">
        <v>2</v>
      </c>
      <c r="AN2363" s="1">
        <v>2</v>
      </c>
      <c r="AO2363" s="1">
        <v>1</v>
      </c>
      <c r="AP2363" s="1" t="s">
        <v>209</v>
      </c>
      <c r="AR2363" s="1" t="s">
        <v>210</v>
      </c>
      <c r="AS2363" s="1" t="s">
        <v>204</v>
      </c>
      <c r="AT2363" s="1" t="s">
        <v>211</v>
      </c>
      <c r="AU2363" s="1">
        <v>2</v>
      </c>
      <c r="AW2363" s="1" t="s">
        <v>204</v>
      </c>
      <c r="AX2363" s="1" t="s">
        <v>212</v>
      </c>
      <c r="AZ2363" s="1">
        <v>2907.58</v>
      </c>
      <c r="BA2363" s="1">
        <v>2013</v>
      </c>
      <c r="BB2363" s="1" t="s">
        <v>405</v>
      </c>
      <c r="BE2363" s="1">
        <v>1390</v>
      </c>
      <c r="BF2363" s="1">
        <v>1</v>
      </c>
      <c r="BG2363" s="1">
        <v>0</v>
      </c>
      <c r="BL2363" s="1">
        <v>170</v>
      </c>
      <c r="BM2363" s="1" t="s">
        <v>204</v>
      </c>
      <c r="BN2363" s="1" t="s">
        <v>213</v>
      </c>
      <c r="BO2363" s="1" t="s">
        <v>432</v>
      </c>
      <c r="BP2363" s="1" t="s">
        <v>204</v>
      </c>
      <c r="BR2363" s="1" t="str">
        <f>"0628127008"</f>
        <v>0628127008</v>
      </c>
      <c r="BT2363" s="1" t="s">
        <v>20636</v>
      </c>
      <c r="BU2363" s="1" t="s">
        <v>6003</v>
      </c>
      <c r="BV2363" s="1" t="s">
        <v>3283</v>
      </c>
      <c r="BW2363" s="1" t="s">
        <v>1468</v>
      </c>
      <c r="BX2363" s="1">
        <v>46</v>
      </c>
      <c r="BY2363" s="1">
        <v>46</v>
      </c>
      <c r="BZ2363" s="1">
        <v>46</v>
      </c>
      <c r="CB2363" s="1" t="str">
        <f t="shared" ref="CB2363:CC2363" si="1812">""</f>
        <v/>
      </c>
      <c r="CC2363" s="1" t="str">
        <f t="shared" si="1812"/>
        <v/>
      </c>
      <c r="CG2363" s="1" t="s">
        <v>601</v>
      </c>
      <c r="CH2363" s="1" t="s">
        <v>219</v>
      </c>
      <c r="CI2363" s="1" t="s">
        <v>229</v>
      </c>
      <c r="CJ2363" s="1" t="s">
        <v>252</v>
      </c>
      <c r="CK2363" s="1" t="s">
        <v>538</v>
      </c>
      <c r="CL2363" s="1" t="s">
        <v>277</v>
      </c>
      <c r="CM2363" s="1" t="s">
        <v>220</v>
      </c>
      <c r="CN2363" s="1" t="s">
        <v>252</v>
      </c>
      <c r="CO2363" s="1" t="s">
        <v>346</v>
      </c>
      <c r="CP2363" s="1" t="s">
        <v>219</v>
      </c>
      <c r="CQ2363" s="1" t="s">
        <v>229</v>
      </c>
      <c r="CR2363" s="1" t="s">
        <v>252</v>
      </c>
      <c r="CS2363" s="1" t="s">
        <v>317</v>
      </c>
      <c r="CT2363" s="1" t="s">
        <v>277</v>
      </c>
      <c r="CU2363" s="1" t="s">
        <v>220</v>
      </c>
      <c r="CV2363" s="1" t="s">
        <v>252</v>
      </c>
      <c r="CX2363" s="1" t="s">
        <v>224</v>
      </c>
      <c r="DB2363" s="1" t="s">
        <v>224</v>
      </c>
      <c r="DE2363" s="1" t="s">
        <v>1358</v>
      </c>
      <c r="DF2363" s="1" t="s">
        <v>219</v>
      </c>
      <c r="DG2363" s="1" t="s">
        <v>229</v>
      </c>
      <c r="DH2363" s="1" t="s">
        <v>252</v>
      </c>
      <c r="DJ2363" s="1" t="s">
        <v>224</v>
      </c>
      <c r="DM2363" s="1" t="s">
        <v>464</v>
      </c>
      <c r="DR2363" s="1" t="s">
        <v>4084</v>
      </c>
      <c r="DS2363" s="1" t="s">
        <v>277</v>
      </c>
      <c r="DT2363" s="1" t="s">
        <v>229</v>
      </c>
      <c r="DU2363" s="1" t="s">
        <v>252</v>
      </c>
      <c r="DW2363" s="1" t="s">
        <v>230</v>
      </c>
      <c r="EA2363" s="1" t="s">
        <v>230</v>
      </c>
      <c r="EE2363" s="1" t="s">
        <v>230</v>
      </c>
      <c r="EI2363" s="1" t="s">
        <v>230</v>
      </c>
      <c r="EL2363" s="1" t="s">
        <v>670</v>
      </c>
      <c r="EM2363" s="1" t="s">
        <v>319</v>
      </c>
      <c r="EN2363" s="1" t="s">
        <v>282</v>
      </c>
      <c r="EO2363" s="1" t="s">
        <v>234</v>
      </c>
      <c r="EP2363" s="1" t="s">
        <v>1268</v>
      </c>
      <c r="EQ2363" s="1" t="s">
        <v>236</v>
      </c>
      <c r="ER2363" s="1" t="s">
        <v>210</v>
      </c>
      <c r="ES2363" s="1" t="s">
        <v>3218</v>
      </c>
      <c r="ET2363" s="1" t="s">
        <v>238</v>
      </c>
      <c r="EU2363" s="1" t="s">
        <v>712</v>
      </c>
      <c r="EW2363" s="1" t="s">
        <v>353</v>
      </c>
      <c r="EZ2363" s="1" t="s">
        <v>464</v>
      </c>
      <c r="FA2363" s="1" t="s">
        <v>471</v>
      </c>
      <c r="FD2363" s="1" t="s">
        <v>246</v>
      </c>
      <c r="FE2363" s="1" t="s">
        <v>1006</v>
      </c>
      <c r="FF2363" s="1" t="s">
        <v>248</v>
      </c>
      <c r="FH2363" s="1" t="s">
        <v>940</v>
      </c>
      <c r="FI2363" s="1" t="s">
        <v>473</v>
      </c>
      <c r="FL2363" s="1" t="s">
        <v>358</v>
      </c>
      <c r="FM2363" s="1" t="s">
        <v>252</v>
      </c>
      <c r="FN2363" s="1" t="s">
        <v>213</v>
      </c>
      <c r="FO2363" s="1" t="s">
        <v>213</v>
      </c>
      <c r="FQ2363" s="1" t="s">
        <v>892</v>
      </c>
      <c r="FR2363" s="1" t="s">
        <v>210</v>
      </c>
      <c r="FS2363" s="1" t="s">
        <v>20637</v>
      </c>
      <c r="FT2363" s="1" t="s">
        <v>295</v>
      </c>
      <c r="FU2363" s="1" t="s">
        <v>204</v>
      </c>
      <c r="FW2363" s="1" t="s">
        <v>873</v>
      </c>
      <c r="FX2363" s="1">
        <v>25309</v>
      </c>
      <c r="FY2363" s="1" t="s">
        <v>874</v>
      </c>
      <c r="FZ2363" s="1" t="s">
        <v>875</v>
      </c>
      <c r="GA2363" s="1">
        <v>256018</v>
      </c>
      <c r="GB2363" s="1" t="s">
        <v>876</v>
      </c>
      <c r="GE2363" s="1" t="s">
        <v>480</v>
      </c>
      <c r="GI2363" s="1" t="s">
        <v>213</v>
      </c>
      <c r="GJ2363" s="1" t="s">
        <v>260</v>
      </c>
      <c r="GK2363" s="1" t="s">
        <v>261</v>
      </c>
      <c r="GL2363" s="2">
        <v>42093</v>
      </c>
    </row>
    <row r="2364" spans="1:195">
      <c r="A2364" s="1">
        <v>61000</v>
      </c>
      <c r="B2364" s="1" t="s">
        <v>195</v>
      </c>
      <c r="C2364" s="1" t="str">
        <f>"08819533"</f>
        <v>08819533</v>
      </c>
      <c r="D2364" s="1" t="s">
        <v>196</v>
      </c>
      <c r="F2364" s="1" t="str">
        <f>"507"</f>
        <v>507</v>
      </c>
      <c r="G2364" s="2">
        <v>42023</v>
      </c>
      <c r="H2364" s="1">
        <v>68900</v>
      </c>
      <c r="I2364" s="1">
        <v>68900</v>
      </c>
      <c r="J2364" s="1">
        <v>61000</v>
      </c>
      <c r="K2364" s="2">
        <v>42023</v>
      </c>
      <c r="L2364" s="1">
        <v>29</v>
      </c>
      <c r="M2364" s="2">
        <v>42051</v>
      </c>
      <c r="N2364" s="1">
        <v>29</v>
      </c>
      <c r="O2364" s="2">
        <v>42051</v>
      </c>
      <c r="P2364" s="1">
        <v>49</v>
      </c>
      <c r="Q2364" s="1" t="s">
        <v>302</v>
      </c>
      <c r="R2364" s="2">
        <v>42065</v>
      </c>
      <c r="S2364" s="1">
        <v>7555</v>
      </c>
      <c r="T2364" s="1">
        <v>1000</v>
      </c>
      <c r="U2364" s="1">
        <v>390</v>
      </c>
      <c r="V2364" s="1" t="s">
        <v>7240</v>
      </c>
      <c r="W2364" s="1" t="s">
        <v>504</v>
      </c>
      <c r="X2364" s="1">
        <v>1</v>
      </c>
      <c r="Y2364" s="1">
        <v>4</v>
      </c>
      <c r="Z2364" s="1" t="s">
        <v>249</v>
      </c>
      <c r="AA2364" s="1" t="s">
        <v>1123</v>
      </c>
      <c r="AB2364" s="1">
        <v>60504</v>
      </c>
      <c r="AE2364" s="1" t="s">
        <v>20638</v>
      </c>
      <c r="AF2364" s="1">
        <v>1980</v>
      </c>
      <c r="AG2364" s="1" t="s">
        <v>204</v>
      </c>
      <c r="AH2364" s="1" t="s">
        <v>1126</v>
      </c>
      <c r="AI2364" s="1" t="s">
        <v>206</v>
      </c>
      <c r="AJ2364" s="1" t="s">
        <v>924</v>
      </c>
      <c r="AL2364" s="1">
        <v>5</v>
      </c>
      <c r="AM2364" s="1">
        <v>2</v>
      </c>
      <c r="AN2364" s="1">
        <v>1</v>
      </c>
      <c r="AO2364" s="1">
        <v>0</v>
      </c>
      <c r="AP2364" s="1" t="s">
        <v>667</v>
      </c>
      <c r="AR2364" s="1" t="s">
        <v>210</v>
      </c>
      <c r="AS2364" s="1" t="s">
        <v>204</v>
      </c>
      <c r="AT2364" s="1" t="s">
        <v>271</v>
      </c>
      <c r="AV2364" s="1">
        <v>2</v>
      </c>
      <c r="AW2364" s="1" t="s">
        <v>204</v>
      </c>
      <c r="AX2364" s="1" t="s">
        <v>212</v>
      </c>
      <c r="AZ2364" s="1">
        <v>1214</v>
      </c>
      <c r="BA2364" s="1">
        <v>2013</v>
      </c>
      <c r="BE2364" s="1">
        <v>813</v>
      </c>
      <c r="BF2364" s="1" t="s">
        <v>6276</v>
      </c>
      <c r="BG2364" s="1">
        <v>0</v>
      </c>
      <c r="BL2364" s="1">
        <v>323</v>
      </c>
      <c r="BM2364" s="1" t="s">
        <v>204</v>
      </c>
      <c r="BN2364" s="1" t="s">
        <v>213</v>
      </c>
      <c r="BO2364" s="1">
        <v>40</v>
      </c>
      <c r="BP2364" s="1" t="s">
        <v>204</v>
      </c>
      <c r="BR2364" s="1" t="str">
        <f>"0729208013"</f>
        <v>0729208013</v>
      </c>
      <c r="BT2364" s="1" t="s">
        <v>20639</v>
      </c>
      <c r="BX2364" s="1">
        <v>204</v>
      </c>
      <c r="BY2364" s="1">
        <v>204</v>
      </c>
      <c r="BZ2364" s="1">
        <v>204</v>
      </c>
      <c r="CB2364" s="1" t="str">
        <f t="shared" ref="CB2364:CC2364" si="1813">""</f>
        <v/>
      </c>
      <c r="CC2364" s="1" t="str">
        <f t="shared" si="1813"/>
        <v/>
      </c>
      <c r="CG2364" s="1" t="s">
        <v>1615</v>
      </c>
      <c r="CH2364" s="1" t="s">
        <v>219</v>
      </c>
      <c r="CI2364" s="1" t="s">
        <v>229</v>
      </c>
      <c r="CJ2364" s="1" t="s">
        <v>343</v>
      </c>
      <c r="CK2364" s="1" t="s">
        <v>539</v>
      </c>
      <c r="CL2364" s="1" t="s">
        <v>219</v>
      </c>
      <c r="CM2364" s="1" t="s">
        <v>220</v>
      </c>
      <c r="CN2364" s="1" t="s">
        <v>343</v>
      </c>
      <c r="CO2364" s="1" t="s">
        <v>629</v>
      </c>
      <c r="CP2364" s="1" t="s">
        <v>219</v>
      </c>
      <c r="CS2364" s="1" t="s">
        <v>346</v>
      </c>
      <c r="CT2364" s="1" t="s">
        <v>219</v>
      </c>
      <c r="CU2364" s="1" t="s">
        <v>220</v>
      </c>
      <c r="CV2364" s="1" t="s">
        <v>343</v>
      </c>
      <c r="CX2364" s="1" t="s">
        <v>224</v>
      </c>
      <c r="DB2364" s="1" t="s">
        <v>224</v>
      </c>
      <c r="DE2364" s="1" t="s">
        <v>2138</v>
      </c>
      <c r="DF2364" s="1" t="s">
        <v>219</v>
      </c>
      <c r="DG2364" s="1" t="s">
        <v>229</v>
      </c>
      <c r="DJ2364" s="1" t="s">
        <v>224</v>
      </c>
      <c r="DS2364" s="1" t="s">
        <v>230</v>
      </c>
      <c r="DW2364" s="1" t="s">
        <v>230</v>
      </c>
      <c r="EA2364" s="1" t="s">
        <v>230</v>
      </c>
      <c r="EE2364" s="1" t="s">
        <v>230</v>
      </c>
      <c r="EI2364" s="1" t="s">
        <v>230</v>
      </c>
      <c r="EL2364" s="1" t="s">
        <v>231</v>
      </c>
      <c r="EM2364" s="1" t="s">
        <v>319</v>
      </c>
      <c r="EN2364" s="1" t="s">
        <v>1158</v>
      </c>
      <c r="EO2364" s="1" t="s">
        <v>234</v>
      </c>
      <c r="EP2364" s="1" t="s">
        <v>732</v>
      </c>
      <c r="ER2364" s="1" t="s">
        <v>210</v>
      </c>
      <c r="EW2364" s="1" t="s">
        <v>2344</v>
      </c>
      <c r="EZ2364" s="1" t="s">
        <v>287</v>
      </c>
      <c r="FA2364" s="1" t="s">
        <v>3915</v>
      </c>
      <c r="FB2364" s="1" t="s">
        <v>289</v>
      </c>
      <c r="FD2364" s="1" t="s">
        <v>246</v>
      </c>
      <c r="FE2364" s="1" t="s">
        <v>975</v>
      </c>
      <c r="FF2364" s="1" t="s">
        <v>248</v>
      </c>
      <c r="FH2364" s="1" t="s">
        <v>249</v>
      </c>
      <c r="FK2364" s="1" t="s">
        <v>291</v>
      </c>
      <c r="FL2364" s="1" t="s">
        <v>2233</v>
      </c>
      <c r="FM2364" s="1" t="s">
        <v>252</v>
      </c>
      <c r="FN2364" s="1" t="s">
        <v>213</v>
      </c>
      <c r="FO2364" s="1" t="s">
        <v>213</v>
      </c>
      <c r="FQ2364" s="1" t="s">
        <v>20640</v>
      </c>
      <c r="FR2364" s="1" t="s">
        <v>210</v>
      </c>
      <c r="FS2364" s="1" t="s">
        <v>20641</v>
      </c>
      <c r="FT2364" s="1" t="s">
        <v>295</v>
      </c>
      <c r="FU2364" s="1" t="s">
        <v>204</v>
      </c>
      <c r="FW2364" s="1" t="s">
        <v>20016</v>
      </c>
      <c r="FX2364" s="1">
        <v>24215</v>
      </c>
      <c r="FY2364" s="1" t="s">
        <v>20017</v>
      </c>
      <c r="FZ2364" s="1" t="s">
        <v>20642</v>
      </c>
      <c r="GA2364" s="1">
        <v>237716</v>
      </c>
      <c r="GB2364" s="1" t="s">
        <v>20643</v>
      </c>
      <c r="GE2364" s="1" t="s">
        <v>480</v>
      </c>
      <c r="GI2364" s="1" t="s">
        <v>213</v>
      </c>
      <c r="GJ2364" s="1" t="s">
        <v>260</v>
      </c>
      <c r="GK2364" s="1" t="s">
        <v>210</v>
      </c>
      <c r="GL2364" s="2">
        <v>42065</v>
      </c>
    </row>
    <row r="2365" spans="1:195">
      <c r="A2365" s="1">
        <v>64000</v>
      </c>
      <c r="B2365" s="1" t="s">
        <v>195</v>
      </c>
      <c r="C2365" s="1" t="str">
        <f>"08820085"</f>
        <v>08820085</v>
      </c>
      <c r="D2365" s="1" t="s">
        <v>196</v>
      </c>
      <c r="F2365" s="1" t="str">
        <f>"517"</f>
        <v>517</v>
      </c>
      <c r="G2365" s="2">
        <v>42024</v>
      </c>
      <c r="H2365" s="1">
        <v>74900</v>
      </c>
      <c r="I2365" s="1">
        <v>69900</v>
      </c>
      <c r="J2365" s="1">
        <v>64000</v>
      </c>
      <c r="K2365" s="2">
        <v>42024</v>
      </c>
      <c r="L2365" s="1">
        <v>44</v>
      </c>
      <c r="M2365" s="2">
        <v>42067</v>
      </c>
      <c r="N2365" s="1">
        <v>44</v>
      </c>
      <c r="O2365" s="2">
        <v>42067</v>
      </c>
      <c r="P2365" s="1">
        <v>23265</v>
      </c>
      <c r="Q2365" s="1" t="s">
        <v>302</v>
      </c>
      <c r="R2365" s="2">
        <v>42090</v>
      </c>
      <c r="S2365" s="1">
        <v>212343</v>
      </c>
      <c r="U2365" s="1">
        <v>3435</v>
      </c>
      <c r="V2365" s="1" t="s">
        <v>5984</v>
      </c>
      <c r="W2365" s="1" t="s">
        <v>725</v>
      </c>
      <c r="X2365" s="1" t="s">
        <v>20644</v>
      </c>
      <c r="Y2365" s="1">
        <v>20</v>
      </c>
      <c r="Z2365" s="1" t="s">
        <v>249</v>
      </c>
      <c r="AA2365" s="1" t="s">
        <v>2850</v>
      </c>
      <c r="AB2365" s="1">
        <v>60517</v>
      </c>
      <c r="AD2365" s="1" t="s">
        <v>5986</v>
      </c>
      <c r="AE2365" s="1" t="s">
        <v>20645</v>
      </c>
      <c r="AF2365" s="1">
        <v>1974</v>
      </c>
      <c r="AG2365" s="1" t="s">
        <v>213</v>
      </c>
      <c r="AH2365" s="1" t="s">
        <v>2853</v>
      </c>
      <c r="AI2365" s="1" t="s">
        <v>206</v>
      </c>
      <c r="AJ2365" s="1" t="s">
        <v>925</v>
      </c>
      <c r="AL2365" s="1">
        <v>5</v>
      </c>
      <c r="AM2365" s="1">
        <v>2</v>
      </c>
      <c r="AN2365" s="1">
        <v>1</v>
      </c>
      <c r="AO2365" s="1">
        <v>1</v>
      </c>
      <c r="AP2365" s="1" t="s">
        <v>210</v>
      </c>
      <c r="AR2365" s="1" t="s">
        <v>210</v>
      </c>
      <c r="AS2365" s="1" t="s">
        <v>204</v>
      </c>
      <c r="AT2365" s="1" t="s">
        <v>271</v>
      </c>
      <c r="AV2365" s="1">
        <v>2</v>
      </c>
      <c r="AW2365" s="1" t="s">
        <v>204</v>
      </c>
      <c r="AX2365" s="1" t="s">
        <v>212</v>
      </c>
      <c r="AZ2365" s="1">
        <v>1731</v>
      </c>
      <c r="BA2365" s="1">
        <v>2013</v>
      </c>
      <c r="BB2365" s="1" t="s">
        <v>210</v>
      </c>
      <c r="BE2365" s="1">
        <v>1048</v>
      </c>
      <c r="BF2365" s="1">
        <v>2</v>
      </c>
      <c r="BG2365" s="1">
        <v>10</v>
      </c>
      <c r="BL2365" s="1">
        <v>327</v>
      </c>
      <c r="BM2365" s="1" t="s">
        <v>204</v>
      </c>
      <c r="BN2365" s="1" t="s">
        <v>213</v>
      </c>
      <c r="BO2365" s="1">
        <v>50</v>
      </c>
      <c r="BP2365" s="1" t="s">
        <v>204</v>
      </c>
      <c r="BR2365" s="1" t="str">
        <f>"0835304058"</f>
        <v>0835304058</v>
      </c>
      <c r="BT2365" s="1" t="s">
        <v>20646</v>
      </c>
      <c r="BX2365" s="1">
        <v>68</v>
      </c>
      <c r="BY2365" s="1">
        <v>68</v>
      </c>
      <c r="BZ2365" s="1">
        <v>99</v>
      </c>
      <c r="CB2365" s="1" t="str">
        <f t="shared" ref="CB2365:CC2365" si="1814">"0"</f>
        <v>0</v>
      </c>
      <c r="CC2365" s="1" t="str">
        <f t="shared" si="1814"/>
        <v>0</v>
      </c>
      <c r="CD2365" s="1">
        <v>22</v>
      </c>
      <c r="CE2365" s="1">
        <v>9</v>
      </c>
      <c r="CG2365" s="1" t="s">
        <v>3035</v>
      </c>
      <c r="CH2365" s="1" t="s">
        <v>277</v>
      </c>
      <c r="CK2365" s="1" t="s">
        <v>315</v>
      </c>
      <c r="CL2365" s="1" t="s">
        <v>277</v>
      </c>
      <c r="CO2365" s="1" t="s">
        <v>630</v>
      </c>
      <c r="CP2365" s="1" t="s">
        <v>277</v>
      </c>
      <c r="CS2365" s="1" t="s">
        <v>379</v>
      </c>
      <c r="CT2365" s="1" t="s">
        <v>277</v>
      </c>
      <c r="CX2365" s="1" t="s">
        <v>224</v>
      </c>
      <c r="DB2365" s="1" t="s">
        <v>224</v>
      </c>
      <c r="DE2365" s="1" t="s">
        <v>821</v>
      </c>
      <c r="DF2365" s="1" t="s">
        <v>277</v>
      </c>
      <c r="DJ2365" s="1" t="s">
        <v>224</v>
      </c>
      <c r="DS2365" s="1" t="s">
        <v>230</v>
      </c>
      <c r="DW2365" s="1" t="s">
        <v>230</v>
      </c>
      <c r="EA2365" s="1" t="s">
        <v>230</v>
      </c>
      <c r="EE2365" s="1" t="s">
        <v>230</v>
      </c>
      <c r="EI2365" s="1" t="s">
        <v>230</v>
      </c>
      <c r="EL2365" s="1" t="s">
        <v>605</v>
      </c>
      <c r="EM2365" s="1" t="s">
        <v>232</v>
      </c>
      <c r="EN2365" s="1" t="s">
        <v>20647</v>
      </c>
      <c r="EO2365" s="1" t="s">
        <v>234</v>
      </c>
      <c r="ER2365" s="1" t="s">
        <v>210</v>
      </c>
      <c r="EU2365" s="1" t="s">
        <v>712</v>
      </c>
      <c r="EW2365" s="1" t="s">
        <v>733</v>
      </c>
      <c r="EZ2365" s="1" t="s">
        <v>287</v>
      </c>
      <c r="FD2365" s="1" t="s">
        <v>290</v>
      </c>
      <c r="FE2365" s="1" t="s">
        <v>247</v>
      </c>
      <c r="FF2365" s="1" t="s">
        <v>248</v>
      </c>
      <c r="FH2365" s="1" t="s">
        <v>249</v>
      </c>
      <c r="FL2365" s="1" t="s">
        <v>2233</v>
      </c>
      <c r="FM2365" s="1" t="s">
        <v>252</v>
      </c>
      <c r="FN2365" s="1" t="s">
        <v>213</v>
      </c>
      <c r="FO2365" s="1" t="s">
        <v>213</v>
      </c>
      <c r="FQ2365" s="1" t="s">
        <v>20648</v>
      </c>
      <c r="FR2365" s="1" t="s">
        <v>210</v>
      </c>
      <c r="FS2365" s="1" t="s">
        <v>1805</v>
      </c>
      <c r="FT2365" s="1" t="s">
        <v>2609</v>
      </c>
      <c r="FU2365" s="1" t="s">
        <v>204</v>
      </c>
      <c r="FW2365" s="1" t="s">
        <v>1806</v>
      </c>
      <c r="FX2365" s="1">
        <v>25196</v>
      </c>
      <c r="FY2365" s="1" t="s">
        <v>1807</v>
      </c>
      <c r="FZ2365" s="1" t="s">
        <v>1808</v>
      </c>
      <c r="GA2365" s="1">
        <v>214545</v>
      </c>
      <c r="GB2365" s="1" t="s">
        <v>1807</v>
      </c>
      <c r="GE2365" s="1" t="s">
        <v>210</v>
      </c>
      <c r="GI2365" s="1" t="s">
        <v>213</v>
      </c>
      <c r="GJ2365" s="1" t="s">
        <v>260</v>
      </c>
      <c r="GK2365" s="1" t="s">
        <v>210</v>
      </c>
      <c r="GL2365" s="2">
        <v>42094</v>
      </c>
      <c r="GM2365" s="1" t="s">
        <v>20649</v>
      </c>
    </row>
    <row r="2366" spans="1:195">
      <c r="A2366" s="1">
        <v>125000</v>
      </c>
      <c r="B2366" s="1" t="s">
        <v>195</v>
      </c>
      <c r="C2366" s="1" t="str">
        <f>"08820474"</f>
        <v>08820474</v>
      </c>
      <c r="D2366" s="1" t="s">
        <v>196</v>
      </c>
      <c r="F2366" s="1" t="str">
        <f>"8042"</f>
        <v>8042</v>
      </c>
      <c r="G2366" s="2">
        <v>42024</v>
      </c>
      <c r="H2366" s="1">
        <v>104900</v>
      </c>
      <c r="I2366" s="1">
        <v>104900</v>
      </c>
      <c r="J2366" s="1">
        <v>125000</v>
      </c>
      <c r="K2366" s="2">
        <v>42024</v>
      </c>
      <c r="L2366" s="1">
        <v>14</v>
      </c>
      <c r="M2366" s="2">
        <v>42037</v>
      </c>
      <c r="N2366" s="1">
        <v>14</v>
      </c>
      <c r="O2366" s="2">
        <v>42037</v>
      </c>
      <c r="P2366" s="1">
        <v>12937</v>
      </c>
      <c r="Q2366" s="1" t="s">
        <v>197</v>
      </c>
      <c r="R2366" s="2">
        <v>42093</v>
      </c>
      <c r="S2366" s="1">
        <v>174814</v>
      </c>
      <c r="U2366" s="1">
        <v>6118</v>
      </c>
      <c r="V2366" s="1" t="s">
        <v>10000</v>
      </c>
      <c r="W2366" s="1" t="s">
        <v>425</v>
      </c>
      <c r="X2366" s="1" t="s">
        <v>9641</v>
      </c>
      <c r="Y2366" s="1">
        <v>6</v>
      </c>
      <c r="Z2366" s="1" t="s">
        <v>249</v>
      </c>
      <c r="AA2366" s="1" t="s">
        <v>400</v>
      </c>
      <c r="AB2366" s="1">
        <v>60637</v>
      </c>
      <c r="AE2366" s="1" t="s">
        <v>20650</v>
      </c>
      <c r="AF2366" s="1">
        <v>1920</v>
      </c>
      <c r="AG2366" s="1" t="s">
        <v>213</v>
      </c>
      <c r="AH2366" s="1" t="s">
        <v>403</v>
      </c>
      <c r="AI2366" s="1" t="s">
        <v>310</v>
      </c>
      <c r="AJ2366" s="1" t="s">
        <v>562</v>
      </c>
      <c r="AL2366" s="1">
        <v>4</v>
      </c>
      <c r="AM2366" s="1">
        <v>2</v>
      </c>
      <c r="AN2366" s="1">
        <v>2</v>
      </c>
      <c r="AO2366" s="1">
        <v>0</v>
      </c>
      <c r="AP2366" s="1" t="s">
        <v>209</v>
      </c>
      <c r="AR2366" s="1" t="s">
        <v>210</v>
      </c>
      <c r="AT2366" s="1" t="s">
        <v>211</v>
      </c>
      <c r="AU2366" s="1">
        <v>1</v>
      </c>
      <c r="AW2366" s="1" t="s">
        <v>204</v>
      </c>
      <c r="AX2366" s="1" t="s">
        <v>212</v>
      </c>
      <c r="AZ2366" s="1">
        <v>2350</v>
      </c>
      <c r="BA2366" s="1">
        <v>2013</v>
      </c>
      <c r="BB2366" s="1" t="s">
        <v>405</v>
      </c>
      <c r="BE2366" s="1">
        <v>0</v>
      </c>
      <c r="BF2366" s="1">
        <v>1</v>
      </c>
      <c r="BG2366" s="1">
        <v>30</v>
      </c>
      <c r="BL2366" s="1">
        <v>250</v>
      </c>
      <c r="BM2366" s="1" t="s">
        <v>413</v>
      </c>
      <c r="BN2366" s="1" t="s">
        <v>213</v>
      </c>
      <c r="BO2366" s="1">
        <v>20</v>
      </c>
      <c r="BP2366" s="1" t="s">
        <v>204</v>
      </c>
      <c r="BR2366" s="1" t="str">
        <f>"20143080431002"</f>
        <v>20143080431002</v>
      </c>
      <c r="BT2366" s="1" t="s">
        <v>20651</v>
      </c>
      <c r="BX2366" s="1">
        <v>299</v>
      </c>
      <c r="BY2366" s="1">
        <v>299</v>
      </c>
      <c r="BZ2366" s="1">
        <v>299</v>
      </c>
      <c r="CB2366" s="1" t="str">
        <f>"0"</f>
        <v>0</v>
      </c>
      <c r="CC2366" s="1" t="str">
        <f>"932"</f>
        <v>932</v>
      </c>
      <c r="CD2366" s="1">
        <v>0</v>
      </c>
      <c r="CE2366" s="1">
        <v>6118</v>
      </c>
      <c r="CG2366" s="1" t="s">
        <v>4571</v>
      </c>
      <c r="CH2366" s="1" t="s">
        <v>219</v>
      </c>
      <c r="CK2366" s="1" t="s">
        <v>2402</v>
      </c>
      <c r="CL2366" s="1" t="s">
        <v>219</v>
      </c>
      <c r="CP2366" s="1" t="s">
        <v>224</v>
      </c>
      <c r="CS2366" s="1" t="s">
        <v>344</v>
      </c>
      <c r="CT2366" s="1" t="s">
        <v>219</v>
      </c>
      <c r="CX2366" s="1" t="s">
        <v>224</v>
      </c>
      <c r="DB2366" s="1" t="s">
        <v>224</v>
      </c>
      <c r="DE2366" s="1" t="s">
        <v>344</v>
      </c>
      <c r="DF2366" s="1" t="s">
        <v>219</v>
      </c>
      <c r="DJ2366" s="1" t="s">
        <v>224</v>
      </c>
      <c r="DS2366" s="1" t="s">
        <v>230</v>
      </c>
      <c r="DW2366" s="1" t="s">
        <v>230</v>
      </c>
      <c r="EA2366" s="1" t="s">
        <v>230</v>
      </c>
      <c r="EE2366" s="1" t="s">
        <v>230</v>
      </c>
      <c r="EI2366" s="1" t="s">
        <v>230</v>
      </c>
      <c r="EL2366" s="1" t="s">
        <v>2521</v>
      </c>
      <c r="EM2366" s="1" t="s">
        <v>232</v>
      </c>
      <c r="EN2366" s="1" t="s">
        <v>282</v>
      </c>
      <c r="EO2366" s="1" t="s">
        <v>234</v>
      </c>
      <c r="ER2366" s="1" t="s">
        <v>210</v>
      </c>
      <c r="ES2366" s="1" t="s">
        <v>493</v>
      </c>
      <c r="EV2366" s="1" t="s">
        <v>240</v>
      </c>
      <c r="EW2366" s="1" t="s">
        <v>325</v>
      </c>
      <c r="EZ2366" s="1" t="s">
        <v>287</v>
      </c>
      <c r="FD2366" s="1" t="s">
        <v>246</v>
      </c>
      <c r="FE2366" s="1" t="s">
        <v>247</v>
      </c>
      <c r="FF2366" s="1" t="s">
        <v>248</v>
      </c>
      <c r="FH2366" s="1" t="s">
        <v>249</v>
      </c>
      <c r="FL2366" s="1" t="s">
        <v>414</v>
      </c>
      <c r="FM2366" s="1" t="s">
        <v>252</v>
      </c>
      <c r="FN2366" s="1" t="s">
        <v>213</v>
      </c>
      <c r="FO2366" s="1" t="s">
        <v>213</v>
      </c>
      <c r="FQ2366" s="1" t="s">
        <v>20652</v>
      </c>
      <c r="FR2366" s="1" t="s">
        <v>210</v>
      </c>
      <c r="FS2366" s="1" t="s">
        <v>1429</v>
      </c>
      <c r="FT2366" s="1" t="s">
        <v>8191</v>
      </c>
      <c r="FU2366" s="1" t="s">
        <v>204</v>
      </c>
      <c r="FW2366" s="1" t="s">
        <v>9046</v>
      </c>
      <c r="FX2366" s="1">
        <v>84674</v>
      </c>
      <c r="FY2366" s="1" t="s">
        <v>9047</v>
      </c>
      <c r="FZ2366" s="1" t="s">
        <v>9048</v>
      </c>
      <c r="GA2366" s="1">
        <v>109817</v>
      </c>
      <c r="GB2366" s="1" t="s">
        <v>9049</v>
      </c>
      <c r="GC2366" s="1">
        <v>181685</v>
      </c>
      <c r="GE2366" s="1" t="s">
        <v>210</v>
      </c>
      <c r="GH2366" s="1" t="s">
        <v>421</v>
      </c>
      <c r="GI2366" s="1" t="s">
        <v>213</v>
      </c>
      <c r="GJ2366" s="1" t="s">
        <v>260</v>
      </c>
      <c r="GK2366" s="1" t="s">
        <v>210</v>
      </c>
      <c r="GL2366" s="2">
        <v>42094</v>
      </c>
      <c r="GM2366" s="1" t="s">
        <v>20653</v>
      </c>
    </row>
    <row r="2367" spans="1:195">
      <c r="A2367" s="1">
        <v>363000</v>
      </c>
      <c r="B2367" s="1" t="s">
        <v>195</v>
      </c>
      <c r="C2367" s="1" t="str">
        <f>"08826158"</f>
        <v>08826158</v>
      </c>
      <c r="D2367" s="1" t="s">
        <v>196</v>
      </c>
      <c r="F2367" s="1" t="str">
        <f>"515"</f>
        <v>515</v>
      </c>
      <c r="G2367" s="2">
        <v>42032</v>
      </c>
      <c r="H2367" s="1">
        <v>375000</v>
      </c>
      <c r="I2367" s="1">
        <v>375000</v>
      </c>
      <c r="J2367" s="1">
        <v>363000</v>
      </c>
      <c r="K2367" s="2">
        <v>42032</v>
      </c>
      <c r="L2367" s="1">
        <v>14</v>
      </c>
      <c r="M2367" s="2">
        <v>42045</v>
      </c>
      <c r="N2367" s="1">
        <v>14</v>
      </c>
      <c r="O2367" s="2">
        <v>42045</v>
      </c>
      <c r="P2367" s="1">
        <v>12660</v>
      </c>
      <c r="Q2367" s="1" t="s">
        <v>423</v>
      </c>
      <c r="R2367" s="2">
        <v>42104</v>
      </c>
      <c r="S2367" s="1">
        <v>840286</v>
      </c>
      <c r="U2367" s="1">
        <v>922</v>
      </c>
      <c r="V2367" s="1" t="s">
        <v>20654</v>
      </c>
      <c r="W2367" s="1" t="s">
        <v>425</v>
      </c>
      <c r="X2367" s="1">
        <v>102</v>
      </c>
      <c r="Y2367" s="1">
        <v>10</v>
      </c>
      <c r="Z2367" s="1" t="s">
        <v>370</v>
      </c>
      <c r="AA2367" s="1" t="s">
        <v>1294</v>
      </c>
      <c r="AB2367" s="1">
        <v>60515</v>
      </c>
      <c r="AE2367" s="1" t="s">
        <v>20655</v>
      </c>
      <c r="AF2367" s="1">
        <v>2009</v>
      </c>
      <c r="AG2367" s="1" t="s">
        <v>204</v>
      </c>
      <c r="AH2367" s="1" t="s">
        <v>903</v>
      </c>
      <c r="AI2367" s="1" t="s">
        <v>206</v>
      </c>
      <c r="AJ2367" s="1" t="s">
        <v>903</v>
      </c>
      <c r="AL2367" s="1">
        <v>6</v>
      </c>
      <c r="AM2367" s="1">
        <v>2</v>
      </c>
      <c r="AN2367" s="1">
        <v>2</v>
      </c>
      <c r="AO2367" s="1">
        <v>1</v>
      </c>
      <c r="AP2367" s="1" t="s">
        <v>209</v>
      </c>
      <c r="AQ2367" s="1">
        <v>1</v>
      </c>
      <c r="AR2367" s="1" t="s">
        <v>210</v>
      </c>
      <c r="AS2367" s="1" t="s">
        <v>204</v>
      </c>
      <c r="AT2367" s="1" t="s">
        <v>211</v>
      </c>
      <c r="AU2367" s="1">
        <v>2</v>
      </c>
      <c r="AW2367" s="1" t="s">
        <v>204</v>
      </c>
      <c r="AX2367" s="1" t="s">
        <v>212</v>
      </c>
      <c r="AZ2367" s="1">
        <v>8056</v>
      </c>
      <c r="BA2367" s="1">
        <v>2013</v>
      </c>
      <c r="BE2367" s="1">
        <v>1750</v>
      </c>
      <c r="BF2367" s="1">
        <v>1</v>
      </c>
      <c r="BG2367" s="1">
        <v>0</v>
      </c>
      <c r="BL2367" s="1">
        <v>100</v>
      </c>
      <c r="BM2367" s="1" t="s">
        <v>204</v>
      </c>
      <c r="BN2367" s="1" t="s">
        <v>213</v>
      </c>
      <c r="BO2367" s="1">
        <v>0</v>
      </c>
      <c r="BP2367" s="1" t="s">
        <v>204</v>
      </c>
      <c r="BR2367" s="1" t="str">
        <f>"0908124043"</f>
        <v>0908124043</v>
      </c>
      <c r="BT2367" s="1" t="s">
        <v>20656</v>
      </c>
      <c r="BX2367" s="1">
        <v>58</v>
      </c>
      <c r="BY2367" s="1">
        <v>58</v>
      </c>
      <c r="BZ2367" s="1">
        <v>99</v>
      </c>
      <c r="CB2367" s="1" t="str">
        <f t="shared" ref="CB2367:CC2367" si="1815">""</f>
        <v/>
      </c>
      <c r="CC2367" s="1" t="str">
        <f t="shared" si="1815"/>
        <v/>
      </c>
      <c r="CG2367" s="1" t="s">
        <v>602</v>
      </c>
      <c r="CH2367" s="1" t="s">
        <v>219</v>
      </c>
      <c r="CI2367" s="1" t="s">
        <v>438</v>
      </c>
      <c r="CK2367" s="1" t="s">
        <v>602</v>
      </c>
      <c r="CL2367" s="1" t="s">
        <v>277</v>
      </c>
      <c r="CO2367" s="1" t="s">
        <v>7610</v>
      </c>
      <c r="CP2367" s="1" t="s">
        <v>219</v>
      </c>
      <c r="CQ2367" s="1" t="s">
        <v>438</v>
      </c>
      <c r="CS2367" s="1" t="s">
        <v>2122</v>
      </c>
      <c r="CT2367" s="1" t="s">
        <v>277</v>
      </c>
      <c r="CX2367" s="1" t="s">
        <v>224</v>
      </c>
      <c r="DB2367" s="1" t="s">
        <v>224</v>
      </c>
      <c r="DE2367" s="1" t="s">
        <v>461</v>
      </c>
      <c r="DF2367" s="1" t="s">
        <v>219</v>
      </c>
      <c r="DG2367" s="1" t="s">
        <v>438</v>
      </c>
      <c r="DJ2367" s="1" t="s">
        <v>224</v>
      </c>
      <c r="DN2367" s="1" t="s">
        <v>1005</v>
      </c>
      <c r="DS2367" s="1" t="s">
        <v>230</v>
      </c>
      <c r="DV2367" s="1" t="s">
        <v>539</v>
      </c>
      <c r="DW2367" s="1" t="s">
        <v>219</v>
      </c>
      <c r="EA2367" s="1" t="s">
        <v>230</v>
      </c>
      <c r="EE2367" s="1" t="s">
        <v>230</v>
      </c>
      <c r="EI2367" s="1" t="s">
        <v>230</v>
      </c>
      <c r="EL2367" s="1" t="s">
        <v>491</v>
      </c>
      <c r="EM2367" s="1" t="s">
        <v>730</v>
      </c>
      <c r="EN2367" s="1" t="s">
        <v>282</v>
      </c>
      <c r="EO2367" s="1" t="s">
        <v>234</v>
      </c>
      <c r="EQ2367" s="1" t="s">
        <v>19161</v>
      </c>
      <c r="ER2367" s="1" t="s">
        <v>383</v>
      </c>
      <c r="EW2367" s="1" t="s">
        <v>867</v>
      </c>
      <c r="EZ2367" s="1" t="s">
        <v>1005</v>
      </c>
      <c r="FD2367" s="1" t="s">
        <v>246</v>
      </c>
      <c r="FE2367" s="1" t="s">
        <v>247</v>
      </c>
      <c r="FF2367" s="1" t="s">
        <v>248</v>
      </c>
      <c r="FH2367" s="1" t="s">
        <v>1428</v>
      </c>
      <c r="FJ2367" s="1" t="s">
        <v>197</v>
      </c>
      <c r="FL2367" s="1" t="s">
        <v>358</v>
      </c>
      <c r="FM2367" s="1" t="s">
        <v>252</v>
      </c>
      <c r="FN2367" s="1" t="s">
        <v>213</v>
      </c>
      <c r="FO2367" s="1" t="s">
        <v>213</v>
      </c>
      <c r="FQ2367" s="1" t="s">
        <v>2004</v>
      </c>
      <c r="FR2367" s="1" t="s">
        <v>210</v>
      </c>
      <c r="FS2367" s="1" t="s">
        <v>20657</v>
      </c>
      <c r="FT2367" s="1" t="s">
        <v>295</v>
      </c>
      <c r="FU2367" s="1" t="s">
        <v>204</v>
      </c>
      <c r="FW2367" s="1" t="s">
        <v>2006</v>
      </c>
      <c r="FX2367" s="1">
        <v>14703</v>
      </c>
      <c r="FY2367" s="1" t="s">
        <v>9604</v>
      </c>
      <c r="FZ2367" s="1" t="s">
        <v>20658</v>
      </c>
      <c r="GA2367" s="1">
        <v>867074</v>
      </c>
      <c r="GB2367" s="1" t="s">
        <v>20659</v>
      </c>
      <c r="GE2367" s="1" t="s">
        <v>1333</v>
      </c>
      <c r="GI2367" s="1" t="s">
        <v>213</v>
      </c>
      <c r="GJ2367" s="1" t="s">
        <v>260</v>
      </c>
      <c r="GK2367" s="1" t="s">
        <v>210</v>
      </c>
      <c r="GL2367" s="2">
        <v>42106</v>
      </c>
      <c r="GM2367" s="1" t="s">
        <v>20660</v>
      </c>
    </row>
    <row r="2368" spans="1:195">
      <c r="A2368" s="1">
        <v>191000</v>
      </c>
      <c r="B2368" s="1" t="s">
        <v>195</v>
      </c>
      <c r="C2368" s="1" t="str">
        <f>"08828686"</f>
        <v>08828686</v>
      </c>
      <c r="D2368" s="1" t="s">
        <v>196</v>
      </c>
      <c r="F2368" s="1" t="str">
        <f>"107"</f>
        <v>107</v>
      </c>
      <c r="G2368" s="2">
        <v>42037</v>
      </c>
      <c r="H2368" s="1">
        <v>199900</v>
      </c>
      <c r="I2368" s="1">
        <v>199900</v>
      </c>
      <c r="J2368" s="1">
        <v>191000</v>
      </c>
      <c r="K2368" s="2">
        <v>42037</v>
      </c>
      <c r="L2368" s="1">
        <v>17</v>
      </c>
      <c r="M2368" s="2">
        <v>42053</v>
      </c>
      <c r="N2368" s="1">
        <v>17</v>
      </c>
      <c r="O2368" s="2">
        <v>42053</v>
      </c>
      <c r="P2368" s="1">
        <v>2208</v>
      </c>
      <c r="Q2368" s="1" t="s">
        <v>197</v>
      </c>
      <c r="R2368" s="2">
        <v>42096</v>
      </c>
      <c r="S2368" s="1">
        <v>86385</v>
      </c>
      <c r="U2368" s="1">
        <v>1446</v>
      </c>
      <c r="V2368" s="1" t="s">
        <v>11508</v>
      </c>
      <c r="W2368" s="1" t="s">
        <v>264</v>
      </c>
      <c r="X2368" s="1">
        <v>1446</v>
      </c>
      <c r="Y2368" s="1">
        <v>2</v>
      </c>
      <c r="Z2368" s="1" t="s">
        <v>370</v>
      </c>
      <c r="AA2368" s="1" t="s">
        <v>1211</v>
      </c>
      <c r="AB2368" s="1">
        <v>60107</v>
      </c>
      <c r="AC2368" s="1">
        <v>3314</v>
      </c>
      <c r="AD2368" s="1" t="s">
        <v>16812</v>
      </c>
      <c r="AE2368" s="1" t="s">
        <v>20661</v>
      </c>
      <c r="AF2368" s="1">
        <v>1995</v>
      </c>
      <c r="AG2368" s="1" t="s">
        <v>204</v>
      </c>
      <c r="AH2368" s="1" t="s">
        <v>1214</v>
      </c>
      <c r="AI2368" s="1" t="s">
        <v>310</v>
      </c>
      <c r="AJ2368" s="1" t="s">
        <v>374</v>
      </c>
      <c r="AL2368" s="1">
        <v>7</v>
      </c>
      <c r="AM2368" s="1">
        <v>2</v>
      </c>
      <c r="AN2368" s="1">
        <v>2</v>
      </c>
      <c r="AO2368" s="1">
        <v>1</v>
      </c>
      <c r="AP2368" s="1" t="s">
        <v>209</v>
      </c>
      <c r="AQ2368" s="1">
        <v>1</v>
      </c>
      <c r="AR2368" s="1" t="s">
        <v>210</v>
      </c>
      <c r="AS2368" s="1" t="s">
        <v>204</v>
      </c>
      <c r="AT2368" s="1" t="s">
        <v>211</v>
      </c>
      <c r="AU2368" s="1">
        <v>2</v>
      </c>
      <c r="AW2368" s="1" t="s">
        <v>204</v>
      </c>
      <c r="AX2368" s="1" t="s">
        <v>212</v>
      </c>
      <c r="AZ2368" s="1">
        <v>4280.3100000000004</v>
      </c>
      <c r="BA2368" s="1">
        <v>2013</v>
      </c>
      <c r="BB2368" s="1" t="s">
        <v>599</v>
      </c>
      <c r="BE2368" s="1">
        <v>1987</v>
      </c>
      <c r="BF2368" s="1">
        <v>1</v>
      </c>
      <c r="BG2368" s="1">
        <v>0</v>
      </c>
      <c r="BL2368" s="1">
        <v>124</v>
      </c>
      <c r="BM2368" s="1" t="s">
        <v>204</v>
      </c>
      <c r="BN2368" s="1" t="s">
        <v>213</v>
      </c>
      <c r="BO2368" s="1">
        <v>200</v>
      </c>
      <c r="BP2368" s="1" t="s">
        <v>204</v>
      </c>
      <c r="BR2368" s="1" t="str">
        <f>"06282011070000"</f>
        <v>06282011070000</v>
      </c>
      <c r="BT2368" s="1" t="s">
        <v>20662</v>
      </c>
      <c r="BU2368" s="1" t="s">
        <v>16816</v>
      </c>
      <c r="BV2368" s="1" t="s">
        <v>3557</v>
      </c>
      <c r="BW2368" s="1" t="s">
        <v>1217</v>
      </c>
      <c r="BX2368" s="1">
        <v>46</v>
      </c>
      <c r="BY2368" s="1">
        <v>46</v>
      </c>
      <c r="BZ2368" s="1">
        <v>46</v>
      </c>
      <c r="CB2368" s="1" t="str">
        <f>"9"</f>
        <v>9</v>
      </c>
      <c r="CC2368" s="1" t="str">
        <f t="shared" ref="CC2368:CC2369" si="1816">"0"</f>
        <v>0</v>
      </c>
      <c r="CD2368" s="1">
        <v>30</v>
      </c>
      <c r="CE2368" s="1">
        <v>0</v>
      </c>
      <c r="CH2368" s="1" t="s">
        <v>224</v>
      </c>
      <c r="CK2368" s="1" t="s">
        <v>228</v>
      </c>
      <c r="CL2368" s="1" t="s">
        <v>277</v>
      </c>
      <c r="CM2368" s="1" t="s">
        <v>220</v>
      </c>
      <c r="CN2368" s="1" t="s">
        <v>343</v>
      </c>
      <c r="CO2368" s="1" t="s">
        <v>314</v>
      </c>
      <c r="CP2368" s="1" t="s">
        <v>219</v>
      </c>
      <c r="CQ2368" s="1" t="s">
        <v>220</v>
      </c>
      <c r="CR2368" s="1" t="s">
        <v>252</v>
      </c>
      <c r="CS2368" s="1" t="s">
        <v>1004</v>
      </c>
      <c r="CT2368" s="1" t="s">
        <v>277</v>
      </c>
      <c r="CU2368" s="1" t="s">
        <v>220</v>
      </c>
      <c r="CV2368" s="1" t="s">
        <v>343</v>
      </c>
      <c r="CX2368" s="1" t="s">
        <v>224</v>
      </c>
      <c r="DB2368" s="1" t="s">
        <v>224</v>
      </c>
      <c r="DE2368" s="1" t="s">
        <v>314</v>
      </c>
      <c r="DF2368" s="1" t="s">
        <v>219</v>
      </c>
      <c r="DG2368" s="1" t="s">
        <v>342</v>
      </c>
      <c r="DH2368" s="1" t="s">
        <v>252</v>
      </c>
      <c r="DI2368" s="1" t="s">
        <v>314</v>
      </c>
      <c r="DJ2368" s="1" t="s">
        <v>219</v>
      </c>
      <c r="DK2368" s="1" t="s">
        <v>220</v>
      </c>
      <c r="DL2368" s="1" t="s">
        <v>343</v>
      </c>
      <c r="DM2368" s="1" t="s">
        <v>464</v>
      </c>
      <c r="DN2368" s="1" t="s">
        <v>20663</v>
      </c>
      <c r="DO2368" s="1" t="s">
        <v>709</v>
      </c>
      <c r="DR2368" s="1" t="s">
        <v>1045</v>
      </c>
      <c r="DS2368" s="1" t="s">
        <v>277</v>
      </c>
      <c r="DT2368" s="1" t="s">
        <v>220</v>
      </c>
      <c r="DU2368" s="1" t="s">
        <v>343</v>
      </c>
      <c r="DV2368" s="1" t="s">
        <v>378</v>
      </c>
      <c r="DW2368" s="1" t="s">
        <v>277</v>
      </c>
      <c r="DX2368" s="1" t="s">
        <v>220</v>
      </c>
      <c r="DY2368" s="1" t="s">
        <v>252</v>
      </c>
      <c r="DZ2368" s="1" t="s">
        <v>10027</v>
      </c>
      <c r="EA2368" s="1" t="s">
        <v>219</v>
      </c>
      <c r="EB2368" s="1" t="s">
        <v>226</v>
      </c>
      <c r="EC2368" s="1" t="s">
        <v>343</v>
      </c>
      <c r="EE2368" s="1" t="s">
        <v>230</v>
      </c>
      <c r="EI2368" s="1" t="s">
        <v>230</v>
      </c>
      <c r="EL2368" s="1" t="s">
        <v>670</v>
      </c>
      <c r="EM2368" s="1" t="s">
        <v>319</v>
      </c>
      <c r="EN2368" s="1" t="s">
        <v>282</v>
      </c>
      <c r="EO2368" s="1" t="s">
        <v>234</v>
      </c>
      <c r="EP2368" s="1" t="s">
        <v>650</v>
      </c>
      <c r="EQ2368" s="1" t="s">
        <v>1094</v>
      </c>
      <c r="ER2368" s="1" t="s">
        <v>383</v>
      </c>
      <c r="ES2368" s="1" t="s">
        <v>20664</v>
      </c>
      <c r="ET2368" s="1" t="s">
        <v>2404</v>
      </c>
      <c r="EU2368" s="1" t="s">
        <v>239</v>
      </c>
      <c r="EV2368" s="1" t="s">
        <v>324</v>
      </c>
      <c r="EW2368" s="1" t="s">
        <v>547</v>
      </c>
      <c r="EY2368" s="1" t="s">
        <v>790</v>
      </c>
      <c r="EZ2368" s="1" t="s">
        <v>20665</v>
      </c>
      <c r="FA2368" s="1" t="s">
        <v>3624</v>
      </c>
      <c r="FB2368" s="1" t="s">
        <v>289</v>
      </c>
      <c r="FC2368" s="1" t="s">
        <v>1386</v>
      </c>
      <c r="FD2368" s="1" t="s">
        <v>246</v>
      </c>
      <c r="FE2368" s="1" t="s">
        <v>975</v>
      </c>
      <c r="FF2368" s="1" t="s">
        <v>387</v>
      </c>
      <c r="FG2368" s="1" t="s">
        <v>5121</v>
      </c>
      <c r="FH2368" s="1" t="s">
        <v>442</v>
      </c>
      <c r="FI2368" s="1" t="s">
        <v>473</v>
      </c>
      <c r="FJ2368" s="1" t="s">
        <v>1179</v>
      </c>
      <c r="FL2368" s="1" t="s">
        <v>358</v>
      </c>
      <c r="FM2368" s="1" t="s">
        <v>252</v>
      </c>
      <c r="FN2368" s="1" t="s">
        <v>213</v>
      </c>
      <c r="FO2368" s="1" t="s">
        <v>213</v>
      </c>
      <c r="FQ2368" s="1" t="s">
        <v>3616</v>
      </c>
      <c r="FR2368" s="1" t="s">
        <v>210</v>
      </c>
      <c r="FS2368" s="1" t="s">
        <v>20666</v>
      </c>
      <c r="FT2368" s="1" t="s">
        <v>295</v>
      </c>
      <c r="FU2368" s="1" t="s">
        <v>204</v>
      </c>
      <c r="FV2368" s="1" t="s">
        <v>17517</v>
      </c>
      <c r="FW2368" s="1" t="s">
        <v>554</v>
      </c>
      <c r="FX2368" s="1">
        <v>25215</v>
      </c>
      <c r="FY2368" s="1" t="s">
        <v>1508</v>
      </c>
      <c r="FZ2368" s="1" t="s">
        <v>17518</v>
      </c>
      <c r="GA2368" s="1">
        <v>236610</v>
      </c>
      <c r="GB2368" s="1" t="s">
        <v>17519</v>
      </c>
      <c r="GC2368" s="1">
        <v>878</v>
      </c>
      <c r="GD2368" s="1" t="s">
        <v>17520</v>
      </c>
      <c r="GE2368" s="1" t="s">
        <v>210</v>
      </c>
      <c r="GI2368" s="1" t="s">
        <v>213</v>
      </c>
      <c r="GJ2368" s="1" t="s">
        <v>260</v>
      </c>
      <c r="GK2368" s="1" t="s">
        <v>210</v>
      </c>
      <c r="GL2368" s="2">
        <v>42096</v>
      </c>
    </row>
    <row r="2369" spans="1:195">
      <c r="A2369" s="1">
        <v>139900</v>
      </c>
      <c r="B2369" s="1" t="s">
        <v>195</v>
      </c>
      <c r="C2369" s="1" t="str">
        <f>"08823053"</f>
        <v>08823053</v>
      </c>
      <c r="D2369" s="1" t="s">
        <v>196</v>
      </c>
      <c r="F2369" s="1" t="str">
        <f>"83"</f>
        <v>83</v>
      </c>
      <c r="G2369" s="2">
        <v>42027</v>
      </c>
      <c r="H2369" s="1">
        <v>139900</v>
      </c>
      <c r="I2369" s="1">
        <v>139900</v>
      </c>
      <c r="J2369" s="1">
        <v>139900</v>
      </c>
      <c r="K2369" s="2">
        <v>42026</v>
      </c>
      <c r="L2369" s="1">
        <v>5</v>
      </c>
      <c r="M2369" s="2">
        <v>42030</v>
      </c>
      <c r="N2369" s="1">
        <v>5</v>
      </c>
      <c r="O2369" s="2">
        <v>42030</v>
      </c>
      <c r="P2369" s="1">
        <v>2626</v>
      </c>
      <c r="Q2369" s="1" t="s">
        <v>197</v>
      </c>
      <c r="R2369" s="2">
        <v>42061</v>
      </c>
      <c r="S2369" s="1">
        <v>243761</v>
      </c>
      <c r="U2369" s="1">
        <v>4583</v>
      </c>
      <c r="V2369" s="1" t="s">
        <v>19914</v>
      </c>
      <c r="W2369" s="1" t="s">
        <v>199</v>
      </c>
      <c r="X2369" s="1">
        <v>4583</v>
      </c>
      <c r="Y2369" s="1">
        <v>4</v>
      </c>
      <c r="Z2369" s="1" t="s">
        <v>370</v>
      </c>
      <c r="AA2369" s="1" t="s">
        <v>3371</v>
      </c>
      <c r="AB2369" s="1">
        <v>60083</v>
      </c>
      <c r="AD2369" s="1" t="s">
        <v>13214</v>
      </c>
      <c r="AE2369" s="1" t="s">
        <v>20667</v>
      </c>
      <c r="AF2369" s="1">
        <v>2005</v>
      </c>
      <c r="AG2369" s="1" t="s">
        <v>204</v>
      </c>
      <c r="AH2369" s="1" t="s">
        <v>2509</v>
      </c>
      <c r="AI2369" s="1" t="s">
        <v>509</v>
      </c>
      <c r="AJ2369" s="1" t="s">
        <v>1061</v>
      </c>
      <c r="AK2369" s="1" t="s">
        <v>1931</v>
      </c>
      <c r="AL2369" s="1">
        <v>6</v>
      </c>
      <c r="AM2369" s="1">
        <v>2</v>
      </c>
      <c r="AN2369" s="1">
        <v>2</v>
      </c>
      <c r="AO2369" s="1">
        <v>2</v>
      </c>
      <c r="AP2369" s="1" t="s">
        <v>209</v>
      </c>
      <c r="AQ2369" s="1">
        <v>1</v>
      </c>
      <c r="AR2369" s="1" t="s">
        <v>1631</v>
      </c>
      <c r="AS2369" s="1" t="s">
        <v>213</v>
      </c>
      <c r="AT2369" s="1" t="s">
        <v>211</v>
      </c>
      <c r="AU2369" s="1">
        <v>2</v>
      </c>
      <c r="AW2369" s="1" t="s">
        <v>204</v>
      </c>
      <c r="AX2369" s="1" t="s">
        <v>212</v>
      </c>
      <c r="AZ2369" s="1">
        <v>4257.62</v>
      </c>
      <c r="BA2369" s="1">
        <v>2013</v>
      </c>
      <c r="BE2369" s="1">
        <v>1646</v>
      </c>
      <c r="BF2369" s="1">
        <v>1</v>
      </c>
      <c r="BG2369" s="1">
        <v>0</v>
      </c>
      <c r="BL2369" s="1">
        <v>172</v>
      </c>
      <c r="BM2369" s="1" t="s">
        <v>204</v>
      </c>
      <c r="BN2369" s="1" t="s">
        <v>213</v>
      </c>
      <c r="BO2369" s="1">
        <v>100</v>
      </c>
      <c r="BP2369" s="1" t="s">
        <v>204</v>
      </c>
      <c r="BR2369" s="1" t="str">
        <f>"07022080830000"</f>
        <v>07022080830000</v>
      </c>
      <c r="BT2369" s="1" t="s">
        <v>20668</v>
      </c>
      <c r="BU2369" s="1" t="s">
        <v>3376</v>
      </c>
      <c r="BV2369" s="1" t="s">
        <v>3070</v>
      </c>
      <c r="BW2369" s="1" t="s">
        <v>1066</v>
      </c>
      <c r="BX2369" s="1">
        <v>56</v>
      </c>
      <c r="BY2369" s="1">
        <v>56</v>
      </c>
      <c r="BZ2369" s="1">
        <v>121</v>
      </c>
      <c r="CB2369" s="1" t="str">
        <f>"37"</f>
        <v>37</v>
      </c>
      <c r="CC2369" s="1" t="str">
        <f t="shared" si="1816"/>
        <v>0</v>
      </c>
      <c r="CD2369" s="1">
        <v>14</v>
      </c>
      <c r="CE2369" s="1">
        <v>0</v>
      </c>
      <c r="CG2369" s="1" t="s">
        <v>602</v>
      </c>
      <c r="CH2369" s="1" t="s">
        <v>219</v>
      </c>
      <c r="CI2369" s="1" t="s">
        <v>220</v>
      </c>
      <c r="CJ2369" s="1" t="s">
        <v>252</v>
      </c>
      <c r="CK2369" s="1" t="s">
        <v>377</v>
      </c>
      <c r="CL2369" s="1" t="s">
        <v>277</v>
      </c>
      <c r="CM2369" s="1" t="s">
        <v>220</v>
      </c>
      <c r="CN2369" s="1" t="s">
        <v>252</v>
      </c>
      <c r="CO2369" s="1" t="s">
        <v>837</v>
      </c>
      <c r="CP2369" s="1" t="s">
        <v>219</v>
      </c>
      <c r="CQ2369" s="1" t="s">
        <v>220</v>
      </c>
      <c r="CR2369" s="1" t="s">
        <v>252</v>
      </c>
      <c r="CS2369" s="1" t="s">
        <v>602</v>
      </c>
      <c r="CT2369" s="1" t="s">
        <v>277</v>
      </c>
      <c r="CU2369" s="1" t="s">
        <v>220</v>
      </c>
      <c r="CV2369" s="1" t="s">
        <v>252</v>
      </c>
      <c r="CX2369" s="1" t="s">
        <v>224</v>
      </c>
      <c r="DB2369" s="1" t="s">
        <v>224</v>
      </c>
      <c r="DE2369" s="1" t="s">
        <v>344</v>
      </c>
      <c r="DF2369" s="1" t="s">
        <v>219</v>
      </c>
      <c r="DG2369" s="1" t="s">
        <v>226</v>
      </c>
      <c r="DI2369" s="1" t="s">
        <v>1297</v>
      </c>
      <c r="DJ2369" s="1" t="s">
        <v>822</v>
      </c>
      <c r="DK2369" s="1" t="s">
        <v>220</v>
      </c>
      <c r="DL2369" s="1" t="s">
        <v>252</v>
      </c>
      <c r="DM2369" s="1" t="s">
        <v>709</v>
      </c>
      <c r="DR2369" s="1" t="s">
        <v>9224</v>
      </c>
      <c r="DS2369" s="1" t="s">
        <v>219</v>
      </c>
      <c r="DT2369" s="1" t="s">
        <v>226</v>
      </c>
      <c r="DU2369" s="1" t="s">
        <v>210</v>
      </c>
      <c r="DW2369" s="1" t="s">
        <v>230</v>
      </c>
      <c r="EA2369" s="1" t="s">
        <v>230</v>
      </c>
      <c r="EE2369" s="1" t="s">
        <v>230</v>
      </c>
      <c r="EI2369" s="1" t="s">
        <v>230</v>
      </c>
      <c r="EL2369" s="1" t="s">
        <v>491</v>
      </c>
      <c r="EM2369" s="1" t="s">
        <v>232</v>
      </c>
      <c r="EN2369" s="1" t="s">
        <v>282</v>
      </c>
      <c r="EO2369" s="1" t="s">
        <v>234</v>
      </c>
      <c r="EP2369" s="1" t="s">
        <v>20669</v>
      </c>
      <c r="EQ2369" s="1" t="s">
        <v>236</v>
      </c>
      <c r="ER2369" s="1" t="s">
        <v>351</v>
      </c>
      <c r="ES2369" s="1" t="s">
        <v>322</v>
      </c>
      <c r="EU2369" s="1" t="s">
        <v>239</v>
      </c>
      <c r="EV2369" s="1" t="s">
        <v>324</v>
      </c>
      <c r="EW2369" s="1" t="s">
        <v>3255</v>
      </c>
      <c r="EY2369" s="1" t="s">
        <v>790</v>
      </c>
      <c r="EZ2369" s="1" t="s">
        <v>709</v>
      </c>
      <c r="FA2369" s="1" t="s">
        <v>714</v>
      </c>
      <c r="FB2369" s="1" t="s">
        <v>289</v>
      </c>
      <c r="FD2369" s="1" t="s">
        <v>246</v>
      </c>
      <c r="FE2369" s="1" t="s">
        <v>6755</v>
      </c>
      <c r="FF2369" s="1" t="s">
        <v>248</v>
      </c>
      <c r="FG2369" s="1" t="s">
        <v>2540</v>
      </c>
      <c r="FH2369" s="1" t="s">
        <v>249</v>
      </c>
      <c r="FI2369" s="1" t="s">
        <v>473</v>
      </c>
      <c r="FJ2369" s="1" t="s">
        <v>518</v>
      </c>
      <c r="FL2369" s="1" t="s">
        <v>358</v>
      </c>
      <c r="FM2369" s="1" t="s">
        <v>252</v>
      </c>
      <c r="FN2369" s="1" t="s">
        <v>213</v>
      </c>
      <c r="FO2369" s="1" t="s">
        <v>213</v>
      </c>
      <c r="FQ2369" s="1" t="s">
        <v>11975</v>
      </c>
      <c r="FR2369" s="1" t="s">
        <v>210</v>
      </c>
      <c r="FS2369" s="1" t="s">
        <v>20670</v>
      </c>
      <c r="FT2369" s="1" t="s">
        <v>520</v>
      </c>
      <c r="FU2369" s="1" t="s">
        <v>204</v>
      </c>
      <c r="FW2369" s="1" t="s">
        <v>20671</v>
      </c>
      <c r="FX2369" s="1">
        <v>5575</v>
      </c>
      <c r="FY2369" s="1" t="s">
        <v>20672</v>
      </c>
      <c r="FZ2369" s="1" t="s">
        <v>20673</v>
      </c>
      <c r="GA2369" s="1">
        <v>50852</v>
      </c>
      <c r="GB2369" s="1" t="s">
        <v>20674</v>
      </c>
      <c r="GC2369" s="1">
        <v>54320</v>
      </c>
      <c r="GE2369" s="1" t="s">
        <v>210</v>
      </c>
      <c r="GI2369" s="1" t="s">
        <v>213</v>
      </c>
      <c r="GJ2369" s="1" t="s">
        <v>260</v>
      </c>
      <c r="GK2369" s="1" t="s">
        <v>210</v>
      </c>
      <c r="GL2369" s="2">
        <v>42062</v>
      </c>
      <c r="GM2369" s="1" t="s">
        <v>20675</v>
      </c>
    </row>
    <row r="2370" spans="1:195">
      <c r="A2370" s="1">
        <v>115000</v>
      </c>
      <c r="B2370" s="1" t="s">
        <v>195</v>
      </c>
      <c r="C2370" s="1" t="str">
        <f>"08821368"</f>
        <v>08821368</v>
      </c>
      <c r="D2370" s="1" t="s">
        <v>196</v>
      </c>
      <c r="F2370" s="1" t="str">
        <f>"560"</f>
        <v>560</v>
      </c>
      <c r="G2370" s="2">
        <v>42025</v>
      </c>
      <c r="H2370" s="1">
        <v>115000</v>
      </c>
      <c r="I2370" s="1">
        <v>115000</v>
      </c>
      <c r="J2370" s="1">
        <v>115000</v>
      </c>
      <c r="K2370" s="2">
        <v>42025</v>
      </c>
      <c r="L2370" s="1">
        <v>1</v>
      </c>
      <c r="M2370" s="2">
        <v>42025</v>
      </c>
      <c r="N2370" s="1">
        <v>1</v>
      </c>
      <c r="O2370" s="2">
        <v>42025</v>
      </c>
      <c r="P2370" s="1">
        <v>23265</v>
      </c>
      <c r="Q2370" s="1" t="s">
        <v>423</v>
      </c>
      <c r="R2370" s="2">
        <v>42062</v>
      </c>
      <c r="S2370" s="1">
        <v>236423</v>
      </c>
      <c r="U2370" s="1">
        <v>2289</v>
      </c>
      <c r="V2370" s="1" t="s">
        <v>20676</v>
      </c>
      <c r="W2370" s="1" t="s">
        <v>264</v>
      </c>
      <c r="Y2370" s="1">
        <v>4</v>
      </c>
      <c r="Z2370" s="1" t="s">
        <v>370</v>
      </c>
      <c r="AA2370" s="1" t="s">
        <v>484</v>
      </c>
      <c r="AB2370" s="1">
        <v>60560</v>
      </c>
      <c r="AE2370" s="1" t="s">
        <v>20677</v>
      </c>
      <c r="AF2370" s="1">
        <v>2006</v>
      </c>
      <c r="AG2370" s="1" t="s">
        <v>204</v>
      </c>
      <c r="AH2370" s="1" t="s">
        <v>487</v>
      </c>
      <c r="AI2370" s="1" t="s">
        <v>453</v>
      </c>
      <c r="AJ2370" s="1" t="s">
        <v>454</v>
      </c>
      <c r="AL2370" s="1">
        <v>6</v>
      </c>
      <c r="AM2370" s="1">
        <v>2</v>
      </c>
      <c r="AN2370" s="1">
        <v>2</v>
      </c>
      <c r="AO2370" s="1">
        <v>1</v>
      </c>
      <c r="AP2370" s="1" t="s">
        <v>209</v>
      </c>
      <c r="AR2370" s="1" t="s">
        <v>4448</v>
      </c>
      <c r="AS2370" s="1" t="s">
        <v>204</v>
      </c>
      <c r="AT2370" s="1" t="s">
        <v>211</v>
      </c>
      <c r="AU2370" s="1">
        <v>2</v>
      </c>
      <c r="AW2370" s="1" t="s">
        <v>204</v>
      </c>
      <c r="AX2370" s="1" t="s">
        <v>212</v>
      </c>
      <c r="AZ2370" s="1">
        <v>4845</v>
      </c>
      <c r="BA2370" s="1">
        <v>2012</v>
      </c>
      <c r="BE2370" s="1">
        <v>1656</v>
      </c>
      <c r="BF2370" s="1">
        <v>1</v>
      </c>
      <c r="BG2370" s="1">
        <v>20</v>
      </c>
      <c r="BL2370" s="1">
        <v>168</v>
      </c>
      <c r="BM2370" s="1" t="s">
        <v>204</v>
      </c>
      <c r="BN2370" s="1" t="s">
        <v>213</v>
      </c>
      <c r="BP2370" s="1" t="s">
        <v>204</v>
      </c>
      <c r="BR2370" s="1" t="str">
        <f>"0211375021"</f>
        <v>0211375021</v>
      </c>
      <c r="BT2370" s="1" t="s">
        <v>20678</v>
      </c>
      <c r="BX2370" s="1">
        <v>115</v>
      </c>
      <c r="BY2370" s="1">
        <v>115</v>
      </c>
      <c r="BZ2370" s="1">
        <v>115</v>
      </c>
      <c r="CB2370" s="1" t="str">
        <f t="shared" ref="CB2370:CC2370" si="1817">""</f>
        <v/>
      </c>
      <c r="CC2370" s="1" t="str">
        <f t="shared" si="1817"/>
        <v/>
      </c>
      <c r="CH2370" s="1" t="s">
        <v>224</v>
      </c>
      <c r="CK2370" s="1" t="s">
        <v>317</v>
      </c>
      <c r="CL2370" s="1" t="s">
        <v>277</v>
      </c>
      <c r="CM2370" s="1" t="s">
        <v>220</v>
      </c>
      <c r="CP2370" s="1" t="s">
        <v>224</v>
      </c>
      <c r="CS2370" s="1" t="s">
        <v>465</v>
      </c>
      <c r="CT2370" s="1" t="s">
        <v>277</v>
      </c>
      <c r="CU2370" s="1" t="s">
        <v>220</v>
      </c>
      <c r="CW2370" s="1" t="s">
        <v>1358</v>
      </c>
      <c r="CX2370" s="1" t="s">
        <v>43</v>
      </c>
      <c r="CY2370" s="1" t="s">
        <v>220</v>
      </c>
      <c r="DB2370" s="1" t="s">
        <v>224</v>
      </c>
      <c r="DE2370" s="1" t="s">
        <v>1297</v>
      </c>
      <c r="DF2370" s="1" t="s">
        <v>219</v>
      </c>
      <c r="DG2370" s="1" t="s">
        <v>438</v>
      </c>
      <c r="DI2370" s="1" t="s">
        <v>437</v>
      </c>
      <c r="DJ2370" s="1" t="s">
        <v>219</v>
      </c>
      <c r="DK2370" s="1" t="s">
        <v>220</v>
      </c>
      <c r="DM2370" s="1" t="s">
        <v>381</v>
      </c>
      <c r="DR2370" s="1" t="s">
        <v>318</v>
      </c>
      <c r="DS2370" s="1" t="s">
        <v>219</v>
      </c>
      <c r="DT2370" s="1" t="s">
        <v>438</v>
      </c>
      <c r="DW2370" s="1" t="s">
        <v>230</v>
      </c>
      <c r="EA2370" s="1" t="s">
        <v>230</v>
      </c>
      <c r="EE2370" s="1" t="s">
        <v>230</v>
      </c>
      <c r="EI2370" s="1" t="s">
        <v>230</v>
      </c>
      <c r="EL2370" s="1" t="s">
        <v>491</v>
      </c>
      <c r="EM2370" s="1" t="s">
        <v>319</v>
      </c>
      <c r="EN2370" s="1" t="s">
        <v>282</v>
      </c>
      <c r="EO2370" s="1" t="s">
        <v>234</v>
      </c>
      <c r="EP2370" s="1" t="s">
        <v>650</v>
      </c>
      <c r="ER2370" s="1" t="s">
        <v>544</v>
      </c>
      <c r="EW2370" s="1" t="s">
        <v>210</v>
      </c>
      <c r="EZ2370" s="1" t="s">
        <v>381</v>
      </c>
      <c r="FD2370" s="1" t="s">
        <v>20679</v>
      </c>
      <c r="FE2370" s="1" t="s">
        <v>1006</v>
      </c>
      <c r="FF2370" s="1" t="s">
        <v>248</v>
      </c>
      <c r="FH2370" s="1" t="s">
        <v>1428</v>
      </c>
      <c r="FI2370" s="1" t="s">
        <v>473</v>
      </c>
      <c r="FL2370" s="1" t="s">
        <v>358</v>
      </c>
      <c r="FM2370" s="1" t="s">
        <v>769</v>
      </c>
      <c r="FN2370" s="1" t="s">
        <v>213</v>
      </c>
      <c r="FO2370" s="1" t="s">
        <v>204</v>
      </c>
      <c r="FQ2370" s="1" t="s">
        <v>673</v>
      </c>
      <c r="FR2370" s="1" t="s">
        <v>210</v>
      </c>
      <c r="FS2370" s="1" t="s">
        <v>3576</v>
      </c>
      <c r="FT2370" s="1" t="s">
        <v>675</v>
      </c>
      <c r="FU2370" s="1" t="s">
        <v>204</v>
      </c>
      <c r="FW2370" s="1" t="s">
        <v>1475</v>
      </c>
      <c r="FX2370" s="1">
        <v>23265</v>
      </c>
      <c r="FY2370" s="1" t="s">
        <v>1476</v>
      </c>
      <c r="FZ2370" s="1" t="s">
        <v>20680</v>
      </c>
      <c r="GA2370" s="1">
        <v>236423</v>
      </c>
      <c r="GB2370" s="1" t="s">
        <v>20681</v>
      </c>
      <c r="GC2370" s="1">
        <v>233530</v>
      </c>
      <c r="GE2370" s="1" t="s">
        <v>210</v>
      </c>
      <c r="GI2370" s="1" t="s">
        <v>213</v>
      </c>
      <c r="GJ2370" s="1" t="s">
        <v>260</v>
      </c>
      <c r="GK2370" s="1" t="s">
        <v>210</v>
      </c>
      <c r="GL2370" s="2">
        <v>42062</v>
      </c>
    </row>
    <row r="2371" spans="1:195">
      <c r="A2371" s="1">
        <v>102500</v>
      </c>
      <c r="B2371" s="1" t="s">
        <v>195</v>
      </c>
      <c r="C2371" s="1" t="str">
        <f>"08822026"</f>
        <v>08822026</v>
      </c>
      <c r="D2371" s="1" t="s">
        <v>196</v>
      </c>
      <c r="F2371" s="1" t="str">
        <f>"517"</f>
        <v>517</v>
      </c>
      <c r="G2371" s="2">
        <v>42026</v>
      </c>
      <c r="H2371" s="1">
        <v>99900</v>
      </c>
      <c r="I2371" s="1">
        <v>99900</v>
      </c>
      <c r="J2371" s="1">
        <v>102500</v>
      </c>
      <c r="K2371" s="2">
        <v>42026</v>
      </c>
      <c r="L2371" s="1">
        <v>6</v>
      </c>
      <c r="M2371" s="2">
        <v>42031</v>
      </c>
      <c r="N2371" s="1">
        <v>6</v>
      </c>
      <c r="O2371" s="2">
        <v>42031</v>
      </c>
      <c r="P2371" s="1">
        <v>20199</v>
      </c>
      <c r="Q2371" s="1" t="s">
        <v>197</v>
      </c>
      <c r="R2371" s="2">
        <v>42076</v>
      </c>
      <c r="S2371" s="1">
        <v>234727</v>
      </c>
      <c r="U2371" s="1">
        <v>2225</v>
      </c>
      <c r="V2371" s="1" t="s">
        <v>5730</v>
      </c>
      <c r="W2371" s="1" t="s">
        <v>264</v>
      </c>
      <c r="X2371" s="1">
        <v>1001</v>
      </c>
      <c r="Y2371" s="1">
        <v>8</v>
      </c>
      <c r="Z2371" s="1" t="s">
        <v>249</v>
      </c>
      <c r="AA2371" s="1" t="s">
        <v>2850</v>
      </c>
      <c r="AB2371" s="1">
        <v>60517</v>
      </c>
      <c r="AD2371" s="1" t="s">
        <v>5731</v>
      </c>
      <c r="AE2371" s="1" t="s">
        <v>20682</v>
      </c>
      <c r="AF2371" s="1">
        <v>1980</v>
      </c>
      <c r="AG2371" s="1" t="s">
        <v>204</v>
      </c>
      <c r="AH2371" s="1" t="s">
        <v>2853</v>
      </c>
      <c r="AI2371" s="1" t="s">
        <v>206</v>
      </c>
      <c r="AJ2371" s="1" t="s">
        <v>925</v>
      </c>
      <c r="AL2371" s="1">
        <v>5</v>
      </c>
      <c r="AM2371" s="1">
        <v>2</v>
      </c>
      <c r="AN2371" s="1">
        <v>2</v>
      </c>
      <c r="AO2371" s="1">
        <v>0</v>
      </c>
      <c r="AP2371" s="1" t="s">
        <v>209</v>
      </c>
      <c r="AQ2371" s="1">
        <v>1</v>
      </c>
      <c r="AR2371" s="1" t="s">
        <v>210</v>
      </c>
      <c r="AS2371" s="1" t="s">
        <v>204</v>
      </c>
      <c r="AT2371" s="1" t="s">
        <v>211</v>
      </c>
      <c r="AU2371" s="1">
        <v>1</v>
      </c>
      <c r="AW2371" s="1" t="s">
        <v>204</v>
      </c>
      <c r="AX2371" s="1" t="s">
        <v>212</v>
      </c>
      <c r="AZ2371" s="1">
        <v>2139</v>
      </c>
      <c r="BA2371" s="1">
        <v>2013</v>
      </c>
      <c r="BB2371" s="1" t="s">
        <v>405</v>
      </c>
      <c r="BE2371" s="1">
        <v>999</v>
      </c>
      <c r="BF2371" s="1">
        <v>1</v>
      </c>
      <c r="BG2371" s="1">
        <v>0</v>
      </c>
      <c r="BL2371" s="1">
        <v>215</v>
      </c>
      <c r="BM2371" s="1" t="s">
        <v>204</v>
      </c>
      <c r="BN2371" s="1" t="s">
        <v>213</v>
      </c>
      <c r="BO2371" s="1">
        <v>999</v>
      </c>
      <c r="BP2371" s="1" t="s">
        <v>204</v>
      </c>
      <c r="BR2371" s="1" t="str">
        <f>"0836210009"</f>
        <v>0836210009</v>
      </c>
      <c r="BT2371" s="1" t="s">
        <v>20683</v>
      </c>
      <c r="BU2371" s="1" t="s">
        <v>5734</v>
      </c>
      <c r="BV2371" s="1" t="s">
        <v>2856</v>
      </c>
      <c r="BW2371" s="1" t="s">
        <v>3099</v>
      </c>
      <c r="BX2371" s="1">
        <v>68</v>
      </c>
      <c r="BY2371" s="1">
        <v>68</v>
      </c>
      <c r="BZ2371" s="1">
        <v>99</v>
      </c>
      <c r="CB2371" s="1" t="str">
        <f t="shared" ref="CB2371:CC2371" si="1818">""</f>
        <v/>
      </c>
      <c r="CC2371" s="1" t="str">
        <f t="shared" si="1818"/>
        <v/>
      </c>
      <c r="CG2371" s="1" t="s">
        <v>3316</v>
      </c>
      <c r="CH2371" s="1" t="s">
        <v>219</v>
      </c>
      <c r="CI2371" s="1" t="s">
        <v>229</v>
      </c>
      <c r="CJ2371" s="1" t="s">
        <v>343</v>
      </c>
      <c r="CK2371" s="1" t="s">
        <v>2122</v>
      </c>
      <c r="CL2371" s="1" t="s">
        <v>219</v>
      </c>
      <c r="CM2371" s="1" t="s">
        <v>229</v>
      </c>
      <c r="CN2371" s="1" t="s">
        <v>343</v>
      </c>
      <c r="CO2371" s="1" t="s">
        <v>1470</v>
      </c>
      <c r="CP2371" s="1" t="s">
        <v>219</v>
      </c>
      <c r="CQ2371" s="1" t="s">
        <v>229</v>
      </c>
      <c r="CR2371" s="1" t="s">
        <v>210</v>
      </c>
      <c r="CS2371" s="1" t="s">
        <v>2466</v>
      </c>
      <c r="CT2371" s="1" t="s">
        <v>219</v>
      </c>
      <c r="CU2371" s="1" t="s">
        <v>229</v>
      </c>
      <c r="CV2371" s="1" t="s">
        <v>343</v>
      </c>
      <c r="CX2371" s="1" t="s">
        <v>224</v>
      </c>
      <c r="DB2371" s="1" t="s">
        <v>224</v>
      </c>
      <c r="DE2371" s="1" t="s">
        <v>1360</v>
      </c>
      <c r="DF2371" s="1" t="s">
        <v>219</v>
      </c>
      <c r="DG2371" s="1" t="s">
        <v>342</v>
      </c>
      <c r="DH2371" s="1" t="s">
        <v>210</v>
      </c>
      <c r="DJ2371" s="1" t="s">
        <v>224</v>
      </c>
      <c r="DM2371" s="1" t="s">
        <v>709</v>
      </c>
      <c r="DR2371" s="1" t="s">
        <v>410</v>
      </c>
      <c r="DS2371" s="1" t="s">
        <v>219</v>
      </c>
      <c r="DT2371" s="1" t="s">
        <v>229</v>
      </c>
      <c r="DU2371" s="1" t="s">
        <v>210</v>
      </c>
      <c r="DW2371" s="1" t="s">
        <v>230</v>
      </c>
      <c r="EA2371" s="1" t="s">
        <v>230</v>
      </c>
      <c r="EE2371" s="1" t="s">
        <v>230</v>
      </c>
      <c r="EI2371" s="1" t="s">
        <v>230</v>
      </c>
      <c r="EL2371" s="1" t="s">
        <v>231</v>
      </c>
      <c r="EM2371" s="1" t="s">
        <v>730</v>
      </c>
      <c r="EN2371" s="1" t="s">
        <v>282</v>
      </c>
      <c r="EO2371" s="1" t="s">
        <v>234</v>
      </c>
      <c r="EP2371" s="1" t="s">
        <v>20684</v>
      </c>
      <c r="EQ2371" s="1" t="s">
        <v>4356</v>
      </c>
      <c r="ER2371" s="1" t="s">
        <v>383</v>
      </c>
      <c r="ES2371" s="1" t="s">
        <v>824</v>
      </c>
      <c r="EV2371" s="1" t="s">
        <v>352</v>
      </c>
      <c r="EW2371" s="1" t="s">
        <v>1679</v>
      </c>
      <c r="EY2371" s="1" t="s">
        <v>242</v>
      </c>
      <c r="EZ2371" s="1" t="s">
        <v>709</v>
      </c>
      <c r="FA2371" s="1" t="s">
        <v>1270</v>
      </c>
      <c r="FB2371" s="1" t="s">
        <v>289</v>
      </c>
      <c r="FC2371" s="1" t="s">
        <v>326</v>
      </c>
      <c r="FD2371" s="1" t="s">
        <v>246</v>
      </c>
      <c r="FE2371" s="1" t="s">
        <v>549</v>
      </c>
      <c r="FF2371" s="1" t="s">
        <v>248</v>
      </c>
      <c r="FG2371" s="1" t="s">
        <v>2739</v>
      </c>
      <c r="FH2371" s="1" t="s">
        <v>249</v>
      </c>
      <c r="FI2371" s="1" t="s">
        <v>473</v>
      </c>
      <c r="FJ2371" s="1" t="s">
        <v>10837</v>
      </c>
      <c r="FL2371" s="1" t="s">
        <v>358</v>
      </c>
      <c r="FM2371" s="1" t="s">
        <v>252</v>
      </c>
      <c r="FN2371" s="1" t="s">
        <v>213</v>
      </c>
      <c r="FO2371" s="1" t="s">
        <v>213</v>
      </c>
      <c r="FQ2371" s="1" t="s">
        <v>20685</v>
      </c>
      <c r="FR2371" s="1" t="s">
        <v>210</v>
      </c>
      <c r="FS2371" s="1" t="s">
        <v>1709</v>
      </c>
      <c r="FT2371" s="1" t="s">
        <v>362</v>
      </c>
      <c r="FU2371" s="1" t="s">
        <v>204</v>
      </c>
      <c r="FW2371" s="1" t="s">
        <v>2179</v>
      </c>
      <c r="FX2371" s="1">
        <v>22039</v>
      </c>
      <c r="FY2371" s="1" t="s">
        <v>2180</v>
      </c>
      <c r="FZ2371" s="1" t="s">
        <v>20686</v>
      </c>
      <c r="GA2371" s="1">
        <v>225289</v>
      </c>
      <c r="GB2371" s="1" t="s">
        <v>20687</v>
      </c>
      <c r="GE2371" s="1" t="s">
        <v>4021</v>
      </c>
      <c r="GI2371" s="1" t="s">
        <v>213</v>
      </c>
      <c r="GJ2371" s="1" t="s">
        <v>260</v>
      </c>
      <c r="GK2371" s="1" t="s">
        <v>210</v>
      </c>
      <c r="GL2371" s="2">
        <v>42077</v>
      </c>
      <c r="GM2371" s="1" t="s">
        <v>20688</v>
      </c>
    </row>
    <row r="2372" spans="1:195">
      <c r="A2372" s="1">
        <v>165000</v>
      </c>
      <c r="B2372" s="1" t="s">
        <v>195</v>
      </c>
      <c r="C2372" s="1" t="str">
        <f>"08823561"</f>
        <v>08823561</v>
      </c>
      <c r="D2372" s="1" t="s">
        <v>196</v>
      </c>
      <c r="F2372" s="1" t="str">
        <f>"540"</f>
        <v>540</v>
      </c>
      <c r="G2372" s="2">
        <v>42029</v>
      </c>
      <c r="H2372" s="1">
        <v>175000</v>
      </c>
      <c r="I2372" s="1">
        <v>175000</v>
      </c>
      <c r="J2372" s="1">
        <v>165000</v>
      </c>
      <c r="K2372" s="2">
        <v>42028</v>
      </c>
      <c r="L2372" s="1">
        <v>15</v>
      </c>
      <c r="M2372" s="2">
        <v>42042</v>
      </c>
      <c r="N2372" s="1">
        <v>15</v>
      </c>
      <c r="O2372" s="2">
        <v>42042</v>
      </c>
      <c r="P2372" s="1">
        <v>23120</v>
      </c>
      <c r="Q2372" s="1" t="s">
        <v>302</v>
      </c>
      <c r="R2372" s="2">
        <v>42125</v>
      </c>
      <c r="S2372" s="1">
        <v>232601</v>
      </c>
      <c r="U2372" s="1">
        <v>2545</v>
      </c>
      <c r="V2372" s="1" t="s">
        <v>17951</v>
      </c>
      <c r="W2372" s="1" t="s">
        <v>1056</v>
      </c>
      <c r="X2372" s="1">
        <v>2545</v>
      </c>
      <c r="Y2372" s="1">
        <v>4</v>
      </c>
      <c r="Z2372" s="1" t="s">
        <v>249</v>
      </c>
      <c r="AA2372" s="1" t="s">
        <v>921</v>
      </c>
      <c r="AB2372" s="1">
        <v>60540</v>
      </c>
      <c r="AD2372" s="1" t="s">
        <v>17951</v>
      </c>
      <c r="AE2372" s="1" t="s">
        <v>20689</v>
      </c>
      <c r="AF2372" s="1">
        <v>1997</v>
      </c>
      <c r="AG2372" s="1" t="s">
        <v>204</v>
      </c>
      <c r="AH2372" s="1" t="s">
        <v>924</v>
      </c>
      <c r="AI2372" s="1" t="s">
        <v>206</v>
      </c>
      <c r="AJ2372" s="1" t="s">
        <v>924</v>
      </c>
      <c r="AK2372" s="1" t="s">
        <v>6170</v>
      </c>
      <c r="AL2372" s="1">
        <v>6</v>
      </c>
      <c r="AM2372" s="1">
        <v>2</v>
      </c>
      <c r="AN2372" s="1">
        <v>2</v>
      </c>
      <c r="AO2372" s="1">
        <v>1</v>
      </c>
      <c r="AP2372" s="1" t="s">
        <v>209</v>
      </c>
      <c r="AR2372" s="1" t="s">
        <v>210</v>
      </c>
      <c r="AS2372" s="1" t="s">
        <v>204</v>
      </c>
      <c r="AT2372" s="1" t="s">
        <v>211</v>
      </c>
      <c r="AU2372" s="1">
        <v>1</v>
      </c>
      <c r="AW2372" s="1" t="s">
        <v>204</v>
      </c>
      <c r="AX2372" s="1" t="s">
        <v>212</v>
      </c>
      <c r="AZ2372" s="1">
        <v>3638</v>
      </c>
      <c r="BA2372" s="1">
        <v>2013</v>
      </c>
      <c r="BB2372" s="1" t="s">
        <v>405</v>
      </c>
      <c r="BE2372" s="1">
        <v>1326</v>
      </c>
      <c r="BF2372" s="1">
        <v>1</v>
      </c>
      <c r="BG2372" s="1">
        <v>0</v>
      </c>
      <c r="BL2372" s="1">
        <v>267</v>
      </c>
      <c r="BM2372" s="1" t="s">
        <v>204</v>
      </c>
      <c r="BN2372" s="1" t="s">
        <v>213</v>
      </c>
      <c r="BO2372" s="1">
        <v>999</v>
      </c>
      <c r="BP2372" s="1" t="s">
        <v>204</v>
      </c>
      <c r="BR2372" s="1" t="str">
        <f>"0722311037"</f>
        <v>0722311037</v>
      </c>
      <c r="BT2372" s="1" t="s">
        <v>20690</v>
      </c>
      <c r="BU2372" s="1" t="s">
        <v>3988</v>
      </c>
      <c r="BV2372" s="1" t="s">
        <v>1248</v>
      </c>
      <c r="BW2372" s="1" t="s">
        <v>1131</v>
      </c>
      <c r="BX2372" s="1">
        <v>204</v>
      </c>
      <c r="BY2372" s="1">
        <v>204</v>
      </c>
      <c r="BZ2372" s="1">
        <v>204</v>
      </c>
      <c r="CB2372" s="1" t="str">
        <f t="shared" ref="CB2372:CC2372" si="1819">"0"</f>
        <v>0</v>
      </c>
      <c r="CC2372" s="1" t="str">
        <f t="shared" si="1819"/>
        <v>0</v>
      </c>
      <c r="CD2372" s="1">
        <v>29</v>
      </c>
      <c r="CE2372" s="1">
        <v>7</v>
      </c>
      <c r="CG2372" s="1" t="s">
        <v>1045</v>
      </c>
      <c r="CH2372" s="1" t="s">
        <v>219</v>
      </c>
      <c r="CI2372" s="1" t="s">
        <v>220</v>
      </c>
      <c r="CK2372" s="1" t="s">
        <v>221</v>
      </c>
      <c r="CL2372" s="1" t="s">
        <v>277</v>
      </c>
      <c r="CM2372" s="1" t="s">
        <v>220</v>
      </c>
      <c r="CO2372" s="1" t="s">
        <v>786</v>
      </c>
      <c r="CP2372" s="1" t="s">
        <v>219</v>
      </c>
      <c r="CQ2372" s="1" t="s">
        <v>220</v>
      </c>
      <c r="CS2372" s="1" t="s">
        <v>317</v>
      </c>
      <c r="CT2372" s="1" t="s">
        <v>277</v>
      </c>
      <c r="CU2372" s="1" t="s">
        <v>220</v>
      </c>
      <c r="CX2372" s="1" t="s">
        <v>224</v>
      </c>
      <c r="DB2372" s="1" t="s">
        <v>224</v>
      </c>
      <c r="DE2372" s="1" t="s">
        <v>465</v>
      </c>
      <c r="DF2372" s="1" t="s">
        <v>219</v>
      </c>
      <c r="DG2372" s="1" t="s">
        <v>229</v>
      </c>
      <c r="DJ2372" s="1" t="s">
        <v>224</v>
      </c>
      <c r="DM2372" s="1" t="s">
        <v>464</v>
      </c>
      <c r="DN2372" s="1" t="s">
        <v>1770</v>
      </c>
      <c r="DO2372" s="1" t="s">
        <v>709</v>
      </c>
      <c r="DR2372" s="1" t="s">
        <v>1297</v>
      </c>
      <c r="DS2372" s="1" t="s">
        <v>277</v>
      </c>
      <c r="DT2372" s="1" t="s">
        <v>220</v>
      </c>
      <c r="DV2372" s="1" t="s">
        <v>6174</v>
      </c>
      <c r="DW2372" s="1" t="s">
        <v>277</v>
      </c>
      <c r="DX2372" s="1" t="s">
        <v>342</v>
      </c>
      <c r="DZ2372" s="1" t="s">
        <v>5954</v>
      </c>
      <c r="EA2372" s="1" t="s">
        <v>219</v>
      </c>
      <c r="EB2372" s="1" t="s">
        <v>229</v>
      </c>
      <c r="EE2372" s="1" t="s">
        <v>230</v>
      </c>
      <c r="EI2372" s="1" t="s">
        <v>230</v>
      </c>
      <c r="EL2372" s="1" t="s">
        <v>670</v>
      </c>
      <c r="EM2372" s="1" t="s">
        <v>232</v>
      </c>
      <c r="EN2372" s="1" t="s">
        <v>282</v>
      </c>
      <c r="EO2372" s="1" t="s">
        <v>234</v>
      </c>
      <c r="EP2372" s="1" t="s">
        <v>650</v>
      </c>
      <c r="EQ2372" s="1" t="s">
        <v>236</v>
      </c>
      <c r="ER2372" s="1" t="s">
        <v>210</v>
      </c>
      <c r="ES2372" s="1" t="s">
        <v>608</v>
      </c>
      <c r="ET2372" s="1" t="s">
        <v>323</v>
      </c>
      <c r="EV2372" s="1" t="s">
        <v>240</v>
      </c>
      <c r="EW2372" s="1" t="s">
        <v>1804</v>
      </c>
      <c r="EZ2372" s="1" t="s">
        <v>20691</v>
      </c>
      <c r="FA2372" s="1" t="s">
        <v>672</v>
      </c>
      <c r="FB2372" s="1" t="s">
        <v>289</v>
      </c>
      <c r="FD2372" s="1" t="s">
        <v>246</v>
      </c>
      <c r="FE2372" s="1" t="s">
        <v>355</v>
      </c>
      <c r="FF2372" s="1" t="s">
        <v>248</v>
      </c>
      <c r="FH2372" s="1" t="s">
        <v>550</v>
      </c>
      <c r="FI2372" s="1" t="s">
        <v>357</v>
      </c>
      <c r="FL2372" s="1" t="s">
        <v>358</v>
      </c>
      <c r="FM2372" s="1" t="s">
        <v>252</v>
      </c>
      <c r="FN2372" s="1" t="s">
        <v>213</v>
      </c>
      <c r="FO2372" s="1" t="s">
        <v>204</v>
      </c>
      <c r="FQ2372" s="1" t="s">
        <v>13468</v>
      </c>
      <c r="FR2372" s="1" t="s">
        <v>210</v>
      </c>
      <c r="FS2372" s="1" t="s">
        <v>3605</v>
      </c>
      <c r="FT2372" s="1" t="s">
        <v>20692</v>
      </c>
      <c r="FU2372" s="1" t="s">
        <v>204</v>
      </c>
      <c r="FW2372" s="1" t="s">
        <v>3546</v>
      </c>
      <c r="FX2372" s="1">
        <v>24695</v>
      </c>
      <c r="FY2372" s="1" t="s">
        <v>3547</v>
      </c>
      <c r="FZ2372" s="1" t="s">
        <v>20693</v>
      </c>
      <c r="GA2372" s="1">
        <v>215236</v>
      </c>
      <c r="GB2372" s="1" t="s">
        <v>20694</v>
      </c>
      <c r="GE2372" s="1" t="s">
        <v>335</v>
      </c>
      <c r="GI2372" s="1" t="s">
        <v>213</v>
      </c>
      <c r="GJ2372" s="1" t="s">
        <v>260</v>
      </c>
      <c r="GK2372" s="1" t="s">
        <v>210</v>
      </c>
      <c r="GL2372" s="2">
        <v>42126</v>
      </c>
      <c r="GM2372" s="1" t="s">
        <v>20695</v>
      </c>
    </row>
    <row r="2373" spans="1:195">
      <c r="A2373" s="1">
        <v>62000</v>
      </c>
      <c r="B2373" s="1" t="s">
        <v>195</v>
      </c>
      <c r="C2373" s="1" t="str">
        <f>"08824517"</f>
        <v>08824517</v>
      </c>
      <c r="D2373" s="1" t="s">
        <v>196</v>
      </c>
      <c r="F2373" s="1" t="str">
        <f t="shared" ref="F2373:F2374" si="1820">"60"</f>
        <v>60</v>
      </c>
      <c r="G2373" s="2">
        <v>42030</v>
      </c>
      <c r="H2373" s="1">
        <v>64900</v>
      </c>
      <c r="I2373" s="1">
        <v>64900</v>
      </c>
      <c r="J2373" s="1">
        <v>62000</v>
      </c>
      <c r="K2373" s="2">
        <v>42030</v>
      </c>
      <c r="L2373" s="1">
        <v>12</v>
      </c>
      <c r="M2373" s="2">
        <v>42041</v>
      </c>
      <c r="N2373" s="1">
        <v>12</v>
      </c>
      <c r="O2373" s="2">
        <v>42041</v>
      </c>
      <c r="P2373" s="1">
        <v>4793</v>
      </c>
      <c r="Q2373" s="1" t="s">
        <v>302</v>
      </c>
      <c r="R2373" s="2">
        <v>42109</v>
      </c>
      <c r="S2373" s="1">
        <v>30765</v>
      </c>
      <c r="U2373" s="1">
        <v>31</v>
      </c>
      <c r="V2373" s="1" t="s">
        <v>12711</v>
      </c>
      <c r="W2373" s="1" t="s">
        <v>199</v>
      </c>
      <c r="X2373" s="1">
        <v>102</v>
      </c>
      <c r="Y2373" s="1">
        <v>70</v>
      </c>
      <c r="Z2373" s="1" t="s">
        <v>249</v>
      </c>
      <c r="AA2373" s="1" t="s">
        <v>1689</v>
      </c>
      <c r="AB2373" s="1">
        <v>60060</v>
      </c>
      <c r="AE2373" s="1" t="s">
        <v>20696</v>
      </c>
      <c r="AF2373" s="1" t="s">
        <v>402</v>
      </c>
      <c r="AG2373" s="1" t="s">
        <v>213</v>
      </c>
      <c r="AH2373" s="1" t="s">
        <v>1692</v>
      </c>
      <c r="AI2373" s="1" t="s">
        <v>509</v>
      </c>
      <c r="AJ2373" s="1" t="s">
        <v>1693</v>
      </c>
      <c r="AL2373" s="1">
        <v>5</v>
      </c>
      <c r="AM2373" s="1">
        <v>2</v>
      </c>
      <c r="AN2373" s="1">
        <v>2</v>
      </c>
      <c r="AO2373" s="1">
        <v>0</v>
      </c>
      <c r="AP2373" s="1" t="s">
        <v>209</v>
      </c>
      <c r="AR2373" s="1" t="s">
        <v>210</v>
      </c>
      <c r="AS2373" s="1" t="s">
        <v>204</v>
      </c>
      <c r="AT2373" s="1" t="s">
        <v>271</v>
      </c>
      <c r="AV2373" s="1">
        <v>3</v>
      </c>
      <c r="AW2373" s="1" t="s">
        <v>204</v>
      </c>
      <c r="AX2373" s="1" t="s">
        <v>1265</v>
      </c>
      <c r="AZ2373" s="1">
        <v>767.08</v>
      </c>
      <c r="BA2373" s="1">
        <v>2013</v>
      </c>
      <c r="BE2373" s="1">
        <v>0</v>
      </c>
      <c r="BF2373" s="1">
        <v>1</v>
      </c>
      <c r="BG2373" s="1">
        <v>0</v>
      </c>
      <c r="BL2373" s="1">
        <v>305</v>
      </c>
      <c r="BM2373" s="1" t="s">
        <v>213</v>
      </c>
      <c r="BN2373" s="1" t="s">
        <v>213</v>
      </c>
      <c r="BO2373" s="1">
        <v>0</v>
      </c>
      <c r="BP2373" s="1" t="s">
        <v>204</v>
      </c>
      <c r="BR2373" s="1" t="str">
        <f>"11304030500000"</f>
        <v>11304030500000</v>
      </c>
      <c r="BT2373" s="1" t="s">
        <v>20697</v>
      </c>
      <c r="BU2373" s="1" t="s">
        <v>1879</v>
      </c>
      <c r="BV2373" s="1" t="s">
        <v>1880</v>
      </c>
      <c r="BX2373" s="1">
        <v>73</v>
      </c>
      <c r="BY2373" s="1">
        <v>73</v>
      </c>
      <c r="BZ2373" s="1">
        <v>120</v>
      </c>
      <c r="CB2373" s="1" t="str">
        <f t="shared" ref="CB2373:CC2373" si="1821">""</f>
        <v/>
      </c>
      <c r="CC2373" s="1" t="str">
        <f t="shared" si="1821"/>
        <v/>
      </c>
      <c r="CG2373" s="1" t="s">
        <v>1853</v>
      </c>
      <c r="CH2373" s="1" t="s">
        <v>219</v>
      </c>
      <c r="CI2373" s="1" t="s">
        <v>220</v>
      </c>
      <c r="CK2373" s="1" t="s">
        <v>3591</v>
      </c>
      <c r="CL2373" s="1" t="s">
        <v>219</v>
      </c>
      <c r="CM2373" s="1" t="s">
        <v>220</v>
      </c>
      <c r="CO2373" s="1" t="s">
        <v>836</v>
      </c>
      <c r="CP2373" s="1" t="s">
        <v>219</v>
      </c>
      <c r="CQ2373" s="1" t="s">
        <v>220</v>
      </c>
      <c r="CS2373" s="1" t="s">
        <v>836</v>
      </c>
      <c r="CT2373" s="1" t="s">
        <v>219</v>
      </c>
      <c r="CU2373" s="1" t="s">
        <v>220</v>
      </c>
      <c r="CX2373" s="1" t="s">
        <v>224</v>
      </c>
      <c r="DB2373" s="1" t="s">
        <v>224</v>
      </c>
      <c r="DE2373" s="1" t="s">
        <v>408</v>
      </c>
      <c r="DF2373" s="1" t="s">
        <v>219</v>
      </c>
      <c r="DG2373" s="1" t="s">
        <v>347</v>
      </c>
      <c r="DJ2373" s="1" t="s">
        <v>224</v>
      </c>
      <c r="DS2373" s="1" t="s">
        <v>230</v>
      </c>
      <c r="DW2373" s="1" t="s">
        <v>230</v>
      </c>
      <c r="EA2373" s="1" t="s">
        <v>230</v>
      </c>
      <c r="EE2373" s="1" t="s">
        <v>230</v>
      </c>
      <c r="EI2373" s="1" t="s">
        <v>230</v>
      </c>
      <c r="EL2373" s="1" t="s">
        <v>413</v>
      </c>
      <c r="EM2373" s="1" t="s">
        <v>232</v>
      </c>
      <c r="EN2373" s="1" t="s">
        <v>1158</v>
      </c>
      <c r="EO2373" s="1" t="s">
        <v>234</v>
      </c>
      <c r="EP2373" s="1" t="s">
        <v>3571</v>
      </c>
      <c r="EQ2373" s="1" t="s">
        <v>1109</v>
      </c>
      <c r="ER2373" s="1" t="s">
        <v>383</v>
      </c>
      <c r="ES2373" s="1" t="s">
        <v>322</v>
      </c>
      <c r="EV2373" s="1" t="s">
        <v>240</v>
      </c>
      <c r="EW2373" s="1" t="s">
        <v>384</v>
      </c>
      <c r="EZ2373" s="1" t="s">
        <v>287</v>
      </c>
      <c r="FA2373" s="1" t="s">
        <v>1270</v>
      </c>
      <c r="FB2373" s="1" t="s">
        <v>289</v>
      </c>
      <c r="FD2373" s="1" t="s">
        <v>246</v>
      </c>
      <c r="FE2373" s="1" t="s">
        <v>247</v>
      </c>
      <c r="FF2373" s="1" t="s">
        <v>248</v>
      </c>
      <c r="FH2373" s="1" t="s">
        <v>249</v>
      </c>
      <c r="FJ2373" s="1" t="s">
        <v>197</v>
      </c>
      <c r="FK2373" s="1" t="s">
        <v>6240</v>
      </c>
      <c r="FL2373" s="1" t="s">
        <v>5090</v>
      </c>
      <c r="FM2373" s="1" t="s">
        <v>252</v>
      </c>
      <c r="FN2373" s="1" t="s">
        <v>213</v>
      </c>
      <c r="FO2373" s="1" t="s">
        <v>213</v>
      </c>
      <c r="FQ2373" s="1" t="s">
        <v>1599</v>
      </c>
      <c r="FR2373" s="1" t="s">
        <v>360</v>
      </c>
      <c r="FS2373" s="1" t="s">
        <v>20698</v>
      </c>
      <c r="FT2373" s="1" t="s">
        <v>295</v>
      </c>
      <c r="FU2373" s="1" t="s">
        <v>204</v>
      </c>
      <c r="FW2373" s="1" t="s">
        <v>1443</v>
      </c>
      <c r="FX2373" s="1">
        <v>85115</v>
      </c>
      <c r="FY2373" s="1" t="s">
        <v>1444</v>
      </c>
      <c r="FZ2373" s="1" t="s">
        <v>18042</v>
      </c>
      <c r="GA2373" s="1">
        <v>143115</v>
      </c>
      <c r="GB2373" s="1" t="s">
        <v>18043</v>
      </c>
      <c r="GE2373" s="1" t="s">
        <v>480</v>
      </c>
      <c r="GI2373" s="1" t="s">
        <v>213</v>
      </c>
      <c r="GJ2373" s="1" t="s">
        <v>260</v>
      </c>
      <c r="GK2373" s="1" t="s">
        <v>210</v>
      </c>
      <c r="GL2373" s="2">
        <v>42110</v>
      </c>
      <c r="GM2373" s="2" t="s">
        <v>20699</v>
      </c>
    </row>
    <row r="2374" spans="1:195">
      <c r="A2374" s="1">
        <v>185500</v>
      </c>
      <c r="B2374" s="1" t="s">
        <v>195</v>
      </c>
      <c r="C2374" s="1" t="str">
        <f>"08826859"</f>
        <v>08826859</v>
      </c>
      <c r="D2374" s="1" t="s">
        <v>196</v>
      </c>
      <c r="F2374" s="1" t="str">
        <f t="shared" si="1820"/>
        <v>60</v>
      </c>
      <c r="G2374" s="2">
        <v>42033</v>
      </c>
      <c r="H2374" s="1">
        <v>189900</v>
      </c>
      <c r="I2374" s="1">
        <v>189900</v>
      </c>
      <c r="J2374" s="1">
        <v>185500</v>
      </c>
      <c r="K2374" s="2">
        <v>42033</v>
      </c>
      <c r="L2374" s="1">
        <v>76</v>
      </c>
      <c r="M2374" s="2">
        <v>42108</v>
      </c>
      <c r="N2374" s="1">
        <v>76</v>
      </c>
      <c r="O2374" s="2">
        <v>42108</v>
      </c>
      <c r="P2374" s="1">
        <v>8707</v>
      </c>
      <c r="Q2374" s="1" t="s">
        <v>197</v>
      </c>
      <c r="R2374" s="2">
        <v>42144</v>
      </c>
      <c r="S2374" s="1">
        <v>81320</v>
      </c>
      <c r="U2374" s="1">
        <v>686</v>
      </c>
      <c r="V2374" s="1" t="s">
        <v>5703</v>
      </c>
      <c r="W2374" s="1" t="s">
        <v>264</v>
      </c>
      <c r="X2374" s="1">
        <v>686</v>
      </c>
      <c r="Y2374" s="1">
        <v>4</v>
      </c>
      <c r="Z2374" s="1" t="s">
        <v>249</v>
      </c>
      <c r="AA2374" s="1" t="s">
        <v>1689</v>
      </c>
      <c r="AB2374" s="1">
        <v>60060</v>
      </c>
      <c r="AD2374" s="1" t="s">
        <v>20700</v>
      </c>
      <c r="AE2374" s="1" t="s">
        <v>20701</v>
      </c>
      <c r="AF2374" s="1">
        <v>2001</v>
      </c>
      <c r="AG2374" s="1" t="s">
        <v>204</v>
      </c>
      <c r="AH2374" s="1" t="s">
        <v>1692</v>
      </c>
      <c r="AI2374" s="1" t="s">
        <v>509</v>
      </c>
      <c r="AJ2374" s="1" t="s">
        <v>1693</v>
      </c>
      <c r="AL2374" s="1">
        <v>6</v>
      </c>
      <c r="AM2374" s="1">
        <v>2</v>
      </c>
      <c r="AN2374" s="1">
        <v>2</v>
      </c>
      <c r="AO2374" s="1">
        <v>1</v>
      </c>
      <c r="AP2374" s="1" t="s">
        <v>209</v>
      </c>
      <c r="AQ2374" s="1">
        <v>1</v>
      </c>
      <c r="AR2374" s="1" t="s">
        <v>2275</v>
      </c>
      <c r="AS2374" s="1" t="s">
        <v>204</v>
      </c>
      <c r="AT2374" s="1" t="s">
        <v>211</v>
      </c>
      <c r="AU2374" s="1">
        <v>2</v>
      </c>
      <c r="AW2374" s="1" t="s">
        <v>204</v>
      </c>
      <c r="AX2374" s="1" t="s">
        <v>212</v>
      </c>
      <c r="AZ2374" s="1">
        <v>3433</v>
      </c>
      <c r="BA2374" s="1">
        <v>2013</v>
      </c>
      <c r="BE2374" s="1">
        <v>1940</v>
      </c>
      <c r="BF2374" s="1">
        <v>1</v>
      </c>
      <c r="BG2374" s="1">
        <v>0</v>
      </c>
      <c r="BL2374" s="1">
        <v>235</v>
      </c>
      <c r="BM2374" s="1" t="s">
        <v>413</v>
      </c>
      <c r="BN2374" s="1" t="s">
        <v>213</v>
      </c>
      <c r="BO2374" s="1">
        <v>0</v>
      </c>
      <c r="BP2374" s="1" t="s">
        <v>204</v>
      </c>
      <c r="BR2374" s="1" t="str">
        <f>"11311001040000"</f>
        <v>11311001040000</v>
      </c>
      <c r="BT2374" s="1" t="s">
        <v>20702</v>
      </c>
      <c r="BX2374" s="1">
        <v>73</v>
      </c>
      <c r="BY2374" s="1">
        <v>73</v>
      </c>
      <c r="BZ2374" s="1">
        <v>120</v>
      </c>
      <c r="CB2374" s="1" t="str">
        <f>"27"</f>
        <v>27</v>
      </c>
      <c r="CC2374" s="1" t="str">
        <f>"0"</f>
        <v>0</v>
      </c>
      <c r="CD2374" s="1">
        <v>18</v>
      </c>
      <c r="CE2374" s="1">
        <v>0</v>
      </c>
      <c r="CG2374" s="1" t="s">
        <v>707</v>
      </c>
      <c r="CH2374" s="1" t="s">
        <v>219</v>
      </c>
      <c r="CI2374" s="1" t="s">
        <v>220</v>
      </c>
      <c r="CK2374" s="1" t="s">
        <v>538</v>
      </c>
      <c r="CL2374" s="1" t="s">
        <v>784</v>
      </c>
      <c r="CO2374" s="1" t="s">
        <v>378</v>
      </c>
      <c r="CP2374" s="1" t="s">
        <v>219</v>
      </c>
      <c r="CQ2374" s="1" t="s">
        <v>226</v>
      </c>
      <c r="CS2374" s="1" t="s">
        <v>757</v>
      </c>
      <c r="CT2374" s="1" t="s">
        <v>784</v>
      </c>
      <c r="CX2374" s="1" t="s">
        <v>224</v>
      </c>
      <c r="DB2374" s="1" t="s">
        <v>224</v>
      </c>
      <c r="DE2374" s="1" t="s">
        <v>465</v>
      </c>
      <c r="DF2374" s="1" t="s">
        <v>219</v>
      </c>
      <c r="DG2374" s="1" t="s">
        <v>226</v>
      </c>
      <c r="DI2374" s="1" t="s">
        <v>437</v>
      </c>
      <c r="DJ2374" s="1" t="s">
        <v>822</v>
      </c>
      <c r="DM2374" s="1" t="s">
        <v>1770</v>
      </c>
      <c r="DR2374" s="1" t="s">
        <v>3492</v>
      </c>
      <c r="DS2374" s="1" t="s">
        <v>784</v>
      </c>
      <c r="DW2374" s="1" t="s">
        <v>230</v>
      </c>
      <c r="EA2374" s="1" t="s">
        <v>230</v>
      </c>
      <c r="EE2374" s="1" t="s">
        <v>230</v>
      </c>
      <c r="EI2374" s="1" t="s">
        <v>230</v>
      </c>
      <c r="EL2374" s="1" t="s">
        <v>466</v>
      </c>
      <c r="EM2374" s="1" t="s">
        <v>319</v>
      </c>
      <c r="EN2374" s="1" t="s">
        <v>282</v>
      </c>
      <c r="EO2374" s="1" t="s">
        <v>234</v>
      </c>
      <c r="EP2374" s="1" t="s">
        <v>650</v>
      </c>
      <c r="ER2374" s="1" t="s">
        <v>544</v>
      </c>
      <c r="ET2374" s="1" t="s">
        <v>842</v>
      </c>
      <c r="EU2374" s="1" t="s">
        <v>20703</v>
      </c>
      <c r="EV2374" s="1" t="s">
        <v>324</v>
      </c>
      <c r="EW2374" s="1" t="s">
        <v>1250</v>
      </c>
      <c r="EZ2374" s="1" t="s">
        <v>1770</v>
      </c>
      <c r="FD2374" s="1" t="s">
        <v>246</v>
      </c>
      <c r="FE2374" s="1" t="s">
        <v>347</v>
      </c>
      <c r="FF2374" s="1" t="s">
        <v>248</v>
      </c>
      <c r="FH2374" s="1" t="s">
        <v>1428</v>
      </c>
      <c r="FL2374" s="1" t="s">
        <v>358</v>
      </c>
      <c r="FM2374" s="1" t="s">
        <v>252</v>
      </c>
      <c r="FN2374" s="1" t="s">
        <v>213</v>
      </c>
      <c r="FO2374" s="1" t="s">
        <v>213</v>
      </c>
      <c r="FQ2374" s="1" t="s">
        <v>793</v>
      </c>
      <c r="FR2374" s="1" t="s">
        <v>210</v>
      </c>
      <c r="FS2374" s="1" t="s">
        <v>16227</v>
      </c>
      <c r="FT2374" s="1" t="s">
        <v>362</v>
      </c>
      <c r="FU2374" s="1" t="s">
        <v>204</v>
      </c>
      <c r="FW2374" s="1" t="s">
        <v>7036</v>
      </c>
      <c r="FX2374" s="1">
        <v>20119</v>
      </c>
      <c r="FY2374" s="1" t="s">
        <v>14004</v>
      </c>
      <c r="FZ2374" s="1" t="s">
        <v>20704</v>
      </c>
      <c r="GA2374" s="1">
        <v>211891</v>
      </c>
      <c r="GB2374" s="1" t="s">
        <v>20705</v>
      </c>
      <c r="GE2374" s="1" t="s">
        <v>210</v>
      </c>
      <c r="GH2374" s="1" t="s">
        <v>800</v>
      </c>
      <c r="GI2374" s="1" t="s">
        <v>213</v>
      </c>
      <c r="GJ2374" s="1" t="s">
        <v>260</v>
      </c>
      <c r="GK2374" s="1" t="s">
        <v>210</v>
      </c>
      <c r="GL2374" s="2">
        <v>42145</v>
      </c>
      <c r="GM2374" s="1" t="s">
        <v>20706</v>
      </c>
    </row>
    <row r="2375" spans="1:195">
      <c r="A2375" s="1">
        <v>252500</v>
      </c>
      <c r="B2375" s="1" t="s">
        <v>195</v>
      </c>
      <c r="C2375" s="1" t="str">
        <f>"08824299"</f>
        <v>08824299</v>
      </c>
      <c r="D2375" s="1" t="s">
        <v>196</v>
      </c>
      <c r="F2375" s="1" t="str">
        <f>"540"</f>
        <v>540</v>
      </c>
      <c r="G2375" s="2">
        <v>42030</v>
      </c>
      <c r="H2375" s="1">
        <v>270000</v>
      </c>
      <c r="I2375" s="1">
        <v>270000</v>
      </c>
      <c r="J2375" s="1">
        <v>252500</v>
      </c>
      <c r="K2375" s="2">
        <v>42030</v>
      </c>
      <c r="L2375" s="1">
        <v>41</v>
      </c>
      <c r="M2375" s="2">
        <v>42042</v>
      </c>
      <c r="N2375" s="1">
        <v>13</v>
      </c>
      <c r="O2375" s="2">
        <v>42042</v>
      </c>
      <c r="P2375" s="1">
        <v>60219</v>
      </c>
      <c r="Q2375" s="1" t="s">
        <v>197</v>
      </c>
      <c r="R2375" s="2">
        <v>42082</v>
      </c>
      <c r="S2375" s="1">
        <v>228210</v>
      </c>
      <c r="U2375" s="1">
        <v>3031</v>
      </c>
      <c r="V2375" s="1" t="s">
        <v>13791</v>
      </c>
      <c r="W2375" s="1" t="s">
        <v>504</v>
      </c>
      <c r="Y2375" s="1">
        <v>4</v>
      </c>
      <c r="Z2375" s="1" t="s">
        <v>370</v>
      </c>
      <c r="AA2375" s="1" t="s">
        <v>921</v>
      </c>
      <c r="AB2375" s="1">
        <v>60564</v>
      </c>
      <c r="AD2375" s="1" t="s">
        <v>12147</v>
      </c>
      <c r="AE2375" s="1" t="s">
        <v>20707</v>
      </c>
      <c r="AF2375" s="1">
        <v>2005</v>
      </c>
      <c r="AG2375" s="1" t="s">
        <v>204</v>
      </c>
      <c r="AH2375" s="1" t="s">
        <v>924</v>
      </c>
      <c r="AI2375" s="1" t="s">
        <v>1800</v>
      </c>
      <c r="AJ2375" s="1" t="s">
        <v>1801</v>
      </c>
      <c r="AL2375" s="1">
        <v>7</v>
      </c>
      <c r="AM2375" s="1">
        <v>2</v>
      </c>
      <c r="AN2375" s="1">
        <v>2</v>
      </c>
      <c r="AO2375" s="1">
        <v>1</v>
      </c>
      <c r="AP2375" s="1" t="s">
        <v>209</v>
      </c>
      <c r="AQ2375" s="1">
        <v>1</v>
      </c>
      <c r="AR2375" s="1" t="s">
        <v>209</v>
      </c>
      <c r="AS2375" s="1" t="s">
        <v>204</v>
      </c>
      <c r="AT2375" s="1" t="s">
        <v>211</v>
      </c>
      <c r="AU2375" s="1">
        <v>2</v>
      </c>
      <c r="AW2375" s="1" t="s">
        <v>204</v>
      </c>
      <c r="AX2375" s="1" t="s">
        <v>212</v>
      </c>
      <c r="AZ2375" s="1">
        <v>5213.58</v>
      </c>
      <c r="BA2375" s="1">
        <v>2013</v>
      </c>
      <c r="BB2375" s="1" t="s">
        <v>405</v>
      </c>
      <c r="BE2375" s="1">
        <v>1954</v>
      </c>
      <c r="BF2375" s="1">
        <v>1</v>
      </c>
      <c r="BG2375" s="1">
        <v>30</v>
      </c>
      <c r="BL2375" s="1">
        <v>192</v>
      </c>
      <c r="BM2375" s="1" t="s">
        <v>204</v>
      </c>
      <c r="BN2375" s="1" t="s">
        <v>213</v>
      </c>
      <c r="BO2375" s="1">
        <v>999</v>
      </c>
      <c r="BP2375" s="1" t="s">
        <v>204</v>
      </c>
      <c r="BR2375" s="1" t="str">
        <f>"01094031000000"</f>
        <v>01094031000000</v>
      </c>
      <c r="BT2375" s="1" t="s">
        <v>20708</v>
      </c>
      <c r="BU2375" s="1" t="s">
        <v>7599</v>
      </c>
      <c r="BV2375" s="1" t="s">
        <v>2217</v>
      </c>
      <c r="BW2375" s="1" t="s">
        <v>1312</v>
      </c>
      <c r="BX2375" s="1">
        <v>204</v>
      </c>
      <c r="BY2375" s="1">
        <v>204</v>
      </c>
      <c r="BZ2375" s="1">
        <v>204</v>
      </c>
      <c r="CB2375" s="1" t="str">
        <f t="shared" ref="CB2375:CC2375" si="1822">"0"</f>
        <v>0</v>
      </c>
      <c r="CC2375" s="1" t="str">
        <f t="shared" si="1822"/>
        <v>0</v>
      </c>
      <c r="CD2375" s="1">
        <v>30</v>
      </c>
      <c r="CE2375" s="1">
        <v>10</v>
      </c>
      <c r="CG2375" s="1" t="s">
        <v>862</v>
      </c>
      <c r="CH2375" s="1" t="s">
        <v>219</v>
      </c>
      <c r="CI2375" s="1" t="s">
        <v>438</v>
      </c>
      <c r="CJ2375" s="1" t="s">
        <v>343</v>
      </c>
      <c r="CK2375" s="1" t="s">
        <v>437</v>
      </c>
      <c r="CL2375" s="1" t="s">
        <v>219</v>
      </c>
      <c r="CM2375" s="1" t="s">
        <v>220</v>
      </c>
      <c r="CN2375" s="1" t="s">
        <v>439</v>
      </c>
      <c r="CO2375" s="1" t="s">
        <v>1358</v>
      </c>
      <c r="CP2375" s="1" t="s">
        <v>219</v>
      </c>
      <c r="CQ2375" s="1" t="s">
        <v>438</v>
      </c>
      <c r="CR2375" s="1" t="s">
        <v>439</v>
      </c>
      <c r="CS2375" s="1" t="s">
        <v>317</v>
      </c>
      <c r="CT2375" s="1" t="s">
        <v>822</v>
      </c>
      <c r="CU2375" s="1" t="s">
        <v>220</v>
      </c>
      <c r="CV2375" s="1" t="s">
        <v>439</v>
      </c>
      <c r="CX2375" s="1" t="s">
        <v>224</v>
      </c>
      <c r="DB2375" s="1" t="s">
        <v>224</v>
      </c>
      <c r="DE2375" s="1" t="s">
        <v>223</v>
      </c>
      <c r="DF2375" s="1" t="s">
        <v>219</v>
      </c>
      <c r="DG2375" s="1" t="s">
        <v>438</v>
      </c>
      <c r="DH2375" s="1" t="s">
        <v>210</v>
      </c>
      <c r="DI2375" s="1" t="s">
        <v>1267</v>
      </c>
      <c r="DJ2375" s="1" t="s">
        <v>822</v>
      </c>
      <c r="DK2375" s="1" t="s">
        <v>220</v>
      </c>
      <c r="DL2375" s="1" t="s">
        <v>439</v>
      </c>
      <c r="DM2375" s="1" t="s">
        <v>1005</v>
      </c>
      <c r="DR2375" s="1" t="s">
        <v>1297</v>
      </c>
      <c r="DS2375" s="1" t="s">
        <v>219</v>
      </c>
      <c r="DT2375" s="1" t="s">
        <v>220</v>
      </c>
      <c r="DU2375" s="1" t="s">
        <v>343</v>
      </c>
      <c r="DW2375" s="1" t="s">
        <v>230</v>
      </c>
      <c r="EA2375" s="1" t="s">
        <v>230</v>
      </c>
      <c r="EE2375" s="1" t="s">
        <v>230</v>
      </c>
      <c r="EI2375" s="1" t="s">
        <v>230</v>
      </c>
      <c r="EL2375" s="1" t="s">
        <v>491</v>
      </c>
      <c r="EM2375" s="1" t="s">
        <v>232</v>
      </c>
      <c r="EN2375" s="1" t="s">
        <v>282</v>
      </c>
      <c r="EO2375" s="1" t="s">
        <v>840</v>
      </c>
      <c r="EP2375" s="1" t="s">
        <v>20709</v>
      </c>
      <c r="EQ2375" s="1" t="s">
        <v>2188</v>
      </c>
      <c r="ER2375" s="1" t="s">
        <v>20710</v>
      </c>
      <c r="ES2375" s="1" t="s">
        <v>608</v>
      </c>
      <c r="ET2375" s="1" t="s">
        <v>866</v>
      </c>
      <c r="EU2375" s="1" t="s">
        <v>712</v>
      </c>
      <c r="EV2375" s="1" t="s">
        <v>240</v>
      </c>
      <c r="EW2375" s="1" t="s">
        <v>20711</v>
      </c>
      <c r="EY2375" s="1" t="s">
        <v>242</v>
      </c>
      <c r="EZ2375" s="1" t="s">
        <v>1005</v>
      </c>
      <c r="FA2375" s="1" t="s">
        <v>6175</v>
      </c>
      <c r="FB2375" s="1" t="s">
        <v>289</v>
      </c>
      <c r="FC2375" s="1" t="s">
        <v>633</v>
      </c>
      <c r="FD2375" s="1" t="s">
        <v>246</v>
      </c>
      <c r="FE2375" s="1" t="s">
        <v>975</v>
      </c>
      <c r="FF2375" s="1" t="s">
        <v>248</v>
      </c>
      <c r="FG2375" s="1" t="s">
        <v>16456</v>
      </c>
      <c r="FH2375" s="1" t="s">
        <v>550</v>
      </c>
      <c r="FI2375" s="1" t="s">
        <v>473</v>
      </c>
      <c r="FJ2375" s="1" t="s">
        <v>518</v>
      </c>
      <c r="FL2375" s="1" t="s">
        <v>358</v>
      </c>
      <c r="FM2375" s="1" t="s">
        <v>252</v>
      </c>
      <c r="FN2375" s="1" t="s">
        <v>213</v>
      </c>
      <c r="FO2375" s="1" t="s">
        <v>213</v>
      </c>
      <c r="FQ2375" s="1" t="s">
        <v>329</v>
      </c>
      <c r="FR2375" s="1" t="s">
        <v>652</v>
      </c>
      <c r="FS2375" s="1" t="s">
        <v>20712</v>
      </c>
      <c r="FT2375" s="1" t="s">
        <v>255</v>
      </c>
      <c r="FU2375" s="1" t="s">
        <v>204</v>
      </c>
      <c r="FW2375" s="1" t="s">
        <v>585</v>
      </c>
      <c r="FX2375" s="1">
        <v>23156</v>
      </c>
      <c r="FY2375" s="1" t="s">
        <v>1253</v>
      </c>
      <c r="FZ2375" s="1" t="s">
        <v>20713</v>
      </c>
      <c r="GA2375" s="1">
        <v>234005</v>
      </c>
      <c r="GB2375" s="1" t="s">
        <v>20714</v>
      </c>
      <c r="GC2375" s="1">
        <v>237675</v>
      </c>
      <c r="GD2375" s="1" t="s">
        <v>20715</v>
      </c>
      <c r="GE2375" s="1" t="s">
        <v>335</v>
      </c>
      <c r="GI2375" s="1" t="s">
        <v>213</v>
      </c>
      <c r="GJ2375" s="1" t="s">
        <v>260</v>
      </c>
      <c r="GK2375" s="1" t="s">
        <v>210</v>
      </c>
      <c r="GL2375" s="2">
        <v>42082</v>
      </c>
      <c r="GM2375" s="1" t="s">
        <v>20716</v>
      </c>
    </row>
    <row r="2376" spans="1:195">
      <c r="A2376" s="1">
        <v>205000</v>
      </c>
      <c r="B2376" s="1" t="s">
        <v>195</v>
      </c>
      <c r="C2376" s="1" t="str">
        <f>"08826950"</f>
        <v>08826950</v>
      </c>
      <c r="D2376" s="1" t="s">
        <v>196</v>
      </c>
      <c r="F2376" s="1" t="str">
        <f>"187"</f>
        <v>187</v>
      </c>
      <c r="G2376" s="2">
        <v>42033</v>
      </c>
      <c r="H2376" s="1">
        <v>219900</v>
      </c>
      <c r="I2376" s="1">
        <v>219900</v>
      </c>
      <c r="J2376" s="1">
        <v>205000</v>
      </c>
      <c r="K2376" s="2">
        <v>42033</v>
      </c>
      <c r="L2376" s="1">
        <v>12</v>
      </c>
      <c r="M2376" s="2">
        <v>42044</v>
      </c>
      <c r="N2376" s="1">
        <v>12</v>
      </c>
      <c r="O2376" s="2">
        <v>42044</v>
      </c>
      <c r="P2376" s="1">
        <v>25279</v>
      </c>
      <c r="Q2376" s="1" t="s">
        <v>197</v>
      </c>
      <c r="R2376" s="2">
        <v>42089</v>
      </c>
      <c r="S2376" s="1">
        <v>259500</v>
      </c>
      <c r="U2376" s="1">
        <v>1811</v>
      </c>
      <c r="V2376" s="1" t="s">
        <v>20717</v>
      </c>
      <c r="W2376" s="1" t="s">
        <v>504</v>
      </c>
      <c r="Y2376" s="1">
        <v>4</v>
      </c>
      <c r="Z2376" s="1" t="s">
        <v>200</v>
      </c>
      <c r="AA2376" s="1" t="s">
        <v>964</v>
      </c>
      <c r="AB2376" s="1">
        <v>60189</v>
      </c>
      <c r="AD2376" s="1" t="s">
        <v>1354</v>
      </c>
      <c r="AE2376" s="1" t="s">
        <v>20718</v>
      </c>
      <c r="AF2376" s="1">
        <v>1985</v>
      </c>
      <c r="AG2376" s="1" t="s">
        <v>204</v>
      </c>
      <c r="AH2376" s="1" t="s">
        <v>967</v>
      </c>
      <c r="AI2376" s="1" t="s">
        <v>206</v>
      </c>
      <c r="AJ2376" s="1" t="s">
        <v>207</v>
      </c>
      <c r="AK2376" s="1" t="s">
        <v>20719</v>
      </c>
      <c r="AL2376" s="1">
        <v>6</v>
      </c>
      <c r="AM2376" s="1">
        <v>2</v>
      </c>
      <c r="AN2376" s="1">
        <v>2</v>
      </c>
      <c r="AO2376" s="1">
        <v>1</v>
      </c>
      <c r="AP2376" s="1" t="s">
        <v>209</v>
      </c>
      <c r="AQ2376" s="1">
        <v>1</v>
      </c>
      <c r="AR2376" s="1" t="s">
        <v>210</v>
      </c>
      <c r="AS2376" s="1" t="s">
        <v>204</v>
      </c>
      <c r="AT2376" s="1" t="s">
        <v>211</v>
      </c>
      <c r="AU2376" s="1">
        <v>2</v>
      </c>
      <c r="AW2376" s="1" t="s">
        <v>204</v>
      </c>
      <c r="AX2376" s="1" t="s">
        <v>212</v>
      </c>
      <c r="AZ2376" s="1">
        <v>3839</v>
      </c>
      <c r="BA2376" s="1">
        <v>2013</v>
      </c>
      <c r="BB2376" s="1" t="s">
        <v>210</v>
      </c>
      <c r="BE2376" s="1">
        <v>1460</v>
      </c>
      <c r="BF2376" s="1">
        <v>1</v>
      </c>
      <c r="BG2376" s="1">
        <v>30</v>
      </c>
      <c r="BL2376" s="1">
        <v>340</v>
      </c>
      <c r="BM2376" s="1" t="s">
        <v>204</v>
      </c>
      <c r="BN2376" s="1" t="s">
        <v>213</v>
      </c>
      <c r="BO2376" s="1">
        <v>50</v>
      </c>
      <c r="BP2376" s="1" t="s">
        <v>204</v>
      </c>
      <c r="BR2376" s="1" t="str">
        <f>"0519211073"</f>
        <v>0519211073</v>
      </c>
      <c r="BT2376" s="1" t="s">
        <v>20720</v>
      </c>
      <c r="BU2376" s="1" t="s">
        <v>1327</v>
      </c>
      <c r="BV2376" s="1" t="s">
        <v>970</v>
      </c>
      <c r="BW2376" s="1" t="s">
        <v>971</v>
      </c>
      <c r="BX2376" s="1">
        <v>200</v>
      </c>
      <c r="BY2376" s="1">
        <v>200</v>
      </c>
      <c r="BZ2376" s="1">
        <v>200</v>
      </c>
      <c r="CB2376" s="1" t="str">
        <f t="shared" ref="CB2376:CC2376" si="1823">"0"</f>
        <v>0</v>
      </c>
      <c r="CC2376" s="1" t="str">
        <f t="shared" si="1823"/>
        <v>0</v>
      </c>
      <c r="CD2376" s="1">
        <v>26</v>
      </c>
      <c r="CE2376" s="1">
        <v>1</v>
      </c>
      <c r="CG2376" s="1" t="s">
        <v>885</v>
      </c>
      <c r="CH2376" s="1" t="s">
        <v>219</v>
      </c>
      <c r="CI2376" s="1" t="s">
        <v>438</v>
      </c>
      <c r="CK2376" s="1" t="s">
        <v>581</v>
      </c>
      <c r="CL2376" s="1" t="s">
        <v>277</v>
      </c>
      <c r="CM2376" s="1" t="s">
        <v>220</v>
      </c>
      <c r="CO2376" s="1" t="s">
        <v>346</v>
      </c>
      <c r="CP2376" s="1" t="s">
        <v>219</v>
      </c>
      <c r="CQ2376" s="1" t="s">
        <v>220</v>
      </c>
      <c r="CS2376" s="1" t="s">
        <v>379</v>
      </c>
      <c r="CT2376" s="1" t="s">
        <v>277</v>
      </c>
      <c r="CU2376" s="1" t="s">
        <v>220</v>
      </c>
      <c r="CV2376" s="1" t="s">
        <v>210</v>
      </c>
      <c r="CX2376" s="1" t="s">
        <v>224</v>
      </c>
      <c r="DB2376" s="1" t="s">
        <v>224</v>
      </c>
      <c r="DE2376" s="1" t="s">
        <v>318</v>
      </c>
      <c r="DF2376" s="1" t="s">
        <v>219</v>
      </c>
      <c r="DG2376" s="1" t="s">
        <v>438</v>
      </c>
      <c r="DH2376" s="1" t="s">
        <v>210</v>
      </c>
      <c r="DJ2376" s="1" t="s">
        <v>224</v>
      </c>
      <c r="DM2376" s="1" t="s">
        <v>464</v>
      </c>
      <c r="DR2376" s="1" t="s">
        <v>344</v>
      </c>
      <c r="DS2376" s="1" t="s">
        <v>277</v>
      </c>
      <c r="DW2376" s="1" t="s">
        <v>230</v>
      </c>
      <c r="EA2376" s="1" t="s">
        <v>230</v>
      </c>
      <c r="EE2376" s="1" t="s">
        <v>230</v>
      </c>
      <c r="EI2376" s="1" t="s">
        <v>230</v>
      </c>
      <c r="EL2376" s="1" t="s">
        <v>542</v>
      </c>
      <c r="EM2376" s="1" t="s">
        <v>232</v>
      </c>
      <c r="EN2376" s="1" t="s">
        <v>282</v>
      </c>
      <c r="EO2376" s="1" t="s">
        <v>234</v>
      </c>
      <c r="EP2376" s="1" t="s">
        <v>1489</v>
      </c>
      <c r="EQ2376" s="1" t="s">
        <v>1094</v>
      </c>
      <c r="ER2376" s="1" t="s">
        <v>210</v>
      </c>
      <c r="ES2376" s="1" t="s">
        <v>545</v>
      </c>
      <c r="EU2376" s="1" t="s">
        <v>712</v>
      </c>
      <c r="EV2376" s="1" t="s">
        <v>240</v>
      </c>
      <c r="EW2376" s="1" t="s">
        <v>2778</v>
      </c>
      <c r="EY2376" s="1" t="s">
        <v>242</v>
      </c>
      <c r="EZ2376" s="1" t="s">
        <v>464</v>
      </c>
      <c r="FB2376" s="1" t="s">
        <v>734</v>
      </c>
      <c r="FD2376" s="1" t="s">
        <v>246</v>
      </c>
      <c r="FE2376" s="1" t="s">
        <v>549</v>
      </c>
      <c r="FF2376" s="1" t="s">
        <v>248</v>
      </c>
      <c r="FH2376" s="1" t="s">
        <v>550</v>
      </c>
      <c r="FL2376" s="1" t="s">
        <v>358</v>
      </c>
      <c r="FM2376" s="1" t="s">
        <v>252</v>
      </c>
      <c r="FN2376" s="1" t="s">
        <v>213</v>
      </c>
      <c r="FO2376" s="1" t="s">
        <v>213</v>
      </c>
      <c r="FQ2376" s="1" t="s">
        <v>582</v>
      </c>
      <c r="FR2376" s="1" t="s">
        <v>210</v>
      </c>
      <c r="FS2376" s="1" t="s">
        <v>5633</v>
      </c>
      <c r="FT2376" s="1" t="s">
        <v>295</v>
      </c>
      <c r="FU2376" s="1" t="s">
        <v>204</v>
      </c>
      <c r="FW2376" s="1" t="s">
        <v>1050</v>
      </c>
      <c r="FX2376" s="1">
        <v>23025</v>
      </c>
      <c r="FY2376" s="1" t="s">
        <v>1051</v>
      </c>
      <c r="FZ2376" s="1" t="s">
        <v>1052</v>
      </c>
      <c r="GA2376" s="1">
        <v>233762</v>
      </c>
      <c r="GB2376" s="1" t="s">
        <v>1053</v>
      </c>
      <c r="GE2376" s="1" t="s">
        <v>210</v>
      </c>
      <c r="GI2376" s="1" t="s">
        <v>213</v>
      </c>
      <c r="GJ2376" s="1" t="s">
        <v>260</v>
      </c>
      <c r="GK2376" s="1" t="s">
        <v>210</v>
      </c>
      <c r="GL2376" s="2">
        <v>42090</v>
      </c>
      <c r="GM2376" s="1" t="s">
        <v>20721</v>
      </c>
    </row>
    <row r="2377" spans="1:195">
      <c r="A2377" s="1">
        <v>225000</v>
      </c>
      <c r="B2377" s="1" t="s">
        <v>195</v>
      </c>
      <c r="C2377" s="1" t="str">
        <f>"08832479"</f>
        <v>08832479</v>
      </c>
      <c r="D2377" s="1" t="s">
        <v>196</v>
      </c>
      <c r="F2377" s="1" t="str">
        <f>"30"</f>
        <v>30</v>
      </c>
      <c r="G2377" s="2">
        <v>42041</v>
      </c>
      <c r="H2377" s="1">
        <v>239000</v>
      </c>
      <c r="I2377" s="1">
        <v>239000</v>
      </c>
      <c r="J2377" s="1">
        <v>225000</v>
      </c>
      <c r="K2377" s="2">
        <v>42041</v>
      </c>
      <c r="L2377" s="1">
        <v>14</v>
      </c>
      <c r="M2377" s="2">
        <v>42054</v>
      </c>
      <c r="N2377" s="1">
        <v>14</v>
      </c>
      <c r="O2377" s="2">
        <v>42054</v>
      </c>
      <c r="P2377" s="1">
        <v>25752</v>
      </c>
      <c r="Q2377" s="1" t="s">
        <v>197</v>
      </c>
      <c r="R2377" s="2">
        <v>42124</v>
      </c>
      <c r="S2377" s="1">
        <v>922577</v>
      </c>
      <c r="U2377" s="1">
        <v>2104</v>
      </c>
      <c r="V2377" s="1" t="s">
        <v>20722</v>
      </c>
      <c r="W2377" s="1" t="s">
        <v>264</v>
      </c>
      <c r="X2377" s="1">
        <v>2104</v>
      </c>
      <c r="Y2377" s="1">
        <v>6</v>
      </c>
      <c r="Z2377" s="1" t="s">
        <v>370</v>
      </c>
      <c r="AA2377" s="1" t="s">
        <v>1834</v>
      </c>
      <c r="AB2377" s="1">
        <v>60030</v>
      </c>
      <c r="AD2377" s="1" t="s">
        <v>10419</v>
      </c>
      <c r="AE2377" s="1" t="s">
        <v>20723</v>
      </c>
      <c r="AF2377" s="1">
        <v>2002</v>
      </c>
      <c r="AG2377" s="1" t="s">
        <v>204</v>
      </c>
      <c r="AH2377" s="1" t="s">
        <v>1837</v>
      </c>
      <c r="AI2377" s="1" t="s">
        <v>509</v>
      </c>
      <c r="AJ2377" s="1" t="s">
        <v>1263</v>
      </c>
      <c r="AK2377" s="1" t="s">
        <v>4551</v>
      </c>
      <c r="AL2377" s="1">
        <v>7</v>
      </c>
      <c r="AM2377" s="1">
        <v>2</v>
      </c>
      <c r="AN2377" s="1">
        <v>2</v>
      </c>
      <c r="AO2377" s="1">
        <v>0</v>
      </c>
      <c r="AP2377" s="1" t="s">
        <v>209</v>
      </c>
      <c r="AQ2377" s="1">
        <v>1</v>
      </c>
      <c r="AR2377" s="1" t="s">
        <v>209</v>
      </c>
      <c r="AS2377" s="1" t="s">
        <v>204</v>
      </c>
      <c r="AT2377" s="1" t="s">
        <v>211</v>
      </c>
      <c r="AU2377" s="1">
        <v>2</v>
      </c>
      <c r="AW2377" s="1" t="s">
        <v>204</v>
      </c>
      <c r="AX2377" s="1">
        <v>3392</v>
      </c>
      <c r="AZ2377" s="1">
        <v>7554.03</v>
      </c>
      <c r="BA2377" s="1">
        <v>2013</v>
      </c>
      <c r="BB2377" s="1" t="s">
        <v>2694</v>
      </c>
      <c r="BE2377" s="1">
        <v>1694</v>
      </c>
      <c r="BF2377" s="1">
        <v>1</v>
      </c>
      <c r="BG2377" s="1">
        <v>0</v>
      </c>
      <c r="BL2377" s="1">
        <v>289</v>
      </c>
      <c r="BM2377" s="1" t="s">
        <v>204</v>
      </c>
      <c r="BN2377" s="1" t="s">
        <v>213</v>
      </c>
      <c r="BO2377" s="1">
        <v>0</v>
      </c>
      <c r="BP2377" s="1" t="s">
        <v>204</v>
      </c>
      <c r="BR2377" s="1" t="str">
        <f>"06143080670000"</f>
        <v>06143080670000</v>
      </c>
      <c r="BT2377" s="1" t="s">
        <v>20724</v>
      </c>
      <c r="BX2377" s="1">
        <v>46</v>
      </c>
      <c r="BY2377" s="1">
        <v>46</v>
      </c>
      <c r="BZ2377" s="1">
        <v>127</v>
      </c>
      <c r="CB2377" s="1" t="str">
        <f t="shared" ref="CB2377:CC2377" si="1824">""</f>
        <v/>
      </c>
      <c r="CC2377" s="1" t="str">
        <f t="shared" si="1824"/>
        <v/>
      </c>
      <c r="CG2377" s="1" t="s">
        <v>1723</v>
      </c>
      <c r="CH2377" s="1" t="s">
        <v>219</v>
      </c>
      <c r="CI2377" s="1" t="s">
        <v>220</v>
      </c>
      <c r="CJ2377" s="1" t="s">
        <v>1199</v>
      </c>
      <c r="CK2377" s="1" t="s">
        <v>276</v>
      </c>
      <c r="CL2377" s="1" t="s">
        <v>219</v>
      </c>
      <c r="CM2377" s="1" t="s">
        <v>220</v>
      </c>
      <c r="CN2377" s="1" t="s">
        <v>1199</v>
      </c>
      <c r="CO2377" s="1" t="s">
        <v>1358</v>
      </c>
      <c r="CP2377" s="1" t="s">
        <v>219</v>
      </c>
      <c r="CQ2377" s="1" t="s">
        <v>220</v>
      </c>
      <c r="CR2377" s="1" t="s">
        <v>1199</v>
      </c>
      <c r="CS2377" s="1" t="s">
        <v>1046</v>
      </c>
      <c r="CT2377" s="1" t="s">
        <v>219</v>
      </c>
      <c r="CU2377" s="1" t="s">
        <v>220</v>
      </c>
      <c r="CV2377" s="1" t="s">
        <v>1199</v>
      </c>
      <c r="CX2377" s="1" t="s">
        <v>224</v>
      </c>
      <c r="DB2377" s="1" t="s">
        <v>224</v>
      </c>
      <c r="DE2377" s="1" t="s">
        <v>461</v>
      </c>
      <c r="DF2377" s="1" t="s">
        <v>219</v>
      </c>
      <c r="DG2377" s="1" t="s">
        <v>347</v>
      </c>
      <c r="DH2377" s="1" t="s">
        <v>1199</v>
      </c>
      <c r="DI2377" s="1" t="s">
        <v>1045</v>
      </c>
      <c r="DJ2377" s="1" t="s">
        <v>219</v>
      </c>
      <c r="DK2377" s="1" t="s">
        <v>220</v>
      </c>
      <c r="DL2377" s="1" t="s">
        <v>1199</v>
      </c>
      <c r="DM2377" s="1" t="s">
        <v>381</v>
      </c>
      <c r="DR2377" s="1" t="s">
        <v>222</v>
      </c>
      <c r="DS2377" s="1" t="s">
        <v>219</v>
      </c>
      <c r="DT2377" s="1" t="s">
        <v>347</v>
      </c>
      <c r="DU2377" s="1" t="s">
        <v>1199</v>
      </c>
      <c r="DW2377" s="1" t="s">
        <v>230</v>
      </c>
      <c r="EA2377" s="1" t="s">
        <v>230</v>
      </c>
      <c r="EE2377" s="1" t="s">
        <v>230</v>
      </c>
      <c r="EI2377" s="1" t="s">
        <v>230</v>
      </c>
      <c r="EL2377" s="1" t="s">
        <v>466</v>
      </c>
      <c r="EM2377" s="1" t="s">
        <v>232</v>
      </c>
      <c r="EN2377" s="1" t="s">
        <v>282</v>
      </c>
      <c r="EO2377" s="1" t="s">
        <v>234</v>
      </c>
      <c r="EP2377" s="1" t="s">
        <v>20725</v>
      </c>
      <c r="EQ2377" s="1" t="s">
        <v>236</v>
      </c>
      <c r="ER2377" s="1" t="s">
        <v>2453</v>
      </c>
      <c r="ES2377" s="1" t="s">
        <v>865</v>
      </c>
      <c r="ET2377" s="1" t="s">
        <v>323</v>
      </c>
      <c r="EU2377" s="1" t="s">
        <v>712</v>
      </c>
      <c r="EV2377" s="1" t="s">
        <v>240</v>
      </c>
      <c r="EW2377" s="1" t="s">
        <v>5021</v>
      </c>
      <c r="EY2377" s="1" t="s">
        <v>242</v>
      </c>
      <c r="EZ2377" s="1" t="s">
        <v>381</v>
      </c>
      <c r="FA2377" s="1" t="s">
        <v>20726</v>
      </c>
      <c r="FB2377" s="1" t="s">
        <v>289</v>
      </c>
      <c r="FD2377" s="1" t="s">
        <v>246</v>
      </c>
      <c r="FE2377" s="1" t="s">
        <v>355</v>
      </c>
      <c r="FF2377" s="1" t="s">
        <v>387</v>
      </c>
      <c r="FG2377" s="1" t="s">
        <v>871</v>
      </c>
      <c r="FH2377" s="1" t="s">
        <v>825</v>
      </c>
      <c r="FI2377" s="1" t="s">
        <v>473</v>
      </c>
      <c r="FJ2377" s="1" t="s">
        <v>197</v>
      </c>
      <c r="FL2377" s="1" t="s">
        <v>358</v>
      </c>
      <c r="FM2377" s="1" t="s">
        <v>252</v>
      </c>
      <c r="FN2377" s="1" t="s">
        <v>213</v>
      </c>
      <c r="FO2377" s="1" t="s">
        <v>213</v>
      </c>
      <c r="FQ2377" s="1" t="s">
        <v>2004</v>
      </c>
      <c r="FR2377" s="1" t="s">
        <v>210</v>
      </c>
      <c r="FS2377" s="1" t="s">
        <v>20727</v>
      </c>
      <c r="FT2377" s="1" t="s">
        <v>362</v>
      </c>
      <c r="FU2377" s="1" t="s">
        <v>204</v>
      </c>
      <c r="FW2377" s="1" t="s">
        <v>10171</v>
      </c>
      <c r="FX2377" s="1">
        <v>13691</v>
      </c>
      <c r="FY2377" s="1" t="s">
        <v>10172</v>
      </c>
      <c r="FZ2377" s="1" t="s">
        <v>20728</v>
      </c>
      <c r="GA2377" s="1">
        <v>187716</v>
      </c>
      <c r="GC2377" s="1">
        <v>110938</v>
      </c>
      <c r="GE2377" s="1" t="s">
        <v>623</v>
      </c>
      <c r="GI2377" s="1" t="s">
        <v>213</v>
      </c>
      <c r="GJ2377" s="1" t="s">
        <v>260</v>
      </c>
      <c r="GK2377" s="1" t="s">
        <v>210</v>
      </c>
      <c r="GL2377" s="2">
        <v>42125</v>
      </c>
      <c r="GM2377" s="1" t="s">
        <v>20729</v>
      </c>
    </row>
    <row r="2378" spans="1:195">
      <c r="A2378" s="1">
        <v>123000</v>
      </c>
      <c r="B2378" s="1" t="s">
        <v>195</v>
      </c>
      <c r="C2378" s="1" t="str">
        <f>"08823130"</f>
        <v>08823130</v>
      </c>
      <c r="D2378" s="1" t="s">
        <v>196</v>
      </c>
      <c r="F2378" s="1" t="str">
        <f>"507"</f>
        <v>507</v>
      </c>
      <c r="G2378" s="2">
        <v>42027</v>
      </c>
      <c r="H2378" s="1">
        <v>124900</v>
      </c>
      <c r="I2378" s="1">
        <v>124900</v>
      </c>
      <c r="J2378" s="1">
        <v>123000</v>
      </c>
      <c r="K2378" s="2">
        <v>42027</v>
      </c>
      <c r="L2378" s="1">
        <v>3</v>
      </c>
      <c r="M2378" s="2">
        <v>42029</v>
      </c>
      <c r="N2378" s="1">
        <v>3</v>
      </c>
      <c r="O2378" s="2">
        <v>42029</v>
      </c>
      <c r="P2378" s="1">
        <v>23265</v>
      </c>
      <c r="Q2378" s="1" t="s">
        <v>197</v>
      </c>
      <c r="R2378" s="2">
        <v>42062</v>
      </c>
      <c r="S2378" s="1">
        <v>220990</v>
      </c>
      <c r="T2378" s="1">
        <v>3000</v>
      </c>
      <c r="U2378" s="1">
        <v>1665</v>
      </c>
      <c r="V2378" s="1" t="s">
        <v>20730</v>
      </c>
      <c r="W2378" s="1" t="s">
        <v>504</v>
      </c>
      <c r="Y2378" s="1">
        <v>6</v>
      </c>
      <c r="Z2378" s="1" t="s">
        <v>249</v>
      </c>
      <c r="AA2378" s="1" t="s">
        <v>1123</v>
      </c>
      <c r="AB2378" s="1">
        <v>60503</v>
      </c>
      <c r="AD2378" s="1" t="s">
        <v>11906</v>
      </c>
      <c r="AE2378" s="1" t="s">
        <v>20731</v>
      </c>
      <c r="AF2378" s="1">
        <v>2005</v>
      </c>
      <c r="AG2378" s="1" t="s">
        <v>204</v>
      </c>
      <c r="AH2378" s="1" t="s">
        <v>1126</v>
      </c>
      <c r="AI2378" s="1" t="s">
        <v>453</v>
      </c>
      <c r="AJ2378" s="1" t="s">
        <v>1397</v>
      </c>
      <c r="AL2378" s="1">
        <v>5</v>
      </c>
      <c r="AM2378" s="1">
        <v>2</v>
      </c>
      <c r="AN2378" s="1">
        <v>2</v>
      </c>
      <c r="AO2378" s="1">
        <v>0</v>
      </c>
      <c r="AP2378" s="1" t="s">
        <v>209</v>
      </c>
      <c r="AR2378" s="1" t="s">
        <v>210</v>
      </c>
      <c r="AS2378" s="1" t="s">
        <v>204</v>
      </c>
      <c r="AT2378" s="1" t="s">
        <v>211</v>
      </c>
      <c r="AU2378" s="1">
        <v>2</v>
      </c>
      <c r="AW2378" s="1" t="s">
        <v>204</v>
      </c>
      <c r="AX2378" s="1" t="s">
        <v>212</v>
      </c>
      <c r="AZ2378" s="1">
        <v>3740.26</v>
      </c>
      <c r="BA2378" s="1">
        <v>2012</v>
      </c>
      <c r="BB2378" s="1" t="s">
        <v>405</v>
      </c>
      <c r="BE2378" s="1">
        <v>1168</v>
      </c>
      <c r="BF2378" s="1">
        <v>1</v>
      </c>
      <c r="BG2378" s="1">
        <v>0</v>
      </c>
      <c r="BL2378" s="1">
        <v>110</v>
      </c>
      <c r="BM2378" s="1" t="s">
        <v>204</v>
      </c>
      <c r="BN2378" s="1" t="s">
        <v>213</v>
      </c>
      <c r="BO2378" s="1">
        <v>999</v>
      </c>
      <c r="BP2378" s="1" t="s">
        <v>204</v>
      </c>
      <c r="BR2378" s="1" t="str">
        <f>"0301328034"</f>
        <v>0301328034</v>
      </c>
      <c r="BT2378" s="1" t="s">
        <v>20732</v>
      </c>
      <c r="BU2378" s="1" t="s">
        <v>1400</v>
      </c>
      <c r="BV2378" s="1" t="s">
        <v>7954</v>
      </c>
      <c r="BW2378" s="1" t="s">
        <v>1401</v>
      </c>
      <c r="BX2378" s="1">
        <v>308</v>
      </c>
      <c r="BY2378" s="1">
        <v>308</v>
      </c>
      <c r="BZ2378" s="1">
        <v>308</v>
      </c>
      <c r="CB2378" s="1" t="str">
        <f t="shared" ref="CB2378:CC2378" si="1825">"0"</f>
        <v>0</v>
      </c>
      <c r="CC2378" s="1" t="str">
        <f t="shared" si="1825"/>
        <v>0</v>
      </c>
      <c r="CD2378" s="1">
        <v>33</v>
      </c>
      <c r="CE2378" s="1">
        <v>10</v>
      </c>
      <c r="CG2378" s="1" t="s">
        <v>1570</v>
      </c>
      <c r="CH2378" s="1" t="s">
        <v>219</v>
      </c>
      <c r="CI2378" s="1" t="s">
        <v>229</v>
      </c>
      <c r="CK2378" s="1" t="s">
        <v>315</v>
      </c>
      <c r="CL2378" s="1" t="s">
        <v>219</v>
      </c>
      <c r="CM2378" s="1" t="s">
        <v>220</v>
      </c>
      <c r="CO2378" s="1" t="s">
        <v>629</v>
      </c>
      <c r="CP2378" s="1" t="s">
        <v>219</v>
      </c>
      <c r="CQ2378" s="1" t="s">
        <v>342</v>
      </c>
      <c r="CS2378" s="1" t="s">
        <v>318</v>
      </c>
      <c r="CT2378" s="1" t="s">
        <v>219</v>
      </c>
      <c r="CU2378" s="1" t="s">
        <v>220</v>
      </c>
      <c r="CX2378" s="1" t="s">
        <v>224</v>
      </c>
      <c r="DB2378" s="1" t="s">
        <v>224</v>
      </c>
      <c r="DE2378" s="1" t="s">
        <v>2071</v>
      </c>
      <c r="DF2378" s="1" t="s">
        <v>219</v>
      </c>
      <c r="DG2378" s="1" t="s">
        <v>342</v>
      </c>
      <c r="DJ2378" s="1" t="s">
        <v>224</v>
      </c>
      <c r="DM2378" s="1" t="s">
        <v>709</v>
      </c>
      <c r="DR2378" s="1" t="s">
        <v>1774</v>
      </c>
      <c r="DS2378" s="1" t="s">
        <v>219</v>
      </c>
      <c r="DT2378" s="1" t="s">
        <v>226</v>
      </c>
      <c r="DW2378" s="1" t="s">
        <v>230</v>
      </c>
      <c r="EA2378" s="1" t="s">
        <v>230</v>
      </c>
      <c r="EE2378" s="1" t="s">
        <v>230</v>
      </c>
      <c r="EI2378" s="1" t="s">
        <v>230</v>
      </c>
      <c r="EL2378" s="1" t="s">
        <v>491</v>
      </c>
      <c r="EM2378" s="1" t="s">
        <v>319</v>
      </c>
      <c r="EN2378" s="1" t="s">
        <v>282</v>
      </c>
      <c r="EO2378" s="1" t="s">
        <v>234</v>
      </c>
      <c r="EP2378" s="1" t="s">
        <v>1268</v>
      </c>
      <c r="EQ2378" s="1" t="s">
        <v>1867</v>
      </c>
      <c r="ER2378" s="1" t="s">
        <v>210</v>
      </c>
      <c r="ES2378" s="1" t="s">
        <v>322</v>
      </c>
      <c r="EW2378" s="1" t="s">
        <v>1372</v>
      </c>
      <c r="EY2378" s="1" t="s">
        <v>242</v>
      </c>
      <c r="EZ2378" s="1" t="s">
        <v>709</v>
      </c>
      <c r="FA2378" s="1" t="s">
        <v>15118</v>
      </c>
      <c r="FC2378" s="1" t="s">
        <v>1386</v>
      </c>
      <c r="FD2378" s="1" t="s">
        <v>246</v>
      </c>
      <c r="FE2378" s="1" t="s">
        <v>975</v>
      </c>
      <c r="FF2378" s="1" t="s">
        <v>248</v>
      </c>
      <c r="FH2378" s="1" t="s">
        <v>825</v>
      </c>
      <c r="FI2378" s="1" t="s">
        <v>250</v>
      </c>
      <c r="FL2378" s="1" t="s">
        <v>358</v>
      </c>
      <c r="FM2378" s="1" t="s">
        <v>252</v>
      </c>
      <c r="FN2378" s="1" t="s">
        <v>213</v>
      </c>
      <c r="FO2378" s="1" t="s">
        <v>213</v>
      </c>
      <c r="FQ2378" s="1" t="s">
        <v>293</v>
      </c>
      <c r="FR2378" s="1" t="s">
        <v>210</v>
      </c>
      <c r="FS2378" s="1" t="s">
        <v>1709</v>
      </c>
      <c r="FT2378" s="1" t="s">
        <v>362</v>
      </c>
      <c r="FU2378" s="1" t="s">
        <v>204</v>
      </c>
      <c r="FW2378" s="1" t="s">
        <v>2891</v>
      </c>
      <c r="FX2378" s="1">
        <v>22975</v>
      </c>
      <c r="FY2378" s="1" t="s">
        <v>2892</v>
      </c>
      <c r="FZ2378" s="1" t="s">
        <v>20733</v>
      </c>
      <c r="GA2378" s="1">
        <v>215569</v>
      </c>
      <c r="GB2378" s="1" t="s">
        <v>20734</v>
      </c>
      <c r="GC2378" s="1">
        <v>233990</v>
      </c>
      <c r="GE2378" s="1" t="s">
        <v>480</v>
      </c>
      <c r="GI2378" s="1" t="s">
        <v>213</v>
      </c>
      <c r="GJ2378" s="1" t="s">
        <v>260</v>
      </c>
      <c r="GK2378" s="1" t="s">
        <v>210</v>
      </c>
      <c r="GL2378" s="2">
        <v>42062</v>
      </c>
    </row>
    <row r="2379" spans="1:195">
      <c r="A2379" s="1">
        <v>66000</v>
      </c>
      <c r="B2379" s="1" t="s">
        <v>195</v>
      </c>
      <c r="C2379" s="1" t="str">
        <f>"08820871"</f>
        <v>08820871</v>
      </c>
      <c r="D2379" s="1" t="s">
        <v>196</v>
      </c>
      <c r="F2379" s="1" t="str">
        <f>"560"</f>
        <v>560</v>
      </c>
      <c r="G2379" s="2">
        <v>42025</v>
      </c>
      <c r="H2379" s="1">
        <v>56700</v>
      </c>
      <c r="I2379" s="1">
        <v>56700</v>
      </c>
      <c r="J2379" s="1">
        <v>66000</v>
      </c>
      <c r="K2379" s="2">
        <v>42025</v>
      </c>
      <c r="L2379" s="1">
        <v>16</v>
      </c>
      <c r="M2379" s="2">
        <v>42040</v>
      </c>
      <c r="N2379" s="1">
        <v>16</v>
      </c>
      <c r="O2379" s="2">
        <v>42040</v>
      </c>
      <c r="P2379" s="1">
        <v>70310</v>
      </c>
      <c r="Q2379" s="1" t="s">
        <v>302</v>
      </c>
      <c r="R2379" s="2">
        <v>42062</v>
      </c>
      <c r="S2379" s="1">
        <v>705685</v>
      </c>
      <c r="U2379" s="1">
        <v>224</v>
      </c>
      <c r="V2379" s="1" t="s">
        <v>482</v>
      </c>
      <c r="W2379" s="1" t="s">
        <v>264</v>
      </c>
      <c r="X2379" s="1" t="s">
        <v>4488</v>
      </c>
      <c r="Y2379" s="1">
        <v>8</v>
      </c>
      <c r="Z2379" s="1" t="s">
        <v>249</v>
      </c>
      <c r="AA2379" s="1" t="s">
        <v>484</v>
      </c>
      <c r="AB2379" s="1">
        <v>60560</v>
      </c>
      <c r="AE2379" s="1" t="s">
        <v>20735</v>
      </c>
      <c r="AF2379" s="1">
        <v>2006</v>
      </c>
      <c r="AG2379" s="1" t="s">
        <v>204</v>
      </c>
      <c r="AH2379" s="1" t="s">
        <v>487</v>
      </c>
      <c r="AI2379" s="1" t="s">
        <v>453</v>
      </c>
      <c r="AJ2379" s="1" t="s">
        <v>454</v>
      </c>
      <c r="AL2379" s="1">
        <v>5</v>
      </c>
      <c r="AM2379" s="1">
        <v>2</v>
      </c>
      <c r="AN2379" s="1">
        <v>2</v>
      </c>
      <c r="AO2379" s="1">
        <v>0</v>
      </c>
      <c r="AP2379" s="1" t="s">
        <v>209</v>
      </c>
      <c r="AR2379" s="1" t="s">
        <v>210</v>
      </c>
      <c r="AT2379" s="1" t="s">
        <v>211</v>
      </c>
      <c r="AU2379" s="1">
        <v>1</v>
      </c>
      <c r="AW2379" s="1" t="s">
        <v>204</v>
      </c>
      <c r="AX2379" s="1" t="s">
        <v>212</v>
      </c>
      <c r="AZ2379" s="1">
        <v>3939</v>
      </c>
      <c r="BA2379" s="1">
        <v>2012</v>
      </c>
      <c r="BE2379" s="1">
        <v>1130</v>
      </c>
      <c r="BF2379" s="1">
        <v>2</v>
      </c>
      <c r="BG2379" s="1">
        <v>0</v>
      </c>
      <c r="BL2379" s="1">
        <v>240</v>
      </c>
      <c r="BM2379" s="1" t="s">
        <v>213</v>
      </c>
      <c r="BN2379" s="1" t="s">
        <v>213</v>
      </c>
      <c r="BO2379" s="1">
        <v>0</v>
      </c>
      <c r="BP2379" s="1" t="s">
        <v>204</v>
      </c>
      <c r="BR2379" s="1" t="str">
        <f>"0204390236"</f>
        <v>0204390236</v>
      </c>
      <c r="BT2379" s="1" t="s">
        <v>20736</v>
      </c>
      <c r="BX2379" s="1">
        <v>115</v>
      </c>
      <c r="BY2379" s="1">
        <v>115</v>
      </c>
      <c r="BZ2379" s="1">
        <v>115</v>
      </c>
      <c r="CB2379" s="1" t="str">
        <f t="shared" ref="CB2379:CC2379" si="1826">""</f>
        <v/>
      </c>
      <c r="CC2379" s="1" t="str">
        <f t="shared" si="1826"/>
        <v/>
      </c>
      <c r="CG2379" s="1" t="s">
        <v>344</v>
      </c>
      <c r="CH2379" s="1" t="s">
        <v>277</v>
      </c>
      <c r="CK2379" s="1" t="s">
        <v>278</v>
      </c>
      <c r="CL2379" s="1" t="s">
        <v>277</v>
      </c>
      <c r="CO2379" s="1" t="s">
        <v>489</v>
      </c>
      <c r="CP2379" s="1" t="s">
        <v>277</v>
      </c>
      <c r="CS2379" s="1" t="s">
        <v>932</v>
      </c>
      <c r="CT2379" s="1" t="s">
        <v>277</v>
      </c>
      <c r="CX2379" s="1" t="s">
        <v>224</v>
      </c>
      <c r="DB2379" s="1" t="s">
        <v>224</v>
      </c>
      <c r="DE2379" s="1" t="s">
        <v>1534</v>
      </c>
      <c r="DF2379" s="1" t="s">
        <v>277</v>
      </c>
      <c r="DJ2379" s="1" t="s">
        <v>224</v>
      </c>
      <c r="DS2379" s="1" t="s">
        <v>230</v>
      </c>
      <c r="DW2379" s="1" t="s">
        <v>230</v>
      </c>
      <c r="EA2379" s="1" t="s">
        <v>230</v>
      </c>
      <c r="EE2379" s="1" t="s">
        <v>230</v>
      </c>
      <c r="EI2379" s="1" t="s">
        <v>230</v>
      </c>
      <c r="EL2379" s="1" t="s">
        <v>491</v>
      </c>
      <c r="EM2379" s="1" t="s">
        <v>319</v>
      </c>
      <c r="EN2379" s="1" t="s">
        <v>731</v>
      </c>
      <c r="EO2379" s="1" t="s">
        <v>234</v>
      </c>
      <c r="ER2379" s="1" t="s">
        <v>210</v>
      </c>
      <c r="EW2379" s="1" t="s">
        <v>347</v>
      </c>
      <c r="EZ2379" s="1" t="s">
        <v>287</v>
      </c>
      <c r="FD2379" s="1" t="s">
        <v>1649</v>
      </c>
      <c r="FE2379" s="1" t="s">
        <v>496</v>
      </c>
      <c r="FF2379" s="1" t="s">
        <v>248</v>
      </c>
      <c r="FH2379" s="1" t="s">
        <v>249</v>
      </c>
      <c r="FL2379" s="1" t="s">
        <v>292</v>
      </c>
      <c r="FM2379" s="1" t="s">
        <v>252</v>
      </c>
      <c r="FN2379" s="1" t="s">
        <v>213</v>
      </c>
      <c r="FO2379" s="1" t="s">
        <v>213</v>
      </c>
      <c r="FQ2379" s="1" t="s">
        <v>689</v>
      </c>
      <c r="FR2379" s="1" t="s">
        <v>210</v>
      </c>
      <c r="FS2379" s="1" t="s">
        <v>2541</v>
      </c>
      <c r="FT2379" s="1" t="s">
        <v>654</v>
      </c>
      <c r="FU2379" s="1" t="s">
        <v>204</v>
      </c>
      <c r="FW2379" s="1" t="s">
        <v>4399</v>
      </c>
      <c r="FX2379" s="1">
        <v>8698</v>
      </c>
      <c r="FY2379" s="1" t="s">
        <v>4400</v>
      </c>
      <c r="FZ2379" s="1" t="s">
        <v>4401</v>
      </c>
      <c r="GA2379" s="1">
        <v>85273</v>
      </c>
      <c r="GB2379" s="1" t="s">
        <v>4400</v>
      </c>
      <c r="GE2379" s="1" t="s">
        <v>210</v>
      </c>
      <c r="GI2379" s="1" t="s">
        <v>204</v>
      </c>
      <c r="GJ2379" s="1" t="s">
        <v>260</v>
      </c>
      <c r="GK2379" s="1" t="s">
        <v>210</v>
      </c>
      <c r="GL2379" s="2">
        <v>42062</v>
      </c>
      <c r="GM2379" s="1" t="s">
        <v>20737</v>
      </c>
    </row>
    <row r="2380" spans="1:195">
      <c r="A2380" s="1">
        <v>119900</v>
      </c>
      <c r="B2380" s="1" t="s">
        <v>195</v>
      </c>
      <c r="C2380" s="1" t="str">
        <f>"08827445"</f>
        <v>08827445</v>
      </c>
      <c r="D2380" s="1" t="s">
        <v>196</v>
      </c>
      <c r="F2380" s="1" t="str">
        <f>"110"</f>
        <v>110</v>
      </c>
      <c r="G2380" s="2">
        <v>42034</v>
      </c>
      <c r="H2380" s="1">
        <v>119900</v>
      </c>
      <c r="I2380" s="1">
        <v>119900</v>
      </c>
      <c r="J2380" s="1">
        <v>119900</v>
      </c>
      <c r="K2380" s="2">
        <v>42034</v>
      </c>
      <c r="L2380" s="1">
        <v>42</v>
      </c>
      <c r="M2380" s="2">
        <v>42052</v>
      </c>
      <c r="N2380" s="1">
        <v>19</v>
      </c>
      <c r="O2380" s="2">
        <v>42052</v>
      </c>
      <c r="P2380" s="1">
        <v>1837</v>
      </c>
      <c r="Q2380" s="1" t="s">
        <v>197</v>
      </c>
      <c r="R2380" s="2">
        <v>42104</v>
      </c>
      <c r="S2380" s="1">
        <v>240925</v>
      </c>
      <c r="T2380" s="1">
        <v>3000</v>
      </c>
      <c r="U2380" s="1">
        <v>8143</v>
      </c>
      <c r="V2380" s="1" t="s">
        <v>11337</v>
      </c>
      <c r="W2380" s="1" t="s">
        <v>504</v>
      </c>
      <c r="X2380" s="1">
        <v>8143</v>
      </c>
      <c r="Y2380" s="1">
        <v>6</v>
      </c>
      <c r="Z2380" s="1" t="s">
        <v>370</v>
      </c>
      <c r="AA2380" s="1" t="s">
        <v>803</v>
      </c>
      <c r="AB2380" s="1">
        <v>60110</v>
      </c>
      <c r="AD2380" s="1" t="s">
        <v>11338</v>
      </c>
      <c r="AE2380" s="1" t="s">
        <v>20738</v>
      </c>
      <c r="AF2380" s="1">
        <v>1997</v>
      </c>
      <c r="AG2380" s="1" t="s">
        <v>204</v>
      </c>
      <c r="AH2380" s="1" t="s">
        <v>2557</v>
      </c>
      <c r="AI2380" s="1" t="s">
        <v>665</v>
      </c>
      <c r="AJ2380" s="1" t="s">
        <v>805</v>
      </c>
      <c r="AL2380" s="1">
        <v>6</v>
      </c>
      <c r="AM2380" s="1">
        <v>2</v>
      </c>
      <c r="AN2380" s="1">
        <v>1</v>
      </c>
      <c r="AO2380" s="1">
        <v>1</v>
      </c>
      <c r="AP2380" s="1" t="s">
        <v>667</v>
      </c>
      <c r="AQ2380" s="1">
        <v>1</v>
      </c>
      <c r="AR2380" s="1" t="s">
        <v>210</v>
      </c>
      <c r="AS2380" s="1" t="s">
        <v>204</v>
      </c>
      <c r="AT2380" s="1" t="s">
        <v>211</v>
      </c>
      <c r="AU2380" s="1">
        <v>1</v>
      </c>
      <c r="AW2380" s="1" t="s">
        <v>204</v>
      </c>
      <c r="AX2380" s="1" t="s">
        <v>212</v>
      </c>
      <c r="AZ2380" s="1">
        <v>3468</v>
      </c>
      <c r="BA2380" s="1">
        <v>2013</v>
      </c>
      <c r="BB2380" s="1" t="s">
        <v>405</v>
      </c>
      <c r="BE2380" s="1">
        <v>1250</v>
      </c>
      <c r="BF2380" s="1">
        <v>1</v>
      </c>
      <c r="BG2380" s="1">
        <v>30</v>
      </c>
      <c r="BL2380" s="1">
        <v>168</v>
      </c>
      <c r="BM2380" s="1" t="s">
        <v>204</v>
      </c>
      <c r="BN2380" s="1" t="s">
        <v>213</v>
      </c>
      <c r="BO2380" s="1">
        <v>100</v>
      </c>
      <c r="BP2380" s="1" t="s">
        <v>204</v>
      </c>
      <c r="BR2380" s="1" t="str">
        <f>"0317151039"</f>
        <v>0317151039</v>
      </c>
      <c r="BT2380" s="1" t="s">
        <v>20739</v>
      </c>
      <c r="BU2380" s="1" t="s">
        <v>6711</v>
      </c>
      <c r="BV2380" s="1" t="s">
        <v>2667</v>
      </c>
      <c r="BW2380" s="1" t="s">
        <v>2668</v>
      </c>
      <c r="BX2380" s="1">
        <v>300</v>
      </c>
      <c r="BY2380" s="1">
        <v>300</v>
      </c>
      <c r="BZ2380" s="1">
        <v>300</v>
      </c>
      <c r="CB2380" s="1" t="str">
        <f>"17"</f>
        <v>17</v>
      </c>
      <c r="CC2380" s="1" t="str">
        <f t="shared" ref="CC2380:CC2381" si="1827">"0"</f>
        <v>0</v>
      </c>
      <c r="CD2380" s="1">
        <v>36</v>
      </c>
      <c r="CE2380" s="1">
        <v>0</v>
      </c>
      <c r="CG2380" s="1" t="s">
        <v>223</v>
      </c>
      <c r="CH2380" s="1" t="s">
        <v>219</v>
      </c>
      <c r="CI2380" s="1" t="s">
        <v>220</v>
      </c>
      <c r="CJ2380" s="1" t="s">
        <v>343</v>
      </c>
      <c r="CK2380" s="1" t="s">
        <v>437</v>
      </c>
      <c r="CL2380" s="1" t="s">
        <v>277</v>
      </c>
      <c r="CM2380" s="1" t="s">
        <v>220</v>
      </c>
      <c r="CO2380" s="1" t="s">
        <v>409</v>
      </c>
      <c r="CP2380" s="1" t="s">
        <v>219</v>
      </c>
      <c r="CQ2380" s="1" t="s">
        <v>226</v>
      </c>
      <c r="CR2380" s="1" t="s">
        <v>210</v>
      </c>
      <c r="CS2380" s="1" t="s">
        <v>757</v>
      </c>
      <c r="CT2380" s="1" t="s">
        <v>277</v>
      </c>
      <c r="CU2380" s="1" t="s">
        <v>220</v>
      </c>
      <c r="CX2380" s="1" t="s">
        <v>224</v>
      </c>
      <c r="DB2380" s="1" t="s">
        <v>224</v>
      </c>
      <c r="DE2380" s="1" t="s">
        <v>2899</v>
      </c>
      <c r="DF2380" s="1" t="s">
        <v>219</v>
      </c>
      <c r="DG2380" s="1" t="s">
        <v>226</v>
      </c>
      <c r="DH2380" s="1" t="s">
        <v>210</v>
      </c>
      <c r="DJ2380" s="1" t="s">
        <v>224</v>
      </c>
      <c r="DM2380" s="1" t="s">
        <v>464</v>
      </c>
      <c r="DR2380" s="1" t="s">
        <v>2308</v>
      </c>
      <c r="DS2380" s="1" t="s">
        <v>277</v>
      </c>
      <c r="DT2380" s="1" t="s">
        <v>220</v>
      </c>
      <c r="DW2380" s="1" t="s">
        <v>230</v>
      </c>
      <c r="EA2380" s="1" t="s">
        <v>230</v>
      </c>
      <c r="EE2380" s="1" t="s">
        <v>230</v>
      </c>
      <c r="EI2380" s="1" t="s">
        <v>230</v>
      </c>
      <c r="EL2380" s="1" t="s">
        <v>670</v>
      </c>
      <c r="EM2380" s="1" t="s">
        <v>319</v>
      </c>
      <c r="EN2380" s="1" t="s">
        <v>282</v>
      </c>
      <c r="EO2380" s="1" t="s">
        <v>234</v>
      </c>
      <c r="EP2380" s="1" t="s">
        <v>650</v>
      </c>
      <c r="EQ2380" s="1" t="s">
        <v>236</v>
      </c>
      <c r="ER2380" s="1" t="s">
        <v>383</v>
      </c>
      <c r="EU2380" s="1" t="s">
        <v>712</v>
      </c>
      <c r="EW2380" s="1" t="s">
        <v>353</v>
      </c>
      <c r="EY2380" s="1" t="s">
        <v>242</v>
      </c>
      <c r="EZ2380" s="1" t="s">
        <v>464</v>
      </c>
      <c r="FA2380" s="1" t="s">
        <v>1072</v>
      </c>
      <c r="FB2380" s="1" t="s">
        <v>289</v>
      </c>
      <c r="FD2380" s="1" t="s">
        <v>495</v>
      </c>
      <c r="FE2380" s="1" t="s">
        <v>765</v>
      </c>
      <c r="FF2380" s="1" t="s">
        <v>248</v>
      </c>
      <c r="FG2380" s="1" t="s">
        <v>871</v>
      </c>
      <c r="FH2380" s="1" t="s">
        <v>550</v>
      </c>
      <c r="FI2380" s="1" t="s">
        <v>473</v>
      </c>
      <c r="FJ2380" s="1" t="s">
        <v>197</v>
      </c>
      <c r="FL2380" s="1" t="s">
        <v>358</v>
      </c>
      <c r="FM2380" s="1" t="s">
        <v>252</v>
      </c>
      <c r="FN2380" s="1" t="s">
        <v>213</v>
      </c>
      <c r="FO2380" s="1" t="s">
        <v>213</v>
      </c>
      <c r="FQ2380" s="1" t="s">
        <v>293</v>
      </c>
      <c r="FR2380" s="1" t="s">
        <v>652</v>
      </c>
      <c r="FS2380" s="1" t="s">
        <v>5061</v>
      </c>
      <c r="FT2380" s="1" t="s">
        <v>295</v>
      </c>
      <c r="FU2380" s="1" t="s">
        <v>204</v>
      </c>
      <c r="FW2380" s="1" t="s">
        <v>256</v>
      </c>
      <c r="FX2380" s="1">
        <v>8079</v>
      </c>
      <c r="FY2380" s="1" t="s">
        <v>3625</v>
      </c>
      <c r="FZ2380" s="1" t="s">
        <v>5062</v>
      </c>
      <c r="GA2380" s="1">
        <v>920884</v>
      </c>
      <c r="GB2380" s="1" t="s">
        <v>5063</v>
      </c>
      <c r="GE2380" s="1" t="s">
        <v>480</v>
      </c>
      <c r="GI2380" s="1" t="s">
        <v>213</v>
      </c>
      <c r="GJ2380" s="1" t="s">
        <v>260</v>
      </c>
      <c r="GK2380" s="1" t="s">
        <v>261</v>
      </c>
      <c r="GL2380" s="2">
        <v>42104</v>
      </c>
      <c r="GM2380" s="1" t="s">
        <v>20740</v>
      </c>
    </row>
    <row r="2381" spans="1:195">
      <c r="A2381" s="1">
        <v>155000</v>
      </c>
      <c r="B2381" s="1" t="s">
        <v>195</v>
      </c>
      <c r="C2381" s="1" t="str">
        <f>"08829930"</f>
        <v>08829930</v>
      </c>
      <c r="D2381" s="1" t="s">
        <v>196</v>
      </c>
      <c r="F2381" s="1" t="str">
        <f>"174"</f>
        <v>174</v>
      </c>
      <c r="G2381" s="2">
        <v>42038</v>
      </c>
      <c r="H2381" s="1">
        <v>159900</v>
      </c>
      <c r="I2381" s="1">
        <v>159900</v>
      </c>
      <c r="J2381" s="1">
        <v>155000</v>
      </c>
      <c r="K2381" s="2">
        <v>42038</v>
      </c>
      <c r="L2381" s="1">
        <v>23</v>
      </c>
      <c r="M2381" s="2">
        <v>42060</v>
      </c>
      <c r="N2381" s="1">
        <v>23</v>
      </c>
      <c r="O2381" s="2">
        <v>42060</v>
      </c>
      <c r="P2381" s="1">
        <v>41</v>
      </c>
      <c r="Q2381" s="1" t="s">
        <v>197</v>
      </c>
      <c r="R2381" s="2">
        <v>42093</v>
      </c>
      <c r="S2381" s="1">
        <v>490</v>
      </c>
      <c r="U2381" s="1">
        <v>1477</v>
      </c>
      <c r="V2381" s="1" t="s">
        <v>20741</v>
      </c>
      <c r="W2381" s="1" t="s">
        <v>425</v>
      </c>
      <c r="Y2381" s="1">
        <v>4</v>
      </c>
      <c r="Z2381" s="1" t="s">
        <v>370</v>
      </c>
      <c r="AA2381" s="1" t="s">
        <v>879</v>
      </c>
      <c r="AB2381" s="1">
        <v>60174</v>
      </c>
      <c r="AD2381" s="1" t="s">
        <v>3693</v>
      </c>
      <c r="AE2381" s="1" t="s">
        <v>20742</v>
      </c>
      <c r="AF2381" s="1">
        <v>1994</v>
      </c>
      <c r="AG2381" s="1" t="s">
        <v>204</v>
      </c>
      <c r="AH2381" s="1" t="s">
        <v>883</v>
      </c>
      <c r="AI2381" s="1" t="s">
        <v>665</v>
      </c>
      <c r="AJ2381" s="1" t="s">
        <v>883</v>
      </c>
      <c r="AL2381" s="1">
        <v>5</v>
      </c>
      <c r="AM2381" s="1">
        <v>2</v>
      </c>
      <c r="AN2381" s="1">
        <v>2</v>
      </c>
      <c r="AO2381" s="1">
        <v>1</v>
      </c>
      <c r="AP2381" s="1" t="s">
        <v>209</v>
      </c>
      <c r="AR2381" s="1" t="s">
        <v>210</v>
      </c>
      <c r="AS2381" s="1" t="s">
        <v>204</v>
      </c>
      <c r="AT2381" s="1" t="s">
        <v>211</v>
      </c>
      <c r="AU2381" s="1">
        <v>1</v>
      </c>
      <c r="AW2381" s="1" t="s">
        <v>204</v>
      </c>
      <c r="AX2381" s="1" t="s">
        <v>212</v>
      </c>
      <c r="AZ2381" s="1">
        <v>4182</v>
      </c>
      <c r="BA2381" s="1">
        <v>2013</v>
      </c>
      <c r="BB2381" s="1" t="s">
        <v>210</v>
      </c>
      <c r="BE2381" s="1">
        <v>1328</v>
      </c>
      <c r="BF2381" s="1">
        <v>1</v>
      </c>
      <c r="BG2381" s="1">
        <v>10</v>
      </c>
      <c r="BJ2381" s="1">
        <v>95</v>
      </c>
      <c r="BL2381" s="1">
        <v>161</v>
      </c>
      <c r="BM2381" s="1" t="s">
        <v>204</v>
      </c>
      <c r="BN2381" s="1" t="s">
        <v>213</v>
      </c>
      <c r="BO2381" s="1">
        <v>999</v>
      </c>
      <c r="BP2381" s="1" t="s">
        <v>204</v>
      </c>
      <c r="BR2381" s="1" t="str">
        <f>"9354570500"</f>
        <v>9354570500</v>
      </c>
      <c r="BT2381" s="1" t="s">
        <v>20743</v>
      </c>
      <c r="BX2381" s="1">
        <v>303</v>
      </c>
      <c r="BY2381" s="1">
        <v>303</v>
      </c>
      <c r="BZ2381" s="1">
        <v>303</v>
      </c>
      <c r="CB2381" s="1" t="str">
        <f>"2"</f>
        <v>2</v>
      </c>
      <c r="CC2381" s="1" t="str">
        <f t="shared" si="1827"/>
        <v>0</v>
      </c>
      <c r="CD2381" s="1">
        <v>34</v>
      </c>
      <c r="CE2381" s="1">
        <v>0</v>
      </c>
      <c r="CG2381" s="1" t="s">
        <v>2402</v>
      </c>
      <c r="CH2381" s="1" t="s">
        <v>219</v>
      </c>
      <c r="CI2381" s="1" t="s">
        <v>229</v>
      </c>
      <c r="CJ2381" s="1" t="s">
        <v>463</v>
      </c>
      <c r="CK2381" s="1" t="s">
        <v>1936</v>
      </c>
      <c r="CL2381" s="1" t="s">
        <v>277</v>
      </c>
      <c r="CM2381" s="1" t="s">
        <v>220</v>
      </c>
      <c r="CN2381" s="1" t="s">
        <v>463</v>
      </c>
      <c r="CO2381" s="1" t="s">
        <v>629</v>
      </c>
      <c r="CP2381" s="1" t="s">
        <v>219</v>
      </c>
      <c r="CS2381" s="1" t="s">
        <v>465</v>
      </c>
      <c r="CT2381" s="1" t="s">
        <v>277</v>
      </c>
      <c r="CU2381" s="1" t="s">
        <v>220</v>
      </c>
      <c r="CV2381" s="1" t="s">
        <v>463</v>
      </c>
      <c r="CX2381" s="1" t="s">
        <v>224</v>
      </c>
      <c r="DB2381" s="1" t="s">
        <v>224</v>
      </c>
      <c r="DE2381" s="1" t="s">
        <v>281</v>
      </c>
      <c r="DF2381" s="1" t="s">
        <v>219</v>
      </c>
      <c r="DG2381" s="1" t="s">
        <v>229</v>
      </c>
      <c r="DJ2381" s="1" t="s">
        <v>224</v>
      </c>
      <c r="DS2381" s="1" t="s">
        <v>230</v>
      </c>
      <c r="DW2381" s="1" t="s">
        <v>230</v>
      </c>
      <c r="EA2381" s="1" t="s">
        <v>230</v>
      </c>
      <c r="EE2381" s="1" t="s">
        <v>230</v>
      </c>
      <c r="EI2381" s="1" t="s">
        <v>230</v>
      </c>
      <c r="EL2381" s="1" t="s">
        <v>382</v>
      </c>
      <c r="EM2381" s="1" t="s">
        <v>319</v>
      </c>
      <c r="EN2381" s="1" t="s">
        <v>282</v>
      </c>
      <c r="EO2381" s="1" t="s">
        <v>234</v>
      </c>
      <c r="ER2381" s="1" t="s">
        <v>210</v>
      </c>
      <c r="EW2381" s="1" t="s">
        <v>353</v>
      </c>
      <c r="EZ2381" s="1" t="s">
        <v>287</v>
      </c>
      <c r="FD2381" s="1" t="s">
        <v>246</v>
      </c>
      <c r="FE2381" s="1" t="s">
        <v>472</v>
      </c>
      <c r="FF2381" s="1" t="s">
        <v>248</v>
      </c>
      <c r="FH2381" s="1" t="s">
        <v>550</v>
      </c>
      <c r="FL2381" s="1" t="s">
        <v>358</v>
      </c>
      <c r="FM2381" s="1" t="s">
        <v>252</v>
      </c>
      <c r="FN2381" s="1" t="s">
        <v>213</v>
      </c>
      <c r="FO2381" s="1" t="s">
        <v>213</v>
      </c>
      <c r="FQ2381" s="1" t="s">
        <v>2004</v>
      </c>
      <c r="FR2381" s="1" t="s">
        <v>210</v>
      </c>
      <c r="FS2381" s="1" t="s">
        <v>20744</v>
      </c>
      <c r="FT2381" s="1" t="s">
        <v>362</v>
      </c>
      <c r="FU2381" s="1" t="s">
        <v>204</v>
      </c>
      <c r="FW2381" s="1" t="s">
        <v>9260</v>
      </c>
      <c r="FX2381" s="1">
        <v>84729</v>
      </c>
      <c r="FY2381" s="1" t="s">
        <v>20745</v>
      </c>
      <c r="FZ2381" s="1" t="s">
        <v>20746</v>
      </c>
      <c r="GA2381" s="1">
        <v>101353</v>
      </c>
      <c r="GB2381" s="1" t="s">
        <v>20747</v>
      </c>
      <c r="GE2381" s="1" t="s">
        <v>210</v>
      </c>
      <c r="GI2381" s="1" t="s">
        <v>213</v>
      </c>
      <c r="GJ2381" s="1" t="s">
        <v>260</v>
      </c>
      <c r="GK2381" s="1" t="s">
        <v>210</v>
      </c>
      <c r="GL2381" s="2">
        <v>42094</v>
      </c>
      <c r="GM2381" s="1" t="s">
        <v>20748</v>
      </c>
    </row>
    <row r="2382" spans="1:195">
      <c r="A2382" s="1">
        <v>104000</v>
      </c>
      <c r="B2382" s="1" t="s">
        <v>195</v>
      </c>
      <c r="C2382" s="1" t="str">
        <f>"08828108"</f>
        <v>08828108</v>
      </c>
      <c r="D2382" s="1" t="s">
        <v>196</v>
      </c>
      <c r="F2382" s="1" t="str">
        <f>"515"</f>
        <v>515</v>
      </c>
      <c r="G2382" s="2">
        <v>42035</v>
      </c>
      <c r="H2382" s="1">
        <v>108000</v>
      </c>
      <c r="I2382" s="1">
        <v>108000</v>
      </c>
      <c r="J2382" s="1">
        <v>104000</v>
      </c>
      <c r="K2382" s="2">
        <v>42035</v>
      </c>
      <c r="L2382" s="1">
        <v>24</v>
      </c>
      <c r="M2382" s="2">
        <v>42058</v>
      </c>
      <c r="N2382" s="1">
        <v>24</v>
      </c>
      <c r="O2382" s="2">
        <v>42058</v>
      </c>
      <c r="P2382" s="1">
        <v>23156</v>
      </c>
      <c r="Q2382" s="1" t="s">
        <v>197</v>
      </c>
      <c r="R2382" s="2">
        <v>42125</v>
      </c>
      <c r="S2382" s="1">
        <v>216977</v>
      </c>
      <c r="U2382" s="1">
        <v>4221</v>
      </c>
      <c r="V2382" s="1" t="s">
        <v>5751</v>
      </c>
      <c r="W2382" s="1" t="s">
        <v>425</v>
      </c>
      <c r="X2382" s="1" t="s">
        <v>20749</v>
      </c>
      <c r="Y2382" s="1">
        <v>48</v>
      </c>
      <c r="Z2382" s="1" t="s">
        <v>249</v>
      </c>
      <c r="AA2382" s="1" t="s">
        <v>1294</v>
      </c>
      <c r="AB2382" s="1">
        <v>60515</v>
      </c>
      <c r="AE2382" s="1" t="s">
        <v>20750</v>
      </c>
      <c r="AF2382" s="1">
        <v>1971</v>
      </c>
      <c r="AG2382" s="1" t="s">
        <v>213</v>
      </c>
      <c r="AH2382" s="1" t="s">
        <v>903</v>
      </c>
      <c r="AI2382" s="1" t="s">
        <v>206</v>
      </c>
      <c r="AJ2382" s="1" t="s">
        <v>903</v>
      </c>
      <c r="AL2382" s="1">
        <v>5</v>
      </c>
      <c r="AM2382" s="1">
        <v>2</v>
      </c>
      <c r="AN2382" s="1">
        <v>2</v>
      </c>
      <c r="AO2382" s="1">
        <v>0</v>
      </c>
      <c r="AP2382" s="1" t="s">
        <v>209</v>
      </c>
      <c r="AQ2382" s="1">
        <v>0</v>
      </c>
      <c r="AR2382" s="1" t="s">
        <v>210</v>
      </c>
      <c r="AT2382" s="1" t="s">
        <v>211</v>
      </c>
      <c r="AU2382" s="1">
        <v>1</v>
      </c>
      <c r="AW2382" s="1" t="s">
        <v>204</v>
      </c>
      <c r="AX2382" s="1" t="s">
        <v>212</v>
      </c>
      <c r="AZ2382" s="1">
        <v>1119</v>
      </c>
      <c r="BA2382" s="1">
        <v>2013</v>
      </c>
      <c r="BB2382" s="1" t="s">
        <v>8684</v>
      </c>
      <c r="BE2382" s="1">
        <v>1045</v>
      </c>
      <c r="BF2382" s="1">
        <v>4</v>
      </c>
      <c r="BG2382" s="1">
        <v>30</v>
      </c>
      <c r="BL2382" s="1">
        <v>470</v>
      </c>
      <c r="BM2382" s="1" t="s">
        <v>204</v>
      </c>
      <c r="BN2382" s="1" t="s">
        <v>213</v>
      </c>
      <c r="BO2382" s="1">
        <v>30</v>
      </c>
      <c r="BP2382" s="1" t="s">
        <v>204</v>
      </c>
      <c r="BR2382" s="1" t="str">
        <f>"0905122045"</f>
        <v>0905122045</v>
      </c>
      <c r="BT2382" s="1" t="s">
        <v>20751</v>
      </c>
      <c r="BU2382" s="1" t="s">
        <v>5757</v>
      </c>
      <c r="BV2382" s="1" t="s">
        <v>2761</v>
      </c>
      <c r="BW2382" s="1" t="s">
        <v>2762</v>
      </c>
      <c r="BX2382" s="1">
        <v>58</v>
      </c>
      <c r="BY2382" s="1">
        <v>58</v>
      </c>
      <c r="BZ2382" s="1">
        <v>99</v>
      </c>
      <c r="CB2382" s="1" t="str">
        <f t="shared" ref="CB2382:CC2382" si="1828">""</f>
        <v/>
      </c>
      <c r="CC2382" s="1" t="str">
        <f t="shared" si="1828"/>
        <v/>
      </c>
      <c r="CG2382" s="1" t="s">
        <v>221</v>
      </c>
      <c r="CH2382" s="1" t="s">
        <v>219</v>
      </c>
      <c r="CI2382" s="1" t="s">
        <v>220</v>
      </c>
      <c r="CJ2382" s="1" t="s">
        <v>252</v>
      </c>
      <c r="CK2382" s="1" t="s">
        <v>278</v>
      </c>
      <c r="CL2382" s="1" t="s">
        <v>219</v>
      </c>
      <c r="CM2382" s="1" t="s">
        <v>220</v>
      </c>
      <c r="CN2382" s="1" t="s">
        <v>252</v>
      </c>
      <c r="CO2382" s="1" t="s">
        <v>316</v>
      </c>
      <c r="CP2382" s="1" t="s">
        <v>219</v>
      </c>
      <c r="CQ2382" s="1" t="s">
        <v>220</v>
      </c>
      <c r="CS2382" s="1" t="s">
        <v>317</v>
      </c>
      <c r="CT2382" s="1" t="s">
        <v>219</v>
      </c>
      <c r="CU2382" s="1" t="s">
        <v>220</v>
      </c>
      <c r="CV2382" s="1" t="s">
        <v>252</v>
      </c>
      <c r="CX2382" s="1" t="s">
        <v>224</v>
      </c>
      <c r="DB2382" s="1" t="s">
        <v>224</v>
      </c>
      <c r="DE2382" s="1" t="s">
        <v>5758</v>
      </c>
      <c r="DF2382" s="1" t="s">
        <v>219</v>
      </c>
      <c r="DG2382" s="1" t="s">
        <v>342</v>
      </c>
      <c r="DJ2382" s="1" t="s">
        <v>224</v>
      </c>
      <c r="DS2382" s="1" t="s">
        <v>230</v>
      </c>
      <c r="DW2382" s="1" t="s">
        <v>230</v>
      </c>
      <c r="EA2382" s="1" t="s">
        <v>230</v>
      </c>
      <c r="EE2382" s="1" t="s">
        <v>230</v>
      </c>
      <c r="EI2382" s="1" t="s">
        <v>230</v>
      </c>
      <c r="EL2382" s="1" t="s">
        <v>605</v>
      </c>
      <c r="EM2382" s="1" t="s">
        <v>232</v>
      </c>
      <c r="EN2382" s="1" t="s">
        <v>233</v>
      </c>
      <c r="EO2382" s="1" t="s">
        <v>234</v>
      </c>
      <c r="EP2382" s="1" t="s">
        <v>20752</v>
      </c>
      <c r="EQ2382" s="1" t="s">
        <v>2994</v>
      </c>
      <c r="ER2382" s="1" t="s">
        <v>210</v>
      </c>
      <c r="ES2382" s="1" t="s">
        <v>545</v>
      </c>
      <c r="EV2382" s="1" t="s">
        <v>240</v>
      </c>
      <c r="EW2382" s="1" t="s">
        <v>4301</v>
      </c>
      <c r="EZ2382" s="1" t="s">
        <v>287</v>
      </c>
      <c r="FB2382" s="1" t="s">
        <v>289</v>
      </c>
      <c r="FC2382" s="1" t="s">
        <v>633</v>
      </c>
      <c r="FD2382" s="1" t="s">
        <v>246</v>
      </c>
      <c r="FE2382" s="1" t="s">
        <v>247</v>
      </c>
      <c r="FF2382" s="1" t="s">
        <v>248</v>
      </c>
      <c r="FH2382" s="1" t="s">
        <v>249</v>
      </c>
      <c r="FI2382" s="1" t="s">
        <v>250</v>
      </c>
      <c r="FL2382" s="1" t="s">
        <v>292</v>
      </c>
      <c r="FM2382" s="1" t="s">
        <v>252</v>
      </c>
      <c r="FN2382" s="1" t="s">
        <v>213</v>
      </c>
      <c r="FO2382" s="1" t="s">
        <v>213</v>
      </c>
      <c r="FQ2382" s="1" t="s">
        <v>615</v>
      </c>
      <c r="FR2382" s="1" t="s">
        <v>210</v>
      </c>
      <c r="FS2382" s="1" t="s">
        <v>20753</v>
      </c>
      <c r="FT2382" s="1" t="s">
        <v>295</v>
      </c>
      <c r="FU2382" s="1" t="s">
        <v>204</v>
      </c>
      <c r="FW2382" s="1" t="s">
        <v>915</v>
      </c>
      <c r="FX2382" s="1">
        <v>20179</v>
      </c>
      <c r="FY2382" s="1" t="s">
        <v>1944</v>
      </c>
      <c r="FZ2382" s="1" t="s">
        <v>20754</v>
      </c>
      <c r="GA2382" s="1">
        <v>213291</v>
      </c>
      <c r="GB2382" s="1" t="s">
        <v>20755</v>
      </c>
      <c r="GD2382" s="1" t="s">
        <v>20756</v>
      </c>
      <c r="GE2382" s="1" t="s">
        <v>2504</v>
      </c>
      <c r="GI2382" s="1" t="s">
        <v>213</v>
      </c>
      <c r="GJ2382" s="1" t="s">
        <v>260</v>
      </c>
      <c r="GK2382" s="1" t="s">
        <v>210</v>
      </c>
      <c r="GL2382" s="2">
        <v>42125</v>
      </c>
    </row>
    <row r="2383" spans="1:195">
      <c r="A2383" s="1">
        <v>194000</v>
      </c>
      <c r="B2383" s="1" t="s">
        <v>195</v>
      </c>
      <c r="C2383" s="1" t="str">
        <f>"08823853"</f>
        <v>08823853</v>
      </c>
      <c r="D2383" s="1" t="s">
        <v>196</v>
      </c>
      <c r="F2383" s="1" t="str">
        <f>"123"</f>
        <v>123</v>
      </c>
      <c r="G2383" s="2">
        <v>42030</v>
      </c>
      <c r="H2383" s="1">
        <v>199000</v>
      </c>
      <c r="I2383" s="1">
        <v>199000</v>
      </c>
      <c r="J2383" s="1">
        <v>194000</v>
      </c>
      <c r="K2383" s="2">
        <v>42030</v>
      </c>
      <c r="L2383" s="1">
        <v>186</v>
      </c>
      <c r="M2383" s="2">
        <v>42062</v>
      </c>
      <c r="N2383" s="1">
        <v>33</v>
      </c>
      <c r="O2383" s="2">
        <v>42062</v>
      </c>
      <c r="P2383" s="1">
        <v>5366</v>
      </c>
      <c r="Q2383" s="1" t="s">
        <v>197</v>
      </c>
      <c r="R2383" s="2">
        <v>42086</v>
      </c>
      <c r="S2383" s="1">
        <v>55917</v>
      </c>
      <c r="T2383" s="1">
        <v>3000</v>
      </c>
      <c r="U2383" s="1">
        <v>236</v>
      </c>
      <c r="V2383" s="1" t="s">
        <v>509</v>
      </c>
      <c r="W2383" s="1" t="s">
        <v>725</v>
      </c>
      <c r="Y2383" s="1">
        <v>8</v>
      </c>
      <c r="Z2383" s="1" t="s">
        <v>200</v>
      </c>
      <c r="AA2383" s="1" t="s">
        <v>1173</v>
      </c>
      <c r="AB2383" s="1">
        <v>60120</v>
      </c>
      <c r="AD2383" s="1" t="s">
        <v>2052</v>
      </c>
      <c r="AE2383" s="1" t="s">
        <v>20757</v>
      </c>
      <c r="AF2383" s="1">
        <v>2005</v>
      </c>
      <c r="AG2383" s="1" t="s">
        <v>204</v>
      </c>
      <c r="AH2383" s="1" t="s">
        <v>1175</v>
      </c>
      <c r="AI2383" s="1" t="s">
        <v>665</v>
      </c>
      <c r="AJ2383" s="1" t="s">
        <v>1175</v>
      </c>
      <c r="AK2383" s="1" t="s">
        <v>20758</v>
      </c>
      <c r="AL2383" s="1">
        <v>6</v>
      </c>
      <c r="AM2383" s="1">
        <v>2</v>
      </c>
      <c r="AN2383" s="1">
        <v>2</v>
      </c>
      <c r="AO2383" s="1">
        <v>1</v>
      </c>
      <c r="AP2383" s="1" t="s">
        <v>209</v>
      </c>
      <c r="AR2383" s="1" t="s">
        <v>210</v>
      </c>
      <c r="AS2383" s="1" t="s">
        <v>204</v>
      </c>
      <c r="AT2383" s="1" t="s">
        <v>211</v>
      </c>
      <c r="AU2383" s="1">
        <v>2</v>
      </c>
      <c r="AW2383" s="1" t="s">
        <v>204</v>
      </c>
      <c r="AX2383" s="1" t="s">
        <v>212</v>
      </c>
      <c r="AZ2383" s="1">
        <v>4971.5600000000004</v>
      </c>
      <c r="BA2383" s="1">
        <v>2013</v>
      </c>
      <c r="BE2383" s="1">
        <v>1970</v>
      </c>
      <c r="BF2383" s="1">
        <v>1</v>
      </c>
      <c r="BG2383" s="1">
        <v>30</v>
      </c>
      <c r="BL2383" s="1">
        <v>185</v>
      </c>
      <c r="BM2383" s="1" t="s">
        <v>204</v>
      </c>
      <c r="BN2383" s="1" t="s">
        <v>213</v>
      </c>
      <c r="BO2383" s="1">
        <v>999</v>
      </c>
      <c r="BP2383" s="1" t="s">
        <v>204</v>
      </c>
      <c r="BR2383" s="1" t="str">
        <f>"0613352087"</f>
        <v>0613352087</v>
      </c>
      <c r="BT2383" s="1" t="s">
        <v>20759</v>
      </c>
      <c r="BU2383" s="1" t="s">
        <v>2056</v>
      </c>
      <c r="BV2383" s="1" t="s">
        <v>2057</v>
      </c>
      <c r="BW2383" s="1" t="s">
        <v>2058</v>
      </c>
      <c r="BX2383" s="1">
        <v>46</v>
      </c>
      <c r="BY2383" s="1">
        <v>46</v>
      </c>
      <c r="BZ2383" s="1">
        <v>46</v>
      </c>
      <c r="CB2383" s="1" t="str">
        <f>"11"</f>
        <v>11</v>
      </c>
      <c r="CC2383" s="1" t="str">
        <f>""</f>
        <v/>
      </c>
      <c r="CD2383" s="1">
        <v>33</v>
      </c>
      <c r="CG2383" s="1" t="s">
        <v>7317</v>
      </c>
      <c r="CH2383" s="1" t="s">
        <v>277</v>
      </c>
      <c r="CI2383" s="1" t="s">
        <v>220</v>
      </c>
      <c r="CJ2383" s="1" t="s">
        <v>343</v>
      </c>
      <c r="CK2383" s="1" t="s">
        <v>729</v>
      </c>
      <c r="CL2383" s="1" t="s">
        <v>784</v>
      </c>
      <c r="CM2383" s="1" t="s">
        <v>220</v>
      </c>
      <c r="CN2383" s="1" t="s">
        <v>343</v>
      </c>
      <c r="CO2383" s="1" t="s">
        <v>378</v>
      </c>
      <c r="CP2383" s="1" t="s">
        <v>277</v>
      </c>
      <c r="CQ2383" s="1" t="s">
        <v>220</v>
      </c>
      <c r="CR2383" s="1" t="s">
        <v>210</v>
      </c>
      <c r="CS2383" s="1" t="s">
        <v>539</v>
      </c>
      <c r="CT2383" s="1" t="s">
        <v>784</v>
      </c>
      <c r="CU2383" s="1" t="s">
        <v>220</v>
      </c>
      <c r="CV2383" s="1" t="s">
        <v>343</v>
      </c>
      <c r="CX2383" s="1" t="s">
        <v>224</v>
      </c>
      <c r="DB2383" s="1" t="s">
        <v>224</v>
      </c>
      <c r="DE2383" s="1" t="s">
        <v>564</v>
      </c>
      <c r="DF2383" s="1" t="s">
        <v>277</v>
      </c>
      <c r="DG2383" s="1" t="s">
        <v>438</v>
      </c>
      <c r="DH2383" s="1" t="s">
        <v>343</v>
      </c>
      <c r="DI2383" s="1" t="s">
        <v>221</v>
      </c>
      <c r="DJ2383" s="1" t="s">
        <v>219</v>
      </c>
      <c r="DK2383" s="1" t="s">
        <v>220</v>
      </c>
      <c r="DL2383" s="1" t="s">
        <v>343</v>
      </c>
      <c r="DS2383" s="1" t="s">
        <v>230</v>
      </c>
      <c r="DW2383" s="1" t="s">
        <v>230</v>
      </c>
      <c r="EA2383" s="1" t="s">
        <v>230</v>
      </c>
      <c r="EE2383" s="1" t="s">
        <v>230</v>
      </c>
      <c r="EI2383" s="1" t="s">
        <v>230</v>
      </c>
      <c r="EL2383" s="1" t="s">
        <v>491</v>
      </c>
      <c r="EM2383" s="1" t="s">
        <v>319</v>
      </c>
      <c r="EN2383" s="1" t="s">
        <v>282</v>
      </c>
      <c r="EO2383" s="1" t="s">
        <v>840</v>
      </c>
      <c r="EP2383" s="1" t="s">
        <v>20760</v>
      </c>
      <c r="EQ2383" s="1" t="s">
        <v>3931</v>
      </c>
      <c r="ER2383" s="1" t="s">
        <v>210</v>
      </c>
      <c r="ES2383" s="1" t="s">
        <v>493</v>
      </c>
      <c r="ET2383" s="1" t="s">
        <v>866</v>
      </c>
      <c r="EW2383" s="1" t="s">
        <v>353</v>
      </c>
      <c r="EZ2383" s="1" t="s">
        <v>287</v>
      </c>
      <c r="FC2383" s="1" t="s">
        <v>548</v>
      </c>
      <c r="FD2383" s="1" t="s">
        <v>246</v>
      </c>
      <c r="FE2383" s="1" t="s">
        <v>247</v>
      </c>
      <c r="FF2383" s="1" t="s">
        <v>3103</v>
      </c>
      <c r="FH2383" s="1" t="s">
        <v>1428</v>
      </c>
      <c r="FI2383" s="1" t="s">
        <v>4358</v>
      </c>
      <c r="FL2383" s="1" t="s">
        <v>414</v>
      </c>
      <c r="FM2383" s="1" t="s">
        <v>252</v>
      </c>
      <c r="FN2383" s="1" t="s">
        <v>213</v>
      </c>
      <c r="FO2383" s="1" t="s">
        <v>213</v>
      </c>
      <c r="FQ2383" s="1" t="s">
        <v>717</v>
      </c>
      <c r="FR2383" s="1" t="s">
        <v>210</v>
      </c>
      <c r="FS2383" s="1" t="s">
        <v>7290</v>
      </c>
      <c r="FT2383" s="1" t="s">
        <v>20761</v>
      </c>
      <c r="FU2383" s="1" t="s">
        <v>213</v>
      </c>
      <c r="FW2383" s="1" t="s">
        <v>813</v>
      </c>
      <c r="FX2383" s="1">
        <v>5170</v>
      </c>
      <c r="FY2383" s="1" t="s">
        <v>9000</v>
      </c>
      <c r="FZ2383" s="1" t="s">
        <v>20761</v>
      </c>
      <c r="GA2383" s="1">
        <v>55860</v>
      </c>
      <c r="GD2383" s="1" t="s">
        <v>20762</v>
      </c>
      <c r="GE2383" s="1" t="s">
        <v>658</v>
      </c>
      <c r="GI2383" s="1" t="s">
        <v>213</v>
      </c>
      <c r="GJ2383" s="1" t="s">
        <v>260</v>
      </c>
      <c r="GK2383" s="1" t="s">
        <v>210</v>
      </c>
      <c r="GL2383" s="2">
        <v>42087</v>
      </c>
      <c r="GM2383" s="1" t="s">
        <v>20763</v>
      </c>
    </row>
    <row r="2384" spans="1:195">
      <c r="A2384" s="1">
        <v>74000</v>
      </c>
      <c r="B2384" s="1" t="s">
        <v>195</v>
      </c>
      <c r="C2384" s="1" t="str">
        <f>"08823226"</f>
        <v>08823226</v>
      </c>
      <c r="D2384" s="1" t="s">
        <v>196</v>
      </c>
      <c r="F2384" s="1" t="str">
        <f>"8074"</f>
        <v>8074</v>
      </c>
      <c r="G2384" s="2">
        <v>42027</v>
      </c>
      <c r="H2384" s="1">
        <v>78500</v>
      </c>
      <c r="I2384" s="1">
        <v>78500</v>
      </c>
      <c r="J2384" s="1">
        <v>74000</v>
      </c>
      <c r="K2384" s="2">
        <v>42027</v>
      </c>
      <c r="L2384" s="1">
        <v>28</v>
      </c>
      <c r="M2384" s="2">
        <v>42054</v>
      </c>
      <c r="N2384" s="1">
        <v>28</v>
      </c>
      <c r="O2384" s="2">
        <v>42054</v>
      </c>
      <c r="P2384" s="1">
        <v>24274</v>
      </c>
      <c r="Q2384" s="1" t="s">
        <v>197</v>
      </c>
      <c r="R2384" s="2">
        <v>42087</v>
      </c>
      <c r="S2384" s="1">
        <v>225304</v>
      </c>
      <c r="U2384" s="1">
        <v>3939</v>
      </c>
      <c r="V2384" s="1" t="s">
        <v>20764</v>
      </c>
      <c r="W2384" s="1" t="s">
        <v>725</v>
      </c>
      <c r="X2384" s="1" t="s">
        <v>2010</v>
      </c>
      <c r="Y2384" s="1">
        <v>48</v>
      </c>
      <c r="Z2384" s="1" t="s">
        <v>249</v>
      </c>
      <c r="AA2384" s="1" t="s">
        <v>400</v>
      </c>
      <c r="AB2384" s="1">
        <v>60655</v>
      </c>
      <c r="AE2384" s="1" t="s">
        <v>20765</v>
      </c>
      <c r="AF2384" s="1">
        <v>1973</v>
      </c>
      <c r="AG2384" s="1" t="s">
        <v>213</v>
      </c>
      <c r="AH2384" s="1" t="s">
        <v>403</v>
      </c>
      <c r="AI2384" s="1" t="s">
        <v>310</v>
      </c>
      <c r="AJ2384" s="1" t="s">
        <v>683</v>
      </c>
      <c r="AL2384" s="1">
        <v>5</v>
      </c>
      <c r="AM2384" s="1">
        <v>2</v>
      </c>
      <c r="AN2384" s="1">
        <v>1</v>
      </c>
      <c r="AO2384" s="1">
        <v>0</v>
      </c>
      <c r="AP2384" s="1" t="s">
        <v>210</v>
      </c>
      <c r="AR2384" s="1" t="s">
        <v>210</v>
      </c>
      <c r="AT2384" s="1" t="s">
        <v>271</v>
      </c>
      <c r="AV2384" s="1">
        <v>1</v>
      </c>
      <c r="AW2384" s="1" t="s">
        <v>204</v>
      </c>
      <c r="AX2384" s="1" t="s">
        <v>212</v>
      </c>
      <c r="AZ2384" s="1">
        <v>1454.88</v>
      </c>
      <c r="BA2384" s="1">
        <v>2012</v>
      </c>
      <c r="BB2384" s="1" t="s">
        <v>405</v>
      </c>
      <c r="BE2384" s="1">
        <v>950</v>
      </c>
      <c r="BF2384" s="1">
        <v>1</v>
      </c>
      <c r="BG2384" s="1">
        <v>0</v>
      </c>
      <c r="BL2384" s="1">
        <v>210</v>
      </c>
      <c r="BM2384" s="1" t="s">
        <v>204</v>
      </c>
      <c r="BN2384" s="1" t="s">
        <v>213</v>
      </c>
      <c r="BO2384" s="1">
        <v>30</v>
      </c>
      <c r="BP2384" s="1" t="s">
        <v>204</v>
      </c>
      <c r="BR2384" s="1" t="str">
        <f>"24141040821013"</f>
        <v>24141040821013</v>
      </c>
      <c r="BT2384" s="1" t="s">
        <v>20766</v>
      </c>
      <c r="BX2384" s="1">
        <v>299</v>
      </c>
      <c r="BY2384" s="1">
        <v>299</v>
      </c>
      <c r="BZ2384" s="1">
        <v>299</v>
      </c>
      <c r="CB2384" s="1" t="str">
        <f t="shared" ref="CB2384:CC2384" si="1829">"0"</f>
        <v>0</v>
      </c>
      <c r="CC2384" s="1" t="str">
        <f t="shared" si="1829"/>
        <v>0</v>
      </c>
      <c r="CD2384" s="1">
        <v>3939</v>
      </c>
      <c r="CE2384" s="1">
        <v>10400</v>
      </c>
      <c r="CG2384" s="1" t="s">
        <v>1533</v>
      </c>
      <c r="CH2384" s="1" t="s">
        <v>219</v>
      </c>
      <c r="CI2384" s="1" t="s">
        <v>229</v>
      </c>
      <c r="CK2384" s="1" t="s">
        <v>344</v>
      </c>
      <c r="CL2384" s="1" t="s">
        <v>219</v>
      </c>
      <c r="CM2384" s="1" t="s">
        <v>220</v>
      </c>
      <c r="CO2384" s="1" t="s">
        <v>1855</v>
      </c>
      <c r="CP2384" s="1" t="s">
        <v>219</v>
      </c>
      <c r="CQ2384" s="1" t="s">
        <v>229</v>
      </c>
      <c r="CS2384" s="1" t="s">
        <v>837</v>
      </c>
      <c r="CT2384" s="1" t="s">
        <v>219</v>
      </c>
      <c r="CU2384" s="1" t="s">
        <v>220</v>
      </c>
      <c r="CX2384" s="1" t="s">
        <v>224</v>
      </c>
      <c r="DB2384" s="1" t="s">
        <v>224</v>
      </c>
      <c r="DE2384" s="1" t="s">
        <v>1855</v>
      </c>
      <c r="DF2384" s="1" t="s">
        <v>219</v>
      </c>
      <c r="DG2384" s="1" t="s">
        <v>229</v>
      </c>
      <c r="DJ2384" s="1" t="s">
        <v>224</v>
      </c>
      <c r="DS2384" s="1" t="s">
        <v>230</v>
      </c>
      <c r="DW2384" s="1" t="s">
        <v>230</v>
      </c>
      <c r="EA2384" s="1" t="s">
        <v>230</v>
      </c>
      <c r="EE2384" s="1" t="s">
        <v>230</v>
      </c>
      <c r="EI2384" s="1" t="s">
        <v>230</v>
      </c>
      <c r="EL2384" s="1" t="s">
        <v>605</v>
      </c>
      <c r="EM2384" s="1" t="s">
        <v>730</v>
      </c>
      <c r="EN2384" s="1" t="s">
        <v>1158</v>
      </c>
      <c r="EO2384" s="1" t="s">
        <v>234</v>
      </c>
      <c r="EP2384" s="1" t="s">
        <v>17937</v>
      </c>
      <c r="EQ2384" s="1" t="s">
        <v>3572</v>
      </c>
      <c r="ER2384" s="1" t="s">
        <v>210</v>
      </c>
      <c r="EW2384" s="1" t="s">
        <v>2765</v>
      </c>
      <c r="EY2384" s="1" t="s">
        <v>242</v>
      </c>
      <c r="EZ2384" s="1" t="s">
        <v>287</v>
      </c>
      <c r="FB2384" s="1" t="s">
        <v>734</v>
      </c>
      <c r="FC2384" s="1" t="s">
        <v>1386</v>
      </c>
      <c r="FD2384" s="1" t="s">
        <v>246</v>
      </c>
      <c r="FE2384" s="1" t="s">
        <v>247</v>
      </c>
      <c r="FF2384" s="1" t="s">
        <v>248</v>
      </c>
      <c r="FH2384" s="1" t="s">
        <v>249</v>
      </c>
      <c r="FK2384" s="1" t="s">
        <v>291</v>
      </c>
      <c r="FL2384" s="1" t="s">
        <v>414</v>
      </c>
      <c r="FM2384" s="1" t="s">
        <v>252</v>
      </c>
      <c r="FN2384" s="1" t="s">
        <v>213</v>
      </c>
      <c r="FO2384" s="1" t="s">
        <v>213</v>
      </c>
      <c r="FQ2384" s="1" t="s">
        <v>849</v>
      </c>
      <c r="FR2384" s="1" t="s">
        <v>210</v>
      </c>
      <c r="FS2384" s="1" t="s">
        <v>20767</v>
      </c>
      <c r="FT2384" s="1" t="s">
        <v>295</v>
      </c>
      <c r="FU2384" s="1" t="s">
        <v>204</v>
      </c>
      <c r="FW2384" s="1" t="s">
        <v>20768</v>
      </c>
      <c r="FX2384" s="1">
        <v>24174</v>
      </c>
      <c r="FY2384" s="1" t="s">
        <v>20769</v>
      </c>
      <c r="FZ2384" s="1" t="s">
        <v>20770</v>
      </c>
      <c r="GA2384" s="1">
        <v>243295</v>
      </c>
      <c r="GC2384" s="1">
        <v>219332</v>
      </c>
      <c r="GE2384" s="1" t="s">
        <v>210</v>
      </c>
      <c r="GH2384" s="1" t="s">
        <v>589</v>
      </c>
      <c r="GI2384" s="1" t="s">
        <v>213</v>
      </c>
      <c r="GJ2384" s="1" t="s">
        <v>260</v>
      </c>
      <c r="GK2384" s="1" t="s">
        <v>210</v>
      </c>
      <c r="GL2384" s="2">
        <v>42088</v>
      </c>
      <c r="GM2384" s="1" t="s">
        <v>20771</v>
      </c>
    </row>
    <row r="2385" spans="1:195">
      <c r="A2385" s="1">
        <v>86000</v>
      </c>
      <c r="B2385" s="1" t="s">
        <v>195</v>
      </c>
      <c r="C2385" s="1" t="str">
        <f>"08827043"</f>
        <v>08827043</v>
      </c>
      <c r="D2385" s="1" t="s">
        <v>196</v>
      </c>
      <c r="F2385" s="1" t="str">
        <f>"517"</f>
        <v>517</v>
      </c>
      <c r="G2385" s="2">
        <v>42033</v>
      </c>
      <c r="H2385" s="1">
        <v>89900</v>
      </c>
      <c r="I2385" s="1">
        <v>89900</v>
      </c>
      <c r="J2385" s="1">
        <v>86000</v>
      </c>
      <c r="K2385" s="2">
        <v>42033</v>
      </c>
      <c r="L2385" s="1">
        <v>5</v>
      </c>
      <c r="M2385" s="2">
        <v>42037</v>
      </c>
      <c r="N2385" s="1">
        <v>5</v>
      </c>
      <c r="O2385" s="2">
        <v>42037</v>
      </c>
      <c r="P2385" s="1">
        <v>8073</v>
      </c>
      <c r="Q2385" s="1" t="s">
        <v>423</v>
      </c>
      <c r="R2385" s="2">
        <v>42097</v>
      </c>
      <c r="S2385" s="1">
        <v>81737</v>
      </c>
      <c r="U2385" s="1">
        <v>2730</v>
      </c>
      <c r="V2385" s="1" t="s">
        <v>20772</v>
      </c>
      <c r="W2385" s="1" t="s">
        <v>264</v>
      </c>
      <c r="X2385" s="1">
        <v>7</v>
      </c>
      <c r="Y2385" s="1">
        <v>8</v>
      </c>
      <c r="Z2385" s="1" t="s">
        <v>14083</v>
      </c>
      <c r="AA2385" s="1" t="s">
        <v>2850</v>
      </c>
      <c r="AB2385" s="1">
        <v>60517</v>
      </c>
      <c r="AD2385" s="1" t="s">
        <v>2851</v>
      </c>
      <c r="AE2385" s="1" t="s">
        <v>20773</v>
      </c>
      <c r="AF2385" s="1">
        <v>1972</v>
      </c>
      <c r="AG2385" s="1" t="s">
        <v>213</v>
      </c>
      <c r="AH2385" s="1" t="s">
        <v>2853</v>
      </c>
      <c r="AI2385" s="1" t="s">
        <v>206</v>
      </c>
      <c r="AJ2385" s="1" t="s">
        <v>925</v>
      </c>
      <c r="AL2385" s="1">
        <v>5</v>
      </c>
      <c r="AM2385" s="1">
        <v>2</v>
      </c>
      <c r="AN2385" s="1">
        <v>2</v>
      </c>
      <c r="AO2385" s="1">
        <v>0</v>
      </c>
      <c r="AP2385" s="1" t="s">
        <v>209</v>
      </c>
      <c r="AR2385" s="1" t="s">
        <v>210</v>
      </c>
      <c r="AS2385" s="1" t="s">
        <v>204</v>
      </c>
      <c r="AT2385" s="1" t="s">
        <v>271</v>
      </c>
      <c r="AV2385" s="1">
        <v>2</v>
      </c>
      <c r="AW2385" s="1" t="s">
        <v>204</v>
      </c>
      <c r="AX2385" s="1" t="s">
        <v>212</v>
      </c>
      <c r="AZ2385" s="1">
        <v>2776</v>
      </c>
      <c r="BA2385" s="1">
        <v>2013</v>
      </c>
      <c r="BE2385" s="1">
        <v>1150</v>
      </c>
      <c r="BF2385" s="1">
        <v>2</v>
      </c>
      <c r="BG2385" s="1">
        <v>30</v>
      </c>
      <c r="BL2385" s="1">
        <v>313</v>
      </c>
      <c r="BM2385" s="1" t="s">
        <v>204</v>
      </c>
      <c r="BN2385" s="1" t="s">
        <v>213</v>
      </c>
      <c r="BO2385" s="1">
        <v>35</v>
      </c>
      <c r="BP2385" s="1" t="s">
        <v>204</v>
      </c>
      <c r="BR2385" s="1" t="str">
        <f>"0823209085"</f>
        <v>0823209085</v>
      </c>
      <c r="BT2385" s="1" t="s">
        <v>20774</v>
      </c>
      <c r="BU2385" s="1" t="s">
        <v>2855</v>
      </c>
      <c r="BV2385" s="1" t="s">
        <v>2856</v>
      </c>
      <c r="BW2385" s="1" t="s">
        <v>2762</v>
      </c>
      <c r="BX2385" s="1">
        <v>68</v>
      </c>
      <c r="BY2385" s="1">
        <v>68</v>
      </c>
      <c r="BZ2385" s="1">
        <v>99</v>
      </c>
      <c r="CB2385" s="1" t="str">
        <f t="shared" ref="CB2385:CC2385" si="1830">""</f>
        <v/>
      </c>
      <c r="CC2385" s="1" t="str">
        <f t="shared" si="1830"/>
        <v/>
      </c>
      <c r="CG2385" s="1" t="s">
        <v>1570</v>
      </c>
      <c r="CH2385" s="1" t="s">
        <v>219</v>
      </c>
      <c r="CI2385" s="1" t="s">
        <v>220</v>
      </c>
      <c r="CJ2385" s="1" t="s">
        <v>463</v>
      </c>
      <c r="CK2385" s="1" t="s">
        <v>344</v>
      </c>
      <c r="CL2385" s="1" t="s">
        <v>219</v>
      </c>
      <c r="CM2385" s="1" t="s">
        <v>220</v>
      </c>
      <c r="CN2385" s="1" t="s">
        <v>463</v>
      </c>
      <c r="CO2385" s="1" t="s">
        <v>318</v>
      </c>
      <c r="CP2385" s="1" t="s">
        <v>219</v>
      </c>
      <c r="CQ2385" s="1" t="s">
        <v>220</v>
      </c>
      <c r="CR2385" s="1" t="s">
        <v>463</v>
      </c>
      <c r="CS2385" s="1" t="s">
        <v>1297</v>
      </c>
      <c r="CT2385" s="1" t="s">
        <v>219</v>
      </c>
      <c r="CU2385" s="1" t="s">
        <v>220</v>
      </c>
      <c r="CV2385" s="1" t="s">
        <v>463</v>
      </c>
      <c r="CX2385" s="1" t="s">
        <v>224</v>
      </c>
      <c r="DB2385" s="1" t="s">
        <v>224</v>
      </c>
      <c r="DE2385" s="1" t="s">
        <v>380</v>
      </c>
      <c r="DF2385" s="1" t="s">
        <v>219</v>
      </c>
      <c r="DG2385" s="1" t="s">
        <v>226</v>
      </c>
      <c r="DJ2385" s="1" t="s">
        <v>224</v>
      </c>
      <c r="DS2385" s="1" t="s">
        <v>230</v>
      </c>
      <c r="DW2385" s="1" t="s">
        <v>230</v>
      </c>
      <c r="EA2385" s="1" t="s">
        <v>230</v>
      </c>
      <c r="EE2385" s="1" t="s">
        <v>230</v>
      </c>
      <c r="EI2385" s="1" t="s">
        <v>230</v>
      </c>
      <c r="EL2385" s="1" t="s">
        <v>605</v>
      </c>
      <c r="EM2385" s="1" t="s">
        <v>232</v>
      </c>
      <c r="EN2385" s="1" t="s">
        <v>282</v>
      </c>
      <c r="EO2385" s="1" t="s">
        <v>234</v>
      </c>
      <c r="EQ2385" s="1" t="s">
        <v>284</v>
      </c>
      <c r="ER2385" s="1" t="s">
        <v>210</v>
      </c>
      <c r="ES2385" s="1" t="s">
        <v>545</v>
      </c>
      <c r="EW2385" s="1" t="s">
        <v>2765</v>
      </c>
      <c r="EZ2385" s="1" t="s">
        <v>287</v>
      </c>
      <c r="FD2385" s="1" t="s">
        <v>246</v>
      </c>
      <c r="FE2385" s="1" t="s">
        <v>386</v>
      </c>
      <c r="FF2385" s="1" t="s">
        <v>248</v>
      </c>
      <c r="FH2385" s="1" t="s">
        <v>249</v>
      </c>
      <c r="FL2385" s="1" t="s">
        <v>414</v>
      </c>
      <c r="FM2385" s="1" t="s">
        <v>252</v>
      </c>
      <c r="FN2385" s="1" t="s">
        <v>213</v>
      </c>
      <c r="FO2385" s="1" t="s">
        <v>213</v>
      </c>
      <c r="FQ2385" s="1" t="s">
        <v>793</v>
      </c>
      <c r="FR2385" s="1" t="s">
        <v>210</v>
      </c>
      <c r="FS2385" s="1" t="s">
        <v>20775</v>
      </c>
      <c r="FT2385" s="1" t="s">
        <v>1139</v>
      </c>
      <c r="FU2385" s="1" t="s">
        <v>204</v>
      </c>
      <c r="FW2385" s="1" t="s">
        <v>915</v>
      </c>
      <c r="FX2385" s="1">
        <v>23076</v>
      </c>
      <c r="FY2385" s="1" t="s">
        <v>1909</v>
      </c>
      <c r="FZ2385" s="1" t="s">
        <v>20776</v>
      </c>
      <c r="GA2385" s="1">
        <v>233813</v>
      </c>
      <c r="GB2385" s="1" t="s">
        <v>20777</v>
      </c>
      <c r="GE2385" s="1" t="s">
        <v>480</v>
      </c>
      <c r="GI2385" s="1" t="s">
        <v>213</v>
      </c>
      <c r="GJ2385" s="1" t="s">
        <v>260</v>
      </c>
      <c r="GK2385" s="1" t="s">
        <v>210</v>
      </c>
      <c r="GL2385" s="2">
        <v>42097</v>
      </c>
    </row>
    <row r="2386" spans="1:195">
      <c r="A2386" s="1">
        <v>230000</v>
      </c>
      <c r="B2386" s="1" t="s">
        <v>195</v>
      </c>
      <c r="C2386" s="1" t="str">
        <f>"08824069"</f>
        <v>08824069</v>
      </c>
      <c r="D2386" s="1" t="s">
        <v>196</v>
      </c>
      <c r="F2386" s="1" t="str">
        <f>"190"</f>
        <v>190</v>
      </c>
      <c r="G2386" s="2">
        <v>42030</v>
      </c>
      <c r="H2386" s="1">
        <v>235000</v>
      </c>
      <c r="I2386" s="1">
        <v>235000</v>
      </c>
      <c r="J2386" s="1">
        <v>230000</v>
      </c>
      <c r="K2386" s="2">
        <v>42027</v>
      </c>
      <c r="L2386" s="1">
        <v>21</v>
      </c>
      <c r="M2386" s="2">
        <v>42047</v>
      </c>
      <c r="N2386" s="1">
        <v>21</v>
      </c>
      <c r="O2386" s="2">
        <v>42047</v>
      </c>
      <c r="P2386" s="1">
        <v>24728</v>
      </c>
      <c r="Q2386" s="1" t="s">
        <v>197</v>
      </c>
      <c r="R2386" s="2">
        <v>42103</v>
      </c>
      <c r="S2386" s="1">
        <v>237066</v>
      </c>
      <c r="T2386" s="1">
        <v>2300</v>
      </c>
      <c r="U2386" s="1" t="s">
        <v>20778</v>
      </c>
      <c r="V2386" s="1" t="s">
        <v>20779</v>
      </c>
      <c r="W2386" s="1" t="s">
        <v>304</v>
      </c>
      <c r="Y2386" s="1">
        <v>6</v>
      </c>
      <c r="Z2386" s="1" t="s">
        <v>370</v>
      </c>
      <c r="AA2386" s="1" t="s">
        <v>1915</v>
      </c>
      <c r="AB2386" s="1">
        <v>60190</v>
      </c>
      <c r="AD2386" s="1" t="s">
        <v>15559</v>
      </c>
      <c r="AE2386" s="1" t="s">
        <v>20780</v>
      </c>
      <c r="AF2386" s="1">
        <v>2010</v>
      </c>
      <c r="AG2386" s="1" t="s">
        <v>204</v>
      </c>
      <c r="AH2386" s="1" t="s">
        <v>987</v>
      </c>
      <c r="AI2386" s="1" t="s">
        <v>206</v>
      </c>
      <c r="AJ2386" s="1" t="s">
        <v>987</v>
      </c>
      <c r="AK2386" s="1" t="s">
        <v>1233</v>
      </c>
      <c r="AL2386" s="1">
        <v>5</v>
      </c>
      <c r="AM2386" s="1">
        <v>2</v>
      </c>
      <c r="AN2386" s="1">
        <v>2</v>
      </c>
      <c r="AO2386" s="1">
        <v>1</v>
      </c>
      <c r="AP2386" s="1" t="s">
        <v>209</v>
      </c>
      <c r="AQ2386" s="1">
        <v>0</v>
      </c>
      <c r="AR2386" s="1" t="s">
        <v>210</v>
      </c>
      <c r="AS2386" s="1" t="s">
        <v>204</v>
      </c>
      <c r="AT2386" s="1" t="s">
        <v>211</v>
      </c>
      <c r="AU2386" s="1">
        <v>2</v>
      </c>
      <c r="AW2386" s="1" t="s">
        <v>204</v>
      </c>
      <c r="AX2386" s="1" t="s">
        <v>212</v>
      </c>
      <c r="AZ2386" s="1">
        <v>4091</v>
      </c>
      <c r="BA2386" s="1">
        <v>2013</v>
      </c>
      <c r="BB2386" s="1" t="s">
        <v>405</v>
      </c>
      <c r="BE2386" s="1">
        <v>1556</v>
      </c>
      <c r="BF2386" s="1">
        <v>1</v>
      </c>
      <c r="BG2386" s="1">
        <v>0</v>
      </c>
      <c r="BL2386" s="1">
        <v>185</v>
      </c>
      <c r="BM2386" s="1" t="s">
        <v>204</v>
      </c>
      <c r="BN2386" s="1" t="s">
        <v>213</v>
      </c>
      <c r="BO2386" s="1">
        <v>0</v>
      </c>
      <c r="BP2386" s="1" t="s">
        <v>204</v>
      </c>
      <c r="BR2386" s="1" t="str">
        <f>"0411400062"</f>
        <v>0411400062</v>
      </c>
      <c r="BT2386" s="1" t="s">
        <v>20781</v>
      </c>
      <c r="BU2386" s="1" t="s">
        <v>3162</v>
      </c>
      <c r="BV2386" s="1" t="s">
        <v>3163</v>
      </c>
      <c r="BW2386" s="1" t="s">
        <v>1675</v>
      </c>
      <c r="BX2386" s="1">
        <v>34</v>
      </c>
      <c r="BY2386" s="1">
        <v>34</v>
      </c>
      <c r="BZ2386" s="1">
        <v>94</v>
      </c>
      <c r="CB2386" s="1" t="str">
        <f t="shared" ref="CB2386:CC2386" si="1831">""</f>
        <v/>
      </c>
      <c r="CC2386" s="1" t="str">
        <f t="shared" si="1831"/>
        <v/>
      </c>
      <c r="CH2386" s="1" t="s">
        <v>224</v>
      </c>
      <c r="CK2386" s="1" t="s">
        <v>885</v>
      </c>
      <c r="CL2386" s="1" t="s">
        <v>277</v>
      </c>
      <c r="CM2386" s="1" t="s">
        <v>220</v>
      </c>
      <c r="CN2386" s="1" t="s">
        <v>909</v>
      </c>
      <c r="CP2386" s="1" t="s">
        <v>224</v>
      </c>
      <c r="CS2386" s="1" t="s">
        <v>757</v>
      </c>
      <c r="CT2386" s="1" t="s">
        <v>277</v>
      </c>
      <c r="CU2386" s="1" t="s">
        <v>220</v>
      </c>
      <c r="CV2386" s="1" t="s">
        <v>463</v>
      </c>
      <c r="CX2386" s="1" t="s">
        <v>224</v>
      </c>
      <c r="DB2386" s="1" t="s">
        <v>224</v>
      </c>
      <c r="DE2386" s="1" t="s">
        <v>539</v>
      </c>
      <c r="DF2386" s="1" t="s">
        <v>219</v>
      </c>
      <c r="DG2386" s="1" t="s">
        <v>438</v>
      </c>
      <c r="DH2386" s="1" t="s">
        <v>463</v>
      </c>
      <c r="DI2386" s="1" t="s">
        <v>729</v>
      </c>
      <c r="DJ2386" s="1" t="s">
        <v>822</v>
      </c>
      <c r="DK2386" s="1" t="s">
        <v>438</v>
      </c>
      <c r="DL2386" s="1" t="s">
        <v>343</v>
      </c>
      <c r="DM2386" s="1" t="s">
        <v>381</v>
      </c>
      <c r="DR2386" s="1" t="s">
        <v>281</v>
      </c>
      <c r="DS2386" s="1" t="s">
        <v>219</v>
      </c>
      <c r="DT2386" s="1" t="s">
        <v>438</v>
      </c>
      <c r="DU2386" s="1" t="s">
        <v>463</v>
      </c>
      <c r="DW2386" s="1" t="s">
        <v>230</v>
      </c>
      <c r="EA2386" s="1" t="s">
        <v>230</v>
      </c>
      <c r="EE2386" s="1" t="s">
        <v>230</v>
      </c>
      <c r="EI2386" s="1" t="s">
        <v>230</v>
      </c>
      <c r="EL2386" s="1" t="s">
        <v>1549</v>
      </c>
      <c r="EM2386" s="1" t="s">
        <v>730</v>
      </c>
      <c r="EN2386" s="1" t="s">
        <v>282</v>
      </c>
      <c r="EO2386" s="1" t="s">
        <v>234</v>
      </c>
      <c r="EP2386" s="1" t="s">
        <v>1268</v>
      </c>
      <c r="EQ2386" s="1" t="s">
        <v>1551</v>
      </c>
      <c r="ER2386" s="1" t="s">
        <v>1069</v>
      </c>
      <c r="ES2386" s="1" t="s">
        <v>4621</v>
      </c>
      <c r="ET2386" s="1" t="s">
        <v>842</v>
      </c>
      <c r="EU2386" s="1" t="s">
        <v>712</v>
      </c>
      <c r="EW2386" s="1" t="s">
        <v>353</v>
      </c>
      <c r="EY2386" s="1" t="s">
        <v>242</v>
      </c>
      <c r="EZ2386" s="1" t="s">
        <v>381</v>
      </c>
      <c r="FA2386" s="1" t="s">
        <v>714</v>
      </c>
      <c r="FB2386" s="1" t="s">
        <v>289</v>
      </c>
      <c r="FC2386" s="1" t="s">
        <v>1386</v>
      </c>
      <c r="FD2386" s="1" t="s">
        <v>246</v>
      </c>
      <c r="FE2386" s="1" t="s">
        <v>975</v>
      </c>
      <c r="FF2386" s="1" t="s">
        <v>248</v>
      </c>
      <c r="FH2386" s="1" t="s">
        <v>1428</v>
      </c>
      <c r="FI2386" s="1" t="s">
        <v>473</v>
      </c>
      <c r="FL2386" s="1" t="s">
        <v>358</v>
      </c>
      <c r="FM2386" s="1" t="s">
        <v>252</v>
      </c>
      <c r="FN2386" s="1" t="s">
        <v>213</v>
      </c>
      <c r="FO2386" s="1" t="s">
        <v>213</v>
      </c>
      <c r="FQ2386" s="1" t="s">
        <v>1758</v>
      </c>
      <c r="FR2386" s="1" t="s">
        <v>210</v>
      </c>
      <c r="FS2386" s="1" t="s">
        <v>20782</v>
      </c>
      <c r="FT2386" s="1" t="s">
        <v>295</v>
      </c>
      <c r="FU2386" s="1" t="s">
        <v>204</v>
      </c>
      <c r="FW2386" s="1" t="s">
        <v>585</v>
      </c>
      <c r="FX2386" s="1">
        <v>23156</v>
      </c>
      <c r="FY2386" s="1" t="s">
        <v>1253</v>
      </c>
      <c r="FZ2386" s="1" t="s">
        <v>20783</v>
      </c>
      <c r="GA2386" s="1">
        <v>229320</v>
      </c>
      <c r="GB2386" s="1" t="s">
        <v>20784</v>
      </c>
      <c r="GD2386" s="1" t="s">
        <v>20785</v>
      </c>
      <c r="GE2386" s="1" t="s">
        <v>1256</v>
      </c>
      <c r="GI2386" s="1" t="s">
        <v>213</v>
      </c>
      <c r="GJ2386" s="1" t="s">
        <v>260</v>
      </c>
      <c r="GK2386" s="1" t="s">
        <v>210</v>
      </c>
      <c r="GL2386" s="2">
        <v>42103</v>
      </c>
      <c r="GM2386" s="1" t="s">
        <v>20786</v>
      </c>
    </row>
    <row r="2387" spans="1:195">
      <c r="A2387" s="1">
        <v>175000</v>
      </c>
      <c r="B2387" s="1" t="s">
        <v>195</v>
      </c>
      <c r="C2387" s="1" t="str">
        <f>"08824641"</f>
        <v>08824641</v>
      </c>
      <c r="D2387" s="1" t="s">
        <v>196</v>
      </c>
      <c r="F2387" s="1" t="str">
        <f>"103"</f>
        <v>103</v>
      </c>
      <c r="G2387" s="2">
        <v>42030</v>
      </c>
      <c r="H2387" s="1">
        <v>184900</v>
      </c>
      <c r="I2387" s="1">
        <v>184900</v>
      </c>
      <c r="J2387" s="1">
        <v>175000</v>
      </c>
      <c r="K2387" s="2">
        <v>42030</v>
      </c>
      <c r="L2387" s="1">
        <v>7</v>
      </c>
      <c r="M2387" s="2">
        <v>42036</v>
      </c>
      <c r="N2387" s="1">
        <v>7</v>
      </c>
      <c r="O2387" s="2">
        <v>42036</v>
      </c>
      <c r="P2387" s="1">
        <v>14470</v>
      </c>
      <c r="Q2387" s="1" t="s">
        <v>423</v>
      </c>
      <c r="R2387" s="2">
        <v>42073</v>
      </c>
      <c r="S2387" s="1">
        <v>128653</v>
      </c>
      <c r="U2387" s="1">
        <v>5504</v>
      </c>
      <c r="V2387" s="1" t="s">
        <v>20787</v>
      </c>
      <c r="X2387" s="1">
        <v>5504</v>
      </c>
      <c r="Y2387" s="1">
        <v>10</v>
      </c>
      <c r="Z2387" s="1" t="s">
        <v>200</v>
      </c>
      <c r="AA2387" s="1" t="s">
        <v>337</v>
      </c>
      <c r="AB2387" s="1">
        <v>60133</v>
      </c>
      <c r="AE2387" s="1" t="s">
        <v>20788</v>
      </c>
      <c r="AF2387" s="1">
        <v>1997</v>
      </c>
      <c r="AG2387" s="1" t="s">
        <v>204</v>
      </c>
      <c r="AH2387" s="1" t="s">
        <v>339</v>
      </c>
      <c r="AI2387" s="1" t="s">
        <v>206</v>
      </c>
      <c r="AJ2387" s="1" t="s">
        <v>2654</v>
      </c>
      <c r="AL2387" s="1">
        <v>6</v>
      </c>
      <c r="AM2387" s="1">
        <v>2</v>
      </c>
      <c r="AN2387" s="1">
        <v>2</v>
      </c>
      <c r="AO2387" s="1">
        <v>1</v>
      </c>
      <c r="AP2387" s="1" t="s">
        <v>209</v>
      </c>
      <c r="AQ2387" s="1">
        <v>1</v>
      </c>
      <c r="AR2387" s="1" t="s">
        <v>2275</v>
      </c>
      <c r="AS2387" s="1" t="s">
        <v>204</v>
      </c>
      <c r="AT2387" s="1" t="s">
        <v>211</v>
      </c>
      <c r="AU2387" s="1">
        <v>2</v>
      </c>
      <c r="AW2387" s="1" t="s">
        <v>204</v>
      </c>
      <c r="AX2387" s="1" t="s">
        <v>212</v>
      </c>
      <c r="AZ2387" s="1">
        <v>5992</v>
      </c>
      <c r="BA2387" s="1">
        <v>2013</v>
      </c>
      <c r="BB2387" s="1" t="s">
        <v>405</v>
      </c>
      <c r="BE2387" s="1">
        <v>1451</v>
      </c>
      <c r="BF2387" s="1">
        <v>1</v>
      </c>
      <c r="BG2387" s="1">
        <v>0</v>
      </c>
      <c r="BL2387" s="1">
        <v>200</v>
      </c>
      <c r="BM2387" s="1" t="s">
        <v>204</v>
      </c>
      <c r="BN2387" s="1" t="s">
        <v>213</v>
      </c>
      <c r="BO2387" s="1">
        <v>999</v>
      </c>
      <c r="BP2387" s="1" t="s">
        <v>204</v>
      </c>
      <c r="BR2387" s="1" t="str">
        <f>"0112216072"</f>
        <v>0112216072</v>
      </c>
      <c r="BT2387" s="1" t="s">
        <v>20789</v>
      </c>
      <c r="BX2387" s="1">
        <v>46</v>
      </c>
      <c r="BY2387" s="1">
        <v>46</v>
      </c>
      <c r="BZ2387" s="1">
        <v>46</v>
      </c>
      <c r="CB2387" s="1" t="str">
        <f>"6"</f>
        <v>6</v>
      </c>
      <c r="CC2387" s="1" t="str">
        <f>"0"</f>
        <v>0</v>
      </c>
      <c r="CD2387" s="1">
        <v>27</v>
      </c>
      <c r="CE2387" s="1">
        <v>0</v>
      </c>
      <c r="CG2387" s="1" t="s">
        <v>1936</v>
      </c>
      <c r="CH2387" s="1" t="s">
        <v>219</v>
      </c>
      <c r="CI2387" s="1" t="s">
        <v>438</v>
      </c>
      <c r="CK2387" s="1" t="s">
        <v>885</v>
      </c>
      <c r="CL2387" s="1" t="s">
        <v>277</v>
      </c>
      <c r="CM2387" s="1" t="s">
        <v>438</v>
      </c>
      <c r="CO2387" s="1" t="s">
        <v>346</v>
      </c>
      <c r="CP2387" s="1" t="s">
        <v>219</v>
      </c>
      <c r="CQ2387" s="1" t="s">
        <v>438</v>
      </c>
      <c r="CS2387" s="1" t="s">
        <v>318</v>
      </c>
      <c r="CT2387" s="1" t="s">
        <v>277</v>
      </c>
      <c r="CU2387" s="1" t="s">
        <v>438</v>
      </c>
      <c r="CX2387" s="1" t="s">
        <v>224</v>
      </c>
      <c r="DB2387" s="1" t="s">
        <v>224</v>
      </c>
      <c r="DE2387" s="1" t="s">
        <v>952</v>
      </c>
      <c r="DF2387" s="1" t="s">
        <v>219</v>
      </c>
      <c r="DG2387" s="1" t="s">
        <v>226</v>
      </c>
      <c r="DJ2387" s="1" t="s">
        <v>224</v>
      </c>
      <c r="DM2387" s="1" t="s">
        <v>464</v>
      </c>
      <c r="DR2387" s="1" t="s">
        <v>346</v>
      </c>
      <c r="DS2387" s="1" t="s">
        <v>277</v>
      </c>
      <c r="DT2387" s="1" t="s">
        <v>438</v>
      </c>
      <c r="DW2387" s="1" t="s">
        <v>230</v>
      </c>
      <c r="EA2387" s="1" t="s">
        <v>230</v>
      </c>
      <c r="EE2387" s="1" t="s">
        <v>230</v>
      </c>
      <c r="EI2387" s="1" t="s">
        <v>230</v>
      </c>
      <c r="EL2387" s="1" t="s">
        <v>670</v>
      </c>
      <c r="EM2387" s="1" t="s">
        <v>232</v>
      </c>
      <c r="EN2387" s="1" t="s">
        <v>282</v>
      </c>
      <c r="EO2387" s="1" t="s">
        <v>234</v>
      </c>
      <c r="EQ2387" s="1" t="s">
        <v>236</v>
      </c>
      <c r="ER2387" s="1" t="s">
        <v>1249</v>
      </c>
      <c r="ES2387" s="1" t="s">
        <v>824</v>
      </c>
      <c r="ET2387" s="1" t="s">
        <v>1404</v>
      </c>
      <c r="EU2387" s="1" t="s">
        <v>1202</v>
      </c>
      <c r="EV2387" s="1" t="s">
        <v>352</v>
      </c>
      <c r="EW2387" s="1" t="s">
        <v>353</v>
      </c>
      <c r="EY2387" s="1" t="s">
        <v>1315</v>
      </c>
      <c r="EZ2387" s="1" t="s">
        <v>464</v>
      </c>
      <c r="FA2387" s="1" t="s">
        <v>2358</v>
      </c>
      <c r="FD2387" s="1" t="s">
        <v>246</v>
      </c>
      <c r="FE2387" s="1" t="s">
        <v>975</v>
      </c>
      <c r="FF2387" s="1" t="s">
        <v>248</v>
      </c>
      <c r="FG2387" s="1" t="s">
        <v>1682</v>
      </c>
      <c r="FH2387" s="1" t="s">
        <v>550</v>
      </c>
      <c r="FI2387" s="1" t="s">
        <v>357</v>
      </c>
      <c r="FJ2387" s="1" t="s">
        <v>1620</v>
      </c>
      <c r="FL2387" s="1" t="s">
        <v>358</v>
      </c>
      <c r="FM2387" s="1" t="s">
        <v>252</v>
      </c>
      <c r="FN2387" s="1" t="s">
        <v>213</v>
      </c>
      <c r="FO2387" s="1" t="s">
        <v>213</v>
      </c>
      <c r="FQ2387" s="1" t="s">
        <v>20790</v>
      </c>
      <c r="FR2387" s="1" t="s">
        <v>210</v>
      </c>
      <c r="FS2387" s="1" t="s">
        <v>20791</v>
      </c>
      <c r="FT2387" s="1" t="s">
        <v>295</v>
      </c>
      <c r="FU2387" s="1" t="s">
        <v>204</v>
      </c>
      <c r="FW2387" s="1" t="s">
        <v>873</v>
      </c>
      <c r="FX2387" s="1">
        <v>25309</v>
      </c>
      <c r="FY2387" s="1" t="s">
        <v>874</v>
      </c>
      <c r="FZ2387" s="1" t="s">
        <v>20792</v>
      </c>
      <c r="GA2387" s="1">
        <v>214605</v>
      </c>
      <c r="GB2387" s="1" t="s">
        <v>20793</v>
      </c>
      <c r="GD2387" s="1" t="s">
        <v>20794</v>
      </c>
      <c r="GE2387" s="1" t="s">
        <v>1256</v>
      </c>
      <c r="GI2387" s="1" t="s">
        <v>213</v>
      </c>
      <c r="GJ2387" s="1" t="s">
        <v>260</v>
      </c>
      <c r="GK2387" s="1" t="s">
        <v>261</v>
      </c>
      <c r="GL2387" s="2">
        <v>42073</v>
      </c>
    </row>
    <row r="2388" spans="1:195">
      <c r="A2388" s="1">
        <v>142000</v>
      </c>
      <c r="B2388" s="1" t="s">
        <v>195</v>
      </c>
      <c r="C2388" s="1" t="str">
        <f>"08822722"</f>
        <v>08822722</v>
      </c>
      <c r="D2388" s="1" t="s">
        <v>196</v>
      </c>
      <c r="F2388" s="1" t="str">
        <f>"191"</f>
        <v>191</v>
      </c>
      <c r="G2388" s="2">
        <v>42027</v>
      </c>
      <c r="H2388" s="1">
        <v>147000</v>
      </c>
      <c r="I2388" s="1">
        <v>145000</v>
      </c>
      <c r="J2388" s="1">
        <v>142000</v>
      </c>
      <c r="K2388" s="2">
        <v>42027</v>
      </c>
      <c r="L2388" s="1">
        <v>93</v>
      </c>
      <c r="M2388" s="2">
        <v>42068</v>
      </c>
      <c r="N2388" s="1">
        <v>42</v>
      </c>
      <c r="O2388" s="2">
        <v>42068</v>
      </c>
      <c r="P2388" s="1">
        <v>14470</v>
      </c>
      <c r="Q2388" s="1" t="s">
        <v>197</v>
      </c>
      <c r="R2388" s="2">
        <v>42115</v>
      </c>
      <c r="S2388" s="1">
        <v>186726</v>
      </c>
      <c r="T2388" s="1">
        <v>2000</v>
      </c>
      <c r="U2388" s="1">
        <v>178</v>
      </c>
      <c r="V2388" s="1" t="s">
        <v>20795</v>
      </c>
      <c r="W2388" s="1" t="s">
        <v>304</v>
      </c>
      <c r="X2388" s="1" t="s">
        <v>1688</v>
      </c>
      <c r="Y2388" s="1">
        <v>4</v>
      </c>
      <c r="Z2388" s="1" t="s">
        <v>249</v>
      </c>
      <c r="AA2388" s="1" t="s">
        <v>1966</v>
      </c>
      <c r="AB2388" s="1">
        <v>60191</v>
      </c>
      <c r="AD2388" s="1" t="s">
        <v>13897</v>
      </c>
      <c r="AE2388" s="1" t="s">
        <v>20796</v>
      </c>
      <c r="AF2388" s="1">
        <v>1985</v>
      </c>
      <c r="AG2388" s="1" t="s">
        <v>204</v>
      </c>
      <c r="AH2388" s="1" t="s">
        <v>1233</v>
      </c>
      <c r="AI2388" s="1" t="s">
        <v>206</v>
      </c>
      <c r="AJ2388" s="1" t="s">
        <v>1233</v>
      </c>
      <c r="AL2388" s="1">
        <v>5</v>
      </c>
      <c r="AM2388" s="1">
        <v>2</v>
      </c>
      <c r="AN2388" s="1">
        <v>1</v>
      </c>
      <c r="AO2388" s="1">
        <v>0</v>
      </c>
      <c r="AP2388" s="1" t="s">
        <v>667</v>
      </c>
      <c r="AQ2388" s="1">
        <v>1</v>
      </c>
      <c r="AR2388" s="1" t="s">
        <v>210</v>
      </c>
      <c r="AS2388" s="1" t="s">
        <v>204</v>
      </c>
      <c r="AT2388" s="1" t="s">
        <v>211</v>
      </c>
      <c r="AU2388" s="1">
        <v>1</v>
      </c>
      <c r="AW2388" s="1" t="s">
        <v>204</v>
      </c>
      <c r="AX2388" s="1" t="s">
        <v>212</v>
      </c>
      <c r="AZ2388" s="1">
        <v>3276.3</v>
      </c>
      <c r="BA2388" s="1">
        <v>2013</v>
      </c>
      <c r="BB2388" s="1" t="s">
        <v>210</v>
      </c>
      <c r="BE2388" s="1">
        <v>1010</v>
      </c>
      <c r="BF2388" s="1">
        <v>1</v>
      </c>
      <c r="BG2388" s="1">
        <v>0</v>
      </c>
      <c r="BL2388" s="1">
        <v>219</v>
      </c>
      <c r="BM2388" s="1" t="s">
        <v>204</v>
      </c>
      <c r="BN2388" s="1" t="s">
        <v>213</v>
      </c>
      <c r="BO2388" s="1">
        <v>0</v>
      </c>
      <c r="BP2388" s="1" t="s">
        <v>204</v>
      </c>
      <c r="BR2388" s="1" t="str">
        <f>"0316310082"</f>
        <v>0316310082</v>
      </c>
      <c r="BT2388" s="1" t="s">
        <v>20797</v>
      </c>
      <c r="BU2388" s="1" t="s">
        <v>2719</v>
      </c>
      <c r="BV2388" s="1" t="s">
        <v>2720</v>
      </c>
      <c r="BW2388" s="1" t="s">
        <v>2721</v>
      </c>
      <c r="BX2388" s="1">
        <v>4</v>
      </c>
      <c r="BY2388" s="1">
        <v>4</v>
      </c>
      <c r="BZ2388" s="1">
        <v>88</v>
      </c>
      <c r="CB2388" s="1" t="str">
        <f>"5"</f>
        <v>5</v>
      </c>
      <c r="CC2388" s="1" t="str">
        <f>""</f>
        <v/>
      </c>
      <c r="CD2388" s="1">
        <v>18</v>
      </c>
      <c r="CG2388" s="1" t="s">
        <v>861</v>
      </c>
      <c r="CH2388" s="1" t="s">
        <v>219</v>
      </c>
      <c r="CI2388" s="1" t="s">
        <v>220</v>
      </c>
      <c r="CJ2388" s="1" t="s">
        <v>252</v>
      </c>
      <c r="CK2388" s="1" t="s">
        <v>757</v>
      </c>
      <c r="CL2388" s="1" t="s">
        <v>219</v>
      </c>
      <c r="CM2388" s="1" t="s">
        <v>220</v>
      </c>
      <c r="CN2388" s="1" t="s">
        <v>252</v>
      </c>
      <c r="CO2388" s="1" t="s">
        <v>348</v>
      </c>
      <c r="CP2388" s="1" t="s">
        <v>219</v>
      </c>
      <c r="CQ2388" s="1" t="s">
        <v>220</v>
      </c>
      <c r="CR2388" s="1" t="s">
        <v>252</v>
      </c>
      <c r="CS2388" s="1" t="s">
        <v>346</v>
      </c>
      <c r="CT2388" s="1" t="s">
        <v>219</v>
      </c>
      <c r="CU2388" s="1" t="s">
        <v>220</v>
      </c>
      <c r="CV2388" s="1" t="s">
        <v>252</v>
      </c>
      <c r="CX2388" s="1" t="s">
        <v>224</v>
      </c>
      <c r="DB2388" s="1" t="s">
        <v>224</v>
      </c>
      <c r="DE2388" s="1" t="s">
        <v>281</v>
      </c>
      <c r="DF2388" s="1" t="s">
        <v>219</v>
      </c>
      <c r="DG2388" s="1" t="s">
        <v>342</v>
      </c>
      <c r="DH2388" s="1" t="s">
        <v>252</v>
      </c>
      <c r="DJ2388" s="1" t="s">
        <v>224</v>
      </c>
      <c r="DS2388" s="1" t="s">
        <v>230</v>
      </c>
      <c r="DW2388" s="1" t="s">
        <v>230</v>
      </c>
      <c r="EA2388" s="1" t="s">
        <v>230</v>
      </c>
      <c r="EE2388" s="1" t="s">
        <v>230</v>
      </c>
      <c r="EI2388" s="1" t="s">
        <v>230</v>
      </c>
      <c r="EL2388" s="1" t="s">
        <v>542</v>
      </c>
      <c r="EM2388" s="1" t="s">
        <v>319</v>
      </c>
      <c r="EN2388" s="1" t="s">
        <v>282</v>
      </c>
      <c r="EO2388" s="1" t="s">
        <v>234</v>
      </c>
      <c r="EP2388" s="1" t="s">
        <v>650</v>
      </c>
      <c r="EQ2388" s="1" t="s">
        <v>3718</v>
      </c>
      <c r="ER2388" s="1" t="s">
        <v>210</v>
      </c>
      <c r="ES2388" s="1" t="s">
        <v>322</v>
      </c>
      <c r="EU2388" s="1" t="s">
        <v>1202</v>
      </c>
      <c r="EV2388" s="1" t="s">
        <v>240</v>
      </c>
      <c r="EW2388" s="1" t="s">
        <v>887</v>
      </c>
      <c r="EZ2388" s="1" t="s">
        <v>287</v>
      </c>
      <c r="FD2388" s="1" t="s">
        <v>246</v>
      </c>
      <c r="FE2388" s="1" t="s">
        <v>549</v>
      </c>
      <c r="FF2388" s="1" t="s">
        <v>248</v>
      </c>
      <c r="FG2388" s="1" t="s">
        <v>2739</v>
      </c>
      <c r="FH2388" s="1" t="s">
        <v>1387</v>
      </c>
      <c r="FI2388" s="1" t="s">
        <v>473</v>
      </c>
      <c r="FL2388" s="1" t="s">
        <v>358</v>
      </c>
      <c r="FM2388" s="1" t="s">
        <v>252</v>
      </c>
      <c r="FN2388" s="1" t="s">
        <v>213</v>
      </c>
      <c r="FO2388" s="1" t="s">
        <v>213</v>
      </c>
      <c r="FQ2388" s="1" t="s">
        <v>329</v>
      </c>
      <c r="FR2388" s="1" t="s">
        <v>652</v>
      </c>
      <c r="FS2388" s="1" t="s">
        <v>20798</v>
      </c>
      <c r="FT2388" s="1" t="s">
        <v>520</v>
      </c>
      <c r="FU2388" s="1" t="s">
        <v>204</v>
      </c>
      <c r="FW2388" s="1" t="s">
        <v>5046</v>
      </c>
      <c r="FX2388" s="1">
        <v>2280</v>
      </c>
      <c r="FY2388" s="1" t="s">
        <v>5047</v>
      </c>
      <c r="FZ2388" s="1" t="s">
        <v>5048</v>
      </c>
      <c r="GA2388" s="1">
        <v>85534</v>
      </c>
      <c r="GB2388" s="1" t="s">
        <v>5049</v>
      </c>
      <c r="GD2388" s="1" t="s">
        <v>5050</v>
      </c>
      <c r="GE2388" s="1" t="s">
        <v>1256</v>
      </c>
      <c r="GI2388" s="1" t="s">
        <v>213</v>
      </c>
      <c r="GJ2388" s="1" t="s">
        <v>260</v>
      </c>
      <c r="GK2388" s="1" t="s">
        <v>210</v>
      </c>
      <c r="GL2388" s="2">
        <v>42116</v>
      </c>
      <c r="GM2388" s="1" t="s">
        <v>5051</v>
      </c>
    </row>
    <row r="2389" spans="1:195">
      <c r="A2389" s="1">
        <v>99000</v>
      </c>
      <c r="B2389" s="1" t="s">
        <v>195</v>
      </c>
      <c r="C2389" s="1" t="str">
        <f>"08827841"</f>
        <v>08827841</v>
      </c>
      <c r="D2389" s="1" t="s">
        <v>196</v>
      </c>
      <c r="F2389" s="1" t="str">
        <f>"103"</f>
        <v>103</v>
      </c>
      <c r="G2389" s="2">
        <v>42034</v>
      </c>
      <c r="H2389" s="1">
        <v>99000</v>
      </c>
      <c r="I2389" s="1">
        <v>99000</v>
      </c>
      <c r="J2389" s="1">
        <v>99000</v>
      </c>
      <c r="K2389" s="2">
        <v>42034</v>
      </c>
      <c r="L2389" s="1">
        <v>26</v>
      </c>
      <c r="M2389" s="2">
        <v>42059</v>
      </c>
      <c r="N2389" s="1">
        <v>26</v>
      </c>
      <c r="O2389" s="2">
        <v>42059</v>
      </c>
      <c r="P2389" s="1">
        <v>25400</v>
      </c>
      <c r="Q2389" s="1" t="s">
        <v>197</v>
      </c>
      <c r="R2389" s="2">
        <v>42101</v>
      </c>
      <c r="S2389" s="1">
        <v>240005</v>
      </c>
      <c r="U2389" s="1">
        <v>5835</v>
      </c>
      <c r="V2389" s="1" t="s">
        <v>20799</v>
      </c>
      <c r="W2389" s="1" t="s">
        <v>304</v>
      </c>
      <c r="X2389" s="1" t="s">
        <v>1688</v>
      </c>
      <c r="Y2389" s="1">
        <v>4</v>
      </c>
      <c r="Z2389" s="1" t="s">
        <v>249</v>
      </c>
      <c r="AA2389" s="1" t="s">
        <v>337</v>
      </c>
      <c r="AB2389" s="1">
        <v>60133</v>
      </c>
      <c r="AD2389" s="1" t="s">
        <v>20800</v>
      </c>
      <c r="AE2389" s="1" t="s">
        <v>20801</v>
      </c>
      <c r="AF2389" s="1">
        <v>1976</v>
      </c>
      <c r="AG2389" s="1" t="s">
        <v>213</v>
      </c>
      <c r="AH2389" s="1" t="s">
        <v>339</v>
      </c>
      <c r="AI2389" s="1" t="s">
        <v>206</v>
      </c>
      <c r="AJ2389" s="1" t="s">
        <v>269</v>
      </c>
      <c r="AK2389" s="1" t="s">
        <v>1088</v>
      </c>
      <c r="AL2389" s="1">
        <v>5</v>
      </c>
      <c r="AM2389" s="1">
        <v>2</v>
      </c>
      <c r="AN2389" s="1">
        <v>1</v>
      </c>
      <c r="AO2389" s="1">
        <v>0</v>
      </c>
      <c r="AP2389" s="1" t="s">
        <v>667</v>
      </c>
      <c r="AR2389" s="1" t="s">
        <v>210</v>
      </c>
      <c r="AS2389" s="1" t="s">
        <v>204</v>
      </c>
      <c r="AT2389" s="1" t="s">
        <v>211</v>
      </c>
      <c r="AU2389" s="1">
        <v>1</v>
      </c>
      <c r="AW2389" s="1" t="s">
        <v>204</v>
      </c>
      <c r="AX2389" s="1">
        <v>7200</v>
      </c>
      <c r="AZ2389" s="1">
        <v>2593</v>
      </c>
      <c r="BA2389" s="1">
        <v>2013</v>
      </c>
      <c r="BB2389" s="1" t="s">
        <v>405</v>
      </c>
      <c r="BE2389" s="1">
        <v>990</v>
      </c>
      <c r="BF2389" s="1">
        <v>2</v>
      </c>
      <c r="BG2389" s="1">
        <v>30</v>
      </c>
      <c r="BL2389" s="1">
        <v>270</v>
      </c>
      <c r="BM2389" s="1" t="s">
        <v>204</v>
      </c>
      <c r="BN2389" s="1" t="s">
        <v>213</v>
      </c>
      <c r="BO2389" s="1">
        <v>999</v>
      </c>
      <c r="BP2389" s="1" t="s">
        <v>204</v>
      </c>
      <c r="BR2389" s="1" t="str">
        <f>"0206410070"</f>
        <v>0206410070</v>
      </c>
      <c r="BT2389" s="1" t="s">
        <v>20802</v>
      </c>
      <c r="BW2389" s="1" t="s">
        <v>275</v>
      </c>
      <c r="BX2389" s="1">
        <v>20</v>
      </c>
      <c r="BY2389" s="1">
        <v>20</v>
      </c>
      <c r="BZ2389" s="1">
        <v>108</v>
      </c>
      <c r="CB2389" s="1" t="str">
        <f t="shared" ref="CB2389:CC2389" si="1832">""</f>
        <v/>
      </c>
      <c r="CC2389" s="1" t="str">
        <f t="shared" si="1832"/>
        <v/>
      </c>
      <c r="CG2389" s="1" t="s">
        <v>1045</v>
      </c>
      <c r="CH2389" s="1" t="s">
        <v>219</v>
      </c>
      <c r="CI2389" s="1" t="s">
        <v>438</v>
      </c>
      <c r="CK2389" s="1" t="s">
        <v>461</v>
      </c>
      <c r="CL2389" s="1" t="s">
        <v>219</v>
      </c>
      <c r="CM2389" s="1" t="s">
        <v>220</v>
      </c>
      <c r="CN2389" s="1" t="s">
        <v>343</v>
      </c>
      <c r="CO2389" s="1" t="s">
        <v>281</v>
      </c>
      <c r="CP2389" s="1" t="s">
        <v>219</v>
      </c>
      <c r="CQ2389" s="1" t="s">
        <v>438</v>
      </c>
      <c r="CS2389" s="1" t="s">
        <v>346</v>
      </c>
      <c r="CT2389" s="1" t="s">
        <v>219</v>
      </c>
      <c r="CU2389" s="1" t="s">
        <v>220</v>
      </c>
      <c r="CV2389" s="1" t="s">
        <v>343</v>
      </c>
      <c r="CX2389" s="1" t="s">
        <v>224</v>
      </c>
      <c r="DB2389" s="1" t="s">
        <v>224</v>
      </c>
      <c r="DE2389" s="1" t="s">
        <v>465</v>
      </c>
      <c r="DF2389" s="1" t="s">
        <v>219</v>
      </c>
      <c r="DG2389" s="1" t="s">
        <v>226</v>
      </c>
      <c r="DJ2389" s="1" t="s">
        <v>224</v>
      </c>
      <c r="DM2389" s="1" t="s">
        <v>1359</v>
      </c>
      <c r="DN2389" s="1" t="s">
        <v>709</v>
      </c>
      <c r="DR2389" s="1" t="s">
        <v>10497</v>
      </c>
      <c r="DS2389" s="1" t="s">
        <v>219</v>
      </c>
      <c r="DT2389" s="1" t="s">
        <v>347</v>
      </c>
      <c r="DV2389" s="1" t="s">
        <v>3492</v>
      </c>
      <c r="DW2389" s="1" t="s">
        <v>219</v>
      </c>
      <c r="DX2389" s="1" t="s">
        <v>438</v>
      </c>
      <c r="EA2389" s="1" t="s">
        <v>230</v>
      </c>
      <c r="EE2389" s="1" t="s">
        <v>230</v>
      </c>
      <c r="EI2389" s="1" t="s">
        <v>230</v>
      </c>
      <c r="EL2389" s="1" t="s">
        <v>231</v>
      </c>
      <c r="EM2389" s="1" t="s">
        <v>232</v>
      </c>
      <c r="EN2389" s="1" t="s">
        <v>282</v>
      </c>
      <c r="EO2389" s="1" t="s">
        <v>234</v>
      </c>
      <c r="EP2389" s="1" t="s">
        <v>1489</v>
      </c>
      <c r="EQ2389" s="1" t="s">
        <v>5455</v>
      </c>
      <c r="ER2389" s="1" t="s">
        <v>210</v>
      </c>
      <c r="ES2389" s="1" t="s">
        <v>1868</v>
      </c>
      <c r="ET2389" s="1" t="s">
        <v>1161</v>
      </c>
      <c r="EU2389" s="1" t="s">
        <v>1894</v>
      </c>
      <c r="EV2389" s="1" t="s">
        <v>240</v>
      </c>
      <c r="EW2389" s="1" t="s">
        <v>1504</v>
      </c>
      <c r="EY2389" s="1" t="s">
        <v>790</v>
      </c>
      <c r="EZ2389" s="1" t="s">
        <v>1361</v>
      </c>
      <c r="FB2389" s="1" t="s">
        <v>289</v>
      </c>
      <c r="FC2389" s="1" t="s">
        <v>4152</v>
      </c>
      <c r="FD2389" s="1" t="s">
        <v>246</v>
      </c>
      <c r="FE2389" s="1" t="s">
        <v>496</v>
      </c>
      <c r="FF2389" s="1" t="s">
        <v>248</v>
      </c>
      <c r="FH2389" s="1" t="s">
        <v>356</v>
      </c>
      <c r="FI2389" s="1" t="s">
        <v>473</v>
      </c>
      <c r="FL2389" s="1" t="s">
        <v>358</v>
      </c>
      <c r="FM2389" s="1" t="s">
        <v>252</v>
      </c>
      <c r="FN2389" s="1" t="s">
        <v>213</v>
      </c>
      <c r="FO2389" s="1" t="s">
        <v>213</v>
      </c>
      <c r="FQ2389" s="1" t="s">
        <v>3390</v>
      </c>
      <c r="FR2389" s="1" t="s">
        <v>210</v>
      </c>
      <c r="FS2389" s="1" t="s">
        <v>20803</v>
      </c>
      <c r="FT2389" s="1" t="s">
        <v>295</v>
      </c>
      <c r="FU2389" s="1" t="s">
        <v>204</v>
      </c>
      <c r="FW2389" s="1" t="s">
        <v>5979</v>
      </c>
      <c r="FX2389" s="1">
        <v>8340</v>
      </c>
      <c r="FY2389" s="1" t="s">
        <v>5980</v>
      </c>
      <c r="FZ2389" s="1" t="s">
        <v>20804</v>
      </c>
      <c r="GA2389" s="1">
        <v>89653</v>
      </c>
      <c r="GB2389" s="1" t="s">
        <v>20805</v>
      </c>
      <c r="GE2389" s="1" t="s">
        <v>480</v>
      </c>
      <c r="GI2389" s="1" t="s">
        <v>213</v>
      </c>
      <c r="GJ2389" s="1" t="s">
        <v>260</v>
      </c>
      <c r="GK2389" s="1" t="s">
        <v>210</v>
      </c>
      <c r="GL2389" s="2">
        <v>42104</v>
      </c>
      <c r="GM2389" s="1" t="s">
        <v>20806</v>
      </c>
    </row>
    <row r="2390" spans="1:195">
      <c r="A2390" s="1">
        <v>85000</v>
      </c>
      <c r="B2390" s="1" t="s">
        <v>195</v>
      </c>
      <c r="C2390" s="1" t="str">
        <f>"08828066"</f>
        <v>08828066</v>
      </c>
      <c r="D2390" s="1" t="s">
        <v>196</v>
      </c>
      <c r="F2390" s="1" t="str">
        <f>"99"</f>
        <v>99</v>
      </c>
      <c r="G2390" s="2">
        <v>42035</v>
      </c>
      <c r="H2390" s="1">
        <v>99900</v>
      </c>
      <c r="I2390" s="1">
        <v>99900</v>
      </c>
      <c r="J2390" s="1">
        <v>85000</v>
      </c>
      <c r="K2390" s="2">
        <v>42035</v>
      </c>
      <c r="L2390" s="1">
        <v>3</v>
      </c>
      <c r="M2390" s="2">
        <v>42037</v>
      </c>
      <c r="N2390" s="1">
        <v>3</v>
      </c>
      <c r="O2390" s="2">
        <v>42037</v>
      </c>
      <c r="P2390" s="1">
        <v>1196</v>
      </c>
      <c r="Q2390" s="1" t="s">
        <v>197</v>
      </c>
      <c r="R2390" s="2">
        <v>42105</v>
      </c>
      <c r="S2390" s="1">
        <v>11514</v>
      </c>
      <c r="U2390" s="1">
        <v>1904</v>
      </c>
      <c r="V2390" s="1" t="s">
        <v>5846</v>
      </c>
      <c r="W2390" s="1" t="s">
        <v>304</v>
      </c>
      <c r="X2390" s="1">
        <v>1904</v>
      </c>
      <c r="Y2390" s="1">
        <v>6</v>
      </c>
      <c r="Z2390" s="1" t="s">
        <v>200</v>
      </c>
      <c r="AA2390" s="1" t="s">
        <v>5847</v>
      </c>
      <c r="AB2390" s="1">
        <v>60099</v>
      </c>
      <c r="AD2390" s="1" t="s">
        <v>5848</v>
      </c>
      <c r="AE2390" s="1" t="s">
        <v>20807</v>
      </c>
      <c r="AF2390" s="1">
        <v>2007</v>
      </c>
      <c r="AG2390" s="1" t="s">
        <v>204</v>
      </c>
      <c r="AH2390" s="1" t="s">
        <v>5850</v>
      </c>
      <c r="AI2390" s="1" t="s">
        <v>509</v>
      </c>
      <c r="AJ2390" s="1" t="s">
        <v>4389</v>
      </c>
      <c r="AK2390" s="1" t="s">
        <v>2247</v>
      </c>
      <c r="AL2390" s="1">
        <v>6</v>
      </c>
      <c r="AM2390" s="1">
        <v>2</v>
      </c>
      <c r="AN2390" s="1">
        <v>2</v>
      </c>
      <c r="AO2390" s="1">
        <v>1</v>
      </c>
      <c r="AP2390" s="1" t="s">
        <v>667</v>
      </c>
      <c r="AQ2390" s="1">
        <v>0</v>
      </c>
      <c r="AR2390" s="1" t="s">
        <v>1483</v>
      </c>
      <c r="AS2390" s="1" t="s">
        <v>204</v>
      </c>
      <c r="AT2390" s="1" t="s">
        <v>211</v>
      </c>
      <c r="AU2390" s="1">
        <v>2</v>
      </c>
      <c r="AW2390" s="1" t="s">
        <v>204</v>
      </c>
      <c r="AX2390" s="1" t="s">
        <v>212</v>
      </c>
      <c r="AZ2390" s="1">
        <v>4720</v>
      </c>
      <c r="BA2390" s="1">
        <v>2013</v>
      </c>
      <c r="BB2390" s="1" t="s">
        <v>210</v>
      </c>
      <c r="BE2390" s="1">
        <v>1672</v>
      </c>
      <c r="BF2390" s="1">
        <v>2</v>
      </c>
      <c r="BG2390" s="1">
        <v>0</v>
      </c>
      <c r="BJ2390" s="1">
        <v>100</v>
      </c>
      <c r="BL2390" s="1">
        <v>169</v>
      </c>
      <c r="BM2390" s="1" t="s">
        <v>213</v>
      </c>
      <c r="BN2390" s="1" t="s">
        <v>213</v>
      </c>
      <c r="BO2390" s="1">
        <v>50</v>
      </c>
      <c r="BP2390" s="1" t="s">
        <v>204</v>
      </c>
      <c r="BR2390" s="1" t="str">
        <f>"04184020530000"</f>
        <v>04184020530000</v>
      </c>
      <c r="BT2390" s="1" t="s">
        <v>20808</v>
      </c>
      <c r="BX2390" s="1">
        <v>3</v>
      </c>
      <c r="BY2390" s="1">
        <v>3</v>
      </c>
      <c r="BZ2390" s="1">
        <v>126</v>
      </c>
      <c r="CB2390" s="1" t="str">
        <f>"41"</f>
        <v>41</v>
      </c>
      <c r="CC2390" s="1" t="str">
        <f>"0"</f>
        <v>0</v>
      </c>
      <c r="CD2390" s="1">
        <v>12</v>
      </c>
      <c r="CE2390" s="1">
        <v>0</v>
      </c>
      <c r="CG2390" s="1" t="s">
        <v>3684</v>
      </c>
      <c r="CH2390" s="1" t="s">
        <v>219</v>
      </c>
      <c r="CI2390" s="1" t="s">
        <v>220</v>
      </c>
      <c r="CJ2390" s="1" t="s">
        <v>210</v>
      </c>
      <c r="CK2390" s="1" t="s">
        <v>1737</v>
      </c>
      <c r="CL2390" s="1" t="s">
        <v>277</v>
      </c>
      <c r="CM2390" s="1" t="s">
        <v>220</v>
      </c>
      <c r="CO2390" s="1" t="s">
        <v>602</v>
      </c>
      <c r="CP2390" s="1" t="s">
        <v>219</v>
      </c>
      <c r="CQ2390" s="1" t="s">
        <v>226</v>
      </c>
      <c r="CR2390" s="1" t="s">
        <v>210</v>
      </c>
      <c r="CS2390" s="1" t="s">
        <v>757</v>
      </c>
      <c r="CT2390" s="1" t="s">
        <v>277</v>
      </c>
      <c r="CU2390" s="1" t="s">
        <v>220</v>
      </c>
      <c r="CV2390" s="1" t="s">
        <v>210</v>
      </c>
      <c r="CX2390" s="1" t="s">
        <v>224</v>
      </c>
      <c r="DB2390" s="1" t="s">
        <v>224</v>
      </c>
      <c r="DE2390" s="1" t="s">
        <v>378</v>
      </c>
      <c r="DF2390" s="1" t="s">
        <v>219</v>
      </c>
      <c r="DG2390" s="1" t="s">
        <v>226</v>
      </c>
      <c r="DH2390" s="1" t="s">
        <v>210</v>
      </c>
      <c r="DI2390" s="1" t="s">
        <v>378</v>
      </c>
      <c r="DJ2390" s="1" t="s">
        <v>822</v>
      </c>
      <c r="DK2390" s="1" t="s">
        <v>220</v>
      </c>
      <c r="DL2390" s="1" t="s">
        <v>210</v>
      </c>
      <c r="DS2390" s="1" t="s">
        <v>230</v>
      </c>
      <c r="DW2390" s="1" t="s">
        <v>230</v>
      </c>
      <c r="EA2390" s="1" t="s">
        <v>230</v>
      </c>
      <c r="EE2390" s="1" t="s">
        <v>230</v>
      </c>
      <c r="EI2390" s="1" t="s">
        <v>230</v>
      </c>
      <c r="EL2390" s="1" t="s">
        <v>491</v>
      </c>
      <c r="EM2390" s="1" t="s">
        <v>319</v>
      </c>
      <c r="EN2390" s="1" t="s">
        <v>210</v>
      </c>
      <c r="EO2390" s="1" t="s">
        <v>234</v>
      </c>
      <c r="EP2390" s="1" t="s">
        <v>210</v>
      </c>
      <c r="EQ2390" s="1" t="s">
        <v>1109</v>
      </c>
      <c r="ER2390" s="1" t="s">
        <v>5852</v>
      </c>
      <c r="ES2390" s="1" t="s">
        <v>1552</v>
      </c>
      <c r="ET2390" s="1" t="s">
        <v>1161</v>
      </c>
      <c r="EU2390" s="1" t="s">
        <v>239</v>
      </c>
      <c r="EV2390" s="1" t="s">
        <v>324</v>
      </c>
      <c r="EW2390" s="1" t="s">
        <v>353</v>
      </c>
      <c r="EY2390" s="1" t="s">
        <v>790</v>
      </c>
      <c r="EZ2390" s="1" t="s">
        <v>287</v>
      </c>
      <c r="FA2390" s="1" t="s">
        <v>1554</v>
      </c>
      <c r="FB2390" s="1" t="s">
        <v>846</v>
      </c>
      <c r="FC2390" s="1" t="s">
        <v>633</v>
      </c>
      <c r="FD2390" s="1" t="s">
        <v>495</v>
      </c>
      <c r="FE2390" s="1" t="s">
        <v>347</v>
      </c>
      <c r="FF2390" s="1" t="s">
        <v>387</v>
      </c>
      <c r="FH2390" s="1" t="s">
        <v>249</v>
      </c>
      <c r="FI2390" s="1" t="s">
        <v>2827</v>
      </c>
      <c r="FL2390" s="1" t="s">
        <v>358</v>
      </c>
      <c r="FM2390" s="1" t="s">
        <v>252</v>
      </c>
      <c r="FN2390" s="1" t="s">
        <v>213</v>
      </c>
      <c r="FO2390" s="1" t="s">
        <v>213</v>
      </c>
      <c r="FQ2390" s="1" t="s">
        <v>4594</v>
      </c>
      <c r="FR2390" s="1" t="s">
        <v>210</v>
      </c>
      <c r="FS2390" s="1" t="s">
        <v>20809</v>
      </c>
      <c r="FT2390" s="1" t="s">
        <v>295</v>
      </c>
      <c r="FU2390" s="1" t="s">
        <v>204</v>
      </c>
      <c r="FW2390" s="1" t="s">
        <v>5648</v>
      </c>
      <c r="FX2390" s="1">
        <v>23099</v>
      </c>
      <c r="FY2390" s="1" t="s">
        <v>5649</v>
      </c>
      <c r="FZ2390" s="1" t="s">
        <v>20810</v>
      </c>
      <c r="GA2390" s="1">
        <v>237256</v>
      </c>
      <c r="GB2390" s="1" t="s">
        <v>20811</v>
      </c>
      <c r="GC2390" s="1">
        <v>237253</v>
      </c>
      <c r="GD2390" s="1" t="s">
        <v>20812</v>
      </c>
      <c r="GE2390" s="1" t="s">
        <v>480</v>
      </c>
      <c r="GI2390" s="1" t="s">
        <v>213</v>
      </c>
      <c r="GJ2390" s="1" t="s">
        <v>260</v>
      </c>
      <c r="GK2390" s="1" t="s">
        <v>210</v>
      </c>
      <c r="GL2390" s="2">
        <v>42105</v>
      </c>
      <c r="GM2390" s="1" t="s">
        <v>20813</v>
      </c>
    </row>
    <row r="2391" spans="1:195">
      <c r="A2391" s="1">
        <v>95000</v>
      </c>
      <c r="B2391" s="1" t="s">
        <v>195</v>
      </c>
      <c r="C2391" s="1" t="str">
        <f>"08823681"</f>
        <v>08823681</v>
      </c>
      <c r="D2391" s="1" t="s">
        <v>196</v>
      </c>
      <c r="F2391" s="1" t="str">
        <f>"84"</f>
        <v>84</v>
      </c>
      <c r="G2391" s="2">
        <v>42029</v>
      </c>
      <c r="H2391" s="1">
        <v>102500</v>
      </c>
      <c r="I2391" s="1">
        <v>99900</v>
      </c>
      <c r="J2391" s="1">
        <v>95000</v>
      </c>
      <c r="K2391" s="2">
        <v>42029</v>
      </c>
      <c r="L2391" s="1">
        <v>85</v>
      </c>
      <c r="M2391" s="2">
        <v>42113</v>
      </c>
      <c r="N2391" s="1">
        <v>85</v>
      </c>
      <c r="O2391" s="2">
        <v>42113</v>
      </c>
      <c r="P2391" s="1">
        <v>2280</v>
      </c>
      <c r="Q2391" s="1" t="s">
        <v>302</v>
      </c>
      <c r="R2391" s="2">
        <v>42124</v>
      </c>
      <c r="S2391" s="1">
        <v>85534</v>
      </c>
      <c r="U2391" s="1">
        <v>255</v>
      </c>
      <c r="V2391" s="1" t="s">
        <v>8347</v>
      </c>
      <c r="W2391" s="1" t="s">
        <v>264</v>
      </c>
      <c r="X2391" s="1" t="s">
        <v>527</v>
      </c>
      <c r="Y2391" s="1">
        <v>100</v>
      </c>
      <c r="Z2391" s="1" t="s">
        <v>249</v>
      </c>
      <c r="AA2391" s="1" t="s">
        <v>5871</v>
      </c>
      <c r="AB2391" s="1">
        <v>60084</v>
      </c>
      <c r="AE2391" s="1" t="s">
        <v>20814</v>
      </c>
      <c r="AF2391" s="1">
        <v>1993</v>
      </c>
      <c r="AG2391" s="1" t="s">
        <v>204</v>
      </c>
      <c r="AH2391" s="1" t="s">
        <v>2599</v>
      </c>
      <c r="AI2391" s="1" t="s">
        <v>509</v>
      </c>
      <c r="AJ2391" s="1" t="s">
        <v>2599</v>
      </c>
      <c r="AL2391" s="1">
        <v>5</v>
      </c>
      <c r="AM2391" s="1">
        <v>2</v>
      </c>
      <c r="AN2391" s="1">
        <v>2</v>
      </c>
      <c r="AO2391" s="1">
        <v>0</v>
      </c>
      <c r="AP2391" s="1" t="s">
        <v>209</v>
      </c>
      <c r="AR2391" s="1" t="s">
        <v>210</v>
      </c>
      <c r="AT2391" s="1" t="s">
        <v>211</v>
      </c>
      <c r="AU2391" s="1">
        <v>1</v>
      </c>
      <c r="AW2391" s="1" t="s">
        <v>204</v>
      </c>
      <c r="AX2391" s="1">
        <v>0</v>
      </c>
      <c r="AZ2391" s="1">
        <v>2339.17</v>
      </c>
      <c r="BA2391" s="1">
        <v>2013</v>
      </c>
      <c r="BE2391" s="1">
        <v>1015</v>
      </c>
      <c r="BF2391" s="1">
        <v>1</v>
      </c>
      <c r="BG2391" s="1">
        <v>10</v>
      </c>
      <c r="BL2391" s="1">
        <v>182</v>
      </c>
      <c r="BM2391" s="1" t="s">
        <v>204</v>
      </c>
      <c r="BN2391" s="1" t="s">
        <v>213</v>
      </c>
      <c r="BO2391" s="1">
        <v>999</v>
      </c>
      <c r="BP2391" s="1" t="s">
        <v>204</v>
      </c>
      <c r="BR2391" s="1" t="str">
        <f>"09254061240000"</f>
        <v>09254061240000</v>
      </c>
      <c r="BT2391" s="1" t="s">
        <v>20815</v>
      </c>
      <c r="BU2391" s="1" t="s">
        <v>7315</v>
      </c>
      <c r="BV2391" s="1" t="s">
        <v>2604</v>
      </c>
      <c r="BW2391" s="1" t="s">
        <v>2605</v>
      </c>
      <c r="BX2391" s="1">
        <v>118</v>
      </c>
      <c r="BY2391" s="1">
        <v>118</v>
      </c>
      <c r="BZ2391" s="1">
        <v>118</v>
      </c>
      <c r="CB2391" s="1" t="str">
        <f t="shared" ref="CB2391:CC2391" si="1833">""</f>
        <v/>
      </c>
      <c r="CC2391" s="1" t="str">
        <f t="shared" si="1833"/>
        <v/>
      </c>
      <c r="CG2391" s="1" t="s">
        <v>315</v>
      </c>
      <c r="CH2391" s="1" t="s">
        <v>219</v>
      </c>
      <c r="CI2391" s="1" t="s">
        <v>220</v>
      </c>
      <c r="CJ2391" s="1" t="s">
        <v>343</v>
      </c>
      <c r="CK2391" s="1" t="s">
        <v>223</v>
      </c>
      <c r="CL2391" s="1" t="s">
        <v>219</v>
      </c>
      <c r="CM2391" s="1" t="s">
        <v>220</v>
      </c>
      <c r="CN2391" s="1" t="s">
        <v>343</v>
      </c>
      <c r="CO2391" s="1" t="s">
        <v>837</v>
      </c>
      <c r="CP2391" s="1" t="s">
        <v>219</v>
      </c>
      <c r="CQ2391" s="1" t="s">
        <v>438</v>
      </c>
      <c r="CR2391" s="1" t="s">
        <v>343</v>
      </c>
      <c r="CS2391" s="1" t="s">
        <v>1046</v>
      </c>
      <c r="CT2391" s="1" t="s">
        <v>219</v>
      </c>
      <c r="CU2391" s="1" t="s">
        <v>220</v>
      </c>
      <c r="CX2391" s="1" t="s">
        <v>224</v>
      </c>
      <c r="DB2391" s="1" t="s">
        <v>224</v>
      </c>
      <c r="DE2391" s="1" t="s">
        <v>348</v>
      </c>
      <c r="DF2391" s="1" t="s">
        <v>219</v>
      </c>
      <c r="DG2391" s="1" t="s">
        <v>438</v>
      </c>
      <c r="DH2391" s="1" t="s">
        <v>210</v>
      </c>
      <c r="DJ2391" s="1" t="s">
        <v>224</v>
      </c>
      <c r="DS2391" s="1" t="s">
        <v>230</v>
      </c>
      <c r="DW2391" s="1" t="s">
        <v>230</v>
      </c>
      <c r="EA2391" s="1" t="s">
        <v>230</v>
      </c>
      <c r="EE2391" s="1" t="s">
        <v>230</v>
      </c>
      <c r="EI2391" s="1" t="s">
        <v>230</v>
      </c>
      <c r="EL2391" s="1" t="s">
        <v>382</v>
      </c>
      <c r="EM2391" s="1" t="s">
        <v>319</v>
      </c>
      <c r="EN2391" s="1" t="s">
        <v>282</v>
      </c>
      <c r="EO2391" s="1" t="s">
        <v>234</v>
      </c>
      <c r="EQ2391" s="1" t="s">
        <v>236</v>
      </c>
      <c r="ER2391" s="1" t="s">
        <v>210</v>
      </c>
      <c r="EW2391" s="1" t="s">
        <v>10337</v>
      </c>
      <c r="EZ2391" s="1" t="s">
        <v>287</v>
      </c>
      <c r="FD2391" s="1" t="s">
        <v>246</v>
      </c>
      <c r="FE2391" s="1" t="s">
        <v>472</v>
      </c>
      <c r="FF2391" s="1" t="s">
        <v>248</v>
      </c>
      <c r="FH2391" s="1" t="s">
        <v>1316</v>
      </c>
      <c r="FI2391" s="1" t="s">
        <v>357</v>
      </c>
      <c r="FL2391" s="1" t="s">
        <v>358</v>
      </c>
      <c r="FM2391" s="1" t="s">
        <v>252</v>
      </c>
      <c r="FN2391" s="1" t="s">
        <v>213</v>
      </c>
      <c r="FO2391" s="1" t="s">
        <v>213</v>
      </c>
      <c r="FQ2391" s="1" t="s">
        <v>4005</v>
      </c>
      <c r="FR2391" s="1" t="s">
        <v>210</v>
      </c>
      <c r="FS2391" s="1" t="s">
        <v>20816</v>
      </c>
      <c r="FT2391" s="1" t="s">
        <v>1139</v>
      </c>
      <c r="FU2391" s="1" t="s">
        <v>204</v>
      </c>
      <c r="FW2391" s="1" t="s">
        <v>20817</v>
      </c>
      <c r="FX2391" s="1">
        <v>2208</v>
      </c>
      <c r="FY2391" s="1" t="s">
        <v>20818</v>
      </c>
      <c r="FZ2391" s="1" t="s">
        <v>20819</v>
      </c>
      <c r="GA2391" s="1">
        <v>86127</v>
      </c>
      <c r="GB2391" s="1" t="s">
        <v>20820</v>
      </c>
      <c r="GE2391" s="1" t="s">
        <v>480</v>
      </c>
      <c r="GI2391" s="1" t="s">
        <v>213</v>
      </c>
      <c r="GJ2391" s="1" t="s">
        <v>260</v>
      </c>
      <c r="GK2391" s="1" t="s">
        <v>210</v>
      </c>
      <c r="GL2391" s="2">
        <v>42124</v>
      </c>
      <c r="GM2391" s="1" t="s">
        <v>20821</v>
      </c>
    </row>
    <row r="2392" spans="1:195">
      <c r="A2392" s="1">
        <v>67000</v>
      </c>
      <c r="B2392" s="1" t="s">
        <v>195</v>
      </c>
      <c r="C2392" s="1" t="str">
        <f>"08822404"</f>
        <v>08822404</v>
      </c>
      <c r="D2392" s="1" t="s">
        <v>196</v>
      </c>
      <c r="F2392" s="1" t="str">
        <f>"8074"</f>
        <v>8074</v>
      </c>
      <c r="G2392" s="2">
        <v>42027</v>
      </c>
      <c r="H2392" s="1">
        <v>68400</v>
      </c>
      <c r="I2392" s="1">
        <v>68400</v>
      </c>
      <c r="J2392" s="1">
        <v>67000</v>
      </c>
      <c r="K2392" s="2">
        <v>42026</v>
      </c>
      <c r="L2392" s="1">
        <v>26</v>
      </c>
      <c r="M2392" s="2">
        <v>42051</v>
      </c>
      <c r="N2392" s="1">
        <v>26</v>
      </c>
      <c r="O2392" s="2">
        <v>42051</v>
      </c>
      <c r="P2392" s="1">
        <v>24174</v>
      </c>
      <c r="Q2392" s="1" t="s">
        <v>197</v>
      </c>
      <c r="R2392" s="2">
        <v>42089</v>
      </c>
      <c r="S2392" s="1">
        <v>219332</v>
      </c>
      <c r="U2392" s="1">
        <v>3935</v>
      </c>
      <c r="V2392" s="1" t="s">
        <v>20822</v>
      </c>
      <c r="W2392" s="1" t="s">
        <v>725</v>
      </c>
      <c r="X2392" s="1" t="s">
        <v>305</v>
      </c>
      <c r="Y2392" s="1">
        <v>48</v>
      </c>
      <c r="Z2392" s="1" t="s">
        <v>249</v>
      </c>
      <c r="AA2392" s="1" t="s">
        <v>400</v>
      </c>
      <c r="AB2392" s="1">
        <v>60655</v>
      </c>
      <c r="AE2392" s="1" t="s">
        <v>20823</v>
      </c>
      <c r="AF2392" s="1">
        <v>1973</v>
      </c>
      <c r="AG2392" s="1" t="s">
        <v>213</v>
      </c>
      <c r="AH2392" s="1" t="s">
        <v>403</v>
      </c>
      <c r="AI2392" s="1" t="s">
        <v>310</v>
      </c>
      <c r="AJ2392" s="1" t="s">
        <v>683</v>
      </c>
      <c r="AL2392" s="1">
        <v>4</v>
      </c>
      <c r="AM2392" s="1">
        <v>2</v>
      </c>
      <c r="AN2392" s="1">
        <v>1</v>
      </c>
      <c r="AO2392" s="1">
        <v>0</v>
      </c>
      <c r="AP2392" s="1" t="s">
        <v>210</v>
      </c>
      <c r="AR2392" s="1" t="s">
        <v>210</v>
      </c>
      <c r="AS2392" s="1" t="s">
        <v>204</v>
      </c>
      <c r="AT2392" s="1" t="s">
        <v>271</v>
      </c>
      <c r="AV2392" s="1">
        <v>1</v>
      </c>
      <c r="AW2392" s="1" t="s">
        <v>204</v>
      </c>
      <c r="AX2392" s="1" t="s">
        <v>212</v>
      </c>
      <c r="AZ2392" s="1">
        <v>1454.88</v>
      </c>
      <c r="BA2392" s="1">
        <v>2012</v>
      </c>
      <c r="BB2392" s="1" t="s">
        <v>210</v>
      </c>
      <c r="BE2392" s="1">
        <v>950</v>
      </c>
      <c r="BF2392" s="1">
        <v>3</v>
      </c>
      <c r="BG2392" s="1">
        <v>0</v>
      </c>
      <c r="BL2392" s="1">
        <v>197</v>
      </c>
      <c r="BM2392" s="1" t="s">
        <v>204</v>
      </c>
      <c r="BN2392" s="1" t="s">
        <v>213</v>
      </c>
      <c r="BO2392" s="1">
        <v>30</v>
      </c>
      <c r="BP2392" s="1" t="s">
        <v>204</v>
      </c>
      <c r="BR2392" s="1" t="str">
        <f>"24141040821012"</f>
        <v>24141040821012</v>
      </c>
      <c r="BT2392" s="1" t="s">
        <v>20824</v>
      </c>
      <c r="BX2392" s="1">
        <v>299</v>
      </c>
      <c r="BY2392" s="1">
        <v>299</v>
      </c>
      <c r="BZ2392" s="1">
        <v>299</v>
      </c>
      <c r="CB2392" s="1" t="str">
        <f t="shared" ref="CB2392:CC2392" si="1834">"0"</f>
        <v>0</v>
      </c>
      <c r="CC2392" s="1" t="str">
        <f t="shared" si="1834"/>
        <v>0</v>
      </c>
      <c r="CD2392" s="1">
        <v>3935</v>
      </c>
      <c r="CE2392" s="1">
        <v>10400</v>
      </c>
      <c r="CG2392" s="1" t="s">
        <v>2560</v>
      </c>
      <c r="CH2392" s="1" t="s">
        <v>219</v>
      </c>
      <c r="CI2392" s="1" t="s">
        <v>229</v>
      </c>
      <c r="CK2392" s="1" t="s">
        <v>2070</v>
      </c>
      <c r="CL2392" s="1" t="s">
        <v>219</v>
      </c>
      <c r="CM2392" s="1" t="s">
        <v>229</v>
      </c>
      <c r="CP2392" s="1" t="s">
        <v>224</v>
      </c>
      <c r="CS2392" s="1" t="s">
        <v>346</v>
      </c>
      <c r="CT2392" s="1" t="s">
        <v>219</v>
      </c>
      <c r="CU2392" s="1" t="s">
        <v>229</v>
      </c>
      <c r="CX2392" s="1" t="s">
        <v>224</v>
      </c>
      <c r="DB2392" s="1" t="s">
        <v>224</v>
      </c>
      <c r="DE2392" s="1" t="s">
        <v>20825</v>
      </c>
      <c r="DF2392" s="1" t="s">
        <v>219</v>
      </c>
      <c r="DG2392" s="1" t="s">
        <v>226</v>
      </c>
      <c r="DH2392" s="1" t="s">
        <v>210</v>
      </c>
      <c r="DJ2392" s="1" t="s">
        <v>224</v>
      </c>
      <c r="DM2392" s="1" t="s">
        <v>709</v>
      </c>
      <c r="DR2392" s="1" t="s">
        <v>7164</v>
      </c>
      <c r="DS2392" s="1" t="s">
        <v>219</v>
      </c>
      <c r="DT2392" s="1" t="s">
        <v>226</v>
      </c>
      <c r="DW2392" s="1" t="s">
        <v>230</v>
      </c>
      <c r="EA2392" s="1" t="s">
        <v>230</v>
      </c>
      <c r="EE2392" s="1" t="s">
        <v>230</v>
      </c>
      <c r="EI2392" s="1" t="s">
        <v>230</v>
      </c>
      <c r="EL2392" s="1" t="s">
        <v>605</v>
      </c>
      <c r="EM2392" s="1" t="s">
        <v>730</v>
      </c>
      <c r="EN2392" s="1" t="s">
        <v>731</v>
      </c>
      <c r="EO2392" s="1" t="s">
        <v>234</v>
      </c>
      <c r="EP2392" s="1" t="s">
        <v>1614</v>
      </c>
      <c r="EQ2392" s="1" t="s">
        <v>2994</v>
      </c>
      <c r="ER2392" s="1" t="s">
        <v>210</v>
      </c>
      <c r="ES2392" s="1" t="s">
        <v>322</v>
      </c>
      <c r="EW2392" s="1" t="s">
        <v>7015</v>
      </c>
      <c r="EZ2392" s="1" t="s">
        <v>709</v>
      </c>
      <c r="FA2392" s="1" t="s">
        <v>3915</v>
      </c>
      <c r="FD2392" s="1" t="s">
        <v>246</v>
      </c>
      <c r="FE2392" s="1" t="s">
        <v>247</v>
      </c>
      <c r="FF2392" s="1" t="s">
        <v>248</v>
      </c>
      <c r="FH2392" s="1" t="s">
        <v>249</v>
      </c>
      <c r="FK2392" s="1" t="s">
        <v>291</v>
      </c>
      <c r="FL2392" s="1" t="s">
        <v>414</v>
      </c>
      <c r="FM2392" s="1" t="s">
        <v>252</v>
      </c>
      <c r="FN2392" s="1" t="s">
        <v>213</v>
      </c>
      <c r="FO2392" s="1" t="s">
        <v>213</v>
      </c>
      <c r="FQ2392" s="1" t="s">
        <v>689</v>
      </c>
      <c r="FR2392" s="1" t="s">
        <v>210</v>
      </c>
      <c r="FS2392" s="1" t="s">
        <v>13169</v>
      </c>
      <c r="FT2392" s="1" t="s">
        <v>1828</v>
      </c>
      <c r="FU2392" s="1" t="s">
        <v>204</v>
      </c>
      <c r="FW2392" s="1" t="s">
        <v>13170</v>
      </c>
      <c r="FX2392" s="1">
        <v>12511</v>
      </c>
      <c r="FY2392" s="1" t="s">
        <v>13171</v>
      </c>
      <c r="FZ2392" s="1" t="s">
        <v>13172</v>
      </c>
      <c r="GA2392" s="1">
        <v>121408</v>
      </c>
      <c r="GB2392" s="1" t="s">
        <v>13173</v>
      </c>
      <c r="GE2392" s="1" t="s">
        <v>210</v>
      </c>
      <c r="GH2392" s="1" t="s">
        <v>589</v>
      </c>
      <c r="GI2392" s="1" t="s">
        <v>213</v>
      </c>
      <c r="GJ2392" s="1" t="s">
        <v>260</v>
      </c>
      <c r="GK2392" s="1" t="s">
        <v>210</v>
      </c>
      <c r="GL2392" s="2">
        <v>42089</v>
      </c>
      <c r="GM2392" s="1" t="s">
        <v>20826</v>
      </c>
    </row>
    <row r="2393" spans="1:195">
      <c r="A2393" s="1">
        <v>55000</v>
      </c>
      <c r="B2393" s="1" t="s">
        <v>195</v>
      </c>
      <c r="C2393" s="1" t="str">
        <f>"08823939"</f>
        <v>08823939</v>
      </c>
      <c r="D2393" s="1" t="s">
        <v>196</v>
      </c>
      <c r="F2393" s="1" t="str">
        <f>"8042"</f>
        <v>8042</v>
      </c>
      <c r="G2393" s="2">
        <v>42030</v>
      </c>
      <c r="H2393" s="1">
        <v>55000</v>
      </c>
      <c r="I2393" s="1">
        <v>55000</v>
      </c>
      <c r="J2393" s="1">
        <v>55000</v>
      </c>
      <c r="K2393" s="2">
        <v>42027</v>
      </c>
      <c r="L2393" s="1">
        <v>249</v>
      </c>
      <c r="M2393" s="2">
        <v>42047</v>
      </c>
      <c r="N2393" s="1">
        <v>21</v>
      </c>
      <c r="O2393" s="2">
        <v>42047</v>
      </c>
      <c r="P2393" s="1">
        <v>18235</v>
      </c>
      <c r="Q2393" s="1" t="s">
        <v>302</v>
      </c>
      <c r="R2393" s="2">
        <v>42049</v>
      </c>
      <c r="S2393" s="1">
        <v>875046</v>
      </c>
      <c r="U2393" s="1">
        <v>6609</v>
      </c>
      <c r="V2393" s="1" t="s">
        <v>9040</v>
      </c>
      <c r="W2393" s="1" t="s">
        <v>425</v>
      </c>
      <c r="X2393" s="1" t="s">
        <v>6097</v>
      </c>
      <c r="Y2393" s="1">
        <v>8</v>
      </c>
      <c r="Z2393" s="1" t="s">
        <v>249</v>
      </c>
      <c r="AA2393" s="1" t="s">
        <v>400</v>
      </c>
      <c r="AB2393" s="1">
        <v>60637</v>
      </c>
      <c r="AE2393" s="1" t="s">
        <v>20827</v>
      </c>
      <c r="AF2393" s="1" t="s">
        <v>402</v>
      </c>
      <c r="AG2393" s="1" t="s">
        <v>204</v>
      </c>
      <c r="AH2393" s="1" t="s">
        <v>403</v>
      </c>
      <c r="AI2393" s="1" t="s">
        <v>310</v>
      </c>
      <c r="AJ2393" s="1" t="s">
        <v>562</v>
      </c>
      <c r="AK2393" s="1" t="s">
        <v>9373</v>
      </c>
      <c r="AL2393" s="1">
        <v>5</v>
      </c>
      <c r="AM2393" s="1">
        <v>2</v>
      </c>
      <c r="AN2393" s="1">
        <v>2</v>
      </c>
      <c r="AO2393" s="1">
        <v>0</v>
      </c>
      <c r="AP2393" s="1" t="s">
        <v>209</v>
      </c>
      <c r="AQ2393" s="1">
        <v>0</v>
      </c>
      <c r="AR2393" s="1" t="s">
        <v>210</v>
      </c>
      <c r="AS2393" s="1" t="s">
        <v>204</v>
      </c>
      <c r="AT2393" s="1" t="s">
        <v>271</v>
      </c>
      <c r="AV2393" s="1">
        <v>1</v>
      </c>
      <c r="AW2393" s="1" t="s">
        <v>204</v>
      </c>
      <c r="AX2393" s="1" t="s">
        <v>20828</v>
      </c>
      <c r="AZ2393" s="1">
        <v>1630.08</v>
      </c>
      <c r="BA2393" s="1">
        <v>2012</v>
      </c>
      <c r="BB2393" s="1" t="s">
        <v>210</v>
      </c>
      <c r="BE2393" s="1">
        <v>1200</v>
      </c>
      <c r="BF2393" s="1">
        <v>4</v>
      </c>
      <c r="BG2393" s="1">
        <v>0</v>
      </c>
      <c r="BJ2393" s="1">
        <v>100</v>
      </c>
      <c r="BL2393" s="1">
        <v>180</v>
      </c>
      <c r="BM2393" s="1" t="s">
        <v>204</v>
      </c>
      <c r="BN2393" s="1" t="s">
        <v>213</v>
      </c>
      <c r="BO2393" s="1">
        <v>20</v>
      </c>
      <c r="BP2393" s="1" t="s">
        <v>204</v>
      </c>
      <c r="BR2393" s="1" t="str">
        <f>"02322300200000"</f>
        <v>02322300200000</v>
      </c>
      <c r="BT2393" s="1" t="s">
        <v>20829</v>
      </c>
      <c r="BX2393" s="1">
        <v>299</v>
      </c>
      <c r="BY2393" s="1">
        <v>299</v>
      </c>
      <c r="BZ2393" s="1">
        <v>299</v>
      </c>
      <c r="CB2393" s="1" t="str">
        <f>"0"</f>
        <v>0</v>
      </c>
      <c r="CC2393" s="1" t="str">
        <f>"1300"</f>
        <v>1300</v>
      </c>
      <c r="CD2393" s="1">
        <v>0</v>
      </c>
      <c r="CE2393" s="1">
        <v>6609</v>
      </c>
      <c r="CG2393" s="1" t="s">
        <v>9043</v>
      </c>
      <c r="CH2393" s="1" t="s">
        <v>219</v>
      </c>
      <c r="CI2393" s="1" t="s">
        <v>438</v>
      </c>
      <c r="CJ2393" s="1" t="s">
        <v>210</v>
      </c>
      <c r="CK2393" s="1" t="s">
        <v>462</v>
      </c>
      <c r="CL2393" s="1" t="s">
        <v>219</v>
      </c>
      <c r="CM2393" s="1" t="s">
        <v>220</v>
      </c>
      <c r="CO2393" s="1" t="s">
        <v>629</v>
      </c>
      <c r="CP2393" s="1" t="s">
        <v>219</v>
      </c>
      <c r="CS2393" s="1" t="s">
        <v>1854</v>
      </c>
      <c r="CT2393" s="1" t="s">
        <v>219</v>
      </c>
      <c r="CU2393" s="1" t="s">
        <v>220</v>
      </c>
      <c r="CX2393" s="1" t="s">
        <v>224</v>
      </c>
      <c r="DB2393" s="1" t="s">
        <v>224</v>
      </c>
      <c r="DE2393" s="1" t="s">
        <v>2356</v>
      </c>
      <c r="DF2393" s="1" t="s">
        <v>219</v>
      </c>
      <c r="DG2393" s="1" t="s">
        <v>438</v>
      </c>
      <c r="DJ2393" s="1" t="s">
        <v>224</v>
      </c>
      <c r="DS2393" s="1" t="s">
        <v>230</v>
      </c>
      <c r="DW2393" s="1" t="s">
        <v>230</v>
      </c>
      <c r="EA2393" s="1" t="s">
        <v>230</v>
      </c>
      <c r="EE2393" s="1" t="s">
        <v>230</v>
      </c>
      <c r="EI2393" s="1" t="s">
        <v>230</v>
      </c>
      <c r="EL2393" s="1" t="s">
        <v>466</v>
      </c>
      <c r="EM2393" s="1" t="s">
        <v>319</v>
      </c>
      <c r="EN2393" s="1" t="s">
        <v>282</v>
      </c>
      <c r="EO2393" s="1" t="s">
        <v>840</v>
      </c>
      <c r="EP2393" s="1" t="s">
        <v>15913</v>
      </c>
      <c r="ER2393" s="1" t="s">
        <v>210</v>
      </c>
      <c r="ET2393" s="1" t="s">
        <v>1752</v>
      </c>
      <c r="EU2393" s="1" t="s">
        <v>5387</v>
      </c>
      <c r="EW2393" s="1" t="s">
        <v>286</v>
      </c>
      <c r="EY2393" s="1" t="s">
        <v>790</v>
      </c>
      <c r="EZ2393" s="1" t="s">
        <v>287</v>
      </c>
      <c r="FA2393" s="1" t="s">
        <v>2723</v>
      </c>
      <c r="FB2393" s="1" t="s">
        <v>846</v>
      </c>
      <c r="FC2393" s="1" t="s">
        <v>3646</v>
      </c>
      <c r="FD2393" s="1" t="s">
        <v>246</v>
      </c>
      <c r="FE2393" s="1" t="s">
        <v>247</v>
      </c>
      <c r="FF2393" s="1" t="s">
        <v>248</v>
      </c>
      <c r="FH2393" s="1" t="s">
        <v>3505</v>
      </c>
      <c r="FK2393" s="1" t="s">
        <v>688</v>
      </c>
      <c r="FL2393" s="1" t="s">
        <v>358</v>
      </c>
      <c r="FM2393" s="1" t="s">
        <v>252</v>
      </c>
      <c r="FN2393" s="1" t="s">
        <v>213</v>
      </c>
      <c r="FO2393" s="1" t="s">
        <v>213</v>
      </c>
      <c r="FQ2393" s="1" t="s">
        <v>8957</v>
      </c>
      <c r="FR2393" s="1" t="s">
        <v>360</v>
      </c>
      <c r="FS2393" s="1" t="s">
        <v>20830</v>
      </c>
      <c r="FT2393" s="1" t="s">
        <v>295</v>
      </c>
      <c r="FU2393" s="1" t="s">
        <v>204</v>
      </c>
      <c r="FW2393" s="1" t="s">
        <v>9584</v>
      </c>
      <c r="FX2393" s="1">
        <v>18235</v>
      </c>
      <c r="FY2393" s="1" t="s">
        <v>9585</v>
      </c>
      <c r="FZ2393" s="1" t="s">
        <v>20831</v>
      </c>
      <c r="GA2393" s="1">
        <v>875046</v>
      </c>
      <c r="GB2393" s="1" t="s">
        <v>20832</v>
      </c>
      <c r="GE2393" s="1" t="s">
        <v>210</v>
      </c>
      <c r="GH2393" s="1" t="s">
        <v>421</v>
      </c>
      <c r="GI2393" s="1" t="s">
        <v>213</v>
      </c>
      <c r="GJ2393" s="1" t="s">
        <v>260</v>
      </c>
      <c r="GK2393" s="1" t="s">
        <v>210</v>
      </c>
      <c r="GL2393" s="2">
        <v>42051</v>
      </c>
      <c r="GM2393" s="1" t="s">
        <v>397</v>
      </c>
    </row>
    <row r="2394" spans="1:195">
      <c r="A2394" s="1">
        <v>215000</v>
      </c>
      <c r="B2394" s="1" t="s">
        <v>195</v>
      </c>
      <c r="C2394" s="1" t="str">
        <f>"08824958"</f>
        <v>08824958</v>
      </c>
      <c r="D2394" s="1" t="s">
        <v>196</v>
      </c>
      <c r="F2394" s="1" t="str">
        <f>"154"</f>
        <v>154</v>
      </c>
      <c r="G2394" s="2">
        <v>42031</v>
      </c>
      <c r="H2394" s="1">
        <v>249900</v>
      </c>
      <c r="I2394" s="1">
        <v>224900</v>
      </c>
      <c r="J2394" s="1">
        <v>215000</v>
      </c>
      <c r="K2394" s="2">
        <v>42031</v>
      </c>
      <c r="L2394" s="1">
        <v>65</v>
      </c>
      <c r="M2394" s="2">
        <v>42095</v>
      </c>
      <c r="N2394" s="1">
        <v>65</v>
      </c>
      <c r="O2394" s="2">
        <v>42095</v>
      </c>
      <c r="P2394" s="1">
        <v>24321</v>
      </c>
      <c r="Q2394" s="1" t="s">
        <v>197</v>
      </c>
      <c r="R2394" s="2">
        <v>42139</v>
      </c>
      <c r="S2394" s="1">
        <v>240781</v>
      </c>
      <c r="U2394" s="1">
        <v>4</v>
      </c>
      <c r="V2394" s="1" t="s">
        <v>1189</v>
      </c>
      <c r="W2394" s="1" t="s">
        <v>304</v>
      </c>
      <c r="X2394" s="1">
        <v>4</v>
      </c>
      <c r="Y2394" s="1">
        <v>6</v>
      </c>
      <c r="Z2394" s="1" t="s">
        <v>249</v>
      </c>
      <c r="AA2394" s="1" t="s">
        <v>1190</v>
      </c>
      <c r="AB2394" s="1">
        <v>60154</v>
      </c>
      <c r="AD2394" s="1" t="s">
        <v>3359</v>
      </c>
      <c r="AE2394" s="1" t="s">
        <v>20833</v>
      </c>
      <c r="AF2394" s="1">
        <v>1986</v>
      </c>
      <c r="AG2394" s="1" t="s">
        <v>204</v>
      </c>
      <c r="AH2394" s="1" t="s">
        <v>1193</v>
      </c>
      <c r="AI2394" s="1" t="s">
        <v>310</v>
      </c>
      <c r="AJ2394" s="1" t="s">
        <v>429</v>
      </c>
      <c r="AL2394" s="1">
        <v>5</v>
      </c>
      <c r="AM2394" s="1">
        <v>2</v>
      </c>
      <c r="AN2394" s="1">
        <v>2</v>
      </c>
      <c r="AO2394" s="1">
        <v>0</v>
      </c>
      <c r="AP2394" s="1" t="s">
        <v>209</v>
      </c>
      <c r="AQ2394" s="1">
        <v>1</v>
      </c>
      <c r="AR2394" s="1" t="s">
        <v>210</v>
      </c>
      <c r="AS2394" s="1" t="s">
        <v>204</v>
      </c>
      <c r="AT2394" s="1" t="s">
        <v>211</v>
      </c>
      <c r="AU2394" s="1">
        <v>1</v>
      </c>
      <c r="AW2394" s="1" t="s">
        <v>204</v>
      </c>
      <c r="AX2394" s="1" t="s">
        <v>212</v>
      </c>
      <c r="AZ2394" s="1">
        <v>3032</v>
      </c>
      <c r="BA2394" s="1">
        <v>2013</v>
      </c>
      <c r="BB2394" s="1" t="s">
        <v>3996</v>
      </c>
      <c r="BE2394" s="1">
        <v>1525</v>
      </c>
      <c r="BF2394" s="1">
        <v>1</v>
      </c>
      <c r="BG2394" s="1">
        <v>10</v>
      </c>
      <c r="BJ2394" s="1">
        <v>100</v>
      </c>
      <c r="BL2394" s="1">
        <v>209</v>
      </c>
      <c r="BM2394" s="1" t="s">
        <v>204</v>
      </c>
      <c r="BN2394" s="1" t="s">
        <v>213</v>
      </c>
      <c r="BO2394" s="1">
        <v>35</v>
      </c>
      <c r="BP2394" s="1" t="s">
        <v>204</v>
      </c>
      <c r="BR2394" s="1" t="str">
        <f>"15293000291077"</f>
        <v>15293000291077</v>
      </c>
      <c r="BT2394" s="1" t="s">
        <v>20834</v>
      </c>
      <c r="BU2394" s="1" t="s">
        <v>1198</v>
      </c>
      <c r="BV2394" s="1" t="s">
        <v>1195</v>
      </c>
      <c r="BW2394" s="1" t="s">
        <v>1197</v>
      </c>
      <c r="BX2394" s="1">
        <v>92.5</v>
      </c>
      <c r="BY2394" s="1">
        <v>92.5</v>
      </c>
      <c r="BZ2394" s="1">
        <v>209</v>
      </c>
      <c r="CB2394" s="1" t="str">
        <f t="shared" ref="CB2394:CC2394" si="1835">""</f>
        <v/>
      </c>
      <c r="CC2394" s="1" t="str">
        <f t="shared" si="1835"/>
        <v/>
      </c>
      <c r="CG2394" s="1" t="s">
        <v>218</v>
      </c>
      <c r="CH2394" s="1" t="s">
        <v>219</v>
      </c>
      <c r="CI2394" s="1" t="s">
        <v>220</v>
      </c>
      <c r="CJ2394" s="1" t="s">
        <v>252</v>
      </c>
      <c r="CK2394" s="1" t="s">
        <v>3100</v>
      </c>
      <c r="CL2394" s="1" t="s">
        <v>219</v>
      </c>
      <c r="CM2394" s="1" t="s">
        <v>220</v>
      </c>
      <c r="CN2394" s="1" t="s">
        <v>252</v>
      </c>
      <c r="CO2394" s="1" t="s">
        <v>2982</v>
      </c>
      <c r="CP2394" s="1" t="s">
        <v>219</v>
      </c>
      <c r="CQ2394" s="1" t="s">
        <v>342</v>
      </c>
      <c r="CR2394" s="1" t="s">
        <v>252</v>
      </c>
      <c r="CS2394" s="1" t="s">
        <v>1854</v>
      </c>
      <c r="CT2394" s="1" t="s">
        <v>219</v>
      </c>
      <c r="CU2394" s="1" t="s">
        <v>220</v>
      </c>
      <c r="CV2394" s="1" t="s">
        <v>252</v>
      </c>
      <c r="CX2394" s="1" t="s">
        <v>224</v>
      </c>
      <c r="DB2394" s="1" t="s">
        <v>224</v>
      </c>
      <c r="DE2394" s="1" t="s">
        <v>1854</v>
      </c>
      <c r="DF2394" s="1" t="s">
        <v>219</v>
      </c>
      <c r="DG2394" s="1" t="s">
        <v>342</v>
      </c>
      <c r="DH2394" s="1" t="s">
        <v>210</v>
      </c>
      <c r="DJ2394" s="1" t="s">
        <v>224</v>
      </c>
      <c r="DS2394" s="1" t="s">
        <v>230</v>
      </c>
      <c r="DW2394" s="1" t="s">
        <v>230</v>
      </c>
      <c r="EA2394" s="1" t="s">
        <v>230</v>
      </c>
      <c r="EE2394" s="1" t="s">
        <v>230</v>
      </c>
      <c r="EI2394" s="1" t="s">
        <v>230</v>
      </c>
      <c r="EL2394" s="1" t="s">
        <v>542</v>
      </c>
      <c r="EM2394" s="1" t="s">
        <v>232</v>
      </c>
      <c r="EN2394" s="1" t="s">
        <v>282</v>
      </c>
      <c r="EO2394" s="1" t="s">
        <v>234</v>
      </c>
      <c r="EP2394" s="1" t="s">
        <v>12276</v>
      </c>
      <c r="EQ2394" s="1" t="s">
        <v>492</v>
      </c>
      <c r="ER2394" s="1" t="s">
        <v>210</v>
      </c>
      <c r="ES2394" s="1" t="s">
        <v>824</v>
      </c>
      <c r="ET2394" s="1" t="s">
        <v>8517</v>
      </c>
      <c r="EU2394" s="1" t="s">
        <v>239</v>
      </c>
      <c r="EV2394" s="1" t="s">
        <v>324</v>
      </c>
      <c r="EW2394" s="1" t="s">
        <v>17726</v>
      </c>
      <c r="EY2394" s="1" t="s">
        <v>790</v>
      </c>
      <c r="EZ2394" s="1" t="s">
        <v>287</v>
      </c>
      <c r="FA2394" s="1" t="s">
        <v>1203</v>
      </c>
      <c r="FB2394" s="1" t="s">
        <v>734</v>
      </c>
      <c r="FD2394" s="1" t="s">
        <v>290</v>
      </c>
      <c r="FE2394" s="1" t="s">
        <v>549</v>
      </c>
      <c r="FF2394" s="1" t="s">
        <v>1113</v>
      </c>
      <c r="FG2394" s="1" t="s">
        <v>912</v>
      </c>
      <c r="FH2394" s="1" t="s">
        <v>249</v>
      </c>
      <c r="FI2394" s="1" t="s">
        <v>473</v>
      </c>
      <c r="FJ2394" s="1" t="s">
        <v>197</v>
      </c>
      <c r="FL2394" s="1" t="s">
        <v>358</v>
      </c>
      <c r="FM2394" s="1" t="s">
        <v>252</v>
      </c>
      <c r="FN2394" s="1" t="s">
        <v>213</v>
      </c>
      <c r="FO2394" s="1" t="s">
        <v>213</v>
      </c>
      <c r="FQ2394" s="1" t="s">
        <v>19940</v>
      </c>
      <c r="FR2394" s="1" t="s">
        <v>210</v>
      </c>
      <c r="FS2394" s="1" t="s">
        <v>1709</v>
      </c>
      <c r="FT2394" s="1" t="s">
        <v>362</v>
      </c>
      <c r="FU2394" s="1" t="s">
        <v>204</v>
      </c>
      <c r="FW2394" s="1" t="s">
        <v>2179</v>
      </c>
      <c r="FX2394" s="1">
        <v>22039</v>
      </c>
      <c r="FY2394" s="1" t="s">
        <v>2180</v>
      </c>
      <c r="FZ2394" s="1" t="s">
        <v>20835</v>
      </c>
      <c r="GA2394" s="1">
        <v>215216</v>
      </c>
      <c r="GB2394" s="1" t="s">
        <v>20836</v>
      </c>
      <c r="GE2394" s="1" t="s">
        <v>210</v>
      </c>
      <c r="GI2394" s="1" t="s">
        <v>213</v>
      </c>
      <c r="GJ2394" s="1" t="s">
        <v>260</v>
      </c>
      <c r="GK2394" s="1" t="s">
        <v>261</v>
      </c>
      <c r="GL2394" s="2">
        <v>42139</v>
      </c>
      <c r="GM2394" s="1" t="s">
        <v>20837</v>
      </c>
    </row>
    <row r="2395" spans="1:195">
      <c r="A2395" s="1">
        <v>130500</v>
      </c>
      <c r="B2395" s="1" t="s">
        <v>195</v>
      </c>
      <c r="C2395" s="1" t="str">
        <f>"08828311"</f>
        <v>08828311</v>
      </c>
      <c r="D2395" s="1" t="s">
        <v>196</v>
      </c>
      <c r="F2395" s="1" t="str">
        <f>"543"</f>
        <v>543</v>
      </c>
      <c r="G2395" s="2">
        <v>42036</v>
      </c>
      <c r="H2395" s="1">
        <v>134900</v>
      </c>
      <c r="I2395" s="1">
        <v>134900</v>
      </c>
      <c r="J2395" s="1">
        <v>130500</v>
      </c>
      <c r="K2395" s="2">
        <v>42036</v>
      </c>
      <c r="L2395" s="1">
        <v>32</v>
      </c>
      <c r="M2395" s="2">
        <v>42067</v>
      </c>
      <c r="N2395" s="1">
        <v>32</v>
      </c>
      <c r="O2395" s="2">
        <v>42067</v>
      </c>
      <c r="P2395" s="1">
        <v>306</v>
      </c>
      <c r="Q2395" s="1" t="s">
        <v>197</v>
      </c>
      <c r="R2395" s="2">
        <v>42095</v>
      </c>
      <c r="S2395" s="1">
        <v>310453</v>
      </c>
      <c r="T2395" s="1">
        <v>3000</v>
      </c>
      <c r="U2395" s="1">
        <v>306</v>
      </c>
      <c r="V2395" s="1" t="s">
        <v>17800</v>
      </c>
      <c r="W2395" s="1" t="s">
        <v>526</v>
      </c>
      <c r="Y2395" s="1">
        <v>4</v>
      </c>
      <c r="Z2395" s="1" t="s">
        <v>370</v>
      </c>
      <c r="AA2395" s="1" t="s">
        <v>2639</v>
      </c>
      <c r="AB2395" s="1">
        <v>60543</v>
      </c>
      <c r="AD2395" s="1" t="s">
        <v>20838</v>
      </c>
      <c r="AE2395" s="1" t="s">
        <v>20839</v>
      </c>
      <c r="AF2395" s="1">
        <v>2005</v>
      </c>
      <c r="AG2395" s="1" t="s">
        <v>204</v>
      </c>
      <c r="AH2395" s="1" t="s">
        <v>1397</v>
      </c>
      <c r="AI2395" s="1" t="s">
        <v>453</v>
      </c>
      <c r="AJ2395" s="1" t="s">
        <v>454</v>
      </c>
      <c r="AL2395" s="1">
        <v>6</v>
      </c>
      <c r="AM2395" s="1">
        <v>2</v>
      </c>
      <c r="AN2395" s="1">
        <v>2</v>
      </c>
      <c r="AO2395" s="1">
        <v>1</v>
      </c>
      <c r="AP2395" s="1" t="s">
        <v>209</v>
      </c>
      <c r="AR2395" s="1" t="s">
        <v>210</v>
      </c>
      <c r="AS2395" s="1" t="s">
        <v>204</v>
      </c>
      <c r="AT2395" s="1" t="s">
        <v>211</v>
      </c>
      <c r="AU2395" s="1">
        <v>2</v>
      </c>
      <c r="AW2395" s="1" t="s">
        <v>204</v>
      </c>
      <c r="AX2395" s="1" t="s">
        <v>212</v>
      </c>
      <c r="AZ2395" s="1">
        <v>5184.3599999999997</v>
      </c>
      <c r="BA2395" s="1">
        <v>2012</v>
      </c>
      <c r="BE2395" s="1">
        <v>1625</v>
      </c>
      <c r="BF2395" s="1">
        <v>1</v>
      </c>
      <c r="BG2395" s="1">
        <v>0</v>
      </c>
      <c r="BL2395" s="1">
        <v>172</v>
      </c>
      <c r="BM2395" s="1" t="s">
        <v>204</v>
      </c>
      <c r="BN2395" s="1" t="s">
        <v>213</v>
      </c>
      <c r="BO2395" s="1">
        <v>999</v>
      </c>
      <c r="BP2395" s="1" t="s">
        <v>204</v>
      </c>
      <c r="BR2395" s="1" t="str">
        <f>"0201361050"</f>
        <v>0201361050</v>
      </c>
      <c r="BT2395" s="1" t="s">
        <v>20840</v>
      </c>
      <c r="BU2395" s="1" t="s">
        <v>2618</v>
      </c>
      <c r="BV2395" s="1" t="s">
        <v>459</v>
      </c>
      <c r="BW2395" s="1" t="s">
        <v>460</v>
      </c>
      <c r="BX2395" s="1">
        <v>308</v>
      </c>
      <c r="BY2395" s="1">
        <v>308</v>
      </c>
      <c r="BZ2395" s="1">
        <v>308</v>
      </c>
      <c r="CB2395" s="1" t="str">
        <f t="shared" ref="CB2395:CC2395" si="1836">""</f>
        <v/>
      </c>
      <c r="CC2395" s="1" t="str">
        <f t="shared" si="1836"/>
        <v/>
      </c>
      <c r="CG2395" s="1" t="s">
        <v>932</v>
      </c>
      <c r="CH2395" s="1" t="s">
        <v>219</v>
      </c>
      <c r="CI2395" s="1" t="s">
        <v>220</v>
      </c>
      <c r="CK2395" s="1" t="s">
        <v>669</v>
      </c>
      <c r="CL2395" s="1" t="s">
        <v>277</v>
      </c>
      <c r="CM2395" s="1" t="s">
        <v>220</v>
      </c>
      <c r="CO2395" s="1" t="s">
        <v>1046</v>
      </c>
      <c r="CP2395" s="1" t="s">
        <v>219</v>
      </c>
      <c r="CQ2395" s="1" t="s">
        <v>220</v>
      </c>
      <c r="CS2395" s="1" t="s">
        <v>461</v>
      </c>
      <c r="CT2395" s="1" t="s">
        <v>277</v>
      </c>
      <c r="CU2395" s="1" t="s">
        <v>220</v>
      </c>
      <c r="CX2395" s="1" t="s">
        <v>224</v>
      </c>
      <c r="DB2395" s="1" t="s">
        <v>224</v>
      </c>
      <c r="DE2395" s="1" t="s">
        <v>1046</v>
      </c>
      <c r="DF2395" s="1" t="s">
        <v>219</v>
      </c>
      <c r="DG2395" s="1" t="s">
        <v>226</v>
      </c>
      <c r="DJ2395" s="1" t="s">
        <v>224</v>
      </c>
      <c r="DM2395" s="1" t="s">
        <v>464</v>
      </c>
      <c r="DO2395" s="1" t="s">
        <v>709</v>
      </c>
      <c r="DR2395" s="1" t="s">
        <v>5898</v>
      </c>
      <c r="DS2395" s="1" t="s">
        <v>277</v>
      </c>
      <c r="DT2395" s="1" t="s">
        <v>220</v>
      </c>
      <c r="DW2395" s="1" t="s">
        <v>230</v>
      </c>
      <c r="DZ2395" s="1" t="s">
        <v>6226</v>
      </c>
      <c r="EA2395" s="1" t="s">
        <v>219</v>
      </c>
      <c r="EB2395" s="1" t="s">
        <v>226</v>
      </c>
      <c r="EE2395" s="1" t="s">
        <v>230</v>
      </c>
      <c r="EI2395" s="1" t="s">
        <v>230</v>
      </c>
      <c r="EL2395" s="1" t="s">
        <v>491</v>
      </c>
      <c r="EM2395" s="1" t="s">
        <v>319</v>
      </c>
      <c r="EN2395" s="1" t="s">
        <v>282</v>
      </c>
      <c r="EO2395" s="1" t="s">
        <v>234</v>
      </c>
      <c r="EP2395" s="1" t="s">
        <v>3012</v>
      </c>
      <c r="EQ2395" s="1" t="s">
        <v>236</v>
      </c>
      <c r="ER2395" s="1" t="s">
        <v>383</v>
      </c>
      <c r="ES2395" s="1" t="s">
        <v>493</v>
      </c>
      <c r="EU2395" s="1" t="s">
        <v>239</v>
      </c>
      <c r="EV2395" s="1" t="s">
        <v>240</v>
      </c>
      <c r="EW2395" s="1" t="s">
        <v>353</v>
      </c>
      <c r="EY2395" s="1" t="s">
        <v>790</v>
      </c>
      <c r="EZ2395" s="1" t="s">
        <v>2549</v>
      </c>
      <c r="FA2395" s="1" t="s">
        <v>20841</v>
      </c>
      <c r="FD2395" s="1" t="s">
        <v>246</v>
      </c>
      <c r="FE2395" s="1" t="s">
        <v>472</v>
      </c>
      <c r="FF2395" s="1" t="s">
        <v>3647</v>
      </c>
      <c r="FH2395" s="1" t="s">
        <v>550</v>
      </c>
      <c r="FI2395" s="1" t="s">
        <v>473</v>
      </c>
      <c r="FL2395" s="1" t="s">
        <v>358</v>
      </c>
      <c r="FM2395" s="1" t="s">
        <v>252</v>
      </c>
      <c r="FN2395" s="1" t="s">
        <v>213</v>
      </c>
      <c r="FO2395" s="1" t="s">
        <v>213</v>
      </c>
      <c r="FQ2395" s="1" t="s">
        <v>20842</v>
      </c>
      <c r="FR2395" s="1" t="s">
        <v>210</v>
      </c>
      <c r="FS2395" s="1" t="s">
        <v>20843</v>
      </c>
      <c r="FT2395" s="1" t="s">
        <v>295</v>
      </c>
      <c r="FU2395" s="1" t="s">
        <v>204</v>
      </c>
      <c r="FW2395" s="1" t="s">
        <v>20844</v>
      </c>
      <c r="FX2395" s="1">
        <v>259</v>
      </c>
      <c r="FY2395" s="1" t="s">
        <v>20845</v>
      </c>
      <c r="FZ2395" s="1" t="s">
        <v>20846</v>
      </c>
      <c r="GA2395" s="1">
        <v>7741</v>
      </c>
      <c r="GE2395" s="1" t="s">
        <v>480</v>
      </c>
      <c r="GI2395" s="1" t="s">
        <v>204</v>
      </c>
      <c r="GJ2395" s="1" t="s">
        <v>260</v>
      </c>
      <c r="GK2395" s="1" t="s">
        <v>210</v>
      </c>
      <c r="GL2395" s="2">
        <v>42095</v>
      </c>
      <c r="GM2395" s="1" t="s">
        <v>20847</v>
      </c>
    </row>
    <row r="2396" spans="1:195">
      <c r="A2396" s="1">
        <v>95000</v>
      </c>
      <c r="B2396" s="1" t="s">
        <v>195</v>
      </c>
      <c r="C2396" s="1" t="str">
        <f>"08827646"</f>
        <v>08827646</v>
      </c>
      <c r="D2396" s="1" t="s">
        <v>196</v>
      </c>
      <c r="F2396" s="1" t="str">
        <f>"103"</f>
        <v>103</v>
      </c>
      <c r="G2396" s="2">
        <v>42034</v>
      </c>
      <c r="H2396" s="1">
        <v>94900</v>
      </c>
      <c r="I2396" s="1">
        <v>94900</v>
      </c>
      <c r="J2396" s="1">
        <v>95000</v>
      </c>
      <c r="K2396" s="2">
        <v>42034</v>
      </c>
      <c r="L2396" s="1">
        <v>17</v>
      </c>
      <c r="M2396" s="2">
        <v>42050</v>
      </c>
      <c r="N2396" s="1">
        <v>17</v>
      </c>
      <c r="O2396" s="2">
        <v>42050</v>
      </c>
      <c r="P2396" s="1">
        <v>22145</v>
      </c>
      <c r="Q2396" s="1" t="s">
        <v>423</v>
      </c>
      <c r="R2396" s="2">
        <v>42146</v>
      </c>
      <c r="S2396" s="1">
        <v>226619</v>
      </c>
      <c r="U2396" s="1">
        <v>7594</v>
      </c>
      <c r="V2396" s="1" t="s">
        <v>20848</v>
      </c>
      <c r="W2396" s="1" t="s">
        <v>3006</v>
      </c>
      <c r="Y2396" s="1">
        <v>5</v>
      </c>
      <c r="Z2396" s="1" t="s">
        <v>370</v>
      </c>
      <c r="AA2396" s="1" t="s">
        <v>337</v>
      </c>
      <c r="AB2396" s="1">
        <v>60133</v>
      </c>
      <c r="AD2396" s="1" t="s">
        <v>15482</v>
      </c>
      <c r="AE2396" s="1" t="s">
        <v>20849</v>
      </c>
      <c r="AF2396" s="1">
        <v>1979</v>
      </c>
      <c r="AG2396" s="1" t="s">
        <v>204</v>
      </c>
      <c r="AH2396" s="1" t="s">
        <v>339</v>
      </c>
      <c r="AI2396" s="1" t="s">
        <v>310</v>
      </c>
      <c r="AJ2396" s="1" t="s">
        <v>1717</v>
      </c>
      <c r="AK2396" s="1" t="s">
        <v>20850</v>
      </c>
      <c r="AL2396" s="1">
        <v>5</v>
      </c>
      <c r="AM2396" s="1">
        <v>2</v>
      </c>
      <c r="AN2396" s="1">
        <v>1</v>
      </c>
      <c r="AO2396" s="1">
        <v>1</v>
      </c>
      <c r="AP2396" s="1" t="s">
        <v>210</v>
      </c>
      <c r="AQ2396" s="1">
        <v>1</v>
      </c>
      <c r="AR2396" s="1" t="s">
        <v>210</v>
      </c>
      <c r="AS2396" s="1" t="s">
        <v>204</v>
      </c>
      <c r="AT2396" s="1" t="s">
        <v>211</v>
      </c>
      <c r="AU2396" s="1">
        <v>1</v>
      </c>
      <c r="AW2396" s="1" t="s">
        <v>204</v>
      </c>
      <c r="AX2396" s="1" t="s">
        <v>20851</v>
      </c>
      <c r="AZ2396" s="1">
        <v>2378.14</v>
      </c>
      <c r="BA2396" s="1">
        <v>2013</v>
      </c>
      <c r="BB2396" s="1" t="s">
        <v>405</v>
      </c>
      <c r="BE2396" s="1">
        <v>1070</v>
      </c>
      <c r="BF2396" s="1">
        <v>1</v>
      </c>
      <c r="BG2396" s="1">
        <v>7</v>
      </c>
      <c r="BL2396" s="1">
        <v>206</v>
      </c>
      <c r="BM2396" s="1" t="s">
        <v>204</v>
      </c>
      <c r="BN2396" s="1" t="s">
        <v>213</v>
      </c>
      <c r="BO2396" s="1">
        <v>999</v>
      </c>
      <c r="BP2396" s="1" t="s">
        <v>204</v>
      </c>
      <c r="BR2396" s="1" t="str">
        <f>"07293110280000"</f>
        <v>07293110280000</v>
      </c>
      <c r="BT2396" s="1" t="s">
        <v>20852</v>
      </c>
      <c r="BU2396" s="1" t="s">
        <v>1720</v>
      </c>
      <c r="BV2396" s="1" t="s">
        <v>1721</v>
      </c>
      <c r="BW2396" s="1" t="s">
        <v>1722</v>
      </c>
      <c r="BX2396" s="1">
        <v>54</v>
      </c>
      <c r="BY2396" s="1">
        <v>54</v>
      </c>
      <c r="BZ2396" s="1">
        <v>211</v>
      </c>
      <c r="CB2396" s="1" t="str">
        <f>"9"</f>
        <v>9</v>
      </c>
      <c r="CC2396" s="1" t="str">
        <f>"0"</f>
        <v>0</v>
      </c>
      <c r="CD2396" s="1">
        <v>26</v>
      </c>
      <c r="CE2396" s="1">
        <v>0</v>
      </c>
      <c r="CG2396" s="1" t="s">
        <v>515</v>
      </c>
      <c r="CH2396" s="1" t="s">
        <v>219</v>
      </c>
      <c r="CI2396" s="1" t="s">
        <v>220</v>
      </c>
      <c r="CJ2396" s="1" t="s">
        <v>463</v>
      </c>
      <c r="CK2396" s="1" t="s">
        <v>378</v>
      </c>
      <c r="CL2396" s="1" t="s">
        <v>277</v>
      </c>
      <c r="CM2396" s="1" t="s">
        <v>229</v>
      </c>
      <c r="CN2396" s="1" t="s">
        <v>463</v>
      </c>
      <c r="CO2396" s="1" t="s">
        <v>629</v>
      </c>
      <c r="CP2396" s="1" t="s">
        <v>219</v>
      </c>
      <c r="CQ2396" s="1" t="s">
        <v>220</v>
      </c>
      <c r="CR2396" s="1" t="s">
        <v>463</v>
      </c>
      <c r="CS2396" s="1" t="s">
        <v>837</v>
      </c>
      <c r="CT2396" s="1" t="s">
        <v>277</v>
      </c>
      <c r="CU2396" s="1" t="s">
        <v>229</v>
      </c>
      <c r="CV2396" s="1" t="s">
        <v>463</v>
      </c>
      <c r="CX2396" s="1" t="s">
        <v>224</v>
      </c>
      <c r="DB2396" s="1" t="s">
        <v>224</v>
      </c>
      <c r="DE2396" s="1" t="s">
        <v>2138</v>
      </c>
      <c r="DF2396" s="1" t="s">
        <v>219</v>
      </c>
      <c r="DG2396" s="1" t="s">
        <v>342</v>
      </c>
      <c r="DH2396" s="1" t="s">
        <v>343</v>
      </c>
      <c r="DJ2396" s="1" t="s">
        <v>224</v>
      </c>
      <c r="DS2396" s="1" t="s">
        <v>230</v>
      </c>
      <c r="DW2396" s="1" t="s">
        <v>230</v>
      </c>
      <c r="EA2396" s="1" t="s">
        <v>230</v>
      </c>
      <c r="EE2396" s="1" t="s">
        <v>230</v>
      </c>
      <c r="EI2396" s="1" t="s">
        <v>230</v>
      </c>
      <c r="EL2396" s="1" t="s">
        <v>231</v>
      </c>
      <c r="EM2396" s="1" t="s">
        <v>232</v>
      </c>
      <c r="EN2396" s="1" t="s">
        <v>282</v>
      </c>
      <c r="EO2396" s="1" t="s">
        <v>234</v>
      </c>
      <c r="EP2396" s="1" t="s">
        <v>20853</v>
      </c>
      <c r="EQ2396" s="1" t="s">
        <v>20134</v>
      </c>
      <c r="ER2396" s="1" t="s">
        <v>1069</v>
      </c>
      <c r="ES2396" s="1" t="s">
        <v>824</v>
      </c>
      <c r="EU2396" s="1" t="s">
        <v>1345</v>
      </c>
      <c r="EV2396" s="1" t="s">
        <v>240</v>
      </c>
      <c r="EW2396" s="1" t="s">
        <v>1679</v>
      </c>
      <c r="EY2396" s="1" t="s">
        <v>790</v>
      </c>
      <c r="EZ2396" s="1" t="s">
        <v>287</v>
      </c>
      <c r="FA2396" s="1" t="s">
        <v>6866</v>
      </c>
      <c r="FB2396" s="1" t="s">
        <v>1755</v>
      </c>
      <c r="FC2396" s="1" t="s">
        <v>1386</v>
      </c>
      <c r="FD2396" s="1" t="s">
        <v>246</v>
      </c>
      <c r="FE2396" s="1" t="s">
        <v>386</v>
      </c>
      <c r="FF2396" s="1" t="s">
        <v>3103</v>
      </c>
      <c r="FG2396" s="1" t="s">
        <v>715</v>
      </c>
      <c r="FH2396" s="1" t="s">
        <v>550</v>
      </c>
      <c r="FI2396" s="1" t="s">
        <v>473</v>
      </c>
      <c r="FJ2396" s="1" t="s">
        <v>518</v>
      </c>
      <c r="FL2396" s="1" t="s">
        <v>358</v>
      </c>
      <c r="FM2396" s="1" t="s">
        <v>252</v>
      </c>
      <c r="FN2396" s="1" t="s">
        <v>213</v>
      </c>
      <c r="FO2396" s="1" t="s">
        <v>213</v>
      </c>
      <c r="FQ2396" s="1" t="s">
        <v>11915</v>
      </c>
      <c r="FR2396" s="1" t="s">
        <v>360</v>
      </c>
      <c r="FS2396" s="1" t="s">
        <v>20854</v>
      </c>
      <c r="FT2396" s="1" t="s">
        <v>20855</v>
      </c>
      <c r="FU2396" s="1" t="s">
        <v>204</v>
      </c>
      <c r="FW2396" s="1" t="s">
        <v>4427</v>
      </c>
      <c r="FX2396" s="1">
        <v>8064</v>
      </c>
      <c r="FY2396" s="1" t="s">
        <v>4428</v>
      </c>
      <c r="FZ2396" s="1" t="s">
        <v>4429</v>
      </c>
      <c r="GA2396" s="1">
        <v>81549</v>
      </c>
      <c r="GB2396" s="1" t="s">
        <v>4430</v>
      </c>
      <c r="GD2396" s="1" t="s">
        <v>4431</v>
      </c>
      <c r="GE2396" s="1" t="s">
        <v>1256</v>
      </c>
      <c r="GI2396" s="1" t="s">
        <v>213</v>
      </c>
      <c r="GJ2396" s="1" t="s">
        <v>260</v>
      </c>
      <c r="GK2396" s="1" t="s">
        <v>261</v>
      </c>
      <c r="GL2396" s="2">
        <v>42146</v>
      </c>
      <c r="GM2396" s="1" t="s">
        <v>20856</v>
      </c>
    </row>
    <row r="2397" spans="1:195">
      <c r="A2397" s="1">
        <v>95000</v>
      </c>
      <c r="B2397" s="1" t="s">
        <v>195</v>
      </c>
      <c r="C2397" s="1" t="str">
        <f>"08826372"</f>
        <v>08826372</v>
      </c>
      <c r="D2397" s="1" t="s">
        <v>196</v>
      </c>
      <c r="F2397" s="1" t="str">
        <f>"148"</f>
        <v>148</v>
      </c>
      <c r="G2397" s="2">
        <v>42033</v>
      </c>
      <c r="H2397" s="1">
        <v>119000</v>
      </c>
      <c r="I2397" s="1">
        <v>109000</v>
      </c>
      <c r="J2397" s="1">
        <v>95000</v>
      </c>
      <c r="K2397" s="2">
        <v>42033</v>
      </c>
      <c r="L2397" s="1">
        <v>95</v>
      </c>
      <c r="M2397" s="2">
        <v>42127</v>
      </c>
      <c r="N2397" s="1">
        <v>95</v>
      </c>
      <c r="O2397" s="2">
        <v>42127</v>
      </c>
      <c r="P2397" s="1">
        <v>84855</v>
      </c>
      <c r="Q2397" s="1" t="s">
        <v>302</v>
      </c>
      <c r="R2397" s="2">
        <v>42145</v>
      </c>
      <c r="S2397" s="1">
        <v>184477</v>
      </c>
      <c r="U2397" s="1">
        <v>1311</v>
      </c>
      <c r="V2397" s="1" t="s">
        <v>2226</v>
      </c>
      <c r="W2397" s="1" t="s">
        <v>1056</v>
      </c>
      <c r="X2397" s="1">
        <v>301</v>
      </c>
      <c r="Y2397" s="1">
        <v>84</v>
      </c>
      <c r="Z2397" s="1" t="s">
        <v>249</v>
      </c>
      <c r="AA2397" s="1" t="s">
        <v>1927</v>
      </c>
      <c r="AB2397" s="1">
        <v>60148</v>
      </c>
      <c r="AD2397" s="1" t="s">
        <v>2227</v>
      </c>
      <c r="AE2397" s="1" t="s">
        <v>20857</v>
      </c>
      <c r="AF2397" s="1">
        <v>1973</v>
      </c>
      <c r="AG2397" s="1" t="s">
        <v>213</v>
      </c>
      <c r="AH2397" s="1" t="s">
        <v>1930</v>
      </c>
      <c r="AI2397" s="1" t="s">
        <v>206</v>
      </c>
      <c r="AJ2397" s="1" t="s">
        <v>1608</v>
      </c>
      <c r="AL2397" s="1">
        <v>5</v>
      </c>
      <c r="AM2397" s="1">
        <v>2</v>
      </c>
      <c r="AN2397" s="1">
        <v>1</v>
      </c>
      <c r="AO2397" s="1">
        <v>1</v>
      </c>
      <c r="AP2397" s="1" t="s">
        <v>1234</v>
      </c>
      <c r="AR2397" s="1" t="s">
        <v>210</v>
      </c>
      <c r="AS2397" s="1" t="s">
        <v>204</v>
      </c>
      <c r="AT2397" s="1" t="s">
        <v>271</v>
      </c>
      <c r="AV2397" s="1">
        <v>2</v>
      </c>
      <c r="AW2397" s="1" t="s">
        <v>204</v>
      </c>
      <c r="AX2397" s="1" t="s">
        <v>212</v>
      </c>
      <c r="AZ2397" s="1">
        <v>1650</v>
      </c>
      <c r="BA2397" s="1">
        <v>2013</v>
      </c>
      <c r="BB2397" s="1" t="s">
        <v>405</v>
      </c>
      <c r="BE2397" s="1">
        <v>1133</v>
      </c>
      <c r="BF2397" s="1">
        <v>3</v>
      </c>
      <c r="BG2397" s="1">
        <v>14</v>
      </c>
      <c r="BJ2397" s="1">
        <v>100</v>
      </c>
      <c r="BL2397" s="1">
        <v>399</v>
      </c>
      <c r="BM2397" s="1" t="s">
        <v>204</v>
      </c>
      <c r="BN2397" s="1" t="s">
        <v>213</v>
      </c>
      <c r="BO2397" s="1">
        <v>25</v>
      </c>
      <c r="BP2397" s="1" t="s">
        <v>204</v>
      </c>
      <c r="BR2397" s="1" t="str">
        <f>"0619213041"</f>
        <v>0619213041</v>
      </c>
      <c r="BT2397" s="1" t="s">
        <v>20858</v>
      </c>
      <c r="BU2397" s="1" t="s">
        <v>1933</v>
      </c>
      <c r="BV2397" s="1" t="s">
        <v>1934</v>
      </c>
      <c r="BW2397" s="1" t="s">
        <v>1935</v>
      </c>
      <c r="BX2397" s="1">
        <v>44</v>
      </c>
      <c r="BY2397" s="1">
        <v>44</v>
      </c>
      <c r="BZ2397" s="1">
        <v>87</v>
      </c>
      <c r="CB2397" s="1" t="str">
        <f t="shared" ref="CB2397:CC2397" si="1837">""</f>
        <v/>
      </c>
      <c r="CC2397" s="1" t="str">
        <f t="shared" si="1837"/>
        <v/>
      </c>
      <c r="CG2397" s="1" t="s">
        <v>1737</v>
      </c>
      <c r="CH2397" s="1" t="s">
        <v>219</v>
      </c>
      <c r="CI2397" s="1" t="s">
        <v>220</v>
      </c>
      <c r="CJ2397" s="1" t="s">
        <v>463</v>
      </c>
      <c r="CK2397" s="1" t="s">
        <v>437</v>
      </c>
      <c r="CL2397" s="1" t="s">
        <v>219</v>
      </c>
      <c r="CM2397" s="1" t="s">
        <v>220</v>
      </c>
      <c r="CO2397" s="1" t="s">
        <v>407</v>
      </c>
      <c r="CP2397" s="1" t="s">
        <v>219</v>
      </c>
      <c r="CQ2397" s="1" t="s">
        <v>220</v>
      </c>
      <c r="CS2397" s="1" t="s">
        <v>379</v>
      </c>
      <c r="CT2397" s="1" t="s">
        <v>219</v>
      </c>
      <c r="CU2397" s="1" t="s">
        <v>220</v>
      </c>
      <c r="CX2397" s="1" t="s">
        <v>224</v>
      </c>
      <c r="DB2397" s="1" t="s">
        <v>224</v>
      </c>
      <c r="DE2397" s="1" t="s">
        <v>465</v>
      </c>
      <c r="DF2397" s="1" t="s">
        <v>219</v>
      </c>
      <c r="DG2397" s="1" t="s">
        <v>229</v>
      </c>
      <c r="DH2397" s="1" t="s">
        <v>343</v>
      </c>
      <c r="DJ2397" s="1" t="s">
        <v>224</v>
      </c>
      <c r="DS2397" s="1" t="s">
        <v>230</v>
      </c>
      <c r="DW2397" s="1" t="s">
        <v>230</v>
      </c>
      <c r="EA2397" s="1" t="s">
        <v>230</v>
      </c>
      <c r="EE2397" s="1" t="s">
        <v>230</v>
      </c>
      <c r="EI2397" s="1" t="s">
        <v>230</v>
      </c>
      <c r="EL2397" s="1" t="s">
        <v>605</v>
      </c>
      <c r="EM2397" s="1" t="s">
        <v>730</v>
      </c>
      <c r="EN2397" s="1" t="s">
        <v>233</v>
      </c>
      <c r="EO2397" s="1" t="s">
        <v>840</v>
      </c>
      <c r="EP2397" s="1" t="s">
        <v>20859</v>
      </c>
      <c r="EQ2397" s="1" t="s">
        <v>1109</v>
      </c>
      <c r="ER2397" s="1" t="s">
        <v>210</v>
      </c>
      <c r="ES2397" s="1" t="s">
        <v>469</v>
      </c>
      <c r="EV2397" s="1" t="s">
        <v>240</v>
      </c>
      <c r="EW2397" s="1" t="s">
        <v>2232</v>
      </c>
      <c r="EY2397" s="1" t="s">
        <v>242</v>
      </c>
      <c r="EZ2397" s="1" t="s">
        <v>287</v>
      </c>
      <c r="FB2397" s="1" t="s">
        <v>289</v>
      </c>
      <c r="FD2397" s="1" t="s">
        <v>495</v>
      </c>
      <c r="FE2397" s="1" t="s">
        <v>247</v>
      </c>
      <c r="FF2397" s="1" t="s">
        <v>248</v>
      </c>
      <c r="FH2397" s="1" t="s">
        <v>249</v>
      </c>
      <c r="FJ2397" s="1" t="s">
        <v>1472</v>
      </c>
      <c r="FL2397" s="1" t="s">
        <v>6699</v>
      </c>
      <c r="FM2397" s="1" t="s">
        <v>252</v>
      </c>
      <c r="FN2397" s="1" t="s">
        <v>213</v>
      </c>
      <c r="FO2397" s="1" t="s">
        <v>213</v>
      </c>
      <c r="FQ2397" s="1" t="s">
        <v>793</v>
      </c>
      <c r="FR2397" s="1" t="s">
        <v>210</v>
      </c>
      <c r="FS2397" s="1" t="s">
        <v>20860</v>
      </c>
      <c r="FT2397" s="1" t="s">
        <v>295</v>
      </c>
      <c r="FU2397" s="1" t="s">
        <v>204</v>
      </c>
      <c r="FW2397" s="1" t="s">
        <v>915</v>
      </c>
      <c r="FX2397" s="1">
        <v>24071</v>
      </c>
      <c r="FY2397" s="1" t="s">
        <v>2208</v>
      </c>
      <c r="FZ2397" s="1" t="s">
        <v>20861</v>
      </c>
      <c r="GA2397" s="1">
        <v>228305</v>
      </c>
      <c r="GB2397" s="1" t="s">
        <v>20862</v>
      </c>
      <c r="GE2397" s="1" t="s">
        <v>480</v>
      </c>
      <c r="GH2397" s="1" t="s">
        <v>421</v>
      </c>
      <c r="GI2397" s="1" t="s">
        <v>213</v>
      </c>
      <c r="GJ2397" s="1" t="s">
        <v>260</v>
      </c>
      <c r="GK2397" s="1" t="s">
        <v>210</v>
      </c>
      <c r="GL2397" s="2">
        <v>42145</v>
      </c>
      <c r="GM2397" s="1" t="s">
        <v>20863</v>
      </c>
    </row>
    <row r="2398" spans="1:195">
      <c r="A2398" s="1">
        <v>155100</v>
      </c>
      <c r="B2398" s="1" t="s">
        <v>195</v>
      </c>
      <c r="C2398" s="1" t="str">
        <f>"08826911"</f>
        <v>08826911</v>
      </c>
      <c r="D2398" s="1" t="s">
        <v>196</v>
      </c>
      <c r="F2398" s="1" t="str">
        <f>"187"</f>
        <v>187</v>
      </c>
      <c r="G2398" s="2">
        <v>42034</v>
      </c>
      <c r="H2398" s="1">
        <v>154900</v>
      </c>
      <c r="I2398" s="1">
        <v>154900</v>
      </c>
      <c r="J2398" s="1">
        <v>155100</v>
      </c>
      <c r="K2398" s="2">
        <v>42034</v>
      </c>
      <c r="L2398" s="1">
        <v>9</v>
      </c>
      <c r="M2398" s="2">
        <v>42042</v>
      </c>
      <c r="N2398" s="1">
        <v>9</v>
      </c>
      <c r="O2398" s="2">
        <v>42042</v>
      </c>
      <c r="P2398" s="1">
        <v>25003</v>
      </c>
      <c r="Q2398" s="1" t="s">
        <v>302</v>
      </c>
      <c r="R2398" s="2">
        <v>42082</v>
      </c>
      <c r="S2398" s="1">
        <v>245148</v>
      </c>
      <c r="U2398" s="1">
        <v>1572</v>
      </c>
      <c r="V2398" s="1" t="s">
        <v>20864</v>
      </c>
      <c r="W2398" s="1" t="s">
        <v>304</v>
      </c>
      <c r="X2398" s="1" t="s">
        <v>483</v>
      </c>
      <c r="Y2398" s="1">
        <v>4</v>
      </c>
      <c r="Z2398" s="1" t="s">
        <v>249</v>
      </c>
      <c r="AA2398" s="1" t="s">
        <v>964</v>
      </c>
      <c r="AB2398" s="1">
        <v>60189</v>
      </c>
      <c r="AD2398" s="1" t="s">
        <v>20865</v>
      </c>
      <c r="AE2398" s="1" t="s">
        <v>20866</v>
      </c>
      <c r="AF2398" s="1">
        <v>1984</v>
      </c>
      <c r="AG2398" s="1" t="s">
        <v>204</v>
      </c>
      <c r="AH2398" s="1" t="s">
        <v>967</v>
      </c>
      <c r="AI2398" s="1" t="s">
        <v>206</v>
      </c>
      <c r="AJ2398" s="1" t="s">
        <v>207</v>
      </c>
      <c r="AL2398" s="1">
        <v>5</v>
      </c>
      <c r="AM2398" s="1">
        <v>2</v>
      </c>
      <c r="AN2398" s="1">
        <v>2</v>
      </c>
      <c r="AO2398" s="1">
        <v>0</v>
      </c>
      <c r="AP2398" s="1" t="s">
        <v>209</v>
      </c>
      <c r="AQ2398" s="1">
        <v>1</v>
      </c>
      <c r="AR2398" s="1" t="s">
        <v>210</v>
      </c>
      <c r="AS2398" s="1" t="s">
        <v>204</v>
      </c>
      <c r="AT2398" s="1" t="s">
        <v>211</v>
      </c>
      <c r="AU2398" s="1">
        <v>1</v>
      </c>
      <c r="AW2398" s="1" t="s">
        <v>204</v>
      </c>
      <c r="AX2398" s="1" t="s">
        <v>212</v>
      </c>
      <c r="AZ2398" s="1">
        <v>3681</v>
      </c>
      <c r="BA2398" s="1">
        <v>2013</v>
      </c>
      <c r="BB2398" s="1" t="s">
        <v>405</v>
      </c>
      <c r="BE2398" s="1">
        <v>1149</v>
      </c>
      <c r="BF2398" s="1" t="s">
        <v>4806</v>
      </c>
      <c r="BG2398" s="1">
        <v>30</v>
      </c>
      <c r="BL2398" s="1">
        <v>279</v>
      </c>
      <c r="BM2398" s="1" t="s">
        <v>204</v>
      </c>
      <c r="BN2398" s="1" t="s">
        <v>213</v>
      </c>
      <c r="BO2398" s="1">
        <v>999</v>
      </c>
      <c r="BP2398" s="1" t="s">
        <v>204</v>
      </c>
      <c r="BR2398" s="1" t="str">
        <f>"0519310015"</f>
        <v>0519310015</v>
      </c>
      <c r="BT2398" s="1" t="s">
        <v>20867</v>
      </c>
      <c r="BU2398" s="1" t="s">
        <v>1327</v>
      </c>
      <c r="BV2398" s="1" t="s">
        <v>970</v>
      </c>
      <c r="BW2398" s="1" t="s">
        <v>971</v>
      </c>
      <c r="BX2398" s="1">
        <v>200</v>
      </c>
      <c r="BY2398" s="1">
        <v>200</v>
      </c>
      <c r="BZ2398" s="1">
        <v>200</v>
      </c>
      <c r="CB2398" s="1" t="str">
        <f t="shared" ref="CB2398:CC2398" si="1838">""</f>
        <v/>
      </c>
      <c r="CC2398" s="1" t="str">
        <f t="shared" si="1838"/>
        <v/>
      </c>
      <c r="CG2398" s="1" t="s">
        <v>628</v>
      </c>
      <c r="CH2398" s="1" t="s">
        <v>219</v>
      </c>
      <c r="CI2398" s="1" t="s">
        <v>220</v>
      </c>
      <c r="CJ2398" s="1" t="s">
        <v>343</v>
      </c>
      <c r="CK2398" s="1" t="s">
        <v>757</v>
      </c>
      <c r="CL2398" s="1" t="s">
        <v>219</v>
      </c>
      <c r="CM2398" s="1" t="s">
        <v>220</v>
      </c>
      <c r="CN2398" s="1" t="s">
        <v>343</v>
      </c>
      <c r="CO2398" s="1" t="s">
        <v>630</v>
      </c>
      <c r="CP2398" s="1" t="s">
        <v>219</v>
      </c>
      <c r="CQ2398" s="1" t="s">
        <v>220</v>
      </c>
      <c r="CR2398" s="1" t="s">
        <v>343</v>
      </c>
      <c r="CS2398" s="1" t="s">
        <v>346</v>
      </c>
      <c r="CT2398" s="1" t="s">
        <v>219</v>
      </c>
      <c r="CU2398" s="1" t="s">
        <v>220</v>
      </c>
      <c r="CV2398" s="1" t="s">
        <v>343</v>
      </c>
      <c r="CX2398" s="1" t="s">
        <v>224</v>
      </c>
      <c r="DB2398" s="1" t="s">
        <v>224</v>
      </c>
      <c r="DE2398" s="1" t="s">
        <v>346</v>
      </c>
      <c r="DF2398" s="1" t="s">
        <v>219</v>
      </c>
      <c r="DG2398" s="1" t="s">
        <v>229</v>
      </c>
      <c r="DH2398" s="1" t="s">
        <v>210</v>
      </c>
      <c r="DJ2398" s="1" t="s">
        <v>224</v>
      </c>
      <c r="DS2398" s="1" t="s">
        <v>230</v>
      </c>
      <c r="DW2398" s="1" t="s">
        <v>230</v>
      </c>
      <c r="EA2398" s="1" t="s">
        <v>230</v>
      </c>
      <c r="EE2398" s="1" t="s">
        <v>230</v>
      </c>
      <c r="EI2398" s="1" t="s">
        <v>230</v>
      </c>
      <c r="EL2398" s="1" t="s">
        <v>231</v>
      </c>
      <c r="EM2398" s="1" t="s">
        <v>232</v>
      </c>
      <c r="EN2398" s="1" t="s">
        <v>282</v>
      </c>
      <c r="EO2398" s="1" t="s">
        <v>234</v>
      </c>
      <c r="EQ2398" s="1" t="s">
        <v>492</v>
      </c>
      <c r="ER2398" s="1" t="s">
        <v>383</v>
      </c>
      <c r="ES2398" s="1" t="s">
        <v>493</v>
      </c>
      <c r="ET2398" s="1" t="s">
        <v>609</v>
      </c>
      <c r="EU2398" s="1" t="s">
        <v>239</v>
      </c>
      <c r="EV2398" s="1" t="s">
        <v>352</v>
      </c>
      <c r="EW2398" s="1" t="s">
        <v>353</v>
      </c>
      <c r="EZ2398" s="1" t="s">
        <v>287</v>
      </c>
      <c r="FD2398" s="1" t="s">
        <v>246</v>
      </c>
      <c r="FE2398" s="1" t="s">
        <v>651</v>
      </c>
      <c r="FF2398" s="1" t="s">
        <v>248</v>
      </c>
      <c r="FG2398" s="1" t="s">
        <v>912</v>
      </c>
      <c r="FH2398" s="1" t="s">
        <v>1387</v>
      </c>
      <c r="FI2398" s="1" t="s">
        <v>473</v>
      </c>
      <c r="FL2398" s="1" t="s">
        <v>358</v>
      </c>
      <c r="FM2398" s="1" t="s">
        <v>252</v>
      </c>
      <c r="FN2398" s="1" t="s">
        <v>213</v>
      </c>
      <c r="FO2398" s="1" t="s">
        <v>213</v>
      </c>
      <c r="FQ2398" s="1" t="s">
        <v>329</v>
      </c>
      <c r="FR2398" s="1" t="s">
        <v>210</v>
      </c>
      <c r="FS2398" s="1" t="s">
        <v>20868</v>
      </c>
      <c r="FT2398" s="1" t="s">
        <v>362</v>
      </c>
      <c r="FU2398" s="1" t="s">
        <v>204</v>
      </c>
      <c r="FW2398" s="1" t="s">
        <v>585</v>
      </c>
      <c r="FX2398" s="1">
        <v>25003</v>
      </c>
      <c r="FY2398" s="1" t="s">
        <v>1330</v>
      </c>
      <c r="FZ2398" s="1" t="s">
        <v>20869</v>
      </c>
      <c r="GA2398" s="1">
        <v>255008</v>
      </c>
      <c r="GB2398" s="1" t="s">
        <v>20870</v>
      </c>
      <c r="GE2398" s="1" t="s">
        <v>210</v>
      </c>
      <c r="GI2398" s="1" t="s">
        <v>213</v>
      </c>
      <c r="GJ2398" s="1" t="s">
        <v>260</v>
      </c>
      <c r="GK2398" s="1" t="s">
        <v>210</v>
      </c>
      <c r="GL2398" s="2">
        <v>42082</v>
      </c>
      <c r="GM2398" s="1" t="s">
        <v>20871</v>
      </c>
    </row>
    <row r="2399" spans="1:195">
      <c r="A2399" s="1">
        <v>122000</v>
      </c>
      <c r="B2399" s="1" t="s">
        <v>195</v>
      </c>
      <c r="C2399" s="1" t="str">
        <f>"08828418"</f>
        <v>08828418</v>
      </c>
      <c r="D2399" s="1" t="s">
        <v>196</v>
      </c>
      <c r="F2399" s="1" t="str">
        <f>"31"</f>
        <v>31</v>
      </c>
      <c r="G2399" s="2">
        <v>42036</v>
      </c>
      <c r="H2399" s="1">
        <v>139900</v>
      </c>
      <c r="I2399" s="1">
        <v>139900</v>
      </c>
      <c r="J2399" s="1">
        <v>122000</v>
      </c>
      <c r="K2399" s="2">
        <v>42035</v>
      </c>
      <c r="L2399" s="1">
        <v>7</v>
      </c>
      <c r="M2399" s="2">
        <v>42041</v>
      </c>
      <c r="N2399" s="1">
        <v>7</v>
      </c>
      <c r="O2399" s="2">
        <v>42041</v>
      </c>
      <c r="P2399" s="1">
        <v>2411</v>
      </c>
      <c r="Q2399" s="1" t="s">
        <v>302</v>
      </c>
      <c r="R2399" s="2">
        <v>42124</v>
      </c>
      <c r="S2399" s="1">
        <v>13820</v>
      </c>
      <c r="U2399" s="1">
        <v>4482</v>
      </c>
      <c r="V2399" s="1" t="s">
        <v>20872</v>
      </c>
      <c r="W2399" s="1" t="s">
        <v>1056</v>
      </c>
      <c r="Y2399" s="1">
        <v>4</v>
      </c>
      <c r="Z2399" s="1" t="s">
        <v>370</v>
      </c>
      <c r="AA2399" s="1" t="s">
        <v>1057</v>
      </c>
      <c r="AB2399" s="1">
        <v>60031</v>
      </c>
      <c r="AD2399" s="1" t="s">
        <v>17999</v>
      </c>
      <c r="AE2399" s="1" t="s">
        <v>20873</v>
      </c>
      <c r="AF2399" s="1">
        <v>1988</v>
      </c>
      <c r="AG2399" s="1" t="s">
        <v>204</v>
      </c>
      <c r="AH2399" s="1" t="s">
        <v>1060</v>
      </c>
      <c r="AI2399" s="1" t="s">
        <v>509</v>
      </c>
      <c r="AJ2399" s="1" t="s">
        <v>1061</v>
      </c>
      <c r="AK2399" s="1" t="s">
        <v>5180</v>
      </c>
      <c r="AL2399" s="1">
        <v>6</v>
      </c>
      <c r="AM2399" s="1">
        <v>2</v>
      </c>
      <c r="AN2399" s="1">
        <v>2</v>
      </c>
      <c r="AO2399" s="1">
        <v>1</v>
      </c>
      <c r="AP2399" s="1" t="s">
        <v>209</v>
      </c>
      <c r="AQ2399" s="1">
        <v>1</v>
      </c>
      <c r="AR2399" s="1" t="s">
        <v>210</v>
      </c>
      <c r="AS2399" s="1" t="s">
        <v>204</v>
      </c>
      <c r="AT2399" s="1" t="s">
        <v>211</v>
      </c>
      <c r="AU2399" s="1">
        <v>1</v>
      </c>
      <c r="AW2399" s="1" t="s">
        <v>204</v>
      </c>
      <c r="AX2399" s="1" t="s">
        <v>212</v>
      </c>
      <c r="AZ2399" s="6">
        <v>2986</v>
      </c>
      <c r="BA2399" s="1">
        <v>2013</v>
      </c>
      <c r="BB2399" s="1" t="s">
        <v>599</v>
      </c>
      <c r="BE2399" s="1">
        <v>1408</v>
      </c>
      <c r="BF2399" s="1">
        <v>1</v>
      </c>
      <c r="BG2399" s="1">
        <v>0</v>
      </c>
      <c r="BL2399" s="1">
        <v>260</v>
      </c>
      <c r="BM2399" s="1" t="s">
        <v>204</v>
      </c>
      <c r="BN2399" s="1" t="s">
        <v>213</v>
      </c>
      <c r="BO2399" s="1">
        <v>999</v>
      </c>
      <c r="BP2399" s="1" t="s">
        <v>204</v>
      </c>
      <c r="BR2399" s="1" t="str">
        <f>"07234190330000"</f>
        <v>07234190330000</v>
      </c>
      <c r="BT2399" s="1" t="s">
        <v>20874</v>
      </c>
      <c r="BU2399" s="1" t="s">
        <v>3376</v>
      </c>
      <c r="BV2399" s="1" t="s">
        <v>3070</v>
      </c>
      <c r="BW2399" s="1" t="s">
        <v>1066</v>
      </c>
      <c r="BX2399" s="1">
        <v>56</v>
      </c>
      <c r="BY2399" s="1">
        <v>56</v>
      </c>
      <c r="BZ2399" s="1">
        <v>121</v>
      </c>
      <c r="CB2399" s="1" t="str">
        <f t="shared" ref="CB2399:CC2399" si="1839">""</f>
        <v/>
      </c>
      <c r="CC2399" s="1" t="str">
        <f t="shared" si="1839"/>
        <v/>
      </c>
      <c r="CG2399" s="1" t="s">
        <v>3684</v>
      </c>
      <c r="CH2399" s="1" t="s">
        <v>219</v>
      </c>
      <c r="CI2399" s="1" t="s">
        <v>220</v>
      </c>
      <c r="CJ2399" s="1" t="s">
        <v>343</v>
      </c>
      <c r="CK2399" s="1" t="s">
        <v>1004</v>
      </c>
      <c r="CL2399" s="1" t="s">
        <v>277</v>
      </c>
      <c r="CM2399" s="1" t="s">
        <v>220</v>
      </c>
      <c r="CN2399" s="1" t="s">
        <v>343</v>
      </c>
      <c r="CO2399" s="1" t="s">
        <v>837</v>
      </c>
      <c r="CP2399" s="1" t="s">
        <v>219</v>
      </c>
      <c r="CQ2399" s="1" t="s">
        <v>220</v>
      </c>
      <c r="CR2399" s="1" t="s">
        <v>343</v>
      </c>
      <c r="CS2399" s="1" t="s">
        <v>465</v>
      </c>
      <c r="CT2399" s="1" t="s">
        <v>277</v>
      </c>
      <c r="CU2399" s="1" t="s">
        <v>220</v>
      </c>
      <c r="CV2399" s="1" t="s">
        <v>343</v>
      </c>
      <c r="CX2399" s="1" t="s">
        <v>224</v>
      </c>
      <c r="DB2399" s="1" t="s">
        <v>224</v>
      </c>
      <c r="DE2399" s="1" t="s">
        <v>465</v>
      </c>
      <c r="DF2399" s="1" t="s">
        <v>219</v>
      </c>
      <c r="DG2399" s="1" t="s">
        <v>226</v>
      </c>
      <c r="DH2399" s="1" t="s">
        <v>210</v>
      </c>
      <c r="DJ2399" s="1" t="s">
        <v>224</v>
      </c>
      <c r="DM2399" s="1" t="s">
        <v>464</v>
      </c>
      <c r="DR2399" s="1" t="s">
        <v>757</v>
      </c>
      <c r="DS2399" s="1" t="s">
        <v>277</v>
      </c>
      <c r="DT2399" s="1" t="s">
        <v>220</v>
      </c>
      <c r="DU2399" s="1" t="s">
        <v>343</v>
      </c>
      <c r="DW2399" s="1" t="s">
        <v>230</v>
      </c>
      <c r="EA2399" s="1" t="s">
        <v>230</v>
      </c>
      <c r="EE2399" s="1" t="s">
        <v>230</v>
      </c>
      <c r="EI2399" s="1" t="s">
        <v>230</v>
      </c>
      <c r="EL2399" s="1" t="s">
        <v>542</v>
      </c>
      <c r="EM2399" s="1" t="s">
        <v>319</v>
      </c>
      <c r="EN2399" s="1" t="s">
        <v>282</v>
      </c>
      <c r="EO2399" s="1" t="s">
        <v>234</v>
      </c>
      <c r="EQ2399" s="1" t="s">
        <v>284</v>
      </c>
      <c r="ER2399" s="1" t="s">
        <v>1269</v>
      </c>
      <c r="ES2399" s="1" t="s">
        <v>1552</v>
      </c>
      <c r="ET2399" s="1" t="s">
        <v>323</v>
      </c>
      <c r="EU2399" s="1" t="s">
        <v>239</v>
      </c>
      <c r="EV2399" s="1" t="s">
        <v>352</v>
      </c>
      <c r="EW2399" s="1" t="s">
        <v>353</v>
      </c>
      <c r="EZ2399" s="1" t="s">
        <v>464</v>
      </c>
      <c r="FA2399" s="1" t="s">
        <v>714</v>
      </c>
      <c r="FC2399" s="1" t="s">
        <v>548</v>
      </c>
      <c r="FD2399" s="1" t="s">
        <v>246</v>
      </c>
      <c r="FE2399" s="1" t="s">
        <v>975</v>
      </c>
      <c r="FF2399" s="1" t="s">
        <v>248</v>
      </c>
      <c r="FG2399" s="1" t="s">
        <v>912</v>
      </c>
      <c r="FH2399" s="1" t="s">
        <v>550</v>
      </c>
      <c r="FI2399" s="1" t="s">
        <v>357</v>
      </c>
      <c r="FL2399" s="1" t="s">
        <v>414</v>
      </c>
      <c r="FM2399" s="1" t="s">
        <v>252</v>
      </c>
      <c r="FN2399" s="1" t="s">
        <v>213</v>
      </c>
      <c r="FO2399" s="1" t="s">
        <v>213</v>
      </c>
      <c r="FQ2399" s="1" t="s">
        <v>20875</v>
      </c>
      <c r="FR2399" s="1" t="s">
        <v>210</v>
      </c>
      <c r="FS2399" s="1" t="s">
        <v>20876</v>
      </c>
      <c r="FT2399" s="1" t="s">
        <v>295</v>
      </c>
      <c r="FU2399" s="1" t="s">
        <v>204</v>
      </c>
      <c r="FW2399" s="1" t="s">
        <v>1077</v>
      </c>
      <c r="FX2399" s="1">
        <v>2752</v>
      </c>
      <c r="FY2399" s="1" t="s">
        <v>1078</v>
      </c>
      <c r="FZ2399" s="1" t="s">
        <v>17977</v>
      </c>
      <c r="GA2399" s="1">
        <v>238923</v>
      </c>
      <c r="GD2399" s="1" t="s">
        <v>20877</v>
      </c>
      <c r="GE2399" s="1" t="s">
        <v>1145</v>
      </c>
      <c r="GI2399" s="1" t="s">
        <v>213</v>
      </c>
      <c r="GJ2399" s="1" t="s">
        <v>260</v>
      </c>
      <c r="GK2399" s="1" t="s">
        <v>210</v>
      </c>
      <c r="GL2399" s="2">
        <v>42125</v>
      </c>
      <c r="GM2399" s="1" t="s">
        <v>20878</v>
      </c>
    </row>
    <row r="2400" spans="1:195">
      <c r="A2400" s="1">
        <v>89650</v>
      </c>
      <c r="B2400" s="1" t="s">
        <v>195</v>
      </c>
      <c r="C2400" s="1" t="str">
        <f>"08827963"</f>
        <v>08827963</v>
      </c>
      <c r="D2400" s="1" t="s">
        <v>196</v>
      </c>
      <c r="F2400" s="1" t="str">
        <f>"123"</f>
        <v>123</v>
      </c>
      <c r="G2400" s="2">
        <v>42034</v>
      </c>
      <c r="H2400" s="1">
        <v>90900</v>
      </c>
      <c r="I2400" s="1">
        <v>90900</v>
      </c>
      <c r="J2400" s="1">
        <v>89650</v>
      </c>
      <c r="K2400" s="2">
        <v>42034</v>
      </c>
      <c r="L2400" s="1">
        <v>10</v>
      </c>
      <c r="M2400" s="2">
        <v>42043</v>
      </c>
      <c r="N2400" s="1">
        <v>10</v>
      </c>
      <c r="O2400" s="2">
        <v>42043</v>
      </c>
      <c r="P2400" s="1">
        <v>24820</v>
      </c>
      <c r="Q2400" s="1" t="s">
        <v>302</v>
      </c>
      <c r="R2400" s="2">
        <v>42076</v>
      </c>
      <c r="S2400" s="1">
        <v>237500</v>
      </c>
      <c r="U2400" s="1">
        <v>2237</v>
      </c>
      <c r="V2400" s="1" t="s">
        <v>16886</v>
      </c>
      <c r="W2400" s="1" t="s">
        <v>425</v>
      </c>
      <c r="Y2400" s="1">
        <v>4</v>
      </c>
      <c r="Z2400" s="1" t="s">
        <v>249</v>
      </c>
      <c r="AA2400" s="1" t="s">
        <v>1173</v>
      </c>
      <c r="AB2400" s="1">
        <v>60123</v>
      </c>
      <c r="AE2400" s="1" t="s">
        <v>20879</v>
      </c>
      <c r="AF2400" s="1">
        <v>1988</v>
      </c>
      <c r="AG2400" s="1" t="s">
        <v>204</v>
      </c>
      <c r="AH2400" s="1" t="s">
        <v>1175</v>
      </c>
      <c r="AI2400" s="1" t="s">
        <v>665</v>
      </c>
      <c r="AJ2400" s="1" t="s">
        <v>1175</v>
      </c>
      <c r="AL2400" s="1">
        <v>5</v>
      </c>
      <c r="AM2400" s="1">
        <v>2</v>
      </c>
      <c r="AN2400" s="1">
        <v>1</v>
      </c>
      <c r="AO2400" s="1">
        <v>1</v>
      </c>
      <c r="AP2400" s="1" t="s">
        <v>667</v>
      </c>
      <c r="AR2400" s="1" t="s">
        <v>209</v>
      </c>
      <c r="AS2400" s="1" t="s">
        <v>204</v>
      </c>
      <c r="AT2400" s="1" t="s">
        <v>211</v>
      </c>
      <c r="AU2400" s="1">
        <v>1</v>
      </c>
      <c r="AW2400" s="1" t="s">
        <v>204</v>
      </c>
      <c r="AX2400" s="1" t="s">
        <v>212</v>
      </c>
      <c r="AZ2400" s="1">
        <v>2693.28</v>
      </c>
      <c r="BA2400" s="1">
        <v>2013</v>
      </c>
      <c r="BB2400" s="1" t="s">
        <v>405</v>
      </c>
      <c r="BE2400" s="1">
        <v>1220</v>
      </c>
      <c r="BF2400" s="1">
        <v>1</v>
      </c>
      <c r="BG2400" s="1">
        <v>0</v>
      </c>
      <c r="BL2400" s="1">
        <v>125</v>
      </c>
      <c r="BM2400" s="1" t="s">
        <v>413</v>
      </c>
      <c r="BN2400" s="1" t="s">
        <v>213</v>
      </c>
      <c r="BO2400" s="1">
        <v>0</v>
      </c>
      <c r="BP2400" s="1" t="s">
        <v>204</v>
      </c>
      <c r="BR2400" s="1" t="str">
        <f>"0609379061"</f>
        <v>0609379061</v>
      </c>
      <c r="BT2400" s="1" t="s">
        <v>20880</v>
      </c>
      <c r="BX2400" s="1">
        <v>46</v>
      </c>
      <c r="BY2400" s="1">
        <v>46</v>
      </c>
      <c r="BZ2400" s="1">
        <v>46</v>
      </c>
      <c r="CB2400" s="1" t="str">
        <f t="shared" ref="CB2400:CC2400" si="1840">""</f>
        <v/>
      </c>
      <c r="CC2400" s="1" t="str">
        <f t="shared" si="1840"/>
        <v/>
      </c>
      <c r="CG2400" s="1" t="s">
        <v>1737</v>
      </c>
      <c r="CH2400" s="1" t="s">
        <v>219</v>
      </c>
      <c r="CK2400" s="1" t="s">
        <v>908</v>
      </c>
      <c r="CL2400" s="1" t="s">
        <v>277</v>
      </c>
      <c r="CO2400" s="1" t="s">
        <v>346</v>
      </c>
      <c r="CP2400" s="1" t="s">
        <v>219</v>
      </c>
      <c r="CS2400" s="1" t="s">
        <v>465</v>
      </c>
      <c r="CT2400" s="1" t="s">
        <v>277</v>
      </c>
      <c r="CX2400" s="1" t="s">
        <v>224</v>
      </c>
      <c r="DB2400" s="1" t="s">
        <v>224</v>
      </c>
      <c r="DE2400" s="1" t="s">
        <v>3264</v>
      </c>
      <c r="DF2400" s="1" t="s">
        <v>219</v>
      </c>
      <c r="DJ2400" s="1" t="s">
        <v>224</v>
      </c>
      <c r="DS2400" s="1" t="s">
        <v>230</v>
      </c>
      <c r="DW2400" s="1" t="s">
        <v>230</v>
      </c>
      <c r="EA2400" s="1" t="s">
        <v>230</v>
      </c>
      <c r="EE2400" s="1" t="s">
        <v>230</v>
      </c>
      <c r="EI2400" s="1" t="s">
        <v>230</v>
      </c>
      <c r="EL2400" s="1" t="s">
        <v>542</v>
      </c>
      <c r="EM2400" s="1" t="s">
        <v>319</v>
      </c>
      <c r="EN2400" s="1" t="s">
        <v>282</v>
      </c>
      <c r="EO2400" s="1" t="s">
        <v>234</v>
      </c>
      <c r="ER2400" s="1" t="s">
        <v>1249</v>
      </c>
      <c r="EW2400" s="1" t="s">
        <v>347</v>
      </c>
      <c r="EZ2400" s="1" t="s">
        <v>287</v>
      </c>
      <c r="FD2400" s="1" t="s">
        <v>3287</v>
      </c>
      <c r="FE2400" s="1" t="s">
        <v>870</v>
      </c>
      <c r="FF2400" s="1" t="s">
        <v>248</v>
      </c>
      <c r="FH2400" s="1" t="s">
        <v>550</v>
      </c>
      <c r="FL2400" s="1" t="s">
        <v>414</v>
      </c>
      <c r="FM2400" s="1" t="s">
        <v>252</v>
      </c>
      <c r="FN2400" s="1" t="s">
        <v>213</v>
      </c>
      <c r="FO2400" s="1" t="s">
        <v>213</v>
      </c>
      <c r="FQ2400" s="1" t="s">
        <v>20881</v>
      </c>
      <c r="FR2400" s="1" t="s">
        <v>210</v>
      </c>
      <c r="FS2400" s="1" t="s">
        <v>3242</v>
      </c>
      <c r="FT2400" s="1" t="s">
        <v>295</v>
      </c>
      <c r="FU2400" s="1" t="s">
        <v>204</v>
      </c>
      <c r="FW2400" s="1" t="s">
        <v>3243</v>
      </c>
      <c r="FX2400" s="1">
        <v>604</v>
      </c>
      <c r="FY2400" s="1" t="s">
        <v>3244</v>
      </c>
      <c r="FZ2400" s="1" t="s">
        <v>3245</v>
      </c>
      <c r="GA2400" s="1">
        <v>381</v>
      </c>
      <c r="GB2400" s="1" t="s">
        <v>3246</v>
      </c>
      <c r="GE2400" s="1" t="s">
        <v>210</v>
      </c>
      <c r="GI2400" s="1" t="s">
        <v>213</v>
      </c>
      <c r="GJ2400" s="1" t="s">
        <v>260</v>
      </c>
      <c r="GK2400" s="1" t="s">
        <v>210</v>
      </c>
      <c r="GL2400" s="2">
        <v>42076</v>
      </c>
      <c r="GM2400" s="1" t="s">
        <v>20882</v>
      </c>
    </row>
    <row r="2401" spans="1:195">
      <c r="A2401" s="1">
        <v>168100</v>
      </c>
      <c r="B2401" s="1" t="s">
        <v>195</v>
      </c>
      <c r="C2401" s="1" t="str">
        <f>"08824501"</f>
        <v>08824501</v>
      </c>
      <c r="D2401" s="1" t="s">
        <v>196</v>
      </c>
      <c r="F2401" s="1" t="str">
        <f>"107"</f>
        <v>107</v>
      </c>
      <c r="G2401" s="2">
        <v>42030</v>
      </c>
      <c r="H2401" s="1">
        <v>168000</v>
      </c>
      <c r="I2401" s="1">
        <v>168000</v>
      </c>
      <c r="J2401" s="1">
        <v>168100</v>
      </c>
      <c r="K2401" s="2">
        <v>42030</v>
      </c>
      <c r="L2401" s="1">
        <v>16</v>
      </c>
      <c r="M2401" s="2">
        <v>42044</v>
      </c>
      <c r="N2401" s="1">
        <v>15</v>
      </c>
      <c r="O2401" s="2">
        <v>42044</v>
      </c>
      <c r="P2401" s="1">
        <v>4503</v>
      </c>
      <c r="Q2401" s="1" t="s">
        <v>197</v>
      </c>
      <c r="R2401" s="2">
        <v>42100</v>
      </c>
      <c r="S2401" s="1">
        <v>40977</v>
      </c>
      <c r="U2401" s="1">
        <v>53</v>
      </c>
      <c r="V2401" s="1" t="s">
        <v>12092</v>
      </c>
      <c r="W2401" s="1" t="s">
        <v>304</v>
      </c>
      <c r="Y2401" s="1">
        <v>4</v>
      </c>
      <c r="Z2401" s="1" t="s">
        <v>370</v>
      </c>
      <c r="AA2401" s="1" t="s">
        <v>1211</v>
      </c>
      <c r="AB2401" s="1">
        <v>60107</v>
      </c>
      <c r="AC2401" s="1">
        <v>2331</v>
      </c>
      <c r="AD2401" s="1" t="s">
        <v>20883</v>
      </c>
      <c r="AE2401" s="1" t="s">
        <v>20884</v>
      </c>
      <c r="AF2401" s="1">
        <v>2002</v>
      </c>
      <c r="AG2401" s="1" t="s">
        <v>204</v>
      </c>
      <c r="AH2401" s="1" t="s">
        <v>339</v>
      </c>
      <c r="AI2401" s="1" t="s">
        <v>310</v>
      </c>
      <c r="AJ2401" s="1" t="s">
        <v>374</v>
      </c>
      <c r="AL2401" s="1">
        <v>5</v>
      </c>
      <c r="AM2401" s="1">
        <v>2</v>
      </c>
      <c r="AN2401" s="1">
        <v>2</v>
      </c>
      <c r="AO2401" s="1">
        <v>1</v>
      </c>
      <c r="AP2401" s="1" t="s">
        <v>209</v>
      </c>
      <c r="AQ2401" s="1">
        <v>1</v>
      </c>
      <c r="AR2401" s="1" t="s">
        <v>1631</v>
      </c>
      <c r="AS2401" s="1" t="s">
        <v>204</v>
      </c>
      <c r="AT2401" s="1" t="s">
        <v>211</v>
      </c>
      <c r="AU2401" s="1">
        <v>2</v>
      </c>
      <c r="AW2401" s="1" t="s">
        <v>204</v>
      </c>
      <c r="AX2401" s="1">
        <v>1352</v>
      </c>
      <c r="AZ2401" s="1">
        <v>5888.93</v>
      </c>
      <c r="BA2401" s="1">
        <v>2013</v>
      </c>
      <c r="BE2401" s="1">
        <v>1860</v>
      </c>
      <c r="BF2401" s="1">
        <v>1</v>
      </c>
      <c r="BG2401" s="1">
        <v>0</v>
      </c>
      <c r="BL2401" s="1">
        <v>160</v>
      </c>
      <c r="BM2401" s="1" t="s">
        <v>413</v>
      </c>
      <c r="BN2401" s="1" t="s">
        <v>213</v>
      </c>
      <c r="BO2401" s="1">
        <v>999</v>
      </c>
      <c r="BP2401" s="1" t="s">
        <v>204</v>
      </c>
      <c r="BR2401" s="1" t="str">
        <f>"06272190270000"</f>
        <v>06272190270000</v>
      </c>
      <c r="BT2401" s="1" t="s">
        <v>20885</v>
      </c>
      <c r="BU2401" s="1" t="s">
        <v>12955</v>
      </c>
      <c r="BV2401" s="1" t="s">
        <v>3623</v>
      </c>
      <c r="BW2401" s="1" t="s">
        <v>1217</v>
      </c>
      <c r="BX2401" s="1">
        <v>46</v>
      </c>
      <c r="BY2401" s="1">
        <v>46</v>
      </c>
      <c r="BZ2401" s="1">
        <v>46</v>
      </c>
      <c r="CB2401" s="1" t="str">
        <f>"9"</f>
        <v>9</v>
      </c>
      <c r="CC2401" s="1" t="str">
        <f>"0"</f>
        <v>0</v>
      </c>
      <c r="CD2401" s="1">
        <v>27</v>
      </c>
      <c r="CE2401" s="1">
        <v>0</v>
      </c>
      <c r="CG2401" s="1" t="s">
        <v>1155</v>
      </c>
      <c r="CH2401" s="1" t="s">
        <v>219</v>
      </c>
      <c r="CK2401" s="1" t="s">
        <v>1004</v>
      </c>
      <c r="CL2401" s="1" t="s">
        <v>277</v>
      </c>
      <c r="CO2401" s="1" t="s">
        <v>409</v>
      </c>
      <c r="CP2401" s="1" t="s">
        <v>219</v>
      </c>
      <c r="CS2401" s="1" t="s">
        <v>317</v>
      </c>
      <c r="CT2401" s="1" t="s">
        <v>277</v>
      </c>
      <c r="CX2401" s="1" t="s">
        <v>224</v>
      </c>
      <c r="DB2401" s="1" t="s">
        <v>224</v>
      </c>
      <c r="DE2401" s="1" t="s">
        <v>318</v>
      </c>
      <c r="DF2401" s="1" t="s">
        <v>219</v>
      </c>
      <c r="DJ2401" s="1" t="s">
        <v>224</v>
      </c>
      <c r="DS2401" s="1" t="s">
        <v>230</v>
      </c>
      <c r="DW2401" s="1" t="s">
        <v>230</v>
      </c>
      <c r="EA2401" s="1" t="s">
        <v>230</v>
      </c>
      <c r="EE2401" s="1" t="s">
        <v>230</v>
      </c>
      <c r="EI2401" s="1" t="s">
        <v>230</v>
      </c>
      <c r="EL2401" s="1" t="s">
        <v>466</v>
      </c>
      <c r="EM2401" s="1" t="s">
        <v>319</v>
      </c>
      <c r="EN2401" s="1" t="s">
        <v>210</v>
      </c>
      <c r="EO2401" s="1" t="s">
        <v>234</v>
      </c>
      <c r="EP2401" s="1" t="s">
        <v>210</v>
      </c>
      <c r="ER2401" s="1" t="s">
        <v>351</v>
      </c>
      <c r="EV2401" s="1" t="s">
        <v>352</v>
      </c>
      <c r="EW2401" s="1" t="s">
        <v>353</v>
      </c>
      <c r="EZ2401" s="1" t="s">
        <v>287</v>
      </c>
      <c r="FC2401" s="1" t="s">
        <v>633</v>
      </c>
      <c r="FD2401" s="1" t="s">
        <v>246</v>
      </c>
      <c r="FE2401" s="1" t="s">
        <v>247</v>
      </c>
      <c r="FF2401" s="1" t="s">
        <v>248</v>
      </c>
      <c r="FH2401" s="1" t="s">
        <v>550</v>
      </c>
      <c r="FI2401" s="1" t="s">
        <v>473</v>
      </c>
      <c r="FL2401" s="1" t="s">
        <v>358</v>
      </c>
      <c r="FM2401" s="1" t="s">
        <v>252</v>
      </c>
      <c r="FN2401" s="1" t="s">
        <v>213</v>
      </c>
      <c r="FO2401" s="1" t="s">
        <v>213</v>
      </c>
      <c r="FQ2401" s="1" t="s">
        <v>689</v>
      </c>
      <c r="FR2401" s="1" t="s">
        <v>210</v>
      </c>
      <c r="FS2401" s="1" t="s">
        <v>8256</v>
      </c>
      <c r="FT2401" s="1" t="s">
        <v>1828</v>
      </c>
      <c r="FU2401" s="1" t="s">
        <v>204</v>
      </c>
      <c r="FW2401" s="1" t="s">
        <v>8257</v>
      </c>
      <c r="FX2401" s="1">
        <v>16339</v>
      </c>
      <c r="FY2401" s="1" t="s">
        <v>8258</v>
      </c>
      <c r="FZ2401" s="1" t="s">
        <v>8259</v>
      </c>
      <c r="GA2401" s="1">
        <v>165879</v>
      </c>
      <c r="GB2401" s="1" t="s">
        <v>8258</v>
      </c>
      <c r="GC2401" s="1">
        <v>106496</v>
      </c>
      <c r="GE2401" s="1" t="s">
        <v>210</v>
      </c>
      <c r="GI2401" s="1" t="s">
        <v>204</v>
      </c>
      <c r="GJ2401" s="1" t="s">
        <v>260</v>
      </c>
      <c r="GK2401" s="1" t="s">
        <v>210</v>
      </c>
      <c r="GL2401" s="2">
        <v>42100</v>
      </c>
      <c r="GM2401" s="1" t="s">
        <v>20886</v>
      </c>
    </row>
    <row r="2402" spans="1:195">
      <c r="A2402" s="1">
        <v>203000</v>
      </c>
      <c r="B2402" s="1" t="s">
        <v>195</v>
      </c>
      <c r="C2402" s="1" t="str">
        <f>"08825118"</f>
        <v>08825118</v>
      </c>
      <c r="D2402" s="1" t="s">
        <v>196</v>
      </c>
      <c r="F2402" s="1" t="str">
        <f>"174"</f>
        <v>174</v>
      </c>
      <c r="G2402" s="2">
        <v>42031</v>
      </c>
      <c r="H2402" s="1">
        <v>210000</v>
      </c>
      <c r="I2402" s="1">
        <v>210000</v>
      </c>
      <c r="J2402" s="1">
        <v>203000</v>
      </c>
      <c r="K2402" s="2">
        <v>42031</v>
      </c>
      <c r="L2402" s="1">
        <v>45</v>
      </c>
      <c r="M2402" s="2">
        <v>42075</v>
      </c>
      <c r="N2402" s="1">
        <v>45</v>
      </c>
      <c r="O2402" s="2">
        <v>42075</v>
      </c>
      <c r="P2402" s="1">
        <v>18805</v>
      </c>
      <c r="Q2402" s="1" t="s">
        <v>302</v>
      </c>
      <c r="R2402" s="2">
        <v>42123</v>
      </c>
      <c r="S2402" s="1">
        <v>170907</v>
      </c>
      <c r="U2402" s="1">
        <v>537</v>
      </c>
      <c r="V2402" s="1" t="s">
        <v>8104</v>
      </c>
      <c r="W2402" s="1" t="s">
        <v>526</v>
      </c>
      <c r="Y2402" s="1">
        <v>4</v>
      </c>
      <c r="Z2402" s="1" t="s">
        <v>370</v>
      </c>
      <c r="AA2402" s="1" t="s">
        <v>879</v>
      </c>
      <c r="AB2402" s="1">
        <v>60174</v>
      </c>
      <c r="AD2402" s="1" t="s">
        <v>13747</v>
      </c>
      <c r="AE2402" s="1" t="s">
        <v>20887</v>
      </c>
      <c r="AF2402" s="1">
        <v>1998</v>
      </c>
      <c r="AG2402" s="1" t="s">
        <v>204</v>
      </c>
      <c r="AH2402" s="1" t="s">
        <v>883</v>
      </c>
      <c r="AI2402" s="1" t="s">
        <v>206</v>
      </c>
      <c r="AJ2402" s="1" t="s">
        <v>2654</v>
      </c>
      <c r="AK2402" s="1" t="s">
        <v>20888</v>
      </c>
      <c r="AL2402" s="1">
        <v>8</v>
      </c>
      <c r="AM2402" s="1">
        <v>2</v>
      </c>
      <c r="AN2402" s="1">
        <v>2</v>
      </c>
      <c r="AO2402" s="1">
        <v>2</v>
      </c>
      <c r="AP2402" s="1" t="s">
        <v>209</v>
      </c>
      <c r="AQ2402" s="1">
        <v>1</v>
      </c>
      <c r="AR2402" s="1" t="s">
        <v>1483</v>
      </c>
      <c r="AS2402" s="1" t="s">
        <v>213</v>
      </c>
      <c r="AT2402" s="1" t="s">
        <v>211</v>
      </c>
      <c r="AU2402" s="1">
        <v>2</v>
      </c>
      <c r="AW2402" s="1" t="s">
        <v>204</v>
      </c>
      <c r="AX2402" s="1" t="s">
        <v>20889</v>
      </c>
      <c r="AZ2402" s="1">
        <v>4921</v>
      </c>
      <c r="BA2402" s="1">
        <v>2013</v>
      </c>
      <c r="BB2402" s="1" t="s">
        <v>405</v>
      </c>
      <c r="BE2402" s="1">
        <v>1859</v>
      </c>
      <c r="BF2402" s="1">
        <v>1</v>
      </c>
      <c r="BG2402" s="1">
        <v>0</v>
      </c>
      <c r="BL2402" s="1">
        <v>175</v>
      </c>
      <c r="BM2402" s="1" t="s">
        <v>204</v>
      </c>
      <c r="BN2402" s="1" t="s">
        <v>213</v>
      </c>
      <c r="BO2402" s="1">
        <v>999</v>
      </c>
      <c r="BP2402" s="1" t="s">
        <v>204</v>
      </c>
      <c r="BR2402" s="1" t="str">
        <f>"0130103032"</f>
        <v>0130103032</v>
      </c>
      <c r="BT2402" s="1" t="s">
        <v>20890</v>
      </c>
      <c r="BU2402" s="1" t="s">
        <v>8722</v>
      </c>
      <c r="BV2402" s="1" t="s">
        <v>2118</v>
      </c>
      <c r="BW2402" s="1" t="s">
        <v>13750</v>
      </c>
      <c r="BX2402" s="1">
        <v>303</v>
      </c>
      <c r="BY2402" s="1">
        <v>303</v>
      </c>
      <c r="BZ2402" s="1">
        <v>303</v>
      </c>
      <c r="CB2402" s="1" t="str">
        <f>"3"</f>
        <v>3</v>
      </c>
      <c r="CC2402" s="1" t="str">
        <f>""</f>
        <v/>
      </c>
      <c r="CD2402" s="1">
        <v>32</v>
      </c>
      <c r="CG2402" s="1" t="s">
        <v>581</v>
      </c>
      <c r="CH2402" s="1" t="s">
        <v>219</v>
      </c>
      <c r="CI2402" s="1" t="s">
        <v>438</v>
      </c>
      <c r="CJ2402" s="1" t="s">
        <v>252</v>
      </c>
      <c r="CK2402" s="1" t="s">
        <v>228</v>
      </c>
      <c r="CL2402" s="1" t="s">
        <v>277</v>
      </c>
      <c r="CM2402" s="1" t="s">
        <v>220</v>
      </c>
      <c r="CN2402" s="1" t="s">
        <v>252</v>
      </c>
      <c r="CO2402" s="1" t="s">
        <v>1297</v>
      </c>
      <c r="CP2402" s="1" t="s">
        <v>219</v>
      </c>
      <c r="CQ2402" s="1" t="s">
        <v>438</v>
      </c>
      <c r="CR2402" s="1" t="s">
        <v>210</v>
      </c>
      <c r="CS2402" s="1" t="s">
        <v>465</v>
      </c>
      <c r="CT2402" s="1" t="s">
        <v>277</v>
      </c>
      <c r="CU2402" s="1" t="s">
        <v>220</v>
      </c>
      <c r="CV2402" s="1" t="s">
        <v>252</v>
      </c>
      <c r="CX2402" s="1" t="s">
        <v>224</v>
      </c>
      <c r="DB2402" s="1" t="s">
        <v>224</v>
      </c>
      <c r="DE2402" s="1" t="s">
        <v>281</v>
      </c>
      <c r="DF2402" s="1" t="s">
        <v>219</v>
      </c>
      <c r="DG2402" s="1" t="s">
        <v>438</v>
      </c>
      <c r="DH2402" s="1" t="s">
        <v>252</v>
      </c>
      <c r="DI2402" s="1" t="s">
        <v>437</v>
      </c>
      <c r="DJ2402" s="1" t="s">
        <v>822</v>
      </c>
      <c r="DK2402" s="1" t="s">
        <v>226</v>
      </c>
      <c r="DL2402" s="1" t="s">
        <v>252</v>
      </c>
      <c r="DM2402" s="1" t="s">
        <v>381</v>
      </c>
      <c r="DN2402" s="1" t="s">
        <v>464</v>
      </c>
      <c r="DO2402" s="1" t="s">
        <v>1771</v>
      </c>
      <c r="DP2402" s="1" t="s">
        <v>838</v>
      </c>
      <c r="DR2402" s="1" t="s">
        <v>409</v>
      </c>
      <c r="DS2402" s="1" t="s">
        <v>219</v>
      </c>
      <c r="DT2402" s="1" t="s">
        <v>438</v>
      </c>
      <c r="DU2402" s="1" t="s">
        <v>252</v>
      </c>
      <c r="DV2402" s="1" t="s">
        <v>465</v>
      </c>
      <c r="DW2402" s="1" t="s">
        <v>219</v>
      </c>
      <c r="DX2402" s="1" t="s">
        <v>220</v>
      </c>
      <c r="DY2402" s="1" t="s">
        <v>210</v>
      </c>
      <c r="DZ2402" s="1" t="s">
        <v>516</v>
      </c>
      <c r="EA2402" s="1" t="s">
        <v>277</v>
      </c>
      <c r="EB2402" s="1" t="s">
        <v>220</v>
      </c>
      <c r="EC2402" s="1" t="s">
        <v>210</v>
      </c>
      <c r="ED2402" s="1" t="s">
        <v>13507</v>
      </c>
      <c r="EE2402" s="1" t="s">
        <v>219</v>
      </c>
      <c r="EF2402" s="1" t="s">
        <v>347</v>
      </c>
      <c r="EG2402" s="1" t="s">
        <v>210</v>
      </c>
      <c r="EI2402" s="1" t="s">
        <v>230</v>
      </c>
      <c r="EL2402" s="1" t="s">
        <v>670</v>
      </c>
      <c r="EM2402" s="1" t="s">
        <v>319</v>
      </c>
      <c r="EN2402" s="1" t="s">
        <v>282</v>
      </c>
      <c r="EO2402" s="1" t="s">
        <v>234</v>
      </c>
      <c r="EP2402" s="1" t="s">
        <v>543</v>
      </c>
      <c r="EQ2402" s="1" t="s">
        <v>492</v>
      </c>
      <c r="ER2402" s="1" t="s">
        <v>823</v>
      </c>
      <c r="ES2402" s="1" t="s">
        <v>322</v>
      </c>
      <c r="ET2402" s="1" t="s">
        <v>842</v>
      </c>
      <c r="EV2402" s="1" t="s">
        <v>324</v>
      </c>
      <c r="EW2402" s="1" t="s">
        <v>353</v>
      </c>
      <c r="EY2402" s="1" t="s">
        <v>242</v>
      </c>
      <c r="EZ2402" s="1" t="s">
        <v>20891</v>
      </c>
      <c r="FA2402" s="1" t="s">
        <v>6201</v>
      </c>
      <c r="FB2402" s="1" t="s">
        <v>289</v>
      </c>
      <c r="FD2402" s="1" t="s">
        <v>246</v>
      </c>
      <c r="FE2402" s="1" t="s">
        <v>975</v>
      </c>
      <c r="FF2402" s="1" t="s">
        <v>248</v>
      </c>
      <c r="FG2402" s="1" t="s">
        <v>871</v>
      </c>
      <c r="FH2402" s="1" t="s">
        <v>1428</v>
      </c>
      <c r="FI2402" s="1" t="s">
        <v>250</v>
      </c>
      <c r="FL2402" s="1" t="s">
        <v>358</v>
      </c>
      <c r="FM2402" s="1" t="s">
        <v>252</v>
      </c>
      <c r="FN2402" s="1" t="s">
        <v>213</v>
      </c>
      <c r="FO2402" s="1" t="s">
        <v>213</v>
      </c>
      <c r="FQ2402" s="1" t="s">
        <v>1032</v>
      </c>
      <c r="FR2402" s="1" t="s">
        <v>210</v>
      </c>
      <c r="FS2402" s="1" t="s">
        <v>20892</v>
      </c>
      <c r="FT2402" s="1" t="s">
        <v>2589</v>
      </c>
      <c r="FU2402" s="1" t="s">
        <v>204</v>
      </c>
      <c r="FW2402" s="1" t="s">
        <v>18577</v>
      </c>
      <c r="FX2402" s="1">
        <v>357</v>
      </c>
      <c r="FY2402" s="1" t="s">
        <v>18578</v>
      </c>
      <c r="FZ2402" s="1" t="s">
        <v>20893</v>
      </c>
      <c r="GA2402" s="1">
        <v>1455</v>
      </c>
      <c r="GB2402" s="1" t="s">
        <v>20894</v>
      </c>
      <c r="GC2402" s="1">
        <v>1562</v>
      </c>
      <c r="GE2402" s="1" t="s">
        <v>480</v>
      </c>
      <c r="GI2402" s="1" t="s">
        <v>213</v>
      </c>
      <c r="GJ2402" s="1" t="s">
        <v>260</v>
      </c>
      <c r="GK2402" s="1" t="s">
        <v>210</v>
      </c>
      <c r="GL2402" s="2">
        <v>42123</v>
      </c>
      <c r="GM2402" s="1" t="s">
        <v>20895</v>
      </c>
    </row>
    <row r="2403" spans="1:195">
      <c r="A2403" s="1">
        <v>60000</v>
      </c>
      <c r="B2403" s="1" t="s">
        <v>195</v>
      </c>
      <c r="C2403" s="1" t="str">
        <f>"08829060"</f>
        <v>08829060</v>
      </c>
      <c r="D2403" s="1" t="s">
        <v>196</v>
      </c>
      <c r="F2403" s="1" t="str">
        <f>"73"</f>
        <v>73</v>
      </c>
      <c r="G2403" s="2">
        <v>42037</v>
      </c>
      <c r="H2403" s="1">
        <v>61500</v>
      </c>
      <c r="I2403" s="1">
        <v>61500</v>
      </c>
      <c r="J2403" s="1">
        <v>60000</v>
      </c>
      <c r="K2403" s="2">
        <v>42037</v>
      </c>
      <c r="L2403" s="1">
        <v>5</v>
      </c>
      <c r="M2403" s="2">
        <v>42041</v>
      </c>
      <c r="N2403" s="1">
        <v>5</v>
      </c>
      <c r="O2403" s="2">
        <v>42041</v>
      </c>
      <c r="P2403" s="1">
        <v>6026</v>
      </c>
      <c r="Q2403" s="1" t="s">
        <v>302</v>
      </c>
      <c r="R2403" s="2">
        <v>42137</v>
      </c>
      <c r="S2403" s="1">
        <v>62750</v>
      </c>
      <c r="U2403" s="1">
        <v>1584</v>
      </c>
      <c r="V2403" s="1" t="s">
        <v>10999</v>
      </c>
      <c r="W2403" s="1" t="s">
        <v>304</v>
      </c>
      <c r="X2403" s="1" t="s">
        <v>369</v>
      </c>
      <c r="Y2403" s="1">
        <v>9</v>
      </c>
      <c r="Z2403" s="1" t="s">
        <v>200</v>
      </c>
      <c r="AA2403" s="1" t="s">
        <v>1027</v>
      </c>
      <c r="AB2403" s="1">
        <v>60073</v>
      </c>
      <c r="AD2403" s="1" t="s">
        <v>7669</v>
      </c>
      <c r="AE2403" s="1" t="s">
        <v>20896</v>
      </c>
      <c r="AF2403" s="1">
        <v>2001</v>
      </c>
      <c r="AG2403" s="1" t="s">
        <v>204</v>
      </c>
      <c r="AH2403" s="1" t="s">
        <v>1029</v>
      </c>
      <c r="AI2403" s="1" t="s">
        <v>509</v>
      </c>
      <c r="AJ2403" s="1" t="s">
        <v>1263</v>
      </c>
      <c r="AL2403" s="1">
        <v>5</v>
      </c>
      <c r="AM2403" s="1">
        <v>2</v>
      </c>
      <c r="AN2403" s="1">
        <v>1</v>
      </c>
      <c r="AO2403" s="1">
        <v>0</v>
      </c>
      <c r="AP2403" s="1" t="s">
        <v>210</v>
      </c>
      <c r="AR2403" s="1" t="s">
        <v>210</v>
      </c>
      <c r="AS2403" s="1" t="s">
        <v>204</v>
      </c>
      <c r="AT2403" s="1" t="s">
        <v>211</v>
      </c>
      <c r="AU2403" s="1">
        <v>1</v>
      </c>
      <c r="AW2403" s="1" t="s">
        <v>204</v>
      </c>
      <c r="AX2403" s="1" t="s">
        <v>212</v>
      </c>
      <c r="AZ2403" s="1">
        <v>2705</v>
      </c>
      <c r="BA2403" s="1">
        <v>2013</v>
      </c>
      <c r="BE2403" s="1">
        <v>944</v>
      </c>
      <c r="BF2403" s="1">
        <v>2</v>
      </c>
      <c r="BG2403" s="1">
        <v>30</v>
      </c>
      <c r="BL2403" s="1">
        <v>182</v>
      </c>
      <c r="BM2403" s="1" t="s">
        <v>204</v>
      </c>
      <c r="BN2403" s="1" t="s">
        <v>213</v>
      </c>
      <c r="BO2403" s="1">
        <v>999</v>
      </c>
      <c r="BP2403" s="1" t="s">
        <v>204</v>
      </c>
      <c r="BR2403" s="1" t="str">
        <f>"06191051690000"</f>
        <v>06191051690000</v>
      </c>
      <c r="BT2403" s="1" t="s">
        <v>20897</v>
      </c>
      <c r="BX2403" s="1">
        <v>116</v>
      </c>
      <c r="BY2403" s="1">
        <v>116</v>
      </c>
      <c r="BZ2403" s="1">
        <v>116</v>
      </c>
      <c r="CB2403" s="1" t="str">
        <f>"34"</f>
        <v>34</v>
      </c>
      <c r="CC2403" s="1" t="str">
        <f>"0"</f>
        <v>0</v>
      </c>
      <c r="CD2403" s="1">
        <v>34</v>
      </c>
      <c r="CE2403" s="1">
        <v>0</v>
      </c>
      <c r="CG2403" s="1" t="s">
        <v>1046</v>
      </c>
      <c r="CH2403" s="1" t="s">
        <v>219</v>
      </c>
      <c r="CI2403" s="1" t="s">
        <v>220</v>
      </c>
      <c r="CK2403" s="1" t="s">
        <v>1107</v>
      </c>
      <c r="CL2403" s="1" t="s">
        <v>219</v>
      </c>
      <c r="CM2403" s="1" t="s">
        <v>220</v>
      </c>
      <c r="CO2403" s="1" t="s">
        <v>408</v>
      </c>
      <c r="CP2403" s="1" t="s">
        <v>219</v>
      </c>
      <c r="CQ2403" s="1" t="s">
        <v>220</v>
      </c>
      <c r="CS2403" s="1" t="s">
        <v>408</v>
      </c>
      <c r="CT2403" s="1" t="s">
        <v>219</v>
      </c>
      <c r="CX2403" s="1" t="s">
        <v>224</v>
      </c>
      <c r="DB2403" s="1" t="s">
        <v>224</v>
      </c>
      <c r="DE2403" s="1" t="s">
        <v>3318</v>
      </c>
      <c r="DF2403" s="1" t="s">
        <v>219</v>
      </c>
      <c r="DG2403" s="1" t="s">
        <v>342</v>
      </c>
      <c r="DJ2403" s="1" t="s">
        <v>224</v>
      </c>
      <c r="DS2403" s="1" t="s">
        <v>230</v>
      </c>
      <c r="DW2403" s="1" t="s">
        <v>230</v>
      </c>
      <c r="EA2403" s="1" t="s">
        <v>230</v>
      </c>
      <c r="EE2403" s="1" t="s">
        <v>230</v>
      </c>
      <c r="EI2403" s="1" t="s">
        <v>230</v>
      </c>
      <c r="EL2403" s="1" t="s">
        <v>466</v>
      </c>
      <c r="EM2403" s="1" t="s">
        <v>319</v>
      </c>
      <c r="EN2403" s="1" t="s">
        <v>1158</v>
      </c>
      <c r="EO2403" s="1" t="s">
        <v>234</v>
      </c>
      <c r="EP2403" s="1" t="s">
        <v>650</v>
      </c>
      <c r="EQ2403" s="1" t="s">
        <v>3718</v>
      </c>
      <c r="ER2403" s="1" t="s">
        <v>210</v>
      </c>
      <c r="ES2403" s="1" t="s">
        <v>493</v>
      </c>
      <c r="EV2403" s="1" t="s">
        <v>240</v>
      </c>
      <c r="EW2403" s="1" t="s">
        <v>7034</v>
      </c>
      <c r="EZ2403" s="1" t="s">
        <v>287</v>
      </c>
      <c r="FB2403" s="1" t="s">
        <v>289</v>
      </c>
      <c r="FD2403" s="1" t="s">
        <v>246</v>
      </c>
      <c r="FE2403" s="1" t="s">
        <v>247</v>
      </c>
      <c r="FF2403" s="1" t="s">
        <v>248</v>
      </c>
      <c r="FH2403" s="1" t="s">
        <v>249</v>
      </c>
      <c r="FL2403" s="1" t="s">
        <v>292</v>
      </c>
      <c r="FM2403" s="1" t="s">
        <v>252</v>
      </c>
      <c r="FN2403" s="1" t="s">
        <v>213</v>
      </c>
      <c r="FO2403" s="1" t="s">
        <v>213</v>
      </c>
      <c r="FQ2403" s="1" t="s">
        <v>2142</v>
      </c>
      <c r="FR2403" s="1" t="s">
        <v>360</v>
      </c>
      <c r="FS2403" s="1" t="s">
        <v>20898</v>
      </c>
      <c r="FT2403" s="1" t="s">
        <v>295</v>
      </c>
      <c r="FU2403" s="1" t="s">
        <v>204</v>
      </c>
      <c r="FW2403" s="1" t="s">
        <v>585</v>
      </c>
      <c r="FX2403" s="1">
        <v>6026</v>
      </c>
      <c r="FY2403" s="1" t="s">
        <v>1223</v>
      </c>
      <c r="FZ2403" s="1" t="s">
        <v>15023</v>
      </c>
      <c r="GA2403" s="1">
        <v>62750</v>
      </c>
      <c r="GB2403" s="1" t="s">
        <v>15024</v>
      </c>
      <c r="GE2403" s="1" t="s">
        <v>210</v>
      </c>
      <c r="GH2403" s="1" t="s">
        <v>589</v>
      </c>
      <c r="GI2403" s="1" t="s">
        <v>213</v>
      </c>
      <c r="GJ2403" s="1" t="s">
        <v>260</v>
      </c>
      <c r="GK2403" s="1" t="s">
        <v>210</v>
      </c>
      <c r="GL2403" s="2">
        <v>42150</v>
      </c>
      <c r="GM2403" s="1" t="s">
        <v>397</v>
      </c>
    </row>
    <row r="2404" spans="1:195">
      <c r="A2404" s="1">
        <v>80530</v>
      </c>
      <c r="B2404" s="1" t="s">
        <v>195</v>
      </c>
      <c r="C2404" s="1" t="str">
        <f>"08819461"</f>
        <v>08819461</v>
      </c>
      <c r="D2404" s="1" t="s">
        <v>196</v>
      </c>
      <c r="F2404" s="1" t="str">
        <f>"559"</f>
        <v>559</v>
      </c>
      <c r="G2404" s="2">
        <v>42023</v>
      </c>
      <c r="H2404" s="1">
        <v>99900</v>
      </c>
      <c r="I2404" s="1">
        <v>86000</v>
      </c>
      <c r="J2404" s="1">
        <v>80530</v>
      </c>
      <c r="K2404" s="2">
        <v>42023</v>
      </c>
      <c r="L2404" s="1">
        <v>114</v>
      </c>
      <c r="M2404" s="2">
        <v>42136</v>
      </c>
      <c r="N2404" s="1">
        <v>114</v>
      </c>
      <c r="O2404" s="2">
        <v>42136</v>
      </c>
      <c r="P2404" s="1">
        <v>25659</v>
      </c>
      <c r="Q2404" s="1" t="s">
        <v>302</v>
      </c>
      <c r="R2404" s="2">
        <v>42145</v>
      </c>
      <c r="S2404" s="1">
        <v>237509</v>
      </c>
      <c r="U2404" s="1">
        <v>64</v>
      </c>
      <c r="V2404" s="1" t="s">
        <v>6820</v>
      </c>
      <c r="W2404" s="1" t="s">
        <v>264</v>
      </c>
      <c r="X2404" s="1">
        <v>201</v>
      </c>
      <c r="Y2404" s="1">
        <v>12</v>
      </c>
      <c r="Z2404" s="1" t="s">
        <v>249</v>
      </c>
      <c r="AA2404" s="1" t="s">
        <v>1950</v>
      </c>
      <c r="AB2404" s="1">
        <v>60559</v>
      </c>
      <c r="AD2404" s="1" t="s">
        <v>7707</v>
      </c>
      <c r="AE2404" s="1" t="s">
        <v>20899</v>
      </c>
      <c r="AF2404" s="1">
        <v>1975</v>
      </c>
      <c r="AG2404" s="1" t="s">
        <v>213</v>
      </c>
      <c r="AH2404" s="1" t="s">
        <v>1952</v>
      </c>
      <c r="AI2404" s="1" t="s">
        <v>206</v>
      </c>
      <c r="AJ2404" s="1" t="s">
        <v>903</v>
      </c>
      <c r="AL2404" s="1">
        <v>5</v>
      </c>
      <c r="AM2404" s="1">
        <v>2</v>
      </c>
      <c r="AN2404" s="1">
        <v>2</v>
      </c>
      <c r="AO2404" s="1">
        <v>0</v>
      </c>
      <c r="AP2404" s="1" t="s">
        <v>209</v>
      </c>
      <c r="AQ2404" s="1">
        <v>1</v>
      </c>
      <c r="AR2404" s="1" t="s">
        <v>210</v>
      </c>
      <c r="AS2404" s="1" t="s">
        <v>204</v>
      </c>
      <c r="AT2404" s="1" t="s">
        <v>211</v>
      </c>
      <c r="AU2404" s="1">
        <v>1</v>
      </c>
      <c r="AW2404" s="1" t="s">
        <v>204</v>
      </c>
      <c r="AX2404" s="1" t="s">
        <v>212</v>
      </c>
      <c r="AZ2404" s="1">
        <v>1805</v>
      </c>
      <c r="BA2404" s="1">
        <v>2013</v>
      </c>
      <c r="BB2404" s="1" t="s">
        <v>405</v>
      </c>
      <c r="BE2404" s="1">
        <v>0</v>
      </c>
      <c r="BF2404" s="1">
        <v>2</v>
      </c>
      <c r="BG2404" s="1">
        <v>5</v>
      </c>
      <c r="BL2404" s="1">
        <v>205</v>
      </c>
      <c r="BM2404" s="1" t="s">
        <v>204</v>
      </c>
      <c r="BN2404" s="1" t="s">
        <v>213</v>
      </c>
      <c r="BO2404" s="1">
        <v>0</v>
      </c>
      <c r="BP2404" s="1" t="s">
        <v>204</v>
      </c>
      <c r="BR2404" s="1" t="str">
        <f>"0921213104"</f>
        <v>0921213104</v>
      </c>
      <c r="BT2404" s="1" t="s">
        <v>20900</v>
      </c>
      <c r="BX2404" s="1">
        <v>60</v>
      </c>
      <c r="BY2404" s="1">
        <v>60</v>
      </c>
      <c r="BZ2404" s="1">
        <v>99</v>
      </c>
      <c r="CB2404" s="1" t="str">
        <f t="shared" ref="CB2404:CC2404" si="1841">"0"</f>
        <v>0</v>
      </c>
      <c r="CC2404" s="1" t="str">
        <f t="shared" si="1841"/>
        <v>0</v>
      </c>
      <c r="CD2404" s="1">
        <v>18</v>
      </c>
      <c r="CE2404" s="1">
        <v>7</v>
      </c>
      <c r="CG2404" s="1" t="s">
        <v>581</v>
      </c>
      <c r="CH2404" s="1" t="s">
        <v>277</v>
      </c>
      <c r="CI2404" s="1" t="s">
        <v>220</v>
      </c>
      <c r="CK2404" s="1" t="s">
        <v>344</v>
      </c>
      <c r="CL2404" s="1" t="s">
        <v>277</v>
      </c>
      <c r="CM2404" s="1" t="s">
        <v>220</v>
      </c>
      <c r="CO2404" s="1" t="s">
        <v>409</v>
      </c>
      <c r="CP2404" s="1" t="s">
        <v>277</v>
      </c>
      <c r="CQ2404" s="1" t="s">
        <v>220</v>
      </c>
      <c r="CS2404" s="1" t="s">
        <v>346</v>
      </c>
      <c r="CT2404" s="1" t="s">
        <v>277</v>
      </c>
      <c r="CU2404" s="1" t="s">
        <v>220</v>
      </c>
      <c r="CX2404" s="1" t="s">
        <v>224</v>
      </c>
      <c r="DB2404" s="1" t="s">
        <v>224</v>
      </c>
      <c r="DE2404" s="1" t="s">
        <v>348</v>
      </c>
      <c r="DF2404" s="1" t="s">
        <v>277</v>
      </c>
      <c r="DG2404" s="1" t="s">
        <v>342</v>
      </c>
      <c r="DJ2404" s="1" t="s">
        <v>224</v>
      </c>
      <c r="DS2404" s="1" t="s">
        <v>230</v>
      </c>
      <c r="DW2404" s="1" t="s">
        <v>230</v>
      </c>
      <c r="EA2404" s="1" t="s">
        <v>230</v>
      </c>
      <c r="EE2404" s="1" t="s">
        <v>230</v>
      </c>
      <c r="EI2404" s="1" t="s">
        <v>230</v>
      </c>
      <c r="EL2404" s="1" t="s">
        <v>231</v>
      </c>
      <c r="EM2404" s="1" t="s">
        <v>232</v>
      </c>
      <c r="EN2404" s="1" t="s">
        <v>282</v>
      </c>
      <c r="EO2404" s="1" t="s">
        <v>234</v>
      </c>
      <c r="ER2404" s="1" t="s">
        <v>210</v>
      </c>
      <c r="ES2404" s="1" t="s">
        <v>545</v>
      </c>
      <c r="EV2404" s="1" t="s">
        <v>324</v>
      </c>
      <c r="EW2404" s="1" t="s">
        <v>20901</v>
      </c>
      <c r="EY2404" s="1" t="s">
        <v>242</v>
      </c>
      <c r="EZ2404" s="1" t="s">
        <v>287</v>
      </c>
      <c r="FD2404" s="1" t="s">
        <v>246</v>
      </c>
      <c r="FE2404" s="1" t="s">
        <v>247</v>
      </c>
      <c r="FF2404" s="1" t="s">
        <v>248</v>
      </c>
      <c r="FG2404" s="1" t="s">
        <v>939</v>
      </c>
      <c r="FH2404" s="1" t="s">
        <v>249</v>
      </c>
      <c r="FL2404" s="1" t="s">
        <v>358</v>
      </c>
      <c r="FM2404" s="1" t="s">
        <v>252</v>
      </c>
      <c r="FN2404" s="1" t="s">
        <v>213</v>
      </c>
      <c r="FO2404" s="1" t="s">
        <v>213</v>
      </c>
      <c r="FQ2404" s="1" t="s">
        <v>1300</v>
      </c>
      <c r="FR2404" s="1" t="s">
        <v>1301</v>
      </c>
      <c r="FS2404" s="1" t="s">
        <v>1302</v>
      </c>
      <c r="FT2404" s="1" t="s">
        <v>295</v>
      </c>
      <c r="FU2404" s="1" t="s">
        <v>204</v>
      </c>
      <c r="FW2404" s="1" t="s">
        <v>1303</v>
      </c>
      <c r="FX2404" s="1">
        <v>24072</v>
      </c>
      <c r="FY2404" s="1" t="s">
        <v>1304</v>
      </c>
      <c r="FZ2404" s="1" t="s">
        <v>1305</v>
      </c>
      <c r="GA2404" s="1">
        <v>222267</v>
      </c>
      <c r="GB2404" s="1" t="s">
        <v>1304</v>
      </c>
      <c r="GC2404" s="1">
        <v>871164</v>
      </c>
      <c r="GE2404" s="1" t="s">
        <v>210</v>
      </c>
      <c r="GI2404" s="1" t="s">
        <v>213</v>
      </c>
      <c r="GJ2404" s="1" t="s">
        <v>260</v>
      </c>
      <c r="GK2404" s="1" t="s">
        <v>210</v>
      </c>
      <c r="GL2404" s="2">
        <v>42145</v>
      </c>
      <c r="GM2404" s="1" t="s">
        <v>20902</v>
      </c>
    </row>
    <row r="2405" spans="1:195">
      <c r="A2405" s="1">
        <v>157500</v>
      </c>
      <c r="B2405" s="1" t="s">
        <v>195</v>
      </c>
      <c r="C2405" s="1" t="str">
        <f>"08828357"</f>
        <v>08828357</v>
      </c>
      <c r="D2405" s="1" t="s">
        <v>196</v>
      </c>
      <c r="F2405" s="1" t="str">
        <f>"560"</f>
        <v>560</v>
      </c>
      <c r="G2405" s="2">
        <v>42036</v>
      </c>
      <c r="H2405" s="1">
        <v>149900</v>
      </c>
      <c r="I2405" s="1">
        <v>149900</v>
      </c>
      <c r="J2405" s="1">
        <v>157500</v>
      </c>
      <c r="K2405" s="2">
        <v>42034</v>
      </c>
      <c r="L2405" s="1">
        <v>8</v>
      </c>
      <c r="M2405" s="2">
        <v>42041</v>
      </c>
      <c r="N2405" s="1">
        <v>8</v>
      </c>
      <c r="O2405" s="2">
        <v>42041</v>
      </c>
      <c r="P2405" s="1">
        <v>24504</v>
      </c>
      <c r="Q2405" s="1" t="s">
        <v>302</v>
      </c>
      <c r="R2405" s="2">
        <v>42069</v>
      </c>
      <c r="S2405" s="1">
        <v>236067</v>
      </c>
      <c r="U2405" s="1">
        <v>389</v>
      </c>
      <c r="V2405" s="1" t="s">
        <v>8056</v>
      </c>
      <c r="W2405" s="1" t="s">
        <v>449</v>
      </c>
      <c r="Y2405" s="1">
        <v>2</v>
      </c>
      <c r="Z2405" s="1" t="s">
        <v>370</v>
      </c>
      <c r="AA2405" s="1" t="s">
        <v>484</v>
      </c>
      <c r="AB2405" s="1">
        <v>60560</v>
      </c>
      <c r="AE2405" s="1" t="s">
        <v>20903</v>
      </c>
      <c r="AF2405" s="1">
        <v>2003</v>
      </c>
      <c r="AG2405" s="1" t="s">
        <v>204</v>
      </c>
      <c r="AH2405" s="1" t="s">
        <v>487</v>
      </c>
      <c r="AI2405" s="1" t="s">
        <v>453</v>
      </c>
      <c r="AJ2405" s="1" t="s">
        <v>9630</v>
      </c>
      <c r="AL2405" s="1">
        <v>5</v>
      </c>
      <c r="AM2405" s="1">
        <v>2</v>
      </c>
      <c r="AN2405" s="1">
        <v>2</v>
      </c>
      <c r="AO2405" s="1">
        <v>0</v>
      </c>
      <c r="AP2405" s="1" t="s">
        <v>209</v>
      </c>
      <c r="AR2405" s="1" t="s">
        <v>1483</v>
      </c>
      <c r="AS2405" s="1" t="s">
        <v>204</v>
      </c>
      <c r="AT2405" s="1" t="s">
        <v>211</v>
      </c>
      <c r="AU2405" s="1">
        <v>2</v>
      </c>
      <c r="AW2405" s="1" t="s">
        <v>213</v>
      </c>
      <c r="AX2405" s="1" t="s">
        <v>20904</v>
      </c>
      <c r="AZ2405" s="1">
        <v>4413.7</v>
      </c>
      <c r="BA2405" s="1">
        <v>2012</v>
      </c>
      <c r="BE2405" s="1">
        <v>1590</v>
      </c>
      <c r="BF2405" s="1">
        <v>1</v>
      </c>
      <c r="BG2405" s="1">
        <v>0</v>
      </c>
      <c r="BL2405" s="1">
        <v>160</v>
      </c>
      <c r="BM2405" s="1" t="s">
        <v>413</v>
      </c>
      <c r="BN2405" s="1" t="s">
        <v>213</v>
      </c>
      <c r="BO2405" s="1">
        <v>999</v>
      </c>
      <c r="BP2405" s="1" t="s">
        <v>204</v>
      </c>
      <c r="BR2405" s="1" t="str">
        <f>"0505252074"</f>
        <v>0505252074</v>
      </c>
      <c r="BT2405" s="1" t="s">
        <v>20905</v>
      </c>
      <c r="BX2405" s="1">
        <v>115</v>
      </c>
      <c r="BY2405" s="1">
        <v>115</v>
      </c>
      <c r="BZ2405" s="1">
        <v>115</v>
      </c>
      <c r="CB2405" s="1" t="str">
        <f t="shared" ref="CB2405:CC2405" si="1842">""</f>
        <v/>
      </c>
      <c r="CC2405" s="1" t="str">
        <f t="shared" si="1842"/>
        <v/>
      </c>
      <c r="CG2405" s="1" t="s">
        <v>9969</v>
      </c>
      <c r="CH2405" s="1" t="s">
        <v>219</v>
      </c>
      <c r="CK2405" s="1" t="s">
        <v>1533</v>
      </c>
      <c r="CL2405" s="1" t="s">
        <v>219</v>
      </c>
      <c r="CO2405" s="1" t="s">
        <v>346</v>
      </c>
      <c r="CP2405" s="1" t="s">
        <v>219</v>
      </c>
      <c r="CS2405" s="1" t="s">
        <v>1469</v>
      </c>
      <c r="CT2405" s="1" t="s">
        <v>219</v>
      </c>
      <c r="CX2405" s="1" t="s">
        <v>224</v>
      </c>
      <c r="DB2405" s="1" t="s">
        <v>224</v>
      </c>
      <c r="DE2405" s="1" t="s">
        <v>1046</v>
      </c>
      <c r="DF2405" s="1" t="s">
        <v>219</v>
      </c>
      <c r="DJ2405" s="1" t="s">
        <v>224</v>
      </c>
      <c r="DM2405" s="1" t="s">
        <v>603</v>
      </c>
      <c r="DR2405" s="1" t="s">
        <v>20906</v>
      </c>
      <c r="DS2405" s="1" t="s">
        <v>219</v>
      </c>
      <c r="DW2405" s="1" t="s">
        <v>230</v>
      </c>
      <c r="EA2405" s="1" t="s">
        <v>230</v>
      </c>
      <c r="EE2405" s="1" t="s">
        <v>230</v>
      </c>
      <c r="EI2405" s="1" t="s">
        <v>230</v>
      </c>
      <c r="EL2405" s="1" t="s">
        <v>466</v>
      </c>
      <c r="EM2405" s="1" t="s">
        <v>319</v>
      </c>
      <c r="EN2405" s="1" t="s">
        <v>282</v>
      </c>
      <c r="EO2405" s="1" t="s">
        <v>234</v>
      </c>
      <c r="EP2405" s="1" t="s">
        <v>543</v>
      </c>
      <c r="ER2405" s="1" t="s">
        <v>351</v>
      </c>
      <c r="EW2405" s="1" t="s">
        <v>867</v>
      </c>
      <c r="EZ2405" s="1" t="s">
        <v>603</v>
      </c>
      <c r="FB2405" s="1" t="s">
        <v>289</v>
      </c>
      <c r="FD2405" s="1" t="s">
        <v>246</v>
      </c>
      <c r="FE2405" s="1" t="s">
        <v>975</v>
      </c>
      <c r="FF2405" s="1" t="s">
        <v>248</v>
      </c>
      <c r="FH2405" s="1" t="s">
        <v>442</v>
      </c>
      <c r="FJ2405" s="1" t="s">
        <v>518</v>
      </c>
      <c r="FL2405" s="1" t="s">
        <v>358</v>
      </c>
      <c r="FM2405" s="1" t="s">
        <v>252</v>
      </c>
      <c r="FN2405" s="1" t="s">
        <v>213</v>
      </c>
      <c r="FO2405" s="1" t="s">
        <v>213</v>
      </c>
      <c r="FQ2405" s="1" t="s">
        <v>16315</v>
      </c>
      <c r="FR2405" s="1" t="s">
        <v>210</v>
      </c>
      <c r="FS2405" s="1" t="s">
        <v>20907</v>
      </c>
      <c r="FT2405" s="1" t="s">
        <v>7442</v>
      </c>
      <c r="FU2405" s="1" t="s">
        <v>204</v>
      </c>
      <c r="FW2405" s="1" t="s">
        <v>20908</v>
      </c>
      <c r="FX2405" s="1">
        <v>25123</v>
      </c>
      <c r="FY2405" s="1" t="s">
        <v>20909</v>
      </c>
      <c r="FZ2405" s="1" t="s">
        <v>20910</v>
      </c>
      <c r="GA2405" s="1">
        <v>233949</v>
      </c>
      <c r="GB2405" s="1" t="s">
        <v>20909</v>
      </c>
      <c r="GE2405" s="1" t="s">
        <v>623</v>
      </c>
      <c r="GI2405" s="1" t="s">
        <v>213</v>
      </c>
      <c r="GJ2405" s="1" t="s">
        <v>260</v>
      </c>
      <c r="GK2405" s="1" t="s">
        <v>210</v>
      </c>
      <c r="GL2405" s="2">
        <v>42070</v>
      </c>
      <c r="GM2405" s="1" t="s">
        <v>20911</v>
      </c>
    </row>
    <row r="2406" spans="1:195">
      <c r="A2406" s="1">
        <v>113300</v>
      </c>
      <c r="B2406" s="1" t="s">
        <v>195</v>
      </c>
      <c r="C2406" s="1" t="str">
        <f>"08818523"</f>
        <v>08818523</v>
      </c>
      <c r="D2406" s="1" t="s">
        <v>196</v>
      </c>
      <c r="F2406" s="1" t="str">
        <f>"108"</f>
        <v>108</v>
      </c>
      <c r="G2406" s="2">
        <v>42021</v>
      </c>
      <c r="H2406" s="1">
        <v>119000</v>
      </c>
      <c r="I2406" s="1">
        <v>119000</v>
      </c>
      <c r="J2406" s="1">
        <v>113300</v>
      </c>
      <c r="K2406" s="2">
        <v>42020</v>
      </c>
      <c r="L2406" s="1">
        <v>166</v>
      </c>
      <c r="M2406" s="2">
        <v>42039</v>
      </c>
      <c r="N2406" s="1">
        <v>20</v>
      </c>
      <c r="O2406" s="2">
        <v>42039</v>
      </c>
      <c r="P2406" s="1">
        <v>252</v>
      </c>
      <c r="Q2406" s="1" t="s">
        <v>197</v>
      </c>
      <c r="R2406" s="2">
        <v>42094</v>
      </c>
      <c r="S2406" s="1">
        <v>7748</v>
      </c>
      <c r="U2406" s="1">
        <v>187</v>
      </c>
      <c r="V2406" s="1" t="s">
        <v>9630</v>
      </c>
      <c r="W2406" s="1" t="s">
        <v>304</v>
      </c>
      <c r="X2406" s="1" t="s">
        <v>483</v>
      </c>
      <c r="Y2406" s="1">
        <v>4</v>
      </c>
      <c r="Z2406" s="1" t="s">
        <v>249</v>
      </c>
      <c r="AA2406" s="1" t="s">
        <v>829</v>
      </c>
      <c r="AB2406" s="1">
        <v>60108</v>
      </c>
      <c r="AD2406" s="1" t="s">
        <v>20912</v>
      </c>
      <c r="AE2406" s="1" t="s">
        <v>20913</v>
      </c>
      <c r="AF2406" s="1">
        <v>1973</v>
      </c>
      <c r="AG2406" s="1" t="s">
        <v>213</v>
      </c>
      <c r="AH2406" s="1" t="s">
        <v>269</v>
      </c>
      <c r="AI2406" s="1" t="s">
        <v>206</v>
      </c>
      <c r="AJ2406" s="1" t="s">
        <v>269</v>
      </c>
      <c r="AL2406" s="1">
        <v>5</v>
      </c>
      <c r="AM2406" s="1">
        <v>2</v>
      </c>
      <c r="AN2406" s="1">
        <v>1</v>
      </c>
      <c r="AO2406" s="1">
        <v>0</v>
      </c>
      <c r="AP2406" s="1" t="s">
        <v>210</v>
      </c>
      <c r="AR2406" s="1" t="s">
        <v>210</v>
      </c>
      <c r="AT2406" s="1" t="s">
        <v>211</v>
      </c>
      <c r="AU2406" s="1">
        <v>1</v>
      </c>
      <c r="AW2406" s="1" t="s">
        <v>204</v>
      </c>
      <c r="AX2406" s="1" t="s">
        <v>212</v>
      </c>
      <c r="AZ2406" s="1">
        <v>3432</v>
      </c>
      <c r="BA2406" s="1">
        <v>2013</v>
      </c>
      <c r="BB2406" s="1" t="s">
        <v>210</v>
      </c>
      <c r="BE2406" s="1">
        <v>1035</v>
      </c>
      <c r="BF2406" s="1">
        <v>1</v>
      </c>
      <c r="BG2406" s="1">
        <v>0</v>
      </c>
      <c r="BL2406" s="1">
        <v>170</v>
      </c>
      <c r="BM2406" s="1" t="s">
        <v>204</v>
      </c>
      <c r="BN2406" s="1" t="s">
        <v>213</v>
      </c>
      <c r="BO2406" s="1">
        <v>999</v>
      </c>
      <c r="BP2406" s="1" t="s">
        <v>204</v>
      </c>
      <c r="BR2406" s="1" t="str">
        <f>"0223308009"</f>
        <v>0223308009</v>
      </c>
      <c r="BT2406" s="1" t="s">
        <v>20914</v>
      </c>
      <c r="BU2406" s="1" t="s">
        <v>2014</v>
      </c>
      <c r="BV2406" s="1" t="s">
        <v>2015</v>
      </c>
      <c r="BW2406" s="1" t="s">
        <v>1935</v>
      </c>
      <c r="BX2406" s="1">
        <v>15</v>
      </c>
      <c r="BY2406" s="1">
        <v>15</v>
      </c>
      <c r="BZ2406" s="1">
        <v>87</v>
      </c>
      <c r="CB2406" s="1" t="str">
        <f t="shared" ref="CB2406:CC2406" si="1843">""</f>
        <v/>
      </c>
      <c r="CC2406" s="1" t="str">
        <f t="shared" si="1843"/>
        <v/>
      </c>
      <c r="CG2406" s="1" t="s">
        <v>2042</v>
      </c>
      <c r="CH2406" s="1" t="s">
        <v>277</v>
      </c>
      <c r="CI2406" s="1" t="s">
        <v>220</v>
      </c>
      <c r="CK2406" s="1" t="s">
        <v>972</v>
      </c>
      <c r="CL2406" s="1" t="s">
        <v>277</v>
      </c>
      <c r="CM2406" s="1" t="s">
        <v>220</v>
      </c>
      <c r="CO2406" s="1" t="s">
        <v>2547</v>
      </c>
      <c r="CP2406" s="1" t="s">
        <v>277</v>
      </c>
      <c r="CQ2406" s="1" t="s">
        <v>220</v>
      </c>
      <c r="CS2406" s="1" t="s">
        <v>1046</v>
      </c>
      <c r="CT2406" s="1" t="s">
        <v>277</v>
      </c>
      <c r="CU2406" s="1" t="s">
        <v>220</v>
      </c>
      <c r="CX2406" s="1" t="s">
        <v>224</v>
      </c>
      <c r="DB2406" s="1" t="s">
        <v>224</v>
      </c>
      <c r="DE2406" s="1" t="s">
        <v>516</v>
      </c>
      <c r="DF2406" s="1" t="s">
        <v>277</v>
      </c>
      <c r="DG2406" s="1" t="s">
        <v>342</v>
      </c>
      <c r="DJ2406" s="1" t="s">
        <v>224</v>
      </c>
      <c r="DS2406" s="1" t="s">
        <v>230</v>
      </c>
      <c r="DW2406" s="1" t="s">
        <v>230</v>
      </c>
      <c r="EA2406" s="1" t="s">
        <v>230</v>
      </c>
      <c r="EE2406" s="1" t="s">
        <v>230</v>
      </c>
      <c r="EI2406" s="1" t="s">
        <v>230</v>
      </c>
      <c r="EL2406" s="1" t="s">
        <v>605</v>
      </c>
      <c r="EM2406" s="1" t="s">
        <v>232</v>
      </c>
      <c r="EN2406" s="1" t="s">
        <v>282</v>
      </c>
      <c r="EO2406" s="1" t="s">
        <v>234</v>
      </c>
      <c r="EP2406" s="1" t="s">
        <v>650</v>
      </c>
      <c r="EQ2406" s="1" t="s">
        <v>492</v>
      </c>
      <c r="ER2406" s="1" t="s">
        <v>210</v>
      </c>
      <c r="ES2406" s="1" t="s">
        <v>545</v>
      </c>
      <c r="EW2406" s="1" t="s">
        <v>887</v>
      </c>
      <c r="EZ2406" s="1" t="s">
        <v>287</v>
      </c>
      <c r="FD2406" s="1" t="s">
        <v>246</v>
      </c>
      <c r="FE2406" s="1" t="s">
        <v>472</v>
      </c>
      <c r="FF2406" s="1" t="s">
        <v>248</v>
      </c>
      <c r="FH2406" s="1" t="s">
        <v>356</v>
      </c>
      <c r="FI2406" s="1" t="s">
        <v>473</v>
      </c>
      <c r="FJ2406" s="1" t="s">
        <v>1251</v>
      </c>
      <c r="FL2406" s="1" t="s">
        <v>358</v>
      </c>
      <c r="FM2406" s="1" t="s">
        <v>252</v>
      </c>
      <c r="FN2406" s="1" t="s">
        <v>213</v>
      </c>
      <c r="FO2406" s="1" t="s">
        <v>213</v>
      </c>
      <c r="FQ2406" s="1" t="s">
        <v>2017</v>
      </c>
      <c r="FR2406" s="1" t="s">
        <v>210</v>
      </c>
      <c r="FS2406" s="1" t="s">
        <v>20915</v>
      </c>
      <c r="FT2406" s="1" t="s">
        <v>295</v>
      </c>
      <c r="FU2406" s="1" t="s">
        <v>204</v>
      </c>
      <c r="FW2406" s="1" t="s">
        <v>2019</v>
      </c>
      <c r="FX2406" s="1">
        <v>24007</v>
      </c>
      <c r="FY2406" s="1" t="s">
        <v>2020</v>
      </c>
      <c r="FZ2406" s="1" t="s">
        <v>20470</v>
      </c>
      <c r="GA2406" s="1">
        <v>231004</v>
      </c>
      <c r="GB2406" s="1" t="s">
        <v>20471</v>
      </c>
      <c r="GE2406" s="1" t="s">
        <v>480</v>
      </c>
      <c r="GI2406" s="1" t="s">
        <v>213</v>
      </c>
      <c r="GJ2406" s="1" t="s">
        <v>260</v>
      </c>
      <c r="GK2406" s="1" t="s">
        <v>210</v>
      </c>
      <c r="GL2406" s="2">
        <v>42094</v>
      </c>
      <c r="GM2406" s="1" t="s">
        <v>20916</v>
      </c>
    </row>
    <row r="2407" spans="1:195">
      <c r="A2407" s="1">
        <v>214000</v>
      </c>
      <c r="B2407" s="1" t="s">
        <v>195</v>
      </c>
      <c r="C2407" s="1" t="str">
        <f>"08818142"</f>
        <v>08818142</v>
      </c>
      <c r="D2407" s="1" t="s">
        <v>196</v>
      </c>
      <c r="F2407" s="1" t="str">
        <f>"480"</f>
        <v>480</v>
      </c>
      <c r="G2407" s="2">
        <v>42020</v>
      </c>
      <c r="H2407" s="1">
        <v>224873</v>
      </c>
      <c r="I2407" s="1">
        <v>224873</v>
      </c>
      <c r="J2407" s="1">
        <v>214000</v>
      </c>
      <c r="K2407" s="2">
        <v>42020</v>
      </c>
      <c r="L2407" s="1">
        <v>196</v>
      </c>
      <c r="M2407" s="2">
        <v>42031</v>
      </c>
      <c r="N2407" s="1">
        <v>12</v>
      </c>
      <c r="O2407" s="2">
        <v>42031</v>
      </c>
      <c r="P2407" s="1">
        <v>25494</v>
      </c>
      <c r="Q2407" s="1" t="s">
        <v>197</v>
      </c>
      <c r="R2407" s="2">
        <v>42065</v>
      </c>
      <c r="S2407" s="1">
        <v>240108</v>
      </c>
      <c r="U2407" s="1">
        <v>100</v>
      </c>
      <c r="V2407" s="1" t="s">
        <v>19632</v>
      </c>
      <c r="W2407" s="1" t="s">
        <v>504</v>
      </c>
      <c r="Y2407" s="1">
        <v>2</v>
      </c>
      <c r="Z2407" s="1" t="s">
        <v>370</v>
      </c>
      <c r="AA2407" s="1" t="s">
        <v>3145</v>
      </c>
      <c r="AB2407" s="1">
        <v>60480</v>
      </c>
      <c r="AE2407" s="1" t="s">
        <v>20917</v>
      </c>
      <c r="AF2407" s="1">
        <v>1995</v>
      </c>
      <c r="AG2407" s="1" t="s">
        <v>204</v>
      </c>
      <c r="AH2407" s="1" t="s">
        <v>3147</v>
      </c>
      <c r="AI2407" s="1" t="s">
        <v>310</v>
      </c>
      <c r="AJ2407" s="1" t="s">
        <v>3148</v>
      </c>
      <c r="AK2407" s="1" t="s">
        <v>19642</v>
      </c>
      <c r="AL2407" s="1">
        <v>8</v>
      </c>
      <c r="AM2407" s="1">
        <v>2</v>
      </c>
      <c r="AN2407" s="1">
        <v>2</v>
      </c>
      <c r="AO2407" s="1">
        <v>0</v>
      </c>
      <c r="AP2407" s="1" t="s">
        <v>667</v>
      </c>
      <c r="AQ2407" s="1">
        <v>1</v>
      </c>
      <c r="AR2407" s="1" t="s">
        <v>209</v>
      </c>
      <c r="AS2407" s="1" t="s">
        <v>204</v>
      </c>
      <c r="AT2407" s="1" t="s">
        <v>211</v>
      </c>
      <c r="AU2407" s="1">
        <v>2</v>
      </c>
      <c r="AW2407" s="1" t="s">
        <v>204</v>
      </c>
      <c r="AX2407" s="1" t="s">
        <v>20918</v>
      </c>
      <c r="AZ2407" s="1">
        <v>5855.46</v>
      </c>
      <c r="BA2407" s="1">
        <v>2013</v>
      </c>
      <c r="BB2407" s="1" t="s">
        <v>405</v>
      </c>
      <c r="BE2407" s="1">
        <v>2059</v>
      </c>
      <c r="BF2407" s="1">
        <v>1</v>
      </c>
      <c r="BG2407" s="1">
        <v>14</v>
      </c>
      <c r="BL2407" s="1">
        <v>360</v>
      </c>
      <c r="BM2407" s="1" t="s">
        <v>204</v>
      </c>
      <c r="BN2407" s="1" t="s">
        <v>213</v>
      </c>
      <c r="BO2407" s="1">
        <v>999</v>
      </c>
      <c r="BP2407" s="1" t="s">
        <v>204</v>
      </c>
      <c r="BR2407" s="1" t="str">
        <f>"23052011240000"</f>
        <v>23052011240000</v>
      </c>
      <c r="BT2407" s="1" t="s">
        <v>20919</v>
      </c>
      <c r="BU2407" s="1" t="s">
        <v>9154</v>
      </c>
      <c r="BV2407" s="1" t="s">
        <v>9154</v>
      </c>
      <c r="BW2407" s="1" t="s">
        <v>9155</v>
      </c>
      <c r="BX2407" s="1">
        <v>108</v>
      </c>
      <c r="BY2407" s="1">
        <v>108</v>
      </c>
      <c r="BZ2407" s="1">
        <v>230</v>
      </c>
      <c r="CB2407" s="1" t="str">
        <f t="shared" ref="CB2407:CC2407" si="1844">""</f>
        <v/>
      </c>
      <c r="CC2407" s="1" t="str">
        <f t="shared" si="1844"/>
        <v/>
      </c>
      <c r="CH2407" s="1" t="s">
        <v>224</v>
      </c>
      <c r="CK2407" s="1" t="s">
        <v>1737</v>
      </c>
      <c r="CL2407" s="1" t="s">
        <v>277</v>
      </c>
      <c r="CM2407" s="1" t="s">
        <v>220</v>
      </c>
      <c r="CN2407" s="1" t="s">
        <v>252</v>
      </c>
      <c r="CO2407" s="1" t="s">
        <v>218</v>
      </c>
      <c r="CP2407" s="1" t="s">
        <v>219</v>
      </c>
      <c r="CQ2407" s="1" t="s">
        <v>438</v>
      </c>
      <c r="CR2407" s="1" t="s">
        <v>252</v>
      </c>
      <c r="CS2407" s="1" t="s">
        <v>757</v>
      </c>
      <c r="CT2407" s="1" t="s">
        <v>277</v>
      </c>
      <c r="CU2407" s="1" t="s">
        <v>220</v>
      </c>
      <c r="CV2407" s="1" t="s">
        <v>252</v>
      </c>
      <c r="CX2407" s="1" t="s">
        <v>224</v>
      </c>
      <c r="DB2407" s="1" t="s">
        <v>224</v>
      </c>
      <c r="DE2407" s="1" t="s">
        <v>20920</v>
      </c>
      <c r="DF2407" s="1" t="s">
        <v>219</v>
      </c>
      <c r="DG2407" s="1" t="s">
        <v>226</v>
      </c>
      <c r="DH2407" s="1" t="s">
        <v>252</v>
      </c>
      <c r="DI2407" s="1" t="s">
        <v>1723</v>
      </c>
      <c r="DJ2407" s="1" t="s">
        <v>219</v>
      </c>
      <c r="DK2407" s="1" t="s">
        <v>438</v>
      </c>
      <c r="DL2407" s="1" t="s">
        <v>252</v>
      </c>
      <c r="DM2407" s="1" t="s">
        <v>1548</v>
      </c>
      <c r="DN2407" s="1" t="s">
        <v>934</v>
      </c>
      <c r="DO2407" s="1" t="s">
        <v>347</v>
      </c>
      <c r="DP2407" s="1" t="s">
        <v>20921</v>
      </c>
      <c r="DQ2407" s="1" t="s">
        <v>709</v>
      </c>
      <c r="DR2407" s="1" t="s">
        <v>2308</v>
      </c>
      <c r="DS2407" s="1" t="s">
        <v>219</v>
      </c>
      <c r="DT2407" s="1" t="s">
        <v>226</v>
      </c>
      <c r="DU2407" s="1" t="s">
        <v>463</v>
      </c>
      <c r="DV2407" s="1" t="s">
        <v>2402</v>
      </c>
      <c r="DW2407" s="1" t="s">
        <v>43</v>
      </c>
      <c r="DX2407" s="1" t="s">
        <v>220</v>
      </c>
      <c r="DZ2407" s="1" t="s">
        <v>380</v>
      </c>
      <c r="EA2407" s="1" t="s">
        <v>43</v>
      </c>
      <c r="EB2407" s="1" t="s">
        <v>220</v>
      </c>
      <c r="ED2407" s="1" t="s">
        <v>564</v>
      </c>
      <c r="EE2407" s="1" t="s">
        <v>43</v>
      </c>
      <c r="EF2407" s="1" t="s">
        <v>220</v>
      </c>
      <c r="EH2407" s="1" t="s">
        <v>2308</v>
      </c>
      <c r="EI2407" s="1" t="s">
        <v>219</v>
      </c>
      <c r="EJ2407" s="1" t="s">
        <v>226</v>
      </c>
      <c r="EK2407" s="1" t="s">
        <v>210</v>
      </c>
      <c r="EL2407" s="1" t="s">
        <v>670</v>
      </c>
      <c r="EM2407" s="1" t="s">
        <v>232</v>
      </c>
      <c r="EN2407" s="1" t="s">
        <v>282</v>
      </c>
      <c r="EO2407" s="1" t="s">
        <v>840</v>
      </c>
      <c r="EQ2407" s="1" t="s">
        <v>236</v>
      </c>
      <c r="ER2407" s="1" t="s">
        <v>544</v>
      </c>
      <c r="ES2407" s="1" t="s">
        <v>1160</v>
      </c>
      <c r="ET2407" s="1" t="s">
        <v>1752</v>
      </c>
      <c r="EU2407" s="1" t="s">
        <v>20922</v>
      </c>
      <c r="EV2407" s="1" t="s">
        <v>324</v>
      </c>
      <c r="EW2407" s="1" t="s">
        <v>5251</v>
      </c>
      <c r="EY2407" s="1" t="s">
        <v>790</v>
      </c>
      <c r="EZ2407" s="1" t="s">
        <v>20923</v>
      </c>
      <c r="FB2407" s="1" t="s">
        <v>289</v>
      </c>
      <c r="FD2407" s="1" t="s">
        <v>495</v>
      </c>
      <c r="FE2407" s="1" t="s">
        <v>549</v>
      </c>
      <c r="FF2407" s="1" t="s">
        <v>248</v>
      </c>
      <c r="FG2407" s="1" t="s">
        <v>912</v>
      </c>
      <c r="FH2407" s="1" t="s">
        <v>550</v>
      </c>
      <c r="FI2407" s="1" t="s">
        <v>473</v>
      </c>
      <c r="FJ2407" s="1" t="s">
        <v>197</v>
      </c>
      <c r="FL2407" s="1" t="s">
        <v>358</v>
      </c>
      <c r="FM2407" s="1" t="s">
        <v>252</v>
      </c>
      <c r="FN2407" s="1" t="s">
        <v>213</v>
      </c>
      <c r="FO2407" s="1" t="s">
        <v>213</v>
      </c>
      <c r="FQ2407" s="1" t="s">
        <v>4853</v>
      </c>
      <c r="FR2407" s="1" t="s">
        <v>210</v>
      </c>
      <c r="FS2407" s="1" t="s">
        <v>20924</v>
      </c>
      <c r="FT2407" s="1" t="s">
        <v>255</v>
      </c>
      <c r="FU2407" s="1" t="s">
        <v>204</v>
      </c>
      <c r="FW2407" s="1" t="s">
        <v>9536</v>
      </c>
      <c r="FX2407" s="1">
        <v>21196</v>
      </c>
      <c r="FY2407" s="1" t="s">
        <v>9537</v>
      </c>
      <c r="FZ2407" s="1" t="s">
        <v>20925</v>
      </c>
      <c r="GA2407" s="1">
        <v>604224</v>
      </c>
      <c r="GB2407" s="1" t="s">
        <v>9537</v>
      </c>
      <c r="GE2407" s="1" t="s">
        <v>1226</v>
      </c>
      <c r="GI2407" s="1" t="s">
        <v>213</v>
      </c>
      <c r="GJ2407" s="1" t="s">
        <v>260</v>
      </c>
      <c r="GK2407" s="1" t="s">
        <v>261</v>
      </c>
      <c r="GL2407" s="2">
        <v>42066</v>
      </c>
    </row>
    <row r="2408" spans="1:195">
      <c r="A2408" s="1">
        <v>218000</v>
      </c>
      <c r="B2408" s="1" t="s">
        <v>195</v>
      </c>
      <c r="C2408" s="1" t="str">
        <f>"08821492"</f>
        <v>08821492</v>
      </c>
      <c r="D2408" s="1" t="s">
        <v>196</v>
      </c>
      <c r="F2408" s="1" t="str">
        <f>"174"</f>
        <v>174</v>
      </c>
      <c r="G2408" s="2">
        <v>42025</v>
      </c>
      <c r="H2408" s="1">
        <v>219900</v>
      </c>
      <c r="I2408" s="1">
        <v>219900</v>
      </c>
      <c r="J2408" s="1">
        <v>218000</v>
      </c>
      <c r="K2408" s="2">
        <v>42025</v>
      </c>
      <c r="L2408" s="1">
        <v>190</v>
      </c>
      <c r="M2408" s="2">
        <v>42036</v>
      </c>
      <c r="N2408" s="1">
        <v>12</v>
      </c>
      <c r="O2408" s="2">
        <v>42036</v>
      </c>
      <c r="P2408" s="1">
        <v>49</v>
      </c>
      <c r="Q2408" s="1" t="s">
        <v>302</v>
      </c>
      <c r="R2408" s="2">
        <v>42082</v>
      </c>
      <c r="S2408" s="1">
        <v>1282</v>
      </c>
      <c r="U2408" s="1" t="s">
        <v>20926</v>
      </c>
      <c r="V2408" s="1" t="s">
        <v>12355</v>
      </c>
      <c r="W2408" s="1" t="s">
        <v>425</v>
      </c>
      <c r="X2408" s="1" t="s">
        <v>1688</v>
      </c>
      <c r="Y2408" s="1">
        <v>6</v>
      </c>
      <c r="Z2408" s="1" t="s">
        <v>200</v>
      </c>
      <c r="AA2408" s="1" t="s">
        <v>879</v>
      </c>
      <c r="AB2408" s="1">
        <v>60174</v>
      </c>
      <c r="AD2408" s="1" t="s">
        <v>20927</v>
      </c>
      <c r="AE2408" s="1" t="s">
        <v>20928</v>
      </c>
      <c r="AF2408" s="1">
        <v>2013</v>
      </c>
      <c r="AG2408" s="1" t="s">
        <v>204</v>
      </c>
      <c r="AH2408" s="1" t="s">
        <v>882</v>
      </c>
      <c r="AI2408" s="1" t="s">
        <v>665</v>
      </c>
      <c r="AJ2408" s="1" t="s">
        <v>883</v>
      </c>
      <c r="AK2408" s="1" t="s">
        <v>13250</v>
      </c>
      <c r="AL2408" s="1">
        <v>7</v>
      </c>
      <c r="AM2408" s="1">
        <v>2</v>
      </c>
      <c r="AN2408" s="1">
        <v>1</v>
      </c>
      <c r="AO2408" s="1">
        <v>1</v>
      </c>
      <c r="AP2408" s="1" t="s">
        <v>209</v>
      </c>
      <c r="AR2408" s="1" t="s">
        <v>209</v>
      </c>
      <c r="AS2408" s="1" t="s">
        <v>204</v>
      </c>
      <c r="AT2408" s="1" t="s">
        <v>211</v>
      </c>
      <c r="AU2408" s="1">
        <v>2</v>
      </c>
      <c r="AW2408" s="1" t="s">
        <v>204</v>
      </c>
      <c r="AX2408" s="1" t="s">
        <v>212</v>
      </c>
      <c r="AZ2408" s="1" t="s">
        <v>751</v>
      </c>
      <c r="BA2408" s="1">
        <v>2012</v>
      </c>
      <c r="BE2408" s="1">
        <v>1480</v>
      </c>
      <c r="BF2408" s="1">
        <v>2</v>
      </c>
      <c r="BG2408" s="1">
        <v>0</v>
      </c>
      <c r="BL2408" s="1">
        <v>138</v>
      </c>
      <c r="BM2408" s="1" t="s">
        <v>204</v>
      </c>
      <c r="BN2408" s="1" t="s">
        <v>213</v>
      </c>
      <c r="BO2408" s="1">
        <v>50</v>
      </c>
      <c r="BP2408" s="1" t="s">
        <v>204</v>
      </c>
      <c r="BR2408" s="1" t="str">
        <f>"0911254000"</f>
        <v>0911254000</v>
      </c>
      <c r="BT2408" s="1" t="s">
        <v>20929</v>
      </c>
      <c r="BU2408" s="1" t="s">
        <v>6145</v>
      </c>
      <c r="BV2408" s="1" t="s">
        <v>2118</v>
      </c>
      <c r="BW2408" s="1" t="s">
        <v>2119</v>
      </c>
      <c r="BX2408" s="1">
        <v>303</v>
      </c>
      <c r="BY2408" s="1">
        <v>303</v>
      </c>
      <c r="BZ2408" s="1">
        <v>303</v>
      </c>
      <c r="CB2408" s="1" t="str">
        <f>"6"</f>
        <v>6</v>
      </c>
      <c r="CC2408" s="1" t="str">
        <f>"0"</f>
        <v>0</v>
      </c>
      <c r="CD2408" s="1">
        <v>34</v>
      </c>
      <c r="CE2408" s="1">
        <v>0</v>
      </c>
      <c r="CG2408" s="1" t="s">
        <v>932</v>
      </c>
      <c r="CH2408" s="1" t="s">
        <v>219</v>
      </c>
      <c r="CI2408" s="1" t="s">
        <v>438</v>
      </c>
      <c r="CJ2408" s="1" t="s">
        <v>4555</v>
      </c>
      <c r="CK2408" s="1" t="s">
        <v>315</v>
      </c>
      <c r="CL2408" s="1" t="s">
        <v>277</v>
      </c>
      <c r="CM2408" s="1" t="s">
        <v>220</v>
      </c>
      <c r="CN2408" s="1" t="s">
        <v>1199</v>
      </c>
      <c r="CO2408" s="1" t="s">
        <v>602</v>
      </c>
      <c r="CP2408" s="1" t="s">
        <v>219</v>
      </c>
      <c r="CQ2408" s="1" t="s">
        <v>438</v>
      </c>
      <c r="CR2408" s="1" t="s">
        <v>1199</v>
      </c>
      <c r="CS2408" s="1" t="s">
        <v>346</v>
      </c>
      <c r="CT2408" s="1" t="s">
        <v>277</v>
      </c>
      <c r="CU2408" s="1" t="s">
        <v>220</v>
      </c>
      <c r="CV2408" s="1" t="s">
        <v>343</v>
      </c>
      <c r="CX2408" s="1" t="s">
        <v>224</v>
      </c>
      <c r="DB2408" s="1" t="s">
        <v>224</v>
      </c>
      <c r="DE2408" s="1" t="s">
        <v>630</v>
      </c>
      <c r="DF2408" s="1" t="s">
        <v>219</v>
      </c>
      <c r="DG2408" s="1" t="s">
        <v>438</v>
      </c>
      <c r="DJ2408" s="1" t="s">
        <v>224</v>
      </c>
      <c r="DM2408" s="1" t="s">
        <v>464</v>
      </c>
      <c r="DN2408" s="1" t="s">
        <v>1770</v>
      </c>
      <c r="DO2408" s="1" t="s">
        <v>934</v>
      </c>
      <c r="DR2408" s="1" t="s">
        <v>407</v>
      </c>
      <c r="DS2408" s="1" t="s">
        <v>277</v>
      </c>
      <c r="DT2408" s="1" t="s">
        <v>220</v>
      </c>
      <c r="DU2408" s="1" t="s">
        <v>343</v>
      </c>
      <c r="DV2408" s="1" t="s">
        <v>6407</v>
      </c>
      <c r="DW2408" s="1" t="s">
        <v>277</v>
      </c>
      <c r="DX2408" s="1" t="s">
        <v>342</v>
      </c>
      <c r="DZ2408" s="1" t="s">
        <v>3989</v>
      </c>
      <c r="EA2408" s="1" t="s">
        <v>43</v>
      </c>
      <c r="EB2408" s="1" t="s">
        <v>220</v>
      </c>
      <c r="EC2408" s="1" t="s">
        <v>210</v>
      </c>
      <c r="EE2408" s="1" t="s">
        <v>230</v>
      </c>
      <c r="EI2408" s="1" t="s">
        <v>230</v>
      </c>
      <c r="EL2408" s="1" t="s">
        <v>1549</v>
      </c>
      <c r="EM2408" s="1" t="s">
        <v>319</v>
      </c>
      <c r="EN2408" s="1" t="s">
        <v>282</v>
      </c>
      <c r="EO2408" s="1" t="s">
        <v>234</v>
      </c>
      <c r="EP2408" s="1" t="s">
        <v>20930</v>
      </c>
      <c r="EQ2408" s="1" t="s">
        <v>321</v>
      </c>
      <c r="ER2408" s="1" t="s">
        <v>544</v>
      </c>
      <c r="ES2408" s="1" t="s">
        <v>322</v>
      </c>
      <c r="EV2408" s="1" t="s">
        <v>1553</v>
      </c>
      <c r="EW2408" s="1" t="s">
        <v>867</v>
      </c>
      <c r="EY2408" s="1" t="s">
        <v>441</v>
      </c>
      <c r="EZ2408" s="1" t="s">
        <v>20931</v>
      </c>
      <c r="FA2408" s="1" t="s">
        <v>6548</v>
      </c>
      <c r="FB2408" s="1" t="s">
        <v>289</v>
      </c>
      <c r="FD2408" s="1" t="s">
        <v>246</v>
      </c>
      <c r="FE2408" s="1" t="s">
        <v>472</v>
      </c>
      <c r="FF2408" s="1" t="s">
        <v>248</v>
      </c>
      <c r="FH2408" s="1" t="s">
        <v>550</v>
      </c>
      <c r="FL2408" s="1" t="s">
        <v>358</v>
      </c>
      <c r="FM2408" s="1" t="s">
        <v>252</v>
      </c>
      <c r="FN2408" s="1" t="s">
        <v>213</v>
      </c>
      <c r="FO2408" s="1" t="s">
        <v>213</v>
      </c>
      <c r="FQ2408" s="1" t="s">
        <v>1884</v>
      </c>
      <c r="FR2408" s="1" t="s">
        <v>210</v>
      </c>
      <c r="FS2408" s="1" t="s">
        <v>8210</v>
      </c>
      <c r="FT2408" s="1" t="s">
        <v>675</v>
      </c>
      <c r="FU2408" s="1" t="s">
        <v>204</v>
      </c>
      <c r="FW2408" s="1" t="s">
        <v>873</v>
      </c>
      <c r="FX2408" s="1">
        <v>25309</v>
      </c>
      <c r="FY2408" s="1" t="s">
        <v>874</v>
      </c>
      <c r="FZ2408" s="1" t="s">
        <v>20932</v>
      </c>
      <c r="GA2408" s="1">
        <v>256719</v>
      </c>
      <c r="GB2408" s="1" t="s">
        <v>20933</v>
      </c>
      <c r="GE2408" s="1" t="s">
        <v>1576</v>
      </c>
      <c r="GI2408" s="1" t="s">
        <v>213</v>
      </c>
      <c r="GJ2408" s="1" t="s">
        <v>260</v>
      </c>
      <c r="GK2408" s="1" t="s">
        <v>210</v>
      </c>
      <c r="GL2408" s="2">
        <v>42082</v>
      </c>
    </row>
    <row r="2409" spans="1:195">
      <c r="A2409" s="1">
        <v>147850</v>
      </c>
      <c r="B2409" s="1" t="s">
        <v>195</v>
      </c>
      <c r="C2409" s="1" t="str">
        <f>"08818462"</f>
        <v>08818462</v>
      </c>
      <c r="D2409" s="1" t="s">
        <v>196</v>
      </c>
      <c r="F2409" s="1" t="str">
        <f>"540"</f>
        <v>540</v>
      </c>
      <c r="G2409" s="2">
        <v>42021</v>
      </c>
      <c r="H2409" s="1">
        <v>153900</v>
      </c>
      <c r="I2409" s="1">
        <v>153900</v>
      </c>
      <c r="J2409" s="1">
        <v>147850</v>
      </c>
      <c r="K2409" s="2">
        <v>42021</v>
      </c>
      <c r="L2409" s="1">
        <v>13</v>
      </c>
      <c r="M2409" s="2">
        <v>42033</v>
      </c>
      <c r="N2409" s="1">
        <v>13</v>
      </c>
      <c r="O2409" s="2">
        <v>42033</v>
      </c>
      <c r="P2409" s="1">
        <v>23120</v>
      </c>
      <c r="Q2409" s="1" t="s">
        <v>302</v>
      </c>
      <c r="R2409" s="2">
        <v>42073</v>
      </c>
      <c r="S2409" s="1">
        <v>240373</v>
      </c>
      <c r="T2409" s="1">
        <v>404</v>
      </c>
      <c r="U2409" s="1">
        <v>2843</v>
      </c>
      <c r="V2409" s="1" t="s">
        <v>2212</v>
      </c>
      <c r="W2409" s="1" t="s">
        <v>449</v>
      </c>
      <c r="X2409" s="1">
        <v>204</v>
      </c>
      <c r="Y2409" s="1">
        <v>8</v>
      </c>
      <c r="Z2409" s="1" t="s">
        <v>370</v>
      </c>
      <c r="AA2409" s="1" t="s">
        <v>921</v>
      </c>
      <c r="AB2409" s="1">
        <v>60564</v>
      </c>
      <c r="AD2409" s="1" t="s">
        <v>5178</v>
      </c>
      <c r="AE2409" s="1" t="s">
        <v>20934</v>
      </c>
      <c r="AF2409" s="1">
        <v>2002</v>
      </c>
      <c r="AG2409" s="1" t="s">
        <v>204</v>
      </c>
      <c r="AH2409" s="1" t="s">
        <v>924</v>
      </c>
      <c r="AI2409" s="1" t="s">
        <v>1800</v>
      </c>
      <c r="AJ2409" s="1" t="s">
        <v>1801</v>
      </c>
      <c r="AL2409" s="1">
        <v>5</v>
      </c>
      <c r="AM2409" s="1">
        <v>2</v>
      </c>
      <c r="AN2409" s="1">
        <v>2</v>
      </c>
      <c r="AO2409" s="1">
        <v>0</v>
      </c>
      <c r="AP2409" s="1" t="s">
        <v>209</v>
      </c>
      <c r="AQ2409" s="1">
        <v>0</v>
      </c>
      <c r="AR2409" s="1" t="s">
        <v>210</v>
      </c>
      <c r="AS2409" s="1" t="s">
        <v>204</v>
      </c>
      <c r="AT2409" s="1" t="s">
        <v>211</v>
      </c>
      <c r="AU2409" s="1">
        <v>1</v>
      </c>
      <c r="AW2409" s="1" t="s">
        <v>204</v>
      </c>
      <c r="AX2409" s="1" t="s">
        <v>212</v>
      </c>
      <c r="AZ2409" s="1">
        <v>3589</v>
      </c>
      <c r="BA2409" s="1">
        <v>2013</v>
      </c>
      <c r="BB2409" s="1" t="s">
        <v>405</v>
      </c>
      <c r="BE2409" s="1">
        <v>1240</v>
      </c>
      <c r="BF2409" s="1">
        <v>2</v>
      </c>
      <c r="BG2409" s="1">
        <v>30</v>
      </c>
      <c r="BL2409" s="1">
        <v>249</v>
      </c>
      <c r="BM2409" s="1" t="s">
        <v>204</v>
      </c>
      <c r="BN2409" s="1" t="s">
        <v>213</v>
      </c>
      <c r="BO2409" s="1">
        <v>999</v>
      </c>
      <c r="BP2409" s="1" t="s">
        <v>204</v>
      </c>
      <c r="BR2409" s="1" t="str">
        <f>"01031130191008"</f>
        <v>01031130191008</v>
      </c>
      <c r="BT2409" s="1" t="s">
        <v>20935</v>
      </c>
      <c r="BU2409" s="1" t="s">
        <v>2216</v>
      </c>
      <c r="BV2409" s="1" t="s">
        <v>2217</v>
      </c>
      <c r="BW2409" s="1" t="s">
        <v>2218</v>
      </c>
      <c r="BX2409" s="1">
        <v>204</v>
      </c>
      <c r="BY2409" s="1">
        <v>204</v>
      </c>
      <c r="BZ2409" s="1">
        <v>204</v>
      </c>
      <c r="CB2409" s="1" t="str">
        <f t="shared" ref="CB2409:CC2409" si="1845">""</f>
        <v/>
      </c>
      <c r="CC2409" s="1" t="str">
        <f t="shared" si="1845"/>
        <v/>
      </c>
      <c r="CG2409" s="1" t="s">
        <v>862</v>
      </c>
      <c r="CH2409" s="1" t="s">
        <v>277</v>
      </c>
      <c r="CI2409" s="1" t="s">
        <v>229</v>
      </c>
      <c r="CJ2409" s="1" t="s">
        <v>463</v>
      </c>
      <c r="CK2409" s="1" t="s">
        <v>564</v>
      </c>
      <c r="CL2409" s="1" t="s">
        <v>277</v>
      </c>
      <c r="CM2409" s="1" t="s">
        <v>229</v>
      </c>
      <c r="CN2409" s="1" t="s">
        <v>909</v>
      </c>
      <c r="CO2409" s="1" t="s">
        <v>2031</v>
      </c>
      <c r="CP2409" s="1" t="s">
        <v>277</v>
      </c>
      <c r="CQ2409" s="1" t="s">
        <v>229</v>
      </c>
      <c r="CR2409" s="1" t="s">
        <v>909</v>
      </c>
      <c r="CS2409" s="1" t="s">
        <v>1107</v>
      </c>
      <c r="CT2409" s="1" t="s">
        <v>277</v>
      </c>
      <c r="CU2409" s="1" t="s">
        <v>229</v>
      </c>
      <c r="CV2409" s="1" t="s">
        <v>909</v>
      </c>
      <c r="CX2409" s="1" t="s">
        <v>224</v>
      </c>
      <c r="DB2409" s="1" t="s">
        <v>224</v>
      </c>
      <c r="DE2409" s="1" t="s">
        <v>408</v>
      </c>
      <c r="DF2409" s="1" t="s">
        <v>277</v>
      </c>
      <c r="DG2409" s="1" t="s">
        <v>229</v>
      </c>
      <c r="DH2409" s="1" t="s">
        <v>909</v>
      </c>
      <c r="DJ2409" s="1" t="s">
        <v>224</v>
      </c>
      <c r="DM2409" s="1" t="s">
        <v>709</v>
      </c>
      <c r="DR2409" s="1" t="s">
        <v>14143</v>
      </c>
      <c r="DS2409" s="1" t="s">
        <v>219</v>
      </c>
      <c r="DT2409" s="1" t="s">
        <v>229</v>
      </c>
      <c r="DU2409" s="1" t="s">
        <v>343</v>
      </c>
      <c r="DW2409" s="1" t="s">
        <v>230</v>
      </c>
      <c r="EA2409" s="1" t="s">
        <v>230</v>
      </c>
      <c r="EE2409" s="1" t="s">
        <v>230</v>
      </c>
      <c r="EI2409" s="1" t="s">
        <v>230</v>
      </c>
      <c r="EL2409" s="1" t="s">
        <v>466</v>
      </c>
      <c r="EM2409" s="1" t="s">
        <v>730</v>
      </c>
      <c r="EN2409" s="1" t="s">
        <v>282</v>
      </c>
      <c r="EO2409" s="1" t="s">
        <v>234</v>
      </c>
      <c r="EP2409" s="1" t="s">
        <v>650</v>
      </c>
      <c r="EQ2409" s="1" t="s">
        <v>2188</v>
      </c>
      <c r="ER2409" s="1" t="s">
        <v>383</v>
      </c>
      <c r="ES2409" s="1" t="s">
        <v>1160</v>
      </c>
      <c r="ET2409" s="1" t="s">
        <v>1404</v>
      </c>
      <c r="EU2409" s="1" t="s">
        <v>712</v>
      </c>
      <c r="EV2409" s="1" t="s">
        <v>324</v>
      </c>
      <c r="EW2409" s="1" t="s">
        <v>1804</v>
      </c>
      <c r="EZ2409" s="1" t="s">
        <v>709</v>
      </c>
      <c r="FB2409" s="1" t="s">
        <v>289</v>
      </c>
      <c r="FC2409" s="1" t="s">
        <v>1386</v>
      </c>
      <c r="FD2409" s="1" t="s">
        <v>246</v>
      </c>
      <c r="FE2409" s="1" t="s">
        <v>355</v>
      </c>
      <c r="FF2409" s="1" t="s">
        <v>248</v>
      </c>
      <c r="FH2409" s="1" t="s">
        <v>249</v>
      </c>
      <c r="FI2409" s="1" t="s">
        <v>473</v>
      </c>
      <c r="FJ2409" s="1" t="s">
        <v>1251</v>
      </c>
      <c r="FL2409" s="1" t="s">
        <v>414</v>
      </c>
      <c r="FM2409" s="1" t="s">
        <v>252</v>
      </c>
      <c r="FN2409" s="1" t="s">
        <v>213</v>
      </c>
      <c r="FO2409" s="1" t="s">
        <v>213</v>
      </c>
      <c r="FQ2409" s="1" t="s">
        <v>1758</v>
      </c>
      <c r="FR2409" s="1" t="s">
        <v>210</v>
      </c>
      <c r="FS2409" s="1" t="s">
        <v>20936</v>
      </c>
      <c r="FT2409" s="1" t="s">
        <v>295</v>
      </c>
      <c r="FU2409" s="1" t="s">
        <v>204</v>
      </c>
      <c r="FW2409" s="1" t="s">
        <v>915</v>
      </c>
      <c r="FX2409" s="1">
        <v>23076</v>
      </c>
      <c r="FY2409" s="1" t="s">
        <v>1909</v>
      </c>
      <c r="FZ2409" s="1" t="s">
        <v>14146</v>
      </c>
      <c r="GA2409" s="1">
        <v>239119</v>
      </c>
      <c r="GB2409" s="1" t="s">
        <v>14147</v>
      </c>
      <c r="GE2409" s="1" t="s">
        <v>480</v>
      </c>
      <c r="GI2409" s="1" t="s">
        <v>213</v>
      </c>
      <c r="GJ2409" s="1" t="s">
        <v>260</v>
      </c>
      <c r="GK2409" s="1" t="s">
        <v>210</v>
      </c>
      <c r="GL2409" s="2">
        <v>42073</v>
      </c>
      <c r="GM2409" s="1" t="s">
        <v>20937</v>
      </c>
    </row>
    <row r="2410" spans="1:195">
      <c r="A2410" s="1">
        <v>160000</v>
      </c>
      <c r="B2410" s="1" t="s">
        <v>195</v>
      </c>
      <c r="C2410" s="1" t="str">
        <f>"08821140"</f>
        <v>08821140</v>
      </c>
      <c r="D2410" s="1" t="s">
        <v>196</v>
      </c>
      <c r="F2410" s="1" t="str">
        <f>"507"</f>
        <v>507</v>
      </c>
      <c r="G2410" s="2">
        <v>42025</v>
      </c>
      <c r="H2410" s="1">
        <v>169900</v>
      </c>
      <c r="I2410" s="1">
        <v>169900</v>
      </c>
      <c r="J2410" s="1">
        <v>160000</v>
      </c>
      <c r="K2410" s="2">
        <v>42025</v>
      </c>
      <c r="L2410" s="1">
        <v>68</v>
      </c>
      <c r="M2410" s="2">
        <v>42092</v>
      </c>
      <c r="N2410" s="1">
        <v>68</v>
      </c>
      <c r="O2410" s="2">
        <v>42092</v>
      </c>
      <c r="P2410" s="1">
        <v>23030</v>
      </c>
      <c r="Q2410" s="1" t="s">
        <v>197</v>
      </c>
      <c r="R2410" s="2">
        <v>42122</v>
      </c>
      <c r="S2410" s="1">
        <v>231338</v>
      </c>
      <c r="U2410" s="1">
        <v>2378</v>
      </c>
      <c r="V2410" s="1" t="s">
        <v>20938</v>
      </c>
      <c r="W2410" s="1" t="s">
        <v>449</v>
      </c>
      <c r="X2410" s="1">
        <v>2378</v>
      </c>
      <c r="Y2410" s="1">
        <v>5</v>
      </c>
      <c r="Z2410" s="1" t="s">
        <v>249</v>
      </c>
      <c r="AA2410" s="1" t="s">
        <v>1123</v>
      </c>
      <c r="AB2410" s="1">
        <v>60502</v>
      </c>
      <c r="AD2410" s="1" t="s">
        <v>7345</v>
      </c>
      <c r="AE2410" s="1" t="s">
        <v>20939</v>
      </c>
      <c r="AF2410" s="1">
        <v>2002</v>
      </c>
      <c r="AG2410" s="1" t="s">
        <v>204</v>
      </c>
      <c r="AH2410" s="1" t="s">
        <v>1126</v>
      </c>
      <c r="AI2410" s="1" t="s">
        <v>206</v>
      </c>
      <c r="AJ2410" s="1" t="s">
        <v>924</v>
      </c>
      <c r="AL2410" s="1">
        <v>5</v>
      </c>
      <c r="AM2410" s="1">
        <v>2</v>
      </c>
      <c r="AN2410" s="1">
        <v>2</v>
      </c>
      <c r="AO2410" s="1">
        <v>0</v>
      </c>
      <c r="AP2410" s="1" t="s">
        <v>209</v>
      </c>
      <c r="AQ2410" s="1">
        <v>1</v>
      </c>
      <c r="AR2410" s="1" t="s">
        <v>210</v>
      </c>
      <c r="AS2410" s="1" t="s">
        <v>204</v>
      </c>
      <c r="AT2410" s="1" t="s">
        <v>211</v>
      </c>
      <c r="AU2410" s="1">
        <v>2</v>
      </c>
      <c r="AW2410" s="1" t="s">
        <v>204</v>
      </c>
      <c r="AX2410" s="1" t="s">
        <v>212</v>
      </c>
      <c r="AZ2410" s="1">
        <v>3210</v>
      </c>
      <c r="BA2410" s="1">
        <v>2013</v>
      </c>
      <c r="BB2410" s="1" t="s">
        <v>405</v>
      </c>
      <c r="BE2410" s="1">
        <v>1193</v>
      </c>
      <c r="BF2410" s="1">
        <v>1</v>
      </c>
      <c r="BG2410" s="1">
        <v>0</v>
      </c>
      <c r="BL2410" s="1">
        <v>120</v>
      </c>
      <c r="BM2410" s="1" t="s">
        <v>204</v>
      </c>
      <c r="BN2410" s="1" t="s">
        <v>213</v>
      </c>
      <c r="BO2410" s="1" t="s">
        <v>3215</v>
      </c>
      <c r="BP2410" s="1" t="s">
        <v>204</v>
      </c>
      <c r="BR2410" s="1" t="str">
        <f>"0719316048"</f>
        <v>0719316048</v>
      </c>
      <c r="BT2410" s="1" t="s">
        <v>20940</v>
      </c>
      <c r="BU2410" s="1" t="s">
        <v>6259</v>
      </c>
      <c r="BV2410" s="1" t="s">
        <v>1130</v>
      </c>
      <c r="BW2410" s="1" t="s">
        <v>1312</v>
      </c>
      <c r="BX2410" s="1">
        <v>204</v>
      </c>
      <c r="BY2410" s="1">
        <v>204</v>
      </c>
      <c r="BZ2410" s="1">
        <v>204</v>
      </c>
      <c r="CB2410" s="1" t="str">
        <f t="shared" ref="CB2410:CC2410" si="1846">"0"</f>
        <v>0</v>
      </c>
      <c r="CC2410" s="1" t="str">
        <f t="shared" si="1846"/>
        <v>0</v>
      </c>
      <c r="CD2410" s="1">
        <v>32</v>
      </c>
      <c r="CE2410" s="1">
        <v>7</v>
      </c>
      <c r="CG2410" s="1" t="s">
        <v>5801</v>
      </c>
      <c r="CH2410" s="1" t="s">
        <v>219</v>
      </c>
      <c r="CI2410" s="1" t="s">
        <v>220</v>
      </c>
      <c r="CK2410" s="1" t="s">
        <v>437</v>
      </c>
      <c r="CL2410" s="1" t="s">
        <v>219</v>
      </c>
      <c r="CM2410" s="1" t="s">
        <v>220</v>
      </c>
      <c r="CP2410" s="1" t="s">
        <v>224</v>
      </c>
      <c r="CS2410" s="1" t="s">
        <v>346</v>
      </c>
      <c r="CT2410" s="1" t="s">
        <v>219</v>
      </c>
      <c r="CU2410" s="1" t="s">
        <v>220</v>
      </c>
      <c r="CX2410" s="1" t="s">
        <v>224</v>
      </c>
      <c r="DB2410" s="1" t="s">
        <v>224</v>
      </c>
      <c r="DE2410" s="1" t="s">
        <v>318</v>
      </c>
      <c r="DF2410" s="1" t="s">
        <v>219</v>
      </c>
      <c r="DG2410" s="1" t="s">
        <v>226</v>
      </c>
      <c r="DJ2410" s="1" t="s">
        <v>224</v>
      </c>
      <c r="DM2410" s="1" t="s">
        <v>381</v>
      </c>
      <c r="DR2410" s="1" t="s">
        <v>2031</v>
      </c>
      <c r="DS2410" s="1" t="s">
        <v>219</v>
      </c>
      <c r="DT2410" s="1" t="s">
        <v>226</v>
      </c>
      <c r="DW2410" s="1" t="s">
        <v>230</v>
      </c>
      <c r="EA2410" s="1" t="s">
        <v>230</v>
      </c>
      <c r="EE2410" s="1" t="s">
        <v>230</v>
      </c>
      <c r="EI2410" s="1" t="s">
        <v>230</v>
      </c>
      <c r="EL2410" s="1" t="s">
        <v>466</v>
      </c>
      <c r="EM2410" s="1" t="s">
        <v>319</v>
      </c>
      <c r="EN2410" s="1" t="s">
        <v>282</v>
      </c>
      <c r="EO2410" s="1" t="s">
        <v>234</v>
      </c>
      <c r="EP2410" s="1" t="s">
        <v>20941</v>
      </c>
      <c r="EQ2410" s="1" t="s">
        <v>1094</v>
      </c>
      <c r="ER2410" s="1" t="s">
        <v>210</v>
      </c>
      <c r="ES2410" s="1" t="s">
        <v>322</v>
      </c>
      <c r="EU2410" s="1" t="s">
        <v>712</v>
      </c>
      <c r="EV2410" s="1" t="s">
        <v>240</v>
      </c>
      <c r="EW2410" s="1" t="s">
        <v>887</v>
      </c>
      <c r="EZ2410" s="1" t="s">
        <v>381</v>
      </c>
      <c r="FA2410" s="1" t="s">
        <v>471</v>
      </c>
      <c r="FB2410" s="1" t="s">
        <v>289</v>
      </c>
      <c r="FD2410" s="1" t="s">
        <v>246</v>
      </c>
      <c r="FE2410" s="1" t="s">
        <v>247</v>
      </c>
      <c r="FF2410" s="1" t="s">
        <v>248</v>
      </c>
      <c r="FG2410" s="1" t="s">
        <v>871</v>
      </c>
      <c r="FH2410" s="1" t="s">
        <v>3838</v>
      </c>
      <c r="FI2410" s="1" t="s">
        <v>473</v>
      </c>
      <c r="FL2410" s="1" t="s">
        <v>358</v>
      </c>
      <c r="FM2410" s="1" t="s">
        <v>252</v>
      </c>
      <c r="FN2410" s="1" t="s">
        <v>213</v>
      </c>
      <c r="FO2410" s="1" t="s">
        <v>213</v>
      </c>
      <c r="FQ2410" s="1" t="s">
        <v>2091</v>
      </c>
      <c r="FR2410" s="1" t="s">
        <v>210</v>
      </c>
      <c r="FS2410" s="1" t="s">
        <v>20942</v>
      </c>
      <c r="FT2410" s="1" t="s">
        <v>362</v>
      </c>
      <c r="FU2410" s="1" t="s">
        <v>204</v>
      </c>
      <c r="FW2410" s="1" t="s">
        <v>585</v>
      </c>
      <c r="FX2410" s="1">
        <v>49</v>
      </c>
      <c r="FY2410" s="1" t="s">
        <v>2408</v>
      </c>
      <c r="FZ2410" s="1" t="s">
        <v>20943</v>
      </c>
      <c r="GA2410" s="1">
        <v>30</v>
      </c>
      <c r="GB2410" s="1" t="s">
        <v>20944</v>
      </c>
      <c r="GD2410" s="1" t="s">
        <v>20945</v>
      </c>
      <c r="GE2410" s="1" t="s">
        <v>210</v>
      </c>
      <c r="GI2410" s="1" t="s">
        <v>213</v>
      </c>
      <c r="GJ2410" s="1" t="s">
        <v>260</v>
      </c>
      <c r="GK2410" s="1" t="s">
        <v>210</v>
      </c>
      <c r="GL2410" s="2">
        <v>42122</v>
      </c>
      <c r="GM2410" s="1" t="s">
        <v>20946</v>
      </c>
    </row>
    <row r="2411" spans="1:195">
      <c r="A2411" s="1">
        <v>94000</v>
      </c>
      <c r="B2411" s="1" t="s">
        <v>195</v>
      </c>
      <c r="C2411" s="1" t="str">
        <f>"08819399"</f>
        <v>08819399</v>
      </c>
      <c r="D2411" s="1" t="s">
        <v>196</v>
      </c>
      <c r="F2411" s="1" t="str">
        <f>"148"</f>
        <v>148</v>
      </c>
      <c r="G2411" s="2">
        <v>42023</v>
      </c>
      <c r="H2411" s="1">
        <v>107500</v>
      </c>
      <c r="I2411" s="1">
        <v>102900</v>
      </c>
      <c r="J2411" s="1">
        <v>94000</v>
      </c>
      <c r="K2411" s="2">
        <v>42023</v>
      </c>
      <c r="L2411" s="1">
        <v>48</v>
      </c>
      <c r="M2411" s="2">
        <v>42070</v>
      </c>
      <c r="N2411" s="1">
        <v>48</v>
      </c>
      <c r="O2411" s="2">
        <v>42070</v>
      </c>
      <c r="P2411" s="1">
        <v>24321</v>
      </c>
      <c r="Q2411" s="1" t="s">
        <v>197</v>
      </c>
      <c r="R2411" s="2">
        <v>42122</v>
      </c>
      <c r="S2411" s="1">
        <v>220285</v>
      </c>
      <c r="U2411" s="1">
        <v>2005</v>
      </c>
      <c r="V2411" s="1" t="s">
        <v>2226</v>
      </c>
      <c r="W2411" s="1" t="s">
        <v>1056</v>
      </c>
      <c r="X2411" s="1">
        <v>412</v>
      </c>
      <c r="Y2411" s="1">
        <v>144</v>
      </c>
      <c r="Z2411" s="1" t="s">
        <v>249</v>
      </c>
      <c r="AA2411" s="1" t="s">
        <v>1927</v>
      </c>
      <c r="AB2411" s="1">
        <v>60148</v>
      </c>
      <c r="AE2411" s="1" t="s">
        <v>20947</v>
      </c>
      <c r="AF2411" s="1">
        <v>1975</v>
      </c>
      <c r="AG2411" s="1" t="s">
        <v>213</v>
      </c>
      <c r="AH2411" s="1" t="s">
        <v>882</v>
      </c>
      <c r="AI2411" s="1" t="s">
        <v>206</v>
      </c>
      <c r="AJ2411" s="1" t="s">
        <v>269</v>
      </c>
      <c r="AL2411" s="1">
        <v>5</v>
      </c>
      <c r="AM2411" s="1">
        <v>2</v>
      </c>
      <c r="AN2411" s="1">
        <v>2</v>
      </c>
      <c r="AO2411" s="1">
        <v>0</v>
      </c>
      <c r="AP2411" s="1" t="s">
        <v>209</v>
      </c>
      <c r="AR2411" s="1" t="s">
        <v>210</v>
      </c>
      <c r="AS2411" s="1" t="s">
        <v>204</v>
      </c>
      <c r="AT2411" s="1" t="s">
        <v>271</v>
      </c>
      <c r="AV2411" s="1">
        <v>2</v>
      </c>
      <c r="AW2411" s="1" t="s">
        <v>204</v>
      </c>
      <c r="AX2411" s="1" t="s">
        <v>212</v>
      </c>
      <c r="AZ2411" s="1">
        <v>2243</v>
      </c>
      <c r="BA2411" s="1">
        <v>2013</v>
      </c>
      <c r="BB2411" s="1" t="s">
        <v>210</v>
      </c>
      <c r="BE2411" s="1">
        <v>1080</v>
      </c>
      <c r="BF2411" s="1">
        <v>4</v>
      </c>
      <c r="BG2411" s="1">
        <v>30</v>
      </c>
      <c r="BL2411" s="1">
        <v>401</v>
      </c>
      <c r="BM2411" s="1" t="s">
        <v>204</v>
      </c>
      <c r="BN2411" s="1" t="s">
        <v>213</v>
      </c>
      <c r="BP2411" s="1" t="s">
        <v>204</v>
      </c>
      <c r="BR2411" s="1" t="str">
        <f>"0619404048"</f>
        <v>0619404048</v>
      </c>
      <c r="BT2411" s="1" t="s">
        <v>20948</v>
      </c>
      <c r="BX2411" s="1">
        <v>44</v>
      </c>
      <c r="BY2411" s="1">
        <v>44</v>
      </c>
      <c r="BZ2411" s="1">
        <v>87</v>
      </c>
      <c r="CB2411" s="1" t="str">
        <f t="shared" ref="CB2411:CC2411" si="1847">""</f>
        <v/>
      </c>
      <c r="CC2411" s="1" t="str">
        <f t="shared" si="1847"/>
        <v/>
      </c>
      <c r="CG2411" s="1" t="s">
        <v>1267</v>
      </c>
      <c r="CH2411" s="1" t="s">
        <v>685</v>
      </c>
      <c r="CI2411" s="1" t="s">
        <v>220</v>
      </c>
      <c r="CJ2411" s="1" t="s">
        <v>210</v>
      </c>
      <c r="CK2411" s="1" t="s">
        <v>1045</v>
      </c>
      <c r="CL2411" s="1" t="s">
        <v>685</v>
      </c>
      <c r="CM2411" s="1" t="s">
        <v>220</v>
      </c>
      <c r="CN2411" s="1" t="s">
        <v>210</v>
      </c>
      <c r="CO2411" s="1" t="s">
        <v>379</v>
      </c>
      <c r="CP2411" s="1" t="s">
        <v>685</v>
      </c>
      <c r="CQ2411" s="1" t="s">
        <v>226</v>
      </c>
      <c r="CR2411" s="1" t="s">
        <v>210</v>
      </c>
      <c r="CS2411" s="1" t="s">
        <v>223</v>
      </c>
      <c r="CT2411" s="1" t="s">
        <v>685</v>
      </c>
      <c r="CU2411" s="1" t="s">
        <v>229</v>
      </c>
      <c r="CV2411" s="1" t="s">
        <v>210</v>
      </c>
      <c r="CX2411" s="1" t="s">
        <v>224</v>
      </c>
      <c r="DB2411" s="1" t="s">
        <v>224</v>
      </c>
      <c r="DE2411" s="1" t="s">
        <v>318</v>
      </c>
      <c r="DF2411" s="1" t="s">
        <v>685</v>
      </c>
      <c r="DG2411" s="1" t="s">
        <v>226</v>
      </c>
      <c r="DH2411" s="1" t="s">
        <v>210</v>
      </c>
      <c r="DJ2411" s="1" t="s">
        <v>224</v>
      </c>
      <c r="DS2411" s="1" t="s">
        <v>230</v>
      </c>
      <c r="DW2411" s="1" t="s">
        <v>230</v>
      </c>
      <c r="EA2411" s="1" t="s">
        <v>230</v>
      </c>
      <c r="EE2411" s="1" t="s">
        <v>230</v>
      </c>
      <c r="EI2411" s="1" t="s">
        <v>230</v>
      </c>
      <c r="EL2411" s="1" t="s">
        <v>231</v>
      </c>
      <c r="EM2411" s="1" t="s">
        <v>232</v>
      </c>
      <c r="EN2411" s="1" t="s">
        <v>282</v>
      </c>
      <c r="EO2411" s="1" t="s">
        <v>234</v>
      </c>
      <c r="EP2411" s="1" t="s">
        <v>20949</v>
      </c>
      <c r="EQ2411" s="1" t="s">
        <v>350</v>
      </c>
      <c r="ER2411" s="1" t="s">
        <v>210</v>
      </c>
      <c r="ES2411" s="1" t="s">
        <v>493</v>
      </c>
      <c r="EU2411" s="1" t="s">
        <v>239</v>
      </c>
      <c r="EV2411" s="1" t="s">
        <v>352</v>
      </c>
      <c r="EW2411" s="1" t="s">
        <v>20950</v>
      </c>
      <c r="EZ2411" s="1" t="s">
        <v>287</v>
      </c>
      <c r="FD2411" s="1" t="s">
        <v>736</v>
      </c>
      <c r="FE2411" s="1" t="s">
        <v>6104</v>
      </c>
      <c r="FF2411" s="1" t="s">
        <v>248</v>
      </c>
      <c r="FH2411" s="1" t="s">
        <v>249</v>
      </c>
      <c r="FL2411" s="1" t="s">
        <v>292</v>
      </c>
      <c r="FM2411" s="1" t="s">
        <v>252</v>
      </c>
      <c r="FN2411" s="1" t="s">
        <v>213</v>
      </c>
      <c r="FO2411" s="1" t="s">
        <v>213</v>
      </c>
      <c r="FQ2411" s="1" t="s">
        <v>2004</v>
      </c>
      <c r="FR2411" s="1" t="s">
        <v>210</v>
      </c>
      <c r="FS2411" s="1" t="s">
        <v>2608</v>
      </c>
      <c r="FT2411" s="1" t="s">
        <v>295</v>
      </c>
      <c r="FU2411" s="1" t="s">
        <v>204</v>
      </c>
      <c r="FW2411" s="1" t="s">
        <v>5780</v>
      </c>
      <c r="FX2411" s="1">
        <v>85391</v>
      </c>
      <c r="FY2411" s="1" t="s">
        <v>5781</v>
      </c>
      <c r="FZ2411" s="1" t="s">
        <v>20951</v>
      </c>
      <c r="GA2411" s="1">
        <v>878240</v>
      </c>
      <c r="GB2411" s="1" t="s">
        <v>20952</v>
      </c>
      <c r="GE2411" s="1" t="s">
        <v>210</v>
      </c>
      <c r="GH2411" s="1" t="s">
        <v>421</v>
      </c>
      <c r="GI2411" s="1" t="s">
        <v>213</v>
      </c>
      <c r="GJ2411" s="1" t="s">
        <v>260</v>
      </c>
      <c r="GK2411" s="1" t="s">
        <v>210</v>
      </c>
      <c r="GL2411" s="2">
        <v>42123</v>
      </c>
      <c r="GM2411" s="1" t="s">
        <v>20953</v>
      </c>
    </row>
    <row r="2412" spans="1:195">
      <c r="A2412" s="1">
        <v>135000</v>
      </c>
      <c r="B2412" s="1" t="s">
        <v>195</v>
      </c>
      <c r="C2412" s="1" t="str">
        <f>"08821831"</f>
        <v>08821831</v>
      </c>
      <c r="D2412" s="1" t="s">
        <v>196</v>
      </c>
      <c r="F2412" s="1" t="str">
        <f>"507"</f>
        <v>507</v>
      </c>
      <c r="G2412" s="2">
        <v>42026</v>
      </c>
      <c r="H2412" s="1">
        <v>144900</v>
      </c>
      <c r="I2412" s="1">
        <v>140900</v>
      </c>
      <c r="J2412" s="1">
        <v>135000</v>
      </c>
      <c r="K2412" s="2">
        <v>42026</v>
      </c>
      <c r="L2412" s="1">
        <v>50</v>
      </c>
      <c r="M2412" s="2">
        <v>42075</v>
      </c>
      <c r="N2412" s="1">
        <v>50</v>
      </c>
      <c r="O2412" s="2">
        <v>42075</v>
      </c>
      <c r="P2412" s="1">
        <v>23156</v>
      </c>
      <c r="Q2412" s="1" t="s">
        <v>197</v>
      </c>
      <c r="R2412" s="2">
        <v>42107</v>
      </c>
      <c r="S2412" s="1">
        <v>234122</v>
      </c>
      <c r="U2412" s="1">
        <v>1105</v>
      </c>
      <c r="V2412" s="1" t="s">
        <v>4045</v>
      </c>
      <c r="W2412" s="1" t="s">
        <v>4046</v>
      </c>
      <c r="X2412" s="1">
        <v>3</v>
      </c>
      <c r="Y2412" s="1">
        <v>8</v>
      </c>
      <c r="Z2412" s="1" t="s">
        <v>370</v>
      </c>
      <c r="AA2412" s="1" t="s">
        <v>1123</v>
      </c>
      <c r="AB2412" s="1">
        <v>60506</v>
      </c>
      <c r="AD2412" s="1" t="s">
        <v>20954</v>
      </c>
      <c r="AE2412" s="1" t="s">
        <v>20955</v>
      </c>
      <c r="AF2412" s="1">
        <v>1999</v>
      </c>
      <c r="AG2412" s="1" t="s">
        <v>204</v>
      </c>
      <c r="AH2412" s="1" t="s">
        <v>1126</v>
      </c>
      <c r="AI2412" s="1" t="s">
        <v>665</v>
      </c>
      <c r="AJ2412" s="1" t="s">
        <v>3240</v>
      </c>
      <c r="AL2412" s="1">
        <v>6</v>
      </c>
      <c r="AM2412" s="1">
        <v>2</v>
      </c>
      <c r="AN2412" s="1">
        <v>2</v>
      </c>
      <c r="AO2412" s="1">
        <v>1</v>
      </c>
      <c r="AP2412" s="1" t="s">
        <v>209</v>
      </c>
      <c r="AR2412" s="1" t="s">
        <v>2165</v>
      </c>
      <c r="AS2412" s="1" t="s">
        <v>204</v>
      </c>
      <c r="AT2412" s="1" t="s">
        <v>211</v>
      </c>
      <c r="AU2412" s="1">
        <v>2</v>
      </c>
      <c r="AW2412" s="1" t="s">
        <v>204</v>
      </c>
      <c r="AX2412" s="1" t="s">
        <v>212</v>
      </c>
      <c r="AZ2412" s="1">
        <v>4504</v>
      </c>
      <c r="BA2412" s="1">
        <v>2013</v>
      </c>
      <c r="BB2412" s="1" t="s">
        <v>405</v>
      </c>
      <c r="BE2412" s="1">
        <v>1260</v>
      </c>
      <c r="BF2412" s="1">
        <v>1</v>
      </c>
      <c r="BG2412" s="1">
        <v>1</v>
      </c>
      <c r="BL2412" s="1">
        <v>162</v>
      </c>
      <c r="BM2412" s="1" t="s">
        <v>204</v>
      </c>
      <c r="BN2412" s="1" t="s">
        <v>213</v>
      </c>
      <c r="BO2412" s="1">
        <v>999</v>
      </c>
      <c r="BP2412" s="1" t="s">
        <v>204</v>
      </c>
      <c r="BR2412" s="1" t="str">
        <f>"1413231018"</f>
        <v>1413231018</v>
      </c>
      <c r="BT2412" s="1" t="s">
        <v>20956</v>
      </c>
      <c r="BX2412" s="1">
        <v>129</v>
      </c>
      <c r="BY2412" s="1">
        <v>129</v>
      </c>
      <c r="BZ2412" s="1">
        <v>129</v>
      </c>
      <c r="CB2412" s="1" t="str">
        <f t="shared" ref="CB2412:CC2412" si="1848">""</f>
        <v/>
      </c>
      <c r="CC2412" s="1" t="str">
        <f t="shared" si="1848"/>
        <v/>
      </c>
      <c r="CG2412" s="1" t="s">
        <v>1045</v>
      </c>
      <c r="CH2412" s="1" t="s">
        <v>219</v>
      </c>
      <c r="CI2412" s="1" t="s">
        <v>220</v>
      </c>
      <c r="CJ2412" s="1" t="s">
        <v>343</v>
      </c>
      <c r="CK2412" s="1" t="s">
        <v>378</v>
      </c>
      <c r="CL2412" s="1" t="s">
        <v>277</v>
      </c>
      <c r="CM2412" s="1" t="s">
        <v>220</v>
      </c>
      <c r="CN2412" s="1" t="s">
        <v>343</v>
      </c>
      <c r="CO2412" s="1" t="s">
        <v>1297</v>
      </c>
      <c r="CP2412" s="1" t="s">
        <v>219</v>
      </c>
      <c r="CQ2412" s="1" t="s">
        <v>229</v>
      </c>
      <c r="CR2412" s="1" t="s">
        <v>343</v>
      </c>
      <c r="CS2412" s="1" t="s">
        <v>1046</v>
      </c>
      <c r="CT2412" s="1" t="s">
        <v>277</v>
      </c>
      <c r="CU2412" s="1" t="s">
        <v>220</v>
      </c>
      <c r="CV2412" s="1" t="s">
        <v>343</v>
      </c>
      <c r="CW2412" s="1" t="s">
        <v>379</v>
      </c>
      <c r="CX2412" s="1" t="s">
        <v>43</v>
      </c>
      <c r="CY2412" s="1" t="s">
        <v>220</v>
      </c>
      <c r="CZ2412" s="1" t="s">
        <v>343</v>
      </c>
      <c r="DB2412" s="1" t="s">
        <v>224</v>
      </c>
      <c r="DE2412" s="1" t="s">
        <v>409</v>
      </c>
      <c r="DF2412" s="1" t="s">
        <v>219</v>
      </c>
      <c r="DG2412" s="1" t="s">
        <v>229</v>
      </c>
      <c r="DJ2412" s="1" t="s">
        <v>224</v>
      </c>
      <c r="DS2412" s="1" t="s">
        <v>230</v>
      </c>
      <c r="DW2412" s="1" t="s">
        <v>230</v>
      </c>
      <c r="EA2412" s="1" t="s">
        <v>230</v>
      </c>
      <c r="EE2412" s="1" t="s">
        <v>230</v>
      </c>
      <c r="EI2412" s="1" t="s">
        <v>230</v>
      </c>
      <c r="EL2412" s="1" t="s">
        <v>670</v>
      </c>
      <c r="EM2412" s="1" t="s">
        <v>319</v>
      </c>
      <c r="EN2412" s="1" t="s">
        <v>282</v>
      </c>
      <c r="EO2412" s="1" t="s">
        <v>234</v>
      </c>
      <c r="EP2412" s="1" t="s">
        <v>20957</v>
      </c>
      <c r="ER2412" s="1" t="s">
        <v>544</v>
      </c>
      <c r="EW2412" s="1" t="s">
        <v>887</v>
      </c>
      <c r="EY2412" s="1" t="s">
        <v>441</v>
      </c>
      <c r="EZ2412" s="1" t="s">
        <v>287</v>
      </c>
      <c r="FA2412" s="1" t="s">
        <v>17739</v>
      </c>
      <c r="FD2412" s="1" t="s">
        <v>246</v>
      </c>
      <c r="FE2412" s="1" t="s">
        <v>651</v>
      </c>
      <c r="FF2412" s="1" t="s">
        <v>387</v>
      </c>
      <c r="FH2412" s="1" t="s">
        <v>550</v>
      </c>
      <c r="FI2412" s="1" t="s">
        <v>9519</v>
      </c>
      <c r="FJ2412" s="1" t="s">
        <v>518</v>
      </c>
      <c r="FL2412" s="1" t="s">
        <v>414</v>
      </c>
      <c r="FM2412" s="1" t="s">
        <v>252</v>
      </c>
      <c r="FN2412" s="1" t="s">
        <v>213</v>
      </c>
      <c r="FO2412" s="1" t="s">
        <v>213</v>
      </c>
      <c r="FQ2412" s="1" t="s">
        <v>9535</v>
      </c>
      <c r="FR2412" s="1" t="s">
        <v>210</v>
      </c>
      <c r="FS2412" s="1" t="s">
        <v>20958</v>
      </c>
      <c r="FT2412" s="1" t="s">
        <v>255</v>
      </c>
      <c r="FU2412" s="1" t="s">
        <v>213</v>
      </c>
      <c r="FW2412" s="1" t="s">
        <v>14170</v>
      </c>
      <c r="FX2412" s="1">
        <v>281</v>
      </c>
      <c r="FY2412" s="1" t="s">
        <v>14171</v>
      </c>
      <c r="FZ2412" s="1" t="s">
        <v>14172</v>
      </c>
      <c r="GA2412" s="1">
        <v>2107</v>
      </c>
      <c r="GB2412" s="1" t="s">
        <v>14171</v>
      </c>
      <c r="GE2412" s="1" t="s">
        <v>1120</v>
      </c>
      <c r="GI2412" s="1" t="s">
        <v>204</v>
      </c>
      <c r="GJ2412" s="1" t="s">
        <v>260</v>
      </c>
      <c r="GK2412" s="1" t="s">
        <v>210</v>
      </c>
      <c r="GL2412" s="2">
        <v>42108</v>
      </c>
      <c r="GM2412" s="1" t="s">
        <v>14173</v>
      </c>
    </row>
    <row r="2413" spans="1:195">
      <c r="A2413" s="1">
        <v>165500</v>
      </c>
      <c r="B2413" s="1" t="s">
        <v>195</v>
      </c>
      <c r="C2413" s="1" t="str">
        <f>"08819665"</f>
        <v>08819665</v>
      </c>
      <c r="D2413" s="1" t="s">
        <v>196</v>
      </c>
      <c r="F2413" s="1" t="str">
        <f>"84"</f>
        <v>84</v>
      </c>
      <c r="G2413" s="2">
        <v>42023</v>
      </c>
      <c r="H2413" s="1">
        <v>166500</v>
      </c>
      <c r="I2413" s="1">
        <v>166500</v>
      </c>
      <c r="J2413" s="1">
        <v>165500</v>
      </c>
      <c r="K2413" s="2">
        <v>42023</v>
      </c>
      <c r="L2413" s="1">
        <v>26</v>
      </c>
      <c r="M2413" s="2">
        <v>42048</v>
      </c>
      <c r="N2413" s="1">
        <v>26</v>
      </c>
      <c r="O2413" s="2">
        <v>42048</v>
      </c>
      <c r="P2413" s="1">
        <v>6094</v>
      </c>
      <c r="Q2413" s="1" t="s">
        <v>302</v>
      </c>
      <c r="R2413" s="2">
        <v>42096</v>
      </c>
      <c r="S2413" s="1">
        <v>62086</v>
      </c>
      <c r="U2413" s="1">
        <v>324</v>
      </c>
      <c r="V2413" s="1" t="s">
        <v>3600</v>
      </c>
      <c r="W2413" s="1" t="s">
        <v>304</v>
      </c>
      <c r="X2413" s="1">
        <v>324</v>
      </c>
      <c r="Y2413" s="1">
        <v>6</v>
      </c>
      <c r="Z2413" s="1" t="s">
        <v>249</v>
      </c>
      <c r="AA2413" s="1" t="s">
        <v>5871</v>
      </c>
      <c r="AB2413" s="1">
        <v>60084</v>
      </c>
      <c r="AD2413" s="1" t="s">
        <v>19345</v>
      </c>
      <c r="AE2413" s="1" t="s">
        <v>20959</v>
      </c>
      <c r="AF2413" s="1">
        <v>1989</v>
      </c>
      <c r="AG2413" s="1" t="s">
        <v>204</v>
      </c>
      <c r="AH2413" s="1" t="s">
        <v>2599</v>
      </c>
      <c r="AI2413" s="1" t="s">
        <v>509</v>
      </c>
      <c r="AJ2413" s="1" t="s">
        <v>2599</v>
      </c>
      <c r="AL2413" s="1">
        <v>5</v>
      </c>
      <c r="AM2413" s="1">
        <v>2</v>
      </c>
      <c r="AN2413" s="1">
        <v>2</v>
      </c>
      <c r="AO2413" s="1">
        <v>0</v>
      </c>
      <c r="AP2413" s="1" t="s">
        <v>209</v>
      </c>
      <c r="AQ2413" s="1">
        <v>0</v>
      </c>
      <c r="AR2413" s="1" t="s">
        <v>210</v>
      </c>
      <c r="AS2413" s="1" t="s">
        <v>204</v>
      </c>
      <c r="AT2413" s="1" t="s">
        <v>211</v>
      </c>
      <c r="AU2413" s="1">
        <v>1</v>
      </c>
      <c r="AW2413" s="1" t="s">
        <v>204</v>
      </c>
      <c r="AX2413" s="1" t="s">
        <v>212</v>
      </c>
      <c r="AZ2413" s="1">
        <v>4477.05</v>
      </c>
      <c r="BA2413" s="1">
        <v>2013</v>
      </c>
      <c r="BB2413" s="1" t="s">
        <v>405</v>
      </c>
      <c r="BE2413" s="1">
        <v>1270</v>
      </c>
      <c r="BF2413" s="1">
        <v>1</v>
      </c>
      <c r="BG2413" s="1">
        <v>1</v>
      </c>
      <c r="BL2413" s="1">
        <v>275</v>
      </c>
      <c r="BM2413" s="1" t="s">
        <v>204</v>
      </c>
      <c r="BN2413" s="1" t="s">
        <v>213</v>
      </c>
      <c r="BO2413" s="1">
        <v>999</v>
      </c>
      <c r="BP2413" s="1" t="s">
        <v>204</v>
      </c>
      <c r="BR2413" s="1" t="str">
        <f>"09252090800000"</f>
        <v>09252090800000</v>
      </c>
      <c r="BT2413" s="1" t="s">
        <v>20960</v>
      </c>
      <c r="BU2413" s="1" t="s">
        <v>2603</v>
      </c>
      <c r="BV2413" s="1" t="s">
        <v>18824</v>
      </c>
      <c r="BW2413" s="1" t="s">
        <v>2605</v>
      </c>
      <c r="BX2413" s="1">
        <v>118</v>
      </c>
      <c r="BY2413" s="1">
        <v>118</v>
      </c>
      <c r="BZ2413" s="1">
        <v>118</v>
      </c>
      <c r="CB2413" s="1" t="str">
        <f>"27"</f>
        <v>27</v>
      </c>
      <c r="CC2413" s="1" t="str">
        <f>""</f>
        <v/>
      </c>
      <c r="CD2413" s="1">
        <v>25</v>
      </c>
      <c r="CG2413" s="1" t="s">
        <v>581</v>
      </c>
      <c r="CH2413" s="1" t="s">
        <v>219</v>
      </c>
      <c r="CI2413" s="1" t="s">
        <v>220</v>
      </c>
      <c r="CK2413" s="1" t="s">
        <v>757</v>
      </c>
      <c r="CL2413" s="1" t="s">
        <v>219</v>
      </c>
      <c r="CM2413" s="1" t="s">
        <v>220</v>
      </c>
      <c r="CO2413" s="1" t="s">
        <v>317</v>
      </c>
      <c r="CP2413" s="1" t="s">
        <v>219</v>
      </c>
      <c r="CQ2413" s="1" t="s">
        <v>220</v>
      </c>
      <c r="CS2413" s="1" t="s">
        <v>379</v>
      </c>
      <c r="CT2413" s="1" t="s">
        <v>219</v>
      </c>
      <c r="CU2413" s="1" t="s">
        <v>220</v>
      </c>
      <c r="CX2413" s="1" t="s">
        <v>224</v>
      </c>
      <c r="DB2413" s="1" t="s">
        <v>224</v>
      </c>
      <c r="DE2413" s="1" t="s">
        <v>1046</v>
      </c>
      <c r="DF2413" s="1" t="s">
        <v>219</v>
      </c>
      <c r="DG2413" s="1" t="s">
        <v>342</v>
      </c>
      <c r="DJ2413" s="1" t="s">
        <v>224</v>
      </c>
      <c r="DS2413" s="1" t="s">
        <v>230</v>
      </c>
      <c r="DW2413" s="1" t="s">
        <v>230</v>
      </c>
      <c r="EA2413" s="1" t="s">
        <v>230</v>
      </c>
      <c r="EE2413" s="1" t="s">
        <v>230</v>
      </c>
      <c r="EI2413" s="1" t="s">
        <v>230</v>
      </c>
      <c r="EL2413" s="1" t="s">
        <v>542</v>
      </c>
      <c r="EM2413" s="1" t="s">
        <v>319</v>
      </c>
      <c r="EN2413" s="1" t="s">
        <v>282</v>
      </c>
      <c r="EO2413" s="1" t="s">
        <v>234</v>
      </c>
      <c r="EP2413" s="1" t="s">
        <v>20961</v>
      </c>
      <c r="EQ2413" s="1" t="s">
        <v>492</v>
      </c>
      <c r="ER2413" s="1" t="s">
        <v>383</v>
      </c>
      <c r="ET2413" s="1" t="s">
        <v>20962</v>
      </c>
      <c r="EU2413" s="1" t="s">
        <v>1725</v>
      </c>
      <c r="EV2413" s="1" t="s">
        <v>324</v>
      </c>
      <c r="EW2413" s="1" t="s">
        <v>19821</v>
      </c>
      <c r="EZ2413" s="1" t="s">
        <v>287</v>
      </c>
      <c r="FB2413" s="1" t="s">
        <v>289</v>
      </c>
      <c r="FD2413" s="1" t="s">
        <v>495</v>
      </c>
      <c r="FE2413" s="1" t="s">
        <v>355</v>
      </c>
      <c r="FF2413" s="1" t="s">
        <v>248</v>
      </c>
      <c r="FH2413" s="1" t="s">
        <v>9900</v>
      </c>
      <c r="FI2413" s="1" t="s">
        <v>473</v>
      </c>
      <c r="FJ2413" s="1" t="s">
        <v>518</v>
      </c>
      <c r="FL2413" s="1" t="s">
        <v>358</v>
      </c>
      <c r="FM2413" s="1" t="s">
        <v>252</v>
      </c>
      <c r="FN2413" s="1" t="s">
        <v>213</v>
      </c>
      <c r="FO2413" s="1" t="s">
        <v>213</v>
      </c>
      <c r="FQ2413" s="1" t="s">
        <v>20963</v>
      </c>
      <c r="FR2413" s="1" t="s">
        <v>210</v>
      </c>
      <c r="FS2413" s="1" t="s">
        <v>636</v>
      </c>
      <c r="FT2413" s="1" t="s">
        <v>20964</v>
      </c>
      <c r="FU2413" s="1" t="s">
        <v>204</v>
      </c>
      <c r="FW2413" s="1" t="s">
        <v>554</v>
      </c>
      <c r="FX2413" s="1">
        <v>6076</v>
      </c>
      <c r="FY2413" s="1" t="s">
        <v>555</v>
      </c>
      <c r="FZ2413" s="1" t="s">
        <v>556</v>
      </c>
      <c r="GA2413" s="1">
        <v>62250</v>
      </c>
      <c r="GB2413" s="1" t="s">
        <v>557</v>
      </c>
      <c r="GC2413" s="1">
        <v>62362</v>
      </c>
      <c r="GD2413" s="1" t="s">
        <v>20965</v>
      </c>
      <c r="GE2413" s="1" t="s">
        <v>480</v>
      </c>
      <c r="GI2413" s="1" t="s">
        <v>213</v>
      </c>
      <c r="GJ2413" s="1" t="s">
        <v>260</v>
      </c>
      <c r="GK2413" s="1" t="s">
        <v>210</v>
      </c>
      <c r="GL2413" s="2">
        <v>42097</v>
      </c>
      <c r="GM2413" s="1" t="s">
        <v>20966</v>
      </c>
    </row>
    <row r="2414" spans="1:195">
      <c r="A2414" s="1">
        <v>125000</v>
      </c>
      <c r="B2414" s="1" t="s">
        <v>195</v>
      </c>
      <c r="C2414" s="1" t="str">
        <f>"08831636"</f>
        <v>08831636</v>
      </c>
      <c r="D2414" s="1" t="s">
        <v>196</v>
      </c>
      <c r="F2414" s="1" t="str">
        <f>"187"</f>
        <v>187</v>
      </c>
      <c r="G2414" s="2">
        <v>42040</v>
      </c>
      <c r="H2414" s="1">
        <v>132900</v>
      </c>
      <c r="I2414" s="1">
        <v>132900</v>
      </c>
      <c r="J2414" s="1">
        <v>125000</v>
      </c>
      <c r="K2414" s="2">
        <v>42040</v>
      </c>
      <c r="L2414" s="1">
        <v>17</v>
      </c>
      <c r="M2414" s="2">
        <v>42056</v>
      </c>
      <c r="N2414" s="1">
        <v>17</v>
      </c>
      <c r="O2414" s="2">
        <v>42056</v>
      </c>
      <c r="P2414" s="1">
        <v>21823</v>
      </c>
      <c r="Q2414" s="1" t="s">
        <v>302</v>
      </c>
      <c r="R2414" s="2">
        <v>42081</v>
      </c>
      <c r="S2414" s="1">
        <v>259316</v>
      </c>
      <c r="U2414" s="1">
        <v>1722</v>
      </c>
      <c r="V2414" s="1" t="s">
        <v>14212</v>
      </c>
      <c r="W2414" s="1" t="s">
        <v>264</v>
      </c>
      <c r="X2414" s="1" t="s">
        <v>483</v>
      </c>
      <c r="Y2414" s="1">
        <v>4</v>
      </c>
      <c r="Z2414" s="1" t="s">
        <v>249</v>
      </c>
      <c r="AA2414" s="1" t="s">
        <v>964</v>
      </c>
      <c r="AB2414" s="1">
        <v>60189</v>
      </c>
      <c r="AD2414" s="1" t="s">
        <v>6443</v>
      </c>
      <c r="AE2414" s="1" t="s">
        <v>20967</v>
      </c>
      <c r="AF2414" s="1">
        <v>1978</v>
      </c>
      <c r="AG2414" s="1" t="s">
        <v>204</v>
      </c>
      <c r="AH2414" s="1" t="s">
        <v>967</v>
      </c>
      <c r="AI2414" s="1" t="s">
        <v>206</v>
      </c>
      <c r="AJ2414" s="1" t="s">
        <v>207</v>
      </c>
      <c r="AL2414" s="1">
        <v>5</v>
      </c>
      <c r="AM2414" s="1">
        <v>2</v>
      </c>
      <c r="AN2414" s="1">
        <v>1</v>
      </c>
      <c r="AO2414" s="1">
        <v>0</v>
      </c>
      <c r="AP2414" s="1" t="s">
        <v>667</v>
      </c>
      <c r="AR2414" s="1" t="s">
        <v>210</v>
      </c>
      <c r="AS2414" s="1" t="s">
        <v>204</v>
      </c>
      <c r="AT2414" s="1" t="s">
        <v>211</v>
      </c>
      <c r="AU2414" s="1">
        <v>1</v>
      </c>
      <c r="AW2414" s="1" t="s">
        <v>204</v>
      </c>
      <c r="AX2414" s="1" t="s">
        <v>212</v>
      </c>
      <c r="AZ2414" s="1">
        <v>2645</v>
      </c>
      <c r="BA2414" s="1">
        <v>2013</v>
      </c>
      <c r="BE2414" s="1">
        <v>1056</v>
      </c>
      <c r="BF2414" s="1">
        <v>1</v>
      </c>
      <c r="BG2414" s="1">
        <v>0</v>
      </c>
      <c r="BL2414" s="1">
        <v>303</v>
      </c>
      <c r="BM2414" s="1" t="s">
        <v>204</v>
      </c>
      <c r="BN2414" s="1" t="s">
        <v>213</v>
      </c>
      <c r="BO2414" s="1">
        <v>0</v>
      </c>
      <c r="BP2414" s="1" t="s">
        <v>204</v>
      </c>
      <c r="BR2414" s="1" t="str">
        <f>"0527107308"</f>
        <v>0527107308</v>
      </c>
      <c r="BT2414" s="1" t="s">
        <v>20968</v>
      </c>
      <c r="BU2414" s="1" t="s">
        <v>7734</v>
      </c>
      <c r="BV2414" s="1" t="s">
        <v>216</v>
      </c>
      <c r="BW2414" s="1" t="s">
        <v>217</v>
      </c>
      <c r="BX2414" s="1">
        <v>89</v>
      </c>
      <c r="BY2414" s="1">
        <v>89</v>
      </c>
      <c r="BZ2414" s="1">
        <v>87</v>
      </c>
      <c r="CB2414" s="1" t="str">
        <f t="shared" ref="CB2414:CC2414" si="1849">""</f>
        <v/>
      </c>
      <c r="CC2414" s="1" t="str">
        <f t="shared" si="1849"/>
        <v/>
      </c>
      <c r="CG2414" s="1" t="s">
        <v>538</v>
      </c>
      <c r="CH2414" s="1" t="s">
        <v>219</v>
      </c>
      <c r="CI2414" s="1" t="s">
        <v>229</v>
      </c>
      <c r="CJ2414" s="1" t="s">
        <v>343</v>
      </c>
      <c r="CK2414" s="1" t="s">
        <v>602</v>
      </c>
      <c r="CL2414" s="1" t="s">
        <v>219</v>
      </c>
      <c r="CM2414" s="1" t="s">
        <v>229</v>
      </c>
      <c r="CN2414" s="1" t="s">
        <v>343</v>
      </c>
      <c r="CO2414" s="1" t="s">
        <v>4213</v>
      </c>
      <c r="CP2414" s="1" t="s">
        <v>219</v>
      </c>
      <c r="CQ2414" s="1" t="s">
        <v>229</v>
      </c>
      <c r="CS2414" s="1" t="s">
        <v>1297</v>
      </c>
      <c r="CT2414" s="1" t="s">
        <v>219</v>
      </c>
      <c r="CU2414" s="1" t="s">
        <v>229</v>
      </c>
      <c r="CV2414" s="1" t="s">
        <v>343</v>
      </c>
      <c r="CX2414" s="1" t="s">
        <v>224</v>
      </c>
      <c r="DB2414" s="1" t="s">
        <v>224</v>
      </c>
      <c r="DE2414" s="1" t="s">
        <v>316</v>
      </c>
      <c r="DF2414" s="1" t="s">
        <v>219</v>
      </c>
      <c r="DG2414" s="1" t="s">
        <v>226</v>
      </c>
      <c r="DH2414" s="1" t="s">
        <v>210</v>
      </c>
      <c r="DJ2414" s="1" t="s">
        <v>224</v>
      </c>
      <c r="DS2414" s="1" t="s">
        <v>230</v>
      </c>
      <c r="DW2414" s="1" t="s">
        <v>230</v>
      </c>
      <c r="EA2414" s="1" t="s">
        <v>230</v>
      </c>
      <c r="EE2414" s="1" t="s">
        <v>230</v>
      </c>
      <c r="EI2414" s="1" t="s">
        <v>230</v>
      </c>
      <c r="EL2414" s="1" t="s">
        <v>231</v>
      </c>
      <c r="EM2414" s="1" t="s">
        <v>232</v>
      </c>
      <c r="EN2414" s="1" t="s">
        <v>282</v>
      </c>
      <c r="EO2414" s="1" t="s">
        <v>234</v>
      </c>
      <c r="EP2414" s="1" t="s">
        <v>4949</v>
      </c>
      <c r="EQ2414" s="1" t="s">
        <v>5876</v>
      </c>
      <c r="ER2414" s="1" t="s">
        <v>210</v>
      </c>
      <c r="ES2414" s="1" t="s">
        <v>322</v>
      </c>
      <c r="ET2414" s="1" t="s">
        <v>842</v>
      </c>
      <c r="EU2414" s="1" t="s">
        <v>239</v>
      </c>
      <c r="EV2414" s="1" t="s">
        <v>352</v>
      </c>
      <c r="EW2414" s="1" t="s">
        <v>1219</v>
      </c>
      <c r="EY2414" s="1" t="s">
        <v>242</v>
      </c>
      <c r="EZ2414" s="1" t="s">
        <v>287</v>
      </c>
      <c r="FB2414" s="1" t="s">
        <v>289</v>
      </c>
      <c r="FD2414" s="1" t="s">
        <v>246</v>
      </c>
      <c r="FE2414" s="1" t="s">
        <v>651</v>
      </c>
      <c r="FF2414" s="1" t="s">
        <v>248</v>
      </c>
      <c r="FH2414" s="1" t="s">
        <v>249</v>
      </c>
      <c r="FI2414" s="1" t="s">
        <v>357</v>
      </c>
      <c r="FL2414" s="1" t="s">
        <v>358</v>
      </c>
      <c r="FM2414" s="1" t="s">
        <v>252</v>
      </c>
      <c r="FN2414" s="1" t="s">
        <v>213</v>
      </c>
      <c r="FO2414" s="1" t="s">
        <v>213</v>
      </c>
      <c r="FQ2414" s="1" t="s">
        <v>11975</v>
      </c>
      <c r="FR2414" s="1" t="s">
        <v>210</v>
      </c>
      <c r="FS2414" s="1" t="s">
        <v>20969</v>
      </c>
      <c r="FT2414" s="1" t="s">
        <v>362</v>
      </c>
      <c r="FU2414" s="1" t="s">
        <v>204</v>
      </c>
      <c r="FW2414" s="1" t="s">
        <v>2144</v>
      </c>
      <c r="FX2414" s="1">
        <v>23163</v>
      </c>
      <c r="FY2414" s="1" t="s">
        <v>2145</v>
      </c>
      <c r="FZ2414" s="1" t="s">
        <v>2146</v>
      </c>
      <c r="GA2414" s="1">
        <v>254277</v>
      </c>
      <c r="GB2414" s="1" t="s">
        <v>2147</v>
      </c>
      <c r="GD2414" s="1" t="s">
        <v>2148</v>
      </c>
      <c r="GE2414" s="1" t="s">
        <v>1576</v>
      </c>
      <c r="GI2414" s="1" t="s">
        <v>213</v>
      </c>
      <c r="GJ2414" s="1" t="s">
        <v>260</v>
      </c>
      <c r="GK2414" s="1" t="s">
        <v>210</v>
      </c>
      <c r="GL2414" s="2">
        <v>42081</v>
      </c>
      <c r="GM2414" s="1" t="s">
        <v>20970</v>
      </c>
    </row>
    <row r="2415" spans="1:195">
      <c r="A2415" s="1">
        <v>118000</v>
      </c>
      <c r="B2415" s="1" t="s">
        <v>195</v>
      </c>
      <c r="C2415" s="1" t="str">
        <f>"08821245"</f>
        <v>08821245</v>
      </c>
      <c r="D2415" s="1" t="s">
        <v>196</v>
      </c>
      <c r="F2415" s="1" t="str">
        <f>"171"</f>
        <v>171</v>
      </c>
      <c r="G2415" s="2">
        <v>42025</v>
      </c>
      <c r="H2415" s="1">
        <v>129000</v>
      </c>
      <c r="I2415" s="1">
        <v>129000</v>
      </c>
      <c r="J2415" s="1">
        <v>118000</v>
      </c>
      <c r="K2415" s="2">
        <v>42025</v>
      </c>
      <c r="L2415" s="1">
        <v>13</v>
      </c>
      <c r="M2415" s="2">
        <v>42037</v>
      </c>
      <c r="N2415" s="1">
        <v>13</v>
      </c>
      <c r="O2415" s="2">
        <v>42037</v>
      </c>
      <c r="P2415" s="1">
        <v>8055</v>
      </c>
      <c r="Q2415" s="1" t="s">
        <v>197</v>
      </c>
      <c r="R2415" s="2">
        <v>42111</v>
      </c>
      <c r="S2415" s="1">
        <v>85425</v>
      </c>
      <c r="U2415" s="1">
        <v>8025</v>
      </c>
      <c r="V2415" s="1" t="s">
        <v>20971</v>
      </c>
      <c r="W2415" s="1" t="s">
        <v>264</v>
      </c>
      <c r="X2415" s="1" t="s">
        <v>7576</v>
      </c>
      <c r="Y2415" s="1">
        <v>24</v>
      </c>
      <c r="Z2415" s="1" t="s">
        <v>249</v>
      </c>
      <c r="AA2415" s="1" t="s">
        <v>2365</v>
      </c>
      <c r="AB2415" s="1">
        <v>60171</v>
      </c>
      <c r="AE2415" s="1" t="s">
        <v>20972</v>
      </c>
      <c r="AF2415" s="1" t="s">
        <v>402</v>
      </c>
      <c r="AG2415" s="1" t="s">
        <v>213</v>
      </c>
      <c r="AH2415" s="1" t="s">
        <v>2367</v>
      </c>
      <c r="AI2415" s="1" t="s">
        <v>310</v>
      </c>
      <c r="AJ2415" s="1" t="s">
        <v>311</v>
      </c>
      <c r="AL2415" s="1">
        <v>5</v>
      </c>
      <c r="AM2415" s="1">
        <v>2</v>
      </c>
      <c r="AN2415" s="1">
        <v>1</v>
      </c>
      <c r="AO2415" s="1">
        <v>1</v>
      </c>
      <c r="AP2415" s="1" t="s">
        <v>209</v>
      </c>
      <c r="AR2415" s="1" t="s">
        <v>210</v>
      </c>
      <c r="AT2415" s="1" t="s">
        <v>211</v>
      </c>
      <c r="AU2415" s="1">
        <v>1</v>
      </c>
      <c r="AW2415" s="1" t="s">
        <v>204</v>
      </c>
      <c r="AX2415" s="1" t="s">
        <v>212</v>
      </c>
      <c r="AZ2415" s="1">
        <v>2079.64</v>
      </c>
      <c r="BA2415" s="1">
        <v>2013</v>
      </c>
      <c r="BB2415" s="1" t="s">
        <v>210</v>
      </c>
      <c r="BE2415" s="1">
        <v>0</v>
      </c>
      <c r="BF2415" s="1">
        <v>3</v>
      </c>
      <c r="BG2415" s="1">
        <v>30</v>
      </c>
      <c r="BJ2415" s="1">
        <v>100</v>
      </c>
      <c r="BL2415" s="1">
        <v>203</v>
      </c>
      <c r="BM2415" s="1" t="s">
        <v>204</v>
      </c>
      <c r="BN2415" s="1" t="s">
        <v>204</v>
      </c>
      <c r="BP2415" s="1" t="s">
        <v>204</v>
      </c>
      <c r="BR2415" s="1" t="str">
        <f>"12262060901012"</f>
        <v>12262060901012</v>
      </c>
      <c r="BT2415" s="1" t="s">
        <v>20973</v>
      </c>
      <c r="BU2415" s="1" t="s">
        <v>12833</v>
      </c>
      <c r="BW2415" s="1" t="s">
        <v>313</v>
      </c>
      <c r="BX2415" s="1">
        <v>85.5</v>
      </c>
      <c r="BY2415" s="1">
        <v>85.5</v>
      </c>
      <c r="BZ2415" s="1">
        <v>212</v>
      </c>
      <c r="CB2415" s="1" t="str">
        <f>"3000"</f>
        <v>3000</v>
      </c>
      <c r="CC2415" s="1" t="str">
        <f>"0"</f>
        <v>0</v>
      </c>
      <c r="CD2415" s="1">
        <v>8025</v>
      </c>
      <c r="CE2415" s="1">
        <v>0</v>
      </c>
      <c r="CG2415" s="1" t="s">
        <v>4571</v>
      </c>
      <c r="CH2415" s="1" t="s">
        <v>784</v>
      </c>
      <c r="CI2415" s="1" t="s">
        <v>220</v>
      </c>
      <c r="CK2415" s="1" t="s">
        <v>1004</v>
      </c>
      <c r="CL2415" s="1" t="s">
        <v>784</v>
      </c>
      <c r="CM2415" s="1" t="s">
        <v>220</v>
      </c>
      <c r="CO2415" s="1" t="s">
        <v>629</v>
      </c>
      <c r="CP2415" s="1" t="s">
        <v>784</v>
      </c>
      <c r="CQ2415" s="1" t="s">
        <v>220</v>
      </c>
      <c r="CS2415" s="1" t="s">
        <v>379</v>
      </c>
      <c r="CT2415" s="1" t="s">
        <v>784</v>
      </c>
      <c r="CU2415" s="1" t="s">
        <v>220</v>
      </c>
      <c r="CX2415" s="1" t="s">
        <v>224</v>
      </c>
      <c r="DB2415" s="1" t="s">
        <v>224</v>
      </c>
      <c r="DE2415" s="1" t="s">
        <v>1297</v>
      </c>
      <c r="DF2415" s="1" t="s">
        <v>784</v>
      </c>
      <c r="DG2415" s="1" t="s">
        <v>226</v>
      </c>
      <c r="DJ2415" s="1" t="s">
        <v>224</v>
      </c>
      <c r="DS2415" s="1" t="s">
        <v>230</v>
      </c>
      <c r="DW2415" s="1" t="s">
        <v>230</v>
      </c>
      <c r="EA2415" s="1" t="s">
        <v>230</v>
      </c>
      <c r="EE2415" s="1" t="s">
        <v>230</v>
      </c>
      <c r="EI2415" s="1" t="s">
        <v>230</v>
      </c>
      <c r="EL2415" s="1" t="s">
        <v>413</v>
      </c>
      <c r="EM2415" s="1" t="s">
        <v>232</v>
      </c>
      <c r="EN2415" s="1" t="s">
        <v>1158</v>
      </c>
      <c r="EO2415" s="1" t="s">
        <v>234</v>
      </c>
      <c r="EP2415" s="1" t="s">
        <v>1159</v>
      </c>
      <c r="EQ2415" s="1" t="s">
        <v>350</v>
      </c>
      <c r="ER2415" s="1" t="s">
        <v>210</v>
      </c>
      <c r="ES2415" s="1" t="s">
        <v>322</v>
      </c>
      <c r="EU2415" s="1" t="s">
        <v>239</v>
      </c>
      <c r="EV2415" s="1" t="s">
        <v>240</v>
      </c>
      <c r="EW2415" s="1" t="s">
        <v>2344</v>
      </c>
      <c r="EY2415" s="1" t="s">
        <v>790</v>
      </c>
      <c r="EZ2415" s="1" t="s">
        <v>287</v>
      </c>
      <c r="FA2415" s="1" t="s">
        <v>3462</v>
      </c>
      <c r="FB2415" s="1" t="s">
        <v>289</v>
      </c>
      <c r="FC2415" s="1" t="s">
        <v>326</v>
      </c>
      <c r="FD2415" s="1" t="s">
        <v>1112</v>
      </c>
      <c r="FE2415" s="1" t="s">
        <v>247</v>
      </c>
      <c r="FF2415" s="1" t="s">
        <v>248</v>
      </c>
      <c r="FH2415" s="1" t="s">
        <v>1942</v>
      </c>
      <c r="FI2415" s="1" t="s">
        <v>357</v>
      </c>
      <c r="FJ2415" s="1" t="s">
        <v>197</v>
      </c>
      <c r="FL2415" s="1" t="s">
        <v>6699</v>
      </c>
      <c r="FM2415" s="1" t="s">
        <v>252</v>
      </c>
      <c r="FN2415" s="1" t="s">
        <v>213</v>
      </c>
      <c r="FO2415" s="1" t="s">
        <v>213</v>
      </c>
      <c r="FQ2415" s="1" t="s">
        <v>329</v>
      </c>
      <c r="FR2415" s="1" t="s">
        <v>652</v>
      </c>
      <c r="FS2415" s="1" t="s">
        <v>20974</v>
      </c>
      <c r="FT2415" s="1" t="s">
        <v>295</v>
      </c>
      <c r="FU2415" s="1" t="s">
        <v>204</v>
      </c>
      <c r="FW2415" s="1" t="s">
        <v>331</v>
      </c>
      <c r="FX2415" s="1">
        <v>8540</v>
      </c>
      <c r="FY2415" s="1" t="s">
        <v>332</v>
      </c>
      <c r="FZ2415" s="1" t="s">
        <v>20975</v>
      </c>
      <c r="GA2415" s="1">
        <v>80013</v>
      </c>
      <c r="GB2415" s="1" t="s">
        <v>20976</v>
      </c>
      <c r="GE2415" s="1" t="s">
        <v>2504</v>
      </c>
      <c r="GI2415" s="1" t="s">
        <v>213</v>
      </c>
      <c r="GJ2415" s="1" t="s">
        <v>260</v>
      </c>
      <c r="GK2415" s="1" t="s">
        <v>210</v>
      </c>
      <c r="GL2415" s="2">
        <v>42111</v>
      </c>
    </row>
    <row r="2416" spans="1:195">
      <c r="A2416" s="1">
        <v>95000</v>
      </c>
      <c r="B2416" s="1" t="s">
        <v>195</v>
      </c>
      <c r="C2416" s="1" t="str">
        <f>"08822267"</f>
        <v>08822267</v>
      </c>
      <c r="D2416" s="1" t="s">
        <v>196</v>
      </c>
      <c r="F2416" s="1" t="str">
        <f>"137"</f>
        <v>137</v>
      </c>
      <c r="G2416" s="2">
        <v>42026</v>
      </c>
      <c r="H2416" s="1">
        <v>129000</v>
      </c>
      <c r="I2416" s="1">
        <v>109900</v>
      </c>
      <c r="J2416" s="1">
        <v>95000</v>
      </c>
      <c r="K2416" s="2">
        <v>42026</v>
      </c>
      <c r="L2416" s="1">
        <v>42</v>
      </c>
      <c r="M2416" s="2">
        <v>42067</v>
      </c>
      <c r="N2416" s="1">
        <v>42</v>
      </c>
      <c r="O2416" s="2">
        <v>42067</v>
      </c>
      <c r="P2416" s="1">
        <v>14316</v>
      </c>
      <c r="Q2416" s="1" t="s">
        <v>302</v>
      </c>
      <c r="R2416" s="2">
        <v>42108</v>
      </c>
      <c r="S2416" s="1">
        <v>133556</v>
      </c>
      <c r="U2416" s="1">
        <v>448</v>
      </c>
      <c r="V2416" s="1" t="s">
        <v>1101</v>
      </c>
      <c r="W2416" s="1" t="s">
        <v>264</v>
      </c>
      <c r="X2416" s="1" t="s">
        <v>20977</v>
      </c>
      <c r="Y2416" s="1">
        <v>75</v>
      </c>
      <c r="Z2416" s="1" t="s">
        <v>249</v>
      </c>
      <c r="AA2416" s="1" t="s">
        <v>201</v>
      </c>
      <c r="AB2416" s="1">
        <v>60137</v>
      </c>
      <c r="AD2416" s="1" t="s">
        <v>9381</v>
      </c>
      <c r="AE2416" s="1" t="s">
        <v>20978</v>
      </c>
      <c r="AF2416" s="1">
        <v>1974</v>
      </c>
      <c r="AG2416" s="1" t="s">
        <v>213</v>
      </c>
      <c r="AH2416" s="1" t="s">
        <v>205</v>
      </c>
      <c r="AI2416" s="1" t="s">
        <v>206</v>
      </c>
      <c r="AJ2416" s="1" t="s">
        <v>207</v>
      </c>
      <c r="AL2416" s="1">
        <v>6</v>
      </c>
      <c r="AM2416" s="1">
        <v>2</v>
      </c>
      <c r="AN2416" s="1">
        <v>2</v>
      </c>
      <c r="AO2416" s="1">
        <v>0</v>
      </c>
      <c r="AP2416" s="1" t="s">
        <v>209</v>
      </c>
      <c r="AR2416" s="1" t="s">
        <v>210</v>
      </c>
      <c r="AT2416" s="1" t="s">
        <v>211</v>
      </c>
      <c r="AU2416" s="1">
        <v>1</v>
      </c>
      <c r="AW2416" s="1" t="s">
        <v>204</v>
      </c>
      <c r="AX2416" s="1" t="s">
        <v>212</v>
      </c>
      <c r="AZ2416" s="1">
        <v>2219</v>
      </c>
      <c r="BA2416" s="1">
        <v>2013</v>
      </c>
      <c r="BB2416" s="1" t="s">
        <v>405</v>
      </c>
      <c r="BE2416" s="1">
        <v>1488</v>
      </c>
      <c r="BF2416" s="1">
        <v>2</v>
      </c>
      <c r="BG2416" s="1">
        <v>30</v>
      </c>
      <c r="BL2416" s="1">
        <v>320</v>
      </c>
      <c r="BM2416" s="1" t="s">
        <v>413</v>
      </c>
      <c r="BN2416" s="1" t="s">
        <v>204</v>
      </c>
      <c r="BP2416" s="1" t="s">
        <v>204</v>
      </c>
      <c r="BR2416" s="1" t="str">
        <f>"0523319030"</f>
        <v>0523319030</v>
      </c>
      <c r="BT2416" s="1" t="s">
        <v>20979</v>
      </c>
      <c r="BU2416" s="1" t="s">
        <v>215</v>
      </c>
      <c r="BV2416" s="1" t="s">
        <v>216</v>
      </c>
      <c r="BW2416" s="1" t="s">
        <v>217</v>
      </c>
      <c r="BX2416" s="1">
        <v>89</v>
      </c>
      <c r="BY2416" s="1">
        <v>89</v>
      </c>
      <c r="BZ2416" s="1">
        <v>87</v>
      </c>
      <c r="CB2416" s="1" t="str">
        <f t="shared" ref="CB2416:CC2416" si="1850">"0"</f>
        <v>0</v>
      </c>
      <c r="CC2416" s="1" t="str">
        <f t="shared" si="1850"/>
        <v>0</v>
      </c>
      <c r="CD2416" s="1">
        <v>22</v>
      </c>
      <c r="CE2416" s="1">
        <v>1</v>
      </c>
      <c r="CG2416" s="1" t="s">
        <v>1570</v>
      </c>
      <c r="CH2416" s="1" t="s">
        <v>219</v>
      </c>
      <c r="CI2416" s="1" t="s">
        <v>220</v>
      </c>
      <c r="CJ2416" s="1" t="s">
        <v>252</v>
      </c>
      <c r="CK2416" s="1" t="s">
        <v>861</v>
      </c>
      <c r="CL2416" s="1" t="s">
        <v>219</v>
      </c>
      <c r="CM2416" s="1" t="s">
        <v>220</v>
      </c>
      <c r="CN2416" s="1" t="s">
        <v>252</v>
      </c>
      <c r="CO2416" s="1" t="s">
        <v>1297</v>
      </c>
      <c r="CP2416" s="1" t="s">
        <v>219</v>
      </c>
      <c r="CQ2416" s="1" t="s">
        <v>220</v>
      </c>
      <c r="CR2416" s="1" t="s">
        <v>252</v>
      </c>
      <c r="CS2416" s="1" t="s">
        <v>278</v>
      </c>
      <c r="CT2416" s="1" t="s">
        <v>219</v>
      </c>
      <c r="CU2416" s="1" t="s">
        <v>220</v>
      </c>
      <c r="CV2416" s="1" t="s">
        <v>252</v>
      </c>
      <c r="CX2416" s="1" t="s">
        <v>224</v>
      </c>
      <c r="DB2416" s="1" t="s">
        <v>224</v>
      </c>
      <c r="DE2416" s="1" t="s">
        <v>4084</v>
      </c>
      <c r="DF2416" s="1" t="s">
        <v>219</v>
      </c>
      <c r="DG2416" s="1" t="s">
        <v>226</v>
      </c>
      <c r="DH2416" s="1" t="s">
        <v>210</v>
      </c>
      <c r="DJ2416" s="1" t="s">
        <v>224</v>
      </c>
      <c r="DM2416" s="1" t="s">
        <v>381</v>
      </c>
      <c r="DR2416" s="1" t="s">
        <v>973</v>
      </c>
      <c r="DS2416" s="1" t="s">
        <v>219</v>
      </c>
      <c r="DT2416" s="1" t="s">
        <v>226</v>
      </c>
      <c r="DU2416" s="1" t="s">
        <v>210</v>
      </c>
      <c r="DW2416" s="1" t="s">
        <v>230</v>
      </c>
      <c r="EA2416" s="1" t="s">
        <v>230</v>
      </c>
      <c r="EE2416" s="1" t="s">
        <v>230</v>
      </c>
      <c r="EI2416" s="1" t="s">
        <v>230</v>
      </c>
      <c r="EL2416" s="1" t="s">
        <v>605</v>
      </c>
      <c r="EM2416" s="1" t="s">
        <v>232</v>
      </c>
      <c r="EN2416" s="1" t="s">
        <v>282</v>
      </c>
      <c r="EO2416" s="1" t="s">
        <v>840</v>
      </c>
      <c r="ER2416" s="1" t="s">
        <v>210</v>
      </c>
      <c r="ES2416" s="1" t="s">
        <v>322</v>
      </c>
      <c r="EV2416" s="1" t="s">
        <v>324</v>
      </c>
      <c r="EW2416" s="1" t="s">
        <v>286</v>
      </c>
      <c r="EY2416" s="1" t="s">
        <v>790</v>
      </c>
      <c r="EZ2416" s="1" t="s">
        <v>381</v>
      </c>
      <c r="FB2416" s="1" t="s">
        <v>1505</v>
      </c>
      <c r="FD2416" s="1" t="s">
        <v>1112</v>
      </c>
      <c r="FE2416" s="1" t="s">
        <v>247</v>
      </c>
      <c r="FF2416" s="1" t="s">
        <v>248</v>
      </c>
      <c r="FH2416" s="1" t="s">
        <v>249</v>
      </c>
      <c r="FI2416" s="1" t="s">
        <v>250</v>
      </c>
      <c r="FL2416" s="1" t="s">
        <v>358</v>
      </c>
      <c r="FM2416" s="1" t="s">
        <v>252</v>
      </c>
      <c r="FN2416" s="1" t="s">
        <v>213</v>
      </c>
      <c r="FO2416" s="1" t="s">
        <v>213</v>
      </c>
      <c r="FQ2416" s="1" t="s">
        <v>20980</v>
      </c>
      <c r="FR2416" s="1" t="s">
        <v>8300</v>
      </c>
      <c r="FS2416" s="1" t="s">
        <v>20981</v>
      </c>
      <c r="FT2416" s="1" t="s">
        <v>362</v>
      </c>
      <c r="FU2416" s="1" t="s">
        <v>204</v>
      </c>
      <c r="FW2416" s="1" t="s">
        <v>20982</v>
      </c>
      <c r="FX2416" s="1">
        <v>24009</v>
      </c>
      <c r="FY2416" s="1" t="s">
        <v>20983</v>
      </c>
      <c r="FZ2416" s="1" t="s">
        <v>20984</v>
      </c>
      <c r="GA2416" s="1">
        <v>244786</v>
      </c>
      <c r="GB2416" s="1" t="s">
        <v>20985</v>
      </c>
      <c r="GE2416" s="1" t="s">
        <v>210</v>
      </c>
      <c r="GI2416" s="1" t="s">
        <v>213</v>
      </c>
      <c r="GJ2416" s="1" t="s">
        <v>300</v>
      </c>
      <c r="GK2416" s="1" t="s">
        <v>210</v>
      </c>
      <c r="GL2416" s="2">
        <v>42109</v>
      </c>
      <c r="GM2416" s="1" t="s">
        <v>20986</v>
      </c>
    </row>
    <row r="2417" spans="1:195">
      <c r="A2417" s="1">
        <v>145000</v>
      </c>
      <c r="B2417" s="1" t="s">
        <v>195</v>
      </c>
      <c r="C2417" s="1" t="str">
        <f>"08831790"</f>
        <v>08831790</v>
      </c>
      <c r="D2417" s="1" t="s">
        <v>196</v>
      </c>
      <c r="F2417" s="1" t="str">
        <f>"187"</f>
        <v>187</v>
      </c>
      <c r="G2417" s="2">
        <v>42040</v>
      </c>
      <c r="H2417" s="1">
        <v>159900</v>
      </c>
      <c r="I2417" s="1">
        <v>155000</v>
      </c>
      <c r="J2417" s="1">
        <v>145000</v>
      </c>
      <c r="K2417" s="2">
        <v>42040</v>
      </c>
      <c r="L2417" s="1">
        <v>36</v>
      </c>
      <c r="M2417" s="2">
        <v>42075</v>
      </c>
      <c r="N2417" s="1">
        <v>36</v>
      </c>
      <c r="O2417" s="2">
        <v>42075</v>
      </c>
      <c r="P2417" s="1">
        <v>25792</v>
      </c>
      <c r="Q2417" s="1" t="s">
        <v>197</v>
      </c>
      <c r="R2417" s="2">
        <v>42093</v>
      </c>
      <c r="S2417" s="1">
        <v>242533</v>
      </c>
      <c r="U2417" s="1">
        <v>1588</v>
      </c>
      <c r="V2417" s="1" t="s">
        <v>20987</v>
      </c>
      <c r="W2417" s="1" t="s">
        <v>304</v>
      </c>
      <c r="X2417" s="1" t="s">
        <v>1000</v>
      </c>
      <c r="Y2417" s="1">
        <v>4</v>
      </c>
      <c r="Z2417" s="1" t="s">
        <v>249</v>
      </c>
      <c r="AA2417" s="1" t="s">
        <v>964</v>
      </c>
      <c r="AB2417" s="1">
        <v>60189</v>
      </c>
      <c r="AD2417" s="1" t="s">
        <v>20988</v>
      </c>
      <c r="AE2417" s="1" t="s">
        <v>20989</v>
      </c>
      <c r="AF2417" s="1">
        <v>1987</v>
      </c>
      <c r="AG2417" s="1" t="s">
        <v>204</v>
      </c>
      <c r="AH2417" s="1" t="s">
        <v>967</v>
      </c>
      <c r="AI2417" s="1" t="s">
        <v>206</v>
      </c>
      <c r="AJ2417" s="1" t="s">
        <v>987</v>
      </c>
      <c r="AL2417" s="1">
        <v>6</v>
      </c>
      <c r="AM2417" s="1">
        <v>2</v>
      </c>
      <c r="AN2417" s="1">
        <v>2</v>
      </c>
      <c r="AO2417" s="1">
        <v>0</v>
      </c>
      <c r="AP2417" s="1" t="s">
        <v>209</v>
      </c>
      <c r="AQ2417" s="1">
        <v>1</v>
      </c>
      <c r="AR2417" s="1" t="s">
        <v>210</v>
      </c>
      <c r="AS2417" s="1" t="s">
        <v>204</v>
      </c>
      <c r="AT2417" s="1" t="s">
        <v>211</v>
      </c>
      <c r="AU2417" s="1">
        <v>1</v>
      </c>
      <c r="AW2417" s="1" t="s">
        <v>204</v>
      </c>
      <c r="AX2417" s="1" t="s">
        <v>212</v>
      </c>
      <c r="AZ2417" s="1">
        <v>4303</v>
      </c>
      <c r="BA2417" s="1">
        <v>2013</v>
      </c>
      <c r="BE2417" s="1">
        <v>1463</v>
      </c>
      <c r="BF2417" s="1">
        <v>2</v>
      </c>
      <c r="BG2417" s="1">
        <v>0</v>
      </c>
      <c r="BL2417" s="1">
        <v>315</v>
      </c>
      <c r="BM2417" s="1" t="s">
        <v>204</v>
      </c>
      <c r="BN2417" s="1" t="s">
        <v>213</v>
      </c>
      <c r="BP2417" s="1" t="s">
        <v>204</v>
      </c>
      <c r="BR2417" s="1" t="str">
        <f>"0519310052"</f>
        <v>0519310052</v>
      </c>
      <c r="BT2417" s="1" t="s">
        <v>20990</v>
      </c>
      <c r="BU2417" s="1" t="s">
        <v>1327</v>
      </c>
      <c r="BV2417" s="1" t="s">
        <v>970</v>
      </c>
      <c r="BW2417" s="1" t="s">
        <v>971</v>
      </c>
      <c r="BX2417" s="1">
        <v>200</v>
      </c>
      <c r="BY2417" s="1">
        <v>200</v>
      </c>
      <c r="BZ2417" s="1">
        <v>200</v>
      </c>
      <c r="CB2417" s="1" t="str">
        <f t="shared" ref="CB2417:CC2417" si="1851">"0"</f>
        <v>0</v>
      </c>
      <c r="CC2417" s="1" t="str">
        <f t="shared" si="1851"/>
        <v>0</v>
      </c>
      <c r="CD2417" s="1">
        <v>26</v>
      </c>
      <c r="CE2417" s="1">
        <v>1</v>
      </c>
      <c r="CG2417" s="1" t="s">
        <v>1570</v>
      </c>
      <c r="CH2417" s="1" t="s">
        <v>277</v>
      </c>
      <c r="CI2417" s="1" t="s">
        <v>220</v>
      </c>
      <c r="CJ2417" s="1" t="s">
        <v>252</v>
      </c>
      <c r="CK2417" s="1" t="s">
        <v>278</v>
      </c>
      <c r="CL2417" s="1" t="s">
        <v>277</v>
      </c>
      <c r="CM2417" s="1" t="s">
        <v>220</v>
      </c>
      <c r="CN2417" s="1" t="s">
        <v>252</v>
      </c>
      <c r="CO2417" s="1" t="s">
        <v>346</v>
      </c>
      <c r="CP2417" s="1" t="s">
        <v>277</v>
      </c>
      <c r="CQ2417" s="1" t="s">
        <v>220</v>
      </c>
      <c r="CR2417" s="1" t="s">
        <v>252</v>
      </c>
      <c r="CS2417" s="1" t="s">
        <v>465</v>
      </c>
      <c r="CT2417" s="1" t="s">
        <v>277</v>
      </c>
      <c r="CU2417" s="1" t="s">
        <v>220</v>
      </c>
      <c r="CV2417" s="1" t="s">
        <v>252</v>
      </c>
      <c r="CX2417" s="1" t="s">
        <v>224</v>
      </c>
      <c r="DB2417" s="1" t="s">
        <v>224</v>
      </c>
      <c r="DE2417" s="1" t="s">
        <v>346</v>
      </c>
      <c r="DF2417" s="1" t="s">
        <v>277</v>
      </c>
      <c r="DG2417" s="1" t="s">
        <v>226</v>
      </c>
      <c r="DH2417" s="1" t="s">
        <v>210</v>
      </c>
      <c r="DJ2417" s="1" t="s">
        <v>224</v>
      </c>
      <c r="DN2417" s="1" t="s">
        <v>1005</v>
      </c>
      <c r="DS2417" s="1" t="s">
        <v>230</v>
      </c>
      <c r="DV2417" s="1" t="s">
        <v>346</v>
      </c>
      <c r="DW2417" s="1" t="s">
        <v>277</v>
      </c>
      <c r="DX2417" s="1" t="s">
        <v>220</v>
      </c>
      <c r="DY2417" s="1" t="s">
        <v>252</v>
      </c>
      <c r="EA2417" s="1" t="s">
        <v>230</v>
      </c>
      <c r="EE2417" s="1" t="s">
        <v>230</v>
      </c>
      <c r="EI2417" s="1" t="s">
        <v>230</v>
      </c>
      <c r="EL2417" s="1" t="s">
        <v>542</v>
      </c>
      <c r="EM2417" s="1" t="s">
        <v>232</v>
      </c>
      <c r="EN2417" s="1" t="s">
        <v>282</v>
      </c>
      <c r="EO2417" s="1" t="s">
        <v>234</v>
      </c>
      <c r="EP2417" s="1" t="s">
        <v>650</v>
      </c>
      <c r="EQ2417" s="1" t="s">
        <v>468</v>
      </c>
      <c r="ER2417" s="1" t="s">
        <v>210</v>
      </c>
      <c r="ES2417" s="1" t="s">
        <v>824</v>
      </c>
      <c r="EU2417" s="1" t="s">
        <v>4524</v>
      </c>
      <c r="EV2417" s="1" t="s">
        <v>324</v>
      </c>
      <c r="EW2417" s="1" t="s">
        <v>911</v>
      </c>
      <c r="EY2417" s="1" t="s">
        <v>790</v>
      </c>
      <c r="EZ2417" s="1" t="s">
        <v>1005</v>
      </c>
      <c r="FA2417" s="1" t="s">
        <v>243</v>
      </c>
      <c r="FB2417" s="1" t="s">
        <v>289</v>
      </c>
      <c r="FC2417" s="1" t="s">
        <v>1386</v>
      </c>
      <c r="FD2417" s="1" t="s">
        <v>246</v>
      </c>
      <c r="FE2417" s="1" t="s">
        <v>549</v>
      </c>
      <c r="FF2417" s="1" t="s">
        <v>248</v>
      </c>
      <c r="FG2417" s="1" t="s">
        <v>5121</v>
      </c>
      <c r="FH2417" s="1" t="s">
        <v>1387</v>
      </c>
      <c r="FI2417" s="1" t="s">
        <v>473</v>
      </c>
      <c r="FL2417" s="1" t="s">
        <v>358</v>
      </c>
      <c r="FM2417" s="1" t="s">
        <v>252</v>
      </c>
      <c r="FN2417" s="1" t="s">
        <v>213</v>
      </c>
      <c r="FO2417" s="1" t="s">
        <v>213</v>
      </c>
      <c r="FQ2417" s="1" t="s">
        <v>7184</v>
      </c>
      <c r="FR2417" s="1" t="s">
        <v>210</v>
      </c>
      <c r="FS2417" s="1" t="s">
        <v>20991</v>
      </c>
      <c r="FT2417" s="1" t="s">
        <v>295</v>
      </c>
      <c r="FU2417" s="1" t="s">
        <v>204</v>
      </c>
      <c r="FW2417" s="1" t="s">
        <v>2144</v>
      </c>
      <c r="FX2417" s="1">
        <v>23163</v>
      </c>
      <c r="FY2417" s="1" t="s">
        <v>2145</v>
      </c>
      <c r="FZ2417" s="1" t="s">
        <v>7186</v>
      </c>
      <c r="GA2417" s="1">
        <v>215425</v>
      </c>
      <c r="GB2417" s="1" t="s">
        <v>7187</v>
      </c>
      <c r="GC2417" s="1">
        <v>254277</v>
      </c>
      <c r="GE2417" s="1" t="s">
        <v>210</v>
      </c>
      <c r="GI2417" s="1" t="s">
        <v>213</v>
      </c>
      <c r="GJ2417" s="1" t="s">
        <v>260</v>
      </c>
      <c r="GK2417" s="1" t="s">
        <v>210</v>
      </c>
      <c r="GL2417" s="2">
        <v>42093</v>
      </c>
    </row>
    <row r="2418" spans="1:195">
      <c r="A2418" s="1">
        <v>68500</v>
      </c>
      <c r="B2418" s="1" t="s">
        <v>195</v>
      </c>
      <c r="C2418" s="1" t="str">
        <f>"08824249"</f>
        <v>08824249</v>
      </c>
      <c r="D2418" s="1" t="s">
        <v>196</v>
      </c>
      <c r="F2418" s="1" t="str">
        <f>"507"</f>
        <v>507</v>
      </c>
      <c r="G2418" s="2">
        <v>42030</v>
      </c>
      <c r="H2418" s="1">
        <v>67900</v>
      </c>
      <c r="I2418" s="1">
        <v>67900</v>
      </c>
      <c r="J2418" s="1">
        <v>68500</v>
      </c>
      <c r="K2418" s="2">
        <v>42030</v>
      </c>
      <c r="L2418" s="1">
        <v>6</v>
      </c>
      <c r="M2418" s="2">
        <v>42035</v>
      </c>
      <c r="N2418" s="1">
        <v>6</v>
      </c>
      <c r="O2418" s="2">
        <v>42035</v>
      </c>
      <c r="P2418" s="1">
        <v>31580</v>
      </c>
      <c r="Q2418" s="1" t="s">
        <v>302</v>
      </c>
      <c r="R2418" s="2">
        <v>42058</v>
      </c>
      <c r="S2418" s="1">
        <v>315831</v>
      </c>
      <c r="U2418" s="1">
        <v>297</v>
      </c>
      <c r="V2418" s="1" t="s">
        <v>5187</v>
      </c>
      <c r="W2418" s="1" t="s">
        <v>725</v>
      </c>
      <c r="X2418" s="1">
        <v>7</v>
      </c>
      <c r="Y2418" s="1">
        <v>12</v>
      </c>
      <c r="Z2418" s="1" t="s">
        <v>249</v>
      </c>
      <c r="AA2418" s="1" t="s">
        <v>1123</v>
      </c>
      <c r="AB2418" s="1">
        <v>60504</v>
      </c>
      <c r="AD2418" s="1" t="s">
        <v>20992</v>
      </c>
      <c r="AE2418" s="1" t="s">
        <v>20993</v>
      </c>
      <c r="AF2418" s="1">
        <v>1978</v>
      </c>
      <c r="AG2418" s="1" t="s">
        <v>204</v>
      </c>
      <c r="AH2418" s="1" t="s">
        <v>1126</v>
      </c>
      <c r="AI2418" s="1" t="s">
        <v>206</v>
      </c>
      <c r="AJ2418" s="1" t="s">
        <v>924</v>
      </c>
      <c r="AL2418" s="1">
        <v>5</v>
      </c>
      <c r="AM2418" s="1">
        <v>2</v>
      </c>
      <c r="AN2418" s="1">
        <v>1</v>
      </c>
      <c r="AO2418" s="1">
        <v>1</v>
      </c>
      <c r="AP2418" s="1" t="s">
        <v>210</v>
      </c>
      <c r="AR2418" s="1" t="s">
        <v>210</v>
      </c>
      <c r="AS2418" s="1" t="s">
        <v>204</v>
      </c>
      <c r="AT2418" s="1" t="s">
        <v>271</v>
      </c>
      <c r="AV2418" s="1">
        <v>2</v>
      </c>
      <c r="AW2418" s="1" t="s">
        <v>204</v>
      </c>
      <c r="AX2418" s="1" t="s">
        <v>212</v>
      </c>
      <c r="AZ2418" s="1">
        <v>798.7</v>
      </c>
      <c r="BA2418" s="1">
        <v>2013</v>
      </c>
      <c r="BE2418" s="1">
        <v>890</v>
      </c>
      <c r="BF2418" s="1">
        <v>2</v>
      </c>
      <c r="BG2418" s="1">
        <v>10</v>
      </c>
      <c r="BL2418" s="1">
        <v>419</v>
      </c>
      <c r="BM2418" s="1" t="s">
        <v>213</v>
      </c>
      <c r="BN2418" s="1" t="s">
        <v>213</v>
      </c>
      <c r="BP2418" s="1" t="s">
        <v>204</v>
      </c>
      <c r="BR2418" s="1" t="str">
        <f>"0721306007"</f>
        <v>0721306007</v>
      </c>
      <c r="BT2418" s="1" t="s">
        <v>20994</v>
      </c>
      <c r="BU2418" s="1" t="s">
        <v>2087</v>
      </c>
      <c r="BV2418" s="1" t="s">
        <v>1248</v>
      </c>
      <c r="BW2418" s="1" t="s">
        <v>1131</v>
      </c>
      <c r="BX2418" s="1">
        <v>204</v>
      </c>
      <c r="BY2418" s="1">
        <v>204</v>
      </c>
      <c r="BZ2418" s="1">
        <v>204</v>
      </c>
      <c r="CB2418" s="1" t="str">
        <f t="shared" ref="CB2418:CC2418" si="1852">""</f>
        <v/>
      </c>
      <c r="CC2418" s="1" t="str">
        <f t="shared" si="1852"/>
        <v/>
      </c>
      <c r="CG2418" s="1" t="s">
        <v>461</v>
      </c>
      <c r="CH2418" s="1" t="s">
        <v>277</v>
      </c>
      <c r="CI2418" s="1" t="s">
        <v>220</v>
      </c>
      <c r="CJ2418" s="1" t="s">
        <v>343</v>
      </c>
      <c r="CK2418" s="1" t="s">
        <v>3591</v>
      </c>
      <c r="CL2418" s="1" t="s">
        <v>277</v>
      </c>
      <c r="CM2418" s="1" t="s">
        <v>220</v>
      </c>
      <c r="CN2418" s="1" t="s">
        <v>343</v>
      </c>
      <c r="CO2418" s="1" t="s">
        <v>379</v>
      </c>
      <c r="CP2418" s="1" t="s">
        <v>277</v>
      </c>
      <c r="CQ2418" s="1" t="s">
        <v>220</v>
      </c>
      <c r="CR2418" s="1" t="s">
        <v>210</v>
      </c>
      <c r="CS2418" s="1" t="s">
        <v>836</v>
      </c>
      <c r="CT2418" s="1" t="s">
        <v>277</v>
      </c>
      <c r="CU2418" s="1" t="s">
        <v>220</v>
      </c>
      <c r="CV2418" s="1" t="s">
        <v>343</v>
      </c>
      <c r="CX2418" s="1" t="s">
        <v>224</v>
      </c>
      <c r="DB2418" s="1" t="s">
        <v>224</v>
      </c>
      <c r="DE2418" s="1" t="s">
        <v>379</v>
      </c>
      <c r="DF2418" s="1" t="s">
        <v>277</v>
      </c>
      <c r="DG2418" s="1" t="s">
        <v>229</v>
      </c>
      <c r="DH2418" s="1" t="s">
        <v>210</v>
      </c>
      <c r="DJ2418" s="1" t="s">
        <v>224</v>
      </c>
      <c r="DS2418" s="1" t="s">
        <v>230</v>
      </c>
      <c r="DW2418" s="1" t="s">
        <v>230</v>
      </c>
      <c r="EA2418" s="1" t="s">
        <v>230</v>
      </c>
      <c r="EE2418" s="1" t="s">
        <v>230</v>
      </c>
      <c r="EI2418" s="1" t="s">
        <v>230</v>
      </c>
      <c r="EL2418" s="1" t="s">
        <v>231</v>
      </c>
      <c r="EM2418" s="1" t="s">
        <v>319</v>
      </c>
      <c r="EN2418" s="1" t="s">
        <v>1158</v>
      </c>
      <c r="EO2418" s="1" t="s">
        <v>234</v>
      </c>
      <c r="EP2418" s="1" t="s">
        <v>732</v>
      </c>
      <c r="EQ2418" s="1" t="s">
        <v>236</v>
      </c>
      <c r="ER2418" s="1" t="s">
        <v>210</v>
      </c>
      <c r="ES2418" s="1" t="s">
        <v>493</v>
      </c>
      <c r="EU2418" s="1" t="s">
        <v>239</v>
      </c>
      <c r="EV2418" s="1" t="s">
        <v>240</v>
      </c>
      <c r="EW2418" s="1" t="s">
        <v>5199</v>
      </c>
      <c r="EY2418" s="1" t="s">
        <v>242</v>
      </c>
      <c r="EZ2418" s="1" t="s">
        <v>287</v>
      </c>
      <c r="FA2418" s="1" t="s">
        <v>243</v>
      </c>
      <c r="FB2418" s="1" t="s">
        <v>244</v>
      </c>
      <c r="FD2418" s="1" t="s">
        <v>736</v>
      </c>
      <c r="FE2418" s="1" t="s">
        <v>2970</v>
      </c>
      <c r="FF2418" s="1" t="s">
        <v>248</v>
      </c>
      <c r="FH2418" s="1" t="s">
        <v>249</v>
      </c>
      <c r="FK2418" s="1" t="s">
        <v>6240</v>
      </c>
      <c r="FL2418" s="1" t="s">
        <v>328</v>
      </c>
      <c r="FM2418" s="1" t="s">
        <v>252</v>
      </c>
      <c r="FN2418" s="1" t="s">
        <v>213</v>
      </c>
      <c r="FO2418" s="1" t="s">
        <v>213</v>
      </c>
      <c r="FQ2418" s="1" t="s">
        <v>4425</v>
      </c>
      <c r="FR2418" s="1" t="s">
        <v>210</v>
      </c>
      <c r="FS2418" s="1" t="s">
        <v>20995</v>
      </c>
      <c r="FT2418" s="1" t="s">
        <v>295</v>
      </c>
      <c r="FU2418" s="1" t="s">
        <v>204</v>
      </c>
      <c r="FW2418" s="1" t="s">
        <v>3730</v>
      </c>
      <c r="FX2418" s="1">
        <v>14856</v>
      </c>
      <c r="FY2418" s="1" t="s">
        <v>3731</v>
      </c>
      <c r="FZ2418" s="1" t="s">
        <v>20996</v>
      </c>
      <c r="GA2418" s="1">
        <v>130424</v>
      </c>
      <c r="GB2418" s="1" t="s">
        <v>20997</v>
      </c>
      <c r="GE2418" s="1" t="s">
        <v>210</v>
      </c>
      <c r="GI2418" s="1" t="s">
        <v>213</v>
      </c>
      <c r="GJ2418" s="1" t="s">
        <v>260</v>
      </c>
      <c r="GK2418" s="1" t="s">
        <v>210</v>
      </c>
      <c r="GL2418" s="2">
        <v>42059</v>
      </c>
    </row>
    <row r="2419" spans="1:195">
      <c r="A2419" s="1">
        <v>86299</v>
      </c>
      <c r="B2419" s="1" t="s">
        <v>195</v>
      </c>
      <c r="C2419" s="1" t="str">
        <f>"08821752"</f>
        <v>08821752</v>
      </c>
      <c r="D2419" s="1" t="s">
        <v>196</v>
      </c>
      <c r="F2419" s="1" t="str">
        <f>"42"</f>
        <v>42</v>
      </c>
      <c r="G2419" s="2">
        <v>42026</v>
      </c>
      <c r="H2419" s="1">
        <v>94700</v>
      </c>
      <c r="I2419" s="1">
        <v>90000</v>
      </c>
      <c r="J2419" s="1">
        <v>86299</v>
      </c>
      <c r="K2419" s="2">
        <v>42025</v>
      </c>
      <c r="L2419" s="1">
        <v>155</v>
      </c>
      <c r="M2419" s="2">
        <v>42081</v>
      </c>
      <c r="N2419" s="1">
        <v>57</v>
      </c>
      <c r="O2419" s="2">
        <v>42081</v>
      </c>
      <c r="P2419" s="1">
        <v>2123</v>
      </c>
      <c r="Q2419" s="1" t="s">
        <v>302</v>
      </c>
      <c r="R2419" s="2">
        <v>42114</v>
      </c>
      <c r="S2419" s="1">
        <v>240491</v>
      </c>
      <c r="U2419" s="1">
        <v>4348</v>
      </c>
      <c r="V2419" s="1" t="s">
        <v>2831</v>
      </c>
      <c r="W2419" s="1" t="s">
        <v>264</v>
      </c>
      <c r="Y2419" s="1">
        <v>5</v>
      </c>
      <c r="Z2419" s="1" t="s">
        <v>370</v>
      </c>
      <c r="AA2419" s="1" t="s">
        <v>13365</v>
      </c>
      <c r="AB2419" s="1">
        <v>60042</v>
      </c>
      <c r="AE2419" s="1" t="s">
        <v>20998</v>
      </c>
      <c r="AF2419" s="1">
        <v>2001</v>
      </c>
      <c r="AG2419" s="1" t="s">
        <v>204</v>
      </c>
      <c r="AH2419" s="1" t="s">
        <v>13368</v>
      </c>
      <c r="AI2419" s="1" t="s">
        <v>509</v>
      </c>
      <c r="AJ2419" s="1" t="s">
        <v>2599</v>
      </c>
      <c r="AL2419" s="1">
        <v>6</v>
      </c>
      <c r="AM2419" s="1">
        <v>2</v>
      </c>
      <c r="AN2419" s="1">
        <v>2</v>
      </c>
      <c r="AO2419" s="1">
        <v>0</v>
      </c>
      <c r="AP2419" s="1" t="s">
        <v>209</v>
      </c>
      <c r="AR2419" s="1" t="s">
        <v>210</v>
      </c>
      <c r="AT2419" s="1" t="s">
        <v>211</v>
      </c>
      <c r="AU2419" s="1">
        <v>1</v>
      </c>
      <c r="AW2419" s="1" t="s">
        <v>204</v>
      </c>
      <c r="AX2419" s="1" t="s">
        <v>212</v>
      </c>
      <c r="AZ2419" s="1">
        <v>4140.8500000000004</v>
      </c>
      <c r="BA2419" s="1">
        <v>2013</v>
      </c>
      <c r="BB2419" s="1" t="s">
        <v>405</v>
      </c>
      <c r="BE2419" s="1">
        <v>1590</v>
      </c>
      <c r="BF2419" s="1">
        <v>1</v>
      </c>
      <c r="BG2419" s="1">
        <v>0</v>
      </c>
      <c r="BL2419" s="1">
        <v>180</v>
      </c>
      <c r="BM2419" s="1" t="s">
        <v>413</v>
      </c>
      <c r="BN2419" s="1" t="s">
        <v>204</v>
      </c>
      <c r="BP2419" s="1" t="s">
        <v>204</v>
      </c>
      <c r="BR2419" s="1" t="str">
        <f>"09282080340000"</f>
        <v>09282080340000</v>
      </c>
      <c r="BT2419" s="1" t="s">
        <v>20999</v>
      </c>
      <c r="BX2419" s="1">
        <v>118</v>
      </c>
      <c r="BY2419" s="1">
        <v>118</v>
      </c>
      <c r="BZ2419" s="1">
        <v>118</v>
      </c>
      <c r="CB2419" s="1" t="str">
        <f>"27"</f>
        <v>27</v>
      </c>
      <c r="CC2419" s="1" t="str">
        <f>"0"</f>
        <v>0</v>
      </c>
      <c r="CD2419" s="1">
        <v>28</v>
      </c>
      <c r="CE2419" s="1">
        <v>0</v>
      </c>
      <c r="CG2419" s="1" t="s">
        <v>377</v>
      </c>
      <c r="CH2419" s="1" t="s">
        <v>219</v>
      </c>
      <c r="CK2419" s="1" t="s">
        <v>581</v>
      </c>
      <c r="CL2419" s="1" t="s">
        <v>219</v>
      </c>
      <c r="CO2419" s="1" t="s">
        <v>821</v>
      </c>
      <c r="CP2419" s="1" t="s">
        <v>219</v>
      </c>
      <c r="CS2419" s="1" t="s">
        <v>346</v>
      </c>
      <c r="CT2419" s="1" t="s">
        <v>219</v>
      </c>
      <c r="CX2419" s="1" t="s">
        <v>224</v>
      </c>
      <c r="DB2419" s="1" t="s">
        <v>224</v>
      </c>
      <c r="DE2419" s="1" t="s">
        <v>346</v>
      </c>
      <c r="DF2419" s="1" t="s">
        <v>219</v>
      </c>
      <c r="DI2419" s="1" t="s">
        <v>3656</v>
      </c>
      <c r="DJ2419" s="1" t="s">
        <v>219</v>
      </c>
      <c r="DS2419" s="1" t="s">
        <v>230</v>
      </c>
      <c r="DW2419" s="1" t="s">
        <v>230</v>
      </c>
      <c r="EA2419" s="1" t="s">
        <v>230</v>
      </c>
      <c r="EE2419" s="1" t="s">
        <v>230</v>
      </c>
      <c r="EI2419" s="1" t="s">
        <v>230</v>
      </c>
      <c r="EL2419" s="1" t="s">
        <v>466</v>
      </c>
      <c r="EM2419" s="1" t="s">
        <v>319</v>
      </c>
      <c r="EN2419" s="1" t="s">
        <v>282</v>
      </c>
      <c r="EO2419" s="1" t="s">
        <v>234</v>
      </c>
      <c r="ER2419" s="1" t="s">
        <v>210</v>
      </c>
      <c r="EW2419" s="1" t="s">
        <v>867</v>
      </c>
      <c r="EY2419" s="1" t="s">
        <v>242</v>
      </c>
      <c r="EZ2419" s="1" t="s">
        <v>287</v>
      </c>
      <c r="FB2419" s="1" t="s">
        <v>289</v>
      </c>
      <c r="FD2419" s="1" t="s">
        <v>1112</v>
      </c>
      <c r="FE2419" s="1" t="s">
        <v>765</v>
      </c>
      <c r="FF2419" s="1" t="s">
        <v>248</v>
      </c>
      <c r="FH2419" s="1" t="s">
        <v>825</v>
      </c>
      <c r="FL2419" s="1" t="s">
        <v>358</v>
      </c>
      <c r="FM2419" s="1" t="s">
        <v>252</v>
      </c>
      <c r="FN2419" s="1" t="s">
        <v>213</v>
      </c>
      <c r="FO2419" s="1" t="s">
        <v>213</v>
      </c>
      <c r="FQ2419" s="1" t="s">
        <v>582</v>
      </c>
      <c r="FR2419" s="1" t="s">
        <v>210</v>
      </c>
      <c r="FS2419" s="1" t="s">
        <v>1429</v>
      </c>
      <c r="FT2419" s="1" t="s">
        <v>21000</v>
      </c>
      <c r="FU2419" s="1" t="s">
        <v>204</v>
      </c>
      <c r="FW2419" s="1" t="s">
        <v>21001</v>
      </c>
      <c r="FX2419" s="1">
        <v>140</v>
      </c>
      <c r="FY2419" s="1" t="s">
        <v>21002</v>
      </c>
      <c r="FZ2419" s="1" t="s">
        <v>21003</v>
      </c>
      <c r="GA2419" s="1">
        <v>1653</v>
      </c>
      <c r="GB2419" s="1" t="s">
        <v>21004</v>
      </c>
      <c r="GC2419" s="1">
        <v>1654</v>
      </c>
      <c r="GE2419" s="1" t="s">
        <v>210</v>
      </c>
      <c r="GI2419" s="1" t="s">
        <v>213</v>
      </c>
      <c r="GJ2419" s="1" t="s">
        <v>260</v>
      </c>
      <c r="GK2419" s="1" t="s">
        <v>210</v>
      </c>
      <c r="GL2419" s="2">
        <v>42128</v>
      </c>
      <c r="GM2419" s="1" t="s">
        <v>21005</v>
      </c>
    </row>
    <row r="2420" spans="1:195">
      <c r="A2420" s="1">
        <v>499500</v>
      </c>
      <c r="B2420" s="1" t="s">
        <v>195</v>
      </c>
      <c r="C2420" s="1" t="str">
        <f>"08828649"</f>
        <v>08828649</v>
      </c>
      <c r="D2420" s="1" t="s">
        <v>196</v>
      </c>
      <c r="F2420" s="1" t="str">
        <f>"187"</f>
        <v>187</v>
      </c>
      <c r="G2420" s="2">
        <v>42037</v>
      </c>
      <c r="H2420" s="1">
        <v>519900</v>
      </c>
      <c r="I2420" s="1">
        <v>519900</v>
      </c>
      <c r="J2420" s="1">
        <v>499500</v>
      </c>
      <c r="K2420" s="2">
        <v>42037</v>
      </c>
      <c r="L2420" s="1">
        <v>37</v>
      </c>
      <c r="M2420" s="2">
        <v>42073</v>
      </c>
      <c r="N2420" s="1">
        <v>37</v>
      </c>
      <c r="O2420" s="2">
        <v>42073</v>
      </c>
      <c r="P2420" s="1">
        <v>25088</v>
      </c>
      <c r="Q2420" s="1" t="s">
        <v>302</v>
      </c>
      <c r="R2420" s="2">
        <v>42139</v>
      </c>
      <c r="S2420" s="1">
        <v>256237</v>
      </c>
      <c r="U2420" s="1">
        <v>255</v>
      </c>
      <c r="V2420" s="1" t="s">
        <v>21006</v>
      </c>
      <c r="W2420" s="1" t="s">
        <v>264</v>
      </c>
      <c r="X2420" s="1">
        <v>702</v>
      </c>
      <c r="Y2420" s="1">
        <v>50</v>
      </c>
      <c r="Z2420" s="1" t="s">
        <v>370</v>
      </c>
      <c r="AA2420" s="1" t="s">
        <v>964</v>
      </c>
      <c r="AB2420" s="1">
        <v>60187</v>
      </c>
      <c r="AD2420" s="1" t="s">
        <v>21007</v>
      </c>
      <c r="AE2420" s="1" t="s">
        <v>21008</v>
      </c>
      <c r="AF2420" s="1">
        <v>2008</v>
      </c>
      <c r="AG2420" s="1" t="s">
        <v>204</v>
      </c>
      <c r="AH2420" s="1" t="s">
        <v>967</v>
      </c>
      <c r="AI2420" s="1" t="s">
        <v>206</v>
      </c>
      <c r="AJ2420" s="1" t="s">
        <v>207</v>
      </c>
      <c r="AL2420" s="1">
        <v>5</v>
      </c>
      <c r="AM2420" s="1">
        <v>2</v>
      </c>
      <c r="AN2420" s="1">
        <v>2</v>
      </c>
      <c r="AO2420" s="1">
        <v>1</v>
      </c>
      <c r="AP2420" s="1" t="s">
        <v>209</v>
      </c>
      <c r="AQ2420" s="1">
        <v>2</v>
      </c>
      <c r="AR2420" s="1" t="s">
        <v>210</v>
      </c>
      <c r="AS2420" s="1" t="s">
        <v>204</v>
      </c>
      <c r="AT2420" s="1" t="s">
        <v>211</v>
      </c>
      <c r="AU2420" s="1">
        <v>2</v>
      </c>
      <c r="AW2420" s="1" t="s">
        <v>204</v>
      </c>
      <c r="AX2420" s="1" t="s">
        <v>212</v>
      </c>
      <c r="AZ2420" s="1">
        <v>11096</v>
      </c>
      <c r="BA2420" s="1">
        <v>2013</v>
      </c>
      <c r="BB2420" s="1" t="s">
        <v>2694</v>
      </c>
      <c r="BE2420" s="1">
        <v>2162</v>
      </c>
      <c r="BF2420" s="1">
        <v>7</v>
      </c>
      <c r="BG2420" s="1">
        <v>0</v>
      </c>
      <c r="BL2420" s="1">
        <v>658</v>
      </c>
      <c r="BM2420" s="1" t="s">
        <v>204</v>
      </c>
      <c r="BN2420" s="1" t="s">
        <v>213</v>
      </c>
      <c r="BO2420" s="1">
        <v>999</v>
      </c>
      <c r="BP2420" s="1" t="s">
        <v>204</v>
      </c>
      <c r="BR2420" s="1" t="str">
        <f>"0516342046"</f>
        <v>0516342046</v>
      </c>
      <c r="BT2420" s="1" t="s">
        <v>21009</v>
      </c>
      <c r="BU2420" s="1" t="s">
        <v>7627</v>
      </c>
      <c r="BV2420" s="1" t="s">
        <v>990</v>
      </c>
      <c r="BW2420" s="1" t="s">
        <v>6456</v>
      </c>
      <c r="BX2420" s="1">
        <v>200</v>
      </c>
      <c r="BY2420" s="1">
        <v>200</v>
      </c>
      <c r="BZ2420" s="1">
        <v>200</v>
      </c>
      <c r="CB2420" s="1" t="str">
        <f t="shared" ref="CB2420:CC2420" si="1853">""</f>
        <v/>
      </c>
      <c r="CC2420" s="1" t="str">
        <f t="shared" si="1853"/>
        <v/>
      </c>
      <c r="CG2420" s="1" t="s">
        <v>21010</v>
      </c>
      <c r="CH2420" s="1" t="s">
        <v>219</v>
      </c>
      <c r="CI2420" s="1" t="s">
        <v>438</v>
      </c>
      <c r="CJ2420" s="1" t="s">
        <v>343</v>
      </c>
      <c r="CK2420" s="1" t="s">
        <v>1533</v>
      </c>
      <c r="CL2420" s="1" t="s">
        <v>219</v>
      </c>
      <c r="CM2420" s="1" t="s">
        <v>220</v>
      </c>
      <c r="CN2420" s="1" t="s">
        <v>463</v>
      </c>
      <c r="CP2420" s="1" t="s">
        <v>224</v>
      </c>
      <c r="CS2420" s="1" t="s">
        <v>465</v>
      </c>
      <c r="CT2420" s="1" t="s">
        <v>219</v>
      </c>
      <c r="CU2420" s="1" t="s">
        <v>220</v>
      </c>
      <c r="CV2420" s="1" t="s">
        <v>343</v>
      </c>
      <c r="CX2420" s="1" t="s">
        <v>224</v>
      </c>
      <c r="DB2420" s="1" t="s">
        <v>224</v>
      </c>
      <c r="DE2420" s="1" t="s">
        <v>602</v>
      </c>
      <c r="DF2420" s="1" t="s">
        <v>219</v>
      </c>
      <c r="DG2420" s="1" t="s">
        <v>438</v>
      </c>
      <c r="DH2420" s="1" t="s">
        <v>343</v>
      </c>
      <c r="DJ2420" s="1" t="s">
        <v>224</v>
      </c>
      <c r="DM2420" s="1" t="s">
        <v>347</v>
      </c>
      <c r="DN2420" s="1" t="s">
        <v>1005</v>
      </c>
      <c r="DR2420" s="1" t="s">
        <v>1533</v>
      </c>
      <c r="DS2420" s="1" t="s">
        <v>219</v>
      </c>
      <c r="DT2420" s="1" t="s">
        <v>226</v>
      </c>
      <c r="DV2420" s="1" t="s">
        <v>7380</v>
      </c>
      <c r="DW2420" s="1" t="s">
        <v>219</v>
      </c>
      <c r="DX2420" s="1" t="s">
        <v>438</v>
      </c>
      <c r="DY2420" s="1" t="s">
        <v>343</v>
      </c>
      <c r="EA2420" s="1" t="s">
        <v>230</v>
      </c>
      <c r="EE2420" s="1" t="s">
        <v>230</v>
      </c>
      <c r="EI2420" s="1" t="s">
        <v>230</v>
      </c>
      <c r="EL2420" s="1" t="s">
        <v>491</v>
      </c>
      <c r="EM2420" s="1" t="s">
        <v>232</v>
      </c>
      <c r="EN2420" s="1" t="s">
        <v>282</v>
      </c>
      <c r="EO2420" s="1" t="s">
        <v>234</v>
      </c>
      <c r="EP2420" s="1" t="s">
        <v>21011</v>
      </c>
      <c r="EQ2420" s="1" t="s">
        <v>2188</v>
      </c>
      <c r="ER2420" s="1" t="s">
        <v>210</v>
      </c>
      <c r="ES2420" s="1" t="s">
        <v>322</v>
      </c>
      <c r="ET2420" s="1" t="s">
        <v>1201</v>
      </c>
      <c r="EU2420" s="1" t="s">
        <v>239</v>
      </c>
      <c r="EV2420" s="1" t="s">
        <v>240</v>
      </c>
      <c r="EW2420" s="1" t="s">
        <v>20106</v>
      </c>
      <c r="EZ2420" s="1" t="s">
        <v>21012</v>
      </c>
      <c r="FA2420" s="1" t="s">
        <v>21013</v>
      </c>
      <c r="FB2420" s="1" t="s">
        <v>289</v>
      </c>
      <c r="FC2420" s="1" t="s">
        <v>1739</v>
      </c>
      <c r="FD2420" s="1" t="s">
        <v>13852</v>
      </c>
      <c r="FE2420" s="1" t="s">
        <v>247</v>
      </c>
      <c r="FF2420" s="1" t="s">
        <v>248</v>
      </c>
      <c r="FG2420" s="1" t="s">
        <v>3933</v>
      </c>
      <c r="FH2420" s="1" t="s">
        <v>249</v>
      </c>
      <c r="FI2420" s="1" t="s">
        <v>250</v>
      </c>
      <c r="FL2420" s="1" t="s">
        <v>358</v>
      </c>
      <c r="FM2420" s="1" t="s">
        <v>252</v>
      </c>
      <c r="FN2420" s="1" t="s">
        <v>213</v>
      </c>
      <c r="FO2420" s="1" t="s">
        <v>213</v>
      </c>
      <c r="FQ2420" s="1" t="s">
        <v>3545</v>
      </c>
      <c r="FR2420" s="1" t="s">
        <v>210</v>
      </c>
      <c r="FS2420" s="1" t="s">
        <v>21014</v>
      </c>
      <c r="FT2420" s="1" t="s">
        <v>295</v>
      </c>
      <c r="FU2420" s="1" t="s">
        <v>204</v>
      </c>
      <c r="FW2420" s="1" t="s">
        <v>915</v>
      </c>
      <c r="FX2420" s="1">
        <v>25088</v>
      </c>
      <c r="FY2420" s="1" t="s">
        <v>1761</v>
      </c>
      <c r="FZ2420" s="1" t="s">
        <v>21015</v>
      </c>
      <c r="GA2420" s="1">
        <v>256237</v>
      </c>
      <c r="GB2420" s="1" t="s">
        <v>21016</v>
      </c>
      <c r="GD2420" s="1" t="s">
        <v>21017</v>
      </c>
      <c r="GE2420" s="1" t="s">
        <v>1333</v>
      </c>
      <c r="GH2420" s="1" t="s">
        <v>800</v>
      </c>
      <c r="GI2420" s="1" t="s">
        <v>213</v>
      </c>
      <c r="GJ2420" s="1" t="s">
        <v>260</v>
      </c>
      <c r="GK2420" s="1" t="s">
        <v>210</v>
      </c>
      <c r="GL2420" s="2">
        <v>42139</v>
      </c>
      <c r="GM2420" s="1" t="s">
        <v>21018</v>
      </c>
    </row>
    <row r="2421" spans="1:195">
      <c r="A2421" s="1">
        <v>212000</v>
      </c>
      <c r="B2421" s="1" t="s">
        <v>195</v>
      </c>
      <c r="C2421" s="1" t="str">
        <f>"08824687"</f>
        <v>08824687</v>
      </c>
      <c r="D2421" s="1" t="s">
        <v>196</v>
      </c>
      <c r="F2421" s="1" t="str">
        <f>"140"</f>
        <v>140</v>
      </c>
      <c r="G2421" s="2">
        <v>42031</v>
      </c>
      <c r="H2421" s="1">
        <v>225000</v>
      </c>
      <c r="I2421" s="1">
        <v>225000</v>
      </c>
      <c r="J2421" s="1">
        <v>212000</v>
      </c>
      <c r="K2421" s="2">
        <v>42031</v>
      </c>
      <c r="L2421" s="1">
        <v>38</v>
      </c>
      <c r="M2421" s="2">
        <v>42068</v>
      </c>
      <c r="N2421" s="1">
        <v>38</v>
      </c>
      <c r="O2421" s="2">
        <v>42068</v>
      </c>
      <c r="P2421" s="1">
        <v>7630</v>
      </c>
      <c r="Q2421" s="1" t="s">
        <v>302</v>
      </c>
      <c r="R2421" s="2">
        <v>42128</v>
      </c>
      <c r="S2421" s="1">
        <v>77883</v>
      </c>
      <c r="U2421" s="1">
        <v>805</v>
      </c>
      <c r="V2421" s="1" t="s">
        <v>5052</v>
      </c>
      <c r="W2421" s="1" t="s">
        <v>264</v>
      </c>
      <c r="Y2421" s="1">
        <v>2</v>
      </c>
      <c r="Z2421" s="1" t="s">
        <v>200</v>
      </c>
      <c r="AA2421" s="1" t="s">
        <v>1658</v>
      </c>
      <c r="AB2421" s="1">
        <v>60140</v>
      </c>
      <c r="AE2421" s="1" t="s">
        <v>21019</v>
      </c>
      <c r="AF2421" s="1">
        <v>2008</v>
      </c>
      <c r="AG2421" s="1" t="s">
        <v>204</v>
      </c>
      <c r="AH2421" s="1" t="s">
        <v>1660</v>
      </c>
      <c r="AI2421" s="1" t="s">
        <v>665</v>
      </c>
      <c r="AJ2421" s="1" t="s">
        <v>1660</v>
      </c>
      <c r="AL2421" s="1">
        <v>8</v>
      </c>
      <c r="AM2421" s="1">
        <v>2</v>
      </c>
      <c r="AN2421" s="1">
        <v>3</v>
      </c>
      <c r="AO2421" s="1">
        <v>0</v>
      </c>
      <c r="AP2421" s="1" t="s">
        <v>209</v>
      </c>
      <c r="AQ2421" s="1">
        <v>1</v>
      </c>
      <c r="AR2421" s="1" t="s">
        <v>1631</v>
      </c>
      <c r="AS2421" s="1" t="s">
        <v>213</v>
      </c>
      <c r="AT2421" s="1" t="s">
        <v>211</v>
      </c>
      <c r="AU2421" s="1">
        <v>2.5</v>
      </c>
      <c r="AW2421" s="1" t="s">
        <v>204</v>
      </c>
      <c r="AX2421" s="1" t="s">
        <v>21020</v>
      </c>
      <c r="AZ2421" s="1">
        <v>5583</v>
      </c>
      <c r="BA2421" s="1">
        <v>2013</v>
      </c>
      <c r="BB2421" s="1" t="s">
        <v>405</v>
      </c>
      <c r="BE2421" s="1">
        <v>1910</v>
      </c>
      <c r="BF2421" s="1">
        <v>1</v>
      </c>
      <c r="BG2421" s="1">
        <v>0</v>
      </c>
      <c r="BL2421" s="1">
        <v>0</v>
      </c>
      <c r="BM2421" s="1" t="s">
        <v>204</v>
      </c>
      <c r="BN2421" s="1" t="s">
        <v>213</v>
      </c>
      <c r="BO2421" s="1" t="s">
        <v>2932</v>
      </c>
      <c r="BP2421" s="1" t="s">
        <v>204</v>
      </c>
      <c r="BR2421" s="1" t="str">
        <f>"0127281012"</f>
        <v>0127281012</v>
      </c>
      <c r="BT2421" s="1" t="s">
        <v>21021</v>
      </c>
      <c r="BU2421" s="1" t="s">
        <v>5057</v>
      </c>
      <c r="BV2421" s="1" t="s">
        <v>754</v>
      </c>
      <c r="BW2421" s="1" t="s">
        <v>755</v>
      </c>
      <c r="BX2421" s="1">
        <v>300</v>
      </c>
      <c r="BY2421" s="1">
        <v>300</v>
      </c>
      <c r="BZ2421" s="1">
        <v>300</v>
      </c>
      <c r="CB2421" s="1" t="str">
        <f t="shared" ref="CB2421:CC2421" si="1854">""</f>
        <v/>
      </c>
      <c r="CC2421" s="1" t="str">
        <f t="shared" si="1854"/>
        <v/>
      </c>
      <c r="CG2421" s="1" t="s">
        <v>8708</v>
      </c>
      <c r="CH2421" s="1" t="s">
        <v>219</v>
      </c>
      <c r="CI2421" s="1" t="s">
        <v>438</v>
      </c>
      <c r="CK2421" s="1" t="s">
        <v>861</v>
      </c>
      <c r="CL2421" s="1" t="s">
        <v>219</v>
      </c>
      <c r="CM2421" s="1" t="s">
        <v>220</v>
      </c>
      <c r="CP2421" s="1" t="s">
        <v>224</v>
      </c>
      <c r="CS2421" s="1" t="s">
        <v>1533</v>
      </c>
      <c r="CT2421" s="1" t="s">
        <v>219</v>
      </c>
      <c r="CU2421" s="1" t="s">
        <v>438</v>
      </c>
      <c r="CW2421" s="1" t="s">
        <v>461</v>
      </c>
      <c r="CX2421" s="1" t="s">
        <v>43</v>
      </c>
      <c r="CY2421" s="1" t="s">
        <v>220</v>
      </c>
      <c r="DB2421" s="1" t="s">
        <v>224</v>
      </c>
      <c r="DE2421" s="1" t="s">
        <v>462</v>
      </c>
      <c r="DF2421" s="1" t="s">
        <v>219</v>
      </c>
      <c r="DG2421" s="1" t="s">
        <v>438</v>
      </c>
      <c r="DI2421" s="1" t="s">
        <v>21022</v>
      </c>
      <c r="DJ2421" s="1" t="s">
        <v>43</v>
      </c>
      <c r="DK2421" s="1" t="s">
        <v>220</v>
      </c>
      <c r="DM2421" s="1" t="s">
        <v>381</v>
      </c>
      <c r="DN2421" s="1" t="s">
        <v>227</v>
      </c>
      <c r="DO2421" s="1" t="s">
        <v>8767</v>
      </c>
      <c r="DP2421" s="1" t="s">
        <v>709</v>
      </c>
      <c r="DR2421" s="1" t="s">
        <v>317</v>
      </c>
      <c r="DS2421" s="1" t="s">
        <v>219</v>
      </c>
      <c r="DT2421" s="1" t="s">
        <v>438</v>
      </c>
      <c r="DV2421" s="1" t="s">
        <v>836</v>
      </c>
      <c r="DW2421" s="1" t="s">
        <v>219</v>
      </c>
      <c r="DX2421" s="1" t="s">
        <v>220</v>
      </c>
      <c r="DZ2421" s="1" t="s">
        <v>379</v>
      </c>
      <c r="EA2421" s="1" t="s">
        <v>219</v>
      </c>
      <c r="ED2421" s="1" t="s">
        <v>317</v>
      </c>
      <c r="EE2421" s="1" t="s">
        <v>219</v>
      </c>
      <c r="EF2421" s="1" t="s">
        <v>438</v>
      </c>
      <c r="EI2421" s="1" t="s">
        <v>230</v>
      </c>
      <c r="EL2421" s="1" t="s">
        <v>491</v>
      </c>
      <c r="EM2421" s="1" t="s">
        <v>319</v>
      </c>
      <c r="EN2421" s="1" t="s">
        <v>282</v>
      </c>
      <c r="EO2421" s="1" t="s">
        <v>234</v>
      </c>
      <c r="EQ2421" s="1" t="s">
        <v>2188</v>
      </c>
      <c r="ER2421" s="1" t="s">
        <v>5804</v>
      </c>
      <c r="ES2421" s="1" t="s">
        <v>3932</v>
      </c>
      <c r="ET2421" s="1" t="s">
        <v>1201</v>
      </c>
      <c r="EW2421" s="1" t="s">
        <v>210</v>
      </c>
      <c r="EY2421" s="1" t="s">
        <v>242</v>
      </c>
      <c r="EZ2421" s="1" t="s">
        <v>21023</v>
      </c>
      <c r="FA2421" s="1" t="s">
        <v>5059</v>
      </c>
      <c r="FB2421" s="1" t="s">
        <v>734</v>
      </c>
      <c r="FD2421" s="1" t="s">
        <v>246</v>
      </c>
      <c r="FE2421" s="1" t="s">
        <v>975</v>
      </c>
      <c r="FF2421" s="1" t="s">
        <v>248</v>
      </c>
      <c r="FG2421" s="1" t="s">
        <v>912</v>
      </c>
      <c r="FH2421" s="1" t="s">
        <v>442</v>
      </c>
      <c r="FI2421" s="1" t="s">
        <v>357</v>
      </c>
      <c r="FL2421" s="1" t="s">
        <v>358</v>
      </c>
      <c r="FM2421" s="1" t="s">
        <v>252</v>
      </c>
      <c r="FN2421" s="1" t="s">
        <v>213</v>
      </c>
      <c r="FO2421" s="1" t="s">
        <v>213</v>
      </c>
      <c r="FQ2421" s="1" t="s">
        <v>1758</v>
      </c>
      <c r="FR2421" s="1" t="s">
        <v>210</v>
      </c>
      <c r="FS2421" s="1" t="s">
        <v>21024</v>
      </c>
      <c r="FT2421" s="1" t="s">
        <v>1139</v>
      </c>
      <c r="FU2421" s="1" t="s">
        <v>204</v>
      </c>
      <c r="FW2421" s="1" t="s">
        <v>10007</v>
      </c>
      <c r="FX2421" s="1">
        <v>5115</v>
      </c>
      <c r="FY2421" s="1" t="s">
        <v>10008</v>
      </c>
      <c r="FZ2421" s="1" t="s">
        <v>10009</v>
      </c>
      <c r="GA2421" s="1">
        <v>53605</v>
      </c>
      <c r="GB2421" s="1" t="s">
        <v>10010</v>
      </c>
      <c r="GD2421" s="1" t="s">
        <v>10011</v>
      </c>
      <c r="GE2421" s="1" t="s">
        <v>480</v>
      </c>
      <c r="GI2421" s="1" t="s">
        <v>213</v>
      </c>
      <c r="GJ2421" s="1" t="s">
        <v>260</v>
      </c>
      <c r="GK2421" s="1" t="s">
        <v>210</v>
      </c>
      <c r="GL2421" s="2">
        <v>42128</v>
      </c>
      <c r="GM2421" s="1" t="s">
        <v>21025</v>
      </c>
    </row>
    <row r="2422" spans="1:195">
      <c r="A2422" s="1">
        <v>197500</v>
      </c>
      <c r="B2422" s="1" t="s">
        <v>195</v>
      </c>
      <c r="C2422" s="1" t="str">
        <f>"08823044"</f>
        <v>08823044</v>
      </c>
      <c r="D2422" s="1" t="s">
        <v>196</v>
      </c>
      <c r="F2422" s="1" t="str">
        <f>"8041"</f>
        <v>8041</v>
      </c>
      <c r="G2422" s="2">
        <v>42027</v>
      </c>
      <c r="H2422" s="1">
        <v>229000</v>
      </c>
      <c r="I2422" s="1">
        <v>219900</v>
      </c>
      <c r="J2422" s="1">
        <v>197500</v>
      </c>
      <c r="K2422" s="2">
        <v>42027</v>
      </c>
      <c r="L2422" s="1">
        <v>232</v>
      </c>
      <c r="M2422" s="2">
        <v>42081</v>
      </c>
      <c r="N2422" s="1">
        <v>55</v>
      </c>
      <c r="O2422" s="2">
        <v>42081</v>
      </c>
      <c r="P2422" s="1">
        <v>18705</v>
      </c>
      <c r="Q2422" s="1" t="s">
        <v>197</v>
      </c>
      <c r="R2422" s="2">
        <v>42104</v>
      </c>
      <c r="S2422" s="1">
        <v>875546</v>
      </c>
      <c r="U2422" s="1">
        <v>5339</v>
      </c>
      <c r="V2422" s="1" t="s">
        <v>560</v>
      </c>
      <c r="W2422" s="1" t="s">
        <v>425</v>
      </c>
      <c r="X2422" s="1">
        <v>1</v>
      </c>
      <c r="Y2422" s="1">
        <v>54</v>
      </c>
      <c r="Z2422" s="1" t="s">
        <v>249</v>
      </c>
      <c r="AA2422" s="1" t="s">
        <v>400</v>
      </c>
      <c r="AB2422" s="1">
        <v>60615</v>
      </c>
      <c r="AD2422" s="1" t="s">
        <v>21026</v>
      </c>
      <c r="AE2422" s="1" t="s">
        <v>21027</v>
      </c>
      <c r="AF2422" s="1">
        <v>1910</v>
      </c>
      <c r="AG2422" s="1" t="s">
        <v>213</v>
      </c>
      <c r="AH2422" s="1" t="s">
        <v>403</v>
      </c>
      <c r="AI2422" s="1" t="s">
        <v>310</v>
      </c>
      <c r="AJ2422" s="1" t="s">
        <v>562</v>
      </c>
      <c r="AL2422" s="1">
        <v>5</v>
      </c>
      <c r="AM2422" s="1">
        <v>2</v>
      </c>
      <c r="AN2422" s="1">
        <v>2</v>
      </c>
      <c r="AO2422" s="1">
        <v>0</v>
      </c>
      <c r="AP2422" s="1" t="s">
        <v>209</v>
      </c>
      <c r="AQ2422" s="1">
        <v>1</v>
      </c>
      <c r="AR2422" s="1" t="s">
        <v>210</v>
      </c>
      <c r="AS2422" s="1" t="s">
        <v>204</v>
      </c>
      <c r="AT2422" s="1" t="s">
        <v>210</v>
      </c>
      <c r="AW2422" s="1" t="s">
        <v>204</v>
      </c>
      <c r="AX2422" s="1" t="s">
        <v>212</v>
      </c>
      <c r="AZ2422" s="1">
        <v>3051.1</v>
      </c>
      <c r="BA2422" s="1">
        <v>2013</v>
      </c>
      <c r="BE2422" s="1">
        <v>1018</v>
      </c>
      <c r="BF2422" s="1">
        <v>1</v>
      </c>
      <c r="BG2422" s="1">
        <v>30</v>
      </c>
      <c r="BL2422" s="1">
        <v>308</v>
      </c>
      <c r="BM2422" s="1" t="s">
        <v>204</v>
      </c>
      <c r="BN2422" s="1" t="s">
        <v>213</v>
      </c>
      <c r="BO2422" s="1">
        <v>999</v>
      </c>
      <c r="BP2422" s="1" t="s">
        <v>204</v>
      </c>
      <c r="BR2422" s="1" t="str">
        <f>"20114180111019"</f>
        <v>20114180111019</v>
      </c>
      <c r="BT2422" s="1" t="s">
        <v>21028</v>
      </c>
      <c r="BX2422" s="1">
        <v>299</v>
      </c>
      <c r="BY2422" s="1">
        <v>299</v>
      </c>
      <c r="BZ2422" s="1">
        <v>299</v>
      </c>
      <c r="CB2422" s="1" t="str">
        <f>"0"</f>
        <v>0</v>
      </c>
      <c r="CC2422" s="1" t="str">
        <f>"1500"</f>
        <v>1500</v>
      </c>
      <c r="CD2422" s="1">
        <v>0</v>
      </c>
      <c r="CE2422" s="1">
        <v>5339</v>
      </c>
      <c r="CG2422" s="1" t="s">
        <v>1853</v>
      </c>
      <c r="CH2422" s="1" t="s">
        <v>219</v>
      </c>
      <c r="CI2422" s="1" t="s">
        <v>438</v>
      </c>
      <c r="CK2422" s="1" t="s">
        <v>1854</v>
      </c>
      <c r="CL2422" s="1" t="s">
        <v>219</v>
      </c>
      <c r="CM2422" s="1" t="s">
        <v>438</v>
      </c>
      <c r="CO2422" s="1" t="s">
        <v>629</v>
      </c>
      <c r="CP2422" s="1" t="s">
        <v>219</v>
      </c>
      <c r="CS2422" s="1" t="s">
        <v>1107</v>
      </c>
      <c r="CT2422" s="1" t="s">
        <v>219</v>
      </c>
      <c r="CU2422" s="1" t="s">
        <v>438</v>
      </c>
      <c r="CX2422" s="1" t="s">
        <v>224</v>
      </c>
      <c r="DB2422" s="1" t="s">
        <v>224</v>
      </c>
      <c r="DE2422" s="1" t="s">
        <v>1854</v>
      </c>
      <c r="DF2422" s="1" t="s">
        <v>219</v>
      </c>
      <c r="DJ2422" s="1" t="s">
        <v>224</v>
      </c>
      <c r="DM2422" s="1" t="s">
        <v>838</v>
      </c>
      <c r="DR2422" s="1" t="s">
        <v>910</v>
      </c>
      <c r="DS2422" s="1" t="s">
        <v>219</v>
      </c>
      <c r="DW2422" s="1" t="s">
        <v>230</v>
      </c>
      <c r="EA2422" s="1" t="s">
        <v>230</v>
      </c>
      <c r="EE2422" s="1" t="s">
        <v>230</v>
      </c>
      <c r="EI2422" s="1" t="s">
        <v>230</v>
      </c>
      <c r="EL2422" s="1" t="s">
        <v>787</v>
      </c>
      <c r="EM2422" s="1" t="s">
        <v>730</v>
      </c>
      <c r="EN2422" s="1" t="s">
        <v>282</v>
      </c>
      <c r="EO2422" s="1" t="s">
        <v>234</v>
      </c>
      <c r="EP2422" s="1" t="s">
        <v>21029</v>
      </c>
      <c r="EQ2422" s="1" t="s">
        <v>492</v>
      </c>
      <c r="ER2422" s="1" t="s">
        <v>210</v>
      </c>
      <c r="ES2422" s="1" t="s">
        <v>322</v>
      </c>
      <c r="EV2422" s="1" t="s">
        <v>240</v>
      </c>
      <c r="EW2422" s="1" t="s">
        <v>937</v>
      </c>
      <c r="EY2422" s="1" t="s">
        <v>242</v>
      </c>
      <c r="EZ2422" s="1" t="s">
        <v>838</v>
      </c>
      <c r="FB2422" s="1" t="s">
        <v>1505</v>
      </c>
      <c r="FC2422" s="1" t="s">
        <v>1362</v>
      </c>
      <c r="FD2422" s="1" t="s">
        <v>246</v>
      </c>
      <c r="FE2422" s="1" t="s">
        <v>247</v>
      </c>
      <c r="FF2422" s="1" t="s">
        <v>248</v>
      </c>
      <c r="FG2422" s="1" t="s">
        <v>912</v>
      </c>
      <c r="FH2422" s="1" t="s">
        <v>13744</v>
      </c>
      <c r="FJ2422" s="1" t="s">
        <v>1251</v>
      </c>
      <c r="FL2422" s="1" t="s">
        <v>358</v>
      </c>
      <c r="FM2422" s="1" t="s">
        <v>252</v>
      </c>
      <c r="FN2422" s="1" t="s">
        <v>213</v>
      </c>
      <c r="FO2422" s="1" t="s">
        <v>213</v>
      </c>
      <c r="FQ2422" s="1" t="s">
        <v>5000</v>
      </c>
      <c r="FR2422" s="1" t="s">
        <v>210</v>
      </c>
      <c r="FS2422" s="1" t="s">
        <v>21030</v>
      </c>
      <c r="FT2422" s="1" t="s">
        <v>255</v>
      </c>
      <c r="FU2422" s="1" t="s">
        <v>204</v>
      </c>
      <c r="FW2422" s="1" t="s">
        <v>13354</v>
      </c>
      <c r="FX2422" s="1">
        <v>12937</v>
      </c>
      <c r="FY2422" s="1" t="s">
        <v>13355</v>
      </c>
      <c r="FZ2422" s="1" t="s">
        <v>19952</v>
      </c>
      <c r="GA2422" s="1">
        <v>119250</v>
      </c>
      <c r="GB2422" s="1" t="s">
        <v>19953</v>
      </c>
      <c r="GE2422" s="1" t="s">
        <v>2504</v>
      </c>
      <c r="GH2422" s="1" t="s">
        <v>421</v>
      </c>
      <c r="GI2422" s="1" t="s">
        <v>213</v>
      </c>
      <c r="GJ2422" s="1" t="s">
        <v>260</v>
      </c>
      <c r="GK2422" s="1" t="s">
        <v>210</v>
      </c>
      <c r="GL2422" s="2">
        <v>42104</v>
      </c>
      <c r="GM2422" s="1" t="s">
        <v>21031</v>
      </c>
    </row>
    <row r="2423" spans="1:195">
      <c r="A2423" s="1">
        <v>128900</v>
      </c>
      <c r="B2423" s="1" t="s">
        <v>195</v>
      </c>
      <c r="C2423" s="1" t="str">
        <f>"08826603"</f>
        <v>08826603</v>
      </c>
      <c r="D2423" s="1" t="s">
        <v>196</v>
      </c>
      <c r="F2423" s="1" t="str">
        <f>"538"</f>
        <v>538</v>
      </c>
      <c r="G2423" s="2">
        <v>42033</v>
      </c>
      <c r="H2423" s="1">
        <v>130995</v>
      </c>
      <c r="I2423" s="1">
        <v>130995</v>
      </c>
      <c r="J2423" s="1">
        <v>128900</v>
      </c>
      <c r="K2423" s="2">
        <v>42033</v>
      </c>
      <c r="L2423" s="1">
        <v>101</v>
      </c>
      <c r="M2423" s="2">
        <v>42045</v>
      </c>
      <c r="N2423" s="1">
        <v>13</v>
      </c>
      <c r="O2423" s="2">
        <v>42045</v>
      </c>
      <c r="P2423" s="1">
        <v>22029</v>
      </c>
      <c r="Q2423" s="1" t="s">
        <v>302</v>
      </c>
      <c r="R2423" s="2">
        <v>42079</v>
      </c>
      <c r="S2423" s="1">
        <v>237987</v>
      </c>
      <c r="U2423" s="1">
        <v>55</v>
      </c>
      <c r="V2423" s="1" t="s">
        <v>21032</v>
      </c>
      <c r="W2423" s="1" t="s">
        <v>449</v>
      </c>
      <c r="X2423" s="1">
        <v>55</v>
      </c>
      <c r="Y2423" s="1">
        <v>5</v>
      </c>
      <c r="Z2423" s="1" t="s">
        <v>370</v>
      </c>
      <c r="AA2423" s="1" t="s">
        <v>450</v>
      </c>
      <c r="AB2423" s="1">
        <v>60538</v>
      </c>
      <c r="AD2423" s="1" t="s">
        <v>21033</v>
      </c>
      <c r="AE2423" s="1" t="s">
        <v>21034</v>
      </c>
      <c r="AF2423" s="1">
        <v>1987</v>
      </c>
      <c r="AG2423" s="1" t="s">
        <v>204</v>
      </c>
      <c r="AH2423" s="1" t="s">
        <v>452</v>
      </c>
      <c r="AI2423" s="1" t="s">
        <v>453</v>
      </c>
      <c r="AJ2423" s="1" t="s">
        <v>1397</v>
      </c>
      <c r="AL2423" s="1">
        <v>5</v>
      </c>
      <c r="AM2423" s="1">
        <v>2</v>
      </c>
      <c r="AN2423" s="1">
        <v>2</v>
      </c>
      <c r="AO2423" s="1">
        <v>0</v>
      </c>
      <c r="AP2423" s="1" t="s">
        <v>209</v>
      </c>
      <c r="AQ2423" s="1">
        <v>0</v>
      </c>
      <c r="AR2423" s="1" t="s">
        <v>210</v>
      </c>
      <c r="AS2423" s="1" t="s">
        <v>204</v>
      </c>
      <c r="AT2423" s="1" t="s">
        <v>211</v>
      </c>
      <c r="AU2423" s="1">
        <v>2</v>
      </c>
      <c r="AW2423" s="1" t="s">
        <v>204</v>
      </c>
      <c r="AX2423" s="1" t="s">
        <v>21035</v>
      </c>
      <c r="AZ2423" s="1">
        <v>4435</v>
      </c>
      <c r="BA2423" s="1">
        <v>2013</v>
      </c>
      <c r="BB2423" s="1" t="s">
        <v>210</v>
      </c>
      <c r="BE2423" s="1">
        <v>1198</v>
      </c>
      <c r="BF2423" s="1">
        <v>1</v>
      </c>
      <c r="BG2423" s="1">
        <v>0</v>
      </c>
      <c r="BJ2423" s="1">
        <v>100</v>
      </c>
      <c r="BL2423" s="1">
        <v>110</v>
      </c>
      <c r="BM2423" s="1" t="s">
        <v>204</v>
      </c>
      <c r="BN2423" s="1" t="s">
        <v>213</v>
      </c>
      <c r="BO2423" s="1">
        <v>999</v>
      </c>
      <c r="BP2423" s="1" t="s">
        <v>204</v>
      </c>
      <c r="BR2423" s="1" t="str">
        <f>"0304285004"</f>
        <v>0304285004</v>
      </c>
      <c r="BT2423" s="1" t="s">
        <v>21036</v>
      </c>
      <c r="BX2423" s="1">
        <v>308</v>
      </c>
      <c r="BY2423" s="1">
        <v>308</v>
      </c>
      <c r="BZ2423" s="1">
        <v>308</v>
      </c>
      <c r="CB2423" s="1" t="str">
        <f>"37"</f>
        <v>37</v>
      </c>
      <c r="CC2423" s="1" t="str">
        <f>"8"</f>
        <v>8</v>
      </c>
      <c r="CG2423" s="1" t="s">
        <v>628</v>
      </c>
      <c r="CH2423" s="1" t="s">
        <v>219</v>
      </c>
      <c r="CI2423" s="1" t="s">
        <v>220</v>
      </c>
      <c r="CJ2423" s="1" t="s">
        <v>252</v>
      </c>
      <c r="CK2423" s="1" t="s">
        <v>228</v>
      </c>
      <c r="CL2423" s="1" t="s">
        <v>219</v>
      </c>
      <c r="CM2423" s="1" t="s">
        <v>220</v>
      </c>
      <c r="CN2423" s="1" t="s">
        <v>252</v>
      </c>
      <c r="CO2423" s="1" t="s">
        <v>346</v>
      </c>
      <c r="CP2423" s="1" t="s">
        <v>219</v>
      </c>
      <c r="CQ2423" s="1" t="s">
        <v>226</v>
      </c>
      <c r="CR2423" s="1" t="s">
        <v>252</v>
      </c>
      <c r="CS2423" s="1" t="s">
        <v>757</v>
      </c>
      <c r="CT2423" s="1" t="s">
        <v>219</v>
      </c>
      <c r="CU2423" s="1" t="s">
        <v>220</v>
      </c>
      <c r="CV2423" s="1" t="s">
        <v>252</v>
      </c>
      <c r="CX2423" s="1" t="s">
        <v>224</v>
      </c>
      <c r="DB2423" s="1" t="s">
        <v>224</v>
      </c>
      <c r="DE2423" s="1" t="s">
        <v>318</v>
      </c>
      <c r="DF2423" s="1" t="s">
        <v>219</v>
      </c>
      <c r="DG2423" s="1" t="s">
        <v>226</v>
      </c>
      <c r="DH2423" s="1" t="s">
        <v>210</v>
      </c>
      <c r="DJ2423" s="1" t="s">
        <v>224</v>
      </c>
      <c r="DS2423" s="1" t="s">
        <v>230</v>
      </c>
      <c r="DW2423" s="1" t="s">
        <v>230</v>
      </c>
      <c r="EA2423" s="1" t="s">
        <v>230</v>
      </c>
      <c r="EE2423" s="1" t="s">
        <v>230</v>
      </c>
      <c r="EI2423" s="1" t="s">
        <v>230</v>
      </c>
      <c r="EL2423" s="1" t="s">
        <v>542</v>
      </c>
      <c r="EM2423" s="1" t="s">
        <v>319</v>
      </c>
      <c r="EN2423" s="1" t="s">
        <v>282</v>
      </c>
      <c r="EO2423" s="1" t="s">
        <v>234</v>
      </c>
      <c r="EQ2423" s="1" t="s">
        <v>1094</v>
      </c>
      <c r="ER2423" s="1" t="s">
        <v>210</v>
      </c>
      <c r="EV2423" s="1" t="s">
        <v>324</v>
      </c>
      <c r="EW2423" s="1" t="s">
        <v>867</v>
      </c>
      <c r="EY2423" s="1" t="s">
        <v>242</v>
      </c>
      <c r="EZ2423" s="1" t="s">
        <v>287</v>
      </c>
      <c r="FA2423" s="1" t="s">
        <v>1072</v>
      </c>
      <c r="FB2423" s="1" t="s">
        <v>289</v>
      </c>
      <c r="FC2423" s="1" t="s">
        <v>326</v>
      </c>
      <c r="FD2423" s="1" t="s">
        <v>246</v>
      </c>
      <c r="FE2423" s="1" t="s">
        <v>975</v>
      </c>
      <c r="FF2423" s="1" t="s">
        <v>248</v>
      </c>
      <c r="FH2423" s="1" t="s">
        <v>3013</v>
      </c>
      <c r="FI2423" s="1" t="s">
        <v>473</v>
      </c>
      <c r="FL2423" s="1" t="s">
        <v>358</v>
      </c>
      <c r="FM2423" s="1" t="s">
        <v>252</v>
      </c>
      <c r="FN2423" s="1" t="s">
        <v>213</v>
      </c>
      <c r="FO2423" s="1" t="s">
        <v>213</v>
      </c>
      <c r="FQ2423" s="1" t="s">
        <v>793</v>
      </c>
      <c r="FR2423" s="1" t="s">
        <v>210</v>
      </c>
      <c r="FS2423" s="1" t="s">
        <v>21037</v>
      </c>
      <c r="FT2423" s="1" t="s">
        <v>520</v>
      </c>
      <c r="FU2423" s="1" t="s">
        <v>204</v>
      </c>
      <c r="FV2423" s="1" t="s">
        <v>21038</v>
      </c>
      <c r="FW2423" s="1" t="s">
        <v>1898</v>
      </c>
      <c r="FX2423" s="1">
        <v>23030</v>
      </c>
      <c r="FY2423" s="1" t="s">
        <v>1899</v>
      </c>
      <c r="FZ2423" s="1" t="s">
        <v>21039</v>
      </c>
      <c r="GA2423" s="1">
        <v>232249</v>
      </c>
      <c r="GB2423" s="1" t="s">
        <v>21040</v>
      </c>
      <c r="GE2423" s="1" t="s">
        <v>623</v>
      </c>
      <c r="GI2423" s="1" t="s">
        <v>213</v>
      </c>
      <c r="GJ2423" s="1" t="s">
        <v>260</v>
      </c>
      <c r="GK2423" s="1" t="s">
        <v>210</v>
      </c>
      <c r="GL2423" s="2">
        <v>42079</v>
      </c>
      <c r="GM2423" s="1" t="s">
        <v>21041</v>
      </c>
    </row>
    <row r="2424" spans="1:195">
      <c r="A2424" s="1">
        <v>124000</v>
      </c>
      <c r="B2424" s="1" t="s">
        <v>195</v>
      </c>
      <c r="C2424" s="1" t="str">
        <f>"08820996"</f>
        <v>08820996</v>
      </c>
      <c r="D2424" s="1" t="s">
        <v>196</v>
      </c>
      <c r="F2424" s="1" t="str">
        <f t="shared" ref="F2424:F2425" si="1855">"540"</f>
        <v>540</v>
      </c>
      <c r="G2424" s="2">
        <v>42025</v>
      </c>
      <c r="H2424" s="1">
        <v>125000</v>
      </c>
      <c r="I2424" s="1">
        <v>125000</v>
      </c>
      <c r="J2424" s="1">
        <v>124000</v>
      </c>
      <c r="K2424" s="2">
        <v>42025</v>
      </c>
      <c r="L2424" s="1">
        <v>7</v>
      </c>
      <c r="M2424" s="2">
        <v>42031</v>
      </c>
      <c r="N2424" s="1">
        <v>7</v>
      </c>
      <c r="O2424" s="2">
        <v>42031</v>
      </c>
      <c r="P2424" s="1">
        <v>23156</v>
      </c>
      <c r="Q2424" s="1" t="s">
        <v>197</v>
      </c>
      <c r="R2424" s="2">
        <v>42094</v>
      </c>
      <c r="S2424" s="1">
        <v>234019</v>
      </c>
      <c r="U2424" s="1">
        <v>95</v>
      </c>
      <c r="V2424" s="1" t="s">
        <v>8123</v>
      </c>
      <c r="W2424" s="1" t="s">
        <v>264</v>
      </c>
      <c r="X2424" s="1">
        <v>10</v>
      </c>
      <c r="Y2424" s="1">
        <v>6</v>
      </c>
      <c r="Z2424" s="1" t="s">
        <v>249</v>
      </c>
      <c r="AA2424" s="1" t="s">
        <v>921</v>
      </c>
      <c r="AB2424" s="1">
        <v>60540</v>
      </c>
      <c r="AD2424" s="1" t="s">
        <v>21042</v>
      </c>
      <c r="AE2424" s="1" t="s">
        <v>21043</v>
      </c>
      <c r="AF2424" s="1">
        <v>1980</v>
      </c>
      <c r="AG2424" s="1" t="s">
        <v>204</v>
      </c>
      <c r="AH2424" s="1" t="s">
        <v>924</v>
      </c>
      <c r="AI2424" s="1" t="s">
        <v>206</v>
      </c>
      <c r="AJ2424" s="1" t="s">
        <v>925</v>
      </c>
      <c r="AL2424" s="1">
        <v>5</v>
      </c>
      <c r="AM2424" s="1">
        <v>2</v>
      </c>
      <c r="AN2424" s="1">
        <v>2</v>
      </c>
      <c r="AO2424" s="1">
        <v>0</v>
      </c>
      <c r="AP2424" s="1" t="s">
        <v>209</v>
      </c>
      <c r="AQ2424" s="1">
        <v>1</v>
      </c>
      <c r="AR2424" s="1" t="s">
        <v>210</v>
      </c>
      <c r="AS2424" s="1" t="s">
        <v>204</v>
      </c>
      <c r="AT2424" s="1" t="s">
        <v>375</v>
      </c>
      <c r="AU2424" s="1">
        <v>1</v>
      </c>
      <c r="AV2424" s="1">
        <v>1</v>
      </c>
      <c r="AW2424" s="1" t="s">
        <v>204</v>
      </c>
      <c r="AX2424" s="1" t="s">
        <v>212</v>
      </c>
      <c r="AZ2424" s="1">
        <v>2521</v>
      </c>
      <c r="BA2424" s="1">
        <v>2013</v>
      </c>
      <c r="BB2424" s="1" t="s">
        <v>405</v>
      </c>
      <c r="BE2424" s="1">
        <v>1014</v>
      </c>
      <c r="BF2424" s="1">
        <v>1</v>
      </c>
      <c r="BG2424" s="1">
        <v>0</v>
      </c>
      <c r="BJ2424" s="1">
        <v>100</v>
      </c>
      <c r="BL2424" s="1">
        <v>256</v>
      </c>
      <c r="BM2424" s="1" t="s">
        <v>204</v>
      </c>
      <c r="BN2424" s="1" t="s">
        <v>213</v>
      </c>
      <c r="BO2424" s="1">
        <v>99</v>
      </c>
      <c r="BP2424" s="1" t="s">
        <v>204</v>
      </c>
      <c r="BR2424" s="1" t="str">
        <f>"0817315043"</f>
        <v>0817315043</v>
      </c>
      <c r="BT2424" s="1" t="s">
        <v>21044</v>
      </c>
      <c r="BU2424" s="1" t="s">
        <v>21045</v>
      </c>
      <c r="BV2424" s="1" t="s">
        <v>7259</v>
      </c>
      <c r="BW2424" s="1" t="s">
        <v>2825</v>
      </c>
      <c r="BX2424" s="1">
        <v>203</v>
      </c>
      <c r="BY2424" s="1">
        <v>203</v>
      </c>
      <c r="BZ2424" s="1">
        <v>203</v>
      </c>
      <c r="CB2424" s="1" t="str">
        <f t="shared" ref="CB2424:CC2424" si="1856">"0"</f>
        <v>0</v>
      </c>
      <c r="CC2424" s="1" t="str">
        <f t="shared" si="1856"/>
        <v>0</v>
      </c>
      <c r="CD2424" s="1">
        <v>25</v>
      </c>
      <c r="CE2424" s="1">
        <v>6</v>
      </c>
      <c r="CG2424" s="1" t="s">
        <v>932</v>
      </c>
      <c r="CH2424" s="1" t="s">
        <v>219</v>
      </c>
      <c r="CI2424" s="1" t="s">
        <v>220</v>
      </c>
      <c r="CK2424" s="1" t="s">
        <v>317</v>
      </c>
      <c r="CL2424" s="1" t="s">
        <v>219</v>
      </c>
      <c r="CM2424" s="1" t="s">
        <v>220</v>
      </c>
      <c r="CO2424" s="1" t="s">
        <v>1046</v>
      </c>
      <c r="CP2424" s="1" t="s">
        <v>219</v>
      </c>
      <c r="CQ2424" s="1" t="s">
        <v>220</v>
      </c>
      <c r="CR2424" s="1" t="s">
        <v>210</v>
      </c>
      <c r="CS2424" s="1" t="s">
        <v>465</v>
      </c>
      <c r="CT2424" s="1" t="s">
        <v>219</v>
      </c>
      <c r="CU2424" s="1" t="s">
        <v>220</v>
      </c>
      <c r="CX2424" s="1" t="s">
        <v>224</v>
      </c>
      <c r="DB2424" s="1" t="s">
        <v>224</v>
      </c>
      <c r="DE2424" s="1" t="s">
        <v>539</v>
      </c>
      <c r="DF2424" s="1" t="s">
        <v>219</v>
      </c>
      <c r="DG2424" s="1" t="s">
        <v>226</v>
      </c>
      <c r="DJ2424" s="1" t="s">
        <v>224</v>
      </c>
      <c r="DS2424" s="1" t="s">
        <v>230</v>
      </c>
      <c r="DW2424" s="1" t="s">
        <v>230</v>
      </c>
      <c r="EA2424" s="1" t="s">
        <v>230</v>
      </c>
      <c r="EE2424" s="1" t="s">
        <v>230</v>
      </c>
      <c r="EI2424" s="1" t="s">
        <v>230</v>
      </c>
      <c r="EL2424" s="1" t="s">
        <v>231</v>
      </c>
      <c r="EM2424" s="1" t="s">
        <v>232</v>
      </c>
      <c r="EN2424" s="1" t="s">
        <v>282</v>
      </c>
      <c r="EO2424" s="1" t="s">
        <v>840</v>
      </c>
      <c r="EP2424" s="1" t="s">
        <v>20205</v>
      </c>
      <c r="EQ2424" s="1" t="s">
        <v>1867</v>
      </c>
      <c r="ER2424" s="1" t="s">
        <v>210</v>
      </c>
      <c r="ES2424" s="1" t="s">
        <v>824</v>
      </c>
      <c r="EU2424" s="1" t="s">
        <v>239</v>
      </c>
      <c r="EV2424" s="1" t="s">
        <v>240</v>
      </c>
      <c r="EW2424" s="1" t="s">
        <v>937</v>
      </c>
      <c r="EY2424" s="1" t="s">
        <v>242</v>
      </c>
      <c r="EZ2424" s="1" t="s">
        <v>287</v>
      </c>
      <c r="FA2424" s="1" t="s">
        <v>1554</v>
      </c>
      <c r="FB2424" s="1" t="s">
        <v>289</v>
      </c>
      <c r="FC2424" s="1" t="s">
        <v>633</v>
      </c>
      <c r="FD2424" s="1" t="s">
        <v>246</v>
      </c>
      <c r="FE2424" s="1" t="s">
        <v>549</v>
      </c>
      <c r="FF2424" s="1" t="s">
        <v>248</v>
      </c>
      <c r="FG2424" s="1" t="s">
        <v>21046</v>
      </c>
      <c r="FH2424" s="1" t="s">
        <v>249</v>
      </c>
      <c r="FI2424" s="1" t="s">
        <v>357</v>
      </c>
      <c r="FK2424" s="1" t="s">
        <v>291</v>
      </c>
      <c r="FL2424" s="1" t="s">
        <v>292</v>
      </c>
      <c r="FM2424" s="1" t="s">
        <v>252</v>
      </c>
      <c r="FN2424" s="1" t="s">
        <v>213</v>
      </c>
      <c r="FO2424" s="1" t="s">
        <v>213</v>
      </c>
      <c r="FQ2424" s="1" t="s">
        <v>329</v>
      </c>
      <c r="FR2424" s="1" t="s">
        <v>210</v>
      </c>
      <c r="FS2424" s="1" t="s">
        <v>21047</v>
      </c>
      <c r="FT2424" s="1" t="s">
        <v>520</v>
      </c>
      <c r="FU2424" s="1" t="s">
        <v>204</v>
      </c>
      <c r="FW2424" s="1" t="s">
        <v>1475</v>
      </c>
      <c r="FX2424" s="1">
        <v>23265</v>
      </c>
      <c r="FY2424" s="1" t="s">
        <v>1476</v>
      </c>
      <c r="FZ2424" s="1" t="s">
        <v>7360</v>
      </c>
      <c r="GA2424" s="1">
        <v>232075</v>
      </c>
      <c r="GB2424" s="1" t="s">
        <v>7361</v>
      </c>
      <c r="GC2424" s="1">
        <v>225730</v>
      </c>
      <c r="GD2424" s="1" t="s">
        <v>7362</v>
      </c>
      <c r="GE2424" s="1" t="s">
        <v>658</v>
      </c>
      <c r="GI2424" s="1" t="s">
        <v>213</v>
      </c>
      <c r="GJ2424" s="1" t="s">
        <v>260</v>
      </c>
      <c r="GK2424" s="1" t="s">
        <v>261</v>
      </c>
      <c r="GL2424" s="2">
        <v>42094</v>
      </c>
      <c r="GM2424" s="1" t="s">
        <v>21048</v>
      </c>
    </row>
    <row r="2425" spans="1:195">
      <c r="A2425" s="1">
        <v>172000</v>
      </c>
      <c r="B2425" s="1" t="s">
        <v>195</v>
      </c>
      <c r="C2425" s="1" t="str">
        <f>"08822230"</f>
        <v>08822230</v>
      </c>
      <c r="D2425" s="1" t="s">
        <v>196</v>
      </c>
      <c r="F2425" s="1" t="str">
        <f t="shared" si="1855"/>
        <v>540</v>
      </c>
      <c r="G2425" s="2">
        <v>42026</v>
      </c>
      <c r="H2425" s="1">
        <v>199500</v>
      </c>
      <c r="I2425" s="1">
        <v>179499</v>
      </c>
      <c r="J2425" s="1">
        <v>172000</v>
      </c>
      <c r="K2425" s="2">
        <v>42025</v>
      </c>
      <c r="L2425" s="1">
        <v>73</v>
      </c>
      <c r="M2425" s="2">
        <v>42097</v>
      </c>
      <c r="N2425" s="1">
        <v>73</v>
      </c>
      <c r="O2425" s="2">
        <v>42097</v>
      </c>
      <c r="P2425" s="1">
        <v>23076</v>
      </c>
      <c r="Q2425" s="1" t="s">
        <v>197</v>
      </c>
      <c r="R2425" s="2">
        <v>42144</v>
      </c>
      <c r="S2425" s="1">
        <v>234147</v>
      </c>
      <c r="U2425" s="1">
        <v>910</v>
      </c>
      <c r="V2425" s="1" t="s">
        <v>12325</v>
      </c>
      <c r="W2425" s="1" t="s">
        <v>449</v>
      </c>
      <c r="X2425" s="1">
        <v>910</v>
      </c>
      <c r="Y2425" s="1">
        <v>6</v>
      </c>
      <c r="Z2425" s="1" t="s">
        <v>249</v>
      </c>
      <c r="AA2425" s="1" t="s">
        <v>921</v>
      </c>
      <c r="AB2425" s="1">
        <v>60563</v>
      </c>
      <c r="AD2425" s="1" t="s">
        <v>11365</v>
      </c>
      <c r="AE2425" s="1" t="s">
        <v>21049</v>
      </c>
      <c r="AF2425" s="1">
        <v>1998</v>
      </c>
      <c r="AG2425" s="1" t="s">
        <v>204</v>
      </c>
      <c r="AH2425" s="1" t="s">
        <v>924</v>
      </c>
      <c r="AI2425" s="1" t="s">
        <v>206</v>
      </c>
      <c r="AJ2425" s="1" t="s">
        <v>924</v>
      </c>
      <c r="AL2425" s="1">
        <v>5</v>
      </c>
      <c r="AM2425" s="1">
        <v>2</v>
      </c>
      <c r="AN2425" s="1">
        <v>2</v>
      </c>
      <c r="AO2425" s="1">
        <v>1</v>
      </c>
      <c r="AP2425" s="1" t="s">
        <v>209</v>
      </c>
      <c r="AR2425" s="1" t="s">
        <v>210</v>
      </c>
      <c r="AS2425" s="1" t="s">
        <v>204</v>
      </c>
      <c r="AT2425" s="1" t="s">
        <v>211</v>
      </c>
      <c r="AU2425" s="1">
        <v>1</v>
      </c>
      <c r="AW2425" s="1" t="s">
        <v>204</v>
      </c>
      <c r="AX2425" s="1" t="s">
        <v>212</v>
      </c>
      <c r="AZ2425" s="1">
        <v>3702</v>
      </c>
      <c r="BA2425" s="1">
        <v>2013</v>
      </c>
      <c r="BB2425" s="1" t="s">
        <v>405</v>
      </c>
      <c r="BE2425" s="1">
        <v>1400</v>
      </c>
      <c r="BF2425" s="1">
        <v>1</v>
      </c>
      <c r="BG2425" s="1">
        <v>30</v>
      </c>
      <c r="BL2425" s="1">
        <v>145</v>
      </c>
      <c r="BM2425" s="1" t="s">
        <v>204</v>
      </c>
      <c r="BN2425" s="1" t="s">
        <v>213</v>
      </c>
      <c r="BO2425" s="1">
        <v>99</v>
      </c>
      <c r="BP2425" s="1" t="s">
        <v>204</v>
      </c>
      <c r="BR2425" s="1" t="str">
        <f>"0710311021"</f>
        <v>0710311021</v>
      </c>
      <c r="BT2425" s="1" t="s">
        <v>21050</v>
      </c>
      <c r="BU2425" s="1" t="s">
        <v>1247</v>
      </c>
      <c r="BV2425" s="1" t="s">
        <v>1248</v>
      </c>
      <c r="BW2425" s="1" t="s">
        <v>1131</v>
      </c>
      <c r="BX2425" s="1">
        <v>204</v>
      </c>
      <c r="BY2425" s="1">
        <v>204</v>
      </c>
      <c r="BZ2425" s="1">
        <v>204</v>
      </c>
      <c r="CB2425" s="1" t="str">
        <f t="shared" ref="CB2425:CC2425" si="1857">"0"</f>
        <v>0</v>
      </c>
      <c r="CC2425" s="1" t="str">
        <f t="shared" si="1857"/>
        <v>0</v>
      </c>
      <c r="CD2425" s="1">
        <v>29</v>
      </c>
      <c r="CE2425" s="1">
        <v>5</v>
      </c>
      <c r="CG2425" s="1" t="s">
        <v>278</v>
      </c>
      <c r="CH2425" s="1" t="s">
        <v>219</v>
      </c>
      <c r="CI2425" s="1" t="s">
        <v>229</v>
      </c>
      <c r="CJ2425" s="1" t="s">
        <v>343</v>
      </c>
      <c r="CK2425" s="1" t="s">
        <v>278</v>
      </c>
      <c r="CL2425" s="1" t="s">
        <v>277</v>
      </c>
      <c r="CM2425" s="1" t="s">
        <v>220</v>
      </c>
      <c r="CN2425" s="1" t="s">
        <v>463</v>
      </c>
      <c r="CO2425" s="1" t="s">
        <v>951</v>
      </c>
      <c r="CP2425" s="1" t="s">
        <v>219</v>
      </c>
      <c r="CQ2425" s="1" t="s">
        <v>229</v>
      </c>
      <c r="CR2425" s="1" t="s">
        <v>463</v>
      </c>
      <c r="CS2425" s="1" t="s">
        <v>757</v>
      </c>
      <c r="CT2425" s="1" t="s">
        <v>277</v>
      </c>
      <c r="CU2425" s="1" t="s">
        <v>220</v>
      </c>
      <c r="CV2425" s="1" t="s">
        <v>2449</v>
      </c>
      <c r="CX2425" s="1" t="s">
        <v>224</v>
      </c>
      <c r="DB2425" s="1" t="s">
        <v>224</v>
      </c>
      <c r="DE2425" s="1" t="s">
        <v>21051</v>
      </c>
      <c r="DF2425" s="1" t="s">
        <v>219</v>
      </c>
      <c r="DG2425" s="1" t="s">
        <v>229</v>
      </c>
      <c r="DH2425" s="1" t="s">
        <v>210</v>
      </c>
      <c r="DJ2425" s="1" t="s">
        <v>224</v>
      </c>
      <c r="DM2425" s="1" t="s">
        <v>1771</v>
      </c>
      <c r="DR2425" s="1" t="s">
        <v>4260</v>
      </c>
      <c r="DS2425" s="1" t="s">
        <v>277</v>
      </c>
      <c r="DW2425" s="1" t="s">
        <v>230</v>
      </c>
      <c r="EA2425" s="1" t="s">
        <v>230</v>
      </c>
      <c r="EE2425" s="1" t="s">
        <v>230</v>
      </c>
      <c r="EI2425" s="1" t="s">
        <v>230</v>
      </c>
      <c r="EL2425" s="1" t="s">
        <v>670</v>
      </c>
      <c r="EM2425" s="1" t="s">
        <v>232</v>
      </c>
      <c r="EN2425" s="1" t="s">
        <v>282</v>
      </c>
      <c r="EO2425" s="1" t="s">
        <v>234</v>
      </c>
      <c r="EP2425" s="1" t="s">
        <v>650</v>
      </c>
      <c r="EQ2425" s="1" t="s">
        <v>4462</v>
      </c>
      <c r="ER2425" s="1" t="s">
        <v>210</v>
      </c>
      <c r="ES2425" s="1" t="s">
        <v>824</v>
      </c>
      <c r="ET2425" s="1" t="s">
        <v>238</v>
      </c>
      <c r="EU2425" s="1" t="s">
        <v>239</v>
      </c>
      <c r="EV2425" s="1" t="s">
        <v>240</v>
      </c>
      <c r="EW2425" s="1" t="s">
        <v>911</v>
      </c>
      <c r="EY2425" s="1" t="s">
        <v>790</v>
      </c>
      <c r="EZ2425" s="1" t="s">
        <v>1771</v>
      </c>
      <c r="FA2425" s="1" t="s">
        <v>471</v>
      </c>
      <c r="FB2425" s="1" t="s">
        <v>289</v>
      </c>
      <c r="FC2425" s="1" t="s">
        <v>548</v>
      </c>
      <c r="FD2425" s="1" t="s">
        <v>246</v>
      </c>
      <c r="FE2425" s="1" t="s">
        <v>472</v>
      </c>
      <c r="FF2425" s="1" t="s">
        <v>248</v>
      </c>
      <c r="FH2425" s="1" t="s">
        <v>550</v>
      </c>
      <c r="FI2425" s="1" t="s">
        <v>357</v>
      </c>
      <c r="FJ2425" s="1" t="s">
        <v>21052</v>
      </c>
      <c r="FL2425" s="1" t="s">
        <v>358</v>
      </c>
      <c r="FM2425" s="1" t="s">
        <v>252</v>
      </c>
      <c r="FN2425" s="1" t="s">
        <v>213</v>
      </c>
      <c r="FO2425" s="1" t="s">
        <v>204</v>
      </c>
      <c r="FQ2425" s="1" t="s">
        <v>20980</v>
      </c>
      <c r="FR2425" s="1" t="s">
        <v>210</v>
      </c>
      <c r="FS2425" s="1" t="s">
        <v>21053</v>
      </c>
      <c r="FT2425" s="1" t="s">
        <v>255</v>
      </c>
      <c r="FU2425" s="1" t="s">
        <v>204</v>
      </c>
      <c r="FV2425" s="1" t="s">
        <v>4720</v>
      </c>
      <c r="FW2425" s="1" t="s">
        <v>5648</v>
      </c>
      <c r="FX2425" s="1">
        <v>23099</v>
      </c>
      <c r="FY2425" s="1" t="s">
        <v>5649</v>
      </c>
      <c r="FZ2425" s="1" t="s">
        <v>21054</v>
      </c>
      <c r="GA2425" s="1">
        <v>239041</v>
      </c>
      <c r="GD2425" s="1" t="s">
        <v>21055</v>
      </c>
      <c r="GE2425" s="1" t="s">
        <v>210</v>
      </c>
      <c r="GI2425" s="1" t="s">
        <v>213</v>
      </c>
      <c r="GJ2425" s="1" t="s">
        <v>300</v>
      </c>
      <c r="GK2425" s="1" t="s">
        <v>261</v>
      </c>
      <c r="GL2425" s="2">
        <v>42146</v>
      </c>
    </row>
    <row r="2426" spans="1:195">
      <c r="A2426" s="1">
        <v>152000</v>
      </c>
      <c r="B2426" s="1" t="s">
        <v>195</v>
      </c>
      <c r="C2426" s="1" t="str">
        <f>"08822585"</f>
        <v>08822585</v>
      </c>
      <c r="D2426" s="1" t="s">
        <v>196</v>
      </c>
      <c r="F2426" s="1" t="str">
        <f>"510"</f>
        <v>510</v>
      </c>
      <c r="G2426" s="2">
        <v>42027</v>
      </c>
      <c r="H2426" s="1">
        <v>157900</v>
      </c>
      <c r="I2426" s="1">
        <v>157900</v>
      </c>
      <c r="J2426" s="1">
        <v>152000</v>
      </c>
      <c r="K2426" s="2">
        <v>42027</v>
      </c>
      <c r="L2426" s="1">
        <v>220</v>
      </c>
      <c r="M2426" s="2">
        <v>42033</v>
      </c>
      <c r="N2426" s="1">
        <v>7</v>
      </c>
      <c r="O2426" s="2">
        <v>42033</v>
      </c>
      <c r="P2426" s="1">
        <v>5148</v>
      </c>
      <c r="Q2426" s="1" t="s">
        <v>197</v>
      </c>
      <c r="R2426" s="2">
        <v>42111</v>
      </c>
      <c r="S2426" s="1">
        <v>56110</v>
      </c>
      <c r="T2426" s="1">
        <v>2000</v>
      </c>
      <c r="U2426" s="1">
        <v>321</v>
      </c>
      <c r="V2426" s="1" t="s">
        <v>21056</v>
      </c>
      <c r="W2426" s="1" t="s">
        <v>725</v>
      </c>
      <c r="X2426" s="1">
        <v>321</v>
      </c>
      <c r="Y2426" s="1">
        <v>6</v>
      </c>
      <c r="Z2426" s="1" t="s">
        <v>370</v>
      </c>
      <c r="AA2426" s="1" t="s">
        <v>947</v>
      </c>
      <c r="AB2426" s="1">
        <v>60510</v>
      </c>
      <c r="AD2426" s="1" t="s">
        <v>18054</v>
      </c>
      <c r="AE2426" s="1" t="s">
        <v>21057</v>
      </c>
      <c r="AF2426" s="1">
        <v>1992</v>
      </c>
      <c r="AG2426" s="1" t="s">
        <v>204</v>
      </c>
      <c r="AH2426" s="1" t="s">
        <v>949</v>
      </c>
      <c r="AI2426" s="1" t="s">
        <v>665</v>
      </c>
      <c r="AJ2426" s="1" t="s">
        <v>949</v>
      </c>
      <c r="AL2426" s="1">
        <v>7</v>
      </c>
      <c r="AM2426" s="1">
        <v>2</v>
      </c>
      <c r="AN2426" s="1">
        <v>2</v>
      </c>
      <c r="AO2426" s="1">
        <v>1</v>
      </c>
      <c r="AP2426" s="1" t="s">
        <v>209</v>
      </c>
      <c r="AR2426" s="1" t="s">
        <v>210</v>
      </c>
      <c r="AS2426" s="1" t="s">
        <v>204</v>
      </c>
      <c r="AT2426" s="1" t="s">
        <v>211</v>
      </c>
      <c r="AU2426" s="1">
        <v>1</v>
      </c>
      <c r="AW2426" s="1" t="s">
        <v>204</v>
      </c>
      <c r="AX2426" s="1" t="s">
        <v>212</v>
      </c>
      <c r="AZ2426" s="1">
        <v>3706.28</v>
      </c>
      <c r="BA2426" s="1">
        <v>2013</v>
      </c>
      <c r="BB2426" s="1" t="s">
        <v>405</v>
      </c>
      <c r="BE2426" s="1">
        <v>1350</v>
      </c>
      <c r="BF2426" s="1">
        <v>1</v>
      </c>
      <c r="BG2426" s="1">
        <v>0</v>
      </c>
      <c r="BL2426" s="1">
        <v>207</v>
      </c>
      <c r="BM2426" s="1" t="s">
        <v>204</v>
      </c>
      <c r="BN2426" s="1" t="s">
        <v>213</v>
      </c>
      <c r="BO2426" s="1" t="s">
        <v>21058</v>
      </c>
      <c r="BP2426" s="1" t="s">
        <v>204</v>
      </c>
      <c r="BR2426" s="1" t="str">
        <f>"1216361030"</f>
        <v>1216361030</v>
      </c>
      <c r="BT2426" s="1" t="s">
        <v>21059</v>
      </c>
      <c r="BX2426" s="1">
        <v>101</v>
      </c>
      <c r="BY2426" s="1">
        <v>101</v>
      </c>
      <c r="BZ2426" s="1">
        <v>101</v>
      </c>
      <c r="CB2426" s="1" t="str">
        <f t="shared" ref="CB2426:CC2426" si="1858">"0"</f>
        <v>0</v>
      </c>
      <c r="CC2426" s="1" t="str">
        <f t="shared" si="1858"/>
        <v>0</v>
      </c>
      <c r="CD2426" s="1">
        <v>36</v>
      </c>
      <c r="CE2426" s="1">
        <v>1</v>
      </c>
      <c r="CG2426" s="1" t="s">
        <v>315</v>
      </c>
      <c r="CH2426" s="1" t="s">
        <v>219</v>
      </c>
      <c r="CI2426" s="1" t="s">
        <v>220</v>
      </c>
      <c r="CJ2426" s="1" t="s">
        <v>439</v>
      </c>
      <c r="CK2426" s="1" t="s">
        <v>1178</v>
      </c>
      <c r="CL2426" s="1" t="s">
        <v>277</v>
      </c>
      <c r="CM2426" s="1" t="s">
        <v>220</v>
      </c>
      <c r="CO2426" s="1" t="s">
        <v>346</v>
      </c>
      <c r="CP2426" s="1" t="s">
        <v>219</v>
      </c>
      <c r="CQ2426" s="1" t="s">
        <v>220</v>
      </c>
      <c r="CS2426" s="1" t="s">
        <v>346</v>
      </c>
      <c r="CT2426" s="1" t="s">
        <v>277</v>
      </c>
      <c r="CU2426" s="1" t="s">
        <v>220</v>
      </c>
      <c r="CX2426" s="1" t="s">
        <v>224</v>
      </c>
      <c r="DB2426" s="1" t="s">
        <v>224</v>
      </c>
      <c r="DE2426" s="1" t="s">
        <v>346</v>
      </c>
      <c r="DF2426" s="1" t="s">
        <v>219</v>
      </c>
      <c r="DG2426" s="1" t="s">
        <v>226</v>
      </c>
      <c r="DH2426" s="1" t="s">
        <v>210</v>
      </c>
      <c r="DJ2426" s="1" t="s">
        <v>224</v>
      </c>
      <c r="DM2426" s="1" t="s">
        <v>464</v>
      </c>
      <c r="DN2426" s="1" t="s">
        <v>381</v>
      </c>
      <c r="DR2426" s="1" t="s">
        <v>378</v>
      </c>
      <c r="DS2426" s="1" t="s">
        <v>277</v>
      </c>
      <c r="DT2426" s="1" t="s">
        <v>220</v>
      </c>
      <c r="DU2426" s="1" t="s">
        <v>210</v>
      </c>
      <c r="DV2426" s="1" t="s">
        <v>489</v>
      </c>
      <c r="DW2426" s="1" t="s">
        <v>219</v>
      </c>
      <c r="DX2426" s="1" t="s">
        <v>226</v>
      </c>
      <c r="DY2426" s="1" t="s">
        <v>210</v>
      </c>
      <c r="EA2426" s="1" t="s">
        <v>230</v>
      </c>
      <c r="EE2426" s="1" t="s">
        <v>230</v>
      </c>
      <c r="EI2426" s="1" t="s">
        <v>230</v>
      </c>
      <c r="EL2426" s="1" t="s">
        <v>382</v>
      </c>
      <c r="EM2426" s="1" t="s">
        <v>319</v>
      </c>
      <c r="EN2426" s="1" t="s">
        <v>282</v>
      </c>
      <c r="EO2426" s="1" t="s">
        <v>234</v>
      </c>
      <c r="EQ2426" s="1" t="s">
        <v>236</v>
      </c>
      <c r="ER2426" s="1" t="s">
        <v>383</v>
      </c>
      <c r="ES2426" s="1" t="s">
        <v>322</v>
      </c>
      <c r="EV2426" s="1" t="s">
        <v>240</v>
      </c>
      <c r="EW2426" s="1" t="s">
        <v>353</v>
      </c>
      <c r="EY2426" s="1" t="s">
        <v>242</v>
      </c>
      <c r="EZ2426" s="1" t="s">
        <v>4284</v>
      </c>
      <c r="FA2426" s="1" t="s">
        <v>1072</v>
      </c>
      <c r="FB2426" s="1" t="s">
        <v>289</v>
      </c>
      <c r="FC2426" s="1" t="s">
        <v>1386</v>
      </c>
      <c r="FD2426" s="1" t="s">
        <v>246</v>
      </c>
      <c r="FE2426" s="1" t="s">
        <v>355</v>
      </c>
      <c r="FF2426" s="1" t="s">
        <v>248</v>
      </c>
      <c r="FH2426" s="1" t="s">
        <v>550</v>
      </c>
      <c r="FI2426" s="1" t="s">
        <v>473</v>
      </c>
      <c r="FJ2426" s="1" t="s">
        <v>197</v>
      </c>
      <c r="FL2426" s="1" t="s">
        <v>414</v>
      </c>
      <c r="FM2426" s="1" t="s">
        <v>252</v>
      </c>
      <c r="FN2426" s="1" t="s">
        <v>213</v>
      </c>
      <c r="FO2426" s="1" t="s">
        <v>213</v>
      </c>
      <c r="FQ2426" s="1" t="s">
        <v>21060</v>
      </c>
      <c r="FR2426" s="1" t="s">
        <v>210</v>
      </c>
      <c r="FS2426" s="1" t="s">
        <v>21061</v>
      </c>
      <c r="FT2426" s="1" t="s">
        <v>1139</v>
      </c>
      <c r="FU2426" s="1" t="s">
        <v>204</v>
      </c>
      <c r="FW2426" s="1" t="s">
        <v>676</v>
      </c>
      <c r="FX2426" s="1">
        <v>30</v>
      </c>
      <c r="FY2426" s="1" t="s">
        <v>677</v>
      </c>
      <c r="FZ2426" s="1" t="s">
        <v>21062</v>
      </c>
      <c r="GA2426" s="1">
        <v>1490</v>
      </c>
      <c r="GB2426" s="1" t="s">
        <v>21063</v>
      </c>
      <c r="GD2426" s="1" t="s">
        <v>21064</v>
      </c>
      <c r="GE2426" s="1" t="s">
        <v>480</v>
      </c>
      <c r="GI2426" s="1" t="s">
        <v>213</v>
      </c>
      <c r="GJ2426" s="1" t="s">
        <v>260</v>
      </c>
      <c r="GK2426" s="1" t="s">
        <v>210</v>
      </c>
      <c r="GL2426" s="2">
        <v>42111</v>
      </c>
    </row>
    <row r="2427" spans="1:195">
      <c r="A2427" s="1">
        <v>216000</v>
      </c>
      <c r="B2427" s="1" t="s">
        <v>195</v>
      </c>
      <c r="C2427" s="1" t="str">
        <f>"08830511"</f>
        <v>08830511</v>
      </c>
      <c r="D2427" s="1" t="s">
        <v>196</v>
      </c>
      <c r="F2427" s="1" t="str">
        <f t="shared" ref="F2427:F2428" si="1859">"540"</f>
        <v>540</v>
      </c>
      <c r="G2427" s="2">
        <v>42039</v>
      </c>
      <c r="H2427" s="1">
        <v>219900</v>
      </c>
      <c r="I2427" s="1">
        <v>219900</v>
      </c>
      <c r="J2427" s="1">
        <v>216000</v>
      </c>
      <c r="K2427" s="2">
        <v>42039</v>
      </c>
      <c r="L2427" s="1">
        <v>7</v>
      </c>
      <c r="M2427" s="2">
        <v>42045</v>
      </c>
      <c r="N2427" s="1">
        <v>7</v>
      </c>
      <c r="O2427" s="2">
        <v>42045</v>
      </c>
      <c r="P2427" s="1">
        <v>8073</v>
      </c>
      <c r="Q2427" s="1" t="s">
        <v>197</v>
      </c>
      <c r="R2427" s="2">
        <v>42093</v>
      </c>
      <c r="S2427" s="1">
        <v>81720</v>
      </c>
      <c r="U2427" s="1">
        <v>3257</v>
      </c>
      <c r="V2427" s="1" t="s">
        <v>7594</v>
      </c>
      <c r="W2427" s="1" t="s">
        <v>304</v>
      </c>
      <c r="Y2427" s="1">
        <v>6</v>
      </c>
      <c r="Z2427" s="1" t="s">
        <v>370</v>
      </c>
      <c r="AA2427" s="1" t="s">
        <v>921</v>
      </c>
      <c r="AB2427" s="1">
        <v>60564</v>
      </c>
      <c r="AE2427" s="1" t="s">
        <v>21065</v>
      </c>
      <c r="AF2427" s="1">
        <v>2000</v>
      </c>
      <c r="AG2427" s="1" t="s">
        <v>204</v>
      </c>
      <c r="AH2427" s="1" t="s">
        <v>924</v>
      </c>
      <c r="AI2427" s="1" t="s">
        <v>1800</v>
      </c>
      <c r="AJ2427" s="1" t="s">
        <v>1801</v>
      </c>
      <c r="AL2427" s="1">
        <v>6</v>
      </c>
      <c r="AM2427" s="1">
        <v>2</v>
      </c>
      <c r="AN2427" s="1">
        <v>2</v>
      </c>
      <c r="AO2427" s="1">
        <v>1</v>
      </c>
      <c r="AP2427" s="1" t="s">
        <v>209</v>
      </c>
      <c r="AR2427" s="1" t="s">
        <v>210</v>
      </c>
      <c r="AS2427" s="1" t="s">
        <v>204</v>
      </c>
      <c r="AT2427" s="1" t="s">
        <v>211</v>
      </c>
      <c r="AU2427" s="1">
        <v>2</v>
      </c>
      <c r="AW2427" s="1" t="s">
        <v>213</v>
      </c>
      <c r="AX2427" s="1" t="s">
        <v>212</v>
      </c>
      <c r="AZ2427" s="1">
        <v>5165.04</v>
      </c>
      <c r="BA2427" s="1">
        <v>2013</v>
      </c>
      <c r="BE2427" s="1">
        <v>1700</v>
      </c>
      <c r="BF2427" s="1">
        <v>1</v>
      </c>
      <c r="BG2427" s="1">
        <v>0</v>
      </c>
      <c r="BL2427" s="1">
        <v>195</v>
      </c>
      <c r="BM2427" s="1" t="s">
        <v>204</v>
      </c>
      <c r="BN2427" s="1" t="s">
        <v>213</v>
      </c>
      <c r="BO2427" s="1">
        <v>999</v>
      </c>
      <c r="BP2427" s="1" t="s">
        <v>204</v>
      </c>
      <c r="BR2427" s="1" t="str">
        <f>"01092040530000"</f>
        <v>01092040530000</v>
      </c>
      <c r="BT2427" s="1" t="s">
        <v>21066</v>
      </c>
      <c r="BU2427" s="1" t="s">
        <v>7599</v>
      </c>
      <c r="BV2427" s="1" t="s">
        <v>2217</v>
      </c>
      <c r="BW2427" s="1" t="s">
        <v>1312</v>
      </c>
      <c r="BX2427" s="1">
        <v>204</v>
      </c>
      <c r="BY2427" s="1">
        <v>204</v>
      </c>
      <c r="BZ2427" s="1">
        <v>204</v>
      </c>
      <c r="CB2427" s="1" t="str">
        <f t="shared" ref="CB2427:CC2427" si="1860">""</f>
        <v/>
      </c>
      <c r="CC2427" s="1" t="str">
        <f t="shared" si="1860"/>
        <v/>
      </c>
      <c r="CG2427" s="1" t="s">
        <v>1570</v>
      </c>
      <c r="CH2427" s="1" t="s">
        <v>219</v>
      </c>
      <c r="CI2427" s="1" t="s">
        <v>438</v>
      </c>
      <c r="CJ2427" s="1" t="s">
        <v>343</v>
      </c>
      <c r="CK2427" s="1" t="s">
        <v>885</v>
      </c>
      <c r="CL2427" s="1" t="s">
        <v>277</v>
      </c>
      <c r="CM2427" s="1" t="s">
        <v>220</v>
      </c>
      <c r="CN2427" s="1" t="s">
        <v>343</v>
      </c>
      <c r="CO2427" s="1" t="s">
        <v>629</v>
      </c>
      <c r="CP2427" s="1" t="s">
        <v>219</v>
      </c>
      <c r="CQ2427" s="1" t="s">
        <v>438</v>
      </c>
      <c r="CR2427" s="1" t="s">
        <v>343</v>
      </c>
      <c r="CS2427" s="1" t="s">
        <v>465</v>
      </c>
      <c r="CT2427" s="1" t="s">
        <v>277</v>
      </c>
      <c r="CU2427" s="1" t="s">
        <v>220</v>
      </c>
      <c r="CV2427" s="1" t="s">
        <v>343</v>
      </c>
      <c r="CX2427" s="1" t="s">
        <v>224</v>
      </c>
      <c r="DB2427" s="1" t="s">
        <v>224</v>
      </c>
      <c r="DE2427" s="1" t="s">
        <v>344</v>
      </c>
      <c r="DF2427" s="1" t="s">
        <v>219</v>
      </c>
      <c r="DG2427" s="1" t="s">
        <v>438</v>
      </c>
      <c r="DH2427" s="1" t="s">
        <v>210</v>
      </c>
      <c r="DJ2427" s="1" t="s">
        <v>224</v>
      </c>
      <c r="DM2427" s="1" t="s">
        <v>227</v>
      </c>
      <c r="DR2427" s="1" t="s">
        <v>461</v>
      </c>
      <c r="DS2427" s="1" t="s">
        <v>219</v>
      </c>
      <c r="DT2427" s="1" t="s">
        <v>438</v>
      </c>
      <c r="DU2427" s="1" t="s">
        <v>343</v>
      </c>
      <c r="DW2427" s="1" t="s">
        <v>230</v>
      </c>
      <c r="EA2427" s="1" t="s">
        <v>230</v>
      </c>
      <c r="EE2427" s="1" t="s">
        <v>230</v>
      </c>
      <c r="EI2427" s="1" t="s">
        <v>230</v>
      </c>
      <c r="EL2427" s="1" t="s">
        <v>466</v>
      </c>
      <c r="EM2427" s="1" t="s">
        <v>232</v>
      </c>
      <c r="EN2427" s="1" t="s">
        <v>282</v>
      </c>
      <c r="EO2427" s="1" t="s">
        <v>234</v>
      </c>
      <c r="EP2427" s="1" t="s">
        <v>650</v>
      </c>
      <c r="EQ2427" s="1" t="s">
        <v>5876</v>
      </c>
      <c r="ER2427" s="1" t="s">
        <v>210</v>
      </c>
      <c r="ES2427" s="1" t="s">
        <v>824</v>
      </c>
      <c r="EU2427" s="1" t="s">
        <v>21067</v>
      </c>
      <c r="EV2427" s="1" t="s">
        <v>240</v>
      </c>
      <c r="EW2427" s="1" t="s">
        <v>867</v>
      </c>
      <c r="EZ2427" s="1" t="s">
        <v>227</v>
      </c>
      <c r="FD2427" s="1" t="s">
        <v>246</v>
      </c>
      <c r="FE2427" s="1" t="s">
        <v>975</v>
      </c>
      <c r="FF2427" s="1" t="s">
        <v>248</v>
      </c>
      <c r="FH2427" s="1" t="s">
        <v>550</v>
      </c>
      <c r="FL2427" s="1" t="s">
        <v>414</v>
      </c>
      <c r="FM2427" s="1" t="s">
        <v>252</v>
      </c>
      <c r="FN2427" s="1" t="s">
        <v>213</v>
      </c>
      <c r="FO2427" s="1" t="s">
        <v>213</v>
      </c>
      <c r="FQ2427" s="1" t="s">
        <v>1884</v>
      </c>
      <c r="FR2427" s="1" t="s">
        <v>210</v>
      </c>
      <c r="FS2427" s="1" t="s">
        <v>21068</v>
      </c>
      <c r="FT2427" s="1" t="s">
        <v>1139</v>
      </c>
      <c r="FU2427" s="1" t="s">
        <v>204</v>
      </c>
      <c r="FW2427" s="1" t="s">
        <v>585</v>
      </c>
      <c r="FX2427" s="1">
        <v>23156</v>
      </c>
      <c r="FY2427" s="1" t="s">
        <v>1253</v>
      </c>
      <c r="FZ2427" s="1" t="s">
        <v>21069</v>
      </c>
      <c r="GA2427" s="1">
        <v>217270</v>
      </c>
      <c r="GB2427" s="1" t="s">
        <v>21070</v>
      </c>
      <c r="GE2427" s="1" t="s">
        <v>480</v>
      </c>
      <c r="GI2427" s="1" t="s">
        <v>213</v>
      </c>
      <c r="GJ2427" s="1" t="s">
        <v>260</v>
      </c>
      <c r="GK2427" s="1" t="s">
        <v>1413</v>
      </c>
      <c r="GL2427" s="2">
        <v>42093</v>
      </c>
      <c r="GM2427" s="1" t="s">
        <v>21071</v>
      </c>
    </row>
    <row r="2428" spans="1:195">
      <c r="A2428" s="1">
        <v>180000</v>
      </c>
      <c r="B2428" s="1" t="s">
        <v>195</v>
      </c>
      <c r="C2428" s="1" t="str">
        <f>"08821713"</f>
        <v>08821713</v>
      </c>
      <c r="D2428" s="1" t="s">
        <v>196</v>
      </c>
      <c r="F2428" s="1" t="str">
        <f t="shared" si="1859"/>
        <v>540</v>
      </c>
      <c r="G2428" s="2">
        <v>42026</v>
      </c>
      <c r="H2428" s="1">
        <v>180000</v>
      </c>
      <c r="I2428" s="1">
        <v>180000</v>
      </c>
      <c r="J2428" s="1">
        <v>180000</v>
      </c>
      <c r="K2428" s="2">
        <v>42025</v>
      </c>
      <c r="L2428" s="1">
        <v>1</v>
      </c>
      <c r="M2428" s="2">
        <v>42025</v>
      </c>
      <c r="N2428" s="1">
        <v>1</v>
      </c>
      <c r="O2428" s="2">
        <v>42025</v>
      </c>
      <c r="P2428" s="1">
        <v>25042</v>
      </c>
      <c r="Q2428" s="1" t="s">
        <v>302</v>
      </c>
      <c r="R2428" s="2">
        <v>42033</v>
      </c>
      <c r="S2428" s="1">
        <v>215007</v>
      </c>
      <c r="U2428" s="1">
        <v>2922</v>
      </c>
      <c r="V2428" s="1" t="s">
        <v>4860</v>
      </c>
      <c r="W2428" s="1" t="s">
        <v>304</v>
      </c>
      <c r="X2428" s="1">
        <v>2922</v>
      </c>
      <c r="Y2428" s="1">
        <v>1</v>
      </c>
      <c r="Z2428" s="1" t="s">
        <v>200</v>
      </c>
      <c r="AA2428" s="1" t="s">
        <v>921</v>
      </c>
      <c r="AB2428" s="1">
        <v>60564</v>
      </c>
      <c r="AD2428" s="1" t="s">
        <v>2213</v>
      </c>
      <c r="AE2428" s="1" t="s">
        <v>21072</v>
      </c>
      <c r="AF2428" s="1">
        <v>2000</v>
      </c>
      <c r="AG2428" s="1" t="s">
        <v>204</v>
      </c>
      <c r="AH2428" s="1" t="s">
        <v>924</v>
      </c>
      <c r="AI2428" s="1" t="s">
        <v>1800</v>
      </c>
      <c r="AJ2428" s="1" t="s">
        <v>1801</v>
      </c>
      <c r="AK2428" s="1" t="s">
        <v>6170</v>
      </c>
      <c r="AL2428" s="1">
        <v>8</v>
      </c>
      <c r="AM2428" s="1">
        <v>2</v>
      </c>
      <c r="AN2428" s="1">
        <v>2</v>
      </c>
      <c r="AO2428" s="1">
        <v>1</v>
      </c>
      <c r="AP2428" s="1" t="s">
        <v>209</v>
      </c>
      <c r="AQ2428" s="1">
        <v>1</v>
      </c>
      <c r="AR2428" s="1" t="s">
        <v>209</v>
      </c>
      <c r="AS2428" s="1" t="s">
        <v>204</v>
      </c>
      <c r="AT2428" s="1" t="s">
        <v>211</v>
      </c>
      <c r="AU2428" s="1">
        <v>2</v>
      </c>
      <c r="AW2428" s="1" t="s">
        <v>213</v>
      </c>
      <c r="AX2428" s="1" t="s">
        <v>212</v>
      </c>
      <c r="AZ2428" s="1">
        <v>4245.22</v>
      </c>
      <c r="BA2428" s="1">
        <v>2013</v>
      </c>
      <c r="BB2428" s="1" t="s">
        <v>405</v>
      </c>
      <c r="BE2428" s="1">
        <v>1500</v>
      </c>
      <c r="BF2428" s="1">
        <v>1</v>
      </c>
      <c r="BG2428" s="1">
        <v>0</v>
      </c>
      <c r="BL2428" s="1">
        <v>175</v>
      </c>
      <c r="BM2428" s="1" t="s">
        <v>204</v>
      </c>
      <c r="BN2428" s="1" t="s">
        <v>213</v>
      </c>
      <c r="BO2428" s="1">
        <v>100</v>
      </c>
      <c r="BP2428" s="1" t="s">
        <v>204</v>
      </c>
      <c r="BR2428" s="1" t="str">
        <f>"01031040081004"</f>
        <v>01031040081004</v>
      </c>
      <c r="BT2428" s="1" t="s">
        <v>21073</v>
      </c>
      <c r="BU2428" s="1" t="s">
        <v>2216</v>
      </c>
      <c r="BV2428" s="1" t="s">
        <v>2217</v>
      </c>
      <c r="BW2428" s="1" t="s">
        <v>2218</v>
      </c>
      <c r="BX2428" s="1">
        <v>204</v>
      </c>
      <c r="BY2428" s="1">
        <v>204</v>
      </c>
      <c r="BZ2428" s="1">
        <v>204</v>
      </c>
      <c r="CB2428" s="1" t="str">
        <f t="shared" ref="CB2428:CC2428" si="1861">"0"</f>
        <v>0</v>
      </c>
      <c r="CC2428" s="1" t="str">
        <f t="shared" si="1861"/>
        <v>0</v>
      </c>
      <c r="CD2428" s="1">
        <v>20</v>
      </c>
      <c r="CE2428" s="1">
        <v>10</v>
      </c>
      <c r="CG2428" s="1" t="s">
        <v>465</v>
      </c>
      <c r="CH2428" s="1" t="s">
        <v>219</v>
      </c>
      <c r="CI2428" s="1" t="s">
        <v>220</v>
      </c>
      <c r="CK2428" s="1" t="s">
        <v>317</v>
      </c>
      <c r="CL2428" s="1" t="s">
        <v>277</v>
      </c>
      <c r="CM2428" s="1" t="s">
        <v>220</v>
      </c>
      <c r="CO2428" s="1" t="s">
        <v>837</v>
      </c>
      <c r="CP2428" s="1" t="s">
        <v>219</v>
      </c>
      <c r="CQ2428" s="1" t="s">
        <v>220</v>
      </c>
      <c r="CS2428" s="1" t="s">
        <v>346</v>
      </c>
      <c r="CT2428" s="1" t="s">
        <v>277</v>
      </c>
      <c r="CU2428" s="1" t="s">
        <v>220</v>
      </c>
      <c r="CX2428" s="1" t="s">
        <v>224</v>
      </c>
      <c r="DB2428" s="1" t="s">
        <v>224</v>
      </c>
      <c r="DE2428" s="1" t="s">
        <v>1107</v>
      </c>
      <c r="DF2428" s="1" t="s">
        <v>219</v>
      </c>
      <c r="DG2428" s="1" t="s">
        <v>438</v>
      </c>
      <c r="DJ2428" s="1" t="s">
        <v>224</v>
      </c>
      <c r="DM2428" s="1" t="s">
        <v>464</v>
      </c>
      <c r="DN2428" s="1" t="s">
        <v>4083</v>
      </c>
      <c r="DP2428" s="1" t="s">
        <v>934</v>
      </c>
      <c r="DQ2428" s="1" t="s">
        <v>3011</v>
      </c>
      <c r="DR2428" s="1" t="s">
        <v>757</v>
      </c>
      <c r="DS2428" s="1" t="s">
        <v>277</v>
      </c>
      <c r="DT2428" s="1" t="s">
        <v>220</v>
      </c>
      <c r="DV2428" s="1" t="s">
        <v>21074</v>
      </c>
      <c r="DW2428" s="1" t="s">
        <v>43</v>
      </c>
      <c r="DX2428" s="1" t="s">
        <v>220</v>
      </c>
      <c r="DY2428" s="1" t="s">
        <v>210</v>
      </c>
      <c r="EA2428" s="1" t="s">
        <v>230</v>
      </c>
      <c r="ED2428" s="1" t="s">
        <v>5678</v>
      </c>
      <c r="EE2428" s="1" t="s">
        <v>43</v>
      </c>
      <c r="EF2428" s="1" t="s">
        <v>220</v>
      </c>
      <c r="EG2428" s="1" t="s">
        <v>210</v>
      </c>
      <c r="EH2428" s="1" t="s">
        <v>1571</v>
      </c>
      <c r="EI2428" s="1" t="s">
        <v>219</v>
      </c>
      <c r="EJ2428" s="1" t="s">
        <v>226</v>
      </c>
      <c r="EL2428" s="1" t="s">
        <v>466</v>
      </c>
      <c r="EM2428" s="1" t="s">
        <v>232</v>
      </c>
      <c r="EN2428" s="1" t="s">
        <v>282</v>
      </c>
      <c r="EO2428" s="1" t="s">
        <v>234</v>
      </c>
      <c r="EQ2428" s="1" t="s">
        <v>9516</v>
      </c>
      <c r="ER2428" s="1" t="s">
        <v>544</v>
      </c>
      <c r="EU2428" s="1" t="s">
        <v>285</v>
      </c>
      <c r="EV2428" s="1" t="s">
        <v>324</v>
      </c>
      <c r="EW2428" s="1" t="s">
        <v>937</v>
      </c>
      <c r="EY2428" s="1" t="s">
        <v>242</v>
      </c>
      <c r="EZ2428" s="1" t="s">
        <v>21075</v>
      </c>
      <c r="FA2428" s="1" t="s">
        <v>13542</v>
      </c>
      <c r="FB2428" s="1" t="s">
        <v>289</v>
      </c>
      <c r="FC2428" s="1" t="s">
        <v>3646</v>
      </c>
      <c r="FD2428" s="1" t="s">
        <v>21076</v>
      </c>
      <c r="FE2428" s="1" t="s">
        <v>355</v>
      </c>
      <c r="FF2428" s="1" t="s">
        <v>248</v>
      </c>
      <c r="FG2428" s="1" t="s">
        <v>2739</v>
      </c>
      <c r="FH2428" s="1" t="s">
        <v>550</v>
      </c>
      <c r="FI2428" s="1" t="s">
        <v>357</v>
      </c>
      <c r="FL2428" s="1" t="s">
        <v>358</v>
      </c>
      <c r="FM2428" s="1" t="s">
        <v>252</v>
      </c>
      <c r="FN2428" s="1" t="s">
        <v>213</v>
      </c>
      <c r="FO2428" s="1" t="s">
        <v>213</v>
      </c>
      <c r="FQ2428" s="1" t="s">
        <v>21077</v>
      </c>
      <c r="FR2428" s="1" t="s">
        <v>360</v>
      </c>
      <c r="FS2428" s="1" t="s">
        <v>21078</v>
      </c>
      <c r="FT2428" s="1" t="s">
        <v>362</v>
      </c>
      <c r="FU2428" s="1" t="s">
        <v>204</v>
      </c>
      <c r="FW2428" s="1" t="s">
        <v>585</v>
      </c>
      <c r="FX2428" s="1">
        <v>3110</v>
      </c>
      <c r="FY2428" s="1" t="s">
        <v>13535</v>
      </c>
      <c r="FZ2428" s="1" t="s">
        <v>13536</v>
      </c>
      <c r="GA2428" s="1">
        <v>34332</v>
      </c>
      <c r="GE2428" s="1" t="s">
        <v>210</v>
      </c>
      <c r="GI2428" s="1" t="s">
        <v>213</v>
      </c>
      <c r="GJ2428" s="1" t="s">
        <v>260</v>
      </c>
      <c r="GK2428" s="1" t="s">
        <v>210</v>
      </c>
      <c r="GL2428" s="2">
        <v>42033</v>
      </c>
      <c r="GM2428" s="1" t="s">
        <v>21079</v>
      </c>
    </row>
    <row r="2429" spans="1:195">
      <c r="A2429" s="1">
        <v>155000</v>
      </c>
      <c r="B2429" s="1" t="s">
        <v>195</v>
      </c>
      <c r="C2429" s="1" t="str">
        <f>"08823538"</f>
        <v>08823538</v>
      </c>
      <c r="D2429" s="1" t="s">
        <v>196</v>
      </c>
      <c r="F2429" s="1" t="str">
        <f>"554"</f>
        <v>554</v>
      </c>
      <c r="G2429" s="2">
        <v>42029</v>
      </c>
      <c r="H2429" s="1">
        <v>159900</v>
      </c>
      <c r="I2429" s="1">
        <v>159900</v>
      </c>
      <c r="J2429" s="1">
        <v>155000</v>
      </c>
      <c r="K2429" s="2">
        <v>42028</v>
      </c>
      <c r="L2429" s="1">
        <v>53</v>
      </c>
      <c r="M2429" s="2">
        <v>42080</v>
      </c>
      <c r="N2429" s="1">
        <v>53</v>
      </c>
      <c r="O2429" s="2">
        <v>42080</v>
      </c>
      <c r="P2429" s="1">
        <v>22029</v>
      </c>
      <c r="Q2429" s="1" t="s">
        <v>197</v>
      </c>
      <c r="R2429" s="2">
        <v>42109</v>
      </c>
      <c r="S2429" s="1">
        <v>221235</v>
      </c>
      <c r="U2429" s="1">
        <v>141</v>
      </c>
      <c r="V2429" s="1" t="s">
        <v>2690</v>
      </c>
      <c r="W2429" s="1" t="s">
        <v>425</v>
      </c>
      <c r="X2429" s="1" t="s">
        <v>1688</v>
      </c>
      <c r="Y2429" s="1">
        <v>4</v>
      </c>
      <c r="Z2429" s="1" t="s">
        <v>370</v>
      </c>
      <c r="AA2429" s="1" t="s">
        <v>3443</v>
      </c>
      <c r="AB2429" s="1">
        <v>60554</v>
      </c>
      <c r="AD2429" s="1" t="s">
        <v>15581</v>
      </c>
      <c r="AE2429" s="1" t="s">
        <v>21080</v>
      </c>
      <c r="AF2429" s="1">
        <v>2005</v>
      </c>
      <c r="AG2429" s="1" t="s">
        <v>204</v>
      </c>
      <c r="AH2429" s="1" t="s">
        <v>3240</v>
      </c>
      <c r="AI2429" s="1" t="s">
        <v>665</v>
      </c>
      <c r="AJ2429" s="1" t="s">
        <v>3240</v>
      </c>
      <c r="AL2429" s="1">
        <v>5</v>
      </c>
      <c r="AM2429" s="1">
        <v>2</v>
      </c>
      <c r="AN2429" s="1">
        <v>2</v>
      </c>
      <c r="AO2429" s="1">
        <v>1</v>
      </c>
      <c r="AP2429" s="1" t="s">
        <v>209</v>
      </c>
      <c r="AQ2429" s="1">
        <v>1</v>
      </c>
      <c r="AR2429" s="1" t="s">
        <v>210</v>
      </c>
      <c r="AS2429" s="1" t="s">
        <v>204</v>
      </c>
      <c r="AT2429" s="1" t="s">
        <v>211</v>
      </c>
      <c r="AU2429" s="1">
        <v>2</v>
      </c>
      <c r="AW2429" s="1" t="s">
        <v>204</v>
      </c>
      <c r="AX2429" s="1" t="s">
        <v>212</v>
      </c>
      <c r="AZ2429" s="1">
        <v>4176</v>
      </c>
      <c r="BA2429" s="1">
        <v>2013</v>
      </c>
      <c r="BB2429" s="1" t="s">
        <v>405</v>
      </c>
      <c r="BE2429" s="1">
        <v>1463</v>
      </c>
      <c r="BF2429" s="1">
        <v>1</v>
      </c>
      <c r="BG2429" s="1">
        <v>0</v>
      </c>
      <c r="BL2429" s="1">
        <v>126</v>
      </c>
      <c r="BM2429" s="1" t="s">
        <v>204</v>
      </c>
      <c r="BN2429" s="1" t="s">
        <v>213</v>
      </c>
      <c r="BO2429" s="1">
        <v>999</v>
      </c>
      <c r="BP2429" s="1" t="s">
        <v>204</v>
      </c>
      <c r="BR2429" s="1" t="str">
        <f>"1416152017"</f>
        <v>1416152017</v>
      </c>
      <c r="BT2429" s="1" t="s">
        <v>21081</v>
      </c>
      <c r="BU2429" s="1" t="s">
        <v>15711</v>
      </c>
      <c r="BV2429" s="1" t="s">
        <v>13189</v>
      </c>
      <c r="BW2429" s="1" t="s">
        <v>13190</v>
      </c>
      <c r="BX2429" s="1">
        <v>302</v>
      </c>
      <c r="BY2429" s="1">
        <v>302</v>
      </c>
      <c r="BZ2429" s="1">
        <v>302</v>
      </c>
      <c r="CB2429" s="1" t="str">
        <f t="shared" ref="CB2429:CC2429" si="1862">"0"</f>
        <v>0</v>
      </c>
      <c r="CC2429" s="1" t="str">
        <f t="shared" si="1862"/>
        <v>0</v>
      </c>
      <c r="CD2429" s="1">
        <v>0</v>
      </c>
      <c r="CE2429" s="1">
        <v>0</v>
      </c>
      <c r="CG2429" s="1" t="s">
        <v>2992</v>
      </c>
      <c r="CH2429" s="1" t="s">
        <v>219</v>
      </c>
      <c r="CI2429" s="1" t="s">
        <v>220</v>
      </c>
      <c r="CJ2429" s="1" t="s">
        <v>463</v>
      </c>
      <c r="CK2429" s="1" t="s">
        <v>932</v>
      </c>
      <c r="CL2429" s="1" t="s">
        <v>277</v>
      </c>
      <c r="CM2429" s="1" t="s">
        <v>220</v>
      </c>
      <c r="CN2429" s="1" t="s">
        <v>463</v>
      </c>
      <c r="CO2429" s="1" t="s">
        <v>317</v>
      </c>
      <c r="CP2429" s="1" t="s">
        <v>219</v>
      </c>
      <c r="CQ2429" s="1" t="s">
        <v>226</v>
      </c>
      <c r="CR2429" s="1" t="s">
        <v>252</v>
      </c>
      <c r="CS2429" s="1" t="s">
        <v>379</v>
      </c>
      <c r="CT2429" s="1" t="s">
        <v>277</v>
      </c>
      <c r="CU2429" s="1" t="s">
        <v>220</v>
      </c>
      <c r="CV2429" s="1" t="s">
        <v>252</v>
      </c>
      <c r="CX2429" s="1" t="s">
        <v>224</v>
      </c>
      <c r="DB2429" s="1" t="s">
        <v>224</v>
      </c>
      <c r="DE2429" s="1" t="s">
        <v>757</v>
      </c>
      <c r="DF2429" s="1" t="s">
        <v>219</v>
      </c>
      <c r="DG2429" s="1" t="s">
        <v>226</v>
      </c>
      <c r="DJ2429" s="1" t="s">
        <v>224</v>
      </c>
      <c r="DM2429" s="1" t="s">
        <v>709</v>
      </c>
      <c r="DR2429" s="1" t="s">
        <v>5758</v>
      </c>
      <c r="DS2429" s="1" t="s">
        <v>219</v>
      </c>
      <c r="DW2429" s="1" t="s">
        <v>230</v>
      </c>
      <c r="EA2429" s="1" t="s">
        <v>230</v>
      </c>
      <c r="EE2429" s="1" t="s">
        <v>230</v>
      </c>
      <c r="EI2429" s="1" t="s">
        <v>230</v>
      </c>
      <c r="EL2429" s="1" t="s">
        <v>491</v>
      </c>
      <c r="EM2429" s="1" t="s">
        <v>319</v>
      </c>
      <c r="EN2429" s="1" t="s">
        <v>282</v>
      </c>
      <c r="EO2429" s="1" t="s">
        <v>1020</v>
      </c>
      <c r="EP2429" s="1" t="s">
        <v>2738</v>
      </c>
      <c r="EQ2429" s="1" t="s">
        <v>236</v>
      </c>
      <c r="ER2429" s="1" t="s">
        <v>383</v>
      </c>
      <c r="ES2429" s="1" t="s">
        <v>1552</v>
      </c>
      <c r="EW2429" s="1" t="s">
        <v>353</v>
      </c>
      <c r="EY2429" s="1" t="s">
        <v>242</v>
      </c>
      <c r="EZ2429" s="1" t="s">
        <v>709</v>
      </c>
      <c r="FB2429" s="1" t="s">
        <v>1505</v>
      </c>
      <c r="FC2429" s="1" t="s">
        <v>633</v>
      </c>
      <c r="FD2429" s="1" t="s">
        <v>246</v>
      </c>
      <c r="FE2429" s="1" t="s">
        <v>472</v>
      </c>
      <c r="FF2429" s="1" t="s">
        <v>248</v>
      </c>
      <c r="FG2429" s="1" t="s">
        <v>871</v>
      </c>
      <c r="FH2429" s="1" t="s">
        <v>550</v>
      </c>
      <c r="FI2429" s="1" t="s">
        <v>473</v>
      </c>
      <c r="FJ2429" s="1" t="s">
        <v>197</v>
      </c>
      <c r="FL2429" s="1" t="s">
        <v>358</v>
      </c>
      <c r="FM2429" s="1" t="s">
        <v>252</v>
      </c>
      <c r="FN2429" s="1" t="s">
        <v>213</v>
      </c>
      <c r="FO2429" s="1" t="s">
        <v>213</v>
      </c>
      <c r="FQ2429" s="1" t="s">
        <v>717</v>
      </c>
      <c r="FR2429" s="1" t="s">
        <v>210</v>
      </c>
      <c r="FS2429" s="1" t="s">
        <v>21082</v>
      </c>
      <c r="FT2429" s="1" t="s">
        <v>295</v>
      </c>
      <c r="FU2429" s="1" t="s">
        <v>204</v>
      </c>
      <c r="FW2429" s="1" t="s">
        <v>873</v>
      </c>
      <c r="FX2429" s="1">
        <v>300</v>
      </c>
      <c r="FY2429" s="1" t="s">
        <v>3105</v>
      </c>
      <c r="FZ2429" s="1" t="s">
        <v>21083</v>
      </c>
      <c r="GA2429" s="1">
        <v>300064</v>
      </c>
      <c r="GB2429" s="1" t="s">
        <v>21084</v>
      </c>
      <c r="GD2429" s="1" t="s">
        <v>21085</v>
      </c>
      <c r="GE2429" s="1" t="s">
        <v>776</v>
      </c>
      <c r="GH2429" s="1" t="s">
        <v>589</v>
      </c>
      <c r="GI2429" s="1" t="s">
        <v>213</v>
      </c>
      <c r="GJ2429" s="1" t="s">
        <v>260</v>
      </c>
      <c r="GK2429" s="1" t="s">
        <v>261</v>
      </c>
      <c r="GL2429" s="2">
        <v>42110</v>
      </c>
      <c r="GM2429" s="1" t="s">
        <v>21086</v>
      </c>
    </row>
    <row r="2430" spans="1:195">
      <c r="A2430" s="1">
        <v>70000</v>
      </c>
      <c r="B2430" s="1" t="s">
        <v>195</v>
      </c>
      <c r="C2430" s="1" t="str">
        <f>"08828648"</f>
        <v>08828648</v>
      </c>
      <c r="D2430" s="1" t="s">
        <v>196</v>
      </c>
      <c r="F2430" s="1" t="str">
        <f>"73"</f>
        <v>73</v>
      </c>
      <c r="G2430" s="2">
        <v>42037</v>
      </c>
      <c r="H2430" s="1">
        <v>74900</v>
      </c>
      <c r="I2430" s="1">
        <v>74900</v>
      </c>
      <c r="J2430" s="1">
        <v>70000</v>
      </c>
      <c r="K2430" s="2">
        <v>42037</v>
      </c>
      <c r="L2430" s="1">
        <v>68</v>
      </c>
      <c r="M2430" s="2">
        <v>42104</v>
      </c>
      <c r="N2430" s="1">
        <v>68</v>
      </c>
      <c r="O2430" s="2">
        <v>42104</v>
      </c>
      <c r="P2430" s="1">
        <v>2415</v>
      </c>
      <c r="Q2430" s="1" t="s">
        <v>302</v>
      </c>
      <c r="R2430" s="2">
        <v>42129</v>
      </c>
      <c r="S2430" s="1">
        <v>20516</v>
      </c>
      <c r="U2430" s="1">
        <v>435</v>
      </c>
      <c r="V2430" s="1" t="s">
        <v>21087</v>
      </c>
      <c r="W2430" s="1" t="s">
        <v>504</v>
      </c>
      <c r="Y2430" s="1">
        <v>4</v>
      </c>
      <c r="Z2430" s="1" t="s">
        <v>370</v>
      </c>
      <c r="AA2430" s="1" t="s">
        <v>1027</v>
      </c>
      <c r="AB2430" s="1">
        <v>60073</v>
      </c>
      <c r="AD2430" s="1" t="s">
        <v>13484</v>
      </c>
      <c r="AE2430" s="1" t="s">
        <v>13485</v>
      </c>
      <c r="AF2430" s="1">
        <v>1987</v>
      </c>
      <c r="AG2430" s="1" t="s">
        <v>204</v>
      </c>
      <c r="AH2430" s="1" t="s">
        <v>1029</v>
      </c>
      <c r="AI2430" s="1" t="s">
        <v>509</v>
      </c>
      <c r="AJ2430" s="1" t="s">
        <v>1263</v>
      </c>
      <c r="AL2430" s="1">
        <v>5</v>
      </c>
      <c r="AM2430" s="1">
        <v>2</v>
      </c>
      <c r="AN2430" s="1">
        <v>1</v>
      </c>
      <c r="AO2430" s="1">
        <v>1</v>
      </c>
      <c r="AP2430" s="1" t="s">
        <v>210</v>
      </c>
      <c r="AQ2430" s="1">
        <v>1</v>
      </c>
      <c r="AR2430" s="1" t="s">
        <v>210</v>
      </c>
      <c r="AS2430" s="1" t="s">
        <v>204</v>
      </c>
      <c r="AT2430" s="1" t="s">
        <v>211</v>
      </c>
      <c r="AU2430" s="1">
        <v>1</v>
      </c>
      <c r="AW2430" s="1" t="s">
        <v>204</v>
      </c>
      <c r="AX2430" s="1" t="s">
        <v>212</v>
      </c>
      <c r="AZ2430" s="1">
        <v>1607.7</v>
      </c>
      <c r="BA2430" s="1">
        <v>2013</v>
      </c>
      <c r="BB2430" s="1" t="s">
        <v>599</v>
      </c>
      <c r="BE2430" s="1">
        <v>990</v>
      </c>
      <c r="BF2430" s="1">
        <v>1</v>
      </c>
      <c r="BG2430" s="1">
        <v>0</v>
      </c>
      <c r="BL2430" s="1">
        <v>118</v>
      </c>
      <c r="BM2430" s="1" t="s">
        <v>204</v>
      </c>
      <c r="BN2430" s="1" t="s">
        <v>213</v>
      </c>
      <c r="BO2430" s="1">
        <v>99</v>
      </c>
      <c r="BP2430" s="1" t="s">
        <v>204</v>
      </c>
      <c r="BR2430" s="1" t="str">
        <f>"06171240430000"</f>
        <v>06171240430000</v>
      </c>
      <c r="BT2430" s="1" t="s">
        <v>21088</v>
      </c>
      <c r="BX2430" s="1">
        <v>116</v>
      </c>
      <c r="BY2430" s="1">
        <v>116</v>
      </c>
      <c r="BZ2430" s="1">
        <v>116</v>
      </c>
      <c r="CB2430" s="1" t="str">
        <f t="shared" ref="CB2430:CC2430" si="1863">""</f>
        <v/>
      </c>
      <c r="CC2430" s="1" t="str">
        <f t="shared" si="1863"/>
        <v/>
      </c>
      <c r="CG2430" s="1" t="s">
        <v>648</v>
      </c>
      <c r="CH2430" s="1" t="s">
        <v>219</v>
      </c>
      <c r="CI2430" s="1" t="s">
        <v>229</v>
      </c>
      <c r="CJ2430" s="1" t="s">
        <v>343</v>
      </c>
      <c r="CK2430" s="1" t="s">
        <v>461</v>
      </c>
      <c r="CL2430" s="1" t="s">
        <v>277</v>
      </c>
      <c r="CM2430" s="1" t="s">
        <v>220</v>
      </c>
      <c r="CN2430" s="1" t="s">
        <v>343</v>
      </c>
      <c r="CO2430" s="1" t="s">
        <v>629</v>
      </c>
      <c r="CP2430" s="1" t="s">
        <v>219</v>
      </c>
      <c r="CS2430" s="1" t="s">
        <v>1297</v>
      </c>
      <c r="CT2430" s="1" t="s">
        <v>277</v>
      </c>
      <c r="CU2430" s="1" t="s">
        <v>220</v>
      </c>
      <c r="CV2430" s="1" t="s">
        <v>343</v>
      </c>
      <c r="CX2430" s="1" t="s">
        <v>224</v>
      </c>
      <c r="DB2430" s="1" t="s">
        <v>224</v>
      </c>
      <c r="DE2430" s="1" t="s">
        <v>437</v>
      </c>
      <c r="DF2430" s="1" t="s">
        <v>219</v>
      </c>
      <c r="DG2430" s="1" t="s">
        <v>342</v>
      </c>
      <c r="DH2430" s="1" t="s">
        <v>343</v>
      </c>
      <c r="DJ2430" s="1" t="s">
        <v>224</v>
      </c>
      <c r="DS2430" s="1" t="s">
        <v>230</v>
      </c>
      <c r="DW2430" s="1" t="s">
        <v>230</v>
      </c>
      <c r="EA2430" s="1" t="s">
        <v>230</v>
      </c>
      <c r="EE2430" s="1" t="s">
        <v>230</v>
      </c>
      <c r="EI2430" s="1" t="s">
        <v>230</v>
      </c>
      <c r="EL2430" s="1" t="s">
        <v>542</v>
      </c>
      <c r="EM2430" s="1" t="s">
        <v>319</v>
      </c>
      <c r="EN2430" s="1" t="s">
        <v>282</v>
      </c>
      <c r="EO2430" s="1" t="s">
        <v>234</v>
      </c>
      <c r="EQ2430" s="1" t="s">
        <v>953</v>
      </c>
      <c r="ER2430" s="1" t="s">
        <v>383</v>
      </c>
      <c r="EW2430" s="1" t="s">
        <v>10053</v>
      </c>
      <c r="EY2430" s="1" t="s">
        <v>242</v>
      </c>
      <c r="EZ2430" s="1" t="s">
        <v>287</v>
      </c>
      <c r="FB2430" s="1" t="s">
        <v>289</v>
      </c>
      <c r="FD2430" s="1" t="s">
        <v>246</v>
      </c>
      <c r="FE2430" s="1" t="s">
        <v>355</v>
      </c>
      <c r="FF2430" s="1" t="s">
        <v>248</v>
      </c>
      <c r="FG2430" s="1" t="s">
        <v>939</v>
      </c>
      <c r="FH2430" s="1" t="s">
        <v>550</v>
      </c>
      <c r="FL2430" s="1" t="s">
        <v>358</v>
      </c>
      <c r="FM2430" s="1" t="s">
        <v>252</v>
      </c>
      <c r="FN2430" s="1" t="s">
        <v>213</v>
      </c>
      <c r="FO2430" s="1" t="s">
        <v>213</v>
      </c>
      <c r="FQ2430" s="1" t="s">
        <v>2004</v>
      </c>
      <c r="FR2430" s="1" t="s">
        <v>210</v>
      </c>
      <c r="FS2430" s="1" t="s">
        <v>1709</v>
      </c>
      <c r="FT2430" s="1" t="s">
        <v>362</v>
      </c>
      <c r="FU2430" s="1" t="s">
        <v>213</v>
      </c>
      <c r="FW2430" s="1" t="s">
        <v>3231</v>
      </c>
      <c r="FX2430" s="1">
        <v>6477</v>
      </c>
      <c r="FY2430" s="1" t="s">
        <v>3232</v>
      </c>
      <c r="FZ2430" s="1" t="s">
        <v>21089</v>
      </c>
      <c r="GA2430" s="1">
        <v>63368</v>
      </c>
      <c r="GB2430" s="1" t="s">
        <v>21090</v>
      </c>
      <c r="GC2430" s="1">
        <v>63160</v>
      </c>
      <c r="GE2430" s="1" t="s">
        <v>480</v>
      </c>
      <c r="GI2430" s="1" t="s">
        <v>204</v>
      </c>
      <c r="GJ2430" s="1" t="s">
        <v>260</v>
      </c>
      <c r="GK2430" s="1" t="s">
        <v>210</v>
      </c>
      <c r="GL2430" s="2">
        <v>42130</v>
      </c>
      <c r="GM2430" s="1" t="s">
        <v>21091</v>
      </c>
    </row>
    <row r="2431" spans="1:195">
      <c r="A2431" s="1">
        <v>90000</v>
      </c>
      <c r="B2431" s="1" t="s">
        <v>195</v>
      </c>
      <c r="C2431" s="1" t="str">
        <f>"08828456"</f>
        <v>08828456</v>
      </c>
      <c r="D2431" s="1" t="s">
        <v>196</v>
      </c>
      <c r="F2431" s="1" t="str">
        <f>"516"</f>
        <v>516</v>
      </c>
      <c r="G2431" s="2">
        <v>42036</v>
      </c>
      <c r="H2431" s="1">
        <v>94500</v>
      </c>
      <c r="I2431" s="1">
        <v>94500</v>
      </c>
      <c r="J2431" s="1">
        <v>90000</v>
      </c>
      <c r="K2431" s="2">
        <v>42036</v>
      </c>
      <c r="L2431" s="1">
        <v>9</v>
      </c>
      <c r="M2431" s="2">
        <v>42044</v>
      </c>
      <c r="N2431" s="1">
        <v>9</v>
      </c>
      <c r="O2431" s="2">
        <v>42044</v>
      </c>
      <c r="P2431" s="1">
        <v>14810</v>
      </c>
      <c r="Q2431" s="1" t="s">
        <v>302</v>
      </c>
      <c r="R2431" s="2">
        <v>42054</v>
      </c>
      <c r="S2431" s="1">
        <v>105318</v>
      </c>
      <c r="U2431" s="1" t="s">
        <v>21092</v>
      </c>
      <c r="V2431" s="1" t="s">
        <v>21093</v>
      </c>
      <c r="W2431" s="1" t="s">
        <v>1056</v>
      </c>
      <c r="X2431" s="1">
        <v>201</v>
      </c>
      <c r="Y2431" s="1">
        <v>16</v>
      </c>
      <c r="Z2431" s="1" t="s">
        <v>249</v>
      </c>
      <c r="AA2431" s="1" t="s">
        <v>1417</v>
      </c>
      <c r="AB2431" s="1">
        <v>60527</v>
      </c>
      <c r="AD2431" s="1" t="s">
        <v>20102</v>
      </c>
      <c r="AE2431" s="1" t="s">
        <v>21094</v>
      </c>
      <c r="AF2431" s="1">
        <v>1970</v>
      </c>
      <c r="AG2431" s="1" t="s">
        <v>213</v>
      </c>
      <c r="AH2431" s="1" t="s">
        <v>1419</v>
      </c>
      <c r="AI2431" s="1" t="s">
        <v>206</v>
      </c>
      <c r="AJ2431" s="1" t="s">
        <v>903</v>
      </c>
      <c r="AL2431" s="1">
        <v>5</v>
      </c>
      <c r="AM2431" s="1">
        <v>2</v>
      </c>
      <c r="AN2431" s="1">
        <v>1</v>
      </c>
      <c r="AO2431" s="1">
        <v>0</v>
      </c>
      <c r="AP2431" s="1" t="s">
        <v>210</v>
      </c>
      <c r="AR2431" s="1" t="s">
        <v>209</v>
      </c>
      <c r="AS2431" s="1" t="s">
        <v>204</v>
      </c>
      <c r="AT2431" s="1" t="s">
        <v>271</v>
      </c>
      <c r="AV2431" s="1">
        <v>2</v>
      </c>
      <c r="AW2431" s="1" t="s">
        <v>204</v>
      </c>
      <c r="AX2431" s="1" t="s">
        <v>212</v>
      </c>
      <c r="AZ2431" s="1">
        <v>727</v>
      </c>
      <c r="BA2431" s="1">
        <v>2013</v>
      </c>
      <c r="BE2431" s="1">
        <v>920</v>
      </c>
      <c r="BF2431" s="1">
        <v>2</v>
      </c>
      <c r="BG2431" s="1">
        <v>0</v>
      </c>
      <c r="BL2431" s="1">
        <v>364</v>
      </c>
      <c r="BM2431" s="1" t="s">
        <v>213</v>
      </c>
      <c r="BN2431" s="1" t="s">
        <v>213</v>
      </c>
      <c r="BP2431" s="1" t="s">
        <v>204</v>
      </c>
      <c r="BR2431" s="1" t="str">
        <f>"0935114293"</f>
        <v>0935114293</v>
      </c>
      <c r="BT2431" s="1" t="s">
        <v>21095</v>
      </c>
      <c r="BU2431" s="1" t="s">
        <v>6602</v>
      </c>
      <c r="BV2431" s="1" t="s">
        <v>6603</v>
      </c>
      <c r="BW2431" s="1" t="s">
        <v>907</v>
      </c>
      <c r="BX2431" s="1">
        <v>62</v>
      </c>
      <c r="BY2431" s="1">
        <v>62</v>
      </c>
      <c r="BZ2431" s="1">
        <v>86</v>
      </c>
      <c r="CB2431" s="1" t="str">
        <f t="shared" ref="CB2431:CC2431" si="1864">"0"</f>
        <v>0</v>
      </c>
      <c r="CC2431" s="1" t="str">
        <f t="shared" si="1864"/>
        <v>0</v>
      </c>
      <c r="CD2431" s="1">
        <v>17</v>
      </c>
      <c r="CE2431" s="1">
        <v>8</v>
      </c>
      <c r="CG2431" s="1" t="s">
        <v>1267</v>
      </c>
      <c r="CH2431" s="1" t="s">
        <v>219</v>
      </c>
      <c r="CI2431" s="1" t="s">
        <v>229</v>
      </c>
      <c r="CK2431" s="1" t="s">
        <v>437</v>
      </c>
      <c r="CL2431" s="1" t="s">
        <v>277</v>
      </c>
      <c r="CM2431" s="1" t="s">
        <v>220</v>
      </c>
      <c r="CO2431" s="1" t="s">
        <v>318</v>
      </c>
      <c r="CP2431" s="1" t="s">
        <v>219</v>
      </c>
      <c r="CQ2431" s="1" t="s">
        <v>229</v>
      </c>
      <c r="CS2431" s="1" t="s">
        <v>465</v>
      </c>
      <c r="CT2431" s="1" t="s">
        <v>277</v>
      </c>
      <c r="CU2431" s="1" t="s">
        <v>220</v>
      </c>
      <c r="CX2431" s="1" t="s">
        <v>224</v>
      </c>
      <c r="DB2431" s="1" t="s">
        <v>224</v>
      </c>
      <c r="DE2431" s="1" t="s">
        <v>409</v>
      </c>
      <c r="DF2431" s="1" t="s">
        <v>219</v>
      </c>
      <c r="DG2431" s="1" t="s">
        <v>229</v>
      </c>
      <c r="DJ2431" s="1" t="s">
        <v>224</v>
      </c>
      <c r="DM2431" s="1" t="s">
        <v>838</v>
      </c>
      <c r="DR2431" s="1" t="s">
        <v>3823</v>
      </c>
      <c r="DS2431" s="1" t="s">
        <v>219</v>
      </c>
      <c r="DW2431" s="1" t="s">
        <v>230</v>
      </c>
      <c r="EA2431" s="1" t="s">
        <v>230</v>
      </c>
      <c r="EE2431" s="1" t="s">
        <v>230</v>
      </c>
      <c r="EI2431" s="1" t="s">
        <v>230</v>
      </c>
      <c r="EL2431" s="1" t="s">
        <v>605</v>
      </c>
      <c r="EM2431" s="1" t="s">
        <v>319</v>
      </c>
      <c r="EN2431" s="1" t="s">
        <v>731</v>
      </c>
      <c r="EO2431" s="1" t="s">
        <v>234</v>
      </c>
      <c r="EP2431" s="1" t="s">
        <v>21096</v>
      </c>
      <c r="ER2431" s="1" t="s">
        <v>544</v>
      </c>
      <c r="EU2431" s="1" t="s">
        <v>239</v>
      </c>
      <c r="EW2431" s="1" t="s">
        <v>4510</v>
      </c>
      <c r="EY2431" s="1" t="s">
        <v>242</v>
      </c>
      <c r="EZ2431" s="1" t="s">
        <v>838</v>
      </c>
      <c r="FB2431" s="1" t="s">
        <v>244</v>
      </c>
      <c r="FD2431" s="1" t="s">
        <v>736</v>
      </c>
      <c r="FE2431" s="1" t="s">
        <v>247</v>
      </c>
      <c r="FF2431" s="1" t="s">
        <v>248</v>
      </c>
      <c r="FH2431" s="1" t="s">
        <v>249</v>
      </c>
      <c r="FK2431" s="1" t="s">
        <v>4663</v>
      </c>
      <c r="FL2431" s="1" t="s">
        <v>414</v>
      </c>
      <c r="FM2431" s="1" t="s">
        <v>252</v>
      </c>
      <c r="FN2431" s="1" t="s">
        <v>213</v>
      </c>
      <c r="FO2431" s="1" t="s">
        <v>213</v>
      </c>
      <c r="FQ2431" s="1" t="s">
        <v>1518</v>
      </c>
      <c r="FR2431" s="1" t="s">
        <v>210</v>
      </c>
      <c r="FS2431" s="1" t="s">
        <v>21097</v>
      </c>
      <c r="FT2431" s="1" t="s">
        <v>362</v>
      </c>
      <c r="FU2431" s="1" t="s">
        <v>204</v>
      </c>
      <c r="FW2431" s="1" t="s">
        <v>1521</v>
      </c>
      <c r="FX2431" s="1">
        <v>16645</v>
      </c>
      <c r="FY2431" s="1" t="s">
        <v>1522</v>
      </c>
      <c r="FZ2431" s="1" t="s">
        <v>1523</v>
      </c>
      <c r="GA2431" s="1">
        <v>144314</v>
      </c>
      <c r="GB2431" s="1" t="s">
        <v>1522</v>
      </c>
      <c r="GD2431" s="1">
        <v>144314</v>
      </c>
      <c r="GE2431" s="1" t="s">
        <v>210</v>
      </c>
      <c r="GI2431" s="1" t="s">
        <v>204</v>
      </c>
      <c r="GJ2431" s="1" t="s">
        <v>300</v>
      </c>
      <c r="GK2431" s="1" t="s">
        <v>210</v>
      </c>
      <c r="GL2431" s="2">
        <v>42066</v>
      </c>
      <c r="GM2431" s="1" t="s">
        <v>21098</v>
      </c>
    </row>
    <row r="2432" spans="1:195">
      <c r="A2432" s="1">
        <v>140000</v>
      </c>
      <c r="B2432" s="1" t="s">
        <v>195</v>
      </c>
      <c r="C2432" s="1" t="str">
        <f>"08827768"</f>
        <v>08827768</v>
      </c>
      <c r="D2432" s="1" t="s">
        <v>196</v>
      </c>
      <c r="F2432" s="1" t="str">
        <f>"134"</f>
        <v>134</v>
      </c>
      <c r="G2432" s="2">
        <v>42034</v>
      </c>
      <c r="H2432" s="1">
        <v>162000</v>
      </c>
      <c r="I2432" s="1">
        <v>145000</v>
      </c>
      <c r="J2432" s="1">
        <v>140000</v>
      </c>
      <c r="K2432" s="2">
        <v>42034</v>
      </c>
      <c r="L2432" s="1">
        <v>52</v>
      </c>
      <c r="M2432" s="2">
        <v>42085</v>
      </c>
      <c r="N2432" s="1">
        <v>52</v>
      </c>
      <c r="O2432" s="2">
        <v>42085</v>
      </c>
      <c r="P2432" s="1">
        <v>49</v>
      </c>
      <c r="Q2432" s="1" t="s">
        <v>197</v>
      </c>
      <c r="R2432" s="2">
        <v>42124</v>
      </c>
      <c r="S2432" s="1">
        <v>8820</v>
      </c>
      <c r="U2432" s="1">
        <v>1356</v>
      </c>
      <c r="V2432" s="1" t="s">
        <v>20177</v>
      </c>
      <c r="W2432" s="1" t="s">
        <v>304</v>
      </c>
      <c r="Y2432" s="1">
        <v>6</v>
      </c>
      <c r="Z2432" s="1" t="s">
        <v>370</v>
      </c>
      <c r="AA2432" s="1" t="s">
        <v>661</v>
      </c>
      <c r="AB2432" s="1">
        <v>60134</v>
      </c>
      <c r="AD2432" s="1" t="s">
        <v>21099</v>
      </c>
      <c r="AE2432" s="1" t="s">
        <v>21100</v>
      </c>
      <c r="AF2432" s="1">
        <v>1990</v>
      </c>
      <c r="AG2432" s="1" t="s">
        <v>204</v>
      </c>
      <c r="AH2432" s="1" t="s">
        <v>664</v>
      </c>
      <c r="AI2432" s="1" t="s">
        <v>665</v>
      </c>
      <c r="AJ2432" s="1" t="s">
        <v>664</v>
      </c>
      <c r="AK2432" s="1" t="s">
        <v>21101</v>
      </c>
      <c r="AL2432" s="1">
        <v>6</v>
      </c>
      <c r="AM2432" s="1">
        <v>2</v>
      </c>
      <c r="AN2432" s="1">
        <v>1</v>
      </c>
      <c r="AO2432" s="1">
        <v>1</v>
      </c>
      <c r="AP2432" s="1" t="s">
        <v>667</v>
      </c>
      <c r="AQ2432" s="1">
        <v>0</v>
      </c>
      <c r="AR2432" s="1" t="s">
        <v>209</v>
      </c>
      <c r="AS2432" s="1" t="s">
        <v>204</v>
      </c>
      <c r="AT2432" s="1" t="s">
        <v>211</v>
      </c>
      <c r="AU2432" s="1">
        <v>1</v>
      </c>
      <c r="AW2432" s="1" t="s">
        <v>204</v>
      </c>
      <c r="AX2432" s="1" t="s">
        <v>212</v>
      </c>
      <c r="AZ2432" s="1">
        <v>4176.38</v>
      </c>
      <c r="BA2432" s="1">
        <v>2013</v>
      </c>
      <c r="BB2432" s="1" t="s">
        <v>405</v>
      </c>
      <c r="BE2432" s="1">
        <v>1368</v>
      </c>
      <c r="BF2432" s="1">
        <v>1</v>
      </c>
      <c r="BG2432" s="1">
        <v>0</v>
      </c>
      <c r="BL2432" s="1">
        <v>170</v>
      </c>
      <c r="BM2432" s="1" t="s">
        <v>204</v>
      </c>
      <c r="BN2432" s="1" t="s">
        <v>213</v>
      </c>
      <c r="BO2432" s="1" t="s">
        <v>402</v>
      </c>
      <c r="BP2432" s="1" t="s">
        <v>204</v>
      </c>
      <c r="BR2432" s="1" t="str">
        <f>"1201108018"</f>
        <v>1201108018</v>
      </c>
      <c r="BT2432" s="1" t="s">
        <v>21102</v>
      </c>
      <c r="BU2432" s="1" t="s">
        <v>11726</v>
      </c>
      <c r="BV2432" s="1" t="s">
        <v>2447</v>
      </c>
      <c r="BW2432" s="1" t="s">
        <v>2448</v>
      </c>
      <c r="BX2432" s="1">
        <v>304</v>
      </c>
      <c r="BY2432" s="1">
        <v>304</v>
      </c>
      <c r="BZ2432" s="1">
        <v>304</v>
      </c>
      <c r="CB2432" s="1" t="str">
        <f>"1"</f>
        <v>1</v>
      </c>
      <c r="CC2432" s="1" t="str">
        <f>"0"</f>
        <v>0</v>
      </c>
      <c r="CD2432" s="1">
        <v>33</v>
      </c>
      <c r="CE2432" s="1">
        <v>0</v>
      </c>
      <c r="CG2432" s="1" t="s">
        <v>1803</v>
      </c>
      <c r="CH2432" s="1" t="s">
        <v>219</v>
      </c>
      <c r="CI2432" s="1" t="s">
        <v>220</v>
      </c>
      <c r="CJ2432" s="1" t="s">
        <v>252</v>
      </c>
      <c r="CK2432" s="1" t="s">
        <v>861</v>
      </c>
      <c r="CL2432" s="1" t="s">
        <v>277</v>
      </c>
      <c r="CM2432" s="1" t="s">
        <v>220</v>
      </c>
      <c r="CN2432" s="1" t="s">
        <v>463</v>
      </c>
      <c r="CO2432" s="1" t="s">
        <v>629</v>
      </c>
      <c r="CP2432" s="1" t="s">
        <v>219</v>
      </c>
      <c r="CQ2432" s="1" t="s">
        <v>220</v>
      </c>
      <c r="CR2432" s="1" t="s">
        <v>252</v>
      </c>
      <c r="CS2432" s="1" t="s">
        <v>581</v>
      </c>
      <c r="CT2432" s="1" t="s">
        <v>277</v>
      </c>
      <c r="CU2432" s="1" t="s">
        <v>220</v>
      </c>
      <c r="CV2432" s="1" t="s">
        <v>210</v>
      </c>
      <c r="CX2432" s="1" t="s">
        <v>224</v>
      </c>
      <c r="DB2432" s="1" t="s">
        <v>224</v>
      </c>
      <c r="DE2432" s="1" t="s">
        <v>932</v>
      </c>
      <c r="DF2432" s="1" t="s">
        <v>219</v>
      </c>
      <c r="DG2432" s="1" t="s">
        <v>229</v>
      </c>
      <c r="DH2432" s="1" t="s">
        <v>463</v>
      </c>
      <c r="DI2432" s="1" t="s">
        <v>707</v>
      </c>
      <c r="DJ2432" s="1" t="s">
        <v>822</v>
      </c>
      <c r="DK2432" s="1" t="s">
        <v>220</v>
      </c>
      <c r="DS2432" s="1" t="s">
        <v>230</v>
      </c>
      <c r="DW2432" s="1" t="s">
        <v>230</v>
      </c>
      <c r="EA2432" s="1" t="s">
        <v>230</v>
      </c>
      <c r="EE2432" s="1" t="s">
        <v>230</v>
      </c>
      <c r="EI2432" s="1" t="s">
        <v>230</v>
      </c>
      <c r="EL2432" s="1" t="s">
        <v>382</v>
      </c>
      <c r="EM2432" s="1" t="s">
        <v>319</v>
      </c>
      <c r="EN2432" s="1" t="s">
        <v>282</v>
      </c>
      <c r="EO2432" s="1" t="s">
        <v>234</v>
      </c>
      <c r="EP2432" s="1" t="s">
        <v>21103</v>
      </c>
      <c r="EQ2432" s="1" t="s">
        <v>2188</v>
      </c>
      <c r="ER2432" s="1" t="s">
        <v>544</v>
      </c>
      <c r="ES2432" s="1" t="s">
        <v>1160</v>
      </c>
      <c r="EU2432" s="1" t="s">
        <v>712</v>
      </c>
      <c r="EV2432" s="1" t="s">
        <v>240</v>
      </c>
      <c r="EW2432" s="1" t="s">
        <v>12000</v>
      </c>
      <c r="EY2432" s="1" t="s">
        <v>790</v>
      </c>
      <c r="EZ2432" s="1" t="s">
        <v>287</v>
      </c>
      <c r="FA2432" s="1" t="s">
        <v>2358</v>
      </c>
      <c r="FB2432" s="1" t="s">
        <v>1755</v>
      </c>
      <c r="FD2432" s="1" t="s">
        <v>246</v>
      </c>
      <c r="FE2432" s="1" t="s">
        <v>355</v>
      </c>
      <c r="FF2432" s="1" t="s">
        <v>248</v>
      </c>
      <c r="FH2432" s="1" t="s">
        <v>550</v>
      </c>
      <c r="FI2432" s="1" t="s">
        <v>357</v>
      </c>
      <c r="FJ2432" s="1" t="s">
        <v>518</v>
      </c>
      <c r="FL2432" s="1" t="s">
        <v>358</v>
      </c>
      <c r="FM2432" s="1" t="s">
        <v>252</v>
      </c>
      <c r="FN2432" s="1" t="s">
        <v>213</v>
      </c>
      <c r="FO2432" s="1" t="s">
        <v>213</v>
      </c>
      <c r="FQ2432" s="1" t="s">
        <v>5956</v>
      </c>
      <c r="FR2432" s="1" t="s">
        <v>210</v>
      </c>
      <c r="FS2432" s="1" t="s">
        <v>21104</v>
      </c>
      <c r="FT2432" s="1" t="s">
        <v>1778</v>
      </c>
      <c r="FU2432" s="1" t="s">
        <v>204</v>
      </c>
      <c r="FV2432" s="1" t="s">
        <v>21105</v>
      </c>
      <c r="FW2432" s="1" t="s">
        <v>676</v>
      </c>
      <c r="FX2432" s="1">
        <v>30</v>
      </c>
      <c r="FY2432" s="1" t="s">
        <v>677</v>
      </c>
      <c r="FZ2432" s="1" t="s">
        <v>21106</v>
      </c>
      <c r="GA2432" s="1">
        <v>1405</v>
      </c>
      <c r="GB2432" s="1" t="s">
        <v>21107</v>
      </c>
      <c r="GD2432" s="1" t="s">
        <v>21108</v>
      </c>
      <c r="GE2432" s="1" t="s">
        <v>1256</v>
      </c>
      <c r="GI2432" s="1" t="s">
        <v>213</v>
      </c>
      <c r="GJ2432" s="1" t="s">
        <v>260</v>
      </c>
      <c r="GK2432" s="1" t="s">
        <v>210</v>
      </c>
      <c r="GL2432" s="2">
        <v>42125</v>
      </c>
      <c r="GM2432" s="1" t="s">
        <v>21109</v>
      </c>
    </row>
    <row r="2433" spans="1:195">
      <c r="A2433" s="1">
        <v>285000</v>
      </c>
      <c r="B2433" s="1" t="s">
        <v>195</v>
      </c>
      <c r="C2433" s="1" t="str">
        <f>"08828665"</f>
        <v>08828665</v>
      </c>
      <c r="D2433" s="1" t="s">
        <v>196</v>
      </c>
      <c r="F2433" s="1" t="str">
        <f>"559"</f>
        <v>559</v>
      </c>
      <c r="G2433" s="2">
        <v>42037</v>
      </c>
      <c r="H2433" s="1">
        <v>299000</v>
      </c>
      <c r="I2433" s="1">
        <v>299000</v>
      </c>
      <c r="J2433" s="1">
        <v>285000</v>
      </c>
      <c r="K2433" s="2">
        <v>42037</v>
      </c>
      <c r="L2433" s="1">
        <v>73</v>
      </c>
      <c r="M2433" s="2">
        <v>42109</v>
      </c>
      <c r="N2433" s="1">
        <v>73</v>
      </c>
      <c r="O2433" s="2">
        <v>42109</v>
      </c>
      <c r="P2433" s="1">
        <v>20179</v>
      </c>
      <c r="Q2433" s="1" t="s">
        <v>197</v>
      </c>
      <c r="R2433" s="2">
        <v>42143</v>
      </c>
      <c r="S2433" s="1">
        <v>239974</v>
      </c>
      <c r="U2433" s="1">
        <v>210</v>
      </c>
      <c r="V2433" s="1" t="s">
        <v>1948</v>
      </c>
      <c r="W2433" s="1" t="s">
        <v>425</v>
      </c>
      <c r="X2433" s="1">
        <v>9</v>
      </c>
      <c r="Y2433" s="1">
        <v>12</v>
      </c>
      <c r="Z2433" s="1" t="s">
        <v>200</v>
      </c>
      <c r="AA2433" s="1" t="s">
        <v>1950</v>
      </c>
      <c r="AB2433" s="1">
        <v>60559</v>
      </c>
      <c r="AE2433" s="1" t="s">
        <v>21110</v>
      </c>
      <c r="AF2433" s="1">
        <v>2005</v>
      </c>
      <c r="AG2433" s="1" t="s">
        <v>204</v>
      </c>
      <c r="AH2433" s="1" t="s">
        <v>1952</v>
      </c>
      <c r="AI2433" s="1" t="s">
        <v>206</v>
      </c>
      <c r="AJ2433" s="1" t="s">
        <v>903</v>
      </c>
      <c r="AL2433" s="1">
        <v>5</v>
      </c>
      <c r="AM2433" s="1">
        <v>2</v>
      </c>
      <c r="AN2433" s="1">
        <v>2</v>
      </c>
      <c r="AO2433" s="1">
        <v>1</v>
      </c>
      <c r="AP2433" s="1" t="s">
        <v>209</v>
      </c>
      <c r="AQ2433" s="1">
        <v>1</v>
      </c>
      <c r="AR2433" s="1" t="s">
        <v>210</v>
      </c>
      <c r="AS2433" s="1" t="s">
        <v>204</v>
      </c>
      <c r="AT2433" s="1" t="s">
        <v>211</v>
      </c>
      <c r="AU2433" s="1">
        <v>2</v>
      </c>
      <c r="AW2433" s="1" t="s">
        <v>204</v>
      </c>
      <c r="AX2433" s="1" t="s">
        <v>212</v>
      </c>
      <c r="AZ2433" s="1">
        <v>5935</v>
      </c>
      <c r="BA2433" s="1">
        <v>2013</v>
      </c>
      <c r="BE2433" s="1">
        <v>1800</v>
      </c>
      <c r="BF2433" s="1">
        <v>1</v>
      </c>
      <c r="BG2433" s="1">
        <v>30</v>
      </c>
      <c r="BL2433" s="1">
        <v>303</v>
      </c>
      <c r="BM2433" s="1" t="s">
        <v>204</v>
      </c>
      <c r="BN2433" s="1" t="s">
        <v>213</v>
      </c>
      <c r="BO2433" s="1">
        <v>35</v>
      </c>
      <c r="BP2433" s="1" t="s">
        <v>204</v>
      </c>
      <c r="BR2433" s="1" t="str">
        <f>"1212121000"</f>
        <v>1212121000</v>
      </c>
      <c r="BT2433" s="1" t="s">
        <v>21111</v>
      </c>
      <c r="BU2433" s="1" t="s">
        <v>1954</v>
      </c>
      <c r="BV2433" s="1" t="s">
        <v>1955</v>
      </c>
      <c r="BW2433" s="1" t="s">
        <v>1956</v>
      </c>
      <c r="BX2433" s="1">
        <v>201</v>
      </c>
      <c r="BY2433" s="1">
        <v>201</v>
      </c>
      <c r="BZ2433" s="1">
        <v>201</v>
      </c>
      <c r="CB2433" s="1" t="str">
        <f t="shared" ref="CB2433:CC2433" si="1865">""</f>
        <v/>
      </c>
      <c r="CC2433" s="1" t="str">
        <f t="shared" si="1865"/>
        <v/>
      </c>
      <c r="CG2433" s="1" t="s">
        <v>221</v>
      </c>
      <c r="CH2433" s="1" t="s">
        <v>277</v>
      </c>
      <c r="CI2433" s="1" t="s">
        <v>438</v>
      </c>
      <c r="CJ2433" s="1" t="s">
        <v>1199</v>
      </c>
      <c r="CK2433" s="1" t="s">
        <v>221</v>
      </c>
      <c r="CL2433" s="1" t="s">
        <v>784</v>
      </c>
      <c r="CM2433" s="1" t="s">
        <v>438</v>
      </c>
      <c r="CN2433" s="1" t="s">
        <v>1199</v>
      </c>
      <c r="CP2433" s="1" t="s">
        <v>224</v>
      </c>
      <c r="CS2433" s="1" t="s">
        <v>931</v>
      </c>
      <c r="CT2433" s="1" t="s">
        <v>784</v>
      </c>
      <c r="CU2433" s="1" t="s">
        <v>438</v>
      </c>
      <c r="CV2433" s="1" t="s">
        <v>1199</v>
      </c>
      <c r="CX2433" s="1" t="s">
        <v>224</v>
      </c>
      <c r="DB2433" s="1" t="s">
        <v>224</v>
      </c>
      <c r="DE2433" s="1" t="s">
        <v>378</v>
      </c>
      <c r="DF2433" s="1" t="s">
        <v>277</v>
      </c>
      <c r="DG2433" s="1" t="s">
        <v>438</v>
      </c>
      <c r="DH2433" s="1" t="s">
        <v>1199</v>
      </c>
      <c r="DI2433" s="1" t="s">
        <v>648</v>
      </c>
      <c r="DJ2433" s="1" t="s">
        <v>277</v>
      </c>
      <c r="DK2433" s="1" t="s">
        <v>438</v>
      </c>
      <c r="DL2433" s="1" t="s">
        <v>1199</v>
      </c>
      <c r="DM2433" s="1" t="s">
        <v>6766</v>
      </c>
      <c r="DR2433" s="1" t="s">
        <v>4260</v>
      </c>
      <c r="DS2433" s="1" t="s">
        <v>277</v>
      </c>
      <c r="DT2433" s="1" t="s">
        <v>438</v>
      </c>
      <c r="DW2433" s="1" t="s">
        <v>230</v>
      </c>
      <c r="EA2433" s="1" t="s">
        <v>230</v>
      </c>
      <c r="EE2433" s="1" t="s">
        <v>230</v>
      </c>
      <c r="EI2433" s="1" t="s">
        <v>230</v>
      </c>
      <c r="EL2433" s="1" t="s">
        <v>491</v>
      </c>
      <c r="EM2433" s="1" t="s">
        <v>232</v>
      </c>
      <c r="EN2433" s="1" t="s">
        <v>282</v>
      </c>
      <c r="EO2433" s="1" t="s">
        <v>234</v>
      </c>
      <c r="EP2433" s="1" t="s">
        <v>21112</v>
      </c>
      <c r="EQ2433" s="1" t="s">
        <v>2188</v>
      </c>
      <c r="ER2433" s="1" t="s">
        <v>210</v>
      </c>
      <c r="ES2433" s="1" t="s">
        <v>16182</v>
      </c>
      <c r="ET2433" s="1" t="s">
        <v>1201</v>
      </c>
      <c r="EW2433" s="1" t="s">
        <v>12056</v>
      </c>
      <c r="EY2433" s="1" t="s">
        <v>242</v>
      </c>
      <c r="EZ2433" s="1" t="s">
        <v>6766</v>
      </c>
      <c r="FA2433" s="1" t="s">
        <v>288</v>
      </c>
      <c r="FC2433" s="1" t="s">
        <v>1405</v>
      </c>
      <c r="FD2433" s="1" t="s">
        <v>246</v>
      </c>
      <c r="FE2433" s="1" t="s">
        <v>247</v>
      </c>
      <c r="FF2433" s="1" t="s">
        <v>248</v>
      </c>
      <c r="FG2433" s="1" t="s">
        <v>1204</v>
      </c>
      <c r="FH2433" s="1" t="s">
        <v>550</v>
      </c>
      <c r="FI2433" s="1" t="s">
        <v>250</v>
      </c>
      <c r="FJ2433" s="1" t="s">
        <v>197</v>
      </c>
      <c r="FL2433" s="1" t="s">
        <v>358</v>
      </c>
      <c r="FM2433" s="1" t="s">
        <v>252</v>
      </c>
      <c r="FN2433" s="1" t="s">
        <v>213</v>
      </c>
      <c r="FO2433" s="1" t="s">
        <v>213</v>
      </c>
      <c r="FQ2433" s="1" t="s">
        <v>329</v>
      </c>
      <c r="FR2433" s="1" t="s">
        <v>210</v>
      </c>
      <c r="FS2433" s="1" t="s">
        <v>21113</v>
      </c>
      <c r="FT2433" s="1" t="s">
        <v>295</v>
      </c>
      <c r="FU2433" s="1" t="s">
        <v>204</v>
      </c>
      <c r="FW2433" s="1" t="s">
        <v>585</v>
      </c>
      <c r="FX2433" s="1">
        <v>20001</v>
      </c>
      <c r="FY2433" s="1" t="s">
        <v>5002</v>
      </c>
      <c r="FZ2433" s="1" t="s">
        <v>21114</v>
      </c>
      <c r="GA2433" s="1">
        <v>213522</v>
      </c>
      <c r="GB2433" s="1" t="s">
        <v>21115</v>
      </c>
      <c r="GE2433" s="1" t="s">
        <v>1226</v>
      </c>
      <c r="GH2433" s="1" t="s">
        <v>230</v>
      </c>
      <c r="GI2433" s="1" t="s">
        <v>213</v>
      </c>
      <c r="GJ2433" s="1" t="s">
        <v>260</v>
      </c>
      <c r="GK2433" s="1" t="s">
        <v>210</v>
      </c>
      <c r="GL2433" s="2">
        <v>42143</v>
      </c>
      <c r="GM2433" s="1" t="s">
        <v>21116</v>
      </c>
    </row>
    <row r="2434" spans="1:195">
      <c r="A2434" s="1">
        <v>157000</v>
      </c>
      <c r="B2434" s="1" t="s">
        <v>195</v>
      </c>
      <c r="C2434" s="1" t="str">
        <f>"08834155"</f>
        <v>08834155</v>
      </c>
      <c r="D2434" s="1" t="s">
        <v>196</v>
      </c>
      <c r="F2434" s="1" t="str">
        <f>"106"</f>
        <v>106</v>
      </c>
      <c r="G2434" s="2">
        <v>42044</v>
      </c>
      <c r="H2434" s="1">
        <v>159900</v>
      </c>
      <c r="I2434" s="1">
        <v>159900</v>
      </c>
      <c r="J2434" s="1">
        <v>157000</v>
      </c>
      <c r="K2434" s="2">
        <v>42041</v>
      </c>
      <c r="L2434" s="1">
        <v>291</v>
      </c>
      <c r="M2434" s="2">
        <v>42079</v>
      </c>
      <c r="N2434" s="1">
        <v>39</v>
      </c>
      <c r="O2434" s="2">
        <v>42079</v>
      </c>
      <c r="P2434" s="1">
        <v>23591</v>
      </c>
      <c r="Q2434" s="1" t="s">
        <v>197</v>
      </c>
      <c r="R2434" s="2">
        <v>42121</v>
      </c>
      <c r="S2434" s="1">
        <v>240844</v>
      </c>
      <c r="U2434" s="1">
        <v>100</v>
      </c>
      <c r="V2434" s="1" t="s">
        <v>12355</v>
      </c>
      <c r="W2434" s="1" t="s">
        <v>425</v>
      </c>
      <c r="X2434" s="1">
        <v>511</v>
      </c>
      <c r="Y2434" s="1">
        <v>60</v>
      </c>
      <c r="Z2434" s="1" t="s">
        <v>249</v>
      </c>
      <c r="AA2434" s="1" t="s">
        <v>1229</v>
      </c>
      <c r="AB2434" s="1">
        <v>60106</v>
      </c>
      <c r="AD2434" s="1" t="s">
        <v>21117</v>
      </c>
      <c r="AE2434" s="1" t="s">
        <v>21118</v>
      </c>
      <c r="AF2434" s="1">
        <v>1999</v>
      </c>
      <c r="AG2434" s="1" t="s">
        <v>204</v>
      </c>
      <c r="AH2434" s="1" t="s">
        <v>1233</v>
      </c>
      <c r="AI2434" s="1" t="s">
        <v>206</v>
      </c>
      <c r="AJ2434" s="1" t="s">
        <v>1233</v>
      </c>
      <c r="AL2434" s="1">
        <v>5</v>
      </c>
      <c r="AM2434" s="1">
        <v>2</v>
      </c>
      <c r="AN2434" s="1">
        <v>2</v>
      </c>
      <c r="AO2434" s="1">
        <v>0</v>
      </c>
      <c r="AP2434" s="1" t="s">
        <v>209</v>
      </c>
      <c r="AR2434" s="1" t="s">
        <v>210</v>
      </c>
      <c r="AS2434" s="1" t="s">
        <v>204</v>
      </c>
      <c r="AT2434" s="1" t="s">
        <v>211</v>
      </c>
      <c r="AU2434" s="1">
        <v>2</v>
      </c>
      <c r="AW2434" s="1" t="s">
        <v>204</v>
      </c>
      <c r="AX2434" s="1">
        <v>0</v>
      </c>
      <c r="AZ2434" s="1">
        <v>3685</v>
      </c>
      <c r="BA2434" s="1">
        <v>2013</v>
      </c>
      <c r="BE2434" s="1">
        <v>1225</v>
      </c>
      <c r="BF2434" s="1">
        <v>5</v>
      </c>
      <c r="BG2434" s="1">
        <v>1</v>
      </c>
      <c r="BL2434" s="1">
        <v>279</v>
      </c>
      <c r="BM2434" s="1" t="s">
        <v>204</v>
      </c>
      <c r="BN2434" s="1" t="s">
        <v>213</v>
      </c>
      <c r="BO2434" s="1">
        <v>10</v>
      </c>
      <c r="BP2434" s="1" t="s">
        <v>204</v>
      </c>
      <c r="BR2434" s="1" t="str">
        <f>"0314219056"</f>
        <v>0314219056</v>
      </c>
      <c r="BT2434" s="1" t="s">
        <v>21119</v>
      </c>
      <c r="BX2434" s="1">
        <v>2</v>
      </c>
      <c r="BY2434" s="1">
        <v>2</v>
      </c>
      <c r="BZ2434" s="1">
        <v>100</v>
      </c>
      <c r="CB2434" s="1" t="str">
        <f>"5"</f>
        <v>5</v>
      </c>
      <c r="CC2434" s="1" t="str">
        <f>""</f>
        <v/>
      </c>
      <c r="CD2434" s="1">
        <v>16</v>
      </c>
      <c r="CG2434" s="1" t="s">
        <v>9164</v>
      </c>
      <c r="CH2434" s="1" t="s">
        <v>219</v>
      </c>
      <c r="CK2434" s="1" t="s">
        <v>437</v>
      </c>
      <c r="CL2434" s="1" t="s">
        <v>219</v>
      </c>
      <c r="CO2434" s="1" t="s">
        <v>629</v>
      </c>
      <c r="CP2434" s="1" t="s">
        <v>219</v>
      </c>
      <c r="CS2434" s="1" t="s">
        <v>317</v>
      </c>
      <c r="CT2434" s="1" t="s">
        <v>219</v>
      </c>
      <c r="CX2434" s="1" t="s">
        <v>224</v>
      </c>
      <c r="DB2434" s="1" t="s">
        <v>224</v>
      </c>
      <c r="DE2434" s="1" t="s">
        <v>686</v>
      </c>
      <c r="DF2434" s="1" t="s">
        <v>219</v>
      </c>
      <c r="DJ2434" s="1" t="s">
        <v>224</v>
      </c>
      <c r="DS2434" s="1" t="s">
        <v>230</v>
      </c>
      <c r="DW2434" s="1" t="s">
        <v>230</v>
      </c>
      <c r="EA2434" s="1" t="s">
        <v>230</v>
      </c>
      <c r="EE2434" s="1" t="s">
        <v>230</v>
      </c>
      <c r="EI2434" s="1" t="s">
        <v>230</v>
      </c>
      <c r="EL2434" s="1" t="s">
        <v>670</v>
      </c>
      <c r="EM2434" s="1" t="s">
        <v>232</v>
      </c>
      <c r="EN2434" s="1" t="s">
        <v>282</v>
      </c>
      <c r="EO2434" s="1" t="s">
        <v>234</v>
      </c>
      <c r="EP2434" s="1" t="s">
        <v>6681</v>
      </c>
      <c r="ER2434" s="1" t="s">
        <v>210</v>
      </c>
      <c r="EW2434" s="1" t="s">
        <v>2344</v>
      </c>
      <c r="EZ2434" s="1" t="s">
        <v>287</v>
      </c>
      <c r="FD2434" s="1" t="s">
        <v>246</v>
      </c>
      <c r="FE2434" s="1" t="s">
        <v>15532</v>
      </c>
      <c r="FF2434" s="1" t="s">
        <v>248</v>
      </c>
      <c r="FH2434" s="1" t="s">
        <v>1942</v>
      </c>
      <c r="FL2434" s="1" t="s">
        <v>358</v>
      </c>
      <c r="FM2434" s="1" t="s">
        <v>252</v>
      </c>
      <c r="FN2434" s="1" t="s">
        <v>213</v>
      </c>
      <c r="FO2434" s="1" t="s">
        <v>213</v>
      </c>
      <c r="FQ2434" s="1" t="s">
        <v>673</v>
      </c>
      <c r="FR2434" s="1" t="s">
        <v>210</v>
      </c>
      <c r="FS2434" s="1" t="s">
        <v>2106</v>
      </c>
      <c r="FT2434" s="1" t="s">
        <v>16141</v>
      </c>
      <c r="FU2434" s="1" t="s">
        <v>204</v>
      </c>
      <c r="FW2434" s="1" t="s">
        <v>2108</v>
      </c>
      <c r="FX2434" s="1">
        <v>5085</v>
      </c>
      <c r="FY2434" s="1" t="s">
        <v>2109</v>
      </c>
      <c r="FZ2434" s="1" t="s">
        <v>2110</v>
      </c>
      <c r="GA2434" s="1">
        <v>55549</v>
      </c>
      <c r="GE2434" s="1" t="s">
        <v>210</v>
      </c>
      <c r="GH2434" s="1" t="s">
        <v>589</v>
      </c>
      <c r="GI2434" s="1" t="s">
        <v>213</v>
      </c>
      <c r="GJ2434" s="1" t="s">
        <v>260</v>
      </c>
      <c r="GK2434" s="1" t="s">
        <v>210</v>
      </c>
      <c r="GL2434" s="2">
        <v>42122</v>
      </c>
      <c r="GM2434" s="1" t="s">
        <v>2111</v>
      </c>
    </row>
    <row r="2435" spans="1:195">
      <c r="A2435" s="1">
        <v>110000</v>
      </c>
      <c r="B2435" s="1" t="s">
        <v>195</v>
      </c>
      <c r="C2435" s="1" t="str">
        <f>"08829117"</f>
        <v>08829117</v>
      </c>
      <c r="D2435" s="1" t="s">
        <v>196</v>
      </c>
      <c r="F2435" s="1" t="str">
        <f>"562"</f>
        <v>562</v>
      </c>
      <c r="G2435" s="2">
        <v>42037</v>
      </c>
      <c r="H2435" s="1">
        <v>115900</v>
      </c>
      <c r="I2435" s="1">
        <v>115900</v>
      </c>
      <c r="J2435" s="1">
        <v>110000</v>
      </c>
      <c r="K2435" s="2">
        <v>42037</v>
      </c>
      <c r="L2435" s="1">
        <v>31</v>
      </c>
      <c r="M2435" s="2">
        <v>42067</v>
      </c>
      <c r="N2435" s="1">
        <v>31</v>
      </c>
      <c r="O2435" s="2">
        <v>42067</v>
      </c>
      <c r="P2435" s="1">
        <v>18267</v>
      </c>
      <c r="Q2435" s="1" t="s">
        <v>197</v>
      </c>
      <c r="R2435" s="2">
        <v>42135</v>
      </c>
      <c r="S2435" s="1">
        <v>150544</v>
      </c>
      <c r="T2435" s="1">
        <v>4400</v>
      </c>
      <c r="U2435" s="1">
        <v>8321</v>
      </c>
      <c r="V2435" s="1" t="s">
        <v>6479</v>
      </c>
      <c r="W2435" s="1" t="s">
        <v>264</v>
      </c>
      <c r="X2435" s="1" t="s">
        <v>527</v>
      </c>
      <c r="Y2435" s="1">
        <v>4</v>
      </c>
      <c r="Z2435" s="1" t="s">
        <v>249</v>
      </c>
      <c r="AA2435" s="1" t="s">
        <v>899</v>
      </c>
      <c r="AB2435" s="1">
        <v>60561</v>
      </c>
      <c r="AE2435" s="1" t="s">
        <v>21120</v>
      </c>
      <c r="AF2435" s="1">
        <v>1973</v>
      </c>
      <c r="AG2435" s="1" t="s">
        <v>213</v>
      </c>
      <c r="AH2435" s="1" t="s">
        <v>902</v>
      </c>
      <c r="AI2435" s="1" t="s">
        <v>206</v>
      </c>
      <c r="AJ2435" s="1" t="s">
        <v>903</v>
      </c>
      <c r="AL2435" s="1">
        <v>6</v>
      </c>
      <c r="AM2435" s="1">
        <v>2</v>
      </c>
      <c r="AN2435" s="1">
        <v>1</v>
      </c>
      <c r="AO2435" s="1">
        <v>1</v>
      </c>
      <c r="AP2435" s="1" t="s">
        <v>210</v>
      </c>
      <c r="AR2435" s="1" t="s">
        <v>209</v>
      </c>
      <c r="AS2435" s="1" t="s">
        <v>204</v>
      </c>
      <c r="AT2435" s="1" t="s">
        <v>211</v>
      </c>
      <c r="AU2435" s="1">
        <v>1</v>
      </c>
      <c r="AW2435" s="1" t="s">
        <v>204</v>
      </c>
      <c r="AX2435" s="1" t="s">
        <v>212</v>
      </c>
      <c r="AZ2435" s="1">
        <v>2025</v>
      </c>
      <c r="BA2435" s="1">
        <v>2013</v>
      </c>
      <c r="BB2435" s="1" t="s">
        <v>210</v>
      </c>
      <c r="BE2435" s="1">
        <v>1200</v>
      </c>
      <c r="BF2435" s="1">
        <v>1</v>
      </c>
      <c r="BG2435" s="1">
        <v>10</v>
      </c>
      <c r="BL2435" s="1">
        <v>250</v>
      </c>
      <c r="BM2435" s="1" t="s">
        <v>204</v>
      </c>
      <c r="BN2435" s="1" t="s">
        <v>213</v>
      </c>
      <c r="BO2435" s="1">
        <v>999</v>
      </c>
      <c r="BP2435" s="1" t="s">
        <v>204</v>
      </c>
      <c r="BR2435" s="1" t="str">
        <f>"0934211085"</f>
        <v>0934211085</v>
      </c>
      <c r="BT2435" s="1" t="s">
        <v>21121</v>
      </c>
      <c r="BX2435" s="1">
        <v>63</v>
      </c>
      <c r="BY2435" s="1">
        <v>63</v>
      </c>
      <c r="BZ2435" s="1">
        <v>86</v>
      </c>
      <c r="CB2435" s="1" t="str">
        <f t="shared" ref="CB2435:CC2435" si="1866">"0"</f>
        <v>0</v>
      </c>
      <c r="CC2435" s="1" t="str">
        <f t="shared" si="1866"/>
        <v>0</v>
      </c>
      <c r="CD2435" s="1">
        <v>17</v>
      </c>
      <c r="CE2435" s="1">
        <v>9</v>
      </c>
      <c r="CG2435" s="1" t="s">
        <v>1004</v>
      </c>
      <c r="CH2435" s="1" t="s">
        <v>219</v>
      </c>
      <c r="CI2435" s="1" t="s">
        <v>220</v>
      </c>
      <c r="CK2435" s="1" t="s">
        <v>278</v>
      </c>
      <c r="CL2435" s="1" t="s">
        <v>277</v>
      </c>
      <c r="CM2435" s="1" t="s">
        <v>220</v>
      </c>
      <c r="CO2435" s="1" t="s">
        <v>409</v>
      </c>
      <c r="CP2435" s="1" t="s">
        <v>219</v>
      </c>
      <c r="CQ2435" s="1" t="s">
        <v>220</v>
      </c>
      <c r="CS2435" s="1" t="s">
        <v>346</v>
      </c>
      <c r="CT2435" s="1" t="s">
        <v>277</v>
      </c>
      <c r="CU2435" s="1" t="s">
        <v>220</v>
      </c>
      <c r="CX2435" s="1" t="s">
        <v>224</v>
      </c>
      <c r="DB2435" s="1" t="s">
        <v>224</v>
      </c>
      <c r="DE2435" s="1" t="s">
        <v>1133</v>
      </c>
      <c r="DF2435" s="1" t="s">
        <v>219</v>
      </c>
      <c r="DG2435" s="1" t="s">
        <v>226</v>
      </c>
      <c r="DI2435" s="1" t="s">
        <v>908</v>
      </c>
      <c r="DJ2435" s="1" t="s">
        <v>822</v>
      </c>
      <c r="DM2435" s="1" t="s">
        <v>2278</v>
      </c>
      <c r="DR2435" s="1" t="s">
        <v>2071</v>
      </c>
      <c r="DS2435" s="1" t="s">
        <v>822</v>
      </c>
      <c r="DW2435" s="1" t="s">
        <v>230</v>
      </c>
      <c r="EA2435" s="1" t="s">
        <v>230</v>
      </c>
      <c r="EE2435" s="1" t="s">
        <v>230</v>
      </c>
      <c r="EI2435" s="1" t="s">
        <v>230</v>
      </c>
      <c r="EL2435" s="1" t="s">
        <v>605</v>
      </c>
      <c r="EM2435" s="1" t="s">
        <v>319</v>
      </c>
      <c r="EN2435" s="1" t="s">
        <v>282</v>
      </c>
      <c r="EO2435" s="1" t="s">
        <v>234</v>
      </c>
      <c r="ER2435" s="1" t="s">
        <v>544</v>
      </c>
      <c r="EV2435" s="1" t="s">
        <v>324</v>
      </c>
      <c r="EW2435" s="1" t="s">
        <v>887</v>
      </c>
      <c r="EZ2435" s="1" t="s">
        <v>2278</v>
      </c>
      <c r="FB2435" s="1" t="s">
        <v>289</v>
      </c>
      <c r="FD2435" s="1" t="s">
        <v>246</v>
      </c>
      <c r="FE2435" s="1" t="s">
        <v>247</v>
      </c>
      <c r="FF2435" s="1" t="s">
        <v>248</v>
      </c>
      <c r="FH2435" s="1" t="s">
        <v>550</v>
      </c>
      <c r="FL2435" s="1" t="s">
        <v>810</v>
      </c>
      <c r="FM2435" s="1" t="s">
        <v>252</v>
      </c>
      <c r="FN2435" s="1" t="s">
        <v>213</v>
      </c>
      <c r="FO2435" s="1" t="s">
        <v>213</v>
      </c>
      <c r="FQ2435" s="1" t="s">
        <v>21122</v>
      </c>
      <c r="FR2435" s="1" t="s">
        <v>210</v>
      </c>
      <c r="FS2435" s="1" t="s">
        <v>21123</v>
      </c>
      <c r="FT2435" s="1" t="s">
        <v>584</v>
      </c>
      <c r="FU2435" s="1" t="s">
        <v>204</v>
      </c>
      <c r="FW2435" s="1" t="s">
        <v>5202</v>
      </c>
      <c r="FX2435" s="1">
        <v>22067</v>
      </c>
      <c r="FY2435" s="1" t="s">
        <v>5203</v>
      </c>
      <c r="FZ2435" s="1" t="s">
        <v>5204</v>
      </c>
      <c r="GA2435" s="1">
        <v>213895</v>
      </c>
      <c r="GB2435" s="1" t="s">
        <v>5203</v>
      </c>
      <c r="GE2435" s="1" t="s">
        <v>210</v>
      </c>
      <c r="GI2435" s="1" t="s">
        <v>213</v>
      </c>
      <c r="GJ2435" s="1" t="s">
        <v>260</v>
      </c>
      <c r="GK2435" s="1" t="s">
        <v>210</v>
      </c>
      <c r="GL2435" s="2">
        <v>42135</v>
      </c>
      <c r="GM2435" s="1" t="s">
        <v>5205</v>
      </c>
    </row>
    <row r="2436" spans="1:195">
      <c r="A2436" s="1">
        <v>108000</v>
      </c>
      <c r="B2436" s="1" t="s">
        <v>195</v>
      </c>
      <c r="C2436" s="1" t="str">
        <f>"08823673"</f>
        <v>08823673</v>
      </c>
      <c r="D2436" s="1" t="s">
        <v>196</v>
      </c>
      <c r="F2436" s="1" t="str">
        <f>"507"</f>
        <v>507</v>
      </c>
      <c r="G2436" s="2">
        <v>42029</v>
      </c>
      <c r="H2436" s="1">
        <v>119900</v>
      </c>
      <c r="I2436" s="1">
        <v>119900</v>
      </c>
      <c r="J2436" s="1">
        <v>108000</v>
      </c>
      <c r="K2436" s="2">
        <v>42029</v>
      </c>
      <c r="L2436" s="1">
        <v>247</v>
      </c>
      <c r="M2436" s="2">
        <v>42059</v>
      </c>
      <c r="N2436" s="1">
        <v>31</v>
      </c>
      <c r="O2436" s="2">
        <v>42059</v>
      </c>
      <c r="P2436" s="1">
        <v>23030</v>
      </c>
      <c r="Q2436" s="1" t="s">
        <v>423</v>
      </c>
      <c r="R2436" s="2">
        <v>42101</v>
      </c>
      <c r="S2436" s="1">
        <v>228755</v>
      </c>
      <c r="T2436" s="1">
        <v>3240</v>
      </c>
      <c r="U2436" s="1">
        <v>2552</v>
      </c>
      <c r="V2436" s="1" t="s">
        <v>21124</v>
      </c>
      <c r="W2436" s="1" t="s">
        <v>425</v>
      </c>
      <c r="X2436" s="1" t="s">
        <v>21125</v>
      </c>
      <c r="Y2436" s="1">
        <v>6</v>
      </c>
      <c r="Z2436" s="1" t="s">
        <v>249</v>
      </c>
      <c r="AA2436" s="1" t="s">
        <v>1123</v>
      </c>
      <c r="AB2436" s="1">
        <v>60503</v>
      </c>
      <c r="AE2436" s="1" t="s">
        <v>21126</v>
      </c>
      <c r="AF2436" s="1">
        <v>2007</v>
      </c>
      <c r="AG2436" s="1" t="s">
        <v>204</v>
      </c>
      <c r="AH2436" s="1" t="s">
        <v>1126</v>
      </c>
      <c r="AI2436" s="1" t="s">
        <v>1800</v>
      </c>
      <c r="AJ2436" s="1" t="s">
        <v>1801</v>
      </c>
      <c r="AL2436" s="1">
        <v>5</v>
      </c>
      <c r="AM2436" s="1">
        <v>2</v>
      </c>
      <c r="AN2436" s="1">
        <v>2</v>
      </c>
      <c r="AO2436" s="1">
        <v>1</v>
      </c>
      <c r="AP2436" s="1" t="s">
        <v>209</v>
      </c>
      <c r="AR2436" s="1" t="s">
        <v>210</v>
      </c>
      <c r="AS2436" s="1" t="s">
        <v>204</v>
      </c>
      <c r="AT2436" s="1" t="s">
        <v>211</v>
      </c>
      <c r="AU2436" s="1">
        <v>2</v>
      </c>
      <c r="AW2436" s="1" t="s">
        <v>204</v>
      </c>
      <c r="AX2436" s="1" t="s">
        <v>212</v>
      </c>
      <c r="AZ2436" s="1">
        <v>6951.66</v>
      </c>
      <c r="BA2436" s="1">
        <v>2012</v>
      </c>
      <c r="BE2436" s="1">
        <v>1532</v>
      </c>
      <c r="BF2436" s="1">
        <v>1</v>
      </c>
      <c r="BG2436" s="1">
        <v>0</v>
      </c>
      <c r="BL2436" s="1">
        <v>185</v>
      </c>
      <c r="BM2436" s="1" t="s">
        <v>204</v>
      </c>
      <c r="BN2436" s="1" t="s">
        <v>213</v>
      </c>
      <c r="BO2436" s="1" t="s">
        <v>4354</v>
      </c>
      <c r="BP2436" s="1" t="s">
        <v>204</v>
      </c>
      <c r="BR2436" s="1" t="str">
        <f>"01064120131003"</f>
        <v>01064120131003</v>
      </c>
      <c r="BT2436" s="1" t="s">
        <v>21127</v>
      </c>
      <c r="BU2436" s="1" t="s">
        <v>14077</v>
      </c>
      <c r="BV2436" s="1" t="s">
        <v>21128</v>
      </c>
      <c r="BW2436" s="1" t="s">
        <v>1401</v>
      </c>
      <c r="BX2436" s="1">
        <v>308</v>
      </c>
      <c r="BY2436" s="1">
        <v>308</v>
      </c>
      <c r="BZ2436" s="1">
        <v>308</v>
      </c>
      <c r="CB2436" s="1" t="str">
        <f t="shared" ref="CB2436:CC2436" si="1867">"0"</f>
        <v>0</v>
      </c>
      <c r="CC2436" s="1" t="str">
        <f t="shared" si="1867"/>
        <v>0</v>
      </c>
      <c r="CD2436" s="1">
        <v>32</v>
      </c>
      <c r="CE2436" s="1">
        <v>10</v>
      </c>
      <c r="CG2436" s="1" t="s">
        <v>932</v>
      </c>
      <c r="CH2436" s="1" t="s">
        <v>219</v>
      </c>
      <c r="CK2436" s="1" t="s">
        <v>1533</v>
      </c>
      <c r="CL2436" s="1" t="s">
        <v>277</v>
      </c>
      <c r="CO2436" s="1" t="s">
        <v>837</v>
      </c>
      <c r="CP2436" s="1" t="s">
        <v>219</v>
      </c>
      <c r="CS2436" s="1" t="s">
        <v>932</v>
      </c>
      <c r="CT2436" s="1" t="s">
        <v>277</v>
      </c>
      <c r="CX2436" s="1" t="s">
        <v>224</v>
      </c>
      <c r="DB2436" s="1" t="s">
        <v>224</v>
      </c>
      <c r="DE2436" s="1" t="s">
        <v>348</v>
      </c>
      <c r="DF2436" s="1" t="s">
        <v>219</v>
      </c>
      <c r="DJ2436" s="1" t="s">
        <v>224</v>
      </c>
      <c r="DS2436" s="1" t="s">
        <v>230</v>
      </c>
      <c r="DW2436" s="1" t="s">
        <v>230</v>
      </c>
      <c r="EA2436" s="1" t="s">
        <v>230</v>
      </c>
      <c r="EE2436" s="1" t="s">
        <v>230</v>
      </c>
      <c r="EI2436" s="1" t="s">
        <v>230</v>
      </c>
      <c r="EL2436" s="1" t="s">
        <v>491</v>
      </c>
      <c r="EM2436" s="1" t="s">
        <v>319</v>
      </c>
      <c r="EN2436" s="1" t="s">
        <v>282</v>
      </c>
      <c r="EO2436" s="1" t="s">
        <v>234</v>
      </c>
      <c r="EP2436" s="1" t="s">
        <v>210</v>
      </c>
      <c r="ER2436" s="1" t="s">
        <v>383</v>
      </c>
      <c r="EW2436" s="1" t="s">
        <v>353</v>
      </c>
      <c r="EZ2436" s="1" t="s">
        <v>287</v>
      </c>
      <c r="FD2436" s="1" t="s">
        <v>246</v>
      </c>
      <c r="FE2436" s="1" t="s">
        <v>355</v>
      </c>
      <c r="FF2436" s="1" t="s">
        <v>3103</v>
      </c>
      <c r="FH2436" s="1" t="s">
        <v>550</v>
      </c>
      <c r="FL2436" s="1" t="s">
        <v>358</v>
      </c>
      <c r="FM2436" s="1" t="s">
        <v>252</v>
      </c>
      <c r="FN2436" s="1" t="s">
        <v>213</v>
      </c>
      <c r="FO2436" s="1" t="s">
        <v>213</v>
      </c>
      <c r="FQ2436" s="1" t="s">
        <v>293</v>
      </c>
      <c r="FR2436" s="1" t="s">
        <v>652</v>
      </c>
      <c r="FS2436" s="1" t="s">
        <v>1318</v>
      </c>
      <c r="FT2436" s="1" t="s">
        <v>675</v>
      </c>
      <c r="FU2436" s="1" t="s">
        <v>204</v>
      </c>
      <c r="FW2436" s="1" t="s">
        <v>1857</v>
      </c>
      <c r="FX2436" s="1">
        <v>22993</v>
      </c>
      <c r="FY2436" s="1" t="s">
        <v>1858</v>
      </c>
      <c r="FZ2436" s="1" t="s">
        <v>21129</v>
      </c>
      <c r="GA2436" s="1">
        <v>232525</v>
      </c>
      <c r="GB2436" s="1" t="s">
        <v>21130</v>
      </c>
      <c r="GE2436" s="1" t="s">
        <v>210</v>
      </c>
      <c r="GI2436" s="1" t="s">
        <v>213</v>
      </c>
      <c r="GJ2436" s="1" t="s">
        <v>260</v>
      </c>
      <c r="GK2436" s="1" t="s">
        <v>210</v>
      </c>
      <c r="GL2436" s="2">
        <v>42102</v>
      </c>
      <c r="GM2436" s="1" t="s">
        <v>21131</v>
      </c>
    </row>
    <row r="2437" spans="1:195">
      <c r="A2437" s="1">
        <v>358000</v>
      </c>
      <c r="B2437" s="1" t="s">
        <v>195</v>
      </c>
      <c r="C2437" s="1" t="str">
        <f>"08821365"</f>
        <v>08821365</v>
      </c>
      <c r="D2437" s="1" t="s">
        <v>196</v>
      </c>
      <c r="F2437" s="1" t="str">
        <f>"187"</f>
        <v>187</v>
      </c>
      <c r="G2437" s="2">
        <v>42025</v>
      </c>
      <c r="H2437" s="1">
        <v>365000</v>
      </c>
      <c r="I2437" s="1">
        <v>365000</v>
      </c>
      <c r="J2437" s="1">
        <v>358000</v>
      </c>
      <c r="K2437" s="2">
        <v>42025</v>
      </c>
      <c r="L2437" s="1">
        <v>45</v>
      </c>
      <c r="M2437" s="2">
        <v>42069</v>
      </c>
      <c r="N2437" s="1">
        <v>45</v>
      </c>
      <c r="O2437" s="2">
        <v>42069</v>
      </c>
      <c r="P2437" s="1">
        <v>23120</v>
      </c>
      <c r="Q2437" s="1" t="s">
        <v>302</v>
      </c>
      <c r="R2437" s="2">
        <v>42125</v>
      </c>
      <c r="S2437" s="1">
        <v>232005</v>
      </c>
      <c r="U2437" s="1">
        <v>255</v>
      </c>
      <c r="V2437" s="1" t="s">
        <v>21132</v>
      </c>
      <c r="W2437" s="1" t="s">
        <v>264</v>
      </c>
      <c r="X2437" s="1">
        <v>402</v>
      </c>
      <c r="Y2437" s="1">
        <v>50</v>
      </c>
      <c r="Z2437" s="1" t="s">
        <v>370</v>
      </c>
      <c r="AA2437" s="1" t="s">
        <v>964</v>
      </c>
      <c r="AB2437" s="1">
        <v>60187</v>
      </c>
      <c r="AE2437" s="1" t="s">
        <v>21133</v>
      </c>
      <c r="AF2437" s="1">
        <v>2008</v>
      </c>
      <c r="AG2437" s="1" t="s">
        <v>204</v>
      </c>
      <c r="AH2437" s="1" t="s">
        <v>967</v>
      </c>
      <c r="AI2437" s="1" t="s">
        <v>206</v>
      </c>
      <c r="AJ2437" s="1" t="s">
        <v>207</v>
      </c>
      <c r="AL2437" s="1">
        <v>6</v>
      </c>
      <c r="AM2437" s="1">
        <v>2</v>
      </c>
      <c r="AN2437" s="1">
        <v>2</v>
      </c>
      <c r="AO2437" s="1">
        <v>0</v>
      </c>
      <c r="AP2437" s="1" t="s">
        <v>209</v>
      </c>
      <c r="AR2437" s="1" t="s">
        <v>210</v>
      </c>
      <c r="AS2437" s="1" t="s">
        <v>204</v>
      </c>
      <c r="AT2437" s="1" t="s">
        <v>211</v>
      </c>
      <c r="AU2437" s="1">
        <v>1</v>
      </c>
      <c r="AW2437" s="1" t="s">
        <v>204</v>
      </c>
      <c r="AX2437" s="1" t="s">
        <v>212</v>
      </c>
      <c r="AZ2437" s="1">
        <v>8423</v>
      </c>
      <c r="BA2437" s="1">
        <v>2013</v>
      </c>
      <c r="BE2437" s="1">
        <v>1555</v>
      </c>
      <c r="BF2437" s="1">
        <v>4</v>
      </c>
      <c r="BG2437" s="1">
        <v>0</v>
      </c>
      <c r="BL2437" s="1">
        <v>362</v>
      </c>
      <c r="BM2437" s="1" t="s">
        <v>204</v>
      </c>
      <c r="BN2437" s="1" t="s">
        <v>213</v>
      </c>
      <c r="BO2437" s="1">
        <v>999</v>
      </c>
      <c r="BP2437" s="1" t="s">
        <v>204</v>
      </c>
      <c r="BR2437" s="1" t="str">
        <f>"0516342019"</f>
        <v>0516342019</v>
      </c>
      <c r="BT2437" s="1" t="s">
        <v>21134</v>
      </c>
      <c r="BU2437" s="1" t="s">
        <v>7627</v>
      </c>
      <c r="BV2437" s="1" t="s">
        <v>990</v>
      </c>
      <c r="BW2437" s="1" t="s">
        <v>6456</v>
      </c>
      <c r="BX2437" s="1">
        <v>200</v>
      </c>
      <c r="BY2437" s="1">
        <v>200</v>
      </c>
      <c r="BZ2437" s="1">
        <v>200</v>
      </c>
      <c r="CB2437" s="1" t="str">
        <f t="shared" ref="CB2437:CC2437" si="1868">""</f>
        <v/>
      </c>
      <c r="CC2437" s="1" t="str">
        <f t="shared" si="1868"/>
        <v/>
      </c>
      <c r="CG2437" s="1" t="s">
        <v>1788</v>
      </c>
      <c r="CH2437" s="1" t="s">
        <v>219</v>
      </c>
      <c r="CI2437" s="1" t="s">
        <v>438</v>
      </c>
      <c r="CJ2437" s="1" t="s">
        <v>1199</v>
      </c>
      <c r="CK2437" s="1" t="s">
        <v>221</v>
      </c>
      <c r="CL2437" s="1" t="s">
        <v>219</v>
      </c>
      <c r="CM2437" s="1" t="s">
        <v>438</v>
      </c>
      <c r="CN2437" s="1" t="s">
        <v>1199</v>
      </c>
      <c r="CO2437" s="1" t="s">
        <v>346</v>
      </c>
      <c r="CP2437" s="1" t="s">
        <v>219</v>
      </c>
      <c r="CQ2437" s="1" t="s">
        <v>438</v>
      </c>
      <c r="CR2437" s="1" t="s">
        <v>210</v>
      </c>
      <c r="CS2437" s="1" t="s">
        <v>2466</v>
      </c>
      <c r="CT2437" s="1" t="s">
        <v>219</v>
      </c>
      <c r="CU2437" s="1" t="s">
        <v>438</v>
      </c>
      <c r="CV2437" s="1" t="s">
        <v>1199</v>
      </c>
      <c r="CX2437" s="1" t="s">
        <v>224</v>
      </c>
      <c r="DB2437" s="1" t="s">
        <v>224</v>
      </c>
      <c r="DE2437" s="1" t="s">
        <v>2982</v>
      </c>
      <c r="DF2437" s="1" t="s">
        <v>219</v>
      </c>
      <c r="DG2437" s="1" t="s">
        <v>438</v>
      </c>
      <c r="DH2437" s="1" t="s">
        <v>463</v>
      </c>
      <c r="DI2437" s="1" t="s">
        <v>3716</v>
      </c>
      <c r="DJ2437" s="1" t="s">
        <v>219</v>
      </c>
      <c r="DK2437" s="1" t="s">
        <v>438</v>
      </c>
      <c r="DL2437" s="1" t="s">
        <v>1199</v>
      </c>
      <c r="DS2437" s="1" t="s">
        <v>230</v>
      </c>
      <c r="DW2437" s="1" t="s">
        <v>230</v>
      </c>
      <c r="EA2437" s="1" t="s">
        <v>230</v>
      </c>
      <c r="EE2437" s="1" t="s">
        <v>230</v>
      </c>
      <c r="EI2437" s="1" t="s">
        <v>230</v>
      </c>
      <c r="EL2437" s="1" t="s">
        <v>491</v>
      </c>
      <c r="EM2437" s="1" t="s">
        <v>232</v>
      </c>
      <c r="EN2437" s="1" t="s">
        <v>282</v>
      </c>
      <c r="EO2437" s="1" t="s">
        <v>234</v>
      </c>
      <c r="EP2437" s="1" t="s">
        <v>21135</v>
      </c>
      <c r="EQ2437" s="1" t="s">
        <v>2188</v>
      </c>
      <c r="ER2437" s="1" t="s">
        <v>210</v>
      </c>
      <c r="ES2437" s="1" t="s">
        <v>1160</v>
      </c>
      <c r="EW2437" s="1" t="s">
        <v>14122</v>
      </c>
      <c r="EZ2437" s="1" t="s">
        <v>287</v>
      </c>
      <c r="FB2437" s="1" t="s">
        <v>289</v>
      </c>
      <c r="FC2437" s="1" t="s">
        <v>548</v>
      </c>
      <c r="FD2437" s="1" t="s">
        <v>495</v>
      </c>
      <c r="FE2437" s="1" t="s">
        <v>847</v>
      </c>
      <c r="FF2437" s="1" t="s">
        <v>248</v>
      </c>
      <c r="FH2437" s="1" t="s">
        <v>5778</v>
      </c>
      <c r="FI2437" s="1" t="s">
        <v>5760</v>
      </c>
      <c r="FL2437" s="1" t="s">
        <v>292</v>
      </c>
      <c r="FM2437" s="1" t="s">
        <v>252</v>
      </c>
      <c r="FN2437" s="1" t="s">
        <v>213</v>
      </c>
      <c r="FO2437" s="1" t="s">
        <v>213</v>
      </c>
      <c r="FQ2437" s="1" t="s">
        <v>569</v>
      </c>
      <c r="FR2437" s="1" t="s">
        <v>210</v>
      </c>
      <c r="FS2437" s="1" t="s">
        <v>21136</v>
      </c>
      <c r="FT2437" s="1" t="s">
        <v>362</v>
      </c>
      <c r="FU2437" s="1" t="s">
        <v>204</v>
      </c>
      <c r="FW2437" s="1" t="s">
        <v>1559</v>
      </c>
      <c r="FX2437" s="1">
        <v>25083</v>
      </c>
      <c r="FY2437" s="1" t="s">
        <v>4110</v>
      </c>
      <c r="FZ2437" s="1" t="s">
        <v>21137</v>
      </c>
      <c r="GA2437" s="1">
        <v>236841</v>
      </c>
      <c r="GB2437" s="1" t="s">
        <v>21138</v>
      </c>
      <c r="GC2437" s="1">
        <v>225671</v>
      </c>
      <c r="GD2437" s="1" t="s">
        <v>21139</v>
      </c>
      <c r="GE2437" s="1" t="s">
        <v>21140</v>
      </c>
      <c r="GH2437" s="1" t="s">
        <v>800</v>
      </c>
      <c r="GI2437" s="1" t="s">
        <v>213</v>
      </c>
      <c r="GJ2437" s="1" t="s">
        <v>260</v>
      </c>
      <c r="GK2437" s="1" t="s">
        <v>210</v>
      </c>
      <c r="GL2437" s="2">
        <v>42128</v>
      </c>
      <c r="GM2437" s="1" t="s">
        <v>21141</v>
      </c>
    </row>
    <row r="2438" spans="1:195">
      <c r="A2438" s="1">
        <v>80000</v>
      </c>
      <c r="B2438" s="1" t="s">
        <v>195</v>
      </c>
      <c r="C2438" s="1" t="str">
        <f>"08830152"</f>
        <v>08830152</v>
      </c>
      <c r="D2438" s="1" t="s">
        <v>196</v>
      </c>
      <c r="F2438" s="1" t="str">
        <f>"545"</f>
        <v>545</v>
      </c>
      <c r="G2438" s="2">
        <v>42038</v>
      </c>
      <c r="H2438" s="1">
        <v>83000</v>
      </c>
      <c r="I2438" s="1">
        <v>83000</v>
      </c>
      <c r="J2438" s="1">
        <v>80000</v>
      </c>
      <c r="K2438" s="2">
        <v>42038</v>
      </c>
      <c r="L2438" s="1">
        <v>23</v>
      </c>
      <c r="M2438" s="2">
        <v>42060</v>
      </c>
      <c r="N2438" s="1">
        <v>23</v>
      </c>
      <c r="O2438" s="2">
        <v>42060</v>
      </c>
      <c r="P2438" s="1">
        <v>79884</v>
      </c>
      <c r="Q2438" s="1" t="s">
        <v>423</v>
      </c>
      <c r="R2438" s="2">
        <v>42090</v>
      </c>
      <c r="S2438" s="1">
        <v>705658</v>
      </c>
      <c r="T2438" s="1">
        <v>2000</v>
      </c>
      <c r="U2438" s="1">
        <v>2820</v>
      </c>
      <c r="V2438" s="1" t="s">
        <v>14650</v>
      </c>
      <c r="W2438" s="1" t="s">
        <v>725</v>
      </c>
      <c r="Y2438" s="1">
        <v>2</v>
      </c>
      <c r="Z2438" s="1" t="s">
        <v>370</v>
      </c>
      <c r="AA2438" s="1" t="s">
        <v>1335</v>
      </c>
      <c r="AB2438" s="1">
        <v>60545</v>
      </c>
      <c r="AD2438" s="1" t="s">
        <v>8499</v>
      </c>
      <c r="AE2438" s="1" t="s">
        <v>21142</v>
      </c>
      <c r="AF2438" s="1">
        <v>2007</v>
      </c>
      <c r="AG2438" s="1" t="s">
        <v>204</v>
      </c>
      <c r="AH2438" s="1" t="s">
        <v>1338</v>
      </c>
      <c r="AI2438" s="1" t="s">
        <v>453</v>
      </c>
      <c r="AJ2438" s="1" t="s">
        <v>454</v>
      </c>
      <c r="AL2438" s="1">
        <v>4</v>
      </c>
      <c r="AM2438" s="1">
        <v>2</v>
      </c>
      <c r="AN2438" s="1">
        <v>1</v>
      </c>
      <c r="AO2438" s="1">
        <v>1</v>
      </c>
      <c r="AP2438" s="1" t="s">
        <v>667</v>
      </c>
      <c r="AR2438" s="1" t="s">
        <v>210</v>
      </c>
      <c r="AS2438" s="1" t="s">
        <v>204</v>
      </c>
      <c r="AT2438" s="1" t="s">
        <v>211</v>
      </c>
      <c r="AU2438" s="1">
        <v>1</v>
      </c>
      <c r="AW2438" s="1" t="s">
        <v>204</v>
      </c>
      <c r="AX2438" s="1" t="s">
        <v>21143</v>
      </c>
      <c r="AZ2438" s="1">
        <v>3403</v>
      </c>
      <c r="BA2438" s="1">
        <v>2013</v>
      </c>
      <c r="BB2438" s="1" t="s">
        <v>405</v>
      </c>
      <c r="BE2438" s="1">
        <v>864</v>
      </c>
      <c r="BF2438" s="1">
        <v>1</v>
      </c>
      <c r="BG2438" s="1">
        <v>0</v>
      </c>
      <c r="BL2438" s="1">
        <v>38</v>
      </c>
      <c r="BM2438" s="1" t="s">
        <v>213</v>
      </c>
      <c r="BN2438" s="1" t="s">
        <v>213</v>
      </c>
      <c r="BO2438" s="1">
        <v>50</v>
      </c>
      <c r="BP2438" s="1" t="s">
        <v>204</v>
      </c>
      <c r="BR2438" s="1" t="str">
        <f>"0124305015"</f>
        <v>0124305015</v>
      </c>
      <c r="BT2438" s="1" t="s">
        <v>21144</v>
      </c>
      <c r="BU2438" s="1" t="s">
        <v>21145</v>
      </c>
      <c r="BV2438" s="1" t="s">
        <v>8503</v>
      </c>
      <c r="BW2438" s="1" t="s">
        <v>8504</v>
      </c>
      <c r="BX2438" s="1">
        <v>88</v>
      </c>
      <c r="BY2438" s="1">
        <v>88</v>
      </c>
      <c r="BZ2438" s="1">
        <v>88</v>
      </c>
      <c r="CB2438" s="1" t="str">
        <f t="shared" ref="CB2438:CC2438" si="1869">"0"</f>
        <v>0</v>
      </c>
      <c r="CC2438" s="1" t="str">
        <f t="shared" si="1869"/>
        <v>0</v>
      </c>
      <c r="CD2438" s="1">
        <v>0</v>
      </c>
      <c r="CE2438" s="1">
        <v>0</v>
      </c>
      <c r="CG2438" s="1" t="s">
        <v>1004</v>
      </c>
      <c r="CH2438" s="1" t="s">
        <v>219</v>
      </c>
      <c r="CK2438" s="1" t="s">
        <v>602</v>
      </c>
      <c r="CL2438" s="1" t="s">
        <v>219</v>
      </c>
      <c r="CP2438" s="1" t="s">
        <v>224</v>
      </c>
      <c r="CS2438" s="1" t="s">
        <v>318</v>
      </c>
      <c r="CT2438" s="1" t="s">
        <v>219</v>
      </c>
      <c r="CX2438" s="1" t="s">
        <v>224</v>
      </c>
      <c r="DB2438" s="1" t="s">
        <v>224</v>
      </c>
      <c r="DE2438" s="1" t="s">
        <v>630</v>
      </c>
      <c r="DF2438" s="1" t="s">
        <v>219</v>
      </c>
      <c r="DJ2438" s="1" t="s">
        <v>224</v>
      </c>
      <c r="DS2438" s="1" t="s">
        <v>230</v>
      </c>
      <c r="DW2438" s="1" t="s">
        <v>230</v>
      </c>
      <c r="EA2438" s="1" t="s">
        <v>230</v>
      </c>
      <c r="EE2438" s="1" t="s">
        <v>230</v>
      </c>
      <c r="EI2438" s="1" t="s">
        <v>230</v>
      </c>
      <c r="EL2438" s="1" t="s">
        <v>491</v>
      </c>
      <c r="EM2438" s="1" t="s">
        <v>319</v>
      </c>
      <c r="EN2438" s="1" t="s">
        <v>282</v>
      </c>
      <c r="EO2438" s="1" t="s">
        <v>234</v>
      </c>
      <c r="EQ2438" s="1" t="s">
        <v>1109</v>
      </c>
      <c r="ER2438" s="1" t="s">
        <v>210</v>
      </c>
      <c r="EW2438" s="1" t="s">
        <v>5478</v>
      </c>
      <c r="EZ2438" s="1" t="s">
        <v>287</v>
      </c>
      <c r="FD2438" s="1" t="s">
        <v>246</v>
      </c>
      <c r="FE2438" s="1" t="s">
        <v>1031</v>
      </c>
      <c r="FF2438" s="1" t="s">
        <v>248</v>
      </c>
      <c r="FH2438" s="1" t="s">
        <v>442</v>
      </c>
      <c r="FI2438" s="1" t="s">
        <v>473</v>
      </c>
      <c r="FJ2438" s="1" t="s">
        <v>518</v>
      </c>
      <c r="FL2438" s="1" t="s">
        <v>358</v>
      </c>
      <c r="FM2438" s="1" t="s">
        <v>252</v>
      </c>
      <c r="FN2438" s="1" t="s">
        <v>213</v>
      </c>
      <c r="FO2438" s="1" t="s">
        <v>213</v>
      </c>
      <c r="FQ2438" s="1" t="s">
        <v>1115</v>
      </c>
      <c r="FR2438" s="1" t="s">
        <v>210</v>
      </c>
      <c r="FS2438" s="1" t="s">
        <v>21146</v>
      </c>
      <c r="FT2438" s="1" t="s">
        <v>520</v>
      </c>
      <c r="FU2438" s="1" t="s">
        <v>204</v>
      </c>
      <c r="FW2438" s="1" t="s">
        <v>20016</v>
      </c>
      <c r="FX2438" s="1">
        <v>24215</v>
      </c>
      <c r="FY2438" s="1" t="s">
        <v>20017</v>
      </c>
      <c r="FZ2438" s="1" t="s">
        <v>21147</v>
      </c>
      <c r="GA2438" s="1">
        <v>233378</v>
      </c>
      <c r="GB2438" s="1" t="s">
        <v>21148</v>
      </c>
      <c r="GC2438" s="1">
        <v>234368</v>
      </c>
      <c r="GD2438" s="1" t="s">
        <v>21149</v>
      </c>
      <c r="GE2438" s="1" t="s">
        <v>210</v>
      </c>
      <c r="GI2438" s="1" t="s">
        <v>213</v>
      </c>
      <c r="GJ2438" s="1" t="s">
        <v>260</v>
      </c>
      <c r="GK2438" s="1" t="s">
        <v>210</v>
      </c>
      <c r="GL2438" s="2">
        <v>42090</v>
      </c>
      <c r="GM2438" s="1" t="s">
        <v>21150</v>
      </c>
    </row>
    <row r="2439" spans="1:195">
      <c r="A2439" s="1">
        <v>88000</v>
      </c>
      <c r="B2439" s="1" t="s">
        <v>195</v>
      </c>
      <c r="C2439" s="1" t="str">
        <f>"08823577"</f>
        <v>08823577</v>
      </c>
      <c r="D2439" s="1" t="s">
        <v>196</v>
      </c>
      <c r="F2439" s="1" t="str">
        <f>"31"</f>
        <v>31</v>
      </c>
      <c r="G2439" s="2">
        <v>42029</v>
      </c>
      <c r="H2439" s="1">
        <v>99900</v>
      </c>
      <c r="I2439" s="1">
        <v>99900</v>
      </c>
      <c r="J2439" s="1">
        <v>88000</v>
      </c>
      <c r="K2439" s="2">
        <v>42029</v>
      </c>
      <c r="L2439" s="1">
        <v>13</v>
      </c>
      <c r="M2439" s="2">
        <v>42041</v>
      </c>
      <c r="N2439" s="1">
        <v>13</v>
      </c>
      <c r="O2439" s="2">
        <v>42041</v>
      </c>
      <c r="P2439" s="1">
        <v>4594</v>
      </c>
      <c r="Q2439" s="1" t="s">
        <v>197</v>
      </c>
      <c r="R2439" s="2">
        <v>42072</v>
      </c>
      <c r="S2439" s="1">
        <v>35933</v>
      </c>
      <c r="U2439" s="1">
        <v>730</v>
      </c>
      <c r="V2439" s="1" t="s">
        <v>1055</v>
      </c>
      <c r="W2439" s="1" t="s">
        <v>1056</v>
      </c>
      <c r="Y2439" s="1">
        <v>4</v>
      </c>
      <c r="Z2439" s="1" t="s">
        <v>200</v>
      </c>
      <c r="AA2439" s="1" t="s">
        <v>1057</v>
      </c>
      <c r="AB2439" s="1">
        <v>60031</v>
      </c>
      <c r="AD2439" s="1" t="s">
        <v>4200</v>
      </c>
      <c r="AE2439" s="1" t="s">
        <v>21151</v>
      </c>
      <c r="AF2439" s="1">
        <v>1976</v>
      </c>
      <c r="AG2439" s="1" t="s">
        <v>213</v>
      </c>
      <c r="AH2439" s="1" t="s">
        <v>1060</v>
      </c>
      <c r="AI2439" s="1" t="s">
        <v>509</v>
      </c>
      <c r="AJ2439" s="1" t="s">
        <v>1061</v>
      </c>
      <c r="AL2439" s="1">
        <v>5</v>
      </c>
      <c r="AM2439" s="1">
        <v>2</v>
      </c>
      <c r="AN2439" s="1">
        <v>2</v>
      </c>
      <c r="AO2439" s="1">
        <v>0</v>
      </c>
      <c r="AP2439" s="1" t="s">
        <v>209</v>
      </c>
      <c r="AQ2439" s="1">
        <v>1</v>
      </c>
      <c r="AR2439" s="1" t="s">
        <v>210</v>
      </c>
      <c r="AS2439" s="1" t="s">
        <v>204</v>
      </c>
      <c r="AT2439" s="1" t="s">
        <v>211</v>
      </c>
      <c r="AU2439" s="1">
        <v>1</v>
      </c>
      <c r="AW2439" s="1" t="s">
        <v>204</v>
      </c>
      <c r="AX2439" s="1" t="s">
        <v>21152</v>
      </c>
      <c r="AZ2439" s="1">
        <v>1630.52</v>
      </c>
      <c r="BA2439" s="1">
        <v>2013</v>
      </c>
      <c r="BB2439" s="1" t="s">
        <v>2694</v>
      </c>
      <c r="BE2439" s="1">
        <v>1162</v>
      </c>
      <c r="BF2439" s="1">
        <v>1</v>
      </c>
      <c r="BG2439" s="1">
        <v>0</v>
      </c>
      <c r="BL2439" s="1">
        <v>355</v>
      </c>
      <c r="BM2439" s="1" t="s">
        <v>413</v>
      </c>
      <c r="BN2439" s="1" t="s">
        <v>213</v>
      </c>
      <c r="BO2439" s="1">
        <v>0</v>
      </c>
      <c r="BP2439" s="1" t="s">
        <v>204</v>
      </c>
      <c r="BR2439" s="1" t="str">
        <f>"07284010100000"</f>
        <v>07284010100000</v>
      </c>
      <c r="BT2439" s="1" t="s">
        <v>21153</v>
      </c>
      <c r="BU2439" s="1" t="s">
        <v>1064</v>
      </c>
      <c r="BV2439" s="1" t="s">
        <v>1065</v>
      </c>
      <c r="BW2439" s="1" t="s">
        <v>1066</v>
      </c>
      <c r="BX2439" s="1">
        <v>50</v>
      </c>
      <c r="BY2439" s="1">
        <v>50</v>
      </c>
      <c r="BZ2439" s="1">
        <v>121</v>
      </c>
      <c r="CB2439" s="1" t="str">
        <f t="shared" ref="CB2439:CC2439" si="1870">""</f>
        <v/>
      </c>
      <c r="CC2439" s="1" t="str">
        <f t="shared" si="1870"/>
        <v/>
      </c>
      <c r="CG2439" s="1" t="s">
        <v>628</v>
      </c>
      <c r="CH2439" s="1" t="s">
        <v>219</v>
      </c>
      <c r="CI2439" s="1" t="s">
        <v>220</v>
      </c>
      <c r="CJ2439" s="1" t="s">
        <v>343</v>
      </c>
      <c r="CK2439" s="1" t="s">
        <v>932</v>
      </c>
      <c r="CL2439" s="1" t="s">
        <v>277</v>
      </c>
      <c r="CM2439" s="1" t="s">
        <v>220</v>
      </c>
      <c r="CO2439" s="1" t="s">
        <v>629</v>
      </c>
      <c r="CP2439" s="1" t="s">
        <v>219</v>
      </c>
      <c r="CQ2439" s="1" t="s">
        <v>220</v>
      </c>
      <c r="CS2439" s="1" t="s">
        <v>932</v>
      </c>
      <c r="CT2439" s="1" t="s">
        <v>219</v>
      </c>
      <c r="CU2439" s="1" t="s">
        <v>220</v>
      </c>
      <c r="CV2439" s="1" t="s">
        <v>343</v>
      </c>
      <c r="CX2439" s="1" t="s">
        <v>224</v>
      </c>
      <c r="DB2439" s="1" t="s">
        <v>224</v>
      </c>
      <c r="DE2439" s="1" t="s">
        <v>1046</v>
      </c>
      <c r="DF2439" s="1" t="s">
        <v>822</v>
      </c>
      <c r="DG2439" s="1" t="s">
        <v>342</v>
      </c>
      <c r="DH2439" s="1" t="s">
        <v>343</v>
      </c>
      <c r="DJ2439" s="1" t="s">
        <v>224</v>
      </c>
      <c r="DS2439" s="1" t="s">
        <v>230</v>
      </c>
      <c r="DW2439" s="1" t="s">
        <v>230</v>
      </c>
      <c r="EA2439" s="1" t="s">
        <v>230</v>
      </c>
      <c r="EE2439" s="1" t="s">
        <v>230</v>
      </c>
      <c r="EI2439" s="1" t="s">
        <v>230</v>
      </c>
      <c r="EL2439" s="1" t="s">
        <v>231</v>
      </c>
      <c r="EM2439" s="1" t="s">
        <v>319</v>
      </c>
      <c r="EN2439" s="1" t="s">
        <v>282</v>
      </c>
      <c r="EO2439" s="1" t="s">
        <v>234</v>
      </c>
      <c r="EP2439" s="1" t="s">
        <v>21154</v>
      </c>
      <c r="ER2439" s="1" t="s">
        <v>210</v>
      </c>
      <c r="ES2439" s="1" t="s">
        <v>493</v>
      </c>
      <c r="EU2439" s="1" t="s">
        <v>21155</v>
      </c>
      <c r="EW2439" s="1" t="s">
        <v>21156</v>
      </c>
      <c r="EZ2439" s="1" t="s">
        <v>287</v>
      </c>
      <c r="FD2439" s="1" t="s">
        <v>246</v>
      </c>
      <c r="FE2439" s="1" t="s">
        <v>889</v>
      </c>
      <c r="FF2439" s="1" t="s">
        <v>248</v>
      </c>
      <c r="FG2439" s="1" t="s">
        <v>939</v>
      </c>
      <c r="FH2439" s="1" t="s">
        <v>550</v>
      </c>
      <c r="FL2439" s="1" t="s">
        <v>292</v>
      </c>
      <c r="FM2439" s="1" t="s">
        <v>252</v>
      </c>
      <c r="FN2439" s="1" t="s">
        <v>213</v>
      </c>
      <c r="FO2439" s="1" t="s">
        <v>213</v>
      </c>
      <c r="FQ2439" s="1" t="s">
        <v>329</v>
      </c>
      <c r="FR2439" s="1" t="s">
        <v>210</v>
      </c>
      <c r="FS2439" s="1" t="s">
        <v>5243</v>
      </c>
      <c r="FT2439" s="1" t="s">
        <v>21157</v>
      </c>
      <c r="FU2439" s="1" t="s">
        <v>204</v>
      </c>
      <c r="FW2439" s="1" t="s">
        <v>2006</v>
      </c>
      <c r="FX2439" s="1">
        <v>25752</v>
      </c>
      <c r="FY2439" s="1" t="s">
        <v>4745</v>
      </c>
      <c r="FZ2439" s="1" t="s">
        <v>21158</v>
      </c>
      <c r="GA2439" s="1">
        <v>17010</v>
      </c>
      <c r="GB2439" s="1" t="s">
        <v>21159</v>
      </c>
      <c r="GE2439" s="1" t="s">
        <v>480</v>
      </c>
      <c r="GI2439" s="1" t="s">
        <v>213</v>
      </c>
      <c r="GJ2439" s="1" t="s">
        <v>260</v>
      </c>
      <c r="GK2439" s="1" t="s">
        <v>210</v>
      </c>
      <c r="GL2439" s="2">
        <v>42073</v>
      </c>
      <c r="GM2439" s="1" t="s">
        <v>21160</v>
      </c>
    </row>
    <row r="2440" spans="1:195">
      <c r="A2440" s="1">
        <v>110000</v>
      </c>
      <c r="B2440" s="1" t="s">
        <v>195</v>
      </c>
      <c r="C2440" s="1" t="str">
        <f>"08822429"</f>
        <v>08822429</v>
      </c>
      <c r="D2440" s="1" t="s">
        <v>196</v>
      </c>
      <c r="F2440" s="1" t="str">
        <f>"635"</f>
        <v>635</v>
      </c>
      <c r="G2440" s="2">
        <v>42027</v>
      </c>
      <c r="H2440" s="1">
        <v>124900</v>
      </c>
      <c r="I2440" s="1">
        <v>124900</v>
      </c>
      <c r="J2440" s="1">
        <v>110000</v>
      </c>
      <c r="K2440" s="2">
        <v>42026</v>
      </c>
      <c r="L2440" s="1">
        <v>26</v>
      </c>
      <c r="M2440" s="2">
        <v>42051</v>
      </c>
      <c r="N2440" s="1">
        <v>26</v>
      </c>
      <c r="O2440" s="2">
        <v>42051</v>
      </c>
      <c r="P2440" s="1">
        <v>16379</v>
      </c>
      <c r="Q2440" s="1" t="s">
        <v>197</v>
      </c>
      <c r="R2440" s="2">
        <v>42094</v>
      </c>
      <c r="S2440" s="1">
        <v>111484</v>
      </c>
      <c r="T2440" s="1">
        <v>2000</v>
      </c>
      <c r="U2440" s="1">
        <v>2930</v>
      </c>
      <c r="V2440" s="1" t="s">
        <v>21161</v>
      </c>
      <c r="W2440" s="1" t="s">
        <v>425</v>
      </c>
      <c r="X2440" s="1" t="s">
        <v>2039</v>
      </c>
      <c r="Y2440" s="1">
        <v>24</v>
      </c>
      <c r="Z2440" s="1" t="s">
        <v>249</v>
      </c>
      <c r="AA2440" s="1" t="s">
        <v>2377</v>
      </c>
      <c r="AB2440" s="1">
        <v>60707</v>
      </c>
      <c r="AE2440" s="1" t="s">
        <v>21162</v>
      </c>
      <c r="AF2440" s="1">
        <v>1972</v>
      </c>
      <c r="AG2440" s="1" t="s">
        <v>213</v>
      </c>
      <c r="AH2440" s="1" t="s">
        <v>5686</v>
      </c>
      <c r="AI2440" s="1" t="s">
        <v>310</v>
      </c>
      <c r="AJ2440" s="1" t="s">
        <v>311</v>
      </c>
      <c r="AK2440" s="1" t="s">
        <v>21163</v>
      </c>
      <c r="AL2440" s="1">
        <v>5</v>
      </c>
      <c r="AM2440" s="1">
        <v>2</v>
      </c>
      <c r="AN2440" s="1">
        <v>2</v>
      </c>
      <c r="AO2440" s="1">
        <v>0</v>
      </c>
      <c r="AP2440" s="1" t="s">
        <v>209</v>
      </c>
      <c r="AR2440" s="1" t="s">
        <v>210</v>
      </c>
      <c r="AS2440" s="1" t="s">
        <v>204</v>
      </c>
      <c r="AT2440" s="1" t="s">
        <v>271</v>
      </c>
      <c r="AV2440" s="1">
        <v>1</v>
      </c>
      <c r="AW2440" s="1" t="s">
        <v>204</v>
      </c>
      <c r="AX2440" s="1" t="s">
        <v>212</v>
      </c>
      <c r="AZ2440" s="1">
        <v>390.69</v>
      </c>
      <c r="BA2440" s="1">
        <v>2012</v>
      </c>
      <c r="BB2440" s="1" t="s">
        <v>3996</v>
      </c>
      <c r="BE2440" s="1">
        <v>1100</v>
      </c>
      <c r="BF2440" s="1">
        <v>4</v>
      </c>
      <c r="BG2440" s="1">
        <v>10</v>
      </c>
      <c r="BL2440" s="1">
        <v>115</v>
      </c>
      <c r="BM2440" s="1" t="s">
        <v>204</v>
      </c>
      <c r="BN2440" s="1" t="s">
        <v>213</v>
      </c>
      <c r="BO2440" s="1">
        <v>20</v>
      </c>
      <c r="BP2440" s="1" t="s">
        <v>204</v>
      </c>
      <c r="BR2440" s="1" t="str">
        <f>"12252230371014"</f>
        <v>12252230371014</v>
      </c>
      <c r="BT2440" s="1" t="s">
        <v>21164</v>
      </c>
      <c r="BX2440" s="1">
        <v>401</v>
      </c>
      <c r="BY2440" s="1">
        <v>401</v>
      </c>
      <c r="BZ2440" s="1">
        <v>401</v>
      </c>
      <c r="CB2440" s="1" t="str">
        <f t="shared" ref="CB2440:CC2440" si="1871">""</f>
        <v/>
      </c>
      <c r="CC2440" s="1" t="str">
        <f t="shared" si="1871"/>
        <v/>
      </c>
      <c r="CG2440" s="1" t="s">
        <v>3035</v>
      </c>
      <c r="CH2440" s="1" t="s">
        <v>219</v>
      </c>
      <c r="CI2440" s="1" t="s">
        <v>220</v>
      </c>
      <c r="CJ2440" s="1" t="s">
        <v>343</v>
      </c>
      <c r="CK2440" s="1" t="s">
        <v>729</v>
      </c>
      <c r="CL2440" s="1" t="s">
        <v>219</v>
      </c>
      <c r="CM2440" s="1" t="s">
        <v>220</v>
      </c>
      <c r="CN2440" s="1" t="s">
        <v>463</v>
      </c>
      <c r="CO2440" s="1" t="s">
        <v>539</v>
      </c>
      <c r="CP2440" s="1" t="s">
        <v>219</v>
      </c>
      <c r="CQ2440" s="1" t="s">
        <v>220</v>
      </c>
      <c r="CR2440" s="1" t="s">
        <v>210</v>
      </c>
      <c r="CS2440" s="1" t="s">
        <v>228</v>
      </c>
      <c r="CT2440" s="1" t="s">
        <v>219</v>
      </c>
      <c r="CU2440" s="1" t="s">
        <v>220</v>
      </c>
      <c r="CV2440" s="1" t="s">
        <v>343</v>
      </c>
      <c r="CX2440" s="1" t="s">
        <v>224</v>
      </c>
      <c r="DB2440" s="1" t="s">
        <v>224</v>
      </c>
      <c r="DE2440" s="1" t="s">
        <v>786</v>
      </c>
      <c r="DF2440" s="1" t="s">
        <v>219</v>
      </c>
      <c r="DG2440" s="1" t="s">
        <v>342</v>
      </c>
      <c r="DH2440" s="1" t="s">
        <v>210</v>
      </c>
      <c r="DJ2440" s="1" t="s">
        <v>224</v>
      </c>
      <c r="DS2440" s="1" t="s">
        <v>230</v>
      </c>
      <c r="DW2440" s="1" t="s">
        <v>230</v>
      </c>
      <c r="EA2440" s="1" t="s">
        <v>230</v>
      </c>
      <c r="EE2440" s="1" t="s">
        <v>230</v>
      </c>
      <c r="EI2440" s="1" t="s">
        <v>230</v>
      </c>
      <c r="EL2440" s="1" t="s">
        <v>605</v>
      </c>
      <c r="EM2440" s="1" t="s">
        <v>730</v>
      </c>
      <c r="EN2440" s="1" t="s">
        <v>282</v>
      </c>
      <c r="EO2440" s="1" t="s">
        <v>234</v>
      </c>
      <c r="EP2440" s="1" t="s">
        <v>21165</v>
      </c>
      <c r="EQ2440" s="1" t="s">
        <v>1109</v>
      </c>
      <c r="ER2440" s="1" t="s">
        <v>210</v>
      </c>
      <c r="ES2440" s="1" t="s">
        <v>322</v>
      </c>
      <c r="EV2440" s="1" t="s">
        <v>352</v>
      </c>
      <c r="EW2440" s="1" t="s">
        <v>937</v>
      </c>
      <c r="EY2440" s="1" t="s">
        <v>242</v>
      </c>
      <c r="EZ2440" s="1" t="s">
        <v>287</v>
      </c>
      <c r="FA2440" s="1" t="s">
        <v>1072</v>
      </c>
      <c r="FB2440" s="1" t="s">
        <v>244</v>
      </c>
      <c r="FC2440" s="1" t="s">
        <v>735</v>
      </c>
      <c r="FD2440" s="1" t="s">
        <v>495</v>
      </c>
      <c r="FE2440" s="1" t="s">
        <v>247</v>
      </c>
      <c r="FF2440" s="1" t="s">
        <v>387</v>
      </c>
      <c r="FH2440" s="1" t="s">
        <v>249</v>
      </c>
      <c r="FJ2440" s="1" t="s">
        <v>1472</v>
      </c>
      <c r="FK2440" s="1" t="s">
        <v>291</v>
      </c>
      <c r="FL2440" s="1" t="s">
        <v>1073</v>
      </c>
      <c r="FM2440" s="1" t="s">
        <v>252</v>
      </c>
      <c r="FN2440" s="1" t="s">
        <v>213</v>
      </c>
      <c r="FO2440" s="1" t="s">
        <v>213</v>
      </c>
      <c r="FQ2440" s="1" t="s">
        <v>913</v>
      </c>
      <c r="FR2440" s="1" t="s">
        <v>210</v>
      </c>
      <c r="FS2440" s="1" t="s">
        <v>21166</v>
      </c>
      <c r="FT2440" s="1" t="s">
        <v>21167</v>
      </c>
      <c r="FU2440" s="1" t="s">
        <v>204</v>
      </c>
      <c r="FW2440" s="1" t="s">
        <v>2726</v>
      </c>
      <c r="FX2440" s="1">
        <v>1109</v>
      </c>
      <c r="FY2440" s="1" t="s">
        <v>2727</v>
      </c>
      <c r="FZ2440" s="1" t="s">
        <v>21168</v>
      </c>
      <c r="GA2440" s="1">
        <v>920132</v>
      </c>
      <c r="GB2440" s="1" t="s">
        <v>21169</v>
      </c>
      <c r="GD2440" s="1" t="s">
        <v>21170</v>
      </c>
      <c r="GE2440" s="1" t="s">
        <v>1379</v>
      </c>
      <c r="GH2440" s="1" t="s">
        <v>230</v>
      </c>
      <c r="GI2440" s="1" t="s">
        <v>213</v>
      </c>
      <c r="GJ2440" s="1" t="s">
        <v>260</v>
      </c>
      <c r="GK2440" s="1" t="s">
        <v>261</v>
      </c>
      <c r="GL2440" s="2">
        <v>42094</v>
      </c>
      <c r="GM2440" s="1" t="s">
        <v>21171</v>
      </c>
    </row>
    <row r="2441" spans="1:195">
      <c r="A2441" s="1">
        <v>126000</v>
      </c>
      <c r="B2441" s="1" t="s">
        <v>195</v>
      </c>
      <c r="C2441" s="1" t="str">
        <f>"08822548"</f>
        <v>08822548</v>
      </c>
      <c r="D2441" s="1" t="s">
        <v>196</v>
      </c>
      <c r="F2441" s="1" t="str">
        <f>"126"</f>
        <v>126</v>
      </c>
      <c r="G2441" s="2">
        <v>42027</v>
      </c>
      <c r="H2441" s="1">
        <v>125000</v>
      </c>
      <c r="I2441" s="1">
        <v>125000</v>
      </c>
      <c r="J2441" s="1">
        <v>126000</v>
      </c>
      <c r="K2441" s="2">
        <v>42027</v>
      </c>
      <c r="L2441" s="1">
        <v>11</v>
      </c>
      <c r="M2441" s="2">
        <v>42037</v>
      </c>
      <c r="N2441" s="1">
        <v>11</v>
      </c>
      <c r="O2441" s="2">
        <v>42037</v>
      </c>
      <c r="P2441" s="1">
        <v>24042</v>
      </c>
      <c r="Q2441" s="1" t="s">
        <v>197</v>
      </c>
      <c r="R2441" s="2">
        <v>42062</v>
      </c>
      <c r="S2441" s="1">
        <v>245857</v>
      </c>
      <c r="U2441" s="1" t="s">
        <v>21172</v>
      </c>
      <c r="V2441" s="1" t="s">
        <v>3861</v>
      </c>
      <c r="W2441" s="1" t="s">
        <v>1056</v>
      </c>
      <c r="X2441" s="1">
        <v>204</v>
      </c>
      <c r="Y2441" s="1">
        <v>12</v>
      </c>
      <c r="Z2441" s="1" t="s">
        <v>249</v>
      </c>
      <c r="AA2441" s="1" t="s">
        <v>3169</v>
      </c>
      <c r="AB2441" s="1">
        <v>60126</v>
      </c>
      <c r="AE2441" s="1" t="s">
        <v>21173</v>
      </c>
      <c r="AF2441" s="1">
        <v>1968</v>
      </c>
      <c r="AG2441" s="1" t="s">
        <v>213</v>
      </c>
      <c r="AH2441" s="1" t="s">
        <v>3172</v>
      </c>
      <c r="AI2441" s="1" t="s">
        <v>206</v>
      </c>
      <c r="AJ2441" s="1" t="s">
        <v>1608</v>
      </c>
      <c r="AL2441" s="1">
        <v>5</v>
      </c>
      <c r="AM2441" s="1">
        <v>2</v>
      </c>
      <c r="AN2441" s="1">
        <v>1</v>
      </c>
      <c r="AO2441" s="1">
        <v>0</v>
      </c>
      <c r="AP2441" s="1" t="s">
        <v>210</v>
      </c>
      <c r="AR2441" s="1" t="s">
        <v>210</v>
      </c>
      <c r="AS2441" s="1" t="s">
        <v>204</v>
      </c>
      <c r="AT2441" s="1" t="s">
        <v>271</v>
      </c>
      <c r="AV2441" s="1">
        <v>2</v>
      </c>
      <c r="AW2441" s="1" t="s">
        <v>204</v>
      </c>
      <c r="AX2441" s="1" t="s">
        <v>212</v>
      </c>
      <c r="AZ2441" s="1">
        <v>2030</v>
      </c>
      <c r="BA2441" s="1">
        <v>2013</v>
      </c>
      <c r="BE2441" s="1">
        <v>725</v>
      </c>
      <c r="BF2441" s="1">
        <v>2</v>
      </c>
      <c r="BG2441" s="1">
        <v>30</v>
      </c>
      <c r="BL2441" s="1">
        <v>225</v>
      </c>
      <c r="BM2441" s="1" t="s">
        <v>204</v>
      </c>
      <c r="BN2441" s="1" t="s">
        <v>213</v>
      </c>
      <c r="BO2441" s="1">
        <v>40</v>
      </c>
      <c r="BP2441" s="1" t="s">
        <v>204</v>
      </c>
      <c r="BR2441" s="1" t="str">
        <f>"0613320004"</f>
        <v>0613320004</v>
      </c>
      <c r="BT2441" s="1" t="s">
        <v>21174</v>
      </c>
      <c r="BX2441" s="1">
        <v>205</v>
      </c>
      <c r="BY2441" s="1">
        <v>205</v>
      </c>
      <c r="BZ2441" s="1">
        <v>205</v>
      </c>
      <c r="CB2441" s="1" t="str">
        <f t="shared" ref="CB2441:CC2441" si="1872">""</f>
        <v/>
      </c>
      <c r="CC2441" s="1" t="str">
        <f t="shared" si="1872"/>
        <v/>
      </c>
      <c r="CG2441" s="1" t="s">
        <v>377</v>
      </c>
      <c r="CH2441" s="1" t="s">
        <v>219</v>
      </c>
      <c r="CK2441" s="1" t="s">
        <v>2170</v>
      </c>
      <c r="CL2441" s="1" t="s">
        <v>219</v>
      </c>
      <c r="CO2441" s="1" t="s">
        <v>316</v>
      </c>
      <c r="CP2441" s="1" t="s">
        <v>219</v>
      </c>
      <c r="CS2441" s="1" t="s">
        <v>408</v>
      </c>
      <c r="CT2441" s="1" t="s">
        <v>219</v>
      </c>
      <c r="CX2441" s="1" t="s">
        <v>224</v>
      </c>
      <c r="DB2441" s="1" t="s">
        <v>224</v>
      </c>
      <c r="DE2441" s="1" t="s">
        <v>5233</v>
      </c>
      <c r="DF2441" s="1" t="s">
        <v>219</v>
      </c>
      <c r="DJ2441" s="1" t="s">
        <v>224</v>
      </c>
      <c r="DS2441" s="1" t="s">
        <v>230</v>
      </c>
      <c r="DW2441" s="1" t="s">
        <v>230</v>
      </c>
      <c r="EA2441" s="1" t="s">
        <v>230</v>
      </c>
      <c r="EE2441" s="1" t="s">
        <v>230</v>
      </c>
      <c r="EI2441" s="1" t="s">
        <v>230</v>
      </c>
      <c r="EL2441" s="1" t="s">
        <v>605</v>
      </c>
      <c r="EM2441" s="1" t="s">
        <v>319</v>
      </c>
      <c r="EN2441" s="1" t="s">
        <v>731</v>
      </c>
      <c r="EO2441" s="1" t="s">
        <v>234</v>
      </c>
      <c r="ER2441" s="1" t="s">
        <v>210</v>
      </c>
      <c r="EW2441" s="1" t="s">
        <v>21175</v>
      </c>
      <c r="EZ2441" s="1" t="s">
        <v>287</v>
      </c>
      <c r="FD2441" s="1" t="s">
        <v>290</v>
      </c>
      <c r="FE2441" s="1" t="s">
        <v>247</v>
      </c>
      <c r="FF2441" s="1" t="s">
        <v>248</v>
      </c>
      <c r="FH2441" s="1" t="s">
        <v>249</v>
      </c>
      <c r="FJ2441" s="1" t="s">
        <v>3943</v>
      </c>
      <c r="FK2441" s="1" t="s">
        <v>291</v>
      </c>
      <c r="FL2441" s="1" t="s">
        <v>1907</v>
      </c>
      <c r="FM2441" s="1" t="s">
        <v>252</v>
      </c>
      <c r="FN2441" s="1" t="s">
        <v>213</v>
      </c>
      <c r="FO2441" s="1" t="s">
        <v>213</v>
      </c>
      <c r="FQ2441" s="1" t="s">
        <v>582</v>
      </c>
      <c r="FR2441" s="1" t="s">
        <v>210</v>
      </c>
      <c r="FS2441" s="1" t="s">
        <v>21176</v>
      </c>
      <c r="FT2441" s="1" t="s">
        <v>584</v>
      </c>
      <c r="FU2441" s="1" t="s">
        <v>204</v>
      </c>
      <c r="FW2441" s="1" t="s">
        <v>2985</v>
      </c>
      <c r="FX2441" s="1">
        <v>23959</v>
      </c>
      <c r="FY2441" s="1" t="s">
        <v>2986</v>
      </c>
      <c r="FZ2441" s="1" t="s">
        <v>6386</v>
      </c>
      <c r="GA2441" s="1">
        <v>238419</v>
      </c>
      <c r="GC2441" s="1">
        <v>220868</v>
      </c>
      <c r="GE2441" s="1" t="s">
        <v>210</v>
      </c>
      <c r="GI2441" s="1" t="s">
        <v>213</v>
      </c>
      <c r="GJ2441" s="1" t="s">
        <v>260</v>
      </c>
      <c r="GK2441" s="1" t="s">
        <v>210</v>
      </c>
      <c r="GL2441" s="2">
        <v>42062</v>
      </c>
      <c r="GM2441" s="1" t="s">
        <v>21177</v>
      </c>
    </row>
    <row r="2442" spans="1:195">
      <c r="A2442" s="1">
        <v>234000</v>
      </c>
      <c r="B2442" s="1" t="s">
        <v>195</v>
      </c>
      <c r="C2442" s="1" t="str">
        <f>"08826343"</f>
        <v>08826343</v>
      </c>
      <c r="D2442" s="1" t="s">
        <v>196</v>
      </c>
      <c r="F2442" s="1" t="str">
        <f>"517"</f>
        <v>517</v>
      </c>
      <c r="G2442" s="2">
        <v>42033</v>
      </c>
      <c r="H2442" s="1">
        <v>239000</v>
      </c>
      <c r="I2442" s="1">
        <v>239000</v>
      </c>
      <c r="J2442" s="1">
        <v>234000</v>
      </c>
      <c r="K2442" s="2">
        <v>42033</v>
      </c>
      <c r="L2442" s="1">
        <v>11</v>
      </c>
      <c r="M2442" s="2">
        <v>42043</v>
      </c>
      <c r="N2442" s="1">
        <v>11</v>
      </c>
      <c r="O2442" s="2">
        <v>42043</v>
      </c>
      <c r="P2442" s="1">
        <v>12660</v>
      </c>
      <c r="Q2442" s="1" t="s">
        <v>197</v>
      </c>
      <c r="R2442" s="2">
        <v>42101</v>
      </c>
      <c r="S2442" s="1">
        <v>166921</v>
      </c>
      <c r="U2442" s="1">
        <v>3185</v>
      </c>
      <c r="V2442" s="1" t="s">
        <v>11189</v>
      </c>
      <c r="W2442" s="1" t="s">
        <v>304</v>
      </c>
      <c r="X2442" s="1">
        <v>3185</v>
      </c>
      <c r="Y2442" s="1">
        <v>6</v>
      </c>
      <c r="Z2442" s="1" t="s">
        <v>370</v>
      </c>
      <c r="AA2442" s="1" t="s">
        <v>2850</v>
      </c>
      <c r="AB2442" s="1">
        <v>60517</v>
      </c>
      <c r="AD2442" s="1" t="s">
        <v>11190</v>
      </c>
      <c r="AE2442" s="1" t="s">
        <v>21178</v>
      </c>
      <c r="AF2442" s="1">
        <v>1999</v>
      </c>
      <c r="AG2442" s="1" t="s">
        <v>204</v>
      </c>
      <c r="AH2442" s="1" t="s">
        <v>2853</v>
      </c>
      <c r="AI2442" s="1" t="s">
        <v>206</v>
      </c>
      <c r="AJ2442" s="1" t="s">
        <v>925</v>
      </c>
      <c r="AK2442" s="1" t="s">
        <v>21179</v>
      </c>
      <c r="AL2442" s="1">
        <v>6</v>
      </c>
      <c r="AM2442" s="1">
        <v>2</v>
      </c>
      <c r="AN2442" s="1">
        <v>2</v>
      </c>
      <c r="AO2442" s="1">
        <v>1</v>
      </c>
      <c r="AP2442" s="1" t="s">
        <v>209</v>
      </c>
      <c r="AQ2442" s="1">
        <v>1</v>
      </c>
      <c r="AR2442" s="1" t="s">
        <v>209</v>
      </c>
      <c r="AS2442" s="1" t="s">
        <v>204</v>
      </c>
      <c r="AT2442" s="1" t="s">
        <v>211</v>
      </c>
      <c r="AU2442" s="1">
        <v>2</v>
      </c>
      <c r="AW2442" s="1" t="s">
        <v>204</v>
      </c>
      <c r="AX2442" s="1" t="s">
        <v>21180</v>
      </c>
      <c r="AZ2442" s="1">
        <v>6134</v>
      </c>
      <c r="BA2442" s="1">
        <v>2013</v>
      </c>
      <c r="BB2442" s="1" t="s">
        <v>405</v>
      </c>
      <c r="BE2442" s="1">
        <v>1630</v>
      </c>
      <c r="BF2442" s="1">
        <v>1</v>
      </c>
      <c r="BG2442" s="1">
        <v>20</v>
      </c>
      <c r="BL2442" s="1">
        <v>182</v>
      </c>
      <c r="BM2442" s="1" t="s">
        <v>204</v>
      </c>
      <c r="BN2442" s="1" t="s">
        <v>213</v>
      </c>
      <c r="BO2442" s="1">
        <v>60</v>
      </c>
      <c r="BP2442" s="1" t="s">
        <v>204</v>
      </c>
      <c r="BR2442" s="1" t="str">
        <f>"0826302047"</f>
        <v>0826302047</v>
      </c>
      <c r="BT2442" s="1" t="s">
        <v>21181</v>
      </c>
      <c r="BU2442" s="1" t="s">
        <v>11193</v>
      </c>
      <c r="BV2442" s="1" t="s">
        <v>2856</v>
      </c>
      <c r="BW2442" s="1" t="s">
        <v>3099</v>
      </c>
      <c r="BX2442" s="1">
        <v>68</v>
      </c>
      <c r="BY2442" s="1">
        <v>68</v>
      </c>
      <c r="BZ2442" s="1">
        <v>99</v>
      </c>
      <c r="CB2442" s="1" t="str">
        <f t="shared" ref="CB2442:CC2442" si="1873">"0"</f>
        <v>0</v>
      </c>
      <c r="CC2442" s="1" t="str">
        <f t="shared" si="1873"/>
        <v>0</v>
      </c>
      <c r="CD2442" s="1">
        <v>22</v>
      </c>
      <c r="CE2442" s="1">
        <v>8</v>
      </c>
      <c r="CG2442" s="1" t="s">
        <v>581</v>
      </c>
      <c r="CH2442" s="1" t="s">
        <v>219</v>
      </c>
      <c r="CI2442" s="1" t="s">
        <v>347</v>
      </c>
      <c r="CK2442" s="1" t="s">
        <v>708</v>
      </c>
      <c r="CL2442" s="1" t="s">
        <v>277</v>
      </c>
      <c r="CM2442" s="1" t="s">
        <v>220</v>
      </c>
      <c r="CO2442" s="1" t="s">
        <v>465</v>
      </c>
      <c r="CP2442" s="1" t="s">
        <v>219</v>
      </c>
      <c r="CQ2442" s="1" t="s">
        <v>347</v>
      </c>
      <c r="CS2442" s="1" t="s">
        <v>465</v>
      </c>
      <c r="CT2442" s="1" t="s">
        <v>277</v>
      </c>
      <c r="CU2442" s="1" t="s">
        <v>220</v>
      </c>
      <c r="CX2442" s="1" t="s">
        <v>224</v>
      </c>
      <c r="DB2442" s="1" t="s">
        <v>224</v>
      </c>
      <c r="DE2442" s="1" t="s">
        <v>1045</v>
      </c>
      <c r="DF2442" s="1" t="s">
        <v>219</v>
      </c>
      <c r="DG2442" s="1" t="s">
        <v>347</v>
      </c>
      <c r="DJ2442" s="1" t="s">
        <v>224</v>
      </c>
      <c r="DM2442" s="1" t="s">
        <v>464</v>
      </c>
      <c r="DO2442" s="1" t="s">
        <v>709</v>
      </c>
      <c r="DR2442" s="1" t="s">
        <v>516</v>
      </c>
      <c r="DS2442" s="1" t="s">
        <v>277</v>
      </c>
      <c r="DT2442" s="1" t="s">
        <v>220</v>
      </c>
      <c r="DW2442" s="1" t="s">
        <v>230</v>
      </c>
      <c r="DZ2442" s="1" t="s">
        <v>1534</v>
      </c>
      <c r="EA2442" s="1" t="s">
        <v>219</v>
      </c>
      <c r="EB2442" s="1" t="s">
        <v>226</v>
      </c>
      <c r="EE2442" s="1" t="s">
        <v>230</v>
      </c>
      <c r="EI2442" s="1" t="s">
        <v>230</v>
      </c>
      <c r="EL2442" s="1" t="s">
        <v>670</v>
      </c>
      <c r="EM2442" s="1" t="s">
        <v>232</v>
      </c>
      <c r="EN2442" s="1" t="s">
        <v>282</v>
      </c>
      <c r="EO2442" s="1" t="s">
        <v>234</v>
      </c>
      <c r="EP2442" s="1" t="s">
        <v>1489</v>
      </c>
      <c r="EQ2442" s="1" t="s">
        <v>236</v>
      </c>
      <c r="ER2442" s="1" t="s">
        <v>1249</v>
      </c>
      <c r="ES2442" s="1" t="s">
        <v>954</v>
      </c>
      <c r="ET2442" s="1" t="s">
        <v>238</v>
      </c>
      <c r="EU2442" s="1" t="s">
        <v>843</v>
      </c>
      <c r="EV2442" s="1" t="s">
        <v>6425</v>
      </c>
      <c r="EW2442" s="1" t="s">
        <v>353</v>
      </c>
      <c r="EY2442" s="1" t="s">
        <v>242</v>
      </c>
      <c r="EZ2442" s="1" t="s">
        <v>2549</v>
      </c>
      <c r="FA2442" s="1" t="s">
        <v>16565</v>
      </c>
      <c r="FB2442" s="1" t="s">
        <v>289</v>
      </c>
      <c r="FC2442" s="1" t="s">
        <v>1405</v>
      </c>
      <c r="FD2442" s="1" t="s">
        <v>246</v>
      </c>
      <c r="FE2442" s="1" t="s">
        <v>549</v>
      </c>
      <c r="FF2442" s="1" t="s">
        <v>2998</v>
      </c>
      <c r="FG2442" s="1" t="s">
        <v>871</v>
      </c>
      <c r="FH2442" s="1" t="s">
        <v>550</v>
      </c>
      <c r="FI2442" s="1" t="s">
        <v>357</v>
      </c>
      <c r="FJ2442" s="1" t="s">
        <v>197</v>
      </c>
      <c r="FL2442" s="1" t="s">
        <v>358</v>
      </c>
      <c r="FM2442" s="1" t="s">
        <v>252</v>
      </c>
      <c r="FN2442" s="1" t="s">
        <v>213</v>
      </c>
      <c r="FO2442" s="1" t="s">
        <v>204</v>
      </c>
      <c r="FQ2442" s="1" t="s">
        <v>293</v>
      </c>
      <c r="FR2442" s="1" t="s">
        <v>210</v>
      </c>
      <c r="FS2442" s="1" t="s">
        <v>3605</v>
      </c>
      <c r="FT2442" s="1" t="s">
        <v>362</v>
      </c>
      <c r="FU2442" s="1" t="s">
        <v>204</v>
      </c>
      <c r="FW2442" s="1" t="s">
        <v>3116</v>
      </c>
      <c r="FX2442" s="1">
        <v>21823</v>
      </c>
      <c r="FY2442" s="1" t="s">
        <v>3117</v>
      </c>
      <c r="FZ2442" s="1" t="s">
        <v>12279</v>
      </c>
      <c r="GA2442" s="1">
        <v>216687</v>
      </c>
      <c r="GB2442" s="1" t="s">
        <v>12280</v>
      </c>
      <c r="GC2442" s="1">
        <v>215158</v>
      </c>
      <c r="GE2442" s="1" t="s">
        <v>21182</v>
      </c>
      <c r="GI2442" s="1" t="s">
        <v>213</v>
      </c>
      <c r="GJ2442" s="1" t="s">
        <v>260</v>
      </c>
      <c r="GK2442" s="1" t="s">
        <v>210</v>
      </c>
      <c r="GL2442" s="2">
        <v>42101</v>
      </c>
      <c r="GM2442" s="1" t="s">
        <v>21183</v>
      </c>
    </row>
    <row r="2443" spans="1:195">
      <c r="A2443" s="1">
        <v>168000</v>
      </c>
      <c r="B2443" s="1" t="s">
        <v>195</v>
      </c>
      <c r="C2443" s="1" t="str">
        <f>"08829663"</f>
        <v>08829663</v>
      </c>
      <c r="D2443" s="1" t="s">
        <v>196</v>
      </c>
      <c r="F2443" s="1" t="str">
        <f>"554"</f>
        <v>554</v>
      </c>
      <c r="G2443" s="2">
        <v>42038</v>
      </c>
      <c r="H2443" s="1">
        <v>179500</v>
      </c>
      <c r="I2443" s="1">
        <v>179500</v>
      </c>
      <c r="J2443" s="1">
        <v>168000</v>
      </c>
      <c r="K2443" s="2">
        <v>42037</v>
      </c>
      <c r="L2443" s="1">
        <v>34</v>
      </c>
      <c r="M2443" s="2">
        <v>42070</v>
      </c>
      <c r="N2443" s="1">
        <v>34</v>
      </c>
      <c r="O2443" s="2">
        <v>42070</v>
      </c>
      <c r="P2443" s="1">
        <v>328</v>
      </c>
      <c r="Q2443" s="1" t="s">
        <v>302</v>
      </c>
      <c r="R2443" s="2">
        <v>42140</v>
      </c>
      <c r="S2443" s="1">
        <v>1931</v>
      </c>
      <c r="U2443" s="1">
        <v>142</v>
      </c>
      <c r="V2443" s="1" t="s">
        <v>12842</v>
      </c>
      <c r="W2443" s="1" t="s">
        <v>425</v>
      </c>
      <c r="X2443" s="1" t="s">
        <v>483</v>
      </c>
      <c r="Y2443" s="1">
        <v>4</v>
      </c>
      <c r="Z2443" s="1" t="s">
        <v>370</v>
      </c>
      <c r="AA2443" s="1" t="s">
        <v>3443</v>
      </c>
      <c r="AB2443" s="1">
        <v>60554</v>
      </c>
      <c r="AD2443" s="1" t="s">
        <v>18535</v>
      </c>
      <c r="AE2443" s="1" t="s">
        <v>21184</v>
      </c>
      <c r="AF2443" s="1">
        <v>2005</v>
      </c>
      <c r="AG2443" s="1" t="s">
        <v>204</v>
      </c>
      <c r="AH2443" s="1" t="s">
        <v>3240</v>
      </c>
      <c r="AI2443" s="1" t="s">
        <v>665</v>
      </c>
      <c r="AJ2443" s="1" t="s">
        <v>3240</v>
      </c>
      <c r="AK2443" s="1" t="s">
        <v>21185</v>
      </c>
      <c r="AL2443" s="1">
        <v>6</v>
      </c>
      <c r="AM2443" s="1">
        <v>2</v>
      </c>
      <c r="AN2443" s="1">
        <v>2</v>
      </c>
      <c r="AO2443" s="1">
        <v>1</v>
      </c>
      <c r="AP2443" s="1" t="s">
        <v>209</v>
      </c>
      <c r="AR2443" s="1" t="s">
        <v>210</v>
      </c>
      <c r="AS2443" s="1" t="s">
        <v>204</v>
      </c>
      <c r="AT2443" s="1" t="s">
        <v>211</v>
      </c>
      <c r="AU2443" s="1">
        <v>2</v>
      </c>
      <c r="AW2443" s="1" t="s">
        <v>204</v>
      </c>
      <c r="AX2443" s="1" t="s">
        <v>212</v>
      </c>
      <c r="AZ2443" s="1">
        <v>5228</v>
      </c>
      <c r="BA2443" s="1">
        <v>2013</v>
      </c>
      <c r="BB2443" s="1" t="s">
        <v>405</v>
      </c>
      <c r="BE2443" s="1">
        <v>1944</v>
      </c>
      <c r="BF2443" s="1">
        <v>1</v>
      </c>
      <c r="BG2443" s="1">
        <v>0</v>
      </c>
      <c r="BL2443" s="1">
        <v>142</v>
      </c>
      <c r="BM2443" s="1" t="s">
        <v>204</v>
      </c>
      <c r="BN2443" s="1" t="s">
        <v>213</v>
      </c>
      <c r="BO2443" s="1" t="s">
        <v>5590</v>
      </c>
      <c r="BP2443" s="1" t="s">
        <v>204</v>
      </c>
      <c r="BR2443" s="1" t="str">
        <f>"1416153015"</f>
        <v>1416153015</v>
      </c>
      <c r="BT2443" s="1" t="s">
        <v>21186</v>
      </c>
      <c r="BX2443" s="1">
        <v>302</v>
      </c>
      <c r="BY2443" s="1">
        <v>302</v>
      </c>
      <c r="BZ2443" s="1">
        <v>302</v>
      </c>
      <c r="CB2443" s="1" t="str">
        <f t="shared" ref="CB2443:CC2443" si="1874">"0"</f>
        <v>0</v>
      </c>
      <c r="CC2443" s="1" t="str">
        <f t="shared" si="1874"/>
        <v>0</v>
      </c>
      <c r="CD2443" s="1">
        <v>41</v>
      </c>
      <c r="CE2443" s="1">
        <v>4</v>
      </c>
      <c r="CG2443" s="1" t="s">
        <v>861</v>
      </c>
      <c r="CH2443" s="1" t="s">
        <v>219</v>
      </c>
      <c r="CI2443" s="1" t="s">
        <v>220</v>
      </c>
      <c r="CK2443" s="1" t="s">
        <v>221</v>
      </c>
      <c r="CL2443" s="1" t="s">
        <v>219</v>
      </c>
      <c r="CM2443" s="1" t="s">
        <v>220</v>
      </c>
      <c r="CP2443" s="1" t="s">
        <v>224</v>
      </c>
      <c r="CS2443" s="1" t="s">
        <v>461</v>
      </c>
      <c r="CT2443" s="1" t="s">
        <v>277</v>
      </c>
      <c r="CU2443" s="1" t="s">
        <v>220</v>
      </c>
      <c r="CX2443" s="1" t="s">
        <v>224</v>
      </c>
      <c r="DB2443" s="1" t="s">
        <v>224</v>
      </c>
      <c r="DE2443" s="1" t="s">
        <v>21187</v>
      </c>
      <c r="DF2443" s="1" t="s">
        <v>219</v>
      </c>
      <c r="DG2443" s="1" t="s">
        <v>438</v>
      </c>
      <c r="DJ2443" s="1" t="s">
        <v>224</v>
      </c>
      <c r="DM2443" s="1" t="s">
        <v>464</v>
      </c>
      <c r="DN2443" s="1" t="s">
        <v>709</v>
      </c>
      <c r="DO2443" s="1" t="s">
        <v>1005</v>
      </c>
      <c r="DP2443" s="1" t="s">
        <v>3011</v>
      </c>
      <c r="DQ2443" s="1" t="s">
        <v>347</v>
      </c>
      <c r="DR2443" s="1" t="s">
        <v>3684</v>
      </c>
      <c r="DS2443" s="1" t="s">
        <v>277</v>
      </c>
      <c r="DT2443" s="1" t="s">
        <v>220</v>
      </c>
      <c r="DU2443" s="1" t="s">
        <v>210</v>
      </c>
      <c r="DV2443" s="1" t="s">
        <v>516</v>
      </c>
      <c r="DW2443" s="1" t="s">
        <v>219</v>
      </c>
      <c r="DX2443" s="1" t="s">
        <v>438</v>
      </c>
      <c r="DZ2443" s="1" t="s">
        <v>317</v>
      </c>
      <c r="EA2443" s="1" t="s">
        <v>277</v>
      </c>
      <c r="EB2443" s="1" t="s">
        <v>220</v>
      </c>
      <c r="EC2443" s="1" t="s">
        <v>210</v>
      </c>
      <c r="ED2443" s="1" t="s">
        <v>864</v>
      </c>
      <c r="EE2443" s="1" t="s">
        <v>219</v>
      </c>
      <c r="EF2443" s="1" t="s">
        <v>342</v>
      </c>
      <c r="EG2443" s="1" t="s">
        <v>252</v>
      </c>
      <c r="EH2443" s="1" t="s">
        <v>317</v>
      </c>
      <c r="EI2443" s="1" t="s">
        <v>277</v>
      </c>
      <c r="EJ2443" s="1" t="s">
        <v>220</v>
      </c>
      <c r="EK2443" s="1" t="s">
        <v>252</v>
      </c>
      <c r="EL2443" s="1" t="s">
        <v>491</v>
      </c>
      <c r="EM2443" s="1" t="s">
        <v>319</v>
      </c>
      <c r="EN2443" s="1" t="s">
        <v>282</v>
      </c>
      <c r="EO2443" s="1" t="s">
        <v>234</v>
      </c>
      <c r="EP2443" s="1" t="s">
        <v>1268</v>
      </c>
      <c r="EQ2443" s="1" t="s">
        <v>953</v>
      </c>
      <c r="ER2443" s="1" t="s">
        <v>383</v>
      </c>
      <c r="ES2443" s="1" t="s">
        <v>824</v>
      </c>
      <c r="ET2443" s="1" t="s">
        <v>866</v>
      </c>
      <c r="EU2443" s="1" t="s">
        <v>239</v>
      </c>
      <c r="EW2443" s="1" t="s">
        <v>867</v>
      </c>
      <c r="EY2443" s="1" t="s">
        <v>790</v>
      </c>
      <c r="EZ2443" s="1" t="s">
        <v>21188</v>
      </c>
      <c r="FA2443" s="1" t="s">
        <v>1427</v>
      </c>
      <c r="FC2443" s="1" t="s">
        <v>633</v>
      </c>
      <c r="FD2443" s="1" t="s">
        <v>495</v>
      </c>
      <c r="FE2443" s="1" t="s">
        <v>975</v>
      </c>
      <c r="FF2443" s="1" t="s">
        <v>248</v>
      </c>
      <c r="FH2443" s="1" t="s">
        <v>550</v>
      </c>
      <c r="FI2443" s="1" t="s">
        <v>473</v>
      </c>
      <c r="FL2443" s="1" t="s">
        <v>358</v>
      </c>
      <c r="FM2443" s="1" t="s">
        <v>252</v>
      </c>
      <c r="FN2443" s="1" t="s">
        <v>213</v>
      </c>
      <c r="FO2443" s="1" t="s">
        <v>213</v>
      </c>
      <c r="FQ2443" s="1" t="s">
        <v>673</v>
      </c>
      <c r="FR2443" s="1" t="s">
        <v>210</v>
      </c>
      <c r="FS2443" s="1" t="s">
        <v>19014</v>
      </c>
      <c r="FT2443" s="1" t="s">
        <v>675</v>
      </c>
      <c r="FU2443" s="1" t="s">
        <v>204</v>
      </c>
      <c r="FW2443" s="1" t="s">
        <v>873</v>
      </c>
      <c r="FX2443" s="1">
        <v>300</v>
      </c>
      <c r="FY2443" s="1" t="s">
        <v>3105</v>
      </c>
      <c r="FZ2443" s="1" t="s">
        <v>7703</v>
      </c>
      <c r="GA2443" s="1">
        <v>313804</v>
      </c>
      <c r="GB2443" s="1" t="s">
        <v>7704</v>
      </c>
      <c r="GE2443" s="1" t="s">
        <v>480</v>
      </c>
      <c r="GH2443" s="1" t="s">
        <v>589</v>
      </c>
      <c r="GI2443" s="1" t="s">
        <v>213</v>
      </c>
      <c r="GJ2443" s="1" t="s">
        <v>260</v>
      </c>
      <c r="GK2443" s="1" t="s">
        <v>261</v>
      </c>
      <c r="GL2443" s="2">
        <v>42140</v>
      </c>
      <c r="GM2443" s="1" t="s">
        <v>21189</v>
      </c>
    </row>
    <row r="2444" spans="1:195">
      <c r="A2444" s="1">
        <v>100000</v>
      </c>
      <c r="B2444" s="1" t="s">
        <v>195</v>
      </c>
      <c r="C2444" s="1" t="str">
        <f>"08827028"</f>
        <v>08827028</v>
      </c>
      <c r="D2444" s="1" t="s">
        <v>196</v>
      </c>
      <c r="F2444" s="1" t="str">
        <f>"30"</f>
        <v>30</v>
      </c>
      <c r="G2444" s="2">
        <v>42033</v>
      </c>
      <c r="H2444" s="1">
        <v>100000</v>
      </c>
      <c r="I2444" s="1">
        <v>100000</v>
      </c>
      <c r="J2444" s="1">
        <v>100000</v>
      </c>
      <c r="K2444" s="2">
        <v>42033</v>
      </c>
      <c r="L2444" s="1">
        <v>15</v>
      </c>
      <c r="M2444" s="2">
        <v>42047</v>
      </c>
      <c r="N2444" s="1">
        <v>15</v>
      </c>
      <c r="O2444" s="2">
        <v>42047</v>
      </c>
      <c r="P2444" s="1">
        <v>2626</v>
      </c>
      <c r="Q2444" s="1" t="s">
        <v>302</v>
      </c>
      <c r="R2444" s="2">
        <v>42090</v>
      </c>
      <c r="S2444" s="1">
        <v>243761</v>
      </c>
      <c r="U2444" s="1">
        <v>494</v>
      </c>
      <c r="V2444" s="1" t="s">
        <v>1627</v>
      </c>
      <c r="W2444" s="1" t="s">
        <v>504</v>
      </c>
      <c r="X2444" s="1" t="s">
        <v>21190</v>
      </c>
      <c r="Y2444" s="1">
        <v>4</v>
      </c>
      <c r="Z2444" s="1" t="s">
        <v>249</v>
      </c>
      <c r="AA2444" s="1" t="s">
        <v>1628</v>
      </c>
      <c r="AB2444" s="1">
        <v>60073</v>
      </c>
      <c r="AD2444" s="1" t="s">
        <v>5610</v>
      </c>
      <c r="AE2444" s="1" t="s">
        <v>21191</v>
      </c>
      <c r="AF2444" s="1">
        <v>2000</v>
      </c>
      <c r="AG2444" s="1" t="s">
        <v>204</v>
      </c>
      <c r="AH2444" s="1" t="s">
        <v>1630</v>
      </c>
      <c r="AI2444" s="1" t="s">
        <v>509</v>
      </c>
      <c r="AJ2444" s="1" t="s">
        <v>1263</v>
      </c>
      <c r="AK2444" s="1" t="s">
        <v>21192</v>
      </c>
      <c r="AL2444" s="1">
        <v>6</v>
      </c>
      <c r="AM2444" s="1">
        <v>2</v>
      </c>
      <c r="AN2444" s="1">
        <v>1</v>
      </c>
      <c r="AO2444" s="1">
        <v>1</v>
      </c>
      <c r="AP2444" s="1" t="s">
        <v>210</v>
      </c>
      <c r="AR2444" s="1" t="s">
        <v>1631</v>
      </c>
      <c r="AS2444" s="1" t="s">
        <v>204</v>
      </c>
      <c r="AT2444" s="1" t="s">
        <v>211</v>
      </c>
      <c r="AU2444" s="1">
        <v>2</v>
      </c>
      <c r="AW2444" s="1" t="s">
        <v>204</v>
      </c>
      <c r="AX2444" s="1" t="s">
        <v>579</v>
      </c>
      <c r="AZ2444" s="1">
        <v>3201.54</v>
      </c>
      <c r="BA2444" s="1">
        <v>2013</v>
      </c>
      <c r="BB2444" s="1" t="s">
        <v>405</v>
      </c>
      <c r="BE2444" s="1">
        <v>1520</v>
      </c>
      <c r="BF2444" s="1">
        <v>1</v>
      </c>
      <c r="BG2444" s="1">
        <v>0</v>
      </c>
      <c r="BL2444" s="1">
        <v>197</v>
      </c>
      <c r="BM2444" s="1" t="s">
        <v>204</v>
      </c>
      <c r="BN2444" s="1" t="s">
        <v>213</v>
      </c>
      <c r="BO2444" s="1" t="s">
        <v>3215</v>
      </c>
      <c r="BP2444" s="1" t="s">
        <v>204</v>
      </c>
      <c r="BR2444" s="1" t="str">
        <f>"06283100180000"</f>
        <v>06283100180000</v>
      </c>
      <c r="BT2444" s="1" t="s">
        <v>21193</v>
      </c>
      <c r="BU2444" s="1" t="s">
        <v>5614</v>
      </c>
      <c r="BV2444" s="1" t="s">
        <v>4025</v>
      </c>
      <c r="BW2444" s="1" t="s">
        <v>4026</v>
      </c>
      <c r="BX2444" s="1">
        <v>116</v>
      </c>
      <c r="BY2444" s="1">
        <v>116</v>
      </c>
      <c r="BZ2444" s="1">
        <v>116</v>
      </c>
      <c r="CB2444" s="1" t="str">
        <f>"33"</f>
        <v>33</v>
      </c>
      <c r="CC2444" s="1" t="str">
        <f>"0"</f>
        <v>0</v>
      </c>
      <c r="CD2444" s="1">
        <v>22</v>
      </c>
      <c r="CE2444" s="1">
        <v>0</v>
      </c>
      <c r="CG2444" s="1" t="s">
        <v>465</v>
      </c>
      <c r="CH2444" s="1" t="s">
        <v>219</v>
      </c>
      <c r="CI2444" s="1" t="s">
        <v>220</v>
      </c>
      <c r="CJ2444" s="1" t="s">
        <v>252</v>
      </c>
      <c r="CK2444" s="1" t="s">
        <v>669</v>
      </c>
      <c r="CL2444" s="1" t="s">
        <v>277</v>
      </c>
      <c r="CM2444" s="1" t="s">
        <v>220</v>
      </c>
      <c r="CN2444" s="1" t="s">
        <v>252</v>
      </c>
      <c r="CO2444" s="1" t="s">
        <v>972</v>
      </c>
      <c r="CP2444" s="1" t="s">
        <v>219</v>
      </c>
      <c r="CQ2444" s="1" t="s">
        <v>220</v>
      </c>
      <c r="CR2444" s="1" t="s">
        <v>252</v>
      </c>
      <c r="CS2444" s="1" t="s">
        <v>461</v>
      </c>
      <c r="CT2444" s="1" t="s">
        <v>277</v>
      </c>
      <c r="CU2444" s="1" t="s">
        <v>220</v>
      </c>
      <c r="CV2444" s="1" t="s">
        <v>252</v>
      </c>
      <c r="CX2444" s="1" t="s">
        <v>224</v>
      </c>
      <c r="DB2444" s="1" t="s">
        <v>224</v>
      </c>
      <c r="DE2444" s="1" t="s">
        <v>972</v>
      </c>
      <c r="DF2444" s="1" t="s">
        <v>219</v>
      </c>
      <c r="DG2444" s="1" t="s">
        <v>342</v>
      </c>
      <c r="DH2444" s="1" t="s">
        <v>252</v>
      </c>
      <c r="DI2444" s="1" t="s">
        <v>346</v>
      </c>
      <c r="DJ2444" s="1" t="s">
        <v>822</v>
      </c>
      <c r="DK2444" s="1" t="s">
        <v>220</v>
      </c>
      <c r="DL2444" s="1" t="s">
        <v>252</v>
      </c>
      <c r="DS2444" s="1" t="s">
        <v>230</v>
      </c>
      <c r="DW2444" s="1" t="s">
        <v>230</v>
      </c>
      <c r="EA2444" s="1" t="s">
        <v>230</v>
      </c>
      <c r="EE2444" s="1" t="s">
        <v>230</v>
      </c>
      <c r="EI2444" s="1" t="s">
        <v>230</v>
      </c>
      <c r="EL2444" s="1" t="s">
        <v>466</v>
      </c>
      <c r="EM2444" s="1" t="s">
        <v>319</v>
      </c>
      <c r="EN2444" s="1" t="s">
        <v>282</v>
      </c>
      <c r="EO2444" s="1" t="s">
        <v>234</v>
      </c>
      <c r="EP2444" s="1" t="s">
        <v>650</v>
      </c>
      <c r="EQ2444" s="1" t="s">
        <v>492</v>
      </c>
      <c r="ER2444" s="1" t="s">
        <v>544</v>
      </c>
      <c r="ES2444" s="1" t="s">
        <v>322</v>
      </c>
      <c r="ET2444" s="1" t="s">
        <v>842</v>
      </c>
      <c r="EU2444" s="1" t="s">
        <v>239</v>
      </c>
      <c r="EV2444" s="1" t="s">
        <v>240</v>
      </c>
      <c r="EW2444" s="1" t="s">
        <v>937</v>
      </c>
      <c r="EY2444" s="1" t="s">
        <v>242</v>
      </c>
      <c r="EZ2444" s="1" t="s">
        <v>287</v>
      </c>
      <c r="FA2444" s="1" t="s">
        <v>714</v>
      </c>
      <c r="FB2444" s="1" t="s">
        <v>289</v>
      </c>
      <c r="FD2444" s="1" t="s">
        <v>246</v>
      </c>
      <c r="FE2444" s="1" t="s">
        <v>472</v>
      </c>
      <c r="FF2444" s="1" t="s">
        <v>248</v>
      </c>
      <c r="FH2444" s="1" t="s">
        <v>550</v>
      </c>
      <c r="FI2444" s="1" t="s">
        <v>473</v>
      </c>
      <c r="FL2444" s="1" t="s">
        <v>358</v>
      </c>
      <c r="FM2444" s="1" t="s">
        <v>252</v>
      </c>
      <c r="FN2444" s="1" t="s">
        <v>213</v>
      </c>
      <c r="FO2444" s="1" t="s">
        <v>213</v>
      </c>
      <c r="FQ2444" s="1" t="s">
        <v>21194</v>
      </c>
      <c r="FR2444" s="1" t="s">
        <v>210</v>
      </c>
      <c r="FS2444" s="1" t="s">
        <v>21195</v>
      </c>
      <c r="FT2444" s="1" t="s">
        <v>295</v>
      </c>
      <c r="FU2444" s="1" t="s">
        <v>204</v>
      </c>
      <c r="FW2444" s="1" t="s">
        <v>4415</v>
      </c>
      <c r="FX2444" s="1">
        <v>6018</v>
      </c>
      <c r="FY2444" s="1" t="s">
        <v>4416</v>
      </c>
      <c r="FZ2444" s="1" t="s">
        <v>21196</v>
      </c>
      <c r="GA2444" s="1">
        <v>34395</v>
      </c>
      <c r="GB2444" s="1" t="s">
        <v>21197</v>
      </c>
      <c r="GE2444" s="1" t="s">
        <v>1256</v>
      </c>
      <c r="GI2444" s="1" t="s">
        <v>213</v>
      </c>
      <c r="GJ2444" s="1" t="s">
        <v>260</v>
      </c>
      <c r="GK2444" s="1" t="s">
        <v>210</v>
      </c>
      <c r="GL2444" s="2">
        <v>42093</v>
      </c>
    </row>
    <row r="2445" spans="1:195">
      <c r="A2445" s="1">
        <v>285000</v>
      </c>
      <c r="B2445" s="1" t="s">
        <v>195</v>
      </c>
      <c r="C2445" s="1" t="str">
        <f>"08826668"</f>
        <v>08826668</v>
      </c>
      <c r="D2445" s="1" t="s">
        <v>196</v>
      </c>
      <c r="F2445" s="1" t="str">
        <f>"507"</f>
        <v>507</v>
      </c>
      <c r="G2445" s="2">
        <v>42033</v>
      </c>
      <c r="H2445" s="1">
        <v>298900</v>
      </c>
      <c r="I2445" s="1">
        <v>298900</v>
      </c>
      <c r="J2445" s="1">
        <v>285000</v>
      </c>
      <c r="K2445" s="2">
        <v>42033</v>
      </c>
      <c r="L2445" s="1">
        <v>21</v>
      </c>
      <c r="M2445" s="2">
        <v>42053</v>
      </c>
      <c r="N2445" s="1">
        <v>21</v>
      </c>
      <c r="O2445" s="2">
        <v>42053</v>
      </c>
      <c r="P2445" s="1">
        <v>30</v>
      </c>
      <c r="Q2445" s="1" t="s">
        <v>197</v>
      </c>
      <c r="R2445" s="2">
        <v>42108</v>
      </c>
      <c r="S2445" s="1">
        <v>329</v>
      </c>
      <c r="U2445" s="1">
        <v>2394</v>
      </c>
      <c r="V2445" s="1" t="s">
        <v>2341</v>
      </c>
      <c r="W2445" s="1" t="s">
        <v>264</v>
      </c>
      <c r="Y2445" s="1">
        <v>2</v>
      </c>
      <c r="Z2445" s="1" t="s">
        <v>370</v>
      </c>
      <c r="AA2445" s="1" t="s">
        <v>1123</v>
      </c>
      <c r="AB2445" s="1">
        <v>60502</v>
      </c>
      <c r="AD2445" s="1" t="s">
        <v>1040</v>
      </c>
      <c r="AE2445" s="1" t="s">
        <v>21198</v>
      </c>
      <c r="AF2445" s="1">
        <v>1999</v>
      </c>
      <c r="AG2445" s="1" t="s">
        <v>204</v>
      </c>
      <c r="AH2445" s="1" t="s">
        <v>1126</v>
      </c>
      <c r="AI2445" s="1" t="s">
        <v>206</v>
      </c>
      <c r="AJ2445" s="1" t="s">
        <v>924</v>
      </c>
      <c r="AL2445" s="1">
        <v>7</v>
      </c>
      <c r="AM2445" s="1">
        <v>2</v>
      </c>
      <c r="AN2445" s="1">
        <v>2</v>
      </c>
      <c r="AO2445" s="1">
        <v>1</v>
      </c>
      <c r="AP2445" s="1" t="s">
        <v>209</v>
      </c>
      <c r="AQ2445" s="1">
        <v>1</v>
      </c>
      <c r="AR2445" s="1" t="s">
        <v>209</v>
      </c>
      <c r="AS2445" s="1" t="s">
        <v>204</v>
      </c>
      <c r="AT2445" s="1" t="s">
        <v>211</v>
      </c>
      <c r="AU2445" s="1">
        <v>2</v>
      </c>
      <c r="AW2445" s="1" t="s">
        <v>204</v>
      </c>
      <c r="AX2445" s="1" t="s">
        <v>21199</v>
      </c>
      <c r="AZ2445" s="1">
        <v>6970</v>
      </c>
      <c r="BA2445" s="1">
        <v>2013</v>
      </c>
      <c r="BE2445" s="1">
        <v>2545</v>
      </c>
      <c r="BF2445" s="1" t="s">
        <v>4806</v>
      </c>
      <c r="BG2445" s="1">
        <v>0</v>
      </c>
      <c r="BL2445" s="1">
        <v>340</v>
      </c>
      <c r="BM2445" s="1" t="s">
        <v>204</v>
      </c>
      <c r="BN2445" s="1" t="s">
        <v>213</v>
      </c>
      <c r="BO2445" s="1">
        <v>999</v>
      </c>
      <c r="BP2445" s="1" t="s">
        <v>204</v>
      </c>
      <c r="BR2445" s="1" t="str">
        <f>"0707313008"</f>
        <v>0707313008</v>
      </c>
      <c r="BT2445" s="1" t="s">
        <v>21200</v>
      </c>
      <c r="BU2445" s="1" t="s">
        <v>5816</v>
      </c>
      <c r="BV2445" s="1" t="s">
        <v>1130</v>
      </c>
      <c r="BW2445" s="1" t="s">
        <v>1131</v>
      </c>
      <c r="BX2445" s="1">
        <v>204</v>
      </c>
      <c r="BY2445" s="1">
        <v>204</v>
      </c>
      <c r="BZ2445" s="1">
        <v>204</v>
      </c>
      <c r="CB2445" s="1" t="str">
        <f t="shared" ref="CB2445:CC2445" si="1875">""</f>
        <v/>
      </c>
      <c r="CC2445" s="1" t="str">
        <f t="shared" si="1875"/>
        <v/>
      </c>
      <c r="CG2445" s="1" t="s">
        <v>2747</v>
      </c>
      <c r="CH2445" s="1" t="s">
        <v>219</v>
      </c>
      <c r="CI2445" s="1" t="s">
        <v>220</v>
      </c>
      <c r="CJ2445" s="1" t="s">
        <v>252</v>
      </c>
      <c r="CK2445" s="1" t="s">
        <v>729</v>
      </c>
      <c r="CL2445" s="1" t="s">
        <v>277</v>
      </c>
      <c r="CM2445" s="1" t="s">
        <v>220</v>
      </c>
      <c r="CN2445" s="1" t="s">
        <v>252</v>
      </c>
      <c r="CO2445" s="1" t="s">
        <v>437</v>
      </c>
      <c r="CP2445" s="1" t="s">
        <v>219</v>
      </c>
      <c r="CQ2445" s="1" t="s">
        <v>220</v>
      </c>
      <c r="CR2445" s="1" t="s">
        <v>252</v>
      </c>
      <c r="CS2445" s="1" t="s">
        <v>461</v>
      </c>
      <c r="CT2445" s="1" t="s">
        <v>277</v>
      </c>
      <c r="CU2445" s="1" t="s">
        <v>220</v>
      </c>
      <c r="CV2445" s="1" t="s">
        <v>252</v>
      </c>
      <c r="CX2445" s="1" t="s">
        <v>224</v>
      </c>
      <c r="DB2445" s="1" t="s">
        <v>224</v>
      </c>
      <c r="DE2445" s="1" t="s">
        <v>344</v>
      </c>
      <c r="DF2445" s="1" t="s">
        <v>219</v>
      </c>
      <c r="DG2445" s="1" t="s">
        <v>438</v>
      </c>
      <c r="DJ2445" s="1" t="s">
        <v>224</v>
      </c>
      <c r="DM2445" s="1" t="s">
        <v>464</v>
      </c>
      <c r="DN2445" s="1" t="s">
        <v>381</v>
      </c>
      <c r="DR2445" s="1" t="s">
        <v>461</v>
      </c>
      <c r="DS2445" s="1" t="s">
        <v>277</v>
      </c>
      <c r="DT2445" s="1" t="s">
        <v>220</v>
      </c>
      <c r="DU2445" s="1" t="s">
        <v>252</v>
      </c>
      <c r="DV2445" s="1" t="s">
        <v>348</v>
      </c>
      <c r="DW2445" s="1" t="s">
        <v>219</v>
      </c>
      <c r="DX2445" s="1" t="s">
        <v>438</v>
      </c>
      <c r="DY2445" s="1" t="s">
        <v>252</v>
      </c>
      <c r="EA2445" s="1" t="s">
        <v>230</v>
      </c>
      <c r="EE2445" s="1" t="s">
        <v>230</v>
      </c>
      <c r="EI2445" s="1" t="s">
        <v>230</v>
      </c>
      <c r="EL2445" s="1" t="s">
        <v>670</v>
      </c>
      <c r="EM2445" s="1" t="s">
        <v>319</v>
      </c>
      <c r="EN2445" s="1" t="s">
        <v>282</v>
      </c>
      <c r="EO2445" s="1" t="s">
        <v>234</v>
      </c>
      <c r="EQ2445" s="1" t="s">
        <v>671</v>
      </c>
      <c r="ER2445" s="1" t="s">
        <v>1249</v>
      </c>
      <c r="ES2445" s="1" t="s">
        <v>608</v>
      </c>
      <c r="ET2445" s="1" t="s">
        <v>866</v>
      </c>
      <c r="EU2445" s="1" t="s">
        <v>610</v>
      </c>
      <c r="EV2445" s="1" t="s">
        <v>324</v>
      </c>
      <c r="EW2445" s="1" t="s">
        <v>353</v>
      </c>
      <c r="EZ2445" s="1" t="s">
        <v>4284</v>
      </c>
      <c r="FA2445" s="1" t="s">
        <v>6559</v>
      </c>
      <c r="FD2445" s="1" t="s">
        <v>246</v>
      </c>
      <c r="FE2445" s="1" t="s">
        <v>4525</v>
      </c>
      <c r="FF2445" s="1" t="s">
        <v>248</v>
      </c>
      <c r="FG2445" s="1" t="s">
        <v>912</v>
      </c>
      <c r="FH2445" s="1" t="s">
        <v>550</v>
      </c>
      <c r="FI2445" s="1" t="s">
        <v>473</v>
      </c>
      <c r="FJ2445" s="1" t="s">
        <v>518</v>
      </c>
      <c r="FL2445" s="1" t="s">
        <v>358</v>
      </c>
      <c r="FM2445" s="1" t="s">
        <v>252</v>
      </c>
      <c r="FN2445" s="1" t="s">
        <v>213</v>
      </c>
      <c r="FO2445" s="1" t="s">
        <v>213</v>
      </c>
      <c r="FQ2445" s="1" t="s">
        <v>1300</v>
      </c>
      <c r="FR2445" s="1" t="s">
        <v>210</v>
      </c>
      <c r="FS2445" s="1" t="s">
        <v>6550</v>
      </c>
      <c r="FT2445" s="1" t="s">
        <v>1182</v>
      </c>
      <c r="FU2445" s="1" t="s">
        <v>204</v>
      </c>
      <c r="FW2445" s="1" t="s">
        <v>5648</v>
      </c>
      <c r="FX2445" s="1">
        <v>23099</v>
      </c>
      <c r="FY2445" s="1" t="s">
        <v>5649</v>
      </c>
      <c r="FZ2445" s="1" t="s">
        <v>6551</v>
      </c>
      <c r="GA2445" s="1">
        <v>217574</v>
      </c>
      <c r="GB2445" s="1" t="s">
        <v>6552</v>
      </c>
      <c r="GE2445" s="1" t="s">
        <v>1226</v>
      </c>
      <c r="GI2445" s="1" t="s">
        <v>213</v>
      </c>
      <c r="GJ2445" s="1" t="s">
        <v>260</v>
      </c>
      <c r="GK2445" s="1" t="s">
        <v>210</v>
      </c>
      <c r="GL2445" s="2">
        <v>42108</v>
      </c>
    </row>
    <row r="2446" spans="1:195">
      <c r="A2446" s="1">
        <v>210000</v>
      </c>
      <c r="B2446" s="1" t="s">
        <v>195</v>
      </c>
      <c r="C2446" s="1" t="str">
        <f>"08826338"</f>
        <v>08826338</v>
      </c>
      <c r="D2446" s="1" t="s">
        <v>196</v>
      </c>
      <c r="F2446" s="1" t="str">
        <f>"172"</f>
        <v>172</v>
      </c>
      <c r="G2446" s="2">
        <v>42033</v>
      </c>
      <c r="H2446" s="1">
        <v>224900</v>
      </c>
      <c r="I2446" s="1">
        <v>219900</v>
      </c>
      <c r="J2446" s="1">
        <v>210000</v>
      </c>
      <c r="K2446" s="2">
        <v>42033</v>
      </c>
      <c r="L2446" s="1">
        <v>25</v>
      </c>
      <c r="M2446" s="2">
        <v>42057</v>
      </c>
      <c r="N2446" s="1">
        <v>25</v>
      </c>
      <c r="O2446" s="2">
        <v>42057</v>
      </c>
      <c r="P2446" s="1">
        <v>23030</v>
      </c>
      <c r="Q2446" s="1" t="s">
        <v>197</v>
      </c>
      <c r="R2446" s="2">
        <v>42094</v>
      </c>
      <c r="S2446" s="1">
        <v>245396</v>
      </c>
      <c r="U2446" s="1">
        <v>150</v>
      </c>
      <c r="V2446" s="1" t="s">
        <v>21201</v>
      </c>
      <c r="W2446" s="1" t="s">
        <v>304</v>
      </c>
      <c r="Y2446" s="1">
        <v>4</v>
      </c>
      <c r="Z2446" s="1" t="s">
        <v>370</v>
      </c>
      <c r="AA2446" s="1" t="s">
        <v>266</v>
      </c>
      <c r="AB2446" s="1">
        <v>60172</v>
      </c>
      <c r="AD2446" s="1" t="s">
        <v>4280</v>
      </c>
      <c r="AE2446" s="1" t="s">
        <v>21202</v>
      </c>
      <c r="AF2446" s="1">
        <v>1996</v>
      </c>
      <c r="AG2446" s="1" t="s">
        <v>204</v>
      </c>
      <c r="AH2446" s="1" t="s">
        <v>3952</v>
      </c>
      <c r="AI2446" s="1" t="s">
        <v>206</v>
      </c>
      <c r="AJ2446" s="1" t="s">
        <v>269</v>
      </c>
      <c r="AK2446" s="1" t="s">
        <v>21203</v>
      </c>
      <c r="AL2446" s="1">
        <v>7</v>
      </c>
      <c r="AM2446" s="1">
        <v>2</v>
      </c>
      <c r="AN2446" s="1">
        <v>2</v>
      </c>
      <c r="AO2446" s="1">
        <v>1</v>
      </c>
      <c r="AP2446" s="1" t="s">
        <v>209</v>
      </c>
      <c r="AR2446" s="1" t="s">
        <v>210</v>
      </c>
      <c r="AS2446" s="1" t="s">
        <v>204</v>
      </c>
      <c r="AT2446" s="1" t="s">
        <v>211</v>
      </c>
      <c r="AU2446" s="1">
        <v>2</v>
      </c>
      <c r="AW2446" s="1" t="s">
        <v>204</v>
      </c>
      <c r="AX2446" s="1" t="s">
        <v>212</v>
      </c>
      <c r="AZ2446" s="1">
        <v>5092</v>
      </c>
      <c r="BA2446" s="1">
        <v>2013</v>
      </c>
      <c r="BB2446" s="1" t="s">
        <v>405</v>
      </c>
      <c r="BE2446" s="1">
        <v>1534</v>
      </c>
      <c r="BF2446" s="1">
        <v>1</v>
      </c>
      <c r="BG2446" s="1">
        <v>1</v>
      </c>
      <c r="BL2446" s="1">
        <v>204</v>
      </c>
      <c r="BM2446" s="1" t="s">
        <v>204</v>
      </c>
      <c r="BN2446" s="1" t="s">
        <v>213</v>
      </c>
      <c r="BO2446" s="1">
        <v>999</v>
      </c>
      <c r="BP2446" s="1" t="s">
        <v>204</v>
      </c>
      <c r="BR2446" s="1" t="str">
        <f>"0205220193"</f>
        <v>0205220193</v>
      </c>
      <c r="BT2446" s="1" t="s">
        <v>21204</v>
      </c>
      <c r="BU2446" s="1" t="s">
        <v>273</v>
      </c>
      <c r="BV2446" s="1" t="s">
        <v>274</v>
      </c>
      <c r="BW2446" s="1" t="s">
        <v>275</v>
      </c>
      <c r="BX2446" s="1">
        <v>20</v>
      </c>
      <c r="BY2446" s="1">
        <v>20</v>
      </c>
      <c r="BZ2446" s="1">
        <v>108</v>
      </c>
      <c r="CB2446" s="1" t="str">
        <f>"7"</f>
        <v>7</v>
      </c>
      <c r="CC2446" s="1" t="str">
        <f t="shared" ref="CC2446:CC2447" si="1876">"0"</f>
        <v>0</v>
      </c>
      <c r="CD2446" s="1">
        <v>25</v>
      </c>
      <c r="CE2446" s="1">
        <v>0</v>
      </c>
      <c r="CG2446" s="1" t="s">
        <v>5267</v>
      </c>
      <c r="CH2446" s="1" t="s">
        <v>219</v>
      </c>
      <c r="CI2446" s="1" t="s">
        <v>438</v>
      </c>
      <c r="CJ2446" s="1" t="s">
        <v>343</v>
      </c>
      <c r="CK2446" s="1" t="s">
        <v>1004</v>
      </c>
      <c r="CL2446" s="1" t="s">
        <v>277</v>
      </c>
      <c r="CM2446" s="1" t="s">
        <v>220</v>
      </c>
      <c r="CN2446" s="1" t="s">
        <v>210</v>
      </c>
      <c r="CO2446" s="1" t="s">
        <v>629</v>
      </c>
      <c r="CP2446" s="1" t="s">
        <v>219</v>
      </c>
      <c r="CQ2446" s="1" t="s">
        <v>438</v>
      </c>
      <c r="CR2446" s="1" t="s">
        <v>343</v>
      </c>
      <c r="CS2446" s="1" t="s">
        <v>346</v>
      </c>
      <c r="CT2446" s="1" t="s">
        <v>277</v>
      </c>
      <c r="CU2446" s="1" t="s">
        <v>220</v>
      </c>
      <c r="CV2446" s="1" t="s">
        <v>343</v>
      </c>
      <c r="CX2446" s="1" t="s">
        <v>224</v>
      </c>
      <c r="DB2446" s="1" t="s">
        <v>224</v>
      </c>
      <c r="DE2446" s="1" t="s">
        <v>318</v>
      </c>
      <c r="DF2446" s="1" t="s">
        <v>219</v>
      </c>
      <c r="DG2446" s="1" t="s">
        <v>226</v>
      </c>
      <c r="DJ2446" s="1" t="s">
        <v>224</v>
      </c>
      <c r="DM2446" s="1" t="s">
        <v>227</v>
      </c>
      <c r="DN2446" s="1" t="s">
        <v>381</v>
      </c>
      <c r="DR2446" s="1" t="s">
        <v>318</v>
      </c>
      <c r="DS2446" s="1" t="s">
        <v>219</v>
      </c>
      <c r="DT2446" s="1" t="s">
        <v>438</v>
      </c>
      <c r="DU2446" s="1" t="s">
        <v>343</v>
      </c>
      <c r="DV2446" s="1" t="s">
        <v>316</v>
      </c>
      <c r="DW2446" s="1" t="s">
        <v>219</v>
      </c>
      <c r="DX2446" s="1" t="s">
        <v>226</v>
      </c>
      <c r="DY2446" s="1" t="s">
        <v>439</v>
      </c>
      <c r="EA2446" s="1" t="s">
        <v>230</v>
      </c>
      <c r="EE2446" s="1" t="s">
        <v>230</v>
      </c>
      <c r="EI2446" s="1" t="s">
        <v>230</v>
      </c>
      <c r="EL2446" s="1" t="s">
        <v>670</v>
      </c>
      <c r="EM2446" s="1" t="s">
        <v>319</v>
      </c>
      <c r="EN2446" s="1" t="s">
        <v>282</v>
      </c>
      <c r="EO2446" s="1" t="s">
        <v>234</v>
      </c>
      <c r="EP2446" s="1" t="s">
        <v>12276</v>
      </c>
      <c r="EQ2446" s="1" t="s">
        <v>5876</v>
      </c>
      <c r="ER2446" s="1" t="s">
        <v>210</v>
      </c>
      <c r="ES2446" s="1" t="s">
        <v>322</v>
      </c>
      <c r="ET2446" s="1" t="s">
        <v>3191</v>
      </c>
      <c r="EU2446" s="1" t="s">
        <v>1110</v>
      </c>
      <c r="EV2446" s="1" t="s">
        <v>1553</v>
      </c>
      <c r="EW2446" s="1" t="s">
        <v>353</v>
      </c>
      <c r="EY2446" s="1" t="s">
        <v>1315</v>
      </c>
      <c r="EZ2446" s="1" t="s">
        <v>2621</v>
      </c>
      <c r="FA2446" s="1" t="s">
        <v>3624</v>
      </c>
      <c r="FC2446" s="1" t="s">
        <v>1739</v>
      </c>
      <c r="FD2446" s="1" t="s">
        <v>246</v>
      </c>
      <c r="FE2446" s="1" t="s">
        <v>247</v>
      </c>
      <c r="FF2446" s="1" t="s">
        <v>248</v>
      </c>
      <c r="FH2446" s="1" t="s">
        <v>550</v>
      </c>
      <c r="FI2446" s="1" t="s">
        <v>357</v>
      </c>
      <c r="FL2446" s="1" t="s">
        <v>414</v>
      </c>
      <c r="FM2446" s="1" t="s">
        <v>252</v>
      </c>
      <c r="FN2446" s="1" t="s">
        <v>213</v>
      </c>
      <c r="FO2446" s="1" t="s">
        <v>213</v>
      </c>
      <c r="FQ2446" s="1" t="s">
        <v>3616</v>
      </c>
      <c r="FR2446" s="1" t="s">
        <v>210</v>
      </c>
      <c r="FS2446" s="1" t="s">
        <v>8532</v>
      </c>
      <c r="FT2446" s="1" t="s">
        <v>1182</v>
      </c>
      <c r="FU2446" s="1" t="s">
        <v>204</v>
      </c>
      <c r="FW2446" s="1" t="s">
        <v>1742</v>
      </c>
      <c r="FX2446" s="1">
        <v>25401</v>
      </c>
      <c r="FY2446" s="1" t="s">
        <v>1743</v>
      </c>
      <c r="FZ2446" s="1" t="s">
        <v>8533</v>
      </c>
      <c r="GA2446" s="1">
        <v>258049</v>
      </c>
      <c r="GB2446" s="1" t="s">
        <v>8534</v>
      </c>
      <c r="GD2446" s="1" t="s">
        <v>16458</v>
      </c>
      <c r="GE2446" s="1" t="s">
        <v>210</v>
      </c>
      <c r="GI2446" s="1" t="s">
        <v>213</v>
      </c>
      <c r="GJ2446" s="1" t="s">
        <v>260</v>
      </c>
      <c r="GK2446" s="1" t="s">
        <v>210</v>
      </c>
      <c r="GL2446" s="2">
        <v>42094</v>
      </c>
      <c r="GM2446" s="1" t="s">
        <v>21205</v>
      </c>
    </row>
    <row r="2447" spans="1:195">
      <c r="A2447" s="1">
        <v>146000</v>
      </c>
      <c r="B2447" s="1" t="s">
        <v>195</v>
      </c>
      <c r="C2447" s="1" t="str">
        <f>"08824244"</f>
        <v>08824244</v>
      </c>
      <c r="D2447" s="1" t="s">
        <v>196</v>
      </c>
      <c r="F2447" s="1" t="str">
        <f>"139"</f>
        <v>139</v>
      </c>
      <c r="G2447" s="2">
        <v>42030</v>
      </c>
      <c r="H2447" s="1">
        <v>149900</v>
      </c>
      <c r="I2447" s="1">
        <v>149900</v>
      </c>
      <c r="J2447" s="1">
        <v>146000</v>
      </c>
      <c r="K2447" s="2">
        <v>42030</v>
      </c>
      <c r="L2447" s="1">
        <v>22</v>
      </c>
      <c r="M2447" s="2">
        <v>42051</v>
      </c>
      <c r="N2447" s="1">
        <v>22</v>
      </c>
      <c r="O2447" s="2">
        <v>42051</v>
      </c>
      <c r="P2447" s="1">
        <v>25088</v>
      </c>
      <c r="Q2447" s="1" t="s">
        <v>423</v>
      </c>
      <c r="R2447" s="2">
        <v>42088</v>
      </c>
      <c r="S2447" s="1">
        <v>238449</v>
      </c>
      <c r="T2447" s="1">
        <v>3000</v>
      </c>
      <c r="U2447" s="1">
        <v>720</v>
      </c>
      <c r="V2447" s="1" t="s">
        <v>21206</v>
      </c>
      <c r="W2447" s="1" t="s">
        <v>425</v>
      </c>
      <c r="Y2447" s="1">
        <v>2</v>
      </c>
      <c r="Z2447" s="1" t="s">
        <v>200</v>
      </c>
      <c r="AA2447" s="1" t="s">
        <v>1732</v>
      </c>
      <c r="AB2447" s="1">
        <v>60139</v>
      </c>
      <c r="AE2447" s="1" t="s">
        <v>21207</v>
      </c>
      <c r="AF2447" s="1">
        <v>1992</v>
      </c>
      <c r="AG2447" s="1" t="s">
        <v>204</v>
      </c>
      <c r="AH2447" s="1" t="s">
        <v>1735</v>
      </c>
      <c r="AI2447" s="1" t="s">
        <v>206</v>
      </c>
      <c r="AJ2447" s="1" t="s">
        <v>269</v>
      </c>
      <c r="AL2447" s="1">
        <v>4</v>
      </c>
      <c r="AM2447" s="1">
        <v>2</v>
      </c>
      <c r="AN2447" s="1">
        <v>1</v>
      </c>
      <c r="AO2447" s="1">
        <v>1</v>
      </c>
      <c r="AP2447" s="1" t="s">
        <v>210</v>
      </c>
      <c r="AQ2447" s="1">
        <v>1</v>
      </c>
      <c r="AR2447" s="1" t="s">
        <v>210</v>
      </c>
      <c r="AS2447" s="1" t="s">
        <v>204</v>
      </c>
      <c r="AT2447" s="1" t="s">
        <v>211</v>
      </c>
      <c r="AU2447" s="1">
        <v>1</v>
      </c>
      <c r="AW2447" s="1" t="s">
        <v>204</v>
      </c>
      <c r="AX2447" s="1">
        <v>3953</v>
      </c>
      <c r="AZ2447" s="1">
        <v>2934</v>
      </c>
      <c r="BA2447" s="1">
        <v>2013</v>
      </c>
      <c r="BB2447" s="1" t="s">
        <v>405</v>
      </c>
      <c r="BE2447" s="1">
        <v>1379</v>
      </c>
      <c r="BF2447" s="1">
        <v>1</v>
      </c>
      <c r="BG2447" s="1">
        <v>0</v>
      </c>
      <c r="BL2447" s="1">
        <v>0</v>
      </c>
      <c r="BM2447" s="1" t="s">
        <v>204</v>
      </c>
      <c r="BN2447" s="1" t="s">
        <v>213</v>
      </c>
      <c r="BO2447" s="1">
        <v>0</v>
      </c>
      <c r="BP2447" s="1" t="s">
        <v>204</v>
      </c>
      <c r="BR2447" s="1" t="str">
        <f>"0235200017"</f>
        <v>0235200017</v>
      </c>
      <c r="BT2447" s="1" t="s">
        <v>21208</v>
      </c>
      <c r="BU2447" s="1" t="s">
        <v>5133</v>
      </c>
      <c r="BV2447" s="1" t="s">
        <v>2015</v>
      </c>
      <c r="BW2447" s="1" t="s">
        <v>1935</v>
      </c>
      <c r="BX2447" s="1">
        <v>15</v>
      </c>
      <c r="BY2447" s="1">
        <v>15</v>
      </c>
      <c r="BZ2447" s="1">
        <v>87</v>
      </c>
      <c r="CB2447" s="1" t="str">
        <f>"2"</f>
        <v>2</v>
      </c>
      <c r="CC2447" s="1" t="str">
        <f t="shared" si="1876"/>
        <v>0</v>
      </c>
      <c r="CD2447" s="1">
        <v>21</v>
      </c>
      <c r="CE2447" s="1">
        <v>0</v>
      </c>
      <c r="CG2447" s="1" t="s">
        <v>2042</v>
      </c>
      <c r="CH2447" s="1" t="s">
        <v>219</v>
      </c>
      <c r="CI2447" s="1" t="s">
        <v>438</v>
      </c>
      <c r="CJ2447" s="1" t="s">
        <v>252</v>
      </c>
      <c r="CK2447" s="1" t="s">
        <v>315</v>
      </c>
      <c r="CL2447" s="1" t="s">
        <v>277</v>
      </c>
      <c r="CM2447" s="1" t="s">
        <v>229</v>
      </c>
      <c r="CN2447" s="1" t="s">
        <v>252</v>
      </c>
      <c r="CP2447" s="1" t="s">
        <v>224</v>
      </c>
      <c r="CS2447" s="1" t="s">
        <v>461</v>
      </c>
      <c r="CT2447" s="1" t="s">
        <v>277</v>
      </c>
      <c r="CU2447" s="1" t="s">
        <v>229</v>
      </c>
      <c r="CV2447" s="1" t="s">
        <v>252</v>
      </c>
      <c r="CX2447" s="1" t="s">
        <v>224</v>
      </c>
      <c r="DB2447" s="1" t="s">
        <v>224</v>
      </c>
      <c r="DE2447" s="1" t="s">
        <v>837</v>
      </c>
      <c r="DF2447" s="1" t="s">
        <v>219</v>
      </c>
      <c r="DG2447" s="1" t="s">
        <v>226</v>
      </c>
      <c r="DJ2447" s="1" t="s">
        <v>224</v>
      </c>
      <c r="DS2447" s="1" t="s">
        <v>230</v>
      </c>
      <c r="DW2447" s="1" t="s">
        <v>230</v>
      </c>
      <c r="EA2447" s="1" t="s">
        <v>230</v>
      </c>
      <c r="EE2447" s="1" t="s">
        <v>230</v>
      </c>
      <c r="EI2447" s="1" t="s">
        <v>230</v>
      </c>
      <c r="EL2447" s="1" t="s">
        <v>382</v>
      </c>
      <c r="EM2447" s="1" t="s">
        <v>319</v>
      </c>
      <c r="EN2447" s="1" t="s">
        <v>282</v>
      </c>
      <c r="EO2447" s="1" t="s">
        <v>234</v>
      </c>
      <c r="EQ2447" s="1" t="s">
        <v>21209</v>
      </c>
      <c r="ER2447" s="1" t="s">
        <v>210</v>
      </c>
      <c r="ES2447" s="1" t="s">
        <v>322</v>
      </c>
      <c r="EU2447" s="1" t="s">
        <v>546</v>
      </c>
      <c r="EW2447" s="1" t="s">
        <v>210</v>
      </c>
      <c r="EY2447" s="1" t="s">
        <v>790</v>
      </c>
      <c r="EZ2447" s="1" t="s">
        <v>287</v>
      </c>
      <c r="FA2447" s="1" t="s">
        <v>869</v>
      </c>
      <c r="FC2447" s="1" t="s">
        <v>548</v>
      </c>
      <c r="FD2447" s="1" t="s">
        <v>246</v>
      </c>
      <c r="FE2447" s="1" t="s">
        <v>651</v>
      </c>
      <c r="FF2447" s="1" t="s">
        <v>248</v>
      </c>
      <c r="FG2447" s="1" t="s">
        <v>16759</v>
      </c>
      <c r="FH2447" s="1" t="s">
        <v>2458</v>
      </c>
      <c r="FI2447" s="1" t="s">
        <v>357</v>
      </c>
      <c r="FJ2447" s="1" t="s">
        <v>518</v>
      </c>
      <c r="FL2447" s="1" t="s">
        <v>358</v>
      </c>
      <c r="FM2447" s="1" t="s">
        <v>252</v>
      </c>
      <c r="FN2447" s="1" t="s">
        <v>213</v>
      </c>
      <c r="FO2447" s="1" t="s">
        <v>213</v>
      </c>
      <c r="FQ2447" s="1" t="s">
        <v>793</v>
      </c>
      <c r="FR2447" s="1" t="s">
        <v>210</v>
      </c>
      <c r="FS2447" s="1" t="s">
        <v>21210</v>
      </c>
      <c r="FT2447" s="1" t="s">
        <v>2589</v>
      </c>
      <c r="FU2447" s="1" t="s">
        <v>204</v>
      </c>
      <c r="FW2447" s="1" t="s">
        <v>21211</v>
      </c>
      <c r="FX2447" s="1">
        <v>24819</v>
      </c>
      <c r="FY2447" s="1" t="s">
        <v>21212</v>
      </c>
      <c r="FZ2447" s="1" t="s">
        <v>21213</v>
      </c>
      <c r="GA2447" s="1">
        <v>237270</v>
      </c>
      <c r="GB2447" s="1" t="s">
        <v>21214</v>
      </c>
      <c r="GE2447" s="1" t="s">
        <v>335</v>
      </c>
      <c r="GI2447" s="1" t="s">
        <v>213</v>
      </c>
      <c r="GJ2447" s="1" t="s">
        <v>260</v>
      </c>
      <c r="GK2447" s="1" t="s">
        <v>210</v>
      </c>
      <c r="GL2447" s="2">
        <v>42088</v>
      </c>
      <c r="GM2447" s="1" t="s">
        <v>21215</v>
      </c>
    </row>
    <row r="2448" spans="1:195">
      <c r="A2448" s="1">
        <v>125000</v>
      </c>
      <c r="B2448" s="1" t="s">
        <v>195</v>
      </c>
      <c r="C2448" s="1" t="str">
        <f>"08830520"</f>
        <v>08830520</v>
      </c>
      <c r="D2448" s="1" t="s">
        <v>196</v>
      </c>
      <c r="F2448" s="1" t="str">
        <f>"540"</f>
        <v>540</v>
      </c>
      <c r="G2448" s="2">
        <v>42039</v>
      </c>
      <c r="H2448" s="1">
        <v>139000</v>
      </c>
      <c r="I2448" s="1">
        <v>134900</v>
      </c>
      <c r="J2448" s="1">
        <v>125000</v>
      </c>
      <c r="K2448" s="2">
        <v>42039</v>
      </c>
      <c r="L2448" s="1">
        <v>58</v>
      </c>
      <c r="M2448" s="2">
        <v>42096</v>
      </c>
      <c r="N2448" s="1">
        <v>58</v>
      </c>
      <c r="O2448" s="2">
        <v>42096</v>
      </c>
      <c r="P2448" s="1">
        <v>25083</v>
      </c>
      <c r="Q2448" s="1" t="s">
        <v>197</v>
      </c>
      <c r="R2448" s="2">
        <v>42145</v>
      </c>
      <c r="S2448" s="1">
        <v>250887</v>
      </c>
      <c r="U2448" s="1">
        <v>23</v>
      </c>
      <c r="V2448" s="1" t="s">
        <v>21216</v>
      </c>
      <c r="W2448" s="1" t="s">
        <v>1056</v>
      </c>
      <c r="X2448" s="1" t="s">
        <v>21217</v>
      </c>
      <c r="Y2448" s="1">
        <v>6</v>
      </c>
      <c r="Z2448" s="1" t="s">
        <v>249</v>
      </c>
      <c r="AA2448" s="1" t="s">
        <v>921</v>
      </c>
      <c r="AB2448" s="1">
        <v>60565</v>
      </c>
      <c r="AD2448" s="1" t="s">
        <v>7789</v>
      </c>
      <c r="AE2448" s="1" t="s">
        <v>21218</v>
      </c>
      <c r="AF2448" s="1">
        <v>1991</v>
      </c>
      <c r="AG2448" s="1" t="s">
        <v>204</v>
      </c>
      <c r="AH2448" s="1" t="s">
        <v>924</v>
      </c>
      <c r="AI2448" s="1" t="s">
        <v>206</v>
      </c>
      <c r="AJ2448" s="1" t="s">
        <v>925</v>
      </c>
      <c r="AL2448" s="1">
        <v>5</v>
      </c>
      <c r="AM2448" s="1">
        <v>2</v>
      </c>
      <c r="AN2448" s="1">
        <v>1</v>
      </c>
      <c r="AO2448" s="1">
        <v>0</v>
      </c>
      <c r="AP2448" s="1" t="s">
        <v>210</v>
      </c>
      <c r="AQ2448" s="1">
        <v>1</v>
      </c>
      <c r="AR2448" s="1" t="s">
        <v>210</v>
      </c>
      <c r="AT2448" s="1" t="s">
        <v>211</v>
      </c>
      <c r="AU2448" s="1">
        <v>1</v>
      </c>
      <c r="AW2448" s="1" t="s">
        <v>204</v>
      </c>
      <c r="AX2448" s="1" t="s">
        <v>212</v>
      </c>
      <c r="AZ2448" s="1">
        <v>2737</v>
      </c>
      <c r="BA2448" s="1">
        <v>2013</v>
      </c>
      <c r="BB2448" s="1" t="s">
        <v>210</v>
      </c>
      <c r="BE2448" s="1">
        <v>0</v>
      </c>
      <c r="BF2448" s="1">
        <v>1</v>
      </c>
      <c r="BG2448" s="1">
        <v>0</v>
      </c>
      <c r="BL2448" s="1">
        <v>253</v>
      </c>
      <c r="BM2448" s="1" t="s">
        <v>204</v>
      </c>
      <c r="BN2448" s="1" t="s">
        <v>213</v>
      </c>
      <c r="BO2448" s="1">
        <v>40</v>
      </c>
      <c r="BP2448" s="1" t="s">
        <v>204</v>
      </c>
      <c r="BR2448" s="1" t="str">
        <f>"0831419058"</f>
        <v>0831419058</v>
      </c>
      <c r="BT2448" s="1" t="s">
        <v>21219</v>
      </c>
      <c r="BU2448" s="1" t="s">
        <v>1892</v>
      </c>
      <c r="BV2448" s="1" t="s">
        <v>929</v>
      </c>
      <c r="BW2448" s="1" t="s">
        <v>930</v>
      </c>
      <c r="BX2448" s="1">
        <v>203</v>
      </c>
      <c r="BY2448" s="1">
        <v>203</v>
      </c>
      <c r="BZ2448" s="1">
        <v>203</v>
      </c>
      <c r="CB2448" s="1" t="str">
        <f t="shared" ref="CB2448:CC2448" si="1877">""</f>
        <v/>
      </c>
      <c r="CC2448" s="1" t="str">
        <f t="shared" si="1877"/>
        <v/>
      </c>
      <c r="CG2448" s="1" t="s">
        <v>669</v>
      </c>
      <c r="CH2448" s="1" t="s">
        <v>219</v>
      </c>
      <c r="CI2448" s="1" t="s">
        <v>220</v>
      </c>
      <c r="CJ2448" s="1" t="s">
        <v>252</v>
      </c>
      <c r="CK2448" s="1" t="s">
        <v>932</v>
      </c>
      <c r="CL2448" s="1" t="s">
        <v>219</v>
      </c>
      <c r="CM2448" s="1" t="s">
        <v>220</v>
      </c>
      <c r="CN2448" s="1" t="s">
        <v>252</v>
      </c>
      <c r="CO2448" s="1" t="s">
        <v>316</v>
      </c>
      <c r="CP2448" s="1" t="s">
        <v>219</v>
      </c>
      <c r="CQ2448" s="1" t="s">
        <v>220</v>
      </c>
      <c r="CR2448" s="1" t="s">
        <v>252</v>
      </c>
      <c r="CS2448" s="1" t="s">
        <v>317</v>
      </c>
      <c r="CT2448" s="1" t="s">
        <v>219</v>
      </c>
      <c r="CU2448" s="1" t="s">
        <v>220</v>
      </c>
      <c r="CV2448" s="1" t="s">
        <v>252</v>
      </c>
      <c r="CX2448" s="1" t="s">
        <v>224</v>
      </c>
      <c r="DB2448" s="1" t="s">
        <v>224</v>
      </c>
      <c r="DE2448" s="1" t="s">
        <v>409</v>
      </c>
      <c r="DF2448" s="1" t="s">
        <v>219</v>
      </c>
      <c r="DG2448" s="1" t="s">
        <v>438</v>
      </c>
      <c r="DJ2448" s="1" t="s">
        <v>224</v>
      </c>
      <c r="DS2448" s="1" t="s">
        <v>230</v>
      </c>
      <c r="DW2448" s="1" t="s">
        <v>230</v>
      </c>
      <c r="EA2448" s="1" t="s">
        <v>230</v>
      </c>
      <c r="EE2448" s="1" t="s">
        <v>230</v>
      </c>
      <c r="EI2448" s="1" t="s">
        <v>230</v>
      </c>
      <c r="EL2448" s="1" t="s">
        <v>382</v>
      </c>
      <c r="EM2448" s="1" t="s">
        <v>730</v>
      </c>
      <c r="EN2448" s="1" t="s">
        <v>282</v>
      </c>
      <c r="EO2448" s="1" t="s">
        <v>234</v>
      </c>
      <c r="EP2448" s="1" t="s">
        <v>2983</v>
      </c>
      <c r="EQ2448" s="1" t="s">
        <v>492</v>
      </c>
      <c r="ER2448" s="1" t="s">
        <v>383</v>
      </c>
      <c r="EU2448" s="1" t="s">
        <v>610</v>
      </c>
      <c r="EV2448" s="1" t="s">
        <v>352</v>
      </c>
      <c r="EW2448" s="1" t="s">
        <v>7793</v>
      </c>
      <c r="EZ2448" s="1" t="s">
        <v>287</v>
      </c>
      <c r="FD2448" s="1" t="s">
        <v>246</v>
      </c>
      <c r="FE2448" s="1" t="s">
        <v>549</v>
      </c>
      <c r="FF2448" s="1" t="s">
        <v>248</v>
      </c>
      <c r="FH2448" s="1" t="s">
        <v>249</v>
      </c>
      <c r="FI2448" s="1" t="s">
        <v>357</v>
      </c>
      <c r="FL2448" s="1" t="s">
        <v>358</v>
      </c>
      <c r="FM2448" s="1" t="s">
        <v>252</v>
      </c>
      <c r="FN2448" s="1" t="s">
        <v>213</v>
      </c>
      <c r="FO2448" s="1" t="s">
        <v>213</v>
      </c>
      <c r="FQ2448" s="1" t="s">
        <v>849</v>
      </c>
      <c r="FR2448" s="1" t="s">
        <v>210</v>
      </c>
      <c r="FS2448" s="1" t="s">
        <v>21220</v>
      </c>
      <c r="FT2448" s="1" t="s">
        <v>4361</v>
      </c>
      <c r="FU2448" s="1" t="s">
        <v>204</v>
      </c>
      <c r="FW2448" s="1" t="s">
        <v>1806</v>
      </c>
      <c r="FX2448" s="1">
        <v>21324</v>
      </c>
      <c r="FY2448" s="1" t="s">
        <v>2395</v>
      </c>
      <c r="FZ2448" s="1" t="s">
        <v>16809</v>
      </c>
      <c r="GA2448" s="1">
        <v>218247</v>
      </c>
      <c r="GB2448" s="1" t="s">
        <v>16810</v>
      </c>
      <c r="GE2448" s="1" t="s">
        <v>1764</v>
      </c>
      <c r="GI2448" s="1" t="s">
        <v>213</v>
      </c>
      <c r="GJ2448" s="1" t="s">
        <v>260</v>
      </c>
      <c r="GK2448" s="1" t="s">
        <v>210</v>
      </c>
      <c r="GL2448" s="2">
        <v>42145</v>
      </c>
      <c r="GM2448" s="1" t="s">
        <v>21221</v>
      </c>
    </row>
    <row r="2449" spans="1:195">
      <c r="A2449" s="1">
        <v>155000</v>
      </c>
      <c r="B2449" s="1" t="s">
        <v>195</v>
      </c>
      <c r="C2449" s="1" t="str">
        <f>"08822638"</f>
        <v>08822638</v>
      </c>
      <c r="D2449" s="1" t="s">
        <v>196</v>
      </c>
      <c r="F2449" s="1" t="str">
        <f>"10"</f>
        <v>10</v>
      </c>
      <c r="G2449" s="2">
        <v>42027</v>
      </c>
      <c r="H2449" s="1">
        <v>180000</v>
      </c>
      <c r="I2449" s="1">
        <v>180000</v>
      </c>
      <c r="J2449" s="1">
        <v>155000</v>
      </c>
      <c r="K2449" s="2">
        <v>42027</v>
      </c>
      <c r="L2449" s="1">
        <v>53</v>
      </c>
      <c r="M2449" s="2">
        <v>42079</v>
      </c>
      <c r="N2449" s="1">
        <v>53</v>
      </c>
      <c r="O2449" s="2">
        <v>42079</v>
      </c>
      <c r="P2449" s="1">
        <v>6025</v>
      </c>
      <c r="Q2449" s="1" t="s">
        <v>197</v>
      </c>
      <c r="R2449" s="2">
        <v>42125</v>
      </c>
      <c r="S2449" s="1">
        <v>62251</v>
      </c>
      <c r="U2449" s="1">
        <v>319</v>
      </c>
      <c r="V2449" s="1" t="s">
        <v>21222</v>
      </c>
      <c r="W2449" s="1" t="s">
        <v>304</v>
      </c>
      <c r="X2449" s="1">
        <v>575</v>
      </c>
      <c r="Y2449" s="1">
        <v>4</v>
      </c>
      <c r="Z2449" s="1" t="s">
        <v>370</v>
      </c>
      <c r="AA2449" s="1" t="s">
        <v>1985</v>
      </c>
      <c r="AB2449" s="1">
        <v>60010</v>
      </c>
      <c r="AD2449" s="1" t="s">
        <v>7204</v>
      </c>
      <c r="AE2449" s="1" t="s">
        <v>21223</v>
      </c>
      <c r="AF2449" s="1">
        <v>1982</v>
      </c>
      <c r="AG2449" s="1" t="s">
        <v>204</v>
      </c>
      <c r="AH2449" s="1" t="s">
        <v>1988</v>
      </c>
      <c r="AI2449" s="1" t="s">
        <v>509</v>
      </c>
      <c r="AJ2449" s="1" t="s">
        <v>1989</v>
      </c>
      <c r="AK2449" s="1" t="s">
        <v>21224</v>
      </c>
      <c r="AL2449" s="1">
        <v>6</v>
      </c>
      <c r="AM2449" s="1">
        <v>2</v>
      </c>
      <c r="AN2449" s="1">
        <v>2</v>
      </c>
      <c r="AO2449" s="1">
        <v>1</v>
      </c>
      <c r="AP2449" s="1" t="s">
        <v>209</v>
      </c>
      <c r="AQ2449" s="1">
        <v>1</v>
      </c>
      <c r="AR2449" s="1" t="s">
        <v>2275</v>
      </c>
      <c r="AS2449" s="1" t="s">
        <v>213</v>
      </c>
      <c r="AT2449" s="1" t="s">
        <v>211</v>
      </c>
      <c r="AU2449" s="1">
        <v>2</v>
      </c>
      <c r="AW2449" s="1" t="s">
        <v>204</v>
      </c>
      <c r="AX2449" s="1" t="s">
        <v>212</v>
      </c>
      <c r="AZ2449" s="1">
        <v>4919</v>
      </c>
      <c r="BA2449" s="1">
        <v>2013</v>
      </c>
      <c r="BB2449" s="1" t="s">
        <v>599</v>
      </c>
      <c r="BE2449" s="1">
        <v>1444</v>
      </c>
      <c r="BF2449" s="1">
        <v>1</v>
      </c>
      <c r="BG2449" s="1">
        <v>30</v>
      </c>
      <c r="BJ2449" s="1">
        <v>95</v>
      </c>
      <c r="BL2449" s="1">
        <v>644</v>
      </c>
      <c r="BM2449" s="1" t="s">
        <v>204</v>
      </c>
      <c r="BN2449" s="1" t="s">
        <v>213</v>
      </c>
      <c r="BO2449" s="1">
        <v>99</v>
      </c>
      <c r="BP2449" s="1" t="s">
        <v>204</v>
      </c>
      <c r="BR2449" s="1" t="str">
        <f>"13113004410000"</f>
        <v>13113004410000</v>
      </c>
      <c r="BT2449" s="1" t="s">
        <v>21225</v>
      </c>
      <c r="BU2449" s="1" t="s">
        <v>1992</v>
      </c>
      <c r="BV2449" s="1" t="s">
        <v>1993</v>
      </c>
      <c r="BW2449" s="1" t="s">
        <v>1994</v>
      </c>
      <c r="BX2449" s="1">
        <v>220</v>
      </c>
      <c r="BY2449" s="1">
        <v>220</v>
      </c>
      <c r="BZ2449" s="1">
        <v>220</v>
      </c>
      <c r="CB2449" s="1" t="str">
        <f>"24"</f>
        <v>24</v>
      </c>
      <c r="CC2449" s="1" t="str">
        <f>"0"</f>
        <v>0</v>
      </c>
      <c r="CD2449" s="1">
        <v>26</v>
      </c>
      <c r="CE2449" s="1">
        <v>0</v>
      </c>
      <c r="CG2449" s="1" t="s">
        <v>3035</v>
      </c>
      <c r="CH2449" s="1" t="s">
        <v>219</v>
      </c>
      <c r="CK2449" s="1" t="s">
        <v>315</v>
      </c>
      <c r="CL2449" s="1" t="s">
        <v>219</v>
      </c>
      <c r="CO2449" s="1" t="s">
        <v>379</v>
      </c>
      <c r="CP2449" s="1" t="s">
        <v>219</v>
      </c>
      <c r="CS2449" s="1" t="s">
        <v>317</v>
      </c>
      <c r="CT2449" s="1" t="s">
        <v>219</v>
      </c>
      <c r="CX2449" s="1" t="s">
        <v>224</v>
      </c>
      <c r="DB2449" s="1" t="s">
        <v>224</v>
      </c>
      <c r="DE2449" s="1" t="s">
        <v>1358</v>
      </c>
      <c r="DF2449" s="1" t="s">
        <v>219</v>
      </c>
      <c r="DJ2449" s="1" t="s">
        <v>224</v>
      </c>
      <c r="DM2449" s="1" t="s">
        <v>1005</v>
      </c>
      <c r="DR2449" s="1" t="s">
        <v>1358</v>
      </c>
      <c r="DS2449" s="1" t="s">
        <v>219</v>
      </c>
      <c r="DW2449" s="1" t="s">
        <v>230</v>
      </c>
      <c r="EA2449" s="1" t="s">
        <v>230</v>
      </c>
      <c r="EE2449" s="1" t="s">
        <v>230</v>
      </c>
      <c r="EI2449" s="1" t="s">
        <v>230</v>
      </c>
      <c r="EL2449" s="1" t="s">
        <v>231</v>
      </c>
      <c r="EM2449" s="1" t="s">
        <v>761</v>
      </c>
      <c r="EN2449" s="1" t="s">
        <v>282</v>
      </c>
      <c r="EO2449" s="1" t="s">
        <v>234</v>
      </c>
      <c r="EP2449" s="1" t="s">
        <v>21226</v>
      </c>
      <c r="ER2449" s="1" t="s">
        <v>351</v>
      </c>
      <c r="ES2449" s="1" t="s">
        <v>824</v>
      </c>
      <c r="EU2449" s="1" t="s">
        <v>3670</v>
      </c>
      <c r="EV2449" s="1" t="s">
        <v>240</v>
      </c>
      <c r="EW2449" s="1" t="s">
        <v>12175</v>
      </c>
      <c r="EY2449" s="1" t="s">
        <v>242</v>
      </c>
      <c r="EZ2449" s="1" t="s">
        <v>1005</v>
      </c>
      <c r="FB2449" s="1" t="s">
        <v>1755</v>
      </c>
      <c r="FD2449" s="1" t="s">
        <v>495</v>
      </c>
      <c r="FE2449" s="1" t="s">
        <v>12105</v>
      </c>
      <c r="FF2449" s="1" t="s">
        <v>387</v>
      </c>
      <c r="FG2449" s="1" t="s">
        <v>939</v>
      </c>
      <c r="FH2449" s="1" t="s">
        <v>3013</v>
      </c>
      <c r="FL2449" s="1" t="s">
        <v>1073</v>
      </c>
      <c r="FM2449" s="1" t="s">
        <v>252</v>
      </c>
      <c r="FN2449" s="1" t="s">
        <v>213</v>
      </c>
      <c r="FO2449" s="1" t="s">
        <v>213</v>
      </c>
      <c r="FQ2449" s="1" t="s">
        <v>689</v>
      </c>
      <c r="FR2449" s="1" t="s">
        <v>210</v>
      </c>
      <c r="FS2449" s="1" t="s">
        <v>13487</v>
      </c>
      <c r="FT2449" s="1" t="s">
        <v>2589</v>
      </c>
      <c r="FU2449" s="1" t="s">
        <v>204</v>
      </c>
      <c r="FW2449" s="1" t="s">
        <v>4563</v>
      </c>
      <c r="FX2449" s="1">
        <v>6025</v>
      </c>
      <c r="FY2449" s="1" t="s">
        <v>4564</v>
      </c>
      <c r="FZ2449" s="1" t="s">
        <v>13488</v>
      </c>
      <c r="GA2449" s="1">
        <v>62251</v>
      </c>
      <c r="GB2449" s="1" t="s">
        <v>4564</v>
      </c>
      <c r="GD2449" s="1" t="s">
        <v>230</v>
      </c>
      <c r="GE2449" s="1" t="s">
        <v>480</v>
      </c>
      <c r="GI2449" s="1" t="s">
        <v>213</v>
      </c>
      <c r="GJ2449" s="1" t="s">
        <v>260</v>
      </c>
      <c r="GK2449" s="1" t="s">
        <v>210</v>
      </c>
      <c r="GL2449" s="2">
        <v>42125</v>
      </c>
      <c r="GM2449" s="1" t="s">
        <v>21227</v>
      </c>
    </row>
    <row r="2450" spans="1:195">
      <c r="A2450" s="1">
        <v>170000</v>
      </c>
      <c r="B2450" s="1" t="s">
        <v>195</v>
      </c>
      <c r="C2450" s="1" t="str">
        <f>"08828641"</f>
        <v>08828641</v>
      </c>
      <c r="D2450" s="1" t="s">
        <v>196</v>
      </c>
      <c r="F2450" s="1" t="str">
        <f>"515"</f>
        <v>515</v>
      </c>
      <c r="G2450" s="2">
        <v>42037</v>
      </c>
      <c r="H2450" s="1">
        <v>175000</v>
      </c>
      <c r="I2450" s="1">
        <v>175000</v>
      </c>
      <c r="J2450" s="1">
        <v>170000</v>
      </c>
      <c r="K2450" s="2">
        <v>42037</v>
      </c>
      <c r="L2450" s="1">
        <v>4</v>
      </c>
      <c r="M2450" s="2">
        <v>42040</v>
      </c>
      <c r="N2450" s="1">
        <v>4</v>
      </c>
      <c r="O2450" s="2">
        <v>42040</v>
      </c>
      <c r="P2450" s="1">
        <v>20179</v>
      </c>
      <c r="Q2450" s="1" t="s">
        <v>302</v>
      </c>
      <c r="R2450" s="2">
        <v>42104</v>
      </c>
      <c r="S2450" s="1">
        <v>218889</v>
      </c>
      <c r="U2450" s="1">
        <v>1110</v>
      </c>
      <c r="V2450" s="1" t="s">
        <v>2051</v>
      </c>
      <c r="W2450" s="1" t="s">
        <v>725</v>
      </c>
      <c r="X2450" s="1" t="s">
        <v>21228</v>
      </c>
      <c r="Y2450" s="1">
        <v>51</v>
      </c>
      <c r="Z2450" s="1" t="s">
        <v>249</v>
      </c>
      <c r="AA2450" s="1" t="s">
        <v>1294</v>
      </c>
      <c r="AB2450" s="1">
        <v>60515</v>
      </c>
      <c r="AD2450" s="1" t="s">
        <v>21229</v>
      </c>
      <c r="AE2450" s="1" t="s">
        <v>21230</v>
      </c>
      <c r="AF2450" s="1">
        <v>1970</v>
      </c>
      <c r="AG2450" s="1" t="s">
        <v>213</v>
      </c>
      <c r="AH2450" s="1" t="s">
        <v>903</v>
      </c>
      <c r="AI2450" s="1" t="s">
        <v>206</v>
      </c>
      <c r="AJ2450" s="1" t="s">
        <v>903</v>
      </c>
      <c r="AK2450" s="1" t="s">
        <v>3349</v>
      </c>
      <c r="AL2450" s="1">
        <v>5</v>
      </c>
      <c r="AM2450" s="1">
        <v>2</v>
      </c>
      <c r="AN2450" s="1">
        <v>2</v>
      </c>
      <c r="AO2450" s="1">
        <v>0</v>
      </c>
      <c r="AP2450" s="1" t="s">
        <v>209</v>
      </c>
      <c r="AR2450" s="1" t="s">
        <v>210</v>
      </c>
      <c r="AT2450" s="1" t="s">
        <v>271</v>
      </c>
      <c r="AV2450" s="1">
        <v>2</v>
      </c>
      <c r="AW2450" s="1" t="s">
        <v>204</v>
      </c>
      <c r="AX2450" s="1" t="s">
        <v>212</v>
      </c>
      <c r="AZ2450" s="1">
        <v>2821</v>
      </c>
      <c r="BA2450" s="1">
        <v>2013</v>
      </c>
      <c r="BB2450" s="1" t="s">
        <v>405</v>
      </c>
      <c r="BE2450" s="1">
        <v>1100</v>
      </c>
      <c r="BF2450" s="1">
        <v>5</v>
      </c>
      <c r="BG2450" s="1">
        <v>30</v>
      </c>
      <c r="BJ2450" s="1">
        <v>100</v>
      </c>
      <c r="BK2450" s="1">
        <v>2.2000000000000002</v>
      </c>
      <c r="BL2450" s="1">
        <v>373</v>
      </c>
      <c r="BM2450" s="1" t="s">
        <v>204</v>
      </c>
      <c r="BN2450" s="1" t="s">
        <v>213</v>
      </c>
      <c r="BO2450" s="1">
        <v>999</v>
      </c>
      <c r="BP2450" s="1" t="s">
        <v>204</v>
      </c>
      <c r="BR2450" s="1" t="str">
        <f>"0908326036"</f>
        <v>0908326036</v>
      </c>
      <c r="BT2450" s="1" t="s">
        <v>21231</v>
      </c>
      <c r="BU2450" s="1" t="s">
        <v>1486</v>
      </c>
      <c r="BV2450" s="1" t="s">
        <v>2761</v>
      </c>
      <c r="BW2450" s="1" t="s">
        <v>2762</v>
      </c>
      <c r="BX2450" s="1">
        <v>58</v>
      </c>
      <c r="BY2450" s="1">
        <v>58</v>
      </c>
      <c r="BZ2450" s="1">
        <v>99</v>
      </c>
      <c r="CB2450" s="1" t="str">
        <f t="shared" ref="CB2450:CC2450" si="1878">""</f>
        <v/>
      </c>
      <c r="CC2450" s="1" t="str">
        <f t="shared" si="1878"/>
        <v/>
      </c>
      <c r="CG2450" s="1" t="s">
        <v>862</v>
      </c>
      <c r="CH2450" s="1" t="s">
        <v>219</v>
      </c>
      <c r="CI2450" s="1" t="s">
        <v>220</v>
      </c>
      <c r="CK2450" s="1" t="s">
        <v>1045</v>
      </c>
      <c r="CL2450" s="1" t="s">
        <v>219</v>
      </c>
      <c r="CM2450" s="1" t="s">
        <v>220</v>
      </c>
      <c r="CO2450" s="1" t="s">
        <v>2138</v>
      </c>
      <c r="CP2450" s="1" t="s">
        <v>219</v>
      </c>
      <c r="CQ2450" s="1" t="s">
        <v>220</v>
      </c>
      <c r="CS2450" s="1" t="s">
        <v>379</v>
      </c>
      <c r="CT2450" s="1" t="s">
        <v>219</v>
      </c>
      <c r="CU2450" s="1" t="s">
        <v>220</v>
      </c>
      <c r="CX2450" s="1" t="s">
        <v>224</v>
      </c>
      <c r="DB2450" s="1" t="s">
        <v>224</v>
      </c>
      <c r="DE2450" s="1" t="s">
        <v>380</v>
      </c>
      <c r="DF2450" s="1" t="s">
        <v>219</v>
      </c>
      <c r="DG2450" s="1" t="s">
        <v>342</v>
      </c>
      <c r="DJ2450" s="1" t="s">
        <v>224</v>
      </c>
      <c r="DM2450" s="1" t="s">
        <v>709</v>
      </c>
      <c r="DN2450" s="1" t="s">
        <v>838</v>
      </c>
      <c r="DR2450" s="1" t="s">
        <v>4259</v>
      </c>
      <c r="DS2450" s="1" t="s">
        <v>219</v>
      </c>
      <c r="DT2450" s="1" t="s">
        <v>220</v>
      </c>
      <c r="DV2450" s="1" t="s">
        <v>4604</v>
      </c>
      <c r="DW2450" s="1" t="s">
        <v>219</v>
      </c>
      <c r="DX2450" s="1" t="s">
        <v>347</v>
      </c>
      <c r="EA2450" s="1" t="s">
        <v>230</v>
      </c>
      <c r="EE2450" s="1" t="s">
        <v>230</v>
      </c>
      <c r="EI2450" s="1" t="s">
        <v>230</v>
      </c>
      <c r="EL2450" s="1" t="s">
        <v>605</v>
      </c>
      <c r="EM2450" s="1" t="s">
        <v>232</v>
      </c>
      <c r="EN2450" s="1" t="s">
        <v>18614</v>
      </c>
      <c r="EO2450" s="1" t="s">
        <v>234</v>
      </c>
      <c r="EP2450" s="1" t="s">
        <v>21232</v>
      </c>
      <c r="EQ2450" s="1" t="s">
        <v>4356</v>
      </c>
      <c r="ER2450" s="1" t="s">
        <v>210</v>
      </c>
      <c r="ES2450" s="1" t="s">
        <v>545</v>
      </c>
      <c r="EU2450" s="1" t="s">
        <v>9178</v>
      </c>
      <c r="EV2450" s="1" t="s">
        <v>240</v>
      </c>
      <c r="EW2450" s="1" t="s">
        <v>21233</v>
      </c>
      <c r="EZ2450" s="1" t="s">
        <v>3826</v>
      </c>
      <c r="FB2450" s="1" t="s">
        <v>734</v>
      </c>
      <c r="FD2450" s="1" t="s">
        <v>246</v>
      </c>
      <c r="FE2450" s="1" t="s">
        <v>247</v>
      </c>
      <c r="FF2450" s="1" t="s">
        <v>248</v>
      </c>
      <c r="FH2450" s="1" t="s">
        <v>1942</v>
      </c>
      <c r="FJ2450" s="1" t="s">
        <v>1472</v>
      </c>
      <c r="FK2450" s="1" t="s">
        <v>327</v>
      </c>
      <c r="FL2450" s="1" t="s">
        <v>21234</v>
      </c>
      <c r="FM2450" s="1" t="s">
        <v>252</v>
      </c>
      <c r="FN2450" s="1" t="s">
        <v>213</v>
      </c>
      <c r="FO2450" s="1" t="s">
        <v>213</v>
      </c>
      <c r="FQ2450" s="1" t="s">
        <v>2142</v>
      </c>
      <c r="FR2450" s="1" t="s">
        <v>652</v>
      </c>
      <c r="FS2450" s="1" t="s">
        <v>21235</v>
      </c>
      <c r="FT2450" s="1" t="s">
        <v>295</v>
      </c>
      <c r="FU2450" s="1" t="s">
        <v>204</v>
      </c>
      <c r="FW2450" s="1" t="s">
        <v>585</v>
      </c>
      <c r="FX2450" s="1">
        <v>20001</v>
      </c>
      <c r="FY2450" s="1" t="s">
        <v>5002</v>
      </c>
      <c r="FZ2450" s="1" t="s">
        <v>21236</v>
      </c>
      <c r="GA2450" s="1">
        <v>219810</v>
      </c>
      <c r="GB2450" s="1" t="s">
        <v>21237</v>
      </c>
      <c r="GD2450" s="1" t="s">
        <v>21238</v>
      </c>
      <c r="GE2450" s="1" t="s">
        <v>1333</v>
      </c>
      <c r="GI2450" s="1" t="s">
        <v>213</v>
      </c>
      <c r="GJ2450" s="1" t="s">
        <v>260</v>
      </c>
      <c r="GK2450" s="1" t="s">
        <v>210</v>
      </c>
      <c r="GL2450" s="2">
        <v>42104</v>
      </c>
      <c r="GM2450" s="1" t="s">
        <v>21239</v>
      </c>
    </row>
    <row r="2451" spans="1:195">
      <c r="A2451" s="1">
        <v>214500</v>
      </c>
      <c r="B2451" s="1" t="s">
        <v>195</v>
      </c>
      <c r="C2451" s="1" t="str">
        <f>"08830071"</f>
        <v>08830071</v>
      </c>
      <c r="D2451" s="1" t="s">
        <v>196</v>
      </c>
      <c r="F2451" s="1" t="str">
        <f>"10"</f>
        <v>10</v>
      </c>
      <c r="G2451" s="2">
        <v>42038</v>
      </c>
      <c r="H2451" s="1">
        <v>219900</v>
      </c>
      <c r="I2451" s="1">
        <v>219900</v>
      </c>
      <c r="J2451" s="1">
        <v>214500</v>
      </c>
      <c r="K2451" s="2">
        <v>42038</v>
      </c>
      <c r="L2451" s="1">
        <v>48</v>
      </c>
      <c r="M2451" s="2">
        <v>42085</v>
      </c>
      <c r="N2451" s="1">
        <v>48</v>
      </c>
      <c r="O2451" s="2">
        <v>42085</v>
      </c>
      <c r="P2451" s="1">
        <v>4777</v>
      </c>
      <c r="Q2451" s="1" t="s">
        <v>197</v>
      </c>
      <c r="R2451" s="2">
        <v>42137</v>
      </c>
      <c r="S2451" s="1">
        <v>63097</v>
      </c>
      <c r="T2451" s="1">
        <v>400</v>
      </c>
      <c r="U2451" s="1">
        <v>428</v>
      </c>
      <c r="V2451" s="1" t="s">
        <v>6726</v>
      </c>
      <c r="W2451" s="1" t="s">
        <v>725</v>
      </c>
      <c r="Y2451" s="1">
        <v>6</v>
      </c>
      <c r="Z2451" s="1" t="s">
        <v>249</v>
      </c>
      <c r="AA2451" s="1" t="s">
        <v>6288</v>
      </c>
      <c r="AB2451" s="1">
        <v>60010</v>
      </c>
      <c r="AD2451" s="1" t="s">
        <v>6727</v>
      </c>
      <c r="AE2451" s="1" t="s">
        <v>12237</v>
      </c>
      <c r="AF2451" s="1">
        <v>1973</v>
      </c>
      <c r="AG2451" s="1" t="s">
        <v>213</v>
      </c>
      <c r="AH2451" s="1" t="s">
        <v>6729</v>
      </c>
      <c r="AI2451" s="1" t="s">
        <v>310</v>
      </c>
      <c r="AJ2451" s="1" t="s">
        <v>6729</v>
      </c>
      <c r="AL2451" s="1">
        <v>6</v>
      </c>
      <c r="AM2451" s="1">
        <v>2</v>
      </c>
      <c r="AN2451" s="1">
        <v>2</v>
      </c>
      <c r="AO2451" s="1">
        <v>0</v>
      </c>
      <c r="AP2451" s="1" t="s">
        <v>667</v>
      </c>
      <c r="AR2451" s="1" t="s">
        <v>2275</v>
      </c>
      <c r="AS2451" s="1" t="s">
        <v>213</v>
      </c>
      <c r="AT2451" s="1" t="s">
        <v>211</v>
      </c>
      <c r="AU2451" s="1">
        <v>1</v>
      </c>
      <c r="AW2451" s="1" t="s">
        <v>204</v>
      </c>
      <c r="AX2451" s="1" t="s">
        <v>212</v>
      </c>
      <c r="AZ2451" s="1">
        <v>2856.54</v>
      </c>
      <c r="BA2451" s="1">
        <v>2013</v>
      </c>
      <c r="BB2451" s="1" t="s">
        <v>405</v>
      </c>
      <c r="BE2451" s="1">
        <v>1788</v>
      </c>
      <c r="BF2451" s="1">
        <v>1</v>
      </c>
      <c r="BG2451" s="1">
        <v>6</v>
      </c>
      <c r="BL2451" s="1">
        <v>330</v>
      </c>
      <c r="BM2451" s="1" t="s">
        <v>204</v>
      </c>
      <c r="BN2451" s="1" t="s">
        <v>213</v>
      </c>
      <c r="BO2451" s="1">
        <v>85</v>
      </c>
      <c r="BP2451" s="1" t="s">
        <v>204</v>
      </c>
      <c r="BR2451" s="1" t="str">
        <f>"01022020501050"</f>
        <v>01022020501050</v>
      </c>
      <c r="BT2451" s="1" t="s">
        <v>21240</v>
      </c>
      <c r="BU2451" s="1" t="s">
        <v>6731</v>
      </c>
      <c r="BV2451" s="1" t="s">
        <v>6732</v>
      </c>
      <c r="BW2451" s="1" t="s">
        <v>1994</v>
      </c>
      <c r="BX2451" s="1">
        <v>220</v>
      </c>
      <c r="BY2451" s="1">
        <v>220</v>
      </c>
      <c r="BZ2451" s="1">
        <v>220</v>
      </c>
      <c r="CB2451" s="1" t="str">
        <f>"18"</f>
        <v>18</v>
      </c>
      <c r="CC2451" s="1" t="str">
        <f>"0"</f>
        <v>0</v>
      </c>
      <c r="CD2451" s="1">
        <v>26</v>
      </c>
      <c r="CE2451" s="1">
        <v>0</v>
      </c>
      <c r="CG2451" s="1" t="s">
        <v>3389</v>
      </c>
      <c r="CH2451" s="1" t="s">
        <v>219</v>
      </c>
      <c r="CI2451" s="1" t="s">
        <v>438</v>
      </c>
      <c r="CJ2451" s="1" t="s">
        <v>252</v>
      </c>
      <c r="CK2451" s="1" t="s">
        <v>278</v>
      </c>
      <c r="CL2451" s="1" t="s">
        <v>277</v>
      </c>
      <c r="CM2451" s="1" t="s">
        <v>220</v>
      </c>
      <c r="CN2451" s="1" t="s">
        <v>252</v>
      </c>
      <c r="CO2451" s="1" t="s">
        <v>1469</v>
      </c>
      <c r="CP2451" s="1" t="s">
        <v>219</v>
      </c>
      <c r="CQ2451" s="1" t="s">
        <v>438</v>
      </c>
      <c r="CR2451" s="1" t="s">
        <v>252</v>
      </c>
      <c r="CS2451" s="1" t="s">
        <v>2466</v>
      </c>
      <c r="CT2451" s="1" t="s">
        <v>277</v>
      </c>
      <c r="CU2451" s="1" t="s">
        <v>220</v>
      </c>
      <c r="CV2451" s="1" t="s">
        <v>252</v>
      </c>
      <c r="CX2451" s="1" t="s">
        <v>224</v>
      </c>
      <c r="DB2451" s="1" t="s">
        <v>224</v>
      </c>
      <c r="DE2451" s="1" t="s">
        <v>3284</v>
      </c>
      <c r="DF2451" s="1" t="s">
        <v>219</v>
      </c>
      <c r="DG2451" s="1" t="s">
        <v>438</v>
      </c>
      <c r="DH2451" s="1" t="s">
        <v>252</v>
      </c>
      <c r="DI2451" s="1" t="s">
        <v>1803</v>
      </c>
      <c r="DJ2451" s="1" t="s">
        <v>822</v>
      </c>
      <c r="DK2451" s="1" t="s">
        <v>220</v>
      </c>
      <c r="DL2451" s="1" t="s">
        <v>252</v>
      </c>
      <c r="DS2451" s="1" t="s">
        <v>230</v>
      </c>
      <c r="DW2451" s="1" t="s">
        <v>230</v>
      </c>
      <c r="EA2451" s="1" t="s">
        <v>230</v>
      </c>
      <c r="EE2451" s="1" t="s">
        <v>230</v>
      </c>
      <c r="EI2451" s="1" t="s">
        <v>230</v>
      </c>
      <c r="EL2451" s="1" t="s">
        <v>605</v>
      </c>
      <c r="EM2451" s="1" t="s">
        <v>319</v>
      </c>
      <c r="EN2451" s="1" t="s">
        <v>282</v>
      </c>
      <c r="EO2451" s="1" t="s">
        <v>234</v>
      </c>
      <c r="EP2451" s="1" t="s">
        <v>543</v>
      </c>
      <c r="EQ2451" s="1" t="s">
        <v>492</v>
      </c>
      <c r="ER2451" s="1" t="s">
        <v>544</v>
      </c>
      <c r="ES2451" s="1" t="s">
        <v>493</v>
      </c>
      <c r="ET2451" s="1" t="s">
        <v>842</v>
      </c>
      <c r="EV2451" s="1" t="s">
        <v>240</v>
      </c>
      <c r="EW2451" s="1" t="s">
        <v>21241</v>
      </c>
      <c r="EZ2451" s="1" t="s">
        <v>287</v>
      </c>
      <c r="FD2451" s="1" t="s">
        <v>15902</v>
      </c>
      <c r="FE2451" s="1" t="s">
        <v>247</v>
      </c>
      <c r="FF2451" s="1" t="s">
        <v>248</v>
      </c>
      <c r="FH2451" s="1" t="s">
        <v>550</v>
      </c>
      <c r="FI2451" s="1" t="s">
        <v>473</v>
      </c>
      <c r="FJ2451" s="1" t="s">
        <v>518</v>
      </c>
      <c r="FL2451" s="1" t="s">
        <v>358</v>
      </c>
      <c r="FM2451" s="1" t="s">
        <v>252</v>
      </c>
      <c r="FN2451" s="1" t="s">
        <v>213</v>
      </c>
      <c r="FO2451" s="1" t="s">
        <v>213</v>
      </c>
      <c r="FQ2451" s="1" t="s">
        <v>359</v>
      </c>
      <c r="FR2451" s="1" t="s">
        <v>210</v>
      </c>
      <c r="FS2451" s="1" t="s">
        <v>7674</v>
      </c>
      <c r="FT2451" s="1" t="s">
        <v>691</v>
      </c>
      <c r="FU2451" s="1" t="s">
        <v>204</v>
      </c>
      <c r="FW2451" s="1" t="s">
        <v>256</v>
      </c>
      <c r="FX2451" s="1">
        <v>2648</v>
      </c>
      <c r="FY2451" s="1" t="s">
        <v>1022</v>
      </c>
      <c r="FZ2451" s="1" t="s">
        <v>7675</v>
      </c>
      <c r="GA2451" s="1">
        <v>18093</v>
      </c>
      <c r="GB2451" s="1" t="s">
        <v>7676</v>
      </c>
      <c r="GC2451" s="1">
        <v>18808</v>
      </c>
      <c r="GD2451" s="1" t="s">
        <v>21242</v>
      </c>
      <c r="GE2451" s="1" t="s">
        <v>1333</v>
      </c>
      <c r="GH2451" s="1" t="s">
        <v>589</v>
      </c>
      <c r="GI2451" s="1" t="s">
        <v>213</v>
      </c>
      <c r="GJ2451" s="1" t="s">
        <v>260</v>
      </c>
      <c r="GK2451" s="1" t="s">
        <v>210</v>
      </c>
      <c r="GL2451" s="2">
        <v>42137</v>
      </c>
      <c r="GM2451" s="1" t="s">
        <v>21243</v>
      </c>
    </row>
    <row r="2452" spans="1:195">
      <c r="A2452" s="1">
        <v>184000</v>
      </c>
      <c r="B2452" s="1" t="s">
        <v>195</v>
      </c>
      <c r="C2452" s="1" t="str">
        <f>"08833048"</f>
        <v>08833048</v>
      </c>
      <c r="D2452" s="1" t="s">
        <v>196</v>
      </c>
      <c r="F2452" s="1" t="str">
        <f t="shared" ref="F2452:F2453" si="1879">"540"</f>
        <v>540</v>
      </c>
      <c r="G2452" s="2">
        <v>42041</v>
      </c>
      <c r="H2452" s="1">
        <v>189900</v>
      </c>
      <c r="I2452" s="1">
        <v>189900</v>
      </c>
      <c r="J2452" s="1">
        <v>184000</v>
      </c>
      <c r="K2452" s="2">
        <v>42041</v>
      </c>
      <c r="L2452" s="1">
        <v>24</v>
      </c>
      <c r="M2452" s="2">
        <v>42064</v>
      </c>
      <c r="N2452" s="1">
        <v>24</v>
      </c>
      <c r="O2452" s="2">
        <v>42064</v>
      </c>
      <c r="P2452" s="1">
        <v>23076</v>
      </c>
      <c r="Q2452" s="1" t="s">
        <v>197</v>
      </c>
      <c r="R2452" s="2">
        <v>42138</v>
      </c>
      <c r="S2452" s="1">
        <v>241537</v>
      </c>
      <c r="T2452" s="1">
        <v>1000</v>
      </c>
      <c r="U2452" s="1">
        <v>2816</v>
      </c>
      <c r="V2452" s="1" t="s">
        <v>21244</v>
      </c>
      <c r="W2452" s="1" t="s">
        <v>449</v>
      </c>
      <c r="Y2452" s="1">
        <v>5</v>
      </c>
      <c r="Z2452" s="1" t="s">
        <v>370</v>
      </c>
      <c r="AA2452" s="1" t="s">
        <v>921</v>
      </c>
      <c r="AB2452" s="1">
        <v>60564</v>
      </c>
      <c r="AD2452" s="1" t="s">
        <v>21245</v>
      </c>
      <c r="AE2452" s="1" t="s">
        <v>21246</v>
      </c>
      <c r="AF2452" s="1">
        <v>2001</v>
      </c>
      <c r="AG2452" s="1" t="s">
        <v>204</v>
      </c>
      <c r="AH2452" s="1" t="s">
        <v>924</v>
      </c>
      <c r="AI2452" s="1" t="s">
        <v>1800</v>
      </c>
      <c r="AJ2452" s="1" t="s">
        <v>1801</v>
      </c>
      <c r="AL2452" s="1">
        <v>5</v>
      </c>
      <c r="AM2452" s="1">
        <v>2</v>
      </c>
      <c r="AN2452" s="1">
        <v>1</v>
      </c>
      <c r="AO2452" s="1">
        <v>1</v>
      </c>
      <c r="AP2452" s="1" t="s">
        <v>667</v>
      </c>
      <c r="AR2452" s="1" t="s">
        <v>210</v>
      </c>
      <c r="AS2452" s="1" t="s">
        <v>204</v>
      </c>
      <c r="AT2452" s="1" t="s">
        <v>211</v>
      </c>
      <c r="AU2452" s="1">
        <v>2</v>
      </c>
      <c r="AW2452" s="1" t="s">
        <v>204</v>
      </c>
      <c r="AX2452" s="1" t="s">
        <v>212</v>
      </c>
      <c r="AZ2452" s="1">
        <v>3660.2</v>
      </c>
      <c r="BA2452" s="1">
        <v>2013</v>
      </c>
      <c r="BB2452" s="1" t="s">
        <v>405</v>
      </c>
      <c r="BE2452" s="1">
        <v>1271</v>
      </c>
      <c r="BF2452" s="1">
        <v>1</v>
      </c>
      <c r="BG2452" s="1">
        <v>30</v>
      </c>
      <c r="BL2452" s="1">
        <v>234</v>
      </c>
      <c r="BM2452" s="1" t="s">
        <v>204</v>
      </c>
      <c r="BN2452" s="1" t="s">
        <v>213</v>
      </c>
      <c r="BO2452" s="1">
        <v>999</v>
      </c>
      <c r="BP2452" s="1" t="s">
        <v>204</v>
      </c>
      <c r="BR2452" s="1" t="str">
        <f>"01031140131001"</f>
        <v>01031140131001</v>
      </c>
      <c r="BT2452" s="1" t="s">
        <v>21247</v>
      </c>
      <c r="BU2452" s="1" t="s">
        <v>2216</v>
      </c>
      <c r="BV2452" s="1" t="s">
        <v>2217</v>
      </c>
      <c r="BW2452" s="1" t="s">
        <v>2218</v>
      </c>
      <c r="BX2452" s="1">
        <v>204</v>
      </c>
      <c r="BY2452" s="1">
        <v>204</v>
      </c>
      <c r="BZ2452" s="1">
        <v>204</v>
      </c>
      <c r="CB2452" s="1" t="str">
        <f t="shared" ref="CB2452:CC2452" si="1880">""</f>
        <v/>
      </c>
      <c r="CC2452" s="1" t="str">
        <f t="shared" si="1880"/>
        <v/>
      </c>
      <c r="CG2452" s="1" t="s">
        <v>2122</v>
      </c>
      <c r="CH2452" s="1" t="s">
        <v>219</v>
      </c>
      <c r="CI2452" s="1" t="s">
        <v>220</v>
      </c>
      <c r="CJ2452" s="1" t="s">
        <v>463</v>
      </c>
      <c r="CK2452" s="1" t="s">
        <v>1469</v>
      </c>
      <c r="CL2452" s="1" t="s">
        <v>277</v>
      </c>
      <c r="CM2452" s="1" t="s">
        <v>220</v>
      </c>
      <c r="CN2452" s="1" t="s">
        <v>909</v>
      </c>
      <c r="CO2452" s="1" t="s">
        <v>318</v>
      </c>
      <c r="CP2452" s="1" t="s">
        <v>219</v>
      </c>
      <c r="CQ2452" s="1" t="s">
        <v>220</v>
      </c>
      <c r="CR2452" s="1" t="s">
        <v>909</v>
      </c>
      <c r="CS2452" s="1" t="s">
        <v>1854</v>
      </c>
      <c r="CT2452" s="1" t="s">
        <v>277</v>
      </c>
      <c r="CU2452" s="1" t="s">
        <v>220</v>
      </c>
      <c r="CV2452" s="1" t="s">
        <v>909</v>
      </c>
      <c r="CX2452" s="1" t="s">
        <v>224</v>
      </c>
      <c r="DB2452" s="1" t="s">
        <v>224</v>
      </c>
      <c r="DE2452" s="1" t="s">
        <v>2138</v>
      </c>
      <c r="DF2452" s="1" t="s">
        <v>219</v>
      </c>
      <c r="DG2452" s="1" t="s">
        <v>342</v>
      </c>
      <c r="DH2452" s="1" t="s">
        <v>210</v>
      </c>
      <c r="DJ2452" s="1" t="s">
        <v>224</v>
      </c>
      <c r="DM2452" s="1" t="s">
        <v>1771</v>
      </c>
      <c r="DN2452" s="1" t="s">
        <v>709</v>
      </c>
      <c r="DR2452" s="1" t="s">
        <v>6362</v>
      </c>
      <c r="DS2452" s="1" t="s">
        <v>277</v>
      </c>
      <c r="DT2452" s="1" t="s">
        <v>438</v>
      </c>
      <c r="DV2452" s="1" t="s">
        <v>7610</v>
      </c>
      <c r="DW2452" s="1" t="s">
        <v>219</v>
      </c>
      <c r="DX2452" s="1" t="s">
        <v>342</v>
      </c>
      <c r="DY2452" s="1" t="s">
        <v>210</v>
      </c>
      <c r="EA2452" s="1" t="s">
        <v>230</v>
      </c>
      <c r="EE2452" s="1" t="s">
        <v>230</v>
      </c>
      <c r="EI2452" s="1" t="s">
        <v>230</v>
      </c>
      <c r="EL2452" s="1" t="s">
        <v>466</v>
      </c>
      <c r="EM2452" s="1" t="s">
        <v>232</v>
      </c>
      <c r="EN2452" s="1" t="s">
        <v>282</v>
      </c>
      <c r="EO2452" s="1" t="s">
        <v>234</v>
      </c>
      <c r="EP2452" s="1" t="s">
        <v>650</v>
      </c>
      <c r="EQ2452" s="1" t="s">
        <v>953</v>
      </c>
      <c r="ER2452" s="1" t="s">
        <v>383</v>
      </c>
      <c r="ES2452" s="1" t="s">
        <v>322</v>
      </c>
      <c r="EU2452" s="1" t="s">
        <v>712</v>
      </c>
      <c r="EW2452" s="1" t="s">
        <v>1804</v>
      </c>
      <c r="EY2452" s="1" t="s">
        <v>242</v>
      </c>
      <c r="EZ2452" s="1" t="s">
        <v>2948</v>
      </c>
      <c r="FA2452" s="1" t="s">
        <v>1726</v>
      </c>
      <c r="FB2452" s="1" t="s">
        <v>289</v>
      </c>
      <c r="FC2452" s="1" t="s">
        <v>1386</v>
      </c>
      <c r="FD2452" s="1" t="s">
        <v>246</v>
      </c>
      <c r="FE2452" s="1" t="s">
        <v>355</v>
      </c>
      <c r="FF2452" s="1" t="s">
        <v>248</v>
      </c>
      <c r="FH2452" s="1" t="s">
        <v>550</v>
      </c>
      <c r="FI2452" s="1" t="s">
        <v>473</v>
      </c>
      <c r="FJ2452" s="1" t="s">
        <v>1251</v>
      </c>
      <c r="FL2452" s="1" t="s">
        <v>414</v>
      </c>
      <c r="FM2452" s="1" t="s">
        <v>252</v>
      </c>
      <c r="FN2452" s="1" t="s">
        <v>213</v>
      </c>
      <c r="FO2452" s="1" t="s">
        <v>213</v>
      </c>
      <c r="FQ2452" s="1" t="s">
        <v>21248</v>
      </c>
      <c r="FR2452" s="1" t="s">
        <v>210</v>
      </c>
      <c r="FS2452" s="1" t="s">
        <v>21249</v>
      </c>
      <c r="FT2452" s="1" t="s">
        <v>295</v>
      </c>
      <c r="FU2452" s="1" t="s">
        <v>204</v>
      </c>
      <c r="FW2452" s="1" t="s">
        <v>915</v>
      </c>
      <c r="FX2452" s="1">
        <v>23076</v>
      </c>
      <c r="FY2452" s="1" t="s">
        <v>1909</v>
      </c>
      <c r="FZ2452" s="1" t="s">
        <v>14146</v>
      </c>
      <c r="GA2452" s="1">
        <v>239119</v>
      </c>
      <c r="GB2452" s="1" t="s">
        <v>14147</v>
      </c>
      <c r="GE2452" s="1" t="s">
        <v>480</v>
      </c>
      <c r="GI2452" s="1" t="s">
        <v>213</v>
      </c>
      <c r="GJ2452" s="1" t="s">
        <v>260</v>
      </c>
      <c r="GK2452" s="1" t="s">
        <v>210</v>
      </c>
      <c r="GL2452" s="2">
        <v>42140</v>
      </c>
      <c r="GM2452" s="1" t="s">
        <v>21250</v>
      </c>
    </row>
    <row r="2453" spans="1:195">
      <c r="A2453" s="1">
        <v>121000</v>
      </c>
      <c r="B2453" s="1" t="s">
        <v>195</v>
      </c>
      <c r="C2453" s="1" t="str">
        <f>"08830510"</f>
        <v>08830510</v>
      </c>
      <c r="D2453" s="1" t="s">
        <v>196</v>
      </c>
      <c r="F2453" s="1" t="str">
        <f t="shared" si="1879"/>
        <v>540</v>
      </c>
      <c r="G2453" s="2">
        <v>42039</v>
      </c>
      <c r="H2453" s="1">
        <v>124900</v>
      </c>
      <c r="I2453" s="1">
        <v>124900</v>
      </c>
      <c r="J2453" s="1">
        <v>121000</v>
      </c>
      <c r="K2453" s="2">
        <v>42039</v>
      </c>
      <c r="L2453" s="1">
        <v>9</v>
      </c>
      <c r="M2453" s="2">
        <v>42047</v>
      </c>
      <c r="N2453" s="1">
        <v>9</v>
      </c>
      <c r="O2453" s="2">
        <v>42047</v>
      </c>
      <c r="P2453" s="1">
        <v>23265</v>
      </c>
      <c r="Q2453" s="1" t="s">
        <v>197</v>
      </c>
      <c r="R2453" s="2">
        <v>42088</v>
      </c>
      <c r="S2453" s="1">
        <v>241334</v>
      </c>
      <c r="U2453" s="1">
        <v>1616</v>
      </c>
      <c r="V2453" s="1" t="s">
        <v>2749</v>
      </c>
      <c r="W2453" s="1" t="s">
        <v>1056</v>
      </c>
      <c r="Y2453" s="1">
        <v>8</v>
      </c>
      <c r="Z2453" s="1" t="s">
        <v>249</v>
      </c>
      <c r="AA2453" s="1" t="s">
        <v>921</v>
      </c>
      <c r="AB2453" s="1">
        <v>60564</v>
      </c>
      <c r="AD2453" s="1" t="s">
        <v>2750</v>
      </c>
      <c r="AE2453" s="1" t="s">
        <v>21251</v>
      </c>
      <c r="AF2453" s="1">
        <v>1995</v>
      </c>
      <c r="AG2453" s="1" t="s">
        <v>204</v>
      </c>
      <c r="AH2453" s="1" t="s">
        <v>924</v>
      </c>
      <c r="AI2453" s="1" t="s">
        <v>206</v>
      </c>
      <c r="AJ2453" s="1" t="s">
        <v>924</v>
      </c>
      <c r="AL2453" s="1">
        <v>5</v>
      </c>
      <c r="AM2453" s="1">
        <v>2</v>
      </c>
      <c r="AN2453" s="1">
        <v>1</v>
      </c>
      <c r="AO2453" s="1">
        <v>1</v>
      </c>
      <c r="AP2453" s="1" t="s">
        <v>210</v>
      </c>
      <c r="AR2453" s="1" t="s">
        <v>210</v>
      </c>
      <c r="AT2453" s="1" t="s">
        <v>211</v>
      </c>
      <c r="AU2453" s="1">
        <v>1</v>
      </c>
      <c r="AW2453" s="1" t="s">
        <v>204</v>
      </c>
      <c r="AX2453" s="1" t="s">
        <v>212</v>
      </c>
      <c r="AZ2453" s="1">
        <v>2309</v>
      </c>
      <c r="BA2453" s="1">
        <v>2013</v>
      </c>
      <c r="BE2453" s="1">
        <v>1052</v>
      </c>
      <c r="BF2453" s="1">
        <v>1</v>
      </c>
      <c r="BG2453" s="1">
        <v>10</v>
      </c>
      <c r="BL2453" s="1">
        <v>173</v>
      </c>
      <c r="BM2453" s="1" t="s">
        <v>204</v>
      </c>
      <c r="BN2453" s="1" t="s">
        <v>213</v>
      </c>
      <c r="BO2453" s="1">
        <v>99</v>
      </c>
      <c r="BP2453" s="1" t="s">
        <v>204</v>
      </c>
      <c r="BR2453" s="1" t="str">
        <f>"0732417091"</f>
        <v>0732417091</v>
      </c>
      <c r="BT2453" s="1" t="s">
        <v>21252</v>
      </c>
      <c r="BU2453" s="1" t="s">
        <v>2534</v>
      </c>
      <c r="BV2453" s="1" t="s">
        <v>2535</v>
      </c>
      <c r="BW2453" s="1" t="s">
        <v>1312</v>
      </c>
      <c r="BX2453" s="1">
        <v>204</v>
      </c>
      <c r="BY2453" s="1">
        <v>204</v>
      </c>
      <c r="BZ2453" s="1">
        <v>204</v>
      </c>
      <c r="CB2453" s="1" t="str">
        <f t="shared" ref="CB2453:CC2453" si="1881">""</f>
        <v/>
      </c>
      <c r="CC2453" s="1" t="str">
        <f t="shared" si="1881"/>
        <v/>
      </c>
      <c r="CG2453" s="1" t="s">
        <v>4546</v>
      </c>
      <c r="CH2453" s="1" t="s">
        <v>219</v>
      </c>
      <c r="CI2453" s="1" t="s">
        <v>438</v>
      </c>
      <c r="CJ2453" s="1" t="s">
        <v>343</v>
      </c>
      <c r="CK2453" s="1" t="s">
        <v>278</v>
      </c>
      <c r="CL2453" s="1" t="s">
        <v>277</v>
      </c>
      <c r="CM2453" s="1" t="s">
        <v>220</v>
      </c>
      <c r="CN2453" s="1" t="s">
        <v>909</v>
      </c>
      <c r="CO2453" s="1" t="s">
        <v>629</v>
      </c>
      <c r="CP2453" s="1" t="s">
        <v>219</v>
      </c>
      <c r="CQ2453" s="1" t="s">
        <v>438</v>
      </c>
      <c r="CS2453" s="1" t="s">
        <v>378</v>
      </c>
      <c r="CT2453" s="1" t="s">
        <v>277</v>
      </c>
      <c r="CU2453" s="1" t="s">
        <v>220</v>
      </c>
      <c r="CV2453" s="1" t="s">
        <v>343</v>
      </c>
      <c r="CX2453" s="1" t="s">
        <v>224</v>
      </c>
      <c r="DB2453" s="1" t="s">
        <v>224</v>
      </c>
      <c r="DE2453" s="1" t="s">
        <v>409</v>
      </c>
      <c r="DF2453" s="1" t="s">
        <v>219</v>
      </c>
      <c r="DG2453" s="1" t="s">
        <v>15003</v>
      </c>
      <c r="DJ2453" s="1" t="s">
        <v>224</v>
      </c>
      <c r="DM2453" s="1" t="s">
        <v>1771</v>
      </c>
      <c r="DR2453" s="1" t="s">
        <v>5222</v>
      </c>
      <c r="DS2453" s="1" t="s">
        <v>277</v>
      </c>
      <c r="DT2453" s="1" t="s">
        <v>220</v>
      </c>
      <c r="DW2453" s="1" t="s">
        <v>230</v>
      </c>
      <c r="EA2453" s="1" t="s">
        <v>230</v>
      </c>
      <c r="EE2453" s="1" t="s">
        <v>230</v>
      </c>
      <c r="EI2453" s="1" t="s">
        <v>230</v>
      </c>
      <c r="EL2453" s="1" t="s">
        <v>670</v>
      </c>
      <c r="EM2453" s="1" t="s">
        <v>319</v>
      </c>
      <c r="EN2453" s="1" t="s">
        <v>282</v>
      </c>
      <c r="EO2453" s="1" t="s">
        <v>234</v>
      </c>
      <c r="EQ2453" s="1" t="s">
        <v>236</v>
      </c>
      <c r="ER2453" s="1" t="s">
        <v>210</v>
      </c>
      <c r="ES2453" s="1" t="s">
        <v>608</v>
      </c>
      <c r="EV2453" s="1" t="s">
        <v>240</v>
      </c>
      <c r="EW2453" s="1" t="s">
        <v>1804</v>
      </c>
      <c r="EZ2453" s="1" t="s">
        <v>1771</v>
      </c>
      <c r="FA2453" s="1" t="s">
        <v>1072</v>
      </c>
      <c r="FD2453" s="1" t="s">
        <v>495</v>
      </c>
      <c r="FE2453" s="1" t="s">
        <v>355</v>
      </c>
      <c r="FF2453" s="1" t="s">
        <v>248</v>
      </c>
      <c r="FH2453" s="1" t="s">
        <v>550</v>
      </c>
      <c r="FI2453" s="1" t="s">
        <v>357</v>
      </c>
      <c r="FL2453" s="1" t="s">
        <v>414</v>
      </c>
      <c r="FM2453" s="1" t="s">
        <v>252</v>
      </c>
      <c r="FN2453" s="1" t="s">
        <v>213</v>
      </c>
      <c r="FO2453" s="1" t="s">
        <v>213</v>
      </c>
      <c r="FQ2453" s="1" t="s">
        <v>329</v>
      </c>
      <c r="FR2453" s="1" t="s">
        <v>210</v>
      </c>
      <c r="FS2453" s="1" t="s">
        <v>8532</v>
      </c>
      <c r="FT2453" s="1" t="s">
        <v>1182</v>
      </c>
      <c r="FU2453" s="1" t="s">
        <v>204</v>
      </c>
      <c r="FW2453" s="1" t="s">
        <v>1742</v>
      </c>
      <c r="FX2453" s="1">
        <v>25401</v>
      </c>
      <c r="FY2453" s="1" t="s">
        <v>1743</v>
      </c>
      <c r="FZ2453" s="1" t="s">
        <v>8533</v>
      </c>
      <c r="GA2453" s="1">
        <v>258049</v>
      </c>
      <c r="GB2453" s="1" t="s">
        <v>8534</v>
      </c>
      <c r="GC2453" s="1">
        <v>243551</v>
      </c>
      <c r="GD2453" s="1" t="s">
        <v>16458</v>
      </c>
      <c r="GE2453" s="1" t="s">
        <v>480</v>
      </c>
      <c r="GI2453" s="1" t="s">
        <v>213</v>
      </c>
      <c r="GJ2453" s="1" t="s">
        <v>260</v>
      </c>
      <c r="GK2453" s="1" t="s">
        <v>210</v>
      </c>
      <c r="GL2453" s="2">
        <v>42088</v>
      </c>
      <c r="GM2453" s="1" t="s">
        <v>21253</v>
      </c>
    </row>
    <row r="2454" spans="1:195">
      <c r="A2454" s="1">
        <v>99700</v>
      </c>
      <c r="B2454" s="1" t="s">
        <v>195</v>
      </c>
      <c r="C2454" s="1" t="str">
        <f>"08833610"</f>
        <v>08833610</v>
      </c>
      <c r="D2454" s="1" t="s">
        <v>196</v>
      </c>
      <c r="F2454" s="1" t="str">
        <f>"528"</f>
        <v>528</v>
      </c>
      <c r="G2454" s="2">
        <v>42042</v>
      </c>
      <c r="H2454" s="1">
        <v>109000</v>
      </c>
      <c r="I2454" s="1">
        <v>109000</v>
      </c>
      <c r="J2454" s="1">
        <v>99700</v>
      </c>
      <c r="K2454" s="2">
        <v>42042</v>
      </c>
      <c r="L2454" s="1">
        <v>31</v>
      </c>
      <c r="M2454" s="2">
        <v>42072</v>
      </c>
      <c r="N2454" s="1">
        <v>31</v>
      </c>
      <c r="O2454" s="2">
        <v>42072</v>
      </c>
      <c r="P2454" s="1">
        <v>22049</v>
      </c>
      <c r="Q2454" s="1" t="s">
        <v>302</v>
      </c>
      <c r="R2454" s="2">
        <v>42109</v>
      </c>
      <c r="S2454" s="1">
        <v>242039</v>
      </c>
      <c r="U2454" s="1">
        <v>1110</v>
      </c>
      <c r="V2454" s="1" t="s">
        <v>4474</v>
      </c>
      <c r="W2454" s="1" t="s">
        <v>725</v>
      </c>
      <c r="X2454" s="1">
        <v>11</v>
      </c>
      <c r="Y2454" s="1">
        <v>12</v>
      </c>
      <c r="Z2454" s="1" t="s">
        <v>370</v>
      </c>
      <c r="AA2454" s="1" t="s">
        <v>12081</v>
      </c>
      <c r="AB2454" s="1">
        <v>60525</v>
      </c>
      <c r="AE2454" s="1" t="s">
        <v>21254</v>
      </c>
      <c r="AF2454" s="1">
        <v>1975</v>
      </c>
      <c r="AG2454" s="1" t="s">
        <v>213</v>
      </c>
      <c r="AH2454" s="1" t="s">
        <v>12083</v>
      </c>
      <c r="AI2454" s="1" t="s">
        <v>310</v>
      </c>
      <c r="AJ2454" s="1" t="s">
        <v>702</v>
      </c>
      <c r="AL2454" s="1">
        <v>5</v>
      </c>
      <c r="AM2454" s="1">
        <v>2</v>
      </c>
      <c r="AN2454" s="1">
        <v>1</v>
      </c>
      <c r="AO2454" s="1">
        <v>0</v>
      </c>
      <c r="AP2454" s="1" t="s">
        <v>210</v>
      </c>
      <c r="AQ2454" s="1">
        <v>1</v>
      </c>
      <c r="AR2454" s="1" t="s">
        <v>210</v>
      </c>
      <c r="AS2454" s="1" t="s">
        <v>204</v>
      </c>
      <c r="AT2454" s="1" t="s">
        <v>271</v>
      </c>
      <c r="AV2454" s="1">
        <v>2</v>
      </c>
      <c r="AW2454" s="1" t="s">
        <v>204</v>
      </c>
      <c r="AX2454" s="1" t="s">
        <v>21255</v>
      </c>
      <c r="AZ2454" s="1">
        <v>1160</v>
      </c>
      <c r="BA2454" s="1">
        <v>2013</v>
      </c>
      <c r="BB2454" s="1" t="s">
        <v>599</v>
      </c>
      <c r="BE2454" s="1">
        <v>950</v>
      </c>
      <c r="BF2454" s="1">
        <v>3</v>
      </c>
      <c r="BG2454" s="1">
        <v>15</v>
      </c>
      <c r="BJ2454" s="1">
        <v>100</v>
      </c>
      <c r="BL2454" s="1">
        <v>274</v>
      </c>
      <c r="BM2454" s="1" t="s">
        <v>204</v>
      </c>
      <c r="BN2454" s="1" t="s">
        <v>213</v>
      </c>
      <c r="BO2454" s="1">
        <v>35</v>
      </c>
      <c r="BP2454" s="1" t="s">
        <v>204</v>
      </c>
      <c r="BR2454" s="1" t="str">
        <f>"18202001211035"</f>
        <v>18202001211035</v>
      </c>
      <c r="BT2454" s="1" t="s">
        <v>21256</v>
      </c>
      <c r="BU2454" s="1" t="s">
        <v>2495</v>
      </c>
      <c r="BV2454" s="1" t="s">
        <v>2496</v>
      </c>
      <c r="BW2454" s="1" t="s">
        <v>706</v>
      </c>
      <c r="BX2454" s="1">
        <v>106</v>
      </c>
      <c r="BY2454" s="1">
        <v>106</v>
      </c>
      <c r="BZ2454" s="1">
        <v>204</v>
      </c>
      <c r="CB2454" s="1" t="str">
        <f t="shared" ref="CB2454:CC2454" si="1882">""</f>
        <v/>
      </c>
      <c r="CC2454" s="1" t="str">
        <f t="shared" si="1882"/>
        <v/>
      </c>
      <c r="CD2454" s="1">
        <v>7</v>
      </c>
      <c r="CE2454" s="1">
        <v>13</v>
      </c>
      <c r="CG2454" s="1" t="s">
        <v>5319</v>
      </c>
      <c r="CH2454" s="1" t="s">
        <v>784</v>
      </c>
      <c r="CI2454" s="1" t="s">
        <v>220</v>
      </c>
      <c r="CJ2454" s="1" t="s">
        <v>463</v>
      </c>
      <c r="CK2454" s="1" t="s">
        <v>757</v>
      </c>
      <c r="CL2454" s="1" t="s">
        <v>784</v>
      </c>
      <c r="CM2454" s="1" t="s">
        <v>220</v>
      </c>
      <c r="CN2454" s="1" t="s">
        <v>463</v>
      </c>
      <c r="CO2454" s="1" t="s">
        <v>516</v>
      </c>
      <c r="CP2454" s="1" t="s">
        <v>784</v>
      </c>
      <c r="CQ2454" s="1" t="s">
        <v>342</v>
      </c>
      <c r="CR2454" s="1" t="s">
        <v>210</v>
      </c>
      <c r="CS2454" s="1" t="s">
        <v>378</v>
      </c>
      <c r="CT2454" s="1" t="s">
        <v>784</v>
      </c>
      <c r="CU2454" s="1" t="s">
        <v>220</v>
      </c>
      <c r="CV2454" s="1" t="s">
        <v>463</v>
      </c>
      <c r="CX2454" s="1" t="s">
        <v>224</v>
      </c>
      <c r="DB2454" s="1" t="s">
        <v>224</v>
      </c>
      <c r="DE2454" s="1" t="s">
        <v>2031</v>
      </c>
      <c r="DF2454" s="1" t="s">
        <v>784</v>
      </c>
      <c r="DG2454" s="1" t="s">
        <v>342</v>
      </c>
      <c r="DH2454" s="1" t="s">
        <v>210</v>
      </c>
      <c r="DJ2454" s="1" t="s">
        <v>224</v>
      </c>
      <c r="DS2454" s="1" t="s">
        <v>230</v>
      </c>
      <c r="DW2454" s="1" t="s">
        <v>230</v>
      </c>
      <c r="EA2454" s="1" t="s">
        <v>230</v>
      </c>
      <c r="EE2454" s="1" t="s">
        <v>230</v>
      </c>
      <c r="EI2454" s="1" t="s">
        <v>230</v>
      </c>
      <c r="EL2454" s="1" t="s">
        <v>231</v>
      </c>
      <c r="EM2454" s="1" t="s">
        <v>232</v>
      </c>
      <c r="EN2454" s="1" t="s">
        <v>282</v>
      </c>
      <c r="EO2454" s="1" t="s">
        <v>234</v>
      </c>
      <c r="EP2454" s="1" t="s">
        <v>21257</v>
      </c>
      <c r="EQ2454" s="1" t="s">
        <v>2913</v>
      </c>
      <c r="ER2454" s="1" t="s">
        <v>1269</v>
      </c>
      <c r="ES2454" s="1" t="s">
        <v>4437</v>
      </c>
      <c r="EU2454" s="1" t="s">
        <v>610</v>
      </c>
      <c r="EV2454" s="1" t="s">
        <v>352</v>
      </c>
      <c r="EW2454" s="1" t="s">
        <v>2765</v>
      </c>
      <c r="EZ2454" s="1" t="s">
        <v>287</v>
      </c>
      <c r="FA2454" s="1" t="s">
        <v>1048</v>
      </c>
      <c r="FB2454" s="1" t="s">
        <v>289</v>
      </c>
      <c r="FC2454" s="1" t="s">
        <v>326</v>
      </c>
      <c r="FD2454" s="1" t="s">
        <v>21258</v>
      </c>
      <c r="FE2454" s="1" t="s">
        <v>247</v>
      </c>
      <c r="FF2454" s="1" t="s">
        <v>248</v>
      </c>
      <c r="FG2454" s="1" t="s">
        <v>912</v>
      </c>
      <c r="FH2454" s="1" t="s">
        <v>1756</v>
      </c>
      <c r="FJ2454" s="1" t="s">
        <v>1472</v>
      </c>
      <c r="FK2454" s="1" t="s">
        <v>891</v>
      </c>
      <c r="FL2454" s="1" t="s">
        <v>414</v>
      </c>
      <c r="FM2454" s="1" t="s">
        <v>252</v>
      </c>
      <c r="FN2454" s="1" t="s">
        <v>213</v>
      </c>
      <c r="FO2454" s="1" t="s">
        <v>213</v>
      </c>
      <c r="FQ2454" s="1" t="s">
        <v>14027</v>
      </c>
      <c r="FR2454" s="1" t="s">
        <v>210</v>
      </c>
      <c r="FS2454" s="1" t="s">
        <v>21259</v>
      </c>
      <c r="FT2454" s="1" t="s">
        <v>295</v>
      </c>
      <c r="FU2454" s="1" t="s">
        <v>204</v>
      </c>
      <c r="FW2454" s="1" t="s">
        <v>6907</v>
      </c>
      <c r="FX2454" s="1">
        <v>22010</v>
      </c>
      <c r="FY2454" s="1" t="s">
        <v>6908</v>
      </c>
      <c r="FZ2454" s="1" t="s">
        <v>21260</v>
      </c>
      <c r="GA2454" s="1">
        <v>227751</v>
      </c>
      <c r="GB2454" s="1" t="s">
        <v>21261</v>
      </c>
      <c r="GE2454" s="1" t="s">
        <v>1120</v>
      </c>
      <c r="GI2454" s="1" t="s">
        <v>213</v>
      </c>
      <c r="GJ2454" s="1" t="s">
        <v>260</v>
      </c>
      <c r="GK2454" s="1" t="s">
        <v>210</v>
      </c>
      <c r="GL2454" s="2">
        <v>42110</v>
      </c>
      <c r="GM2454" s="1" t="s">
        <v>21262</v>
      </c>
    </row>
    <row r="2455" spans="1:195">
      <c r="A2455" s="1">
        <v>230000</v>
      </c>
      <c r="B2455" s="1" t="s">
        <v>195</v>
      </c>
      <c r="C2455" s="1" t="str">
        <f>"08835171"</f>
        <v>08835171</v>
      </c>
      <c r="D2455" s="1" t="s">
        <v>196</v>
      </c>
      <c r="F2455" s="1" t="str">
        <f>"148"</f>
        <v>148</v>
      </c>
      <c r="G2455" s="2">
        <v>42045</v>
      </c>
      <c r="H2455" s="1">
        <v>230000</v>
      </c>
      <c r="I2455" s="1">
        <v>230000</v>
      </c>
      <c r="J2455" s="1">
        <v>230000</v>
      </c>
      <c r="K2455" s="2">
        <v>42045</v>
      </c>
      <c r="L2455" s="1">
        <v>24</v>
      </c>
      <c r="M2455" s="2">
        <v>42068</v>
      </c>
      <c r="N2455" s="1">
        <v>24</v>
      </c>
      <c r="O2455" s="2">
        <v>42068</v>
      </c>
      <c r="P2455" s="1">
        <v>14778</v>
      </c>
      <c r="Q2455" s="1" t="s">
        <v>197</v>
      </c>
      <c r="R2455" s="2">
        <v>42109</v>
      </c>
      <c r="S2455" s="1">
        <v>104294</v>
      </c>
      <c r="U2455" s="1">
        <v>310</v>
      </c>
      <c r="V2455" s="1" t="s">
        <v>4253</v>
      </c>
      <c r="W2455" s="1" t="s">
        <v>725</v>
      </c>
      <c r="X2455" s="1">
        <v>208</v>
      </c>
      <c r="Y2455" s="1">
        <v>36</v>
      </c>
      <c r="Z2455" s="1" t="s">
        <v>249</v>
      </c>
      <c r="AA2455" s="1" t="s">
        <v>1927</v>
      </c>
      <c r="AB2455" s="1">
        <v>60148</v>
      </c>
      <c r="AE2455" s="1" t="s">
        <v>21263</v>
      </c>
      <c r="AF2455" s="1">
        <v>2008</v>
      </c>
      <c r="AG2455" s="1" t="s">
        <v>204</v>
      </c>
      <c r="AH2455" s="1" t="s">
        <v>1930</v>
      </c>
      <c r="AI2455" s="1" t="s">
        <v>206</v>
      </c>
      <c r="AJ2455" s="1" t="s">
        <v>1608</v>
      </c>
      <c r="AK2455" s="1" t="s">
        <v>21264</v>
      </c>
      <c r="AL2455" s="1">
        <v>4</v>
      </c>
      <c r="AM2455" s="1">
        <v>2</v>
      </c>
      <c r="AN2455" s="1">
        <v>2</v>
      </c>
      <c r="AO2455" s="1">
        <v>0</v>
      </c>
      <c r="AP2455" s="1" t="s">
        <v>209</v>
      </c>
      <c r="AQ2455" s="1">
        <v>1</v>
      </c>
      <c r="AR2455" s="1" t="s">
        <v>210</v>
      </c>
      <c r="AS2455" s="1" t="s">
        <v>204</v>
      </c>
      <c r="AT2455" s="1" t="s">
        <v>211</v>
      </c>
      <c r="AU2455" s="1">
        <v>2</v>
      </c>
      <c r="AW2455" s="1" t="s">
        <v>204</v>
      </c>
      <c r="AX2455" s="1" t="s">
        <v>212</v>
      </c>
      <c r="AZ2455" s="1">
        <v>4281</v>
      </c>
      <c r="BA2455" s="1">
        <v>2013</v>
      </c>
      <c r="BB2455" s="1" t="s">
        <v>347</v>
      </c>
      <c r="BE2455" s="1">
        <v>1170</v>
      </c>
      <c r="BF2455" s="1">
        <v>3</v>
      </c>
      <c r="BG2455" s="1">
        <v>0</v>
      </c>
      <c r="BK2455" s="1" t="s">
        <v>7941</v>
      </c>
      <c r="BL2455" s="1">
        <v>323</v>
      </c>
      <c r="BM2455" s="1" t="s">
        <v>204</v>
      </c>
      <c r="BN2455" s="1" t="s">
        <v>213</v>
      </c>
      <c r="BO2455" s="1">
        <v>0</v>
      </c>
      <c r="BP2455" s="1" t="s">
        <v>204</v>
      </c>
      <c r="BR2455" s="1" t="str">
        <f>"0607232035"</f>
        <v>0607232035</v>
      </c>
      <c r="BT2455" s="1" t="s">
        <v>21265</v>
      </c>
      <c r="BX2455" s="1">
        <v>44</v>
      </c>
      <c r="BY2455" s="1">
        <v>44</v>
      </c>
      <c r="BZ2455" s="1">
        <v>87</v>
      </c>
      <c r="CB2455" s="1" t="str">
        <f t="shared" ref="CB2455:CC2455" si="1883">"0"</f>
        <v>0</v>
      </c>
      <c r="CC2455" s="1" t="str">
        <f t="shared" si="1883"/>
        <v>0</v>
      </c>
      <c r="CD2455" s="1">
        <v>20</v>
      </c>
      <c r="CE2455" s="1">
        <v>0</v>
      </c>
      <c r="CH2455" s="1" t="s">
        <v>224</v>
      </c>
      <c r="CK2455" s="1" t="s">
        <v>729</v>
      </c>
      <c r="CL2455" s="1" t="s">
        <v>219</v>
      </c>
      <c r="CM2455" s="1" t="s">
        <v>220</v>
      </c>
      <c r="CN2455" s="1" t="s">
        <v>210</v>
      </c>
      <c r="CP2455" s="1" t="s">
        <v>224</v>
      </c>
      <c r="CS2455" s="1" t="s">
        <v>1358</v>
      </c>
      <c r="CT2455" s="1" t="s">
        <v>219</v>
      </c>
      <c r="CU2455" s="1" t="s">
        <v>220</v>
      </c>
      <c r="CV2455" s="1" t="s">
        <v>210</v>
      </c>
      <c r="CX2455" s="1" t="s">
        <v>224</v>
      </c>
      <c r="DB2455" s="1" t="s">
        <v>224</v>
      </c>
      <c r="DE2455" s="1" t="s">
        <v>757</v>
      </c>
      <c r="DF2455" s="1" t="s">
        <v>219</v>
      </c>
      <c r="DG2455" s="1" t="s">
        <v>438</v>
      </c>
      <c r="DH2455" s="1" t="s">
        <v>210</v>
      </c>
      <c r="DI2455" s="1" t="s">
        <v>377</v>
      </c>
      <c r="DJ2455" s="1" t="s">
        <v>219</v>
      </c>
      <c r="DK2455" s="1" t="s">
        <v>220</v>
      </c>
      <c r="DL2455" s="1" t="s">
        <v>210</v>
      </c>
      <c r="DS2455" s="1" t="s">
        <v>230</v>
      </c>
      <c r="DW2455" s="1" t="s">
        <v>230</v>
      </c>
      <c r="EA2455" s="1" t="s">
        <v>230</v>
      </c>
      <c r="EE2455" s="1" t="s">
        <v>230</v>
      </c>
      <c r="EI2455" s="1" t="s">
        <v>230</v>
      </c>
      <c r="EL2455" s="1" t="s">
        <v>491</v>
      </c>
      <c r="EM2455" s="1" t="s">
        <v>232</v>
      </c>
      <c r="EN2455" s="1" t="s">
        <v>282</v>
      </c>
      <c r="EO2455" s="1" t="s">
        <v>1020</v>
      </c>
      <c r="EP2455" s="1" t="s">
        <v>21266</v>
      </c>
      <c r="EQ2455" s="1" t="s">
        <v>3931</v>
      </c>
      <c r="ER2455" s="1" t="s">
        <v>210</v>
      </c>
      <c r="ES2455" s="1" t="s">
        <v>824</v>
      </c>
      <c r="EW2455" s="1" t="s">
        <v>286</v>
      </c>
      <c r="EY2455" s="1" t="s">
        <v>441</v>
      </c>
      <c r="EZ2455" s="1" t="s">
        <v>287</v>
      </c>
      <c r="FA2455" s="1" t="s">
        <v>12259</v>
      </c>
      <c r="FB2455" s="1" t="s">
        <v>289</v>
      </c>
      <c r="FC2455" s="1" t="s">
        <v>1386</v>
      </c>
      <c r="FD2455" s="1" t="s">
        <v>246</v>
      </c>
      <c r="FE2455" s="1" t="s">
        <v>1823</v>
      </c>
      <c r="FF2455" s="1" t="s">
        <v>1113</v>
      </c>
      <c r="FG2455" s="1" t="s">
        <v>912</v>
      </c>
      <c r="FH2455" s="1" t="s">
        <v>249</v>
      </c>
      <c r="FI2455" s="1" t="s">
        <v>1114</v>
      </c>
      <c r="FJ2455" s="1" t="s">
        <v>197</v>
      </c>
      <c r="FL2455" s="1" t="s">
        <v>358</v>
      </c>
      <c r="FM2455" s="1" t="s">
        <v>252</v>
      </c>
      <c r="FN2455" s="1" t="s">
        <v>213</v>
      </c>
      <c r="FO2455" s="1" t="s">
        <v>213</v>
      </c>
      <c r="FQ2455" s="1" t="s">
        <v>615</v>
      </c>
      <c r="FR2455" s="1" t="s">
        <v>210</v>
      </c>
      <c r="FS2455" s="1" t="s">
        <v>21267</v>
      </c>
      <c r="FT2455" s="1" t="s">
        <v>295</v>
      </c>
      <c r="FU2455" s="1" t="s">
        <v>204</v>
      </c>
      <c r="FW2455" s="1" t="s">
        <v>5648</v>
      </c>
      <c r="FX2455" s="1">
        <v>23099</v>
      </c>
      <c r="FY2455" s="1" t="s">
        <v>5649</v>
      </c>
      <c r="FZ2455" s="1" t="s">
        <v>16407</v>
      </c>
      <c r="GA2455" s="1">
        <v>220929</v>
      </c>
      <c r="GB2455" s="1" t="s">
        <v>16408</v>
      </c>
      <c r="GD2455" s="1" t="s">
        <v>16409</v>
      </c>
      <c r="GE2455" s="1" t="s">
        <v>1333</v>
      </c>
      <c r="GH2455" s="1" t="s">
        <v>421</v>
      </c>
      <c r="GI2455" s="1" t="s">
        <v>213</v>
      </c>
      <c r="GJ2455" s="1" t="s">
        <v>260</v>
      </c>
      <c r="GK2455" s="1" t="s">
        <v>210</v>
      </c>
      <c r="GL2455" s="2">
        <v>42109</v>
      </c>
      <c r="GM2455" s="1" t="s">
        <v>21268</v>
      </c>
    </row>
    <row r="2456" spans="1:195">
      <c r="A2456" s="1">
        <v>96250</v>
      </c>
      <c r="B2456" s="1" t="s">
        <v>195</v>
      </c>
      <c r="C2456" s="1" t="str">
        <f>"08833267"</f>
        <v>08833267</v>
      </c>
      <c r="D2456" s="1" t="s">
        <v>196</v>
      </c>
      <c r="F2456" s="1" t="str">
        <f>"543"</f>
        <v>543</v>
      </c>
      <c r="G2456" s="2">
        <v>42041</v>
      </c>
      <c r="H2456" s="1">
        <v>119900</v>
      </c>
      <c r="I2456" s="1">
        <v>104900</v>
      </c>
      <c r="J2456" s="1">
        <v>96250</v>
      </c>
      <c r="K2456" s="2">
        <v>42039</v>
      </c>
      <c r="L2456" s="1">
        <v>44</v>
      </c>
      <c r="M2456" s="2">
        <v>42082</v>
      </c>
      <c r="N2456" s="1">
        <v>44</v>
      </c>
      <c r="O2456" s="2">
        <v>42082</v>
      </c>
      <c r="P2456" s="1">
        <v>16011</v>
      </c>
      <c r="Q2456" s="1" t="s">
        <v>302</v>
      </c>
      <c r="R2456" s="2">
        <v>42108</v>
      </c>
      <c r="S2456" s="1">
        <v>118618</v>
      </c>
      <c r="U2456" s="1">
        <v>463</v>
      </c>
      <c r="V2456" s="1" t="s">
        <v>7526</v>
      </c>
      <c r="W2456" s="1" t="s">
        <v>449</v>
      </c>
      <c r="Y2456" s="1">
        <v>2</v>
      </c>
      <c r="Z2456" s="1" t="s">
        <v>200</v>
      </c>
      <c r="AA2456" s="1" t="s">
        <v>2639</v>
      </c>
      <c r="AB2456" s="1">
        <v>60543</v>
      </c>
      <c r="AD2456" s="1" t="s">
        <v>21269</v>
      </c>
      <c r="AE2456" s="1" t="s">
        <v>21270</v>
      </c>
      <c r="AF2456" s="1">
        <v>2000</v>
      </c>
      <c r="AG2456" s="1" t="s">
        <v>204</v>
      </c>
      <c r="AH2456" s="1" t="s">
        <v>1397</v>
      </c>
      <c r="AI2456" s="1" t="s">
        <v>453</v>
      </c>
      <c r="AJ2456" s="1" t="s">
        <v>1397</v>
      </c>
      <c r="AL2456" s="1">
        <v>5</v>
      </c>
      <c r="AM2456" s="1">
        <v>2</v>
      </c>
      <c r="AN2456" s="1">
        <v>1</v>
      </c>
      <c r="AO2456" s="1">
        <v>1</v>
      </c>
      <c r="AP2456" s="1" t="s">
        <v>210</v>
      </c>
      <c r="AR2456" s="1" t="s">
        <v>210</v>
      </c>
      <c r="AS2456" s="1" t="s">
        <v>204</v>
      </c>
      <c r="AT2456" s="1" t="s">
        <v>211</v>
      </c>
      <c r="AU2456" s="1">
        <v>1</v>
      </c>
      <c r="AW2456" s="1" t="s">
        <v>204</v>
      </c>
      <c r="AX2456" s="1" t="s">
        <v>21271</v>
      </c>
      <c r="AZ2456" s="1">
        <v>4158.24</v>
      </c>
      <c r="BA2456" s="1">
        <v>2013</v>
      </c>
      <c r="BE2456" s="1">
        <v>1060</v>
      </c>
      <c r="BF2456" s="1">
        <v>1</v>
      </c>
      <c r="BG2456" s="1">
        <v>0</v>
      </c>
      <c r="BL2456" s="1">
        <v>0</v>
      </c>
      <c r="BM2456" s="1" t="s">
        <v>413</v>
      </c>
      <c r="BN2456" s="1" t="s">
        <v>213</v>
      </c>
      <c r="BO2456" s="1">
        <v>0</v>
      </c>
      <c r="BP2456" s="1" t="s">
        <v>204</v>
      </c>
      <c r="BR2456" s="1" t="str">
        <f>"0310160034"</f>
        <v>0310160034</v>
      </c>
      <c r="BT2456" s="1" t="s">
        <v>21272</v>
      </c>
      <c r="BX2456" s="1">
        <v>308</v>
      </c>
      <c r="BY2456" s="1">
        <v>308</v>
      </c>
      <c r="BZ2456" s="1">
        <v>308</v>
      </c>
      <c r="CB2456" s="1" t="str">
        <f t="shared" ref="CB2456:CC2456" si="1884">""</f>
        <v/>
      </c>
      <c r="CC2456" s="1" t="str">
        <f t="shared" si="1884"/>
        <v/>
      </c>
      <c r="CG2456" s="1" t="s">
        <v>344</v>
      </c>
      <c r="CH2456" s="1" t="s">
        <v>219</v>
      </c>
      <c r="CK2456" s="1" t="s">
        <v>315</v>
      </c>
      <c r="CL2456" s="1" t="s">
        <v>219</v>
      </c>
      <c r="CO2456" s="1" t="s">
        <v>318</v>
      </c>
      <c r="CP2456" s="1" t="s">
        <v>219</v>
      </c>
      <c r="CS2456" s="1" t="s">
        <v>379</v>
      </c>
      <c r="CT2456" s="1" t="s">
        <v>219</v>
      </c>
      <c r="CX2456" s="1" t="s">
        <v>224</v>
      </c>
      <c r="DB2456" s="1" t="s">
        <v>224</v>
      </c>
      <c r="DE2456" s="1" t="s">
        <v>630</v>
      </c>
      <c r="DF2456" s="1" t="s">
        <v>219</v>
      </c>
      <c r="DJ2456" s="1" t="s">
        <v>224</v>
      </c>
      <c r="DS2456" s="1" t="s">
        <v>230</v>
      </c>
      <c r="DW2456" s="1" t="s">
        <v>230</v>
      </c>
      <c r="EA2456" s="1" t="s">
        <v>230</v>
      </c>
      <c r="EE2456" s="1" t="s">
        <v>230</v>
      </c>
      <c r="EI2456" s="1" t="s">
        <v>230</v>
      </c>
      <c r="EL2456" s="1" t="s">
        <v>466</v>
      </c>
      <c r="EM2456" s="1" t="s">
        <v>319</v>
      </c>
      <c r="EN2456" s="1" t="s">
        <v>282</v>
      </c>
      <c r="EO2456" s="1" t="s">
        <v>234</v>
      </c>
      <c r="ER2456" s="1" t="s">
        <v>210</v>
      </c>
      <c r="EW2456" s="1" t="s">
        <v>210</v>
      </c>
      <c r="EZ2456" s="1" t="s">
        <v>287</v>
      </c>
      <c r="FD2456" s="1" t="s">
        <v>246</v>
      </c>
      <c r="FE2456" s="1" t="s">
        <v>472</v>
      </c>
      <c r="FF2456" s="1" t="s">
        <v>248</v>
      </c>
      <c r="FH2456" s="1" t="s">
        <v>442</v>
      </c>
      <c r="FL2456" s="1" t="s">
        <v>358</v>
      </c>
      <c r="FM2456" s="1" t="s">
        <v>252</v>
      </c>
      <c r="FN2456" s="1" t="s">
        <v>213</v>
      </c>
      <c r="FO2456" s="1" t="s">
        <v>213</v>
      </c>
      <c r="FQ2456" s="1" t="s">
        <v>673</v>
      </c>
      <c r="FR2456" s="1" t="s">
        <v>210</v>
      </c>
      <c r="FS2456" s="1" t="s">
        <v>21273</v>
      </c>
      <c r="FT2456" s="1" t="s">
        <v>520</v>
      </c>
      <c r="FU2456" s="1" t="s">
        <v>204</v>
      </c>
      <c r="FW2456" s="1" t="s">
        <v>10574</v>
      </c>
      <c r="FX2456" s="1">
        <v>231</v>
      </c>
      <c r="FY2456" s="1" t="s">
        <v>10575</v>
      </c>
      <c r="FZ2456" s="1" t="s">
        <v>10576</v>
      </c>
      <c r="GA2456" s="1">
        <v>301667</v>
      </c>
      <c r="GB2456" s="1" t="s">
        <v>10575</v>
      </c>
      <c r="GC2456" s="1">
        <v>8873</v>
      </c>
      <c r="GE2456" s="1" t="s">
        <v>210</v>
      </c>
      <c r="GI2456" s="1" t="s">
        <v>213</v>
      </c>
      <c r="GJ2456" s="1" t="s">
        <v>300</v>
      </c>
      <c r="GK2456" s="1" t="s">
        <v>210</v>
      </c>
      <c r="GL2456" s="2">
        <v>42110</v>
      </c>
      <c r="GM2456" s="1" t="s">
        <v>16747</v>
      </c>
    </row>
    <row r="2457" spans="1:195">
      <c r="A2457" s="1">
        <v>75000</v>
      </c>
      <c r="B2457" s="1" t="s">
        <v>195</v>
      </c>
      <c r="C2457" s="1" t="str">
        <f>"08836459"</f>
        <v>08836459</v>
      </c>
      <c r="D2457" s="1" t="s">
        <v>196</v>
      </c>
      <c r="F2457" s="1" t="str">
        <f>"20"</f>
        <v>20</v>
      </c>
      <c r="G2457" s="2">
        <v>42046</v>
      </c>
      <c r="H2457" s="1">
        <v>79876</v>
      </c>
      <c r="I2457" s="1">
        <v>79876</v>
      </c>
      <c r="J2457" s="1">
        <v>75000</v>
      </c>
      <c r="K2457" s="2">
        <v>42046</v>
      </c>
      <c r="L2457" s="1">
        <v>12</v>
      </c>
      <c r="M2457" s="2">
        <v>42057</v>
      </c>
      <c r="N2457" s="1">
        <v>12</v>
      </c>
      <c r="O2457" s="2">
        <v>42057</v>
      </c>
      <c r="P2457" s="1">
        <v>2412</v>
      </c>
      <c r="Q2457" s="1" t="s">
        <v>302</v>
      </c>
      <c r="R2457" s="2">
        <v>42075</v>
      </c>
      <c r="S2457" s="1">
        <v>14283</v>
      </c>
      <c r="U2457" s="1">
        <v>7429</v>
      </c>
      <c r="V2457" s="1" t="s">
        <v>21274</v>
      </c>
      <c r="W2457" s="1" t="s">
        <v>304</v>
      </c>
      <c r="Y2457" s="1">
        <v>2</v>
      </c>
      <c r="Z2457" s="1" t="s">
        <v>249</v>
      </c>
      <c r="AA2457" s="1" t="s">
        <v>592</v>
      </c>
      <c r="AB2457" s="1">
        <v>60020</v>
      </c>
      <c r="AE2457" s="1" t="s">
        <v>21275</v>
      </c>
      <c r="AF2457" s="1">
        <v>1974</v>
      </c>
      <c r="AG2457" s="1" t="s">
        <v>213</v>
      </c>
      <c r="AH2457" s="1" t="s">
        <v>595</v>
      </c>
      <c r="AI2457" s="1" t="s">
        <v>509</v>
      </c>
      <c r="AJ2457" s="1" t="s">
        <v>596</v>
      </c>
      <c r="AL2457" s="1">
        <v>4</v>
      </c>
      <c r="AM2457" s="1">
        <v>2</v>
      </c>
      <c r="AN2457" s="1">
        <v>1</v>
      </c>
      <c r="AO2457" s="1">
        <v>0</v>
      </c>
      <c r="AP2457" s="1" t="s">
        <v>210</v>
      </c>
      <c r="AR2457" s="1" t="s">
        <v>210</v>
      </c>
      <c r="AS2457" s="1" t="s">
        <v>204</v>
      </c>
      <c r="AT2457" s="1" t="s">
        <v>375</v>
      </c>
      <c r="AU2457" s="1">
        <v>1</v>
      </c>
      <c r="AV2457" s="1">
        <v>1</v>
      </c>
      <c r="AW2457" s="1" t="s">
        <v>204</v>
      </c>
      <c r="AX2457" s="1" t="s">
        <v>212</v>
      </c>
      <c r="AZ2457" s="1">
        <v>1413</v>
      </c>
      <c r="BA2457" s="1">
        <v>2013</v>
      </c>
      <c r="BB2457" s="1" t="s">
        <v>405</v>
      </c>
      <c r="BE2457" s="1">
        <v>1066</v>
      </c>
      <c r="BF2457" s="1">
        <v>1</v>
      </c>
      <c r="BG2457" s="1">
        <v>21</v>
      </c>
      <c r="BJ2457" s="1">
        <v>90</v>
      </c>
      <c r="BL2457" s="1">
        <v>281</v>
      </c>
      <c r="BM2457" s="1" t="s">
        <v>413</v>
      </c>
      <c r="BN2457" s="1" t="s">
        <v>213</v>
      </c>
      <c r="BO2457" s="1">
        <v>999</v>
      </c>
      <c r="BP2457" s="1" t="s">
        <v>204</v>
      </c>
      <c r="BR2457" s="1" t="str">
        <f>"01284003990000"</f>
        <v>01284003990000</v>
      </c>
      <c r="BT2457" s="1" t="s">
        <v>21276</v>
      </c>
      <c r="BU2457" s="1" t="s">
        <v>21277</v>
      </c>
      <c r="BW2457" s="1" t="s">
        <v>2264</v>
      </c>
      <c r="BX2457" s="1">
        <v>36</v>
      </c>
      <c r="BY2457" s="1">
        <v>114</v>
      </c>
      <c r="BZ2457" s="1">
        <v>124</v>
      </c>
      <c r="CB2457" s="1" t="str">
        <f>"39"</f>
        <v>39</v>
      </c>
      <c r="CC2457" s="1" t="str">
        <f>"0"</f>
        <v>0</v>
      </c>
      <c r="CD2457" s="1">
        <v>28</v>
      </c>
      <c r="CE2457" s="1">
        <v>0</v>
      </c>
      <c r="CG2457" s="1" t="s">
        <v>2511</v>
      </c>
      <c r="CH2457" s="1" t="s">
        <v>219</v>
      </c>
      <c r="CI2457" s="1" t="s">
        <v>220</v>
      </c>
      <c r="CJ2457" s="1" t="s">
        <v>252</v>
      </c>
      <c r="CK2457" s="1" t="s">
        <v>602</v>
      </c>
      <c r="CL2457" s="1" t="s">
        <v>219</v>
      </c>
      <c r="CM2457" s="1" t="s">
        <v>220</v>
      </c>
      <c r="CN2457" s="1" t="s">
        <v>252</v>
      </c>
      <c r="CP2457" s="1" t="s">
        <v>224</v>
      </c>
      <c r="CS2457" s="1" t="s">
        <v>317</v>
      </c>
      <c r="CT2457" s="1" t="s">
        <v>219</v>
      </c>
      <c r="CU2457" s="1" t="s">
        <v>220</v>
      </c>
      <c r="CV2457" s="1" t="s">
        <v>252</v>
      </c>
      <c r="CX2457" s="1" t="s">
        <v>224</v>
      </c>
      <c r="DB2457" s="1" t="s">
        <v>224</v>
      </c>
      <c r="DE2457" s="1" t="s">
        <v>932</v>
      </c>
      <c r="DF2457" s="1" t="s">
        <v>219</v>
      </c>
      <c r="DG2457" s="1" t="s">
        <v>342</v>
      </c>
      <c r="DH2457" s="1" t="s">
        <v>252</v>
      </c>
      <c r="DJ2457" s="1" t="s">
        <v>224</v>
      </c>
      <c r="DM2457" s="1" t="s">
        <v>709</v>
      </c>
      <c r="DN2457" s="1" t="s">
        <v>1771</v>
      </c>
      <c r="DO2457" s="1" t="s">
        <v>8767</v>
      </c>
      <c r="DR2457" s="1" t="s">
        <v>4260</v>
      </c>
      <c r="DS2457" s="1" t="s">
        <v>219</v>
      </c>
      <c r="DT2457" s="1" t="s">
        <v>220</v>
      </c>
      <c r="DU2457" s="1" t="s">
        <v>252</v>
      </c>
      <c r="DV2457" s="1" t="s">
        <v>1919</v>
      </c>
      <c r="DW2457" s="1" t="s">
        <v>219</v>
      </c>
      <c r="DX2457" s="1" t="s">
        <v>342</v>
      </c>
      <c r="DY2457" s="1" t="s">
        <v>252</v>
      </c>
      <c r="DZ2457" s="1" t="s">
        <v>5758</v>
      </c>
      <c r="EA2457" s="1" t="s">
        <v>219</v>
      </c>
      <c r="EB2457" s="1" t="s">
        <v>220</v>
      </c>
      <c r="EC2457" s="1" t="s">
        <v>252</v>
      </c>
      <c r="EE2457" s="1" t="s">
        <v>230</v>
      </c>
      <c r="EI2457" s="1" t="s">
        <v>230</v>
      </c>
      <c r="EL2457" s="1" t="s">
        <v>605</v>
      </c>
      <c r="EM2457" s="1" t="s">
        <v>319</v>
      </c>
      <c r="EN2457" s="1" t="s">
        <v>282</v>
      </c>
      <c r="EO2457" s="1" t="s">
        <v>234</v>
      </c>
      <c r="EP2457" s="1" t="s">
        <v>21278</v>
      </c>
      <c r="EQ2457" s="1" t="s">
        <v>468</v>
      </c>
      <c r="ER2457" s="1" t="s">
        <v>210</v>
      </c>
      <c r="ES2457" s="1" t="s">
        <v>824</v>
      </c>
      <c r="ET2457" s="1" t="s">
        <v>1161</v>
      </c>
      <c r="EU2457" s="1" t="s">
        <v>21279</v>
      </c>
      <c r="EV2457" s="1" t="s">
        <v>240</v>
      </c>
      <c r="EW2457" s="1" t="s">
        <v>21280</v>
      </c>
      <c r="EY2457" s="1" t="s">
        <v>441</v>
      </c>
      <c r="EZ2457" s="1" t="s">
        <v>21281</v>
      </c>
      <c r="FA2457" s="1" t="s">
        <v>21282</v>
      </c>
      <c r="FB2457" s="1" t="s">
        <v>1755</v>
      </c>
      <c r="FC2457" s="1" t="s">
        <v>326</v>
      </c>
      <c r="FD2457" s="1" t="s">
        <v>246</v>
      </c>
      <c r="FE2457" s="1" t="s">
        <v>975</v>
      </c>
      <c r="FF2457" s="1" t="s">
        <v>3103</v>
      </c>
      <c r="FH2457" s="1" t="s">
        <v>13557</v>
      </c>
      <c r="FI2457" s="1" t="s">
        <v>4358</v>
      </c>
      <c r="FK2457" s="1" t="s">
        <v>2190</v>
      </c>
      <c r="FL2457" s="1" t="s">
        <v>292</v>
      </c>
      <c r="FM2457" s="1" t="s">
        <v>252</v>
      </c>
      <c r="FN2457" s="1" t="s">
        <v>213</v>
      </c>
      <c r="FO2457" s="1" t="s">
        <v>213</v>
      </c>
      <c r="FQ2457" s="1" t="s">
        <v>21283</v>
      </c>
      <c r="FR2457" s="1" t="s">
        <v>210</v>
      </c>
      <c r="FS2457" s="1" t="s">
        <v>21284</v>
      </c>
      <c r="FT2457" s="1" t="s">
        <v>362</v>
      </c>
      <c r="FU2457" s="1" t="s">
        <v>204</v>
      </c>
      <c r="FV2457" s="1" t="s">
        <v>21285</v>
      </c>
      <c r="FW2457" s="1" t="s">
        <v>1521</v>
      </c>
      <c r="FX2457" s="1">
        <v>16645</v>
      </c>
      <c r="FY2457" s="1" t="s">
        <v>1522</v>
      </c>
      <c r="FZ2457" s="1" t="s">
        <v>1523</v>
      </c>
      <c r="GA2457" s="1">
        <v>144314</v>
      </c>
      <c r="GB2457" s="1" t="s">
        <v>1522</v>
      </c>
      <c r="GD2457" s="1">
        <v>144314</v>
      </c>
      <c r="GE2457" s="1" t="s">
        <v>9240</v>
      </c>
      <c r="GI2457" s="1" t="s">
        <v>204</v>
      </c>
      <c r="GJ2457" s="1" t="s">
        <v>300</v>
      </c>
      <c r="GK2457" s="1" t="s">
        <v>210</v>
      </c>
      <c r="GL2457" s="2">
        <v>42081</v>
      </c>
      <c r="GM2457" s="1" t="s">
        <v>21286</v>
      </c>
    </row>
    <row r="2458" spans="1:195">
      <c r="A2458" s="1">
        <v>78500</v>
      </c>
      <c r="B2458" s="1" t="s">
        <v>195</v>
      </c>
      <c r="C2458" s="1" t="str">
        <f>"08843700"</f>
        <v>08843700</v>
      </c>
      <c r="D2458" s="1" t="s">
        <v>196</v>
      </c>
      <c r="F2458" s="1" t="str">
        <f>"107"</f>
        <v>107</v>
      </c>
      <c r="G2458" s="2">
        <v>42056</v>
      </c>
      <c r="H2458" s="1">
        <v>79900</v>
      </c>
      <c r="I2458" s="1">
        <v>79900</v>
      </c>
      <c r="J2458" s="1">
        <v>78500</v>
      </c>
      <c r="K2458" s="2">
        <v>42056</v>
      </c>
      <c r="L2458" s="1">
        <v>5</v>
      </c>
      <c r="M2458" s="2">
        <v>42060</v>
      </c>
      <c r="N2458" s="1">
        <v>5</v>
      </c>
      <c r="O2458" s="2">
        <v>42060</v>
      </c>
      <c r="P2458" s="1">
        <v>8055</v>
      </c>
      <c r="Q2458" s="1" t="s">
        <v>302</v>
      </c>
      <c r="R2458" s="2">
        <v>42093</v>
      </c>
      <c r="S2458" s="1">
        <v>85320</v>
      </c>
      <c r="U2458" s="1">
        <v>705</v>
      </c>
      <c r="V2458" s="1" t="s">
        <v>8056</v>
      </c>
      <c r="W2458" s="1" t="s">
        <v>449</v>
      </c>
      <c r="X2458" s="1">
        <v>7</v>
      </c>
      <c r="Y2458" s="1">
        <v>8</v>
      </c>
      <c r="Z2458" s="1" t="s">
        <v>249</v>
      </c>
      <c r="AA2458" s="1" t="s">
        <v>1211</v>
      </c>
      <c r="AB2458" s="1">
        <v>60107</v>
      </c>
      <c r="AD2458" s="1" t="s">
        <v>20352</v>
      </c>
      <c r="AE2458" s="1" t="s">
        <v>21287</v>
      </c>
      <c r="AF2458" s="1">
        <v>1978</v>
      </c>
      <c r="AG2458" s="1" t="s">
        <v>204</v>
      </c>
      <c r="AH2458" s="1" t="s">
        <v>1214</v>
      </c>
      <c r="AI2458" s="1" t="s">
        <v>310</v>
      </c>
      <c r="AJ2458" s="1" t="s">
        <v>374</v>
      </c>
      <c r="AL2458" s="1">
        <v>5</v>
      </c>
      <c r="AM2458" s="1">
        <v>2</v>
      </c>
      <c r="AN2458" s="1">
        <v>2</v>
      </c>
      <c r="AO2458" s="1">
        <v>0</v>
      </c>
      <c r="AP2458" s="1" t="s">
        <v>209</v>
      </c>
      <c r="AR2458" s="1" t="s">
        <v>210</v>
      </c>
      <c r="AS2458" s="1" t="s">
        <v>204</v>
      </c>
      <c r="AT2458" s="1" t="s">
        <v>211</v>
      </c>
      <c r="AU2458" s="1">
        <v>1</v>
      </c>
      <c r="AW2458" s="1" t="s">
        <v>204</v>
      </c>
      <c r="AX2458" s="1" t="s">
        <v>212</v>
      </c>
      <c r="AZ2458" s="1">
        <v>1109</v>
      </c>
      <c r="BA2458" s="1">
        <v>2013</v>
      </c>
      <c r="BB2458" s="1" t="s">
        <v>210</v>
      </c>
      <c r="BE2458" s="1">
        <v>0</v>
      </c>
      <c r="BF2458" s="1">
        <v>2</v>
      </c>
      <c r="BG2458" s="1">
        <v>0</v>
      </c>
      <c r="BL2458" s="1">
        <v>289</v>
      </c>
      <c r="BM2458" s="1" t="s">
        <v>204</v>
      </c>
      <c r="BN2458" s="1" t="s">
        <v>213</v>
      </c>
      <c r="BO2458" s="1">
        <v>999</v>
      </c>
      <c r="BP2458" s="1" t="s">
        <v>204</v>
      </c>
      <c r="BR2458" s="1" t="str">
        <f>"06133000121047"</f>
        <v>06133000121047</v>
      </c>
      <c r="BT2458" s="1" t="s">
        <v>21288</v>
      </c>
      <c r="BX2458" s="1">
        <v>46</v>
      </c>
      <c r="BY2458" s="1">
        <v>46</v>
      </c>
      <c r="BZ2458" s="1">
        <v>46</v>
      </c>
      <c r="CB2458" s="1" t="str">
        <f t="shared" ref="CB2458:CC2458" si="1885">""</f>
        <v/>
      </c>
      <c r="CC2458" s="1" t="str">
        <f t="shared" si="1885"/>
        <v/>
      </c>
      <c r="CG2458" s="1" t="s">
        <v>221</v>
      </c>
      <c r="CH2458" s="1" t="s">
        <v>277</v>
      </c>
      <c r="CI2458" s="1" t="s">
        <v>220</v>
      </c>
      <c r="CJ2458" s="1" t="s">
        <v>463</v>
      </c>
      <c r="CK2458" s="1" t="s">
        <v>278</v>
      </c>
      <c r="CL2458" s="1" t="s">
        <v>277</v>
      </c>
      <c r="CM2458" s="1" t="s">
        <v>220</v>
      </c>
      <c r="CN2458" s="1" t="s">
        <v>909</v>
      </c>
      <c r="CO2458" s="1" t="s">
        <v>316</v>
      </c>
      <c r="CP2458" s="1" t="s">
        <v>277</v>
      </c>
      <c r="CQ2458" s="1" t="s">
        <v>220</v>
      </c>
      <c r="CR2458" s="1" t="s">
        <v>210</v>
      </c>
      <c r="CS2458" s="1" t="s">
        <v>379</v>
      </c>
      <c r="CT2458" s="1" t="s">
        <v>277</v>
      </c>
      <c r="CU2458" s="1" t="s">
        <v>220</v>
      </c>
      <c r="CV2458" s="1" t="s">
        <v>909</v>
      </c>
      <c r="CX2458" s="1" t="s">
        <v>224</v>
      </c>
      <c r="DB2458" s="1" t="s">
        <v>224</v>
      </c>
      <c r="DE2458" s="1" t="s">
        <v>516</v>
      </c>
      <c r="DF2458" s="1" t="s">
        <v>277</v>
      </c>
      <c r="DG2458" s="1" t="s">
        <v>226</v>
      </c>
      <c r="DH2458" s="1" t="s">
        <v>210</v>
      </c>
      <c r="DJ2458" s="1" t="s">
        <v>224</v>
      </c>
      <c r="DS2458" s="1" t="s">
        <v>230</v>
      </c>
      <c r="DW2458" s="1" t="s">
        <v>230</v>
      </c>
      <c r="EA2458" s="1" t="s">
        <v>230</v>
      </c>
      <c r="EE2458" s="1" t="s">
        <v>230</v>
      </c>
      <c r="EI2458" s="1" t="s">
        <v>230</v>
      </c>
      <c r="EL2458" s="1" t="s">
        <v>231</v>
      </c>
      <c r="EM2458" s="1" t="s">
        <v>232</v>
      </c>
      <c r="EN2458" s="1" t="s">
        <v>731</v>
      </c>
      <c r="EO2458" s="1" t="s">
        <v>234</v>
      </c>
      <c r="EQ2458" s="1" t="s">
        <v>492</v>
      </c>
      <c r="ER2458" s="1" t="s">
        <v>210</v>
      </c>
      <c r="ES2458" s="1" t="s">
        <v>5707</v>
      </c>
      <c r="EU2458" s="1" t="s">
        <v>239</v>
      </c>
      <c r="EV2458" s="1" t="s">
        <v>240</v>
      </c>
      <c r="EW2458" s="1" t="s">
        <v>1698</v>
      </c>
      <c r="EZ2458" s="1" t="s">
        <v>287</v>
      </c>
      <c r="FA2458" s="1" t="s">
        <v>471</v>
      </c>
      <c r="FD2458" s="1" t="s">
        <v>246</v>
      </c>
      <c r="FE2458" s="1" t="s">
        <v>549</v>
      </c>
      <c r="FF2458" s="1" t="s">
        <v>248</v>
      </c>
      <c r="FH2458" s="1" t="s">
        <v>249</v>
      </c>
      <c r="FJ2458" s="1" t="s">
        <v>1251</v>
      </c>
      <c r="FL2458" s="1" t="s">
        <v>292</v>
      </c>
      <c r="FM2458" s="1" t="s">
        <v>252</v>
      </c>
      <c r="FN2458" s="1" t="s">
        <v>213</v>
      </c>
      <c r="FO2458" s="1" t="s">
        <v>213</v>
      </c>
      <c r="FQ2458" s="1" t="s">
        <v>359</v>
      </c>
      <c r="FR2458" s="1" t="s">
        <v>210</v>
      </c>
      <c r="FS2458" s="1" t="s">
        <v>19059</v>
      </c>
      <c r="FT2458" s="1" t="s">
        <v>295</v>
      </c>
      <c r="FU2458" s="1" t="s">
        <v>204</v>
      </c>
      <c r="FV2458" s="1" t="s">
        <v>21289</v>
      </c>
      <c r="FW2458" s="1" t="s">
        <v>585</v>
      </c>
      <c r="FX2458" s="1">
        <v>8012</v>
      </c>
      <c r="FY2458" s="1" t="s">
        <v>7225</v>
      </c>
      <c r="FZ2458" s="1" t="s">
        <v>14588</v>
      </c>
      <c r="GA2458" s="1">
        <v>81371</v>
      </c>
      <c r="GB2458" s="1" t="s">
        <v>7225</v>
      </c>
      <c r="GD2458" s="1" t="s">
        <v>21290</v>
      </c>
      <c r="GE2458" s="1" t="s">
        <v>1145</v>
      </c>
      <c r="GI2458" s="1" t="s">
        <v>213</v>
      </c>
      <c r="GJ2458" s="1" t="s">
        <v>260</v>
      </c>
      <c r="GK2458" s="1" t="s">
        <v>210</v>
      </c>
      <c r="GL2458" s="2">
        <v>42093</v>
      </c>
      <c r="GM2458" s="1" t="s">
        <v>21291</v>
      </c>
    </row>
    <row r="2459" spans="1:195">
      <c r="A2459" s="1">
        <v>21200</v>
      </c>
      <c r="B2459" s="1" t="s">
        <v>195</v>
      </c>
      <c r="C2459" s="1" t="str">
        <f>"08835293"</f>
        <v>08835293</v>
      </c>
      <c r="D2459" s="1" t="s">
        <v>196</v>
      </c>
      <c r="F2459" s="1" t="str">
        <f>"188"</f>
        <v>188</v>
      </c>
      <c r="G2459" s="2">
        <v>42045</v>
      </c>
      <c r="H2459" s="1">
        <v>29000</v>
      </c>
      <c r="I2459" s="1">
        <v>25000</v>
      </c>
      <c r="J2459" s="1">
        <v>21200</v>
      </c>
      <c r="K2459" s="2">
        <v>42045</v>
      </c>
      <c r="L2459" s="1">
        <v>142</v>
      </c>
      <c r="M2459" s="2">
        <v>42046</v>
      </c>
      <c r="N2459" s="1">
        <v>2</v>
      </c>
      <c r="O2459" s="2">
        <v>42046</v>
      </c>
      <c r="P2459" s="1">
        <v>23948</v>
      </c>
      <c r="Q2459" s="1" t="s">
        <v>302</v>
      </c>
      <c r="R2459" s="2">
        <v>42118</v>
      </c>
      <c r="S2459" s="1">
        <v>214765</v>
      </c>
      <c r="T2459" s="1">
        <v>1152</v>
      </c>
      <c r="U2459" s="1">
        <v>139</v>
      </c>
      <c r="V2459" s="1" t="s">
        <v>5141</v>
      </c>
      <c r="W2459" s="1" t="s">
        <v>526</v>
      </c>
      <c r="X2459" s="1">
        <v>339</v>
      </c>
      <c r="Y2459" s="1">
        <v>12</v>
      </c>
      <c r="Z2459" s="1" t="s">
        <v>249</v>
      </c>
      <c r="AA2459" s="1" t="s">
        <v>1084</v>
      </c>
      <c r="AB2459" s="1">
        <v>60188</v>
      </c>
      <c r="AD2459" s="1" t="s">
        <v>17648</v>
      </c>
      <c r="AE2459" s="1" t="s">
        <v>21292</v>
      </c>
      <c r="AF2459" s="1">
        <v>1980</v>
      </c>
      <c r="AG2459" s="1" t="s">
        <v>204</v>
      </c>
      <c r="AH2459" s="1" t="s">
        <v>1087</v>
      </c>
      <c r="AI2459" s="1" t="s">
        <v>206</v>
      </c>
      <c r="AJ2459" s="1" t="s">
        <v>269</v>
      </c>
      <c r="AL2459" s="1">
        <v>5</v>
      </c>
      <c r="AM2459" s="1">
        <v>2</v>
      </c>
      <c r="AN2459" s="1">
        <v>1</v>
      </c>
      <c r="AO2459" s="1">
        <v>1</v>
      </c>
      <c r="AP2459" s="1" t="s">
        <v>1234</v>
      </c>
      <c r="AR2459" s="1" t="s">
        <v>210</v>
      </c>
      <c r="AS2459" s="1" t="s">
        <v>204</v>
      </c>
      <c r="AT2459" s="1" t="s">
        <v>271</v>
      </c>
      <c r="AV2459" s="1">
        <v>2</v>
      </c>
      <c r="AW2459" s="1" t="s">
        <v>204</v>
      </c>
      <c r="AX2459" s="1" t="s">
        <v>270</v>
      </c>
      <c r="AZ2459" s="1">
        <v>1323</v>
      </c>
      <c r="BA2459" s="1">
        <v>2013</v>
      </c>
      <c r="BE2459" s="1">
        <v>981</v>
      </c>
      <c r="BF2459" s="1">
        <v>3</v>
      </c>
      <c r="BG2459" s="1">
        <v>0</v>
      </c>
      <c r="BJ2459" s="1">
        <v>100</v>
      </c>
      <c r="BL2459" s="1">
        <v>354</v>
      </c>
      <c r="BM2459" s="1" t="s">
        <v>204</v>
      </c>
      <c r="BN2459" s="1" t="s">
        <v>213</v>
      </c>
      <c r="BO2459" s="1">
        <v>25</v>
      </c>
      <c r="BP2459" s="1" t="s">
        <v>204</v>
      </c>
      <c r="BR2459" s="1" t="str">
        <f>"0229111196"</f>
        <v>0229111196</v>
      </c>
      <c r="BT2459" s="1" t="s">
        <v>21293</v>
      </c>
      <c r="BU2459" s="1" t="s">
        <v>1501</v>
      </c>
      <c r="BV2459" s="1" t="s">
        <v>1502</v>
      </c>
      <c r="BW2459" s="1" t="s">
        <v>1092</v>
      </c>
      <c r="BX2459" s="1">
        <v>93</v>
      </c>
      <c r="BY2459" s="1">
        <v>93</v>
      </c>
      <c r="BZ2459" s="1">
        <v>87</v>
      </c>
      <c r="CB2459" s="1" t="str">
        <f>"3"</f>
        <v>3</v>
      </c>
      <c r="CC2459" s="1" t="str">
        <f>""</f>
        <v/>
      </c>
      <c r="CD2459" s="1">
        <v>25</v>
      </c>
      <c r="CG2459" s="1" t="s">
        <v>5899</v>
      </c>
      <c r="CH2459" s="1" t="s">
        <v>784</v>
      </c>
      <c r="CI2459" s="1" t="s">
        <v>342</v>
      </c>
      <c r="CK2459" s="1" t="s">
        <v>378</v>
      </c>
      <c r="CL2459" s="1" t="s">
        <v>784</v>
      </c>
      <c r="CM2459" s="1" t="s">
        <v>342</v>
      </c>
      <c r="CO2459" s="1" t="s">
        <v>348</v>
      </c>
      <c r="CP2459" s="1" t="s">
        <v>784</v>
      </c>
      <c r="CQ2459" s="1" t="s">
        <v>342</v>
      </c>
      <c r="CS2459" s="1" t="s">
        <v>379</v>
      </c>
      <c r="CT2459" s="1" t="s">
        <v>784</v>
      </c>
      <c r="CU2459" s="1" t="s">
        <v>342</v>
      </c>
      <c r="CX2459" s="1" t="s">
        <v>224</v>
      </c>
      <c r="DB2459" s="1" t="s">
        <v>224</v>
      </c>
      <c r="DE2459" s="1" t="s">
        <v>786</v>
      </c>
      <c r="DF2459" s="1" t="s">
        <v>784</v>
      </c>
      <c r="DG2459" s="1" t="s">
        <v>229</v>
      </c>
      <c r="DJ2459" s="1" t="s">
        <v>224</v>
      </c>
      <c r="DS2459" s="1" t="s">
        <v>230</v>
      </c>
      <c r="DW2459" s="1" t="s">
        <v>230</v>
      </c>
      <c r="EA2459" s="1" t="s">
        <v>230</v>
      </c>
      <c r="EE2459" s="1" t="s">
        <v>230</v>
      </c>
      <c r="EI2459" s="1" t="s">
        <v>230</v>
      </c>
      <c r="EL2459" s="1" t="s">
        <v>231</v>
      </c>
      <c r="EM2459" s="1" t="s">
        <v>232</v>
      </c>
      <c r="EN2459" s="1" t="s">
        <v>731</v>
      </c>
      <c r="EO2459" s="1" t="s">
        <v>234</v>
      </c>
      <c r="ER2459" s="1" t="s">
        <v>210</v>
      </c>
      <c r="EW2459" s="1" t="s">
        <v>21294</v>
      </c>
      <c r="EZ2459" s="1" t="s">
        <v>287</v>
      </c>
      <c r="FD2459" s="1" t="s">
        <v>246</v>
      </c>
      <c r="FE2459" s="1" t="s">
        <v>247</v>
      </c>
      <c r="FF2459" s="1" t="s">
        <v>248</v>
      </c>
      <c r="FH2459" s="1" t="s">
        <v>249</v>
      </c>
      <c r="FL2459" s="1" t="s">
        <v>2370</v>
      </c>
      <c r="FM2459" s="1" t="s">
        <v>252</v>
      </c>
      <c r="FN2459" s="1" t="s">
        <v>213</v>
      </c>
      <c r="FO2459" s="1" t="s">
        <v>213</v>
      </c>
      <c r="FQ2459" s="1" t="s">
        <v>689</v>
      </c>
      <c r="FR2459" s="1" t="s">
        <v>210</v>
      </c>
      <c r="FS2459" s="1" t="s">
        <v>1575</v>
      </c>
      <c r="FT2459" s="1" t="s">
        <v>584</v>
      </c>
      <c r="FU2459" s="1" t="s">
        <v>213</v>
      </c>
      <c r="FW2459" s="1" t="s">
        <v>1388</v>
      </c>
      <c r="FX2459" s="1">
        <v>23948</v>
      </c>
      <c r="FY2459" s="1" t="s">
        <v>1389</v>
      </c>
      <c r="FZ2459" s="1" t="s">
        <v>1390</v>
      </c>
      <c r="GA2459" s="1">
        <v>214765</v>
      </c>
      <c r="GB2459" s="1" t="s">
        <v>1391</v>
      </c>
      <c r="GE2459" s="1" t="s">
        <v>210</v>
      </c>
      <c r="GH2459" s="1" t="s">
        <v>589</v>
      </c>
      <c r="GI2459" s="1" t="s">
        <v>213</v>
      </c>
      <c r="GJ2459" s="1" t="s">
        <v>260</v>
      </c>
      <c r="GK2459" s="1" t="s">
        <v>210</v>
      </c>
      <c r="GL2459" s="2">
        <v>42121</v>
      </c>
      <c r="GM2459" s="1" t="s">
        <v>1392</v>
      </c>
    </row>
    <row r="2460" spans="1:195">
      <c r="A2460" s="1">
        <v>57500</v>
      </c>
      <c r="B2460" s="1" t="s">
        <v>195</v>
      </c>
      <c r="C2460" s="1" t="str">
        <f>"08830009"</f>
        <v>08830009</v>
      </c>
      <c r="D2460" s="1" t="s">
        <v>196</v>
      </c>
      <c r="F2460" s="1" t="str">
        <f>"8038"</f>
        <v>8038</v>
      </c>
      <c r="G2460" s="2">
        <v>42038</v>
      </c>
      <c r="H2460" s="1">
        <v>57750</v>
      </c>
      <c r="I2460" s="1">
        <v>57750</v>
      </c>
      <c r="J2460" s="1">
        <v>57500</v>
      </c>
      <c r="K2460" s="2">
        <v>42037</v>
      </c>
      <c r="L2460" s="1">
        <v>37</v>
      </c>
      <c r="M2460" s="2">
        <v>42073</v>
      </c>
      <c r="N2460" s="1">
        <v>37</v>
      </c>
      <c r="O2460" s="2">
        <v>42073</v>
      </c>
      <c r="P2460" s="1">
        <v>10646</v>
      </c>
      <c r="Q2460" s="1" t="s">
        <v>302</v>
      </c>
      <c r="R2460" s="2">
        <v>42123</v>
      </c>
      <c r="S2460" s="1">
        <v>141486</v>
      </c>
      <c r="U2460" s="1">
        <v>4335</v>
      </c>
      <c r="V2460" s="1" t="s">
        <v>21295</v>
      </c>
      <c r="W2460" s="1" t="s">
        <v>425</v>
      </c>
      <c r="X2460" s="1" t="s">
        <v>9641</v>
      </c>
      <c r="Y2460" s="1">
        <v>8</v>
      </c>
      <c r="Z2460" s="1" t="s">
        <v>249</v>
      </c>
      <c r="AA2460" s="1" t="s">
        <v>400</v>
      </c>
      <c r="AB2460" s="1">
        <v>60653</v>
      </c>
      <c r="AD2460" s="1" t="s">
        <v>21296</v>
      </c>
      <c r="AE2460" s="1" t="s">
        <v>21297</v>
      </c>
      <c r="AF2460" s="1">
        <v>2005</v>
      </c>
      <c r="AG2460" s="1" t="s">
        <v>204</v>
      </c>
      <c r="AH2460" s="1" t="s">
        <v>403</v>
      </c>
      <c r="AI2460" s="1" t="s">
        <v>310</v>
      </c>
      <c r="AJ2460" s="1" t="s">
        <v>562</v>
      </c>
      <c r="AK2460" s="1" t="s">
        <v>270</v>
      </c>
      <c r="AL2460" s="1">
        <v>6</v>
      </c>
      <c r="AM2460" s="1">
        <v>2</v>
      </c>
      <c r="AN2460" s="1">
        <v>2</v>
      </c>
      <c r="AO2460" s="1">
        <v>0</v>
      </c>
      <c r="AP2460" s="1" t="s">
        <v>209</v>
      </c>
      <c r="AR2460" s="1" t="s">
        <v>210</v>
      </c>
      <c r="AS2460" s="1" t="s">
        <v>204</v>
      </c>
      <c r="AT2460" s="1" t="s">
        <v>271</v>
      </c>
      <c r="AV2460" s="1">
        <v>1</v>
      </c>
      <c r="AW2460" s="1" t="s">
        <v>204</v>
      </c>
      <c r="AX2460" s="1" t="s">
        <v>212</v>
      </c>
      <c r="AZ2460" s="1">
        <v>1492</v>
      </c>
      <c r="BA2460" s="1">
        <v>2012</v>
      </c>
      <c r="BB2460" s="1" t="s">
        <v>405</v>
      </c>
      <c r="BE2460" s="1">
        <v>1600</v>
      </c>
      <c r="BF2460" s="1">
        <v>1</v>
      </c>
      <c r="BG2460" s="1">
        <v>0</v>
      </c>
      <c r="BJ2460" s="1">
        <v>100</v>
      </c>
      <c r="BL2460" s="1">
        <v>201</v>
      </c>
      <c r="BM2460" s="1" t="s">
        <v>413</v>
      </c>
      <c r="BN2460" s="1" t="s">
        <v>213</v>
      </c>
      <c r="BO2460" s="1">
        <v>5</v>
      </c>
      <c r="BP2460" s="1" t="s">
        <v>204</v>
      </c>
      <c r="BR2460" s="1" t="str">
        <f>"20034010471002"</f>
        <v>20034010471002</v>
      </c>
      <c r="BT2460" s="1" t="s">
        <v>21298</v>
      </c>
      <c r="BX2460" s="1">
        <v>299</v>
      </c>
      <c r="BY2460" s="1">
        <v>299</v>
      </c>
      <c r="BZ2460" s="1">
        <v>299</v>
      </c>
      <c r="CB2460" s="1" t="str">
        <f>"0"</f>
        <v>0</v>
      </c>
      <c r="CC2460" s="1" t="str">
        <f>"500"</f>
        <v>500</v>
      </c>
      <c r="CD2460" s="1">
        <v>0</v>
      </c>
      <c r="CE2460" s="1">
        <v>4335</v>
      </c>
      <c r="CG2460" s="1" t="s">
        <v>21299</v>
      </c>
      <c r="CH2460" s="1" t="s">
        <v>219</v>
      </c>
      <c r="CK2460" s="1" t="s">
        <v>1360</v>
      </c>
      <c r="CL2460" s="1" t="s">
        <v>219</v>
      </c>
      <c r="CO2460" s="1" t="s">
        <v>17290</v>
      </c>
      <c r="CP2460" s="1" t="s">
        <v>219</v>
      </c>
      <c r="CS2460" s="1" t="s">
        <v>2982</v>
      </c>
      <c r="CT2460" s="1" t="s">
        <v>219</v>
      </c>
      <c r="CX2460" s="1" t="s">
        <v>224</v>
      </c>
      <c r="DB2460" s="1" t="s">
        <v>224</v>
      </c>
      <c r="DE2460" s="1" t="s">
        <v>465</v>
      </c>
      <c r="DF2460" s="1" t="s">
        <v>219</v>
      </c>
      <c r="DJ2460" s="1" t="s">
        <v>224</v>
      </c>
      <c r="DM2460" s="1" t="s">
        <v>7771</v>
      </c>
      <c r="DR2460" s="1" t="s">
        <v>4829</v>
      </c>
      <c r="DS2460" s="1" t="s">
        <v>219</v>
      </c>
      <c r="DW2460" s="1" t="s">
        <v>230</v>
      </c>
      <c r="EA2460" s="1" t="s">
        <v>230</v>
      </c>
      <c r="EE2460" s="1" t="s">
        <v>230</v>
      </c>
      <c r="EI2460" s="1" t="s">
        <v>230</v>
      </c>
      <c r="EL2460" s="1" t="s">
        <v>491</v>
      </c>
      <c r="EM2460" s="1" t="s">
        <v>232</v>
      </c>
      <c r="EN2460" s="1" t="s">
        <v>210</v>
      </c>
      <c r="EO2460" s="1" t="s">
        <v>234</v>
      </c>
      <c r="ER2460" s="1" t="s">
        <v>210</v>
      </c>
      <c r="EW2460" s="1" t="s">
        <v>286</v>
      </c>
      <c r="EY2460" s="1" t="s">
        <v>242</v>
      </c>
      <c r="EZ2460" s="1" t="s">
        <v>7771</v>
      </c>
      <c r="FC2460" s="1" t="s">
        <v>1739</v>
      </c>
      <c r="FD2460" s="1" t="s">
        <v>246</v>
      </c>
      <c r="FE2460" s="1" t="s">
        <v>247</v>
      </c>
      <c r="FF2460" s="1" t="s">
        <v>248</v>
      </c>
      <c r="FH2460" s="1" t="s">
        <v>249</v>
      </c>
      <c r="FK2460" s="1" t="s">
        <v>688</v>
      </c>
      <c r="FL2460" s="1" t="s">
        <v>1826</v>
      </c>
      <c r="FM2460" s="1" t="s">
        <v>252</v>
      </c>
      <c r="FN2460" s="1" t="s">
        <v>213</v>
      </c>
      <c r="FO2460" s="1" t="s">
        <v>213</v>
      </c>
      <c r="FQ2460" s="1" t="s">
        <v>582</v>
      </c>
      <c r="FR2460" s="1" t="s">
        <v>210</v>
      </c>
      <c r="FS2460" s="1" t="s">
        <v>4325</v>
      </c>
      <c r="FT2460" s="1" t="s">
        <v>295</v>
      </c>
      <c r="FU2460" s="1" t="s">
        <v>204</v>
      </c>
      <c r="FW2460" s="1" t="s">
        <v>13691</v>
      </c>
      <c r="FX2460" s="1">
        <v>18712</v>
      </c>
      <c r="FY2460" s="1" t="s">
        <v>13692</v>
      </c>
      <c r="FZ2460" s="1" t="s">
        <v>13693</v>
      </c>
      <c r="GA2460" s="1">
        <v>113736</v>
      </c>
      <c r="GB2460" s="1" t="s">
        <v>13692</v>
      </c>
      <c r="GC2460" s="1">
        <v>868904</v>
      </c>
      <c r="GE2460" s="1" t="s">
        <v>210</v>
      </c>
      <c r="GH2460" s="1" t="s">
        <v>421</v>
      </c>
      <c r="GI2460" s="1" t="s">
        <v>213</v>
      </c>
      <c r="GJ2460" s="1" t="s">
        <v>260</v>
      </c>
      <c r="GK2460" s="1" t="s">
        <v>210</v>
      </c>
      <c r="GL2460" s="2">
        <v>42124</v>
      </c>
      <c r="GM2460" s="1" t="s">
        <v>21300</v>
      </c>
    </row>
    <row r="2461" spans="1:195">
      <c r="A2461" s="1">
        <v>115000</v>
      </c>
      <c r="B2461" s="1" t="s">
        <v>195</v>
      </c>
      <c r="C2461" s="1" t="str">
        <f>"08827821"</f>
        <v>08827821</v>
      </c>
      <c r="D2461" s="1" t="s">
        <v>196</v>
      </c>
      <c r="F2461" s="1" t="str">
        <f t="shared" ref="F2461:F2462" si="1886">"46"</f>
        <v>46</v>
      </c>
      <c r="G2461" s="2">
        <v>42034</v>
      </c>
      <c r="H2461" s="1">
        <v>115000</v>
      </c>
      <c r="I2461" s="1">
        <v>115000</v>
      </c>
      <c r="J2461" s="1">
        <v>115000</v>
      </c>
      <c r="K2461" s="2">
        <v>42034</v>
      </c>
      <c r="L2461" s="1">
        <v>7</v>
      </c>
      <c r="M2461" s="2">
        <v>42040</v>
      </c>
      <c r="N2461" s="1">
        <v>7</v>
      </c>
      <c r="O2461" s="2">
        <v>42040</v>
      </c>
      <c r="P2461" s="1">
        <v>2415</v>
      </c>
      <c r="Q2461" s="1" t="s">
        <v>197</v>
      </c>
      <c r="R2461" s="2">
        <v>42088</v>
      </c>
      <c r="S2461" s="1">
        <v>238920</v>
      </c>
      <c r="U2461" s="1">
        <v>1203</v>
      </c>
      <c r="V2461" s="1" t="s">
        <v>5399</v>
      </c>
      <c r="W2461" s="1" t="s">
        <v>304</v>
      </c>
      <c r="Y2461" s="1">
        <v>2</v>
      </c>
      <c r="Z2461" s="1" t="s">
        <v>370</v>
      </c>
      <c r="AA2461" s="1" t="s">
        <v>6887</v>
      </c>
      <c r="AB2461" s="1">
        <v>60046</v>
      </c>
      <c r="AE2461" s="1" t="s">
        <v>21301</v>
      </c>
      <c r="AF2461" s="1">
        <v>1999</v>
      </c>
      <c r="AG2461" s="1" t="s">
        <v>204</v>
      </c>
      <c r="AH2461" s="1" t="s">
        <v>1437</v>
      </c>
      <c r="AI2461" s="1" t="s">
        <v>509</v>
      </c>
      <c r="AJ2461" s="1" t="s">
        <v>1437</v>
      </c>
      <c r="AL2461" s="1">
        <v>6</v>
      </c>
      <c r="AM2461" s="1">
        <v>2</v>
      </c>
      <c r="AN2461" s="1">
        <v>2</v>
      </c>
      <c r="AO2461" s="1">
        <v>1</v>
      </c>
      <c r="AP2461" s="1" t="s">
        <v>209</v>
      </c>
      <c r="AR2461" s="1" t="s">
        <v>210</v>
      </c>
      <c r="AT2461" s="1" t="s">
        <v>211</v>
      </c>
      <c r="AU2461" s="1">
        <v>2</v>
      </c>
      <c r="AW2461" s="1" t="s">
        <v>204</v>
      </c>
      <c r="AX2461" s="1">
        <v>0</v>
      </c>
      <c r="AZ2461" s="1">
        <v>3811.82</v>
      </c>
      <c r="BA2461" s="1">
        <v>2013</v>
      </c>
      <c r="BE2461" s="1">
        <v>2046</v>
      </c>
      <c r="BF2461" s="1">
        <v>1</v>
      </c>
      <c r="BG2461" s="1">
        <v>30</v>
      </c>
      <c r="BL2461" s="1">
        <v>175</v>
      </c>
      <c r="BM2461" s="1" t="s">
        <v>413</v>
      </c>
      <c r="BN2461" s="1" t="s">
        <v>213</v>
      </c>
      <c r="BO2461" s="1" t="s">
        <v>432</v>
      </c>
      <c r="BP2461" s="1" t="s">
        <v>204</v>
      </c>
      <c r="BR2461" s="1" t="str">
        <f>"02282010740000"</f>
        <v>02282010740000</v>
      </c>
      <c r="BT2461" s="1" t="s">
        <v>21302</v>
      </c>
      <c r="BX2461" s="1">
        <v>34</v>
      </c>
      <c r="BY2461" s="1">
        <v>34</v>
      </c>
      <c r="BZ2461" s="1">
        <v>117</v>
      </c>
      <c r="CB2461" s="1" t="str">
        <f t="shared" ref="CB2461:CC2461" si="1887">""</f>
        <v/>
      </c>
      <c r="CC2461" s="1" t="str">
        <f t="shared" si="1887"/>
        <v/>
      </c>
      <c r="CG2461" s="1" t="s">
        <v>18781</v>
      </c>
      <c r="CH2461" s="1" t="s">
        <v>219</v>
      </c>
      <c r="CK2461" s="1" t="s">
        <v>757</v>
      </c>
      <c r="CL2461" s="1" t="s">
        <v>277</v>
      </c>
      <c r="CO2461" s="1" t="s">
        <v>1046</v>
      </c>
      <c r="CP2461" s="1" t="s">
        <v>219</v>
      </c>
      <c r="CR2461" s="1" t="s">
        <v>343</v>
      </c>
      <c r="CS2461" s="1" t="s">
        <v>465</v>
      </c>
      <c r="CT2461" s="1" t="s">
        <v>277</v>
      </c>
      <c r="CX2461" s="1" t="s">
        <v>224</v>
      </c>
      <c r="DB2461" s="1" t="s">
        <v>224</v>
      </c>
      <c r="DE2461" s="1" t="s">
        <v>317</v>
      </c>
      <c r="DF2461" s="1" t="s">
        <v>219</v>
      </c>
      <c r="DJ2461" s="1" t="s">
        <v>224</v>
      </c>
      <c r="DM2461" s="1" t="s">
        <v>1005</v>
      </c>
      <c r="DR2461" s="1" t="s">
        <v>346</v>
      </c>
      <c r="DS2461" s="1" t="s">
        <v>822</v>
      </c>
      <c r="DW2461" s="1" t="s">
        <v>230</v>
      </c>
      <c r="EA2461" s="1" t="s">
        <v>230</v>
      </c>
      <c r="EE2461" s="1" t="s">
        <v>230</v>
      </c>
      <c r="EI2461" s="1" t="s">
        <v>230</v>
      </c>
      <c r="EL2461" s="1" t="s">
        <v>670</v>
      </c>
      <c r="EM2461" s="1" t="s">
        <v>319</v>
      </c>
      <c r="EN2461" s="1" t="s">
        <v>282</v>
      </c>
      <c r="EO2461" s="1" t="s">
        <v>234</v>
      </c>
      <c r="ER2461" s="1" t="s">
        <v>210</v>
      </c>
      <c r="EW2461" s="1" t="s">
        <v>353</v>
      </c>
      <c r="EZ2461" s="1" t="s">
        <v>1005</v>
      </c>
      <c r="FD2461" s="1" t="s">
        <v>246</v>
      </c>
      <c r="FE2461" s="1" t="s">
        <v>472</v>
      </c>
      <c r="FF2461" s="1" t="s">
        <v>248</v>
      </c>
      <c r="FH2461" s="1" t="s">
        <v>550</v>
      </c>
      <c r="FL2461" s="1" t="s">
        <v>358</v>
      </c>
      <c r="FM2461" s="1" t="s">
        <v>252</v>
      </c>
      <c r="FN2461" s="1" t="s">
        <v>213</v>
      </c>
      <c r="FO2461" s="1" t="s">
        <v>204</v>
      </c>
      <c r="FQ2461" s="1" t="s">
        <v>7737</v>
      </c>
      <c r="FR2461" s="1" t="s">
        <v>210</v>
      </c>
      <c r="FS2461" s="1" t="s">
        <v>21303</v>
      </c>
      <c r="FT2461" s="1" t="s">
        <v>362</v>
      </c>
      <c r="FU2461" s="1" t="s">
        <v>204</v>
      </c>
      <c r="FW2461" s="1" t="s">
        <v>4666</v>
      </c>
      <c r="FX2461" s="1">
        <v>18426</v>
      </c>
      <c r="FY2461" s="1" t="s">
        <v>6594</v>
      </c>
      <c r="FZ2461" s="1" t="s">
        <v>21304</v>
      </c>
      <c r="GA2461" s="1">
        <v>183771</v>
      </c>
      <c r="GB2461" s="1" t="s">
        <v>21305</v>
      </c>
      <c r="GE2461" s="1" t="s">
        <v>776</v>
      </c>
      <c r="GI2461" s="1" t="s">
        <v>213</v>
      </c>
      <c r="GJ2461" s="1" t="s">
        <v>260</v>
      </c>
      <c r="GK2461" s="1" t="s">
        <v>1413</v>
      </c>
      <c r="GL2461" s="2">
        <v>42089</v>
      </c>
      <c r="GM2461" s="1" t="s">
        <v>21306</v>
      </c>
    </row>
    <row r="2462" spans="1:195">
      <c r="A2462" s="1">
        <v>150000</v>
      </c>
      <c r="B2462" s="1" t="s">
        <v>195</v>
      </c>
      <c r="C2462" s="1" t="str">
        <f>"08831986"</f>
        <v>08831986</v>
      </c>
      <c r="D2462" s="1" t="s">
        <v>196</v>
      </c>
      <c r="F2462" s="1" t="str">
        <f t="shared" si="1886"/>
        <v>46</v>
      </c>
      <c r="G2462" s="2">
        <v>42040</v>
      </c>
      <c r="H2462" s="1">
        <v>163900</v>
      </c>
      <c r="I2462" s="1">
        <v>150000</v>
      </c>
      <c r="J2462" s="1">
        <v>150000</v>
      </c>
      <c r="K2462" s="2">
        <v>42040</v>
      </c>
      <c r="L2462" s="1">
        <v>55</v>
      </c>
      <c r="M2462" s="2">
        <v>42094</v>
      </c>
      <c r="N2462" s="1">
        <v>55</v>
      </c>
      <c r="O2462" s="2">
        <v>42094</v>
      </c>
      <c r="P2462" s="1">
        <v>2472</v>
      </c>
      <c r="Q2462" s="1" t="s">
        <v>197</v>
      </c>
      <c r="R2462" s="2">
        <v>42143</v>
      </c>
      <c r="S2462" s="1">
        <v>20278</v>
      </c>
      <c r="U2462" s="1">
        <v>3501</v>
      </c>
      <c r="V2462" s="1" t="s">
        <v>21307</v>
      </c>
      <c r="W2462" s="1" t="s">
        <v>449</v>
      </c>
      <c r="Y2462" s="1">
        <v>6</v>
      </c>
      <c r="Z2462" s="1" t="s">
        <v>249</v>
      </c>
      <c r="AA2462" s="1" t="s">
        <v>2772</v>
      </c>
      <c r="AB2462" s="1">
        <v>60046</v>
      </c>
      <c r="AD2462" s="1" t="s">
        <v>21308</v>
      </c>
      <c r="AE2462" s="1" t="s">
        <v>21309</v>
      </c>
      <c r="AF2462" s="1">
        <v>2007</v>
      </c>
      <c r="AG2462" s="1" t="s">
        <v>204</v>
      </c>
      <c r="AH2462" s="1" t="s">
        <v>2775</v>
      </c>
      <c r="AI2462" s="1" t="s">
        <v>509</v>
      </c>
      <c r="AJ2462" s="1" t="s">
        <v>1437</v>
      </c>
      <c r="AL2462" s="1">
        <v>6</v>
      </c>
      <c r="AM2462" s="1">
        <v>2</v>
      </c>
      <c r="AN2462" s="1">
        <v>2</v>
      </c>
      <c r="AO2462" s="1">
        <v>1</v>
      </c>
      <c r="AP2462" s="1" t="s">
        <v>209</v>
      </c>
      <c r="AR2462" s="1" t="s">
        <v>1421</v>
      </c>
      <c r="AS2462" s="1" t="s">
        <v>213</v>
      </c>
      <c r="AT2462" s="1" t="s">
        <v>211</v>
      </c>
      <c r="AU2462" s="1">
        <v>2</v>
      </c>
      <c r="AW2462" s="1" t="s">
        <v>204</v>
      </c>
      <c r="AX2462" s="1" t="s">
        <v>212</v>
      </c>
      <c r="AZ2462" s="1">
        <v>5586.17</v>
      </c>
      <c r="BA2462" s="1">
        <v>2013</v>
      </c>
      <c r="BB2462" s="1" t="s">
        <v>405</v>
      </c>
      <c r="BE2462" s="1">
        <v>1668</v>
      </c>
      <c r="BF2462" s="1">
        <v>1</v>
      </c>
      <c r="BG2462" s="1">
        <v>0</v>
      </c>
      <c r="BL2462" s="1">
        <v>160</v>
      </c>
      <c r="BM2462" s="1" t="s">
        <v>204</v>
      </c>
      <c r="BN2462" s="1" t="s">
        <v>213</v>
      </c>
      <c r="BO2462" s="1">
        <v>90</v>
      </c>
      <c r="BP2462" s="1" t="s">
        <v>204</v>
      </c>
      <c r="BR2462" s="1" t="str">
        <f>"06012060650000"</f>
        <v>06012060650000</v>
      </c>
      <c r="BT2462" s="1" t="s">
        <v>21310</v>
      </c>
      <c r="BU2462" s="1" t="s">
        <v>9591</v>
      </c>
      <c r="BV2462" s="1" t="s">
        <v>9591</v>
      </c>
      <c r="BW2462" s="1" t="s">
        <v>6893</v>
      </c>
      <c r="BX2462" s="1">
        <v>24</v>
      </c>
      <c r="BY2462" s="1">
        <v>24</v>
      </c>
      <c r="BZ2462" s="1">
        <v>117</v>
      </c>
      <c r="CB2462" s="1" t="str">
        <f t="shared" ref="CB2462:CC2462" si="1888">""</f>
        <v/>
      </c>
      <c r="CC2462" s="1" t="str">
        <f t="shared" si="1888"/>
        <v/>
      </c>
      <c r="CG2462" s="1" t="s">
        <v>602</v>
      </c>
      <c r="CH2462" s="1" t="s">
        <v>219</v>
      </c>
      <c r="CI2462" s="1" t="s">
        <v>220</v>
      </c>
      <c r="CJ2462" s="1" t="s">
        <v>343</v>
      </c>
      <c r="CK2462" s="1" t="s">
        <v>932</v>
      </c>
      <c r="CL2462" s="1" t="s">
        <v>219</v>
      </c>
      <c r="CM2462" s="1" t="s">
        <v>220</v>
      </c>
      <c r="CN2462" s="1" t="s">
        <v>343</v>
      </c>
      <c r="CO2462" s="1" t="s">
        <v>1297</v>
      </c>
      <c r="CP2462" s="1" t="s">
        <v>219</v>
      </c>
      <c r="CQ2462" s="1" t="s">
        <v>438</v>
      </c>
      <c r="CR2462" s="1" t="s">
        <v>343</v>
      </c>
      <c r="CS2462" s="1" t="s">
        <v>465</v>
      </c>
      <c r="CT2462" s="1" t="s">
        <v>822</v>
      </c>
      <c r="CU2462" s="1" t="s">
        <v>220</v>
      </c>
      <c r="CV2462" s="1" t="s">
        <v>343</v>
      </c>
      <c r="CX2462" s="1" t="s">
        <v>224</v>
      </c>
      <c r="DB2462" s="1" t="s">
        <v>224</v>
      </c>
      <c r="DE2462" s="1" t="s">
        <v>1454</v>
      </c>
      <c r="DF2462" s="1" t="s">
        <v>219</v>
      </c>
      <c r="DG2462" s="1" t="s">
        <v>438</v>
      </c>
      <c r="DI2462" s="1" t="s">
        <v>539</v>
      </c>
      <c r="DJ2462" s="1" t="s">
        <v>822</v>
      </c>
      <c r="DK2462" s="1" t="s">
        <v>220</v>
      </c>
      <c r="DL2462" s="1" t="s">
        <v>343</v>
      </c>
      <c r="DS2462" s="1" t="s">
        <v>230</v>
      </c>
      <c r="DW2462" s="1" t="s">
        <v>230</v>
      </c>
      <c r="EA2462" s="1" t="s">
        <v>230</v>
      </c>
      <c r="EE2462" s="1" t="s">
        <v>230</v>
      </c>
      <c r="EI2462" s="1" t="s">
        <v>230</v>
      </c>
      <c r="EL2462" s="1" t="s">
        <v>491</v>
      </c>
      <c r="EM2462" s="1" t="s">
        <v>319</v>
      </c>
      <c r="EN2462" s="1" t="s">
        <v>282</v>
      </c>
      <c r="EO2462" s="1" t="s">
        <v>234</v>
      </c>
      <c r="EQ2462" s="1" t="s">
        <v>236</v>
      </c>
      <c r="ER2462" s="1" t="s">
        <v>544</v>
      </c>
      <c r="ES2462" s="1" t="s">
        <v>824</v>
      </c>
      <c r="EV2462" s="1" t="s">
        <v>240</v>
      </c>
      <c r="EW2462" s="1" t="s">
        <v>1219</v>
      </c>
      <c r="EY2462" s="1" t="s">
        <v>242</v>
      </c>
      <c r="EZ2462" s="1" t="s">
        <v>287</v>
      </c>
      <c r="FA2462" s="1" t="s">
        <v>17797</v>
      </c>
      <c r="FD2462" s="1" t="s">
        <v>246</v>
      </c>
      <c r="FE2462" s="1" t="s">
        <v>386</v>
      </c>
      <c r="FF2462" s="1" t="s">
        <v>248</v>
      </c>
      <c r="FH2462" s="1" t="s">
        <v>940</v>
      </c>
      <c r="FI2462" s="1" t="s">
        <v>357</v>
      </c>
      <c r="FL2462" s="1" t="s">
        <v>358</v>
      </c>
      <c r="FM2462" s="1" t="s">
        <v>252</v>
      </c>
      <c r="FN2462" s="1" t="s">
        <v>213</v>
      </c>
      <c r="FO2462" s="1" t="s">
        <v>213</v>
      </c>
      <c r="FQ2462" s="1" t="s">
        <v>12835</v>
      </c>
      <c r="FR2462" s="1" t="s">
        <v>210</v>
      </c>
      <c r="FS2462" s="1" t="s">
        <v>21311</v>
      </c>
      <c r="FT2462" s="1" t="s">
        <v>1182</v>
      </c>
      <c r="FU2462" s="1" t="s">
        <v>204</v>
      </c>
      <c r="FW2462" s="1" t="s">
        <v>5379</v>
      </c>
      <c r="FX2462" s="1">
        <v>2472</v>
      </c>
      <c r="FY2462" s="1" t="s">
        <v>5380</v>
      </c>
      <c r="FZ2462" s="1" t="s">
        <v>16129</v>
      </c>
      <c r="GA2462" s="1">
        <v>13091</v>
      </c>
      <c r="GB2462" s="1" t="s">
        <v>16130</v>
      </c>
      <c r="GE2462" s="1" t="s">
        <v>210</v>
      </c>
      <c r="GI2462" s="1" t="s">
        <v>213</v>
      </c>
      <c r="GJ2462" s="1" t="s">
        <v>260</v>
      </c>
      <c r="GK2462" s="1" t="s">
        <v>210</v>
      </c>
      <c r="GL2462" s="2">
        <v>42143</v>
      </c>
    </row>
    <row r="2463" spans="1:195">
      <c r="A2463" s="1">
        <v>212500</v>
      </c>
      <c r="B2463" s="1" t="s">
        <v>195</v>
      </c>
      <c r="C2463" s="1" t="str">
        <f>"08823889"</f>
        <v>08823889</v>
      </c>
      <c r="D2463" s="1" t="s">
        <v>196</v>
      </c>
      <c r="F2463" s="1" t="str">
        <f>"540"</f>
        <v>540</v>
      </c>
      <c r="G2463" s="2">
        <v>42030</v>
      </c>
      <c r="H2463" s="1">
        <v>227900</v>
      </c>
      <c r="I2463" s="1">
        <v>227900</v>
      </c>
      <c r="J2463" s="1">
        <v>212500</v>
      </c>
      <c r="K2463" s="2">
        <v>42030</v>
      </c>
      <c r="L2463" s="1">
        <v>152</v>
      </c>
      <c r="M2463" s="2">
        <v>42030</v>
      </c>
      <c r="N2463" s="1">
        <v>1</v>
      </c>
      <c r="O2463" s="2">
        <v>42030</v>
      </c>
      <c r="P2463" s="1">
        <v>23076</v>
      </c>
      <c r="Q2463" s="1" t="s">
        <v>197</v>
      </c>
      <c r="R2463" s="2">
        <v>42030</v>
      </c>
      <c r="S2463" s="1">
        <v>235540</v>
      </c>
      <c r="U2463" s="1">
        <v>1959</v>
      </c>
      <c r="V2463" s="1" t="s">
        <v>9989</v>
      </c>
      <c r="W2463" s="1" t="s">
        <v>504</v>
      </c>
      <c r="X2463" s="1">
        <v>1959</v>
      </c>
      <c r="Y2463" s="1">
        <v>4</v>
      </c>
      <c r="Z2463" s="1" t="s">
        <v>249</v>
      </c>
      <c r="AA2463" s="1" t="s">
        <v>921</v>
      </c>
      <c r="AB2463" s="1">
        <v>60564</v>
      </c>
      <c r="AD2463" s="1" t="s">
        <v>21312</v>
      </c>
      <c r="AE2463" s="1" t="s">
        <v>21313</v>
      </c>
      <c r="AF2463" s="1">
        <v>1994</v>
      </c>
      <c r="AG2463" s="1" t="s">
        <v>204</v>
      </c>
      <c r="AH2463" s="1" t="s">
        <v>924</v>
      </c>
      <c r="AI2463" s="1" t="s">
        <v>1800</v>
      </c>
      <c r="AJ2463" s="1" t="s">
        <v>1801</v>
      </c>
      <c r="AL2463" s="1">
        <v>5</v>
      </c>
      <c r="AM2463" s="1">
        <v>2</v>
      </c>
      <c r="AN2463" s="1">
        <v>1</v>
      </c>
      <c r="AO2463" s="1">
        <v>1</v>
      </c>
      <c r="AP2463" s="1" t="s">
        <v>667</v>
      </c>
      <c r="AQ2463" s="1">
        <v>1</v>
      </c>
      <c r="AR2463" s="1" t="s">
        <v>209</v>
      </c>
      <c r="AS2463" s="1" t="s">
        <v>204</v>
      </c>
      <c r="AT2463" s="1" t="s">
        <v>211</v>
      </c>
      <c r="AU2463" s="1">
        <v>2</v>
      </c>
      <c r="AW2463" s="1" t="s">
        <v>204</v>
      </c>
      <c r="AX2463" s="1" t="s">
        <v>212</v>
      </c>
      <c r="AZ2463" s="1">
        <v>4985.28</v>
      </c>
      <c r="BA2463" s="1">
        <v>2012</v>
      </c>
      <c r="BE2463" s="1">
        <v>1300</v>
      </c>
      <c r="BF2463" s="1">
        <v>1</v>
      </c>
      <c r="BG2463" s="1">
        <v>0</v>
      </c>
      <c r="BL2463" s="1">
        <v>215</v>
      </c>
      <c r="BM2463" s="1" t="s">
        <v>204</v>
      </c>
      <c r="BN2463" s="1" t="s">
        <v>213</v>
      </c>
      <c r="BO2463" s="1" t="s">
        <v>5814</v>
      </c>
      <c r="BP2463" s="1" t="s">
        <v>204</v>
      </c>
      <c r="BR2463" s="1" t="str">
        <f>"01023050281003"</f>
        <v>01023050281003</v>
      </c>
      <c r="BT2463" s="1" t="s">
        <v>21314</v>
      </c>
      <c r="BU2463" s="1" t="s">
        <v>10595</v>
      </c>
      <c r="BV2463" s="1" t="s">
        <v>6754</v>
      </c>
      <c r="BW2463" s="1" t="s">
        <v>2218</v>
      </c>
      <c r="BX2463" s="1">
        <v>204</v>
      </c>
      <c r="BY2463" s="1">
        <v>204</v>
      </c>
      <c r="BZ2463" s="1">
        <v>204</v>
      </c>
      <c r="CB2463" s="1" t="str">
        <f t="shared" ref="CB2463:CC2463" si="1889">""</f>
        <v/>
      </c>
      <c r="CC2463" s="1" t="str">
        <f t="shared" si="1889"/>
        <v/>
      </c>
      <c r="CG2463" s="1" t="s">
        <v>1200</v>
      </c>
      <c r="CH2463" s="1" t="s">
        <v>219</v>
      </c>
      <c r="CI2463" s="1" t="s">
        <v>220</v>
      </c>
      <c r="CJ2463" s="1" t="s">
        <v>252</v>
      </c>
      <c r="CK2463" s="1" t="s">
        <v>581</v>
      </c>
      <c r="CL2463" s="1" t="s">
        <v>277</v>
      </c>
      <c r="CM2463" s="1" t="s">
        <v>220</v>
      </c>
      <c r="CP2463" s="1" t="s">
        <v>224</v>
      </c>
      <c r="CS2463" s="1" t="s">
        <v>1297</v>
      </c>
      <c r="CT2463" s="1" t="s">
        <v>277</v>
      </c>
      <c r="CU2463" s="1" t="s">
        <v>220</v>
      </c>
      <c r="CX2463" s="1" t="s">
        <v>224</v>
      </c>
      <c r="DB2463" s="1" t="s">
        <v>224</v>
      </c>
      <c r="DE2463" s="1" t="s">
        <v>3363</v>
      </c>
      <c r="DF2463" s="1" t="s">
        <v>219</v>
      </c>
      <c r="DG2463" s="1" t="s">
        <v>438</v>
      </c>
      <c r="DI2463" s="1" t="s">
        <v>1996</v>
      </c>
      <c r="DJ2463" s="1" t="s">
        <v>822</v>
      </c>
      <c r="DK2463" s="1" t="s">
        <v>220</v>
      </c>
      <c r="DS2463" s="1" t="s">
        <v>230</v>
      </c>
      <c r="DW2463" s="1" t="s">
        <v>230</v>
      </c>
      <c r="EA2463" s="1" t="s">
        <v>230</v>
      </c>
      <c r="EE2463" s="1" t="s">
        <v>230</v>
      </c>
      <c r="EI2463" s="1" t="s">
        <v>230</v>
      </c>
      <c r="EL2463" s="1" t="s">
        <v>382</v>
      </c>
      <c r="EM2463" s="1" t="s">
        <v>730</v>
      </c>
      <c r="EN2463" s="1" t="s">
        <v>282</v>
      </c>
      <c r="EO2463" s="1" t="s">
        <v>234</v>
      </c>
      <c r="EQ2463" s="1" t="s">
        <v>5099</v>
      </c>
      <c r="ER2463" s="1" t="s">
        <v>544</v>
      </c>
      <c r="ES2463" s="1" t="s">
        <v>322</v>
      </c>
      <c r="EW2463" s="1" t="s">
        <v>1804</v>
      </c>
      <c r="EZ2463" s="1" t="s">
        <v>287</v>
      </c>
      <c r="FA2463" s="1" t="s">
        <v>2358</v>
      </c>
      <c r="FD2463" s="1" t="s">
        <v>246</v>
      </c>
      <c r="FE2463" s="1" t="s">
        <v>549</v>
      </c>
      <c r="FF2463" s="1" t="s">
        <v>248</v>
      </c>
      <c r="FH2463" s="1" t="s">
        <v>249</v>
      </c>
      <c r="FI2463" s="1" t="s">
        <v>473</v>
      </c>
      <c r="FJ2463" s="1" t="s">
        <v>197</v>
      </c>
      <c r="FL2463" s="1" t="s">
        <v>414</v>
      </c>
      <c r="FM2463" s="1" t="s">
        <v>252</v>
      </c>
      <c r="FN2463" s="1" t="s">
        <v>213</v>
      </c>
      <c r="FO2463" s="1" t="s">
        <v>213</v>
      </c>
      <c r="FQ2463" s="1" t="s">
        <v>21315</v>
      </c>
      <c r="FR2463" s="1" t="s">
        <v>210</v>
      </c>
      <c r="FS2463" s="1" t="s">
        <v>21316</v>
      </c>
      <c r="FT2463" s="1" t="s">
        <v>1408</v>
      </c>
      <c r="FU2463" s="1" t="s">
        <v>204</v>
      </c>
      <c r="FW2463" s="1" t="s">
        <v>943</v>
      </c>
      <c r="FX2463" s="1">
        <v>23120</v>
      </c>
      <c r="FY2463" s="1" t="s">
        <v>944</v>
      </c>
      <c r="FZ2463" s="1" t="s">
        <v>21317</v>
      </c>
      <c r="GA2463" s="1">
        <v>233520</v>
      </c>
      <c r="GE2463" s="1" t="s">
        <v>210</v>
      </c>
      <c r="GI2463" s="1" t="s">
        <v>213</v>
      </c>
      <c r="GJ2463" s="1" t="s">
        <v>260</v>
      </c>
      <c r="GK2463" s="1" t="s">
        <v>210</v>
      </c>
      <c r="GL2463" s="2">
        <v>42030</v>
      </c>
    </row>
    <row r="2464" spans="1:195">
      <c r="A2464" s="1">
        <v>100000</v>
      </c>
      <c r="B2464" s="1" t="s">
        <v>195</v>
      </c>
      <c r="C2464" s="1" t="str">
        <f>"08823957"</f>
        <v>08823957</v>
      </c>
      <c r="D2464" s="1" t="s">
        <v>196</v>
      </c>
      <c r="F2464" s="1" t="str">
        <f>"123"</f>
        <v>123</v>
      </c>
      <c r="G2464" s="2">
        <v>42030</v>
      </c>
      <c r="H2464" s="1">
        <v>110000</v>
      </c>
      <c r="I2464" s="1">
        <v>110000</v>
      </c>
      <c r="J2464" s="1">
        <v>100000</v>
      </c>
      <c r="K2464" s="2">
        <v>42030</v>
      </c>
      <c r="L2464" s="1">
        <v>15</v>
      </c>
      <c r="M2464" s="2">
        <v>42044</v>
      </c>
      <c r="N2464" s="1">
        <v>15</v>
      </c>
      <c r="O2464" s="2">
        <v>42044</v>
      </c>
      <c r="P2464" s="1">
        <v>5293</v>
      </c>
      <c r="Q2464" s="1" t="s">
        <v>197</v>
      </c>
      <c r="R2464" s="2">
        <v>42099</v>
      </c>
      <c r="S2464" s="1">
        <v>55542</v>
      </c>
      <c r="U2464" s="1">
        <v>325</v>
      </c>
      <c r="V2464" s="1" t="s">
        <v>21318</v>
      </c>
      <c r="W2464" s="1" t="s">
        <v>449</v>
      </c>
      <c r="X2464" s="1" t="s">
        <v>1688</v>
      </c>
      <c r="Y2464" s="1">
        <v>4</v>
      </c>
      <c r="Z2464" s="1" t="s">
        <v>2811</v>
      </c>
      <c r="AA2464" s="1" t="s">
        <v>1173</v>
      </c>
      <c r="AB2464" s="1">
        <v>60120</v>
      </c>
      <c r="AD2464" s="1" t="s">
        <v>4419</v>
      </c>
      <c r="AE2464" s="1" t="s">
        <v>21319</v>
      </c>
      <c r="AF2464" s="1">
        <v>1996</v>
      </c>
      <c r="AG2464" s="1" t="s">
        <v>204</v>
      </c>
      <c r="AH2464" s="1" t="s">
        <v>1175</v>
      </c>
      <c r="AI2464" s="1" t="s">
        <v>310</v>
      </c>
      <c r="AJ2464" s="1" t="s">
        <v>374</v>
      </c>
      <c r="AL2464" s="1">
        <v>5</v>
      </c>
      <c r="AM2464" s="1">
        <v>2</v>
      </c>
      <c r="AN2464" s="1">
        <v>1</v>
      </c>
      <c r="AO2464" s="1">
        <v>0</v>
      </c>
      <c r="AP2464" s="1" t="s">
        <v>209</v>
      </c>
      <c r="AQ2464" s="1">
        <v>1</v>
      </c>
      <c r="AR2464" s="1" t="s">
        <v>210</v>
      </c>
      <c r="AS2464" s="1" t="s">
        <v>204</v>
      </c>
      <c r="AT2464" s="1" t="s">
        <v>211</v>
      </c>
      <c r="AU2464" s="1">
        <v>1</v>
      </c>
      <c r="AW2464" s="1" t="s">
        <v>204</v>
      </c>
      <c r="AX2464" s="1" t="s">
        <v>212</v>
      </c>
      <c r="AZ2464" s="1">
        <v>1392.69</v>
      </c>
      <c r="BA2464" s="1">
        <v>2013</v>
      </c>
      <c r="BB2464" s="1" t="s">
        <v>405</v>
      </c>
      <c r="BE2464" s="1">
        <v>1000</v>
      </c>
      <c r="BF2464" s="1">
        <v>1</v>
      </c>
      <c r="BG2464" s="1">
        <v>0</v>
      </c>
      <c r="BL2464" s="1">
        <v>165</v>
      </c>
      <c r="BM2464" s="1" t="s">
        <v>204</v>
      </c>
      <c r="BN2464" s="1" t="s">
        <v>213</v>
      </c>
      <c r="BO2464" s="1">
        <v>50</v>
      </c>
      <c r="BP2464" s="1" t="s">
        <v>204</v>
      </c>
      <c r="BR2464" s="1" t="str">
        <f>"06192100201307"</f>
        <v>06192100201307</v>
      </c>
      <c r="BT2464" s="1" t="s">
        <v>21320</v>
      </c>
      <c r="BX2464" s="1">
        <v>46</v>
      </c>
      <c r="BY2464" s="1">
        <v>46</v>
      </c>
      <c r="BZ2464" s="1">
        <v>46</v>
      </c>
      <c r="CB2464" s="1" t="str">
        <f t="shared" ref="CB2464:CC2464" si="1890">""</f>
        <v/>
      </c>
      <c r="CC2464" s="1" t="str">
        <f t="shared" si="1890"/>
        <v/>
      </c>
      <c r="CG2464" s="1" t="s">
        <v>757</v>
      </c>
      <c r="CH2464" s="1" t="s">
        <v>219</v>
      </c>
      <c r="CI2464" s="1" t="s">
        <v>220</v>
      </c>
      <c r="CJ2464" s="1" t="s">
        <v>343</v>
      </c>
      <c r="CK2464" s="1" t="s">
        <v>757</v>
      </c>
      <c r="CL2464" s="1" t="s">
        <v>219</v>
      </c>
      <c r="CM2464" s="1" t="s">
        <v>229</v>
      </c>
      <c r="CN2464" s="1" t="s">
        <v>343</v>
      </c>
      <c r="CO2464" s="1" t="s">
        <v>318</v>
      </c>
      <c r="CP2464" s="1" t="s">
        <v>219</v>
      </c>
      <c r="CQ2464" s="1" t="s">
        <v>220</v>
      </c>
      <c r="CR2464" s="1" t="s">
        <v>343</v>
      </c>
      <c r="CS2464" s="1" t="s">
        <v>346</v>
      </c>
      <c r="CT2464" s="1" t="s">
        <v>219</v>
      </c>
      <c r="CU2464" s="1" t="s">
        <v>229</v>
      </c>
      <c r="CV2464" s="1" t="s">
        <v>343</v>
      </c>
      <c r="CX2464" s="1" t="s">
        <v>224</v>
      </c>
      <c r="DB2464" s="1" t="s">
        <v>224</v>
      </c>
      <c r="DE2464" s="1" t="s">
        <v>348</v>
      </c>
      <c r="DF2464" s="1" t="s">
        <v>219</v>
      </c>
      <c r="DG2464" s="1" t="s">
        <v>226</v>
      </c>
      <c r="DH2464" s="1" t="s">
        <v>343</v>
      </c>
      <c r="DJ2464" s="1" t="s">
        <v>224</v>
      </c>
      <c r="DS2464" s="1" t="s">
        <v>230</v>
      </c>
      <c r="DW2464" s="1" t="s">
        <v>230</v>
      </c>
      <c r="EA2464" s="1" t="s">
        <v>230</v>
      </c>
      <c r="EE2464" s="1" t="s">
        <v>230</v>
      </c>
      <c r="EI2464" s="1" t="s">
        <v>230</v>
      </c>
      <c r="EL2464" s="1" t="s">
        <v>670</v>
      </c>
      <c r="EM2464" s="1" t="s">
        <v>319</v>
      </c>
      <c r="EN2464" s="1" t="s">
        <v>282</v>
      </c>
      <c r="EO2464" s="1" t="s">
        <v>234</v>
      </c>
      <c r="ER2464" s="1" t="s">
        <v>210</v>
      </c>
      <c r="EU2464" s="1" t="s">
        <v>1110</v>
      </c>
      <c r="EW2464" s="1" t="s">
        <v>353</v>
      </c>
      <c r="EZ2464" s="1" t="s">
        <v>287</v>
      </c>
      <c r="FA2464" s="1" t="s">
        <v>714</v>
      </c>
      <c r="FD2464" s="1" t="s">
        <v>246</v>
      </c>
      <c r="FE2464" s="1" t="s">
        <v>386</v>
      </c>
      <c r="FF2464" s="1" t="s">
        <v>248</v>
      </c>
      <c r="FH2464" s="1" t="s">
        <v>1316</v>
      </c>
      <c r="FI2464" s="1" t="s">
        <v>357</v>
      </c>
      <c r="FL2464" s="1" t="s">
        <v>414</v>
      </c>
      <c r="FM2464" s="1" t="s">
        <v>252</v>
      </c>
      <c r="FN2464" s="1" t="s">
        <v>213</v>
      </c>
      <c r="FO2464" s="1" t="s">
        <v>213</v>
      </c>
      <c r="FQ2464" s="1" t="s">
        <v>329</v>
      </c>
      <c r="FR2464" s="1" t="s">
        <v>210</v>
      </c>
      <c r="FS2464" s="1" t="s">
        <v>12520</v>
      </c>
      <c r="FT2464" s="1" t="s">
        <v>295</v>
      </c>
      <c r="FU2464" s="1" t="s">
        <v>204</v>
      </c>
      <c r="FW2464" s="1" t="s">
        <v>1097</v>
      </c>
      <c r="FX2464" s="1">
        <v>7661</v>
      </c>
      <c r="FY2464" s="1" t="s">
        <v>7072</v>
      </c>
      <c r="FZ2464" s="1" t="s">
        <v>21321</v>
      </c>
      <c r="GA2464" s="1">
        <v>77439</v>
      </c>
      <c r="GB2464" s="1" t="s">
        <v>21322</v>
      </c>
      <c r="GE2464" s="1" t="s">
        <v>210</v>
      </c>
      <c r="GI2464" s="1" t="s">
        <v>213</v>
      </c>
      <c r="GJ2464" s="1" t="s">
        <v>260</v>
      </c>
      <c r="GK2464" s="1" t="s">
        <v>210</v>
      </c>
      <c r="GL2464" s="2">
        <v>42102</v>
      </c>
      <c r="GM2464" s="1" t="s">
        <v>21323</v>
      </c>
    </row>
    <row r="2465" spans="1:195">
      <c r="A2465" s="1">
        <v>100000</v>
      </c>
      <c r="B2465" s="1" t="s">
        <v>195</v>
      </c>
      <c r="C2465" s="1" t="str">
        <f>"08824475"</f>
        <v>08824475</v>
      </c>
      <c r="D2465" s="1" t="s">
        <v>196</v>
      </c>
      <c r="F2465" s="1" t="str">
        <f>"31"</f>
        <v>31</v>
      </c>
      <c r="G2465" s="2">
        <v>42030</v>
      </c>
      <c r="H2465" s="1">
        <v>120000</v>
      </c>
      <c r="I2465" s="1">
        <v>107500</v>
      </c>
      <c r="J2465" s="1">
        <v>100000</v>
      </c>
      <c r="K2465" s="2">
        <v>42030</v>
      </c>
      <c r="L2465" s="1">
        <v>85</v>
      </c>
      <c r="M2465" s="2">
        <v>42114</v>
      </c>
      <c r="N2465" s="1">
        <v>85</v>
      </c>
      <c r="O2465" s="2">
        <v>42114</v>
      </c>
      <c r="P2465" s="1">
        <v>2644</v>
      </c>
      <c r="Q2465" s="1" t="s">
        <v>302</v>
      </c>
      <c r="R2465" s="2">
        <v>42145</v>
      </c>
      <c r="S2465" s="1">
        <v>16586</v>
      </c>
      <c r="U2465" s="1">
        <v>721</v>
      </c>
      <c r="V2465" s="1" t="s">
        <v>21324</v>
      </c>
      <c r="W2465" s="1" t="s">
        <v>304</v>
      </c>
      <c r="Y2465" s="1">
        <v>4</v>
      </c>
      <c r="Z2465" s="1" t="s">
        <v>370</v>
      </c>
      <c r="AA2465" s="1" t="s">
        <v>1057</v>
      </c>
      <c r="AB2465" s="1">
        <v>60031</v>
      </c>
      <c r="AD2465" s="1" t="s">
        <v>1058</v>
      </c>
      <c r="AE2465" s="1" t="s">
        <v>21325</v>
      </c>
      <c r="AF2465" s="1">
        <v>1978</v>
      </c>
      <c r="AG2465" s="1" t="s">
        <v>204</v>
      </c>
      <c r="AH2465" s="1" t="s">
        <v>1060</v>
      </c>
      <c r="AI2465" s="1" t="s">
        <v>509</v>
      </c>
      <c r="AJ2465" s="1" t="s">
        <v>1061</v>
      </c>
      <c r="AK2465" s="1" t="s">
        <v>19293</v>
      </c>
      <c r="AL2465" s="1">
        <v>6</v>
      </c>
      <c r="AM2465" s="1">
        <v>2</v>
      </c>
      <c r="AN2465" s="1">
        <v>2</v>
      </c>
      <c r="AO2465" s="1">
        <v>0</v>
      </c>
      <c r="AP2465" s="1" t="s">
        <v>209</v>
      </c>
      <c r="AQ2465" s="1">
        <v>1</v>
      </c>
      <c r="AR2465" s="1" t="s">
        <v>210</v>
      </c>
      <c r="AS2465" s="1" t="s">
        <v>204</v>
      </c>
      <c r="AT2465" s="1" t="s">
        <v>211</v>
      </c>
      <c r="AU2465" s="1">
        <v>1</v>
      </c>
      <c r="AW2465" s="1" t="s">
        <v>204</v>
      </c>
      <c r="AX2465" s="1" t="s">
        <v>212</v>
      </c>
      <c r="AZ2465" s="1">
        <v>1936</v>
      </c>
      <c r="BA2465" s="1">
        <v>2013</v>
      </c>
      <c r="BB2465" s="1" t="s">
        <v>405</v>
      </c>
      <c r="BE2465" s="1">
        <v>1162</v>
      </c>
      <c r="BF2465" s="1">
        <v>1</v>
      </c>
      <c r="BG2465" s="1">
        <v>0</v>
      </c>
      <c r="BL2465" s="1">
        <v>355</v>
      </c>
      <c r="BM2465" s="1" t="s">
        <v>204</v>
      </c>
      <c r="BN2465" s="1" t="s">
        <v>213</v>
      </c>
      <c r="BO2465" s="1">
        <v>999</v>
      </c>
      <c r="BP2465" s="1" t="s">
        <v>204</v>
      </c>
      <c r="BR2465" s="1" t="str">
        <f>"07284020600000"</f>
        <v>07284020600000</v>
      </c>
      <c r="BT2465" s="1" t="s">
        <v>21326</v>
      </c>
      <c r="BU2465" s="1" t="s">
        <v>1064</v>
      </c>
      <c r="BV2465" s="1" t="s">
        <v>1065</v>
      </c>
      <c r="BW2465" s="1" t="s">
        <v>1066</v>
      </c>
      <c r="BX2465" s="1">
        <v>50</v>
      </c>
      <c r="BY2465" s="1">
        <v>50</v>
      </c>
      <c r="BZ2465" s="1">
        <v>121</v>
      </c>
      <c r="CB2465" s="1" t="str">
        <f>"33"</f>
        <v>33</v>
      </c>
      <c r="CC2465" s="1" t="str">
        <f>"0"</f>
        <v>0</v>
      </c>
      <c r="CD2465" s="1">
        <v>16</v>
      </c>
      <c r="CE2465" s="1">
        <v>0</v>
      </c>
      <c r="CG2465" s="1" t="s">
        <v>218</v>
      </c>
      <c r="CH2465" s="1" t="s">
        <v>219</v>
      </c>
      <c r="CI2465" s="1" t="s">
        <v>220</v>
      </c>
      <c r="CK2465" s="1" t="s">
        <v>344</v>
      </c>
      <c r="CL2465" s="1" t="s">
        <v>277</v>
      </c>
      <c r="CM2465" s="1" t="s">
        <v>220</v>
      </c>
      <c r="CO2465" s="1" t="s">
        <v>629</v>
      </c>
      <c r="CP2465" s="1" t="s">
        <v>219</v>
      </c>
      <c r="CQ2465" s="1" t="s">
        <v>220</v>
      </c>
      <c r="CS2465" s="1" t="s">
        <v>461</v>
      </c>
      <c r="CT2465" s="1" t="s">
        <v>219</v>
      </c>
      <c r="CU2465" s="1" t="s">
        <v>220</v>
      </c>
      <c r="CX2465" s="1" t="s">
        <v>224</v>
      </c>
      <c r="DB2465" s="1" t="s">
        <v>224</v>
      </c>
      <c r="DE2465" s="1" t="s">
        <v>465</v>
      </c>
      <c r="DF2465" s="1" t="s">
        <v>219</v>
      </c>
      <c r="DG2465" s="1" t="s">
        <v>438</v>
      </c>
      <c r="DJ2465" s="1" t="s">
        <v>224</v>
      </c>
      <c r="DM2465" s="1" t="s">
        <v>411</v>
      </c>
      <c r="DR2465" s="1" t="s">
        <v>408</v>
      </c>
      <c r="DS2465" s="1" t="s">
        <v>277</v>
      </c>
      <c r="DT2465" s="1" t="s">
        <v>342</v>
      </c>
      <c r="DW2465" s="1" t="s">
        <v>230</v>
      </c>
      <c r="EA2465" s="1" t="s">
        <v>230</v>
      </c>
      <c r="EE2465" s="1" t="s">
        <v>230</v>
      </c>
      <c r="EI2465" s="1" t="s">
        <v>230</v>
      </c>
      <c r="EL2465" s="1" t="s">
        <v>231</v>
      </c>
      <c r="EM2465" s="1" t="s">
        <v>319</v>
      </c>
      <c r="EN2465" s="1" t="s">
        <v>282</v>
      </c>
      <c r="EO2465" s="1" t="s">
        <v>234</v>
      </c>
      <c r="EP2465" s="1" t="s">
        <v>21327</v>
      </c>
      <c r="EQ2465" s="1" t="s">
        <v>236</v>
      </c>
      <c r="ER2465" s="1" t="s">
        <v>1069</v>
      </c>
      <c r="ES2465" s="1" t="s">
        <v>322</v>
      </c>
      <c r="EU2465" s="1" t="s">
        <v>239</v>
      </c>
      <c r="EV2465" s="1" t="s">
        <v>240</v>
      </c>
      <c r="EW2465" s="1" t="s">
        <v>2587</v>
      </c>
      <c r="EY2465" s="1" t="s">
        <v>790</v>
      </c>
      <c r="EZ2465" s="1" t="s">
        <v>411</v>
      </c>
      <c r="FA2465" s="1" t="s">
        <v>1554</v>
      </c>
      <c r="FB2465" s="1" t="s">
        <v>1505</v>
      </c>
      <c r="FC2465" s="1" t="s">
        <v>633</v>
      </c>
      <c r="FD2465" s="1" t="s">
        <v>246</v>
      </c>
      <c r="FE2465" s="1" t="s">
        <v>889</v>
      </c>
      <c r="FF2465" s="1" t="s">
        <v>248</v>
      </c>
      <c r="FG2465" s="1" t="s">
        <v>939</v>
      </c>
      <c r="FH2465" s="1" t="s">
        <v>550</v>
      </c>
      <c r="FI2465" s="1" t="s">
        <v>473</v>
      </c>
      <c r="FL2465" s="1" t="s">
        <v>1073</v>
      </c>
      <c r="FM2465" s="1" t="s">
        <v>252</v>
      </c>
      <c r="FN2465" s="1" t="s">
        <v>213</v>
      </c>
      <c r="FO2465" s="1" t="s">
        <v>213</v>
      </c>
      <c r="FQ2465" s="1" t="s">
        <v>21328</v>
      </c>
      <c r="FR2465" s="1" t="s">
        <v>210</v>
      </c>
      <c r="FS2465" s="1" t="s">
        <v>21329</v>
      </c>
      <c r="FT2465" s="1" t="s">
        <v>362</v>
      </c>
      <c r="FU2465" s="1" t="s">
        <v>204</v>
      </c>
      <c r="FW2465" s="1" t="s">
        <v>1077</v>
      </c>
      <c r="FX2465" s="1">
        <v>2752</v>
      </c>
      <c r="FY2465" s="1" t="s">
        <v>1078</v>
      </c>
      <c r="FZ2465" s="1" t="s">
        <v>8836</v>
      </c>
      <c r="GA2465" s="1">
        <v>20394</v>
      </c>
      <c r="GB2465" s="1" t="s">
        <v>8837</v>
      </c>
      <c r="GD2465" s="1" t="s">
        <v>21330</v>
      </c>
      <c r="GE2465" s="1" t="s">
        <v>480</v>
      </c>
      <c r="GI2465" s="1" t="s">
        <v>213</v>
      </c>
      <c r="GJ2465" s="1" t="s">
        <v>260</v>
      </c>
      <c r="GK2465" s="1" t="s">
        <v>210</v>
      </c>
      <c r="GL2465" s="2">
        <v>42146</v>
      </c>
      <c r="GM2465" s="1" t="s">
        <v>21331</v>
      </c>
    </row>
    <row r="2466" spans="1:195">
      <c r="A2466" s="1">
        <v>135051</v>
      </c>
      <c r="B2466" s="1" t="s">
        <v>195</v>
      </c>
      <c r="C2466" s="1" t="str">
        <f>"08824136"</f>
        <v>08824136</v>
      </c>
      <c r="D2466" s="1" t="s">
        <v>196</v>
      </c>
      <c r="F2466" s="1" t="str">
        <f>"538"</f>
        <v>538</v>
      </c>
      <c r="G2466" s="2">
        <v>42030</v>
      </c>
      <c r="H2466" s="1">
        <v>129900</v>
      </c>
      <c r="I2466" s="1">
        <v>124900</v>
      </c>
      <c r="J2466" s="1">
        <v>135051</v>
      </c>
      <c r="K2466" s="2">
        <v>42030</v>
      </c>
      <c r="L2466" s="1">
        <v>64</v>
      </c>
      <c r="M2466" s="2">
        <v>42093</v>
      </c>
      <c r="N2466" s="1">
        <v>64</v>
      </c>
      <c r="O2466" s="2">
        <v>42093</v>
      </c>
      <c r="P2466" s="1">
        <v>22416</v>
      </c>
      <c r="Q2466" s="1" t="s">
        <v>197</v>
      </c>
      <c r="R2466" s="2">
        <v>42132</v>
      </c>
      <c r="S2466" s="1">
        <v>228964</v>
      </c>
      <c r="U2466" s="1">
        <v>1805</v>
      </c>
      <c r="V2466" s="1" t="s">
        <v>5892</v>
      </c>
      <c r="W2466" s="1" t="s">
        <v>3006</v>
      </c>
      <c r="Y2466" s="1">
        <v>4</v>
      </c>
      <c r="Z2466" s="1" t="s">
        <v>370</v>
      </c>
      <c r="AA2466" s="1" t="s">
        <v>450</v>
      </c>
      <c r="AB2466" s="1">
        <v>60538</v>
      </c>
      <c r="AE2466" s="1" t="s">
        <v>21332</v>
      </c>
      <c r="AF2466" s="1">
        <v>2004</v>
      </c>
      <c r="AG2466" s="1" t="s">
        <v>204</v>
      </c>
      <c r="AH2466" s="1" t="s">
        <v>452</v>
      </c>
      <c r="AI2466" s="1" t="s">
        <v>665</v>
      </c>
      <c r="AJ2466" s="1" t="s">
        <v>3240</v>
      </c>
      <c r="AL2466" s="1">
        <v>5</v>
      </c>
      <c r="AM2466" s="1">
        <v>2</v>
      </c>
      <c r="AN2466" s="1">
        <v>2</v>
      </c>
      <c r="AO2466" s="1">
        <v>1</v>
      </c>
      <c r="AP2466" s="1" t="s">
        <v>210</v>
      </c>
      <c r="AR2466" s="1" t="s">
        <v>210</v>
      </c>
      <c r="AS2466" s="1" t="s">
        <v>204</v>
      </c>
      <c r="AT2466" s="1" t="s">
        <v>211</v>
      </c>
      <c r="AU2466" s="1">
        <v>2</v>
      </c>
      <c r="AW2466" s="1" t="s">
        <v>204</v>
      </c>
      <c r="AX2466" s="1" t="s">
        <v>212</v>
      </c>
      <c r="AZ2466" s="1">
        <v>4405.5200000000004</v>
      </c>
      <c r="BA2466" s="1">
        <v>2013</v>
      </c>
      <c r="BE2466" s="1">
        <v>1300</v>
      </c>
      <c r="BF2466" s="1">
        <v>1</v>
      </c>
      <c r="BG2466" s="1">
        <v>15</v>
      </c>
      <c r="BL2466" s="1">
        <v>141</v>
      </c>
      <c r="BM2466" s="1" t="s">
        <v>204</v>
      </c>
      <c r="BN2466" s="1" t="s">
        <v>213</v>
      </c>
      <c r="BO2466" s="1">
        <v>0</v>
      </c>
      <c r="BP2466" s="1" t="s">
        <v>204</v>
      </c>
      <c r="BR2466" s="1" t="str">
        <f>"1435456036"</f>
        <v>1435456036</v>
      </c>
      <c r="BT2466" s="1" t="s">
        <v>21333</v>
      </c>
      <c r="BX2466" s="1">
        <v>302</v>
      </c>
      <c r="BY2466" s="1">
        <v>302</v>
      </c>
      <c r="BZ2466" s="1">
        <v>302</v>
      </c>
      <c r="CB2466" s="1" t="str">
        <f t="shared" ref="CB2466:CC2466" si="1891">""</f>
        <v/>
      </c>
      <c r="CC2466" s="1" t="str">
        <f t="shared" si="1891"/>
        <v/>
      </c>
      <c r="CG2466" s="1" t="s">
        <v>461</v>
      </c>
      <c r="CH2466" s="1" t="s">
        <v>219</v>
      </c>
      <c r="CK2466" s="1" t="s">
        <v>539</v>
      </c>
      <c r="CL2466" s="1" t="s">
        <v>277</v>
      </c>
      <c r="CO2466" s="1" t="s">
        <v>222</v>
      </c>
      <c r="CP2466" s="1" t="s">
        <v>219</v>
      </c>
      <c r="CS2466" s="1" t="s">
        <v>1046</v>
      </c>
      <c r="CT2466" s="1" t="s">
        <v>219</v>
      </c>
      <c r="CX2466" s="1" t="s">
        <v>224</v>
      </c>
      <c r="DB2466" s="1" t="s">
        <v>224</v>
      </c>
      <c r="DE2466" s="1" t="s">
        <v>2138</v>
      </c>
      <c r="DF2466" s="1" t="s">
        <v>219</v>
      </c>
      <c r="DJ2466" s="1" t="s">
        <v>224</v>
      </c>
      <c r="DS2466" s="1" t="s">
        <v>230</v>
      </c>
      <c r="DW2466" s="1" t="s">
        <v>230</v>
      </c>
      <c r="EA2466" s="1" t="s">
        <v>230</v>
      </c>
      <c r="EE2466" s="1" t="s">
        <v>230</v>
      </c>
      <c r="EI2466" s="1" t="s">
        <v>230</v>
      </c>
      <c r="EL2466" s="1" t="s">
        <v>466</v>
      </c>
      <c r="EM2466" s="1" t="s">
        <v>319</v>
      </c>
      <c r="EN2466" s="1" t="s">
        <v>282</v>
      </c>
      <c r="EO2466" s="1" t="s">
        <v>234</v>
      </c>
      <c r="ER2466" s="1" t="s">
        <v>210</v>
      </c>
      <c r="EW2466" s="1" t="s">
        <v>3471</v>
      </c>
      <c r="EZ2466" s="1" t="s">
        <v>287</v>
      </c>
      <c r="FD2466" s="1" t="s">
        <v>495</v>
      </c>
      <c r="FE2466" s="1" t="s">
        <v>975</v>
      </c>
      <c r="FF2466" s="1" t="s">
        <v>248</v>
      </c>
      <c r="FH2466" s="1" t="s">
        <v>550</v>
      </c>
      <c r="FL2466" s="1" t="s">
        <v>358</v>
      </c>
      <c r="FM2466" s="1" t="s">
        <v>252</v>
      </c>
      <c r="FN2466" s="1" t="s">
        <v>213</v>
      </c>
      <c r="FO2466" s="1" t="s">
        <v>213</v>
      </c>
      <c r="FQ2466" s="1" t="s">
        <v>673</v>
      </c>
      <c r="FR2466" s="1" t="s">
        <v>210</v>
      </c>
      <c r="FS2466" s="1" t="s">
        <v>1805</v>
      </c>
      <c r="FT2466" s="1" t="s">
        <v>2609</v>
      </c>
      <c r="FU2466" s="1" t="s">
        <v>204</v>
      </c>
      <c r="FW2466" s="1" t="s">
        <v>1806</v>
      </c>
      <c r="FX2466" s="1">
        <v>25196</v>
      </c>
      <c r="FY2466" s="1" t="s">
        <v>1807</v>
      </c>
      <c r="FZ2466" s="1" t="s">
        <v>1808</v>
      </c>
      <c r="GA2466" s="1">
        <v>214545</v>
      </c>
      <c r="GB2466" s="1" t="s">
        <v>1807</v>
      </c>
      <c r="GE2466" s="1" t="s">
        <v>210</v>
      </c>
      <c r="GI2466" s="1" t="s">
        <v>213</v>
      </c>
      <c r="GJ2466" s="1" t="s">
        <v>260</v>
      </c>
      <c r="GK2466" s="1" t="s">
        <v>210</v>
      </c>
      <c r="GL2466" s="2">
        <v>42135</v>
      </c>
      <c r="GM2466" s="1" t="s">
        <v>20649</v>
      </c>
    </row>
    <row r="2467" spans="1:195">
      <c r="A2467" s="1">
        <v>224000</v>
      </c>
      <c r="B2467" s="1" t="s">
        <v>195</v>
      </c>
      <c r="C2467" s="1" t="str">
        <f>"08824967"</f>
        <v>08824967</v>
      </c>
      <c r="D2467" s="1" t="s">
        <v>196</v>
      </c>
      <c r="F2467" s="1" t="str">
        <f>"10"</f>
        <v>10</v>
      </c>
      <c r="G2467" s="2">
        <v>42031</v>
      </c>
      <c r="H2467" s="1">
        <v>224900</v>
      </c>
      <c r="I2467" s="1">
        <v>224900</v>
      </c>
      <c r="J2467" s="1">
        <v>224000</v>
      </c>
      <c r="K2467" s="2">
        <v>42031</v>
      </c>
      <c r="L2467" s="1">
        <v>4</v>
      </c>
      <c r="M2467" s="2">
        <v>42034</v>
      </c>
      <c r="N2467" s="1">
        <v>4</v>
      </c>
      <c r="O2467" s="2">
        <v>42034</v>
      </c>
      <c r="P2467" s="1">
        <v>4777</v>
      </c>
      <c r="Q2467" s="1" t="s">
        <v>197</v>
      </c>
      <c r="R2467" s="2">
        <v>42081</v>
      </c>
      <c r="S2467" s="1">
        <v>62531</v>
      </c>
      <c r="U2467" s="1">
        <v>541</v>
      </c>
      <c r="V2467" s="1" t="s">
        <v>9683</v>
      </c>
      <c r="W2467" s="1" t="s">
        <v>725</v>
      </c>
      <c r="X2467" s="1">
        <v>205</v>
      </c>
      <c r="Y2467" s="1">
        <v>18</v>
      </c>
      <c r="Z2467" s="1" t="s">
        <v>249</v>
      </c>
      <c r="AA2467" s="1" t="s">
        <v>6288</v>
      </c>
      <c r="AB2467" s="1">
        <v>60010</v>
      </c>
      <c r="AD2467" s="1" t="s">
        <v>21334</v>
      </c>
      <c r="AE2467" s="1" t="s">
        <v>21335</v>
      </c>
      <c r="AF2467" s="1">
        <v>1999</v>
      </c>
      <c r="AG2467" s="1" t="s">
        <v>204</v>
      </c>
      <c r="AH2467" s="1" t="s">
        <v>6729</v>
      </c>
      <c r="AI2467" s="1" t="s">
        <v>509</v>
      </c>
      <c r="AJ2467" s="1" t="s">
        <v>1989</v>
      </c>
      <c r="AL2467" s="1">
        <v>6</v>
      </c>
      <c r="AM2467" s="1">
        <v>2</v>
      </c>
      <c r="AN2467" s="1">
        <v>2</v>
      </c>
      <c r="AO2467" s="1">
        <v>0</v>
      </c>
      <c r="AP2467" s="1" t="s">
        <v>209</v>
      </c>
      <c r="AR2467" s="1" t="s">
        <v>210</v>
      </c>
      <c r="AT2467" s="1" t="s">
        <v>211</v>
      </c>
      <c r="AU2467" s="1">
        <v>1</v>
      </c>
      <c r="AW2467" s="1" t="s">
        <v>204</v>
      </c>
      <c r="AX2467" s="1" t="s">
        <v>212</v>
      </c>
      <c r="AZ2467" s="1">
        <v>5075</v>
      </c>
      <c r="BA2467" s="1">
        <v>2013</v>
      </c>
      <c r="BE2467" s="1">
        <v>1597</v>
      </c>
      <c r="BF2467" s="1">
        <v>2</v>
      </c>
      <c r="BG2467" s="1">
        <v>0</v>
      </c>
      <c r="BL2467" s="1">
        <v>398</v>
      </c>
      <c r="BM2467" s="1" t="s">
        <v>204</v>
      </c>
      <c r="BN2467" s="1" t="s">
        <v>213</v>
      </c>
      <c r="BO2467" s="1">
        <v>30</v>
      </c>
      <c r="BP2467" s="1" t="s">
        <v>204</v>
      </c>
      <c r="BR2467" s="1" t="str">
        <f>"13363031730000"</f>
        <v>13363031730000</v>
      </c>
      <c r="BT2467" s="1" t="s">
        <v>21336</v>
      </c>
      <c r="BU2467" s="1" t="s">
        <v>21337</v>
      </c>
      <c r="BV2467" s="1" t="s">
        <v>9687</v>
      </c>
      <c r="BW2467" s="1" t="s">
        <v>1994</v>
      </c>
      <c r="BX2467" s="1">
        <v>220</v>
      </c>
      <c r="BY2467" s="1">
        <v>220</v>
      </c>
      <c r="BZ2467" s="1">
        <v>220</v>
      </c>
      <c r="CB2467" s="1" t="str">
        <f>"20"</f>
        <v>20</v>
      </c>
      <c r="CC2467" s="1" t="str">
        <f>"0"</f>
        <v>0</v>
      </c>
      <c r="CD2467" s="1">
        <v>25</v>
      </c>
      <c r="CE2467" s="1">
        <v>0</v>
      </c>
      <c r="CG2467" s="1" t="s">
        <v>931</v>
      </c>
      <c r="CH2467" s="1" t="s">
        <v>277</v>
      </c>
      <c r="CI2467" s="1" t="s">
        <v>220</v>
      </c>
      <c r="CJ2467" s="1" t="s">
        <v>343</v>
      </c>
      <c r="CK2467" s="1" t="s">
        <v>862</v>
      </c>
      <c r="CL2467" s="1" t="s">
        <v>277</v>
      </c>
      <c r="CM2467" s="1" t="s">
        <v>220</v>
      </c>
      <c r="CN2467" s="1" t="s">
        <v>343</v>
      </c>
      <c r="CO2467" s="1" t="s">
        <v>933</v>
      </c>
      <c r="CP2467" s="1" t="s">
        <v>277</v>
      </c>
      <c r="CQ2467" s="1" t="s">
        <v>220</v>
      </c>
      <c r="CS2467" s="1" t="s">
        <v>539</v>
      </c>
      <c r="CT2467" s="1" t="s">
        <v>277</v>
      </c>
      <c r="CU2467" s="1" t="s">
        <v>220</v>
      </c>
      <c r="CV2467" s="1" t="s">
        <v>343</v>
      </c>
      <c r="CX2467" s="1" t="s">
        <v>224</v>
      </c>
      <c r="DB2467" s="1" t="s">
        <v>224</v>
      </c>
      <c r="DE2467" s="1" t="s">
        <v>318</v>
      </c>
      <c r="DF2467" s="1" t="s">
        <v>277</v>
      </c>
      <c r="DG2467" s="1" t="s">
        <v>226</v>
      </c>
      <c r="DH2467" s="1" t="s">
        <v>343</v>
      </c>
      <c r="DJ2467" s="1" t="s">
        <v>224</v>
      </c>
      <c r="DM2467" s="1" t="s">
        <v>381</v>
      </c>
      <c r="DR2467" s="1" t="s">
        <v>6174</v>
      </c>
      <c r="DS2467" s="1" t="s">
        <v>277</v>
      </c>
      <c r="DT2467" s="1" t="s">
        <v>226</v>
      </c>
      <c r="DW2467" s="1" t="s">
        <v>230</v>
      </c>
      <c r="EA2467" s="1" t="s">
        <v>230</v>
      </c>
      <c r="EE2467" s="1" t="s">
        <v>230</v>
      </c>
      <c r="EI2467" s="1" t="s">
        <v>230</v>
      </c>
      <c r="EL2467" s="1" t="s">
        <v>670</v>
      </c>
      <c r="EM2467" s="1" t="s">
        <v>319</v>
      </c>
      <c r="EN2467" s="1" t="s">
        <v>282</v>
      </c>
      <c r="EO2467" s="1" t="s">
        <v>234</v>
      </c>
      <c r="EQ2467" s="1" t="s">
        <v>1867</v>
      </c>
      <c r="ER2467" s="1" t="s">
        <v>210</v>
      </c>
      <c r="ES2467" s="1" t="s">
        <v>824</v>
      </c>
      <c r="EU2467" s="1" t="s">
        <v>239</v>
      </c>
      <c r="EV2467" s="1" t="s">
        <v>240</v>
      </c>
      <c r="EW2467" s="1" t="s">
        <v>21338</v>
      </c>
      <c r="EY2467" s="1" t="s">
        <v>242</v>
      </c>
      <c r="EZ2467" s="1" t="s">
        <v>381</v>
      </c>
      <c r="FA2467" s="1" t="s">
        <v>672</v>
      </c>
      <c r="FB2467" s="1" t="s">
        <v>289</v>
      </c>
      <c r="FD2467" s="1" t="s">
        <v>246</v>
      </c>
      <c r="FE2467" s="1" t="s">
        <v>247</v>
      </c>
      <c r="FF2467" s="1" t="s">
        <v>248</v>
      </c>
      <c r="FH2467" s="1" t="s">
        <v>249</v>
      </c>
      <c r="FI2467" s="1" t="s">
        <v>250</v>
      </c>
      <c r="FL2467" s="1" t="s">
        <v>358</v>
      </c>
      <c r="FM2467" s="1" t="s">
        <v>252</v>
      </c>
      <c r="FN2467" s="1" t="s">
        <v>213</v>
      </c>
      <c r="FO2467" s="1" t="s">
        <v>213</v>
      </c>
      <c r="FQ2467" s="1" t="s">
        <v>2004</v>
      </c>
      <c r="FR2467" s="1" t="s">
        <v>210</v>
      </c>
      <c r="FS2467" s="1" t="s">
        <v>19959</v>
      </c>
      <c r="FT2467" s="1" t="s">
        <v>295</v>
      </c>
      <c r="FU2467" s="1" t="s">
        <v>213</v>
      </c>
      <c r="FW2467" s="1" t="s">
        <v>2006</v>
      </c>
      <c r="FX2467" s="1">
        <v>4777</v>
      </c>
      <c r="FY2467" s="1" t="s">
        <v>2007</v>
      </c>
      <c r="FZ2467" s="1" t="s">
        <v>2008</v>
      </c>
      <c r="GA2467" s="1">
        <v>62531</v>
      </c>
      <c r="GB2467" s="1" t="s">
        <v>2009</v>
      </c>
      <c r="GD2467" s="1" t="s">
        <v>19960</v>
      </c>
      <c r="GE2467" s="1" t="s">
        <v>210</v>
      </c>
      <c r="GH2467" s="1" t="s">
        <v>230</v>
      </c>
      <c r="GI2467" s="1" t="s">
        <v>213</v>
      </c>
      <c r="GJ2467" s="1" t="s">
        <v>260</v>
      </c>
      <c r="GK2467" s="1" t="s">
        <v>210</v>
      </c>
      <c r="GL2467" s="2">
        <v>42081</v>
      </c>
    </row>
    <row r="2468" spans="1:195">
      <c r="A2468" s="1">
        <v>133000</v>
      </c>
      <c r="B2468" s="1" t="s">
        <v>195</v>
      </c>
      <c r="C2468" s="1" t="str">
        <f>"08827051"</f>
        <v>08827051</v>
      </c>
      <c r="D2468" s="1" t="s">
        <v>196</v>
      </c>
      <c r="F2468" s="1" t="str">
        <f>"188"</f>
        <v>188</v>
      </c>
      <c r="G2468" s="2">
        <v>42033</v>
      </c>
      <c r="H2468" s="1">
        <v>134900</v>
      </c>
      <c r="I2468" s="1">
        <v>134900</v>
      </c>
      <c r="J2468" s="1">
        <v>133000</v>
      </c>
      <c r="K2468" s="2">
        <v>42033</v>
      </c>
      <c r="L2468" s="1">
        <v>4</v>
      </c>
      <c r="M2468" s="2">
        <v>42036</v>
      </c>
      <c r="N2468" s="1">
        <v>4</v>
      </c>
      <c r="O2468" s="2">
        <v>42036</v>
      </c>
      <c r="P2468" s="1">
        <v>25124</v>
      </c>
      <c r="Q2468" s="1" t="s">
        <v>423</v>
      </c>
      <c r="R2468" s="2">
        <v>42080</v>
      </c>
      <c r="S2468" s="1">
        <v>254165</v>
      </c>
      <c r="T2468" s="1">
        <v>3000</v>
      </c>
      <c r="U2468" s="1">
        <v>1336</v>
      </c>
      <c r="V2468" s="1" t="s">
        <v>21339</v>
      </c>
      <c r="W2468" s="1" t="s">
        <v>449</v>
      </c>
      <c r="Y2468" s="1">
        <v>5</v>
      </c>
      <c r="Z2468" s="1" t="s">
        <v>370</v>
      </c>
      <c r="AA2468" s="1" t="s">
        <v>1084</v>
      </c>
      <c r="AB2468" s="1">
        <v>60188</v>
      </c>
      <c r="AD2468" s="1" t="s">
        <v>6389</v>
      </c>
      <c r="AE2468" s="1" t="s">
        <v>21340</v>
      </c>
      <c r="AF2468" s="1">
        <v>1987</v>
      </c>
      <c r="AG2468" s="1" t="s">
        <v>204</v>
      </c>
      <c r="AH2468" s="1" t="s">
        <v>1087</v>
      </c>
      <c r="AI2468" s="1" t="s">
        <v>206</v>
      </c>
      <c r="AJ2468" s="1" t="s">
        <v>2654</v>
      </c>
      <c r="AK2468" s="1" t="s">
        <v>5180</v>
      </c>
      <c r="AL2468" s="1">
        <v>6</v>
      </c>
      <c r="AM2468" s="1">
        <v>2</v>
      </c>
      <c r="AN2468" s="1">
        <v>2</v>
      </c>
      <c r="AO2468" s="1">
        <v>0</v>
      </c>
      <c r="AP2468" s="1" t="s">
        <v>209</v>
      </c>
      <c r="AQ2468" s="1">
        <v>1</v>
      </c>
      <c r="AR2468" s="1" t="s">
        <v>210</v>
      </c>
      <c r="AS2468" s="1" t="s">
        <v>204</v>
      </c>
      <c r="AT2468" s="1" t="s">
        <v>211</v>
      </c>
      <c r="AU2468" s="1">
        <v>1</v>
      </c>
      <c r="AW2468" s="1" t="s">
        <v>204</v>
      </c>
      <c r="AX2468" s="1" t="s">
        <v>21341</v>
      </c>
      <c r="AZ2468" s="1">
        <v>3862</v>
      </c>
      <c r="BA2468" s="1">
        <v>2013</v>
      </c>
      <c r="BB2468" s="1" t="s">
        <v>599</v>
      </c>
      <c r="BE2468" s="1">
        <v>1340</v>
      </c>
      <c r="BF2468" s="1">
        <v>0</v>
      </c>
      <c r="BG2468" s="1">
        <v>0</v>
      </c>
      <c r="BL2468" s="1">
        <v>280</v>
      </c>
      <c r="BM2468" s="1" t="s">
        <v>204</v>
      </c>
      <c r="BN2468" s="1" t="s">
        <v>213</v>
      </c>
      <c r="BO2468" s="1">
        <v>999</v>
      </c>
      <c r="BP2468" s="1" t="s">
        <v>204</v>
      </c>
      <c r="BR2468" s="1" t="str">
        <f>"0124115050"</f>
        <v>0124115050</v>
      </c>
      <c r="BT2468" s="1" t="s">
        <v>21342</v>
      </c>
      <c r="BU2468" s="1" t="s">
        <v>4591</v>
      </c>
      <c r="BV2468" s="1" t="s">
        <v>4120</v>
      </c>
      <c r="BW2468" s="1" t="s">
        <v>4121</v>
      </c>
      <c r="BX2468" s="1">
        <v>46</v>
      </c>
      <c r="BY2468" s="1">
        <v>46</v>
      </c>
      <c r="BZ2468" s="1">
        <v>46</v>
      </c>
      <c r="CB2468" s="1" t="str">
        <f t="shared" ref="CB2468:CC2468" si="1892">""</f>
        <v/>
      </c>
      <c r="CC2468" s="1" t="str">
        <f t="shared" si="1892"/>
        <v/>
      </c>
      <c r="CG2468" s="1" t="s">
        <v>669</v>
      </c>
      <c r="CH2468" s="1" t="s">
        <v>219</v>
      </c>
      <c r="CI2468" s="1" t="s">
        <v>220</v>
      </c>
      <c r="CJ2468" s="1" t="s">
        <v>252</v>
      </c>
      <c r="CK2468" s="1" t="s">
        <v>461</v>
      </c>
      <c r="CL2468" s="1" t="s">
        <v>219</v>
      </c>
      <c r="CM2468" s="1" t="s">
        <v>220</v>
      </c>
      <c r="CN2468" s="1" t="s">
        <v>252</v>
      </c>
      <c r="CO2468" s="1" t="s">
        <v>2547</v>
      </c>
      <c r="CP2468" s="1" t="s">
        <v>219</v>
      </c>
      <c r="CQ2468" s="1" t="s">
        <v>220</v>
      </c>
      <c r="CS2468" s="1" t="s">
        <v>461</v>
      </c>
      <c r="CT2468" s="1" t="s">
        <v>277</v>
      </c>
      <c r="CU2468" s="1" t="s">
        <v>220</v>
      </c>
      <c r="CV2468" s="1" t="s">
        <v>252</v>
      </c>
      <c r="CX2468" s="1" t="s">
        <v>224</v>
      </c>
      <c r="DB2468" s="1" t="s">
        <v>224</v>
      </c>
      <c r="DE2468" s="1" t="s">
        <v>1046</v>
      </c>
      <c r="DF2468" s="1" t="s">
        <v>219</v>
      </c>
      <c r="DG2468" s="1" t="s">
        <v>226</v>
      </c>
      <c r="DJ2468" s="1" t="s">
        <v>224</v>
      </c>
      <c r="DM2468" s="1" t="s">
        <v>464</v>
      </c>
      <c r="DR2468" s="1" t="s">
        <v>379</v>
      </c>
      <c r="DS2468" s="1" t="s">
        <v>277</v>
      </c>
      <c r="DT2468" s="1" t="s">
        <v>220</v>
      </c>
      <c r="DU2468" s="1" t="s">
        <v>252</v>
      </c>
      <c r="DW2468" s="1" t="s">
        <v>230</v>
      </c>
      <c r="EA2468" s="1" t="s">
        <v>230</v>
      </c>
      <c r="EE2468" s="1" t="s">
        <v>230</v>
      </c>
      <c r="EI2468" s="1" t="s">
        <v>230</v>
      </c>
      <c r="EL2468" s="1" t="s">
        <v>542</v>
      </c>
      <c r="EM2468" s="1" t="s">
        <v>232</v>
      </c>
      <c r="EN2468" s="1" t="s">
        <v>282</v>
      </c>
      <c r="EO2468" s="1" t="s">
        <v>234</v>
      </c>
      <c r="EP2468" s="1" t="s">
        <v>650</v>
      </c>
      <c r="EQ2468" s="1" t="s">
        <v>468</v>
      </c>
      <c r="ER2468" s="1" t="s">
        <v>383</v>
      </c>
      <c r="ES2468" s="1" t="s">
        <v>322</v>
      </c>
      <c r="ET2468" s="1" t="s">
        <v>1752</v>
      </c>
      <c r="EU2468" s="1" t="s">
        <v>239</v>
      </c>
      <c r="EV2468" s="1" t="s">
        <v>240</v>
      </c>
      <c r="EW2468" s="1" t="s">
        <v>867</v>
      </c>
      <c r="EY2468" s="1" t="s">
        <v>242</v>
      </c>
      <c r="EZ2468" s="1" t="s">
        <v>464</v>
      </c>
      <c r="FA2468" s="1" t="s">
        <v>714</v>
      </c>
      <c r="FD2468" s="1" t="s">
        <v>246</v>
      </c>
      <c r="FE2468" s="1" t="s">
        <v>765</v>
      </c>
      <c r="FF2468" s="1" t="s">
        <v>387</v>
      </c>
      <c r="FG2468" s="1" t="s">
        <v>2406</v>
      </c>
      <c r="FH2468" s="1" t="s">
        <v>550</v>
      </c>
      <c r="FI2468" s="1" t="s">
        <v>357</v>
      </c>
      <c r="FJ2468" s="1" t="s">
        <v>1620</v>
      </c>
      <c r="FL2468" s="1" t="s">
        <v>358</v>
      </c>
      <c r="FM2468" s="1" t="s">
        <v>252</v>
      </c>
      <c r="FN2468" s="1" t="s">
        <v>213</v>
      </c>
      <c r="FO2468" s="1" t="s">
        <v>213</v>
      </c>
      <c r="FQ2468" s="1" t="s">
        <v>20790</v>
      </c>
      <c r="FR2468" s="1" t="s">
        <v>210</v>
      </c>
      <c r="FS2468" s="1" t="s">
        <v>21343</v>
      </c>
      <c r="FT2468" s="1" t="s">
        <v>295</v>
      </c>
      <c r="FU2468" s="1" t="s">
        <v>204</v>
      </c>
      <c r="FW2468" s="1" t="s">
        <v>873</v>
      </c>
      <c r="FX2468" s="1">
        <v>25309</v>
      </c>
      <c r="FY2468" s="1" t="s">
        <v>874</v>
      </c>
      <c r="FZ2468" s="1" t="s">
        <v>20792</v>
      </c>
      <c r="GA2468" s="1">
        <v>214605</v>
      </c>
      <c r="GB2468" s="1" t="s">
        <v>20793</v>
      </c>
      <c r="GD2468" s="1" t="s">
        <v>20794</v>
      </c>
      <c r="GE2468" s="1" t="s">
        <v>480</v>
      </c>
      <c r="GI2468" s="1" t="s">
        <v>213</v>
      </c>
      <c r="GJ2468" s="1" t="s">
        <v>260</v>
      </c>
      <c r="GK2468" s="1" t="s">
        <v>261</v>
      </c>
      <c r="GL2468" s="2">
        <v>42081</v>
      </c>
    </row>
    <row r="2469" spans="1:195">
      <c r="A2469" s="1">
        <v>113000</v>
      </c>
      <c r="B2469" s="1" t="s">
        <v>195</v>
      </c>
      <c r="C2469" s="1" t="str">
        <f>"08827089"</f>
        <v>08827089</v>
      </c>
      <c r="D2469" s="1" t="s">
        <v>196</v>
      </c>
      <c r="F2469" s="1" t="str">
        <f t="shared" ref="F2469:F2470" si="1893">"507"</f>
        <v>507</v>
      </c>
      <c r="G2469" s="2">
        <v>42033</v>
      </c>
      <c r="H2469" s="1">
        <v>119000</v>
      </c>
      <c r="I2469" s="1">
        <v>119000</v>
      </c>
      <c r="J2469" s="1">
        <v>113000</v>
      </c>
      <c r="K2469" s="2">
        <v>42033</v>
      </c>
      <c r="L2469" s="1">
        <v>36</v>
      </c>
      <c r="M2469" s="2">
        <v>42068</v>
      </c>
      <c r="N2469" s="1">
        <v>36</v>
      </c>
      <c r="O2469" s="2">
        <v>42068</v>
      </c>
      <c r="P2469" s="1">
        <v>23196</v>
      </c>
      <c r="Q2469" s="1" t="s">
        <v>197</v>
      </c>
      <c r="R2469" s="2">
        <v>42094</v>
      </c>
      <c r="S2469" s="1">
        <v>231054</v>
      </c>
      <c r="U2469" s="1">
        <v>1730</v>
      </c>
      <c r="V2469" s="1" t="s">
        <v>12051</v>
      </c>
      <c r="W2469" s="1" t="s">
        <v>199</v>
      </c>
      <c r="X2469" s="1" t="s">
        <v>21344</v>
      </c>
      <c r="Y2469" s="1">
        <v>34</v>
      </c>
      <c r="Z2469" s="1" t="s">
        <v>249</v>
      </c>
      <c r="AA2469" s="1" t="s">
        <v>1123</v>
      </c>
      <c r="AB2469" s="1">
        <v>60506</v>
      </c>
      <c r="AE2469" s="1" t="s">
        <v>21345</v>
      </c>
      <c r="AF2469" s="1">
        <v>1975</v>
      </c>
      <c r="AG2469" s="1" t="s">
        <v>213</v>
      </c>
      <c r="AH2469" s="1" t="s">
        <v>1126</v>
      </c>
      <c r="AI2469" s="1" t="s">
        <v>665</v>
      </c>
      <c r="AJ2469" s="1" t="s">
        <v>1126</v>
      </c>
      <c r="AL2469" s="1">
        <v>6</v>
      </c>
      <c r="AM2469" s="1">
        <v>2</v>
      </c>
      <c r="AN2469" s="1">
        <v>2</v>
      </c>
      <c r="AO2469" s="1">
        <v>0</v>
      </c>
      <c r="AP2469" s="1" t="s">
        <v>209</v>
      </c>
      <c r="AQ2469" s="1">
        <v>0</v>
      </c>
      <c r="AR2469" s="1" t="s">
        <v>210</v>
      </c>
      <c r="AS2469" s="1" t="s">
        <v>204</v>
      </c>
      <c r="AT2469" s="1" t="s">
        <v>211</v>
      </c>
      <c r="AU2469" s="1">
        <v>1</v>
      </c>
      <c r="AW2469" s="1" t="s">
        <v>204</v>
      </c>
      <c r="AX2469" s="1" t="s">
        <v>212</v>
      </c>
      <c r="AZ2469" s="1">
        <v>3940</v>
      </c>
      <c r="BA2469" s="1">
        <v>2013</v>
      </c>
      <c r="BB2469" s="1" t="s">
        <v>599</v>
      </c>
      <c r="BE2469" s="1">
        <v>1350</v>
      </c>
      <c r="BF2469" s="1">
        <v>1</v>
      </c>
      <c r="BG2469" s="1">
        <v>15</v>
      </c>
      <c r="BJ2469" s="1">
        <v>100</v>
      </c>
      <c r="BL2469" s="1">
        <v>290</v>
      </c>
      <c r="BM2469" s="1" t="s">
        <v>204</v>
      </c>
      <c r="BN2469" s="1" t="s">
        <v>204</v>
      </c>
      <c r="BP2469" s="1" t="s">
        <v>204</v>
      </c>
      <c r="BR2469" s="1" t="str">
        <f>"1520151020"</f>
        <v>1520151020</v>
      </c>
      <c r="BT2469" s="1" t="s">
        <v>21346</v>
      </c>
      <c r="BX2469" s="1">
        <v>129</v>
      </c>
      <c r="BY2469" s="1">
        <v>129</v>
      </c>
      <c r="BZ2469" s="1">
        <v>129</v>
      </c>
      <c r="CB2469" s="1" t="str">
        <f t="shared" ref="CB2469:CC2469" si="1894">"0"</f>
        <v>0</v>
      </c>
      <c r="CC2469" s="1" t="str">
        <f t="shared" si="1894"/>
        <v>0</v>
      </c>
      <c r="CD2469" s="1">
        <v>37</v>
      </c>
      <c r="CE2469" s="1">
        <v>7</v>
      </c>
      <c r="CF2469" s="1" t="s">
        <v>21347</v>
      </c>
      <c r="CG2469" s="1" t="s">
        <v>4225</v>
      </c>
      <c r="CH2469" s="1" t="s">
        <v>219</v>
      </c>
      <c r="CI2469" s="1" t="s">
        <v>229</v>
      </c>
      <c r="CJ2469" s="1" t="s">
        <v>343</v>
      </c>
      <c r="CK2469" s="1" t="s">
        <v>280</v>
      </c>
      <c r="CL2469" s="1" t="s">
        <v>219</v>
      </c>
      <c r="CM2469" s="1" t="s">
        <v>229</v>
      </c>
      <c r="CN2469" s="1" t="s">
        <v>343</v>
      </c>
      <c r="CO2469" s="1" t="s">
        <v>602</v>
      </c>
      <c r="CP2469" s="1" t="s">
        <v>219</v>
      </c>
      <c r="CQ2469" s="1" t="s">
        <v>229</v>
      </c>
      <c r="CR2469" s="1" t="s">
        <v>210</v>
      </c>
      <c r="CS2469" s="1" t="s">
        <v>1469</v>
      </c>
      <c r="CT2469" s="1" t="s">
        <v>219</v>
      </c>
      <c r="CU2469" s="1" t="s">
        <v>220</v>
      </c>
      <c r="CV2469" s="1" t="s">
        <v>343</v>
      </c>
      <c r="CX2469" s="1" t="s">
        <v>224</v>
      </c>
      <c r="DB2469" s="1" t="s">
        <v>224</v>
      </c>
      <c r="DE2469" s="1" t="s">
        <v>886</v>
      </c>
      <c r="DF2469" s="1" t="s">
        <v>219</v>
      </c>
      <c r="DG2469" s="1" t="s">
        <v>342</v>
      </c>
      <c r="DH2469" s="1" t="s">
        <v>343</v>
      </c>
      <c r="DI2469" s="1" t="s">
        <v>602</v>
      </c>
      <c r="DJ2469" s="1" t="s">
        <v>219</v>
      </c>
      <c r="DK2469" s="1" t="s">
        <v>229</v>
      </c>
      <c r="DL2469" s="1" t="s">
        <v>343</v>
      </c>
      <c r="DS2469" s="1" t="s">
        <v>230</v>
      </c>
      <c r="DW2469" s="1" t="s">
        <v>230</v>
      </c>
      <c r="EA2469" s="1" t="s">
        <v>230</v>
      </c>
      <c r="EE2469" s="1" t="s">
        <v>230</v>
      </c>
      <c r="EI2469" s="1" t="s">
        <v>230</v>
      </c>
      <c r="EL2469" s="1" t="s">
        <v>231</v>
      </c>
      <c r="EM2469" s="1" t="s">
        <v>319</v>
      </c>
      <c r="EN2469" s="1" t="s">
        <v>282</v>
      </c>
      <c r="EO2469" s="1" t="s">
        <v>234</v>
      </c>
      <c r="EP2469" s="1" t="s">
        <v>21348</v>
      </c>
      <c r="EQ2469" s="1" t="s">
        <v>236</v>
      </c>
      <c r="ER2469" s="1" t="s">
        <v>210</v>
      </c>
      <c r="ES2469" s="1" t="s">
        <v>322</v>
      </c>
      <c r="EU2469" s="1" t="s">
        <v>239</v>
      </c>
      <c r="EV2469" s="1" t="s">
        <v>1999</v>
      </c>
      <c r="EW2469" s="1" t="s">
        <v>21349</v>
      </c>
      <c r="EZ2469" s="1" t="s">
        <v>287</v>
      </c>
      <c r="FA2469" s="1" t="s">
        <v>2723</v>
      </c>
      <c r="FB2469" s="1" t="s">
        <v>734</v>
      </c>
      <c r="FC2469" s="1" t="s">
        <v>1739</v>
      </c>
      <c r="FD2469" s="1" t="s">
        <v>1112</v>
      </c>
      <c r="FE2469" s="1" t="s">
        <v>247</v>
      </c>
      <c r="FF2469" s="1" t="s">
        <v>2998</v>
      </c>
      <c r="FH2469" s="1" t="s">
        <v>249</v>
      </c>
      <c r="FI2469" s="1" t="s">
        <v>1114</v>
      </c>
      <c r="FL2469" s="1" t="s">
        <v>1073</v>
      </c>
      <c r="FM2469" s="1" t="s">
        <v>252</v>
      </c>
      <c r="FN2469" s="1" t="s">
        <v>213</v>
      </c>
      <c r="FO2469" s="1" t="s">
        <v>213</v>
      </c>
      <c r="FQ2469" s="1" t="s">
        <v>10639</v>
      </c>
      <c r="FR2469" s="1" t="s">
        <v>652</v>
      </c>
      <c r="FS2469" s="1" t="s">
        <v>21350</v>
      </c>
      <c r="FT2469" s="1" t="s">
        <v>362</v>
      </c>
      <c r="FU2469" s="1" t="s">
        <v>204</v>
      </c>
      <c r="FW2469" s="1" t="s">
        <v>3231</v>
      </c>
      <c r="FX2469" s="1">
        <v>24451</v>
      </c>
      <c r="FY2469" s="1" t="s">
        <v>3232</v>
      </c>
      <c r="FZ2469" s="1" t="s">
        <v>10643</v>
      </c>
      <c r="GA2469" s="1">
        <v>256870</v>
      </c>
      <c r="GB2469" s="1" t="s">
        <v>3232</v>
      </c>
      <c r="GD2469" s="1" t="s">
        <v>11705</v>
      </c>
      <c r="GE2469" s="1" t="s">
        <v>210</v>
      </c>
      <c r="GH2469" s="1" t="s">
        <v>589</v>
      </c>
      <c r="GI2469" s="1" t="s">
        <v>204</v>
      </c>
      <c r="GJ2469" s="1" t="s">
        <v>300</v>
      </c>
      <c r="GK2469" s="1" t="s">
        <v>210</v>
      </c>
      <c r="GL2469" s="2">
        <v>42096</v>
      </c>
      <c r="GM2469" s="1" t="s">
        <v>21351</v>
      </c>
    </row>
    <row r="2470" spans="1:195">
      <c r="A2470" s="1">
        <v>142000</v>
      </c>
      <c r="B2470" s="1" t="s">
        <v>195</v>
      </c>
      <c r="C2470" s="1" t="str">
        <f>"08827451"</f>
        <v>08827451</v>
      </c>
      <c r="D2470" s="1" t="s">
        <v>196</v>
      </c>
      <c r="F2470" s="1" t="str">
        <f t="shared" si="1893"/>
        <v>507</v>
      </c>
      <c r="G2470" s="2">
        <v>42034</v>
      </c>
      <c r="H2470" s="1">
        <v>147256</v>
      </c>
      <c r="I2470" s="1">
        <v>147256</v>
      </c>
      <c r="J2470" s="1">
        <v>142000</v>
      </c>
      <c r="K2470" s="2">
        <v>42034</v>
      </c>
      <c r="L2470" s="1">
        <v>18</v>
      </c>
      <c r="M2470" s="2">
        <v>42051</v>
      </c>
      <c r="N2470" s="1">
        <v>18</v>
      </c>
      <c r="O2470" s="2">
        <v>42051</v>
      </c>
      <c r="P2470" s="1">
        <v>20001</v>
      </c>
      <c r="Q2470" s="1" t="s">
        <v>197</v>
      </c>
      <c r="R2470" s="2">
        <v>42090</v>
      </c>
      <c r="S2470" s="1">
        <v>217053</v>
      </c>
      <c r="U2470" s="1">
        <v>2404</v>
      </c>
      <c r="V2470" s="1" t="s">
        <v>21352</v>
      </c>
      <c r="W2470" s="1" t="s">
        <v>304</v>
      </c>
      <c r="Y2470" s="1">
        <v>4</v>
      </c>
      <c r="Z2470" s="1" t="s">
        <v>249</v>
      </c>
      <c r="AA2470" s="1" t="s">
        <v>1123</v>
      </c>
      <c r="AB2470" s="1">
        <v>60503</v>
      </c>
      <c r="AD2470" s="1" t="s">
        <v>14384</v>
      </c>
      <c r="AE2470" s="1" t="s">
        <v>21353</v>
      </c>
      <c r="AF2470" s="1">
        <v>2003</v>
      </c>
      <c r="AG2470" s="1" t="s">
        <v>204</v>
      </c>
      <c r="AH2470" s="1" t="s">
        <v>1126</v>
      </c>
      <c r="AI2470" s="1" t="s">
        <v>1800</v>
      </c>
      <c r="AJ2470" s="1" t="s">
        <v>1801</v>
      </c>
      <c r="AK2470" s="1" t="s">
        <v>7555</v>
      </c>
      <c r="AL2470" s="1">
        <v>6</v>
      </c>
      <c r="AM2470" s="1">
        <v>2</v>
      </c>
      <c r="AN2470" s="1">
        <v>2</v>
      </c>
      <c r="AO2470" s="1">
        <v>1</v>
      </c>
      <c r="AP2470" s="1" t="s">
        <v>209</v>
      </c>
      <c r="AQ2470" s="1">
        <v>1</v>
      </c>
      <c r="AR2470" s="1" t="s">
        <v>1421</v>
      </c>
      <c r="AS2470" s="1" t="s">
        <v>204</v>
      </c>
      <c r="AT2470" s="1" t="s">
        <v>211</v>
      </c>
      <c r="AU2470" s="1">
        <v>2</v>
      </c>
      <c r="AW2470" s="1" t="s">
        <v>204</v>
      </c>
      <c r="AX2470" s="1" t="s">
        <v>212</v>
      </c>
      <c r="AZ2470" s="1">
        <v>3600</v>
      </c>
      <c r="BA2470" s="1">
        <v>2013</v>
      </c>
      <c r="BB2470" s="1" t="s">
        <v>405</v>
      </c>
      <c r="BE2470" s="1">
        <v>1352</v>
      </c>
      <c r="BF2470" s="1">
        <v>1</v>
      </c>
      <c r="BG2470" s="1">
        <v>0</v>
      </c>
      <c r="BL2470" s="1">
        <v>231</v>
      </c>
      <c r="BM2470" s="1" t="s">
        <v>204</v>
      </c>
      <c r="BN2470" s="1" t="s">
        <v>213</v>
      </c>
      <c r="BO2470" s="1">
        <v>999</v>
      </c>
      <c r="BP2470" s="1" t="s">
        <v>204</v>
      </c>
      <c r="BR2470" s="1" t="str">
        <f>"01061140241003"</f>
        <v>01061140241003</v>
      </c>
      <c r="BT2470" s="1" t="s">
        <v>21354</v>
      </c>
      <c r="BU2470" s="1" t="s">
        <v>1400</v>
      </c>
      <c r="BV2470" s="1" t="s">
        <v>7954</v>
      </c>
      <c r="BW2470" s="1" t="s">
        <v>1401</v>
      </c>
      <c r="BX2470" s="1">
        <v>308</v>
      </c>
      <c r="BY2470" s="1">
        <v>308</v>
      </c>
      <c r="BZ2470" s="1">
        <v>308</v>
      </c>
      <c r="CB2470" s="1" t="str">
        <f t="shared" ref="CB2470:CC2470" si="1895">""</f>
        <v/>
      </c>
      <c r="CC2470" s="1" t="str">
        <f t="shared" si="1895"/>
        <v/>
      </c>
      <c r="CD2470" s="1">
        <v>32</v>
      </c>
      <c r="CE2470" s="1">
        <v>11</v>
      </c>
      <c r="CG2470" s="1" t="s">
        <v>932</v>
      </c>
      <c r="CH2470" s="1" t="s">
        <v>219</v>
      </c>
      <c r="CI2470" s="1" t="s">
        <v>229</v>
      </c>
      <c r="CJ2470" s="1" t="s">
        <v>252</v>
      </c>
      <c r="CK2470" s="1" t="s">
        <v>377</v>
      </c>
      <c r="CL2470" s="1" t="s">
        <v>277</v>
      </c>
      <c r="CM2470" s="1" t="s">
        <v>220</v>
      </c>
      <c r="CN2470" s="1" t="s">
        <v>252</v>
      </c>
      <c r="CO2470" s="1" t="s">
        <v>379</v>
      </c>
      <c r="CP2470" s="1" t="s">
        <v>219</v>
      </c>
      <c r="CQ2470" s="1" t="s">
        <v>229</v>
      </c>
      <c r="CR2470" s="1" t="s">
        <v>252</v>
      </c>
      <c r="CS2470" s="1" t="s">
        <v>602</v>
      </c>
      <c r="CT2470" s="1" t="s">
        <v>277</v>
      </c>
      <c r="CU2470" s="1" t="s">
        <v>220</v>
      </c>
      <c r="CV2470" s="1" t="s">
        <v>252</v>
      </c>
      <c r="CX2470" s="1" t="s">
        <v>224</v>
      </c>
      <c r="DB2470" s="1" t="s">
        <v>224</v>
      </c>
      <c r="DE2470" s="1" t="s">
        <v>437</v>
      </c>
      <c r="DF2470" s="1" t="s">
        <v>219</v>
      </c>
      <c r="DG2470" s="1" t="s">
        <v>229</v>
      </c>
      <c r="DH2470" s="1" t="s">
        <v>252</v>
      </c>
      <c r="DI2470" s="1" t="s">
        <v>221</v>
      </c>
      <c r="DJ2470" s="1" t="s">
        <v>822</v>
      </c>
      <c r="DK2470" s="1" t="s">
        <v>220</v>
      </c>
      <c r="DL2470" s="1" t="s">
        <v>252</v>
      </c>
      <c r="DS2470" s="1" t="s">
        <v>230</v>
      </c>
      <c r="DW2470" s="1" t="s">
        <v>230</v>
      </c>
      <c r="EA2470" s="1" t="s">
        <v>230</v>
      </c>
      <c r="EE2470" s="1" t="s">
        <v>230</v>
      </c>
      <c r="EI2470" s="1" t="s">
        <v>230</v>
      </c>
      <c r="EL2470" s="1" t="s">
        <v>466</v>
      </c>
      <c r="EM2470" s="1" t="s">
        <v>319</v>
      </c>
      <c r="EN2470" s="1" t="s">
        <v>282</v>
      </c>
      <c r="EO2470" s="1" t="s">
        <v>234</v>
      </c>
      <c r="EP2470" s="1" t="s">
        <v>650</v>
      </c>
      <c r="EQ2470" s="1" t="s">
        <v>236</v>
      </c>
      <c r="ER2470" s="1" t="s">
        <v>544</v>
      </c>
      <c r="ES2470" s="1" t="s">
        <v>322</v>
      </c>
      <c r="ET2470" s="1" t="s">
        <v>842</v>
      </c>
      <c r="EV2470" s="1" t="s">
        <v>240</v>
      </c>
      <c r="EW2470" s="1" t="s">
        <v>937</v>
      </c>
      <c r="EY2470" s="1" t="s">
        <v>242</v>
      </c>
      <c r="EZ2470" s="1" t="s">
        <v>287</v>
      </c>
      <c r="FA2470" s="1" t="s">
        <v>8988</v>
      </c>
      <c r="FB2470" s="1" t="s">
        <v>289</v>
      </c>
      <c r="FC2470" s="1" t="s">
        <v>1386</v>
      </c>
      <c r="FD2470" s="1" t="s">
        <v>246</v>
      </c>
      <c r="FE2470" s="1" t="s">
        <v>1031</v>
      </c>
      <c r="FF2470" s="1" t="s">
        <v>248</v>
      </c>
      <c r="FG2470" s="1" t="s">
        <v>3933</v>
      </c>
      <c r="FH2470" s="1" t="s">
        <v>550</v>
      </c>
      <c r="FI2470" s="1" t="s">
        <v>473</v>
      </c>
      <c r="FL2470" s="1" t="s">
        <v>358</v>
      </c>
      <c r="FM2470" s="1" t="s">
        <v>252</v>
      </c>
      <c r="FN2470" s="1" t="s">
        <v>213</v>
      </c>
      <c r="FO2470" s="1" t="s">
        <v>213</v>
      </c>
      <c r="FQ2470" s="1" t="s">
        <v>793</v>
      </c>
      <c r="FR2470" s="1" t="s">
        <v>210</v>
      </c>
      <c r="FS2470" s="1" t="s">
        <v>21355</v>
      </c>
      <c r="FT2470" s="1" t="s">
        <v>21356</v>
      </c>
      <c r="FU2470" s="1" t="s">
        <v>204</v>
      </c>
      <c r="FV2470" s="1" t="s">
        <v>21038</v>
      </c>
      <c r="FW2470" s="1" t="s">
        <v>1898</v>
      </c>
      <c r="FX2470" s="1">
        <v>23030</v>
      </c>
      <c r="FY2470" s="1" t="s">
        <v>1899</v>
      </c>
      <c r="FZ2470" s="1" t="s">
        <v>21039</v>
      </c>
      <c r="GA2470" s="1">
        <v>232249</v>
      </c>
      <c r="GB2470" s="1" t="s">
        <v>21040</v>
      </c>
      <c r="GE2470" s="1" t="s">
        <v>480</v>
      </c>
      <c r="GI2470" s="1" t="s">
        <v>213</v>
      </c>
      <c r="GJ2470" s="1" t="s">
        <v>260</v>
      </c>
      <c r="GK2470" s="1" t="s">
        <v>210</v>
      </c>
      <c r="GL2470" s="2">
        <v>42090</v>
      </c>
      <c r="GM2470" s="1" t="s">
        <v>21357</v>
      </c>
    </row>
    <row r="2471" spans="1:195">
      <c r="A2471" s="1">
        <v>185000</v>
      </c>
      <c r="B2471" s="1" t="s">
        <v>195</v>
      </c>
      <c r="C2471" s="1" t="str">
        <f>"08825829"</f>
        <v>08825829</v>
      </c>
      <c r="D2471" s="1" t="s">
        <v>196</v>
      </c>
      <c r="F2471" s="1" t="str">
        <f>"191"</f>
        <v>191</v>
      </c>
      <c r="G2471" s="2">
        <v>42032</v>
      </c>
      <c r="H2471" s="1">
        <v>189900</v>
      </c>
      <c r="I2471" s="1">
        <v>189900</v>
      </c>
      <c r="J2471" s="1">
        <v>185000</v>
      </c>
      <c r="K2471" s="2">
        <v>42031</v>
      </c>
      <c r="L2471" s="1">
        <v>8</v>
      </c>
      <c r="M2471" s="2">
        <v>42038</v>
      </c>
      <c r="N2471" s="1">
        <v>8</v>
      </c>
      <c r="O2471" s="2">
        <v>42038</v>
      </c>
      <c r="P2471" s="1">
        <v>24007</v>
      </c>
      <c r="Q2471" s="1" t="s">
        <v>302</v>
      </c>
      <c r="R2471" s="2">
        <v>42096</v>
      </c>
      <c r="S2471" s="1">
        <v>245609</v>
      </c>
      <c r="U2471" s="1">
        <v>190</v>
      </c>
      <c r="V2471" s="1" t="s">
        <v>1966</v>
      </c>
      <c r="W2471" s="1" t="s">
        <v>1056</v>
      </c>
      <c r="X2471" s="1">
        <v>609</v>
      </c>
      <c r="Y2471" s="1">
        <v>118</v>
      </c>
      <c r="Z2471" s="1" t="s">
        <v>249</v>
      </c>
      <c r="AA2471" s="1" t="s">
        <v>1966</v>
      </c>
      <c r="AB2471" s="1">
        <v>60191</v>
      </c>
      <c r="AD2471" s="1" t="s">
        <v>1967</v>
      </c>
      <c r="AE2471" s="1" t="s">
        <v>21358</v>
      </c>
      <c r="AF2471" s="1" t="s">
        <v>402</v>
      </c>
      <c r="AG2471" s="1" t="s">
        <v>213</v>
      </c>
      <c r="AH2471" s="1" t="s">
        <v>1969</v>
      </c>
      <c r="AI2471" s="1" t="s">
        <v>206</v>
      </c>
      <c r="AJ2471" s="1" t="s">
        <v>1233</v>
      </c>
      <c r="AL2471" s="1">
        <v>5</v>
      </c>
      <c r="AM2471" s="1">
        <v>2</v>
      </c>
      <c r="AN2471" s="1">
        <v>2</v>
      </c>
      <c r="AO2471" s="1">
        <v>0</v>
      </c>
      <c r="AP2471" s="1" t="s">
        <v>209</v>
      </c>
      <c r="AR2471" s="1" t="s">
        <v>210</v>
      </c>
      <c r="AS2471" s="1" t="s">
        <v>204</v>
      </c>
      <c r="AT2471" s="1" t="s">
        <v>211</v>
      </c>
      <c r="AU2471" s="1">
        <v>2</v>
      </c>
      <c r="AW2471" s="1" t="s">
        <v>204</v>
      </c>
      <c r="AX2471" s="1" t="s">
        <v>212</v>
      </c>
      <c r="AZ2471" s="1">
        <v>2484.84</v>
      </c>
      <c r="BA2471" s="1">
        <v>2013</v>
      </c>
      <c r="BB2471" s="1" t="s">
        <v>405</v>
      </c>
      <c r="BE2471" s="1">
        <v>1700</v>
      </c>
      <c r="BF2471" s="1">
        <v>1</v>
      </c>
      <c r="BG2471" s="1">
        <v>0</v>
      </c>
      <c r="BL2471" s="1">
        <v>388</v>
      </c>
      <c r="BM2471" s="1" t="s">
        <v>204</v>
      </c>
      <c r="BN2471" s="1" t="s">
        <v>204</v>
      </c>
      <c r="BP2471" s="1" t="s">
        <v>204</v>
      </c>
      <c r="BR2471" s="1" t="str">
        <f>"0316405056"</f>
        <v>0316405056</v>
      </c>
      <c r="BT2471" s="1" t="s">
        <v>21359</v>
      </c>
      <c r="BU2471" s="1" t="s">
        <v>1971</v>
      </c>
      <c r="BV2471" s="1" t="s">
        <v>1972</v>
      </c>
      <c r="BW2471" s="1" t="s">
        <v>1973</v>
      </c>
      <c r="BX2471" s="1">
        <v>7</v>
      </c>
      <c r="BY2471" s="1">
        <v>7</v>
      </c>
      <c r="BZ2471" s="1">
        <v>100</v>
      </c>
      <c r="CB2471" s="1" t="str">
        <f>"5"</f>
        <v>5</v>
      </c>
      <c r="CC2471" s="1" t="str">
        <f>"0"</f>
        <v>0</v>
      </c>
      <c r="CD2471" s="1">
        <v>18</v>
      </c>
      <c r="CE2471" s="1">
        <v>0</v>
      </c>
      <c r="CG2471" s="1" t="s">
        <v>3634</v>
      </c>
      <c r="CH2471" s="1" t="s">
        <v>219</v>
      </c>
      <c r="CI2471" s="1" t="s">
        <v>438</v>
      </c>
      <c r="CJ2471" s="1" t="s">
        <v>252</v>
      </c>
      <c r="CK2471" s="1" t="s">
        <v>581</v>
      </c>
      <c r="CL2471" s="1" t="s">
        <v>219</v>
      </c>
      <c r="CM2471" s="1" t="s">
        <v>438</v>
      </c>
      <c r="CO2471" s="1" t="s">
        <v>2031</v>
      </c>
      <c r="CP2471" s="1" t="s">
        <v>219</v>
      </c>
      <c r="CQ2471" s="1" t="s">
        <v>438</v>
      </c>
      <c r="CS2471" s="1" t="s">
        <v>1854</v>
      </c>
      <c r="CT2471" s="1" t="s">
        <v>219</v>
      </c>
      <c r="CU2471" s="1" t="s">
        <v>438</v>
      </c>
      <c r="CX2471" s="1" t="s">
        <v>224</v>
      </c>
      <c r="DB2471" s="1" t="s">
        <v>224</v>
      </c>
      <c r="DE2471" s="1" t="s">
        <v>1133</v>
      </c>
      <c r="DF2471" s="1" t="s">
        <v>219</v>
      </c>
      <c r="DG2471" s="1" t="s">
        <v>438</v>
      </c>
      <c r="DJ2471" s="1" t="s">
        <v>224</v>
      </c>
      <c r="DS2471" s="1" t="s">
        <v>230</v>
      </c>
      <c r="DW2471" s="1" t="s">
        <v>230</v>
      </c>
      <c r="EA2471" s="1" t="s">
        <v>230</v>
      </c>
      <c r="EE2471" s="1" t="s">
        <v>230</v>
      </c>
      <c r="EI2471" s="1" t="s">
        <v>230</v>
      </c>
      <c r="EL2471" s="1" t="s">
        <v>605</v>
      </c>
      <c r="EM2471" s="1" t="s">
        <v>319</v>
      </c>
      <c r="EN2471" s="1" t="s">
        <v>282</v>
      </c>
      <c r="EO2471" s="1" t="s">
        <v>1020</v>
      </c>
      <c r="EQ2471" s="1" t="s">
        <v>21360</v>
      </c>
      <c r="ER2471" s="1" t="s">
        <v>210</v>
      </c>
      <c r="ET2471" s="1" t="s">
        <v>21361</v>
      </c>
      <c r="EW2471" s="1" t="s">
        <v>21362</v>
      </c>
      <c r="EZ2471" s="1" t="s">
        <v>287</v>
      </c>
      <c r="FD2471" s="1" t="s">
        <v>1112</v>
      </c>
      <c r="FE2471" s="1" t="s">
        <v>496</v>
      </c>
      <c r="FF2471" s="1" t="s">
        <v>1113</v>
      </c>
      <c r="FH2471" s="1" t="s">
        <v>249</v>
      </c>
      <c r="FJ2471" s="1" t="s">
        <v>1472</v>
      </c>
      <c r="FL2471" s="1" t="s">
        <v>292</v>
      </c>
      <c r="FM2471" s="1" t="s">
        <v>252</v>
      </c>
      <c r="FN2471" s="1" t="s">
        <v>213</v>
      </c>
      <c r="FO2471" s="1" t="s">
        <v>213</v>
      </c>
      <c r="FQ2471" s="1" t="s">
        <v>1286</v>
      </c>
      <c r="FR2471" s="1" t="s">
        <v>210</v>
      </c>
      <c r="FS2471" s="1" t="s">
        <v>21363</v>
      </c>
      <c r="FT2471" s="1" t="s">
        <v>295</v>
      </c>
      <c r="FU2471" s="1" t="s">
        <v>204</v>
      </c>
      <c r="FW2471" s="1" t="s">
        <v>21364</v>
      </c>
      <c r="FX2471" s="1">
        <v>14541</v>
      </c>
      <c r="FY2471" s="1" t="s">
        <v>21365</v>
      </c>
      <c r="FZ2471" s="1" t="s">
        <v>21366</v>
      </c>
      <c r="GA2471" s="1">
        <v>104662</v>
      </c>
      <c r="GB2471" s="1" t="s">
        <v>21367</v>
      </c>
      <c r="GD2471" s="1" t="s">
        <v>21368</v>
      </c>
      <c r="GE2471" s="1" t="s">
        <v>210</v>
      </c>
      <c r="GI2471" s="1" t="s">
        <v>213</v>
      </c>
      <c r="GJ2471" s="1" t="s">
        <v>260</v>
      </c>
      <c r="GK2471" s="1" t="s">
        <v>210</v>
      </c>
      <c r="GL2471" s="2">
        <v>42100</v>
      </c>
      <c r="GM2471" s="1" t="s">
        <v>21369</v>
      </c>
    </row>
    <row r="2472" spans="1:195">
      <c r="A2472" s="1">
        <v>82000</v>
      </c>
      <c r="B2472" s="1" t="s">
        <v>195</v>
      </c>
      <c r="C2472" s="1" t="str">
        <f>"08831733"</f>
        <v>08831733</v>
      </c>
      <c r="D2472" s="1" t="s">
        <v>196</v>
      </c>
      <c r="F2472" s="1" t="str">
        <f>"507"</f>
        <v>507</v>
      </c>
      <c r="G2472" s="2">
        <v>42040</v>
      </c>
      <c r="H2472" s="1">
        <v>87900</v>
      </c>
      <c r="I2472" s="1">
        <v>87900</v>
      </c>
      <c r="J2472" s="1">
        <v>82000</v>
      </c>
      <c r="K2472" s="2">
        <v>42040</v>
      </c>
      <c r="L2472" s="1">
        <v>31</v>
      </c>
      <c r="M2472" s="2">
        <v>42070</v>
      </c>
      <c r="N2472" s="1">
        <v>31</v>
      </c>
      <c r="O2472" s="2">
        <v>42070</v>
      </c>
      <c r="P2472" s="1">
        <v>14470</v>
      </c>
      <c r="Q2472" s="1" t="s">
        <v>197</v>
      </c>
      <c r="R2472" s="2">
        <v>42125</v>
      </c>
      <c r="S2472" s="1">
        <v>868444</v>
      </c>
      <c r="U2472" s="1">
        <v>332</v>
      </c>
      <c r="V2472" s="1" t="s">
        <v>7273</v>
      </c>
      <c r="W2472" s="1" t="s">
        <v>304</v>
      </c>
      <c r="X2472" s="1">
        <v>161</v>
      </c>
      <c r="Y2472" s="1">
        <v>4</v>
      </c>
      <c r="Z2472" s="1" t="s">
        <v>249</v>
      </c>
      <c r="AA2472" s="1" t="s">
        <v>1123</v>
      </c>
      <c r="AB2472" s="1">
        <v>60504</v>
      </c>
      <c r="AE2472" s="1" t="s">
        <v>21370</v>
      </c>
      <c r="AF2472" s="1">
        <v>1979</v>
      </c>
      <c r="AG2472" s="1" t="s">
        <v>204</v>
      </c>
      <c r="AH2472" s="1" t="s">
        <v>1126</v>
      </c>
      <c r="AI2472" s="1" t="s">
        <v>206</v>
      </c>
      <c r="AJ2472" s="1" t="s">
        <v>924</v>
      </c>
      <c r="AL2472" s="1">
        <v>5</v>
      </c>
      <c r="AM2472" s="1">
        <v>2</v>
      </c>
      <c r="AN2472" s="1">
        <v>1</v>
      </c>
      <c r="AO2472" s="1">
        <v>0</v>
      </c>
      <c r="AP2472" s="1" t="s">
        <v>667</v>
      </c>
      <c r="AQ2472" s="1">
        <v>0</v>
      </c>
      <c r="AR2472" s="1" t="s">
        <v>210</v>
      </c>
      <c r="AS2472" s="1" t="s">
        <v>204</v>
      </c>
      <c r="AT2472" s="1" t="s">
        <v>211</v>
      </c>
      <c r="AU2472" s="1">
        <v>1</v>
      </c>
      <c r="AW2472" s="1" t="s">
        <v>204</v>
      </c>
      <c r="AX2472" s="1">
        <v>0</v>
      </c>
      <c r="AZ2472" s="1">
        <v>1497</v>
      </c>
      <c r="BA2472" s="1">
        <v>2013</v>
      </c>
      <c r="BE2472" s="1">
        <v>754</v>
      </c>
      <c r="BF2472" s="1">
        <v>1</v>
      </c>
      <c r="BG2472" s="1">
        <v>0</v>
      </c>
      <c r="BL2472" s="1">
        <v>201</v>
      </c>
      <c r="BM2472" s="1" t="s">
        <v>204</v>
      </c>
      <c r="BN2472" s="1" t="s">
        <v>213</v>
      </c>
      <c r="BO2472" s="1">
        <v>0</v>
      </c>
      <c r="BP2472" s="1" t="s">
        <v>204</v>
      </c>
      <c r="BR2472" s="1" t="str">
        <f>"0720410065"</f>
        <v>0720410065</v>
      </c>
      <c r="BT2472" s="1" t="s">
        <v>21371</v>
      </c>
      <c r="BX2472" s="1">
        <v>204</v>
      </c>
      <c r="BY2472" s="1">
        <v>204</v>
      </c>
      <c r="BZ2472" s="1">
        <v>204</v>
      </c>
      <c r="CB2472" s="1" t="str">
        <f t="shared" ref="CB2472:CC2472" si="1896">""</f>
        <v/>
      </c>
      <c r="CC2472" s="1" t="str">
        <f t="shared" si="1896"/>
        <v/>
      </c>
      <c r="CG2472" s="1" t="s">
        <v>278</v>
      </c>
      <c r="CH2472" s="1" t="s">
        <v>219</v>
      </c>
      <c r="CI2472" s="1" t="s">
        <v>229</v>
      </c>
      <c r="CJ2472" s="1" t="s">
        <v>252</v>
      </c>
      <c r="CK2472" s="1" t="s">
        <v>539</v>
      </c>
      <c r="CL2472" s="1" t="s">
        <v>219</v>
      </c>
      <c r="CM2472" s="1" t="s">
        <v>229</v>
      </c>
      <c r="CO2472" s="1" t="s">
        <v>516</v>
      </c>
      <c r="CP2472" s="1" t="s">
        <v>219</v>
      </c>
      <c r="CS2472" s="1" t="s">
        <v>346</v>
      </c>
      <c r="CT2472" s="1" t="s">
        <v>219</v>
      </c>
      <c r="CU2472" s="1" t="s">
        <v>229</v>
      </c>
      <c r="CX2472" s="1" t="s">
        <v>224</v>
      </c>
      <c r="DB2472" s="1" t="s">
        <v>224</v>
      </c>
      <c r="DE2472" s="1" t="s">
        <v>837</v>
      </c>
      <c r="DF2472" s="1" t="s">
        <v>219</v>
      </c>
      <c r="DJ2472" s="1" t="s">
        <v>224</v>
      </c>
      <c r="DS2472" s="1" t="s">
        <v>230</v>
      </c>
      <c r="DW2472" s="1" t="s">
        <v>230</v>
      </c>
      <c r="EA2472" s="1" t="s">
        <v>230</v>
      </c>
      <c r="EE2472" s="1" t="s">
        <v>230</v>
      </c>
      <c r="EI2472" s="1" t="s">
        <v>230</v>
      </c>
      <c r="EL2472" s="1" t="s">
        <v>231</v>
      </c>
      <c r="EM2472" s="1" t="s">
        <v>319</v>
      </c>
      <c r="EN2472" s="1" t="s">
        <v>282</v>
      </c>
      <c r="EO2472" s="1" t="s">
        <v>840</v>
      </c>
      <c r="EQ2472" s="1" t="s">
        <v>492</v>
      </c>
      <c r="ER2472" s="1" t="s">
        <v>383</v>
      </c>
      <c r="ES2472" s="1" t="s">
        <v>545</v>
      </c>
      <c r="EW2472" s="1" t="s">
        <v>517</v>
      </c>
      <c r="EY2472" s="1" t="s">
        <v>790</v>
      </c>
      <c r="EZ2472" s="1" t="s">
        <v>287</v>
      </c>
      <c r="FD2472" s="1" t="s">
        <v>246</v>
      </c>
      <c r="FE2472" s="1" t="s">
        <v>472</v>
      </c>
      <c r="FF2472" s="1" t="s">
        <v>248</v>
      </c>
      <c r="FH2472" s="1" t="s">
        <v>249</v>
      </c>
      <c r="FI2472" s="1" t="s">
        <v>357</v>
      </c>
      <c r="FJ2472" s="1" t="s">
        <v>197</v>
      </c>
      <c r="FL2472" s="1" t="s">
        <v>358</v>
      </c>
      <c r="FM2472" s="1" t="s">
        <v>252</v>
      </c>
      <c r="FN2472" s="1" t="s">
        <v>213</v>
      </c>
      <c r="FO2472" s="1" t="s">
        <v>213</v>
      </c>
      <c r="FQ2472" s="1" t="s">
        <v>673</v>
      </c>
      <c r="FR2472" s="1" t="s">
        <v>210</v>
      </c>
      <c r="FS2472" s="1" t="s">
        <v>1709</v>
      </c>
      <c r="FT2472" s="1" t="s">
        <v>1139</v>
      </c>
      <c r="FU2472" s="1" t="s">
        <v>204</v>
      </c>
      <c r="FW2472" s="1" t="s">
        <v>6784</v>
      </c>
      <c r="FX2472" s="1">
        <v>23180</v>
      </c>
      <c r="FY2472" s="1" t="s">
        <v>6785</v>
      </c>
      <c r="FZ2472" s="1" t="s">
        <v>6786</v>
      </c>
      <c r="GA2472" s="1">
        <v>231369</v>
      </c>
      <c r="GB2472" s="1" t="s">
        <v>6787</v>
      </c>
      <c r="GE2472" s="1" t="s">
        <v>1226</v>
      </c>
      <c r="GI2472" s="1" t="s">
        <v>213</v>
      </c>
      <c r="GJ2472" s="1" t="s">
        <v>260</v>
      </c>
      <c r="GK2472" s="1" t="s">
        <v>210</v>
      </c>
      <c r="GL2472" s="2">
        <v>42125</v>
      </c>
      <c r="GM2472" s="1" t="s">
        <v>21372</v>
      </c>
    </row>
    <row r="2473" spans="1:195">
      <c r="A2473" s="1">
        <v>185000</v>
      </c>
      <c r="B2473" s="1" t="s">
        <v>195</v>
      </c>
      <c r="C2473" s="1" t="str">
        <f>"08826718"</f>
        <v>08826718</v>
      </c>
      <c r="D2473" s="1" t="s">
        <v>196</v>
      </c>
      <c r="F2473" s="1" t="str">
        <f>"656"</f>
        <v>656</v>
      </c>
      <c r="G2473" s="2">
        <v>42033</v>
      </c>
      <c r="H2473" s="1">
        <v>185000</v>
      </c>
      <c r="I2473" s="1">
        <v>185000</v>
      </c>
      <c r="J2473" s="1">
        <v>185000</v>
      </c>
      <c r="K2473" s="2">
        <v>42033</v>
      </c>
      <c r="L2473" s="1">
        <v>15</v>
      </c>
      <c r="M2473" s="2">
        <v>42047</v>
      </c>
      <c r="N2473" s="1">
        <v>15</v>
      </c>
      <c r="O2473" s="2">
        <v>42047</v>
      </c>
      <c r="P2473" s="1">
        <v>10840</v>
      </c>
      <c r="Q2473" s="1" t="s">
        <v>197</v>
      </c>
      <c r="R2473" s="2">
        <v>42145</v>
      </c>
      <c r="S2473" s="1">
        <v>164654</v>
      </c>
      <c r="U2473" s="1">
        <v>7410</v>
      </c>
      <c r="V2473" s="1" t="s">
        <v>303</v>
      </c>
      <c r="W2473" s="1" t="s">
        <v>425</v>
      </c>
      <c r="X2473" s="1">
        <v>116</v>
      </c>
      <c r="Y2473" s="1">
        <v>139</v>
      </c>
      <c r="Z2473" s="1" t="s">
        <v>249</v>
      </c>
      <c r="AA2473" s="1" t="s">
        <v>6222</v>
      </c>
      <c r="AB2473" s="1">
        <v>60706</v>
      </c>
      <c r="AE2473" s="1" t="s">
        <v>21373</v>
      </c>
      <c r="AF2473" s="1">
        <v>1992</v>
      </c>
      <c r="AG2473" s="1" t="s">
        <v>204</v>
      </c>
      <c r="AH2473" s="1" t="s">
        <v>6224</v>
      </c>
      <c r="AI2473" s="1" t="s">
        <v>310</v>
      </c>
      <c r="AJ2473" s="1" t="s">
        <v>3200</v>
      </c>
      <c r="AL2473" s="1">
        <v>5</v>
      </c>
      <c r="AM2473" s="1">
        <v>2</v>
      </c>
      <c r="AN2473" s="1">
        <v>2</v>
      </c>
      <c r="AO2473" s="1">
        <v>0</v>
      </c>
      <c r="AP2473" s="1" t="s">
        <v>209</v>
      </c>
      <c r="AR2473" s="1" t="s">
        <v>210</v>
      </c>
      <c r="AS2473" s="1" t="s">
        <v>204</v>
      </c>
      <c r="AT2473" s="1" t="s">
        <v>211</v>
      </c>
      <c r="AU2473" s="1">
        <v>1</v>
      </c>
      <c r="AW2473" s="1" t="s">
        <v>204</v>
      </c>
      <c r="AX2473" s="1" t="s">
        <v>1265</v>
      </c>
      <c r="AZ2473" s="1">
        <v>2060.63</v>
      </c>
      <c r="BA2473" s="1">
        <v>2013</v>
      </c>
      <c r="BB2473" s="1" t="s">
        <v>599</v>
      </c>
      <c r="BE2473" s="1">
        <v>0</v>
      </c>
      <c r="BF2473" s="1">
        <v>1</v>
      </c>
      <c r="BG2473" s="1">
        <v>30</v>
      </c>
      <c r="BJ2473" s="1">
        <v>100</v>
      </c>
      <c r="BL2473" s="1">
        <v>324</v>
      </c>
      <c r="BM2473" s="1" t="s">
        <v>204</v>
      </c>
      <c r="BN2473" s="1" t="s">
        <v>213</v>
      </c>
      <c r="BO2473" s="1">
        <v>15</v>
      </c>
      <c r="BP2473" s="1" t="s">
        <v>204</v>
      </c>
      <c r="BR2473" s="1" t="str">
        <f>"12124230251060"</f>
        <v>12124230251060</v>
      </c>
      <c r="BT2473" s="1" t="s">
        <v>21374</v>
      </c>
      <c r="BX2473" s="1">
        <v>79</v>
      </c>
      <c r="BY2473" s="1">
        <v>79</v>
      </c>
      <c r="BZ2473" s="1">
        <v>207</v>
      </c>
      <c r="CB2473" s="1" t="str">
        <f t="shared" ref="CB2473:CC2473" si="1897">""</f>
        <v/>
      </c>
      <c r="CC2473" s="1" t="str">
        <f t="shared" si="1897"/>
        <v/>
      </c>
      <c r="CG2473" s="1" t="s">
        <v>669</v>
      </c>
      <c r="CH2473" s="1" t="s">
        <v>219</v>
      </c>
      <c r="CJ2473" s="1" t="s">
        <v>343</v>
      </c>
      <c r="CK2473" s="1" t="s">
        <v>1045</v>
      </c>
      <c r="CL2473" s="1" t="s">
        <v>219</v>
      </c>
      <c r="CN2473" s="1" t="s">
        <v>343</v>
      </c>
      <c r="CO2473" s="1" t="s">
        <v>1297</v>
      </c>
      <c r="CP2473" s="1" t="s">
        <v>219</v>
      </c>
      <c r="CS2473" s="1" t="s">
        <v>379</v>
      </c>
      <c r="CT2473" s="1" t="s">
        <v>219</v>
      </c>
      <c r="CV2473" s="1" t="s">
        <v>343</v>
      </c>
      <c r="CX2473" s="1" t="s">
        <v>224</v>
      </c>
      <c r="DB2473" s="1" t="s">
        <v>224</v>
      </c>
      <c r="DE2473" s="1" t="s">
        <v>539</v>
      </c>
      <c r="DF2473" s="1" t="s">
        <v>219</v>
      </c>
      <c r="DJ2473" s="1" t="s">
        <v>224</v>
      </c>
      <c r="DS2473" s="1" t="s">
        <v>230</v>
      </c>
      <c r="DW2473" s="1" t="s">
        <v>230</v>
      </c>
      <c r="EA2473" s="1" t="s">
        <v>230</v>
      </c>
      <c r="EE2473" s="1" t="s">
        <v>230</v>
      </c>
      <c r="EI2473" s="1" t="s">
        <v>230</v>
      </c>
      <c r="EL2473" s="1" t="s">
        <v>382</v>
      </c>
      <c r="EM2473" s="1" t="s">
        <v>232</v>
      </c>
      <c r="EN2473" s="1" t="s">
        <v>282</v>
      </c>
      <c r="EO2473" s="1" t="s">
        <v>234</v>
      </c>
      <c r="EP2473" s="1" t="s">
        <v>21375</v>
      </c>
      <c r="EQ2473" s="1" t="s">
        <v>492</v>
      </c>
      <c r="ER2473" s="1" t="s">
        <v>210</v>
      </c>
      <c r="ES2473" s="1" t="s">
        <v>3914</v>
      </c>
      <c r="ET2473" s="1" t="s">
        <v>323</v>
      </c>
      <c r="EW2473" s="1" t="s">
        <v>1111</v>
      </c>
      <c r="EZ2473" s="1" t="s">
        <v>287</v>
      </c>
      <c r="FB2473" s="1" t="s">
        <v>244</v>
      </c>
      <c r="FC2473" s="1" t="s">
        <v>1386</v>
      </c>
      <c r="FD2473" s="1" t="s">
        <v>290</v>
      </c>
      <c r="FE2473" s="1" t="s">
        <v>247</v>
      </c>
      <c r="FF2473" s="1" t="s">
        <v>248</v>
      </c>
      <c r="FH2473" s="1" t="s">
        <v>249</v>
      </c>
      <c r="FL2473" s="1" t="s">
        <v>414</v>
      </c>
      <c r="FM2473" s="1" t="s">
        <v>252</v>
      </c>
      <c r="FN2473" s="1" t="s">
        <v>213</v>
      </c>
      <c r="FO2473" s="1" t="s">
        <v>213</v>
      </c>
      <c r="FQ2473" s="1" t="s">
        <v>329</v>
      </c>
      <c r="FR2473" s="1" t="s">
        <v>210</v>
      </c>
      <c r="FS2473" s="1" t="s">
        <v>21376</v>
      </c>
      <c r="FT2473" s="1" t="s">
        <v>362</v>
      </c>
      <c r="FU2473" s="1" t="s">
        <v>204</v>
      </c>
      <c r="FW2473" s="1" t="s">
        <v>21377</v>
      </c>
      <c r="FX2473" s="1">
        <v>90706</v>
      </c>
      <c r="FY2473" s="1" t="s">
        <v>21378</v>
      </c>
      <c r="FZ2473" s="1" t="s">
        <v>21379</v>
      </c>
      <c r="GA2473" s="1">
        <v>900203</v>
      </c>
      <c r="GB2473" s="1" t="s">
        <v>21380</v>
      </c>
      <c r="GC2473" s="1">
        <v>900951</v>
      </c>
      <c r="GD2473" s="1" t="s">
        <v>21381</v>
      </c>
      <c r="GE2473" s="1" t="s">
        <v>2504</v>
      </c>
      <c r="GH2473" s="1" t="s">
        <v>589</v>
      </c>
      <c r="GI2473" s="1" t="s">
        <v>213</v>
      </c>
      <c r="GJ2473" s="1" t="s">
        <v>260</v>
      </c>
      <c r="GK2473" s="1" t="s">
        <v>210</v>
      </c>
      <c r="GL2473" s="2">
        <v>42145</v>
      </c>
      <c r="GM2473" s="1" t="s">
        <v>21382</v>
      </c>
    </row>
    <row r="2474" spans="1:195">
      <c r="A2474" s="1">
        <v>32500</v>
      </c>
      <c r="B2474" s="1" t="s">
        <v>195</v>
      </c>
      <c r="C2474" s="1" t="str">
        <f>"08826938"</f>
        <v>08826938</v>
      </c>
      <c r="D2474" s="1" t="s">
        <v>196</v>
      </c>
      <c r="F2474" s="1" t="str">
        <f>"2104"</f>
        <v>2104</v>
      </c>
      <c r="G2474" s="2">
        <v>42033</v>
      </c>
      <c r="H2474" s="1">
        <v>33600</v>
      </c>
      <c r="I2474" s="1">
        <v>33600</v>
      </c>
      <c r="J2474" s="1">
        <v>32500</v>
      </c>
      <c r="K2474" s="2">
        <v>42032</v>
      </c>
      <c r="L2474" s="1">
        <v>29</v>
      </c>
      <c r="M2474" s="2">
        <v>42060</v>
      </c>
      <c r="N2474" s="1">
        <v>29</v>
      </c>
      <c r="O2474" s="2">
        <v>42060</v>
      </c>
      <c r="P2474" s="1">
        <v>84770</v>
      </c>
      <c r="Q2474" s="1" t="s">
        <v>302</v>
      </c>
      <c r="R2474" s="2">
        <v>42083</v>
      </c>
      <c r="S2474" s="1">
        <v>124729</v>
      </c>
      <c r="U2474" s="1">
        <v>1040</v>
      </c>
      <c r="V2474" s="1" t="s">
        <v>3029</v>
      </c>
      <c r="W2474" s="1" t="s">
        <v>425</v>
      </c>
      <c r="X2474" s="1" t="s">
        <v>527</v>
      </c>
      <c r="Y2474" s="1">
        <v>4</v>
      </c>
      <c r="Z2474" s="1" t="s">
        <v>200</v>
      </c>
      <c r="AA2474" s="1" t="s">
        <v>3029</v>
      </c>
      <c r="AB2474" s="1">
        <v>60104</v>
      </c>
      <c r="AE2474" s="1" t="s">
        <v>21383</v>
      </c>
      <c r="AF2474" s="1">
        <v>1953</v>
      </c>
      <c r="AG2474" s="1" t="s">
        <v>213</v>
      </c>
      <c r="AH2474" s="1" t="s">
        <v>3031</v>
      </c>
      <c r="AI2474" s="1" t="s">
        <v>310</v>
      </c>
      <c r="AJ2474" s="1" t="s">
        <v>429</v>
      </c>
      <c r="AL2474" s="1">
        <v>5</v>
      </c>
      <c r="AM2474" s="1">
        <v>2</v>
      </c>
      <c r="AN2474" s="1">
        <v>1</v>
      </c>
      <c r="AO2474" s="1">
        <v>0</v>
      </c>
      <c r="AP2474" s="1" t="s">
        <v>210</v>
      </c>
      <c r="AR2474" s="1" t="s">
        <v>209</v>
      </c>
      <c r="AS2474" s="1" t="s">
        <v>204</v>
      </c>
      <c r="AT2474" s="1" t="s">
        <v>210</v>
      </c>
      <c r="AW2474" s="1" t="s">
        <v>204</v>
      </c>
      <c r="AX2474" s="1" t="s">
        <v>21384</v>
      </c>
      <c r="AZ2474" s="1">
        <v>2745.82</v>
      </c>
      <c r="BA2474" s="1">
        <v>2012</v>
      </c>
      <c r="BE2474" s="1">
        <v>0</v>
      </c>
      <c r="BF2474" s="1">
        <v>1</v>
      </c>
      <c r="BG2474" s="1">
        <v>0</v>
      </c>
      <c r="BL2474" s="1">
        <v>0</v>
      </c>
      <c r="BM2474" s="1" t="s">
        <v>413</v>
      </c>
      <c r="BN2474" s="1" t="s">
        <v>213</v>
      </c>
      <c r="BO2474" s="1">
        <v>150</v>
      </c>
      <c r="BP2474" s="1" t="s">
        <v>204</v>
      </c>
      <c r="BR2474" s="1" t="str">
        <f>"15161160710000"</f>
        <v>15161160710000</v>
      </c>
      <c r="BT2474" s="1" t="s">
        <v>21385</v>
      </c>
      <c r="BX2474" s="1">
        <v>88</v>
      </c>
      <c r="BY2474" s="1">
        <v>88</v>
      </c>
      <c r="BZ2474" s="1">
        <v>209</v>
      </c>
      <c r="CB2474" s="1" t="str">
        <f t="shared" ref="CB2474:CC2474" si="1898">""</f>
        <v/>
      </c>
      <c r="CC2474" s="1" t="str">
        <f t="shared" si="1898"/>
        <v/>
      </c>
      <c r="CG2474" s="1" t="s">
        <v>278</v>
      </c>
      <c r="CH2474" s="1" t="s">
        <v>219</v>
      </c>
      <c r="CK2474" s="1" t="s">
        <v>757</v>
      </c>
      <c r="CL2474" s="1" t="s">
        <v>277</v>
      </c>
      <c r="CO2474" s="1" t="s">
        <v>318</v>
      </c>
      <c r="CP2474" s="1" t="s">
        <v>219</v>
      </c>
      <c r="CS2474" s="1" t="s">
        <v>409</v>
      </c>
      <c r="CT2474" s="1" t="s">
        <v>277</v>
      </c>
      <c r="CX2474" s="1" t="s">
        <v>224</v>
      </c>
      <c r="DB2474" s="1" t="s">
        <v>224</v>
      </c>
      <c r="DE2474" s="1" t="s">
        <v>318</v>
      </c>
      <c r="DF2474" s="1" t="s">
        <v>219</v>
      </c>
      <c r="DJ2474" s="1" t="s">
        <v>224</v>
      </c>
      <c r="DS2474" s="1" t="s">
        <v>230</v>
      </c>
      <c r="DW2474" s="1" t="s">
        <v>230</v>
      </c>
      <c r="EA2474" s="1" t="s">
        <v>230</v>
      </c>
      <c r="EE2474" s="1" t="s">
        <v>230</v>
      </c>
      <c r="EI2474" s="1" t="s">
        <v>230</v>
      </c>
      <c r="EL2474" s="1" t="s">
        <v>3717</v>
      </c>
      <c r="EM2474" s="1" t="s">
        <v>232</v>
      </c>
      <c r="EN2474" s="1" t="s">
        <v>210</v>
      </c>
      <c r="EO2474" s="1" t="s">
        <v>234</v>
      </c>
      <c r="ER2474" s="1" t="s">
        <v>351</v>
      </c>
      <c r="EW2474" s="1" t="s">
        <v>210</v>
      </c>
      <c r="EZ2474" s="1" t="s">
        <v>287</v>
      </c>
      <c r="FD2474" s="1" t="s">
        <v>246</v>
      </c>
      <c r="FE2474" s="1" t="s">
        <v>247</v>
      </c>
      <c r="FF2474" s="1" t="s">
        <v>248</v>
      </c>
      <c r="FH2474" s="1" t="s">
        <v>550</v>
      </c>
      <c r="FL2474" s="1" t="s">
        <v>358</v>
      </c>
      <c r="FM2474" s="1" t="s">
        <v>252</v>
      </c>
      <c r="FN2474" s="1" t="s">
        <v>213</v>
      </c>
      <c r="FO2474" s="1" t="s">
        <v>213</v>
      </c>
      <c r="FQ2474" s="1" t="s">
        <v>1300</v>
      </c>
      <c r="FR2474" s="1" t="s">
        <v>210</v>
      </c>
      <c r="FS2474" s="1" t="s">
        <v>13969</v>
      </c>
      <c r="FT2474" s="1" t="s">
        <v>1828</v>
      </c>
      <c r="FU2474" s="1" t="s">
        <v>204</v>
      </c>
      <c r="FW2474" s="1" t="s">
        <v>8635</v>
      </c>
      <c r="FX2474" s="1">
        <v>84131</v>
      </c>
      <c r="FY2474" s="1" t="s">
        <v>8636</v>
      </c>
      <c r="FZ2474" s="1" t="s">
        <v>8637</v>
      </c>
      <c r="GA2474" s="1">
        <v>171466</v>
      </c>
      <c r="GB2474" s="1" t="s">
        <v>8636</v>
      </c>
      <c r="GE2474" s="1" t="s">
        <v>210</v>
      </c>
      <c r="GI2474" s="1" t="s">
        <v>213</v>
      </c>
      <c r="GJ2474" s="1" t="s">
        <v>260</v>
      </c>
      <c r="GK2474" s="1" t="s">
        <v>210</v>
      </c>
      <c r="GL2474" s="2">
        <v>42088</v>
      </c>
      <c r="GM2474" s="1" t="s">
        <v>21386</v>
      </c>
    </row>
    <row r="2475" spans="1:195">
      <c r="A2475" s="1">
        <v>107000</v>
      </c>
      <c r="B2475" s="1" t="s">
        <v>195</v>
      </c>
      <c r="C2475" s="1" t="str">
        <f>"08826190"</f>
        <v>08826190</v>
      </c>
      <c r="D2475" s="1" t="s">
        <v>196</v>
      </c>
      <c r="F2475" s="1" t="str">
        <f>"104"</f>
        <v>104</v>
      </c>
      <c r="G2475" s="2">
        <v>42032</v>
      </c>
      <c r="H2475" s="1">
        <v>104900</v>
      </c>
      <c r="I2475" s="1">
        <v>104900</v>
      </c>
      <c r="J2475" s="1">
        <v>107000</v>
      </c>
      <c r="K2475" s="2">
        <v>42032</v>
      </c>
      <c r="L2475" s="1">
        <v>22</v>
      </c>
      <c r="M2475" s="2">
        <v>42053</v>
      </c>
      <c r="N2475" s="1">
        <v>22</v>
      </c>
      <c r="O2475" s="2">
        <v>42053</v>
      </c>
      <c r="P2475" s="1">
        <v>24185</v>
      </c>
      <c r="Q2475" s="1" t="s">
        <v>197</v>
      </c>
      <c r="R2475" s="2">
        <v>42124</v>
      </c>
      <c r="S2475" s="1">
        <v>244800</v>
      </c>
      <c r="U2475" s="1">
        <v>657</v>
      </c>
      <c r="V2475" s="1" t="s">
        <v>21387</v>
      </c>
      <c r="W2475" s="1" t="s">
        <v>304</v>
      </c>
      <c r="X2475" s="1" t="s">
        <v>17766</v>
      </c>
      <c r="Y2475" s="1">
        <v>4</v>
      </c>
      <c r="Z2475" s="1" t="s">
        <v>370</v>
      </c>
      <c r="AA2475" s="1" t="s">
        <v>371</v>
      </c>
      <c r="AB2475" s="1">
        <v>60103</v>
      </c>
      <c r="AE2475" s="1" t="s">
        <v>21388</v>
      </c>
      <c r="AF2475" s="1">
        <v>1992</v>
      </c>
      <c r="AG2475" s="1" t="s">
        <v>204</v>
      </c>
      <c r="AH2475" s="1" t="s">
        <v>373</v>
      </c>
      <c r="AI2475" s="1" t="s">
        <v>310</v>
      </c>
      <c r="AJ2475" s="1" t="s">
        <v>374</v>
      </c>
      <c r="AL2475" s="1">
        <v>4</v>
      </c>
      <c r="AM2475" s="1">
        <v>2</v>
      </c>
      <c r="AN2475" s="1">
        <v>2</v>
      </c>
      <c r="AO2475" s="1">
        <v>0</v>
      </c>
      <c r="AP2475" s="1" t="s">
        <v>209</v>
      </c>
      <c r="AR2475" s="1" t="s">
        <v>210</v>
      </c>
      <c r="AS2475" s="1" t="s">
        <v>204</v>
      </c>
      <c r="AT2475" s="1" t="s">
        <v>211</v>
      </c>
      <c r="AU2475" s="1">
        <v>1</v>
      </c>
      <c r="AW2475" s="1" t="s">
        <v>204</v>
      </c>
      <c r="AX2475" s="1" t="s">
        <v>212</v>
      </c>
      <c r="AZ2475" s="1">
        <v>1484.47</v>
      </c>
      <c r="BA2475" s="1">
        <v>2012</v>
      </c>
      <c r="BE2475" s="1">
        <v>1000</v>
      </c>
      <c r="BF2475" s="1">
        <v>1</v>
      </c>
      <c r="BG2475" s="1">
        <v>0</v>
      </c>
      <c r="BL2475" s="1">
        <v>211</v>
      </c>
      <c r="BM2475" s="1" t="s">
        <v>204</v>
      </c>
      <c r="BN2475" s="1" t="s">
        <v>213</v>
      </c>
      <c r="BO2475" s="1">
        <v>50</v>
      </c>
      <c r="BP2475" s="1" t="s">
        <v>204</v>
      </c>
      <c r="BR2475" s="1" t="str">
        <f>"06354001171302"</f>
        <v>06354001171302</v>
      </c>
      <c r="BT2475" s="1" t="s">
        <v>21389</v>
      </c>
      <c r="BX2475" s="1">
        <v>46</v>
      </c>
      <c r="BY2475" s="1">
        <v>46</v>
      </c>
      <c r="BZ2475" s="1">
        <v>46</v>
      </c>
      <c r="CB2475" s="1" t="str">
        <f t="shared" ref="CB2475:CC2475" si="1899">""</f>
        <v/>
      </c>
      <c r="CC2475" s="1" t="str">
        <f t="shared" si="1899"/>
        <v/>
      </c>
      <c r="CG2475" s="1" t="s">
        <v>315</v>
      </c>
      <c r="CH2475" s="1" t="s">
        <v>219</v>
      </c>
      <c r="CK2475" s="1" t="s">
        <v>1469</v>
      </c>
      <c r="CL2475" s="1" t="s">
        <v>219</v>
      </c>
      <c r="CP2475" s="1" t="s">
        <v>224</v>
      </c>
      <c r="CS2475" s="1" t="s">
        <v>318</v>
      </c>
      <c r="CT2475" s="1" t="s">
        <v>219</v>
      </c>
      <c r="CX2475" s="1" t="s">
        <v>224</v>
      </c>
      <c r="DB2475" s="1" t="s">
        <v>224</v>
      </c>
      <c r="DE2475" s="1" t="s">
        <v>1598</v>
      </c>
      <c r="DF2475" s="1" t="s">
        <v>219</v>
      </c>
      <c r="DJ2475" s="1" t="s">
        <v>224</v>
      </c>
      <c r="DS2475" s="1" t="s">
        <v>230</v>
      </c>
      <c r="DW2475" s="1" t="s">
        <v>230</v>
      </c>
      <c r="EA2475" s="1" t="s">
        <v>230</v>
      </c>
      <c r="EE2475" s="1" t="s">
        <v>230</v>
      </c>
      <c r="EI2475" s="1" t="s">
        <v>230</v>
      </c>
      <c r="EL2475" s="1" t="s">
        <v>382</v>
      </c>
      <c r="EM2475" s="1" t="s">
        <v>319</v>
      </c>
      <c r="EN2475" s="1" t="s">
        <v>282</v>
      </c>
      <c r="EO2475" s="1" t="s">
        <v>234</v>
      </c>
      <c r="ER2475" s="1" t="s">
        <v>210</v>
      </c>
      <c r="EW2475" s="1" t="s">
        <v>353</v>
      </c>
      <c r="EZ2475" s="1" t="s">
        <v>287</v>
      </c>
      <c r="FD2475" s="1" t="s">
        <v>246</v>
      </c>
      <c r="FE2475" s="1" t="s">
        <v>5388</v>
      </c>
      <c r="FF2475" s="1" t="s">
        <v>248</v>
      </c>
      <c r="FH2475" s="1" t="s">
        <v>249</v>
      </c>
      <c r="FL2475" s="1" t="s">
        <v>358</v>
      </c>
      <c r="FM2475" s="1" t="s">
        <v>252</v>
      </c>
      <c r="FN2475" s="1" t="s">
        <v>213</v>
      </c>
      <c r="FO2475" s="1" t="s">
        <v>213</v>
      </c>
      <c r="FQ2475" s="1" t="s">
        <v>1300</v>
      </c>
      <c r="FR2475" s="1" t="s">
        <v>210</v>
      </c>
      <c r="FS2475" s="1" t="s">
        <v>6640</v>
      </c>
      <c r="FT2475" s="1" t="s">
        <v>1828</v>
      </c>
      <c r="FU2475" s="1" t="s">
        <v>204</v>
      </c>
      <c r="FW2475" s="1" t="s">
        <v>1097</v>
      </c>
      <c r="FX2475" s="1">
        <v>8094</v>
      </c>
      <c r="FY2475" s="1" t="s">
        <v>1829</v>
      </c>
      <c r="FZ2475" s="1" t="s">
        <v>1830</v>
      </c>
      <c r="GA2475" s="1">
        <v>28736</v>
      </c>
      <c r="GB2475" s="1" t="s">
        <v>1831</v>
      </c>
      <c r="GE2475" s="1" t="s">
        <v>210</v>
      </c>
      <c r="GI2475" s="1" t="s">
        <v>204</v>
      </c>
      <c r="GJ2475" s="1" t="s">
        <v>260</v>
      </c>
      <c r="GK2475" s="1" t="s">
        <v>210</v>
      </c>
      <c r="GL2475" s="2">
        <v>42124</v>
      </c>
      <c r="GM2475" s="1" t="s">
        <v>21390</v>
      </c>
    </row>
    <row r="2476" spans="1:195">
      <c r="A2476" s="1">
        <v>45000</v>
      </c>
      <c r="B2476" s="1" t="s">
        <v>195</v>
      </c>
      <c r="C2476" s="1" t="str">
        <f>"08828293"</f>
        <v>08828293</v>
      </c>
      <c r="D2476" s="1" t="s">
        <v>196</v>
      </c>
      <c r="F2476" s="1" t="str">
        <f>"60"</f>
        <v>60</v>
      </c>
      <c r="G2476" s="2">
        <v>42035</v>
      </c>
      <c r="H2476" s="1">
        <v>47250</v>
      </c>
      <c r="I2476" s="1">
        <v>47250</v>
      </c>
      <c r="J2476" s="1">
        <v>45000</v>
      </c>
      <c r="K2476" s="2">
        <v>42032</v>
      </c>
      <c r="L2476" s="1">
        <v>30</v>
      </c>
      <c r="M2476" s="2">
        <v>42061</v>
      </c>
      <c r="N2476" s="1">
        <v>30</v>
      </c>
      <c r="O2476" s="2">
        <v>42061</v>
      </c>
      <c r="P2476" s="1">
        <v>2246</v>
      </c>
      <c r="Q2476" s="1" t="s">
        <v>302</v>
      </c>
      <c r="R2476" s="2">
        <v>42130</v>
      </c>
      <c r="S2476" s="1">
        <v>20667</v>
      </c>
      <c r="U2476" s="1">
        <v>31</v>
      </c>
      <c r="V2476" s="1" t="s">
        <v>12711</v>
      </c>
      <c r="W2476" s="1" t="s">
        <v>199</v>
      </c>
      <c r="X2476" s="1">
        <v>204</v>
      </c>
      <c r="Y2476" s="1">
        <v>35</v>
      </c>
      <c r="Z2476" s="1" t="s">
        <v>249</v>
      </c>
      <c r="AA2476" s="1" t="s">
        <v>1689</v>
      </c>
      <c r="AB2476" s="1">
        <v>60060</v>
      </c>
      <c r="AE2476" s="1" t="s">
        <v>21391</v>
      </c>
      <c r="AF2476" s="1">
        <v>1973</v>
      </c>
      <c r="AG2476" s="1" t="s">
        <v>213</v>
      </c>
      <c r="AH2476" s="1" t="s">
        <v>1692</v>
      </c>
      <c r="AI2476" s="1" t="s">
        <v>509</v>
      </c>
      <c r="AJ2476" s="1" t="s">
        <v>532</v>
      </c>
      <c r="AL2476" s="1">
        <v>5</v>
      </c>
      <c r="AM2476" s="1">
        <v>2</v>
      </c>
      <c r="AN2476" s="1">
        <v>2</v>
      </c>
      <c r="AO2476" s="1">
        <v>0</v>
      </c>
      <c r="AP2476" s="1" t="s">
        <v>209</v>
      </c>
      <c r="AR2476" s="1" t="s">
        <v>210</v>
      </c>
      <c r="AS2476" s="1" t="s">
        <v>204</v>
      </c>
      <c r="AT2476" s="1" t="s">
        <v>271</v>
      </c>
      <c r="AV2476" s="1">
        <v>1</v>
      </c>
      <c r="AW2476" s="1" t="s">
        <v>204</v>
      </c>
      <c r="AX2476" s="1" t="s">
        <v>212</v>
      </c>
      <c r="AZ2476" s="1">
        <v>1389.46</v>
      </c>
      <c r="BA2476" s="1">
        <v>2013</v>
      </c>
      <c r="BE2476" s="1">
        <v>962</v>
      </c>
      <c r="BF2476" s="1">
        <v>2</v>
      </c>
      <c r="BG2476" s="1">
        <v>1</v>
      </c>
      <c r="BL2476" s="1">
        <v>378</v>
      </c>
      <c r="BM2476" s="1" t="s">
        <v>204</v>
      </c>
      <c r="BN2476" s="1" t="s">
        <v>213</v>
      </c>
      <c r="BO2476" s="1">
        <v>25</v>
      </c>
      <c r="BP2476" s="1" t="s">
        <v>204</v>
      </c>
      <c r="BR2476" s="1" t="str">
        <f>"11304030580000"</f>
        <v>11304030580000</v>
      </c>
      <c r="BT2476" s="1" t="s">
        <v>21392</v>
      </c>
      <c r="BX2476" s="1">
        <v>73</v>
      </c>
      <c r="BY2476" s="1">
        <v>73</v>
      </c>
      <c r="BZ2476" s="1">
        <v>120</v>
      </c>
      <c r="CB2476" s="1" t="str">
        <f t="shared" ref="CB2476:CC2476" si="1900">""</f>
        <v/>
      </c>
      <c r="CC2476" s="1" t="str">
        <f t="shared" si="1900"/>
        <v/>
      </c>
      <c r="CG2476" s="1" t="s">
        <v>757</v>
      </c>
      <c r="CH2476" s="1" t="s">
        <v>219</v>
      </c>
      <c r="CK2476" s="1" t="s">
        <v>539</v>
      </c>
      <c r="CL2476" s="1" t="s">
        <v>219</v>
      </c>
      <c r="CO2476" s="1" t="s">
        <v>281</v>
      </c>
      <c r="CP2476" s="1" t="s">
        <v>219</v>
      </c>
      <c r="CS2476" s="1" t="s">
        <v>465</v>
      </c>
      <c r="CT2476" s="1" t="s">
        <v>219</v>
      </c>
      <c r="CX2476" s="1" t="s">
        <v>224</v>
      </c>
      <c r="DB2476" s="1" t="s">
        <v>224</v>
      </c>
      <c r="DE2476" s="1" t="s">
        <v>409</v>
      </c>
      <c r="DF2476" s="1" t="s">
        <v>219</v>
      </c>
      <c r="DJ2476" s="1" t="s">
        <v>224</v>
      </c>
      <c r="DS2476" s="1" t="s">
        <v>230</v>
      </c>
      <c r="DW2476" s="1" t="s">
        <v>230</v>
      </c>
      <c r="EA2476" s="1" t="s">
        <v>230</v>
      </c>
      <c r="EE2476" s="1" t="s">
        <v>230</v>
      </c>
      <c r="EI2476" s="1" t="s">
        <v>230</v>
      </c>
      <c r="EL2476" s="1" t="s">
        <v>605</v>
      </c>
      <c r="EM2476" s="1" t="s">
        <v>319</v>
      </c>
      <c r="EN2476" s="1" t="s">
        <v>210</v>
      </c>
      <c r="EO2476" s="1" t="s">
        <v>234</v>
      </c>
      <c r="ER2476" s="1" t="s">
        <v>210</v>
      </c>
      <c r="EW2476" s="1" t="s">
        <v>210</v>
      </c>
      <c r="EZ2476" s="1" t="s">
        <v>287</v>
      </c>
      <c r="FD2476" s="1" t="s">
        <v>246</v>
      </c>
      <c r="FE2476" s="1" t="s">
        <v>247</v>
      </c>
      <c r="FF2476" s="1" t="s">
        <v>248</v>
      </c>
      <c r="FH2476" s="1" t="s">
        <v>249</v>
      </c>
      <c r="FL2476" s="1" t="s">
        <v>414</v>
      </c>
      <c r="FM2476" s="1" t="s">
        <v>252</v>
      </c>
      <c r="FN2476" s="1" t="s">
        <v>213</v>
      </c>
      <c r="FO2476" s="1" t="s">
        <v>213</v>
      </c>
      <c r="FQ2476" s="1" t="s">
        <v>689</v>
      </c>
      <c r="FR2476" s="1" t="s">
        <v>210</v>
      </c>
      <c r="FS2476" s="1" t="s">
        <v>1805</v>
      </c>
      <c r="FT2476" s="1" t="s">
        <v>654</v>
      </c>
      <c r="FU2476" s="1" t="s">
        <v>204</v>
      </c>
      <c r="FW2476" s="1" t="s">
        <v>1806</v>
      </c>
      <c r="FX2476" s="1">
        <v>25196</v>
      </c>
      <c r="FY2476" s="1" t="s">
        <v>1807</v>
      </c>
      <c r="FZ2476" s="1" t="s">
        <v>1808</v>
      </c>
      <c r="GA2476" s="1">
        <v>214545</v>
      </c>
      <c r="GB2476" s="1" t="s">
        <v>1807</v>
      </c>
      <c r="GC2476" s="1">
        <v>232216</v>
      </c>
      <c r="GE2476" s="1" t="s">
        <v>210</v>
      </c>
      <c r="GI2476" s="1" t="s">
        <v>213</v>
      </c>
      <c r="GJ2476" s="1" t="s">
        <v>260</v>
      </c>
      <c r="GK2476" s="1" t="s">
        <v>210</v>
      </c>
      <c r="GL2476" s="2">
        <v>42132</v>
      </c>
      <c r="GM2476" s="1" t="s">
        <v>21393</v>
      </c>
    </row>
    <row r="2477" spans="1:195">
      <c r="A2477" s="1">
        <v>64400</v>
      </c>
      <c r="B2477" s="1" t="s">
        <v>195</v>
      </c>
      <c r="C2477" s="1" t="str">
        <f>"08826333"</f>
        <v>08826333</v>
      </c>
      <c r="D2477" s="1" t="s">
        <v>196</v>
      </c>
      <c r="F2477" s="1" t="str">
        <f>"104"</f>
        <v>104</v>
      </c>
      <c r="G2477" s="2">
        <v>42033</v>
      </c>
      <c r="H2477" s="1">
        <v>78000</v>
      </c>
      <c r="I2477" s="1">
        <v>78000</v>
      </c>
      <c r="J2477" s="1">
        <v>64400</v>
      </c>
      <c r="K2477" s="2">
        <v>42032</v>
      </c>
      <c r="L2477" s="1">
        <v>17</v>
      </c>
      <c r="M2477" s="2">
        <v>42048</v>
      </c>
      <c r="N2477" s="1">
        <v>17</v>
      </c>
      <c r="O2477" s="2">
        <v>42048</v>
      </c>
      <c r="P2477" s="1">
        <v>1109</v>
      </c>
      <c r="Q2477" s="1" t="s">
        <v>302</v>
      </c>
      <c r="R2477" s="2">
        <v>42111</v>
      </c>
      <c r="S2477" s="1">
        <v>84713</v>
      </c>
      <c r="U2477" s="1">
        <v>360</v>
      </c>
      <c r="V2477" s="1" t="s">
        <v>7526</v>
      </c>
      <c r="W2477" s="1" t="s">
        <v>504</v>
      </c>
      <c r="X2477" s="1" t="s">
        <v>17766</v>
      </c>
      <c r="Y2477" s="1">
        <v>4</v>
      </c>
      <c r="Z2477" s="1" t="s">
        <v>249</v>
      </c>
      <c r="AA2477" s="1" t="s">
        <v>371</v>
      </c>
      <c r="AB2477" s="1">
        <v>60103</v>
      </c>
      <c r="AD2477" s="1" t="s">
        <v>5971</v>
      </c>
      <c r="AE2477" s="1" t="s">
        <v>21394</v>
      </c>
      <c r="AF2477" s="1">
        <v>1991</v>
      </c>
      <c r="AG2477" s="1" t="s">
        <v>204</v>
      </c>
      <c r="AH2477" s="1" t="s">
        <v>373</v>
      </c>
      <c r="AI2477" s="1" t="s">
        <v>310</v>
      </c>
      <c r="AJ2477" s="1" t="s">
        <v>374</v>
      </c>
      <c r="AL2477" s="1">
        <v>5</v>
      </c>
      <c r="AM2477" s="1">
        <v>2</v>
      </c>
      <c r="AN2477" s="1">
        <v>1</v>
      </c>
      <c r="AO2477" s="1">
        <v>0</v>
      </c>
      <c r="AP2477" s="1" t="s">
        <v>210</v>
      </c>
      <c r="AR2477" s="1" t="s">
        <v>210</v>
      </c>
      <c r="AS2477" s="1" t="s">
        <v>204</v>
      </c>
      <c r="AT2477" s="1" t="s">
        <v>211</v>
      </c>
      <c r="AU2477" s="1">
        <v>1</v>
      </c>
      <c r="AW2477" s="1" t="s">
        <v>204</v>
      </c>
      <c r="AX2477" s="1" t="s">
        <v>212</v>
      </c>
      <c r="AZ2477" s="1">
        <v>1484</v>
      </c>
      <c r="BA2477" s="1">
        <v>2012</v>
      </c>
      <c r="BB2477" s="1" t="s">
        <v>405</v>
      </c>
      <c r="BE2477" s="1">
        <v>858</v>
      </c>
      <c r="BF2477" s="1">
        <v>1</v>
      </c>
      <c r="BG2477" s="1">
        <v>0</v>
      </c>
      <c r="BL2477" s="1">
        <v>210</v>
      </c>
      <c r="BM2477" s="1" t="s">
        <v>413</v>
      </c>
      <c r="BN2477" s="1" t="s">
        <v>213</v>
      </c>
      <c r="BO2477" s="1">
        <v>99</v>
      </c>
      <c r="BP2477" s="1" t="s">
        <v>204</v>
      </c>
      <c r="BR2477" s="1" t="str">
        <f>"06354001171166"</f>
        <v>06354001171166</v>
      </c>
      <c r="BT2477" s="1" t="s">
        <v>21395</v>
      </c>
      <c r="BU2477" s="1" t="s">
        <v>1815</v>
      </c>
      <c r="BV2477" s="1" t="s">
        <v>1816</v>
      </c>
      <c r="BW2477" s="1" t="s">
        <v>4121</v>
      </c>
      <c r="BX2477" s="1">
        <v>46</v>
      </c>
      <c r="BY2477" s="1">
        <v>46</v>
      </c>
      <c r="BZ2477" s="1">
        <v>46</v>
      </c>
      <c r="CB2477" s="1" t="str">
        <f>"9"</f>
        <v>9</v>
      </c>
      <c r="CC2477" s="1" t="str">
        <f>"0"</f>
        <v>0</v>
      </c>
      <c r="CD2477" s="1">
        <v>27</v>
      </c>
      <c r="CE2477" s="1">
        <v>0</v>
      </c>
      <c r="CG2477" s="1" t="s">
        <v>221</v>
      </c>
      <c r="CH2477" s="1" t="s">
        <v>219</v>
      </c>
      <c r="CI2477" s="1" t="s">
        <v>220</v>
      </c>
      <c r="CK2477" s="1" t="s">
        <v>317</v>
      </c>
      <c r="CL2477" s="1" t="s">
        <v>219</v>
      </c>
      <c r="CM2477" s="1" t="s">
        <v>220</v>
      </c>
      <c r="CO2477" s="1" t="s">
        <v>409</v>
      </c>
      <c r="CP2477" s="1" t="s">
        <v>219</v>
      </c>
      <c r="CQ2477" s="1" t="s">
        <v>220</v>
      </c>
      <c r="CS2477" s="1" t="s">
        <v>346</v>
      </c>
      <c r="CT2477" s="1" t="s">
        <v>219</v>
      </c>
      <c r="CU2477" s="1" t="s">
        <v>220</v>
      </c>
      <c r="CX2477" s="1" t="s">
        <v>224</v>
      </c>
      <c r="DB2477" s="1" t="s">
        <v>224</v>
      </c>
      <c r="DE2477" s="1" t="s">
        <v>318</v>
      </c>
      <c r="DF2477" s="1" t="s">
        <v>219</v>
      </c>
      <c r="DJ2477" s="1" t="s">
        <v>224</v>
      </c>
      <c r="DK2477" s="1" t="s">
        <v>342</v>
      </c>
      <c r="DS2477" s="1" t="s">
        <v>230</v>
      </c>
      <c r="DW2477" s="1" t="s">
        <v>230</v>
      </c>
      <c r="EA2477" s="1" t="s">
        <v>230</v>
      </c>
      <c r="EE2477" s="1" t="s">
        <v>230</v>
      </c>
      <c r="EI2477" s="1" t="s">
        <v>230</v>
      </c>
      <c r="EL2477" s="1" t="s">
        <v>382</v>
      </c>
      <c r="EM2477" s="1" t="s">
        <v>319</v>
      </c>
      <c r="EN2477" s="1" t="s">
        <v>210</v>
      </c>
      <c r="EO2477" s="1" t="s">
        <v>234</v>
      </c>
      <c r="ER2477" s="1" t="s">
        <v>210</v>
      </c>
      <c r="EW2477" s="1" t="s">
        <v>6645</v>
      </c>
      <c r="EY2477" s="1" t="s">
        <v>242</v>
      </c>
      <c r="EZ2477" s="1" t="s">
        <v>287</v>
      </c>
      <c r="FB2477" s="1" t="s">
        <v>289</v>
      </c>
      <c r="FD2477" s="1" t="s">
        <v>246</v>
      </c>
      <c r="FE2477" s="1" t="s">
        <v>1006</v>
      </c>
      <c r="FF2477" s="1" t="s">
        <v>248</v>
      </c>
      <c r="FH2477" s="1" t="s">
        <v>388</v>
      </c>
      <c r="FL2477" s="1" t="s">
        <v>358</v>
      </c>
      <c r="FM2477" s="1" t="s">
        <v>252</v>
      </c>
      <c r="FN2477" s="1" t="s">
        <v>213</v>
      </c>
      <c r="FO2477" s="1" t="s">
        <v>213</v>
      </c>
      <c r="FQ2477" s="1" t="s">
        <v>3439</v>
      </c>
      <c r="FR2477" s="1" t="s">
        <v>210</v>
      </c>
      <c r="FS2477" s="1" t="s">
        <v>1429</v>
      </c>
      <c r="FT2477" s="1" t="s">
        <v>3440</v>
      </c>
      <c r="FU2477" s="1" t="s">
        <v>204</v>
      </c>
      <c r="FW2477" s="1" t="s">
        <v>1742</v>
      </c>
      <c r="FX2477" s="1">
        <v>25401</v>
      </c>
      <c r="FY2477" s="1" t="s">
        <v>1743</v>
      </c>
      <c r="FZ2477" s="1" t="s">
        <v>1744</v>
      </c>
      <c r="GA2477" s="1">
        <v>231228</v>
      </c>
      <c r="GB2477" s="1" t="s">
        <v>1743</v>
      </c>
      <c r="GC2477" s="1">
        <v>228582</v>
      </c>
      <c r="GE2477" s="1" t="s">
        <v>210</v>
      </c>
      <c r="GI2477" s="1" t="s">
        <v>213</v>
      </c>
      <c r="GJ2477" s="1" t="s">
        <v>260</v>
      </c>
      <c r="GK2477" s="1" t="s">
        <v>210</v>
      </c>
      <c r="GL2477" s="2">
        <v>42114</v>
      </c>
      <c r="GM2477" s="1" t="s">
        <v>21396</v>
      </c>
    </row>
    <row r="2478" spans="1:195">
      <c r="A2478" s="1">
        <v>132000</v>
      </c>
      <c r="B2478" s="1" t="s">
        <v>195</v>
      </c>
      <c r="C2478" s="1" t="str">
        <f>"08833246"</f>
        <v>08833246</v>
      </c>
      <c r="D2478" s="1" t="s">
        <v>196</v>
      </c>
      <c r="F2478" s="1" t="str">
        <f>"61"</f>
        <v>61</v>
      </c>
      <c r="G2478" s="2">
        <v>42041</v>
      </c>
      <c r="H2478" s="1">
        <v>139900</v>
      </c>
      <c r="I2478" s="1">
        <v>139900</v>
      </c>
      <c r="J2478" s="1">
        <v>132000</v>
      </c>
      <c r="K2478" s="2">
        <v>42041</v>
      </c>
      <c r="L2478" s="1">
        <v>18</v>
      </c>
      <c r="M2478" s="2">
        <v>42058</v>
      </c>
      <c r="N2478" s="1">
        <v>18</v>
      </c>
      <c r="O2478" s="2">
        <v>42058</v>
      </c>
      <c r="P2478" s="1">
        <v>2752</v>
      </c>
      <c r="Q2478" s="1" t="s">
        <v>302</v>
      </c>
      <c r="R2478" s="2">
        <v>42069</v>
      </c>
      <c r="S2478" s="1">
        <v>26426</v>
      </c>
      <c r="U2478" s="1">
        <v>338</v>
      </c>
      <c r="V2478" s="1" t="s">
        <v>18087</v>
      </c>
      <c r="W2478" s="1" t="s">
        <v>304</v>
      </c>
      <c r="Y2478" s="1">
        <v>6</v>
      </c>
      <c r="Z2478" s="1" t="s">
        <v>249</v>
      </c>
      <c r="AA2478" s="1" t="s">
        <v>505</v>
      </c>
      <c r="AB2478" s="1">
        <v>60061</v>
      </c>
      <c r="AD2478" s="1" t="s">
        <v>4034</v>
      </c>
      <c r="AE2478" s="1" t="s">
        <v>21397</v>
      </c>
      <c r="AF2478" s="1">
        <v>1976</v>
      </c>
      <c r="AG2478" s="1" t="s">
        <v>213</v>
      </c>
      <c r="AH2478" s="1" t="s">
        <v>508</v>
      </c>
      <c r="AI2478" s="1" t="s">
        <v>509</v>
      </c>
      <c r="AJ2478" s="1" t="s">
        <v>1693</v>
      </c>
      <c r="AK2478" s="1" t="s">
        <v>9254</v>
      </c>
      <c r="AL2478" s="1">
        <v>5</v>
      </c>
      <c r="AM2478" s="1">
        <v>2</v>
      </c>
      <c r="AN2478" s="1">
        <v>1</v>
      </c>
      <c r="AO2478" s="1">
        <v>1</v>
      </c>
      <c r="AP2478" s="1" t="s">
        <v>210</v>
      </c>
      <c r="AR2478" s="1" t="s">
        <v>210</v>
      </c>
      <c r="AS2478" s="1" t="s">
        <v>204</v>
      </c>
      <c r="AT2478" s="1" t="s">
        <v>211</v>
      </c>
      <c r="AU2478" s="1">
        <v>1</v>
      </c>
      <c r="AW2478" s="1" t="s">
        <v>204</v>
      </c>
      <c r="AX2478" s="1" t="s">
        <v>212</v>
      </c>
      <c r="AZ2478" s="1">
        <v>3152.82</v>
      </c>
      <c r="BA2478" s="1">
        <v>2013</v>
      </c>
      <c r="BB2478" s="1" t="s">
        <v>405</v>
      </c>
      <c r="BE2478" s="1">
        <v>1025</v>
      </c>
      <c r="BF2478" s="1">
        <v>1</v>
      </c>
      <c r="BG2478" s="1">
        <v>0</v>
      </c>
      <c r="BL2478" s="1">
        <v>230</v>
      </c>
      <c r="BM2478" s="1" t="s">
        <v>204</v>
      </c>
      <c r="BN2478" s="1" t="s">
        <v>213</v>
      </c>
      <c r="BO2478" s="1">
        <v>999</v>
      </c>
      <c r="BP2478" s="1" t="s">
        <v>204</v>
      </c>
      <c r="BR2478" s="1" t="str">
        <f>"11324120390000"</f>
        <v>11324120390000</v>
      </c>
      <c r="BT2478" s="1" t="s">
        <v>21398</v>
      </c>
      <c r="BW2478" s="1" t="s">
        <v>514</v>
      </c>
      <c r="BX2478" s="1">
        <v>73</v>
      </c>
      <c r="BY2478" s="1">
        <v>73</v>
      </c>
      <c r="BZ2478" s="1">
        <v>128</v>
      </c>
      <c r="CB2478" s="1" t="str">
        <f>"26"</f>
        <v>26</v>
      </c>
      <c r="CC2478" s="1" t="str">
        <f>""</f>
        <v/>
      </c>
      <c r="CD2478" s="1">
        <v>17</v>
      </c>
      <c r="CG2478" s="1" t="s">
        <v>3316</v>
      </c>
      <c r="CH2478" s="1" t="s">
        <v>219</v>
      </c>
      <c r="CI2478" s="1" t="s">
        <v>220</v>
      </c>
      <c r="CJ2478" s="1" t="s">
        <v>343</v>
      </c>
      <c r="CK2478" s="1" t="s">
        <v>3083</v>
      </c>
      <c r="CL2478" s="1" t="s">
        <v>277</v>
      </c>
      <c r="CM2478" s="1" t="s">
        <v>220</v>
      </c>
      <c r="CN2478" s="1" t="s">
        <v>343</v>
      </c>
      <c r="CO2478" s="1" t="s">
        <v>785</v>
      </c>
      <c r="CP2478" s="1" t="s">
        <v>219</v>
      </c>
      <c r="CQ2478" s="1" t="s">
        <v>220</v>
      </c>
      <c r="CR2478" s="1" t="s">
        <v>343</v>
      </c>
      <c r="CS2478" s="1" t="s">
        <v>346</v>
      </c>
      <c r="CT2478" s="1" t="s">
        <v>277</v>
      </c>
      <c r="CU2478" s="1" t="s">
        <v>220</v>
      </c>
      <c r="CV2478" s="1" t="s">
        <v>343</v>
      </c>
      <c r="CX2478" s="1" t="s">
        <v>224</v>
      </c>
      <c r="DB2478" s="1" t="s">
        <v>224</v>
      </c>
      <c r="DE2478" s="1" t="s">
        <v>3318</v>
      </c>
      <c r="DF2478" s="1" t="s">
        <v>219</v>
      </c>
      <c r="DG2478" s="1" t="s">
        <v>4958</v>
      </c>
      <c r="DJ2478" s="1" t="s">
        <v>224</v>
      </c>
      <c r="DS2478" s="1" t="s">
        <v>230</v>
      </c>
      <c r="DW2478" s="1" t="s">
        <v>230</v>
      </c>
      <c r="EA2478" s="1" t="s">
        <v>230</v>
      </c>
      <c r="EE2478" s="1" t="s">
        <v>230</v>
      </c>
      <c r="EI2478" s="1" t="s">
        <v>230</v>
      </c>
      <c r="EL2478" s="1" t="s">
        <v>231</v>
      </c>
      <c r="EM2478" s="1" t="s">
        <v>232</v>
      </c>
      <c r="EN2478" s="1" t="s">
        <v>282</v>
      </c>
      <c r="EO2478" s="1" t="s">
        <v>234</v>
      </c>
      <c r="EP2478" s="1" t="s">
        <v>21399</v>
      </c>
      <c r="EQ2478" s="1" t="s">
        <v>236</v>
      </c>
      <c r="ER2478" s="1" t="s">
        <v>210</v>
      </c>
      <c r="ES2478" s="1" t="s">
        <v>3285</v>
      </c>
      <c r="EU2478" s="1" t="s">
        <v>239</v>
      </c>
      <c r="EV2478" s="1" t="s">
        <v>352</v>
      </c>
      <c r="EW2478" s="1" t="s">
        <v>517</v>
      </c>
      <c r="EY2478" s="1" t="s">
        <v>242</v>
      </c>
      <c r="EZ2478" s="1" t="s">
        <v>287</v>
      </c>
      <c r="FB2478" s="1" t="s">
        <v>289</v>
      </c>
      <c r="FC2478" s="1" t="s">
        <v>326</v>
      </c>
      <c r="FD2478" s="1" t="s">
        <v>246</v>
      </c>
      <c r="FE2478" s="1" t="s">
        <v>472</v>
      </c>
      <c r="FF2478" s="1" t="s">
        <v>248</v>
      </c>
      <c r="FH2478" s="1" t="s">
        <v>550</v>
      </c>
      <c r="FI2478" s="1" t="s">
        <v>473</v>
      </c>
      <c r="FL2478" s="1" t="s">
        <v>358</v>
      </c>
      <c r="FM2478" s="1" t="s">
        <v>252</v>
      </c>
      <c r="FN2478" s="1" t="s">
        <v>213</v>
      </c>
      <c r="FO2478" s="1" t="s">
        <v>213</v>
      </c>
      <c r="FQ2478" s="1" t="s">
        <v>2142</v>
      </c>
      <c r="FR2478" s="1" t="s">
        <v>652</v>
      </c>
      <c r="FS2478" s="1" t="s">
        <v>21400</v>
      </c>
      <c r="FT2478" s="1" t="s">
        <v>21401</v>
      </c>
      <c r="FU2478" s="1" t="s">
        <v>204</v>
      </c>
      <c r="FW2478" s="1" t="s">
        <v>256</v>
      </c>
      <c r="FX2478" s="1">
        <v>2648</v>
      </c>
      <c r="FY2478" s="1" t="s">
        <v>1022</v>
      </c>
      <c r="FZ2478" s="1" t="s">
        <v>16632</v>
      </c>
      <c r="GA2478" s="1">
        <v>12638</v>
      </c>
      <c r="GB2478" s="1" t="s">
        <v>16633</v>
      </c>
      <c r="GE2478" s="1" t="s">
        <v>210</v>
      </c>
      <c r="GI2478" s="1" t="s">
        <v>213</v>
      </c>
      <c r="GJ2478" s="1" t="s">
        <v>260</v>
      </c>
      <c r="GK2478" s="1" t="s">
        <v>210</v>
      </c>
      <c r="GL2478" s="2">
        <v>42069</v>
      </c>
      <c r="GM2478" s="1" t="s">
        <v>21402</v>
      </c>
    </row>
    <row r="2479" spans="1:195">
      <c r="A2479" s="1">
        <v>240000</v>
      </c>
      <c r="B2479" s="1" t="s">
        <v>195</v>
      </c>
      <c r="C2479" s="1" t="str">
        <f>"08825658"</f>
        <v>08825658</v>
      </c>
      <c r="D2479" s="1" t="s">
        <v>196</v>
      </c>
      <c r="F2479" s="1" t="str">
        <f>"507"</f>
        <v>507</v>
      </c>
      <c r="G2479" s="2">
        <v>42032</v>
      </c>
      <c r="H2479" s="1">
        <v>260250</v>
      </c>
      <c r="I2479" s="1">
        <v>260250</v>
      </c>
      <c r="J2479" s="1">
        <v>240000</v>
      </c>
      <c r="K2479" s="2">
        <v>42032</v>
      </c>
      <c r="L2479" s="1">
        <v>218</v>
      </c>
      <c r="M2479" s="2">
        <v>42051</v>
      </c>
      <c r="N2479" s="1">
        <v>20</v>
      </c>
      <c r="O2479" s="2">
        <v>42051</v>
      </c>
      <c r="P2479" s="1" t="s">
        <v>1039</v>
      </c>
      <c r="Q2479" s="1" t="s">
        <v>1393</v>
      </c>
      <c r="R2479" s="2">
        <v>42086</v>
      </c>
      <c r="S2479" s="1">
        <v>99999</v>
      </c>
      <c r="U2479" s="1">
        <v>2827</v>
      </c>
      <c r="V2479" s="1" t="s">
        <v>21403</v>
      </c>
      <c r="W2479" s="1" t="s">
        <v>1056</v>
      </c>
      <c r="Y2479" s="1">
        <v>6</v>
      </c>
      <c r="Z2479" s="1" t="s">
        <v>370</v>
      </c>
      <c r="AA2479" s="1" t="s">
        <v>1123</v>
      </c>
      <c r="AB2479" s="1">
        <v>60502</v>
      </c>
      <c r="AD2479" s="1" t="s">
        <v>10324</v>
      </c>
      <c r="AE2479" s="1" t="s">
        <v>10413</v>
      </c>
      <c r="AF2479" s="1">
        <v>2014</v>
      </c>
      <c r="AG2479" s="1" t="s">
        <v>204</v>
      </c>
      <c r="AH2479" s="1" t="s">
        <v>1126</v>
      </c>
      <c r="AI2479" s="1" t="s">
        <v>665</v>
      </c>
      <c r="AJ2479" s="1" t="s">
        <v>949</v>
      </c>
      <c r="AK2479" s="1" t="s">
        <v>21404</v>
      </c>
      <c r="AL2479" s="1">
        <v>6</v>
      </c>
      <c r="AM2479" s="1">
        <v>2</v>
      </c>
      <c r="AN2479" s="1">
        <v>2</v>
      </c>
      <c r="AO2479" s="1">
        <v>1</v>
      </c>
      <c r="AP2479" s="1" t="s">
        <v>209</v>
      </c>
      <c r="AQ2479" s="1">
        <v>0</v>
      </c>
      <c r="AR2479" s="1" t="s">
        <v>209</v>
      </c>
      <c r="AS2479" s="1" t="s">
        <v>204</v>
      </c>
      <c r="AT2479" s="1" t="s">
        <v>211</v>
      </c>
      <c r="AU2479" s="1">
        <v>2</v>
      </c>
      <c r="AW2479" s="1" t="s">
        <v>204</v>
      </c>
      <c r="AX2479" s="1" t="s">
        <v>212</v>
      </c>
      <c r="AZ2479" s="1" t="s">
        <v>751</v>
      </c>
      <c r="BA2479" s="1">
        <v>2013</v>
      </c>
      <c r="BE2479" s="1">
        <v>1777</v>
      </c>
      <c r="BF2479" s="1">
        <v>2</v>
      </c>
      <c r="BG2479" s="1">
        <v>0</v>
      </c>
      <c r="BL2479" s="1">
        <v>170</v>
      </c>
      <c r="BM2479" s="1" t="s">
        <v>204</v>
      </c>
      <c r="BN2479" s="1" t="s">
        <v>213</v>
      </c>
      <c r="BO2479" s="1">
        <v>0</v>
      </c>
      <c r="BP2479" s="1" t="s">
        <v>213</v>
      </c>
      <c r="BQ2479" s="2">
        <v>42032</v>
      </c>
      <c r="BR2479" s="1" t="str">
        <f>"1235445002"</f>
        <v>1235445002</v>
      </c>
      <c r="BT2479" s="1" t="s">
        <v>21405</v>
      </c>
      <c r="BU2479" s="1" t="s">
        <v>6403</v>
      </c>
      <c r="BV2479" s="1" t="s">
        <v>6404</v>
      </c>
      <c r="BW2479" s="1" t="s">
        <v>6405</v>
      </c>
      <c r="BX2479" s="1">
        <v>101</v>
      </c>
      <c r="BY2479" s="1">
        <v>101</v>
      </c>
      <c r="BZ2479" s="1">
        <v>101</v>
      </c>
      <c r="CB2479" s="1" t="str">
        <f>"3"</f>
        <v>3</v>
      </c>
      <c r="CC2479" s="1" t="str">
        <f>"0"</f>
        <v>0</v>
      </c>
      <c r="CD2479" s="1">
        <v>34</v>
      </c>
      <c r="CE2479" s="1">
        <v>0</v>
      </c>
      <c r="CH2479" s="1" t="s">
        <v>224</v>
      </c>
      <c r="CK2479" s="1" t="s">
        <v>315</v>
      </c>
      <c r="CL2479" s="1" t="s">
        <v>277</v>
      </c>
      <c r="CM2479" s="1" t="s">
        <v>220</v>
      </c>
      <c r="CP2479" s="1" t="s">
        <v>224</v>
      </c>
      <c r="CS2479" s="1" t="s">
        <v>346</v>
      </c>
      <c r="CT2479" s="1" t="s">
        <v>277</v>
      </c>
      <c r="CU2479" s="1" t="s">
        <v>220</v>
      </c>
      <c r="CX2479" s="1" t="s">
        <v>224</v>
      </c>
      <c r="DB2479" s="1" t="s">
        <v>224</v>
      </c>
      <c r="DE2479" s="1" t="s">
        <v>630</v>
      </c>
      <c r="DF2479" s="1" t="s">
        <v>219</v>
      </c>
      <c r="DG2479" s="1" t="s">
        <v>438</v>
      </c>
      <c r="DI2479" s="1" t="s">
        <v>228</v>
      </c>
      <c r="DJ2479" s="1" t="s">
        <v>219</v>
      </c>
      <c r="DK2479" s="1" t="s">
        <v>438</v>
      </c>
      <c r="DM2479" s="1" t="s">
        <v>1548</v>
      </c>
      <c r="DN2479" s="1" t="s">
        <v>1770</v>
      </c>
      <c r="DO2479" s="1" t="s">
        <v>464</v>
      </c>
      <c r="DR2479" s="1" t="s">
        <v>2277</v>
      </c>
      <c r="DS2479" s="1" t="s">
        <v>219</v>
      </c>
      <c r="DT2479" s="1" t="s">
        <v>438</v>
      </c>
      <c r="DV2479" s="1" t="s">
        <v>6407</v>
      </c>
      <c r="DW2479" s="1" t="s">
        <v>277</v>
      </c>
      <c r="DX2479" s="1" t="s">
        <v>342</v>
      </c>
      <c r="DZ2479" s="1" t="s">
        <v>318</v>
      </c>
      <c r="EA2479" s="1" t="s">
        <v>277</v>
      </c>
      <c r="EE2479" s="1" t="s">
        <v>230</v>
      </c>
      <c r="EI2479" s="1" t="s">
        <v>230</v>
      </c>
      <c r="EL2479" s="1" t="s">
        <v>1455</v>
      </c>
      <c r="EM2479" s="1" t="s">
        <v>319</v>
      </c>
      <c r="EN2479" s="1" t="s">
        <v>282</v>
      </c>
      <c r="EO2479" s="1" t="s">
        <v>234</v>
      </c>
      <c r="EQ2479" s="1" t="s">
        <v>15248</v>
      </c>
      <c r="ER2479" s="1" t="s">
        <v>2453</v>
      </c>
      <c r="ES2479" s="1" t="s">
        <v>322</v>
      </c>
      <c r="ET2479" s="1" t="s">
        <v>842</v>
      </c>
      <c r="EU2479" s="1" t="s">
        <v>285</v>
      </c>
      <c r="EW2479" s="1" t="s">
        <v>867</v>
      </c>
      <c r="EY2479" s="1" t="s">
        <v>242</v>
      </c>
      <c r="EZ2479" s="1" t="s">
        <v>10416</v>
      </c>
      <c r="FA2479" s="1" t="s">
        <v>6548</v>
      </c>
      <c r="FD2479" s="1" t="s">
        <v>246</v>
      </c>
      <c r="FE2479" s="1" t="s">
        <v>472</v>
      </c>
      <c r="FF2479" s="1" t="s">
        <v>387</v>
      </c>
      <c r="FH2479" s="1" t="s">
        <v>550</v>
      </c>
      <c r="FL2479" s="1" t="s">
        <v>358</v>
      </c>
      <c r="FM2479" s="1" t="s">
        <v>252</v>
      </c>
      <c r="FN2479" s="1" t="s">
        <v>213</v>
      </c>
      <c r="FO2479" s="1" t="s">
        <v>213</v>
      </c>
      <c r="FQ2479" s="1" t="s">
        <v>3853</v>
      </c>
      <c r="FR2479" s="1" t="s">
        <v>210</v>
      </c>
      <c r="FS2479" s="1" t="s">
        <v>21406</v>
      </c>
      <c r="FT2479" s="1" t="s">
        <v>3855</v>
      </c>
      <c r="FU2479" s="1" t="s">
        <v>204</v>
      </c>
      <c r="FV2479" s="1" t="s">
        <v>6411</v>
      </c>
      <c r="FW2479" s="1" t="s">
        <v>3857</v>
      </c>
      <c r="FX2479" s="1">
        <v>23223</v>
      </c>
      <c r="FY2479" s="1" t="s">
        <v>3858</v>
      </c>
      <c r="FZ2479" s="1" t="s">
        <v>3859</v>
      </c>
      <c r="GA2479" s="1">
        <v>236300</v>
      </c>
      <c r="GC2479" s="1">
        <v>210778</v>
      </c>
      <c r="GE2479" s="1" t="s">
        <v>480</v>
      </c>
      <c r="GI2479" s="1" t="s">
        <v>204</v>
      </c>
      <c r="GJ2479" s="1" t="s">
        <v>300</v>
      </c>
      <c r="GK2479" s="1" t="s">
        <v>210</v>
      </c>
      <c r="GL2479" s="2">
        <v>42086</v>
      </c>
      <c r="GM2479" s="1" t="s">
        <v>21407</v>
      </c>
    </row>
    <row r="2480" spans="1:195">
      <c r="A2480" s="1">
        <v>233000</v>
      </c>
      <c r="B2480" s="1" t="s">
        <v>195</v>
      </c>
      <c r="C2480" s="1" t="str">
        <f>"08828205"</f>
        <v>08828205</v>
      </c>
      <c r="D2480" s="1" t="s">
        <v>196</v>
      </c>
      <c r="F2480" s="1" t="str">
        <f>"540"</f>
        <v>540</v>
      </c>
      <c r="G2480" s="2">
        <v>42035</v>
      </c>
      <c r="H2480" s="1">
        <v>239900</v>
      </c>
      <c r="I2480" s="1">
        <v>239900</v>
      </c>
      <c r="J2480" s="1">
        <v>233000</v>
      </c>
      <c r="K2480" s="2">
        <v>42035</v>
      </c>
      <c r="L2480" s="1">
        <v>85</v>
      </c>
      <c r="M2480" s="2">
        <v>42035</v>
      </c>
      <c r="N2480" s="1">
        <v>1</v>
      </c>
      <c r="O2480" s="2">
        <v>42035</v>
      </c>
      <c r="P2480" s="1">
        <v>23156</v>
      </c>
      <c r="Q2480" s="1" t="s">
        <v>197</v>
      </c>
      <c r="R2480" s="2">
        <v>42074</v>
      </c>
      <c r="S2480" s="1">
        <v>236029</v>
      </c>
      <c r="U2480" s="1">
        <v>1512</v>
      </c>
      <c r="V2480" s="1" t="s">
        <v>21408</v>
      </c>
      <c r="W2480" s="1" t="s">
        <v>304</v>
      </c>
      <c r="X2480" s="1">
        <v>1512</v>
      </c>
      <c r="Y2480" s="1">
        <v>4</v>
      </c>
      <c r="Z2480" s="1" t="s">
        <v>249</v>
      </c>
      <c r="AA2480" s="1" t="s">
        <v>921</v>
      </c>
      <c r="AB2480" s="1">
        <v>60565</v>
      </c>
      <c r="AD2480" s="1" t="s">
        <v>922</v>
      </c>
      <c r="AE2480" s="1" t="s">
        <v>21409</v>
      </c>
      <c r="AF2480" s="1">
        <v>1998</v>
      </c>
      <c r="AG2480" s="1" t="s">
        <v>204</v>
      </c>
      <c r="AH2480" s="1" t="s">
        <v>924</v>
      </c>
      <c r="AI2480" s="1" t="s">
        <v>206</v>
      </c>
      <c r="AJ2480" s="1" t="s">
        <v>925</v>
      </c>
      <c r="AK2480" s="1" t="s">
        <v>926</v>
      </c>
      <c r="AL2480" s="1">
        <v>8</v>
      </c>
      <c r="AM2480" s="1">
        <v>2</v>
      </c>
      <c r="AN2480" s="1">
        <v>3</v>
      </c>
      <c r="AO2480" s="1">
        <v>0</v>
      </c>
      <c r="AP2480" s="1" t="s">
        <v>209</v>
      </c>
      <c r="AQ2480" s="1">
        <v>1</v>
      </c>
      <c r="AR2480" s="1" t="s">
        <v>209</v>
      </c>
      <c r="AS2480" s="1" t="s">
        <v>213</v>
      </c>
      <c r="AT2480" s="1" t="s">
        <v>211</v>
      </c>
      <c r="AU2480" s="1">
        <v>2</v>
      </c>
      <c r="AW2480" s="1" t="s">
        <v>204</v>
      </c>
      <c r="AX2480" s="1" t="s">
        <v>212</v>
      </c>
      <c r="AZ2480" s="1">
        <v>4499</v>
      </c>
      <c r="BA2480" s="1">
        <v>2013</v>
      </c>
      <c r="BB2480" s="1" t="s">
        <v>405</v>
      </c>
      <c r="BE2480" s="1">
        <v>1768</v>
      </c>
      <c r="BF2480" s="1">
        <v>1</v>
      </c>
      <c r="BG2480" s="1">
        <v>0</v>
      </c>
      <c r="BJ2480" s="1">
        <v>100</v>
      </c>
      <c r="BL2480" s="1">
        <v>343</v>
      </c>
      <c r="BM2480" s="1" t="s">
        <v>204</v>
      </c>
      <c r="BN2480" s="1" t="s">
        <v>213</v>
      </c>
      <c r="BO2480" s="1">
        <v>200</v>
      </c>
      <c r="BP2480" s="1" t="s">
        <v>204</v>
      </c>
      <c r="BR2480" s="1" t="str">
        <f>"0829312219"</f>
        <v>0829312219</v>
      </c>
      <c r="BT2480" s="1" t="s">
        <v>21410</v>
      </c>
      <c r="BU2480" s="1" t="s">
        <v>21411</v>
      </c>
      <c r="BV2480" s="1" t="s">
        <v>929</v>
      </c>
      <c r="BW2480" s="1" t="s">
        <v>930</v>
      </c>
      <c r="BX2480" s="1">
        <v>203</v>
      </c>
      <c r="BY2480" s="1">
        <v>203</v>
      </c>
      <c r="BZ2480" s="1">
        <v>203</v>
      </c>
      <c r="CB2480" s="1" t="str">
        <f t="shared" ref="CB2480:CC2480" si="1901">"0"</f>
        <v>0</v>
      </c>
      <c r="CC2480" s="1" t="str">
        <f t="shared" si="1901"/>
        <v>0</v>
      </c>
      <c r="CD2480" s="1">
        <v>25</v>
      </c>
      <c r="CE2480" s="1">
        <v>8</v>
      </c>
      <c r="CG2480" s="1" t="s">
        <v>278</v>
      </c>
      <c r="CH2480" s="1" t="s">
        <v>219</v>
      </c>
      <c r="CI2480" s="1" t="s">
        <v>220</v>
      </c>
      <c r="CJ2480" s="1" t="s">
        <v>210</v>
      </c>
      <c r="CK2480" s="1" t="s">
        <v>221</v>
      </c>
      <c r="CL2480" s="1" t="s">
        <v>219</v>
      </c>
      <c r="CM2480" s="1" t="s">
        <v>220</v>
      </c>
      <c r="CN2480" s="1" t="s">
        <v>210</v>
      </c>
      <c r="CO2480" s="1" t="s">
        <v>1297</v>
      </c>
      <c r="CP2480" s="1" t="s">
        <v>219</v>
      </c>
      <c r="CQ2480" s="1" t="s">
        <v>220</v>
      </c>
      <c r="CR2480" s="1" t="s">
        <v>210</v>
      </c>
      <c r="CS2480" s="1" t="s">
        <v>461</v>
      </c>
      <c r="CT2480" s="1" t="s">
        <v>219</v>
      </c>
      <c r="CU2480" s="1" t="s">
        <v>220</v>
      </c>
      <c r="CX2480" s="1" t="s">
        <v>224</v>
      </c>
      <c r="DB2480" s="1" t="s">
        <v>224</v>
      </c>
      <c r="DE2480" s="1" t="s">
        <v>409</v>
      </c>
      <c r="DF2480" s="1" t="s">
        <v>219</v>
      </c>
      <c r="DG2480" s="1" t="s">
        <v>226</v>
      </c>
      <c r="DI2480" s="1" t="s">
        <v>538</v>
      </c>
      <c r="DJ2480" s="1" t="s">
        <v>219</v>
      </c>
      <c r="DK2480" s="1" t="s">
        <v>220</v>
      </c>
      <c r="DL2480" s="1" t="s">
        <v>210</v>
      </c>
      <c r="DM2480" s="1" t="s">
        <v>1548</v>
      </c>
      <c r="DO2480" s="1" t="s">
        <v>934</v>
      </c>
      <c r="DR2480" s="1" t="s">
        <v>2031</v>
      </c>
      <c r="DS2480" s="1" t="s">
        <v>219</v>
      </c>
      <c r="DT2480" s="1" t="s">
        <v>226</v>
      </c>
      <c r="DW2480" s="1" t="s">
        <v>230</v>
      </c>
      <c r="DZ2480" s="1" t="s">
        <v>21412</v>
      </c>
      <c r="EA2480" s="1" t="s">
        <v>822</v>
      </c>
      <c r="EB2480" s="1" t="s">
        <v>220</v>
      </c>
      <c r="EC2480" s="1" t="s">
        <v>210</v>
      </c>
      <c r="EE2480" s="1" t="s">
        <v>230</v>
      </c>
      <c r="EI2480" s="1" t="s">
        <v>230</v>
      </c>
      <c r="EL2480" s="1" t="s">
        <v>670</v>
      </c>
      <c r="EM2480" s="1" t="s">
        <v>232</v>
      </c>
      <c r="EN2480" s="1" t="s">
        <v>282</v>
      </c>
      <c r="EO2480" s="1" t="s">
        <v>234</v>
      </c>
      <c r="EP2480" s="1" t="s">
        <v>1268</v>
      </c>
      <c r="EQ2480" s="1" t="s">
        <v>236</v>
      </c>
      <c r="ER2480" s="1" t="s">
        <v>544</v>
      </c>
      <c r="ES2480" s="1" t="s">
        <v>322</v>
      </c>
      <c r="ET2480" s="1" t="s">
        <v>842</v>
      </c>
      <c r="EU2480" s="1" t="s">
        <v>1573</v>
      </c>
      <c r="EV2480" s="1" t="s">
        <v>324</v>
      </c>
      <c r="EW2480" s="1" t="s">
        <v>286</v>
      </c>
      <c r="EY2480" s="1" t="s">
        <v>242</v>
      </c>
      <c r="EZ2480" s="1" t="s">
        <v>11728</v>
      </c>
      <c r="FA2480" s="1" t="s">
        <v>14183</v>
      </c>
      <c r="FB2480" s="1" t="s">
        <v>289</v>
      </c>
      <c r="FD2480" s="1" t="s">
        <v>246</v>
      </c>
      <c r="FE2480" s="1" t="s">
        <v>247</v>
      </c>
      <c r="FF2480" s="1" t="s">
        <v>248</v>
      </c>
      <c r="FG2480" s="1" t="s">
        <v>14522</v>
      </c>
      <c r="FH2480" s="1" t="s">
        <v>249</v>
      </c>
      <c r="FI2480" s="1" t="s">
        <v>473</v>
      </c>
      <c r="FL2480" s="1" t="s">
        <v>358</v>
      </c>
      <c r="FM2480" s="1" t="s">
        <v>252</v>
      </c>
      <c r="FN2480" s="1" t="s">
        <v>213</v>
      </c>
      <c r="FO2480" s="1" t="s">
        <v>213</v>
      </c>
      <c r="FQ2480" s="1" t="s">
        <v>913</v>
      </c>
      <c r="FR2480" s="1" t="s">
        <v>210</v>
      </c>
      <c r="FS2480" s="1" t="s">
        <v>21413</v>
      </c>
      <c r="FT2480" s="1" t="s">
        <v>295</v>
      </c>
      <c r="FU2480" s="1" t="s">
        <v>213</v>
      </c>
      <c r="FW2480" s="1" t="s">
        <v>3546</v>
      </c>
      <c r="FX2480" s="1">
        <v>24695</v>
      </c>
      <c r="FY2480" s="1" t="s">
        <v>3547</v>
      </c>
      <c r="FZ2480" s="1" t="s">
        <v>21414</v>
      </c>
      <c r="GA2480" s="1">
        <v>231503</v>
      </c>
      <c r="GB2480" s="1" t="s">
        <v>21415</v>
      </c>
      <c r="GC2480" s="1">
        <v>233154</v>
      </c>
      <c r="GE2480" s="1" t="s">
        <v>658</v>
      </c>
      <c r="GI2480" s="1" t="s">
        <v>213</v>
      </c>
      <c r="GJ2480" s="1" t="s">
        <v>260</v>
      </c>
      <c r="GK2480" s="1" t="s">
        <v>210</v>
      </c>
      <c r="GL2480" s="2">
        <v>42075</v>
      </c>
    </row>
    <row r="2481" spans="1:195">
      <c r="A2481" s="1">
        <v>60000</v>
      </c>
      <c r="B2481" s="1" t="s">
        <v>195</v>
      </c>
      <c r="C2481" s="1" t="str">
        <f>"08826162"</f>
        <v>08826162</v>
      </c>
      <c r="D2481" s="1" t="s">
        <v>196</v>
      </c>
      <c r="F2481" s="1" t="str">
        <f>"103"</f>
        <v>103</v>
      </c>
      <c r="G2481" s="2">
        <v>42032</v>
      </c>
      <c r="H2481" s="1">
        <v>74900</v>
      </c>
      <c r="I2481" s="1">
        <v>64900</v>
      </c>
      <c r="J2481" s="1">
        <v>60000</v>
      </c>
      <c r="K2481" s="2">
        <v>42032</v>
      </c>
      <c r="L2481" s="1">
        <v>73</v>
      </c>
      <c r="M2481" s="2">
        <v>42104</v>
      </c>
      <c r="N2481" s="1">
        <v>73</v>
      </c>
      <c r="O2481" s="2">
        <v>42104</v>
      </c>
      <c r="P2481" s="1">
        <v>8101</v>
      </c>
      <c r="Q2481" s="1" t="s">
        <v>302</v>
      </c>
      <c r="R2481" s="2">
        <v>42132</v>
      </c>
      <c r="S2481" s="1">
        <v>27765</v>
      </c>
      <c r="U2481" s="1">
        <v>2230</v>
      </c>
      <c r="V2481" s="1" t="s">
        <v>21416</v>
      </c>
      <c r="W2481" s="1" t="s">
        <v>2781</v>
      </c>
      <c r="X2481" s="1">
        <v>8</v>
      </c>
      <c r="Y2481" s="1">
        <v>20</v>
      </c>
      <c r="Z2481" s="1" t="s">
        <v>249</v>
      </c>
      <c r="AA2481" s="1" t="s">
        <v>337</v>
      </c>
      <c r="AB2481" s="1">
        <v>60133</v>
      </c>
      <c r="AE2481" s="1" t="s">
        <v>21417</v>
      </c>
      <c r="AF2481" s="1">
        <v>1973</v>
      </c>
      <c r="AG2481" s="1" t="s">
        <v>213</v>
      </c>
      <c r="AH2481" s="1" t="s">
        <v>339</v>
      </c>
      <c r="AI2481" s="1" t="s">
        <v>310</v>
      </c>
      <c r="AJ2481" s="1" t="s">
        <v>374</v>
      </c>
      <c r="AL2481" s="1">
        <v>5</v>
      </c>
      <c r="AM2481" s="1">
        <v>2</v>
      </c>
      <c r="AN2481" s="1">
        <v>1</v>
      </c>
      <c r="AO2481" s="1">
        <v>1</v>
      </c>
      <c r="AP2481" s="1" t="s">
        <v>1234</v>
      </c>
      <c r="AR2481" s="1" t="s">
        <v>210</v>
      </c>
      <c r="AS2481" s="1" t="s">
        <v>204</v>
      </c>
      <c r="AT2481" s="1" t="s">
        <v>271</v>
      </c>
      <c r="AV2481" s="1">
        <v>3</v>
      </c>
      <c r="AW2481" s="1" t="s">
        <v>204</v>
      </c>
      <c r="AX2481" s="1" t="s">
        <v>212</v>
      </c>
      <c r="AZ2481" s="1">
        <v>898.77</v>
      </c>
      <c r="BA2481" s="1">
        <v>2013</v>
      </c>
      <c r="BE2481" s="1">
        <v>970</v>
      </c>
      <c r="BF2481" s="1">
        <v>1</v>
      </c>
      <c r="BG2481" s="1">
        <v>0</v>
      </c>
      <c r="BL2481" s="1">
        <v>383</v>
      </c>
      <c r="BM2481" s="1" t="s">
        <v>413</v>
      </c>
      <c r="BN2481" s="1" t="s">
        <v>204</v>
      </c>
      <c r="BP2481" s="1" t="s">
        <v>204</v>
      </c>
      <c r="BR2481" s="1" t="str">
        <f>"06363130431006"</f>
        <v>06363130431006</v>
      </c>
      <c r="BT2481" s="1" t="s">
        <v>21418</v>
      </c>
      <c r="BX2481" s="1">
        <v>46</v>
      </c>
      <c r="BY2481" s="1">
        <v>46</v>
      </c>
      <c r="BZ2481" s="1">
        <v>46</v>
      </c>
      <c r="CB2481" s="1" t="str">
        <f t="shared" ref="CB2481:CC2481" si="1902">""</f>
        <v/>
      </c>
      <c r="CC2481" s="1" t="str">
        <f t="shared" si="1902"/>
        <v/>
      </c>
      <c r="CG2481" s="1" t="s">
        <v>515</v>
      </c>
      <c r="CH2481" s="1" t="s">
        <v>219</v>
      </c>
      <c r="CK2481" s="1" t="s">
        <v>564</v>
      </c>
      <c r="CL2481" s="1" t="s">
        <v>219</v>
      </c>
      <c r="CO2481" s="1" t="s">
        <v>4213</v>
      </c>
      <c r="CP2481" s="1" t="s">
        <v>219</v>
      </c>
      <c r="CS2481" s="1" t="s">
        <v>346</v>
      </c>
      <c r="CT2481" s="1" t="s">
        <v>219</v>
      </c>
      <c r="CX2481" s="1" t="s">
        <v>224</v>
      </c>
      <c r="DB2481" s="1" t="s">
        <v>224</v>
      </c>
      <c r="DE2481" s="1" t="s">
        <v>346</v>
      </c>
      <c r="DF2481" s="1" t="s">
        <v>219</v>
      </c>
      <c r="DJ2481" s="1" t="s">
        <v>224</v>
      </c>
      <c r="DS2481" s="1" t="s">
        <v>230</v>
      </c>
      <c r="DW2481" s="1" t="s">
        <v>230</v>
      </c>
      <c r="EA2481" s="1" t="s">
        <v>230</v>
      </c>
      <c r="EE2481" s="1" t="s">
        <v>230</v>
      </c>
      <c r="EI2481" s="1" t="s">
        <v>230</v>
      </c>
      <c r="EL2481" s="1" t="s">
        <v>605</v>
      </c>
      <c r="EM2481" s="1" t="s">
        <v>319</v>
      </c>
      <c r="EN2481" s="1" t="s">
        <v>210</v>
      </c>
      <c r="EO2481" s="1" t="s">
        <v>234</v>
      </c>
      <c r="ER2481" s="1" t="s">
        <v>210</v>
      </c>
      <c r="EW2481" s="1" t="s">
        <v>21419</v>
      </c>
      <c r="EZ2481" s="1" t="s">
        <v>287</v>
      </c>
      <c r="FB2481" s="1" t="s">
        <v>289</v>
      </c>
      <c r="FD2481" s="1" t="s">
        <v>1112</v>
      </c>
      <c r="FE2481" s="1" t="s">
        <v>247</v>
      </c>
      <c r="FF2481" s="1" t="s">
        <v>248</v>
      </c>
      <c r="FH2481" s="1" t="s">
        <v>249</v>
      </c>
      <c r="FJ2481" s="1" t="s">
        <v>1472</v>
      </c>
      <c r="FK2481" s="1" t="s">
        <v>891</v>
      </c>
      <c r="FL2481" s="1" t="s">
        <v>328</v>
      </c>
      <c r="FM2481" s="1" t="s">
        <v>252</v>
      </c>
      <c r="FN2481" s="1" t="s">
        <v>213</v>
      </c>
      <c r="FO2481" s="1" t="s">
        <v>213</v>
      </c>
      <c r="FQ2481" s="1" t="s">
        <v>673</v>
      </c>
      <c r="FR2481" s="1" t="s">
        <v>210</v>
      </c>
      <c r="FS2481" s="1" t="s">
        <v>21420</v>
      </c>
      <c r="FT2481" s="1" t="s">
        <v>14466</v>
      </c>
      <c r="FU2481" s="1" t="s">
        <v>204</v>
      </c>
      <c r="FW2481" s="1" t="s">
        <v>3428</v>
      </c>
      <c r="FX2481" s="1">
        <v>14750</v>
      </c>
      <c r="FY2481" s="1" t="s">
        <v>3429</v>
      </c>
      <c r="FZ2481" s="1" t="s">
        <v>3430</v>
      </c>
      <c r="GA2481" s="1">
        <v>122383</v>
      </c>
      <c r="GC2481" s="1">
        <v>181645</v>
      </c>
      <c r="GE2481" s="1" t="s">
        <v>210</v>
      </c>
      <c r="GI2481" s="1" t="s">
        <v>213</v>
      </c>
      <c r="GJ2481" s="1" t="s">
        <v>260</v>
      </c>
      <c r="GK2481" s="1" t="s">
        <v>210</v>
      </c>
      <c r="GL2481" s="2">
        <v>42132</v>
      </c>
      <c r="GM2481" s="1" t="s">
        <v>21421</v>
      </c>
    </row>
    <row r="2482" spans="1:195">
      <c r="A2482" s="1">
        <v>105000</v>
      </c>
      <c r="B2482" s="1" t="s">
        <v>195</v>
      </c>
      <c r="C2482" s="1" t="str">
        <f>"08827896"</f>
        <v>08827896</v>
      </c>
      <c r="D2482" s="1" t="s">
        <v>196</v>
      </c>
      <c r="F2482" s="1" t="str">
        <f>"507"</f>
        <v>507</v>
      </c>
      <c r="G2482" s="2">
        <v>42034</v>
      </c>
      <c r="H2482" s="1">
        <v>109900</v>
      </c>
      <c r="I2482" s="1">
        <v>109900</v>
      </c>
      <c r="J2482" s="1">
        <v>105000</v>
      </c>
      <c r="K2482" s="2">
        <v>42034</v>
      </c>
      <c r="L2482" s="1">
        <v>80</v>
      </c>
      <c r="M2482" s="2">
        <v>42055</v>
      </c>
      <c r="N2482" s="1">
        <v>22</v>
      </c>
      <c r="O2482" s="2">
        <v>42055</v>
      </c>
      <c r="P2482" s="1">
        <v>79784</v>
      </c>
      <c r="Q2482" s="1" t="s">
        <v>197</v>
      </c>
      <c r="R2482" s="2">
        <v>42094</v>
      </c>
      <c r="S2482" s="1">
        <v>703801</v>
      </c>
      <c r="U2482" s="1">
        <v>1894</v>
      </c>
      <c r="V2482" s="1" t="s">
        <v>1394</v>
      </c>
      <c r="W2482" s="1" t="s">
        <v>264</v>
      </c>
      <c r="Y2482" s="1">
        <v>4</v>
      </c>
      <c r="Z2482" s="1" t="s">
        <v>370</v>
      </c>
      <c r="AA2482" s="1" t="s">
        <v>1123</v>
      </c>
      <c r="AB2482" s="1">
        <v>60503</v>
      </c>
      <c r="AD2482" s="1" t="s">
        <v>21422</v>
      </c>
      <c r="AE2482" s="1" t="s">
        <v>21423</v>
      </c>
      <c r="AF2482" s="1">
        <v>2000</v>
      </c>
      <c r="AG2482" s="1" t="s">
        <v>204</v>
      </c>
      <c r="AH2482" s="1" t="s">
        <v>1126</v>
      </c>
      <c r="AI2482" s="1" t="s">
        <v>453</v>
      </c>
      <c r="AJ2482" s="1" t="s">
        <v>1397</v>
      </c>
      <c r="AL2482" s="1">
        <v>5</v>
      </c>
      <c r="AM2482" s="1">
        <v>2</v>
      </c>
      <c r="AN2482" s="1">
        <v>1</v>
      </c>
      <c r="AO2482" s="1">
        <v>0</v>
      </c>
      <c r="AP2482" s="1" t="s">
        <v>667</v>
      </c>
      <c r="AQ2482" s="1">
        <v>1</v>
      </c>
      <c r="AR2482" s="1" t="s">
        <v>210</v>
      </c>
      <c r="AS2482" s="1" t="s">
        <v>204</v>
      </c>
      <c r="AT2482" s="1" t="s">
        <v>211</v>
      </c>
      <c r="AU2482" s="1">
        <v>2</v>
      </c>
      <c r="AW2482" s="1" t="s">
        <v>204</v>
      </c>
      <c r="AX2482" s="1" t="s">
        <v>212</v>
      </c>
      <c r="AZ2482" s="1">
        <v>4471.5</v>
      </c>
      <c r="BA2482" s="1">
        <v>2013</v>
      </c>
      <c r="BB2482" s="1" t="s">
        <v>405</v>
      </c>
      <c r="BE2482" s="1">
        <v>1572</v>
      </c>
      <c r="BF2482" s="1">
        <v>2</v>
      </c>
      <c r="BG2482" s="1">
        <v>0</v>
      </c>
      <c r="BL2482" s="1">
        <v>145</v>
      </c>
      <c r="BM2482" s="1" t="s">
        <v>204</v>
      </c>
      <c r="BN2482" s="1" t="s">
        <v>213</v>
      </c>
      <c r="BO2482" s="1">
        <v>100</v>
      </c>
      <c r="BP2482" s="1" t="s">
        <v>204</v>
      </c>
      <c r="BR2482" s="1" t="str">
        <f>"0301222021"</f>
        <v>0301222021</v>
      </c>
      <c r="BT2482" s="1" t="s">
        <v>21424</v>
      </c>
      <c r="BX2482" s="1">
        <v>308</v>
      </c>
      <c r="BY2482" s="1">
        <v>308</v>
      </c>
      <c r="BZ2482" s="1">
        <v>308</v>
      </c>
      <c r="CB2482" s="1" t="str">
        <f t="shared" ref="CB2482:CC2482" si="1903">""</f>
        <v/>
      </c>
      <c r="CC2482" s="1" t="str">
        <f t="shared" si="1903"/>
        <v/>
      </c>
      <c r="CG2482" s="1" t="s">
        <v>218</v>
      </c>
      <c r="CH2482" s="1" t="s">
        <v>219</v>
      </c>
      <c r="CI2482" s="1" t="s">
        <v>220</v>
      </c>
      <c r="CJ2482" s="1" t="s">
        <v>343</v>
      </c>
      <c r="CK2482" s="1" t="s">
        <v>218</v>
      </c>
      <c r="CL2482" s="1" t="s">
        <v>219</v>
      </c>
      <c r="CM2482" s="1" t="s">
        <v>220</v>
      </c>
      <c r="CN2482" s="1" t="s">
        <v>343</v>
      </c>
      <c r="CO2482" s="1" t="s">
        <v>461</v>
      </c>
      <c r="CP2482" s="1" t="s">
        <v>219</v>
      </c>
      <c r="CQ2482" s="1" t="s">
        <v>220</v>
      </c>
      <c r="CR2482" s="1" t="s">
        <v>343</v>
      </c>
      <c r="CS2482" s="1" t="s">
        <v>346</v>
      </c>
      <c r="CT2482" s="1" t="s">
        <v>219</v>
      </c>
      <c r="CU2482" s="1" t="s">
        <v>220</v>
      </c>
      <c r="CV2482" s="1" t="s">
        <v>343</v>
      </c>
      <c r="CX2482" s="1" t="s">
        <v>224</v>
      </c>
      <c r="DB2482" s="1" t="s">
        <v>224</v>
      </c>
      <c r="DE2482" s="1" t="s">
        <v>221</v>
      </c>
      <c r="DF2482" s="1" t="s">
        <v>219</v>
      </c>
      <c r="DG2482" s="1" t="s">
        <v>438</v>
      </c>
      <c r="DH2482" s="1" t="s">
        <v>343</v>
      </c>
      <c r="DJ2482" s="1" t="s">
        <v>224</v>
      </c>
      <c r="DS2482" s="1" t="s">
        <v>230</v>
      </c>
      <c r="DW2482" s="1" t="s">
        <v>230</v>
      </c>
      <c r="EA2482" s="1" t="s">
        <v>230</v>
      </c>
      <c r="EE2482" s="1" t="s">
        <v>230</v>
      </c>
      <c r="EI2482" s="1" t="s">
        <v>230</v>
      </c>
      <c r="EL2482" s="1" t="s">
        <v>466</v>
      </c>
      <c r="EM2482" s="1" t="s">
        <v>319</v>
      </c>
      <c r="EN2482" s="1" t="s">
        <v>282</v>
      </c>
      <c r="EO2482" s="1" t="s">
        <v>234</v>
      </c>
      <c r="EQ2482" s="1" t="s">
        <v>9668</v>
      </c>
      <c r="ER2482" s="1" t="s">
        <v>210</v>
      </c>
      <c r="ES2482" s="1" t="s">
        <v>1791</v>
      </c>
      <c r="ET2482" s="1" t="s">
        <v>1752</v>
      </c>
      <c r="EV2482" s="1" t="s">
        <v>324</v>
      </c>
      <c r="EW2482" s="1" t="s">
        <v>547</v>
      </c>
      <c r="EZ2482" s="1" t="s">
        <v>287</v>
      </c>
      <c r="FD2482" s="1" t="s">
        <v>246</v>
      </c>
      <c r="FE2482" s="1" t="s">
        <v>975</v>
      </c>
      <c r="FF2482" s="1" t="s">
        <v>248</v>
      </c>
      <c r="FG2482" s="1" t="s">
        <v>3324</v>
      </c>
      <c r="FH2482" s="1" t="s">
        <v>940</v>
      </c>
      <c r="FI2482" s="1" t="s">
        <v>357</v>
      </c>
      <c r="FL2482" s="1" t="s">
        <v>358</v>
      </c>
      <c r="FM2482" s="1" t="s">
        <v>252</v>
      </c>
      <c r="FN2482" s="1" t="s">
        <v>213</v>
      </c>
      <c r="FO2482" s="1" t="s">
        <v>213</v>
      </c>
      <c r="FQ2482" s="1" t="s">
        <v>11915</v>
      </c>
      <c r="FR2482" s="1" t="s">
        <v>210</v>
      </c>
      <c r="FS2482" s="1" t="s">
        <v>21425</v>
      </c>
      <c r="FT2482" s="1" t="s">
        <v>691</v>
      </c>
      <c r="FU2482" s="1" t="s">
        <v>204</v>
      </c>
      <c r="FW2482" s="1" t="s">
        <v>8242</v>
      </c>
      <c r="FX2482" s="1">
        <v>21682</v>
      </c>
      <c r="FY2482" s="1" t="s">
        <v>8243</v>
      </c>
      <c r="FZ2482" s="1" t="s">
        <v>21426</v>
      </c>
      <c r="GA2482" s="1">
        <v>229414</v>
      </c>
      <c r="GB2482" s="1" t="s">
        <v>21427</v>
      </c>
      <c r="GE2482" s="1" t="s">
        <v>480</v>
      </c>
      <c r="GI2482" s="1" t="s">
        <v>213</v>
      </c>
      <c r="GJ2482" s="1" t="s">
        <v>260</v>
      </c>
      <c r="GK2482" s="1" t="s">
        <v>210</v>
      </c>
      <c r="GL2482" s="2">
        <v>42094</v>
      </c>
      <c r="GM2482" s="1" t="s">
        <v>21428</v>
      </c>
    </row>
    <row r="2483" spans="1:195">
      <c r="A2483" s="1">
        <v>161000</v>
      </c>
      <c r="B2483" s="1" t="s">
        <v>195</v>
      </c>
      <c r="C2483" s="1" t="str">
        <f>"08830988"</f>
        <v>08830988</v>
      </c>
      <c r="D2483" s="1" t="s">
        <v>196</v>
      </c>
      <c r="F2483" s="1" t="str">
        <f t="shared" ref="F2483:F2484" si="1904">"104"</f>
        <v>104</v>
      </c>
      <c r="G2483" s="2">
        <v>42039</v>
      </c>
      <c r="H2483" s="1">
        <v>169900</v>
      </c>
      <c r="I2483" s="1">
        <v>169900</v>
      </c>
      <c r="J2483" s="1">
        <v>161000</v>
      </c>
      <c r="K2483" s="2">
        <v>42039</v>
      </c>
      <c r="L2483" s="1">
        <v>7</v>
      </c>
      <c r="M2483" s="2">
        <v>42045</v>
      </c>
      <c r="N2483" s="1">
        <v>7</v>
      </c>
      <c r="O2483" s="2">
        <v>42045</v>
      </c>
      <c r="P2483" s="1">
        <v>8089</v>
      </c>
      <c r="Q2483" s="1" t="s">
        <v>197</v>
      </c>
      <c r="R2483" s="2">
        <v>42090</v>
      </c>
      <c r="S2483" s="1">
        <v>86905</v>
      </c>
      <c r="U2483" s="1">
        <v>1615</v>
      </c>
      <c r="V2483" s="1" t="s">
        <v>21429</v>
      </c>
      <c r="W2483" s="1" t="s">
        <v>304</v>
      </c>
      <c r="X2483" s="1">
        <v>3</v>
      </c>
      <c r="Y2483" s="1">
        <v>4</v>
      </c>
      <c r="Z2483" s="1" t="s">
        <v>249</v>
      </c>
      <c r="AA2483" s="1" t="s">
        <v>371</v>
      </c>
      <c r="AB2483" s="1">
        <v>60103</v>
      </c>
      <c r="AD2483" s="1" t="s">
        <v>4977</v>
      </c>
      <c r="AE2483" s="1" t="s">
        <v>21430</v>
      </c>
      <c r="AF2483" s="1">
        <v>1994</v>
      </c>
      <c r="AG2483" s="1" t="s">
        <v>204</v>
      </c>
      <c r="AH2483" s="1" t="s">
        <v>373</v>
      </c>
      <c r="AI2483" s="1" t="s">
        <v>206</v>
      </c>
      <c r="AJ2483" s="1" t="s">
        <v>2654</v>
      </c>
      <c r="AK2483" s="1" t="s">
        <v>454</v>
      </c>
      <c r="AL2483" s="1">
        <v>6</v>
      </c>
      <c r="AM2483" s="1">
        <v>2</v>
      </c>
      <c r="AN2483" s="1">
        <v>2</v>
      </c>
      <c r="AO2483" s="1">
        <v>0</v>
      </c>
      <c r="AP2483" s="1" t="s">
        <v>209</v>
      </c>
      <c r="AR2483" s="1" t="s">
        <v>210</v>
      </c>
      <c r="AS2483" s="1" t="s">
        <v>204</v>
      </c>
      <c r="AT2483" s="1" t="s">
        <v>211</v>
      </c>
      <c r="AU2483" s="1">
        <v>2</v>
      </c>
      <c r="AW2483" s="1" t="s">
        <v>204</v>
      </c>
      <c r="AX2483" s="1" t="s">
        <v>212</v>
      </c>
      <c r="AZ2483" s="1">
        <v>5399</v>
      </c>
      <c r="BA2483" s="1">
        <v>2013</v>
      </c>
      <c r="BB2483" s="1" t="s">
        <v>405</v>
      </c>
      <c r="BE2483" s="1">
        <v>1458</v>
      </c>
      <c r="BF2483" s="1">
        <v>1</v>
      </c>
      <c r="BG2483" s="1">
        <v>0</v>
      </c>
      <c r="BL2483" s="1">
        <v>230</v>
      </c>
      <c r="BM2483" s="1" t="s">
        <v>204</v>
      </c>
      <c r="BN2483" s="1" t="s">
        <v>213</v>
      </c>
      <c r="BO2483" s="1">
        <v>99</v>
      </c>
      <c r="BP2483" s="1" t="s">
        <v>204</v>
      </c>
      <c r="BR2483" s="1" t="str">
        <f>"0113126016"</f>
        <v>0113126016</v>
      </c>
      <c r="BT2483" s="1" t="s">
        <v>21431</v>
      </c>
      <c r="BU2483" s="1" t="s">
        <v>4119</v>
      </c>
      <c r="BV2483" s="1" t="s">
        <v>4120</v>
      </c>
      <c r="BW2483" s="1" t="s">
        <v>4121</v>
      </c>
      <c r="BX2483" s="1">
        <v>46</v>
      </c>
      <c r="BY2483" s="1">
        <v>46</v>
      </c>
      <c r="BZ2483" s="1">
        <v>46</v>
      </c>
      <c r="CB2483" s="1" t="str">
        <f>"5"</f>
        <v>5</v>
      </c>
      <c r="CC2483" s="1" t="str">
        <f>""</f>
        <v/>
      </c>
      <c r="CD2483" s="1">
        <v>27</v>
      </c>
      <c r="CG2483" s="1" t="s">
        <v>228</v>
      </c>
      <c r="CH2483" s="1" t="s">
        <v>219</v>
      </c>
      <c r="CI2483" s="1" t="s">
        <v>220</v>
      </c>
      <c r="CJ2483" s="1" t="s">
        <v>252</v>
      </c>
      <c r="CK2483" s="1" t="s">
        <v>1737</v>
      </c>
      <c r="CL2483" s="1" t="s">
        <v>219</v>
      </c>
      <c r="CM2483" s="1" t="s">
        <v>220</v>
      </c>
      <c r="CN2483" s="1" t="s">
        <v>252</v>
      </c>
      <c r="CO2483" s="1" t="s">
        <v>972</v>
      </c>
      <c r="CP2483" s="1" t="s">
        <v>219</v>
      </c>
      <c r="CQ2483" s="1" t="s">
        <v>220</v>
      </c>
      <c r="CR2483" s="1" t="s">
        <v>252</v>
      </c>
      <c r="CS2483" s="1" t="s">
        <v>346</v>
      </c>
      <c r="CT2483" s="1" t="s">
        <v>219</v>
      </c>
      <c r="CU2483" s="1" t="s">
        <v>220</v>
      </c>
      <c r="CV2483" s="1" t="s">
        <v>252</v>
      </c>
      <c r="CX2483" s="1" t="s">
        <v>224</v>
      </c>
      <c r="DB2483" s="1" t="s">
        <v>224</v>
      </c>
      <c r="DE2483" s="1" t="s">
        <v>461</v>
      </c>
      <c r="DF2483" s="1" t="s">
        <v>219</v>
      </c>
      <c r="DG2483" s="1" t="s">
        <v>342</v>
      </c>
      <c r="DH2483" s="1" t="s">
        <v>252</v>
      </c>
      <c r="DJ2483" s="1" t="s">
        <v>224</v>
      </c>
      <c r="DM2483" s="1" t="s">
        <v>1005</v>
      </c>
      <c r="DR2483" s="1" t="s">
        <v>346</v>
      </c>
      <c r="DS2483" s="1" t="s">
        <v>219</v>
      </c>
      <c r="DT2483" s="1" t="s">
        <v>220</v>
      </c>
      <c r="DU2483" s="1" t="s">
        <v>252</v>
      </c>
      <c r="DW2483" s="1" t="s">
        <v>230</v>
      </c>
      <c r="EA2483" s="1" t="s">
        <v>230</v>
      </c>
      <c r="EE2483" s="1" t="s">
        <v>230</v>
      </c>
      <c r="EI2483" s="1" t="s">
        <v>230</v>
      </c>
      <c r="EL2483" s="1" t="s">
        <v>382</v>
      </c>
      <c r="EM2483" s="1" t="s">
        <v>319</v>
      </c>
      <c r="EN2483" s="1" t="s">
        <v>282</v>
      </c>
      <c r="EO2483" s="1" t="s">
        <v>234</v>
      </c>
      <c r="EQ2483" s="1" t="s">
        <v>236</v>
      </c>
      <c r="ER2483" s="1" t="s">
        <v>210</v>
      </c>
      <c r="ES2483" s="1" t="s">
        <v>824</v>
      </c>
      <c r="EU2483" s="1" t="s">
        <v>1110</v>
      </c>
      <c r="EV2483" s="1" t="s">
        <v>240</v>
      </c>
      <c r="EW2483" s="1" t="s">
        <v>887</v>
      </c>
      <c r="EY2483" s="1" t="s">
        <v>242</v>
      </c>
      <c r="EZ2483" s="1" t="s">
        <v>1005</v>
      </c>
      <c r="FA2483" s="1" t="s">
        <v>21432</v>
      </c>
      <c r="FB2483" s="1" t="s">
        <v>289</v>
      </c>
      <c r="FD2483" s="1" t="s">
        <v>246</v>
      </c>
      <c r="FE2483" s="1" t="s">
        <v>386</v>
      </c>
      <c r="FF2483" s="1" t="s">
        <v>248</v>
      </c>
      <c r="FH2483" s="1" t="s">
        <v>249</v>
      </c>
      <c r="FI2483" s="1" t="s">
        <v>473</v>
      </c>
      <c r="FL2483" s="1" t="s">
        <v>358</v>
      </c>
      <c r="FM2483" s="1" t="s">
        <v>252</v>
      </c>
      <c r="FN2483" s="1" t="s">
        <v>213</v>
      </c>
      <c r="FO2483" s="1" t="s">
        <v>213</v>
      </c>
      <c r="FQ2483" s="1" t="s">
        <v>329</v>
      </c>
      <c r="FR2483" s="1" t="s">
        <v>210</v>
      </c>
      <c r="FS2483" s="1" t="s">
        <v>4124</v>
      </c>
      <c r="FT2483" s="1" t="s">
        <v>295</v>
      </c>
      <c r="FU2483" s="1" t="s">
        <v>204</v>
      </c>
      <c r="FV2483" s="1">
        <v>6308309100</v>
      </c>
      <c r="FW2483" s="1" t="s">
        <v>554</v>
      </c>
      <c r="FX2483" s="1">
        <v>25215</v>
      </c>
      <c r="FY2483" s="1" t="s">
        <v>1508</v>
      </c>
      <c r="FZ2483" s="1" t="s">
        <v>15885</v>
      </c>
      <c r="GA2483" s="1">
        <v>252268</v>
      </c>
      <c r="GB2483" s="1" t="s">
        <v>1508</v>
      </c>
      <c r="GC2483" s="1">
        <v>242601</v>
      </c>
      <c r="GE2483" s="1" t="s">
        <v>1256</v>
      </c>
      <c r="GI2483" s="1" t="s">
        <v>213</v>
      </c>
      <c r="GJ2483" s="1" t="s">
        <v>260</v>
      </c>
      <c r="GK2483" s="1" t="s">
        <v>210</v>
      </c>
      <c r="GL2483" s="2">
        <v>42092</v>
      </c>
    </row>
    <row r="2484" spans="1:195">
      <c r="A2484" s="1">
        <v>150000</v>
      </c>
      <c r="B2484" s="1" t="s">
        <v>195</v>
      </c>
      <c r="C2484" s="1" t="str">
        <f>"08831686"</f>
        <v>08831686</v>
      </c>
      <c r="D2484" s="1" t="s">
        <v>196</v>
      </c>
      <c r="F2484" s="1" t="str">
        <f t="shared" si="1904"/>
        <v>104</v>
      </c>
      <c r="G2484" s="2">
        <v>42040</v>
      </c>
      <c r="H2484" s="1">
        <v>159900</v>
      </c>
      <c r="I2484" s="1">
        <v>149900</v>
      </c>
      <c r="J2484" s="1">
        <v>150000</v>
      </c>
      <c r="K2484" s="2">
        <v>42038</v>
      </c>
      <c r="L2484" s="1">
        <v>66</v>
      </c>
      <c r="M2484" s="2">
        <v>42103</v>
      </c>
      <c r="N2484" s="1">
        <v>66</v>
      </c>
      <c r="O2484" s="2">
        <v>42103</v>
      </c>
      <c r="P2484" s="1">
        <v>25309</v>
      </c>
      <c r="Q2484" s="1" t="s">
        <v>197</v>
      </c>
      <c r="R2484" s="2">
        <v>42138</v>
      </c>
      <c r="S2484" s="1">
        <v>241919</v>
      </c>
      <c r="U2484" s="1">
        <v>1655</v>
      </c>
      <c r="V2484" s="1" t="s">
        <v>14632</v>
      </c>
      <c r="W2484" s="1" t="s">
        <v>449</v>
      </c>
      <c r="Y2484" s="1">
        <v>4</v>
      </c>
      <c r="Z2484" s="1" t="s">
        <v>370</v>
      </c>
      <c r="AA2484" s="1" t="s">
        <v>371</v>
      </c>
      <c r="AB2484" s="1">
        <v>60103</v>
      </c>
      <c r="AD2484" s="1" t="s">
        <v>11283</v>
      </c>
      <c r="AE2484" s="1" t="s">
        <v>14633</v>
      </c>
      <c r="AF2484" s="1">
        <v>1995</v>
      </c>
      <c r="AG2484" s="1" t="s">
        <v>204</v>
      </c>
      <c r="AH2484" s="1" t="s">
        <v>373</v>
      </c>
      <c r="AI2484" s="1" t="s">
        <v>206</v>
      </c>
      <c r="AJ2484" s="1" t="s">
        <v>2654</v>
      </c>
      <c r="AL2484" s="1">
        <v>6</v>
      </c>
      <c r="AM2484" s="1">
        <v>2</v>
      </c>
      <c r="AN2484" s="1">
        <v>2</v>
      </c>
      <c r="AO2484" s="1">
        <v>0</v>
      </c>
      <c r="AP2484" s="1" t="s">
        <v>210</v>
      </c>
      <c r="AR2484" s="1" t="s">
        <v>210</v>
      </c>
      <c r="AS2484" s="1" t="s">
        <v>204</v>
      </c>
      <c r="AT2484" s="1" t="s">
        <v>211</v>
      </c>
      <c r="AU2484" s="1">
        <v>2</v>
      </c>
      <c r="AW2484" s="1" t="s">
        <v>204</v>
      </c>
      <c r="AX2484" s="1" t="s">
        <v>212</v>
      </c>
      <c r="AZ2484" s="1">
        <v>5066.46</v>
      </c>
      <c r="BA2484" s="1">
        <v>2013</v>
      </c>
      <c r="BE2484" s="1">
        <v>1418</v>
      </c>
      <c r="BF2484" s="1">
        <v>1</v>
      </c>
      <c r="BG2484" s="1">
        <v>0</v>
      </c>
      <c r="BL2484" s="1">
        <v>229</v>
      </c>
      <c r="BM2484" s="1" t="s">
        <v>413</v>
      </c>
      <c r="BN2484" s="1" t="s">
        <v>213</v>
      </c>
      <c r="BO2484" s="1">
        <v>0</v>
      </c>
      <c r="BP2484" s="1" t="s">
        <v>204</v>
      </c>
      <c r="BR2484" s="1" t="str">
        <f>"0113126109"</f>
        <v>0113126109</v>
      </c>
      <c r="BT2484" s="1" t="s">
        <v>21433</v>
      </c>
      <c r="BX2484" s="1">
        <v>46</v>
      </c>
      <c r="BY2484" s="1">
        <v>46</v>
      </c>
      <c r="BZ2484" s="1">
        <v>46</v>
      </c>
      <c r="CB2484" s="1" t="str">
        <f t="shared" ref="CB2484:CC2484" si="1905">""</f>
        <v/>
      </c>
      <c r="CC2484" s="1" t="str">
        <f t="shared" si="1905"/>
        <v/>
      </c>
      <c r="CG2484" s="1" t="s">
        <v>669</v>
      </c>
      <c r="CH2484" s="1" t="s">
        <v>219</v>
      </c>
      <c r="CK2484" s="1" t="s">
        <v>344</v>
      </c>
      <c r="CL2484" s="1" t="s">
        <v>219</v>
      </c>
      <c r="CO2484" s="1" t="s">
        <v>278</v>
      </c>
      <c r="CP2484" s="1" t="s">
        <v>219</v>
      </c>
      <c r="CS2484" s="1" t="s">
        <v>318</v>
      </c>
      <c r="CT2484" s="1" t="s">
        <v>219</v>
      </c>
      <c r="CX2484" s="1" t="s">
        <v>224</v>
      </c>
      <c r="DB2484" s="1" t="s">
        <v>224</v>
      </c>
      <c r="DE2484" s="1" t="s">
        <v>539</v>
      </c>
      <c r="DF2484" s="1" t="s">
        <v>219</v>
      </c>
      <c r="DJ2484" s="1" t="s">
        <v>224</v>
      </c>
      <c r="DM2484" s="1" t="s">
        <v>227</v>
      </c>
      <c r="DR2484" s="1" t="s">
        <v>281</v>
      </c>
      <c r="DS2484" s="1" t="s">
        <v>219</v>
      </c>
      <c r="DW2484" s="1" t="s">
        <v>230</v>
      </c>
      <c r="EA2484" s="1" t="s">
        <v>230</v>
      </c>
      <c r="EE2484" s="1" t="s">
        <v>230</v>
      </c>
      <c r="EI2484" s="1" t="s">
        <v>230</v>
      </c>
      <c r="EL2484" s="1" t="s">
        <v>670</v>
      </c>
      <c r="EM2484" s="1" t="s">
        <v>319</v>
      </c>
      <c r="EN2484" s="1" t="s">
        <v>282</v>
      </c>
      <c r="EO2484" s="1" t="s">
        <v>234</v>
      </c>
      <c r="ER2484" s="1" t="s">
        <v>210</v>
      </c>
      <c r="EW2484" s="1" t="s">
        <v>887</v>
      </c>
      <c r="EZ2484" s="1" t="s">
        <v>227</v>
      </c>
      <c r="FD2484" s="1" t="s">
        <v>495</v>
      </c>
      <c r="FE2484" s="1" t="s">
        <v>386</v>
      </c>
      <c r="FF2484" s="1" t="s">
        <v>248</v>
      </c>
      <c r="FH2484" s="1" t="s">
        <v>550</v>
      </c>
      <c r="FL2484" s="1" t="s">
        <v>810</v>
      </c>
      <c r="FM2484" s="1" t="s">
        <v>252</v>
      </c>
      <c r="FN2484" s="1" t="s">
        <v>213</v>
      </c>
      <c r="FO2484" s="1" t="s">
        <v>213</v>
      </c>
      <c r="FQ2484" s="1" t="s">
        <v>673</v>
      </c>
      <c r="FR2484" s="1" t="s">
        <v>210</v>
      </c>
      <c r="FS2484" s="1" t="s">
        <v>1805</v>
      </c>
      <c r="FT2484" s="1" t="s">
        <v>2609</v>
      </c>
      <c r="FU2484" s="1" t="s">
        <v>204</v>
      </c>
      <c r="FW2484" s="1" t="s">
        <v>1806</v>
      </c>
      <c r="FX2484" s="1">
        <v>25196</v>
      </c>
      <c r="FY2484" s="1" t="s">
        <v>1807</v>
      </c>
      <c r="FZ2484" s="1" t="s">
        <v>1808</v>
      </c>
      <c r="GA2484" s="1">
        <v>214545</v>
      </c>
      <c r="GB2484" s="1" t="s">
        <v>1807</v>
      </c>
      <c r="GE2484" s="1" t="s">
        <v>480</v>
      </c>
      <c r="GI2484" s="1" t="s">
        <v>213</v>
      </c>
      <c r="GJ2484" s="1" t="s">
        <v>260</v>
      </c>
      <c r="GK2484" s="1" t="s">
        <v>210</v>
      </c>
      <c r="GL2484" s="2">
        <v>42142</v>
      </c>
      <c r="GM2484" s="1" t="s">
        <v>20649</v>
      </c>
    </row>
    <row r="2485" spans="1:195">
      <c r="A2485" s="1">
        <v>107000</v>
      </c>
      <c r="B2485" s="1" t="s">
        <v>195</v>
      </c>
      <c r="C2485" s="1" t="str">
        <f>"08830251"</f>
        <v>08830251</v>
      </c>
      <c r="D2485" s="1" t="s">
        <v>196</v>
      </c>
      <c r="F2485" s="1" t="str">
        <f>"115"</f>
        <v>115</v>
      </c>
      <c r="G2485" s="2">
        <v>42038</v>
      </c>
      <c r="H2485" s="1">
        <v>109900</v>
      </c>
      <c r="I2485" s="1">
        <v>109900</v>
      </c>
      <c r="J2485" s="1">
        <v>107000</v>
      </c>
      <c r="K2485" s="2">
        <v>42038</v>
      </c>
      <c r="L2485" s="1">
        <v>208</v>
      </c>
      <c r="M2485" s="2">
        <v>42052</v>
      </c>
      <c r="N2485" s="1">
        <v>15</v>
      </c>
      <c r="O2485" s="2">
        <v>42052</v>
      </c>
      <c r="P2485" s="1">
        <v>93044</v>
      </c>
      <c r="Q2485" s="1" t="s">
        <v>197</v>
      </c>
      <c r="R2485" s="2">
        <v>42111</v>
      </c>
      <c r="S2485" s="1">
        <v>930168</v>
      </c>
      <c r="U2485" s="1">
        <v>623</v>
      </c>
      <c r="V2485" s="1" t="s">
        <v>7338</v>
      </c>
      <c r="W2485" s="1" t="s">
        <v>304</v>
      </c>
      <c r="Y2485" s="1">
        <v>4</v>
      </c>
      <c r="Z2485" s="1" t="s">
        <v>370</v>
      </c>
      <c r="AA2485" s="1" t="s">
        <v>2242</v>
      </c>
      <c r="AB2485" s="1">
        <v>60115</v>
      </c>
      <c r="AD2485" s="1" t="s">
        <v>9886</v>
      </c>
      <c r="AE2485" s="1" t="s">
        <v>21434</v>
      </c>
      <c r="AF2485" s="1">
        <v>2005</v>
      </c>
      <c r="AG2485" s="1" t="s">
        <v>204</v>
      </c>
      <c r="AH2485" s="1" t="s">
        <v>2245</v>
      </c>
      <c r="AI2485" s="1" t="s">
        <v>2246</v>
      </c>
      <c r="AJ2485" s="1" t="s">
        <v>2245</v>
      </c>
      <c r="AK2485" s="1" t="s">
        <v>21435</v>
      </c>
      <c r="AL2485" s="1">
        <v>6</v>
      </c>
      <c r="AM2485" s="1">
        <v>2</v>
      </c>
      <c r="AN2485" s="1">
        <v>2</v>
      </c>
      <c r="AO2485" s="1">
        <v>1</v>
      </c>
      <c r="AP2485" s="1" t="s">
        <v>209</v>
      </c>
      <c r="AQ2485" s="1">
        <v>1</v>
      </c>
      <c r="AR2485" s="1" t="s">
        <v>209</v>
      </c>
      <c r="AS2485" s="1" t="s">
        <v>213</v>
      </c>
      <c r="AT2485" s="1" t="s">
        <v>211</v>
      </c>
      <c r="AU2485" s="1">
        <v>2</v>
      </c>
      <c r="AW2485" s="1" t="s">
        <v>204</v>
      </c>
      <c r="AX2485" s="1" t="s">
        <v>21436</v>
      </c>
      <c r="AZ2485" s="1">
        <v>4103.0600000000004</v>
      </c>
      <c r="BA2485" s="1">
        <v>2013</v>
      </c>
      <c r="BB2485" s="1" t="s">
        <v>210</v>
      </c>
      <c r="BE2485" s="1">
        <v>0</v>
      </c>
      <c r="BF2485" s="1">
        <v>1</v>
      </c>
      <c r="BG2485" s="1">
        <v>0</v>
      </c>
      <c r="BL2485" s="1">
        <v>75</v>
      </c>
      <c r="BM2485" s="1" t="s">
        <v>413</v>
      </c>
      <c r="BN2485" s="1" t="s">
        <v>213</v>
      </c>
      <c r="BO2485" s="1">
        <v>30</v>
      </c>
      <c r="BP2485" s="1" t="s">
        <v>204</v>
      </c>
      <c r="BR2485" s="1" t="str">
        <f>"0803451026"</f>
        <v>0803451026</v>
      </c>
      <c r="BT2485" s="1" t="s">
        <v>21437</v>
      </c>
      <c r="BX2485" s="1">
        <v>428</v>
      </c>
      <c r="BY2485" s="1">
        <v>428</v>
      </c>
      <c r="BZ2485" s="1">
        <v>428</v>
      </c>
      <c r="CB2485" s="1" t="str">
        <f t="shared" ref="CB2485:CC2485" si="1906">"0"</f>
        <v>0</v>
      </c>
      <c r="CC2485" s="1" t="str">
        <f t="shared" si="1906"/>
        <v>0</v>
      </c>
      <c r="CD2485" s="1">
        <v>0</v>
      </c>
      <c r="CE2485" s="1">
        <v>0</v>
      </c>
      <c r="CG2485" s="1" t="s">
        <v>9891</v>
      </c>
      <c r="CH2485" s="1" t="s">
        <v>219</v>
      </c>
      <c r="CI2485" s="1" t="s">
        <v>220</v>
      </c>
      <c r="CJ2485" s="1" t="s">
        <v>210</v>
      </c>
      <c r="CK2485" s="1" t="s">
        <v>461</v>
      </c>
      <c r="CL2485" s="1" t="s">
        <v>277</v>
      </c>
      <c r="CM2485" s="1" t="s">
        <v>220</v>
      </c>
      <c r="CN2485" s="1" t="s">
        <v>210</v>
      </c>
      <c r="CO2485" s="1" t="s">
        <v>1046</v>
      </c>
      <c r="CP2485" s="1" t="s">
        <v>219</v>
      </c>
      <c r="CQ2485" s="1" t="s">
        <v>438</v>
      </c>
      <c r="CR2485" s="1" t="s">
        <v>210</v>
      </c>
      <c r="CS2485" s="1" t="s">
        <v>1046</v>
      </c>
      <c r="CT2485" s="1" t="s">
        <v>822</v>
      </c>
      <c r="CU2485" s="1" t="s">
        <v>220</v>
      </c>
      <c r="CV2485" s="1" t="s">
        <v>210</v>
      </c>
      <c r="CX2485" s="1" t="s">
        <v>224</v>
      </c>
      <c r="DB2485" s="1" t="s">
        <v>224</v>
      </c>
      <c r="DE2485" s="1" t="s">
        <v>1297</v>
      </c>
      <c r="DF2485" s="1" t="s">
        <v>219</v>
      </c>
      <c r="DG2485" s="1" t="s">
        <v>438</v>
      </c>
      <c r="DH2485" s="1" t="s">
        <v>210</v>
      </c>
      <c r="DI2485" s="1" t="s">
        <v>9891</v>
      </c>
      <c r="DJ2485" s="1" t="s">
        <v>822</v>
      </c>
      <c r="DK2485" s="1" t="s">
        <v>220</v>
      </c>
      <c r="DL2485" s="1" t="s">
        <v>210</v>
      </c>
      <c r="DS2485" s="1" t="s">
        <v>230</v>
      </c>
      <c r="DW2485" s="1" t="s">
        <v>230</v>
      </c>
      <c r="EA2485" s="1" t="s">
        <v>230</v>
      </c>
      <c r="EE2485" s="1" t="s">
        <v>230</v>
      </c>
      <c r="EI2485" s="1" t="s">
        <v>230</v>
      </c>
      <c r="EL2485" s="1" t="s">
        <v>491</v>
      </c>
      <c r="EM2485" s="1" t="s">
        <v>761</v>
      </c>
      <c r="EN2485" s="1" t="s">
        <v>282</v>
      </c>
      <c r="EO2485" s="1" t="s">
        <v>234</v>
      </c>
      <c r="EP2485" s="1" t="s">
        <v>1093</v>
      </c>
      <c r="EQ2485" s="1" t="s">
        <v>492</v>
      </c>
      <c r="ER2485" s="1" t="s">
        <v>544</v>
      </c>
      <c r="ES2485" s="1" t="s">
        <v>3763</v>
      </c>
      <c r="ET2485" s="1" t="s">
        <v>1752</v>
      </c>
      <c r="EV2485" s="1" t="s">
        <v>324</v>
      </c>
      <c r="EW2485" s="1" t="s">
        <v>353</v>
      </c>
      <c r="EY2485" s="1" t="s">
        <v>790</v>
      </c>
      <c r="EZ2485" s="1" t="s">
        <v>287</v>
      </c>
      <c r="FA2485" s="1" t="s">
        <v>3915</v>
      </c>
      <c r="FB2485" s="1" t="s">
        <v>289</v>
      </c>
      <c r="FC2485" s="1" t="s">
        <v>2073</v>
      </c>
      <c r="FD2485" s="1" t="s">
        <v>290</v>
      </c>
      <c r="FE2485" s="1" t="s">
        <v>870</v>
      </c>
      <c r="FF2485" s="1" t="s">
        <v>248</v>
      </c>
      <c r="FH2485" s="1" t="s">
        <v>550</v>
      </c>
      <c r="FL2485" s="1" t="s">
        <v>358</v>
      </c>
      <c r="FM2485" s="1" t="s">
        <v>252</v>
      </c>
      <c r="FN2485" s="1" t="s">
        <v>213</v>
      </c>
      <c r="FO2485" s="1" t="s">
        <v>213</v>
      </c>
      <c r="FQ2485" s="1" t="s">
        <v>11915</v>
      </c>
      <c r="FR2485" s="1" t="s">
        <v>210</v>
      </c>
      <c r="FS2485" s="1" t="s">
        <v>21438</v>
      </c>
      <c r="FT2485" s="1" t="s">
        <v>362</v>
      </c>
      <c r="FU2485" s="1" t="s">
        <v>213</v>
      </c>
      <c r="FW2485" s="1" t="s">
        <v>1652</v>
      </c>
      <c r="FX2485" s="1">
        <v>25619</v>
      </c>
      <c r="FY2485" s="1" t="s">
        <v>21439</v>
      </c>
      <c r="FZ2485" s="1" t="s">
        <v>21440</v>
      </c>
      <c r="GA2485" s="1">
        <v>601924</v>
      </c>
      <c r="GB2485" s="1" t="s">
        <v>21439</v>
      </c>
      <c r="GD2485" s="1" t="s">
        <v>21441</v>
      </c>
      <c r="GE2485" s="1" t="s">
        <v>210</v>
      </c>
      <c r="GI2485" s="1" t="s">
        <v>213</v>
      </c>
      <c r="GJ2485" s="1" t="s">
        <v>260</v>
      </c>
      <c r="GK2485" s="1" t="s">
        <v>210</v>
      </c>
      <c r="GL2485" s="2">
        <v>42111</v>
      </c>
      <c r="GM2485" s="1" t="s">
        <v>21442</v>
      </c>
    </row>
    <row r="2486" spans="1:195">
      <c r="A2486" s="1">
        <v>179900</v>
      </c>
      <c r="B2486" s="1" t="s">
        <v>195</v>
      </c>
      <c r="C2486" s="1" t="str">
        <f>"08831494"</f>
        <v>08831494</v>
      </c>
      <c r="D2486" s="1" t="s">
        <v>196</v>
      </c>
      <c r="F2486" s="1" t="str">
        <f>"191"</f>
        <v>191</v>
      </c>
      <c r="G2486" s="2">
        <v>42040</v>
      </c>
      <c r="H2486" s="1">
        <v>179900</v>
      </c>
      <c r="I2486" s="1">
        <v>179900</v>
      </c>
      <c r="J2486" s="1">
        <v>179900</v>
      </c>
      <c r="K2486" s="2">
        <v>42040</v>
      </c>
      <c r="L2486" s="1">
        <v>41</v>
      </c>
      <c r="M2486" s="2">
        <v>42080</v>
      </c>
      <c r="N2486" s="1">
        <v>41</v>
      </c>
      <c r="O2486" s="2">
        <v>42080</v>
      </c>
      <c r="P2486" s="1">
        <v>10267</v>
      </c>
      <c r="Q2486" s="1" t="s">
        <v>197</v>
      </c>
      <c r="R2486" s="2">
        <v>42135</v>
      </c>
      <c r="S2486" s="1">
        <v>149158</v>
      </c>
      <c r="U2486" s="1">
        <v>169</v>
      </c>
      <c r="V2486" s="1" t="s">
        <v>21443</v>
      </c>
      <c r="W2486" s="1" t="s">
        <v>304</v>
      </c>
      <c r="Y2486" s="1">
        <v>6</v>
      </c>
      <c r="Z2486" s="1" t="s">
        <v>370</v>
      </c>
      <c r="AA2486" s="1" t="s">
        <v>1966</v>
      </c>
      <c r="AB2486" s="1">
        <v>60191</v>
      </c>
      <c r="AD2486" s="1" t="s">
        <v>21444</v>
      </c>
      <c r="AE2486" s="1" t="s">
        <v>21445</v>
      </c>
      <c r="AF2486" s="1">
        <v>1989</v>
      </c>
      <c r="AG2486" s="1" t="s">
        <v>204</v>
      </c>
      <c r="AH2486" s="1" t="s">
        <v>1969</v>
      </c>
      <c r="AI2486" s="1" t="s">
        <v>206</v>
      </c>
      <c r="AJ2486" s="1" t="s">
        <v>1233</v>
      </c>
      <c r="AK2486" s="1" t="s">
        <v>9664</v>
      </c>
      <c r="AL2486" s="1">
        <v>8</v>
      </c>
      <c r="AM2486" s="1">
        <v>2</v>
      </c>
      <c r="AN2486" s="1">
        <v>2</v>
      </c>
      <c r="AO2486" s="1">
        <v>0</v>
      </c>
      <c r="AP2486" s="1" t="s">
        <v>209</v>
      </c>
      <c r="AR2486" s="1" t="s">
        <v>209</v>
      </c>
      <c r="AS2486" s="1" t="s">
        <v>204</v>
      </c>
      <c r="AT2486" s="1" t="s">
        <v>211</v>
      </c>
      <c r="AU2486" s="1">
        <v>2</v>
      </c>
      <c r="AW2486" s="1" t="s">
        <v>204</v>
      </c>
      <c r="AX2486" s="1" t="s">
        <v>212</v>
      </c>
      <c r="AZ2486" s="1">
        <v>3886</v>
      </c>
      <c r="BA2486" s="1">
        <v>2013</v>
      </c>
      <c r="BB2486" s="1" t="s">
        <v>210</v>
      </c>
      <c r="BC2486" s="1">
        <v>0</v>
      </c>
      <c r="BE2486" s="1">
        <v>0</v>
      </c>
      <c r="BF2486" s="1">
        <v>1</v>
      </c>
      <c r="BG2486" s="1">
        <v>0</v>
      </c>
      <c r="BL2486" s="1">
        <v>197</v>
      </c>
      <c r="BM2486" s="1" t="s">
        <v>204</v>
      </c>
      <c r="BN2486" s="1" t="s">
        <v>213</v>
      </c>
      <c r="BO2486" s="1">
        <v>999</v>
      </c>
      <c r="BP2486" s="1" t="s">
        <v>204</v>
      </c>
      <c r="BR2486" s="1" t="str">
        <f>"0315129023"</f>
        <v>0315129023</v>
      </c>
      <c r="BT2486" s="1" t="s">
        <v>21446</v>
      </c>
      <c r="BU2486" s="1" t="s">
        <v>1971</v>
      </c>
      <c r="BV2486" s="1" t="s">
        <v>1972</v>
      </c>
      <c r="BW2486" s="1" t="s">
        <v>1973</v>
      </c>
      <c r="BX2486" s="1">
        <v>7</v>
      </c>
      <c r="BY2486" s="1">
        <v>7</v>
      </c>
      <c r="BZ2486" s="1">
        <v>100</v>
      </c>
      <c r="CB2486" s="1" t="str">
        <f>"5"</f>
        <v>5</v>
      </c>
      <c r="CC2486" s="1" t="str">
        <f t="shared" ref="CC2486:CC2487" si="1907">"0"</f>
        <v>0</v>
      </c>
      <c r="CD2486" s="1">
        <v>18</v>
      </c>
      <c r="CE2486" s="1">
        <v>0</v>
      </c>
      <c r="CG2486" s="1" t="s">
        <v>228</v>
      </c>
      <c r="CH2486" s="1" t="s">
        <v>219</v>
      </c>
      <c r="CI2486" s="1" t="s">
        <v>438</v>
      </c>
      <c r="CJ2486" s="1" t="s">
        <v>210</v>
      </c>
      <c r="CK2486" s="1" t="s">
        <v>278</v>
      </c>
      <c r="CL2486" s="1" t="s">
        <v>277</v>
      </c>
      <c r="CM2486" s="1" t="s">
        <v>220</v>
      </c>
      <c r="CN2486" s="1" t="s">
        <v>343</v>
      </c>
      <c r="CO2486" s="1" t="s">
        <v>465</v>
      </c>
      <c r="CP2486" s="1" t="s">
        <v>219</v>
      </c>
      <c r="CQ2486" s="1" t="s">
        <v>438</v>
      </c>
      <c r="CR2486" s="1" t="s">
        <v>343</v>
      </c>
      <c r="CS2486" s="1" t="s">
        <v>729</v>
      </c>
      <c r="CT2486" s="1" t="s">
        <v>219</v>
      </c>
      <c r="CU2486" s="1" t="s">
        <v>220</v>
      </c>
      <c r="CV2486" s="1" t="s">
        <v>343</v>
      </c>
      <c r="CX2486" s="1" t="s">
        <v>224</v>
      </c>
      <c r="DB2486" s="1" t="s">
        <v>224</v>
      </c>
      <c r="DE2486" s="1" t="s">
        <v>346</v>
      </c>
      <c r="DF2486" s="1" t="s">
        <v>219</v>
      </c>
      <c r="DG2486" s="1" t="s">
        <v>226</v>
      </c>
      <c r="DH2486" s="1" t="s">
        <v>210</v>
      </c>
      <c r="DI2486" s="1" t="s">
        <v>4571</v>
      </c>
      <c r="DJ2486" s="1" t="s">
        <v>822</v>
      </c>
      <c r="DK2486" s="1" t="s">
        <v>220</v>
      </c>
      <c r="DM2486" s="1" t="s">
        <v>464</v>
      </c>
      <c r="DN2486" s="1" t="s">
        <v>381</v>
      </c>
      <c r="DR2486" s="1" t="s">
        <v>729</v>
      </c>
      <c r="DS2486" s="1" t="s">
        <v>277</v>
      </c>
      <c r="DT2486" s="1" t="s">
        <v>220</v>
      </c>
      <c r="DU2486" s="1" t="s">
        <v>343</v>
      </c>
      <c r="DV2486" s="1" t="s">
        <v>2031</v>
      </c>
      <c r="DW2486" s="1" t="s">
        <v>219</v>
      </c>
      <c r="DX2486" s="1" t="s">
        <v>226</v>
      </c>
      <c r="EA2486" s="1" t="s">
        <v>230</v>
      </c>
      <c r="EE2486" s="1" t="s">
        <v>230</v>
      </c>
      <c r="EI2486" s="1" t="s">
        <v>230</v>
      </c>
      <c r="EL2486" s="1" t="s">
        <v>542</v>
      </c>
      <c r="EM2486" s="1" t="s">
        <v>232</v>
      </c>
      <c r="EN2486" s="1" t="s">
        <v>282</v>
      </c>
      <c r="EO2486" s="1" t="s">
        <v>234</v>
      </c>
      <c r="ER2486" s="1" t="s">
        <v>544</v>
      </c>
      <c r="ES2486" s="1" t="s">
        <v>493</v>
      </c>
      <c r="EU2486" s="1" t="s">
        <v>239</v>
      </c>
      <c r="EV2486" s="1" t="s">
        <v>240</v>
      </c>
      <c r="EW2486" s="1" t="s">
        <v>353</v>
      </c>
      <c r="EY2486" s="1" t="s">
        <v>242</v>
      </c>
      <c r="EZ2486" s="1" t="s">
        <v>4284</v>
      </c>
      <c r="FB2486" s="1" t="s">
        <v>289</v>
      </c>
      <c r="FD2486" s="1" t="s">
        <v>246</v>
      </c>
      <c r="FE2486" s="1" t="s">
        <v>549</v>
      </c>
      <c r="FF2486" s="1" t="s">
        <v>248</v>
      </c>
      <c r="FH2486" s="1" t="s">
        <v>550</v>
      </c>
      <c r="FL2486" s="1" t="s">
        <v>358</v>
      </c>
      <c r="FM2486" s="1" t="s">
        <v>769</v>
      </c>
      <c r="FN2486" s="1" t="s">
        <v>213</v>
      </c>
      <c r="FO2486" s="1" t="s">
        <v>213</v>
      </c>
      <c r="FQ2486" s="1" t="s">
        <v>849</v>
      </c>
      <c r="FR2486" s="1" t="s">
        <v>210</v>
      </c>
      <c r="FS2486" s="1" t="s">
        <v>21447</v>
      </c>
      <c r="FT2486" s="1" t="s">
        <v>295</v>
      </c>
      <c r="FU2486" s="1" t="s">
        <v>204</v>
      </c>
      <c r="FW2486" s="1" t="s">
        <v>1702</v>
      </c>
      <c r="FX2486" s="1">
        <v>17299</v>
      </c>
      <c r="FY2486" s="1" t="s">
        <v>1703</v>
      </c>
      <c r="FZ2486" s="1" t="s">
        <v>5923</v>
      </c>
      <c r="GA2486" s="1">
        <v>169763</v>
      </c>
      <c r="GB2486" s="1" t="s">
        <v>5924</v>
      </c>
      <c r="GE2486" s="1" t="s">
        <v>210</v>
      </c>
      <c r="GI2486" s="1" t="s">
        <v>213</v>
      </c>
      <c r="GJ2486" s="1" t="s">
        <v>260</v>
      </c>
      <c r="GK2486" s="1" t="s">
        <v>210</v>
      </c>
      <c r="GL2486" s="2">
        <v>42135</v>
      </c>
      <c r="GM2486" s="1" t="s">
        <v>21448</v>
      </c>
    </row>
    <row r="2487" spans="1:195">
      <c r="A2487" s="1">
        <v>170000</v>
      </c>
      <c r="B2487" s="1" t="s">
        <v>195</v>
      </c>
      <c r="C2487" s="1" t="str">
        <f>"08831140"</f>
        <v>08831140</v>
      </c>
      <c r="D2487" s="1" t="s">
        <v>196</v>
      </c>
      <c r="F2487" s="1" t="str">
        <f>"188"</f>
        <v>188</v>
      </c>
      <c r="G2487" s="2">
        <v>42039</v>
      </c>
      <c r="H2487" s="1">
        <v>179900</v>
      </c>
      <c r="I2487" s="1">
        <v>179900</v>
      </c>
      <c r="J2487" s="1">
        <v>170000</v>
      </c>
      <c r="K2487" s="2">
        <v>42039</v>
      </c>
      <c r="L2487" s="1">
        <v>9</v>
      </c>
      <c r="M2487" s="2">
        <v>42047</v>
      </c>
      <c r="N2487" s="1">
        <v>9</v>
      </c>
      <c r="O2487" s="2">
        <v>42047</v>
      </c>
      <c r="P2487" s="1">
        <v>24186</v>
      </c>
      <c r="Q2487" s="1" t="s">
        <v>197</v>
      </c>
      <c r="R2487" s="2">
        <v>42100</v>
      </c>
      <c r="S2487" s="1">
        <v>227381</v>
      </c>
      <c r="U2487" s="1">
        <v>851</v>
      </c>
      <c r="V2487" s="1" t="s">
        <v>21449</v>
      </c>
      <c r="W2487" s="1" t="s">
        <v>304</v>
      </c>
      <c r="X2487" s="1" t="s">
        <v>2932</v>
      </c>
      <c r="Y2487" s="1">
        <v>6</v>
      </c>
      <c r="Z2487" s="1" t="s">
        <v>249</v>
      </c>
      <c r="AA2487" s="1" t="s">
        <v>1084</v>
      </c>
      <c r="AB2487" s="1">
        <v>60188</v>
      </c>
      <c r="AD2487" s="1" t="s">
        <v>4270</v>
      </c>
      <c r="AE2487" s="1" t="s">
        <v>21450</v>
      </c>
      <c r="AF2487" s="1">
        <v>1996</v>
      </c>
      <c r="AG2487" s="1" t="s">
        <v>204</v>
      </c>
      <c r="AH2487" s="1" t="s">
        <v>1087</v>
      </c>
      <c r="AI2487" s="1" t="s">
        <v>206</v>
      </c>
      <c r="AJ2487" s="1" t="s">
        <v>207</v>
      </c>
      <c r="AK2487" s="1" t="s">
        <v>1340</v>
      </c>
      <c r="AL2487" s="1">
        <v>6</v>
      </c>
      <c r="AM2487" s="1">
        <v>2</v>
      </c>
      <c r="AN2487" s="1">
        <v>2</v>
      </c>
      <c r="AO2487" s="1">
        <v>1</v>
      </c>
      <c r="AP2487" s="1" t="s">
        <v>209</v>
      </c>
      <c r="AQ2487" s="1">
        <v>1</v>
      </c>
      <c r="AR2487" s="1" t="s">
        <v>210</v>
      </c>
      <c r="AS2487" s="1" t="s">
        <v>204</v>
      </c>
      <c r="AT2487" s="1" t="s">
        <v>211</v>
      </c>
      <c r="AU2487" s="1">
        <v>1</v>
      </c>
      <c r="AW2487" s="1" t="s">
        <v>204</v>
      </c>
      <c r="AX2487" s="1" t="s">
        <v>212</v>
      </c>
      <c r="AZ2487" s="1">
        <v>3787</v>
      </c>
      <c r="BA2487" s="1">
        <v>2013</v>
      </c>
      <c r="BB2487" s="1" t="s">
        <v>405</v>
      </c>
      <c r="BE2487" s="1">
        <v>1432</v>
      </c>
      <c r="BF2487" s="1">
        <v>1</v>
      </c>
      <c r="BG2487" s="1">
        <v>0</v>
      </c>
      <c r="BL2487" s="1">
        <v>146</v>
      </c>
      <c r="BM2487" s="1" t="s">
        <v>204</v>
      </c>
      <c r="BN2487" s="1" t="s">
        <v>213</v>
      </c>
      <c r="BO2487" s="1">
        <v>999</v>
      </c>
      <c r="BP2487" s="1" t="s">
        <v>204</v>
      </c>
      <c r="BR2487" s="1" t="str">
        <f>"0503110263"</f>
        <v>0503110263</v>
      </c>
      <c r="BT2487" s="1" t="s">
        <v>21451</v>
      </c>
      <c r="BU2487" s="1" t="s">
        <v>2305</v>
      </c>
      <c r="BV2487" s="1" t="s">
        <v>6455</v>
      </c>
      <c r="BW2487" s="1" t="s">
        <v>6456</v>
      </c>
      <c r="BX2487" s="1">
        <v>200</v>
      </c>
      <c r="BY2487" s="1">
        <v>200</v>
      </c>
      <c r="BZ2487" s="1">
        <v>200</v>
      </c>
      <c r="CB2487" s="1" t="str">
        <f>"1"</f>
        <v>1</v>
      </c>
      <c r="CC2487" s="1" t="str">
        <f t="shared" si="1907"/>
        <v>0</v>
      </c>
      <c r="CD2487" s="1">
        <v>23</v>
      </c>
      <c r="CE2487" s="1">
        <v>0</v>
      </c>
      <c r="CG2487" s="1" t="s">
        <v>931</v>
      </c>
      <c r="CH2487" s="1" t="s">
        <v>219</v>
      </c>
      <c r="CI2487" s="1" t="s">
        <v>220</v>
      </c>
      <c r="CJ2487" s="1" t="s">
        <v>439</v>
      </c>
      <c r="CK2487" s="1" t="s">
        <v>581</v>
      </c>
      <c r="CL2487" s="1" t="s">
        <v>277</v>
      </c>
      <c r="CM2487" s="1" t="s">
        <v>220</v>
      </c>
      <c r="CN2487" s="1" t="s">
        <v>439</v>
      </c>
      <c r="CP2487" s="1" t="s">
        <v>224</v>
      </c>
      <c r="CS2487" s="1" t="s">
        <v>379</v>
      </c>
      <c r="CT2487" s="1" t="s">
        <v>277</v>
      </c>
      <c r="CU2487" s="1" t="s">
        <v>229</v>
      </c>
      <c r="CV2487" s="1" t="s">
        <v>439</v>
      </c>
      <c r="CX2487" s="1" t="s">
        <v>224</v>
      </c>
      <c r="DB2487" s="1" t="s">
        <v>224</v>
      </c>
      <c r="DE2487" s="1" t="s">
        <v>409</v>
      </c>
      <c r="DF2487" s="1" t="s">
        <v>219</v>
      </c>
      <c r="DG2487" s="1" t="s">
        <v>229</v>
      </c>
      <c r="DH2487" s="1" t="s">
        <v>439</v>
      </c>
      <c r="DJ2487" s="1" t="s">
        <v>224</v>
      </c>
      <c r="DM2487" s="1" t="s">
        <v>381</v>
      </c>
      <c r="DN2487" s="1" t="s">
        <v>464</v>
      </c>
      <c r="DR2487" s="1" t="s">
        <v>2031</v>
      </c>
      <c r="DS2487" s="1" t="s">
        <v>219</v>
      </c>
      <c r="DT2487" s="1" t="s">
        <v>229</v>
      </c>
      <c r="DU2487" s="1" t="s">
        <v>439</v>
      </c>
      <c r="DV2487" s="1" t="s">
        <v>3848</v>
      </c>
      <c r="DW2487" s="1" t="s">
        <v>277</v>
      </c>
      <c r="DX2487" s="1" t="s">
        <v>220</v>
      </c>
      <c r="EA2487" s="1" t="s">
        <v>230</v>
      </c>
      <c r="EE2487" s="1" t="s">
        <v>230</v>
      </c>
      <c r="EI2487" s="1" t="s">
        <v>230</v>
      </c>
      <c r="EL2487" s="1" t="s">
        <v>670</v>
      </c>
      <c r="EM2487" s="1" t="s">
        <v>232</v>
      </c>
      <c r="EN2487" s="1" t="s">
        <v>282</v>
      </c>
      <c r="EO2487" s="1" t="s">
        <v>234</v>
      </c>
      <c r="EQ2487" s="1" t="s">
        <v>2188</v>
      </c>
      <c r="ER2487" s="1" t="s">
        <v>210</v>
      </c>
      <c r="ES2487" s="1" t="s">
        <v>322</v>
      </c>
      <c r="EV2487" s="1" t="s">
        <v>240</v>
      </c>
      <c r="EW2487" s="1" t="s">
        <v>353</v>
      </c>
      <c r="EY2487" s="1" t="s">
        <v>1315</v>
      </c>
      <c r="EZ2487" s="1" t="s">
        <v>4284</v>
      </c>
      <c r="FA2487" s="1" t="s">
        <v>1681</v>
      </c>
      <c r="FB2487" s="1" t="s">
        <v>289</v>
      </c>
      <c r="FD2487" s="1" t="s">
        <v>246</v>
      </c>
      <c r="FE2487" s="1" t="s">
        <v>1220</v>
      </c>
      <c r="FF2487" s="1" t="s">
        <v>248</v>
      </c>
      <c r="FG2487" s="1" t="s">
        <v>912</v>
      </c>
      <c r="FH2487" s="1" t="s">
        <v>550</v>
      </c>
      <c r="FI2487" s="1" t="s">
        <v>473</v>
      </c>
      <c r="FJ2487" s="1" t="s">
        <v>518</v>
      </c>
      <c r="FL2487" s="1" t="s">
        <v>358</v>
      </c>
      <c r="FM2487" s="1" t="s">
        <v>252</v>
      </c>
      <c r="FN2487" s="1" t="s">
        <v>213</v>
      </c>
      <c r="FO2487" s="1" t="s">
        <v>213</v>
      </c>
      <c r="FQ2487" s="1" t="s">
        <v>21452</v>
      </c>
      <c r="FR2487" s="1" t="s">
        <v>210</v>
      </c>
      <c r="FS2487" s="1" t="s">
        <v>21453</v>
      </c>
      <c r="FT2487" s="1" t="s">
        <v>295</v>
      </c>
      <c r="FU2487" s="1" t="s">
        <v>204</v>
      </c>
      <c r="FW2487" s="1" t="s">
        <v>1637</v>
      </c>
      <c r="FX2487" s="1">
        <v>8059</v>
      </c>
      <c r="FY2487" s="1" t="s">
        <v>2034</v>
      </c>
      <c r="FZ2487" s="1" t="s">
        <v>21454</v>
      </c>
      <c r="GA2487" s="1">
        <v>89422</v>
      </c>
      <c r="GB2487" s="1" t="s">
        <v>21455</v>
      </c>
      <c r="GD2487" s="1" t="s">
        <v>21456</v>
      </c>
      <c r="GE2487" s="1" t="s">
        <v>210</v>
      </c>
      <c r="GI2487" s="1" t="s">
        <v>213</v>
      </c>
      <c r="GJ2487" s="1" t="s">
        <v>260</v>
      </c>
      <c r="GK2487" s="1" t="s">
        <v>210</v>
      </c>
      <c r="GL2487" s="2">
        <v>42101</v>
      </c>
    </row>
    <row r="2488" spans="1:195">
      <c r="A2488" s="1">
        <v>39400</v>
      </c>
      <c r="B2488" s="1" t="s">
        <v>195</v>
      </c>
      <c r="C2488" s="1" t="str">
        <f>"08833304"</f>
        <v>08833304</v>
      </c>
      <c r="D2488" s="1" t="s">
        <v>196</v>
      </c>
      <c r="F2488" s="1" t="str">
        <f>"8042"</f>
        <v>8042</v>
      </c>
      <c r="G2488" s="2">
        <v>42041</v>
      </c>
      <c r="H2488" s="1">
        <v>39400</v>
      </c>
      <c r="I2488" s="1">
        <v>39400</v>
      </c>
      <c r="J2488" s="1">
        <v>39400</v>
      </c>
      <c r="K2488" s="2">
        <v>42041</v>
      </c>
      <c r="L2488" s="1">
        <v>18</v>
      </c>
      <c r="M2488" s="2">
        <v>42058</v>
      </c>
      <c r="N2488" s="1">
        <v>18</v>
      </c>
      <c r="O2488" s="2">
        <v>42058</v>
      </c>
      <c r="P2488" s="1">
        <v>84082</v>
      </c>
      <c r="Q2488" s="1" t="s">
        <v>302</v>
      </c>
      <c r="R2488" s="2">
        <v>42123</v>
      </c>
      <c r="S2488" s="1">
        <v>162465</v>
      </c>
      <c r="U2488" s="1">
        <v>6617</v>
      </c>
      <c r="V2488" s="1" t="s">
        <v>10000</v>
      </c>
      <c r="W2488" s="1" t="s">
        <v>425</v>
      </c>
      <c r="X2488" s="1" t="s">
        <v>21457</v>
      </c>
      <c r="Y2488" s="1">
        <v>8</v>
      </c>
      <c r="Z2488" s="1" t="s">
        <v>249</v>
      </c>
      <c r="AA2488" s="1" t="s">
        <v>400</v>
      </c>
      <c r="AB2488" s="1">
        <v>60637</v>
      </c>
      <c r="AE2488" s="1" t="s">
        <v>21458</v>
      </c>
      <c r="AF2488" s="1" t="s">
        <v>402</v>
      </c>
      <c r="AG2488" s="1" t="s">
        <v>204</v>
      </c>
      <c r="AH2488" s="1" t="s">
        <v>403</v>
      </c>
      <c r="AI2488" s="1" t="s">
        <v>310</v>
      </c>
      <c r="AJ2488" s="1" t="s">
        <v>404</v>
      </c>
      <c r="AL2488" s="1">
        <v>5</v>
      </c>
      <c r="AM2488" s="1">
        <v>2</v>
      </c>
      <c r="AN2488" s="1">
        <v>2</v>
      </c>
      <c r="AO2488" s="1">
        <v>0</v>
      </c>
      <c r="AP2488" s="1" t="s">
        <v>209</v>
      </c>
      <c r="AQ2488" s="1">
        <v>0</v>
      </c>
      <c r="AR2488" s="1" t="s">
        <v>210</v>
      </c>
      <c r="AS2488" s="1" t="s">
        <v>204</v>
      </c>
      <c r="AT2488" s="1" t="s">
        <v>271</v>
      </c>
      <c r="AV2488" s="1">
        <v>1</v>
      </c>
      <c r="AW2488" s="1" t="s">
        <v>204</v>
      </c>
      <c r="AX2488" s="1" t="s">
        <v>6185</v>
      </c>
      <c r="AZ2488" s="1">
        <v>2460.92</v>
      </c>
      <c r="BA2488" s="1">
        <v>2012</v>
      </c>
      <c r="BE2488" s="1">
        <v>1150</v>
      </c>
      <c r="BF2488" s="1">
        <v>4</v>
      </c>
      <c r="BG2488" s="1">
        <v>0</v>
      </c>
      <c r="BJ2488" s="1">
        <v>100</v>
      </c>
      <c r="BL2488" s="1">
        <v>132</v>
      </c>
      <c r="BM2488" s="1" t="s">
        <v>204</v>
      </c>
      <c r="BN2488" s="1" t="s">
        <v>213</v>
      </c>
      <c r="BO2488" s="1">
        <v>0</v>
      </c>
      <c r="BP2488" s="1" t="s">
        <v>204</v>
      </c>
      <c r="BR2488" s="1" t="str">
        <f>"20231230391007"</f>
        <v>20231230391007</v>
      </c>
      <c r="BT2488" s="1" t="s">
        <v>21459</v>
      </c>
      <c r="BX2488" s="1">
        <v>299</v>
      </c>
      <c r="BY2488" s="1">
        <v>299</v>
      </c>
      <c r="BZ2488" s="1">
        <v>299</v>
      </c>
      <c r="CB2488" s="1" t="str">
        <f t="shared" ref="CB2488:CB2489" si="1908">"0"</f>
        <v>0</v>
      </c>
      <c r="CC2488" s="1" t="str">
        <f>"950"</f>
        <v>950</v>
      </c>
      <c r="CD2488" s="1">
        <v>0</v>
      </c>
      <c r="CE2488" s="1">
        <v>6617</v>
      </c>
      <c r="CG2488" s="1" t="s">
        <v>1267</v>
      </c>
      <c r="CH2488" s="1" t="s">
        <v>685</v>
      </c>
      <c r="CI2488" s="1" t="s">
        <v>438</v>
      </c>
      <c r="CK2488" s="1" t="s">
        <v>3083</v>
      </c>
      <c r="CL2488" s="1" t="s">
        <v>685</v>
      </c>
      <c r="CM2488" s="1" t="s">
        <v>220</v>
      </c>
      <c r="CO2488" s="1" t="s">
        <v>629</v>
      </c>
      <c r="CP2488" s="1" t="s">
        <v>685</v>
      </c>
      <c r="CQ2488" s="1" t="s">
        <v>438</v>
      </c>
      <c r="CS2488" s="1" t="s">
        <v>1107</v>
      </c>
      <c r="CT2488" s="1" t="s">
        <v>685</v>
      </c>
      <c r="CU2488" s="1" t="s">
        <v>220</v>
      </c>
      <c r="CX2488" s="1" t="s">
        <v>224</v>
      </c>
      <c r="DB2488" s="1" t="s">
        <v>224</v>
      </c>
      <c r="DE2488" s="1" t="s">
        <v>1358</v>
      </c>
      <c r="DF2488" s="1" t="s">
        <v>685</v>
      </c>
      <c r="DG2488" s="1" t="s">
        <v>438</v>
      </c>
      <c r="DJ2488" s="1" t="s">
        <v>224</v>
      </c>
      <c r="DS2488" s="1" t="s">
        <v>230</v>
      </c>
      <c r="DW2488" s="1" t="s">
        <v>230</v>
      </c>
      <c r="EA2488" s="1" t="s">
        <v>230</v>
      </c>
      <c r="EE2488" s="1" t="s">
        <v>230</v>
      </c>
      <c r="EI2488" s="1" t="s">
        <v>230</v>
      </c>
      <c r="EL2488" s="1" t="s">
        <v>413</v>
      </c>
      <c r="EM2488" s="1" t="s">
        <v>319</v>
      </c>
      <c r="EN2488" s="1" t="s">
        <v>282</v>
      </c>
      <c r="EO2488" s="1" t="s">
        <v>234</v>
      </c>
      <c r="EP2488" s="1" t="s">
        <v>1614</v>
      </c>
      <c r="ER2488" s="1" t="s">
        <v>210</v>
      </c>
      <c r="EW2488" s="1" t="s">
        <v>937</v>
      </c>
      <c r="EZ2488" s="1" t="s">
        <v>287</v>
      </c>
      <c r="FC2488" s="1" t="s">
        <v>2470</v>
      </c>
      <c r="FD2488" s="1" t="s">
        <v>246</v>
      </c>
      <c r="FE2488" s="1" t="s">
        <v>247</v>
      </c>
      <c r="FF2488" s="1" t="s">
        <v>248</v>
      </c>
      <c r="FH2488" s="1" t="s">
        <v>249</v>
      </c>
      <c r="FK2488" s="1" t="s">
        <v>291</v>
      </c>
      <c r="FL2488" s="1" t="s">
        <v>414</v>
      </c>
      <c r="FM2488" s="1" t="s">
        <v>252</v>
      </c>
      <c r="FN2488" s="1" t="s">
        <v>213</v>
      </c>
      <c r="FO2488" s="1" t="s">
        <v>204</v>
      </c>
      <c r="FQ2488" s="1" t="s">
        <v>582</v>
      </c>
      <c r="FR2488" s="1" t="s">
        <v>210</v>
      </c>
      <c r="FS2488" s="1" t="s">
        <v>21460</v>
      </c>
      <c r="FT2488" s="1" t="s">
        <v>654</v>
      </c>
      <c r="FU2488" s="1" t="s">
        <v>204</v>
      </c>
      <c r="FW2488" s="1" t="s">
        <v>3797</v>
      </c>
      <c r="FX2488" s="1">
        <v>84460</v>
      </c>
      <c r="FY2488" s="1" t="s">
        <v>3798</v>
      </c>
      <c r="FZ2488" s="1" t="s">
        <v>21461</v>
      </c>
      <c r="GA2488" s="1">
        <v>144103</v>
      </c>
      <c r="GE2488" s="1" t="s">
        <v>210</v>
      </c>
      <c r="GH2488" s="1" t="s">
        <v>421</v>
      </c>
      <c r="GI2488" s="1" t="s">
        <v>213</v>
      </c>
      <c r="GJ2488" s="1" t="s">
        <v>260</v>
      </c>
      <c r="GK2488" s="1" t="s">
        <v>210</v>
      </c>
      <c r="GL2488" s="2">
        <v>42130</v>
      </c>
      <c r="GM2488" s="1" t="s">
        <v>21462</v>
      </c>
    </row>
    <row r="2489" spans="1:195">
      <c r="A2489" s="1">
        <v>131000</v>
      </c>
      <c r="B2489" s="1" t="s">
        <v>195</v>
      </c>
      <c r="C2489" s="1" t="str">
        <f>"08830482"</f>
        <v>08830482</v>
      </c>
      <c r="D2489" s="1" t="s">
        <v>196</v>
      </c>
      <c r="F2489" s="1" t="str">
        <f>"8072"</f>
        <v>8072</v>
      </c>
      <c r="G2489" s="2">
        <v>42038</v>
      </c>
      <c r="H2489" s="1">
        <v>125000</v>
      </c>
      <c r="I2489" s="1">
        <v>125000</v>
      </c>
      <c r="J2489" s="1">
        <v>131000</v>
      </c>
      <c r="K2489" s="2">
        <v>42038</v>
      </c>
      <c r="L2489" s="1">
        <v>17</v>
      </c>
      <c r="M2489" s="2">
        <v>42054</v>
      </c>
      <c r="N2489" s="1">
        <v>17</v>
      </c>
      <c r="O2489" s="2">
        <v>42054</v>
      </c>
      <c r="P2489" s="1">
        <v>61153</v>
      </c>
      <c r="Q2489" s="1" t="s">
        <v>302</v>
      </c>
      <c r="R2489" s="2">
        <v>42094</v>
      </c>
      <c r="S2489" s="1">
        <v>234721</v>
      </c>
      <c r="U2489" s="1">
        <v>9122</v>
      </c>
      <c r="V2489" s="1" t="s">
        <v>3454</v>
      </c>
      <c r="W2489" s="1" t="s">
        <v>264</v>
      </c>
      <c r="X2489" s="1">
        <v>3</v>
      </c>
      <c r="Y2489" s="1">
        <v>3</v>
      </c>
      <c r="Z2489" s="1" t="s">
        <v>200</v>
      </c>
      <c r="AA2489" s="1" t="s">
        <v>400</v>
      </c>
      <c r="AB2489" s="1">
        <v>60643</v>
      </c>
      <c r="AE2489" s="1" t="s">
        <v>21463</v>
      </c>
      <c r="AF2489" s="1">
        <v>1890</v>
      </c>
      <c r="AG2489" s="1" t="s">
        <v>213</v>
      </c>
      <c r="AH2489" s="1" t="s">
        <v>403</v>
      </c>
      <c r="AI2489" s="1" t="s">
        <v>310</v>
      </c>
      <c r="AJ2489" s="1" t="s">
        <v>683</v>
      </c>
      <c r="AL2489" s="1">
        <v>6</v>
      </c>
      <c r="AM2489" s="1">
        <v>2</v>
      </c>
      <c r="AN2489" s="1">
        <v>2</v>
      </c>
      <c r="AO2489" s="1">
        <v>0</v>
      </c>
      <c r="AP2489" s="1" t="s">
        <v>209</v>
      </c>
      <c r="AR2489" s="1" t="s">
        <v>210</v>
      </c>
      <c r="AS2489" s="1" t="s">
        <v>204</v>
      </c>
      <c r="AT2489" s="1" t="s">
        <v>211</v>
      </c>
      <c r="AU2489" s="1">
        <v>1</v>
      </c>
      <c r="AW2489" s="1" t="s">
        <v>204</v>
      </c>
      <c r="AX2489" s="1" t="s">
        <v>212</v>
      </c>
      <c r="AZ2489" s="1">
        <v>2384.33</v>
      </c>
      <c r="BA2489" s="1">
        <v>2012</v>
      </c>
      <c r="BE2489" s="1">
        <v>1200</v>
      </c>
      <c r="BF2489" s="1">
        <v>3</v>
      </c>
      <c r="BG2489" s="1">
        <v>0</v>
      </c>
      <c r="BL2489" s="1">
        <v>140</v>
      </c>
      <c r="BM2489" s="1" t="s">
        <v>204</v>
      </c>
      <c r="BN2489" s="1" t="s">
        <v>213</v>
      </c>
      <c r="BO2489" s="1">
        <v>999</v>
      </c>
      <c r="BP2489" s="1" t="s">
        <v>204</v>
      </c>
      <c r="BR2489" s="1" t="str">
        <f>"25064030371003"</f>
        <v>25064030371003</v>
      </c>
      <c r="BT2489" s="1" t="s">
        <v>21464</v>
      </c>
      <c r="BX2489" s="1">
        <v>299</v>
      </c>
      <c r="BY2489" s="1">
        <v>299</v>
      </c>
      <c r="BZ2489" s="1">
        <v>299</v>
      </c>
      <c r="CB2489" s="1" t="str">
        <f t="shared" si="1908"/>
        <v>0</v>
      </c>
      <c r="CC2489" s="1" t="str">
        <f>"0"</f>
        <v>0</v>
      </c>
      <c r="CD2489" s="1">
        <v>2000</v>
      </c>
      <c r="CE2489" s="1">
        <v>9122</v>
      </c>
      <c r="CG2489" s="1" t="s">
        <v>221</v>
      </c>
      <c r="CH2489" s="1" t="s">
        <v>219</v>
      </c>
      <c r="CI2489" s="1" t="s">
        <v>438</v>
      </c>
      <c r="CK2489" s="1" t="s">
        <v>539</v>
      </c>
      <c r="CL2489" s="1" t="s">
        <v>219</v>
      </c>
      <c r="CM2489" s="1" t="s">
        <v>438</v>
      </c>
      <c r="CO2489" s="1" t="s">
        <v>437</v>
      </c>
      <c r="CP2489" s="1" t="s">
        <v>219</v>
      </c>
      <c r="CQ2489" s="1" t="s">
        <v>438</v>
      </c>
      <c r="CS2489" s="1" t="s">
        <v>602</v>
      </c>
      <c r="CT2489" s="1" t="s">
        <v>219</v>
      </c>
      <c r="CU2489" s="1" t="s">
        <v>438</v>
      </c>
      <c r="CX2489" s="1" t="s">
        <v>224</v>
      </c>
      <c r="DB2489" s="1" t="s">
        <v>224</v>
      </c>
      <c r="DE2489" s="1" t="s">
        <v>490</v>
      </c>
      <c r="DF2489" s="1" t="s">
        <v>219</v>
      </c>
      <c r="DG2489" s="1" t="s">
        <v>226</v>
      </c>
      <c r="DI2489" s="1" t="s">
        <v>318</v>
      </c>
      <c r="DJ2489" s="1" t="s">
        <v>219</v>
      </c>
      <c r="DK2489" s="1" t="s">
        <v>438</v>
      </c>
      <c r="DS2489" s="1" t="s">
        <v>230</v>
      </c>
      <c r="DW2489" s="1" t="s">
        <v>230</v>
      </c>
      <c r="EA2489" s="1" t="s">
        <v>230</v>
      </c>
      <c r="EE2489" s="1" t="s">
        <v>230</v>
      </c>
      <c r="EI2489" s="1" t="s">
        <v>230</v>
      </c>
      <c r="EL2489" s="1" t="s">
        <v>787</v>
      </c>
      <c r="EM2489" s="1" t="s">
        <v>232</v>
      </c>
      <c r="EN2489" s="1" t="s">
        <v>282</v>
      </c>
      <c r="EO2489" s="1" t="s">
        <v>234</v>
      </c>
      <c r="EQ2489" s="1" t="s">
        <v>1109</v>
      </c>
      <c r="ER2489" s="1" t="s">
        <v>210</v>
      </c>
      <c r="EU2489" s="1" t="s">
        <v>21465</v>
      </c>
      <c r="EW2489" s="1" t="s">
        <v>21466</v>
      </c>
      <c r="EZ2489" s="1" t="s">
        <v>287</v>
      </c>
      <c r="FD2489" s="1" t="s">
        <v>246</v>
      </c>
      <c r="FE2489" s="1" t="s">
        <v>247</v>
      </c>
      <c r="FF2489" s="1" t="s">
        <v>248</v>
      </c>
      <c r="FH2489" s="1" t="s">
        <v>249</v>
      </c>
      <c r="FL2489" s="1" t="s">
        <v>358</v>
      </c>
      <c r="FM2489" s="1" t="s">
        <v>252</v>
      </c>
      <c r="FN2489" s="1" t="s">
        <v>213</v>
      </c>
      <c r="FO2489" s="1" t="s">
        <v>213</v>
      </c>
      <c r="FQ2489" s="1" t="s">
        <v>849</v>
      </c>
      <c r="FR2489" s="1" t="s">
        <v>210</v>
      </c>
      <c r="FS2489" s="1" t="s">
        <v>21467</v>
      </c>
      <c r="FT2489" s="1" t="s">
        <v>255</v>
      </c>
      <c r="FU2489" s="1" t="s">
        <v>204</v>
      </c>
      <c r="FW2489" s="1" t="s">
        <v>5605</v>
      </c>
      <c r="FX2489" s="1">
        <v>12555</v>
      </c>
      <c r="FY2489" s="1" t="s">
        <v>5606</v>
      </c>
      <c r="FZ2489" s="1" t="s">
        <v>6579</v>
      </c>
      <c r="GA2489" s="1">
        <v>130892</v>
      </c>
      <c r="GB2489" s="1" t="s">
        <v>5606</v>
      </c>
      <c r="GE2489" s="1" t="s">
        <v>210</v>
      </c>
      <c r="GH2489" s="1" t="s">
        <v>421</v>
      </c>
      <c r="GI2489" s="1" t="s">
        <v>213</v>
      </c>
      <c r="GJ2489" s="1" t="s">
        <v>260</v>
      </c>
      <c r="GK2489" s="1" t="s">
        <v>210</v>
      </c>
      <c r="GL2489" s="2">
        <v>42094</v>
      </c>
      <c r="GM2489" s="1" t="s">
        <v>21468</v>
      </c>
    </row>
    <row r="2490" spans="1:195">
      <c r="A2490" s="1">
        <v>250000</v>
      </c>
      <c r="B2490" s="1" t="s">
        <v>195</v>
      </c>
      <c r="C2490" s="1" t="str">
        <f>"08835457"</f>
        <v>08835457</v>
      </c>
      <c r="D2490" s="1" t="s">
        <v>196</v>
      </c>
      <c r="F2490" s="1" t="str">
        <f>"190"</f>
        <v>190</v>
      </c>
      <c r="G2490" s="2">
        <v>42045</v>
      </c>
      <c r="H2490" s="1">
        <v>264900</v>
      </c>
      <c r="I2490" s="1">
        <v>264900</v>
      </c>
      <c r="J2490" s="1">
        <v>250000</v>
      </c>
      <c r="K2490" s="2">
        <v>42045</v>
      </c>
      <c r="L2490" s="1">
        <v>21</v>
      </c>
      <c r="M2490" s="2">
        <v>42065</v>
      </c>
      <c r="N2490" s="1">
        <v>21</v>
      </c>
      <c r="O2490" s="2">
        <v>42065</v>
      </c>
      <c r="P2490" s="1">
        <v>23871</v>
      </c>
      <c r="Q2490" s="1" t="s">
        <v>197</v>
      </c>
      <c r="R2490" s="2">
        <v>42124</v>
      </c>
      <c r="S2490" s="1">
        <v>227716</v>
      </c>
      <c r="U2490" s="1" t="s">
        <v>21469</v>
      </c>
      <c r="V2490" s="1" t="s">
        <v>21470</v>
      </c>
      <c r="W2490" s="1" t="s">
        <v>304</v>
      </c>
      <c r="Y2490" s="1">
        <v>6</v>
      </c>
      <c r="Z2490" s="1" t="s">
        <v>370</v>
      </c>
      <c r="AA2490" s="1" t="s">
        <v>1915</v>
      </c>
      <c r="AB2490" s="1">
        <v>60190</v>
      </c>
      <c r="AD2490" s="1" t="s">
        <v>19376</v>
      </c>
      <c r="AE2490" s="1" t="s">
        <v>21471</v>
      </c>
      <c r="AF2490" s="1">
        <v>2010</v>
      </c>
      <c r="AG2490" s="1" t="s">
        <v>204</v>
      </c>
      <c r="AH2490" s="1" t="s">
        <v>987</v>
      </c>
      <c r="AI2490" s="1" t="s">
        <v>206</v>
      </c>
      <c r="AJ2490" s="1" t="s">
        <v>987</v>
      </c>
      <c r="AK2490" s="1" t="s">
        <v>21472</v>
      </c>
      <c r="AL2490" s="1">
        <v>7</v>
      </c>
      <c r="AM2490" s="1">
        <v>2</v>
      </c>
      <c r="AN2490" s="1">
        <v>3</v>
      </c>
      <c r="AO2490" s="1">
        <v>0</v>
      </c>
      <c r="AP2490" s="1" t="s">
        <v>209</v>
      </c>
      <c r="AR2490" s="1" t="s">
        <v>209</v>
      </c>
      <c r="AS2490" s="1" t="s">
        <v>213</v>
      </c>
      <c r="AT2490" s="1" t="s">
        <v>211</v>
      </c>
      <c r="AU2490" s="1">
        <v>2</v>
      </c>
      <c r="AW2490" s="1" t="s">
        <v>204</v>
      </c>
      <c r="AX2490" s="1" t="s">
        <v>212</v>
      </c>
      <c r="AZ2490" s="1">
        <v>4331</v>
      </c>
      <c r="BA2490" s="1">
        <v>2013</v>
      </c>
      <c r="BE2490" s="1">
        <v>1323</v>
      </c>
      <c r="BF2490" s="1">
        <v>1</v>
      </c>
      <c r="BG2490" s="1">
        <v>0</v>
      </c>
      <c r="BL2490" s="1">
        <v>185</v>
      </c>
      <c r="BM2490" s="1" t="s">
        <v>204</v>
      </c>
      <c r="BN2490" s="1" t="s">
        <v>213</v>
      </c>
      <c r="BO2490" s="1">
        <v>0</v>
      </c>
      <c r="BP2490" s="1" t="s">
        <v>204</v>
      </c>
      <c r="BR2490" s="1" t="str">
        <f>"0411400081"</f>
        <v>0411400081</v>
      </c>
      <c r="BT2490" s="1" t="s">
        <v>21473</v>
      </c>
      <c r="BU2490" s="1" t="s">
        <v>3162</v>
      </c>
      <c r="BV2490" s="1" t="s">
        <v>3163</v>
      </c>
      <c r="BW2490" s="1" t="s">
        <v>1675</v>
      </c>
      <c r="BX2490" s="1">
        <v>34</v>
      </c>
      <c r="BY2490" s="1">
        <v>34</v>
      </c>
      <c r="BZ2490" s="1">
        <v>94</v>
      </c>
      <c r="CB2490" s="1" t="str">
        <f t="shared" ref="CB2490:CC2490" si="1909">""</f>
        <v/>
      </c>
      <c r="CC2490" s="1" t="str">
        <f t="shared" si="1909"/>
        <v/>
      </c>
      <c r="CG2490" s="1" t="s">
        <v>1178</v>
      </c>
      <c r="CH2490" s="1" t="s">
        <v>219</v>
      </c>
      <c r="CI2490" s="1" t="s">
        <v>438</v>
      </c>
      <c r="CJ2490" s="1" t="s">
        <v>463</v>
      </c>
      <c r="CK2490" s="1" t="s">
        <v>932</v>
      </c>
      <c r="CL2490" s="1" t="s">
        <v>219</v>
      </c>
      <c r="CM2490" s="1" t="s">
        <v>220</v>
      </c>
      <c r="CN2490" s="1" t="s">
        <v>463</v>
      </c>
      <c r="CO2490" s="1" t="s">
        <v>281</v>
      </c>
      <c r="CP2490" s="1" t="s">
        <v>219</v>
      </c>
      <c r="CQ2490" s="1" t="s">
        <v>438</v>
      </c>
      <c r="CR2490" s="1" t="s">
        <v>909</v>
      </c>
      <c r="CS2490" s="1" t="s">
        <v>1046</v>
      </c>
      <c r="CT2490" s="1" t="s">
        <v>219</v>
      </c>
      <c r="CU2490" s="1" t="s">
        <v>220</v>
      </c>
      <c r="CV2490" s="1" t="s">
        <v>909</v>
      </c>
      <c r="CX2490" s="1" t="s">
        <v>224</v>
      </c>
      <c r="DB2490" s="1" t="s">
        <v>224</v>
      </c>
      <c r="DE2490" s="1" t="s">
        <v>1133</v>
      </c>
      <c r="DF2490" s="1" t="s">
        <v>219</v>
      </c>
      <c r="DG2490" s="1" t="s">
        <v>438</v>
      </c>
      <c r="DH2490" s="1" t="s">
        <v>210</v>
      </c>
      <c r="DI2490" s="1" t="s">
        <v>885</v>
      </c>
      <c r="DJ2490" s="1" t="s">
        <v>822</v>
      </c>
      <c r="DK2490" s="1" t="s">
        <v>220</v>
      </c>
      <c r="DL2490" s="1" t="s">
        <v>343</v>
      </c>
      <c r="DM2490" s="1" t="s">
        <v>227</v>
      </c>
      <c r="DR2490" s="1" t="s">
        <v>1297</v>
      </c>
      <c r="DS2490" s="1" t="s">
        <v>822</v>
      </c>
      <c r="DT2490" s="1" t="s">
        <v>220</v>
      </c>
      <c r="DU2490" s="1" t="s">
        <v>343</v>
      </c>
      <c r="DW2490" s="1" t="s">
        <v>230</v>
      </c>
      <c r="EA2490" s="1" t="s">
        <v>230</v>
      </c>
      <c r="EE2490" s="1" t="s">
        <v>230</v>
      </c>
      <c r="EI2490" s="1" t="s">
        <v>230</v>
      </c>
      <c r="EL2490" s="1" t="s">
        <v>1549</v>
      </c>
      <c r="EM2490" s="1" t="s">
        <v>232</v>
      </c>
      <c r="EN2490" s="1" t="s">
        <v>282</v>
      </c>
      <c r="EO2490" s="1" t="s">
        <v>234</v>
      </c>
      <c r="EP2490" s="1" t="s">
        <v>650</v>
      </c>
      <c r="EQ2490" s="1" t="s">
        <v>2188</v>
      </c>
      <c r="ER2490" s="1" t="s">
        <v>544</v>
      </c>
      <c r="ES2490" s="1" t="s">
        <v>608</v>
      </c>
      <c r="EU2490" s="1" t="s">
        <v>239</v>
      </c>
      <c r="EV2490" s="1" t="s">
        <v>324</v>
      </c>
      <c r="EW2490" s="1" t="s">
        <v>353</v>
      </c>
      <c r="EZ2490" s="1" t="s">
        <v>227</v>
      </c>
      <c r="FB2490" s="1" t="s">
        <v>289</v>
      </c>
      <c r="FD2490" s="1" t="s">
        <v>246</v>
      </c>
      <c r="FE2490" s="1" t="s">
        <v>975</v>
      </c>
      <c r="FF2490" s="1" t="s">
        <v>248</v>
      </c>
      <c r="FH2490" s="1" t="s">
        <v>825</v>
      </c>
      <c r="FJ2490" s="1" t="s">
        <v>1472</v>
      </c>
      <c r="FL2490" s="1" t="s">
        <v>358</v>
      </c>
      <c r="FM2490" s="1" t="s">
        <v>252</v>
      </c>
      <c r="FN2490" s="1" t="s">
        <v>213</v>
      </c>
      <c r="FO2490" s="1" t="s">
        <v>213</v>
      </c>
      <c r="FQ2490" s="1" t="s">
        <v>1621</v>
      </c>
      <c r="FR2490" s="1" t="s">
        <v>210</v>
      </c>
      <c r="FS2490" s="1" t="s">
        <v>2191</v>
      </c>
      <c r="FT2490" s="1" t="s">
        <v>520</v>
      </c>
      <c r="FU2490" s="1" t="s">
        <v>204</v>
      </c>
      <c r="FW2490" s="1" t="s">
        <v>873</v>
      </c>
      <c r="FX2490" s="1">
        <v>25309</v>
      </c>
      <c r="FY2490" s="1" t="s">
        <v>874</v>
      </c>
      <c r="FZ2490" s="1" t="s">
        <v>1623</v>
      </c>
      <c r="GA2490" s="1">
        <v>222292</v>
      </c>
      <c r="GB2490" s="1" t="s">
        <v>1624</v>
      </c>
      <c r="GD2490" s="1" t="s">
        <v>5504</v>
      </c>
      <c r="GE2490" s="1" t="s">
        <v>480</v>
      </c>
      <c r="GI2490" s="1" t="s">
        <v>213</v>
      </c>
      <c r="GJ2490" s="1" t="s">
        <v>260</v>
      </c>
      <c r="GK2490" s="1" t="s">
        <v>261</v>
      </c>
      <c r="GL2490" s="2">
        <v>42128</v>
      </c>
      <c r="GM2490" s="1" t="s">
        <v>21474</v>
      </c>
    </row>
    <row r="2491" spans="1:195">
      <c r="A2491" s="1">
        <v>86500</v>
      </c>
      <c r="B2491" s="1" t="s">
        <v>195</v>
      </c>
      <c r="C2491" s="1" t="str">
        <f>"08834971"</f>
        <v>08834971</v>
      </c>
      <c r="D2491" s="1" t="s">
        <v>196</v>
      </c>
      <c r="F2491" s="1" t="str">
        <f>"507"</f>
        <v>507</v>
      </c>
      <c r="G2491" s="2">
        <v>42044</v>
      </c>
      <c r="H2491" s="1">
        <v>84000</v>
      </c>
      <c r="I2491" s="1">
        <v>84000</v>
      </c>
      <c r="J2491" s="1">
        <v>86500</v>
      </c>
      <c r="K2491" s="2">
        <v>42044</v>
      </c>
      <c r="L2491" s="1">
        <v>6</v>
      </c>
      <c r="M2491" s="2">
        <v>42049</v>
      </c>
      <c r="N2491" s="1">
        <v>6</v>
      </c>
      <c r="O2491" s="2">
        <v>42049</v>
      </c>
      <c r="P2491" s="1">
        <v>85885</v>
      </c>
      <c r="Q2491" s="1" t="s">
        <v>302</v>
      </c>
      <c r="R2491" s="2">
        <v>42090</v>
      </c>
      <c r="S2491" s="1">
        <v>117039</v>
      </c>
      <c r="U2491" s="1">
        <v>723</v>
      </c>
      <c r="V2491" s="1" t="s">
        <v>21475</v>
      </c>
      <c r="W2491" s="1" t="s">
        <v>264</v>
      </c>
      <c r="X2491" s="1">
        <v>9133</v>
      </c>
      <c r="Y2491" s="1">
        <v>2</v>
      </c>
      <c r="Z2491" s="1" t="s">
        <v>249</v>
      </c>
      <c r="AA2491" s="1" t="s">
        <v>1123</v>
      </c>
      <c r="AB2491" s="1">
        <v>60504</v>
      </c>
      <c r="AD2491" s="1" t="s">
        <v>21476</v>
      </c>
      <c r="AE2491" s="1" t="s">
        <v>21477</v>
      </c>
      <c r="AF2491" s="1">
        <v>2005</v>
      </c>
      <c r="AG2491" s="1" t="s">
        <v>204</v>
      </c>
      <c r="AH2491" s="1" t="s">
        <v>1126</v>
      </c>
      <c r="AI2491" s="1" t="s">
        <v>665</v>
      </c>
      <c r="AJ2491" s="1" t="s">
        <v>1126</v>
      </c>
      <c r="AL2491" s="1">
        <v>5</v>
      </c>
      <c r="AM2491" s="1">
        <v>2</v>
      </c>
      <c r="AN2491" s="1">
        <v>1</v>
      </c>
      <c r="AO2491" s="1">
        <v>1</v>
      </c>
      <c r="AP2491" s="1" t="s">
        <v>210</v>
      </c>
      <c r="AR2491" s="1" t="s">
        <v>210</v>
      </c>
      <c r="AS2491" s="1" t="s">
        <v>204</v>
      </c>
      <c r="AT2491" s="1" t="s">
        <v>211</v>
      </c>
      <c r="AU2491" s="1">
        <v>2</v>
      </c>
      <c r="AW2491" s="1" t="s">
        <v>204</v>
      </c>
      <c r="AX2491" s="1" t="s">
        <v>212</v>
      </c>
      <c r="AZ2491" s="1">
        <v>1198.04</v>
      </c>
      <c r="BA2491" s="1">
        <v>2013</v>
      </c>
      <c r="BE2491" s="1">
        <v>912</v>
      </c>
      <c r="BF2491" s="1">
        <v>1</v>
      </c>
      <c r="BG2491" s="1">
        <v>0</v>
      </c>
      <c r="BL2491" s="1">
        <v>151</v>
      </c>
      <c r="BM2491" s="1" t="s">
        <v>204</v>
      </c>
      <c r="BN2491" s="1" t="s">
        <v>213</v>
      </c>
      <c r="BO2491" s="1">
        <v>100</v>
      </c>
      <c r="BP2491" s="1" t="s">
        <v>204</v>
      </c>
      <c r="BR2491" s="1" t="str">
        <f>"1525374085"</f>
        <v>1525374085</v>
      </c>
      <c r="BT2491" s="1" t="s">
        <v>21478</v>
      </c>
      <c r="BU2491" s="1" t="s">
        <v>5316</v>
      </c>
      <c r="BV2491" s="1" t="s">
        <v>5317</v>
      </c>
      <c r="BW2491" s="1" t="s">
        <v>5318</v>
      </c>
      <c r="BX2491" s="1">
        <v>131</v>
      </c>
      <c r="BY2491" s="1">
        <v>131</v>
      </c>
      <c r="BZ2491" s="1">
        <v>131</v>
      </c>
      <c r="CB2491" s="1" t="str">
        <f>"8"</f>
        <v>8</v>
      </c>
      <c r="CC2491" s="1" t="str">
        <f>"3"</f>
        <v>3</v>
      </c>
      <c r="CG2491" s="1" t="s">
        <v>437</v>
      </c>
      <c r="CH2491" s="1" t="s">
        <v>219</v>
      </c>
      <c r="CI2491" s="1" t="s">
        <v>229</v>
      </c>
      <c r="CJ2491" s="1" t="s">
        <v>439</v>
      </c>
      <c r="CK2491" s="1" t="s">
        <v>461</v>
      </c>
      <c r="CL2491" s="1" t="s">
        <v>277</v>
      </c>
      <c r="CM2491" s="1" t="s">
        <v>229</v>
      </c>
      <c r="CN2491" s="1" t="s">
        <v>343</v>
      </c>
      <c r="CO2491" s="1" t="s">
        <v>346</v>
      </c>
      <c r="CP2491" s="1" t="s">
        <v>219</v>
      </c>
      <c r="CQ2491" s="1" t="s">
        <v>226</v>
      </c>
      <c r="CR2491" s="1" t="s">
        <v>439</v>
      </c>
      <c r="CS2491" s="1" t="s">
        <v>465</v>
      </c>
      <c r="CT2491" s="1" t="s">
        <v>219</v>
      </c>
      <c r="CU2491" s="1" t="s">
        <v>229</v>
      </c>
      <c r="CV2491" s="1" t="s">
        <v>343</v>
      </c>
      <c r="CX2491" s="1" t="s">
        <v>224</v>
      </c>
      <c r="DB2491" s="1" t="s">
        <v>224</v>
      </c>
      <c r="DE2491" s="1" t="s">
        <v>346</v>
      </c>
      <c r="DF2491" s="1" t="s">
        <v>219</v>
      </c>
      <c r="DG2491" s="1" t="s">
        <v>226</v>
      </c>
      <c r="DH2491" s="1" t="s">
        <v>210</v>
      </c>
      <c r="DJ2491" s="1" t="s">
        <v>224</v>
      </c>
      <c r="DS2491" s="1" t="s">
        <v>230</v>
      </c>
      <c r="DW2491" s="1" t="s">
        <v>230</v>
      </c>
      <c r="EA2491" s="1" t="s">
        <v>230</v>
      </c>
      <c r="EE2491" s="1" t="s">
        <v>230</v>
      </c>
      <c r="EI2491" s="1" t="s">
        <v>230</v>
      </c>
      <c r="EL2491" s="1" t="s">
        <v>491</v>
      </c>
      <c r="EM2491" s="1" t="s">
        <v>319</v>
      </c>
      <c r="EN2491" s="1" t="s">
        <v>282</v>
      </c>
      <c r="EO2491" s="1" t="s">
        <v>234</v>
      </c>
      <c r="EQ2491" s="1" t="s">
        <v>492</v>
      </c>
      <c r="ER2491" s="1" t="s">
        <v>210</v>
      </c>
      <c r="ES2491" s="1" t="s">
        <v>493</v>
      </c>
      <c r="EV2491" s="1" t="s">
        <v>324</v>
      </c>
      <c r="EW2491" s="1" t="s">
        <v>21479</v>
      </c>
      <c r="EZ2491" s="1" t="s">
        <v>287</v>
      </c>
      <c r="FD2491" s="1" t="s">
        <v>246</v>
      </c>
      <c r="FE2491" s="1" t="s">
        <v>355</v>
      </c>
      <c r="FF2491" s="1" t="s">
        <v>248</v>
      </c>
      <c r="FH2491" s="1" t="s">
        <v>249</v>
      </c>
      <c r="FI2491" s="1" t="s">
        <v>357</v>
      </c>
      <c r="FJ2491" s="1" t="s">
        <v>1472</v>
      </c>
      <c r="FL2491" s="1" t="s">
        <v>358</v>
      </c>
      <c r="FM2491" s="1" t="s">
        <v>252</v>
      </c>
      <c r="FN2491" s="1" t="s">
        <v>213</v>
      </c>
      <c r="FO2491" s="1" t="s">
        <v>213</v>
      </c>
      <c r="FQ2491" s="1" t="s">
        <v>329</v>
      </c>
      <c r="FR2491" s="1" t="s">
        <v>210</v>
      </c>
      <c r="FS2491" s="1" t="s">
        <v>21480</v>
      </c>
      <c r="FT2491" s="1" t="s">
        <v>295</v>
      </c>
      <c r="FU2491" s="1" t="s">
        <v>204</v>
      </c>
      <c r="FW2491" s="1" t="s">
        <v>21481</v>
      </c>
      <c r="FX2491" s="1">
        <v>4681</v>
      </c>
      <c r="FY2491" s="1" t="s">
        <v>21482</v>
      </c>
      <c r="FZ2491" s="1" t="s">
        <v>21483</v>
      </c>
      <c r="GA2491" s="1">
        <v>40996</v>
      </c>
      <c r="GB2491" s="1" t="s">
        <v>21482</v>
      </c>
      <c r="GE2491" s="1" t="s">
        <v>210</v>
      </c>
      <c r="GI2491" s="1" t="s">
        <v>213</v>
      </c>
      <c r="GJ2491" s="1" t="s">
        <v>260</v>
      </c>
      <c r="GK2491" s="1" t="s">
        <v>210</v>
      </c>
      <c r="GL2491" s="2">
        <v>42090</v>
      </c>
      <c r="GM2491" s="1" t="s">
        <v>21484</v>
      </c>
    </row>
    <row r="2492" spans="1:195">
      <c r="A2492" s="1">
        <v>340000</v>
      </c>
      <c r="B2492" s="1" t="s">
        <v>195</v>
      </c>
      <c r="C2492" s="1" t="str">
        <f>"08834518"</f>
        <v>08834518</v>
      </c>
      <c r="D2492" s="1" t="s">
        <v>196</v>
      </c>
      <c r="F2492" s="1" t="str">
        <f>"187"</f>
        <v>187</v>
      </c>
      <c r="G2492" s="2">
        <v>42044</v>
      </c>
      <c r="H2492" s="1">
        <v>349900</v>
      </c>
      <c r="I2492" s="1">
        <v>349900</v>
      </c>
      <c r="J2492" s="1">
        <v>340000</v>
      </c>
      <c r="K2492" s="2">
        <v>42044</v>
      </c>
      <c r="L2492" s="1">
        <v>36</v>
      </c>
      <c r="M2492" s="2">
        <v>42079</v>
      </c>
      <c r="N2492" s="1">
        <v>36</v>
      </c>
      <c r="O2492" s="2">
        <v>42079</v>
      </c>
      <c r="P2492" s="1">
        <v>10115</v>
      </c>
      <c r="Q2492" s="1" t="s">
        <v>302</v>
      </c>
      <c r="R2492" s="2">
        <v>42123</v>
      </c>
      <c r="S2492" s="1">
        <v>165957</v>
      </c>
      <c r="U2492" s="1">
        <v>255</v>
      </c>
      <c r="V2492" s="1" t="s">
        <v>21132</v>
      </c>
      <c r="W2492" s="1" t="s">
        <v>264</v>
      </c>
      <c r="X2492" s="1">
        <v>601</v>
      </c>
      <c r="Y2492" s="1">
        <v>50</v>
      </c>
      <c r="Z2492" s="1" t="s">
        <v>249</v>
      </c>
      <c r="AA2492" s="1" t="s">
        <v>964</v>
      </c>
      <c r="AB2492" s="1">
        <v>60187</v>
      </c>
      <c r="AE2492" s="1" t="s">
        <v>21485</v>
      </c>
      <c r="AF2492" s="1">
        <v>2008</v>
      </c>
      <c r="AG2492" s="1" t="s">
        <v>204</v>
      </c>
      <c r="AH2492" s="1" t="s">
        <v>967</v>
      </c>
      <c r="AI2492" s="1" t="s">
        <v>206</v>
      </c>
      <c r="AJ2492" s="1" t="s">
        <v>207</v>
      </c>
      <c r="AL2492" s="1">
        <v>5</v>
      </c>
      <c r="AM2492" s="1">
        <v>2</v>
      </c>
      <c r="AN2492" s="1">
        <v>2</v>
      </c>
      <c r="AO2492" s="1">
        <v>0</v>
      </c>
      <c r="AP2492" s="1" t="s">
        <v>209</v>
      </c>
      <c r="AR2492" s="1" t="s">
        <v>210</v>
      </c>
      <c r="AT2492" s="1" t="s">
        <v>211</v>
      </c>
      <c r="AU2492" s="1">
        <v>2</v>
      </c>
      <c r="AW2492" s="1" t="s">
        <v>204</v>
      </c>
      <c r="AX2492" s="1" t="s">
        <v>4740</v>
      </c>
      <c r="AZ2492" s="1">
        <v>6731</v>
      </c>
      <c r="BA2492" s="1">
        <v>2013</v>
      </c>
      <c r="BE2492" s="1">
        <v>1288</v>
      </c>
      <c r="BF2492" s="1">
        <v>6</v>
      </c>
      <c r="BG2492" s="1">
        <v>3</v>
      </c>
      <c r="BL2492" s="1">
        <v>337</v>
      </c>
      <c r="BM2492" s="1" t="s">
        <v>413</v>
      </c>
      <c r="BN2492" s="1" t="s">
        <v>213</v>
      </c>
      <c r="BO2492" s="1">
        <v>30</v>
      </c>
      <c r="BP2492" s="1" t="s">
        <v>204</v>
      </c>
      <c r="BR2492" s="1" t="str">
        <f>"0516342036"</f>
        <v>0516342036</v>
      </c>
      <c r="BT2492" s="1" t="s">
        <v>21486</v>
      </c>
      <c r="BU2492" s="1" t="s">
        <v>7627</v>
      </c>
      <c r="BV2492" s="1" t="s">
        <v>990</v>
      </c>
      <c r="BW2492" s="1" t="s">
        <v>6456</v>
      </c>
      <c r="BX2492" s="1">
        <v>200</v>
      </c>
      <c r="BY2492" s="1">
        <v>200</v>
      </c>
      <c r="BZ2492" s="1">
        <v>200</v>
      </c>
      <c r="CB2492" s="1" t="str">
        <f t="shared" ref="CB2492:CC2492" si="1910">""</f>
        <v/>
      </c>
      <c r="CC2492" s="1" t="str">
        <f t="shared" si="1910"/>
        <v/>
      </c>
      <c r="CG2492" s="1" t="s">
        <v>862</v>
      </c>
      <c r="CH2492" s="1" t="s">
        <v>219</v>
      </c>
      <c r="CI2492" s="1" t="s">
        <v>220</v>
      </c>
      <c r="CK2492" s="1" t="s">
        <v>278</v>
      </c>
      <c r="CL2492" s="1" t="s">
        <v>219</v>
      </c>
      <c r="CM2492" s="1" t="s">
        <v>220</v>
      </c>
      <c r="CO2492" s="1" t="s">
        <v>951</v>
      </c>
      <c r="CP2492" s="1" t="s">
        <v>219</v>
      </c>
      <c r="CQ2492" s="1" t="s">
        <v>220</v>
      </c>
      <c r="CS2492" s="1" t="s">
        <v>539</v>
      </c>
      <c r="CT2492" s="1" t="s">
        <v>219</v>
      </c>
      <c r="CU2492" s="1" t="s">
        <v>220</v>
      </c>
      <c r="CX2492" s="1" t="s">
        <v>224</v>
      </c>
      <c r="DB2492" s="1" t="s">
        <v>224</v>
      </c>
      <c r="DE2492" s="1" t="s">
        <v>1046</v>
      </c>
      <c r="DF2492" s="1" t="s">
        <v>219</v>
      </c>
      <c r="DJ2492" s="1" t="s">
        <v>224</v>
      </c>
      <c r="DS2492" s="1" t="s">
        <v>230</v>
      </c>
      <c r="DW2492" s="1" t="s">
        <v>230</v>
      </c>
      <c r="EA2492" s="1" t="s">
        <v>230</v>
      </c>
      <c r="EE2492" s="1" t="s">
        <v>230</v>
      </c>
      <c r="EI2492" s="1" t="s">
        <v>230</v>
      </c>
      <c r="EL2492" s="1" t="s">
        <v>491</v>
      </c>
      <c r="EM2492" s="1" t="s">
        <v>319</v>
      </c>
      <c r="EN2492" s="1" t="s">
        <v>282</v>
      </c>
      <c r="EO2492" s="1" t="s">
        <v>234</v>
      </c>
      <c r="ER2492" s="1" t="s">
        <v>210</v>
      </c>
      <c r="EV2492" s="1" t="s">
        <v>240</v>
      </c>
      <c r="EW2492" s="1" t="s">
        <v>494</v>
      </c>
      <c r="EZ2492" s="1" t="s">
        <v>287</v>
      </c>
      <c r="FD2492" s="1" t="s">
        <v>246</v>
      </c>
      <c r="FE2492" s="1" t="s">
        <v>247</v>
      </c>
      <c r="FF2492" s="1" t="s">
        <v>248</v>
      </c>
      <c r="FH2492" s="1" t="s">
        <v>249</v>
      </c>
      <c r="FI2492" s="1" t="s">
        <v>5459</v>
      </c>
      <c r="FL2492" s="1" t="s">
        <v>414</v>
      </c>
      <c r="FM2492" s="1" t="s">
        <v>252</v>
      </c>
      <c r="FN2492" s="1" t="s">
        <v>213</v>
      </c>
      <c r="FO2492" s="1" t="s">
        <v>213</v>
      </c>
      <c r="FQ2492" s="1" t="s">
        <v>913</v>
      </c>
      <c r="FR2492" s="1" t="s">
        <v>210</v>
      </c>
      <c r="FS2492" s="1" t="s">
        <v>21487</v>
      </c>
      <c r="FT2492" s="1" t="s">
        <v>362</v>
      </c>
      <c r="FU2492" s="1" t="s">
        <v>213</v>
      </c>
      <c r="FW2492" s="1" t="s">
        <v>21488</v>
      </c>
      <c r="FX2492" s="1">
        <v>8056</v>
      </c>
      <c r="FY2492" s="1" t="s">
        <v>21489</v>
      </c>
      <c r="FZ2492" s="1" t="s">
        <v>21490</v>
      </c>
      <c r="GA2492" s="1">
        <v>86178</v>
      </c>
      <c r="GB2492" s="1" t="s">
        <v>21491</v>
      </c>
      <c r="GE2492" s="1" t="s">
        <v>1333</v>
      </c>
      <c r="GH2492" s="1" t="s">
        <v>800</v>
      </c>
      <c r="GI2492" s="1" t="s">
        <v>213</v>
      </c>
      <c r="GJ2492" s="1" t="s">
        <v>260</v>
      </c>
      <c r="GK2492" s="1" t="s">
        <v>210</v>
      </c>
      <c r="GL2492" s="2">
        <v>42130</v>
      </c>
    </row>
    <row r="2493" spans="1:195">
      <c r="A2493" s="1">
        <v>145000</v>
      </c>
      <c r="B2493" s="1" t="s">
        <v>195</v>
      </c>
      <c r="C2493" s="1" t="str">
        <f>"08833628"</f>
        <v>08833628</v>
      </c>
      <c r="D2493" s="1" t="s">
        <v>196</v>
      </c>
      <c r="F2493" s="1" t="str">
        <f>"542"</f>
        <v>542</v>
      </c>
      <c r="G2493" s="2">
        <v>42042</v>
      </c>
      <c r="H2493" s="1">
        <v>150000</v>
      </c>
      <c r="I2493" s="1">
        <v>150000</v>
      </c>
      <c r="J2493" s="1">
        <v>145000</v>
      </c>
      <c r="K2493" s="2">
        <v>42042</v>
      </c>
      <c r="L2493" s="1">
        <v>70</v>
      </c>
      <c r="M2493" s="2">
        <v>42111</v>
      </c>
      <c r="N2493" s="1">
        <v>70</v>
      </c>
      <c r="O2493" s="2">
        <v>42111</v>
      </c>
      <c r="P2493" s="1">
        <v>31580</v>
      </c>
      <c r="Q2493" s="1" t="s">
        <v>302</v>
      </c>
      <c r="R2493" s="2">
        <v>42124</v>
      </c>
      <c r="S2493" s="1">
        <v>310813</v>
      </c>
      <c r="T2493" s="1">
        <v>750</v>
      </c>
      <c r="U2493" s="1">
        <v>57</v>
      </c>
      <c r="V2493" s="1" t="s">
        <v>21492</v>
      </c>
      <c r="W2493" s="1" t="s">
        <v>264</v>
      </c>
      <c r="Y2493" s="1">
        <v>2</v>
      </c>
      <c r="Z2493" s="1" t="s">
        <v>200</v>
      </c>
      <c r="AA2493" s="1" t="s">
        <v>6071</v>
      </c>
      <c r="AB2493" s="1">
        <v>60542</v>
      </c>
      <c r="AD2493" s="1" t="s">
        <v>11117</v>
      </c>
      <c r="AE2493" s="1" t="s">
        <v>21493</v>
      </c>
      <c r="AF2493" s="1">
        <v>1999</v>
      </c>
      <c r="AG2493" s="1" t="s">
        <v>204</v>
      </c>
      <c r="AH2493" s="1" t="s">
        <v>6074</v>
      </c>
      <c r="AI2493" s="1" t="s">
        <v>665</v>
      </c>
      <c r="AJ2493" s="1" t="s">
        <v>1126</v>
      </c>
      <c r="AL2493" s="1">
        <v>5</v>
      </c>
      <c r="AM2493" s="1">
        <v>2</v>
      </c>
      <c r="AN2493" s="1">
        <v>2</v>
      </c>
      <c r="AO2493" s="1">
        <v>0</v>
      </c>
      <c r="AP2493" s="1" t="s">
        <v>209</v>
      </c>
      <c r="AR2493" s="1" t="s">
        <v>209</v>
      </c>
      <c r="AS2493" s="1" t="s">
        <v>204</v>
      </c>
      <c r="AT2493" s="1" t="s">
        <v>211</v>
      </c>
      <c r="AU2493" s="1">
        <v>2</v>
      </c>
      <c r="AW2493" s="1" t="s">
        <v>204</v>
      </c>
      <c r="AX2493" s="1" t="s">
        <v>21494</v>
      </c>
      <c r="AZ2493" s="1">
        <v>3440</v>
      </c>
      <c r="BA2493" s="1">
        <v>2013</v>
      </c>
      <c r="BB2493" s="1" t="s">
        <v>599</v>
      </c>
      <c r="BE2493" s="1">
        <v>1095</v>
      </c>
      <c r="BF2493" s="1">
        <v>1</v>
      </c>
      <c r="BG2493" s="1">
        <v>0</v>
      </c>
      <c r="BL2493" s="1">
        <v>65</v>
      </c>
      <c r="BM2493" s="1" t="s">
        <v>204</v>
      </c>
      <c r="BN2493" s="1" t="s">
        <v>213</v>
      </c>
      <c r="BO2493" s="1">
        <v>999</v>
      </c>
      <c r="BP2493" s="1" t="s">
        <v>204</v>
      </c>
      <c r="BR2493" s="1" t="str">
        <f>"1505283073"</f>
        <v>1505283073</v>
      </c>
      <c r="BT2493" s="1" t="s">
        <v>21495</v>
      </c>
      <c r="BX2493" s="1">
        <v>129</v>
      </c>
      <c r="BY2493" s="1">
        <v>129</v>
      </c>
      <c r="BZ2493" s="1">
        <v>129</v>
      </c>
      <c r="CB2493" s="1" t="str">
        <f t="shared" ref="CB2493:CC2493" si="1911">""</f>
        <v/>
      </c>
      <c r="CC2493" s="1" t="str">
        <f t="shared" si="1911"/>
        <v/>
      </c>
      <c r="CG2493" s="1" t="s">
        <v>3913</v>
      </c>
      <c r="CH2493" s="1" t="s">
        <v>219</v>
      </c>
      <c r="CI2493" s="1" t="s">
        <v>220</v>
      </c>
      <c r="CJ2493" s="1" t="s">
        <v>343</v>
      </c>
      <c r="CK2493" s="1" t="s">
        <v>539</v>
      </c>
      <c r="CL2493" s="1" t="s">
        <v>219</v>
      </c>
      <c r="CM2493" s="1" t="s">
        <v>220</v>
      </c>
      <c r="CN2493" s="1" t="s">
        <v>343</v>
      </c>
      <c r="CO2493" s="1" t="s">
        <v>8146</v>
      </c>
      <c r="CP2493" s="1" t="s">
        <v>219</v>
      </c>
      <c r="CQ2493" s="1" t="s">
        <v>220</v>
      </c>
      <c r="CS2493" s="1" t="s">
        <v>379</v>
      </c>
      <c r="CT2493" s="1" t="s">
        <v>219</v>
      </c>
      <c r="CU2493" s="1" t="s">
        <v>220</v>
      </c>
      <c r="CV2493" s="1" t="s">
        <v>343</v>
      </c>
      <c r="CX2493" s="1" t="s">
        <v>224</v>
      </c>
      <c r="DB2493" s="1" t="s">
        <v>224</v>
      </c>
      <c r="DE2493" s="1" t="s">
        <v>837</v>
      </c>
      <c r="DF2493" s="1" t="s">
        <v>219</v>
      </c>
      <c r="DG2493" s="1" t="s">
        <v>342</v>
      </c>
      <c r="DJ2493" s="1" t="s">
        <v>224</v>
      </c>
      <c r="DS2493" s="1" t="s">
        <v>230</v>
      </c>
      <c r="DW2493" s="1" t="s">
        <v>230</v>
      </c>
      <c r="EA2493" s="1" t="s">
        <v>230</v>
      </c>
      <c r="EE2493" s="1" t="s">
        <v>230</v>
      </c>
      <c r="EI2493" s="1" t="s">
        <v>230</v>
      </c>
      <c r="EL2493" s="1" t="s">
        <v>670</v>
      </c>
      <c r="EM2493" s="1" t="s">
        <v>319</v>
      </c>
      <c r="EN2493" s="1" t="s">
        <v>282</v>
      </c>
      <c r="EO2493" s="1" t="s">
        <v>234</v>
      </c>
      <c r="EQ2493" s="1" t="s">
        <v>1439</v>
      </c>
      <c r="ER2493" s="1" t="s">
        <v>1249</v>
      </c>
      <c r="EU2493" s="1" t="s">
        <v>21496</v>
      </c>
      <c r="EV2493" s="1" t="s">
        <v>240</v>
      </c>
      <c r="EW2493" s="1" t="s">
        <v>210</v>
      </c>
      <c r="EZ2493" s="1" t="s">
        <v>287</v>
      </c>
      <c r="FD2493" s="1" t="s">
        <v>246</v>
      </c>
      <c r="FE2493" s="1" t="s">
        <v>472</v>
      </c>
      <c r="FF2493" s="1" t="s">
        <v>248</v>
      </c>
      <c r="FH2493" s="1" t="s">
        <v>442</v>
      </c>
      <c r="FI2493" s="1" t="s">
        <v>473</v>
      </c>
      <c r="FL2493" s="1" t="s">
        <v>358</v>
      </c>
      <c r="FM2493" s="1" t="s">
        <v>252</v>
      </c>
      <c r="FN2493" s="1" t="s">
        <v>213</v>
      </c>
      <c r="FO2493" s="1" t="s">
        <v>213</v>
      </c>
      <c r="FQ2493" s="1" t="s">
        <v>673</v>
      </c>
      <c r="FR2493" s="1" t="s">
        <v>210</v>
      </c>
      <c r="FS2493" s="1" t="s">
        <v>21497</v>
      </c>
      <c r="FT2493" s="1" t="s">
        <v>295</v>
      </c>
      <c r="FU2493" s="1" t="s">
        <v>204</v>
      </c>
      <c r="FW2493" s="1" t="s">
        <v>676</v>
      </c>
      <c r="FX2493" s="1">
        <v>30</v>
      </c>
      <c r="FY2493" s="1" t="s">
        <v>677</v>
      </c>
      <c r="FZ2493" s="1" t="s">
        <v>21498</v>
      </c>
      <c r="GA2493" s="1">
        <v>783</v>
      </c>
      <c r="GB2493" s="1" t="s">
        <v>21499</v>
      </c>
      <c r="GE2493" s="1" t="s">
        <v>210</v>
      </c>
      <c r="GH2493" s="1" t="s">
        <v>421</v>
      </c>
      <c r="GI2493" s="1" t="s">
        <v>213</v>
      </c>
      <c r="GJ2493" s="1" t="s">
        <v>260</v>
      </c>
      <c r="GK2493" s="1" t="s">
        <v>210</v>
      </c>
      <c r="GL2493" s="2">
        <v>42125</v>
      </c>
      <c r="GM2493" s="1" t="s">
        <v>21500</v>
      </c>
    </row>
    <row r="2494" spans="1:195">
      <c r="A2494" s="1">
        <v>161500</v>
      </c>
      <c r="B2494" s="1" t="s">
        <v>195</v>
      </c>
      <c r="C2494" s="1" t="str">
        <f>"08835909"</f>
        <v>08835909</v>
      </c>
      <c r="D2494" s="1" t="s">
        <v>196</v>
      </c>
      <c r="F2494" s="1" t="str">
        <f>"507"</f>
        <v>507</v>
      </c>
      <c r="G2494" s="2">
        <v>42045</v>
      </c>
      <c r="H2494" s="1">
        <v>165000</v>
      </c>
      <c r="I2494" s="1">
        <v>159900</v>
      </c>
      <c r="J2494" s="1">
        <v>161500</v>
      </c>
      <c r="K2494" s="2">
        <v>42045</v>
      </c>
      <c r="L2494" s="1">
        <v>41</v>
      </c>
      <c r="M2494" s="2">
        <v>42085</v>
      </c>
      <c r="N2494" s="1">
        <v>41</v>
      </c>
      <c r="O2494" s="2">
        <v>42085</v>
      </c>
      <c r="P2494" s="1">
        <v>25088</v>
      </c>
      <c r="Q2494" s="1" t="s">
        <v>197</v>
      </c>
      <c r="R2494" s="2">
        <v>42115</v>
      </c>
      <c r="S2494" s="1">
        <v>219533</v>
      </c>
      <c r="U2494" s="1">
        <v>820</v>
      </c>
      <c r="V2494" s="1" t="s">
        <v>21501</v>
      </c>
      <c r="W2494" s="1" t="s">
        <v>1056</v>
      </c>
      <c r="Y2494" s="1">
        <v>6</v>
      </c>
      <c r="Z2494" s="1" t="s">
        <v>249</v>
      </c>
      <c r="AA2494" s="1" t="s">
        <v>1123</v>
      </c>
      <c r="AB2494" s="1">
        <v>60502</v>
      </c>
      <c r="AD2494" s="1" t="s">
        <v>1122</v>
      </c>
      <c r="AE2494" s="1" t="s">
        <v>21502</v>
      </c>
      <c r="AF2494" s="1">
        <v>2001</v>
      </c>
      <c r="AG2494" s="1" t="s">
        <v>204</v>
      </c>
      <c r="AH2494" s="1" t="s">
        <v>1126</v>
      </c>
      <c r="AI2494" s="1" t="s">
        <v>206</v>
      </c>
      <c r="AJ2494" s="1" t="s">
        <v>924</v>
      </c>
      <c r="AL2494" s="1">
        <v>5</v>
      </c>
      <c r="AM2494" s="1">
        <v>2</v>
      </c>
      <c r="AN2494" s="1">
        <v>2</v>
      </c>
      <c r="AO2494" s="1">
        <v>1</v>
      </c>
      <c r="AP2494" s="1" t="s">
        <v>209</v>
      </c>
      <c r="AQ2494" s="1">
        <v>1</v>
      </c>
      <c r="AR2494" s="1" t="s">
        <v>210</v>
      </c>
      <c r="AS2494" s="1" t="s">
        <v>204</v>
      </c>
      <c r="AT2494" s="1" t="s">
        <v>211</v>
      </c>
      <c r="AU2494" s="1">
        <v>2</v>
      </c>
      <c r="AW2494" s="1" t="s">
        <v>204</v>
      </c>
      <c r="AX2494" s="1" t="s">
        <v>212</v>
      </c>
      <c r="AZ2494" s="1">
        <v>3413</v>
      </c>
      <c r="BA2494" s="1">
        <v>2013</v>
      </c>
      <c r="BB2494" s="1" t="s">
        <v>405</v>
      </c>
      <c r="BE2494" s="1">
        <v>1404</v>
      </c>
      <c r="BF2494" s="1">
        <v>1</v>
      </c>
      <c r="BG2494" s="1">
        <v>30</v>
      </c>
      <c r="BL2494" s="1">
        <v>185</v>
      </c>
      <c r="BM2494" s="1" t="s">
        <v>204</v>
      </c>
      <c r="BN2494" s="1" t="s">
        <v>213</v>
      </c>
      <c r="BO2494" s="1">
        <v>999</v>
      </c>
      <c r="BP2494" s="1" t="s">
        <v>204</v>
      </c>
      <c r="BR2494" s="1" t="str">
        <f>"0719104272"</f>
        <v>0719104272</v>
      </c>
      <c r="BT2494" s="1" t="s">
        <v>21503</v>
      </c>
      <c r="BU2494" s="1" t="s">
        <v>1129</v>
      </c>
      <c r="BV2494" s="1" t="s">
        <v>1130</v>
      </c>
      <c r="BW2494" s="1" t="s">
        <v>1131</v>
      </c>
      <c r="BX2494" s="1">
        <v>204</v>
      </c>
      <c r="BY2494" s="1">
        <v>204</v>
      </c>
      <c r="BZ2494" s="1">
        <v>204</v>
      </c>
      <c r="CB2494" s="1" t="str">
        <f t="shared" ref="CB2494:CC2494" si="1912">""</f>
        <v/>
      </c>
      <c r="CC2494" s="1" t="str">
        <f t="shared" si="1912"/>
        <v/>
      </c>
      <c r="CG2494" s="1" t="s">
        <v>1533</v>
      </c>
      <c r="CH2494" s="1" t="s">
        <v>219</v>
      </c>
      <c r="CI2494" s="1" t="s">
        <v>220</v>
      </c>
      <c r="CK2494" s="1" t="s">
        <v>276</v>
      </c>
      <c r="CL2494" s="1" t="s">
        <v>277</v>
      </c>
      <c r="CM2494" s="1" t="s">
        <v>220</v>
      </c>
      <c r="CO2494" s="1" t="s">
        <v>951</v>
      </c>
      <c r="CP2494" s="1" t="s">
        <v>219</v>
      </c>
      <c r="CQ2494" s="1" t="s">
        <v>220</v>
      </c>
      <c r="CS2494" s="1" t="s">
        <v>465</v>
      </c>
      <c r="CT2494" s="1" t="s">
        <v>277</v>
      </c>
      <c r="CU2494" s="1" t="s">
        <v>220</v>
      </c>
      <c r="CX2494" s="1" t="s">
        <v>224</v>
      </c>
      <c r="DB2494" s="1" t="s">
        <v>224</v>
      </c>
      <c r="DE2494" s="1" t="s">
        <v>6941</v>
      </c>
      <c r="DF2494" s="1" t="s">
        <v>219</v>
      </c>
      <c r="DG2494" s="1" t="s">
        <v>438</v>
      </c>
      <c r="DJ2494" s="1" t="s">
        <v>224</v>
      </c>
      <c r="DS2494" s="1" t="s">
        <v>230</v>
      </c>
      <c r="DW2494" s="1" t="s">
        <v>230</v>
      </c>
      <c r="EA2494" s="1" t="s">
        <v>230</v>
      </c>
      <c r="EE2494" s="1" t="s">
        <v>230</v>
      </c>
      <c r="EI2494" s="1" t="s">
        <v>230</v>
      </c>
      <c r="EL2494" s="1" t="s">
        <v>466</v>
      </c>
      <c r="EM2494" s="1" t="s">
        <v>730</v>
      </c>
      <c r="EN2494" s="1" t="s">
        <v>282</v>
      </c>
      <c r="EO2494" s="1" t="s">
        <v>234</v>
      </c>
      <c r="EP2494" s="1" t="s">
        <v>650</v>
      </c>
      <c r="EQ2494" s="1" t="s">
        <v>492</v>
      </c>
      <c r="ER2494" s="1" t="s">
        <v>1069</v>
      </c>
      <c r="ES2494" s="1" t="s">
        <v>4437</v>
      </c>
      <c r="ET2494" s="1" t="s">
        <v>842</v>
      </c>
      <c r="EU2494" s="1" t="s">
        <v>712</v>
      </c>
      <c r="EV2494" s="1" t="s">
        <v>240</v>
      </c>
      <c r="EW2494" s="1" t="s">
        <v>1804</v>
      </c>
      <c r="EY2494" s="1" t="s">
        <v>242</v>
      </c>
      <c r="EZ2494" s="1" t="s">
        <v>287</v>
      </c>
      <c r="FB2494" s="1" t="s">
        <v>289</v>
      </c>
      <c r="FC2494" s="1" t="s">
        <v>326</v>
      </c>
      <c r="FD2494" s="1" t="s">
        <v>246</v>
      </c>
      <c r="FE2494" s="1" t="s">
        <v>472</v>
      </c>
      <c r="FF2494" s="1" t="s">
        <v>248</v>
      </c>
      <c r="FG2494" s="1" t="s">
        <v>1271</v>
      </c>
      <c r="FH2494" s="1" t="s">
        <v>550</v>
      </c>
      <c r="FI2494" s="1" t="s">
        <v>473</v>
      </c>
      <c r="FJ2494" s="1" t="s">
        <v>1251</v>
      </c>
      <c r="FL2494" s="1" t="s">
        <v>358</v>
      </c>
      <c r="FM2494" s="1" t="s">
        <v>252</v>
      </c>
      <c r="FN2494" s="1" t="s">
        <v>213</v>
      </c>
      <c r="FO2494" s="1" t="s">
        <v>213</v>
      </c>
      <c r="FQ2494" s="1" t="s">
        <v>21504</v>
      </c>
      <c r="FR2494" s="1" t="s">
        <v>210</v>
      </c>
      <c r="FS2494" s="1" t="s">
        <v>1709</v>
      </c>
      <c r="FT2494" s="1" t="s">
        <v>21505</v>
      </c>
      <c r="FU2494" s="1" t="s">
        <v>204</v>
      </c>
      <c r="FV2494" s="1" t="s">
        <v>21506</v>
      </c>
      <c r="FW2494" s="1" t="s">
        <v>943</v>
      </c>
      <c r="FX2494" s="1">
        <v>23120</v>
      </c>
      <c r="FY2494" s="1" t="s">
        <v>944</v>
      </c>
      <c r="FZ2494" s="1" t="s">
        <v>4539</v>
      </c>
      <c r="GA2494" s="1">
        <v>221674</v>
      </c>
      <c r="GB2494" s="1" t="s">
        <v>4540</v>
      </c>
      <c r="GC2494" s="1">
        <v>240373</v>
      </c>
      <c r="GE2494" s="1" t="s">
        <v>1120</v>
      </c>
      <c r="GI2494" s="1" t="s">
        <v>213</v>
      </c>
      <c r="GJ2494" s="1" t="s">
        <v>260</v>
      </c>
      <c r="GK2494" s="1" t="s">
        <v>210</v>
      </c>
      <c r="GL2494" s="2">
        <v>42115</v>
      </c>
      <c r="GM2494" s="1" t="s">
        <v>21507</v>
      </c>
    </row>
    <row r="2495" spans="1:195">
      <c r="A2495" s="1">
        <v>65000</v>
      </c>
      <c r="B2495" s="1" t="s">
        <v>195</v>
      </c>
      <c r="C2495" s="1" t="str">
        <f>"08833487"</f>
        <v>08833487</v>
      </c>
      <c r="D2495" s="1" t="s">
        <v>196</v>
      </c>
      <c r="F2495" s="1" t="str">
        <f>"101"</f>
        <v>101</v>
      </c>
      <c r="G2495" s="2">
        <v>42042</v>
      </c>
      <c r="H2495" s="1">
        <v>69900</v>
      </c>
      <c r="I2495" s="1">
        <v>64900</v>
      </c>
      <c r="J2495" s="1">
        <v>65000</v>
      </c>
      <c r="K2495" s="2">
        <v>42042</v>
      </c>
      <c r="L2495" s="1">
        <v>48</v>
      </c>
      <c r="M2495" s="2">
        <v>42089</v>
      </c>
      <c r="N2495" s="1">
        <v>48</v>
      </c>
      <c r="O2495" s="2">
        <v>42089</v>
      </c>
      <c r="P2495" s="1">
        <v>1109</v>
      </c>
      <c r="Q2495" s="1" t="s">
        <v>197</v>
      </c>
      <c r="R2495" s="2">
        <v>42132</v>
      </c>
      <c r="S2495" s="1">
        <v>243396</v>
      </c>
      <c r="U2495" s="1">
        <v>215</v>
      </c>
      <c r="V2495" s="1" t="s">
        <v>21508</v>
      </c>
      <c r="W2495" s="1" t="s">
        <v>725</v>
      </c>
      <c r="X2495" s="1" t="s">
        <v>3964</v>
      </c>
      <c r="Y2495" s="1">
        <v>34</v>
      </c>
      <c r="Z2495" s="1" t="s">
        <v>249</v>
      </c>
      <c r="AA2495" s="1" t="s">
        <v>2631</v>
      </c>
      <c r="AB2495" s="1">
        <v>60101</v>
      </c>
      <c r="AE2495" s="1" t="s">
        <v>21509</v>
      </c>
      <c r="AF2495" s="1">
        <v>1978</v>
      </c>
      <c r="AG2495" s="1" t="s">
        <v>204</v>
      </c>
      <c r="AH2495" s="1" t="s">
        <v>1233</v>
      </c>
      <c r="AI2495" s="1" t="s">
        <v>206</v>
      </c>
      <c r="AJ2495" s="1" t="s">
        <v>1233</v>
      </c>
      <c r="AL2495" s="1">
        <v>5</v>
      </c>
      <c r="AM2495" s="1">
        <v>2</v>
      </c>
      <c r="AN2495" s="1">
        <v>1</v>
      </c>
      <c r="AO2495" s="1">
        <v>0</v>
      </c>
      <c r="AP2495" s="1" t="s">
        <v>210</v>
      </c>
      <c r="AR2495" s="1" t="s">
        <v>210</v>
      </c>
      <c r="AS2495" s="1" t="s">
        <v>204</v>
      </c>
      <c r="AT2495" s="1" t="s">
        <v>271</v>
      </c>
      <c r="AV2495" s="1">
        <v>1</v>
      </c>
      <c r="AW2495" s="1" t="s">
        <v>204</v>
      </c>
      <c r="AX2495" s="1" t="s">
        <v>212</v>
      </c>
      <c r="AZ2495" s="1">
        <v>1880</v>
      </c>
      <c r="BA2495" s="1">
        <v>2013</v>
      </c>
      <c r="BE2495" s="1">
        <v>864</v>
      </c>
      <c r="BF2495" s="1">
        <v>3</v>
      </c>
      <c r="BG2495" s="1">
        <v>30</v>
      </c>
      <c r="BJ2495" s="1">
        <v>55</v>
      </c>
      <c r="BL2495" s="1">
        <v>235</v>
      </c>
      <c r="BM2495" s="1" t="s">
        <v>204</v>
      </c>
      <c r="BN2495" s="1" t="s">
        <v>204</v>
      </c>
      <c r="BP2495" s="1" t="s">
        <v>204</v>
      </c>
      <c r="BR2495" s="1" t="str">
        <f>"0328317036"</f>
        <v>0328317036</v>
      </c>
      <c r="BT2495" s="1" t="s">
        <v>21510</v>
      </c>
      <c r="BX2495" s="1">
        <v>4</v>
      </c>
      <c r="BY2495" s="1">
        <v>4</v>
      </c>
      <c r="BZ2495" s="1">
        <v>88</v>
      </c>
      <c r="CB2495" s="1" t="str">
        <f t="shared" ref="CB2495:CC2495" si="1913">""</f>
        <v/>
      </c>
      <c r="CC2495" s="1" t="str">
        <f t="shared" si="1913"/>
        <v/>
      </c>
      <c r="CG2495" s="1" t="s">
        <v>1267</v>
      </c>
      <c r="CH2495" s="1" t="s">
        <v>219</v>
      </c>
      <c r="CK2495" s="1" t="s">
        <v>490</v>
      </c>
      <c r="CL2495" s="1" t="s">
        <v>219</v>
      </c>
      <c r="CO2495" s="1" t="s">
        <v>380</v>
      </c>
      <c r="CP2495" s="1" t="s">
        <v>219</v>
      </c>
      <c r="CS2495" s="1" t="s">
        <v>1107</v>
      </c>
      <c r="CT2495" s="1" t="s">
        <v>219</v>
      </c>
      <c r="CX2495" s="1" t="s">
        <v>224</v>
      </c>
      <c r="DB2495" s="1" t="s">
        <v>224</v>
      </c>
      <c r="DE2495" s="1" t="s">
        <v>222</v>
      </c>
      <c r="DF2495" s="1" t="s">
        <v>219</v>
      </c>
      <c r="DJ2495" s="1" t="s">
        <v>224</v>
      </c>
      <c r="DS2495" s="1" t="s">
        <v>230</v>
      </c>
      <c r="DW2495" s="1" t="s">
        <v>230</v>
      </c>
      <c r="EA2495" s="1" t="s">
        <v>230</v>
      </c>
      <c r="EE2495" s="1" t="s">
        <v>230</v>
      </c>
      <c r="EI2495" s="1" t="s">
        <v>230</v>
      </c>
      <c r="EL2495" s="1" t="s">
        <v>231</v>
      </c>
      <c r="EM2495" s="1" t="s">
        <v>319</v>
      </c>
      <c r="EN2495" s="1" t="s">
        <v>731</v>
      </c>
      <c r="EO2495" s="1" t="s">
        <v>234</v>
      </c>
      <c r="ER2495" s="1" t="s">
        <v>210</v>
      </c>
      <c r="EW2495" s="1" t="s">
        <v>13901</v>
      </c>
      <c r="EZ2495" s="1" t="s">
        <v>287</v>
      </c>
      <c r="FD2495" s="1" t="s">
        <v>1112</v>
      </c>
      <c r="FE2495" s="1" t="s">
        <v>247</v>
      </c>
      <c r="FF2495" s="1" t="s">
        <v>248</v>
      </c>
      <c r="FH2495" s="1" t="s">
        <v>249</v>
      </c>
      <c r="FK2495" s="1" t="s">
        <v>291</v>
      </c>
      <c r="FL2495" s="1" t="s">
        <v>1907</v>
      </c>
      <c r="FM2495" s="1" t="s">
        <v>252</v>
      </c>
      <c r="FN2495" s="1" t="s">
        <v>213</v>
      </c>
      <c r="FO2495" s="1" t="s">
        <v>213</v>
      </c>
      <c r="FQ2495" s="1" t="s">
        <v>582</v>
      </c>
      <c r="FR2495" s="1" t="s">
        <v>210</v>
      </c>
      <c r="FS2495" s="1" t="s">
        <v>2984</v>
      </c>
      <c r="FT2495" s="1" t="s">
        <v>584</v>
      </c>
      <c r="FU2495" s="1" t="s">
        <v>204</v>
      </c>
      <c r="FW2495" s="1" t="s">
        <v>2985</v>
      </c>
      <c r="FX2495" s="1">
        <v>23959</v>
      </c>
      <c r="FY2495" s="1" t="s">
        <v>2986</v>
      </c>
      <c r="FZ2495" s="1" t="s">
        <v>6386</v>
      </c>
      <c r="GA2495" s="1">
        <v>238419</v>
      </c>
      <c r="GC2495" s="1">
        <v>220868</v>
      </c>
      <c r="GE2495" s="1" t="s">
        <v>210</v>
      </c>
      <c r="GI2495" s="1" t="s">
        <v>213</v>
      </c>
      <c r="GJ2495" s="1" t="s">
        <v>260</v>
      </c>
      <c r="GK2495" s="1" t="s">
        <v>210</v>
      </c>
      <c r="GL2495" s="2">
        <v>42132</v>
      </c>
      <c r="GM2495" s="1" t="s">
        <v>21511</v>
      </c>
    </row>
    <row r="2496" spans="1:195">
      <c r="A2496" s="1">
        <v>75000</v>
      </c>
      <c r="B2496" s="1" t="s">
        <v>195</v>
      </c>
      <c r="C2496" s="1" t="str">
        <f>"08835159"</f>
        <v>08835159</v>
      </c>
      <c r="D2496" s="1" t="s">
        <v>196</v>
      </c>
      <c r="F2496" s="1" t="str">
        <f>"118"</f>
        <v>118</v>
      </c>
      <c r="G2496" s="2">
        <v>42045</v>
      </c>
      <c r="H2496" s="1">
        <v>79500</v>
      </c>
      <c r="I2496" s="1">
        <v>79500</v>
      </c>
      <c r="J2496" s="1">
        <v>75000</v>
      </c>
      <c r="K2496" s="2">
        <v>42045</v>
      </c>
      <c r="L2496" s="1">
        <v>30</v>
      </c>
      <c r="M2496" s="2">
        <v>42074</v>
      </c>
      <c r="N2496" s="1">
        <v>30</v>
      </c>
      <c r="O2496" s="2">
        <v>42074</v>
      </c>
      <c r="P2496" s="1">
        <v>5153</v>
      </c>
      <c r="Q2496" s="1" t="s">
        <v>302</v>
      </c>
      <c r="R2496" s="2">
        <v>42125</v>
      </c>
      <c r="S2496" s="1">
        <v>55327</v>
      </c>
      <c r="U2496" s="1">
        <v>605</v>
      </c>
      <c r="V2496" s="1" t="s">
        <v>6729</v>
      </c>
      <c r="W2496" s="1" t="s">
        <v>425</v>
      </c>
      <c r="X2496" s="1">
        <v>148</v>
      </c>
      <c r="Y2496" s="1">
        <v>90</v>
      </c>
      <c r="Z2496" s="1" t="s">
        <v>249</v>
      </c>
      <c r="AA2496" s="1" t="s">
        <v>4079</v>
      </c>
      <c r="AB2496" s="1">
        <v>60118</v>
      </c>
      <c r="AC2496" s="1">
        <v>1414</v>
      </c>
      <c r="AD2496" s="1" t="s">
        <v>12785</v>
      </c>
      <c r="AE2496" s="1" t="s">
        <v>19736</v>
      </c>
      <c r="AF2496" s="1">
        <v>2000</v>
      </c>
      <c r="AG2496" s="1" t="s">
        <v>204</v>
      </c>
      <c r="AH2496" s="1" t="s">
        <v>7861</v>
      </c>
      <c r="AI2496" s="1" t="s">
        <v>665</v>
      </c>
      <c r="AJ2496" s="1" t="s">
        <v>805</v>
      </c>
      <c r="AL2496" s="1">
        <v>4</v>
      </c>
      <c r="AM2496" s="1">
        <v>2</v>
      </c>
      <c r="AN2496" s="1">
        <v>2</v>
      </c>
      <c r="AO2496" s="1">
        <v>0</v>
      </c>
      <c r="AP2496" s="1" t="s">
        <v>209</v>
      </c>
      <c r="AQ2496" s="1">
        <v>0</v>
      </c>
      <c r="AR2496" s="1" t="s">
        <v>209</v>
      </c>
      <c r="AS2496" s="1" t="s">
        <v>204</v>
      </c>
      <c r="AT2496" s="1" t="s">
        <v>210</v>
      </c>
      <c r="AW2496" s="1" t="s">
        <v>204</v>
      </c>
      <c r="AX2496" s="1" t="s">
        <v>212</v>
      </c>
      <c r="AZ2496" s="1">
        <v>1556</v>
      </c>
      <c r="BA2496" s="1">
        <v>2013</v>
      </c>
      <c r="BB2496" s="1" t="s">
        <v>599</v>
      </c>
      <c r="BC2496" s="1">
        <v>0</v>
      </c>
      <c r="BE2496" s="1">
        <v>975</v>
      </c>
      <c r="BF2496" s="1">
        <v>1</v>
      </c>
      <c r="BG2496" s="1">
        <v>0</v>
      </c>
      <c r="BL2496" s="1">
        <v>1094</v>
      </c>
      <c r="BM2496" s="1" t="s">
        <v>204</v>
      </c>
      <c r="BN2496" s="1" t="s">
        <v>213</v>
      </c>
      <c r="BO2496" s="1">
        <v>20</v>
      </c>
      <c r="BP2496" s="1" t="s">
        <v>204</v>
      </c>
      <c r="BR2496" s="1" t="str">
        <f>"0323251022"</f>
        <v>0323251022</v>
      </c>
      <c r="BT2496" s="1" t="s">
        <v>21512</v>
      </c>
      <c r="BU2496" s="1" t="s">
        <v>12716</v>
      </c>
      <c r="BV2496" s="1" t="s">
        <v>8986</v>
      </c>
      <c r="BW2496" s="1" t="s">
        <v>809</v>
      </c>
      <c r="BX2496" s="1">
        <v>300</v>
      </c>
      <c r="BY2496" s="1">
        <v>300</v>
      </c>
      <c r="BZ2496" s="1">
        <v>300</v>
      </c>
      <c r="CB2496" s="1" t="str">
        <f>"16"</f>
        <v>16</v>
      </c>
      <c r="CC2496" s="1" t="str">
        <f>"0"</f>
        <v>0</v>
      </c>
      <c r="CD2496" s="1">
        <v>33</v>
      </c>
      <c r="CE2496" s="1">
        <v>0</v>
      </c>
      <c r="CG2496" s="1" t="s">
        <v>1402</v>
      </c>
      <c r="CH2496" s="1" t="s">
        <v>219</v>
      </c>
      <c r="CI2496" s="1" t="s">
        <v>220</v>
      </c>
      <c r="CJ2496" s="1" t="s">
        <v>252</v>
      </c>
      <c r="CK2496" s="1" t="s">
        <v>344</v>
      </c>
      <c r="CL2496" s="1" t="s">
        <v>219</v>
      </c>
      <c r="CM2496" s="1" t="s">
        <v>220</v>
      </c>
      <c r="CP2496" s="1" t="s">
        <v>224</v>
      </c>
      <c r="CS2496" s="1" t="s">
        <v>317</v>
      </c>
      <c r="CT2496" s="1" t="s">
        <v>219</v>
      </c>
      <c r="CU2496" s="1" t="s">
        <v>220</v>
      </c>
      <c r="CV2496" s="1" t="s">
        <v>252</v>
      </c>
      <c r="CX2496" s="1" t="s">
        <v>224</v>
      </c>
      <c r="DB2496" s="1" t="s">
        <v>224</v>
      </c>
      <c r="DE2496" s="1" t="s">
        <v>346</v>
      </c>
      <c r="DF2496" s="1" t="s">
        <v>219</v>
      </c>
      <c r="DG2496" s="1" t="s">
        <v>342</v>
      </c>
      <c r="DJ2496" s="1" t="s">
        <v>224</v>
      </c>
      <c r="DS2496" s="1" t="s">
        <v>230</v>
      </c>
      <c r="DW2496" s="1" t="s">
        <v>230</v>
      </c>
      <c r="EA2496" s="1" t="s">
        <v>230</v>
      </c>
      <c r="EE2496" s="1" t="s">
        <v>230</v>
      </c>
      <c r="EI2496" s="1" t="s">
        <v>230</v>
      </c>
      <c r="EL2496" s="1" t="s">
        <v>466</v>
      </c>
      <c r="EM2496" s="1" t="s">
        <v>319</v>
      </c>
      <c r="EN2496" s="1" t="s">
        <v>282</v>
      </c>
      <c r="EO2496" s="1" t="s">
        <v>234</v>
      </c>
      <c r="EP2496" s="1" t="s">
        <v>21513</v>
      </c>
      <c r="EQ2496" s="1" t="s">
        <v>492</v>
      </c>
      <c r="ER2496" s="1" t="s">
        <v>1249</v>
      </c>
      <c r="ES2496" s="1" t="s">
        <v>1552</v>
      </c>
      <c r="ET2496" s="1" t="s">
        <v>1584</v>
      </c>
      <c r="EU2496" s="1" t="s">
        <v>712</v>
      </c>
      <c r="EV2496" s="1" t="s">
        <v>240</v>
      </c>
      <c r="EW2496" s="1" t="s">
        <v>21514</v>
      </c>
      <c r="EY2496" s="1" t="s">
        <v>242</v>
      </c>
      <c r="EZ2496" s="1" t="s">
        <v>287</v>
      </c>
      <c r="FA2496" s="1" t="s">
        <v>1427</v>
      </c>
      <c r="FB2496" s="1" t="s">
        <v>2888</v>
      </c>
      <c r="FC2496" s="1" t="s">
        <v>1386</v>
      </c>
      <c r="FD2496" s="1" t="s">
        <v>290</v>
      </c>
      <c r="FE2496" s="1" t="s">
        <v>247</v>
      </c>
      <c r="FF2496" s="1" t="s">
        <v>248</v>
      </c>
      <c r="FH2496" s="1" t="s">
        <v>249</v>
      </c>
      <c r="FJ2496" s="1" t="s">
        <v>197</v>
      </c>
      <c r="FL2496" s="1" t="s">
        <v>1826</v>
      </c>
      <c r="FM2496" s="1" t="s">
        <v>252</v>
      </c>
      <c r="FN2496" s="1" t="s">
        <v>213</v>
      </c>
      <c r="FO2496" s="1" t="s">
        <v>213</v>
      </c>
      <c r="FQ2496" s="1" t="s">
        <v>913</v>
      </c>
      <c r="FR2496" s="1" t="s">
        <v>210</v>
      </c>
      <c r="FS2496" s="1" t="s">
        <v>4452</v>
      </c>
      <c r="FT2496" s="1" t="s">
        <v>295</v>
      </c>
      <c r="FU2496" s="1" t="s">
        <v>204</v>
      </c>
      <c r="FV2496" s="1" t="s">
        <v>1589</v>
      </c>
      <c r="FW2496" s="1" t="s">
        <v>1097</v>
      </c>
      <c r="FX2496" s="1">
        <v>5153</v>
      </c>
      <c r="FY2496" s="1" t="s">
        <v>1590</v>
      </c>
      <c r="FZ2496" s="1" t="s">
        <v>1591</v>
      </c>
      <c r="GA2496" s="1">
        <v>55327</v>
      </c>
      <c r="GB2496" s="1" t="s">
        <v>1592</v>
      </c>
      <c r="GD2496" s="1" t="s">
        <v>1593</v>
      </c>
      <c r="GE2496" s="1" t="s">
        <v>623</v>
      </c>
      <c r="GI2496" s="1" t="s">
        <v>213</v>
      </c>
      <c r="GJ2496" s="1" t="s">
        <v>260</v>
      </c>
      <c r="GK2496" s="1" t="s">
        <v>210</v>
      </c>
      <c r="GL2496" s="2">
        <v>42126</v>
      </c>
      <c r="GM2496" s="1" t="s">
        <v>21515</v>
      </c>
    </row>
    <row r="2497" spans="1:195">
      <c r="A2497" s="1">
        <v>95000</v>
      </c>
      <c r="B2497" s="1" t="s">
        <v>195</v>
      </c>
      <c r="C2497" s="1" t="str">
        <f>"08836376"</f>
        <v>08836376</v>
      </c>
      <c r="D2497" s="1" t="s">
        <v>196</v>
      </c>
      <c r="F2497" s="1" t="str">
        <f>"531"</f>
        <v>531</v>
      </c>
      <c r="G2497" s="2">
        <v>42046</v>
      </c>
      <c r="H2497" s="1">
        <v>99900</v>
      </c>
      <c r="I2497" s="1">
        <v>99900</v>
      </c>
      <c r="J2497" s="1">
        <v>95000</v>
      </c>
      <c r="K2497" s="2">
        <v>42045</v>
      </c>
      <c r="L2497" s="1">
        <v>8</v>
      </c>
      <c r="M2497" s="2">
        <v>42052</v>
      </c>
      <c r="N2497" s="1">
        <v>8</v>
      </c>
      <c r="O2497" s="2">
        <v>42052</v>
      </c>
      <c r="P2497" s="1">
        <v>2644</v>
      </c>
      <c r="Q2497" s="1" t="s">
        <v>197</v>
      </c>
      <c r="R2497" s="2">
        <v>42123</v>
      </c>
      <c r="S2497" s="1">
        <v>21045</v>
      </c>
      <c r="U2497" s="1">
        <v>7221</v>
      </c>
      <c r="V2497" s="1" t="s">
        <v>5770</v>
      </c>
      <c r="W2497" s="1" t="s">
        <v>1056</v>
      </c>
      <c r="X2497" s="1" t="s">
        <v>21516</v>
      </c>
      <c r="Y2497" s="1">
        <v>48</v>
      </c>
      <c r="Z2497" s="1" t="s">
        <v>249</v>
      </c>
      <c r="AA2497" s="1" t="s">
        <v>2326</v>
      </c>
      <c r="AB2497" s="1">
        <v>60525</v>
      </c>
      <c r="AE2497" s="1" t="s">
        <v>21517</v>
      </c>
      <c r="AF2497" s="1">
        <v>1975</v>
      </c>
      <c r="AG2497" s="1" t="s">
        <v>213</v>
      </c>
      <c r="AH2497" s="1" t="s">
        <v>2329</v>
      </c>
      <c r="AI2497" s="1" t="s">
        <v>310</v>
      </c>
      <c r="AJ2497" s="1" t="s">
        <v>702</v>
      </c>
      <c r="AL2497" s="1">
        <v>5</v>
      </c>
      <c r="AM2497" s="1">
        <v>2</v>
      </c>
      <c r="AN2497" s="1">
        <v>2</v>
      </c>
      <c r="AO2497" s="1">
        <v>0</v>
      </c>
      <c r="AP2497" s="1" t="s">
        <v>209</v>
      </c>
      <c r="AR2497" s="1" t="s">
        <v>210</v>
      </c>
      <c r="AS2497" s="1" t="s">
        <v>204</v>
      </c>
      <c r="AT2497" s="1" t="s">
        <v>271</v>
      </c>
      <c r="AV2497" s="1">
        <v>2</v>
      </c>
      <c r="AW2497" s="1" t="s">
        <v>204</v>
      </c>
      <c r="AX2497" s="1" t="s">
        <v>212</v>
      </c>
      <c r="AZ2497" s="1">
        <v>2114.59</v>
      </c>
      <c r="BA2497" s="1">
        <v>2012</v>
      </c>
      <c r="BE2497" s="1">
        <v>950</v>
      </c>
      <c r="BF2497" s="1">
        <v>4</v>
      </c>
      <c r="BG2497" s="1">
        <v>30</v>
      </c>
      <c r="BL2497" s="1">
        <v>300</v>
      </c>
      <c r="BM2497" s="1" t="s">
        <v>413</v>
      </c>
      <c r="BN2497" s="1" t="s">
        <v>213</v>
      </c>
      <c r="BO2497" s="1">
        <v>20</v>
      </c>
      <c r="BP2497" s="1" t="s">
        <v>204</v>
      </c>
      <c r="BR2497" s="1" t="str">
        <f>"18291010171089"</f>
        <v>18291010171089</v>
      </c>
      <c r="BT2497" s="1" t="s">
        <v>21518</v>
      </c>
      <c r="BX2497" s="1">
        <v>107</v>
      </c>
      <c r="BY2497" s="1">
        <v>107</v>
      </c>
      <c r="BZ2497" s="1">
        <v>204</v>
      </c>
      <c r="CB2497" s="1" t="str">
        <f t="shared" ref="CB2497:CC2497" si="1914">"0"</f>
        <v>0</v>
      </c>
      <c r="CC2497" s="1" t="str">
        <f t="shared" si="1914"/>
        <v>0</v>
      </c>
      <c r="CD2497" s="1">
        <v>13</v>
      </c>
      <c r="CE2497" s="1">
        <v>8</v>
      </c>
      <c r="CG2497" s="1" t="s">
        <v>885</v>
      </c>
      <c r="CH2497" s="1" t="s">
        <v>685</v>
      </c>
      <c r="CK2497" s="1" t="s">
        <v>708</v>
      </c>
      <c r="CL2497" s="1" t="s">
        <v>685</v>
      </c>
      <c r="CO2497" s="1" t="s">
        <v>318</v>
      </c>
      <c r="CP2497" s="1" t="s">
        <v>685</v>
      </c>
      <c r="CS2497" s="1" t="s">
        <v>344</v>
      </c>
      <c r="CT2497" s="1" t="s">
        <v>685</v>
      </c>
      <c r="CX2497" s="1" t="s">
        <v>224</v>
      </c>
      <c r="DB2497" s="1" t="s">
        <v>224</v>
      </c>
      <c r="DE2497" s="1" t="s">
        <v>318</v>
      </c>
      <c r="DF2497" s="1" t="s">
        <v>685</v>
      </c>
      <c r="DJ2497" s="1" t="s">
        <v>224</v>
      </c>
      <c r="DS2497" s="1" t="s">
        <v>230</v>
      </c>
      <c r="DW2497" s="1" t="s">
        <v>230</v>
      </c>
      <c r="EA2497" s="1" t="s">
        <v>230</v>
      </c>
      <c r="EE2497" s="1" t="s">
        <v>230</v>
      </c>
      <c r="EI2497" s="1" t="s">
        <v>230</v>
      </c>
      <c r="EL2497" s="1" t="s">
        <v>231</v>
      </c>
      <c r="EM2497" s="1" t="s">
        <v>232</v>
      </c>
      <c r="EN2497" s="1" t="s">
        <v>1158</v>
      </c>
      <c r="EO2497" s="1" t="s">
        <v>234</v>
      </c>
      <c r="ER2497" s="1" t="s">
        <v>210</v>
      </c>
      <c r="EW2497" s="1" t="s">
        <v>8090</v>
      </c>
      <c r="EZ2497" s="1" t="s">
        <v>287</v>
      </c>
      <c r="FD2497" s="1" t="s">
        <v>290</v>
      </c>
      <c r="FE2497" s="1" t="s">
        <v>247</v>
      </c>
      <c r="FF2497" s="1" t="s">
        <v>248</v>
      </c>
      <c r="FH2497" s="1" t="s">
        <v>249</v>
      </c>
      <c r="FK2497" s="1" t="s">
        <v>17002</v>
      </c>
      <c r="FL2497" s="1" t="s">
        <v>328</v>
      </c>
      <c r="FM2497" s="1" t="s">
        <v>252</v>
      </c>
      <c r="FN2497" s="1" t="s">
        <v>213</v>
      </c>
      <c r="FO2497" s="1" t="s">
        <v>213</v>
      </c>
      <c r="FQ2497" s="1" t="s">
        <v>689</v>
      </c>
      <c r="FR2497" s="1" t="s">
        <v>210</v>
      </c>
      <c r="FS2497" s="1" t="s">
        <v>7299</v>
      </c>
      <c r="FT2497" s="1" t="s">
        <v>584</v>
      </c>
      <c r="FU2497" s="1" t="s">
        <v>204</v>
      </c>
      <c r="FW2497" s="1" t="s">
        <v>7300</v>
      </c>
      <c r="FX2497" s="1">
        <v>16801</v>
      </c>
      <c r="FY2497" s="1" t="s">
        <v>7301</v>
      </c>
      <c r="FZ2497" s="1" t="s">
        <v>7302</v>
      </c>
      <c r="GA2497" s="1">
        <v>184278</v>
      </c>
      <c r="GE2497" s="1" t="s">
        <v>210</v>
      </c>
      <c r="GI2497" s="1" t="s">
        <v>213</v>
      </c>
      <c r="GJ2497" s="1" t="s">
        <v>260</v>
      </c>
      <c r="GK2497" s="1" t="s">
        <v>210</v>
      </c>
      <c r="GL2497" s="2">
        <v>42123</v>
      </c>
      <c r="GM2497" s="1" t="s">
        <v>21519</v>
      </c>
    </row>
    <row r="2498" spans="1:195">
      <c r="A2498" s="1">
        <v>172450</v>
      </c>
      <c r="B2498" s="1" t="s">
        <v>195</v>
      </c>
      <c r="C2498" s="1" t="str">
        <f>"08831713"</f>
        <v>08831713</v>
      </c>
      <c r="D2498" s="1" t="s">
        <v>196</v>
      </c>
      <c r="F2498" s="1" t="str">
        <f>"507"</f>
        <v>507</v>
      </c>
      <c r="G2498" s="2">
        <v>42040</v>
      </c>
      <c r="H2498" s="1">
        <v>174900</v>
      </c>
      <c r="I2498" s="1">
        <v>174900</v>
      </c>
      <c r="J2498" s="1">
        <v>172450</v>
      </c>
      <c r="K2498" s="2">
        <v>42040</v>
      </c>
      <c r="L2498" s="1">
        <v>9</v>
      </c>
      <c r="M2498" s="2">
        <v>42048</v>
      </c>
      <c r="N2498" s="1">
        <v>9</v>
      </c>
      <c r="O2498" s="2">
        <v>42048</v>
      </c>
      <c r="P2498" s="1">
        <v>4475</v>
      </c>
      <c r="Q2498" s="1" t="s">
        <v>197</v>
      </c>
      <c r="R2498" s="2">
        <v>42096</v>
      </c>
      <c r="S2498" s="1">
        <v>38351</v>
      </c>
      <c r="U2498" s="1">
        <v>3193</v>
      </c>
      <c r="V2498" s="1" t="s">
        <v>3759</v>
      </c>
      <c r="W2498" s="1" t="s">
        <v>504</v>
      </c>
      <c r="Y2498" s="1">
        <v>4</v>
      </c>
      <c r="Z2498" s="1" t="s">
        <v>370</v>
      </c>
      <c r="AA2498" s="1" t="s">
        <v>1123</v>
      </c>
      <c r="AB2498" s="1">
        <v>60502</v>
      </c>
      <c r="AD2498" s="1" t="s">
        <v>21520</v>
      </c>
      <c r="AE2498" s="1" t="s">
        <v>15541</v>
      </c>
      <c r="AF2498" s="1">
        <v>2002</v>
      </c>
      <c r="AG2498" s="1" t="s">
        <v>204</v>
      </c>
      <c r="AH2498" s="1" t="s">
        <v>1126</v>
      </c>
      <c r="AI2498" s="1" t="s">
        <v>206</v>
      </c>
      <c r="AJ2498" s="1" t="s">
        <v>924</v>
      </c>
      <c r="AK2498" s="1" t="s">
        <v>902</v>
      </c>
      <c r="AL2498" s="1">
        <v>6</v>
      </c>
      <c r="AM2498" s="1">
        <v>2</v>
      </c>
      <c r="AN2498" s="1">
        <v>2</v>
      </c>
      <c r="AO2498" s="1">
        <v>1</v>
      </c>
      <c r="AP2498" s="1" t="s">
        <v>209</v>
      </c>
      <c r="AR2498" s="1" t="s">
        <v>210</v>
      </c>
      <c r="AT2498" s="1" t="s">
        <v>211</v>
      </c>
      <c r="AU2498" s="1">
        <v>2</v>
      </c>
      <c r="AW2498" s="1" t="s">
        <v>204</v>
      </c>
      <c r="AX2498" s="1" t="s">
        <v>212</v>
      </c>
      <c r="AZ2498" s="1">
        <v>4648.28</v>
      </c>
      <c r="BA2498" s="1">
        <v>2013</v>
      </c>
      <c r="BB2498" s="1" t="s">
        <v>405</v>
      </c>
      <c r="BE2498" s="1">
        <v>1400</v>
      </c>
      <c r="BF2498" s="1">
        <v>1</v>
      </c>
      <c r="BG2498" s="1">
        <v>0</v>
      </c>
      <c r="BL2498" s="1">
        <v>148</v>
      </c>
      <c r="BM2498" s="1" t="s">
        <v>204</v>
      </c>
      <c r="BN2498" s="1" t="s">
        <v>213</v>
      </c>
      <c r="BO2498" s="1">
        <v>999</v>
      </c>
      <c r="BP2498" s="1" t="s">
        <v>204</v>
      </c>
      <c r="BR2498" s="1" t="str">
        <f>"0717121308"</f>
        <v>0717121308</v>
      </c>
      <c r="BT2498" s="1" t="s">
        <v>21521</v>
      </c>
      <c r="BX2498" s="1">
        <v>204</v>
      </c>
      <c r="BY2498" s="1">
        <v>204</v>
      </c>
      <c r="BZ2498" s="1">
        <v>204</v>
      </c>
      <c r="CB2498" s="1" t="str">
        <f>"3193"</f>
        <v>3193</v>
      </c>
      <c r="CC2498" s="1" t="str">
        <f>"0"</f>
        <v>0</v>
      </c>
      <c r="CD2498" s="1">
        <v>31</v>
      </c>
      <c r="CE2498" s="1">
        <v>0</v>
      </c>
      <c r="CG2498" s="1" t="s">
        <v>2042</v>
      </c>
      <c r="CH2498" s="1" t="s">
        <v>219</v>
      </c>
      <c r="CI2498" s="1" t="s">
        <v>220</v>
      </c>
      <c r="CJ2498" s="1" t="s">
        <v>343</v>
      </c>
      <c r="CK2498" s="1" t="s">
        <v>4070</v>
      </c>
      <c r="CL2498" s="1" t="s">
        <v>277</v>
      </c>
      <c r="CM2498" s="1" t="s">
        <v>220</v>
      </c>
      <c r="CN2498" s="1" t="s">
        <v>2449</v>
      </c>
      <c r="CO2498" s="1" t="s">
        <v>409</v>
      </c>
      <c r="CP2498" s="1" t="s">
        <v>219</v>
      </c>
      <c r="CQ2498" s="1" t="s">
        <v>226</v>
      </c>
      <c r="CR2498" s="1" t="s">
        <v>343</v>
      </c>
      <c r="CS2498" s="1" t="s">
        <v>465</v>
      </c>
      <c r="CT2498" s="1" t="s">
        <v>277</v>
      </c>
      <c r="CU2498" s="1" t="s">
        <v>220</v>
      </c>
      <c r="CV2498" s="1" t="s">
        <v>343</v>
      </c>
      <c r="CX2498" s="1" t="s">
        <v>224</v>
      </c>
      <c r="DB2498" s="1" t="s">
        <v>224</v>
      </c>
      <c r="DE2498" s="1" t="s">
        <v>281</v>
      </c>
      <c r="DF2498" s="1" t="s">
        <v>219</v>
      </c>
      <c r="DG2498" s="1" t="s">
        <v>226</v>
      </c>
      <c r="DI2498" s="1" t="s">
        <v>757</v>
      </c>
      <c r="DJ2498" s="1" t="s">
        <v>277</v>
      </c>
      <c r="DK2498" s="1" t="s">
        <v>220</v>
      </c>
      <c r="DL2498" s="1" t="s">
        <v>343</v>
      </c>
      <c r="DS2498" s="1" t="s">
        <v>230</v>
      </c>
      <c r="DW2498" s="1" t="s">
        <v>230</v>
      </c>
      <c r="EA2498" s="1" t="s">
        <v>230</v>
      </c>
      <c r="EE2498" s="1" t="s">
        <v>230</v>
      </c>
      <c r="EI2498" s="1" t="s">
        <v>230</v>
      </c>
      <c r="EL2498" s="1" t="s">
        <v>466</v>
      </c>
      <c r="EM2498" s="1" t="s">
        <v>232</v>
      </c>
      <c r="EN2498" s="1" t="s">
        <v>282</v>
      </c>
      <c r="EO2498" s="1" t="s">
        <v>234</v>
      </c>
      <c r="EQ2498" s="1" t="s">
        <v>492</v>
      </c>
      <c r="ER2498" s="1" t="s">
        <v>210</v>
      </c>
      <c r="ES2498" s="1" t="s">
        <v>322</v>
      </c>
      <c r="EV2498" s="1" t="s">
        <v>240</v>
      </c>
      <c r="EW2498" s="1" t="s">
        <v>210</v>
      </c>
      <c r="EZ2498" s="1" t="s">
        <v>287</v>
      </c>
      <c r="FB2498" s="1" t="s">
        <v>289</v>
      </c>
      <c r="FD2498" s="1" t="s">
        <v>246</v>
      </c>
      <c r="FE2498" s="1" t="s">
        <v>870</v>
      </c>
      <c r="FF2498" s="1" t="s">
        <v>248</v>
      </c>
      <c r="FH2498" s="1" t="s">
        <v>550</v>
      </c>
      <c r="FI2498" s="1" t="s">
        <v>357</v>
      </c>
      <c r="FL2498" s="1" t="s">
        <v>358</v>
      </c>
      <c r="FM2498" s="1" t="s">
        <v>252</v>
      </c>
      <c r="FN2498" s="1" t="s">
        <v>213</v>
      </c>
      <c r="FO2498" s="1" t="s">
        <v>213</v>
      </c>
      <c r="FQ2498" s="1" t="s">
        <v>2004</v>
      </c>
      <c r="FR2498" s="1" t="s">
        <v>210</v>
      </c>
      <c r="FS2498" s="1" t="s">
        <v>21522</v>
      </c>
      <c r="FT2498" s="1" t="s">
        <v>295</v>
      </c>
      <c r="FU2498" s="1" t="s">
        <v>204</v>
      </c>
      <c r="FW2498" s="1" t="s">
        <v>9260</v>
      </c>
      <c r="FX2498" s="1">
        <v>14090</v>
      </c>
      <c r="FY2498" s="1" t="s">
        <v>9261</v>
      </c>
      <c r="FZ2498" s="1" t="s">
        <v>21523</v>
      </c>
      <c r="GA2498" s="1">
        <v>179329</v>
      </c>
      <c r="GB2498" s="1" t="s">
        <v>21524</v>
      </c>
      <c r="GE2498" s="1" t="s">
        <v>210</v>
      </c>
      <c r="GI2498" s="1" t="s">
        <v>213</v>
      </c>
      <c r="GJ2498" s="1" t="s">
        <v>260</v>
      </c>
      <c r="GK2498" s="1" t="s">
        <v>210</v>
      </c>
      <c r="GL2498" s="2">
        <v>42097</v>
      </c>
      <c r="GM2498" s="1" t="s">
        <v>21525</v>
      </c>
    </row>
    <row r="2499" spans="1:195">
      <c r="A2499" s="1">
        <v>204000</v>
      </c>
      <c r="B2499" s="1" t="s">
        <v>195</v>
      </c>
      <c r="C2499" s="1" t="str">
        <f>"08834752"</f>
        <v>08834752</v>
      </c>
      <c r="D2499" s="1" t="s">
        <v>196</v>
      </c>
      <c r="F2499" s="1" t="str">
        <f>"188"</f>
        <v>188</v>
      </c>
      <c r="G2499" s="2">
        <v>42044</v>
      </c>
      <c r="H2499" s="1">
        <v>214000</v>
      </c>
      <c r="I2499" s="1">
        <v>214000</v>
      </c>
      <c r="J2499" s="1">
        <v>204000</v>
      </c>
      <c r="K2499" s="2">
        <v>42044</v>
      </c>
      <c r="L2499" s="1">
        <v>50</v>
      </c>
      <c r="M2499" s="2">
        <v>42093</v>
      </c>
      <c r="N2499" s="1">
        <v>50</v>
      </c>
      <c r="O2499" s="2">
        <v>42093</v>
      </c>
      <c r="P2499" s="1">
        <v>8098</v>
      </c>
      <c r="Q2499" s="1" t="s">
        <v>197</v>
      </c>
      <c r="R2499" s="2">
        <v>42123</v>
      </c>
      <c r="S2499" s="1">
        <v>81017</v>
      </c>
      <c r="U2499" s="1">
        <v>1070</v>
      </c>
      <c r="V2499" s="1" t="s">
        <v>3435</v>
      </c>
      <c r="W2499" s="1" t="s">
        <v>449</v>
      </c>
      <c r="Y2499" s="1">
        <v>6</v>
      </c>
      <c r="Z2499" s="1" t="s">
        <v>370</v>
      </c>
      <c r="AA2499" s="1" t="s">
        <v>1084</v>
      </c>
      <c r="AB2499" s="1">
        <v>60188</v>
      </c>
      <c r="AD2499" s="1" t="s">
        <v>16118</v>
      </c>
      <c r="AE2499" s="1" t="s">
        <v>21526</v>
      </c>
      <c r="AF2499" s="1">
        <v>1989</v>
      </c>
      <c r="AG2499" s="1" t="s">
        <v>204</v>
      </c>
      <c r="AH2499" s="1" t="s">
        <v>1087</v>
      </c>
      <c r="AI2499" s="1" t="s">
        <v>206</v>
      </c>
      <c r="AJ2499" s="1" t="s">
        <v>2654</v>
      </c>
      <c r="AK2499" s="1" t="s">
        <v>21527</v>
      </c>
      <c r="AL2499" s="1">
        <v>7</v>
      </c>
      <c r="AM2499" s="1">
        <v>2</v>
      </c>
      <c r="AN2499" s="1">
        <v>2</v>
      </c>
      <c r="AO2499" s="1">
        <v>1</v>
      </c>
      <c r="AP2499" s="1" t="s">
        <v>209</v>
      </c>
      <c r="AQ2499" s="1">
        <v>1</v>
      </c>
      <c r="AR2499" s="1" t="s">
        <v>210</v>
      </c>
      <c r="AS2499" s="1" t="s">
        <v>204</v>
      </c>
      <c r="AT2499" s="1" t="s">
        <v>211</v>
      </c>
      <c r="AU2499" s="1">
        <v>2</v>
      </c>
      <c r="AW2499" s="1" t="s">
        <v>213</v>
      </c>
      <c r="AX2499" s="1" t="s">
        <v>21528</v>
      </c>
      <c r="AZ2499" s="1">
        <v>5939.76</v>
      </c>
      <c r="BA2499" s="1">
        <v>2013</v>
      </c>
      <c r="BB2499" s="1" t="s">
        <v>405</v>
      </c>
      <c r="BE2499" s="1">
        <v>1605</v>
      </c>
      <c r="BF2499" s="1">
        <v>1</v>
      </c>
      <c r="BG2499" s="1">
        <v>0</v>
      </c>
      <c r="BL2499" s="1">
        <v>217</v>
      </c>
      <c r="BM2499" s="1" t="s">
        <v>204</v>
      </c>
      <c r="BN2499" s="1" t="s">
        <v>213</v>
      </c>
      <c r="BO2499" s="1">
        <v>999</v>
      </c>
      <c r="BP2499" s="1" t="s">
        <v>204</v>
      </c>
      <c r="BR2499" s="1" t="str">
        <f>"0124127017"</f>
        <v>0124127017</v>
      </c>
      <c r="BT2499" s="1" t="s">
        <v>21529</v>
      </c>
      <c r="BU2499" s="1" t="s">
        <v>3438</v>
      </c>
      <c r="BV2499" s="1" t="s">
        <v>1502</v>
      </c>
      <c r="BW2499" s="1" t="s">
        <v>1092</v>
      </c>
      <c r="BX2499" s="1">
        <v>93</v>
      </c>
      <c r="BY2499" s="1">
        <v>93</v>
      </c>
      <c r="BZ2499" s="1">
        <v>87</v>
      </c>
      <c r="CB2499" s="1" t="str">
        <f t="shared" ref="CB2499:CC2499" si="1915">""</f>
        <v/>
      </c>
      <c r="CC2499" s="1" t="str">
        <f t="shared" si="1915"/>
        <v/>
      </c>
      <c r="CG2499" s="1" t="s">
        <v>228</v>
      </c>
      <c r="CH2499" s="1" t="s">
        <v>219</v>
      </c>
      <c r="CI2499" s="1" t="s">
        <v>438</v>
      </c>
      <c r="CJ2499" s="1" t="s">
        <v>343</v>
      </c>
      <c r="CK2499" s="1" t="s">
        <v>1267</v>
      </c>
      <c r="CL2499" s="1" t="s">
        <v>277</v>
      </c>
      <c r="CM2499" s="1" t="s">
        <v>220</v>
      </c>
      <c r="CN2499" s="1" t="s">
        <v>210</v>
      </c>
      <c r="CO2499" s="1" t="s">
        <v>346</v>
      </c>
      <c r="CP2499" s="1" t="s">
        <v>219</v>
      </c>
      <c r="CQ2499" s="1" t="s">
        <v>438</v>
      </c>
      <c r="CR2499" s="1" t="s">
        <v>343</v>
      </c>
      <c r="CS2499" s="1" t="s">
        <v>346</v>
      </c>
      <c r="CT2499" s="1" t="s">
        <v>277</v>
      </c>
      <c r="CU2499" s="1" t="s">
        <v>220</v>
      </c>
      <c r="CX2499" s="1" t="s">
        <v>224</v>
      </c>
      <c r="DB2499" s="1" t="s">
        <v>224</v>
      </c>
      <c r="DE2499" s="1" t="s">
        <v>1046</v>
      </c>
      <c r="DF2499" s="1" t="s">
        <v>219</v>
      </c>
      <c r="DG2499" s="1" t="s">
        <v>5665</v>
      </c>
      <c r="DH2499" s="1" t="s">
        <v>210</v>
      </c>
      <c r="DJ2499" s="1" t="s">
        <v>224</v>
      </c>
      <c r="DM2499" s="1" t="s">
        <v>1548</v>
      </c>
      <c r="DN2499" s="1" t="s">
        <v>464</v>
      </c>
      <c r="DO2499" s="1" t="s">
        <v>709</v>
      </c>
      <c r="DR2499" s="1" t="s">
        <v>409</v>
      </c>
      <c r="DS2499" s="1" t="s">
        <v>219</v>
      </c>
      <c r="DT2499" s="1" t="s">
        <v>5665</v>
      </c>
      <c r="DU2499" s="1" t="s">
        <v>343</v>
      </c>
      <c r="DV2499" s="1" t="s">
        <v>1297</v>
      </c>
      <c r="DW2499" s="1" t="s">
        <v>277</v>
      </c>
      <c r="DX2499" s="1" t="s">
        <v>220</v>
      </c>
      <c r="DY2499" s="1" t="s">
        <v>343</v>
      </c>
      <c r="DZ2499" s="1" t="s">
        <v>3126</v>
      </c>
      <c r="EA2499" s="1" t="s">
        <v>219</v>
      </c>
      <c r="EB2499" s="1" t="s">
        <v>5665</v>
      </c>
      <c r="EC2499" s="1" t="s">
        <v>343</v>
      </c>
      <c r="EE2499" s="1" t="s">
        <v>230</v>
      </c>
      <c r="EI2499" s="1" t="s">
        <v>230</v>
      </c>
      <c r="EL2499" s="1" t="s">
        <v>542</v>
      </c>
      <c r="EM2499" s="1" t="s">
        <v>232</v>
      </c>
      <c r="EN2499" s="1" t="s">
        <v>282</v>
      </c>
      <c r="EO2499" s="1" t="s">
        <v>840</v>
      </c>
      <c r="EP2499" s="1" t="s">
        <v>1268</v>
      </c>
      <c r="EQ2499" s="1" t="s">
        <v>236</v>
      </c>
      <c r="ER2499" s="1" t="s">
        <v>210</v>
      </c>
      <c r="ES2499" s="1" t="s">
        <v>5707</v>
      </c>
      <c r="ET2499" s="1" t="s">
        <v>1201</v>
      </c>
      <c r="EU2499" s="1" t="s">
        <v>21530</v>
      </c>
      <c r="EV2499" s="1" t="s">
        <v>352</v>
      </c>
      <c r="EW2499" s="1" t="s">
        <v>353</v>
      </c>
      <c r="EY2499" s="1" t="s">
        <v>242</v>
      </c>
      <c r="EZ2499" s="1" t="s">
        <v>2815</v>
      </c>
      <c r="FA2499" s="1" t="s">
        <v>3624</v>
      </c>
      <c r="FB2499" s="1" t="s">
        <v>289</v>
      </c>
      <c r="FD2499" s="1" t="s">
        <v>246</v>
      </c>
      <c r="FE2499" s="1" t="s">
        <v>386</v>
      </c>
      <c r="FF2499" s="1" t="s">
        <v>387</v>
      </c>
      <c r="FG2499" s="1" t="s">
        <v>2739</v>
      </c>
      <c r="FH2499" s="1" t="s">
        <v>550</v>
      </c>
      <c r="FJ2499" s="1" t="s">
        <v>518</v>
      </c>
      <c r="FL2499" s="1" t="s">
        <v>358</v>
      </c>
      <c r="FM2499" s="1" t="s">
        <v>252</v>
      </c>
      <c r="FN2499" s="1" t="s">
        <v>213</v>
      </c>
      <c r="FO2499" s="1" t="s">
        <v>213</v>
      </c>
      <c r="FQ2499" s="1" t="s">
        <v>329</v>
      </c>
      <c r="FR2499" s="1" t="s">
        <v>210</v>
      </c>
      <c r="FS2499" s="1" t="s">
        <v>21531</v>
      </c>
      <c r="FT2499" s="1" t="s">
        <v>1182</v>
      </c>
      <c r="FU2499" s="1" t="s">
        <v>204</v>
      </c>
      <c r="FW2499" s="1" t="s">
        <v>256</v>
      </c>
      <c r="FX2499" s="1">
        <v>25163</v>
      </c>
      <c r="FY2499" s="1" t="s">
        <v>257</v>
      </c>
      <c r="FZ2499" s="1" t="s">
        <v>17073</v>
      </c>
      <c r="GA2499" s="1">
        <v>231885</v>
      </c>
      <c r="GB2499" s="1" t="s">
        <v>17074</v>
      </c>
      <c r="GD2499" s="1" t="s">
        <v>21532</v>
      </c>
      <c r="GE2499" s="1" t="s">
        <v>210</v>
      </c>
      <c r="GI2499" s="1" t="s">
        <v>213</v>
      </c>
      <c r="GJ2499" s="1" t="s">
        <v>260</v>
      </c>
      <c r="GK2499" s="1" t="s">
        <v>261</v>
      </c>
      <c r="GL2499" s="2">
        <v>42123</v>
      </c>
      <c r="GM2499" s="1" t="s">
        <v>21533</v>
      </c>
    </row>
    <row r="2500" spans="1:195">
      <c r="A2500" s="1">
        <v>84000</v>
      </c>
      <c r="B2500" s="1" t="s">
        <v>195</v>
      </c>
      <c r="C2500" s="1" t="str">
        <f>"08830868"</f>
        <v>08830868</v>
      </c>
      <c r="D2500" s="1" t="s">
        <v>196</v>
      </c>
      <c r="F2500" s="1" t="str">
        <f>"123"</f>
        <v>123</v>
      </c>
      <c r="G2500" s="2">
        <v>42039</v>
      </c>
      <c r="H2500" s="1">
        <v>89000</v>
      </c>
      <c r="I2500" s="1">
        <v>89000</v>
      </c>
      <c r="J2500" s="1">
        <v>84000</v>
      </c>
      <c r="K2500" s="2">
        <v>42038</v>
      </c>
      <c r="L2500" s="1">
        <v>56</v>
      </c>
      <c r="M2500" s="2">
        <v>42093</v>
      </c>
      <c r="N2500" s="1">
        <v>56</v>
      </c>
      <c r="O2500" s="2">
        <v>42093</v>
      </c>
      <c r="P2500" s="1">
        <v>8055</v>
      </c>
      <c r="Q2500" s="1" t="s">
        <v>197</v>
      </c>
      <c r="R2500" s="2">
        <v>42130</v>
      </c>
      <c r="S2500" s="1">
        <v>81967</v>
      </c>
      <c r="U2500" s="1">
        <v>39</v>
      </c>
      <c r="V2500" s="1" t="s">
        <v>1595</v>
      </c>
      <c r="W2500" s="1" t="s">
        <v>449</v>
      </c>
      <c r="X2500" s="1" t="s">
        <v>1000</v>
      </c>
      <c r="Y2500" s="1">
        <v>4</v>
      </c>
      <c r="Z2500" s="1" t="s">
        <v>370</v>
      </c>
      <c r="AA2500" s="1" t="s">
        <v>1173</v>
      </c>
      <c r="AB2500" s="1">
        <v>60123</v>
      </c>
      <c r="AD2500" s="1" t="s">
        <v>5653</v>
      </c>
      <c r="AE2500" s="1" t="s">
        <v>21534</v>
      </c>
      <c r="AF2500" s="1">
        <v>1981</v>
      </c>
      <c r="AG2500" s="1" t="s">
        <v>204</v>
      </c>
      <c r="AH2500" s="1" t="s">
        <v>1175</v>
      </c>
      <c r="AI2500" s="1" t="s">
        <v>665</v>
      </c>
      <c r="AJ2500" s="1" t="s">
        <v>805</v>
      </c>
      <c r="AK2500" s="1" t="s">
        <v>21535</v>
      </c>
      <c r="AL2500" s="1">
        <v>5</v>
      </c>
      <c r="AM2500" s="1">
        <v>2</v>
      </c>
      <c r="AN2500" s="1">
        <v>2</v>
      </c>
      <c r="AO2500" s="1">
        <v>0</v>
      </c>
      <c r="AP2500" s="1" t="s">
        <v>209</v>
      </c>
      <c r="AQ2500" s="1">
        <v>1</v>
      </c>
      <c r="AR2500" s="1" t="s">
        <v>210</v>
      </c>
      <c r="AS2500" s="1" t="s">
        <v>204</v>
      </c>
      <c r="AT2500" s="1" t="s">
        <v>211</v>
      </c>
      <c r="AU2500" s="1">
        <v>1</v>
      </c>
      <c r="AW2500" s="1" t="s">
        <v>204</v>
      </c>
      <c r="AX2500" s="1" t="s">
        <v>579</v>
      </c>
      <c r="AZ2500" s="1">
        <v>1490</v>
      </c>
      <c r="BA2500" s="1">
        <v>2013</v>
      </c>
      <c r="BB2500" s="1" t="s">
        <v>405</v>
      </c>
      <c r="BE2500" s="1">
        <v>992</v>
      </c>
      <c r="BF2500" s="1">
        <v>2</v>
      </c>
      <c r="BG2500" s="1">
        <v>0</v>
      </c>
      <c r="BL2500" s="1">
        <v>172</v>
      </c>
      <c r="BM2500" s="1" t="s">
        <v>204</v>
      </c>
      <c r="BN2500" s="1" t="s">
        <v>213</v>
      </c>
      <c r="BO2500" s="1">
        <v>999</v>
      </c>
      <c r="BP2500" s="1" t="s">
        <v>204</v>
      </c>
      <c r="BR2500" s="1" t="str">
        <f>"0332400028"</f>
        <v>0332400028</v>
      </c>
      <c r="BT2500" s="1" t="s">
        <v>21536</v>
      </c>
      <c r="BX2500" s="1">
        <v>46</v>
      </c>
      <c r="BY2500" s="1">
        <v>46</v>
      </c>
      <c r="BZ2500" s="1">
        <v>46</v>
      </c>
      <c r="CB2500" s="1" t="str">
        <f t="shared" ref="CB2500:CC2500" si="1916">""</f>
        <v/>
      </c>
      <c r="CC2500" s="1" t="str">
        <f t="shared" si="1916"/>
        <v/>
      </c>
      <c r="CG2500" s="1" t="s">
        <v>218</v>
      </c>
      <c r="CH2500" s="1" t="s">
        <v>219</v>
      </c>
      <c r="CI2500" s="1" t="s">
        <v>220</v>
      </c>
      <c r="CK2500" s="1" t="s">
        <v>757</v>
      </c>
      <c r="CL2500" s="1" t="s">
        <v>219</v>
      </c>
      <c r="CM2500" s="1" t="s">
        <v>220</v>
      </c>
      <c r="CO2500" s="1" t="s">
        <v>837</v>
      </c>
      <c r="CP2500" s="1" t="s">
        <v>219</v>
      </c>
      <c r="CQ2500" s="1" t="s">
        <v>220</v>
      </c>
      <c r="CS2500" s="1" t="s">
        <v>1046</v>
      </c>
      <c r="CT2500" s="1" t="s">
        <v>219</v>
      </c>
      <c r="CU2500" s="1" t="s">
        <v>220</v>
      </c>
      <c r="CX2500" s="1" t="s">
        <v>224</v>
      </c>
      <c r="DB2500" s="1" t="s">
        <v>224</v>
      </c>
      <c r="DE2500" s="1" t="s">
        <v>1598</v>
      </c>
      <c r="DF2500" s="1" t="s">
        <v>219</v>
      </c>
      <c r="DG2500" s="1" t="s">
        <v>342</v>
      </c>
      <c r="DJ2500" s="1" t="s">
        <v>224</v>
      </c>
      <c r="DM2500" s="1" t="s">
        <v>709</v>
      </c>
      <c r="DR2500" s="1" t="s">
        <v>3492</v>
      </c>
      <c r="DS2500" s="1" t="s">
        <v>219</v>
      </c>
      <c r="DT2500" s="1" t="s">
        <v>226</v>
      </c>
      <c r="DW2500" s="1" t="s">
        <v>230</v>
      </c>
      <c r="EA2500" s="1" t="s">
        <v>230</v>
      </c>
      <c r="EE2500" s="1" t="s">
        <v>230</v>
      </c>
      <c r="EI2500" s="1" t="s">
        <v>230</v>
      </c>
      <c r="EL2500" s="1" t="s">
        <v>231</v>
      </c>
      <c r="EM2500" s="1" t="s">
        <v>319</v>
      </c>
      <c r="EN2500" s="1" t="s">
        <v>282</v>
      </c>
      <c r="EO2500" s="1" t="s">
        <v>234</v>
      </c>
      <c r="EP2500" s="1" t="s">
        <v>21537</v>
      </c>
      <c r="EQ2500" s="1" t="s">
        <v>236</v>
      </c>
      <c r="ER2500" s="1" t="s">
        <v>210</v>
      </c>
      <c r="ES2500" s="1" t="s">
        <v>322</v>
      </c>
      <c r="EV2500" s="1" t="s">
        <v>352</v>
      </c>
      <c r="EW2500" s="1" t="s">
        <v>887</v>
      </c>
      <c r="EZ2500" s="1" t="s">
        <v>709</v>
      </c>
      <c r="FD2500" s="1" t="s">
        <v>246</v>
      </c>
      <c r="FE2500" s="1" t="s">
        <v>549</v>
      </c>
      <c r="FF2500" s="1" t="s">
        <v>248</v>
      </c>
      <c r="FG2500" s="1" t="s">
        <v>1204</v>
      </c>
      <c r="FH2500" s="1" t="s">
        <v>249</v>
      </c>
      <c r="FI2500" s="1" t="s">
        <v>357</v>
      </c>
      <c r="FJ2500" s="1" t="s">
        <v>1472</v>
      </c>
      <c r="FL2500" s="1" t="s">
        <v>358</v>
      </c>
      <c r="FM2500" s="1" t="s">
        <v>252</v>
      </c>
      <c r="FN2500" s="1" t="s">
        <v>213</v>
      </c>
      <c r="FO2500" s="1" t="s">
        <v>213</v>
      </c>
      <c r="FQ2500" s="1" t="s">
        <v>1221</v>
      </c>
      <c r="FR2500" s="1" t="s">
        <v>210</v>
      </c>
      <c r="FS2500" s="1" t="s">
        <v>21538</v>
      </c>
      <c r="FT2500" s="1" t="s">
        <v>295</v>
      </c>
      <c r="FU2500" s="1" t="s">
        <v>204</v>
      </c>
      <c r="FW2500" s="1" t="s">
        <v>1097</v>
      </c>
      <c r="FX2500" s="1">
        <v>7661</v>
      </c>
      <c r="FY2500" s="1" t="s">
        <v>7072</v>
      </c>
      <c r="FZ2500" s="1" t="s">
        <v>21539</v>
      </c>
      <c r="GA2500" s="1">
        <v>8729</v>
      </c>
      <c r="GB2500" s="1" t="s">
        <v>21540</v>
      </c>
      <c r="GC2500" s="1">
        <v>8409</v>
      </c>
      <c r="GE2500" s="1" t="s">
        <v>480</v>
      </c>
      <c r="GI2500" s="1" t="s">
        <v>213</v>
      </c>
      <c r="GJ2500" s="1" t="s">
        <v>260</v>
      </c>
      <c r="GK2500" s="1" t="s">
        <v>210</v>
      </c>
      <c r="GL2500" s="2">
        <v>42131</v>
      </c>
      <c r="GM2500" s="1" t="s">
        <v>21541</v>
      </c>
    </row>
    <row r="2501" spans="1:195">
      <c r="A2501" s="1">
        <v>162000</v>
      </c>
      <c r="B2501" s="1" t="s">
        <v>195</v>
      </c>
      <c r="C2501" s="1" t="str">
        <f>"08836886"</f>
        <v>08836886</v>
      </c>
      <c r="D2501" s="1" t="s">
        <v>196</v>
      </c>
      <c r="F2501" s="1" t="str">
        <f>"545"</f>
        <v>545</v>
      </c>
      <c r="G2501" s="2">
        <v>42047</v>
      </c>
      <c r="H2501" s="1">
        <v>165000</v>
      </c>
      <c r="I2501" s="1">
        <v>165000</v>
      </c>
      <c r="J2501" s="1">
        <v>162000</v>
      </c>
      <c r="K2501" s="2">
        <v>42045</v>
      </c>
      <c r="L2501" s="1">
        <v>21</v>
      </c>
      <c r="M2501" s="2">
        <v>42065</v>
      </c>
      <c r="N2501" s="1">
        <v>21</v>
      </c>
      <c r="O2501" s="2">
        <v>42065</v>
      </c>
      <c r="P2501" s="1">
        <v>24215</v>
      </c>
      <c r="Q2501" s="1" t="s">
        <v>302</v>
      </c>
      <c r="R2501" s="2">
        <v>42101</v>
      </c>
      <c r="S2501" s="1">
        <v>233378</v>
      </c>
      <c r="U2501" s="1">
        <v>3</v>
      </c>
      <c r="V2501" s="1" t="s">
        <v>21542</v>
      </c>
      <c r="W2501" s="1" t="s">
        <v>779</v>
      </c>
      <c r="Y2501" s="1">
        <v>4</v>
      </c>
      <c r="Z2501" s="1" t="s">
        <v>200</v>
      </c>
      <c r="AA2501" s="1" t="s">
        <v>1335</v>
      </c>
      <c r="AB2501" s="1">
        <v>60545</v>
      </c>
      <c r="AD2501" s="1" t="s">
        <v>21543</v>
      </c>
      <c r="AE2501" s="1" t="s">
        <v>21544</v>
      </c>
      <c r="AF2501" s="1">
        <v>1990</v>
      </c>
      <c r="AG2501" s="1" t="s">
        <v>204</v>
      </c>
      <c r="AH2501" s="1" t="s">
        <v>1338</v>
      </c>
      <c r="AI2501" s="1" t="s">
        <v>453</v>
      </c>
      <c r="AJ2501" s="1" t="s">
        <v>1339</v>
      </c>
      <c r="AL2501" s="1">
        <v>8</v>
      </c>
      <c r="AM2501" s="1">
        <v>2</v>
      </c>
      <c r="AN2501" s="1">
        <v>3</v>
      </c>
      <c r="AO2501" s="1">
        <v>0</v>
      </c>
      <c r="AP2501" s="1" t="s">
        <v>209</v>
      </c>
      <c r="AQ2501" s="1">
        <v>1</v>
      </c>
      <c r="AR2501" s="1" t="s">
        <v>209</v>
      </c>
      <c r="AS2501" s="1" t="s">
        <v>213</v>
      </c>
      <c r="AT2501" s="1" t="s">
        <v>211</v>
      </c>
      <c r="AU2501" s="1">
        <v>2</v>
      </c>
      <c r="AW2501" s="1" t="s">
        <v>204</v>
      </c>
      <c r="AX2501" s="1" t="s">
        <v>21545</v>
      </c>
      <c r="AZ2501" s="1">
        <v>4191.68</v>
      </c>
      <c r="BA2501" s="1">
        <v>2013</v>
      </c>
      <c r="BB2501" s="1" t="s">
        <v>599</v>
      </c>
      <c r="BE2501" s="1">
        <v>0</v>
      </c>
      <c r="BF2501" s="1">
        <v>1</v>
      </c>
      <c r="BG2501" s="1">
        <v>0</v>
      </c>
      <c r="BL2501" s="1">
        <v>40</v>
      </c>
      <c r="BM2501" s="1" t="s">
        <v>204</v>
      </c>
      <c r="BN2501" s="1" t="s">
        <v>213</v>
      </c>
      <c r="BO2501" s="1">
        <v>999</v>
      </c>
      <c r="BP2501" s="1" t="s">
        <v>204</v>
      </c>
      <c r="BR2501" s="1" t="str">
        <f>"0122176018"</f>
        <v>0122176018</v>
      </c>
      <c r="BT2501" s="1" t="s">
        <v>21546</v>
      </c>
      <c r="BX2501" s="1">
        <v>88</v>
      </c>
      <c r="BY2501" s="1">
        <v>88</v>
      </c>
      <c r="BZ2501" s="1">
        <v>88</v>
      </c>
      <c r="CB2501" s="1" t="str">
        <f t="shared" ref="CB2501:CC2501" si="1917">""</f>
        <v/>
      </c>
      <c r="CC2501" s="1" t="str">
        <f t="shared" si="1917"/>
        <v/>
      </c>
      <c r="CG2501" s="1" t="s">
        <v>377</v>
      </c>
      <c r="CH2501" s="1" t="s">
        <v>219</v>
      </c>
      <c r="CI2501" s="1" t="s">
        <v>220</v>
      </c>
      <c r="CJ2501" s="1" t="s">
        <v>252</v>
      </c>
      <c r="CK2501" s="1" t="s">
        <v>221</v>
      </c>
      <c r="CL2501" s="1" t="s">
        <v>219</v>
      </c>
      <c r="CM2501" s="1" t="s">
        <v>220</v>
      </c>
      <c r="CN2501" s="1" t="s">
        <v>252</v>
      </c>
      <c r="CO2501" s="1" t="s">
        <v>2466</v>
      </c>
      <c r="CP2501" s="1" t="s">
        <v>219</v>
      </c>
      <c r="CQ2501" s="1" t="s">
        <v>220</v>
      </c>
      <c r="CR2501" s="1" t="s">
        <v>252</v>
      </c>
      <c r="CS2501" s="1" t="s">
        <v>379</v>
      </c>
      <c r="CT2501" s="1" t="s">
        <v>219</v>
      </c>
      <c r="CU2501" s="1" t="s">
        <v>220</v>
      </c>
      <c r="CV2501" s="1" t="s">
        <v>252</v>
      </c>
      <c r="CW2501" s="1" t="s">
        <v>1936</v>
      </c>
      <c r="CX2501" s="1" t="s">
        <v>43</v>
      </c>
      <c r="CY2501" s="1" t="s">
        <v>220</v>
      </c>
      <c r="CZ2501" s="1" t="s">
        <v>210</v>
      </c>
      <c r="DB2501" s="1" t="s">
        <v>224</v>
      </c>
      <c r="DE2501" s="1" t="s">
        <v>462</v>
      </c>
      <c r="DF2501" s="1" t="s">
        <v>219</v>
      </c>
      <c r="DG2501" s="1" t="s">
        <v>342</v>
      </c>
      <c r="DH2501" s="1" t="s">
        <v>252</v>
      </c>
      <c r="DJ2501" s="1" t="s">
        <v>224</v>
      </c>
      <c r="DM2501" s="1" t="s">
        <v>603</v>
      </c>
      <c r="DN2501" s="1" t="s">
        <v>934</v>
      </c>
      <c r="DO2501" s="1" t="s">
        <v>4083</v>
      </c>
      <c r="DP2501" s="1" t="s">
        <v>2278</v>
      </c>
      <c r="DQ2501" s="1" t="s">
        <v>1614</v>
      </c>
      <c r="DR2501" s="1" t="s">
        <v>1178</v>
      </c>
      <c r="DS2501" s="1" t="s">
        <v>219</v>
      </c>
      <c r="DT2501" s="1" t="s">
        <v>220</v>
      </c>
      <c r="DU2501" s="1" t="s">
        <v>252</v>
      </c>
      <c r="DV2501" s="1" t="s">
        <v>1936</v>
      </c>
      <c r="DW2501" s="1" t="s">
        <v>43</v>
      </c>
      <c r="DX2501" s="1" t="s">
        <v>347</v>
      </c>
      <c r="DY2501" s="1" t="s">
        <v>210</v>
      </c>
      <c r="DZ2501" s="1" t="s">
        <v>785</v>
      </c>
      <c r="EA2501" s="1" t="s">
        <v>43</v>
      </c>
      <c r="EB2501" s="1" t="s">
        <v>347</v>
      </c>
      <c r="EC2501" s="1" t="s">
        <v>210</v>
      </c>
      <c r="ED2501" s="1" t="s">
        <v>2122</v>
      </c>
      <c r="EE2501" s="1" t="s">
        <v>43</v>
      </c>
      <c r="EF2501" s="1" t="s">
        <v>347</v>
      </c>
      <c r="EG2501" s="1" t="s">
        <v>210</v>
      </c>
      <c r="EH2501" s="1" t="s">
        <v>21547</v>
      </c>
      <c r="EI2501" s="1" t="s">
        <v>43</v>
      </c>
      <c r="EJ2501" s="1" t="s">
        <v>347</v>
      </c>
      <c r="EK2501" s="1" t="s">
        <v>210</v>
      </c>
      <c r="EL2501" s="1" t="s">
        <v>382</v>
      </c>
      <c r="EM2501" s="1" t="s">
        <v>319</v>
      </c>
      <c r="EN2501" s="1" t="s">
        <v>282</v>
      </c>
      <c r="EO2501" s="1" t="s">
        <v>234</v>
      </c>
      <c r="EQ2501" s="1" t="s">
        <v>21548</v>
      </c>
      <c r="ER2501" s="1" t="s">
        <v>351</v>
      </c>
      <c r="ES2501" s="1" t="s">
        <v>824</v>
      </c>
      <c r="ET2501" s="1" t="s">
        <v>238</v>
      </c>
      <c r="EU2501" s="1" t="s">
        <v>2548</v>
      </c>
      <c r="EV2501" s="1" t="s">
        <v>240</v>
      </c>
      <c r="EW2501" s="1" t="s">
        <v>547</v>
      </c>
      <c r="EY2501" s="1" t="s">
        <v>242</v>
      </c>
      <c r="EZ2501" s="1" t="s">
        <v>21549</v>
      </c>
      <c r="FA2501" s="1" t="s">
        <v>5059</v>
      </c>
      <c r="FD2501" s="1" t="s">
        <v>246</v>
      </c>
      <c r="FE2501" s="1" t="s">
        <v>975</v>
      </c>
      <c r="FF2501" s="1" t="s">
        <v>248</v>
      </c>
      <c r="FG2501" s="1" t="s">
        <v>2739</v>
      </c>
      <c r="FH2501" s="1" t="s">
        <v>825</v>
      </c>
      <c r="FI2501" s="1" t="s">
        <v>473</v>
      </c>
      <c r="FJ2501" s="1" t="s">
        <v>1620</v>
      </c>
      <c r="FL2501" s="1" t="s">
        <v>358</v>
      </c>
      <c r="FM2501" s="1" t="s">
        <v>252</v>
      </c>
      <c r="FN2501" s="1" t="s">
        <v>213</v>
      </c>
      <c r="FO2501" s="1" t="s">
        <v>204</v>
      </c>
      <c r="FQ2501" s="1" t="s">
        <v>956</v>
      </c>
      <c r="FR2501" s="1" t="s">
        <v>210</v>
      </c>
      <c r="FS2501" s="1" t="s">
        <v>21550</v>
      </c>
      <c r="FT2501" s="1" t="s">
        <v>295</v>
      </c>
      <c r="FU2501" s="1" t="s">
        <v>204</v>
      </c>
      <c r="FW2501" s="1" t="s">
        <v>943</v>
      </c>
      <c r="FX2501" s="1">
        <v>23279</v>
      </c>
      <c r="FY2501" s="1" t="s">
        <v>3636</v>
      </c>
      <c r="FZ2501" s="1" t="s">
        <v>21551</v>
      </c>
      <c r="GA2501" s="1">
        <v>240720</v>
      </c>
      <c r="GB2501" s="1" t="s">
        <v>21552</v>
      </c>
      <c r="GE2501" s="1" t="s">
        <v>210</v>
      </c>
      <c r="GI2501" s="1" t="s">
        <v>213</v>
      </c>
      <c r="GJ2501" s="1" t="s">
        <v>260</v>
      </c>
      <c r="GK2501" s="1" t="s">
        <v>210</v>
      </c>
      <c r="GL2501" s="2">
        <v>42102</v>
      </c>
      <c r="GM2501" s="1" t="s">
        <v>21553</v>
      </c>
    </row>
    <row r="2502" spans="1:195">
      <c r="A2502" s="1">
        <v>133000</v>
      </c>
      <c r="B2502" s="1" t="s">
        <v>195</v>
      </c>
      <c r="C2502" s="1" t="str">
        <f>"08836899"</f>
        <v>08836899</v>
      </c>
      <c r="D2502" s="1" t="s">
        <v>196</v>
      </c>
      <c r="F2502" s="1" t="str">
        <f>"507"</f>
        <v>507</v>
      </c>
      <c r="G2502" s="2">
        <v>42047</v>
      </c>
      <c r="H2502" s="1">
        <v>138900</v>
      </c>
      <c r="I2502" s="1">
        <v>138900</v>
      </c>
      <c r="J2502" s="1">
        <v>133000</v>
      </c>
      <c r="K2502" s="2">
        <v>42047</v>
      </c>
      <c r="L2502" s="1">
        <v>19</v>
      </c>
      <c r="M2502" s="2">
        <v>42065</v>
      </c>
      <c r="N2502" s="1">
        <v>19</v>
      </c>
      <c r="O2502" s="2">
        <v>42065</v>
      </c>
      <c r="P2502" s="1">
        <v>604</v>
      </c>
      <c r="Q2502" s="1" t="s">
        <v>423</v>
      </c>
      <c r="R2502" s="2">
        <v>42101</v>
      </c>
      <c r="S2502" s="1">
        <v>381</v>
      </c>
      <c r="U2502" s="1">
        <v>2424</v>
      </c>
      <c r="V2502" s="1" t="s">
        <v>3924</v>
      </c>
      <c r="W2502" s="1" t="s">
        <v>449</v>
      </c>
      <c r="X2502" s="1">
        <v>5</v>
      </c>
      <c r="Y2502" s="1">
        <v>5</v>
      </c>
      <c r="Z2502" s="1" t="s">
        <v>370</v>
      </c>
      <c r="AA2502" s="1" t="s">
        <v>1123</v>
      </c>
      <c r="AB2502" s="1">
        <v>60506</v>
      </c>
      <c r="AD2502" s="1" t="s">
        <v>4047</v>
      </c>
      <c r="AE2502" s="1" t="s">
        <v>21554</v>
      </c>
      <c r="AF2502" s="1">
        <v>1998</v>
      </c>
      <c r="AG2502" s="1" t="s">
        <v>204</v>
      </c>
      <c r="AH2502" s="1" t="s">
        <v>1126</v>
      </c>
      <c r="AI2502" s="1" t="s">
        <v>665</v>
      </c>
      <c r="AJ2502" s="1" t="s">
        <v>1126</v>
      </c>
      <c r="AK2502" s="1" t="s">
        <v>3188</v>
      </c>
      <c r="AL2502" s="1">
        <v>7</v>
      </c>
      <c r="AM2502" s="1">
        <v>2</v>
      </c>
      <c r="AN2502" s="1">
        <v>2</v>
      </c>
      <c r="AO2502" s="1">
        <v>1</v>
      </c>
      <c r="AP2502" s="1" t="s">
        <v>209</v>
      </c>
      <c r="AQ2502" s="1">
        <v>1</v>
      </c>
      <c r="AR2502" s="1" t="s">
        <v>2165</v>
      </c>
      <c r="AS2502" s="1" t="s">
        <v>204</v>
      </c>
      <c r="AT2502" s="1" t="s">
        <v>211</v>
      </c>
      <c r="AU2502" s="1">
        <v>2</v>
      </c>
      <c r="AW2502" s="1" t="s">
        <v>204</v>
      </c>
      <c r="AX2502" s="1" t="s">
        <v>212</v>
      </c>
      <c r="AZ2502" s="1">
        <v>4852.8599999999997</v>
      </c>
      <c r="BA2502" s="1">
        <v>2013</v>
      </c>
      <c r="BB2502" s="1" t="s">
        <v>405</v>
      </c>
      <c r="BE2502" s="1">
        <v>1500</v>
      </c>
      <c r="BF2502" s="1">
        <v>1</v>
      </c>
      <c r="BG2502" s="1">
        <v>15</v>
      </c>
      <c r="BL2502" s="1">
        <v>177</v>
      </c>
      <c r="BM2502" s="1" t="s">
        <v>204</v>
      </c>
      <c r="BN2502" s="1" t="s">
        <v>213</v>
      </c>
      <c r="BO2502" s="1" t="s">
        <v>432</v>
      </c>
      <c r="BP2502" s="1" t="s">
        <v>204</v>
      </c>
      <c r="BR2502" s="1" t="str">
        <f>"1413233055"</f>
        <v>1413233055</v>
      </c>
      <c r="BT2502" s="1" t="s">
        <v>21555</v>
      </c>
      <c r="BX2502" s="1">
        <v>129</v>
      </c>
      <c r="BY2502" s="1">
        <v>129</v>
      </c>
      <c r="BZ2502" s="1">
        <v>129</v>
      </c>
      <c r="CB2502" s="1" t="str">
        <f t="shared" ref="CB2502:CC2502" si="1918">"0"</f>
        <v>0</v>
      </c>
      <c r="CC2502" s="1" t="str">
        <f t="shared" si="1918"/>
        <v>0</v>
      </c>
      <c r="CD2502" s="1">
        <v>39</v>
      </c>
      <c r="CE2502" s="1">
        <v>6</v>
      </c>
      <c r="CG2502" s="1" t="s">
        <v>437</v>
      </c>
      <c r="CH2502" s="1" t="s">
        <v>219</v>
      </c>
      <c r="CI2502" s="1" t="s">
        <v>220</v>
      </c>
      <c r="CK2502" s="1" t="s">
        <v>344</v>
      </c>
      <c r="CL2502" s="1" t="s">
        <v>277</v>
      </c>
      <c r="CM2502" s="1" t="s">
        <v>220</v>
      </c>
      <c r="CO2502" s="1" t="s">
        <v>348</v>
      </c>
      <c r="CP2502" s="1" t="s">
        <v>219</v>
      </c>
      <c r="CQ2502" s="1" t="s">
        <v>220</v>
      </c>
      <c r="CS2502" s="1" t="s">
        <v>465</v>
      </c>
      <c r="CT2502" s="1" t="s">
        <v>277</v>
      </c>
      <c r="CU2502" s="1" t="s">
        <v>220</v>
      </c>
      <c r="CX2502" s="1" t="s">
        <v>224</v>
      </c>
      <c r="DB2502" s="1" t="s">
        <v>224</v>
      </c>
      <c r="DE2502" s="1" t="s">
        <v>409</v>
      </c>
      <c r="DF2502" s="1" t="s">
        <v>219</v>
      </c>
      <c r="DG2502" s="1" t="s">
        <v>438</v>
      </c>
      <c r="DH2502" s="1" t="s">
        <v>210</v>
      </c>
      <c r="DI2502" s="1" t="s">
        <v>437</v>
      </c>
      <c r="DJ2502" s="1" t="s">
        <v>219</v>
      </c>
      <c r="DK2502" s="1" t="s">
        <v>220</v>
      </c>
      <c r="DM2502" s="1" t="s">
        <v>1005</v>
      </c>
      <c r="DR2502" s="1" t="s">
        <v>1297</v>
      </c>
      <c r="DS2502" s="1" t="s">
        <v>822</v>
      </c>
      <c r="DT2502" s="1" t="s">
        <v>220</v>
      </c>
      <c r="DW2502" s="1" t="s">
        <v>230</v>
      </c>
      <c r="EA2502" s="1" t="s">
        <v>230</v>
      </c>
      <c r="EE2502" s="1" t="s">
        <v>230</v>
      </c>
      <c r="EI2502" s="1" t="s">
        <v>230</v>
      </c>
      <c r="EL2502" s="1" t="s">
        <v>670</v>
      </c>
      <c r="EM2502" s="1" t="s">
        <v>319</v>
      </c>
      <c r="EN2502" s="1" t="s">
        <v>282</v>
      </c>
      <c r="EO2502" s="1" t="s">
        <v>234</v>
      </c>
      <c r="EP2502" s="1" t="s">
        <v>3782</v>
      </c>
      <c r="EQ2502" s="1" t="s">
        <v>2188</v>
      </c>
      <c r="ER2502" s="1" t="s">
        <v>544</v>
      </c>
      <c r="ES2502" s="1" t="s">
        <v>608</v>
      </c>
      <c r="ET2502" s="1" t="s">
        <v>238</v>
      </c>
      <c r="EU2502" s="1" t="s">
        <v>1820</v>
      </c>
      <c r="EW2502" s="1" t="s">
        <v>353</v>
      </c>
      <c r="EY2502" s="1" t="s">
        <v>790</v>
      </c>
      <c r="EZ2502" s="1" t="s">
        <v>1005</v>
      </c>
      <c r="FA2502" s="1" t="s">
        <v>672</v>
      </c>
      <c r="FB2502" s="1" t="s">
        <v>289</v>
      </c>
      <c r="FC2502" s="1" t="s">
        <v>1362</v>
      </c>
      <c r="FD2502" s="1" t="s">
        <v>246</v>
      </c>
      <c r="FE2502" s="1" t="s">
        <v>651</v>
      </c>
      <c r="FF2502" s="1" t="s">
        <v>248</v>
      </c>
      <c r="FG2502" s="1" t="s">
        <v>3685</v>
      </c>
      <c r="FH2502" s="1" t="s">
        <v>249</v>
      </c>
      <c r="FI2502" s="1" t="s">
        <v>473</v>
      </c>
      <c r="FL2502" s="1" t="s">
        <v>358</v>
      </c>
      <c r="FM2502" s="1" t="s">
        <v>252</v>
      </c>
      <c r="FN2502" s="1" t="s">
        <v>213</v>
      </c>
      <c r="FO2502" s="1" t="s">
        <v>213</v>
      </c>
      <c r="FQ2502" s="1" t="s">
        <v>849</v>
      </c>
      <c r="FR2502" s="1" t="s">
        <v>652</v>
      </c>
      <c r="FS2502" s="1" t="s">
        <v>21556</v>
      </c>
      <c r="FT2502" s="1" t="s">
        <v>295</v>
      </c>
      <c r="FU2502" s="1" t="s">
        <v>204</v>
      </c>
      <c r="FW2502" s="1" t="s">
        <v>2420</v>
      </c>
      <c r="FX2502" s="1">
        <v>41</v>
      </c>
      <c r="FY2502" s="1" t="s">
        <v>2421</v>
      </c>
      <c r="FZ2502" s="1" t="s">
        <v>21557</v>
      </c>
      <c r="GA2502" s="1">
        <v>79</v>
      </c>
      <c r="GB2502" s="1" t="s">
        <v>21558</v>
      </c>
      <c r="GD2502" s="1" t="s">
        <v>21559</v>
      </c>
      <c r="GE2502" s="1" t="s">
        <v>210</v>
      </c>
      <c r="GI2502" s="1" t="s">
        <v>213</v>
      </c>
      <c r="GJ2502" s="1" t="s">
        <v>260</v>
      </c>
      <c r="GK2502" s="1" t="s">
        <v>210</v>
      </c>
      <c r="GL2502" s="2">
        <v>42103</v>
      </c>
    </row>
    <row r="2503" spans="1:195">
      <c r="A2503" s="1">
        <v>133000</v>
      </c>
      <c r="B2503" s="1" t="s">
        <v>195</v>
      </c>
      <c r="C2503" s="1" t="str">
        <f>"08840288"</f>
        <v>08840288</v>
      </c>
      <c r="D2503" s="1" t="s">
        <v>196</v>
      </c>
      <c r="F2503" s="1" t="str">
        <f>"10"</f>
        <v>10</v>
      </c>
      <c r="G2503" s="2">
        <v>42052</v>
      </c>
      <c r="H2503" s="1">
        <v>145000</v>
      </c>
      <c r="I2503" s="1">
        <v>138000</v>
      </c>
      <c r="J2503" s="1">
        <v>133000</v>
      </c>
      <c r="K2503" s="2">
        <v>42052</v>
      </c>
      <c r="L2503" s="1">
        <v>93</v>
      </c>
      <c r="M2503" s="2">
        <v>42079</v>
      </c>
      <c r="N2503" s="1">
        <v>28</v>
      </c>
      <c r="O2503" s="2">
        <v>42079</v>
      </c>
      <c r="P2503" s="1">
        <v>7450</v>
      </c>
      <c r="Q2503" s="1" t="s">
        <v>302</v>
      </c>
      <c r="R2503" s="2">
        <v>42101</v>
      </c>
      <c r="S2503" s="1">
        <v>1256</v>
      </c>
      <c r="U2503" s="1">
        <v>280</v>
      </c>
      <c r="V2503" s="1" t="s">
        <v>6421</v>
      </c>
      <c r="W2503" s="1" t="s">
        <v>1056</v>
      </c>
      <c r="X2503" s="1" t="s">
        <v>483</v>
      </c>
      <c r="Y2503" s="1">
        <v>4</v>
      </c>
      <c r="Z2503" s="1" t="s">
        <v>249</v>
      </c>
      <c r="AA2503" s="1" t="s">
        <v>1985</v>
      </c>
      <c r="AB2503" s="1">
        <v>60010</v>
      </c>
      <c r="AD2503" s="1" t="s">
        <v>1986</v>
      </c>
      <c r="AE2503" s="1" t="s">
        <v>21560</v>
      </c>
      <c r="AF2503" s="1">
        <v>1979</v>
      </c>
      <c r="AG2503" s="1" t="s">
        <v>204</v>
      </c>
      <c r="AH2503" s="1" t="s">
        <v>1988</v>
      </c>
      <c r="AI2503" s="1" t="s">
        <v>509</v>
      </c>
      <c r="AJ2503" s="1" t="s">
        <v>1989</v>
      </c>
      <c r="AK2503" s="1" t="s">
        <v>21561</v>
      </c>
      <c r="AL2503" s="1">
        <v>5</v>
      </c>
      <c r="AM2503" s="1">
        <v>2</v>
      </c>
      <c r="AN2503" s="1">
        <v>1</v>
      </c>
      <c r="AO2503" s="1">
        <v>1</v>
      </c>
      <c r="AP2503" s="1" t="s">
        <v>209</v>
      </c>
      <c r="AQ2503" s="1">
        <v>1</v>
      </c>
      <c r="AR2503" s="1" t="s">
        <v>210</v>
      </c>
      <c r="AS2503" s="1" t="s">
        <v>204</v>
      </c>
      <c r="AT2503" s="1" t="s">
        <v>211</v>
      </c>
      <c r="AU2503" s="1">
        <v>1</v>
      </c>
      <c r="AW2503" s="1" t="s">
        <v>204</v>
      </c>
      <c r="AX2503" s="1" t="s">
        <v>212</v>
      </c>
      <c r="AZ2503" s="1">
        <v>3361</v>
      </c>
      <c r="BA2503" s="1">
        <v>2013</v>
      </c>
      <c r="BB2503" s="1" t="s">
        <v>599</v>
      </c>
      <c r="BE2503" s="1">
        <v>1333</v>
      </c>
      <c r="BF2503" s="1">
        <v>1</v>
      </c>
      <c r="BG2503" s="1">
        <v>30</v>
      </c>
      <c r="BL2503" s="1">
        <v>385</v>
      </c>
      <c r="BM2503" s="1" t="s">
        <v>413</v>
      </c>
      <c r="BN2503" s="1" t="s">
        <v>213</v>
      </c>
      <c r="BO2503" s="1">
        <v>50</v>
      </c>
      <c r="BP2503" s="1" t="s">
        <v>204</v>
      </c>
      <c r="BR2503" s="1" t="str">
        <f>"13113002320000"</f>
        <v>13113002320000</v>
      </c>
      <c r="BT2503" s="1" t="s">
        <v>21562</v>
      </c>
      <c r="BU2503" s="1" t="s">
        <v>1992</v>
      </c>
      <c r="BV2503" s="1" t="s">
        <v>1993</v>
      </c>
      <c r="BW2503" s="1" t="s">
        <v>1994</v>
      </c>
      <c r="BX2503" s="1">
        <v>220</v>
      </c>
      <c r="BY2503" s="1">
        <v>220</v>
      </c>
      <c r="BZ2503" s="1">
        <v>220</v>
      </c>
      <c r="CB2503" s="1" t="str">
        <f>"24"</f>
        <v>24</v>
      </c>
      <c r="CC2503" s="1" t="str">
        <f t="shared" ref="CC2503:CC2505" si="1919">"0"</f>
        <v>0</v>
      </c>
      <c r="CD2503" s="1">
        <v>26</v>
      </c>
      <c r="CE2503" s="1">
        <v>0</v>
      </c>
      <c r="CG2503" s="1" t="s">
        <v>1200</v>
      </c>
      <c r="CH2503" s="1" t="s">
        <v>219</v>
      </c>
      <c r="CI2503" s="1" t="s">
        <v>220</v>
      </c>
      <c r="CK2503" s="1" t="s">
        <v>1045</v>
      </c>
      <c r="CL2503" s="1" t="s">
        <v>219</v>
      </c>
      <c r="CM2503" s="1" t="s">
        <v>220</v>
      </c>
      <c r="CO2503" s="1" t="s">
        <v>1046</v>
      </c>
      <c r="CP2503" s="1" t="s">
        <v>219</v>
      </c>
      <c r="CQ2503" s="1" t="s">
        <v>220</v>
      </c>
      <c r="CS2503" s="1" t="s">
        <v>317</v>
      </c>
      <c r="CT2503" s="1" t="s">
        <v>219</v>
      </c>
      <c r="CU2503" s="1" t="s">
        <v>220</v>
      </c>
      <c r="CX2503" s="1" t="s">
        <v>224</v>
      </c>
      <c r="DB2503" s="1" t="s">
        <v>224</v>
      </c>
      <c r="DE2503" s="1" t="s">
        <v>7932</v>
      </c>
      <c r="DF2503" s="1" t="s">
        <v>219</v>
      </c>
      <c r="DG2503" s="1" t="s">
        <v>342</v>
      </c>
      <c r="DJ2503" s="1" t="s">
        <v>224</v>
      </c>
      <c r="DS2503" s="1" t="s">
        <v>230</v>
      </c>
      <c r="DW2503" s="1" t="s">
        <v>230</v>
      </c>
      <c r="EA2503" s="1" t="s">
        <v>230</v>
      </c>
      <c r="EE2503" s="1" t="s">
        <v>230</v>
      </c>
      <c r="EI2503" s="1" t="s">
        <v>230</v>
      </c>
      <c r="EL2503" s="1" t="s">
        <v>231</v>
      </c>
      <c r="EM2503" s="1" t="s">
        <v>761</v>
      </c>
      <c r="EN2503" s="1" t="s">
        <v>282</v>
      </c>
      <c r="EO2503" s="1" t="s">
        <v>234</v>
      </c>
      <c r="EP2503" s="1" t="s">
        <v>21563</v>
      </c>
      <c r="EQ2503" s="1" t="s">
        <v>236</v>
      </c>
      <c r="ER2503" s="1" t="s">
        <v>210</v>
      </c>
      <c r="ES2503" s="1" t="s">
        <v>322</v>
      </c>
      <c r="ET2503" s="1" t="s">
        <v>609</v>
      </c>
      <c r="EU2503" s="1" t="s">
        <v>3377</v>
      </c>
      <c r="EV2503" s="1" t="s">
        <v>352</v>
      </c>
      <c r="EW2503" s="1" t="s">
        <v>21564</v>
      </c>
      <c r="EY2503" s="1" t="s">
        <v>242</v>
      </c>
      <c r="EZ2503" s="1" t="s">
        <v>287</v>
      </c>
      <c r="FC2503" s="1" t="s">
        <v>633</v>
      </c>
      <c r="FD2503" s="1" t="s">
        <v>246</v>
      </c>
      <c r="FE2503" s="1" t="s">
        <v>12105</v>
      </c>
      <c r="FF2503" s="1" t="s">
        <v>248</v>
      </c>
      <c r="FG2503" s="1" t="s">
        <v>939</v>
      </c>
      <c r="FH2503" s="1" t="s">
        <v>249</v>
      </c>
      <c r="FI2503" s="1" t="s">
        <v>357</v>
      </c>
      <c r="FL2503" s="1" t="s">
        <v>21565</v>
      </c>
      <c r="FM2503" s="1" t="s">
        <v>252</v>
      </c>
      <c r="FN2503" s="1" t="s">
        <v>213</v>
      </c>
      <c r="FO2503" s="1" t="s">
        <v>213</v>
      </c>
      <c r="FQ2503" s="1" t="s">
        <v>359</v>
      </c>
      <c r="FR2503" s="1" t="s">
        <v>210</v>
      </c>
      <c r="FS2503" s="1" t="s">
        <v>21566</v>
      </c>
      <c r="FT2503" s="1" t="s">
        <v>295</v>
      </c>
      <c r="FU2503" s="1" t="s">
        <v>204</v>
      </c>
      <c r="FW2503" s="1" t="s">
        <v>915</v>
      </c>
      <c r="FX2503" s="1">
        <v>6022</v>
      </c>
      <c r="FY2503" s="1" t="s">
        <v>4180</v>
      </c>
      <c r="FZ2503" s="1" t="s">
        <v>21567</v>
      </c>
      <c r="GA2503" s="1">
        <v>62177</v>
      </c>
      <c r="GB2503" s="1" t="s">
        <v>21568</v>
      </c>
      <c r="GE2503" s="1" t="s">
        <v>480</v>
      </c>
      <c r="GI2503" s="1" t="s">
        <v>213</v>
      </c>
      <c r="GJ2503" s="1" t="s">
        <v>260</v>
      </c>
      <c r="GK2503" s="1" t="s">
        <v>210</v>
      </c>
      <c r="GL2503" s="2">
        <v>42102</v>
      </c>
      <c r="GM2503" s="1" t="s">
        <v>21569</v>
      </c>
    </row>
    <row r="2504" spans="1:195">
      <c r="A2504" s="1">
        <v>110000</v>
      </c>
      <c r="B2504" s="1" t="s">
        <v>195</v>
      </c>
      <c r="C2504" s="1" t="str">
        <f>"08838075"</f>
        <v>08838075</v>
      </c>
      <c r="D2504" s="1" t="s">
        <v>196</v>
      </c>
      <c r="F2504" s="1" t="str">
        <f>"48"</f>
        <v>48</v>
      </c>
      <c r="G2504" s="2">
        <v>42048</v>
      </c>
      <c r="H2504" s="1">
        <v>110000</v>
      </c>
      <c r="I2504" s="1">
        <v>110000</v>
      </c>
      <c r="J2504" s="1">
        <v>110000</v>
      </c>
      <c r="K2504" s="2">
        <v>42046</v>
      </c>
      <c r="L2504" s="1">
        <v>15</v>
      </c>
      <c r="M2504" s="2">
        <v>42060</v>
      </c>
      <c r="N2504" s="1">
        <v>15</v>
      </c>
      <c r="O2504" s="2">
        <v>42060</v>
      </c>
      <c r="P2504" s="1">
        <v>8666</v>
      </c>
      <c r="Q2504" s="1" t="s">
        <v>197</v>
      </c>
      <c r="R2504" s="2">
        <v>42121</v>
      </c>
      <c r="S2504" s="1">
        <v>29587</v>
      </c>
      <c r="U2504" s="1">
        <v>831</v>
      </c>
      <c r="V2504" s="1" t="s">
        <v>3886</v>
      </c>
      <c r="W2504" s="1" t="s">
        <v>425</v>
      </c>
      <c r="X2504" s="1" t="s">
        <v>1688</v>
      </c>
      <c r="Y2504" s="1">
        <v>8</v>
      </c>
      <c r="Z2504" s="1" t="s">
        <v>249</v>
      </c>
      <c r="AA2504" s="1" t="s">
        <v>6674</v>
      </c>
      <c r="AB2504" s="1">
        <v>60048</v>
      </c>
      <c r="AD2504" s="1" t="s">
        <v>10718</v>
      </c>
      <c r="AE2504" s="1" t="s">
        <v>21570</v>
      </c>
      <c r="AF2504" s="1">
        <v>1978</v>
      </c>
      <c r="AG2504" s="1" t="s">
        <v>204</v>
      </c>
      <c r="AH2504" s="1" t="s">
        <v>1693</v>
      </c>
      <c r="AI2504" s="1" t="s">
        <v>509</v>
      </c>
      <c r="AJ2504" s="1" t="s">
        <v>1693</v>
      </c>
      <c r="AK2504" s="1" t="s">
        <v>12149</v>
      </c>
      <c r="AL2504" s="1">
        <v>5</v>
      </c>
      <c r="AM2504" s="1">
        <v>2</v>
      </c>
      <c r="AN2504" s="1">
        <v>2</v>
      </c>
      <c r="AO2504" s="1">
        <v>0</v>
      </c>
      <c r="AP2504" s="1" t="s">
        <v>209</v>
      </c>
      <c r="AR2504" s="1" t="s">
        <v>210</v>
      </c>
      <c r="AS2504" s="1" t="s">
        <v>204</v>
      </c>
      <c r="AT2504" s="1" t="s">
        <v>211</v>
      </c>
      <c r="AU2504" s="1">
        <v>1</v>
      </c>
      <c r="AW2504" s="1" t="s">
        <v>204</v>
      </c>
      <c r="AX2504" s="1" t="s">
        <v>212</v>
      </c>
      <c r="AZ2504" s="1">
        <v>3327.04</v>
      </c>
      <c r="BA2504" s="1">
        <v>2013</v>
      </c>
      <c r="BB2504" s="1" t="s">
        <v>210</v>
      </c>
      <c r="BE2504" s="1">
        <v>926</v>
      </c>
      <c r="BF2504" s="1">
        <v>2</v>
      </c>
      <c r="BG2504" s="1">
        <v>10</v>
      </c>
      <c r="BJ2504" s="1">
        <v>80</v>
      </c>
      <c r="BL2504" s="1">
        <v>191</v>
      </c>
      <c r="BM2504" s="1" t="s">
        <v>204</v>
      </c>
      <c r="BN2504" s="1" t="s">
        <v>213</v>
      </c>
      <c r="BO2504" s="1">
        <v>50</v>
      </c>
      <c r="BP2504" s="1" t="s">
        <v>204</v>
      </c>
      <c r="BR2504" s="1" t="str">
        <f>"11213112370000"</f>
        <v>11213112370000</v>
      </c>
      <c r="BT2504" s="1" t="s">
        <v>21571</v>
      </c>
      <c r="BU2504" s="1" t="s">
        <v>10721</v>
      </c>
      <c r="BV2504" s="1" t="s">
        <v>6680</v>
      </c>
      <c r="BW2504" s="1" t="s">
        <v>1696</v>
      </c>
      <c r="BX2504" s="1">
        <v>70</v>
      </c>
      <c r="BY2504" s="1">
        <v>70</v>
      </c>
      <c r="BZ2504" s="1">
        <v>128</v>
      </c>
      <c r="CB2504" s="1" t="str">
        <f>"28"</f>
        <v>28</v>
      </c>
      <c r="CC2504" s="1" t="str">
        <f t="shared" si="1919"/>
        <v>0</v>
      </c>
      <c r="CD2504" s="1">
        <v>16</v>
      </c>
      <c r="CE2504" s="1">
        <v>0</v>
      </c>
      <c r="CG2504" s="1" t="s">
        <v>538</v>
      </c>
      <c r="CH2504" s="1" t="s">
        <v>219</v>
      </c>
      <c r="CI2504" s="1" t="s">
        <v>220</v>
      </c>
      <c r="CJ2504" s="1" t="s">
        <v>343</v>
      </c>
      <c r="CK2504" s="1" t="s">
        <v>317</v>
      </c>
      <c r="CL2504" s="1" t="s">
        <v>219</v>
      </c>
      <c r="CM2504" s="1" t="s">
        <v>220</v>
      </c>
      <c r="CO2504" s="1" t="s">
        <v>348</v>
      </c>
      <c r="CP2504" s="1" t="s">
        <v>219</v>
      </c>
      <c r="CQ2504" s="1" t="s">
        <v>220</v>
      </c>
      <c r="CR2504" s="1" t="s">
        <v>343</v>
      </c>
      <c r="CS2504" s="1" t="s">
        <v>408</v>
      </c>
      <c r="CT2504" s="1" t="s">
        <v>219</v>
      </c>
      <c r="CU2504" s="1" t="s">
        <v>220</v>
      </c>
      <c r="CV2504" s="1" t="s">
        <v>343</v>
      </c>
      <c r="CX2504" s="1" t="s">
        <v>224</v>
      </c>
      <c r="DB2504" s="1" t="s">
        <v>224</v>
      </c>
      <c r="DE2504" s="1" t="s">
        <v>516</v>
      </c>
      <c r="DF2504" s="1" t="s">
        <v>219</v>
      </c>
      <c r="DG2504" s="1" t="s">
        <v>342</v>
      </c>
      <c r="DH2504" s="1" t="s">
        <v>343</v>
      </c>
      <c r="DJ2504" s="1" t="s">
        <v>224</v>
      </c>
      <c r="DS2504" s="1" t="s">
        <v>230</v>
      </c>
      <c r="DW2504" s="1" t="s">
        <v>230</v>
      </c>
      <c r="EA2504" s="1" t="s">
        <v>230</v>
      </c>
      <c r="EE2504" s="1" t="s">
        <v>230</v>
      </c>
      <c r="EI2504" s="1" t="s">
        <v>230</v>
      </c>
      <c r="EL2504" s="1" t="s">
        <v>231</v>
      </c>
      <c r="EM2504" s="1" t="s">
        <v>319</v>
      </c>
      <c r="EN2504" s="1" t="s">
        <v>282</v>
      </c>
      <c r="EO2504" s="1" t="s">
        <v>234</v>
      </c>
      <c r="EP2504" s="1" t="s">
        <v>4949</v>
      </c>
      <c r="EQ2504" s="1" t="s">
        <v>468</v>
      </c>
      <c r="ER2504" s="1" t="s">
        <v>210</v>
      </c>
      <c r="ES2504" s="1" t="s">
        <v>322</v>
      </c>
      <c r="EV2504" s="1" t="s">
        <v>352</v>
      </c>
      <c r="EW2504" s="1" t="s">
        <v>286</v>
      </c>
      <c r="EY2504" s="1" t="s">
        <v>2455</v>
      </c>
      <c r="EZ2504" s="1" t="s">
        <v>287</v>
      </c>
      <c r="FB2504" s="1" t="s">
        <v>734</v>
      </c>
      <c r="FC2504" s="1" t="s">
        <v>548</v>
      </c>
      <c r="FD2504" s="1" t="s">
        <v>495</v>
      </c>
      <c r="FE2504" s="1" t="s">
        <v>247</v>
      </c>
      <c r="FF2504" s="1" t="s">
        <v>2998</v>
      </c>
      <c r="FH2504" s="1" t="s">
        <v>1387</v>
      </c>
      <c r="FI2504" s="1" t="s">
        <v>357</v>
      </c>
      <c r="FJ2504" s="1" t="s">
        <v>197</v>
      </c>
      <c r="FL2504" s="1" t="s">
        <v>358</v>
      </c>
      <c r="FM2504" s="1" t="s">
        <v>252</v>
      </c>
      <c r="FN2504" s="1" t="s">
        <v>213</v>
      </c>
      <c r="FO2504" s="1" t="s">
        <v>213</v>
      </c>
      <c r="FQ2504" s="1" t="s">
        <v>21572</v>
      </c>
      <c r="FR2504" s="1" t="s">
        <v>210</v>
      </c>
      <c r="FS2504" s="1" t="s">
        <v>5680</v>
      </c>
      <c r="FT2504" s="1" t="s">
        <v>520</v>
      </c>
      <c r="FU2504" s="1" t="s">
        <v>204</v>
      </c>
      <c r="FW2504" s="1" t="s">
        <v>1637</v>
      </c>
      <c r="FX2504" s="1">
        <v>2626</v>
      </c>
      <c r="FY2504" s="1" t="s">
        <v>1638</v>
      </c>
      <c r="FZ2504" s="1" t="s">
        <v>21573</v>
      </c>
      <c r="GA2504" s="1">
        <v>20456</v>
      </c>
      <c r="GB2504" s="1" t="s">
        <v>21574</v>
      </c>
      <c r="GE2504" s="1" t="s">
        <v>658</v>
      </c>
      <c r="GI2504" s="1" t="s">
        <v>213</v>
      </c>
      <c r="GJ2504" s="1" t="s">
        <v>260</v>
      </c>
      <c r="GK2504" s="1" t="s">
        <v>210</v>
      </c>
      <c r="GL2504" s="2">
        <v>42121</v>
      </c>
      <c r="GM2504" s="1" t="s">
        <v>21575</v>
      </c>
    </row>
    <row r="2505" spans="1:195">
      <c r="A2505" s="1">
        <v>124500</v>
      </c>
      <c r="B2505" s="1" t="s">
        <v>195</v>
      </c>
      <c r="C2505" s="1" t="str">
        <f>"08835589"</f>
        <v>08835589</v>
      </c>
      <c r="D2505" s="1" t="s">
        <v>196</v>
      </c>
      <c r="F2505" s="1" t="str">
        <f>"30"</f>
        <v>30</v>
      </c>
      <c r="G2505" s="2">
        <v>42045</v>
      </c>
      <c r="H2505" s="1">
        <v>129000</v>
      </c>
      <c r="I2505" s="1">
        <v>129000</v>
      </c>
      <c r="J2505" s="1">
        <v>124500</v>
      </c>
      <c r="K2505" s="2">
        <v>42045</v>
      </c>
      <c r="L2505" s="1">
        <v>14</v>
      </c>
      <c r="M2505" s="2">
        <v>42058</v>
      </c>
      <c r="N2505" s="1">
        <v>14</v>
      </c>
      <c r="O2505" s="2">
        <v>42058</v>
      </c>
      <c r="P2505" s="1">
        <v>2644</v>
      </c>
      <c r="Q2505" s="1" t="s">
        <v>197</v>
      </c>
      <c r="R2505" s="2">
        <v>42096</v>
      </c>
      <c r="S2505" s="1">
        <v>18736</v>
      </c>
      <c r="U2505" s="1">
        <v>1437</v>
      </c>
      <c r="V2505" s="1" t="s">
        <v>10063</v>
      </c>
      <c r="W2505" s="1" t="s">
        <v>304</v>
      </c>
      <c r="Y2505" s="1">
        <v>4</v>
      </c>
      <c r="Z2505" s="1" t="s">
        <v>370</v>
      </c>
      <c r="AA2505" s="1" t="s">
        <v>1834</v>
      </c>
      <c r="AB2505" s="1">
        <v>60030</v>
      </c>
      <c r="AD2505" s="1" t="s">
        <v>7173</v>
      </c>
      <c r="AE2505" s="1" t="s">
        <v>21576</v>
      </c>
      <c r="AF2505" s="1">
        <v>1998</v>
      </c>
      <c r="AG2505" s="1" t="s">
        <v>204</v>
      </c>
      <c r="AH2505" s="1" t="s">
        <v>1837</v>
      </c>
      <c r="AI2505" s="1" t="s">
        <v>509</v>
      </c>
      <c r="AJ2505" s="1" t="s">
        <v>1263</v>
      </c>
      <c r="AK2505" s="1" t="s">
        <v>1838</v>
      </c>
      <c r="AL2505" s="1">
        <v>6</v>
      </c>
      <c r="AM2505" s="1">
        <v>2</v>
      </c>
      <c r="AN2505" s="1">
        <v>1</v>
      </c>
      <c r="AO2505" s="1">
        <v>1</v>
      </c>
      <c r="AP2505" s="1" t="s">
        <v>667</v>
      </c>
      <c r="AR2505" s="1" t="s">
        <v>210</v>
      </c>
      <c r="AS2505" s="1" t="s">
        <v>204</v>
      </c>
      <c r="AT2505" s="1" t="s">
        <v>211</v>
      </c>
      <c r="AU2505" s="1">
        <v>1</v>
      </c>
      <c r="AW2505" s="1" t="s">
        <v>204</v>
      </c>
      <c r="AX2505" s="1" t="s">
        <v>21577</v>
      </c>
      <c r="AZ2505" s="1">
        <v>5225.58</v>
      </c>
      <c r="BA2505" s="1">
        <v>2013</v>
      </c>
      <c r="BB2505" s="1" t="s">
        <v>405</v>
      </c>
      <c r="BE2505" s="1">
        <v>1250</v>
      </c>
      <c r="BF2505" s="1">
        <v>1</v>
      </c>
      <c r="BG2505" s="1">
        <v>0</v>
      </c>
      <c r="BL2505" s="1">
        <v>128</v>
      </c>
      <c r="BM2505" s="1" t="s">
        <v>204</v>
      </c>
      <c r="BN2505" s="1" t="s">
        <v>213</v>
      </c>
      <c r="BO2505" s="1">
        <v>0</v>
      </c>
      <c r="BP2505" s="1" t="s">
        <v>204</v>
      </c>
      <c r="BR2505" s="1" t="str">
        <f>"06222100670000"</f>
        <v>06222100670000</v>
      </c>
      <c r="BT2505" s="1" t="s">
        <v>21578</v>
      </c>
      <c r="BU2505" s="1" t="s">
        <v>1841</v>
      </c>
      <c r="BV2505" s="1" t="s">
        <v>1842</v>
      </c>
      <c r="BW2505" s="1" t="s">
        <v>1843</v>
      </c>
      <c r="BX2505" s="1">
        <v>46</v>
      </c>
      <c r="BY2505" s="1">
        <v>46</v>
      </c>
      <c r="BZ2505" s="1">
        <v>127</v>
      </c>
      <c r="CB2505" s="1" t="str">
        <f>"34"</f>
        <v>34</v>
      </c>
      <c r="CC2505" s="1" t="str">
        <f t="shared" si="1919"/>
        <v>0</v>
      </c>
      <c r="CD2505" s="1">
        <v>21</v>
      </c>
      <c r="CE2505" s="1">
        <v>0</v>
      </c>
      <c r="CG2505" s="1" t="s">
        <v>564</v>
      </c>
      <c r="CH2505" s="1" t="s">
        <v>219</v>
      </c>
      <c r="CI2505" s="1" t="s">
        <v>438</v>
      </c>
      <c r="CK2505" s="1" t="s">
        <v>564</v>
      </c>
      <c r="CL2505" s="1" t="s">
        <v>277</v>
      </c>
      <c r="CM2505" s="1" t="s">
        <v>220</v>
      </c>
      <c r="CO2505" s="1" t="s">
        <v>2308</v>
      </c>
      <c r="CP2505" s="1" t="s">
        <v>219</v>
      </c>
      <c r="CQ2505" s="1" t="s">
        <v>438</v>
      </c>
      <c r="CS2505" s="1" t="s">
        <v>461</v>
      </c>
      <c r="CT2505" s="1" t="s">
        <v>277</v>
      </c>
      <c r="CU2505" s="1" t="s">
        <v>220</v>
      </c>
      <c r="CX2505" s="1" t="s">
        <v>224</v>
      </c>
      <c r="DB2505" s="1" t="s">
        <v>224</v>
      </c>
      <c r="DE2505" s="1" t="s">
        <v>378</v>
      </c>
      <c r="DF2505" s="1" t="s">
        <v>219</v>
      </c>
      <c r="DG2505" s="1" t="s">
        <v>342</v>
      </c>
      <c r="DJ2505" s="1" t="s">
        <v>224</v>
      </c>
      <c r="DM2505" s="1" t="s">
        <v>464</v>
      </c>
      <c r="DR2505" s="1" t="s">
        <v>412</v>
      </c>
      <c r="DS2505" s="1" t="s">
        <v>277</v>
      </c>
      <c r="DT2505" s="1" t="s">
        <v>220</v>
      </c>
      <c r="DW2505" s="1" t="s">
        <v>230</v>
      </c>
      <c r="EA2505" s="1" t="s">
        <v>230</v>
      </c>
      <c r="EE2505" s="1" t="s">
        <v>230</v>
      </c>
      <c r="EI2505" s="1" t="s">
        <v>230</v>
      </c>
      <c r="EL2505" s="1" t="s">
        <v>670</v>
      </c>
      <c r="EM2505" s="1" t="s">
        <v>319</v>
      </c>
      <c r="EN2505" s="1" t="s">
        <v>282</v>
      </c>
      <c r="EO2505" s="1" t="s">
        <v>234</v>
      </c>
      <c r="EP2505" s="1" t="s">
        <v>3012</v>
      </c>
      <c r="EQ2505" s="1" t="s">
        <v>4462</v>
      </c>
      <c r="ER2505" s="1" t="s">
        <v>210</v>
      </c>
      <c r="ES2505" s="1" t="s">
        <v>322</v>
      </c>
      <c r="EU2505" s="1" t="s">
        <v>1202</v>
      </c>
      <c r="EV2505" s="1" t="s">
        <v>240</v>
      </c>
      <c r="EW2505" s="1" t="s">
        <v>353</v>
      </c>
      <c r="EY2505" s="1" t="s">
        <v>242</v>
      </c>
      <c r="EZ2505" s="1" t="s">
        <v>464</v>
      </c>
      <c r="FA2505" s="1" t="s">
        <v>672</v>
      </c>
      <c r="FB2505" s="1" t="s">
        <v>289</v>
      </c>
      <c r="FD2505" s="1" t="s">
        <v>495</v>
      </c>
      <c r="FE2505" s="1" t="s">
        <v>651</v>
      </c>
      <c r="FF2505" s="1" t="s">
        <v>248</v>
      </c>
      <c r="FH2505" s="1" t="s">
        <v>550</v>
      </c>
      <c r="FI2505" s="1" t="s">
        <v>473</v>
      </c>
      <c r="FL2505" s="1" t="s">
        <v>358</v>
      </c>
      <c r="FM2505" s="1" t="s">
        <v>252</v>
      </c>
      <c r="FN2505" s="1" t="s">
        <v>213</v>
      </c>
      <c r="FO2505" s="1" t="s">
        <v>213</v>
      </c>
      <c r="FQ2505" s="1" t="s">
        <v>329</v>
      </c>
      <c r="FR2505" s="1" t="s">
        <v>210</v>
      </c>
      <c r="FS2505" s="1" t="s">
        <v>7212</v>
      </c>
      <c r="FT2505" s="1" t="s">
        <v>255</v>
      </c>
      <c r="FU2505" s="1" t="s">
        <v>204</v>
      </c>
      <c r="FW2505" s="1" t="s">
        <v>585</v>
      </c>
      <c r="FX2505" s="1">
        <v>2050</v>
      </c>
      <c r="FY2505" s="1" t="s">
        <v>4207</v>
      </c>
      <c r="FZ2505" s="1" t="s">
        <v>21579</v>
      </c>
      <c r="GA2505" s="1">
        <v>18756</v>
      </c>
      <c r="GB2505" s="1" t="s">
        <v>4207</v>
      </c>
      <c r="GE2505" s="1" t="s">
        <v>1256</v>
      </c>
      <c r="GI2505" s="1" t="s">
        <v>213</v>
      </c>
      <c r="GJ2505" s="1" t="s">
        <v>260</v>
      </c>
      <c r="GK2505" s="1" t="s">
        <v>210</v>
      </c>
      <c r="GL2505" s="2">
        <v>42096</v>
      </c>
    </row>
    <row r="2506" spans="1:195">
      <c r="A2506" s="1">
        <v>199900</v>
      </c>
      <c r="B2506" s="1" t="s">
        <v>195</v>
      </c>
      <c r="C2506" s="1" t="str">
        <f>"08834923"</f>
        <v>08834923</v>
      </c>
      <c r="D2506" s="1" t="s">
        <v>196</v>
      </c>
      <c r="F2506" s="1" t="str">
        <f>"108"</f>
        <v>108</v>
      </c>
      <c r="G2506" s="2">
        <v>42044</v>
      </c>
      <c r="H2506" s="1">
        <v>205900</v>
      </c>
      <c r="I2506" s="1">
        <v>205900</v>
      </c>
      <c r="J2506" s="1">
        <v>199900</v>
      </c>
      <c r="K2506" s="2">
        <v>42044</v>
      </c>
      <c r="L2506" s="1">
        <v>17</v>
      </c>
      <c r="M2506" s="2">
        <v>42060</v>
      </c>
      <c r="N2506" s="1">
        <v>17</v>
      </c>
      <c r="O2506" s="2">
        <v>42060</v>
      </c>
      <c r="P2506" s="1">
        <v>8073</v>
      </c>
      <c r="Q2506" s="1" t="s">
        <v>302</v>
      </c>
      <c r="R2506" s="2">
        <v>42093</v>
      </c>
      <c r="S2506" s="1">
        <v>86852</v>
      </c>
      <c r="U2506" s="1">
        <v>125</v>
      </c>
      <c r="V2506" s="1" t="s">
        <v>828</v>
      </c>
      <c r="W2506" s="1" t="s">
        <v>264</v>
      </c>
      <c r="X2506" s="1">
        <v>204</v>
      </c>
      <c r="Y2506" s="1">
        <v>80</v>
      </c>
      <c r="Z2506" s="1" t="s">
        <v>249</v>
      </c>
      <c r="AA2506" s="1" t="s">
        <v>829</v>
      </c>
      <c r="AB2506" s="1">
        <v>60108</v>
      </c>
      <c r="AE2506" s="1" t="s">
        <v>11942</v>
      </c>
      <c r="AF2506" s="1">
        <v>2008</v>
      </c>
      <c r="AG2506" s="1" t="s">
        <v>204</v>
      </c>
      <c r="AH2506" s="1" t="s">
        <v>269</v>
      </c>
      <c r="AI2506" s="1" t="s">
        <v>206</v>
      </c>
      <c r="AJ2506" s="1" t="s">
        <v>269</v>
      </c>
      <c r="AL2506" s="1">
        <v>5</v>
      </c>
      <c r="AM2506" s="1">
        <v>2</v>
      </c>
      <c r="AN2506" s="1">
        <v>2</v>
      </c>
      <c r="AO2506" s="1">
        <v>0</v>
      </c>
      <c r="AP2506" s="1" t="s">
        <v>209</v>
      </c>
      <c r="AR2506" s="1" t="s">
        <v>210</v>
      </c>
      <c r="AS2506" s="1" t="s">
        <v>204</v>
      </c>
      <c r="AT2506" s="1" t="s">
        <v>375</v>
      </c>
      <c r="AU2506" s="1">
        <v>1</v>
      </c>
      <c r="AV2506" s="1">
        <v>1</v>
      </c>
      <c r="AW2506" s="1" t="s">
        <v>204</v>
      </c>
      <c r="AX2506" s="1" t="s">
        <v>270</v>
      </c>
      <c r="AZ2506" s="1">
        <v>1923.66</v>
      </c>
      <c r="BA2506" s="1">
        <v>2013</v>
      </c>
      <c r="BE2506" s="1">
        <v>1332</v>
      </c>
      <c r="BF2506" s="1">
        <v>2</v>
      </c>
      <c r="BG2506" s="1">
        <v>0</v>
      </c>
      <c r="BL2506" s="1">
        <v>182</v>
      </c>
      <c r="BM2506" s="1" t="s">
        <v>204</v>
      </c>
      <c r="BN2506" s="1" t="s">
        <v>213</v>
      </c>
      <c r="BO2506" s="1">
        <v>999</v>
      </c>
      <c r="BP2506" s="1" t="s">
        <v>204</v>
      </c>
      <c r="BR2506" s="1" t="str">
        <f>"0214120096"</f>
        <v>0214120096</v>
      </c>
      <c r="BT2506" s="1" t="s">
        <v>11943</v>
      </c>
      <c r="BX2506" s="1">
        <v>13</v>
      </c>
      <c r="BY2506" s="1">
        <v>13</v>
      </c>
      <c r="BZ2506" s="1">
        <v>108</v>
      </c>
      <c r="CB2506" s="1" t="str">
        <f t="shared" ref="CB2506:CC2506" si="1920">""</f>
        <v/>
      </c>
      <c r="CC2506" s="1" t="str">
        <f t="shared" si="1920"/>
        <v/>
      </c>
      <c r="CG2506" s="1" t="s">
        <v>931</v>
      </c>
      <c r="CH2506" s="1" t="s">
        <v>219</v>
      </c>
      <c r="CK2506" s="1" t="s">
        <v>315</v>
      </c>
      <c r="CL2506" s="1" t="s">
        <v>219</v>
      </c>
      <c r="CO2506" s="1" t="s">
        <v>629</v>
      </c>
      <c r="CP2506" s="1" t="s">
        <v>219</v>
      </c>
      <c r="CS2506" s="1" t="s">
        <v>1358</v>
      </c>
      <c r="CT2506" s="1" t="s">
        <v>219</v>
      </c>
      <c r="CX2506" s="1" t="s">
        <v>224</v>
      </c>
      <c r="DB2506" s="1" t="s">
        <v>224</v>
      </c>
      <c r="DE2506" s="1" t="s">
        <v>316</v>
      </c>
      <c r="DF2506" s="1" t="s">
        <v>219</v>
      </c>
      <c r="DJ2506" s="1" t="s">
        <v>224</v>
      </c>
      <c r="DS2506" s="1" t="s">
        <v>230</v>
      </c>
      <c r="DW2506" s="1" t="s">
        <v>230</v>
      </c>
      <c r="EA2506" s="1" t="s">
        <v>230</v>
      </c>
      <c r="EE2506" s="1" t="s">
        <v>230</v>
      </c>
      <c r="EI2506" s="1" t="s">
        <v>230</v>
      </c>
      <c r="EL2506" s="1" t="s">
        <v>491</v>
      </c>
      <c r="EM2506" s="1" t="s">
        <v>319</v>
      </c>
      <c r="EN2506" s="1" t="s">
        <v>282</v>
      </c>
      <c r="EO2506" s="1" t="s">
        <v>234</v>
      </c>
      <c r="ER2506" s="1" t="s">
        <v>210</v>
      </c>
      <c r="EW2506" s="1" t="s">
        <v>7866</v>
      </c>
      <c r="EZ2506" s="1" t="s">
        <v>287</v>
      </c>
      <c r="FD2506" s="1" t="s">
        <v>495</v>
      </c>
      <c r="FE2506" s="1" t="s">
        <v>247</v>
      </c>
      <c r="FF2506" s="1" t="s">
        <v>248</v>
      </c>
      <c r="FH2506" s="1" t="s">
        <v>249</v>
      </c>
      <c r="FL2506" s="1" t="s">
        <v>414</v>
      </c>
      <c r="FM2506" s="1" t="s">
        <v>252</v>
      </c>
      <c r="FN2506" s="1" t="s">
        <v>213</v>
      </c>
      <c r="FO2506" s="1" t="s">
        <v>213</v>
      </c>
      <c r="FQ2506" s="1" t="s">
        <v>849</v>
      </c>
      <c r="FR2506" s="1" t="s">
        <v>210</v>
      </c>
      <c r="FS2506" s="1" t="s">
        <v>21580</v>
      </c>
      <c r="FT2506" s="1" t="s">
        <v>7868</v>
      </c>
      <c r="FU2506" s="1" t="s">
        <v>213</v>
      </c>
      <c r="FW2506" s="1" t="s">
        <v>852</v>
      </c>
      <c r="FX2506" s="1">
        <v>22250</v>
      </c>
      <c r="FY2506" s="1" t="s">
        <v>853</v>
      </c>
      <c r="FZ2506" s="1" t="s">
        <v>854</v>
      </c>
      <c r="GA2506" s="1">
        <v>242148</v>
      </c>
      <c r="GE2506" s="1" t="s">
        <v>480</v>
      </c>
      <c r="GI2506" s="1" t="s">
        <v>213</v>
      </c>
      <c r="GJ2506" s="1" t="s">
        <v>260</v>
      </c>
      <c r="GK2506" s="1" t="s">
        <v>210</v>
      </c>
      <c r="GL2506" s="2">
        <v>42094</v>
      </c>
      <c r="GM2506" s="1" t="s">
        <v>21581</v>
      </c>
    </row>
    <row r="2507" spans="1:195">
      <c r="A2507" s="1">
        <v>54500</v>
      </c>
      <c r="B2507" s="1" t="s">
        <v>195</v>
      </c>
      <c r="C2507" s="1" t="str">
        <f>"08836719"</f>
        <v>08836719</v>
      </c>
      <c r="D2507" s="1" t="s">
        <v>196</v>
      </c>
      <c r="F2507" s="1" t="str">
        <f>"30"</f>
        <v>30</v>
      </c>
      <c r="G2507" s="2">
        <v>42046</v>
      </c>
      <c r="H2507" s="1">
        <v>53600</v>
      </c>
      <c r="I2507" s="1">
        <v>53600</v>
      </c>
      <c r="J2507" s="1">
        <v>54500</v>
      </c>
      <c r="K2507" s="2">
        <v>42046</v>
      </c>
      <c r="L2507" s="1">
        <v>17</v>
      </c>
      <c r="M2507" s="2">
        <v>42062</v>
      </c>
      <c r="N2507" s="1">
        <v>17</v>
      </c>
      <c r="O2507" s="2">
        <v>42062</v>
      </c>
      <c r="P2507" s="1">
        <v>2345</v>
      </c>
      <c r="Q2507" s="1" t="s">
        <v>302</v>
      </c>
      <c r="R2507" s="2">
        <v>42104</v>
      </c>
      <c r="S2507" s="1">
        <v>240699</v>
      </c>
      <c r="U2507" s="1">
        <v>564</v>
      </c>
      <c r="V2507" s="1" t="s">
        <v>21582</v>
      </c>
      <c r="W2507" s="1" t="s">
        <v>304</v>
      </c>
      <c r="Y2507" s="7">
        <v>42100</v>
      </c>
      <c r="Z2507" s="1" t="s">
        <v>249</v>
      </c>
      <c r="AA2507" s="1" t="s">
        <v>1834</v>
      </c>
      <c r="AB2507" s="1">
        <v>60030</v>
      </c>
      <c r="AE2507" s="1" t="s">
        <v>21583</v>
      </c>
      <c r="AF2507" s="1">
        <v>1973</v>
      </c>
      <c r="AG2507" s="1" t="s">
        <v>213</v>
      </c>
      <c r="AH2507" s="1" t="s">
        <v>1837</v>
      </c>
      <c r="AI2507" s="1" t="s">
        <v>509</v>
      </c>
      <c r="AJ2507" s="1" t="s">
        <v>1263</v>
      </c>
      <c r="AK2507" s="1" t="s">
        <v>21584</v>
      </c>
      <c r="AL2507" s="1">
        <v>6</v>
      </c>
      <c r="AM2507" s="1">
        <v>2</v>
      </c>
      <c r="AN2507" s="1">
        <v>1</v>
      </c>
      <c r="AO2507" s="1">
        <v>1</v>
      </c>
      <c r="AP2507" s="1" t="s">
        <v>210</v>
      </c>
      <c r="AR2507" s="1" t="s">
        <v>209</v>
      </c>
      <c r="AS2507" s="1" t="s">
        <v>204</v>
      </c>
      <c r="AT2507" s="1" t="s">
        <v>211</v>
      </c>
      <c r="AU2507" s="1">
        <v>1</v>
      </c>
      <c r="AW2507" s="1" t="s">
        <v>204</v>
      </c>
      <c r="AX2507" s="1" t="s">
        <v>212</v>
      </c>
      <c r="AZ2507" s="1">
        <v>2502.44</v>
      </c>
      <c r="BA2507" s="1">
        <v>2013</v>
      </c>
      <c r="BE2507" s="1">
        <v>1037</v>
      </c>
      <c r="BF2507" s="1">
        <v>1</v>
      </c>
      <c r="BG2507" s="1">
        <v>0</v>
      </c>
      <c r="BL2507" s="1">
        <v>275</v>
      </c>
      <c r="BM2507" s="1" t="s">
        <v>413</v>
      </c>
      <c r="BN2507" s="1" t="s">
        <v>213</v>
      </c>
      <c r="BO2507" s="1">
        <v>10</v>
      </c>
      <c r="BP2507" s="1" t="s">
        <v>204</v>
      </c>
      <c r="BR2507" s="1" t="str">
        <f>"06262090140000"</f>
        <v>06262090140000</v>
      </c>
      <c r="BT2507" s="1" t="s">
        <v>21585</v>
      </c>
      <c r="BV2507" s="1" t="s">
        <v>1842</v>
      </c>
      <c r="BX2507" s="1">
        <v>46</v>
      </c>
      <c r="BY2507" s="1">
        <v>46</v>
      </c>
      <c r="BZ2507" s="1">
        <v>127</v>
      </c>
      <c r="CB2507" s="1" t="str">
        <f t="shared" ref="CB2507:CC2507" si="1921">""</f>
        <v/>
      </c>
      <c r="CC2507" s="1" t="str">
        <f t="shared" si="1921"/>
        <v/>
      </c>
      <c r="CG2507" s="1" t="s">
        <v>972</v>
      </c>
      <c r="CH2507" s="1" t="s">
        <v>219</v>
      </c>
      <c r="CK2507" s="1" t="s">
        <v>757</v>
      </c>
      <c r="CL2507" s="1" t="s">
        <v>277</v>
      </c>
      <c r="CP2507" s="1" t="s">
        <v>224</v>
      </c>
      <c r="CS2507" s="1" t="s">
        <v>465</v>
      </c>
      <c r="CT2507" s="1" t="s">
        <v>277</v>
      </c>
      <c r="CX2507" s="1" t="s">
        <v>224</v>
      </c>
      <c r="DB2507" s="1" t="s">
        <v>224</v>
      </c>
      <c r="DE2507" s="1" t="s">
        <v>409</v>
      </c>
      <c r="DF2507" s="1" t="s">
        <v>219</v>
      </c>
      <c r="DI2507" s="1" t="s">
        <v>972</v>
      </c>
      <c r="DJ2507" s="1" t="s">
        <v>219</v>
      </c>
      <c r="DM2507" s="1" t="s">
        <v>934</v>
      </c>
      <c r="DR2507" s="1" t="s">
        <v>280</v>
      </c>
      <c r="DS2507" s="1" t="s">
        <v>43</v>
      </c>
      <c r="DW2507" s="1" t="s">
        <v>230</v>
      </c>
      <c r="EA2507" s="1" t="s">
        <v>230</v>
      </c>
      <c r="EE2507" s="1" t="s">
        <v>230</v>
      </c>
      <c r="EI2507" s="1" t="s">
        <v>230</v>
      </c>
      <c r="EL2507" s="1" t="s">
        <v>605</v>
      </c>
      <c r="EM2507" s="1" t="s">
        <v>319</v>
      </c>
      <c r="EN2507" s="1" t="s">
        <v>282</v>
      </c>
      <c r="EO2507" s="1" t="s">
        <v>234</v>
      </c>
      <c r="ER2507" s="1" t="s">
        <v>351</v>
      </c>
      <c r="EW2507" s="1" t="s">
        <v>384</v>
      </c>
      <c r="EZ2507" s="1" t="s">
        <v>934</v>
      </c>
      <c r="FB2507" s="1" t="s">
        <v>289</v>
      </c>
      <c r="FD2507" s="1" t="s">
        <v>246</v>
      </c>
      <c r="FE2507" s="1" t="s">
        <v>889</v>
      </c>
      <c r="FF2507" s="1" t="s">
        <v>248</v>
      </c>
      <c r="FH2507" s="1" t="s">
        <v>550</v>
      </c>
      <c r="FL2507" s="1" t="s">
        <v>358</v>
      </c>
      <c r="FM2507" s="1" t="s">
        <v>252</v>
      </c>
      <c r="FN2507" s="1" t="s">
        <v>213</v>
      </c>
      <c r="FO2507" s="1" t="s">
        <v>213</v>
      </c>
      <c r="FQ2507" s="1" t="s">
        <v>14475</v>
      </c>
      <c r="FR2507" s="1" t="s">
        <v>210</v>
      </c>
      <c r="FS2507" s="1" t="s">
        <v>21586</v>
      </c>
      <c r="FT2507" s="1" t="s">
        <v>654</v>
      </c>
      <c r="FU2507" s="1" t="s">
        <v>204</v>
      </c>
      <c r="FW2507" s="1" t="s">
        <v>5082</v>
      </c>
      <c r="FX2507" s="1">
        <v>1989</v>
      </c>
      <c r="FY2507" s="1" t="s">
        <v>5083</v>
      </c>
      <c r="FZ2507" s="1" t="s">
        <v>5084</v>
      </c>
      <c r="GA2507" s="1">
        <v>81066</v>
      </c>
      <c r="GB2507" s="1" t="s">
        <v>5083</v>
      </c>
      <c r="GC2507" s="1">
        <v>86352</v>
      </c>
      <c r="GE2507" s="1" t="s">
        <v>210</v>
      </c>
      <c r="GI2507" s="1" t="s">
        <v>204</v>
      </c>
      <c r="GJ2507" s="1" t="s">
        <v>260</v>
      </c>
      <c r="GK2507" s="1" t="s">
        <v>210</v>
      </c>
      <c r="GL2507" s="2">
        <v>42108</v>
      </c>
      <c r="GM2507" s="1" t="s">
        <v>21587</v>
      </c>
    </row>
    <row r="2508" spans="1:195">
      <c r="A2508" s="1">
        <v>162000</v>
      </c>
      <c r="B2508" s="1" t="s">
        <v>195</v>
      </c>
      <c r="C2508" s="1" t="str">
        <f>"08827785"</f>
        <v>08827785</v>
      </c>
      <c r="D2508" s="1" t="s">
        <v>196</v>
      </c>
      <c r="F2508" s="1" t="str">
        <f>"531"</f>
        <v>531</v>
      </c>
      <c r="G2508" s="2">
        <v>42034</v>
      </c>
      <c r="H2508" s="1">
        <v>164900</v>
      </c>
      <c r="I2508" s="1">
        <v>164900</v>
      </c>
      <c r="J2508" s="1">
        <v>162000</v>
      </c>
      <c r="K2508" s="2">
        <v>42034</v>
      </c>
      <c r="L2508" s="1">
        <v>5</v>
      </c>
      <c r="M2508" s="2">
        <v>42038</v>
      </c>
      <c r="N2508" s="1">
        <v>5</v>
      </c>
      <c r="O2508" s="2">
        <v>42038</v>
      </c>
      <c r="P2508" s="1">
        <v>22097</v>
      </c>
      <c r="Q2508" s="1" t="s">
        <v>197</v>
      </c>
      <c r="R2508" s="2">
        <v>42083</v>
      </c>
      <c r="S2508" s="1">
        <v>223617</v>
      </c>
      <c r="T2508" s="1">
        <v>2000</v>
      </c>
      <c r="U2508" s="1">
        <v>125</v>
      </c>
      <c r="V2508" s="1" t="s">
        <v>6937</v>
      </c>
      <c r="W2508" s="1" t="s">
        <v>449</v>
      </c>
      <c r="X2508" s="1">
        <v>301</v>
      </c>
      <c r="Y2508" s="1">
        <v>104</v>
      </c>
      <c r="Z2508" s="1" t="s">
        <v>249</v>
      </c>
      <c r="AA2508" s="1" t="s">
        <v>2326</v>
      </c>
      <c r="AB2508" s="1">
        <v>60525</v>
      </c>
      <c r="AD2508" s="1" t="s">
        <v>6938</v>
      </c>
      <c r="AE2508" s="1" t="s">
        <v>21588</v>
      </c>
      <c r="AF2508" s="1">
        <v>1980</v>
      </c>
      <c r="AG2508" s="1" t="s">
        <v>204</v>
      </c>
      <c r="AH2508" s="1" t="s">
        <v>2329</v>
      </c>
      <c r="AI2508" s="1" t="s">
        <v>310</v>
      </c>
      <c r="AJ2508" s="1" t="s">
        <v>702</v>
      </c>
      <c r="AL2508" s="1">
        <v>6</v>
      </c>
      <c r="AM2508" s="1">
        <v>2</v>
      </c>
      <c r="AN2508" s="1">
        <v>2</v>
      </c>
      <c r="AO2508" s="1">
        <v>0</v>
      </c>
      <c r="AP2508" s="1" t="s">
        <v>209</v>
      </c>
      <c r="AQ2508" s="1">
        <v>0</v>
      </c>
      <c r="AR2508" s="1" t="s">
        <v>210</v>
      </c>
      <c r="AS2508" s="1" t="s">
        <v>204</v>
      </c>
      <c r="AT2508" s="1" t="s">
        <v>211</v>
      </c>
      <c r="AU2508" s="1">
        <v>1</v>
      </c>
      <c r="AW2508" s="1" t="s">
        <v>204</v>
      </c>
      <c r="AX2508" s="1" t="s">
        <v>212</v>
      </c>
      <c r="AZ2508" s="1">
        <v>2173</v>
      </c>
      <c r="BA2508" s="1">
        <v>2013</v>
      </c>
      <c r="BB2508" s="1" t="s">
        <v>405</v>
      </c>
      <c r="BE2508" s="1">
        <v>0</v>
      </c>
      <c r="BF2508" s="1">
        <v>3</v>
      </c>
      <c r="BG2508" s="1">
        <v>0</v>
      </c>
      <c r="BL2508" s="1">
        <v>327</v>
      </c>
      <c r="BM2508" s="1" t="s">
        <v>204</v>
      </c>
      <c r="BN2508" s="1" t="s">
        <v>213</v>
      </c>
      <c r="BP2508" s="1" t="s">
        <v>204</v>
      </c>
      <c r="BR2508" s="1" t="str">
        <f>"18201000741030"</f>
        <v>18201000741030</v>
      </c>
      <c r="BT2508" s="1" t="s">
        <v>21589</v>
      </c>
      <c r="BU2508" s="1" t="s">
        <v>2495</v>
      </c>
      <c r="BV2508" s="1" t="s">
        <v>2496</v>
      </c>
      <c r="BW2508" s="1" t="s">
        <v>706</v>
      </c>
      <c r="BX2508" s="1">
        <v>106</v>
      </c>
      <c r="BY2508" s="1">
        <v>106</v>
      </c>
      <c r="BZ2508" s="1">
        <v>204</v>
      </c>
      <c r="CB2508" s="1" t="str">
        <f t="shared" ref="CB2508:CC2508" si="1922">""</f>
        <v/>
      </c>
      <c r="CC2508" s="1" t="str">
        <f t="shared" si="1922"/>
        <v/>
      </c>
      <c r="CG2508" s="1" t="s">
        <v>908</v>
      </c>
      <c r="CH2508" s="1" t="s">
        <v>219</v>
      </c>
      <c r="CI2508" s="1" t="s">
        <v>220</v>
      </c>
      <c r="CJ2508" s="1" t="s">
        <v>463</v>
      </c>
      <c r="CK2508" s="1" t="s">
        <v>1004</v>
      </c>
      <c r="CL2508" s="1" t="s">
        <v>219</v>
      </c>
      <c r="CM2508" s="1" t="s">
        <v>220</v>
      </c>
      <c r="CO2508" s="1" t="s">
        <v>836</v>
      </c>
      <c r="CP2508" s="1" t="s">
        <v>219</v>
      </c>
      <c r="CQ2508" s="1" t="s">
        <v>220</v>
      </c>
      <c r="CS2508" s="1" t="s">
        <v>539</v>
      </c>
      <c r="CT2508" s="1" t="s">
        <v>219</v>
      </c>
      <c r="CU2508" s="1" t="s">
        <v>220</v>
      </c>
      <c r="CX2508" s="1" t="s">
        <v>224</v>
      </c>
      <c r="DB2508" s="1" t="s">
        <v>224</v>
      </c>
      <c r="DE2508" s="1" t="s">
        <v>951</v>
      </c>
      <c r="DF2508" s="1" t="s">
        <v>219</v>
      </c>
      <c r="DG2508" s="1" t="s">
        <v>342</v>
      </c>
      <c r="DJ2508" s="1" t="s">
        <v>224</v>
      </c>
      <c r="DM2508" s="1" t="s">
        <v>838</v>
      </c>
      <c r="DN2508" s="1" t="s">
        <v>1548</v>
      </c>
      <c r="DO2508" s="1" t="s">
        <v>709</v>
      </c>
      <c r="DR2508" s="1" t="s">
        <v>6942</v>
      </c>
      <c r="DS2508" s="1" t="s">
        <v>219</v>
      </c>
      <c r="DV2508" s="1" t="s">
        <v>316</v>
      </c>
      <c r="DW2508" s="1" t="s">
        <v>219</v>
      </c>
      <c r="DX2508" s="1" t="s">
        <v>342</v>
      </c>
      <c r="DZ2508" s="1" t="s">
        <v>1328</v>
      </c>
      <c r="EA2508" s="1" t="s">
        <v>219</v>
      </c>
      <c r="EB2508" s="1" t="s">
        <v>226</v>
      </c>
      <c r="EE2508" s="1" t="s">
        <v>230</v>
      </c>
      <c r="EI2508" s="1" t="s">
        <v>230</v>
      </c>
      <c r="EL2508" s="1" t="s">
        <v>231</v>
      </c>
      <c r="EM2508" s="1" t="s">
        <v>730</v>
      </c>
      <c r="EN2508" s="1" t="s">
        <v>282</v>
      </c>
      <c r="EO2508" s="1" t="s">
        <v>1020</v>
      </c>
      <c r="EQ2508" s="1" t="s">
        <v>468</v>
      </c>
      <c r="ER2508" s="1" t="s">
        <v>210</v>
      </c>
      <c r="ES2508" s="1" t="s">
        <v>1160</v>
      </c>
      <c r="ET2508" s="1" t="s">
        <v>1161</v>
      </c>
      <c r="EU2508" s="1" t="s">
        <v>239</v>
      </c>
      <c r="EW2508" s="1" t="s">
        <v>494</v>
      </c>
      <c r="EZ2508" s="1" t="s">
        <v>21590</v>
      </c>
      <c r="FA2508" s="1" t="s">
        <v>4439</v>
      </c>
      <c r="FD2508" s="1" t="s">
        <v>736</v>
      </c>
      <c r="FE2508" s="1" t="s">
        <v>247</v>
      </c>
      <c r="FF2508" s="1" t="s">
        <v>248</v>
      </c>
      <c r="FH2508" s="1" t="s">
        <v>8075</v>
      </c>
      <c r="FI2508" s="1" t="s">
        <v>3300</v>
      </c>
      <c r="FL2508" s="1" t="s">
        <v>292</v>
      </c>
      <c r="FM2508" s="1" t="s">
        <v>252</v>
      </c>
      <c r="FN2508" s="1" t="s">
        <v>213</v>
      </c>
      <c r="FO2508" s="1" t="s">
        <v>213</v>
      </c>
      <c r="FQ2508" s="1" t="s">
        <v>3545</v>
      </c>
      <c r="FR2508" s="1" t="s">
        <v>210</v>
      </c>
      <c r="FS2508" s="1" t="s">
        <v>21591</v>
      </c>
      <c r="FT2508" s="1" t="s">
        <v>21592</v>
      </c>
      <c r="FU2508" s="1" t="s">
        <v>204</v>
      </c>
      <c r="FW2508" s="1" t="s">
        <v>915</v>
      </c>
      <c r="FX2508" s="1">
        <v>22205</v>
      </c>
      <c r="FY2508" s="1" t="s">
        <v>2484</v>
      </c>
      <c r="FZ2508" s="1" t="s">
        <v>8030</v>
      </c>
      <c r="GA2508" s="1">
        <v>231626</v>
      </c>
      <c r="GB2508" s="1" t="s">
        <v>8031</v>
      </c>
      <c r="GE2508" s="1" t="s">
        <v>480</v>
      </c>
      <c r="GI2508" s="1" t="s">
        <v>213</v>
      </c>
      <c r="GJ2508" s="1" t="s">
        <v>260</v>
      </c>
      <c r="GK2508" s="1" t="s">
        <v>210</v>
      </c>
      <c r="GL2508" s="2">
        <v>42083</v>
      </c>
      <c r="GM2508" s="1" t="s">
        <v>21593</v>
      </c>
    </row>
    <row r="2509" spans="1:195">
      <c r="A2509" s="1">
        <v>102305</v>
      </c>
      <c r="B2509" s="1" t="s">
        <v>195</v>
      </c>
      <c r="C2509" s="1" t="str">
        <f>"08824539"</f>
        <v>08824539</v>
      </c>
      <c r="D2509" s="1" t="s">
        <v>196</v>
      </c>
      <c r="F2509" s="1" t="str">
        <f>"123"</f>
        <v>123</v>
      </c>
      <c r="G2509" s="2">
        <v>42030</v>
      </c>
      <c r="H2509" s="1">
        <v>90000</v>
      </c>
      <c r="I2509" s="1">
        <v>90900</v>
      </c>
      <c r="J2509" s="1">
        <v>102305</v>
      </c>
      <c r="K2509" s="2">
        <v>42030</v>
      </c>
      <c r="L2509" s="1">
        <v>15</v>
      </c>
      <c r="M2509" s="2">
        <v>42030</v>
      </c>
      <c r="N2509" s="1">
        <v>1</v>
      </c>
      <c r="O2509" s="2">
        <v>42030</v>
      </c>
      <c r="P2509" s="1">
        <v>23905</v>
      </c>
      <c r="Q2509" s="1" t="s">
        <v>302</v>
      </c>
      <c r="R2509" s="2">
        <v>42129</v>
      </c>
      <c r="S2509" s="1">
        <v>235662</v>
      </c>
      <c r="U2509" s="1">
        <v>1000</v>
      </c>
      <c r="V2509" s="1" t="s">
        <v>21594</v>
      </c>
      <c r="W2509" s="1" t="s">
        <v>425</v>
      </c>
      <c r="X2509" s="1">
        <v>1</v>
      </c>
      <c r="Y2509" s="1">
        <v>4</v>
      </c>
      <c r="Z2509" s="1" t="s">
        <v>249</v>
      </c>
      <c r="AA2509" s="1" t="s">
        <v>1173</v>
      </c>
      <c r="AB2509" s="1">
        <v>60120</v>
      </c>
      <c r="AE2509" s="1" t="s">
        <v>21595</v>
      </c>
      <c r="AF2509" s="1">
        <v>2008</v>
      </c>
      <c r="AG2509" s="1" t="s">
        <v>204</v>
      </c>
      <c r="AH2509" s="1" t="s">
        <v>1175</v>
      </c>
      <c r="AI2509" s="1" t="s">
        <v>665</v>
      </c>
      <c r="AJ2509" s="1" t="s">
        <v>1175</v>
      </c>
      <c r="AK2509" s="1" t="s">
        <v>21596</v>
      </c>
      <c r="AL2509" s="1">
        <v>5</v>
      </c>
      <c r="AM2509" s="1">
        <v>2</v>
      </c>
      <c r="AN2509" s="1">
        <v>2</v>
      </c>
      <c r="AO2509" s="1">
        <v>0</v>
      </c>
      <c r="AP2509" s="1" t="s">
        <v>209</v>
      </c>
      <c r="AQ2509" s="1">
        <v>1</v>
      </c>
      <c r="AR2509" s="1" t="s">
        <v>210</v>
      </c>
      <c r="AS2509" s="1" t="s">
        <v>204</v>
      </c>
      <c r="AT2509" s="1" t="s">
        <v>211</v>
      </c>
      <c r="AU2509" s="1">
        <v>1</v>
      </c>
      <c r="AW2509" s="1" t="s">
        <v>204</v>
      </c>
      <c r="AX2509" s="1" t="s">
        <v>212</v>
      </c>
      <c r="AZ2509" s="1">
        <v>3521</v>
      </c>
      <c r="BA2509" s="1">
        <v>2013</v>
      </c>
      <c r="BB2509" s="1" t="s">
        <v>210</v>
      </c>
      <c r="BE2509" s="1">
        <v>1880</v>
      </c>
      <c r="BF2509" s="1">
        <v>1</v>
      </c>
      <c r="BG2509" s="1">
        <v>1</v>
      </c>
      <c r="BJ2509" s="1">
        <v>75</v>
      </c>
      <c r="BL2509" s="1">
        <v>100</v>
      </c>
      <c r="BM2509" s="1" t="s">
        <v>204</v>
      </c>
      <c r="BN2509" s="1" t="s">
        <v>213</v>
      </c>
      <c r="BO2509" s="1">
        <v>999</v>
      </c>
      <c r="BP2509" s="1" t="s">
        <v>204</v>
      </c>
      <c r="BR2509" s="1" t="str">
        <f>"0612237025"</f>
        <v>0612237025</v>
      </c>
      <c r="BT2509" s="1" t="s">
        <v>21597</v>
      </c>
      <c r="BX2509" s="1">
        <v>46</v>
      </c>
      <c r="BY2509" s="1">
        <v>46</v>
      </c>
      <c r="BZ2509" s="1">
        <v>46</v>
      </c>
      <c r="CB2509" s="1" t="str">
        <f>"12"</f>
        <v>12</v>
      </c>
      <c r="CC2509" s="1" t="str">
        <f>"0"</f>
        <v>0</v>
      </c>
      <c r="CD2509" s="1">
        <v>32</v>
      </c>
      <c r="CE2509" s="1">
        <v>0</v>
      </c>
      <c r="CG2509" s="1" t="s">
        <v>3913</v>
      </c>
      <c r="CH2509" s="1" t="s">
        <v>219</v>
      </c>
      <c r="CI2509" s="1" t="s">
        <v>347</v>
      </c>
      <c r="CK2509" s="1" t="s">
        <v>885</v>
      </c>
      <c r="CL2509" s="1" t="s">
        <v>219</v>
      </c>
      <c r="CM2509" s="1" t="s">
        <v>220</v>
      </c>
      <c r="CO2509" s="1" t="s">
        <v>4225</v>
      </c>
      <c r="CP2509" s="1" t="s">
        <v>219</v>
      </c>
      <c r="CQ2509" s="1" t="s">
        <v>347</v>
      </c>
      <c r="CS2509" s="1" t="s">
        <v>885</v>
      </c>
      <c r="CT2509" s="1" t="s">
        <v>219</v>
      </c>
      <c r="CU2509" s="1" t="s">
        <v>220</v>
      </c>
      <c r="CX2509" s="1" t="s">
        <v>224</v>
      </c>
      <c r="DB2509" s="1" t="s">
        <v>224</v>
      </c>
      <c r="DE2509" s="1" t="s">
        <v>581</v>
      </c>
      <c r="DF2509" s="1" t="s">
        <v>219</v>
      </c>
      <c r="DJ2509" s="1" t="s">
        <v>224</v>
      </c>
      <c r="DS2509" s="1" t="s">
        <v>230</v>
      </c>
      <c r="DW2509" s="1" t="s">
        <v>230</v>
      </c>
      <c r="EA2509" s="1" t="s">
        <v>230</v>
      </c>
      <c r="EE2509" s="1" t="s">
        <v>230</v>
      </c>
      <c r="EI2509" s="1" t="s">
        <v>230</v>
      </c>
      <c r="EL2509" s="1" t="s">
        <v>491</v>
      </c>
      <c r="EM2509" s="1" t="s">
        <v>319</v>
      </c>
      <c r="EN2509" s="1" t="s">
        <v>282</v>
      </c>
      <c r="EO2509" s="1" t="s">
        <v>234</v>
      </c>
      <c r="EP2509" s="1" t="s">
        <v>3864</v>
      </c>
      <c r="EQ2509" s="1" t="s">
        <v>2901</v>
      </c>
      <c r="ER2509" s="1" t="s">
        <v>210</v>
      </c>
      <c r="ES2509" s="1" t="s">
        <v>865</v>
      </c>
      <c r="ET2509" s="1" t="s">
        <v>238</v>
      </c>
      <c r="EU2509" s="1" t="s">
        <v>21598</v>
      </c>
      <c r="EV2509" s="1" t="s">
        <v>1999</v>
      </c>
      <c r="EW2509" s="1" t="s">
        <v>4108</v>
      </c>
      <c r="EY2509" s="1" t="s">
        <v>242</v>
      </c>
      <c r="EZ2509" s="1" t="s">
        <v>287</v>
      </c>
      <c r="FA2509" s="1" t="s">
        <v>1072</v>
      </c>
      <c r="FB2509" s="1" t="s">
        <v>244</v>
      </c>
      <c r="FD2509" s="1" t="s">
        <v>290</v>
      </c>
      <c r="FE2509" s="1" t="s">
        <v>247</v>
      </c>
      <c r="FF2509" s="1" t="s">
        <v>248</v>
      </c>
      <c r="FH2509" s="1" t="s">
        <v>1824</v>
      </c>
      <c r="FL2509" s="1" t="s">
        <v>358</v>
      </c>
      <c r="FM2509" s="1" t="s">
        <v>252</v>
      </c>
      <c r="FN2509" s="1" t="s">
        <v>213</v>
      </c>
      <c r="FO2509" s="1" t="s">
        <v>213</v>
      </c>
      <c r="FQ2509" s="1" t="s">
        <v>673</v>
      </c>
      <c r="FR2509" s="1" t="s">
        <v>360</v>
      </c>
      <c r="FS2509" s="1" t="s">
        <v>21599</v>
      </c>
      <c r="FT2509" s="1" t="s">
        <v>675</v>
      </c>
      <c r="FU2509" s="1" t="s">
        <v>204</v>
      </c>
      <c r="FW2509" s="1" t="s">
        <v>8625</v>
      </c>
      <c r="FX2509" s="1">
        <v>37</v>
      </c>
      <c r="FY2509" s="1" t="s">
        <v>8626</v>
      </c>
      <c r="FZ2509" s="1" t="s">
        <v>21600</v>
      </c>
      <c r="GA2509" s="1">
        <v>77278</v>
      </c>
      <c r="GB2509" s="1" t="s">
        <v>21601</v>
      </c>
      <c r="GC2509" s="1">
        <v>70111</v>
      </c>
      <c r="GD2509" s="1" t="s">
        <v>21602</v>
      </c>
      <c r="GE2509" s="1" t="s">
        <v>210</v>
      </c>
      <c r="GI2509" s="1" t="s">
        <v>213</v>
      </c>
      <c r="GJ2509" s="1" t="s">
        <v>260</v>
      </c>
      <c r="GK2509" s="1" t="s">
        <v>210</v>
      </c>
      <c r="GL2509" s="2">
        <v>42129</v>
      </c>
      <c r="GM2509" s="1" t="s">
        <v>397</v>
      </c>
    </row>
    <row r="2510" spans="1:195">
      <c r="A2510" s="1">
        <v>178000</v>
      </c>
      <c r="B2510" s="1" t="s">
        <v>195</v>
      </c>
      <c r="C2510" s="1" t="str">
        <f>"08826082"</f>
        <v>08826082</v>
      </c>
      <c r="D2510" s="1" t="s">
        <v>196</v>
      </c>
      <c r="F2510" s="1" t="str">
        <f>"30"</f>
        <v>30</v>
      </c>
      <c r="G2510" s="2">
        <v>42032</v>
      </c>
      <c r="H2510" s="1">
        <v>179900</v>
      </c>
      <c r="I2510" s="1">
        <v>179900</v>
      </c>
      <c r="J2510" s="1">
        <v>178000</v>
      </c>
      <c r="K2510" s="2">
        <v>42032</v>
      </c>
      <c r="L2510" s="1">
        <v>103</v>
      </c>
      <c r="M2510" s="2">
        <v>42039</v>
      </c>
      <c r="N2510" s="1">
        <v>8</v>
      </c>
      <c r="O2510" s="2">
        <v>42039</v>
      </c>
      <c r="P2510" s="1">
        <v>2101</v>
      </c>
      <c r="Q2510" s="1" t="s">
        <v>197</v>
      </c>
      <c r="R2510" s="2">
        <v>42073</v>
      </c>
      <c r="S2510" s="1">
        <v>87099</v>
      </c>
      <c r="T2510" s="1">
        <v>5340</v>
      </c>
      <c r="U2510" s="1">
        <v>977</v>
      </c>
      <c r="V2510" s="1" t="s">
        <v>21603</v>
      </c>
      <c r="W2510" s="1" t="s">
        <v>1056</v>
      </c>
      <c r="X2510" s="1">
        <v>137</v>
      </c>
      <c r="Y2510" s="1">
        <v>20</v>
      </c>
      <c r="Z2510" s="1" t="s">
        <v>249</v>
      </c>
      <c r="AA2510" s="1" t="s">
        <v>1834</v>
      </c>
      <c r="AB2510" s="1">
        <v>60030</v>
      </c>
      <c r="AD2510" s="1" t="s">
        <v>21604</v>
      </c>
      <c r="AE2510" s="1" t="s">
        <v>21605</v>
      </c>
      <c r="AF2510" s="1">
        <v>2007</v>
      </c>
      <c r="AG2510" s="1" t="s">
        <v>204</v>
      </c>
      <c r="AH2510" s="1" t="s">
        <v>1837</v>
      </c>
      <c r="AI2510" s="1" t="s">
        <v>509</v>
      </c>
      <c r="AJ2510" s="1" t="s">
        <v>9736</v>
      </c>
      <c r="AL2510" s="1">
        <v>5</v>
      </c>
      <c r="AM2510" s="1">
        <v>2</v>
      </c>
      <c r="AN2510" s="1">
        <v>2</v>
      </c>
      <c r="AO2510" s="1">
        <v>0</v>
      </c>
      <c r="AP2510" s="1" t="s">
        <v>209</v>
      </c>
      <c r="AR2510" s="1" t="s">
        <v>210</v>
      </c>
      <c r="AS2510" s="1" t="s">
        <v>204</v>
      </c>
      <c r="AT2510" s="1" t="s">
        <v>211</v>
      </c>
      <c r="AU2510" s="1">
        <v>1</v>
      </c>
      <c r="AW2510" s="1" t="s">
        <v>204</v>
      </c>
      <c r="AX2510" s="1" t="s">
        <v>579</v>
      </c>
      <c r="AZ2510" s="1">
        <v>5010.24</v>
      </c>
      <c r="BA2510" s="1">
        <v>2013</v>
      </c>
      <c r="BE2510" s="1">
        <v>1507</v>
      </c>
      <c r="BF2510" s="1">
        <v>1</v>
      </c>
      <c r="BG2510" s="1">
        <v>0</v>
      </c>
      <c r="BL2510" s="1">
        <v>392</v>
      </c>
      <c r="BM2510" s="1" t="s">
        <v>204</v>
      </c>
      <c r="BN2510" s="1" t="s">
        <v>213</v>
      </c>
      <c r="BO2510" s="1">
        <v>100</v>
      </c>
      <c r="BP2510" s="1" t="s">
        <v>204</v>
      </c>
      <c r="BR2510" s="1" t="str">
        <f>"10012100390000"</f>
        <v>10012100390000</v>
      </c>
      <c r="BT2510" s="1" t="s">
        <v>21606</v>
      </c>
      <c r="BU2510" s="1" t="s">
        <v>14024</v>
      </c>
      <c r="BV2510" s="1" t="s">
        <v>14025</v>
      </c>
      <c r="BW2510" s="1" t="s">
        <v>2737</v>
      </c>
      <c r="BX2510" s="1">
        <v>79</v>
      </c>
      <c r="BY2510" s="1">
        <v>79</v>
      </c>
      <c r="BZ2510" s="1">
        <v>127</v>
      </c>
      <c r="CB2510" s="1" t="str">
        <f t="shared" ref="CB2510:CC2510" si="1923">""</f>
        <v/>
      </c>
      <c r="CC2510" s="1" t="str">
        <f t="shared" si="1923"/>
        <v/>
      </c>
      <c r="CG2510" s="1" t="s">
        <v>1547</v>
      </c>
      <c r="CH2510" s="1" t="s">
        <v>219</v>
      </c>
      <c r="CI2510" s="1" t="s">
        <v>220</v>
      </c>
      <c r="CK2510" s="1" t="s">
        <v>933</v>
      </c>
      <c r="CL2510" s="1" t="s">
        <v>219</v>
      </c>
      <c r="CM2510" s="1" t="s">
        <v>220</v>
      </c>
      <c r="CO2510" s="1" t="s">
        <v>317</v>
      </c>
      <c r="CP2510" s="1" t="s">
        <v>219</v>
      </c>
      <c r="CQ2510" s="1" t="s">
        <v>220</v>
      </c>
      <c r="CS2510" s="1" t="s">
        <v>786</v>
      </c>
      <c r="CT2510" s="1" t="s">
        <v>219</v>
      </c>
      <c r="CU2510" s="1" t="s">
        <v>220</v>
      </c>
      <c r="CX2510" s="1" t="s">
        <v>224</v>
      </c>
      <c r="DB2510" s="1" t="s">
        <v>224</v>
      </c>
      <c r="DE2510" s="1" t="s">
        <v>379</v>
      </c>
      <c r="DF2510" s="1" t="s">
        <v>219</v>
      </c>
      <c r="DG2510" s="1" t="s">
        <v>226</v>
      </c>
      <c r="DJ2510" s="1" t="s">
        <v>224</v>
      </c>
      <c r="DM2510" s="1" t="s">
        <v>709</v>
      </c>
      <c r="DN2510" s="1" t="s">
        <v>3011</v>
      </c>
      <c r="DR2510" s="1" t="s">
        <v>910</v>
      </c>
      <c r="DS2510" s="1" t="s">
        <v>219</v>
      </c>
      <c r="DT2510" s="1" t="s">
        <v>226</v>
      </c>
      <c r="DV2510" s="1" t="s">
        <v>1774</v>
      </c>
      <c r="DW2510" s="1" t="s">
        <v>219</v>
      </c>
      <c r="DX2510" s="1" t="s">
        <v>342</v>
      </c>
      <c r="EA2510" s="1" t="s">
        <v>230</v>
      </c>
      <c r="EE2510" s="1" t="s">
        <v>230</v>
      </c>
      <c r="EI2510" s="1" t="s">
        <v>230</v>
      </c>
      <c r="EL2510" s="1" t="s">
        <v>491</v>
      </c>
      <c r="EM2510" s="1" t="s">
        <v>232</v>
      </c>
      <c r="EN2510" s="1" t="s">
        <v>282</v>
      </c>
      <c r="EO2510" s="1" t="s">
        <v>234</v>
      </c>
      <c r="EP2510" s="1" t="s">
        <v>21607</v>
      </c>
      <c r="EQ2510" s="1" t="s">
        <v>1094</v>
      </c>
      <c r="ER2510" s="1" t="s">
        <v>210</v>
      </c>
      <c r="ES2510" s="1" t="s">
        <v>608</v>
      </c>
      <c r="ET2510" s="1" t="s">
        <v>2404</v>
      </c>
      <c r="EU2510" s="1" t="s">
        <v>21608</v>
      </c>
      <c r="EV2510" s="1" t="s">
        <v>240</v>
      </c>
      <c r="EW2510" s="1" t="s">
        <v>21609</v>
      </c>
      <c r="EY2510" s="1" t="s">
        <v>790</v>
      </c>
      <c r="EZ2510" s="1" t="s">
        <v>11347</v>
      </c>
      <c r="FA2510" s="1" t="s">
        <v>9459</v>
      </c>
      <c r="FB2510" s="1" t="s">
        <v>289</v>
      </c>
      <c r="FD2510" s="1" t="s">
        <v>246</v>
      </c>
      <c r="FE2510" s="1" t="s">
        <v>6121</v>
      </c>
      <c r="FF2510" s="1" t="s">
        <v>248</v>
      </c>
      <c r="FH2510" s="1" t="s">
        <v>249</v>
      </c>
      <c r="FI2510" s="1" t="s">
        <v>1114</v>
      </c>
      <c r="FJ2510" s="1" t="s">
        <v>518</v>
      </c>
      <c r="FL2510" s="1" t="s">
        <v>358</v>
      </c>
      <c r="FM2510" s="1" t="s">
        <v>252</v>
      </c>
      <c r="FN2510" s="1" t="s">
        <v>213</v>
      </c>
      <c r="FO2510" s="1" t="s">
        <v>213</v>
      </c>
      <c r="FQ2510" s="1" t="s">
        <v>673</v>
      </c>
      <c r="FR2510" s="1" t="s">
        <v>210</v>
      </c>
      <c r="FS2510" s="1" t="s">
        <v>2483</v>
      </c>
      <c r="FT2510" s="1" t="s">
        <v>4371</v>
      </c>
      <c r="FU2510" s="1" t="s">
        <v>204</v>
      </c>
      <c r="FW2510" s="1" t="s">
        <v>20671</v>
      </c>
      <c r="FX2510" s="1">
        <v>5575</v>
      </c>
      <c r="FY2510" s="1" t="s">
        <v>20672</v>
      </c>
      <c r="FZ2510" s="1" t="s">
        <v>20673</v>
      </c>
      <c r="GA2510" s="1">
        <v>50852</v>
      </c>
      <c r="GB2510" s="1" t="s">
        <v>20674</v>
      </c>
      <c r="GC2510" s="1">
        <v>54320</v>
      </c>
      <c r="GE2510" s="1" t="s">
        <v>480</v>
      </c>
      <c r="GI2510" s="1" t="s">
        <v>213</v>
      </c>
      <c r="GJ2510" s="1" t="s">
        <v>260</v>
      </c>
      <c r="GK2510" s="1" t="s">
        <v>210</v>
      </c>
      <c r="GL2510" s="2">
        <v>42075</v>
      </c>
      <c r="GM2510" s="1" t="s">
        <v>21610</v>
      </c>
    </row>
    <row r="2511" spans="1:195">
      <c r="A2511" s="1">
        <v>90000</v>
      </c>
      <c r="B2511" s="1" t="s">
        <v>195</v>
      </c>
      <c r="C2511" s="1" t="str">
        <f>"08827259"</f>
        <v>08827259</v>
      </c>
      <c r="D2511" s="1" t="s">
        <v>196</v>
      </c>
      <c r="F2511" s="1" t="str">
        <f>"515"</f>
        <v>515</v>
      </c>
      <c r="G2511" s="2">
        <v>42034</v>
      </c>
      <c r="H2511" s="1">
        <v>94900</v>
      </c>
      <c r="I2511" s="1">
        <v>94900</v>
      </c>
      <c r="J2511" s="1">
        <v>90000</v>
      </c>
      <c r="K2511" s="2">
        <v>42033</v>
      </c>
      <c r="L2511" s="1">
        <v>7</v>
      </c>
      <c r="M2511" s="2">
        <v>42039</v>
      </c>
      <c r="N2511" s="1">
        <v>7</v>
      </c>
      <c r="O2511" s="2">
        <v>42039</v>
      </c>
      <c r="P2511" s="1">
        <v>20001</v>
      </c>
      <c r="Q2511" s="1" t="s">
        <v>302</v>
      </c>
      <c r="R2511" s="2">
        <v>42060</v>
      </c>
      <c r="S2511" s="1">
        <v>229864</v>
      </c>
      <c r="U2511" s="1">
        <v>7303</v>
      </c>
      <c r="V2511" s="1" t="s">
        <v>3296</v>
      </c>
      <c r="W2511" s="1" t="s">
        <v>425</v>
      </c>
      <c r="X2511" s="1">
        <v>105</v>
      </c>
      <c r="Y2511" s="1">
        <v>16</v>
      </c>
      <c r="Z2511" s="1" t="s">
        <v>249</v>
      </c>
      <c r="AA2511" s="1" t="s">
        <v>1294</v>
      </c>
      <c r="AB2511" s="1">
        <v>60516</v>
      </c>
      <c r="AD2511" s="1" t="s">
        <v>21611</v>
      </c>
      <c r="AE2511" s="1" t="s">
        <v>21612</v>
      </c>
      <c r="AF2511" s="1">
        <v>1971</v>
      </c>
      <c r="AG2511" s="1" t="s">
        <v>213</v>
      </c>
      <c r="AH2511" s="1" t="s">
        <v>903</v>
      </c>
      <c r="AI2511" s="1" t="s">
        <v>206</v>
      </c>
      <c r="AJ2511" s="1" t="s">
        <v>903</v>
      </c>
      <c r="AL2511" s="1">
        <v>5</v>
      </c>
      <c r="AM2511" s="1">
        <v>2</v>
      </c>
      <c r="AN2511" s="1">
        <v>2</v>
      </c>
      <c r="AO2511" s="1">
        <v>0</v>
      </c>
      <c r="AP2511" s="1" t="s">
        <v>209</v>
      </c>
      <c r="AR2511" s="1" t="s">
        <v>210</v>
      </c>
      <c r="AS2511" s="1" t="s">
        <v>204</v>
      </c>
      <c r="AT2511" s="1" t="s">
        <v>271</v>
      </c>
      <c r="AV2511" s="1">
        <v>1</v>
      </c>
      <c r="AW2511" s="1" t="s">
        <v>204</v>
      </c>
      <c r="AX2511" s="1" t="s">
        <v>212</v>
      </c>
      <c r="AZ2511" s="1">
        <v>1147</v>
      </c>
      <c r="BA2511" s="1">
        <v>2013</v>
      </c>
      <c r="BE2511" s="1">
        <v>1182</v>
      </c>
      <c r="BF2511" s="1">
        <v>1</v>
      </c>
      <c r="BG2511" s="1">
        <v>30</v>
      </c>
      <c r="BL2511" s="1">
        <v>338</v>
      </c>
      <c r="BM2511" s="1" t="s">
        <v>204</v>
      </c>
      <c r="BN2511" s="1" t="s">
        <v>213</v>
      </c>
      <c r="BO2511" s="1">
        <v>20</v>
      </c>
      <c r="BP2511" s="1" t="s">
        <v>204</v>
      </c>
      <c r="BR2511" s="1" t="str">
        <f>"0929220089"</f>
        <v>0929220089</v>
      </c>
      <c r="BT2511" s="1" t="s">
        <v>21613</v>
      </c>
      <c r="BV2511" s="1" t="s">
        <v>3098</v>
      </c>
      <c r="BW2511" s="1" t="s">
        <v>3099</v>
      </c>
      <c r="BX2511" s="1">
        <v>61</v>
      </c>
      <c r="BY2511" s="1">
        <v>61</v>
      </c>
      <c r="BZ2511" s="1">
        <v>99</v>
      </c>
      <c r="CB2511" s="1" t="str">
        <f t="shared" ref="CB2511:CC2511" si="1924">""</f>
        <v/>
      </c>
      <c r="CC2511" s="1" t="str">
        <f t="shared" si="1924"/>
        <v/>
      </c>
      <c r="CG2511" s="1" t="s">
        <v>221</v>
      </c>
      <c r="CH2511" s="1" t="s">
        <v>219</v>
      </c>
      <c r="CK2511" s="1" t="s">
        <v>344</v>
      </c>
      <c r="CL2511" s="1" t="s">
        <v>219</v>
      </c>
      <c r="CO2511" s="1" t="s">
        <v>516</v>
      </c>
      <c r="CP2511" s="1" t="s">
        <v>219</v>
      </c>
      <c r="CS2511" s="1" t="s">
        <v>1358</v>
      </c>
      <c r="CT2511" s="1" t="s">
        <v>219</v>
      </c>
      <c r="CX2511" s="1" t="s">
        <v>224</v>
      </c>
      <c r="DB2511" s="1" t="s">
        <v>224</v>
      </c>
      <c r="DE2511" s="1" t="s">
        <v>951</v>
      </c>
      <c r="DF2511" s="1" t="s">
        <v>219</v>
      </c>
      <c r="DJ2511" s="1" t="s">
        <v>224</v>
      </c>
      <c r="DS2511" s="1" t="s">
        <v>230</v>
      </c>
      <c r="DW2511" s="1" t="s">
        <v>230</v>
      </c>
      <c r="EA2511" s="1" t="s">
        <v>230</v>
      </c>
      <c r="EE2511" s="1" t="s">
        <v>230</v>
      </c>
      <c r="EI2511" s="1" t="s">
        <v>230</v>
      </c>
      <c r="EL2511" s="1" t="s">
        <v>605</v>
      </c>
      <c r="EM2511" s="1" t="s">
        <v>232</v>
      </c>
      <c r="EN2511" s="1" t="s">
        <v>282</v>
      </c>
      <c r="EO2511" s="1" t="s">
        <v>234</v>
      </c>
      <c r="ER2511" s="1" t="s">
        <v>210</v>
      </c>
      <c r="EW2511" s="1" t="s">
        <v>844</v>
      </c>
      <c r="EZ2511" s="1" t="s">
        <v>287</v>
      </c>
      <c r="FA2511" s="1" t="s">
        <v>5547</v>
      </c>
      <c r="FD2511" s="1" t="s">
        <v>246</v>
      </c>
      <c r="FE2511" s="1" t="s">
        <v>3771</v>
      </c>
      <c r="FF2511" s="1" t="s">
        <v>248</v>
      </c>
      <c r="FH2511" s="1" t="s">
        <v>249</v>
      </c>
      <c r="FK2511" s="1" t="s">
        <v>291</v>
      </c>
      <c r="FL2511" s="1" t="s">
        <v>358</v>
      </c>
      <c r="FM2511" s="1" t="s">
        <v>252</v>
      </c>
      <c r="FN2511" s="1" t="s">
        <v>213</v>
      </c>
      <c r="FO2511" s="1" t="s">
        <v>213</v>
      </c>
      <c r="FQ2511" s="1" t="s">
        <v>3545</v>
      </c>
      <c r="FR2511" s="1" t="s">
        <v>210</v>
      </c>
      <c r="FS2511" s="1" t="s">
        <v>3061</v>
      </c>
      <c r="FT2511" s="1" t="s">
        <v>1182</v>
      </c>
      <c r="FU2511" s="1" t="s">
        <v>204</v>
      </c>
      <c r="FW2511" s="1" t="s">
        <v>3546</v>
      </c>
      <c r="FX2511" s="1">
        <v>24695</v>
      </c>
      <c r="FY2511" s="1" t="s">
        <v>3547</v>
      </c>
      <c r="FZ2511" s="1" t="s">
        <v>3548</v>
      </c>
      <c r="GA2511" s="1">
        <v>233306</v>
      </c>
      <c r="GB2511" s="1" t="s">
        <v>3549</v>
      </c>
      <c r="GE2511" s="1" t="s">
        <v>2504</v>
      </c>
      <c r="GI2511" s="1" t="s">
        <v>213</v>
      </c>
      <c r="GJ2511" s="1" t="s">
        <v>260</v>
      </c>
      <c r="GK2511" s="1" t="s">
        <v>210</v>
      </c>
      <c r="GL2511" s="2">
        <v>42060</v>
      </c>
      <c r="GM2511" s="1" t="s">
        <v>21614</v>
      </c>
    </row>
    <row r="2512" spans="1:195">
      <c r="A2512" s="1">
        <v>57800</v>
      </c>
      <c r="B2512" s="1" t="s">
        <v>195</v>
      </c>
      <c r="C2512" s="1" t="str">
        <f>"08826821"</f>
        <v>08826821</v>
      </c>
      <c r="D2512" s="1" t="s">
        <v>196</v>
      </c>
      <c r="F2512" s="1" t="str">
        <f t="shared" ref="F2512:F2513" si="1925">"507"</f>
        <v>507</v>
      </c>
      <c r="G2512" s="2">
        <v>42033</v>
      </c>
      <c r="H2512" s="1">
        <v>73000</v>
      </c>
      <c r="I2512" s="1">
        <v>69000</v>
      </c>
      <c r="J2512" s="1">
        <v>57800</v>
      </c>
      <c r="K2512" s="2">
        <v>42033</v>
      </c>
      <c r="L2512" s="1">
        <v>58</v>
      </c>
      <c r="M2512" s="2">
        <v>42090</v>
      </c>
      <c r="N2512" s="1">
        <v>58</v>
      </c>
      <c r="O2512" s="2">
        <v>42090</v>
      </c>
      <c r="P2512" s="1">
        <v>26032</v>
      </c>
      <c r="Q2512" s="1" t="s">
        <v>302</v>
      </c>
      <c r="R2512" s="2">
        <v>42118</v>
      </c>
      <c r="S2512" s="1">
        <v>241769</v>
      </c>
      <c r="U2512" s="1">
        <v>1960</v>
      </c>
      <c r="V2512" s="1" t="s">
        <v>7451</v>
      </c>
      <c r="W2512" s="1" t="s">
        <v>264</v>
      </c>
      <c r="X2512" s="1" t="s">
        <v>369</v>
      </c>
      <c r="Y2512" s="1">
        <v>12</v>
      </c>
      <c r="Z2512" s="1" t="s">
        <v>249</v>
      </c>
      <c r="AA2512" s="1" t="s">
        <v>1123</v>
      </c>
      <c r="AB2512" s="1">
        <v>60505</v>
      </c>
      <c r="AE2512" s="1" t="s">
        <v>21615</v>
      </c>
      <c r="AF2512" s="1">
        <v>1979</v>
      </c>
      <c r="AG2512" s="1" t="s">
        <v>204</v>
      </c>
      <c r="AH2512" s="1" t="s">
        <v>1126</v>
      </c>
      <c r="AI2512" s="1" t="s">
        <v>665</v>
      </c>
      <c r="AJ2512" s="1" t="s">
        <v>1126</v>
      </c>
      <c r="AL2512" s="1">
        <v>4</v>
      </c>
      <c r="AM2512" s="1">
        <v>2</v>
      </c>
      <c r="AN2512" s="1">
        <v>2</v>
      </c>
      <c r="AO2512" s="1">
        <v>0</v>
      </c>
      <c r="AP2512" s="1" t="s">
        <v>209</v>
      </c>
      <c r="AQ2512" s="1">
        <v>1</v>
      </c>
      <c r="AR2512" s="1" t="s">
        <v>210</v>
      </c>
      <c r="AS2512" s="1" t="s">
        <v>204</v>
      </c>
      <c r="AT2512" s="1" t="s">
        <v>271</v>
      </c>
      <c r="AV2512" s="1">
        <v>2</v>
      </c>
      <c r="AW2512" s="1" t="s">
        <v>204</v>
      </c>
      <c r="AX2512" s="1" t="s">
        <v>212</v>
      </c>
      <c r="AZ2512" s="1">
        <v>1319.6</v>
      </c>
      <c r="BA2512" s="1">
        <v>2013</v>
      </c>
      <c r="BE2512" s="1">
        <v>919</v>
      </c>
      <c r="BF2512" s="1">
        <v>2</v>
      </c>
      <c r="BG2512" s="1">
        <v>0</v>
      </c>
      <c r="BL2512" s="1">
        <v>298</v>
      </c>
      <c r="BM2512" s="1" t="s">
        <v>204</v>
      </c>
      <c r="BN2512" s="1" t="s">
        <v>213</v>
      </c>
      <c r="BO2512" s="1">
        <v>999</v>
      </c>
      <c r="BP2512" s="1" t="s">
        <v>204</v>
      </c>
      <c r="BR2512" s="1" t="str">
        <f>"1512103074"</f>
        <v>1512103074</v>
      </c>
      <c r="BT2512" s="1" t="s">
        <v>21616</v>
      </c>
      <c r="BX2512" s="1">
        <v>131</v>
      </c>
      <c r="BY2512" s="1">
        <v>131</v>
      </c>
      <c r="BZ2512" s="1">
        <v>131</v>
      </c>
      <c r="CB2512" s="1" t="str">
        <f t="shared" ref="CB2512:CC2512" si="1926">""</f>
        <v/>
      </c>
      <c r="CC2512" s="1" t="str">
        <f t="shared" si="1926"/>
        <v/>
      </c>
      <c r="CG2512" s="1" t="s">
        <v>908</v>
      </c>
      <c r="CH2512" s="1" t="s">
        <v>219</v>
      </c>
      <c r="CK2512" s="1" t="s">
        <v>315</v>
      </c>
      <c r="CL2512" s="1" t="s">
        <v>219</v>
      </c>
      <c r="CP2512" s="1" t="s">
        <v>224</v>
      </c>
      <c r="CS2512" s="1" t="s">
        <v>378</v>
      </c>
      <c r="CT2512" s="1" t="s">
        <v>219</v>
      </c>
      <c r="CX2512" s="1" t="s">
        <v>224</v>
      </c>
      <c r="DB2512" s="1" t="s">
        <v>224</v>
      </c>
      <c r="DE2512" s="1" t="s">
        <v>786</v>
      </c>
      <c r="DF2512" s="1" t="s">
        <v>219</v>
      </c>
      <c r="DJ2512" s="1" t="s">
        <v>224</v>
      </c>
      <c r="DS2512" s="1" t="s">
        <v>230</v>
      </c>
      <c r="DW2512" s="1" t="s">
        <v>230</v>
      </c>
      <c r="EA2512" s="1" t="s">
        <v>230</v>
      </c>
      <c r="EE2512" s="1" t="s">
        <v>230</v>
      </c>
      <c r="EI2512" s="1" t="s">
        <v>230</v>
      </c>
      <c r="EL2512" s="1" t="s">
        <v>231</v>
      </c>
      <c r="EM2512" s="1" t="s">
        <v>319</v>
      </c>
      <c r="EN2512" s="1" t="s">
        <v>282</v>
      </c>
      <c r="EO2512" s="1" t="s">
        <v>234</v>
      </c>
      <c r="EQ2512" s="1" t="s">
        <v>2901</v>
      </c>
      <c r="ER2512" s="1" t="s">
        <v>210</v>
      </c>
      <c r="ES2512" s="1" t="s">
        <v>322</v>
      </c>
      <c r="EV2512" s="1" t="s">
        <v>240</v>
      </c>
      <c r="EW2512" s="1" t="s">
        <v>21617</v>
      </c>
      <c r="EZ2512" s="1" t="s">
        <v>287</v>
      </c>
      <c r="FD2512" s="1" t="s">
        <v>246</v>
      </c>
      <c r="FE2512" s="1" t="s">
        <v>247</v>
      </c>
      <c r="FF2512" s="1" t="s">
        <v>248</v>
      </c>
      <c r="FH2512" s="1" t="s">
        <v>249</v>
      </c>
      <c r="FL2512" s="1" t="s">
        <v>414</v>
      </c>
      <c r="FM2512" s="1" t="s">
        <v>252</v>
      </c>
      <c r="FN2512" s="1" t="s">
        <v>213</v>
      </c>
      <c r="FO2512" s="1" t="s">
        <v>213</v>
      </c>
      <c r="FQ2512" s="1" t="s">
        <v>2417</v>
      </c>
      <c r="FR2512" s="1" t="s">
        <v>210</v>
      </c>
      <c r="FS2512" s="1" t="s">
        <v>2418</v>
      </c>
      <c r="FT2512" s="1" t="s">
        <v>584</v>
      </c>
      <c r="FU2512" s="1" t="s">
        <v>204</v>
      </c>
      <c r="FV2512" s="1" t="s">
        <v>2419</v>
      </c>
      <c r="FW2512" s="1" t="s">
        <v>2420</v>
      </c>
      <c r="FX2512" s="1">
        <v>41</v>
      </c>
      <c r="FY2512" s="1" t="s">
        <v>2421</v>
      </c>
      <c r="FZ2512" s="1" t="s">
        <v>2422</v>
      </c>
      <c r="GA2512" s="1">
        <v>8483</v>
      </c>
      <c r="GB2512" s="1" t="s">
        <v>2423</v>
      </c>
      <c r="GD2512" s="1" t="s">
        <v>2424</v>
      </c>
      <c r="GE2512" s="1" t="s">
        <v>210</v>
      </c>
      <c r="GI2512" s="1" t="s">
        <v>213</v>
      </c>
      <c r="GJ2512" s="1" t="s">
        <v>260</v>
      </c>
      <c r="GK2512" s="1" t="s">
        <v>210</v>
      </c>
      <c r="GL2512" s="2">
        <v>42118</v>
      </c>
      <c r="GM2512" s="1" t="s">
        <v>21618</v>
      </c>
    </row>
    <row r="2513" spans="1:195">
      <c r="A2513" s="1">
        <v>161000</v>
      </c>
      <c r="B2513" s="1" t="s">
        <v>195</v>
      </c>
      <c r="C2513" s="1" t="str">
        <f>"08830604"</f>
        <v>08830604</v>
      </c>
      <c r="D2513" s="1" t="s">
        <v>196</v>
      </c>
      <c r="F2513" s="1" t="str">
        <f t="shared" si="1925"/>
        <v>507</v>
      </c>
      <c r="G2513" s="2">
        <v>42039</v>
      </c>
      <c r="H2513" s="1">
        <v>165000</v>
      </c>
      <c r="I2513" s="1">
        <v>165000</v>
      </c>
      <c r="J2513" s="1">
        <v>161000</v>
      </c>
      <c r="K2513" s="2">
        <v>42039</v>
      </c>
      <c r="L2513" s="1">
        <v>19</v>
      </c>
      <c r="M2513" s="2">
        <v>42057</v>
      </c>
      <c r="N2513" s="1">
        <v>19</v>
      </c>
      <c r="O2513" s="2">
        <v>42057</v>
      </c>
      <c r="P2513" s="1">
        <v>20179</v>
      </c>
      <c r="Q2513" s="1" t="s">
        <v>197</v>
      </c>
      <c r="R2513" s="2">
        <v>42137</v>
      </c>
      <c r="S2513" s="1">
        <v>218341</v>
      </c>
      <c r="T2513" s="1">
        <v>1000</v>
      </c>
      <c r="U2513" s="1">
        <v>1738</v>
      </c>
      <c r="V2513" s="1" t="s">
        <v>21619</v>
      </c>
      <c r="W2513" s="1" t="s">
        <v>304</v>
      </c>
      <c r="Y2513" s="1">
        <v>6</v>
      </c>
      <c r="Z2513" s="1" t="s">
        <v>370</v>
      </c>
      <c r="AA2513" s="1" t="s">
        <v>1123</v>
      </c>
      <c r="AB2513" s="1">
        <v>60504</v>
      </c>
      <c r="AE2513" s="1" t="s">
        <v>21620</v>
      </c>
      <c r="AF2513" s="1">
        <v>1999</v>
      </c>
      <c r="AG2513" s="1" t="s">
        <v>204</v>
      </c>
      <c r="AH2513" s="1" t="s">
        <v>1126</v>
      </c>
      <c r="AI2513" s="1" t="s">
        <v>453</v>
      </c>
      <c r="AJ2513" s="1" t="s">
        <v>1397</v>
      </c>
      <c r="AL2513" s="1">
        <v>8</v>
      </c>
      <c r="AM2513" s="1">
        <v>2</v>
      </c>
      <c r="AN2513" s="1">
        <v>2</v>
      </c>
      <c r="AO2513" s="1">
        <v>1</v>
      </c>
      <c r="AP2513" s="1" t="s">
        <v>209</v>
      </c>
      <c r="AQ2513" s="1">
        <v>1</v>
      </c>
      <c r="AR2513" s="1" t="s">
        <v>209</v>
      </c>
      <c r="AS2513" s="1" t="s">
        <v>204</v>
      </c>
      <c r="AT2513" s="1" t="s">
        <v>211</v>
      </c>
      <c r="AU2513" s="1">
        <v>2</v>
      </c>
      <c r="AW2513" s="1" t="s">
        <v>204</v>
      </c>
      <c r="AX2513" s="1" t="s">
        <v>212</v>
      </c>
      <c r="AZ2513" s="1">
        <v>4867</v>
      </c>
      <c r="BA2513" s="1">
        <v>2013</v>
      </c>
      <c r="BB2513" s="1" t="s">
        <v>405</v>
      </c>
      <c r="BE2513" s="1">
        <v>1500</v>
      </c>
      <c r="BF2513" s="1">
        <v>1</v>
      </c>
      <c r="BG2513" s="1">
        <v>0</v>
      </c>
      <c r="BL2513" s="1">
        <v>195</v>
      </c>
      <c r="BM2513" s="1" t="s">
        <v>204</v>
      </c>
      <c r="BN2513" s="1" t="s">
        <v>213</v>
      </c>
      <c r="BO2513" s="1">
        <v>999</v>
      </c>
      <c r="BP2513" s="1" t="s">
        <v>204</v>
      </c>
      <c r="BR2513" s="1" t="str">
        <f>"0301101084"</f>
        <v>0301101084</v>
      </c>
      <c r="BT2513" s="1" t="s">
        <v>21621</v>
      </c>
      <c r="BU2513" s="1" t="s">
        <v>2618</v>
      </c>
      <c r="BV2513" s="1" t="s">
        <v>3010</v>
      </c>
      <c r="BW2513" s="1" t="s">
        <v>1401</v>
      </c>
      <c r="BX2513" s="1">
        <v>308</v>
      </c>
      <c r="BY2513" s="1">
        <v>308</v>
      </c>
      <c r="BZ2513" s="1">
        <v>308</v>
      </c>
      <c r="CB2513" s="1" t="str">
        <f t="shared" ref="CB2513:CC2513" si="1927">""</f>
        <v/>
      </c>
      <c r="CC2513" s="1" t="str">
        <f t="shared" si="1927"/>
        <v/>
      </c>
      <c r="CG2513" s="1" t="s">
        <v>15680</v>
      </c>
      <c r="CH2513" s="1" t="s">
        <v>219</v>
      </c>
      <c r="CI2513" s="1" t="s">
        <v>229</v>
      </c>
      <c r="CJ2513" s="1" t="s">
        <v>343</v>
      </c>
      <c r="CK2513" s="1" t="s">
        <v>1788</v>
      </c>
      <c r="CL2513" s="1" t="s">
        <v>277</v>
      </c>
      <c r="CM2513" s="1" t="s">
        <v>220</v>
      </c>
      <c r="CN2513" s="1" t="s">
        <v>343</v>
      </c>
      <c r="CO2513" s="1" t="s">
        <v>629</v>
      </c>
      <c r="CP2513" s="1" t="s">
        <v>219</v>
      </c>
      <c r="CQ2513" s="1" t="s">
        <v>229</v>
      </c>
      <c r="CR2513" s="1" t="s">
        <v>343</v>
      </c>
      <c r="CS2513" s="1" t="s">
        <v>378</v>
      </c>
      <c r="CT2513" s="1" t="s">
        <v>277</v>
      </c>
      <c r="CU2513" s="1" t="s">
        <v>220</v>
      </c>
      <c r="CV2513" s="1" t="s">
        <v>909</v>
      </c>
      <c r="CW2513" s="1" t="s">
        <v>408</v>
      </c>
      <c r="CX2513" s="1" t="s">
        <v>43</v>
      </c>
      <c r="CY2513" s="1" t="s">
        <v>220</v>
      </c>
      <c r="CZ2513" s="1" t="s">
        <v>210</v>
      </c>
      <c r="DB2513" s="1" t="s">
        <v>224</v>
      </c>
      <c r="DE2513" s="1" t="s">
        <v>346</v>
      </c>
      <c r="DF2513" s="1" t="s">
        <v>219</v>
      </c>
      <c r="DG2513" s="1" t="s">
        <v>229</v>
      </c>
      <c r="DI2513" s="1" t="s">
        <v>1357</v>
      </c>
      <c r="DJ2513" s="1" t="s">
        <v>43</v>
      </c>
      <c r="DK2513" s="1" t="s">
        <v>220</v>
      </c>
      <c r="DM2513" s="1" t="s">
        <v>1548</v>
      </c>
      <c r="DR2513" s="1" t="s">
        <v>348</v>
      </c>
      <c r="DS2513" s="1" t="s">
        <v>219</v>
      </c>
      <c r="DT2513" s="1" t="s">
        <v>229</v>
      </c>
      <c r="DU2513" s="1" t="s">
        <v>463</v>
      </c>
      <c r="DW2513" s="1" t="s">
        <v>230</v>
      </c>
      <c r="EA2513" s="1" t="s">
        <v>230</v>
      </c>
      <c r="EE2513" s="1" t="s">
        <v>230</v>
      </c>
      <c r="EI2513" s="1" t="s">
        <v>230</v>
      </c>
      <c r="EL2513" s="1" t="s">
        <v>670</v>
      </c>
      <c r="EM2513" s="1" t="s">
        <v>319</v>
      </c>
      <c r="EN2513" s="1" t="s">
        <v>282</v>
      </c>
      <c r="EO2513" s="1" t="s">
        <v>234</v>
      </c>
      <c r="EP2513" s="1" t="s">
        <v>21622</v>
      </c>
      <c r="EQ2513" s="1" t="s">
        <v>3931</v>
      </c>
      <c r="ER2513" s="1" t="s">
        <v>544</v>
      </c>
      <c r="ES2513" s="1" t="s">
        <v>954</v>
      </c>
      <c r="EU2513" s="1" t="s">
        <v>1110</v>
      </c>
      <c r="EV2513" s="1" t="s">
        <v>240</v>
      </c>
      <c r="EW2513" s="1" t="s">
        <v>1219</v>
      </c>
      <c r="EY2513" s="1" t="s">
        <v>242</v>
      </c>
      <c r="EZ2513" s="1" t="s">
        <v>1548</v>
      </c>
      <c r="FA2513" s="1" t="s">
        <v>21623</v>
      </c>
      <c r="FB2513" s="1" t="s">
        <v>289</v>
      </c>
      <c r="FD2513" s="1" t="s">
        <v>246</v>
      </c>
      <c r="FE2513" s="1" t="s">
        <v>472</v>
      </c>
      <c r="FF2513" s="1" t="s">
        <v>248</v>
      </c>
      <c r="FG2513" s="1" t="s">
        <v>5121</v>
      </c>
      <c r="FH2513" s="1" t="s">
        <v>1634</v>
      </c>
      <c r="FI2513" s="1" t="s">
        <v>357</v>
      </c>
      <c r="FJ2513" s="1" t="s">
        <v>197</v>
      </c>
      <c r="FL2513" s="1" t="s">
        <v>358</v>
      </c>
      <c r="FM2513" s="1" t="s">
        <v>252</v>
      </c>
      <c r="FN2513" s="1" t="s">
        <v>213</v>
      </c>
      <c r="FO2513" s="1" t="s">
        <v>213</v>
      </c>
      <c r="FQ2513" s="1" t="s">
        <v>2004</v>
      </c>
      <c r="FR2513" s="1" t="s">
        <v>210</v>
      </c>
      <c r="FS2513" s="1" t="s">
        <v>21624</v>
      </c>
      <c r="FT2513" s="1" t="s">
        <v>295</v>
      </c>
      <c r="FU2513" s="1" t="s">
        <v>204</v>
      </c>
      <c r="FW2513" s="1" t="s">
        <v>2006</v>
      </c>
      <c r="FX2513" s="1">
        <v>16379</v>
      </c>
      <c r="FY2513" s="1" t="s">
        <v>12247</v>
      </c>
      <c r="FZ2513" s="1" t="s">
        <v>21625</v>
      </c>
      <c r="GA2513" s="1">
        <v>183513</v>
      </c>
      <c r="GB2513" s="1" t="s">
        <v>21626</v>
      </c>
      <c r="GE2513" s="1" t="s">
        <v>210</v>
      </c>
      <c r="GI2513" s="1" t="s">
        <v>213</v>
      </c>
      <c r="GJ2513" s="1" t="s">
        <v>260</v>
      </c>
      <c r="GK2513" s="1" t="s">
        <v>210</v>
      </c>
      <c r="GL2513" s="2">
        <v>42137</v>
      </c>
      <c r="GM2513" s="1" t="s">
        <v>21627</v>
      </c>
    </row>
    <row r="2514" spans="1:195">
      <c r="A2514" s="1">
        <v>430000</v>
      </c>
      <c r="B2514" s="1" t="s">
        <v>195</v>
      </c>
      <c r="C2514" s="1" t="str">
        <f>"08830275"</f>
        <v>08830275</v>
      </c>
      <c r="D2514" s="1" t="s">
        <v>196</v>
      </c>
      <c r="F2514" s="1" t="str">
        <f>"126"</f>
        <v>126</v>
      </c>
      <c r="G2514" s="2">
        <v>42038</v>
      </c>
      <c r="H2514" s="1">
        <v>439900</v>
      </c>
      <c r="I2514" s="1">
        <v>439900</v>
      </c>
      <c r="J2514" s="1">
        <v>430000</v>
      </c>
      <c r="K2514" s="2">
        <v>42038</v>
      </c>
      <c r="L2514" s="1">
        <v>4</v>
      </c>
      <c r="M2514" s="2">
        <v>42041</v>
      </c>
      <c r="N2514" s="1">
        <v>4</v>
      </c>
      <c r="O2514" s="2">
        <v>42041</v>
      </c>
      <c r="P2514" s="1">
        <v>25046</v>
      </c>
      <c r="Q2514" s="1" t="s">
        <v>197</v>
      </c>
      <c r="R2514" s="2">
        <v>42090</v>
      </c>
      <c r="S2514" s="1">
        <v>239238</v>
      </c>
      <c r="U2514" s="1">
        <v>136</v>
      </c>
      <c r="V2514" s="1" t="s">
        <v>21628</v>
      </c>
      <c r="W2514" s="1" t="s">
        <v>725</v>
      </c>
      <c r="Y2514" s="1">
        <v>26</v>
      </c>
      <c r="Z2514" s="1" t="s">
        <v>200</v>
      </c>
      <c r="AA2514" s="1" t="s">
        <v>3169</v>
      </c>
      <c r="AB2514" s="1">
        <v>60126</v>
      </c>
      <c r="AD2514" s="1" t="s">
        <v>10037</v>
      </c>
      <c r="AE2514" s="1" t="s">
        <v>21629</v>
      </c>
      <c r="AF2514" s="1">
        <v>1998</v>
      </c>
      <c r="AG2514" s="1" t="s">
        <v>204</v>
      </c>
      <c r="AH2514" s="1" t="s">
        <v>3172</v>
      </c>
      <c r="AI2514" s="1" t="s">
        <v>206</v>
      </c>
      <c r="AJ2514" s="1" t="s">
        <v>1608</v>
      </c>
      <c r="AL2514" s="1">
        <v>7</v>
      </c>
      <c r="AM2514" s="1">
        <v>2</v>
      </c>
      <c r="AN2514" s="1">
        <v>2</v>
      </c>
      <c r="AO2514" s="1">
        <v>1</v>
      </c>
      <c r="AP2514" s="1" t="s">
        <v>209</v>
      </c>
      <c r="AQ2514" s="1">
        <v>1</v>
      </c>
      <c r="AR2514" s="1" t="s">
        <v>209</v>
      </c>
      <c r="AS2514" s="1" t="s">
        <v>204</v>
      </c>
      <c r="AT2514" s="1" t="s">
        <v>211</v>
      </c>
      <c r="AU2514" s="1">
        <v>2</v>
      </c>
      <c r="AW2514" s="1" t="s">
        <v>204</v>
      </c>
      <c r="AX2514" s="1" t="s">
        <v>212</v>
      </c>
      <c r="AZ2514" s="1">
        <v>7457</v>
      </c>
      <c r="BA2514" s="1">
        <v>2013</v>
      </c>
      <c r="BE2514" s="1">
        <v>2187</v>
      </c>
      <c r="BF2514" s="1">
        <v>1</v>
      </c>
      <c r="BG2514" s="1">
        <v>0</v>
      </c>
      <c r="BL2514" s="1">
        <v>390</v>
      </c>
      <c r="BM2514" s="1" t="s">
        <v>204</v>
      </c>
      <c r="BN2514" s="1" t="s">
        <v>213</v>
      </c>
      <c r="BO2514" s="1">
        <v>200</v>
      </c>
      <c r="BP2514" s="1" t="s">
        <v>204</v>
      </c>
      <c r="BR2514" s="1" t="str">
        <f>"0602213016"</f>
        <v>0602213016</v>
      </c>
      <c r="BT2514" s="1" t="s">
        <v>21630</v>
      </c>
      <c r="BU2514" s="1" t="s">
        <v>3174</v>
      </c>
      <c r="BV2514" s="1" t="s">
        <v>3175</v>
      </c>
      <c r="BW2514" s="1" t="s">
        <v>3176</v>
      </c>
      <c r="BX2514" s="1">
        <v>205</v>
      </c>
      <c r="BY2514" s="1">
        <v>205</v>
      </c>
      <c r="BZ2514" s="1">
        <v>205</v>
      </c>
      <c r="CB2514" s="1" t="str">
        <f t="shared" ref="CB2514:CC2514" si="1928">""</f>
        <v/>
      </c>
      <c r="CC2514" s="1" t="str">
        <f t="shared" si="1928"/>
        <v/>
      </c>
      <c r="CG2514" s="1" t="s">
        <v>11448</v>
      </c>
      <c r="CH2514" s="1" t="s">
        <v>219</v>
      </c>
      <c r="CI2514" s="1" t="s">
        <v>438</v>
      </c>
      <c r="CJ2514" s="1" t="s">
        <v>1199</v>
      </c>
      <c r="CK2514" s="1" t="s">
        <v>1936</v>
      </c>
      <c r="CL2514" s="1" t="s">
        <v>277</v>
      </c>
      <c r="CM2514" s="1" t="s">
        <v>220</v>
      </c>
      <c r="CO2514" s="1" t="s">
        <v>932</v>
      </c>
      <c r="CP2514" s="1" t="s">
        <v>219</v>
      </c>
      <c r="CQ2514" s="1" t="s">
        <v>438</v>
      </c>
      <c r="CR2514" s="1" t="s">
        <v>1199</v>
      </c>
      <c r="CS2514" s="1" t="s">
        <v>729</v>
      </c>
      <c r="CT2514" s="1" t="s">
        <v>277</v>
      </c>
      <c r="CU2514" s="1" t="s">
        <v>220</v>
      </c>
      <c r="CX2514" s="1" t="s">
        <v>224</v>
      </c>
      <c r="DB2514" s="1" t="s">
        <v>224</v>
      </c>
      <c r="DE2514" s="1" t="s">
        <v>346</v>
      </c>
      <c r="DF2514" s="1" t="s">
        <v>219</v>
      </c>
      <c r="DG2514" s="1" t="s">
        <v>438</v>
      </c>
      <c r="DI2514" s="1" t="s">
        <v>1155</v>
      </c>
      <c r="DJ2514" s="1" t="s">
        <v>43</v>
      </c>
      <c r="DK2514" s="1" t="s">
        <v>220</v>
      </c>
      <c r="DM2514" s="1" t="s">
        <v>934</v>
      </c>
      <c r="DR2514" s="1" t="s">
        <v>221</v>
      </c>
      <c r="DS2514" s="1" t="s">
        <v>43</v>
      </c>
      <c r="DW2514" s="1" t="s">
        <v>230</v>
      </c>
      <c r="EA2514" s="1" t="s">
        <v>230</v>
      </c>
      <c r="EE2514" s="1" t="s">
        <v>230</v>
      </c>
      <c r="EI2514" s="1" t="s">
        <v>230</v>
      </c>
      <c r="EL2514" s="1" t="s">
        <v>670</v>
      </c>
      <c r="EM2514" s="1" t="s">
        <v>319</v>
      </c>
      <c r="EN2514" s="1" t="s">
        <v>282</v>
      </c>
      <c r="EO2514" s="1" t="s">
        <v>234</v>
      </c>
      <c r="EP2514" s="1" t="s">
        <v>650</v>
      </c>
      <c r="EQ2514" s="1" t="s">
        <v>4356</v>
      </c>
      <c r="ER2514" s="1" t="s">
        <v>21631</v>
      </c>
      <c r="ES2514" s="1" t="s">
        <v>493</v>
      </c>
      <c r="ET2514" s="1" t="s">
        <v>238</v>
      </c>
      <c r="EU2514" s="1" t="s">
        <v>610</v>
      </c>
      <c r="EV2514" s="1" t="s">
        <v>324</v>
      </c>
      <c r="EW2514" s="1" t="s">
        <v>353</v>
      </c>
      <c r="EZ2514" s="1" t="s">
        <v>934</v>
      </c>
      <c r="FA2514" s="1" t="s">
        <v>1072</v>
      </c>
      <c r="FC2514" s="1" t="s">
        <v>3646</v>
      </c>
      <c r="FD2514" s="1" t="s">
        <v>246</v>
      </c>
      <c r="FE2514" s="1" t="s">
        <v>847</v>
      </c>
      <c r="FF2514" s="1" t="s">
        <v>248</v>
      </c>
      <c r="FH2514" s="1" t="s">
        <v>1428</v>
      </c>
      <c r="FI2514" s="1" t="s">
        <v>473</v>
      </c>
      <c r="FL2514" s="1" t="s">
        <v>358</v>
      </c>
      <c r="FM2514" s="1" t="s">
        <v>252</v>
      </c>
      <c r="FN2514" s="1" t="s">
        <v>213</v>
      </c>
      <c r="FO2514" s="1" t="s">
        <v>213</v>
      </c>
      <c r="FQ2514" s="1" t="s">
        <v>2004</v>
      </c>
      <c r="FR2514" s="1" t="s">
        <v>210</v>
      </c>
      <c r="FS2514" s="1" t="s">
        <v>13677</v>
      </c>
      <c r="FT2514" s="1" t="s">
        <v>1182</v>
      </c>
      <c r="FU2514" s="1" t="s">
        <v>204</v>
      </c>
      <c r="FW2514" s="1" t="s">
        <v>2006</v>
      </c>
      <c r="FX2514" s="1">
        <v>25792</v>
      </c>
      <c r="FY2514" s="1" t="s">
        <v>3181</v>
      </c>
      <c r="FZ2514" s="1" t="s">
        <v>3182</v>
      </c>
      <c r="GA2514" s="1">
        <v>245805</v>
      </c>
      <c r="GB2514" s="1" t="s">
        <v>3183</v>
      </c>
      <c r="GC2514" s="1">
        <v>245124</v>
      </c>
      <c r="GE2514" s="1" t="s">
        <v>210</v>
      </c>
      <c r="GH2514" s="1" t="s">
        <v>589</v>
      </c>
      <c r="GI2514" s="1" t="s">
        <v>213</v>
      </c>
      <c r="GJ2514" s="1" t="s">
        <v>260</v>
      </c>
      <c r="GK2514" s="1" t="s">
        <v>210</v>
      </c>
      <c r="GL2514" s="2">
        <v>42095</v>
      </c>
      <c r="GM2514" s="1" t="s">
        <v>21632</v>
      </c>
    </row>
    <row r="2515" spans="1:195">
      <c r="A2515" s="1">
        <v>94900</v>
      </c>
      <c r="B2515" s="1" t="s">
        <v>195</v>
      </c>
      <c r="C2515" s="1" t="str">
        <f>"08830490"</f>
        <v>08830490</v>
      </c>
      <c r="D2515" s="1" t="s">
        <v>196</v>
      </c>
      <c r="F2515" s="1" t="str">
        <f>"131"</f>
        <v>131</v>
      </c>
      <c r="G2515" s="2">
        <v>42038</v>
      </c>
      <c r="H2515" s="1">
        <v>99900</v>
      </c>
      <c r="I2515" s="1">
        <v>99900</v>
      </c>
      <c r="J2515" s="1">
        <v>94900</v>
      </c>
      <c r="K2515" s="2">
        <v>42038</v>
      </c>
      <c r="L2515" s="1">
        <v>35</v>
      </c>
      <c r="M2515" s="2">
        <v>42072</v>
      </c>
      <c r="N2515" s="1">
        <v>35</v>
      </c>
      <c r="O2515" s="2">
        <v>42072</v>
      </c>
      <c r="P2515" s="1">
        <v>18359</v>
      </c>
      <c r="Q2515" s="1" t="s">
        <v>302</v>
      </c>
      <c r="R2515" s="2">
        <v>42102</v>
      </c>
      <c r="S2515" s="1">
        <v>864414</v>
      </c>
      <c r="U2515" s="1">
        <v>9146</v>
      </c>
      <c r="V2515" s="1" t="s">
        <v>3296</v>
      </c>
      <c r="W2515" s="1" t="s">
        <v>425</v>
      </c>
      <c r="X2515" s="1" t="s">
        <v>20446</v>
      </c>
      <c r="Y2515" s="1">
        <v>15</v>
      </c>
      <c r="Z2515" s="1" t="s">
        <v>249</v>
      </c>
      <c r="AA2515" s="1" t="s">
        <v>3712</v>
      </c>
      <c r="AB2515" s="1">
        <v>60131</v>
      </c>
      <c r="AE2515" s="1" t="s">
        <v>21633</v>
      </c>
      <c r="AF2515" s="1" t="s">
        <v>402</v>
      </c>
      <c r="AG2515" s="1" t="s">
        <v>213</v>
      </c>
      <c r="AH2515" s="1" t="s">
        <v>3714</v>
      </c>
      <c r="AI2515" s="1" t="s">
        <v>310</v>
      </c>
      <c r="AJ2515" s="1" t="s">
        <v>311</v>
      </c>
      <c r="AL2515" s="1">
        <v>4</v>
      </c>
      <c r="AM2515" s="1">
        <v>2</v>
      </c>
      <c r="AN2515" s="1">
        <v>2</v>
      </c>
      <c r="AO2515" s="1">
        <v>0</v>
      </c>
      <c r="AP2515" s="1" t="s">
        <v>209</v>
      </c>
      <c r="AR2515" s="1" t="s">
        <v>210</v>
      </c>
      <c r="AS2515" s="1" t="s">
        <v>204</v>
      </c>
      <c r="AT2515" s="1" t="s">
        <v>271</v>
      </c>
      <c r="AV2515" s="1">
        <v>1</v>
      </c>
      <c r="AW2515" s="1" t="s">
        <v>204</v>
      </c>
      <c r="AX2515" s="1" t="s">
        <v>212</v>
      </c>
      <c r="AZ2515" s="1">
        <v>3234.1</v>
      </c>
      <c r="BA2515" s="1">
        <v>2012</v>
      </c>
      <c r="BE2515" s="1">
        <v>0</v>
      </c>
      <c r="BF2515" s="1">
        <v>1</v>
      </c>
      <c r="BG2515" s="1">
        <v>0</v>
      </c>
      <c r="BL2515" s="1">
        <v>183</v>
      </c>
      <c r="BM2515" s="1" t="s">
        <v>413</v>
      </c>
      <c r="BN2515" s="1" t="s">
        <v>204</v>
      </c>
      <c r="BP2515" s="1" t="s">
        <v>204</v>
      </c>
      <c r="BR2515" s="1" t="str">
        <f>"12272220511001"</f>
        <v>12272220511001</v>
      </c>
      <c r="BT2515" s="1" t="s">
        <v>21634</v>
      </c>
      <c r="BX2515" s="1">
        <v>84</v>
      </c>
      <c r="BY2515" s="1">
        <v>84</v>
      </c>
      <c r="BZ2515" s="1">
        <v>212</v>
      </c>
      <c r="CB2515" s="1" t="str">
        <f>"2700"</f>
        <v>2700</v>
      </c>
      <c r="CC2515" s="1" t="str">
        <f>"0"</f>
        <v>0</v>
      </c>
      <c r="CD2515" s="1">
        <v>9100</v>
      </c>
      <c r="CE2515" s="1">
        <v>0</v>
      </c>
      <c r="CG2515" s="1" t="s">
        <v>5678</v>
      </c>
      <c r="CH2515" s="1" t="s">
        <v>219</v>
      </c>
      <c r="CK2515" s="1" t="s">
        <v>1403</v>
      </c>
      <c r="CL2515" s="1" t="s">
        <v>219</v>
      </c>
      <c r="CP2515" s="1" t="s">
        <v>224</v>
      </c>
      <c r="CS2515" s="1" t="s">
        <v>1403</v>
      </c>
      <c r="CT2515" s="1" t="s">
        <v>219</v>
      </c>
      <c r="CX2515" s="1" t="s">
        <v>224</v>
      </c>
      <c r="DB2515" s="1" t="s">
        <v>224</v>
      </c>
      <c r="DE2515" s="1" t="s">
        <v>2123</v>
      </c>
      <c r="DF2515" s="1" t="s">
        <v>219</v>
      </c>
      <c r="DJ2515" s="1" t="s">
        <v>224</v>
      </c>
      <c r="DS2515" s="1" t="s">
        <v>230</v>
      </c>
      <c r="DW2515" s="1" t="s">
        <v>230</v>
      </c>
      <c r="EA2515" s="1" t="s">
        <v>230</v>
      </c>
      <c r="EE2515" s="1" t="s">
        <v>230</v>
      </c>
      <c r="EI2515" s="1" t="s">
        <v>230</v>
      </c>
      <c r="EL2515" s="1" t="s">
        <v>231</v>
      </c>
      <c r="EM2515" s="1" t="s">
        <v>232</v>
      </c>
      <c r="EN2515" s="1" t="s">
        <v>210</v>
      </c>
      <c r="EO2515" s="1" t="s">
        <v>234</v>
      </c>
      <c r="ER2515" s="1" t="s">
        <v>210</v>
      </c>
      <c r="EW2515" s="1" t="s">
        <v>3851</v>
      </c>
      <c r="EZ2515" s="1" t="s">
        <v>287</v>
      </c>
      <c r="FD2515" s="1" t="s">
        <v>1112</v>
      </c>
      <c r="FE2515" s="1" t="s">
        <v>247</v>
      </c>
      <c r="FF2515" s="1" t="s">
        <v>248</v>
      </c>
      <c r="FH2515" s="1" t="s">
        <v>249</v>
      </c>
      <c r="FL2515" s="1" t="s">
        <v>414</v>
      </c>
      <c r="FM2515" s="1" t="s">
        <v>252</v>
      </c>
      <c r="FN2515" s="1" t="s">
        <v>213</v>
      </c>
      <c r="FO2515" s="1" t="s">
        <v>213</v>
      </c>
      <c r="FQ2515" s="1" t="s">
        <v>689</v>
      </c>
      <c r="FR2515" s="1" t="s">
        <v>210</v>
      </c>
      <c r="FS2515" s="1" t="s">
        <v>1318</v>
      </c>
      <c r="FT2515" s="1" t="s">
        <v>584</v>
      </c>
      <c r="FU2515" s="1" t="s">
        <v>204</v>
      </c>
      <c r="FW2515" s="1" t="s">
        <v>16379</v>
      </c>
      <c r="FX2515" s="1">
        <v>40290</v>
      </c>
      <c r="FY2515" s="1" t="s">
        <v>16380</v>
      </c>
      <c r="FZ2515" s="1" t="s">
        <v>16381</v>
      </c>
      <c r="GA2515" s="1">
        <v>406061</v>
      </c>
      <c r="GB2515" s="1" t="s">
        <v>16382</v>
      </c>
      <c r="GE2515" s="1" t="s">
        <v>210</v>
      </c>
      <c r="GI2515" s="1" t="s">
        <v>213</v>
      </c>
      <c r="GJ2515" s="1" t="s">
        <v>260</v>
      </c>
      <c r="GK2515" s="1" t="s">
        <v>210</v>
      </c>
      <c r="GL2515" s="2">
        <v>42102</v>
      </c>
      <c r="GM2515" s="1" t="s">
        <v>16383</v>
      </c>
    </row>
    <row r="2516" spans="1:195">
      <c r="A2516" s="1">
        <v>165000</v>
      </c>
      <c r="B2516" s="1" t="s">
        <v>195</v>
      </c>
      <c r="C2516" s="1" t="str">
        <f>"08828023"</f>
        <v>08828023</v>
      </c>
      <c r="D2516" s="1" t="s">
        <v>196</v>
      </c>
      <c r="F2516" s="1" t="str">
        <f>"104"</f>
        <v>104</v>
      </c>
      <c r="G2516" s="2">
        <v>42035</v>
      </c>
      <c r="H2516" s="1">
        <v>174900</v>
      </c>
      <c r="I2516" s="1">
        <v>174900</v>
      </c>
      <c r="J2516" s="1">
        <v>165000</v>
      </c>
      <c r="K2516" s="2">
        <v>42035</v>
      </c>
      <c r="L2516" s="1">
        <v>22</v>
      </c>
      <c r="M2516" s="2">
        <v>42056</v>
      </c>
      <c r="N2516" s="1">
        <v>22</v>
      </c>
      <c r="O2516" s="2">
        <v>42056</v>
      </c>
      <c r="P2516" s="1">
        <v>8079</v>
      </c>
      <c r="Q2516" s="1" t="s">
        <v>302</v>
      </c>
      <c r="R2516" s="2">
        <v>42096</v>
      </c>
      <c r="S2516" s="1">
        <v>81101</v>
      </c>
      <c r="U2516" s="1">
        <v>331</v>
      </c>
      <c r="V2516" s="1" t="s">
        <v>6004</v>
      </c>
      <c r="W2516" s="1" t="s">
        <v>449</v>
      </c>
      <c r="X2516" s="1" t="s">
        <v>21635</v>
      </c>
      <c r="Y2516" s="1">
        <v>4</v>
      </c>
      <c r="Z2516" s="1" t="s">
        <v>249</v>
      </c>
      <c r="AA2516" s="1" t="s">
        <v>371</v>
      </c>
      <c r="AB2516" s="1">
        <v>60103</v>
      </c>
      <c r="AD2516" s="1" t="s">
        <v>21636</v>
      </c>
      <c r="AE2516" s="1" t="s">
        <v>21637</v>
      </c>
      <c r="AF2516" s="1">
        <v>1992</v>
      </c>
      <c r="AG2516" s="1" t="s">
        <v>204</v>
      </c>
      <c r="AH2516" s="1" t="s">
        <v>373</v>
      </c>
      <c r="AI2516" s="1" t="s">
        <v>206</v>
      </c>
      <c r="AJ2516" s="1" t="s">
        <v>2654</v>
      </c>
      <c r="AK2516" s="1" t="s">
        <v>1088</v>
      </c>
      <c r="AL2516" s="1">
        <v>7</v>
      </c>
      <c r="AM2516" s="1">
        <v>2</v>
      </c>
      <c r="AN2516" s="1">
        <v>2</v>
      </c>
      <c r="AO2516" s="1">
        <v>0</v>
      </c>
      <c r="AP2516" s="1" t="s">
        <v>209</v>
      </c>
      <c r="AQ2516" s="1">
        <v>1</v>
      </c>
      <c r="AR2516" s="1" t="s">
        <v>210</v>
      </c>
      <c r="AS2516" s="1" t="s">
        <v>204</v>
      </c>
      <c r="AT2516" s="1" t="s">
        <v>211</v>
      </c>
      <c r="AU2516" s="1">
        <v>2</v>
      </c>
      <c r="AW2516" s="1" t="s">
        <v>204</v>
      </c>
      <c r="AX2516" s="1" t="s">
        <v>212</v>
      </c>
      <c r="AZ2516" s="1">
        <v>4064.86</v>
      </c>
      <c r="BA2516" s="1">
        <v>2013</v>
      </c>
      <c r="BB2516" s="1" t="s">
        <v>405</v>
      </c>
      <c r="BE2516" s="1">
        <v>1418</v>
      </c>
      <c r="BF2516" s="1">
        <v>1</v>
      </c>
      <c r="BG2516" s="1">
        <v>0</v>
      </c>
      <c r="BL2516" s="1">
        <v>245</v>
      </c>
      <c r="BM2516" s="1" t="s">
        <v>204</v>
      </c>
      <c r="BN2516" s="1" t="s">
        <v>213</v>
      </c>
      <c r="BO2516" s="1">
        <v>50</v>
      </c>
      <c r="BP2516" s="1" t="s">
        <v>204</v>
      </c>
      <c r="BR2516" s="1" t="str">
        <f>"0114430065"</f>
        <v>0114430065</v>
      </c>
      <c r="BT2516" s="1" t="s">
        <v>21638</v>
      </c>
      <c r="BU2516" s="1" t="s">
        <v>4119</v>
      </c>
      <c r="BV2516" s="1" t="s">
        <v>4120</v>
      </c>
      <c r="BW2516" s="1" t="s">
        <v>4121</v>
      </c>
      <c r="BX2516" s="1">
        <v>46</v>
      </c>
      <c r="BY2516" s="1">
        <v>46</v>
      </c>
      <c r="BZ2516" s="1">
        <v>46</v>
      </c>
      <c r="CB2516" s="1" t="str">
        <f>"5"</f>
        <v>5</v>
      </c>
      <c r="CC2516" s="1" t="str">
        <f>""</f>
        <v/>
      </c>
      <c r="CD2516" s="1">
        <v>28</v>
      </c>
      <c r="CG2516" s="1" t="s">
        <v>228</v>
      </c>
      <c r="CH2516" s="1" t="s">
        <v>219</v>
      </c>
      <c r="CI2516" s="1" t="s">
        <v>220</v>
      </c>
      <c r="CK2516" s="1" t="s">
        <v>539</v>
      </c>
      <c r="CL2516" s="1" t="s">
        <v>219</v>
      </c>
      <c r="CM2516" s="1" t="s">
        <v>220</v>
      </c>
      <c r="CO2516" s="1" t="s">
        <v>278</v>
      </c>
      <c r="CP2516" s="1" t="s">
        <v>219</v>
      </c>
      <c r="CQ2516" s="1" t="s">
        <v>220</v>
      </c>
      <c r="CS2516" s="1" t="s">
        <v>318</v>
      </c>
      <c r="CT2516" s="1" t="s">
        <v>219</v>
      </c>
      <c r="CU2516" s="1" t="s">
        <v>220</v>
      </c>
      <c r="CX2516" s="1" t="s">
        <v>224</v>
      </c>
      <c r="DB2516" s="1" t="s">
        <v>224</v>
      </c>
      <c r="DE2516" s="1" t="s">
        <v>1297</v>
      </c>
      <c r="DF2516" s="1" t="s">
        <v>219</v>
      </c>
      <c r="DG2516" s="1" t="s">
        <v>226</v>
      </c>
      <c r="DJ2516" s="1" t="s">
        <v>224</v>
      </c>
      <c r="DM2516" s="1" t="s">
        <v>381</v>
      </c>
      <c r="DN2516" s="1" t="s">
        <v>1005</v>
      </c>
      <c r="DO2516" s="1" t="s">
        <v>709</v>
      </c>
      <c r="DR2516" s="1" t="s">
        <v>516</v>
      </c>
      <c r="DS2516" s="1" t="s">
        <v>219</v>
      </c>
      <c r="DT2516" s="1" t="s">
        <v>226</v>
      </c>
      <c r="DV2516" s="1" t="s">
        <v>281</v>
      </c>
      <c r="DW2516" s="1" t="s">
        <v>219</v>
      </c>
      <c r="DX2516" s="1" t="s">
        <v>220</v>
      </c>
      <c r="DZ2516" s="1" t="s">
        <v>1750</v>
      </c>
      <c r="EA2516" s="1" t="s">
        <v>219</v>
      </c>
      <c r="EB2516" s="1" t="s">
        <v>226</v>
      </c>
      <c r="EE2516" s="1" t="s">
        <v>230</v>
      </c>
      <c r="EI2516" s="1" t="s">
        <v>230</v>
      </c>
      <c r="EL2516" s="1" t="s">
        <v>382</v>
      </c>
      <c r="EM2516" s="1" t="s">
        <v>319</v>
      </c>
      <c r="EN2516" s="1" t="s">
        <v>282</v>
      </c>
      <c r="EO2516" s="1" t="s">
        <v>234</v>
      </c>
      <c r="EQ2516" s="1" t="s">
        <v>1094</v>
      </c>
      <c r="ER2516" s="1" t="s">
        <v>383</v>
      </c>
      <c r="ES2516" s="1" t="s">
        <v>322</v>
      </c>
      <c r="ET2516" s="1" t="s">
        <v>842</v>
      </c>
      <c r="EU2516" s="1" t="s">
        <v>6227</v>
      </c>
      <c r="EV2516" s="1" t="s">
        <v>240</v>
      </c>
      <c r="EW2516" s="1" t="s">
        <v>353</v>
      </c>
      <c r="EY2516" s="1" t="s">
        <v>242</v>
      </c>
      <c r="EZ2516" s="1" t="s">
        <v>21639</v>
      </c>
      <c r="FA2516" s="1" t="s">
        <v>21640</v>
      </c>
      <c r="FB2516" s="1" t="s">
        <v>289</v>
      </c>
      <c r="FD2516" s="1" t="s">
        <v>246</v>
      </c>
      <c r="FE2516" s="1" t="s">
        <v>975</v>
      </c>
      <c r="FF2516" s="1" t="s">
        <v>387</v>
      </c>
      <c r="FG2516" s="1" t="s">
        <v>912</v>
      </c>
      <c r="FH2516" s="1" t="s">
        <v>249</v>
      </c>
      <c r="FI2516" s="1" t="s">
        <v>473</v>
      </c>
      <c r="FJ2516" s="1" t="s">
        <v>197</v>
      </c>
      <c r="FL2516" s="1" t="s">
        <v>358</v>
      </c>
      <c r="FM2516" s="1" t="s">
        <v>252</v>
      </c>
      <c r="FN2516" s="1" t="s">
        <v>213</v>
      </c>
      <c r="FO2516" s="1" t="s">
        <v>213</v>
      </c>
      <c r="FQ2516" s="1" t="s">
        <v>793</v>
      </c>
      <c r="FR2516" s="1" t="s">
        <v>210</v>
      </c>
      <c r="FS2516" s="1" t="s">
        <v>21641</v>
      </c>
      <c r="FT2516" s="1" t="s">
        <v>675</v>
      </c>
      <c r="FU2516" s="1" t="s">
        <v>204</v>
      </c>
      <c r="FW2516" s="1" t="s">
        <v>8625</v>
      </c>
      <c r="FX2516" s="1">
        <v>37</v>
      </c>
      <c r="FY2516" s="1" t="s">
        <v>8626</v>
      </c>
      <c r="FZ2516" s="1" t="s">
        <v>17542</v>
      </c>
      <c r="GA2516" s="1">
        <v>77100</v>
      </c>
      <c r="GB2516" s="1" t="s">
        <v>17543</v>
      </c>
      <c r="GC2516" s="1">
        <v>164</v>
      </c>
      <c r="GD2516" s="1" t="s">
        <v>17544</v>
      </c>
      <c r="GE2516" s="1" t="s">
        <v>210</v>
      </c>
      <c r="GI2516" s="1" t="s">
        <v>213</v>
      </c>
      <c r="GJ2516" s="1" t="s">
        <v>260</v>
      </c>
      <c r="GK2516" s="1" t="s">
        <v>261</v>
      </c>
      <c r="GL2516" s="2">
        <v>42097</v>
      </c>
      <c r="GM2516" s="1" t="s">
        <v>21642</v>
      </c>
    </row>
    <row r="2517" spans="1:195">
      <c r="A2517" s="1">
        <v>95500</v>
      </c>
      <c r="B2517" s="1" t="s">
        <v>195</v>
      </c>
      <c r="C2517" s="1" t="str">
        <f>"08832643"</f>
        <v>08832643</v>
      </c>
      <c r="D2517" s="1" t="s">
        <v>196</v>
      </c>
      <c r="F2517" s="1" t="str">
        <f>"525"</f>
        <v>525</v>
      </c>
      <c r="G2517" s="2">
        <v>42041</v>
      </c>
      <c r="H2517" s="1">
        <v>103000</v>
      </c>
      <c r="I2517" s="1">
        <v>103000</v>
      </c>
      <c r="J2517" s="1">
        <v>95500</v>
      </c>
      <c r="K2517" s="2">
        <v>42041</v>
      </c>
      <c r="L2517" s="1">
        <v>15</v>
      </c>
      <c r="M2517" s="2">
        <v>42055</v>
      </c>
      <c r="N2517" s="1">
        <v>15</v>
      </c>
      <c r="O2517" s="2">
        <v>42055</v>
      </c>
      <c r="P2517" s="1">
        <v>90140</v>
      </c>
      <c r="Q2517" s="1" t="s">
        <v>423</v>
      </c>
      <c r="R2517" s="2">
        <v>42096</v>
      </c>
      <c r="S2517" s="1">
        <v>901683</v>
      </c>
      <c r="U2517" s="1">
        <v>905</v>
      </c>
      <c r="V2517" s="1" t="s">
        <v>21643</v>
      </c>
      <c r="W2517" s="1" t="s">
        <v>425</v>
      </c>
      <c r="X2517" s="1">
        <v>9</v>
      </c>
      <c r="Y2517" s="1">
        <v>12</v>
      </c>
      <c r="Z2517" s="1" t="s">
        <v>370</v>
      </c>
      <c r="AA2517" s="1" t="s">
        <v>1148</v>
      </c>
      <c r="AB2517" s="1">
        <v>60525</v>
      </c>
      <c r="AD2517" s="1" t="s">
        <v>21644</v>
      </c>
      <c r="AE2517" s="1" t="s">
        <v>21645</v>
      </c>
      <c r="AF2517" s="1" t="s">
        <v>402</v>
      </c>
      <c r="AG2517" s="1" t="s">
        <v>213</v>
      </c>
      <c r="AH2517" s="1" t="s">
        <v>1150</v>
      </c>
      <c r="AI2517" s="1" t="s">
        <v>310</v>
      </c>
      <c r="AJ2517" s="1" t="s">
        <v>702</v>
      </c>
      <c r="AK2517" s="1" t="s">
        <v>270</v>
      </c>
      <c r="AL2517" s="1">
        <v>5</v>
      </c>
      <c r="AM2517" s="1">
        <v>2</v>
      </c>
      <c r="AN2517" s="1">
        <v>1</v>
      </c>
      <c r="AO2517" s="1">
        <v>0</v>
      </c>
      <c r="AP2517" s="1" t="s">
        <v>210</v>
      </c>
      <c r="AQ2517" s="1">
        <v>0</v>
      </c>
      <c r="AR2517" s="1" t="s">
        <v>1631</v>
      </c>
      <c r="AS2517" s="1" t="s">
        <v>204</v>
      </c>
      <c r="AT2517" s="1" t="s">
        <v>375</v>
      </c>
      <c r="AU2517" s="1">
        <v>1</v>
      </c>
      <c r="AV2517" s="1">
        <v>1</v>
      </c>
      <c r="AW2517" s="1" t="s">
        <v>204</v>
      </c>
      <c r="AX2517" s="1" t="s">
        <v>212</v>
      </c>
      <c r="AZ2517" s="1">
        <v>1787.31</v>
      </c>
      <c r="BA2517" s="1">
        <v>2013</v>
      </c>
      <c r="BB2517" s="1" t="s">
        <v>210</v>
      </c>
      <c r="BE2517" s="1">
        <v>0</v>
      </c>
      <c r="BF2517" s="1">
        <v>2</v>
      </c>
      <c r="BG2517" s="1">
        <v>30</v>
      </c>
      <c r="BL2517" s="1">
        <v>307</v>
      </c>
      <c r="BM2517" s="1" t="s">
        <v>204</v>
      </c>
      <c r="BN2517" s="1" t="s">
        <v>204</v>
      </c>
      <c r="BP2517" s="1" t="s">
        <v>204</v>
      </c>
      <c r="BR2517" s="1" t="str">
        <f>"18094070031069"</f>
        <v>18094070031069</v>
      </c>
      <c r="BT2517" s="1" t="s">
        <v>21646</v>
      </c>
      <c r="BU2517" s="1" t="s">
        <v>21647</v>
      </c>
      <c r="BV2517" s="1" t="s">
        <v>8166</v>
      </c>
      <c r="BW2517" s="1" t="s">
        <v>706</v>
      </c>
      <c r="BX2517" s="1">
        <v>105</v>
      </c>
      <c r="BY2517" s="1">
        <v>105</v>
      </c>
      <c r="BZ2517" s="1">
        <v>204</v>
      </c>
      <c r="CB2517" s="1" t="str">
        <f t="shared" ref="CB2517:CC2517" si="1929">"0"</f>
        <v>0</v>
      </c>
      <c r="CC2517" s="1" t="str">
        <f t="shared" si="1929"/>
        <v>0</v>
      </c>
      <c r="CD2517" s="1">
        <v>12</v>
      </c>
      <c r="CE2517" s="1">
        <v>5</v>
      </c>
      <c r="CG2517" s="1" t="s">
        <v>218</v>
      </c>
      <c r="CH2517" s="1" t="s">
        <v>277</v>
      </c>
      <c r="CI2517" s="1" t="s">
        <v>220</v>
      </c>
      <c r="CJ2517" s="1" t="s">
        <v>252</v>
      </c>
      <c r="CK2517" s="1" t="s">
        <v>223</v>
      </c>
      <c r="CL2517" s="1" t="s">
        <v>277</v>
      </c>
      <c r="CM2517" s="1" t="s">
        <v>220</v>
      </c>
      <c r="CN2517" s="1" t="s">
        <v>252</v>
      </c>
      <c r="CO2517" s="1" t="s">
        <v>318</v>
      </c>
      <c r="CP2517" s="1" t="s">
        <v>277</v>
      </c>
      <c r="CQ2517" s="1" t="s">
        <v>220</v>
      </c>
      <c r="CR2517" s="1" t="s">
        <v>210</v>
      </c>
      <c r="CS2517" s="1" t="s">
        <v>539</v>
      </c>
      <c r="CT2517" s="1" t="s">
        <v>277</v>
      </c>
      <c r="CU2517" s="1" t="s">
        <v>220</v>
      </c>
      <c r="CV2517" s="1" t="s">
        <v>252</v>
      </c>
      <c r="CX2517" s="1" t="s">
        <v>224</v>
      </c>
      <c r="DB2517" s="1" t="s">
        <v>224</v>
      </c>
      <c r="DE2517" s="1" t="s">
        <v>316</v>
      </c>
      <c r="DF2517" s="1" t="s">
        <v>277</v>
      </c>
      <c r="DG2517" s="1" t="s">
        <v>5665</v>
      </c>
      <c r="DH2517" s="1" t="s">
        <v>210</v>
      </c>
      <c r="DJ2517" s="1" t="s">
        <v>224</v>
      </c>
      <c r="DM2517" s="1" t="s">
        <v>838</v>
      </c>
      <c r="DR2517" s="1" t="s">
        <v>21648</v>
      </c>
      <c r="DS2517" s="1" t="s">
        <v>277</v>
      </c>
      <c r="DT2517" s="1" t="s">
        <v>347</v>
      </c>
      <c r="DU2517" s="1" t="s">
        <v>210</v>
      </c>
      <c r="DW2517" s="1" t="s">
        <v>230</v>
      </c>
      <c r="EA2517" s="1" t="s">
        <v>230</v>
      </c>
      <c r="EE2517" s="1" t="s">
        <v>230</v>
      </c>
      <c r="EI2517" s="1" t="s">
        <v>230</v>
      </c>
      <c r="EL2517" s="1" t="s">
        <v>231</v>
      </c>
      <c r="EM2517" s="1" t="s">
        <v>232</v>
      </c>
      <c r="EN2517" s="1" t="s">
        <v>1158</v>
      </c>
      <c r="EO2517" s="1" t="s">
        <v>1020</v>
      </c>
      <c r="EP2517" s="1" t="s">
        <v>21649</v>
      </c>
      <c r="EQ2517" s="1" t="s">
        <v>3572</v>
      </c>
      <c r="ER2517" s="1" t="s">
        <v>1249</v>
      </c>
      <c r="ES2517" s="1" t="s">
        <v>493</v>
      </c>
      <c r="ET2517" s="1" t="s">
        <v>1161</v>
      </c>
      <c r="EU2517" s="1" t="s">
        <v>712</v>
      </c>
      <c r="EV2517" s="1" t="s">
        <v>324</v>
      </c>
      <c r="EW2517" s="1" t="s">
        <v>21650</v>
      </c>
      <c r="EY2517" s="1" t="s">
        <v>242</v>
      </c>
      <c r="EZ2517" s="1" t="s">
        <v>838</v>
      </c>
      <c r="FA2517" s="1" t="s">
        <v>3462</v>
      </c>
      <c r="FB2517" s="1" t="s">
        <v>18940</v>
      </c>
      <c r="FD2517" s="1" t="s">
        <v>1112</v>
      </c>
      <c r="FE2517" s="1" t="s">
        <v>247</v>
      </c>
      <c r="FF2517" s="1" t="s">
        <v>248</v>
      </c>
      <c r="FH2517" s="1" t="s">
        <v>249</v>
      </c>
      <c r="FI2517" s="1" t="s">
        <v>473</v>
      </c>
      <c r="FK2517" s="1" t="s">
        <v>2309</v>
      </c>
      <c r="FL2517" s="1" t="s">
        <v>1164</v>
      </c>
      <c r="FM2517" s="1" t="s">
        <v>252</v>
      </c>
      <c r="FN2517" s="1" t="s">
        <v>213</v>
      </c>
      <c r="FO2517" s="1" t="s">
        <v>213</v>
      </c>
      <c r="FQ2517" s="1" t="s">
        <v>18977</v>
      </c>
      <c r="FR2517" s="1" t="s">
        <v>210</v>
      </c>
      <c r="FS2517" s="1" t="s">
        <v>21651</v>
      </c>
      <c r="FT2517" s="1" t="s">
        <v>255</v>
      </c>
      <c r="FU2517" s="1" t="s">
        <v>204</v>
      </c>
      <c r="FV2517" s="1" t="s">
        <v>21652</v>
      </c>
      <c r="FW2517" s="1" t="s">
        <v>8599</v>
      </c>
      <c r="FX2517" s="1">
        <v>22375</v>
      </c>
      <c r="FY2517" s="1" t="s">
        <v>8600</v>
      </c>
      <c r="FZ2517" s="1" t="s">
        <v>21653</v>
      </c>
      <c r="GA2517" s="1">
        <v>252539</v>
      </c>
      <c r="GB2517" s="1" t="s">
        <v>21654</v>
      </c>
      <c r="GE2517" s="1" t="s">
        <v>1576</v>
      </c>
      <c r="GI2517" s="1" t="s">
        <v>213</v>
      </c>
      <c r="GJ2517" s="1" t="s">
        <v>260</v>
      </c>
      <c r="GK2517" s="1" t="s">
        <v>210</v>
      </c>
      <c r="GL2517" s="2">
        <v>42096</v>
      </c>
      <c r="GM2517" s="1" t="s">
        <v>21655</v>
      </c>
    </row>
    <row r="2518" spans="1:195">
      <c r="A2518" s="1">
        <v>187500</v>
      </c>
      <c r="B2518" s="1" t="s">
        <v>195</v>
      </c>
      <c r="C2518" s="1" t="str">
        <f>"08833019"</f>
        <v>08833019</v>
      </c>
      <c r="D2518" s="1" t="s">
        <v>196</v>
      </c>
      <c r="F2518" s="1" t="str">
        <f>"126"</f>
        <v>126</v>
      </c>
      <c r="G2518" s="2">
        <v>42041</v>
      </c>
      <c r="H2518" s="1">
        <v>198500</v>
      </c>
      <c r="I2518" s="1">
        <v>198500</v>
      </c>
      <c r="J2518" s="1">
        <v>187500</v>
      </c>
      <c r="K2518" s="2">
        <v>42041</v>
      </c>
      <c r="L2518" s="1">
        <v>7</v>
      </c>
      <c r="M2518" s="2">
        <v>42047</v>
      </c>
      <c r="N2518" s="1">
        <v>7</v>
      </c>
      <c r="O2518" s="2">
        <v>42047</v>
      </c>
      <c r="P2518" s="1">
        <v>85186</v>
      </c>
      <c r="Q2518" s="1" t="s">
        <v>197</v>
      </c>
      <c r="R2518" s="2">
        <v>42097</v>
      </c>
      <c r="S2518" s="1">
        <v>108440</v>
      </c>
      <c r="U2518" s="1">
        <v>480</v>
      </c>
      <c r="V2518" s="1" t="s">
        <v>20157</v>
      </c>
      <c r="W2518" s="1" t="s">
        <v>725</v>
      </c>
      <c r="Y2518" s="1">
        <v>4</v>
      </c>
      <c r="Z2518" s="1" t="s">
        <v>200</v>
      </c>
      <c r="AA2518" s="1" t="s">
        <v>3169</v>
      </c>
      <c r="AB2518" s="1">
        <v>60126</v>
      </c>
      <c r="AE2518" s="1" t="s">
        <v>21656</v>
      </c>
      <c r="AF2518" s="1">
        <v>1955</v>
      </c>
      <c r="AG2518" s="1" t="s">
        <v>213</v>
      </c>
      <c r="AH2518" s="1" t="s">
        <v>3172</v>
      </c>
      <c r="AI2518" s="1" t="s">
        <v>206</v>
      </c>
      <c r="AJ2518" s="1" t="s">
        <v>1608</v>
      </c>
      <c r="AL2518" s="1">
        <v>5</v>
      </c>
      <c r="AM2518" s="1">
        <v>2</v>
      </c>
      <c r="AN2518" s="1">
        <v>1</v>
      </c>
      <c r="AO2518" s="1">
        <v>1</v>
      </c>
      <c r="AP2518" s="1" t="s">
        <v>210</v>
      </c>
      <c r="AR2518" s="1" t="s">
        <v>209</v>
      </c>
      <c r="AS2518" s="1" t="s">
        <v>204</v>
      </c>
      <c r="AT2518" s="1" t="s">
        <v>211</v>
      </c>
      <c r="AU2518" s="1">
        <v>2</v>
      </c>
      <c r="AW2518" s="1" t="s">
        <v>204</v>
      </c>
      <c r="AX2518" s="1" t="s">
        <v>21657</v>
      </c>
      <c r="AZ2518" s="1">
        <v>2803</v>
      </c>
      <c r="BA2518" s="1">
        <v>2013</v>
      </c>
      <c r="BB2518" s="1" t="s">
        <v>210</v>
      </c>
      <c r="BE2518" s="1">
        <v>1068</v>
      </c>
      <c r="BF2518" s="1">
        <v>1</v>
      </c>
      <c r="BG2518" s="1">
        <v>0</v>
      </c>
      <c r="BL2518" s="1">
        <v>0</v>
      </c>
      <c r="BM2518" s="1" t="s">
        <v>204</v>
      </c>
      <c r="BN2518" s="1" t="s">
        <v>213</v>
      </c>
      <c r="BO2518" s="1">
        <v>999</v>
      </c>
      <c r="BP2518" s="1" t="s">
        <v>204</v>
      </c>
      <c r="BR2518" s="1" t="str">
        <f>"0612412014"</f>
        <v>0612412014</v>
      </c>
      <c r="BT2518" s="1" t="s">
        <v>21658</v>
      </c>
      <c r="BU2518" s="1" t="s">
        <v>20161</v>
      </c>
      <c r="BV2518" s="1" t="s">
        <v>3175</v>
      </c>
      <c r="BW2518" s="1" t="s">
        <v>3176</v>
      </c>
      <c r="BX2518" s="1">
        <v>205</v>
      </c>
      <c r="BY2518" s="1">
        <v>205</v>
      </c>
      <c r="BZ2518" s="1">
        <v>205</v>
      </c>
      <c r="CB2518" s="1" t="str">
        <f t="shared" ref="CB2518:CC2518" si="1930">""</f>
        <v/>
      </c>
      <c r="CC2518" s="1" t="str">
        <f t="shared" si="1930"/>
        <v/>
      </c>
      <c r="CG2518" s="1" t="s">
        <v>228</v>
      </c>
      <c r="CH2518" s="1" t="s">
        <v>219</v>
      </c>
      <c r="CI2518" s="1" t="s">
        <v>438</v>
      </c>
      <c r="CJ2518" s="1" t="s">
        <v>343</v>
      </c>
      <c r="CK2518" s="1" t="s">
        <v>228</v>
      </c>
      <c r="CL2518" s="1" t="s">
        <v>277</v>
      </c>
      <c r="CM2518" s="1" t="s">
        <v>438</v>
      </c>
      <c r="CN2518" s="1" t="s">
        <v>343</v>
      </c>
      <c r="CP2518" s="1" t="s">
        <v>224</v>
      </c>
      <c r="CS2518" s="1" t="s">
        <v>379</v>
      </c>
      <c r="CT2518" s="1" t="s">
        <v>277</v>
      </c>
      <c r="CU2518" s="1" t="s">
        <v>438</v>
      </c>
      <c r="CV2518" s="1" t="s">
        <v>343</v>
      </c>
      <c r="CX2518" s="1" t="s">
        <v>224</v>
      </c>
      <c r="DB2518" s="1" t="s">
        <v>224</v>
      </c>
      <c r="DE2518" s="1" t="s">
        <v>465</v>
      </c>
      <c r="DF2518" s="1" t="s">
        <v>219</v>
      </c>
      <c r="DG2518" s="1" t="s">
        <v>226</v>
      </c>
      <c r="DH2518" s="1" t="s">
        <v>343</v>
      </c>
      <c r="DI2518" s="1" t="s">
        <v>2042</v>
      </c>
      <c r="DJ2518" s="1" t="s">
        <v>43</v>
      </c>
      <c r="DK2518" s="1" t="s">
        <v>220</v>
      </c>
      <c r="DS2518" s="1" t="s">
        <v>230</v>
      </c>
      <c r="DW2518" s="1" t="s">
        <v>230</v>
      </c>
      <c r="EA2518" s="1" t="s">
        <v>230</v>
      </c>
      <c r="EE2518" s="1" t="s">
        <v>230</v>
      </c>
      <c r="EI2518" s="1" t="s">
        <v>230</v>
      </c>
      <c r="EL2518" s="1" t="s">
        <v>649</v>
      </c>
      <c r="EM2518" s="1" t="s">
        <v>232</v>
      </c>
      <c r="EN2518" s="1" t="s">
        <v>282</v>
      </c>
      <c r="EO2518" s="1" t="s">
        <v>234</v>
      </c>
      <c r="EP2518" s="1" t="s">
        <v>650</v>
      </c>
      <c r="EQ2518" s="1" t="s">
        <v>1551</v>
      </c>
      <c r="ER2518" s="1" t="s">
        <v>544</v>
      </c>
      <c r="ES2518" s="1" t="s">
        <v>1791</v>
      </c>
      <c r="EU2518" s="1" t="s">
        <v>1820</v>
      </c>
      <c r="EW2518" s="1" t="s">
        <v>210</v>
      </c>
      <c r="EZ2518" s="1" t="s">
        <v>287</v>
      </c>
      <c r="FA2518" s="1" t="s">
        <v>5405</v>
      </c>
      <c r="FD2518" s="1" t="s">
        <v>246</v>
      </c>
      <c r="FE2518" s="1" t="s">
        <v>651</v>
      </c>
      <c r="FF2518" s="1" t="s">
        <v>3103</v>
      </c>
      <c r="FH2518" s="1" t="s">
        <v>550</v>
      </c>
      <c r="FI2518" s="1" t="s">
        <v>473</v>
      </c>
      <c r="FL2518" s="1" t="s">
        <v>358</v>
      </c>
      <c r="FM2518" s="1" t="s">
        <v>252</v>
      </c>
      <c r="FN2518" s="1" t="s">
        <v>213</v>
      </c>
      <c r="FO2518" s="1" t="s">
        <v>213</v>
      </c>
      <c r="FQ2518" s="1" t="s">
        <v>3560</v>
      </c>
      <c r="FR2518" s="1" t="s">
        <v>210</v>
      </c>
      <c r="FS2518" s="1" t="s">
        <v>21659</v>
      </c>
      <c r="FT2518" s="1" t="s">
        <v>362</v>
      </c>
      <c r="FU2518" s="1" t="s">
        <v>213</v>
      </c>
      <c r="FW2518" s="1" t="s">
        <v>3328</v>
      </c>
      <c r="FX2518" s="1">
        <v>24330</v>
      </c>
      <c r="FY2518" s="1" t="s">
        <v>3329</v>
      </c>
      <c r="FZ2518" s="1" t="s">
        <v>21660</v>
      </c>
      <c r="GA2518" s="1">
        <v>243892</v>
      </c>
      <c r="GB2518" s="1" t="s">
        <v>21661</v>
      </c>
      <c r="GE2518" s="1" t="s">
        <v>480</v>
      </c>
      <c r="GH2518" s="1" t="s">
        <v>800</v>
      </c>
      <c r="GI2518" s="1" t="s">
        <v>213</v>
      </c>
      <c r="GJ2518" s="1" t="s">
        <v>260</v>
      </c>
      <c r="GK2518" s="1" t="s">
        <v>210</v>
      </c>
      <c r="GL2518" s="2">
        <v>42097</v>
      </c>
      <c r="GM2518" s="1" t="s">
        <v>21662</v>
      </c>
    </row>
    <row r="2519" spans="1:195">
      <c r="A2519" s="1">
        <v>80000</v>
      </c>
      <c r="B2519" s="1" t="s">
        <v>195</v>
      </c>
      <c r="C2519" s="1" t="str">
        <f>"08837180"</f>
        <v>08837180</v>
      </c>
      <c r="D2519" s="1" t="s">
        <v>196</v>
      </c>
      <c r="F2519" s="1" t="str">
        <f>"8064"</f>
        <v>8064</v>
      </c>
      <c r="G2519" s="2">
        <v>42047</v>
      </c>
      <c r="H2519" s="1">
        <v>75000</v>
      </c>
      <c r="I2519" s="1">
        <v>75000</v>
      </c>
      <c r="J2519" s="1">
        <v>80000</v>
      </c>
      <c r="K2519" s="2">
        <v>42047</v>
      </c>
      <c r="L2519" s="1">
        <v>13</v>
      </c>
      <c r="M2519" s="2">
        <v>42059</v>
      </c>
      <c r="N2519" s="1">
        <v>13</v>
      </c>
      <c r="O2519" s="2">
        <v>42059</v>
      </c>
      <c r="P2519" s="1">
        <v>60119</v>
      </c>
      <c r="Q2519" s="1" t="s">
        <v>197</v>
      </c>
      <c r="R2519" s="2">
        <v>42094</v>
      </c>
      <c r="S2519" s="1">
        <v>602739</v>
      </c>
      <c r="U2519" s="1">
        <v>5184</v>
      </c>
      <c r="V2519" s="1" t="s">
        <v>4474</v>
      </c>
      <c r="W2519" s="1" t="s">
        <v>779</v>
      </c>
      <c r="Y2519" s="1">
        <v>2</v>
      </c>
      <c r="Z2519" s="1" t="s">
        <v>200</v>
      </c>
      <c r="AA2519" s="1" t="s">
        <v>400</v>
      </c>
      <c r="AB2519" s="1">
        <v>60638</v>
      </c>
      <c r="AE2519" s="1" t="s">
        <v>21663</v>
      </c>
      <c r="AF2519" s="1">
        <v>1941</v>
      </c>
      <c r="AG2519" s="1" t="s">
        <v>213</v>
      </c>
      <c r="AH2519" s="1" t="s">
        <v>403</v>
      </c>
      <c r="AI2519" s="1" t="s">
        <v>310</v>
      </c>
      <c r="AJ2519" s="1" t="s">
        <v>683</v>
      </c>
      <c r="AL2519" s="1">
        <v>5</v>
      </c>
      <c r="AM2519" s="1">
        <v>2</v>
      </c>
      <c r="AN2519" s="1">
        <v>2</v>
      </c>
      <c r="AO2519" s="1">
        <v>0</v>
      </c>
      <c r="AP2519" s="1" t="s">
        <v>210</v>
      </c>
      <c r="AR2519" s="1" t="s">
        <v>209</v>
      </c>
      <c r="AS2519" s="1" t="s">
        <v>213</v>
      </c>
      <c r="AT2519" s="1" t="s">
        <v>211</v>
      </c>
      <c r="AU2519" s="1">
        <v>2</v>
      </c>
      <c r="AW2519" s="1" t="s">
        <v>204</v>
      </c>
      <c r="AX2519" s="1" t="s">
        <v>21664</v>
      </c>
      <c r="AZ2519" s="1">
        <v>1637.21</v>
      </c>
      <c r="BA2519" s="1">
        <v>2012</v>
      </c>
      <c r="BE2519" s="1">
        <v>992</v>
      </c>
      <c r="BF2519" s="1">
        <v>1</v>
      </c>
      <c r="BG2519" s="1">
        <v>0</v>
      </c>
      <c r="BL2519" s="1">
        <v>0</v>
      </c>
      <c r="BM2519" s="1" t="s">
        <v>204</v>
      </c>
      <c r="BN2519" s="1" t="s">
        <v>213</v>
      </c>
      <c r="BO2519" s="1" t="s">
        <v>432</v>
      </c>
      <c r="BP2519" s="1" t="s">
        <v>204</v>
      </c>
      <c r="BR2519" s="1" t="str">
        <f>"19212150190000"</f>
        <v>19212150190000</v>
      </c>
      <c r="BT2519" s="1" t="s">
        <v>21665</v>
      </c>
      <c r="BX2519" s="1">
        <v>299</v>
      </c>
      <c r="BY2519" s="1">
        <v>299</v>
      </c>
      <c r="BZ2519" s="1">
        <v>299</v>
      </c>
      <c r="CB2519" s="1" t="str">
        <f t="shared" ref="CB2519:CC2519" si="1931">"0"</f>
        <v>0</v>
      </c>
      <c r="CC2519" s="1" t="str">
        <f t="shared" si="1931"/>
        <v>0</v>
      </c>
      <c r="CD2519" s="1">
        <v>5184</v>
      </c>
      <c r="CE2519" s="1">
        <v>6414</v>
      </c>
      <c r="CG2519" s="1" t="s">
        <v>3059</v>
      </c>
      <c r="CH2519" s="1" t="s">
        <v>219</v>
      </c>
      <c r="CK2519" s="1" t="s">
        <v>3059</v>
      </c>
      <c r="CL2519" s="1" t="s">
        <v>277</v>
      </c>
      <c r="CO2519" s="1" t="s">
        <v>629</v>
      </c>
      <c r="CP2519" s="1" t="s">
        <v>219</v>
      </c>
      <c r="CS2519" s="1" t="s">
        <v>408</v>
      </c>
      <c r="CT2519" s="1" t="s">
        <v>277</v>
      </c>
      <c r="CX2519" s="1" t="s">
        <v>224</v>
      </c>
      <c r="DB2519" s="1" t="s">
        <v>224</v>
      </c>
      <c r="DE2519" s="1" t="s">
        <v>3460</v>
      </c>
      <c r="DF2519" s="1" t="s">
        <v>219</v>
      </c>
      <c r="DJ2519" s="1" t="s">
        <v>224</v>
      </c>
      <c r="DS2519" s="1" t="s">
        <v>230</v>
      </c>
      <c r="DW2519" s="1" t="s">
        <v>230</v>
      </c>
      <c r="EA2519" s="1" t="s">
        <v>230</v>
      </c>
      <c r="EE2519" s="1" t="s">
        <v>230</v>
      </c>
      <c r="EI2519" s="1" t="s">
        <v>230</v>
      </c>
      <c r="EL2519" s="1" t="s">
        <v>440</v>
      </c>
      <c r="EM2519" s="1" t="s">
        <v>232</v>
      </c>
      <c r="EN2519" s="1" t="s">
        <v>282</v>
      </c>
      <c r="EO2519" s="1" t="s">
        <v>234</v>
      </c>
      <c r="ER2519" s="1" t="s">
        <v>544</v>
      </c>
      <c r="EW2519" s="1" t="s">
        <v>210</v>
      </c>
      <c r="EZ2519" s="1" t="s">
        <v>287</v>
      </c>
      <c r="FD2519" s="1" t="s">
        <v>246</v>
      </c>
      <c r="FE2519" s="1" t="s">
        <v>247</v>
      </c>
      <c r="FF2519" s="1" t="s">
        <v>248</v>
      </c>
      <c r="FH2519" s="1" t="s">
        <v>442</v>
      </c>
      <c r="FL2519" s="1" t="s">
        <v>358</v>
      </c>
      <c r="FM2519" s="1" t="s">
        <v>252</v>
      </c>
      <c r="FN2519" s="1" t="s">
        <v>213</v>
      </c>
      <c r="FO2519" s="1" t="s">
        <v>213</v>
      </c>
      <c r="FQ2519" s="1" t="s">
        <v>582</v>
      </c>
      <c r="FR2519" s="1" t="s">
        <v>210</v>
      </c>
      <c r="FS2519" s="1" t="s">
        <v>2984</v>
      </c>
      <c r="FT2519" s="1" t="s">
        <v>1393</v>
      </c>
      <c r="FU2519" s="1" t="s">
        <v>204</v>
      </c>
      <c r="FW2519" s="1" t="s">
        <v>2985</v>
      </c>
      <c r="FX2519" s="1">
        <v>23959</v>
      </c>
      <c r="FY2519" s="1" t="s">
        <v>2986</v>
      </c>
      <c r="FZ2519" s="1" t="s">
        <v>6386</v>
      </c>
      <c r="GA2519" s="1">
        <v>238419</v>
      </c>
      <c r="GC2519" s="1">
        <v>220868</v>
      </c>
      <c r="GE2519" s="1" t="s">
        <v>210</v>
      </c>
      <c r="GH2519" s="1" t="s">
        <v>589</v>
      </c>
      <c r="GI2519" s="1" t="s">
        <v>213</v>
      </c>
      <c r="GJ2519" s="1" t="s">
        <v>260</v>
      </c>
      <c r="GK2519" s="1" t="s">
        <v>210</v>
      </c>
      <c r="GL2519" s="2">
        <v>42095</v>
      </c>
      <c r="GM2519" s="1" t="s">
        <v>21666</v>
      </c>
    </row>
    <row r="2520" spans="1:195">
      <c r="A2520" s="1">
        <v>262500</v>
      </c>
      <c r="B2520" s="1" t="s">
        <v>195</v>
      </c>
      <c r="C2520" s="1" t="str">
        <f>"08827871"</f>
        <v>08827871</v>
      </c>
      <c r="D2520" s="1" t="s">
        <v>196</v>
      </c>
      <c r="F2520" s="1" t="str">
        <f>"525"</f>
        <v>525</v>
      </c>
      <c r="G2520" s="2">
        <v>42034</v>
      </c>
      <c r="H2520" s="1">
        <v>275000</v>
      </c>
      <c r="I2520" s="1">
        <v>275000</v>
      </c>
      <c r="J2520" s="1">
        <v>262500</v>
      </c>
      <c r="K2520" s="2">
        <v>42034</v>
      </c>
      <c r="L2520" s="1">
        <v>13</v>
      </c>
      <c r="M2520" s="2">
        <v>42046</v>
      </c>
      <c r="N2520" s="1">
        <v>13</v>
      </c>
      <c r="O2520" s="2">
        <v>42046</v>
      </c>
      <c r="P2520" s="1">
        <v>22375</v>
      </c>
      <c r="Q2520" s="1" t="s">
        <v>197</v>
      </c>
      <c r="R2520" s="2">
        <v>42093</v>
      </c>
      <c r="S2520" s="1">
        <v>224891</v>
      </c>
      <c r="U2520" s="1">
        <v>420</v>
      </c>
      <c r="V2520" s="1" t="s">
        <v>2756</v>
      </c>
      <c r="W2520" s="1" t="s">
        <v>425</v>
      </c>
      <c r="X2520" s="1">
        <v>401</v>
      </c>
      <c r="Y2520" s="1">
        <v>22</v>
      </c>
      <c r="Z2520" s="1" t="s">
        <v>249</v>
      </c>
      <c r="AA2520" s="1" t="s">
        <v>1148</v>
      </c>
      <c r="AB2520" s="1">
        <v>60525</v>
      </c>
      <c r="AD2520" s="1" t="s">
        <v>17127</v>
      </c>
      <c r="AE2520" s="1" t="s">
        <v>21667</v>
      </c>
      <c r="AF2520" s="1">
        <v>2002</v>
      </c>
      <c r="AG2520" s="1" t="s">
        <v>204</v>
      </c>
      <c r="AH2520" s="1" t="s">
        <v>1150</v>
      </c>
      <c r="AI2520" s="1" t="s">
        <v>310</v>
      </c>
      <c r="AJ2520" s="1" t="s">
        <v>702</v>
      </c>
      <c r="AL2520" s="1">
        <v>4</v>
      </c>
      <c r="AM2520" s="1">
        <v>2</v>
      </c>
      <c r="AN2520" s="1">
        <v>1</v>
      </c>
      <c r="AO2520" s="1">
        <v>1</v>
      </c>
      <c r="AP2520" s="1" t="s">
        <v>209</v>
      </c>
      <c r="AR2520" s="1" t="s">
        <v>210</v>
      </c>
      <c r="AS2520" s="1" t="s">
        <v>204</v>
      </c>
      <c r="AT2520" s="1" t="s">
        <v>211</v>
      </c>
      <c r="AU2520" s="1">
        <v>1</v>
      </c>
      <c r="AW2520" s="1" t="s">
        <v>204</v>
      </c>
      <c r="AX2520" s="1" t="s">
        <v>212</v>
      </c>
      <c r="AZ2520" s="1">
        <v>4234</v>
      </c>
      <c r="BA2520" s="1">
        <v>2012</v>
      </c>
      <c r="BE2520" s="1">
        <v>0</v>
      </c>
      <c r="BF2520" s="1">
        <v>4</v>
      </c>
      <c r="BG2520" s="1">
        <v>30</v>
      </c>
      <c r="BL2520" s="1">
        <v>317</v>
      </c>
      <c r="BM2520" s="1" t="s">
        <v>413</v>
      </c>
      <c r="BN2520" s="1" t="s">
        <v>213</v>
      </c>
      <c r="BO2520" s="1">
        <v>40</v>
      </c>
      <c r="BP2520" s="1" t="s">
        <v>204</v>
      </c>
      <c r="BR2520" s="1" t="str">
        <f>"18041210371015"</f>
        <v>18041210371015</v>
      </c>
      <c r="BT2520" s="1" t="s">
        <v>21668</v>
      </c>
      <c r="BX2520" s="1">
        <v>102</v>
      </c>
      <c r="BY2520" s="1">
        <v>102</v>
      </c>
      <c r="BZ2520" s="1">
        <v>204</v>
      </c>
      <c r="CB2520" s="1" t="str">
        <f t="shared" ref="CB2520:CC2520" si="1932">""</f>
        <v/>
      </c>
      <c r="CC2520" s="1" t="str">
        <f t="shared" si="1932"/>
        <v/>
      </c>
      <c r="CG2520" s="1" t="s">
        <v>885</v>
      </c>
      <c r="CH2520" s="1" t="s">
        <v>219</v>
      </c>
      <c r="CI2520" s="1" t="s">
        <v>438</v>
      </c>
      <c r="CK2520" s="1" t="s">
        <v>221</v>
      </c>
      <c r="CL2520" s="1" t="s">
        <v>219</v>
      </c>
      <c r="CM2520" s="1" t="s">
        <v>220</v>
      </c>
      <c r="CP2520" s="1" t="s">
        <v>224</v>
      </c>
      <c r="CS2520" s="1" t="s">
        <v>757</v>
      </c>
      <c r="CT2520" s="1" t="s">
        <v>219</v>
      </c>
      <c r="CU2520" s="1" t="s">
        <v>229</v>
      </c>
      <c r="CX2520" s="1" t="s">
        <v>224</v>
      </c>
      <c r="DB2520" s="1" t="s">
        <v>224</v>
      </c>
      <c r="DE2520" s="1" t="s">
        <v>861</v>
      </c>
      <c r="DF2520" s="1" t="s">
        <v>219</v>
      </c>
      <c r="DG2520" s="1" t="s">
        <v>438</v>
      </c>
      <c r="DJ2520" s="1" t="s">
        <v>224</v>
      </c>
      <c r="DS2520" s="1" t="s">
        <v>230</v>
      </c>
      <c r="DW2520" s="1" t="s">
        <v>230</v>
      </c>
      <c r="EA2520" s="1" t="s">
        <v>230</v>
      </c>
      <c r="EE2520" s="1" t="s">
        <v>230</v>
      </c>
      <c r="EI2520" s="1" t="s">
        <v>230</v>
      </c>
      <c r="EL2520" s="1" t="s">
        <v>466</v>
      </c>
      <c r="EM2520" s="1" t="s">
        <v>319</v>
      </c>
      <c r="EN2520" s="1" t="s">
        <v>282</v>
      </c>
      <c r="EO2520" s="1" t="s">
        <v>234</v>
      </c>
      <c r="EP2520" s="1" t="s">
        <v>21669</v>
      </c>
      <c r="ER2520" s="1" t="s">
        <v>210</v>
      </c>
      <c r="ES2520" s="1" t="s">
        <v>493</v>
      </c>
      <c r="ET2520" s="1" t="s">
        <v>842</v>
      </c>
      <c r="EV2520" s="1" t="s">
        <v>240</v>
      </c>
      <c r="EW2520" s="1" t="s">
        <v>937</v>
      </c>
      <c r="EZ2520" s="1" t="s">
        <v>287</v>
      </c>
      <c r="FD2520" s="1" t="s">
        <v>290</v>
      </c>
      <c r="FE2520" s="1" t="s">
        <v>247</v>
      </c>
      <c r="FF2520" s="1" t="s">
        <v>248</v>
      </c>
      <c r="FH2520" s="1" t="s">
        <v>249</v>
      </c>
      <c r="FI2520" s="1" t="s">
        <v>848</v>
      </c>
      <c r="FL2520" s="1" t="s">
        <v>810</v>
      </c>
      <c r="FM2520" s="1" t="s">
        <v>252</v>
      </c>
      <c r="FN2520" s="1" t="s">
        <v>213</v>
      </c>
      <c r="FO2520" s="1" t="s">
        <v>213</v>
      </c>
      <c r="FQ2520" s="1" t="s">
        <v>849</v>
      </c>
      <c r="FR2520" s="1" t="s">
        <v>210</v>
      </c>
      <c r="FS2520" s="1" t="s">
        <v>653</v>
      </c>
      <c r="FT2520" s="1" t="s">
        <v>3796</v>
      </c>
      <c r="FU2520" s="1" t="s">
        <v>204</v>
      </c>
      <c r="FW2520" s="1" t="s">
        <v>655</v>
      </c>
      <c r="FX2520" s="1">
        <v>10841</v>
      </c>
      <c r="FY2520" s="1" t="s">
        <v>656</v>
      </c>
      <c r="FZ2520" s="1" t="s">
        <v>657</v>
      </c>
      <c r="GA2520" s="1">
        <v>109860</v>
      </c>
      <c r="GB2520" s="1" t="s">
        <v>656</v>
      </c>
      <c r="GE2520" s="1" t="s">
        <v>1333</v>
      </c>
      <c r="GH2520" s="1" t="s">
        <v>589</v>
      </c>
      <c r="GI2520" s="1" t="s">
        <v>213</v>
      </c>
      <c r="GJ2520" s="1" t="s">
        <v>260</v>
      </c>
      <c r="GK2520" s="1" t="s">
        <v>210</v>
      </c>
      <c r="GL2520" s="2">
        <v>42094</v>
      </c>
      <c r="GM2520" s="1" t="s">
        <v>21670</v>
      </c>
    </row>
    <row r="2521" spans="1:195">
      <c r="A2521" s="1">
        <v>145000</v>
      </c>
      <c r="B2521" s="1" t="s">
        <v>195</v>
      </c>
      <c r="C2521" s="1" t="str">
        <f>"08833357"</f>
        <v>08833357</v>
      </c>
      <c r="D2521" s="1" t="s">
        <v>196</v>
      </c>
      <c r="F2521" s="1" t="str">
        <f>"188"</f>
        <v>188</v>
      </c>
      <c r="G2521" s="2">
        <v>42042</v>
      </c>
      <c r="H2521" s="1">
        <v>159900</v>
      </c>
      <c r="I2521" s="1">
        <v>159900</v>
      </c>
      <c r="J2521" s="1">
        <v>145000</v>
      </c>
      <c r="K2521" s="2">
        <v>42042</v>
      </c>
      <c r="L2521" s="1">
        <v>54</v>
      </c>
      <c r="M2521" s="2">
        <v>42095</v>
      </c>
      <c r="N2521" s="1">
        <v>54</v>
      </c>
      <c r="O2521" s="2">
        <v>42095</v>
      </c>
      <c r="P2521" s="1">
        <v>12664</v>
      </c>
      <c r="Q2521" s="1" t="s">
        <v>423</v>
      </c>
      <c r="R2521" s="2">
        <v>42143</v>
      </c>
      <c r="S2521" s="1">
        <v>125585</v>
      </c>
      <c r="U2521" s="1">
        <v>366</v>
      </c>
      <c r="V2521" s="1" t="s">
        <v>21671</v>
      </c>
      <c r="W2521" s="1" t="s">
        <v>304</v>
      </c>
      <c r="Y2521" s="1">
        <v>2</v>
      </c>
      <c r="Z2521" s="1" t="s">
        <v>200</v>
      </c>
      <c r="AA2521" s="1" t="s">
        <v>1084</v>
      </c>
      <c r="AB2521" s="1">
        <v>60188</v>
      </c>
      <c r="AE2521" s="1" t="s">
        <v>21672</v>
      </c>
      <c r="AF2521" s="1">
        <v>1986</v>
      </c>
      <c r="AG2521" s="1" t="s">
        <v>204</v>
      </c>
      <c r="AH2521" s="1" t="s">
        <v>1087</v>
      </c>
      <c r="AI2521" s="1" t="s">
        <v>206</v>
      </c>
      <c r="AJ2521" s="1" t="s">
        <v>269</v>
      </c>
      <c r="AL2521" s="1">
        <v>5</v>
      </c>
      <c r="AM2521" s="1">
        <v>2</v>
      </c>
      <c r="AN2521" s="1">
        <v>1</v>
      </c>
      <c r="AO2521" s="1">
        <v>1</v>
      </c>
      <c r="AP2521" s="1" t="s">
        <v>455</v>
      </c>
      <c r="AR2521" s="1" t="s">
        <v>210</v>
      </c>
      <c r="AT2521" s="1" t="s">
        <v>211</v>
      </c>
      <c r="AU2521" s="1">
        <v>1.1000000000000001</v>
      </c>
      <c r="AW2521" s="1" t="s">
        <v>204</v>
      </c>
      <c r="AX2521" s="1" t="s">
        <v>21673</v>
      </c>
      <c r="AZ2521" s="1">
        <v>4233</v>
      </c>
      <c r="BA2521" s="1">
        <v>2013</v>
      </c>
      <c r="BE2521" s="1">
        <v>1300</v>
      </c>
      <c r="BF2521" s="1">
        <v>1</v>
      </c>
      <c r="BG2521" s="1">
        <v>0</v>
      </c>
      <c r="BL2521" s="1">
        <v>0</v>
      </c>
      <c r="BM2521" s="1" t="s">
        <v>204</v>
      </c>
      <c r="BN2521" s="1" t="s">
        <v>213</v>
      </c>
      <c r="BO2521" s="1">
        <v>0</v>
      </c>
      <c r="BP2521" s="1" t="s">
        <v>204</v>
      </c>
      <c r="BR2521" s="1" t="str">
        <f>"0219405037"</f>
        <v>0219405037</v>
      </c>
      <c r="BT2521" s="1" t="s">
        <v>21674</v>
      </c>
      <c r="BX2521" s="1">
        <v>93</v>
      </c>
      <c r="BY2521" s="1">
        <v>93</v>
      </c>
      <c r="BZ2521" s="1">
        <v>87</v>
      </c>
      <c r="CB2521" s="1" t="str">
        <f t="shared" ref="CB2521:CC2521" si="1933">""</f>
        <v/>
      </c>
      <c r="CC2521" s="1" t="str">
        <f t="shared" si="1933"/>
        <v/>
      </c>
      <c r="CG2521" s="1" t="s">
        <v>628</v>
      </c>
      <c r="CH2521" s="1" t="s">
        <v>219</v>
      </c>
      <c r="CI2521" s="1" t="s">
        <v>220</v>
      </c>
      <c r="CJ2521" s="1" t="s">
        <v>252</v>
      </c>
      <c r="CK2521" s="1" t="s">
        <v>437</v>
      </c>
      <c r="CL2521" s="1" t="s">
        <v>277</v>
      </c>
      <c r="CM2521" s="1" t="s">
        <v>220</v>
      </c>
      <c r="CO2521" s="1" t="s">
        <v>465</v>
      </c>
      <c r="CP2521" s="1" t="s">
        <v>219</v>
      </c>
      <c r="CQ2521" s="1" t="s">
        <v>220</v>
      </c>
      <c r="CS2521" s="1" t="s">
        <v>223</v>
      </c>
      <c r="CT2521" s="1" t="s">
        <v>277</v>
      </c>
      <c r="CU2521" s="1" t="s">
        <v>220</v>
      </c>
      <c r="CX2521" s="1" t="s">
        <v>224</v>
      </c>
      <c r="DB2521" s="1" t="s">
        <v>224</v>
      </c>
      <c r="DE2521" s="1" t="s">
        <v>379</v>
      </c>
      <c r="DF2521" s="1" t="s">
        <v>219</v>
      </c>
      <c r="DG2521" s="1" t="s">
        <v>342</v>
      </c>
      <c r="DJ2521" s="1" t="s">
        <v>224</v>
      </c>
      <c r="DS2521" s="1" t="s">
        <v>230</v>
      </c>
      <c r="DW2521" s="1" t="s">
        <v>230</v>
      </c>
      <c r="EA2521" s="1" t="s">
        <v>230</v>
      </c>
      <c r="EE2521" s="1" t="s">
        <v>230</v>
      </c>
      <c r="EI2521" s="1" t="s">
        <v>230</v>
      </c>
      <c r="EL2521" s="1" t="s">
        <v>542</v>
      </c>
      <c r="EM2521" s="1" t="s">
        <v>319</v>
      </c>
      <c r="EN2521" s="1" t="s">
        <v>282</v>
      </c>
      <c r="EO2521" s="1" t="s">
        <v>234</v>
      </c>
      <c r="EQ2521" s="1" t="s">
        <v>468</v>
      </c>
      <c r="ER2521" s="1" t="s">
        <v>210</v>
      </c>
      <c r="ES2521" s="1" t="s">
        <v>824</v>
      </c>
      <c r="EV2521" s="1" t="s">
        <v>324</v>
      </c>
      <c r="EW2521" s="1" t="s">
        <v>210</v>
      </c>
      <c r="EZ2521" s="1" t="s">
        <v>287</v>
      </c>
      <c r="FA2521" s="1" t="s">
        <v>714</v>
      </c>
      <c r="FD2521" s="1" t="s">
        <v>246</v>
      </c>
      <c r="FE2521" s="1" t="s">
        <v>355</v>
      </c>
      <c r="FF2521" s="1" t="s">
        <v>387</v>
      </c>
      <c r="FH2521" s="1" t="s">
        <v>442</v>
      </c>
      <c r="FL2521" s="1" t="s">
        <v>358</v>
      </c>
      <c r="FM2521" s="1" t="s">
        <v>252</v>
      </c>
      <c r="FN2521" s="1" t="s">
        <v>213</v>
      </c>
      <c r="FO2521" s="1" t="s">
        <v>213</v>
      </c>
      <c r="FQ2521" s="1" t="s">
        <v>6294</v>
      </c>
      <c r="FR2521" s="1" t="s">
        <v>652</v>
      </c>
      <c r="FS2521" s="1" t="s">
        <v>21675</v>
      </c>
      <c r="FT2521" s="1" t="s">
        <v>1139</v>
      </c>
      <c r="FU2521" s="1" t="s">
        <v>204</v>
      </c>
      <c r="FW2521" s="1" t="s">
        <v>21676</v>
      </c>
      <c r="FX2521" s="1">
        <v>21386</v>
      </c>
      <c r="FY2521" s="1" t="s">
        <v>21677</v>
      </c>
      <c r="FZ2521" s="1" t="s">
        <v>21678</v>
      </c>
      <c r="GA2521" s="1">
        <v>257062</v>
      </c>
      <c r="GB2521" s="1" t="s">
        <v>21677</v>
      </c>
      <c r="GD2521" s="1" t="s">
        <v>21679</v>
      </c>
      <c r="GE2521" s="1" t="s">
        <v>480</v>
      </c>
      <c r="GI2521" s="1" t="s">
        <v>204</v>
      </c>
      <c r="GJ2521" s="1" t="s">
        <v>260</v>
      </c>
      <c r="GK2521" s="1" t="s">
        <v>210</v>
      </c>
      <c r="GL2521" s="2">
        <v>42143</v>
      </c>
    </row>
    <row r="2522" spans="1:195">
      <c r="A2522" s="1">
        <v>88111</v>
      </c>
      <c r="B2522" s="1" t="s">
        <v>195</v>
      </c>
      <c r="C2522" s="1" t="str">
        <f>"08833310"</f>
        <v>08833310</v>
      </c>
      <c r="D2522" s="1" t="s">
        <v>196</v>
      </c>
      <c r="F2522" s="1" t="str">
        <f>"103"</f>
        <v>103</v>
      </c>
      <c r="G2522" s="2">
        <v>42041</v>
      </c>
      <c r="H2522" s="1">
        <v>87900</v>
      </c>
      <c r="I2522" s="1">
        <v>87900</v>
      </c>
      <c r="J2522" s="1">
        <v>88111</v>
      </c>
      <c r="K2522" s="2">
        <v>42041</v>
      </c>
      <c r="L2522" s="1">
        <v>341</v>
      </c>
      <c r="M2522" s="2">
        <v>42044</v>
      </c>
      <c r="N2522" s="1">
        <v>4</v>
      </c>
      <c r="O2522" s="2">
        <v>42044</v>
      </c>
      <c r="P2522" s="1">
        <v>8059</v>
      </c>
      <c r="Q2522" s="1" t="s">
        <v>197</v>
      </c>
      <c r="R2522" s="2">
        <v>42062</v>
      </c>
      <c r="S2522" s="1">
        <v>87018</v>
      </c>
      <c r="U2522" s="1">
        <v>7493</v>
      </c>
      <c r="V2522" s="1" t="s">
        <v>21680</v>
      </c>
      <c r="W2522" s="1" t="s">
        <v>725</v>
      </c>
      <c r="X2522" s="1">
        <v>7493</v>
      </c>
      <c r="Y2522" s="1">
        <v>4</v>
      </c>
      <c r="Z2522" s="1" t="s">
        <v>370</v>
      </c>
      <c r="AA2522" s="1" t="s">
        <v>337</v>
      </c>
      <c r="AB2522" s="1">
        <v>60133</v>
      </c>
      <c r="AE2522" s="1" t="s">
        <v>21681</v>
      </c>
      <c r="AF2522" s="1">
        <v>1986</v>
      </c>
      <c r="AG2522" s="1" t="s">
        <v>204</v>
      </c>
      <c r="AH2522" s="1" t="s">
        <v>339</v>
      </c>
      <c r="AI2522" s="1" t="s">
        <v>310</v>
      </c>
      <c r="AJ2522" s="1" t="s">
        <v>1717</v>
      </c>
      <c r="AL2522" s="1">
        <v>7</v>
      </c>
      <c r="AM2522" s="1">
        <v>2</v>
      </c>
      <c r="AN2522" s="1">
        <v>1</v>
      </c>
      <c r="AO2522" s="1">
        <v>1</v>
      </c>
      <c r="AP2522" s="1" t="s">
        <v>210</v>
      </c>
      <c r="AQ2522" s="1">
        <v>0</v>
      </c>
      <c r="AR2522" s="1" t="s">
        <v>209</v>
      </c>
      <c r="AS2522" s="1" t="s">
        <v>204</v>
      </c>
      <c r="AT2522" s="1" t="s">
        <v>211</v>
      </c>
      <c r="AU2522" s="1">
        <v>1</v>
      </c>
      <c r="AW2522" s="1" t="s">
        <v>204</v>
      </c>
      <c r="AX2522" s="1" t="s">
        <v>21682</v>
      </c>
      <c r="AZ2522" s="1">
        <v>3297.7</v>
      </c>
      <c r="BA2522" s="1">
        <v>2013</v>
      </c>
      <c r="BB2522" s="1" t="s">
        <v>405</v>
      </c>
      <c r="BC2522" s="1">
        <v>0</v>
      </c>
      <c r="BE2522" s="1">
        <v>1118</v>
      </c>
      <c r="BF2522" s="1">
        <v>1</v>
      </c>
      <c r="BG2522" s="1">
        <v>5</v>
      </c>
      <c r="BL2522" s="1">
        <v>39</v>
      </c>
      <c r="BM2522" s="1" t="s">
        <v>413</v>
      </c>
      <c r="BN2522" s="1" t="s">
        <v>213</v>
      </c>
      <c r="BO2522" s="1">
        <v>990</v>
      </c>
      <c r="BP2522" s="1" t="s">
        <v>204</v>
      </c>
      <c r="BR2522" s="1" t="str">
        <f>"07304210180000"</f>
        <v>07304210180000</v>
      </c>
      <c r="BT2522" s="1" t="s">
        <v>3241</v>
      </c>
      <c r="BX2522" s="1">
        <v>54</v>
      </c>
      <c r="BY2522" s="1">
        <v>54</v>
      </c>
      <c r="BZ2522" s="1">
        <v>211</v>
      </c>
      <c r="CB2522" s="1" t="str">
        <f t="shared" ref="CB2522:CC2522" si="1934">""</f>
        <v/>
      </c>
      <c r="CC2522" s="1" t="str">
        <f t="shared" si="1934"/>
        <v/>
      </c>
      <c r="CG2522" s="1" t="s">
        <v>581</v>
      </c>
      <c r="CH2522" s="1" t="s">
        <v>219</v>
      </c>
      <c r="CK2522" s="1" t="s">
        <v>437</v>
      </c>
      <c r="CL2522" s="1" t="s">
        <v>277</v>
      </c>
      <c r="CO2522" s="1" t="s">
        <v>629</v>
      </c>
      <c r="CP2522" s="1" t="s">
        <v>219</v>
      </c>
      <c r="CS2522" s="1" t="s">
        <v>379</v>
      </c>
      <c r="CT2522" s="1" t="s">
        <v>277</v>
      </c>
      <c r="CX2522" s="1" t="s">
        <v>224</v>
      </c>
      <c r="DB2522" s="1" t="s">
        <v>224</v>
      </c>
      <c r="DE2522" s="1" t="s">
        <v>1454</v>
      </c>
      <c r="DF2522" s="1" t="s">
        <v>219</v>
      </c>
      <c r="DI2522" s="1" t="s">
        <v>757</v>
      </c>
      <c r="DJ2522" s="1" t="s">
        <v>219</v>
      </c>
      <c r="DM2522" s="1" t="s">
        <v>934</v>
      </c>
      <c r="DR2522" s="1" t="s">
        <v>1045</v>
      </c>
      <c r="DS2522" s="1" t="s">
        <v>822</v>
      </c>
      <c r="DW2522" s="1" t="s">
        <v>230</v>
      </c>
      <c r="EA2522" s="1" t="s">
        <v>230</v>
      </c>
      <c r="EE2522" s="1" t="s">
        <v>230</v>
      </c>
      <c r="EI2522" s="1" t="s">
        <v>230</v>
      </c>
      <c r="EL2522" s="1" t="s">
        <v>542</v>
      </c>
      <c r="EM2522" s="1" t="s">
        <v>232</v>
      </c>
      <c r="EN2522" s="1" t="s">
        <v>282</v>
      </c>
      <c r="EO2522" s="1" t="s">
        <v>234</v>
      </c>
      <c r="EP2522" s="1" t="s">
        <v>13033</v>
      </c>
      <c r="ER2522" s="1" t="s">
        <v>544</v>
      </c>
      <c r="EW2522" s="1" t="s">
        <v>911</v>
      </c>
      <c r="EZ2522" s="1" t="s">
        <v>934</v>
      </c>
      <c r="FB2522" s="1" t="s">
        <v>289</v>
      </c>
      <c r="FD2522" s="1" t="s">
        <v>246</v>
      </c>
      <c r="FE2522" s="1" t="s">
        <v>1031</v>
      </c>
      <c r="FF2522" s="1" t="s">
        <v>248</v>
      </c>
      <c r="FH2522" s="1" t="s">
        <v>550</v>
      </c>
      <c r="FL2522" s="1" t="s">
        <v>358</v>
      </c>
      <c r="FM2522" s="1" t="s">
        <v>252</v>
      </c>
      <c r="FN2522" s="1" t="s">
        <v>213</v>
      </c>
      <c r="FO2522" s="1" t="s">
        <v>213</v>
      </c>
      <c r="FQ2522" s="1" t="s">
        <v>913</v>
      </c>
      <c r="FR2522" s="1" t="s">
        <v>210</v>
      </c>
      <c r="FS2522" s="1" t="s">
        <v>3242</v>
      </c>
      <c r="FT2522" s="1" t="s">
        <v>295</v>
      </c>
      <c r="FU2522" s="1" t="s">
        <v>204</v>
      </c>
      <c r="FW2522" s="1" t="s">
        <v>3243</v>
      </c>
      <c r="FX2522" s="1">
        <v>604</v>
      </c>
      <c r="FY2522" s="1" t="s">
        <v>3244</v>
      </c>
      <c r="FZ2522" s="1" t="s">
        <v>3245</v>
      </c>
      <c r="GA2522" s="1">
        <v>381</v>
      </c>
      <c r="GB2522" s="1" t="s">
        <v>3246</v>
      </c>
      <c r="GC2522" s="1">
        <v>1954</v>
      </c>
      <c r="GE2522" s="1" t="s">
        <v>210</v>
      </c>
      <c r="GI2522" s="1" t="s">
        <v>213</v>
      </c>
      <c r="GJ2522" s="1" t="s">
        <v>260</v>
      </c>
      <c r="GK2522" s="1" t="s">
        <v>210</v>
      </c>
      <c r="GL2522" s="2">
        <v>42062</v>
      </c>
      <c r="GM2522" s="1" t="s">
        <v>3247</v>
      </c>
    </row>
    <row r="2523" spans="1:195">
      <c r="A2523" s="1">
        <v>154000</v>
      </c>
      <c r="B2523" s="1" t="s">
        <v>195</v>
      </c>
      <c r="C2523" s="1" t="str">
        <f>"08831439"</f>
        <v>08831439</v>
      </c>
      <c r="D2523" s="1" t="s">
        <v>196</v>
      </c>
      <c r="F2523" s="1" t="str">
        <f>"174"</f>
        <v>174</v>
      </c>
      <c r="G2523" s="2">
        <v>42040</v>
      </c>
      <c r="H2523" s="1">
        <v>159900</v>
      </c>
      <c r="I2523" s="1">
        <v>157900</v>
      </c>
      <c r="J2523" s="1">
        <v>154000</v>
      </c>
      <c r="K2523" s="2">
        <v>42040</v>
      </c>
      <c r="L2523" s="1">
        <v>43</v>
      </c>
      <c r="M2523" s="2">
        <v>42082</v>
      </c>
      <c r="N2523" s="1">
        <v>43</v>
      </c>
      <c r="O2523" s="2">
        <v>42082</v>
      </c>
      <c r="P2523" s="1">
        <v>23591</v>
      </c>
      <c r="Q2523" s="1" t="s">
        <v>197</v>
      </c>
      <c r="R2523" s="2">
        <v>42143</v>
      </c>
      <c r="S2523" s="1">
        <v>245649</v>
      </c>
      <c r="U2523" s="1">
        <v>1427</v>
      </c>
      <c r="V2523" s="1" t="s">
        <v>11707</v>
      </c>
      <c r="W2523" s="1" t="s">
        <v>425</v>
      </c>
      <c r="X2523" s="1">
        <v>1427</v>
      </c>
      <c r="Y2523" s="1">
        <v>3</v>
      </c>
      <c r="Z2523" s="1" t="s">
        <v>370</v>
      </c>
      <c r="AA2523" s="1" t="s">
        <v>879</v>
      </c>
      <c r="AB2523" s="1">
        <v>60174</v>
      </c>
      <c r="AD2523" s="1" t="s">
        <v>13706</v>
      </c>
      <c r="AE2523" s="1" t="s">
        <v>21683</v>
      </c>
      <c r="AF2523" s="1">
        <v>1994</v>
      </c>
      <c r="AG2523" s="1" t="s">
        <v>204</v>
      </c>
      <c r="AH2523" s="1" t="s">
        <v>883</v>
      </c>
      <c r="AI2523" s="1" t="s">
        <v>665</v>
      </c>
      <c r="AJ2523" s="1" t="s">
        <v>883</v>
      </c>
      <c r="AL2523" s="1">
        <v>5</v>
      </c>
      <c r="AM2523" s="1">
        <v>2</v>
      </c>
      <c r="AN2523" s="1">
        <v>2</v>
      </c>
      <c r="AO2523" s="1">
        <v>1</v>
      </c>
      <c r="AP2523" s="1" t="s">
        <v>209</v>
      </c>
      <c r="AR2523" s="1" t="s">
        <v>210</v>
      </c>
      <c r="AS2523" s="1" t="s">
        <v>204</v>
      </c>
      <c r="AT2523" s="1" t="s">
        <v>211</v>
      </c>
      <c r="AU2523" s="1">
        <v>1</v>
      </c>
      <c r="AW2523" s="1" t="s">
        <v>204</v>
      </c>
      <c r="AX2523" s="1" t="s">
        <v>212</v>
      </c>
      <c r="AZ2523" s="1">
        <v>3576</v>
      </c>
      <c r="BA2523" s="1">
        <v>2013</v>
      </c>
      <c r="BB2523" s="1" t="s">
        <v>405</v>
      </c>
      <c r="BE2523" s="1">
        <v>1328</v>
      </c>
      <c r="BF2523" s="1">
        <v>1</v>
      </c>
      <c r="BG2523" s="1">
        <v>0</v>
      </c>
      <c r="BL2523" s="1">
        <v>159</v>
      </c>
      <c r="BM2523" s="1" t="s">
        <v>204</v>
      </c>
      <c r="BN2523" s="1" t="s">
        <v>213</v>
      </c>
      <c r="BO2523" s="1">
        <v>0</v>
      </c>
      <c r="BP2523" s="1" t="s">
        <v>204</v>
      </c>
      <c r="BR2523" s="1" t="str">
        <f>"0935457027"</f>
        <v>0935457027</v>
      </c>
      <c r="BT2523" s="1" t="s">
        <v>21684</v>
      </c>
      <c r="BU2523" s="1" t="s">
        <v>21685</v>
      </c>
      <c r="BV2523" s="1" t="s">
        <v>2118</v>
      </c>
      <c r="BW2523" s="1" t="s">
        <v>2119</v>
      </c>
      <c r="BX2523" s="1">
        <v>303</v>
      </c>
      <c r="BY2523" s="1">
        <v>303</v>
      </c>
      <c r="BZ2523" s="1">
        <v>303</v>
      </c>
      <c r="CB2523" s="1" t="str">
        <f>"40"</f>
        <v>40</v>
      </c>
      <c r="CC2523" s="1" t="str">
        <f>"8"</f>
        <v>8</v>
      </c>
      <c r="CH2523" s="1" t="s">
        <v>224</v>
      </c>
      <c r="CK2523" s="1" t="s">
        <v>1155</v>
      </c>
      <c r="CL2523" s="1" t="s">
        <v>277</v>
      </c>
      <c r="CM2523" s="1" t="s">
        <v>220</v>
      </c>
      <c r="CN2523" s="1" t="s">
        <v>343</v>
      </c>
      <c r="CO2523" s="1" t="s">
        <v>629</v>
      </c>
      <c r="CP2523" s="1" t="s">
        <v>219</v>
      </c>
      <c r="CQ2523" s="1" t="s">
        <v>229</v>
      </c>
      <c r="CR2523" s="1" t="s">
        <v>343</v>
      </c>
      <c r="CS2523" s="1" t="s">
        <v>465</v>
      </c>
      <c r="CT2523" s="1" t="s">
        <v>277</v>
      </c>
      <c r="CU2523" s="1" t="s">
        <v>220</v>
      </c>
      <c r="CV2523" s="1" t="s">
        <v>343</v>
      </c>
      <c r="CX2523" s="1" t="s">
        <v>224</v>
      </c>
      <c r="DB2523" s="1" t="s">
        <v>224</v>
      </c>
      <c r="DE2523" s="1" t="s">
        <v>281</v>
      </c>
      <c r="DF2523" s="1" t="s">
        <v>219</v>
      </c>
      <c r="DG2523" s="1" t="s">
        <v>229</v>
      </c>
      <c r="DH2523" s="1" t="s">
        <v>210</v>
      </c>
      <c r="DI2523" s="1" t="s">
        <v>2402</v>
      </c>
      <c r="DJ2523" s="1" t="s">
        <v>219</v>
      </c>
      <c r="DK2523" s="1" t="s">
        <v>229</v>
      </c>
      <c r="DL2523" s="1" t="s">
        <v>343</v>
      </c>
      <c r="DM2523" s="1" t="s">
        <v>709</v>
      </c>
      <c r="DR2523" s="1" t="s">
        <v>4299</v>
      </c>
      <c r="DS2523" s="1" t="s">
        <v>219</v>
      </c>
      <c r="DT2523" s="1" t="s">
        <v>229</v>
      </c>
      <c r="DU2523" s="1" t="s">
        <v>210</v>
      </c>
      <c r="DW2523" s="1" t="s">
        <v>230</v>
      </c>
      <c r="EA2523" s="1" t="s">
        <v>230</v>
      </c>
      <c r="EE2523" s="1" t="s">
        <v>230</v>
      </c>
      <c r="EI2523" s="1" t="s">
        <v>230</v>
      </c>
      <c r="EL2523" s="1" t="s">
        <v>382</v>
      </c>
      <c r="EM2523" s="1" t="s">
        <v>319</v>
      </c>
      <c r="EN2523" s="1" t="s">
        <v>282</v>
      </c>
      <c r="EO2523" s="1" t="s">
        <v>234</v>
      </c>
      <c r="EQ2523" s="1" t="s">
        <v>2188</v>
      </c>
      <c r="ER2523" s="1" t="s">
        <v>210</v>
      </c>
      <c r="ES2523" s="1" t="s">
        <v>322</v>
      </c>
      <c r="EU2523" s="1" t="s">
        <v>610</v>
      </c>
      <c r="EW2523" s="1" t="s">
        <v>3471</v>
      </c>
      <c r="EZ2523" s="1" t="s">
        <v>709</v>
      </c>
      <c r="FD2523" s="1" t="s">
        <v>246</v>
      </c>
      <c r="FE2523" s="1" t="s">
        <v>355</v>
      </c>
      <c r="FF2523" s="1" t="s">
        <v>387</v>
      </c>
      <c r="FH2523" s="1" t="s">
        <v>940</v>
      </c>
      <c r="FI2523" s="1" t="s">
        <v>473</v>
      </c>
      <c r="FJ2523" s="1" t="s">
        <v>518</v>
      </c>
      <c r="FL2523" s="1" t="s">
        <v>358</v>
      </c>
      <c r="FM2523" s="1" t="s">
        <v>252</v>
      </c>
      <c r="FN2523" s="1" t="s">
        <v>213</v>
      </c>
      <c r="FO2523" s="1" t="s">
        <v>213</v>
      </c>
      <c r="FQ2523" s="1" t="s">
        <v>293</v>
      </c>
      <c r="FR2523" s="1" t="s">
        <v>210</v>
      </c>
      <c r="FS2523" s="1" t="s">
        <v>21686</v>
      </c>
      <c r="FT2523" s="1" t="s">
        <v>362</v>
      </c>
      <c r="FU2523" s="1" t="s">
        <v>204</v>
      </c>
      <c r="FV2523" s="1">
        <v>6304848785</v>
      </c>
      <c r="FW2523" s="1" t="s">
        <v>1475</v>
      </c>
      <c r="FX2523" s="1">
        <v>23265</v>
      </c>
      <c r="FY2523" s="1" t="s">
        <v>1476</v>
      </c>
      <c r="FZ2523" s="1" t="s">
        <v>21687</v>
      </c>
      <c r="GA2523" s="1">
        <v>225977</v>
      </c>
      <c r="GB2523" s="1" t="s">
        <v>21688</v>
      </c>
      <c r="GD2523" s="1" t="s">
        <v>21689</v>
      </c>
      <c r="GE2523" s="1" t="s">
        <v>480</v>
      </c>
      <c r="GI2523" s="1" t="s">
        <v>213</v>
      </c>
      <c r="GJ2523" s="1" t="s">
        <v>260</v>
      </c>
      <c r="GK2523" s="1" t="s">
        <v>261</v>
      </c>
      <c r="GL2523" s="2">
        <v>42143</v>
      </c>
      <c r="GM2523" s="1" t="s">
        <v>21690</v>
      </c>
    </row>
    <row r="2524" spans="1:195">
      <c r="A2524" s="1">
        <v>122250</v>
      </c>
      <c r="B2524" s="1" t="s">
        <v>195</v>
      </c>
      <c r="C2524" s="1" t="str">
        <f>"08838133"</f>
        <v>08838133</v>
      </c>
      <c r="D2524" s="1" t="s">
        <v>196</v>
      </c>
      <c r="F2524" s="1" t="str">
        <f>"140"</f>
        <v>140</v>
      </c>
      <c r="G2524" s="2">
        <v>42048</v>
      </c>
      <c r="H2524" s="1">
        <v>124850</v>
      </c>
      <c r="I2524" s="1">
        <v>124850</v>
      </c>
      <c r="J2524" s="1">
        <v>122250</v>
      </c>
      <c r="K2524" s="2">
        <v>42048</v>
      </c>
      <c r="L2524" s="1">
        <v>7</v>
      </c>
      <c r="M2524" s="2">
        <v>42054</v>
      </c>
      <c r="N2524" s="1">
        <v>7</v>
      </c>
      <c r="O2524" s="2">
        <v>42054</v>
      </c>
      <c r="P2524" s="1">
        <v>24215</v>
      </c>
      <c r="Q2524" s="1" t="s">
        <v>197</v>
      </c>
      <c r="R2524" s="2">
        <v>42116</v>
      </c>
      <c r="S2524" s="1">
        <v>241724</v>
      </c>
      <c r="T2524" s="1">
        <v>2500</v>
      </c>
      <c r="U2524" s="1">
        <v>890</v>
      </c>
      <c r="V2524" s="1" t="s">
        <v>21691</v>
      </c>
      <c r="W2524" s="1" t="s">
        <v>504</v>
      </c>
      <c r="Y2524" s="1">
        <v>6</v>
      </c>
      <c r="Z2524" s="1" t="s">
        <v>370</v>
      </c>
      <c r="AA2524" s="1" t="s">
        <v>744</v>
      </c>
      <c r="AB2524" s="1">
        <v>60140</v>
      </c>
      <c r="AD2524" s="1" t="s">
        <v>745</v>
      </c>
      <c r="AE2524" s="1" t="s">
        <v>21692</v>
      </c>
      <c r="AF2524" s="1">
        <v>2006</v>
      </c>
      <c r="AG2524" s="1" t="s">
        <v>204</v>
      </c>
      <c r="AH2524" s="1" t="s">
        <v>747</v>
      </c>
      <c r="AI2524" s="1" t="s">
        <v>665</v>
      </c>
      <c r="AJ2524" s="1" t="s">
        <v>748</v>
      </c>
      <c r="AK2524" s="1" t="s">
        <v>9267</v>
      </c>
      <c r="AL2524" s="1">
        <v>7</v>
      </c>
      <c r="AM2524" s="1">
        <v>2</v>
      </c>
      <c r="AN2524" s="1">
        <v>1</v>
      </c>
      <c r="AO2524" s="1">
        <v>1</v>
      </c>
      <c r="AP2524" s="1" t="s">
        <v>667</v>
      </c>
      <c r="AR2524" s="1" t="s">
        <v>1421</v>
      </c>
      <c r="AS2524" s="1" t="s">
        <v>204</v>
      </c>
      <c r="AT2524" s="1" t="s">
        <v>211</v>
      </c>
      <c r="AU2524" s="1">
        <v>2</v>
      </c>
      <c r="AW2524" s="1" t="s">
        <v>204</v>
      </c>
      <c r="AX2524" s="1" t="s">
        <v>212</v>
      </c>
      <c r="AZ2524" s="1">
        <v>4201.32</v>
      </c>
      <c r="BA2524" s="1">
        <v>2013</v>
      </c>
      <c r="BB2524" s="1" t="s">
        <v>405</v>
      </c>
      <c r="BE2524" s="1">
        <v>1481</v>
      </c>
      <c r="BF2524" s="1">
        <v>1</v>
      </c>
      <c r="BG2524" s="1">
        <v>7</v>
      </c>
      <c r="BL2524" s="1">
        <v>181</v>
      </c>
      <c r="BM2524" s="1" t="s">
        <v>413</v>
      </c>
      <c r="BN2524" s="1" t="s">
        <v>213</v>
      </c>
      <c r="BO2524" s="1">
        <v>999</v>
      </c>
      <c r="BP2524" s="1" t="s">
        <v>204</v>
      </c>
      <c r="BR2524" s="1" t="str">
        <f>"0228306022"</f>
        <v>0228306022</v>
      </c>
      <c r="BT2524" s="1" t="s">
        <v>21693</v>
      </c>
      <c r="BX2524" s="1">
        <v>300</v>
      </c>
      <c r="BY2524" s="1">
        <v>300</v>
      </c>
      <c r="BZ2524" s="1">
        <v>300</v>
      </c>
      <c r="CB2524" s="1" t="str">
        <f>"15"</f>
        <v>15</v>
      </c>
      <c r="CC2524" s="1" t="str">
        <f t="shared" ref="CC2524:CC2526" si="1935">"0"</f>
        <v>0</v>
      </c>
      <c r="CD2524" s="1">
        <v>47</v>
      </c>
      <c r="CE2524" s="1">
        <v>0</v>
      </c>
      <c r="CG2524" s="1" t="s">
        <v>1297</v>
      </c>
      <c r="CH2524" s="1" t="s">
        <v>219</v>
      </c>
      <c r="CI2524" s="1" t="s">
        <v>220</v>
      </c>
      <c r="CK2524" s="1" t="s">
        <v>885</v>
      </c>
      <c r="CL2524" s="1" t="s">
        <v>277</v>
      </c>
      <c r="CM2524" s="1" t="s">
        <v>220</v>
      </c>
      <c r="CO2524" s="1" t="s">
        <v>972</v>
      </c>
      <c r="CP2524" s="1" t="s">
        <v>219</v>
      </c>
      <c r="CQ2524" s="1" t="s">
        <v>220</v>
      </c>
      <c r="CS2524" s="1" t="s">
        <v>346</v>
      </c>
      <c r="CT2524" s="1" t="s">
        <v>277</v>
      </c>
      <c r="CU2524" s="1" t="s">
        <v>220</v>
      </c>
      <c r="CX2524" s="1" t="s">
        <v>224</v>
      </c>
      <c r="DB2524" s="1" t="s">
        <v>224</v>
      </c>
      <c r="DE2524" s="1" t="s">
        <v>539</v>
      </c>
      <c r="DF2524" s="1" t="s">
        <v>219</v>
      </c>
      <c r="DI2524" s="1" t="s">
        <v>378</v>
      </c>
      <c r="DJ2524" s="1" t="s">
        <v>822</v>
      </c>
      <c r="DK2524" s="1" t="s">
        <v>220</v>
      </c>
      <c r="DM2524" s="1" t="s">
        <v>464</v>
      </c>
      <c r="DR2524" s="1" t="s">
        <v>318</v>
      </c>
      <c r="DS2524" s="1" t="s">
        <v>277</v>
      </c>
      <c r="DT2524" s="1" t="s">
        <v>220</v>
      </c>
      <c r="DW2524" s="1" t="s">
        <v>230</v>
      </c>
      <c r="EA2524" s="1" t="s">
        <v>230</v>
      </c>
      <c r="EE2524" s="1" t="s">
        <v>230</v>
      </c>
      <c r="EI2524" s="1" t="s">
        <v>230</v>
      </c>
      <c r="EL2524" s="1" t="s">
        <v>491</v>
      </c>
      <c r="EM2524" s="1" t="s">
        <v>319</v>
      </c>
      <c r="EN2524" s="1" t="s">
        <v>282</v>
      </c>
      <c r="EO2524" s="1" t="s">
        <v>234</v>
      </c>
      <c r="EP2524" s="1" t="s">
        <v>21694</v>
      </c>
      <c r="EQ2524" s="1" t="s">
        <v>492</v>
      </c>
      <c r="ER2524" s="1" t="s">
        <v>544</v>
      </c>
      <c r="ES2524" s="1" t="s">
        <v>824</v>
      </c>
      <c r="EV2524" s="1" t="s">
        <v>240</v>
      </c>
      <c r="EW2524" s="1" t="s">
        <v>3255</v>
      </c>
      <c r="EY2524" s="1" t="s">
        <v>242</v>
      </c>
      <c r="EZ2524" s="1" t="s">
        <v>464</v>
      </c>
      <c r="FA2524" s="1" t="s">
        <v>471</v>
      </c>
      <c r="FB2524" s="1" t="s">
        <v>289</v>
      </c>
      <c r="FD2524" s="1" t="s">
        <v>246</v>
      </c>
      <c r="FE2524" s="1" t="s">
        <v>472</v>
      </c>
      <c r="FF2524" s="1" t="s">
        <v>248</v>
      </c>
      <c r="FH2524" s="1" t="s">
        <v>1428</v>
      </c>
      <c r="FL2524" s="1" t="s">
        <v>358</v>
      </c>
      <c r="FM2524" s="1" t="s">
        <v>252</v>
      </c>
      <c r="FN2524" s="1" t="s">
        <v>213</v>
      </c>
      <c r="FO2524" s="1" t="s">
        <v>213</v>
      </c>
      <c r="FQ2524" s="1" t="s">
        <v>2004</v>
      </c>
      <c r="FR2524" s="1" t="s">
        <v>210</v>
      </c>
      <c r="FS2524" s="1" t="s">
        <v>21695</v>
      </c>
      <c r="FT2524" s="1" t="s">
        <v>295</v>
      </c>
      <c r="FU2524" s="1" t="s">
        <v>204</v>
      </c>
      <c r="FW2524" s="1" t="s">
        <v>18032</v>
      </c>
      <c r="FX2524" s="1">
        <v>25645</v>
      </c>
      <c r="FY2524" s="1" t="s">
        <v>18033</v>
      </c>
      <c r="FZ2524" s="1" t="s">
        <v>21696</v>
      </c>
      <c r="GA2524" s="1">
        <v>240790</v>
      </c>
      <c r="GB2524" s="1" t="s">
        <v>21697</v>
      </c>
      <c r="GD2524" s="1" t="s">
        <v>21698</v>
      </c>
      <c r="GE2524" s="1" t="s">
        <v>480</v>
      </c>
      <c r="GI2524" s="1" t="s">
        <v>213</v>
      </c>
      <c r="GJ2524" s="1" t="s">
        <v>260</v>
      </c>
      <c r="GK2524" s="1" t="s">
        <v>261</v>
      </c>
      <c r="GL2524" s="2">
        <v>42117</v>
      </c>
      <c r="GM2524" s="1" t="s">
        <v>21699</v>
      </c>
    </row>
    <row r="2525" spans="1:195">
      <c r="A2525" s="1">
        <v>133000</v>
      </c>
      <c r="B2525" s="1" t="s">
        <v>195</v>
      </c>
      <c r="C2525" s="1" t="str">
        <f>"08830866"</f>
        <v>08830866</v>
      </c>
      <c r="D2525" s="1" t="s">
        <v>196</v>
      </c>
      <c r="F2525" s="1" t="str">
        <f t="shared" ref="F2525:F2526" si="1936">"191"</f>
        <v>191</v>
      </c>
      <c r="G2525" s="2">
        <v>42039</v>
      </c>
      <c r="H2525" s="1">
        <v>139900</v>
      </c>
      <c r="I2525" s="1">
        <v>139900</v>
      </c>
      <c r="J2525" s="1">
        <v>133000</v>
      </c>
      <c r="K2525" s="2">
        <v>42039</v>
      </c>
      <c r="L2525" s="1">
        <v>4</v>
      </c>
      <c r="M2525" s="2">
        <v>42042</v>
      </c>
      <c r="N2525" s="1">
        <v>4</v>
      </c>
      <c r="O2525" s="2">
        <v>42042</v>
      </c>
      <c r="P2525" s="1">
        <v>8970</v>
      </c>
      <c r="Q2525" s="1" t="s">
        <v>197</v>
      </c>
      <c r="R2525" s="2">
        <v>42135</v>
      </c>
      <c r="S2525" s="1">
        <v>86647</v>
      </c>
      <c r="U2525" s="1">
        <v>121</v>
      </c>
      <c r="V2525" s="1" t="s">
        <v>21700</v>
      </c>
      <c r="W2525" s="1" t="s">
        <v>425</v>
      </c>
      <c r="X2525" s="1">
        <v>107</v>
      </c>
      <c r="Y2525" s="1">
        <v>30</v>
      </c>
      <c r="Z2525" s="1" t="s">
        <v>249</v>
      </c>
      <c r="AA2525" s="1" t="s">
        <v>1966</v>
      </c>
      <c r="AB2525" s="1">
        <v>60191</v>
      </c>
      <c r="AD2525" s="1" t="s">
        <v>21701</v>
      </c>
      <c r="AE2525" s="1" t="s">
        <v>21702</v>
      </c>
      <c r="AF2525" s="1">
        <v>1978</v>
      </c>
      <c r="AG2525" s="1" t="s">
        <v>204</v>
      </c>
      <c r="AH2525" s="1" t="s">
        <v>1969</v>
      </c>
      <c r="AI2525" s="1" t="s">
        <v>206</v>
      </c>
      <c r="AJ2525" s="1" t="s">
        <v>1233</v>
      </c>
      <c r="AL2525" s="1">
        <v>5</v>
      </c>
      <c r="AM2525" s="1">
        <v>2</v>
      </c>
      <c r="AN2525" s="1">
        <v>2</v>
      </c>
      <c r="AO2525" s="1">
        <v>0</v>
      </c>
      <c r="AP2525" s="1" t="s">
        <v>209</v>
      </c>
      <c r="AR2525" s="1" t="s">
        <v>210</v>
      </c>
      <c r="AT2525" s="1" t="s">
        <v>211</v>
      </c>
      <c r="AU2525" s="1">
        <v>1</v>
      </c>
      <c r="AW2525" s="1" t="s">
        <v>204</v>
      </c>
      <c r="AX2525" s="1" t="s">
        <v>212</v>
      </c>
      <c r="AZ2525" s="1">
        <v>3469</v>
      </c>
      <c r="BA2525" s="1">
        <v>2013</v>
      </c>
      <c r="BB2525" s="1" t="s">
        <v>405</v>
      </c>
      <c r="BE2525" s="1">
        <v>1600</v>
      </c>
      <c r="BF2525" s="1">
        <v>1</v>
      </c>
      <c r="BG2525" s="1">
        <v>0</v>
      </c>
      <c r="BJ2525" s="1">
        <v>100</v>
      </c>
      <c r="BL2525" s="1">
        <v>315</v>
      </c>
      <c r="BM2525" s="1" t="s">
        <v>413</v>
      </c>
      <c r="BN2525" s="1" t="s">
        <v>204</v>
      </c>
      <c r="BP2525" s="1" t="s">
        <v>204</v>
      </c>
      <c r="BR2525" s="1" t="str">
        <f>"0315407008"</f>
        <v>0315407008</v>
      </c>
      <c r="BT2525" s="1" t="s">
        <v>21703</v>
      </c>
      <c r="BU2525" s="1" t="s">
        <v>8666</v>
      </c>
      <c r="BV2525" s="1" t="s">
        <v>6840</v>
      </c>
      <c r="BW2525" s="1" t="s">
        <v>1973</v>
      </c>
      <c r="BX2525" s="1">
        <v>2</v>
      </c>
      <c r="BY2525" s="1">
        <v>2</v>
      </c>
      <c r="BZ2525" s="1">
        <v>100</v>
      </c>
      <c r="CB2525" s="1" t="str">
        <f t="shared" ref="CB2525:CB2526" si="1937">"5"</f>
        <v>5</v>
      </c>
      <c r="CC2525" s="1" t="str">
        <f t="shared" si="1935"/>
        <v>0</v>
      </c>
      <c r="CD2525" s="1">
        <v>17</v>
      </c>
      <c r="CE2525" s="1">
        <v>0</v>
      </c>
      <c r="CG2525" s="1" t="s">
        <v>1547</v>
      </c>
      <c r="CH2525" s="1" t="s">
        <v>219</v>
      </c>
      <c r="CI2525" s="1" t="s">
        <v>220</v>
      </c>
      <c r="CJ2525" s="1" t="s">
        <v>252</v>
      </c>
      <c r="CK2525" s="1" t="s">
        <v>315</v>
      </c>
      <c r="CL2525" s="1" t="s">
        <v>219</v>
      </c>
      <c r="CM2525" s="1" t="s">
        <v>220</v>
      </c>
      <c r="CN2525" s="1" t="s">
        <v>252</v>
      </c>
      <c r="CO2525" s="1" t="s">
        <v>1297</v>
      </c>
      <c r="CP2525" s="1" t="s">
        <v>219</v>
      </c>
      <c r="CQ2525" s="1" t="s">
        <v>220</v>
      </c>
      <c r="CR2525" s="1" t="s">
        <v>210</v>
      </c>
      <c r="CS2525" s="1" t="s">
        <v>465</v>
      </c>
      <c r="CT2525" s="1" t="s">
        <v>219</v>
      </c>
      <c r="CU2525" s="1" t="s">
        <v>220</v>
      </c>
      <c r="CV2525" s="1" t="s">
        <v>252</v>
      </c>
      <c r="CX2525" s="1" t="s">
        <v>224</v>
      </c>
      <c r="DB2525" s="1" t="s">
        <v>224</v>
      </c>
      <c r="DE2525" s="1" t="s">
        <v>1046</v>
      </c>
      <c r="DF2525" s="1" t="s">
        <v>219</v>
      </c>
      <c r="DG2525" s="1" t="s">
        <v>342</v>
      </c>
      <c r="DH2525" s="1" t="s">
        <v>252</v>
      </c>
      <c r="DJ2525" s="1" t="s">
        <v>224</v>
      </c>
      <c r="DM2525" s="1" t="s">
        <v>709</v>
      </c>
      <c r="DR2525" s="1" t="s">
        <v>281</v>
      </c>
      <c r="DS2525" s="1" t="s">
        <v>219</v>
      </c>
      <c r="DT2525" s="1" t="s">
        <v>226</v>
      </c>
      <c r="DU2525" s="1" t="s">
        <v>210</v>
      </c>
      <c r="DW2525" s="1" t="s">
        <v>230</v>
      </c>
      <c r="EA2525" s="1" t="s">
        <v>230</v>
      </c>
      <c r="EE2525" s="1" t="s">
        <v>230</v>
      </c>
      <c r="EI2525" s="1" t="s">
        <v>230</v>
      </c>
      <c r="EL2525" s="1" t="s">
        <v>231</v>
      </c>
      <c r="EM2525" s="1" t="s">
        <v>232</v>
      </c>
      <c r="EN2525" s="1" t="s">
        <v>282</v>
      </c>
      <c r="EO2525" s="1" t="s">
        <v>18372</v>
      </c>
      <c r="EP2525" s="1" t="s">
        <v>21704</v>
      </c>
      <c r="ER2525" s="1" t="s">
        <v>383</v>
      </c>
      <c r="ES2525" s="1" t="s">
        <v>322</v>
      </c>
      <c r="EV2525" s="1" t="s">
        <v>324</v>
      </c>
      <c r="EW2525" s="1" t="s">
        <v>18108</v>
      </c>
      <c r="EY2525" s="1" t="s">
        <v>790</v>
      </c>
      <c r="EZ2525" s="1" t="s">
        <v>709</v>
      </c>
      <c r="FB2525" s="1" t="s">
        <v>289</v>
      </c>
      <c r="FD2525" s="1" t="s">
        <v>1112</v>
      </c>
      <c r="FE2525" s="1" t="s">
        <v>247</v>
      </c>
      <c r="FF2525" s="1" t="s">
        <v>248</v>
      </c>
      <c r="FH2525" s="1" t="s">
        <v>5778</v>
      </c>
      <c r="FI2525" s="1" t="s">
        <v>1114</v>
      </c>
      <c r="FL2525" s="1" t="s">
        <v>358</v>
      </c>
      <c r="FM2525" s="1" t="s">
        <v>252</v>
      </c>
      <c r="FN2525" s="1" t="s">
        <v>213</v>
      </c>
      <c r="FO2525" s="1" t="s">
        <v>213</v>
      </c>
      <c r="FQ2525" s="1" t="s">
        <v>21705</v>
      </c>
      <c r="FR2525" s="1" t="s">
        <v>210</v>
      </c>
      <c r="FS2525" s="1" t="s">
        <v>21706</v>
      </c>
      <c r="FT2525" s="1" t="s">
        <v>362</v>
      </c>
      <c r="FU2525" s="1" t="s">
        <v>204</v>
      </c>
      <c r="FW2525" s="1" t="s">
        <v>20982</v>
      </c>
      <c r="FX2525" s="1">
        <v>24009</v>
      </c>
      <c r="FY2525" s="1" t="s">
        <v>20983</v>
      </c>
      <c r="FZ2525" s="1" t="s">
        <v>21707</v>
      </c>
      <c r="GA2525" s="1">
        <v>243253</v>
      </c>
      <c r="GB2525" s="1" t="s">
        <v>21708</v>
      </c>
      <c r="GE2525" s="1" t="s">
        <v>480</v>
      </c>
      <c r="GH2525" s="1" t="s">
        <v>421</v>
      </c>
      <c r="GI2525" s="1" t="s">
        <v>213</v>
      </c>
      <c r="GJ2525" s="1" t="s">
        <v>300</v>
      </c>
      <c r="GK2525" s="1" t="s">
        <v>210</v>
      </c>
      <c r="GL2525" s="2">
        <v>42138</v>
      </c>
      <c r="GM2525" s="1" t="s">
        <v>21709</v>
      </c>
    </row>
    <row r="2526" spans="1:195">
      <c r="A2526" s="1">
        <v>112000</v>
      </c>
      <c r="B2526" s="1" t="s">
        <v>195</v>
      </c>
      <c r="C2526" s="1" t="str">
        <f>"08831579"</f>
        <v>08831579</v>
      </c>
      <c r="D2526" s="1" t="s">
        <v>196</v>
      </c>
      <c r="F2526" s="1" t="str">
        <f t="shared" si="1936"/>
        <v>191</v>
      </c>
      <c r="G2526" s="2">
        <v>42040</v>
      </c>
      <c r="H2526" s="1">
        <v>119900</v>
      </c>
      <c r="I2526" s="1">
        <v>119900</v>
      </c>
      <c r="J2526" s="1">
        <v>112000</v>
      </c>
      <c r="K2526" s="2">
        <v>42040</v>
      </c>
      <c r="L2526" s="1">
        <v>4</v>
      </c>
      <c r="M2526" s="2">
        <v>42043</v>
      </c>
      <c r="N2526" s="1">
        <v>4</v>
      </c>
      <c r="O2526" s="2">
        <v>42043</v>
      </c>
      <c r="P2526" s="1">
        <v>24819</v>
      </c>
      <c r="Q2526" s="1" t="s">
        <v>197</v>
      </c>
      <c r="R2526" s="2">
        <v>42082</v>
      </c>
      <c r="S2526" s="1">
        <v>237270</v>
      </c>
      <c r="U2526" s="1">
        <v>190</v>
      </c>
      <c r="V2526" s="1" t="s">
        <v>1966</v>
      </c>
      <c r="W2526" s="1" t="s">
        <v>1056</v>
      </c>
      <c r="X2526" s="1">
        <v>611</v>
      </c>
      <c r="Y2526" s="1">
        <v>118</v>
      </c>
      <c r="Z2526" s="1" t="s">
        <v>249</v>
      </c>
      <c r="AA2526" s="1" t="s">
        <v>1966</v>
      </c>
      <c r="AB2526" s="1">
        <v>60191</v>
      </c>
      <c r="AD2526" s="1" t="s">
        <v>1967</v>
      </c>
      <c r="AE2526" s="1" t="s">
        <v>21710</v>
      </c>
      <c r="AF2526" s="1">
        <v>1971</v>
      </c>
      <c r="AG2526" s="1" t="s">
        <v>213</v>
      </c>
      <c r="AH2526" s="1" t="s">
        <v>1969</v>
      </c>
      <c r="AI2526" s="1" t="s">
        <v>206</v>
      </c>
      <c r="AJ2526" s="1" t="s">
        <v>1233</v>
      </c>
      <c r="AL2526" s="1">
        <v>5</v>
      </c>
      <c r="AM2526" s="1">
        <v>2</v>
      </c>
      <c r="AN2526" s="1">
        <v>2</v>
      </c>
      <c r="AO2526" s="1">
        <v>0</v>
      </c>
      <c r="AP2526" s="1" t="s">
        <v>209</v>
      </c>
      <c r="AR2526" s="1" t="s">
        <v>210</v>
      </c>
      <c r="AS2526" s="1" t="s">
        <v>204</v>
      </c>
      <c r="AT2526" s="1" t="s">
        <v>211</v>
      </c>
      <c r="AU2526" s="1">
        <v>1</v>
      </c>
      <c r="AW2526" s="1" t="s">
        <v>204</v>
      </c>
      <c r="AX2526" s="1" t="s">
        <v>212</v>
      </c>
      <c r="AZ2526" s="1">
        <v>2039</v>
      </c>
      <c r="BA2526" s="1">
        <v>2013</v>
      </c>
      <c r="BB2526" s="1" t="s">
        <v>405</v>
      </c>
      <c r="BE2526" s="1">
        <v>1200</v>
      </c>
      <c r="BF2526" s="1">
        <v>6</v>
      </c>
      <c r="BG2526" s="1">
        <v>10</v>
      </c>
      <c r="BJ2526" s="1">
        <v>95</v>
      </c>
      <c r="BL2526" s="1">
        <v>338</v>
      </c>
      <c r="BM2526" s="1" t="s">
        <v>204</v>
      </c>
      <c r="BN2526" s="1" t="s">
        <v>213</v>
      </c>
      <c r="BP2526" s="1" t="s">
        <v>204</v>
      </c>
      <c r="BR2526" s="1" t="str">
        <f>"0316405058"</f>
        <v>0316405058</v>
      </c>
      <c r="BT2526" s="1" t="s">
        <v>21711</v>
      </c>
      <c r="BU2526" s="1" t="s">
        <v>1971</v>
      </c>
      <c r="BV2526" s="1" t="s">
        <v>1972</v>
      </c>
      <c r="BW2526" s="1" t="s">
        <v>1973</v>
      </c>
      <c r="BX2526" s="1">
        <v>7</v>
      </c>
      <c r="BY2526" s="1">
        <v>7</v>
      </c>
      <c r="BZ2526" s="1">
        <v>100</v>
      </c>
      <c r="CB2526" s="1" t="str">
        <f t="shared" si="1937"/>
        <v>5</v>
      </c>
      <c r="CC2526" s="1" t="str">
        <f t="shared" si="1935"/>
        <v>0</v>
      </c>
      <c r="CD2526" s="1">
        <v>18</v>
      </c>
      <c r="CE2526" s="1">
        <v>0</v>
      </c>
      <c r="CG2526" s="1" t="s">
        <v>3035</v>
      </c>
      <c r="CH2526" s="1" t="s">
        <v>219</v>
      </c>
      <c r="CI2526" s="1" t="s">
        <v>220</v>
      </c>
      <c r="CJ2526" s="1" t="s">
        <v>252</v>
      </c>
      <c r="CK2526" s="1" t="s">
        <v>581</v>
      </c>
      <c r="CL2526" s="1" t="s">
        <v>219</v>
      </c>
      <c r="CM2526" s="1" t="s">
        <v>220</v>
      </c>
      <c r="CN2526" s="1" t="s">
        <v>252</v>
      </c>
      <c r="CO2526" s="1" t="s">
        <v>516</v>
      </c>
      <c r="CP2526" s="1" t="s">
        <v>219</v>
      </c>
      <c r="CQ2526" s="1" t="s">
        <v>220</v>
      </c>
      <c r="CR2526" s="1" t="s">
        <v>210</v>
      </c>
      <c r="CS2526" s="1" t="s">
        <v>379</v>
      </c>
      <c r="CT2526" s="1" t="s">
        <v>219</v>
      </c>
      <c r="CU2526" s="1" t="s">
        <v>220</v>
      </c>
      <c r="CX2526" s="1" t="s">
        <v>224</v>
      </c>
      <c r="DB2526" s="1" t="s">
        <v>224</v>
      </c>
      <c r="DE2526" s="1" t="s">
        <v>2031</v>
      </c>
      <c r="DF2526" s="1" t="s">
        <v>219</v>
      </c>
      <c r="DG2526" s="1" t="s">
        <v>226</v>
      </c>
      <c r="DH2526" s="1" t="s">
        <v>210</v>
      </c>
      <c r="DJ2526" s="1" t="s">
        <v>224</v>
      </c>
      <c r="DS2526" s="1" t="s">
        <v>230</v>
      </c>
      <c r="DW2526" s="1" t="s">
        <v>230</v>
      </c>
      <c r="EA2526" s="1" t="s">
        <v>230</v>
      </c>
      <c r="EE2526" s="1" t="s">
        <v>230</v>
      </c>
      <c r="EI2526" s="1" t="s">
        <v>230</v>
      </c>
      <c r="EL2526" s="1" t="s">
        <v>605</v>
      </c>
      <c r="EM2526" s="1" t="s">
        <v>232</v>
      </c>
      <c r="EN2526" s="1" t="s">
        <v>282</v>
      </c>
      <c r="EO2526" s="1" t="s">
        <v>234</v>
      </c>
      <c r="EP2526" s="1" t="s">
        <v>21712</v>
      </c>
      <c r="EQ2526" s="1" t="s">
        <v>1109</v>
      </c>
      <c r="ER2526" s="1" t="s">
        <v>210</v>
      </c>
      <c r="ES2526" s="1" t="s">
        <v>545</v>
      </c>
      <c r="EU2526" s="1" t="s">
        <v>21713</v>
      </c>
      <c r="EV2526" s="1" t="s">
        <v>352</v>
      </c>
      <c r="EW2526" s="1" t="s">
        <v>21714</v>
      </c>
      <c r="EY2526" s="1" t="s">
        <v>790</v>
      </c>
      <c r="EZ2526" s="1" t="s">
        <v>287</v>
      </c>
      <c r="FB2526" s="1" t="s">
        <v>289</v>
      </c>
      <c r="FC2526" s="1" t="s">
        <v>633</v>
      </c>
      <c r="FD2526" s="1" t="s">
        <v>736</v>
      </c>
      <c r="FE2526" s="1" t="s">
        <v>566</v>
      </c>
      <c r="FF2526" s="1" t="s">
        <v>248</v>
      </c>
      <c r="FH2526" s="1" t="s">
        <v>249</v>
      </c>
      <c r="FI2526" s="1" t="s">
        <v>250</v>
      </c>
      <c r="FJ2526" s="1" t="s">
        <v>1472</v>
      </c>
      <c r="FL2526" s="1" t="s">
        <v>292</v>
      </c>
      <c r="FM2526" s="1" t="s">
        <v>252</v>
      </c>
      <c r="FN2526" s="1" t="s">
        <v>213</v>
      </c>
      <c r="FO2526" s="1" t="s">
        <v>213</v>
      </c>
      <c r="FQ2526" s="1" t="s">
        <v>329</v>
      </c>
      <c r="FR2526" s="1" t="s">
        <v>210</v>
      </c>
      <c r="FS2526" s="1" t="s">
        <v>21715</v>
      </c>
      <c r="FT2526" s="1" t="s">
        <v>295</v>
      </c>
      <c r="FU2526" s="1" t="s">
        <v>204</v>
      </c>
      <c r="FW2526" s="1" t="s">
        <v>585</v>
      </c>
      <c r="FX2526" s="1">
        <v>8005</v>
      </c>
      <c r="FY2526" s="1" t="s">
        <v>1979</v>
      </c>
      <c r="FZ2526" s="1" t="s">
        <v>1980</v>
      </c>
      <c r="GA2526" s="1">
        <v>83789</v>
      </c>
      <c r="GB2526" s="1" t="s">
        <v>1981</v>
      </c>
      <c r="GE2526" s="1" t="s">
        <v>1256</v>
      </c>
      <c r="GH2526" s="1" t="s">
        <v>421</v>
      </c>
      <c r="GI2526" s="1" t="s">
        <v>213</v>
      </c>
      <c r="GJ2526" s="1" t="s">
        <v>260</v>
      </c>
      <c r="GK2526" s="1" t="s">
        <v>210</v>
      </c>
      <c r="GL2526" s="2">
        <v>42086</v>
      </c>
      <c r="GM2526" s="1" t="s">
        <v>21716</v>
      </c>
    </row>
    <row r="2527" spans="1:195">
      <c r="A2527" s="1">
        <v>56000</v>
      </c>
      <c r="B2527" s="1" t="s">
        <v>195</v>
      </c>
      <c r="C2527" s="1" t="str">
        <f>"08835749"</f>
        <v>08835749</v>
      </c>
      <c r="D2527" s="1" t="s">
        <v>196</v>
      </c>
      <c r="F2527" s="1" t="str">
        <f>"507"</f>
        <v>507</v>
      </c>
      <c r="G2527" s="2">
        <v>42045</v>
      </c>
      <c r="H2527" s="1">
        <v>64900</v>
      </c>
      <c r="I2527" s="1">
        <v>56000</v>
      </c>
      <c r="J2527" s="1">
        <v>56000</v>
      </c>
      <c r="K2527" s="2">
        <v>42044</v>
      </c>
      <c r="L2527" s="1">
        <v>78</v>
      </c>
      <c r="M2527" s="2">
        <v>42121</v>
      </c>
      <c r="N2527" s="1">
        <v>78</v>
      </c>
      <c r="O2527" s="2">
        <v>42121</v>
      </c>
      <c r="P2527" s="1">
        <v>21933</v>
      </c>
      <c r="Q2527" s="1" t="s">
        <v>302</v>
      </c>
      <c r="R2527" s="2">
        <v>42138</v>
      </c>
      <c r="S2527" s="1">
        <v>234246</v>
      </c>
      <c r="U2527" s="1">
        <v>101</v>
      </c>
      <c r="V2527" s="1" t="s">
        <v>5187</v>
      </c>
      <c r="W2527" s="1" t="s">
        <v>725</v>
      </c>
      <c r="X2527" s="1">
        <v>8</v>
      </c>
      <c r="Y2527" s="1">
        <v>12</v>
      </c>
      <c r="Z2527" s="1" t="s">
        <v>249</v>
      </c>
      <c r="AA2527" s="1" t="s">
        <v>1123</v>
      </c>
      <c r="AB2527" s="1">
        <v>60504</v>
      </c>
      <c r="AD2527" s="1" t="s">
        <v>21717</v>
      </c>
      <c r="AE2527" s="1" t="s">
        <v>21718</v>
      </c>
      <c r="AF2527" s="1">
        <v>1982</v>
      </c>
      <c r="AG2527" s="1" t="s">
        <v>204</v>
      </c>
      <c r="AH2527" s="1" t="s">
        <v>1126</v>
      </c>
      <c r="AI2527" s="1" t="s">
        <v>206</v>
      </c>
      <c r="AJ2527" s="1" t="s">
        <v>924</v>
      </c>
      <c r="AL2527" s="1">
        <v>5</v>
      </c>
      <c r="AM2527" s="1">
        <v>2</v>
      </c>
      <c r="AN2527" s="1">
        <v>1</v>
      </c>
      <c r="AO2527" s="1">
        <v>1</v>
      </c>
      <c r="AP2527" s="1" t="s">
        <v>210</v>
      </c>
      <c r="AR2527" s="1" t="s">
        <v>210</v>
      </c>
      <c r="AS2527" s="1" t="s">
        <v>204</v>
      </c>
      <c r="AT2527" s="1" t="s">
        <v>271</v>
      </c>
      <c r="AV2527" s="1">
        <v>2</v>
      </c>
      <c r="AW2527" s="1" t="s">
        <v>204</v>
      </c>
      <c r="AX2527" s="1">
        <v>0</v>
      </c>
      <c r="AZ2527" s="1">
        <v>810.44</v>
      </c>
      <c r="BA2527" s="1">
        <v>2013</v>
      </c>
      <c r="BE2527" s="1">
        <v>890</v>
      </c>
      <c r="BF2527" s="1">
        <v>2</v>
      </c>
      <c r="BG2527" s="1">
        <v>0</v>
      </c>
      <c r="BL2527" s="1">
        <v>420</v>
      </c>
      <c r="BM2527" s="1" t="s">
        <v>204</v>
      </c>
      <c r="BN2527" s="1" t="s">
        <v>213</v>
      </c>
      <c r="BO2527" s="1">
        <v>30</v>
      </c>
      <c r="BP2527" s="1" t="s">
        <v>204</v>
      </c>
      <c r="BR2527" s="1" t="str">
        <f>"0721308004"</f>
        <v>0721308004</v>
      </c>
      <c r="BT2527" s="1" t="s">
        <v>21719</v>
      </c>
      <c r="BX2527" s="1">
        <v>204</v>
      </c>
      <c r="BY2527" s="1">
        <v>204</v>
      </c>
      <c r="BZ2527" s="1">
        <v>204</v>
      </c>
      <c r="CB2527" s="1" t="str">
        <f t="shared" ref="CB2527:CC2527" si="1938">""</f>
        <v/>
      </c>
      <c r="CC2527" s="1" t="str">
        <f t="shared" si="1938"/>
        <v/>
      </c>
      <c r="CG2527" s="1" t="s">
        <v>1615</v>
      </c>
      <c r="CH2527" s="1" t="s">
        <v>219</v>
      </c>
      <c r="CK2527" s="1" t="s">
        <v>223</v>
      </c>
      <c r="CL2527" s="1" t="s">
        <v>219</v>
      </c>
      <c r="CO2527" s="1" t="s">
        <v>629</v>
      </c>
      <c r="CP2527" s="1" t="s">
        <v>219</v>
      </c>
      <c r="CS2527" s="1" t="s">
        <v>821</v>
      </c>
      <c r="CT2527" s="1" t="s">
        <v>219</v>
      </c>
      <c r="CX2527" s="1" t="s">
        <v>224</v>
      </c>
      <c r="DB2527" s="1" t="s">
        <v>224</v>
      </c>
      <c r="DE2527" s="1" t="s">
        <v>1046</v>
      </c>
      <c r="DF2527" s="1" t="s">
        <v>219</v>
      </c>
      <c r="DJ2527" s="1" t="s">
        <v>224</v>
      </c>
      <c r="DS2527" s="1" t="s">
        <v>230</v>
      </c>
      <c r="DW2527" s="1" t="s">
        <v>230</v>
      </c>
      <c r="EA2527" s="1" t="s">
        <v>230</v>
      </c>
      <c r="EE2527" s="1" t="s">
        <v>230</v>
      </c>
      <c r="EI2527" s="1" t="s">
        <v>230</v>
      </c>
      <c r="EL2527" s="1" t="s">
        <v>231</v>
      </c>
      <c r="EM2527" s="1" t="s">
        <v>319</v>
      </c>
      <c r="EN2527" s="1" t="s">
        <v>210</v>
      </c>
      <c r="EO2527" s="1" t="s">
        <v>234</v>
      </c>
      <c r="ER2527" s="1" t="s">
        <v>210</v>
      </c>
      <c r="EW2527" s="1" t="s">
        <v>21720</v>
      </c>
      <c r="EZ2527" s="1" t="s">
        <v>287</v>
      </c>
      <c r="FB2527" s="1" t="s">
        <v>289</v>
      </c>
      <c r="FD2527" s="1" t="s">
        <v>246</v>
      </c>
      <c r="FE2527" s="1" t="s">
        <v>247</v>
      </c>
      <c r="FF2527" s="1" t="s">
        <v>248</v>
      </c>
      <c r="FH2527" s="1" t="s">
        <v>249</v>
      </c>
      <c r="FL2527" s="1" t="s">
        <v>328</v>
      </c>
      <c r="FM2527" s="1" t="s">
        <v>252</v>
      </c>
      <c r="FN2527" s="1" t="s">
        <v>213</v>
      </c>
      <c r="FO2527" s="1" t="s">
        <v>213</v>
      </c>
      <c r="FQ2527" s="1" t="s">
        <v>689</v>
      </c>
      <c r="FR2527" s="1" t="s">
        <v>210</v>
      </c>
      <c r="FS2527" s="1" t="s">
        <v>4314</v>
      </c>
      <c r="FT2527" s="1" t="s">
        <v>1828</v>
      </c>
      <c r="FU2527" s="1" t="s">
        <v>204</v>
      </c>
      <c r="FW2527" s="1" t="s">
        <v>813</v>
      </c>
      <c r="FX2527" s="1">
        <v>23286</v>
      </c>
      <c r="FY2527" s="1" t="s">
        <v>4315</v>
      </c>
      <c r="FZ2527" s="1" t="s">
        <v>4316</v>
      </c>
      <c r="GA2527" s="1">
        <v>223647</v>
      </c>
      <c r="GB2527" s="1" t="s">
        <v>4317</v>
      </c>
      <c r="GC2527" s="1">
        <v>230243</v>
      </c>
      <c r="GE2527" s="1" t="s">
        <v>210</v>
      </c>
      <c r="GI2527" s="1" t="s">
        <v>213</v>
      </c>
      <c r="GJ2527" s="1" t="s">
        <v>260</v>
      </c>
      <c r="GK2527" s="1" t="s">
        <v>210</v>
      </c>
      <c r="GL2527" s="2">
        <v>42139</v>
      </c>
      <c r="GM2527" s="1" t="s">
        <v>4847</v>
      </c>
    </row>
    <row r="2528" spans="1:195">
      <c r="A2528" s="1">
        <v>117500</v>
      </c>
      <c r="B2528" s="1" t="s">
        <v>195</v>
      </c>
      <c r="C2528" s="1" t="str">
        <f>"08832242"</f>
        <v>08832242</v>
      </c>
      <c r="D2528" s="1" t="s">
        <v>196</v>
      </c>
      <c r="F2528" s="1" t="str">
        <f>"171"</f>
        <v>171</v>
      </c>
      <c r="G2528" s="2">
        <v>42040</v>
      </c>
      <c r="H2528" s="1">
        <v>129900</v>
      </c>
      <c r="I2528" s="1">
        <v>129900</v>
      </c>
      <c r="J2528" s="1">
        <v>117500</v>
      </c>
      <c r="K2528" s="2">
        <v>42040</v>
      </c>
      <c r="L2528" s="1">
        <v>26</v>
      </c>
      <c r="M2528" s="2">
        <v>42065</v>
      </c>
      <c r="N2528" s="1">
        <v>26</v>
      </c>
      <c r="O2528" s="2">
        <v>42065</v>
      </c>
      <c r="P2528" s="1">
        <v>85022</v>
      </c>
      <c r="Q2528" s="1" t="s">
        <v>302</v>
      </c>
      <c r="R2528" s="2">
        <v>42124</v>
      </c>
      <c r="S2528" s="1">
        <v>104499</v>
      </c>
      <c r="U2528" s="1">
        <v>8045</v>
      </c>
      <c r="V2528" s="1" t="s">
        <v>12830</v>
      </c>
      <c r="W2528" s="1" t="s">
        <v>264</v>
      </c>
      <c r="X2528" s="1" t="s">
        <v>4932</v>
      </c>
      <c r="Y2528" s="1">
        <v>24</v>
      </c>
      <c r="Z2528" s="1" t="s">
        <v>200</v>
      </c>
      <c r="AA2528" s="1" t="s">
        <v>2365</v>
      </c>
      <c r="AB2528" s="1">
        <v>60171</v>
      </c>
      <c r="AE2528" s="1" t="s">
        <v>21721</v>
      </c>
      <c r="AF2528" s="1" t="s">
        <v>402</v>
      </c>
      <c r="AG2528" s="1" t="s">
        <v>213</v>
      </c>
      <c r="AH2528" s="1" t="s">
        <v>2367</v>
      </c>
      <c r="AI2528" s="1" t="s">
        <v>310</v>
      </c>
      <c r="AJ2528" s="1" t="s">
        <v>311</v>
      </c>
      <c r="AL2528" s="1">
        <v>5</v>
      </c>
      <c r="AM2528" s="1">
        <v>2</v>
      </c>
      <c r="AN2528" s="1">
        <v>2</v>
      </c>
      <c r="AO2528" s="1">
        <v>0</v>
      </c>
      <c r="AP2528" s="1" t="s">
        <v>209</v>
      </c>
      <c r="AR2528" s="1" t="s">
        <v>210</v>
      </c>
      <c r="AS2528" s="1" t="s">
        <v>204</v>
      </c>
      <c r="AT2528" s="1" t="s">
        <v>211</v>
      </c>
      <c r="AU2528" s="1">
        <v>1</v>
      </c>
      <c r="AW2528" s="1" t="s">
        <v>204</v>
      </c>
      <c r="AX2528" s="1" t="s">
        <v>212</v>
      </c>
      <c r="AZ2528" s="1">
        <v>2070.29</v>
      </c>
      <c r="BA2528" s="1">
        <v>2013</v>
      </c>
      <c r="BB2528" s="1" t="s">
        <v>405</v>
      </c>
      <c r="BE2528" s="1">
        <v>1300</v>
      </c>
      <c r="BF2528" s="1">
        <v>6</v>
      </c>
      <c r="BG2528" s="1">
        <v>30</v>
      </c>
      <c r="BL2528" s="1">
        <v>249</v>
      </c>
      <c r="BM2528" s="1" t="s">
        <v>204</v>
      </c>
      <c r="BN2528" s="1" t="s">
        <v>204</v>
      </c>
      <c r="BP2528" s="1" t="s">
        <v>204</v>
      </c>
      <c r="BR2528" s="1" t="str">
        <f>"12262060961028"</f>
        <v>12262060961028</v>
      </c>
      <c r="BT2528" s="1" t="s">
        <v>21722</v>
      </c>
      <c r="BU2528" s="1" t="s">
        <v>12833</v>
      </c>
      <c r="BW2528" s="1" t="s">
        <v>313</v>
      </c>
      <c r="BX2528" s="1">
        <v>85.5</v>
      </c>
      <c r="BY2528" s="1">
        <v>85.5</v>
      </c>
      <c r="BZ2528" s="1">
        <v>212</v>
      </c>
      <c r="CB2528" s="1" t="str">
        <f t="shared" ref="CB2528:CC2528" si="1939">""</f>
        <v/>
      </c>
      <c r="CC2528" s="1" t="str">
        <f t="shared" si="1939"/>
        <v/>
      </c>
      <c r="CG2528" s="1" t="s">
        <v>8861</v>
      </c>
      <c r="CH2528" s="1" t="s">
        <v>219</v>
      </c>
      <c r="CI2528" s="1" t="s">
        <v>220</v>
      </c>
      <c r="CK2528" s="1" t="s">
        <v>538</v>
      </c>
      <c r="CL2528" s="1" t="s">
        <v>219</v>
      </c>
      <c r="CM2528" s="1" t="s">
        <v>220</v>
      </c>
      <c r="CO2528" s="1" t="s">
        <v>629</v>
      </c>
      <c r="CP2528" s="1" t="s">
        <v>219</v>
      </c>
      <c r="CQ2528" s="1" t="s">
        <v>220</v>
      </c>
      <c r="CS2528" s="1" t="s">
        <v>317</v>
      </c>
      <c r="CT2528" s="1" t="s">
        <v>219</v>
      </c>
      <c r="CU2528" s="1" t="s">
        <v>220</v>
      </c>
      <c r="CX2528" s="1" t="s">
        <v>224</v>
      </c>
      <c r="DB2528" s="1" t="s">
        <v>224</v>
      </c>
      <c r="DE2528" s="1" t="s">
        <v>1297</v>
      </c>
      <c r="DF2528" s="1" t="s">
        <v>219</v>
      </c>
      <c r="DG2528" s="1" t="s">
        <v>226</v>
      </c>
      <c r="DJ2528" s="1" t="s">
        <v>224</v>
      </c>
      <c r="DS2528" s="1" t="s">
        <v>230</v>
      </c>
      <c r="DW2528" s="1" t="s">
        <v>230</v>
      </c>
      <c r="EA2528" s="1" t="s">
        <v>230</v>
      </c>
      <c r="EE2528" s="1" t="s">
        <v>230</v>
      </c>
      <c r="EI2528" s="1" t="s">
        <v>230</v>
      </c>
      <c r="EL2528" s="1" t="s">
        <v>605</v>
      </c>
      <c r="EM2528" s="1" t="s">
        <v>232</v>
      </c>
      <c r="EN2528" s="1" t="s">
        <v>1158</v>
      </c>
      <c r="EO2528" s="1" t="s">
        <v>234</v>
      </c>
      <c r="EP2528" s="1" t="s">
        <v>21723</v>
      </c>
      <c r="EQ2528" s="1" t="s">
        <v>1109</v>
      </c>
      <c r="ER2528" s="1" t="s">
        <v>210</v>
      </c>
      <c r="ES2528" s="1" t="s">
        <v>322</v>
      </c>
      <c r="EV2528" s="1" t="s">
        <v>240</v>
      </c>
      <c r="EW2528" s="1" t="s">
        <v>2792</v>
      </c>
      <c r="EZ2528" s="1" t="s">
        <v>287</v>
      </c>
      <c r="FD2528" s="1" t="s">
        <v>1112</v>
      </c>
      <c r="FE2528" s="1" t="s">
        <v>247</v>
      </c>
      <c r="FF2528" s="1" t="s">
        <v>248</v>
      </c>
      <c r="FH2528" s="1" t="s">
        <v>249</v>
      </c>
      <c r="FI2528" s="1" t="s">
        <v>1114</v>
      </c>
      <c r="FL2528" s="1" t="s">
        <v>6699</v>
      </c>
      <c r="FM2528" s="1" t="s">
        <v>252</v>
      </c>
      <c r="FN2528" s="1" t="s">
        <v>213</v>
      </c>
      <c r="FO2528" s="1" t="s">
        <v>213</v>
      </c>
      <c r="FQ2528" s="1" t="s">
        <v>5689</v>
      </c>
      <c r="FR2528" s="1" t="s">
        <v>652</v>
      </c>
      <c r="FS2528" s="1" t="s">
        <v>21724</v>
      </c>
      <c r="FT2528" s="1" t="s">
        <v>255</v>
      </c>
      <c r="FU2528" s="1" t="s">
        <v>213</v>
      </c>
      <c r="FW2528" s="1" t="s">
        <v>363</v>
      </c>
      <c r="FX2528" s="1">
        <v>8970</v>
      </c>
      <c r="FY2528" s="1" t="s">
        <v>364</v>
      </c>
      <c r="FZ2528" s="1" t="s">
        <v>21725</v>
      </c>
      <c r="GA2528" s="1">
        <v>242841</v>
      </c>
      <c r="GB2528" s="1" t="s">
        <v>21726</v>
      </c>
      <c r="GD2528" s="1" t="s">
        <v>21727</v>
      </c>
      <c r="GE2528" s="1" t="s">
        <v>210</v>
      </c>
      <c r="GH2528" s="1" t="s">
        <v>589</v>
      </c>
      <c r="GI2528" s="1" t="s">
        <v>213</v>
      </c>
      <c r="GJ2528" s="1" t="s">
        <v>260</v>
      </c>
      <c r="GK2528" s="1" t="s">
        <v>210</v>
      </c>
      <c r="GL2528" s="2">
        <v>42125</v>
      </c>
      <c r="GM2528" s="1" t="s">
        <v>21728</v>
      </c>
    </row>
    <row r="2529" spans="1:195">
      <c r="A2529" s="1">
        <v>60000</v>
      </c>
      <c r="B2529" s="1" t="s">
        <v>195</v>
      </c>
      <c r="C2529" s="1" t="str">
        <f>"08836925"</f>
        <v>08836925</v>
      </c>
      <c r="D2529" s="1" t="s">
        <v>196</v>
      </c>
      <c r="F2529" s="1" t="str">
        <f>"555"</f>
        <v>555</v>
      </c>
      <c r="G2529" s="2">
        <v>42047</v>
      </c>
      <c r="H2529" s="1">
        <v>59800</v>
      </c>
      <c r="I2529" s="1">
        <v>59800</v>
      </c>
      <c r="J2529" s="1">
        <v>60000</v>
      </c>
      <c r="K2529" s="2">
        <v>42046</v>
      </c>
      <c r="L2529" s="1">
        <v>72</v>
      </c>
      <c r="M2529" s="2">
        <v>42117</v>
      </c>
      <c r="N2529" s="1">
        <v>72</v>
      </c>
      <c r="O2529" s="2">
        <v>42117</v>
      </c>
      <c r="P2529" s="1">
        <v>24641</v>
      </c>
      <c r="Q2529" s="1" t="s">
        <v>14233</v>
      </c>
      <c r="R2529" s="2">
        <v>42143</v>
      </c>
      <c r="S2529" s="1">
        <v>222481</v>
      </c>
      <c r="U2529" s="1" t="s">
        <v>6717</v>
      </c>
      <c r="V2529" s="1" t="s">
        <v>983</v>
      </c>
      <c r="W2529" s="1" t="s">
        <v>449</v>
      </c>
      <c r="X2529" s="1">
        <v>3</v>
      </c>
      <c r="Y2529" s="1">
        <v>4</v>
      </c>
      <c r="Z2529" s="1" t="s">
        <v>370</v>
      </c>
      <c r="AA2529" s="1" t="s">
        <v>984</v>
      </c>
      <c r="AB2529" s="1">
        <v>60555</v>
      </c>
      <c r="AD2529" s="1" t="s">
        <v>983</v>
      </c>
      <c r="AE2529" s="1" t="s">
        <v>21729</v>
      </c>
      <c r="AF2529" s="1">
        <v>1978</v>
      </c>
      <c r="AG2529" s="1" t="s">
        <v>204</v>
      </c>
      <c r="AH2529" s="1" t="s">
        <v>986</v>
      </c>
      <c r="AI2529" s="1" t="s">
        <v>206</v>
      </c>
      <c r="AJ2529" s="1" t="s">
        <v>987</v>
      </c>
      <c r="AL2529" s="1">
        <v>5</v>
      </c>
      <c r="AM2529" s="1">
        <v>2</v>
      </c>
      <c r="AN2529" s="1">
        <v>1</v>
      </c>
      <c r="AO2529" s="1">
        <v>1</v>
      </c>
      <c r="AP2529" s="1" t="s">
        <v>210</v>
      </c>
      <c r="AR2529" s="1" t="s">
        <v>209</v>
      </c>
      <c r="AS2529" s="1" t="s">
        <v>213</v>
      </c>
      <c r="AT2529" s="1" t="s">
        <v>211</v>
      </c>
      <c r="AU2529" s="1">
        <v>1</v>
      </c>
      <c r="AW2529" s="1" t="s">
        <v>204</v>
      </c>
      <c r="AX2529" s="1" t="s">
        <v>212</v>
      </c>
      <c r="AZ2529" s="1">
        <v>2187.6799999999998</v>
      </c>
      <c r="BA2529" s="1">
        <v>2013</v>
      </c>
      <c r="BE2529" s="1">
        <v>966</v>
      </c>
      <c r="BF2529" s="1">
        <v>1</v>
      </c>
      <c r="BG2529" s="1">
        <v>0</v>
      </c>
      <c r="BL2529" s="1">
        <v>200</v>
      </c>
      <c r="BM2529" s="1" t="s">
        <v>204</v>
      </c>
      <c r="BN2529" s="1" t="s">
        <v>213</v>
      </c>
      <c r="BO2529" s="1">
        <v>99</v>
      </c>
      <c r="BP2529" s="1" t="s">
        <v>204</v>
      </c>
      <c r="BR2529" s="1" t="str">
        <f>"0427307251"</f>
        <v>0427307251</v>
      </c>
      <c r="BT2529" s="1" t="s">
        <v>21730</v>
      </c>
      <c r="BX2529" s="1">
        <v>200</v>
      </c>
      <c r="BY2529" s="1">
        <v>200</v>
      </c>
      <c r="BZ2529" s="1">
        <v>200</v>
      </c>
      <c r="CB2529" s="1" t="str">
        <f t="shared" ref="CB2529:CC2529" si="1940">"0"</f>
        <v>0</v>
      </c>
      <c r="CC2529" s="1" t="str">
        <f t="shared" si="1940"/>
        <v>0</v>
      </c>
      <c r="CD2529" s="1">
        <v>30</v>
      </c>
      <c r="CE2529" s="1">
        <v>2</v>
      </c>
      <c r="CG2529" s="1" t="s">
        <v>885</v>
      </c>
      <c r="CH2529" s="1" t="s">
        <v>219</v>
      </c>
      <c r="CK2529" s="1" t="s">
        <v>1358</v>
      </c>
      <c r="CL2529" s="1" t="s">
        <v>277</v>
      </c>
      <c r="CO2529" s="1" t="s">
        <v>3284</v>
      </c>
      <c r="CP2529" s="1" t="s">
        <v>219</v>
      </c>
      <c r="CS2529" s="1" t="s">
        <v>346</v>
      </c>
      <c r="CT2529" s="1" t="s">
        <v>277</v>
      </c>
      <c r="CX2529" s="1" t="s">
        <v>224</v>
      </c>
      <c r="DB2529" s="1" t="s">
        <v>224</v>
      </c>
      <c r="DE2529" s="1" t="s">
        <v>1534</v>
      </c>
      <c r="DF2529" s="1" t="s">
        <v>219</v>
      </c>
      <c r="DJ2529" s="1" t="s">
        <v>224</v>
      </c>
      <c r="DS2529" s="1" t="s">
        <v>230</v>
      </c>
      <c r="DW2529" s="1" t="s">
        <v>230</v>
      </c>
      <c r="EA2529" s="1" t="s">
        <v>230</v>
      </c>
      <c r="EE2529" s="1" t="s">
        <v>230</v>
      </c>
      <c r="EI2529" s="1" t="s">
        <v>230</v>
      </c>
      <c r="EL2529" s="1" t="s">
        <v>231</v>
      </c>
      <c r="EM2529" s="1" t="s">
        <v>319</v>
      </c>
      <c r="EN2529" s="1" t="s">
        <v>282</v>
      </c>
      <c r="EO2529" s="1" t="s">
        <v>234</v>
      </c>
      <c r="ER2529" s="1" t="s">
        <v>351</v>
      </c>
      <c r="EW2529" s="1" t="s">
        <v>353</v>
      </c>
      <c r="EZ2529" s="1" t="s">
        <v>287</v>
      </c>
      <c r="FD2529" s="1" t="s">
        <v>246</v>
      </c>
      <c r="FE2529" s="1" t="s">
        <v>21731</v>
      </c>
      <c r="FF2529" s="1" t="s">
        <v>248</v>
      </c>
      <c r="FH2529" s="1" t="s">
        <v>356</v>
      </c>
      <c r="FL2529" s="1" t="s">
        <v>414</v>
      </c>
      <c r="FM2529" s="1" t="s">
        <v>252</v>
      </c>
      <c r="FN2529" s="1" t="s">
        <v>213</v>
      </c>
      <c r="FO2529" s="1" t="s">
        <v>213</v>
      </c>
      <c r="FQ2529" s="1" t="s">
        <v>582</v>
      </c>
      <c r="FR2529" s="1" t="s">
        <v>210</v>
      </c>
      <c r="FS2529" s="1" t="s">
        <v>2844</v>
      </c>
      <c r="FT2529" s="1" t="s">
        <v>295</v>
      </c>
      <c r="FU2529" s="1" t="s">
        <v>204</v>
      </c>
      <c r="FW2529" s="1" t="s">
        <v>2845</v>
      </c>
      <c r="FX2529" s="1">
        <v>5293</v>
      </c>
      <c r="FY2529" s="1" t="s">
        <v>2846</v>
      </c>
      <c r="FZ2529" s="1" t="s">
        <v>2847</v>
      </c>
      <c r="GA2529" s="1">
        <v>53957</v>
      </c>
      <c r="GE2529" s="1" t="s">
        <v>210</v>
      </c>
      <c r="GI2529" s="1" t="s">
        <v>204</v>
      </c>
      <c r="GJ2529" s="1" t="s">
        <v>260</v>
      </c>
      <c r="GK2529" s="1" t="s">
        <v>210</v>
      </c>
      <c r="GL2529" s="2">
        <v>42145</v>
      </c>
      <c r="GM2529" s="1" t="s">
        <v>21732</v>
      </c>
    </row>
    <row r="2530" spans="1:195">
      <c r="A2530" s="1">
        <v>147500</v>
      </c>
      <c r="B2530" s="1" t="s">
        <v>195</v>
      </c>
      <c r="C2530" s="1" t="str">
        <f>"08835490"</f>
        <v>08835490</v>
      </c>
      <c r="D2530" s="1" t="s">
        <v>196</v>
      </c>
      <c r="F2530" s="1" t="str">
        <f>"101"</f>
        <v>101</v>
      </c>
      <c r="G2530" s="2">
        <v>42045</v>
      </c>
      <c r="H2530" s="1">
        <v>165500</v>
      </c>
      <c r="I2530" s="1">
        <v>159900</v>
      </c>
      <c r="J2530" s="1">
        <v>147500</v>
      </c>
      <c r="K2530" s="2">
        <v>42045</v>
      </c>
      <c r="L2530" s="1">
        <v>35</v>
      </c>
      <c r="M2530" s="2">
        <v>42079</v>
      </c>
      <c r="N2530" s="1">
        <v>35</v>
      </c>
      <c r="O2530" s="2">
        <v>42079</v>
      </c>
      <c r="P2530" s="1">
        <v>17299</v>
      </c>
      <c r="Q2530" s="1" t="s">
        <v>197</v>
      </c>
      <c r="R2530" s="2">
        <v>42118</v>
      </c>
      <c r="S2530" s="1">
        <v>131792</v>
      </c>
      <c r="U2530" s="1">
        <v>874</v>
      </c>
      <c r="V2530" s="1" t="s">
        <v>16951</v>
      </c>
      <c r="W2530" s="1" t="s">
        <v>199</v>
      </c>
      <c r="Y2530" s="1">
        <v>2</v>
      </c>
      <c r="Z2530" s="1" t="s">
        <v>370</v>
      </c>
      <c r="AA2530" s="1" t="s">
        <v>2631</v>
      </c>
      <c r="AB2530" s="1">
        <v>60101</v>
      </c>
      <c r="AE2530" s="1" t="s">
        <v>21733</v>
      </c>
      <c r="AF2530" s="1">
        <v>1991</v>
      </c>
      <c r="AG2530" s="1" t="s">
        <v>204</v>
      </c>
      <c r="AH2530" s="1" t="s">
        <v>269</v>
      </c>
      <c r="AI2530" s="1" t="s">
        <v>206</v>
      </c>
      <c r="AJ2530" s="1" t="s">
        <v>269</v>
      </c>
      <c r="AL2530" s="1">
        <v>5</v>
      </c>
      <c r="AM2530" s="1">
        <v>2</v>
      </c>
      <c r="AN2530" s="1">
        <v>1</v>
      </c>
      <c r="AO2530" s="1">
        <v>1</v>
      </c>
      <c r="AP2530" s="1" t="s">
        <v>667</v>
      </c>
      <c r="AQ2530" s="1">
        <v>1</v>
      </c>
      <c r="AR2530" s="1" t="s">
        <v>210</v>
      </c>
      <c r="AS2530" s="1" t="s">
        <v>204</v>
      </c>
      <c r="AT2530" s="1" t="s">
        <v>211</v>
      </c>
      <c r="AU2530" s="1">
        <v>1</v>
      </c>
      <c r="AW2530" s="1" t="s">
        <v>204</v>
      </c>
      <c r="AX2530" s="1" t="s">
        <v>212</v>
      </c>
      <c r="AZ2530" s="1">
        <v>3683</v>
      </c>
      <c r="BA2530" s="1">
        <v>2013</v>
      </c>
      <c r="BE2530" s="1">
        <v>1530</v>
      </c>
      <c r="BF2530" s="1">
        <v>1</v>
      </c>
      <c r="BG2530" s="1">
        <v>30</v>
      </c>
      <c r="BL2530" s="1">
        <v>150</v>
      </c>
      <c r="BM2530" s="1" t="s">
        <v>204</v>
      </c>
      <c r="BN2530" s="1" t="s">
        <v>213</v>
      </c>
      <c r="BO2530" s="1">
        <v>999</v>
      </c>
      <c r="BP2530" s="1" t="s">
        <v>204</v>
      </c>
      <c r="BR2530" s="1" t="str">
        <f>"0224206110"</f>
        <v>0224206110</v>
      </c>
      <c r="BT2530" s="1" t="s">
        <v>21734</v>
      </c>
      <c r="BX2530" s="1">
        <v>15</v>
      </c>
      <c r="BY2530" s="1">
        <v>15</v>
      </c>
      <c r="BZ2530" s="1">
        <v>87</v>
      </c>
      <c r="CB2530" s="1" t="str">
        <f t="shared" ref="CB2530:CC2530" si="1941">""</f>
        <v/>
      </c>
      <c r="CC2530" s="1" t="str">
        <f t="shared" si="1941"/>
        <v/>
      </c>
      <c r="CG2530" s="1" t="s">
        <v>314</v>
      </c>
      <c r="CH2530" s="1" t="s">
        <v>219</v>
      </c>
      <c r="CI2530" s="1" t="s">
        <v>229</v>
      </c>
      <c r="CK2530" s="1" t="s">
        <v>601</v>
      </c>
      <c r="CL2530" s="1" t="s">
        <v>277</v>
      </c>
      <c r="CM2530" s="1" t="s">
        <v>229</v>
      </c>
      <c r="CO2530" s="1" t="s">
        <v>837</v>
      </c>
      <c r="CP2530" s="1" t="s">
        <v>219</v>
      </c>
      <c r="CQ2530" s="1" t="s">
        <v>229</v>
      </c>
      <c r="CS2530" s="1" t="s">
        <v>344</v>
      </c>
      <c r="CT2530" s="1" t="s">
        <v>277</v>
      </c>
      <c r="CU2530" s="1" t="s">
        <v>229</v>
      </c>
      <c r="CX2530" s="1" t="s">
        <v>224</v>
      </c>
      <c r="DB2530" s="1" t="s">
        <v>224</v>
      </c>
      <c r="DE2530" s="1" t="s">
        <v>379</v>
      </c>
      <c r="DF2530" s="1" t="s">
        <v>219</v>
      </c>
      <c r="DG2530" s="1" t="s">
        <v>4958</v>
      </c>
      <c r="DJ2530" s="1" t="s">
        <v>224</v>
      </c>
      <c r="DS2530" s="1" t="s">
        <v>230</v>
      </c>
      <c r="DW2530" s="1" t="s">
        <v>230</v>
      </c>
      <c r="EA2530" s="1" t="s">
        <v>230</v>
      </c>
      <c r="EE2530" s="1" t="s">
        <v>230</v>
      </c>
      <c r="EI2530" s="1" t="s">
        <v>230</v>
      </c>
      <c r="EL2530" s="1" t="s">
        <v>382</v>
      </c>
      <c r="EM2530" s="1" t="s">
        <v>232</v>
      </c>
      <c r="EN2530" s="1" t="s">
        <v>282</v>
      </c>
      <c r="EO2530" s="1" t="s">
        <v>234</v>
      </c>
      <c r="EQ2530" s="1" t="s">
        <v>468</v>
      </c>
      <c r="ER2530" s="1" t="s">
        <v>210</v>
      </c>
      <c r="ES2530" s="1" t="s">
        <v>322</v>
      </c>
      <c r="EV2530" s="1" t="s">
        <v>1999</v>
      </c>
      <c r="EW2530" s="1" t="s">
        <v>353</v>
      </c>
      <c r="EZ2530" s="1" t="s">
        <v>287</v>
      </c>
      <c r="FB2530" s="1" t="s">
        <v>289</v>
      </c>
      <c r="FD2530" s="1" t="s">
        <v>246</v>
      </c>
      <c r="FE2530" s="1" t="s">
        <v>975</v>
      </c>
      <c r="FF2530" s="1" t="s">
        <v>248</v>
      </c>
      <c r="FH2530" s="1" t="s">
        <v>550</v>
      </c>
      <c r="FL2530" s="1" t="s">
        <v>358</v>
      </c>
      <c r="FM2530" s="1" t="s">
        <v>252</v>
      </c>
      <c r="FN2530" s="1" t="s">
        <v>213</v>
      </c>
      <c r="FO2530" s="1" t="s">
        <v>204</v>
      </c>
      <c r="FQ2530" s="1" t="s">
        <v>21735</v>
      </c>
      <c r="FR2530" s="1" t="s">
        <v>652</v>
      </c>
      <c r="FS2530" s="1" t="s">
        <v>21736</v>
      </c>
      <c r="FT2530" s="1" t="s">
        <v>21737</v>
      </c>
      <c r="FU2530" s="1" t="s">
        <v>204</v>
      </c>
      <c r="FW2530" s="1" t="s">
        <v>21738</v>
      </c>
      <c r="FX2530" s="1">
        <v>24229</v>
      </c>
      <c r="FY2530" s="1" t="s">
        <v>21739</v>
      </c>
      <c r="FZ2530" s="1" t="s">
        <v>21740</v>
      </c>
      <c r="GA2530" s="1">
        <v>223103</v>
      </c>
      <c r="GB2530" s="1" t="s">
        <v>21741</v>
      </c>
      <c r="GE2530" s="1" t="s">
        <v>480</v>
      </c>
      <c r="GH2530" s="1" t="s">
        <v>230</v>
      </c>
      <c r="GI2530" s="1" t="s">
        <v>204</v>
      </c>
      <c r="GJ2530" s="1" t="s">
        <v>260</v>
      </c>
      <c r="GK2530" s="1" t="s">
        <v>210</v>
      </c>
      <c r="GL2530" s="2">
        <v>42119</v>
      </c>
      <c r="GM2530" s="1" t="s">
        <v>21742</v>
      </c>
    </row>
    <row r="2531" spans="1:195">
      <c r="A2531" s="1">
        <v>86000</v>
      </c>
      <c r="B2531" s="1" t="s">
        <v>195</v>
      </c>
      <c r="C2531" s="1" t="str">
        <f>"08834799"</f>
        <v>08834799</v>
      </c>
      <c r="D2531" s="1" t="s">
        <v>196</v>
      </c>
      <c r="F2531" s="1" t="str">
        <f>"188"</f>
        <v>188</v>
      </c>
      <c r="G2531" s="2">
        <v>42044</v>
      </c>
      <c r="H2531" s="1">
        <v>89990</v>
      </c>
      <c r="I2531" s="1">
        <v>89990</v>
      </c>
      <c r="J2531" s="1">
        <v>86000</v>
      </c>
      <c r="K2531" s="2">
        <v>42044</v>
      </c>
      <c r="L2531" s="1">
        <v>87</v>
      </c>
      <c r="M2531" s="2">
        <v>42051</v>
      </c>
      <c r="N2531" s="1">
        <v>8</v>
      </c>
      <c r="O2531" s="2">
        <v>42051</v>
      </c>
      <c r="P2531" s="1">
        <v>8971</v>
      </c>
      <c r="Q2531" s="1" t="s">
        <v>197</v>
      </c>
      <c r="R2531" s="2">
        <v>42093</v>
      </c>
      <c r="S2531" s="1">
        <v>81077</v>
      </c>
      <c r="T2531" s="1">
        <v>1000</v>
      </c>
      <c r="U2531" s="1">
        <v>564</v>
      </c>
      <c r="V2531" s="1" t="s">
        <v>2964</v>
      </c>
      <c r="W2531" s="1" t="s">
        <v>264</v>
      </c>
      <c r="X2531" s="1">
        <v>208</v>
      </c>
      <c r="Y2531" s="1">
        <v>12</v>
      </c>
      <c r="Z2531" s="1" t="s">
        <v>249</v>
      </c>
      <c r="AA2531" s="1" t="s">
        <v>1084</v>
      </c>
      <c r="AB2531" s="1">
        <v>60188</v>
      </c>
      <c r="AC2531" s="1">
        <v>2861</v>
      </c>
      <c r="AD2531" s="1" t="s">
        <v>2964</v>
      </c>
      <c r="AE2531" s="1" t="s">
        <v>21743</v>
      </c>
      <c r="AF2531" s="1">
        <v>1977</v>
      </c>
      <c r="AG2531" s="1" t="s">
        <v>213</v>
      </c>
      <c r="AH2531" s="1" t="s">
        <v>1087</v>
      </c>
      <c r="AI2531" s="1" t="s">
        <v>206</v>
      </c>
      <c r="AJ2531" s="1" t="s">
        <v>207</v>
      </c>
      <c r="AL2531" s="1">
        <v>4</v>
      </c>
      <c r="AM2531" s="1">
        <v>2</v>
      </c>
      <c r="AN2531" s="1">
        <v>1</v>
      </c>
      <c r="AO2531" s="1">
        <v>0</v>
      </c>
      <c r="AP2531" s="1" t="s">
        <v>210</v>
      </c>
      <c r="AQ2531" s="1">
        <v>0</v>
      </c>
      <c r="AR2531" s="1" t="s">
        <v>210</v>
      </c>
      <c r="AS2531" s="1" t="s">
        <v>204</v>
      </c>
      <c r="AT2531" s="1" t="s">
        <v>211</v>
      </c>
      <c r="AU2531" s="1">
        <v>1</v>
      </c>
      <c r="AW2531" s="1" t="s">
        <v>204</v>
      </c>
      <c r="AX2531" s="1" t="s">
        <v>212</v>
      </c>
      <c r="AZ2531" s="1">
        <v>1449</v>
      </c>
      <c r="BA2531" s="1">
        <v>2013</v>
      </c>
      <c r="BB2531" s="1" t="s">
        <v>599</v>
      </c>
      <c r="BE2531" s="1">
        <v>928</v>
      </c>
      <c r="BF2531" s="1">
        <v>2</v>
      </c>
      <c r="BG2531" s="1">
        <v>15</v>
      </c>
      <c r="BL2531" s="1">
        <v>275</v>
      </c>
      <c r="BM2531" s="1" t="s">
        <v>204</v>
      </c>
      <c r="BN2531" s="1" t="s">
        <v>213</v>
      </c>
      <c r="BP2531" s="1" t="s">
        <v>204</v>
      </c>
      <c r="BR2531" s="1" t="str">
        <f>"0503305016"</f>
        <v>0503305016</v>
      </c>
      <c r="BT2531" s="1" t="s">
        <v>21744</v>
      </c>
      <c r="BU2531" s="1" t="s">
        <v>2167</v>
      </c>
      <c r="BV2531" s="1" t="s">
        <v>2168</v>
      </c>
      <c r="BW2531" s="1" t="s">
        <v>2169</v>
      </c>
      <c r="BX2531" s="1">
        <v>41</v>
      </c>
      <c r="BY2531" s="1">
        <v>41</v>
      </c>
      <c r="BZ2531" s="1">
        <v>87</v>
      </c>
      <c r="CB2531" s="1" t="str">
        <f>"1"</f>
        <v>1</v>
      </c>
      <c r="CC2531" s="1" t="str">
        <f>"0"</f>
        <v>0</v>
      </c>
      <c r="CD2531" s="1">
        <v>23</v>
      </c>
      <c r="CE2531" s="1">
        <v>0</v>
      </c>
      <c r="CG2531" s="1" t="s">
        <v>729</v>
      </c>
      <c r="CH2531" s="1" t="s">
        <v>277</v>
      </c>
      <c r="CI2531" s="1" t="s">
        <v>220</v>
      </c>
      <c r="CJ2531" s="1" t="s">
        <v>463</v>
      </c>
      <c r="CK2531" s="1" t="s">
        <v>315</v>
      </c>
      <c r="CL2531" s="1" t="s">
        <v>277</v>
      </c>
      <c r="CM2531" s="1" t="s">
        <v>220</v>
      </c>
      <c r="CN2531" s="1" t="s">
        <v>343</v>
      </c>
      <c r="CP2531" s="1" t="s">
        <v>224</v>
      </c>
      <c r="CS2531" s="1" t="s">
        <v>465</v>
      </c>
      <c r="CT2531" s="1" t="s">
        <v>277</v>
      </c>
      <c r="CU2531" s="1" t="s">
        <v>220</v>
      </c>
      <c r="CV2531" s="1" t="s">
        <v>343</v>
      </c>
      <c r="CX2531" s="1" t="s">
        <v>224</v>
      </c>
      <c r="DB2531" s="1" t="s">
        <v>224</v>
      </c>
      <c r="DE2531" s="1" t="s">
        <v>539</v>
      </c>
      <c r="DF2531" s="1" t="s">
        <v>277</v>
      </c>
      <c r="DG2531" s="1" t="s">
        <v>226</v>
      </c>
      <c r="DJ2531" s="1" t="s">
        <v>224</v>
      </c>
      <c r="DS2531" s="1" t="s">
        <v>230</v>
      </c>
      <c r="DW2531" s="1" t="s">
        <v>230</v>
      </c>
      <c r="EA2531" s="1" t="s">
        <v>230</v>
      </c>
      <c r="EE2531" s="1" t="s">
        <v>230</v>
      </c>
      <c r="EI2531" s="1" t="s">
        <v>230</v>
      </c>
      <c r="EL2531" s="1" t="s">
        <v>231</v>
      </c>
      <c r="EM2531" s="1" t="s">
        <v>232</v>
      </c>
      <c r="EN2531" s="1" t="s">
        <v>282</v>
      </c>
      <c r="EO2531" s="1" t="s">
        <v>234</v>
      </c>
      <c r="EP2531" s="1" t="s">
        <v>21745</v>
      </c>
      <c r="EQ2531" s="1" t="s">
        <v>953</v>
      </c>
      <c r="ER2531" s="1" t="s">
        <v>210</v>
      </c>
      <c r="ES2531" s="1" t="s">
        <v>322</v>
      </c>
      <c r="EU2531" s="1" t="s">
        <v>239</v>
      </c>
      <c r="EW2531" s="1" t="s">
        <v>1698</v>
      </c>
      <c r="EZ2531" s="1" t="s">
        <v>287</v>
      </c>
      <c r="FA2531" s="1" t="s">
        <v>1072</v>
      </c>
      <c r="FB2531" s="1" t="s">
        <v>289</v>
      </c>
      <c r="FD2531" s="1" t="s">
        <v>736</v>
      </c>
      <c r="FE2531" s="1" t="s">
        <v>2970</v>
      </c>
      <c r="FF2531" s="1" t="s">
        <v>3103</v>
      </c>
      <c r="FH2531" s="1" t="s">
        <v>249</v>
      </c>
      <c r="FI2531" s="1" t="s">
        <v>473</v>
      </c>
      <c r="FJ2531" s="1" t="s">
        <v>1251</v>
      </c>
      <c r="FL2531" s="1" t="s">
        <v>1073</v>
      </c>
      <c r="FM2531" s="1" t="s">
        <v>252</v>
      </c>
      <c r="FN2531" s="1" t="s">
        <v>213</v>
      </c>
      <c r="FO2531" s="1" t="s">
        <v>213</v>
      </c>
      <c r="FQ2531" s="1" t="s">
        <v>793</v>
      </c>
      <c r="FR2531" s="1" t="s">
        <v>652</v>
      </c>
      <c r="FS2531" s="1" t="s">
        <v>21746</v>
      </c>
      <c r="FT2531" s="1" t="s">
        <v>1182</v>
      </c>
      <c r="FU2531" s="1" t="s">
        <v>204</v>
      </c>
      <c r="FW2531" s="1" t="s">
        <v>256</v>
      </c>
      <c r="FX2531" s="1">
        <v>25163</v>
      </c>
      <c r="FY2531" s="1" t="s">
        <v>257</v>
      </c>
      <c r="FZ2531" s="1" t="s">
        <v>21747</v>
      </c>
      <c r="GA2531" s="1">
        <v>254063</v>
      </c>
      <c r="GB2531" s="1" t="s">
        <v>21748</v>
      </c>
      <c r="GE2531" s="1" t="s">
        <v>480</v>
      </c>
      <c r="GI2531" s="1" t="s">
        <v>213</v>
      </c>
      <c r="GJ2531" s="1" t="s">
        <v>260</v>
      </c>
      <c r="GK2531" s="1" t="s">
        <v>261</v>
      </c>
      <c r="GL2531" s="2">
        <v>42093</v>
      </c>
      <c r="GM2531" s="1" t="s">
        <v>21749</v>
      </c>
    </row>
    <row r="2532" spans="1:195">
      <c r="A2532" s="1">
        <v>75000</v>
      </c>
      <c r="B2532" s="1" t="s">
        <v>195</v>
      </c>
      <c r="C2532" s="1" t="str">
        <f>"08833164"</f>
        <v>08833164</v>
      </c>
      <c r="D2532" s="1" t="s">
        <v>196</v>
      </c>
      <c r="F2532" s="1" t="str">
        <f>"542"</f>
        <v>542</v>
      </c>
      <c r="G2532" s="2">
        <v>42041</v>
      </c>
      <c r="H2532" s="1">
        <v>10500</v>
      </c>
      <c r="I2532" s="1">
        <v>105000</v>
      </c>
      <c r="J2532" s="1">
        <v>75000</v>
      </c>
      <c r="K2532" s="2">
        <v>42041</v>
      </c>
      <c r="L2532" s="1">
        <v>100</v>
      </c>
      <c r="M2532" s="2">
        <v>42058</v>
      </c>
      <c r="N2532" s="1">
        <v>18</v>
      </c>
      <c r="O2532" s="2">
        <v>42058</v>
      </c>
      <c r="P2532" s="1">
        <v>25558</v>
      </c>
      <c r="Q2532" s="1" t="s">
        <v>302</v>
      </c>
      <c r="R2532" s="2">
        <v>42087</v>
      </c>
      <c r="S2532" s="1">
        <v>220342</v>
      </c>
      <c r="U2532" s="1">
        <v>157</v>
      </c>
      <c r="V2532" s="1" t="s">
        <v>21750</v>
      </c>
      <c r="W2532" s="1" t="s">
        <v>304</v>
      </c>
      <c r="Y2532" s="1">
        <v>5</v>
      </c>
      <c r="Z2532" s="1" t="s">
        <v>249</v>
      </c>
      <c r="AA2532" s="1" t="s">
        <v>6071</v>
      </c>
      <c r="AB2532" s="1">
        <v>60542</v>
      </c>
      <c r="AD2532" s="1" t="s">
        <v>15756</v>
      </c>
      <c r="AE2532" s="1" t="s">
        <v>21751</v>
      </c>
      <c r="AF2532" s="1">
        <v>2001</v>
      </c>
      <c r="AG2532" s="1" t="s">
        <v>204</v>
      </c>
      <c r="AH2532" s="1" t="s">
        <v>6074</v>
      </c>
      <c r="AI2532" s="1" t="s">
        <v>665</v>
      </c>
      <c r="AJ2532" s="1" t="s">
        <v>1126</v>
      </c>
      <c r="AL2532" s="1">
        <v>6</v>
      </c>
      <c r="AM2532" s="1">
        <v>2</v>
      </c>
      <c r="AN2532" s="1">
        <v>1</v>
      </c>
      <c r="AO2532" s="1">
        <v>1</v>
      </c>
      <c r="AP2532" s="1" t="s">
        <v>667</v>
      </c>
      <c r="AQ2532" s="1">
        <v>1</v>
      </c>
      <c r="AR2532" s="1" t="s">
        <v>209</v>
      </c>
      <c r="AS2532" s="1" t="s">
        <v>204</v>
      </c>
      <c r="AT2532" s="1" t="s">
        <v>211</v>
      </c>
      <c r="AU2532" s="1">
        <v>2</v>
      </c>
      <c r="AW2532" s="1" t="s">
        <v>204</v>
      </c>
      <c r="AX2532" s="1" t="s">
        <v>212</v>
      </c>
      <c r="AZ2532" s="1">
        <v>5116</v>
      </c>
      <c r="BA2532" s="1">
        <v>2013</v>
      </c>
      <c r="BB2532" s="1" t="s">
        <v>210</v>
      </c>
      <c r="BE2532" s="1">
        <v>1125</v>
      </c>
      <c r="BF2532" s="1">
        <v>1</v>
      </c>
      <c r="BG2532" s="1">
        <v>14</v>
      </c>
      <c r="BL2532" s="1">
        <v>155</v>
      </c>
      <c r="BM2532" s="1" t="s">
        <v>204</v>
      </c>
      <c r="BN2532" s="1" t="s">
        <v>213</v>
      </c>
      <c r="BO2532" s="1">
        <v>99</v>
      </c>
      <c r="BP2532" s="1" t="s">
        <v>204</v>
      </c>
      <c r="BR2532" s="1" t="str">
        <f>"1503107027"</f>
        <v>1503107027</v>
      </c>
      <c r="BT2532" s="1" t="s">
        <v>21752</v>
      </c>
      <c r="BX2532" s="1">
        <v>129</v>
      </c>
      <c r="BY2532" s="1">
        <v>129</v>
      </c>
      <c r="BZ2532" s="1">
        <v>129</v>
      </c>
      <c r="CB2532" s="1" t="str">
        <f t="shared" ref="CB2532:CC2532" si="1942">""</f>
        <v/>
      </c>
      <c r="CC2532" s="1" t="str">
        <f t="shared" si="1942"/>
        <v/>
      </c>
      <c r="CG2532" s="1" t="s">
        <v>861</v>
      </c>
      <c r="CH2532" s="1" t="s">
        <v>219</v>
      </c>
      <c r="CI2532" s="1" t="s">
        <v>220</v>
      </c>
      <c r="CK2532" s="1" t="s">
        <v>932</v>
      </c>
      <c r="CL2532" s="1" t="s">
        <v>277</v>
      </c>
      <c r="CM2532" s="1" t="s">
        <v>220</v>
      </c>
      <c r="CO2532" s="1" t="s">
        <v>379</v>
      </c>
      <c r="CP2532" s="1" t="s">
        <v>219</v>
      </c>
      <c r="CQ2532" s="1" t="s">
        <v>220</v>
      </c>
      <c r="CS2532" s="1" t="s">
        <v>318</v>
      </c>
      <c r="CT2532" s="1" t="s">
        <v>277</v>
      </c>
      <c r="CU2532" s="1" t="s">
        <v>220</v>
      </c>
      <c r="CX2532" s="1" t="s">
        <v>224</v>
      </c>
      <c r="DB2532" s="1" t="s">
        <v>224</v>
      </c>
      <c r="DE2532" s="1" t="s">
        <v>317</v>
      </c>
      <c r="DF2532" s="1" t="s">
        <v>219</v>
      </c>
      <c r="DG2532" s="1" t="s">
        <v>342</v>
      </c>
      <c r="DJ2532" s="1" t="s">
        <v>224</v>
      </c>
      <c r="DM2532" s="1" t="s">
        <v>934</v>
      </c>
      <c r="DR2532" s="1" t="s">
        <v>315</v>
      </c>
      <c r="DS2532" s="1" t="s">
        <v>43</v>
      </c>
      <c r="DT2532" s="1" t="s">
        <v>220</v>
      </c>
      <c r="DW2532" s="1" t="s">
        <v>230</v>
      </c>
      <c r="EA2532" s="1" t="s">
        <v>230</v>
      </c>
      <c r="EE2532" s="1" t="s">
        <v>230</v>
      </c>
      <c r="EI2532" s="1" t="s">
        <v>230</v>
      </c>
      <c r="EL2532" s="1" t="s">
        <v>466</v>
      </c>
      <c r="EM2532" s="1" t="s">
        <v>319</v>
      </c>
      <c r="EN2532" s="1" t="s">
        <v>282</v>
      </c>
      <c r="EO2532" s="1" t="s">
        <v>234</v>
      </c>
      <c r="ER2532" s="1" t="s">
        <v>6260</v>
      </c>
      <c r="EW2532" s="1" t="s">
        <v>353</v>
      </c>
      <c r="EZ2532" s="1" t="s">
        <v>934</v>
      </c>
      <c r="FB2532" s="1" t="s">
        <v>289</v>
      </c>
      <c r="FD2532" s="1" t="s">
        <v>246</v>
      </c>
      <c r="FE2532" s="1" t="s">
        <v>472</v>
      </c>
      <c r="FF2532" s="1" t="s">
        <v>387</v>
      </c>
      <c r="FG2532" s="1" t="s">
        <v>939</v>
      </c>
      <c r="FH2532" s="1" t="s">
        <v>550</v>
      </c>
      <c r="FL2532" s="1" t="s">
        <v>358</v>
      </c>
      <c r="FM2532" s="1" t="s">
        <v>252</v>
      </c>
      <c r="FN2532" s="1" t="s">
        <v>204</v>
      </c>
      <c r="FO2532" s="1" t="s">
        <v>213</v>
      </c>
      <c r="FQ2532" s="1" t="s">
        <v>21753</v>
      </c>
      <c r="FR2532" s="1" t="s">
        <v>210</v>
      </c>
      <c r="FS2532" s="1" t="s">
        <v>1575</v>
      </c>
      <c r="FT2532" s="1" t="s">
        <v>255</v>
      </c>
      <c r="FU2532" s="1" t="s">
        <v>204</v>
      </c>
      <c r="FW2532" s="1" t="s">
        <v>2563</v>
      </c>
      <c r="FX2532" s="1">
        <v>25558</v>
      </c>
      <c r="FY2532" s="1" t="s">
        <v>4051</v>
      </c>
      <c r="FZ2532" s="1" t="s">
        <v>17868</v>
      </c>
      <c r="GA2532" s="1">
        <v>220342</v>
      </c>
      <c r="GB2532" s="1" t="s">
        <v>17869</v>
      </c>
      <c r="GE2532" s="1" t="s">
        <v>210</v>
      </c>
      <c r="GI2532" s="1" t="s">
        <v>204</v>
      </c>
      <c r="GJ2532" s="1" t="s">
        <v>260</v>
      </c>
      <c r="GK2532" s="1" t="s">
        <v>210</v>
      </c>
      <c r="GL2532" s="2">
        <v>42088</v>
      </c>
      <c r="GM2532" s="1" t="s">
        <v>21754</v>
      </c>
    </row>
    <row r="2533" spans="1:195">
      <c r="A2533" s="1">
        <v>148000</v>
      </c>
      <c r="B2533" s="1" t="s">
        <v>195</v>
      </c>
      <c r="C2533" s="1" t="str">
        <f>"08835915"</f>
        <v>08835915</v>
      </c>
      <c r="D2533" s="1" t="s">
        <v>196</v>
      </c>
      <c r="F2533" s="1" t="str">
        <f>"139"</f>
        <v>139</v>
      </c>
      <c r="G2533" s="2">
        <v>42045</v>
      </c>
      <c r="H2533" s="1">
        <v>147500</v>
      </c>
      <c r="I2533" s="1">
        <v>147500</v>
      </c>
      <c r="J2533" s="1">
        <v>148000</v>
      </c>
      <c r="K2533" s="2">
        <v>42045</v>
      </c>
      <c r="L2533" s="1">
        <v>6</v>
      </c>
      <c r="M2533" s="2">
        <v>42050</v>
      </c>
      <c r="N2533" s="1">
        <v>6</v>
      </c>
      <c r="O2533" s="2">
        <v>42050</v>
      </c>
      <c r="P2533" s="1">
        <v>8059</v>
      </c>
      <c r="Q2533" s="1" t="s">
        <v>197</v>
      </c>
      <c r="R2533" s="2">
        <v>42081</v>
      </c>
      <c r="S2533" s="1">
        <v>256681</v>
      </c>
      <c r="U2533" s="1">
        <v>42</v>
      </c>
      <c r="V2533" s="1" t="s">
        <v>6460</v>
      </c>
      <c r="W2533" s="1" t="s">
        <v>304</v>
      </c>
      <c r="Y2533" s="1">
        <v>6</v>
      </c>
      <c r="Z2533" s="1" t="s">
        <v>370</v>
      </c>
      <c r="AA2533" s="1" t="s">
        <v>1732</v>
      </c>
      <c r="AB2533" s="1">
        <v>60139</v>
      </c>
      <c r="AD2533" s="1" t="s">
        <v>8696</v>
      </c>
      <c r="AE2533" s="1" t="s">
        <v>21755</v>
      </c>
      <c r="AF2533" s="1">
        <v>1988</v>
      </c>
      <c r="AG2533" s="1" t="s">
        <v>204</v>
      </c>
      <c r="AH2533" s="1" t="s">
        <v>1735</v>
      </c>
      <c r="AI2533" s="1" t="s">
        <v>206</v>
      </c>
      <c r="AJ2533" s="1" t="s">
        <v>269</v>
      </c>
      <c r="AL2533" s="1">
        <v>5</v>
      </c>
      <c r="AM2533" s="1">
        <v>2</v>
      </c>
      <c r="AN2533" s="1">
        <v>2</v>
      </c>
      <c r="AO2533" s="1">
        <v>1</v>
      </c>
      <c r="AP2533" s="1" t="s">
        <v>209</v>
      </c>
      <c r="AQ2533" s="1">
        <v>1</v>
      </c>
      <c r="AR2533" s="1" t="s">
        <v>210</v>
      </c>
      <c r="AT2533" s="1" t="s">
        <v>211</v>
      </c>
      <c r="AU2533" s="1">
        <v>1</v>
      </c>
      <c r="AW2533" s="1" t="s">
        <v>213</v>
      </c>
      <c r="AX2533" s="1" t="s">
        <v>212</v>
      </c>
      <c r="AZ2533" s="1">
        <v>4179</v>
      </c>
      <c r="BA2533" s="1">
        <v>2013</v>
      </c>
      <c r="BB2533" s="1" t="s">
        <v>405</v>
      </c>
      <c r="BE2533" s="1">
        <v>1100</v>
      </c>
      <c r="BF2533" s="1">
        <v>1</v>
      </c>
      <c r="BG2533" s="1">
        <v>0</v>
      </c>
      <c r="BL2533" s="1">
        <v>198</v>
      </c>
      <c r="BM2533" s="1" t="s">
        <v>204</v>
      </c>
      <c r="BN2533" s="1" t="s">
        <v>213</v>
      </c>
      <c r="BO2533" s="1">
        <v>0</v>
      </c>
      <c r="BP2533" s="1" t="s">
        <v>204</v>
      </c>
      <c r="BR2533" s="1" t="str">
        <f>"0233206095"</f>
        <v>0233206095</v>
      </c>
      <c r="BT2533" s="1" t="s">
        <v>21756</v>
      </c>
      <c r="BX2533" s="1">
        <v>41</v>
      </c>
      <c r="BY2533" s="1">
        <v>41</v>
      </c>
      <c r="BZ2533" s="1">
        <v>87</v>
      </c>
      <c r="CB2533" s="1" t="str">
        <f t="shared" ref="CB2533:CC2533" si="1943">""</f>
        <v/>
      </c>
      <c r="CC2533" s="1" t="str">
        <f t="shared" si="1943"/>
        <v/>
      </c>
      <c r="CG2533" s="1" t="s">
        <v>3100</v>
      </c>
      <c r="CH2533" s="1" t="s">
        <v>219</v>
      </c>
      <c r="CI2533" s="1" t="s">
        <v>220</v>
      </c>
      <c r="CK2533" s="1" t="s">
        <v>539</v>
      </c>
      <c r="CL2533" s="1" t="s">
        <v>277</v>
      </c>
      <c r="CM2533" s="1" t="s">
        <v>220</v>
      </c>
      <c r="CO2533" s="1" t="s">
        <v>629</v>
      </c>
      <c r="CP2533" s="1" t="s">
        <v>219</v>
      </c>
      <c r="CQ2533" s="1" t="s">
        <v>220</v>
      </c>
      <c r="CS2533" s="1" t="s">
        <v>1297</v>
      </c>
      <c r="CT2533" s="1" t="s">
        <v>277</v>
      </c>
      <c r="CU2533" s="1" t="s">
        <v>220</v>
      </c>
      <c r="CX2533" s="1" t="s">
        <v>224</v>
      </c>
      <c r="DB2533" s="1" t="s">
        <v>224</v>
      </c>
      <c r="DE2533" s="1" t="s">
        <v>2031</v>
      </c>
      <c r="DF2533" s="1" t="s">
        <v>219</v>
      </c>
      <c r="DG2533" s="1" t="s">
        <v>226</v>
      </c>
      <c r="DJ2533" s="1" t="s">
        <v>224</v>
      </c>
      <c r="DS2533" s="1" t="s">
        <v>230</v>
      </c>
      <c r="DW2533" s="1" t="s">
        <v>230</v>
      </c>
      <c r="EA2533" s="1" t="s">
        <v>230</v>
      </c>
      <c r="EE2533" s="1" t="s">
        <v>230</v>
      </c>
      <c r="EI2533" s="1" t="s">
        <v>230</v>
      </c>
      <c r="EL2533" s="1" t="s">
        <v>542</v>
      </c>
      <c r="EM2533" s="1" t="s">
        <v>232</v>
      </c>
      <c r="EN2533" s="1" t="s">
        <v>282</v>
      </c>
      <c r="EO2533" s="1" t="s">
        <v>234</v>
      </c>
      <c r="EP2533" s="1" t="s">
        <v>21757</v>
      </c>
      <c r="EQ2533" s="1" t="s">
        <v>468</v>
      </c>
      <c r="ER2533" s="1" t="s">
        <v>383</v>
      </c>
      <c r="ES2533" s="1" t="s">
        <v>545</v>
      </c>
      <c r="EV2533" s="1" t="s">
        <v>240</v>
      </c>
      <c r="EW2533" s="1" t="s">
        <v>991</v>
      </c>
      <c r="EZ2533" s="1" t="s">
        <v>287</v>
      </c>
      <c r="FD2533" s="1" t="s">
        <v>246</v>
      </c>
      <c r="FE2533" s="1" t="s">
        <v>549</v>
      </c>
      <c r="FF2533" s="1" t="s">
        <v>248</v>
      </c>
      <c r="FG2533" s="1" t="s">
        <v>2406</v>
      </c>
      <c r="FH2533" s="1" t="s">
        <v>550</v>
      </c>
      <c r="FL2533" s="1" t="s">
        <v>414</v>
      </c>
      <c r="FM2533" s="1" t="s">
        <v>252</v>
      </c>
      <c r="FN2533" s="1" t="s">
        <v>213</v>
      </c>
      <c r="FO2533" s="1" t="s">
        <v>213</v>
      </c>
      <c r="FQ2533" s="1" t="s">
        <v>8700</v>
      </c>
      <c r="FR2533" s="1" t="s">
        <v>210</v>
      </c>
      <c r="FS2533" s="1" t="s">
        <v>8701</v>
      </c>
      <c r="FT2533" s="1" t="s">
        <v>675</v>
      </c>
      <c r="FU2533" s="1" t="s">
        <v>204</v>
      </c>
      <c r="FW2533" s="1" t="s">
        <v>5648</v>
      </c>
      <c r="FX2533" s="1">
        <v>23099</v>
      </c>
      <c r="FY2533" s="1" t="s">
        <v>5649</v>
      </c>
      <c r="FZ2533" s="1" t="s">
        <v>8702</v>
      </c>
      <c r="GA2533" s="1">
        <v>256407</v>
      </c>
      <c r="GB2533" s="1" t="s">
        <v>8703</v>
      </c>
      <c r="GE2533" s="1" t="s">
        <v>1576</v>
      </c>
      <c r="GH2533" s="1" t="s">
        <v>230</v>
      </c>
      <c r="GI2533" s="1" t="s">
        <v>213</v>
      </c>
      <c r="GJ2533" s="1" t="s">
        <v>260</v>
      </c>
      <c r="GK2533" s="1" t="s">
        <v>261</v>
      </c>
      <c r="GL2533" s="2">
        <v>42081</v>
      </c>
    </row>
    <row r="2534" spans="1:195">
      <c r="A2534" s="1">
        <v>123000</v>
      </c>
      <c r="B2534" s="1" t="s">
        <v>195</v>
      </c>
      <c r="C2534" s="1" t="str">
        <f>"08832776"</f>
        <v>08832776</v>
      </c>
      <c r="D2534" s="1" t="s">
        <v>196</v>
      </c>
      <c r="F2534" s="1" t="str">
        <f>"507"</f>
        <v>507</v>
      </c>
      <c r="G2534" s="2">
        <v>42041</v>
      </c>
      <c r="H2534" s="1">
        <v>125000</v>
      </c>
      <c r="I2534" s="1">
        <v>125000</v>
      </c>
      <c r="J2534" s="1">
        <v>123000</v>
      </c>
      <c r="K2534" s="2">
        <v>42040</v>
      </c>
      <c r="L2534" s="1">
        <v>16</v>
      </c>
      <c r="M2534" s="2">
        <v>42055</v>
      </c>
      <c r="N2534" s="1">
        <v>16</v>
      </c>
      <c r="O2534" s="2">
        <v>42055</v>
      </c>
      <c r="P2534" s="1">
        <v>24702</v>
      </c>
      <c r="Q2534" s="1" t="s">
        <v>423</v>
      </c>
      <c r="R2534" s="2">
        <v>42090</v>
      </c>
      <c r="S2534" s="1">
        <v>237821</v>
      </c>
      <c r="T2534" s="1">
        <v>3000</v>
      </c>
      <c r="U2534" s="1">
        <v>1754</v>
      </c>
      <c r="V2534" s="1" t="s">
        <v>11905</v>
      </c>
      <c r="W2534" s="1" t="s">
        <v>504</v>
      </c>
      <c r="Y2534" s="1">
        <v>6</v>
      </c>
      <c r="Z2534" s="1" t="s">
        <v>200</v>
      </c>
      <c r="AA2534" s="1" t="s">
        <v>1123</v>
      </c>
      <c r="AB2534" s="1">
        <v>60503</v>
      </c>
      <c r="AD2534" s="1" t="s">
        <v>21758</v>
      </c>
      <c r="AE2534" s="1" t="s">
        <v>21759</v>
      </c>
      <c r="AF2534" s="1">
        <v>2002</v>
      </c>
      <c r="AG2534" s="1" t="s">
        <v>204</v>
      </c>
      <c r="AH2534" s="1" t="s">
        <v>1126</v>
      </c>
      <c r="AI2534" s="1" t="s">
        <v>453</v>
      </c>
      <c r="AJ2534" s="1" t="s">
        <v>1397</v>
      </c>
      <c r="AL2534" s="1">
        <v>4</v>
      </c>
      <c r="AM2534" s="1">
        <v>2</v>
      </c>
      <c r="AN2534" s="1">
        <v>1</v>
      </c>
      <c r="AO2534" s="1">
        <v>1</v>
      </c>
      <c r="AP2534" s="1" t="s">
        <v>667</v>
      </c>
      <c r="AR2534" s="1" t="s">
        <v>210</v>
      </c>
      <c r="AS2534" s="1" t="s">
        <v>204</v>
      </c>
      <c r="AT2534" s="1" t="s">
        <v>211</v>
      </c>
      <c r="AU2534" s="1">
        <v>2</v>
      </c>
      <c r="AW2534" s="1" t="s">
        <v>204</v>
      </c>
      <c r="AX2534" s="1" t="s">
        <v>212</v>
      </c>
      <c r="AZ2534" s="3">
        <v>3204</v>
      </c>
      <c r="BA2534" s="1">
        <v>2013</v>
      </c>
      <c r="BB2534" s="1" t="s">
        <v>405</v>
      </c>
      <c r="BE2534" s="1">
        <v>1000</v>
      </c>
      <c r="BF2534" s="1">
        <v>1</v>
      </c>
      <c r="BG2534" s="1">
        <v>0</v>
      </c>
      <c r="BL2534" s="1">
        <v>150</v>
      </c>
      <c r="BM2534" s="1" t="s">
        <v>204</v>
      </c>
      <c r="BN2534" s="1" t="s">
        <v>213</v>
      </c>
      <c r="BO2534" s="1">
        <v>0</v>
      </c>
      <c r="BP2534" s="1" t="s">
        <v>204</v>
      </c>
      <c r="BR2534" s="1" t="str">
        <f>"0301451076"</f>
        <v>0301451076</v>
      </c>
      <c r="BT2534" s="1" t="s">
        <v>21760</v>
      </c>
      <c r="BU2534" s="1" t="s">
        <v>1400</v>
      </c>
      <c r="BV2534" s="1" t="s">
        <v>3010</v>
      </c>
      <c r="BW2534" s="1" t="s">
        <v>1401</v>
      </c>
      <c r="BX2534" s="1">
        <v>308</v>
      </c>
      <c r="BY2534" s="1">
        <v>308</v>
      </c>
      <c r="BZ2534" s="1">
        <v>308</v>
      </c>
      <c r="CB2534" s="1" t="str">
        <f t="shared" ref="CB2534:CC2534" si="1944">"0"</f>
        <v>0</v>
      </c>
      <c r="CC2534" s="1" t="str">
        <f t="shared" si="1944"/>
        <v>0</v>
      </c>
      <c r="CD2534" s="1">
        <v>33</v>
      </c>
      <c r="CE2534" s="1">
        <v>10</v>
      </c>
      <c r="CG2534" s="1" t="s">
        <v>861</v>
      </c>
      <c r="CH2534" s="1" t="s">
        <v>219</v>
      </c>
      <c r="CI2534" s="1" t="s">
        <v>438</v>
      </c>
      <c r="CK2534" s="1" t="s">
        <v>757</v>
      </c>
      <c r="CL2534" s="1" t="s">
        <v>277</v>
      </c>
      <c r="CM2534" s="1" t="s">
        <v>438</v>
      </c>
      <c r="CP2534" s="1" t="s">
        <v>224</v>
      </c>
      <c r="CS2534" s="1" t="s">
        <v>465</v>
      </c>
      <c r="CT2534" s="1" t="s">
        <v>277</v>
      </c>
      <c r="CU2534" s="1" t="s">
        <v>438</v>
      </c>
      <c r="CX2534" s="1" t="s">
        <v>224</v>
      </c>
      <c r="DB2534" s="1" t="s">
        <v>224</v>
      </c>
      <c r="DE2534" s="1" t="s">
        <v>278</v>
      </c>
      <c r="DF2534" s="1" t="s">
        <v>219</v>
      </c>
      <c r="DG2534" s="1" t="s">
        <v>438</v>
      </c>
      <c r="DJ2534" s="1" t="s">
        <v>224</v>
      </c>
      <c r="DS2534" s="1" t="s">
        <v>230</v>
      </c>
      <c r="DW2534" s="1" t="s">
        <v>230</v>
      </c>
      <c r="EA2534" s="1" t="s">
        <v>230</v>
      </c>
      <c r="EE2534" s="1" t="s">
        <v>230</v>
      </c>
      <c r="EI2534" s="1" t="s">
        <v>230</v>
      </c>
      <c r="EL2534" s="1" t="s">
        <v>466</v>
      </c>
      <c r="EM2534" s="1" t="s">
        <v>319</v>
      </c>
      <c r="EN2534" s="1" t="s">
        <v>282</v>
      </c>
      <c r="EO2534" s="1" t="s">
        <v>234</v>
      </c>
      <c r="EP2534" s="1" t="s">
        <v>3874</v>
      </c>
      <c r="EQ2534" s="1" t="s">
        <v>492</v>
      </c>
      <c r="ER2534" s="1" t="s">
        <v>210</v>
      </c>
      <c r="ES2534" s="1" t="s">
        <v>322</v>
      </c>
      <c r="EW2534" s="1" t="s">
        <v>1250</v>
      </c>
      <c r="EY2534" s="1" t="s">
        <v>242</v>
      </c>
      <c r="EZ2534" s="1" t="s">
        <v>287</v>
      </c>
      <c r="FA2534" s="1" t="s">
        <v>1427</v>
      </c>
      <c r="FC2534" s="1" t="s">
        <v>633</v>
      </c>
      <c r="FD2534" s="1" t="s">
        <v>246</v>
      </c>
      <c r="FE2534" s="1" t="s">
        <v>247</v>
      </c>
      <c r="FF2534" s="1" t="s">
        <v>248</v>
      </c>
      <c r="FH2534" s="1" t="s">
        <v>249</v>
      </c>
      <c r="FI2534" s="1" t="s">
        <v>3300</v>
      </c>
      <c r="FL2534" s="1" t="s">
        <v>358</v>
      </c>
      <c r="FM2534" s="1" t="s">
        <v>252</v>
      </c>
      <c r="FN2534" s="1" t="s">
        <v>213</v>
      </c>
      <c r="FO2534" s="1" t="s">
        <v>204</v>
      </c>
      <c r="FQ2534" s="1" t="s">
        <v>1599</v>
      </c>
      <c r="FR2534" s="1" t="s">
        <v>210</v>
      </c>
      <c r="FS2534" s="1" t="s">
        <v>1709</v>
      </c>
      <c r="FT2534" s="1" t="s">
        <v>295</v>
      </c>
      <c r="FU2534" s="1" t="s">
        <v>204</v>
      </c>
      <c r="FW2534" s="1" t="s">
        <v>11360</v>
      </c>
      <c r="FX2534" s="1">
        <v>26093</v>
      </c>
      <c r="FY2534" s="1" t="s">
        <v>21761</v>
      </c>
      <c r="FZ2534" s="1" t="s">
        <v>21762</v>
      </c>
      <c r="GA2534" s="1">
        <v>243980</v>
      </c>
      <c r="GB2534" s="1" t="s">
        <v>21763</v>
      </c>
      <c r="GE2534" s="1" t="s">
        <v>210</v>
      </c>
      <c r="GI2534" s="1" t="s">
        <v>213</v>
      </c>
      <c r="GJ2534" s="1" t="s">
        <v>260</v>
      </c>
      <c r="GK2534" s="1" t="s">
        <v>210</v>
      </c>
      <c r="GL2534" s="2">
        <v>42091</v>
      </c>
      <c r="GM2534" s="1" t="s">
        <v>21764</v>
      </c>
    </row>
    <row r="2535" spans="1:195">
      <c r="A2535" s="1">
        <v>86000</v>
      </c>
      <c r="B2535" s="1" t="s">
        <v>195</v>
      </c>
      <c r="C2535" s="1" t="str">
        <f>"08833143"</f>
        <v>08833143</v>
      </c>
      <c r="D2535" s="1" t="s">
        <v>196</v>
      </c>
      <c r="F2535" s="1" t="str">
        <f>"103"</f>
        <v>103</v>
      </c>
      <c r="G2535" s="2">
        <v>42041</v>
      </c>
      <c r="H2535" s="1">
        <v>87000</v>
      </c>
      <c r="I2535" s="1">
        <v>87000</v>
      </c>
      <c r="J2535" s="1">
        <v>86000</v>
      </c>
      <c r="K2535" s="2">
        <v>42040</v>
      </c>
      <c r="L2535" s="1">
        <v>12</v>
      </c>
      <c r="M2535" s="2">
        <v>42051</v>
      </c>
      <c r="N2535" s="1">
        <v>12</v>
      </c>
      <c r="O2535" s="2">
        <v>42051</v>
      </c>
      <c r="P2535" s="1">
        <v>8079</v>
      </c>
      <c r="Q2535" s="1" t="s">
        <v>423</v>
      </c>
      <c r="R2535" s="2">
        <v>42104</v>
      </c>
      <c r="S2535" s="1">
        <v>239190</v>
      </c>
      <c r="U2535" s="1">
        <v>6237</v>
      </c>
      <c r="V2535" s="1" t="s">
        <v>1849</v>
      </c>
      <c r="W2535" s="1" t="s">
        <v>264</v>
      </c>
      <c r="X2535" s="1">
        <v>4</v>
      </c>
      <c r="Y2535" s="1">
        <v>4</v>
      </c>
      <c r="Z2535" s="1" t="s">
        <v>249</v>
      </c>
      <c r="AA2535" s="1" t="s">
        <v>337</v>
      </c>
      <c r="AB2535" s="1">
        <v>60133</v>
      </c>
      <c r="AD2535" s="1" t="s">
        <v>21765</v>
      </c>
      <c r="AE2535" s="1" t="s">
        <v>21766</v>
      </c>
      <c r="AF2535" s="1">
        <v>1979</v>
      </c>
      <c r="AG2535" s="1" t="s">
        <v>204</v>
      </c>
      <c r="AH2535" s="1" t="s">
        <v>339</v>
      </c>
      <c r="AI2535" s="1" t="s">
        <v>206</v>
      </c>
      <c r="AJ2535" s="1" t="s">
        <v>269</v>
      </c>
      <c r="AL2535" s="1">
        <v>5</v>
      </c>
      <c r="AM2535" s="1">
        <v>2</v>
      </c>
      <c r="AN2535" s="1">
        <v>1</v>
      </c>
      <c r="AO2535" s="1">
        <v>0</v>
      </c>
      <c r="AP2535" s="1" t="s">
        <v>210</v>
      </c>
      <c r="AR2535" s="1" t="s">
        <v>210</v>
      </c>
      <c r="AS2535" s="1" t="s">
        <v>204</v>
      </c>
      <c r="AT2535" s="1" t="s">
        <v>211</v>
      </c>
      <c r="AU2535" s="1">
        <v>1</v>
      </c>
      <c r="AW2535" s="1" t="s">
        <v>204</v>
      </c>
      <c r="AX2535" s="1" t="s">
        <v>212</v>
      </c>
      <c r="AZ2535" s="1">
        <v>2006</v>
      </c>
      <c r="BA2535" s="1">
        <v>2013</v>
      </c>
      <c r="BB2535" s="1" t="s">
        <v>210</v>
      </c>
      <c r="BE2535" s="1">
        <v>900</v>
      </c>
      <c r="BF2535" s="1">
        <v>2</v>
      </c>
      <c r="BG2535" s="1">
        <v>0</v>
      </c>
      <c r="BL2535" s="1">
        <v>179</v>
      </c>
      <c r="BM2535" s="1" t="s">
        <v>204</v>
      </c>
      <c r="BN2535" s="1" t="s">
        <v>213</v>
      </c>
      <c r="BO2535" s="1" t="s">
        <v>5814</v>
      </c>
      <c r="BP2535" s="1" t="s">
        <v>204</v>
      </c>
      <c r="BR2535" s="1" t="str">
        <f>"0206105096"</f>
        <v>0206105096</v>
      </c>
      <c r="BT2535" s="1" t="s">
        <v>21767</v>
      </c>
      <c r="BX2535" s="1">
        <v>20</v>
      </c>
      <c r="BY2535" s="1">
        <v>20</v>
      </c>
      <c r="BZ2535" s="1">
        <v>108</v>
      </c>
      <c r="CB2535" s="1" t="str">
        <f>"7"</f>
        <v>7</v>
      </c>
      <c r="CC2535" s="1" t="str">
        <f t="shared" ref="CC2535:CC2537" si="1945">"0"</f>
        <v>0</v>
      </c>
      <c r="CD2535" s="1">
        <v>26</v>
      </c>
      <c r="CE2535" s="1">
        <v>0</v>
      </c>
      <c r="CG2535" s="1" t="s">
        <v>228</v>
      </c>
      <c r="CH2535" s="1" t="s">
        <v>277</v>
      </c>
      <c r="CI2535" s="1" t="s">
        <v>229</v>
      </c>
      <c r="CK2535" s="1" t="s">
        <v>344</v>
      </c>
      <c r="CL2535" s="1" t="s">
        <v>277</v>
      </c>
      <c r="CM2535" s="1" t="s">
        <v>229</v>
      </c>
      <c r="CO2535" s="1" t="s">
        <v>1571</v>
      </c>
      <c r="CP2535" s="1" t="s">
        <v>277</v>
      </c>
      <c r="CQ2535" s="1" t="s">
        <v>229</v>
      </c>
      <c r="CS2535" s="1" t="s">
        <v>346</v>
      </c>
      <c r="CT2535" s="1" t="s">
        <v>277</v>
      </c>
      <c r="CU2535" s="1" t="s">
        <v>229</v>
      </c>
      <c r="CX2535" s="1" t="s">
        <v>224</v>
      </c>
      <c r="DB2535" s="1" t="s">
        <v>224</v>
      </c>
      <c r="DE2535" s="1" t="s">
        <v>316</v>
      </c>
      <c r="DF2535" s="1" t="s">
        <v>277</v>
      </c>
      <c r="DG2535" s="1" t="s">
        <v>226</v>
      </c>
      <c r="DJ2535" s="1" t="s">
        <v>224</v>
      </c>
      <c r="DS2535" s="1" t="s">
        <v>230</v>
      </c>
      <c r="DW2535" s="1" t="s">
        <v>230</v>
      </c>
      <c r="EA2535" s="1" t="s">
        <v>230</v>
      </c>
      <c r="EE2535" s="1" t="s">
        <v>230</v>
      </c>
      <c r="EI2535" s="1" t="s">
        <v>230</v>
      </c>
      <c r="EL2535" s="1" t="s">
        <v>231</v>
      </c>
      <c r="EM2535" s="1" t="s">
        <v>232</v>
      </c>
      <c r="EN2535" s="1" t="s">
        <v>282</v>
      </c>
      <c r="EO2535" s="1" t="s">
        <v>234</v>
      </c>
      <c r="EQ2535" s="1" t="s">
        <v>4462</v>
      </c>
      <c r="ER2535" s="1" t="s">
        <v>210</v>
      </c>
      <c r="EV2535" s="1" t="s">
        <v>324</v>
      </c>
      <c r="EW2535" s="1" t="s">
        <v>887</v>
      </c>
      <c r="EZ2535" s="1" t="s">
        <v>287</v>
      </c>
      <c r="FB2535" s="1" t="s">
        <v>289</v>
      </c>
      <c r="FD2535" s="1" t="s">
        <v>246</v>
      </c>
      <c r="FE2535" s="1" t="s">
        <v>355</v>
      </c>
      <c r="FF2535" s="1" t="s">
        <v>248</v>
      </c>
      <c r="FH2535" s="1" t="s">
        <v>388</v>
      </c>
      <c r="FJ2535" s="1" t="s">
        <v>1620</v>
      </c>
      <c r="FL2535" s="1" t="s">
        <v>358</v>
      </c>
      <c r="FM2535" s="1" t="s">
        <v>252</v>
      </c>
      <c r="FN2535" s="1" t="s">
        <v>213</v>
      </c>
      <c r="FO2535" s="1" t="s">
        <v>213</v>
      </c>
      <c r="FQ2535" s="1" t="s">
        <v>21768</v>
      </c>
      <c r="FR2535" s="1" t="s">
        <v>210</v>
      </c>
      <c r="FS2535" s="1" t="s">
        <v>21769</v>
      </c>
      <c r="FT2535" s="1" t="s">
        <v>295</v>
      </c>
      <c r="FU2535" s="1" t="s">
        <v>204</v>
      </c>
      <c r="FW2535" s="1" t="s">
        <v>1637</v>
      </c>
      <c r="FX2535" s="1">
        <v>8059</v>
      </c>
      <c r="FY2535" s="1" t="s">
        <v>2034</v>
      </c>
      <c r="FZ2535" s="1" t="s">
        <v>21770</v>
      </c>
      <c r="GA2535" s="1">
        <v>87961</v>
      </c>
      <c r="GB2535" s="1" t="s">
        <v>21771</v>
      </c>
      <c r="GE2535" s="1" t="s">
        <v>480</v>
      </c>
      <c r="GI2535" s="1" t="s">
        <v>213</v>
      </c>
      <c r="GJ2535" s="1" t="s">
        <v>260</v>
      </c>
      <c r="GK2535" s="1" t="s">
        <v>210</v>
      </c>
      <c r="GL2535" s="2">
        <v>42106</v>
      </c>
    </row>
    <row r="2536" spans="1:195">
      <c r="A2536" s="1">
        <v>147500</v>
      </c>
      <c r="B2536" s="1" t="s">
        <v>195</v>
      </c>
      <c r="C2536" s="1" t="str">
        <f>"08833957"</f>
        <v>08833957</v>
      </c>
      <c r="D2536" s="1" t="s">
        <v>196</v>
      </c>
      <c r="F2536" s="1" t="str">
        <f>"188"</f>
        <v>188</v>
      </c>
      <c r="G2536" s="2">
        <v>42043</v>
      </c>
      <c r="H2536" s="1">
        <v>159900</v>
      </c>
      <c r="I2536" s="1">
        <v>149900</v>
      </c>
      <c r="J2536" s="1">
        <v>147500</v>
      </c>
      <c r="K2536" s="2">
        <v>42043</v>
      </c>
      <c r="L2536" s="1">
        <v>56</v>
      </c>
      <c r="M2536" s="2">
        <v>42085</v>
      </c>
      <c r="N2536" s="1">
        <v>43</v>
      </c>
      <c r="O2536" s="2">
        <v>42085</v>
      </c>
      <c r="P2536" s="1">
        <v>25163</v>
      </c>
      <c r="Q2536" s="1" t="s">
        <v>197</v>
      </c>
      <c r="R2536" s="2">
        <v>42136</v>
      </c>
      <c r="S2536" s="1">
        <v>218306</v>
      </c>
      <c r="U2536" s="1">
        <v>269</v>
      </c>
      <c r="V2536" s="1" t="s">
        <v>21772</v>
      </c>
      <c r="W2536" s="1" t="s">
        <v>264</v>
      </c>
      <c r="Y2536" s="1">
        <v>8</v>
      </c>
      <c r="Z2536" s="1" t="s">
        <v>370</v>
      </c>
      <c r="AA2536" s="1" t="s">
        <v>1084</v>
      </c>
      <c r="AB2536" s="1">
        <v>60188</v>
      </c>
      <c r="AD2536" s="1" t="s">
        <v>8557</v>
      </c>
      <c r="AE2536" s="1" t="s">
        <v>21773</v>
      </c>
      <c r="AF2536" s="1">
        <v>1992</v>
      </c>
      <c r="AG2536" s="1" t="s">
        <v>204</v>
      </c>
      <c r="AH2536" s="1" t="s">
        <v>1087</v>
      </c>
      <c r="AI2536" s="1" t="s">
        <v>206</v>
      </c>
      <c r="AJ2536" s="1" t="s">
        <v>269</v>
      </c>
      <c r="AK2536" s="1" t="s">
        <v>21774</v>
      </c>
      <c r="AL2536" s="1">
        <v>5</v>
      </c>
      <c r="AM2536" s="1">
        <v>2</v>
      </c>
      <c r="AN2536" s="1">
        <v>2</v>
      </c>
      <c r="AO2536" s="1">
        <v>0</v>
      </c>
      <c r="AP2536" s="1" t="s">
        <v>209</v>
      </c>
      <c r="AQ2536" s="1">
        <v>1</v>
      </c>
      <c r="AR2536" s="1" t="s">
        <v>210</v>
      </c>
      <c r="AS2536" s="1" t="s">
        <v>204</v>
      </c>
      <c r="AT2536" s="1" t="s">
        <v>211</v>
      </c>
      <c r="AU2536" s="1">
        <v>1</v>
      </c>
      <c r="AW2536" s="1" t="s">
        <v>204</v>
      </c>
      <c r="AX2536" s="1" t="s">
        <v>212</v>
      </c>
      <c r="AZ2536" s="1">
        <v>3759</v>
      </c>
      <c r="BA2536" s="1">
        <v>2013</v>
      </c>
      <c r="BB2536" s="1" t="s">
        <v>405</v>
      </c>
      <c r="BE2536" s="1">
        <v>1369</v>
      </c>
      <c r="BF2536" s="1">
        <v>2</v>
      </c>
      <c r="BG2536" s="1">
        <v>0</v>
      </c>
      <c r="BL2536" s="1">
        <v>185</v>
      </c>
      <c r="BM2536" s="1" t="s">
        <v>204</v>
      </c>
      <c r="BN2536" s="1" t="s">
        <v>213</v>
      </c>
      <c r="BO2536" s="1">
        <v>30</v>
      </c>
      <c r="BP2536" s="1" t="s">
        <v>204</v>
      </c>
      <c r="BR2536" s="1" t="str">
        <f>"0229123065"</f>
        <v>0229123065</v>
      </c>
      <c r="BT2536" s="1" t="s">
        <v>21775</v>
      </c>
      <c r="BU2536" s="1" t="s">
        <v>1501</v>
      </c>
      <c r="BV2536" s="1" t="s">
        <v>1502</v>
      </c>
      <c r="BW2536" s="1" t="s">
        <v>1092</v>
      </c>
      <c r="BX2536" s="1">
        <v>93</v>
      </c>
      <c r="BY2536" s="1">
        <v>93</v>
      </c>
      <c r="BZ2536" s="1">
        <v>87</v>
      </c>
      <c r="CB2536" s="1" t="str">
        <f>"3"</f>
        <v>3</v>
      </c>
      <c r="CC2536" s="1" t="str">
        <f t="shared" si="1945"/>
        <v>0</v>
      </c>
      <c r="CD2536" s="1">
        <v>25</v>
      </c>
      <c r="CE2536" s="1">
        <v>0</v>
      </c>
      <c r="CG2536" s="1" t="s">
        <v>861</v>
      </c>
      <c r="CH2536" s="1" t="s">
        <v>277</v>
      </c>
      <c r="CI2536" s="1" t="s">
        <v>438</v>
      </c>
      <c r="CJ2536" s="1" t="s">
        <v>210</v>
      </c>
      <c r="CK2536" s="1" t="s">
        <v>1533</v>
      </c>
      <c r="CL2536" s="1" t="s">
        <v>277</v>
      </c>
      <c r="CM2536" s="1" t="s">
        <v>220</v>
      </c>
      <c r="CN2536" s="1" t="s">
        <v>210</v>
      </c>
      <c r="CO2536" s="1" t="s">
        <v>465</v>
      </c>
      <c r="CP2536" s="1" t="s">
        <v>277</v>
      </c>
      <c r="CQ2536" s="1" t="s">
        <v>438</v>
      </c>
      <c r="CR2536" s="1" t="s">
        <v>210</v>
      </c>
      <c r="CS2536" s="1" t="s">
        <v>378</v>
      </c>
      <c r="CT2536" s="1" t="s">
        <v>277</v>
      </c>
      <c r="CU2536" s="1" t="s">
        <v>220</v>
      </c>
      <c r="CV2536" s="1" t="s">
        <v>210</v>
      </c>
      <c r="CX2536" s="1" t="s">
        <v>224</v>
      </c>
      <c r="DB2536" s="1" t="s">
        <v>224</v>
      </c>
      <c r="DE2536" s="1" t="s">
        <v>886</v>
      </c>
      <c r="DF2536" s="1" t="s">
        <v>277</v>
      </c>
      <c r="DG2536" s="1" t="s">
        <v>226</v>
      </c>
      <c r="DH2536" s="1" t="s">
        <v>210</v>
      </c>
      <c r="DJ2536" s="1" t="s">
        <v>224</v>
      </c>
      <c r="DS2536" s="1" t="s">
        <v>230</v>
      </c>
      <c r="DW2536" s="1" t="s">
        <v>230</v>
      </c>
      <c r="EA2536" s="1" t="s">
        <v>230</v>
      </c>
      <c r="EE2536" s="1" t="s">
        <v>230</v>
      </c>
      <c r="EI2536" s="1" t="s">
        <v>230</v>
      </c>
      <c r="EL2536" s="1" t="s">
        <v>382</v>
      </c>
      <c r="EM2536" s="1" t="s">
        <v>319</v>
      </c>
      <c r="EN2536" s="1" t="s">
        <v>282</v>
      </c>
      <c r="EO2536" s="1" t="s">
        <v>234</v>
      </c>
      <c r="EP2536" s="1" t="s">
        <v>650</v>
      </c>
      <c r="EQ2536" s="1" t="s">
        <v>236</v>
      </c>
      <c r="ER2536" s="1" t="s">
        <v>210</v>
      </c>
      <c r="ES2536" s="1" t="s">
        <v>322</v>
      </c>
      <c r="EV2536" s="1" t="s">
        <v>240</v>
      </c>
      <c r="EW2536" s="1" t="s">
        <v>887</v>
      </c>
      <c r="EZ2536" s="1" t="s">
        <v>287</v>
      </c>
      <c r="FD2536" s="1" t="s">
        <v>246</v>
      </c>
      <c r="FE2536" s="1" t="s">
        <v>975</v>
      </c>
      <c r="FF2536" s="1" t="s">
        <v>248</v>
      </c>
      <c r="FG2536" s="1" t="s">
        <v>3933</v>
      </c>
      <c r="FH2536" s="1" t="s">
        <v>550</v>
      </c>
      <c r="FI2536" s="1" t="s">
        <v>473</v>
      </c>
      <c r="FJ2536" s="1" t="s">
        <v>197</v>
      </c>
      <c r="FL2536" s="1" t="s">
        <v>358</v>
      </c>
      <c r="FM2536" s="1" t="s">
        <v>252</v>
      </c>
      <c r="FN2536" s="1" t="s">
        <v>213</v>
      </c>
      <c r="FO2536" s="1" t="s">
        <v>213</v>
      </c>
      <c r="FQ2536" s="1" t="s">
        <v>21776</v>
      </c>
      <c r="FR2536" s="1" t="s">
        <v>210</v>
      </c>
      <c r="FS2536" s="1" t="s">
        <v>21777</v>
      </c>
      <c r="FT2536" s="1" t="s">
        <v>295</v>
      </c>
      <c r="FU2536" s="1" t="s">
        <v>204</v>
      </c>
      <c r="FW2536" s="1" t="s">
        <v>8990</v>
      </c>
      <c r="FX2536" s="1">
        <v>1666</v>
      </c>
      <c r="FY2536" s="1" t="s">
        <v>8991</v>
      </c>
      <c r="FZ2536" s="1" t="s">
        <v>21778</v>
      </c>
      <c r="GA2536" s="1">
        <v>27668</v>
      </c>
      <c r="GD2536" s="1" t="s">
        <v>21779</v>
      </c>
      <c r="GE2536" s="1" t="s">
        <v>210</v>
      </c>
      <c r="GI2536" s="1" t="s">
        <v>213</v>
      </c>
      <c r="GJ2536" s="1" t="s">
        <v>260</v>
      </c>
      <c r="GK2536" s="1" t="s">
        <v>210</v>
      </c>
      <c r="GL2536" s="2">
        <v>42137</v>
      </c>
      <c r="GM2536" s="1" t="s">
        <v>21780</v>
      </c>
    </row>
    <row r="2537" spans="1:195">
      <c r="A2537" s="1">
        <v>122000</v>
      </c>
      <c r="B2537" s="1" t="s">
        <v>195</v>
      </c>
      <c r="C2537" s="1" t="str">
        <f>"08835561"</f>
        <v>08835561</v>
      </c>
      <c r="D2537" s="1" t="s">
        <v>196</v>
      </c>
      <c r="F2537" s="1" t="str">
        <f>"31"</f>
        <v>31</v>
      </c>
      <c r="G2537" s="2">
        <v>42045</v>
      </c>
      <c r="H2537" s="1">
        <v>134900</v>
      </c>
      <c r="I2537" s="1">
        <v>134900</v>
      </c>
      <c r="J2537" s="1">
        <v>122000</v>
      </c>
      <c r="K2537" s="2">
        <v>42045</v>
      </c>
      <c r="L2537" s="1">
        <v>25</v>
      </c>
      <c r="M2537" s="2">
        <v>42069</v>
      </c>
      <c r="N2537" s="1">
        <v>25</v>
      </c>
      <c r="O2537" s="2">
        <v>42069</v>
      </c>
      <c r="P2537" s="1">
        <v>5600</v>
      </c>
      <c r="Q2537" s="1" t="s">
        <v>197</v>
      </c>
      <c r="R2537" s="2">
        <v>42111</v>
      </c>
      <c r="S2537" s="1">
        <v>55470</v>
      </c>
      <c r="T2537" s="1">
        <v>1000</v>
      </c>
      <c r="U2537" s="1">
        <v>17817</v>
      </c>
      <c r="V2537" s="1" t="s">
        <v>13429</v>
      </c>
      <c r="W2537" s="1" t="s">
        <v>264</v>
      </c>
      <c r="Y2537" s="1">
        <v>4</v>
      </c>
      <c r="Z2537" s="1" t="s">
        <v>249</v>
      </c>
      <c r="AA2537" s="1" t="s">
        <v>1057</v>
      </c>
      <c r="AB2537" s="1">
        <v>60031</v>
      </c>
      <c r="AD2537" s="1" t="s">
        <v>13430</v>
      </c>
      <c r="AE2537" s="1" t="s">
        <v>21781</v>
      </c>
      <c r="AF2537" s="1">
        <v>1993</v>
      </c>
      <c r="AG2537" s="1" t="s">
        <v>204</v>
      </c>
      <c r="AH2537" s="1" t="s">
        <v>882</v>
      </c>
      <c r="AI2537" s="1" t="s">
        <v>509</v>
      </c>
      <c r="AJ2537" s="1" t="s">
        <v>1061</v>
      </c>
      <c r="AK2537" s="1" t="s">
        <v>11002</v>
      </c>
      <c r="AL2537" s="1">
        <v>5</v>
      </c>
      <c r="AM2537" s="1">
        <v>2</v>
      </c>
      <c r="AN2537" s="1">
        <v>2</v>
      </c>
      <c r="AO2537" s="1">
        <v>1</v>
      </c>
      <c r="AP2537" s="1" t="s">
        <v>209</v>
      </c>
      <c r="AR2537" s="1" t="s">
        <v>210</v>
      </c>
      <c r="AS2537" s="1" t="s">
        <v>204</v>
      </c>
      <c r="AT2537" s="1" t="s">
        <v>211</v>
      </c>
      <c r="AU2537" s="1">
        <v>1</v>
      </c>
      <c r="AW2537" s="1" t="s">
        <v>204</v>
      </c>
      <c r="AX2537" s="1" t="s">
        <v>212</v>
      </c>
      <c r="AZ2537" s="1">
        <v>2376.94</v>
      </c>
      <c r="BA2537" s="1">
        <v>2013</v>
      </c>
      <c r="BB2537" s="1" t="s">
        <v>210</v>
      </c>
      <c r="BE2537" s="1">
        <v>1268</v>
      </c>
      <c r="BF2537" s="1">
        <v>1</v>
      </c>
      <c r="BG2537" s="1">
        <v>0</v>
      </c>
      <c r="BL2537" s="1">
        <v>180</v>
      </c>
      <c r="BM2537" s="1" t="s">
        <v>204</v>
      </c>
      <c r="BN2537" s="1" t="s">
        <v>213</v>
      </c>
      <c r="BO2537" s="1">
        <v>0</v>
      </c>
      <c r="BP2537" s="1" t="s">
        <v>204</v>
      </c>
      <c r="BR2537" s="1" t="str">
        <f>"07083090240000"</f>
        <v>07083090240000</v>
      </c>
      <c r="BT2537" s="1" t="s">
        <v>21782</v>
      </c>
      <c r="BU2537" s="1" t="s">
        <v>1064</v>
      </c>
      <c r="BV2537" s="1" t="s">
        <v>1064</v>
      </c>
      <c r="BW2537" s="1" t="s">
        <v>1066</v>
      </c>
      <c r="BX2537" s="1">
        <v>50</v>
      </c>
      <c r="BY2537" s="1">
        <v>50</v>
      </c>
      <c r="BZ2537" s="1">
        <v>121</v>
      </c>
      <c r="CB2537" s="1" t="str">
        <f>"36"</f>
        <v>36</v>
      </c>
      <c r="CC2537" s="1" t="str">
        <f t="shared" si="1945"/>
        <v>0</v>
      </c>
      <c r="CD2537" s="1">
        <v>17</v>
      </c>
      <c r="CE2537" s="1">
        <v>0</v>
      </c>
      <c r="CG2537" s="1" t="s">
        <v>278</v>
      </c>
      <c r="CH2537" s="1" t="s">
        <v>219</v>
      </c>
      <c r="CI2537" s="1" t="s">
        <v>229</v>
      </c>
      <c r="CK2537" s="1" t="s">
        <v>228</v>
      </c>
      <c r="CL2537" s="1" t="s">
        <v>277</v>
      </c>
      <c r="CM2537" s="1" t="s">
        <v>220</v>
      </c>
      <c r="CO2537" s="1" t="s">
        <v>952</v>
      </c>
      <c r="CP2537" s="1" t="s">
        <v>219</v>
      </c>
      <c r="CQ2537" s="1" t="s">
        <v>229</v>
      </c>
      <c r="CS2537" s="1" t="s">
        <v>465</v>
      </c>
      <c r="CT2537" s="1" t="s">
        <v>277</v>
      </c>
      <c r="CU2537" s="1" t="s">
        <v>220</v>
      </c>
      <c r="CX2537" s="1" t="s">
        <v>224</v>
      </c>
      <c r="DB2537" s="1" t="s">
        <v>224</v>
      </c>
      <c r="DE2537" s="1" t="s">
        <v>786</v>
      </c>
      <c r="DF2537" s="1" t="s">
        <v>219</v>
      </c>
      <c r="DG2537" s="1" t="s">
        <v>229</v>
      </c>
      <c r="DJ2537" s="1" t="s">
        <v>224</v>
      </c>
      <c r="DS2537" s="1" t="s">
        <v>230</v>
      </c>
      <c r="DW2537" s="1" t="s">
        <v>230</v>
      </c>
      <c r="EA2537" s="1" t="s">
        <v>230</v>
      </c>
      <c r="EE2537" s="1" t="s">
        <v>230</v>
      </c>
      <c r="EI2537" s="1" t="s">
        <v>230</v>
      </c>
      <c r="EL2537" s="1" t="s">
        <v>382</v>
      </c>
      <c r="EM2537" s="1" t="s">
        <v>319</v>
      </c>
      <c r="EN2537" s="1" t="s">
        <v>282</v>
      </c>
      <c r="EO2537" s="1" t="s">
        <v>234</v>
      </c>
      <c r="EQ2537" s="1" t="s">
        <v>236</v>
      </c>
      <c r="ER2537" s="1" t="s">
        <v>210</v>
      </c>
      <c r="ES2537" s="1" t="s">
        <v>322</v>
      </c>
      <c r="EU2537" s="1" t="s">
        <v>239</v>
      </c>
      <c r="EV2537" s="1" t="s">
        <v>240</v>
      </c>
      <c r="EW2537" s="1" t="s">
        <v>353</v>
      </c>
      <c r="EY2537" s="1" t="s">
        <v>242</v>
      </c>
      <c r="EZ2537" s="1" t="s">
        <v>287</v>
      </c>
      <c r="FA2537" s="1" t="s">
        <v>3915</v>
      </c>
      <c r="FC2537" s="1" t="s">
        <v>1386</v>
      </c>
      <c r="FD2537" s="1" t="s">
        <v>246</v>
      </c>
      <c r="FE2537" s="1" t="s">
        <v>472</v>
      </c>
      <c r="FF2537" s="1" t="s">
        <v>248</v>
      </c>
      <c r="FH2537" s="1" t="s">
        <v>550</v>
      </c>
      <c r="FI2537" s="1" t="s">
        <v>357</v>
      </c>
      <c r="FL2537" s="1" t="s">
        <v>358</v>
      </c>
      <c r="FM2537" s="1" t="s">
        <v>252</v>
      </c>
      <c r="FN2537" s="1" t="s">
        <v>213</v>
      </c>
      <c r="FO2537" s="1" t="s">
        <v>213</v>
      </c>
      <c r="FQ2537" s="1" t="s">
        <v>359</v>
      </c>
      <c r="FR2537" s="1" t="s">
        <v>210</v>
      </c>
      <c r="FS2537" s="1" t="s">
        <v>7674</v>
      </c>
      <c r="FT2537" s="1" t="s">
        <v>691</v>
      </c>
      <c r="FU2537" s="1" t="s">
        <v>204</v>
      </c>
      <c r="FW2537" s="1" t="s">
        <v>256</v>
      </c>
      <c r="FX2537" s="1">
        <v>2648</v>
      </c>
      <c r="FY2537" s="1" t="s">
        <v>1022</v>
      </c>
      <c r="FZ2537" s="1" t="s">
        <v>7675</v>
      </c>
      <c r="GA2537" s="1">
        <v>18093</v>
      </c>
      <c r="GB2537" s="1" t="s">
        <v>7676</v>
      </c>
      <c r="GC2537" s="1">
        <v>18713</v>
      </c>
      <c r="GD2537" s="1" t="s">
        <v>15134</v>
      </c>
      <c r="GE2537" s="1" t="s">
        <v>210</v>
      </c>
      <c r="GH2537" s="1" t="s">
        <v>589</v>
      </c>
      <c r="GI2537" s="1" t="s">
        <v>213</v>
      </c>
      <c r="GJ2537" s="1" t="s">
        <v>260</v>
      </c>
      <c r="GK2537" s="1" t="s">
        <v>210</v>
      </c>
      <c r="GL2537" s="2">
        <v>42111</v>
      </c>
      <c r="GM2537" s="1" t="s">
        <v>21783</v>
      </c>
    </row>
    <row r="2538" spans="1:195">
      <c r="A2538" s="1">
        <v>145000</v>
      </c>
      <c r="B2538" s="1" t="s">
        <v>195</v>
      </c>
      <c r="C2538" s="1" t="str">
        <f>"08866372"</f>
        <v>08866372</v>
      </c>
      <c r="D2538" s="1" t="s">
        <v>196</v>
      </c>
      <c r="F2538" s="1" t="str">
        <f>"540"</f>
        <v>540</v>
      </c>
      <c r="G2538" s="2">
        <v>42082</v>
      </c>
      <c r="H2538" s="1">
        <v>149900</v>
      </c>
      <c r="I2538" s="1">
        <v>149900</v>
      </c>
      <c r="J2538" s="1">
        <v>145000</v>
      </c>
      <c r="K2538" s="2">
        <v>42082</v>
      </c>
      <c r="L2538" s="1">
        <v>51</v>
      </c>
      <c r="M2538" s="2">
        <v>42132</v>
      </c>
      <c r="N2538" s="1">
        <v>51</v>
      </c>
      <c r="O2538" s="2">
        <v>42132</v>
      </c>
      <c r="P2538" s="1">
        <v>25526</v>
      </c>
      <c r="Q2538" s="1" t="s">
        <v>302</v>
      </c>
      <c r="R2538" s="2">
        <v>42145</v>
      </c>
      <c r="S2538" s="1">
        <v>244383</v>
      </c>
      <c r="U2538" s="1">
        <v>2211</v>
      </c>
      <c r="V2538" s="1" t="s">
        <v>5177</v>
      </c>
      <c r="W2538" s="1" t="s">
        <v>449</v>
      </c>
      <c r="X2538" s="1">
        <v>203</v>
      </c>
      <c r="Y2538" s="1">
        <v>8</v>
      </c>
      <c r="Z2538" s="1" t="s">
        <v>249</v>
      </c>
      <c r="AA2538" s="1" t="s">
        <v>921</v>
      </c>
      <c r="AB2538" s="1">
        <v>60564</v>
      </c>
      <c r="AD2538" s="1" t="s">
        <v>2213</v>
      </c>
      <c r="AE2538" s="1" t="s">
        <v>21784</v>
      </c>
      <c r="AF2538" s="1">
        <v>2002</v>
      </c>
      <c r="AG2538" s="1" t="s">
        <v>204</v>
      </c>
      <c r="AH2538" s="1" t="s">
        <v>924</v>
      </c>
      <c r="AI2538" s="1" t="s">
        <v>1800</v>
      </c>
      <c r="AJ2538" s="1" t="s">
        <v>1801</v>
      </c>
      <c r="AK2538" s="1" t="s">
        <v>5180</v>
      </c>
      <c r="AL2538" s="1">
        <v>5</v>
      </c>
      <c r="AM2538" s="1">
        <v>2</v>
      </c>
      <c r="AN2538" s="1">
        <v>2</v>
      </c>
      <c r="AO2538" s="1">
        <v>0</v>
      </c>
      <c r="AP2538" s="1" t="s">
        <v>209</v>
      </c>
      <c r="AQ2538" s="1">
        <v>0</v>
      </c>
      <c r="AR2538" s="1" t="s">
        <v>210</v>
      </c>
      <c r="AS2538" s="1" t="s">
        <v>204</v>
      </c>
      <c r="AT2538" s="1" t="s">
        <v>211</v>
      </c>
      <c r="AU2538" s="1">
        <v>1</v>
      </c>
      <c r="AW2538" s="1" t="s">
        <v>204</v>
      </c>
      <c r="AX2538" s="1" t="s">
        <v>212</v>
      </c>
      <c r="AZ2538" s="1">
        <v>3691</v>
      </c>
      <c r="BA2538" s="1">
        <v>2013</v>
      </c>
      <c r="BB2538" s="1" t="s">
        <v>405</v>
      </c>
      <c r="BE2538" s="1">
        <v>1304</v>
      </c>
      <c r="BF2538" s="1">
        <v>2</v>
      </c>
      <c r="BG2538" s="1">
        <v>0</v>
      </c>
      <c r="BL2538" s="1">
        <v>255</v>
      </c>
      <c r="BM2538" s="1" t="s">
        <v>204</v>
      </c>
      <c r="BN2538" s="1" t="s">
        <v>213</v>
      </c>
      <c r="BP2538" s="1" t="s">
        <v>204</v>
      </c>
      <c r="BR2538" s="1" t="str">
        <f>"01031020591007"</f>
        <v>01031020591007</v>
      </c>
      <c r="BT2538" s="1" t="s">
        <v>21785</v>
      </c>
      <c r="BX2538" s="1">
        <v>204</v>
      </c>
      <c r="BY2538" s="1">
        <v>204</v>
      </c>
      <c r="BZ2538" s="1">
        <v>204</v>
      </c>
      <c r="CB2538" s="1" t="str">
        <f t="shared" ref="CB2538:CC2538" si="1946">""</f>
        <v/>
      </c>
      <c r="CC2538" s="1" t="str">
        <f t="shared" si="1946"/>
        <v/>
      </c>
      <c r="CG2538" s="1" t="s">
        <v>1995</v>
      </c>
      <c r="CH2538" s="1" t="s">
        <v>219</v>
      </c>
      <c r="CI2538" s="1" t="s">
        <v>220</v>
      </c>
      <c r="CJ2538" s="1" t="s">
        <v>210</v>
      </c>
      <c r="CK2538" s="1" t="s">
        <v>3591</v>
      </c>
      <c r="CL2538" s="1" t="s">
        <v>219</v>
      </c>
      <c r="CM2538" s="1" t="s">
        <v>220</v>
      </c>
      <c r="CN2538" s="1" t="s">
        <v>210</v>
      </c>
      <c r="CO2538" s="1" t="s">
        <v>1107</v>
      </c>
      <c r="CP2538" s="1" t="s">
        <v>219</v>
      </c>
      <c r="CQ2538" s="1" t="s">
        <v>220</v>
      </c>
      <c r="CR2538" s="1" t="s">
        <v>210</v>
      </c>
      <c r="CS2538" s="1" t="s">
        <v>2070</v>
      </c>
      <c r="CT2538" s="1" t="s">
        <v>219</v>
      </c>
      <c r="CU2538" s="1" t="s">
        <v>220</v>
      </c>
      <c r="CV2538" s="1" t="s">
        <v>210</v>
      </c>
      <c r="CX2538" s="1" t="s">
        <v>224</v>
      </c>
      <c r="DB2538" s="1" t="s">
        <v>224</v>
      </c>
      <c r="DE2538" s="1" t="s">
        <v>2070</v>
      </c>
      <c r="DF2538" s="1" t="s">
        <v>219</v>
      </c>
      <c r="DG2538" s="1" t="s">
        <v>226</v>
      </c>
      <c r="DH2538" s="1" t="s">
        <v>210</v>
      </c>
      <c r="DJ2538" s="1" t="s">
        <v>224</v>
      </c>
      <c r="DS2538" s="1" t="s">
        <v>230</v>
      </c>
      <c r="DW2538" s="1" t="s">
        <v>230</v>
      </c>
      <c r="EA2538" s="1" t="s">
        <v>230</v>
      </c>
      <c r="EE2538" s="1" t="s">
        <v>230</v>
      </c>
      <c r="EI2538" s="1" t="s">
        <v>230</v>
      </c>
      <c r="EL2538" s="1" t="s">
        <v>466</v>
      </c>
      <c r="EM2538" s="1" t="s">
        <v>319</v>
      </c>
      <c r="EN2538" s="1" t="s">
        <v>282</v>
      </c>
      <c r="EO2538" s="1" t="s">
        <v>234</v>
      </c>
      <c r="ER2538" s="1" t="s">
        <v>210</v>
      </c>
      <c r="ES2538" s="1" t="s">
        <v>322</v>
      </c>
      <c r="EU2538" s="1" t="s">
        <v>239</v>
      </c>
      <c r="EV2538" s="1" t="s">
        <v>324</v>
      </c>
      <c r="EW2538" s="1" t="s">
        <v>6036</v>
      </c>
      <c r="EY2538" s="1" t="s">
        <v>790</v>
      </c>
      <c r="EZ2538" s="1" t="s">
        <v>287</v>
      </c>
      <c r="FB2538" s="1" t="s">
        <v>289</v>
      </c>
      <c r="FC2538" s="1" t="s">
        <v>1405</v>
      </c>
      <c r="FD2538" s="1" t="s">
        <v>3287</v>
      </c>
      <c r="FE2538" s="1" t="s">
        <v>472</v>
      </c>
      <c r="FF2538" s="1" t="s">
        <v>248</v>
      </c>
      <c r="FH2538" s="1" t="s">
        <v>249</v>
      </c>
      <c r="FJ2538" s="1" t="s">
        <v>518</v>
      </c>
      <c r="FL2538" s="1" t="s">
        <v>358</v>
      </c>
      <c r="FM2538" s="1" t="s">
        <v>252</v>
      </c>
      <c r="FN2538" s="1" t="s">
        <v>213</v>
      </c>
      <c r="FO2538" s="1" t="s">
        <v>213</v>
      </c>
      <c r="FQ2538" s="1" t="s">
        <v>673</v>
      </c>
      <c r="FR2538" s="1" t="s">
        <v>210</v>
      </c>
      <c r="FS2538" s="1" t="s">
        <v>1709</v>
      </c>
      <c r="FT2538" s="1" t="s">
        <v>21786</v>
      </c>
      <c r="FU2538" s="1" t="s">
        <v>204</v>
      </c>
      <c r="FW2538" s="1" t="s">
        <v>21787</v>
      </c>
      <c r="FX2538" s="1">
        <v>71901</v>
      </c>
      <c r="FY2538" s="1" t="s">
        <v>21788</v>
      </c>
      <c r="FZ2538" s="1" t="s">
        <v>21789</v>
      </c>
      <c r="GA2538" s="1">
        <v>700119</v>
      </c>
      <c r="GB2538" s="1" t="s">
        <v>21788</v>
      </c>
      <c r="GE2538" s="1" t="s">
        <v>1256</v>
      </c>
      <c r="GI2538" s="1" t="s">
        <v>213</v>
      </c>
      <c r="GJ2538" s="1" t="s">
        <v>260</v>
      </c>
      <c r="GK2538" s="1" t="s">
        <v>210</v>
      </c>
      <c r="GL2538" s="2">
        <v>42147</v>
      </c>
      <c r="GM2538" s="1" t="s">
        <v>21790</v>
      </c>
    </row>
    <row r="2539" spans="1:195">
      <c r="A2539" s="1">
        <v>150700</v>
      </c>
      <c r="B2539" s="1" t="s">
        <v>195</v>
      </c>
      <c r="C2539" s="1" t="str">
        <f>"08827055"</f>
        <v>08827055</v>
      </c>
      <c r="D2539" s="1" t="s">
        <v>196</v>
      </c>
      <c r="F2539" s="1" t="str">
        <f t="shared" ref="F2539:F2540" si="1947">"532"</f>
        <v>532</v>
      </c>
      <c r="G2539" s="2">
        <v>42033</v>
      </c>
      <c r="H2539" s="1">
        <v>159900</v>
      </c>
      <c r="I2539" s="1">
        <v>159900</v>
      </c>
      <c r="J2539" s="1">
        <v>150700</v>
      </c>
      <c r="K2539" s="2">
        <v>42033</v>
      </c>
      <c r="L2539" s="1">
        <v>69</v>
      </c>
      <c r="M2539" s="2">
        <v>42101</v>
      </c>
      <c r="N2539" s="1">
        <v>69</v>
      </c>
      <c r="O2539" s="2">
        <v>42101</v>
      </c>
      <c r="P2539" s="1">
        <v>23099</v>
      </c>
      <c r="Q2539" s="1" t="s">
        <v>302</v>
      </c>
      <c r="R2539" s="2">
        <v>42117</v>
      </c>
      <c r="S2539" s="1">
        <v>231535</v>
      </c>
      <c r="U2539" s="1">
        <v>2791</v>
      </c>
      <c r="V2539" s="1" t="s">
        <v>21791</v>
      </c>
      <c r="W2539" s="1" t="s">
        <v>504</v>
      </c>
      <c r="X2539" s="1" t="s">
        <v>527</v>
      </c>
      <c r="Y2539" s="1">
        <v>4</v>
      </c>
      <c r="Z2539" s="1" t="s">
        <v>370</v>
      </c>
      <c r="AA2539" s="1" t="s">
        <v>1566</v>
      </c>
      <c r="AB2539" s="1">
        <v>60532</v>
      </c>
      <c r="AD2539" s="1" t="s">
        <v>4933</v>
      </c>
      <c r="AE2539" s="1" t="s">
        <v>21792</v>
      </c>
      <c r="AF2539" s="1">
        <v>1981</v>
      </c>
      <c r="AG2539" s="1" t="s">
        <v>204</v>
      </c>
      <c r="AH2539" s="1" t="s">
        <v>925</v>
      </c>
      <c r="AI2539" s="1" t="s">
        <v>206</v>
      </c>
      <c r="AJ2539" s="1" t="s">
        <v>925</v>
      </c>
      <c r="AL2539" s="1">
        <v>7</v>
      </c>
      <c r="AM2539" s="1">
        <v>2</v>
      </c>
      <c r="AN2539" s="1">
        <v>2</v>
      </c>
      <c r="AO2539" s="1">
        <v>0</v>
      </c>
      <c r="AP2539" s="1" t="s">
        <v>210</v>
      </c>
      <c r="AR2539" s="1" t="s">
        <v>209</v>
      </c>
      <c r="AS2539" s="1" t="s">
        <v>213</v>
      </c>
      <c r="AT2539" s="1" t="s">
        <v>211</v>
      </c>
      <c r="AU2539" s="1">
        <v>1</v>
      </c>
      <c r="AW2539" s="1" t="s">
        <v>204</v>
      </c>
      <c r="AX2539" s="1" t="s">
        <v>212</v>
      </c>
      <c r="AZ2539" s="1">
        <v>4352</v>
      </c>
      <c r="BA2539" s="1">
        <v>2013</v>
      </c>
      <c r="BE2539" s="1">
        <v>836</v>
      </c>
      <c r="BF2539" s="1">
        <v>1</v>
      </c>
      <c r="BG2539" s="1">
        <v>30</v>
      </c>
      <c r="BL2539" s="1">
        <v>271</v>
      </c>
      <c r="BM2539" s="1" t="s">
        <v>413</v>
      </c>
      <c r="BN2539" s="1" t="s">
        <v>213</v>
      </c>
      <c r="BO2539" s="1">
        <v>50</v>
      </c>
      <c r="BP2539" s="1" t="s">
        <v>204</v>
      </c>
      <c r="BR2539" s="1" t="str">
        <f>"0816311049"</f>
        <v>0816311049</v>
      </c>
      <c r="BT2539" s="1" t="s">
        <v>21793</v>
      </c>
      <c r="BU2539" s="1" t="s">
        <v>4936</v>
      </c>
      <c r="BV2539" s="1" t="s">
        <v>4937</v>
      </c>
      <c r="BW2539" s="1" t="s">
        <v>2825</v>
      </c>
      <c r="BX2539" s="1">
        <v>203</v>
      </c>
      <c r="BY2539" s="1">
        <v>203</v>
      </c>
      <c r="BZ2539" s="1">
        <v>203</v>
      </c>
      <c r="CB2539" s="1" t="str">
        <f t="shared" ref="CB2539:CC2539" si="1948">"0"</f>
        <v>0</v>
      </c>
      <c r="CC2539" s="1" t="str">
        <f t="shared" si="1948"/>
        <v>0</v>
      </c>
      <c r="CD2539" s="1">
        <v>24</v>
      </c>
      <c r="CE2539" s="1">
        <v>6</v>
      </c>
      <c r="CG2539" s="1" t="s">
        <v>885</v>
      </c>
      <c r="CH2539" s="1" t="s">
        <v>219</v>
      </c>
      <c r="CI2539" s="1" t="s">
        <v>220</v>
      </c>
      <c r="CK2539" s="1" t="s">
        <v>1358</v>
      </c>
      <c r="CL2539" s="1" t="s">
        <v>277</v>
      </c>
      <c r="CM2539" s="1" t="s">
        <v>220</v>
      </c>
      <c r="CO2539" s="1" t="s">
        <v>2308</v>
      </c>
      <c r="CP2539" s="1" t="s">
        <v>219</v>
      </c>
      <c r="CQ2539" s="1" t="s">
        <v>438</v>
      </c>
      <c r="CS2539" s="1" t="s">
        <v>346</v>
      </c>
      <c r="CT2539" s="1" t="s">
        <v>277</v>
      </c>
      <c r="CU2539" s="1" t="s">
        <v>220</v>
      </c>
      <c r="CX2539" s="1" t="s">
        <v>224</v>
      </c>
      <c r="DB2539" s="1" t="s">
        <v>224</v>
      </c>
      <c r="DE2539" s="1" t="s">
        <v>316</v>
      </c>
      <c r="DF2539" s="1" t="s">
        <v>219</v>
      </c>
      <c r="DG2539" s="1" t="s">
        <v>438</v>
      </c>
      <c r="DI2539" s="1" t="s">
        <v>931</v>
      </c>
      <c r="DJ2539" s="1" t="s">
        <v>822</v>
      </c>
      <c r="DK2539" s="1" t="s">
        <v>438</v>
      </c>
      <c r="DM2539" s="1" t="s">
        <v>934</v>
      </c>
      <c r="DR2539" s="1" t="s">
        <v>1200</v>
      </c>
      <c r="DS2539" s="1" t="s">
        <v>43</v>
      </c>
      <c r="DT2539" s="1" t="s">
        <v>342</v>
      </c>
      <c r="DW2539" s="1" t="s">
        <v>230</v>
      </c>
      <c r="EA2539" s="1" t="s">
        <v>230</v>
      </c>
      <c r="EE2539" s="1" t="s">
        <v>230</v>
      </c>
      <c r="EI2539" s="1" t="s">
        <v>230</v>
      </c>
      <c r="EL2539" s="1" t="s">
        <v>231</v>
      </c>
      <c r="EM2539" s="1" t="s">
        <v>319</v>
      </c>
      <c r="EN2539" s="1" t="s">
        <v>282</v>
      </c>
      <c r="EO2539" s="1" t="s">
        <v>234</v>
      </c>
      <c r="EQ2539" s="1" t="s">
        <v>2416</v>
      </c>
      <c r="ER2539" s="1" t="s">
        <v>10041</v>
      </c>
      <c r="ES2539" s="1" t="s">
        <v>545</v>
      </c>
      <c r="EU2539" s="1" t="s">
        <v>239</v>
      </c>
      <c r="EW2539" s="1" t="s">
        <v>1804</v>
      </c>
      <c r="EZ2539" s="1" t="s">
        <v>934</v>
      </c>
      <c r="FA2539" s="1" t="s">
        <v>471</v>
      </c>
      <c r="FB2539" s="1" t="s">
        <v>289</v>
      </c>
      <c r="FC2539" s="1" t="s">
        <v>3646</v>
      </c>
      <c r="FD2539" s="1" t="s">
        <v>246</v>
      </c>
      <c r="FE2539" s="1" t="s">
        <v>247</v>
      </c>
      <c r="FF2539" s="1" t="s">
        <v>248</v>
      </c>
      <c r="FH2539" s="1" t="s">
        <v>2175</v>
      </c>
      <c r="FJ2539" s="1" t="s">
        <v>518</v>
      </c>
      <c r="FL2539" s="1" t="s">
        <v>358</v>
      </c>
      <c r="FM2539" s="1" t="s">
        <v>252</v>
      </c>
      <c r="FN2539" s="1" t="s">
        <v>213</v>
      </c>
      <c r="FO2539" s="1" t="s">
        <v>213</v>
      </c>
      <c r="FQ2539" s="1" t="s">
        <v>673</v>
      </c>
      <c r="FR2539" s="1" t="s">
        <v>210</v>
      </c>
      <c r="FS2539" s="1" t="s">
        <v>21794</v>
      </c>
      <c r="FT2539" s="1" t="s">
        <v>9323</v>
      </c>
      <c r="FU2539" s="1" t="s">
        <v>204</v>
      </c>
      <c r="FW2539" s="1" t="s">
        <v>1742</v>
      </c>
      <c r="FX2539" s="1">
        <v>25401</v>
      </c>
      <c r="FY2539" s="1" t="s">
        <v>1743</v>
      </c>
      <c r="FZ2539" s="1" t="s">
        <v>1744</v>
      </c>
      <c r="GA2539" s="1">
        <v>231228</v>
      </c>
      <c r="GB2539" s="1" t="s">
        <v>1743</v>
      </c>
      <c r="GD2539" s="1" t="s">
        <v>21795</v>
      </c>
      <c r="GE2539" s="1" t="s">
        <v>210</v>
      </c>
      <c r="GI2539" s="1" t="s">
        <v>213</v>
      </c>
      <c r="GJ2539" s="1" t="s">
        <v>260</v>
      </c>
      <c r="GK2539" s="1" t="s">
        <v>210</v>
      </c>
      <c r="GL2539" s="2">
        <v>42118</v>
      </c>
      <c r="GM2539" s="1" t="s">
        <v>21796</v>
      </c>
    </row>
    <row r="2540" spans="1:195">
      <c r="A2540" s="1">
        <v>107000</v>
      </c>
      <c r="B2540" s="1" t="s">
        <v>195</v>
      </c>
      <c r="C2540" s="1" t="str">
        <f>"08830089"</f>
        <v>08830089</v>
      </c>
      <c r="D2540" s="1" t="s">
        <v>196</v>
      </c>
      <c r="F2540" s="1" t="str">
        <f t="shared" si="1947"/>
        <v>532</v>
      </c>
      <c r="G2540" s="2">
        <v>42038</v>
      </c>
      <c r="H2540" s="1">
        <v>114500</v>
      </c>
      <c r="I2540" s="1">
        <v>114500</v>
      </c>
      <c r="J2540" s="1">
        <v>107000</v>
      </c>
      <c r="K2540" s="2">
        <v>42038</v>
      </c>
      <c r="L2540" s="1">
        <v>13</v>
      </c>
      <c r="M2540" s="2">
        <v>42050</v>
      </c>
      <c r="N2540" s="1">
        <v>13</v>
      </c>
      <c r="O2540" s="2">
        <v>42050</v>
      </c>
      <c r="P2540" s="1">
        <v>23076</v>
      </c>
      <c r="Q2540" s="1" t="s">
        <v>197</v>
      </c>
      <c r="R2540" s="2">
        <v>42117</v>
      </c>
      <c r="S2540" s="1">
        <v>236101</v>
      </c>
      <c r="U2540" s="1">
        <v>5810</v>
      </c>
      <c r="V2540" s="1" t="s">
        <v>19642</v>
      </c>
      <c r="W2540" s="1" t="s">
        <v>264</v>
      </c>
      <c r="X2540" s="1" t="s">
        <v>6097</v>
      </c>
      <c r="Y2540" s="1">
        <v>60</v>
      </c>
      <c r="Z2540" s="1" t="s">
        <v>249</v>
      </c>
      <c r="AA2540" s="1" t="s">
        <v>1566</v>
      </c>
      <c r="AB2540" s="1">
        <v>60532</v>
      </c>
      <c r="AD2540" s="1" t="s">
        <v>21797</v>
      </c>
      <c r="AE2540" s="1" t="s">
        <v>21798</v>
      </c>
      <c r="AF2540" s="1">
        <v>1972</v>
      </c>
      <c r="AG2540" s="1" t="s">
        <v>213</v>
      </c>
      <c r="AH2540" s="1" t="s">
        <v>882</v>
      </c>
      <c r="AI2540" s="1" t="s">
        <v>206</v>
      </c>
      <c r="AJ2540" s="1" t="s">
        <v>925</v>
      </c>
      <c r="AK2540" s="1" t="s">
        <v>1151</v>
      </c>
      <c r="AL2540" s="1">
        <v>5</v>
      </c>
      <c r="AM2540" s="1">
        <v>2</v>
      </c>
      <c r="AN2540" s="1">
        <v>1</v>
      </c>
      <c r="AO2540" s="1">
        <v>0</v>
      </c>
      <c r="AP2540" s="1" t="s">
        <v>210</v>
      </c>
      <c r="AQ2540" s="1">
        <v>1</v>
      </c>
      <c r="AR2540" s="1" t="s">
        <v>210</v>
      </c>
      <c r="AS2540" s="1" t="s">
        <v>204</v>
      </c>
      <c r="AT2540" s="1" t="s">
        <v>271</v>
      </c>
      <c r="AV2540" s="1">
        <v>1</v>
      </c>
      <c r="AW2540" s="1" t="s">
        <v>204</v>
      </c>
      <c r="AX2540" s="1" t="s">
        <v>212</v>
      </c>
      <c r="AZ2540" s="1">
        <v>2697</v>
      </c>
      <c r="BA2540" s="1">
        <v>2013</v>
      </c>
      <c r="BB2540" s="1" t="s">
        <v>210</v>
      </c>
      <c r="BE2540" s="1">
        <v>980</v>
      </c>
      <c r="BF2540" s="1">
        <v>4</v>
      </c>
      <c r="BG2540" s="1">
        <v>0</v>
      </c>
      <c r="BL2540" s="1">
        <v>318</v>
      </c>
      <c r="BM2540" s="1" t="s">
        <v>204</v>
      </c>
      <c r="BN2540" s="1" t="s">
        <v>213</v>
      </c>
      <c r="BO2540" s="1">
        <v>99</v>
      </c>
      <c r="BP2540" s="1" t="s">
        <v>204</v>
      </c>
      <c r="BR2540" s="1" t="str">
        <f>"0815108097"</f>
        <v>0815108097</v>
      </c>
      <c r="BT2540" s="1" t="s">
        <v>21799</v>
      </c>
      <c r="BU2540" s="1" t="s">
        <v>3190</v>
      </c>
      <c r="BV2540" s="1" t="s">
        <v>2856</v>
      </c>
      <c r="BW2540" s="1" t="s">
        <v>2762</v>
      </c>
      <c r="BX2540" s="1">
        <v>68</v>
      </c>
      <c r="BY2540" s="1">
        <v>68</v>
      </c>
      <c r="BZ2540" s="1">
        <v>99</v>
      </c>
      <c r="CB2540" s="1" t="str">
        <f t="shared" ref="CB2540:CC2540" si="1949">"0"</f>
        <v>0</v>
      </c>
      <c r="CC2540" s="1" t="str">
        <f t="shared" si="1949"/>
        <v>0</v>
      </c>
      <c r="CD2540" s="1">
        <v>23</v>
      </c>
      <c r="CE2540" s="1">
        <v>6</v>
      </c>
      <c r="CG2540" s="1" t="s">
        <v>1132</v>
      </c>
      <c r="CH2540" s="1" t="s">
        <v>685</v>
      </c>
      <c r="CI2540" s="1" t="s">
        <v>229</v>
      </c>
      <c r="CK2540" s="1" t="s">
        <v>315</v>
      </c>
      <c r="CL2540" s="1" t="s">
        <v>685</v>
      </c>
      <c r="CM2540" s="1" t="s">
        <v>220</v>
      </c>
      <c r="CO2540" s="1" t="s">
        <v>516</v>
      </c>
      <c r="CP2540" s="1" t="s">
        <v>685</v>
      </c>
      <c r="CQ2540" s="1" t="s">
        <v>229</v>
      </c>
      <c r="CS2540" s="1" t="s">
        <v>757</v>
      </c>
      <c r="CT2540" s="1" t="s">
        <v>685</v>
      </c>
      <c r="CU2540" s="1" t="s">
        <v>220</v>
      </c>
      <c r="CX2540" s="1" t="s">
        <v>224</v>
      </c>
      <c r="DB2540" s="1" t="s">
        <v>224</v>
      </c>
      <c r="DE2540" s="1" t="s">
        <v>516</v>
      </c>
      <c r="DF2540" s="1" t="s">
        <v>685</v>
      </c>
      <c r="DG2540" s="1" t="s">
        <v>226</v>
      </c>
      <c r="DJ2540" s="1" t="s">
        <v>224</v>
      </c>
      <c r="DS2540" s="1" t="s">
        <v>230</v>
      </c>
      <c r="DW2540" s="1" t="s">
        <v>230</v>
      </c>
      <c r="EA2540" s="1" t="s">
        <v>230</v>
      </c>
      <c r="EE2540" s="1" t="s">
        <v>230</v>
      </c>
      <c r="EI2540" s="1" t="s">
        <v>230</v>
      </c>
      <c r="EL2540" s="1" t="s">
        <v>605</v>
      </c>
      <c r="EM2540" s="1" t="s">
        <v>319</v>
      </c>
      <c r="EN2540" s="1" t="s">
        <v>282</v>
      </c>
      <c r="EO2540" s="1" t="s">
        <v>234</v>
      </c>
      <c r="EP2540" s="1" t="s">
        <v>21800</v>
      </c>
      <c r="ER2540" s="1" t="s">
        <v>210</v>
      </c>
      <c r="EU2540" s="1" t="s">
        <v>239</v>
      </c>
      <c r="EW2540" s="1" t="s">
        <v>4301</v>
      </c>
      <c r="EZ2540" s="1" t="s">
        <v>287</v>
      </c>
      <c r="FB2540" s="1" t="s">
        <v>244</v>
      </c>
      <c r="FD2540" s="1" t="s">
        <v>246</v>
      </c>
      <c r="FE2540" s="1" t="s">
        <v>247</v>
      </c>
      <c r="FF2540" s="1" t="s">
        <v>248</v>
      </c>
      <c r="FG2540" s="1" t="s">
        <v>715</v>
      </c>
      <c r="FH2540" s="1" t="s">
        <v>1942</v>
      </c>
      <c r="FK2540" s="1" t="s">
        <v>291</v>
      </c>
      <c r="FL2540" s="1" t="s">
        <v>414</v>
      </c>
      <c r="FM2540" s="1" t="s">
        <v>252</v>
      </c>
      <c r="FN2540" s="1" t="s">
        <v>213</v>
      </c>
      <c r="FO2540" s="1" t="s">
        <v>213</v>
      </c>
      <c r="FQ2540" s="1" t="s">
        <v>329</v>
      </c>
      <c r="FR2540" s="1" t="s">
        <v>210</v>
      </c>
      <c r="FS2540" s="1" t="s">
        <v>21801</v>
      </c>
      <c r="FT2540" s="1" t="s">
        <v>295</v>
      </c>
      <c r="FU2540" s="1" t="s">
        <v>204</v>
      </c>
      <c r="FW2540" s="1" t="s">
        <v>3328</v>
      </c>
      <c r="FX2540" s="1">
        <v>24330</v>
      </c>
      <c r="FY2540" s="1" t="s">
        <v>3329</v>
      </c>
      <c r="FZ2540" s="1" t="s">
        <v>21802</v>
      </c>
      <c r="GA2540" s="1">
        <v>245411</v>
      </c>
      <c r="GB2540" s="1" t="s">
        <v>21803</v>
      </c>
      <c r="GD2540" s="1" t="s">
        <v>21804</v>
      </c>
      <c r="GE2540" s="1" t="s">
        <v>210</v>
      </c>
      <c r="GI2540" s="1" t="s">
        <v>213</v>
      </c>
      <c r="GJ2540" s="1" t="s">
        <v>260</v>
      </c>
      <c r="GK2540" s="1" t="s">
        <v>210</v>
      </c>
      <c r="GL2540" s="2">
        <v>42118</v>
      </c>
    </row>
    <row r="2541" spans="1:195">
      <c r="A2541" s="1">
        <v>187500</v>
      </c>
      <c r="B2541" s="1" t="s">
        <v>195</v>
      </c>
      <c r="C2541" s="1" t="str">
        <f>"08828690"</f>
        <v>08828690</v>
      </c>
      <c r="D2541" s="1" t="s">
        <v>196</v>
      </c>
      <c r="F2541" s="1" t="str">
        <f>"60"</f>
        <v>60</v>
      </c>
      <c r="G2541" s="2">
        <v>42037</v>
      </c>
      <c r="H2541" s="1">
        <v>194900</v>
      </c>
      <c r="I2541" s="1">
        <v>194900</v>
      </c>
      <c r="J2541" s="1">
        <v>187500</v>
      </c>
      <c r="K2541" s="2">
        <v>42037</v>
      </c>
      <c r="L2541" s="1">
        <v>16</v>
      </c>
      <c r="M2541" s="2">
        <v>42052</v>
      </c>
      <c r="N2541" s="1">
        <v>16</v>
      </c>
      <c r="O2541" s="2">
        <v>42052</v>
      </c>
      <c r="P2541" s="1">
        <v>25494</v>
      </c>
      <c r="Q2541" s="1" t="s">
        <v>197</v>
      </c>
      <c r="R2541" s="2">
        <v>42094</v>
      </c>
      <c r="S2541" s="1">
        <v>29684</v>
      </c>
      <c r="U2541" s="1">
        <v>647</v>
      </c>
      <c r="V2541" s="1" t="s">
        <v>21805</v>
      </c>
      <c r="W2541" s="1" t="s">
        <v>264</v>
      </c>
      <c r="X2541" s="7">
        <v>42251</v>
      </c>
      <c r="Y2541" s="1">
        <v>4</v>
      </c>
      <c r="Z2541" s="1" t="s">
        <v>370</v>
      </c>
      <c r="AA2541" s="1" t="s">
        <v>1689</v>
      </c>
      <c r="AB2541" s="1">
        <v>60060</v>
      </c>
      <c r="AE2541" s="1" t="s">
        <v>21806</v>
      </c>
      <c r="AF2541" s="1">
        <v>2001</v>
      </c>
      <c r="AG2541" s="1" t="s">
        <v>204</v>
      </c>
      <c r="AH2541" s="1" t="s">
        <v>1692</v>
      </c>
      <c r="AI2541" s="1" t="s">
        <v>509</v>
      </c>
      <c r="AJ2541" s="1" t="s">
        <v>1693</v>
      </c>
      <c r="AK2541" s="1" t="s">
        <v>21807</v>
      </c>
      <c r="AL2541" s="1">
        <v>6</v>
      </c>
      <c r="AM2541" s="1">
        <v>2</v>
      </c>
      <c r="AN2541" s="1">
        <v>2</v>
      </c>
      <c r="AO2541" s="1">
        <v>1</v>
      </c>
      <c r="AP2541" s="1" t="s">
        <v>209</v>
      </c>
      <c r="AQ2541" s="1">
        <v>1</v>
      </c>
      <c r="AR2541" s="1" t="s">
        <v>2275</v>
      </c>
      <c r="AS2541" s="1" t="s">
        <v>204</v>
      </c>
      <c r="AT2541" s="1" t="s">
        <v>211</v>
      </c>
      <c r="AU2541" s="1">
        <v>2</v>
      </c>
      <c r="AW2541" s="1" t="s">
        <v>204</v>
      </c>
      <c r="AX2541" s="1" t="s">
        <v>1528</v>
      </c>
      <c r="AZ2541" s="1">
        <v>3455.35</v>
      </c>
      <c r="BA2541" s="1">
        <v>2013</v>
      </c>
      <c r="BB2541" s="1" t="s">
        <v>405</v>
      </c>
      <c r="BE2541" s="1">
        <v>2000</v>
      </c>
      <c r="BF2541" s="1">
        <v>1</v>
      </c>
      <c r="BG2541" s="1">
        <v>30</v>
      </c>
      <c r="BL2541" s="1">
        <v>330</v>
      </c>
      <c r="BM2541" s="1" t="s">
        <v>204</v>
      </c>
      <c r="BN2541" s="1" t="s">
        <v>213</v>
      </c>
      <c r="BO2541" s="1">
        <v>999</v>
      </c>
      <c r="BP2541" s="1" t="s">
        <v>204</v>
      </c>
      <c r="BR2541" s="1" t="str">
        <f>"11311001200000"</f>
        <v>11311001200000</v>
      </c>
      <c r="BT2541" s="1" t="s">
        <v>21808</v>
      </c>
      <c r="BU2541" s="1" t="s">
        <v>1879</v>
      </c>
      <c r="BV2541" s="1" t="s">
        <v>1879</v>
      </c>
      <c r="BW2541" s="1" t="s">
        <v>5840</v>
      </c>
      <c r="BX2541" s="1">
        <v>73</v>
      </c>
      <c r="BY2541" s="1">
        <v>73</v>
      </c>
      <c r="BZ2541" s="1">
        <v>120</v>
      </c>
      <c r="CB2541" s="1" t="str">
        <f t="shared" ref="CB2541:CC2541" si="1950">""</f>
        <v/>
      </c>
      <c r="CC2541" s="1" t="str">
        <f t="shared" si="1950"/>
        <v/>
      </c>
      <c r="CH2541" s="1" t="s">
        <v>224</v>
      </c>
      <c r="CK2541" s="1" t="s">
        <v>9820</v>
      </c>
      <c r="CL2541" s="1" t="s">
        <v>277</v>
      </c>
      <c r="CM2541" s="1" t="s">
        <v>220</v>
      </c>
      <c r="CN2541" s="1" t="s">
        <v>343</v>
      </c>
      <c r="CP2541" s="1" t="s">
        <v>224</v>
      </c>
      <c r="CS2541" s="1" t="s">
        <v>757</v>
      </c>
      <c r="CT2541" s="1" t="s">
        <v>277</v>
      </c>
      <c r="CU2541" s="1" t="s">
        <v>220</v>
      </c>
      <c r="CV2541" s="1" t="s">
        <v>343</v>
      </c>
      <c r="CX2541" s="1" t="s">
        <v>224</v>
      </c>
      <c r="DB2541" s="1" t="s">
        <v>224</v>
      </c>
      <c r="DE2541" s="1" t="s">
        <v>379</v>
      </c>
      <c r="DF2541" s="1" t="s">
        <v>219</v>
      </c>
      <c r="DG2541" s="1" t="s">
        <v>226</v>
      </c>
      <c r="DH2541" s="1" t="s">
        <v>343</v>
      </c>
      <c r="DI2541" s="1" t="s">
        <v>10475</v>
      </c>
      <c r="DJ2541" s="1" t="s">
        <v>219</v>
      </c>
      <c r="DK2541" s="1" t="s">
        <v>438</v>
      </c>
      <c r="DL2541" s="1" t="s">
        <v>343</v>
      </c>
      <c r="DM2541" s="1" t="s">
        <v>381</v>
      </c>
      <c r="DN2541" s="1" t="s">
        <v>227</v>
      </c>
      <c r="DO2541" s="1" t="s">
        <v>709</v>
      </c>
      <c r="DP2541" s="1" t="s">
        <v>1771</v>
      </c>
      <c r="DR2541" s="1" t="s">
        <v>379</v>
      </c>
      <c r="DS2541" s="1" t="s">
        <v>219</v>
      </c>
      <c r="DU2541" s="1" t="s">
        <v>343</v>
      </c>
      <c r="DV2541" s="1" t="s">
        <v>437</v>
      </c>
      <c r="DW2541" s="1" t="s">
        <v>4450</v>
      </c>
      <c r="DX2541" s="1" t="s">
        <v>220</v>
      </c>
      <c r="DY2541" s="1" t="s">
        <v>343</v>
      </c>
      <c r="DZ2541" s="1" t="s">
        <v>21809</v>
      </c>
      <c r="EA2541" s="1" t="s">
        <v>219</v>
      </c>
      <c r="EB2541" s="1" t="s">
        <v>438</v>
      </c>
      <c r="EC2541" s="1" t="s">
        <v>210</v>
      </c>
      <c r="ED2541" s="1" t="s">
        <v>21810</v>
      </c>
      <c r="EE2541" s="1" t="s">
        <v>277</v>
      </c>
      <c r="EF2541" s="1" t="s">
        <v>220</v>
      </c>
      <c r="EG2541" s="1" t="s">
        <v>210</v>
      </c>
      <c r="EI2541" s="1" t="s">
        <v>230</v>
      </c>
      <c r="EL2541" s="1" t="s">
        <v>466</v>
      </c>
      <c r="EM2541" s="1" t="s">
        <v>319</v>
      </c>
      <c r="EN2541" s="1" t="s">
        <v>282</v>
      </c>
      <c r="EO2541" s="1" t="s">
        <v>234</v>
      </c>
      <c r="EP2541" s="1" t="s">
        <v>650</v>
      </c>
      <c r="EQ2541" s="1" t="s">
        <v>236</v>
      </c>
      <c r="ER2541" s="1" t="s">
        <v>823</v>
      </c>
      <c r="ES2541" s="1" t="s">
        <v>3932</v>
      </c>
      <c r="ET2541" s="1" t="s">
        <v>238</v>
      </c>
      <c r="EU2541" s="1" t="s">
        <v>21811</v>
      </c>
      <c r="EW2541" s="1" t="s">
        <v>887</v>
      </c>
      <c r="EY2541" s="1" t="s">
        <v>2455</v>
      </c>
      <c r="EZ2541" s="1" t="s">
        <v>21812</v>
      </c>
      <c r="FA2541" s="1" t="s">
        <v>21813</v>
      </c>
      <c r="FB2541" s="1" t="s">
        <v>289</v>
      </c>
      <c r="FC2541" s="1" t="s">
        <v>21814</v>
      </c>
      <c r="FD2541" s="1" t="s">
        <v>246</v>
      </c>
      <c r="FE2541" s="1" t="s">
        <v>2858</v>
      </c>
      <c r="FF2541" s="1" t="s">
        <v>248</v>
      </c>
      <c r="FG2541" s="1" t="s">
        <v>1204</v>
      </c>
      <c r="FH2541" s="1" t="s">
        <v>2175</v>
      </c>
      <c r="FI2541" s="1" t="s">
        <v>473</v>
      </c>
      <c r="FJ2541" s="1" t="s">
        <v>197</v>
      </c>
      <c r="FL2541" s="1" t="s">
        <v>358</v>
      </c>
      <c r="FM2541" s="1" t="s">
        <v>252</v>
      </c>
      <c r="FN2541" s="1" t="s">
        <v>213</v>
      </c>
      <c r="FO2541" s="1" t="s">
        <v>213</v>
      </c>
      <c r="FQ2541" s="1" t="s">
        <v>1599</v>
      </c>
      <c r="FR2541" s="1" t="s">
        <v>210</v>
      </c>
      <c r="FS2541" s="1" t="s">
        <v>21815</v>
      </c>
      <c r="FT2541" s="1" t="s">
        <v>21816</v>
      </c>
      <c r="FU2541" s="1" t="s">
        <v>204</v>
      </c>
      <c r="FW2541" s="1" t="s">
        <v>2006</v>
      </c>
      <c r="FX2541" s="1">
        <v>25752</v>
      </c>
      <c r="FY2541" s="1" t="s">
        <v>4745</v>
      </c>
      <c r="FZ2541" s="1" t="s">
        <v>21817</v>
      </c>
      <c r="GA2541" s="1">
        <v>922822</v>
      </c>
      <c r="GB2541" s="1" t="s">
        <v>21818</v>
      </c>
      <c r="GD2541" s="1" t="s">
        <v>21819</v>
      </c>
      <c r="GE2541" s="1" t="s">
        <v>1256</v>
      </c>
      <c r="GI2541" s="1" t="s">
        <v>213</v>
      </c>
      <c r="GJ2541" s="1" t="s">
        <v>260</v>
      </c>
      <c r="GK2541" s="1" t="s">
        <v>210</v>
      </c>
      <c r="GL2541" s="2">
        <v>42094</v>
      </c>
    </row>
    <row r="2542" spans="1:195">
      <c r="A2542" s="1">
        <v>125000</v>
      </c>
      <c r="B2542" s="1" t="s">
        <v>195</v>
      </c>
      <c r="C2542" s="1" t="str">
        <f>"08828031"</f>
        <v>08828031</v>
      </c>
      <c r="D2542" s="1" t="s">
        <v>196</v>
      </c>
      <c r="F2542" s="1" t="str">
        <f>"73"</f>
        <v>73</v>
      </c>
      <c r="G2542" s="2">
        <v>42035</v>
      </c>
      <c r="H2542" s="1">
        <v>129900</v>
      </c>
      <c r="I2542" s="1">
        <v>129900</v>
      </c>
      <c r="J2542" s="1">
        <v>125000</v>
      </c>
      <c r="K2542" s="2">
        <v>42034</v>
      </c>
      <c r="L2542" s="1">
        <v>9</v>
      </c>
      <c r="M2542" s="2">
        <v>42042</v>
      </c>
      <c r="N2542" s="1">
        <v>9</v>
      </c>
      <c r="O2542" s="2">
        <v>42042</v>
      </c>
      <c r="P2542" s="1">
        <v>5310</v>
      </c>
      <c r="Q2542" s="1" t="s">
        <v>197</v>
      </c>
      <c r="R2542" s="2">
        <v>42083</v>
      </c>
      <c r="S2542" s="1">
        <v>51739</v>
      </c>
      <c r="U2542" s="1">
        <v>2290</v>
      </c>
      <c r="V2542" s="1" t="s">
        <v>21820</v>
      </c>
      <c r="W2542" s="1" t="s">
        <v>504</v>
      </c>
      <c r="X2542" s="1">
        <v>2290</v>
      </c>
      <c r="Y2542" s="1">
        <v>4</v>
      </c>
      <c r="Z2542" s="1" t="s">
        <v>200</v>
      </c>
      <c r="AA2542" s="1" t="s">
        <v>1259</v>
      </c>
      <c r="AB2542" s="1">
        <v>60073</v>
      </c>
      <c r="AD2542" s="1" t="s">
        <v>8379</v>
      </c>
      <c r="AE2542" s="1" t="s">
        <v>21821</v>
      </c>
      <c r="AF2542" s="1">
        <v>2003</v>
      </c>
      <c r="AG2542" s="1" t="s">
        <v>204</v>
      </c>
      <c r="AH2542" s="1" t="s">
        <v>1262</v>
      </c>
      <c r="AI2542" s="1" t="s">
        <v>509</v>
      </c>
      <c r="AJ2542" s="1" t="s">
        <v>1016</v>
      </c>
      <c r="AL2542" s="1">
        <v>6</v>
      </c>
      <c r="AM2542" s="1">
        <v>2</v>
      </c>
      <c r="AN2542" s="1">
        <v>2</v>
      </c>
      <c r="AO2542" s="1">
        <v>1</v>
      </c>
      <c r="AP2542" s="1" t="s">
        <v>209</v>
      </c>
      <c r="AR2542" s="1" t="s">
        <v>210</v>
      </c>
      <c r="AS2542" s="1" t="s">
        <v>204</v>
      </c>
      <c r="AT2542" s="1" t="s">
        <v>211</v>
      </c>
      <c r="AU2542" s="1">
        <v>2</v>
      </c>
      <c r="AW2542" s="1" t="s">
        <v>204</v>
      </c>
      <c r="AX2542" s="1" t="s">
        <v>212</v>
      </c>
      <c r="AZ2542" s="1">
        <v>3175.96</v>
      </c>
      <c r="BA2542" s="1">
        <v>2013</v>
      </c>
      <c r="BB2542" s="1" t="s">
        <v>405</v>
      </c>
      <c r="BE2542" s="1">
        <v>1596</v>
      </c>
      <c r="BF2542" s="1">
        <v>1</v>
      </c>
      <c r="BG2542" s="1">
        <v>0</v>
      </c>
      <c r="BL2542" s="1">
        <v>209</v>
      </c>
      <c r="BM2542" s="1" t="s">
        <v>204</v>
      </c>
      <c r="BN2542" s="1" t="s">
        <v>213</v>
      </c>
      <c r="BO2542" s="1">
        <v>0</v>
      </c>
      <c r="BP2542" s="1" t="s">
        <v>204</v>
      </c>
      <c r="BR2542" s="1" t="str">
        <f>"05251160690000"</f>
        <v>05251160690000</v>
      </c>
      <c r="BT2542" s="1" t="s">
        <v>21822</v>
      </c>
      <c r="BU2542" s="1" t="s">
        <v>6153</v>
      </c>
      <c r="BV2542" s="1" t="s">
        <v>6488</v>
      </c>
      <c r="BW2542" s="1" t="s">
        <v>2264</v>
      </c>
      <c r="BX2542" s="1">
        <v>38</v>
      </c>
      <c r="BY2542" s="1">
        <v>38</v>
      </c>
      <c r="BZ2542" s="1">
        <v>124</v>
      </c>
      <c r="CB2542" s="1" t="str">
        <f>"33"</f>
        <v>33</v>
      </c>
      <c r="CC2542" s="1" t="str">
        <f>"0"</f>
        <v>0</v>
      </c>
      <c r="CD2542" s="1">
        <v>25</v>
      </c>
      <c r="CE2542" s="1">
        <v>0</v>
      </c>
      <c r="CG2542" s="1" t="s">
        <v>669</v>
      </c>
      <c r="CH2542" s="1" t="s">
        <v>219</v>
      </c>
      <c r="CI2542" s="1" t="s">
        <v>220</v>
      </c>
      <c r="CK2542" s="1" t="s">
        <v>932</v>
      </c>
      <c r="CL2542" s="1" t="s">
        <v>277</v>
      </c>
      <c r="CM2542" s="1" t="s">
        <v>220</v>
      </c>
      <c r="CO2542" s="1" t="s">
        <v>346</v>
      </c>
      <c r="CP2542" s="1" t="s">
        <v>219</v>
      </c>
      <c r="CQ2542" s="1" t="s">
        <v>226</v>
      </c>
      <c r="CS2542" s="1" t="s">
        <v>346</v>
      </c>
      <c r="CT2542" s="1" t="s">
        <v>277</v>
      </c>
      <c r="CU2542" s="1" t="s">
        <v>220</v>
      </c>
      <c r="CX2542" s="1" t="s">
        <v>224</v>
      </c>
      <c r="DB2542" s="1" t="s">
        <v>224</v>
      </c>
      <c r="DE2542" s="1" t="s">
        <v>465</v>
      </c>
      <c r="DF2542" s="1" t="s">
        <v>219</v>
      </c>
      <c r="DG2542" s="1" t="s">
        <v>226</v>
      </c>
      <c r="DJ2542" s="1" t="s">
        <v>224</v>
      </c>
      <c r="DM2542" s="1" t="s">
        <v>464</v>
      </c>
      <c r="DR2542" s="1" t="s">
        <v>1297</v>
      </c>
      <c r="DS2542" s="1" t="s">
        <v>277</v>
      </c>
      <c r="DT2542" s="1" t="s">
        <v>220</v>
      </c>
      <c r="DW2542" s="1" t="s">
        <v>230</v>
      </c>
      <c r="EA2542" s="1" t="s">
        <v>230</v>
      </c>
      <c r="EE2542" s="1" t="s">
        <v>230</v>
      </c>
      <c r="EI2542" s="1" t="s">
        <v>230</v>
      </c>
      <c r="EL2542" s="1" t="s">
        <v>466</v>
      </c>
      <c r="EM2542" s="1" t="s">
        <v>232</v>
      </c>
      <c r="EN2542" s="1" t="s">
        <v>282</v>
      </c>
      <c r="EO2542" s="1" t="s">
        <v>234</v>
      </c>
      <c r="EP2542" s="1" t="s">
        <v>1268</v>
      </c>
      <c r="EQ2542" s="1" t="s">
        <v>236</v>
      </c>
      <c r="ER2542" s="1" t="s">
        <v>210</v>
      </c>
      <c r="ES2542" s="1" t="s">
        <v>608</v>
      </c>
      <c r="ET2542" s="1" t="s">
        <v>238</v>
      </c>
      <c r="EU2542" s="1" t="s">
        <v>285</v>
      </c>
      <c r="EV2542" s="1" t="s">
        <v>324</v>
      </c>
      <c r="EW2542" s="1" t="s">
        <v>353</v>
      </c>
      <c r="EY2542" s="1" t="s">
        <v>242</v>
      </c>
      <c r="EZ2542" s="1" t="s">
        <v>464</v>
      </c>
      <c r="FA2542" s="1" t="s">
        <v>1554</v>
      </c>
      <c r="FB2542" s="1" t="s">
        <v>289</v>
      </c>
      <c r="FC2542" s="1" t="s">
        <v>548</v>
      </c>
      <c r="FD2542" s="1" t="s">
        <v>246</v>
      </c>
      <c r="FE2542" s="1" t="s">
        <v>472</v>
      </c>
      <c r="FF2542" s="1" t="s">
        <v>248</v>
      </c>
      <c r="FH2542" s="1" t="s">
        <v>249</v>
      </c>
      <c r="FI2542" s="1" t="s">
        <v>473</v>
      </c>
      <c r="FJ2542" s="1" t="s">
        <v>518</v>
      </c>
      <c r="FL2542" s="1" t="s">
        <v>358</v>
      </c>
      <c r="FM2542" s="1" t="s">
        <v>252</v>
      </c>
      <c r="FN2542" s="1" t="s">
        <v>213</v>
      </c>
      <c r="FO2542" s="1" t="s">
        <v>213</v>
      </c>
      <c r="FQ2542" s="1" t="s">
        <v>1032</v>
      </c>
      <c r="FR2542" s="1" t="s">
        <v>652</v>
      </c>
      <c r="FS2542" s="1" t="s">
        <v>4325</v>
      </c>
      <c r="FT2542" s="1" t="s">
        <v>295</v>
      </c>
      <c r="FU2542" s="1" t="s">
        <v>204</v>
      </c>
      <c r="FW2542" s="1" t="s">
        <v>16827</v>
      </c>
      <c r="FX2542" s="1">
        <v>1515</v>
      </c>
      <c r="FY2542" s="1" t="s">
        <v>16828</v>
      </c>
      <c r="FZ2542" s="1" t="s">
        <v>17576</v>
      </c>
      <c r="GA2542" s="1">
        <v>88761</v>
      </c>
      <c r="GB2542" s="1" t="s">
        <v>17577</v>
      </c>
      <c r="GD2542" s="1" t="s">
        <v>17578</v>
      </c>
      <c r="GE2542" s="1" t="s">
        <v>1256</v>
      </c>
      <c r="GH2542" s="1" t="s">
        <v>589</v>
      </c>
      <c r="GI2542" s="1" t="s">
        <v>213</v>
      </c>
      <c r="GJ2542" s="1" t="s">
        <v>260</v>
      </c>
      <c r="GK2542" s="1" t="s">
        <v>210</v>
      </c>
      <c r="GL2542" s="2">
        <v>42083</v>
      </c>
    </row>
    <row r="2543" spans="1:195">
      <c r="A2543" s="1">
        <v>145000</v>
      </c>
      <c r="B2543" s="1" t="s">
        <v>195</v>
      </c>
      <c r="C2543" s="1" t="str">
        <f>"08829652"</f>
        <v>08829652</v>
      </c>
      <c r="D2543" s="1" t="s">
        <v>196</v>
      </c>
      <c r="F2543" s="1" t="str">
        <f>"507"</f>
        <v>507</v>
      </c>
      <c r="G2543" s="2">
        <v>42038</v>
      </c>
      <c r="H2543" s="1">
        <v>149900</v>
      </c>
      <c r="I2543" s="1">
        <v>149900</v>
      </c>
      <c r="J2543" s="1">
        <v>145000</v>
      </c>
      <c r="K2543" s="2">
        <v>42038</v>
      </c>
      <c r="L2543" s="1">
        <v>51</v>
      </c>
      <c r="M2543" s="2">
        <v>42088</v>
      </c>
      <c r="N2543" s="1">
        <v>51</v>
      </c>
      <c r="O2543" s="2">
        <v>42088</v>
      </c>
      <c r="P2543" s="1">
        <v>25792</v>
      </c>
      <c r="Q2543" s="1" t="s">
        <v>197</v>
      </c>
      <c r="R2543" s="2">
        <v>42132</v>
      </c>
      <c r="S2543" s="1">
        <v>220418</v>
      </c>
      <c r="U2543" s="1">
        <v>2437</v>
      </c>
      <c r="V2543" s="1" t="s">
        <v>17893</v>
      </c>
      <c r="W2543" s="1" t="s">
        <v>264</v>
      </c>
      <c r="Y2543" s="1">
        <v>4</v>
      </c>
      <c r="Z2543" s="1" t="s">
        <v>249</v>
      </c>
      <c r="AA2543" s="1" t="s">
        <v>1123</v>
      </c>
      <c r="AB2543" s="1">
        <v>60503</v>
      </c>
      <c r="AD2543" s="1" t="s">
        <v>13683</v>
      </c>
      <c r="AE2543" s="1" t="s">
        <v>17894</v>
      </c>
      <c r="AF2543" s="1">
        <v>2002</v>
      </c>
      <c r="AG2543" s="1" t="s">
        <v>204</v>
      </c>
      <c r="AH2543" s="1" t="s">
        <v>1126</v>
      </c>
      <c r="AI2543" s="1" t="s">
        <v>1800</v>
      </c>
      <c r="AJ2543" s="1" t="s">
        <v>1801</v>
      </c>
      <c r="AL2543" s="1">
        <v>6</v>
      </c>
      <c r="AM2543" s="1">
        <v>2</v>
      </c>
      <c r="AN2543" s="1">
        <v>2</v>
      </c>
      <c r="AO2543" s="1">
        <v>1</v>
      </c>
      <c r="AP2543" s="1" t="s">
        <v>209</v>
      </c>
      <c r="AQ2543" s="1">
        <v>1</v>
      </c>
      <c r="AR2543" s="1" t="s">
        <v>1483</v>
      </c>
      <c r="AS2543" s="1" t="s">
        <v>204</v>
      </c>
      <c r="AT2543" s="1" t="s">
        <v>211</v>
      </c>
      <c r="AU2543" s="1">
        <v>2</v>
      </c>
      <c r="AW2543" s="1" t="s">
        <v>204</v>
      </c>
      <c r="AX2543" s="1" t="s">
        <v>21823</v>
      </c>
      <c r="AZ2543" s="1">
        <v>4622.83</v>
      </c>
      <c r="BA2543" s="1">
        <v>2013</v>
      </c>
      <c r="BE2543" s="1">
        <v>1426</v>
      </c>
      <c r="BF2543" s="1">
        <v>1</v>
      </c>
      <c r="BG2543" s="1">
        <v>0</v>
      </c>
      <c r="BL2543" s="1">
        <v>231</v>
      </c>
      <c r="BM2543" s="1" t="s">
        <v>213</v>
      </c>
      <c r="BN2543" s="1" t="s">
        <v>213</v>
      </c>
      <c r="BO2543" s="1">
        <v>50</v>
      </c>
      <c r="BP2543" s="1" t="s">
        <v>204</v>
      </c>
      <c r="BR2543" s="1" t="str">
        <f>"10611401610020"</f>
        <v>10611401610020</v>
      </c>
      <c r="BT2543" s="1" t="s">
        <v>21824</v>
      </c>
      <c r="BU2543" s="1" t="s">
        <v>1400</v>
      </c>
      <c r="BV2543" s="1" t="s">
        <v>7954</v>
      </c>
      <c r="BW2543" s="1" t="s">
        <v>1401</v>
      </c>
      <c r="BX2543" s="1">
        <v>308</v>
      </c>
      <c r="BY2543" s="1">
        <v>308</v>
      </c>
      <c r="BZ2543" s="1">
        <v>308</v>
      </c>
      <c r="CB2543" s="1" t="str">
        <f t="shared" ref="CB2543:CC2543" si="1951">""</f>
        <v/>
      </c>
      <c r="CC2543" s="1" t="str">
        <f t="shared" si="1951"/>
        <v/>
      </c>
      <c r="CG2543" s="1" t="s">
        <v>602</v>
      </c>
      <c r="CH2543" s="1" t="s">
        <v>219</v>
      </c>
      <c r="CI2543" s="1" t="s">
        <v>220</v>
      </c>
      <c r="CJ2543" s="1" t="s">
        <v>252</v>
      </c>
      <c r="CK2543" s="1" t="s">
        <v>377</v>
      </c>
      <c r="CL2543" s="1" t="s">
        <v>277</v>
      </c>
      <c r="CM2543" s="1" t="s">
        <v>220</v>
      </c>
      <c r="CN2543" s="1" t="s">
        <v>252</v>
      </c>
      <c r="CO2543" s="1" t="s">
        <v>1297</v>
      </c>
      <c r="CP2543" s="1" t="s">
        <v>219</v>
      </c>
      <c r="CQ2543" s="1" t="s">
        <v>229</v>
      </c>
      <c r="CR2543" s="1" t="s">
        <v>252</v>
      </c>
      <c r="CS2543" s="1" t="s">
        <v>602</v>
      </c>
      <c r="CT2543" s="1" t="s">
        <v>277</v>
      </c>
      <c r="CU2543" s="1" t="s">
        <v>220</v>
      </c>
      <c r="CV2543" s="1" t="s">
        <v>252</v>
      </c>
      <c r="CX2543" s="1" t="s">
        <v>224</v>
      </c>
      <c r="DB2543" s="1" t="s">
        <v>224</v>
      </c>
      <c r="DE2543" s="1" t="s">
        <v>437</v>
      </c>
      <c r="DF2543" s="1" t="s">
        <v>219</v>
      </c>
      <c r="DG2543" s="1" t="s">
        <v>229</v>
      </c>
      <c r="DH2543" s="1" t="s">
        <v>252</v>
      </c>
      <c r="DI2543" s="1" t="s">
        <v>462</v>
      </c>
      <c r="DJ2543" s="1" t="s">
        <v>822</v>
      </c>
      <c r="DK2543" s="1" t="s">
        <v>220</v>
      </c>
      <c r="DL2543" s="1" t="s">
        <v>252</v>
      </c>
      <c r="DS2543" s="1" t="s">
        <v>230</v>
      </c>
      <c r="DW2543" s="1" t="s">
        <v>230</v>
      </c>
      <c r="EA2543" s="1" t="s">
        <v>230</v>
      </c>
      <c r="EE2543" s="1" t="s">
        <v>230</v>
      </c>
      <c r="EI2543" s="1" t="s">
        <v>230</v>
      </c>
      <c r="EL2543" s="1" t="s">
        <v>466</v>
      </c>
      <c r="EM2543" s="1" t="s">
        <v>319</v>
      </c>
      <c r="EN2543" s="1" t="s">
        <v>282</v>
      </c>
      <c r="EO2543" s="1" t="s">
        <v>840</v>
      </c>
      <c r="EQ2543" s="1" t="s">
        <v>236</v>
      </c>
      <c r="ER2543" s="1" t="s">
        <v>544</v>
      </c>
      <c r="ES2543" s="1" t="s">
        <v>322</v>
      </c>
      <c r="EV2543" s="1" t="s">
        <v>240</v>
      </c>
      <c r="EW2543" s="1" t="s">
        <v>1804</v>
      </c>
      <c r="EY2543" s="1" t="s">
        <v>790</v>
      </c>
      <c r="EZ2543" s="1" t="s">
        <v>287</v>
      </c>
      <c r="FD2543" s="1" t="s">
        <v>246</v>
      </c>
      <c r="FE2543" s="1" t="s">
        <v>472</v>
      </c>
      <c r="FF2543" s="1" t="s">
        <v>248</v>
      </c>
      <c r="FG2543" s="1" t="s">
        <v>21825</v>
      </c>
      <c r="FH2543" s="1" t="s">
        <v>940</v>
      </c>
      <c r="FI2543" s="1" t="s">
        <v>473</v>
      </c>
      <c r="FL2543" s="1" t="s">
        <v>358</v>
      </c>
      <c r="FM2543" s="1" t="s">
        <v>252</v>
      </c>
      <c r="FN2543" s="1" t="s">
        <v>213</v>
      </c>
      <c r="FO2543" s="1" t="s">
        <v>213</v>
      </c>
      <c r="FQ2543" s="1" t="s">
        <v>5000</v>
      </c>
      <c r="FR2543" s="1" t="s">
        <v>210</v>
      </c>
      <c r="FS2543" s="1" t="s">
        <v>21826</v>
      </c>
      <c r="FT2543" s="1" t="s">
        <v>2589</v>
      </c>
      <c r="FU2543" s="1" t="s">
        <v>204</v>
      </c>
      <c r="FW2543" s="1" t="s">
        <v>1409</v>
      </c>
      <c r="FX2543" s="1">
        <v>22667</v>
      </c>
      <c r="FY2543" s="1" t="s">
        <v>1410</v>
      </c>
      <c r="FZ2543" s="1" t="s">
        <v>1411</v>
      </c>
      <c r="GA2543" s="1">
        <v>220614</v>
      </c>
      <c r="GB2543" s="1" t="s">
        <v>1412</v>
      </c>
      <c r="GC2543" s="1">
        <v>228882</v>
      </c>
      <c r="GD2543" s="1">
        <v>220614</v>
      </c>
      <c r="GE2543" s="1" t="s">
        <v>480</v>
      </c>
      <c r="GI2543" s="1" t="s">
        <v>204</v>
      </c>
      <c r="GJ2543" s="1" t="s">
        <v>260</v>
      </c>
      <c r="GK2543" s="1" t="s">
        <v>1413</v>
      </c>
      <c r="GL2543" s="2">
        <v>42132</v>
      </c>
      <c r="GM2543" s="1" t="s">
        <v>21827</v>
      </c>
    </row>
    <row r="2544" spans="1:195">
      <c r="A2544" s="1">
        <v>80000</v>
      </c>
      <c r="B2544" s="1" t="s">
        <v>195</v>
      </c>
      <c r="C2544" s="1" t="str">
        <f>"08833864"</f>
        <v>08833864</v>
      </c>
      <c r="D2544" s="1" t="s">
        <v>196</v>
      </c>
      <c r="F2544" s="1" t="str">
        <f>"148"</f>
        <v>148</v>
      </c>
      <c r="G2544" s="2">
        <v>42043</v>
      </c>
      <c r="H2544" s="1">
        <v>89900</v>
      </c>
      <c r="I2544" s="1">
        <v>89900</v>
      </c>
      <c r="J2544" s="1">
        <v>80000</v>
      </c>
      <c r="K2544" s="2">
        <v>42042</v>
      </c>
      <c r="L2544" s="1">
        <v>46</v>
      </c>
      <c r="M2544" s="2">
        <v>42087</v>
      </c>
      <c r="N2544" s="1">
        <v>46</v>
      </c>
      <c r="O2544" s="2">
        <v>42087</v>
      </c>
      <c r="P2544" s="1">
        <v>20001</v>
      </c>
      <c r="Q2544" s="1" t="s">
        <v>197</v>
      </c>
      <c r="R2544" s="2">
        <v>42117</v>
      </c>
      <c r="S2544" s="1">
        <v>213279</v>
      </c>
      <c r="U2544" s="1">
        <v>1301</v>
      </c>
      <c r="V2544" s="1" t="s">
        <v>19926</v>
      </c>
      <c r="W2544" s="1" t="s">
        <v>1056</v>
      </c>
      <c r="X2544" s="1">
        <v>420</v>
      </c>
      <c r="Y2544" s="1">
        <v>84</v>
      </c>
      <c r="Z2544" s="1" t="s">
        <v>249</v>
      </c>
      <c r="AA2544" s="1" t="s">
        <v>1927</v>
      </c>
      <c r="AB2544" s="1">
        <v>60148</v>
      </c>
      <c r="AD2544" s="1" t="s">
        <v>21828</v>
      </c>
      <c r="AE2544" s="1" t="s">
        <v>21829</v>
      </c>
      <c r="AF2544" s="1">
        <v>1973</v>
      </c>
      <c r="AG2544" s="1" t="s">
        <v>213</v>
      </c>
      <c r="AH2544" s="1" t="s">
        <v>1930</v>
      </c>
      <c r="AI2544" s="1" t="s">
        <v>206</v>
      </c>
      <c r="AJ2544" s="1" t="s">
        <v>1608</v>
      </c>
      <c r="AL2544" s="1">
        <v>5</v>
      </c>
      <c r="AM2544" s="1">
        <v>2</v>
      </c>
      <c r="AN2544" s="1">
        <v>1</v>
      </c>
      <c r="AO2544" s="1">
        <v>1</v>
      </c>
      <c r="AP2544" s="1" t="s">
        <v>1234</v>
      </c>
      <c r="AR2544" s="1" t="s">
        <v>210</v>
      </c>
      <c r="AS2544" s="1" t="s">
        <v>204</v>
      </c>
      <c r="AT2544" s="1" t="s">
        <v>271</v>
      </c>
      <c r="AV2544" s="1">
        <v>2</v>
      </c>
      <c r="AW2544" s="1" t="s">
        <v>204</v>
      </c>
      <c r="AX2544" s="1" t="s">
        <v>212</v>
      </c>
      <c r="AZ2544" s="1">
        <v>1716</v>
      </c>
      <c r="BA2544" s="1">
        <v>2013</v>
      </c>
      <c r="BB2544" s="1" t="s">
        <v>210</v>
      </c>
      <c r="BE2544" s="1">
        <v>1132</v>
      </c>
      <c r="BF2544" s="1">
        <v>4</v>
      </c>
      <c r="BG2544" s="1">
        <v>15</v>
      </c>
      <c r="BL2544" s="1">
        <v>386</v>
      </c>
      <c r="BM2544" s="1" t="s">
        <v>204</v>
      </c>
      <c r="BN2544" s="1" t="s">
        <v>213</v>
      </c>
      <c r="BO2544" s="1">
        <v>25</v>
      </c>
      <c r="BP2544" s="1" t="s">
        <v>204</v>
      </c>
      <c r="BR2544" s="1" t="str">
        <f>"0619212082"</f>
        <v>0619212082</v>
      </c>
      <c r="BT2544" s="1" t="s">
        <v>21830</v>
      </c>
      <c r="BU2544" s="1" t="s">
        <v>1933</v>
      </c>
      <c r="BV2544" s="1" t="s">
        <v>1934</v>
      </c>
      <c r="BW2544" s="1" t="s">
        <v>1935</v>
      </c>
      <c r="BX2544" s="1">
        <v>44</v>
      </c>
      <c r="BY2544" s="1">
        <v>44</v>
      </c>
      <c r="BZ2544" s="1">
        <v>87</v>
      </c>
      <c r="CB2544" s="1" t="str">
        <f t="shared" ref="CB2544:CC2544" si="1952">""</f>
        <v/>
      </c>
      <c r="CC2544" s="1" t="str">
        <f t="shared" si="1952"/>
        <v/>
      </c>
      <c r="CG2544" s="1" t="s">
        <v>228</v>
      </c>
      <c r="CH2544" s="1" t="s">
        <v>685</v>
      </c>
      <c r="CI2544" s="1" t="s">
        <v>220</v>
      </c>
      <c r="CK2544" s="1" t="s">
        <v>344</v>
      </c>
      <c r="CL2544" s="1" t="s">
        <v>219</v>
      </c>
      <c r="CM2544" s="1" t="s">
        <v>220</v>
      </c>
      <c r="CO2544" s="1" t="s">
        <v>379</v>
      </c>
      <c r="CP2544" s="1" t="s">
        <v>685</v>
      </c>
      <c r="CQ2544" s="1" t="s">
        <v>220</v>
      </c>
      <c r="CS2544" s="1" t="s">
        <v>318</v>
      </c>
      <c r="CT2544" s="1" t="s">
        <v>685</v>
      </c>
      <c r="CU2544" s="1" t="s">
        <v>220</v>
      </c>
      <c r="CX2544" s="1" t="s">
        <v>224</v>
      </c>
      <c r="DB2544" s="1" t="s">
        <v>224</v>
      </c>
      <c r="DE2544" s="1" t="s">
        <v>281</v>
      </c>
      <c r="DF2544" s="1" t="s">
        <v>685</v>
      </c>
      <c r="DG2544" s="1" t="s">
        <v>226</v>
      </c>
      <c r="DJ2544" s="1" t="s">
        <v>224</v>
      </c>
      <c r="DS2544" s="1" t="s">
        <v>230</v>
      </c>
      <c r="DW2544" s="1" t="s">
        <v>230</v>
      </c>
      <c r="EA2544" s="1" t="s">
        <v>230</v>
      </c>
      <c r="EE2544" s="1" t="s">
        <v>230</v>
      </c>
      <c r="EI2544" s="1" t="s">
        <v>230</v>
      </c>
      <c r="EL2544" s="1" t="s">
        <v>605</v>
      </c>
      <c r="EM2544" s="1" t="s">
        <v>232</v>
      </c>
      <c r="EN2544" s="1" t="s">
        <v>233</v>
      </c>
      <c r="EO2544" s="1" t="s">
        <v>234</v>
      </c>
      <c r="EP2544" s="1" t="s">
        <v>21831</v>
      </c>
      <c r="EQ2544" s="1" t="s">
        <v>350</v>
      </c>
      <c r="ER2544" s="1" t="s">
        <v>210</v>
      </c>
      <c r="ES2544" s="1" t="s">
        <v>322</v>
      </c>
      <c r="EU2544" s="1" t="s">
        <v>239</v>
      </c>
      <c r="EV2544" s="1" t="s">
        <v>240</v>
      </c>
      <c r="EW2544" s="1" t="s">
        <v>5625</v>
      </c>
      <c r="EY2544" s="1" t="s">
        <v>242</v>
      </c>
      <c r="EZ2544" s="1" t="s">
        <v>287</v>
      </c>
      <c r="FB2544" s="1" t="s">
        <v>289</v>
      </c>
      <c r="FC2544" s="1" t="s">
        <v>633</v>
      </c>
      <c r="FD2544" s="1" t="s">
        <v>290</v>
      </c>
      <c r="FE2544" s="1" t="s">
        <v>247</v>
      </c>
      <c r="FF2544" s="1" t="s">
        <v>248</v>
      </c>
      <c r="FH2544" s="1" t="s">
        <v>249</v>
      </c>
      <c r="FK2544" s="1" t="s">
        <v>891</v>
      </c>
      <c r="FL2544" s="1" t="s">
        <v>1164</v>
      </c>
      <c r="FM2544" s="1" t="s">
        <v>252</v>
      </c>
      <c r="FN2544" s="1" t="s">
        <v>213</v>
      </c>
      <c r="FO2544" s="1" t="s">
        <v>213</v>
      </c>
      <c r="FQ2544" s="1" t="s">
        <v>689</v>
      </c>
      <c r="FR2544" s="1" t="s">
        <v>210</v>
      </c>
      <c r="FS2544" s="1" t="s">
        <v>1958</v>
      </c>
      <c r="FT2544" s="1" t="s">
        <v>1959</v>
      </c>
      <c r="FU2544" s="1" t="s">
        <v>204</v>
      </c>
      <c r="FV2544" s="1" t="s">
        <v>1960</v>
      </c>
      <c r="FW2544" s="1" t="s">
        <v>1961</v>
      </c>
      <c r="FX2544" s="1">
        <v>20150</v>
      </c>
      <c r="FY2544" s="1" t="s">
        <v>1962</v>
      </c>
      <c r="FZ2544" s="1" t="s">
        <v>1963</v>
      </c>
      <c r="GA2544" s="1">
        <v>211012</v>
      </c>
      <c r="GB2544" s="1" t="s">
        <v>1964</v>
      </c>
      <c r="GE2544" s="1" t="s">
        <v>210</v>
      </c>
      <c r="GH2544" s="1" t="s">
        <v>421</v>
      </c>
      <c r="GI2544" s="1" t="s">
        <v>204</v>
      </c>
      <c r="GJ2544" s="1" t="s">
        <v>260</v>
      </c>
      <c r="GK2544" s="1" t="s">
        <v>261</v>
      </c>
      <c r="GL2544" s="2">
        <v>42119</v>
      </c>
      <c r="GM2544" s="1" t="s">
        <v>1965</v>
      </c>
    </row>
    <row r="2545" spans="1:195">
      <c r="A2545" s="1">
        <v>140000</v>
      </c>
      <c r="B2545" s="1" t="s">
        <v>195</v>
      </c>
      <c r="C2545" s="1" t="str">
        <f>"08834819"</f>
        <v>08834819</v>
      </c>
      <c r="D2545" s="1" t="s">
        <v>196</v>
      </c>
      <c r="F2545" s="1" t="str">
        <f>"516"</f>
        <v>516</v>
      </c>
      <c r="G2545" s="2">
        <v>42044</v>
      </c>
      <c r="H2545" s="1">
        <v>149900</v>
      </c>
      <c r="I2545" s="1">
        <v>149900</v>
      </c>
      <c r="J2545" s="1">
        <v>140000</v>
      </c>
      <c r="K2545" s="2">
        <v>42044</v>
      </c>
      <c r="L2545" s="1">
        <v>19</v>
      </c>
      <c r="M2545" s="2">
        <v>42062</v>
      </c>
      <c r="N2545" s="1">
        <v>19</v>
      </c>
      <c r="O2545" s="2">
        <v>42062</v>
      </c>
      <c r="P2545" s="1">
        <v>22375</v>
      </c>
      <c r="Q2545" s="1" t="s">
        <v>197</v>
      </c>
      <c r="R2545" s="2">
        <v>42103</v>
      </c>
      <c r="S2545" s="1">
        <v>224766</v>
      </c>
      <c r="U2545" s="1">
        <v>324</v>
      </c>
      <c r="V2545" s="1" t="s">
        <v>12325</v>
      </c>
      <c r="W2545" s="1" t="s">
        <v>264</v>
      </c>
      <c r="X2545" s="1" t="s">
        <v>2010</v>
      </c>
      <c r="Y2545" s="1">
        <v>4</v>
      </c>
      <c r="Z2545" s="1" t="s">
        <v>249</v>
      </c>
      <c r="AA2545" s="1" t="s">
        <v>1417</v>
      </c>
      <c r="AB2545" s="1">
        <v>60527</v>
      </c>
      <c r="AD2545" s="1" t="s">
        <v>21832</v>
      </c>
      <c r="AE2545" s="1" t="s">
        <v>21833</v>
      </c>
      <c r="AF2545" s="1">
        <v>1973</v>
      </c>
      <c r="AG2545" s="1" t="s">
        <v>213</v>
      </c>
      <c r="AH2545" s="1" t="s">
        <v>1419</v>
      </c>
      <c r="AI2545" s="1" t="s">
        <v>206</v>
      </c>
      <c r="AJ2545" s="1" t="s">
        <v>903</v>
      </c>
      <c r="AL2545" s="1">
        <v>5</v>
      </c>
      <c r="AM2545" s="1">
        <v>2</v>
      </c>
      <c r="AN2545" s="1">
        <v>2</v>
      </c>
      <c r="AO2545" s="1">
        <v>0</v>
      </c>
      <c r="AP2545" s="1" t="s">
        <v>209</v>
      </c>
      <c r="AQ2545" s="1">
        <v>1</v>
      </c>
      <c r="AR2545" s="1" t="s">
        <v>1631</v>
      </c>
      <c r="AS2545" s="1" t="s">
        <v>204</v>
      </c>
      <c r="AT2545" s="1" t="s">
        <v>211</v>
      </c>
      <c r="AU2545" s="1">
        <v>1</v>
      </c>
      <c r="AW2545" s="1" t="s">
        <v>204</v>
      </c>
      <c r="AX2545" s="1" t="s">
        <v>212</v>
      </c>
      <c r="AZ2545" s="1">
        <v>1902</v>
      </c>
      <c r="BA2545" s="1">
        <v>2013</v>
      </c>
      <c r="BE2545" s="1">
        <v>1152</v>
      </c>
      <c r="BF2545" s="1">
        <v>1</v>
      </c>
      <c r="BG2545" s="1">
        <v>0</v>
      </c>
      <c r="BJ2545" s="1">
        <v>100</v>
      </c>
      <c r="BL2545" s="1">
        <v>335</v>
      </c>
      <c r="BM2545" s="1" t="s">
        <v>204</v>
      </c>
      <c r="BN2545" s="1" t="s">
        <v>213</v>
      </c>
      <c r="BO2545" s="1">
        <v>999</v>
      </c>
      <c r="BP2545" s="1" t="s">
        <v>204</v>
      </c>
      <c r="BR2545" s="1" t="str">
        <f>"0927414033"</f>
        <v>0927414033</v>
      </c>
      <c r="BT2545" s="1" t="s">
        <v>21834</v>
      </c>
      <c r="BX2545" s="1">
        <v>62</v>
      </c>
      <c r="BY2545" s="1">
        <v>62</v>
      </c>
      <c r="BZ2545" s="1">
        <v>86</v>
      </c>
      <c r="CB2545" s="1" t="str">
        <f t="shared" ref="CB2545:CC2545" si="1953">"0"</f>
        <v>0</v>
      </c>
      <c r="CC2545" s="1" t="str">
        <f t="shared" si="1953"/>
        <v>0</v>
      </c>
      <c r="CD2545" s="1">
        <v>17</v>
      </c>
      <c r="CE2545" s="1">
        <v>8</v>
      </c>
      <c r="CG2545" s="1" t="s">
        <v>1547</v>
      </c>
      <c r="CH2545" s="1" t="s">
        <v>219</v>
      </c>
      <c r="CI2545" s="1" t="s">
        <v>438</v>
      </c>
      <c r="CK2545" s="1" t="s">
        <v>344</v>
      </c>
      <c r="CL2545" s="1" t="s">
        <v>219</v>
      </c>
      <c r="CM2545" s="1" t="s">
        <v>438</v>
      </c>
      <c r="CO2545" s="1" t="s">
        <v>1454</v>
      </c>
      <c r="CP2545" s="1" t="s">
        <v>219</v>
      </c>
      <c r="CQ2545" s="1" t="s">
        <v>438</v>
      </c>
      <c r="CS2545" s="1" t="s">
        <v>317</v>
      </c>
      <c r="CT2545" s="1" t="s">
        <v>219</v>
      </c>
      <c r="CU2545" s="1" t="s">
        <v>438</v>
      </c>
      <c r="CX2545" s="1" t="s">
        <v>224</v>
      </c>
      <c r="DB2545" s="1" t="s">
        <v>224</v>
      </c>
      <c r="DE2545" s="1" t="s">
        <v>346</v>
      </c>
      <c r="DF2545" s="1" t="s">
        <v>219</v>
      </c>
      <c r="DG2545" s="1" t="s">
        <v>438</v>
      </c>
      <c r="DJ2545" s="1" t="s">
        <v>224</v>
      </c>
      <c r="DM2545" s="1" t="s">
        <v>2278</v>
      </c>
      <c r="DR2545" s="1" t="s">
        <v>377</v>
      </c>
      <c r="DS2545" s="1" t="s">
        <v>822</v>
      </c>
      <c r="DW2545" s="1" t="s">
        <v>230</v>
      </c>
      <c r="EA2545" s="1" t="s">
        <v>230</v>
      </c>
      <c r="EE2545" s="1" t="s">
        <v>230</v>
      </c>
      <c r="EI2545" s="1" t="s">
        <v>230</v>
      </c>
      <c r="EL2545" s="1" t="s">
        <v>605</v>
      </c>
      <c r="EM2545" s="1" t="s">
        <v>730</v>
      </c>
      <c r="EN2545" s="1" t="s">
        <v>282</v>
      </c>
      <c r="EO2545" s="1" t="s">
        <v>234</v>
      </c>
      <c r="EQ2545" s="1" t="s">
        <v>953</v>
      </c>
      <c r="ER2545" s="1" t="s">
        <v>5852</v>
      </c>
      <c r="ES2545" s="1" t="s">
        <v>322</v>
      </c>
      <c r="EW2545" s="1" t="s">
        <v>887</v>
      </c>
      <c r="EZ2545" s="1" t="s">
        <v>2278</v>
      </c>
      <c r="FD2545" s="1" t="s">
        <v>246</v>
      </c>
      <c r="FE2545" s="1" t="s">
        <v>247</v>
      </c>
      <c r="FF2545" s="1" t="s">
        <v>248</v>
      </c>
      <c r="FH2545" s="1" t="s">
        <v>716</v>
      </c>
      <c r="FL2545" s="1" t="s">
        <v>358</v>
      </c>
      <c r="FM2545" s="1" t="s">
        <v>252</v>
      </c>
      <c r="FN2545" s="1" t="s">
        <v>213</v>
      </c>
      <c r="FO2545" s="1" t="s">
        <v>213</v>
      </c>
      <c r="FQ2545" s="1" t="s">
        <v>2091</v>
      </c>
      <c r="FR2545" s="1" t="s">
        <v>210</v>
      </c>
      <c r="FS2545" s="1" t="s">
        <v>8199</v>
      </c>
      <c r="FT2545" s="1" t="s">
        <v>295</v>
      </c>
      <c r="FU2545" s="1" t="s">
        <v>213</v>
      </c>
      <c r="FW2545" s="1" t="s">
        <v>8200</v>
      </c>
      <c r="FX2545" s="1">
        <v>24223</v>
      </c>
      <c r="FY2545" s="1" t="s">
        <v>8201</v>
      </c>
      <c r="FZ2545" s="1" t="s">
        <v>8202</v>
      </c>
      <c r="GA2545" s="1">
        <v>219862</v>
      </c>
      <c r="GE2545" s="1" t="s">
        <v>1576</v>
      </c>
      <c r="GI2545" s="1" t="s">
        <v>204</v>
      </c>
      <c r="GJ2545" s="1" t="s">
        <v>260</v>
      </c>
      <c r="GK2545" s="1" t="s">
        <v>210</v>
      </c>
      <c r="GL2545" s="2">
        <v>42104</v>
      </c>
      <c r="GM2545" s="1" t="s">
        <v>8203</v>
      </c>
    </row>
    <row r="2546" spans="1:195">
      <c r="A2546" s="1">
        <v>162500</v>
      </c>
      <c r="B2546" s="1" t="s">
        <v>195</v>
      </c>
      <c r="C2546" s="1" t="str">
        <f>"08836381"</f>
        <v>08836381</v>
      </c>
      <c r="D2546" s="1" t="s">
        <v>196</v>
      </c>
      <c r="F2546" s="1" t="str">
        <f>"555"</f>
        <v>555</v>
      </c>
      <c r="G2546" s="2">
        <v>42046</v>
      </c>
      <c r="H2546" s="1">
        <v>162000</v>
      </c>
      <c r="I2546" s="1">
        <v>162000</v>
      </c>
      <c r="J2546" s="1">
        <v>162500</v>
      </c>
      <c r="K2546" s="2">
        <v>42046</v>
      </c>
      <c r="L2546" s="1">
        <v>3</v>
      </c>
      <c r="M2546" s="2">
        <v>42048</v>
      </c>
      <c r="N2546" s="1">
        <v>3</v>
      </c>
      <c r="O2546" s="2">
        <v>42048</v>
      </c>
      <c r="P2546" s="1">
        <v>23163</v>
      </c>
      <c r="Q2546" s="1" t="s">
        <v>423</v>
      </c>
      <c r="R2546" s="2">
        <v>42104</v>
      </c>
      <c r="S2546" s="1">
        <v>256858</v>
      </c>
      <c r="T2546" s="1">
        <v>3000</v>
      </c>
      <c r="U2546" s="1" t="s">
        <v>21835</v>
      </c>
      <c r="V2546" s="1" t="s">
        <v>4986</v>
      </c>
      <c r="W2546" s="1" t="s">
        <v>264</v>
      </c>
      <c r="Y2546" s="1">
        <v>4</v>
      </c>
      <c r="Z2546" s="1" t="s">
        <v>370</v>
      </c>
      <c r="AA2546" s="1" t="s">
        <v>984</v>
      </c>
      <c r="AB2546" s="1">
        <v>60555</v>
      </c>
      <c r="AC2546" s="1">
        <v>2479</v>
      </c>
      <c r="AD2546" s="1" t="s">
        <v>11829</v>
      </c>
      <c r="AE2546" s="1" t="s">
        <v>21836</v>
      </c>
      <c r="AF2546" s="1">
        <v>1990</v>
      </c>
      <c r="AG2546" s="1" t="s">
        <v>204</v>
      </c>
      <c r="AH2546" s="1" t="s">
        <v>986</v>
      </c>
      <c r="AI2546" s="1" t="s">
        <v>206</v>
      </c>
      <c r="AJ2546" s="1" t="s">
        <v>987</v>
      </c>
      <c r="AK2546" s="1" t="s">
        <v>5115</v>
      </c>
      <c r="AL2546" s="1">
        <v>6</v>
      </c>
      <c r="AM2546" s="1">
        <v>2</v>
      </c>
      <c r="AN2546" s="1">
        <v>1</v>
      </c>
      <c r="AO2546" s="1">
        <v>1</v>
      </c>
      <c r="AP2546" s="1" t="s">
        <v>209</v>
      </c>
      <c r="AQ2546" s="1">
        <v>0</v>
      </c>
      <c r="AR2546" s="1" t="s">
        <v>210</v>
      </c>
      <c r="AS2546" s="1" t="s">
        <v>204</v>
      </c>
      <c r="AT2546" s="1" t="s">
        <v>211</v>
      </c>
      <c r="AU2546" s="1">
        <v>2</v>
      </c>
      <c r="AW2546" s="1" t="s">
        <v>204</v>
      </c>
      <c r="AX2546" s="1" t="s">
        <v>212</v>
      </c>
      <c r="AZ2546" s="1">
        <v>3347</v>
      </c>
      <c r="BA2546" s="1">
        <v>2013</v>
      </c>
      <c r="BB2546" s="1" t="s">
        <v>405</v>
      </c>
      <c r="BE2546" s="1">
        <v>1461</v>
      </c>
      <c r="BF2546" s="1">
        <v>1</v>
      </c>
      <c r="BG2546" s="1">
        <v>30</v>
      </c>
      <c r="BL2546" s="1">
        <v>200</v>
      </c>
      <c r="BM2546" s="1" t="s">
        <v>204</v>
      </c>
      <c r="BN2546" s="1" t="s">
        <v>213</v>
      </c>
      <c r="BO2546" s="1">
        <v>0</v>
      </c>
      <c r="BP2546" s="1" t="s">
        <v>204</v>
      </c>
      <c r="BR2546" s="1" t="str">
        <f>"0434124059"</f>
        <v>0434124059</v>
      </c>
      <c r="BT2546" s="1" t="s">
        <v>21837</v>
      </c>
      <c r="BU2546" s="1" t="s">
        <v>21838</v>
      </c>
      <c r="BV2546" s="1" t="s">
        <v>990</v>
      </c>
      <c r="BW2546" s="1" t="s">
        <v>13107</v>
      </c>
      <c r="BX2546" s="1">
        <v>200</v>
      </c>
      <c r="BY2546" s="1">
        <v>200</v>
      </c>
      <c r="BZ2546" s="1">
        <v>200</v>
      </c>
      <c r="CB2546" s="1" t="str">
        <f t="shared" ref="CB2546:CC2546" si="1954">"0"</f>
        <v>0</v>
      </c>
      <c r="CC2546" s="1" t="str">
        <f t="shared" si="1954"/>
        <v>0</v>
      </c>
      <c r="CD2546" s="1">
        <v>29</v>
      </c>
      <c r="CE2546" s="1">
        <v>3</v>
      </c>
      <c r="CG2546" s="1" t="s">
        <v>538</v>
      </c>
      <c r="CH2546" s="1" t="s">
        <v>219</v>
      </c>
      <c r="CI2546" s="1" t="s">
        <v>220</v>
      </c>
      <c r="CK2546" s="1" t="s">
        <v>218</v>
      </c>
      <c r="CL2546" s="1" t="s">
        <v>277</v>
      </c>
      <c r="CM2546" s="1" t="s">
        <v>220</v>
      </c>
      <c r="CO2546" s="1" t="s">
        <v>630</v>
      </c>
      <c r="CP2546" s="1" t="s">
        <v>219</v>
      </c>
      <c r="CQ2546" s="1" t="s">
        <v>229</v>
      </c>
      <c r="CS2546" s="1" t="s">
        <v>317</v>
      </c>
      <c r="CT2546" s="1" t="s">
        <v>277</v>
      </c>
      <c r="CU2546" s="1" t="s">
        <v>220</v>
      </c>
      <c r="CX2546" s="1" t="s">
        <v>224</v>
      </c>
      <c r="DB2546" s="1" t="s">
        <v>224</v>
      </c>
      <c r="DE2546" s="1" t="s">
        <v>630</v>
      </c>
      <c r="DF2546" s="1" t="s">
        <v>219</v>
      </c>
      <c r="DG2546" s="1" t="s">
        <v>229</v>
      </c>
      <c r="DH2546" s="1" t="s">
        <v>210</v>
      </c>
      <c r="DI2546" s="1" t="s">
        <v>8108</v>
      </c>
      <c r="DJ2546" s="1" t="s">
        <v>277</v>
      </c>
      <c r="DK2546" s="1" t="s">
        <v>220</v>
      </c>
      <c r="DS2546" s="1" t="s">
        <v>230</v>
      </c>
      <c r="DW2546" s="1" t="s">
        <v>230</v>
      </c>
      <c r="EA2546" s="1" t="s">
        <v>230</v>
      </c>
      <c r="EE2546" s="1" t="s">
        <v>230</v>
      </c>
      <c r="EI2546" s="1" t="s">
        <v>230</v>
      </c>
      <c r="EL2546" s="1" t="s">
        <v>382</v>
      </c>
      <c r="EM2546" s="1" t="s">
        <v>319</v>
      </c>
      <c r="EN2546" s="1" t="s">
        <v>282</v>
      </c>
      <c r="EO2546" s="1" t="s">
        <v>234</v>
      </c>
      <c r="EP2546" s="1" t="s">
        <v>1268</v>
      </c>
      <c r="EQ2546" s="1" t="s">
        <v>492</v>
      </c>
      <c r="ER2546" s="1" t="s">
        <v>210</v>
      </c>
      <c r="ES2546" s="1" t="s">
        <v>545</v>
      </c>
      <c r="ET2546" s="1" t="s">
        <v>238</v>
      </c>
      <c r="EU2546" s="1" t="s">
        <v>1110</v>
      </c>
      <c r="EV2546" s="1" t="s">
        <v>324</v>
      </c>
      <c r="EW2546" s="1" t="s">
        <v>384</v>
      </c>
      <c r="EY2546" s="1" t="s">
        <v>790</v>
      </c>
      <c r="EZ2546" s="1" t="s">
        <v>287</v>
      </c>
      <c r="FA2546" s="1" t="s">
        <v>714</v>
      </c>
      <c r="FB2546" s="1" t="s">
        <v>289</v>
      </c>
      <c r="FC2546" s="1" t="s">
        <v>245</v>
      </c>
      <c r="FD2546" s="1" t="s">
        <v>495</v>
      </c>
      <c r="FE2546" s="1" t="s">
        <v>472</v>
      </c>
      <c r="FF2546" s="1" t="s">
        <v>248</v>
      </c>
      <c r="FH2546" s="1" t="s">
        <v>550</v>
      </c>
      <c r="FI2546" s="1" t="s">
        <v>473</v>
      </c>
      <c r="FJ2546" s="1" t="s">
        <v>518</v>
      </c>
      <c r="FL2546" s="1" t="s">
        <v>358</v>
      </c>
      <c r="FM2546" s="1" t="s">
        <v>252</v>
      </c>
      <c r="FN2546" s="1" t="s">
        <v>213</v>
      </c>
      <c r="FO2546" s="1" t="s">
        <v>213</v>
      </c>
      <c r="FQ2546" s="1" t="s">
        <v>2700</v>
      </c>
      <c r="FR2546" s="1" t="s">
        <v>652</v>
      </c>
      <c r="FS2546" s="1" t="s">
        <v>21839</v>
      </c>
      <c r="FT2546" s="1" t="s">
        <v>295</v>
      </c>
      <c r="FU2546" s="1" t="s">
        <v>204</v>
      </c>
      <c r="FW2546" s="1" t="s">
        <v>915</v>
      </c>
      <c r="FX2546" s="1">
        <v>25088</v>
      </c>
      <c r="FY2546" s="1" t="s">
        <v>1761</v>
      </c>
      <c r="FZ2546" s="1" t="s">
        <v>13455</v>
      </c>
      <c r="GA2546" s="1">
        <v>256862</v>
      </c>
      <c r="GB2546" s="1" t="s">
        <v>13456</v>
      </c>
      <c r="GE2546" s="1" t="s">
        <v>480</v>
      </c>
      <c r="GI2546" s="1" t="s">
        <v>213</v>
      </c>
      <c r="GJ2546" s="1" t="s">
        <v>260</v>
      </c>
      <c r="GK2546" s="1" t="s">
        <v>210</v>
      </c>
      <c r="GL2546" s="2">
        <v>42104</v>
      </c>
    </row>
    <row r="2547" spans="1:195">
      <c r="A2547" s="1">
        <v>190000</v>
      </c>
      <c r="B2547" s="1" t="s">
        <v>195</v>
      </c>
      <c r="C2547" s="1" t="str">
        <f>"08832295"</f>
        <v>08832295</v>
      </c>
      <c r="D2547" s="1" t="s">
        <v>196</v>
      </c>
      <c r="F2547" s="1" t="str">
        <f>"108"</f>
        <v>108</v>
      </c>
      <c r="G2547" s="2">
        <v>42040</v>
      </c>
      <c r="H2547" s="1">
        <v>199900</v>
      </c>
      <c r="I2547" s="1">
        <v>199900</v>
      </c>
      <c r="J2547" s="1">
        <v>190000</v>
      </c>
      <c r="K2547" s="2">
        <v>42040</v>
      </c>
      <c r="L2547" s="1">
        <v>7</v>
      </c>
      <c r="M2547" s="2">
        <v>42046</v>
      </c>
      <c r="N2547" s="1">
        <v>7</v>
      </c>
      <c r="O2547" s="2">
        <v>42046</v>
      </c>
      <c r="P2547" s="1">
        <v>24383</v>
      </c>
      <c r="Q2547" s="1" t="s">
        <v>302</v>
      </c>
      <c r="R2547" s="2">
        <v>42094</v>
      </c>
      <c r="S2547" s="1">
        <v>222134</v>
      </c>
      <c r="U2547" s="1">
        <v>322</v>
      </c>
      <c r="V2547" s="1" t="s">
        <v>5858</v>
      </c>
      <c r="W2547" s="1" t="s">
        <v>264</v>
      </c>
      <c r="X2547" s="1" t="s">
        <v>527</v>
      </c>
      <c r="Y2547" s="1">
        <v>2</v>
      </c>
      <c r="Z2547" s="1" t="s">
        <v>200</v>
      </c>
      <c r="AA2547" s="1" t="s">
        <v>829</v>
      </c>
      <c r="AB2547" s="1">
        <v>60108</v>
      </c>
      <c r="AD2547" s="1" t="s">
        <v>21840</v>
      </c>
      <c r="AE2547" s="1" t="s">
        <v>21841</v>
      </c>
      <c r="AF2547" s="1">
        <v>1986</v>
      </c>
      <c r="AG2547" s="1" t="s">
        <v>204</v>
      </c>
      <c r="AH2547" s="1" t="s">
        <v>269</v>
      </c>
      <c r="AI2547" s="1" t="s">
        <v>206</v>
      </c>
      <c r="AJ2547" s="1" t="s">
        <v>269</v>
      </c>
      <c r="AK2547" s="1" t="s">
        <v>1088</v>
      </c>
      <c r="AL2547" s="1">
        <v>7</v>
      </c>
      <c r="AM2547" s="1">
        <v>2</v>
      </c>
      <c r="AN2547" s="1">
        <v>2</v>
      </c>
      <c r="AO2547" s="1">
        <v>1</v>
      </c>
      <c r="AP2547" s="1" t="s">
        <v>209</v>
      </c>
      <c r="AQ2547" s="1">
        <v>1</v>
      </c>
      <c r="AR2547" s="1" t="s">
        <v>1631</v>
      </c>
      <c r="AS2547" s="1" t="s">
        <v>213</v>
      </c>
      <c r="AT2547" s="1" t="s">
        <v>211</v>
      </c>
      <c r="AU2547" s="1">
        <v>1</v>
      </c>
      <c r="AW2547" s="1" t="s">
        <v>204</v>
      </c>
      <c r="AX2547" s="1" t="s">
        <v>21842</v>
      </c>
      <c r="AZ2547" s="1">
        <v>4161</v>
      </c>
      <c r="BA2547" s="1">
        <v>2013</v>
      </c>
      <c r="BB2547" s="1" t="s">
        <v>405</v>
      </c>
      <c r="BE2547" s="1">
        <v>1285</v>
      </c>
      <c r="BF2547" s="1">
        <v>1</v>
      </c>
      <c r="BG2547" s="1">
        <v>0</v>
      </c>
      <c r="BL2547" s="1">
        <v>0</v>
      </c>
      <c r="BM2547" s="1" t="s">
        <v>204</v>
      </c>
      <c r="BN2547" s="1" t="s">
        <v>213</v>
      </c>
      <c r="BO2547" s="1">
        <v>999</v>
      </c>
      <c r="BP2547" s="1" t="s">
        <v>204</v>
      </c>
      <c r="BR2547" s="1" t="str">
        <f>"0223404071"</f>
        <v>0223404071</v>
      </c>
      <c r="BT2547" s="1" t="s">
        <v>21843</v>
      </c>
      <c r="BU2547" s="1" t="s">
        <v>2014</v>
      </c>
      <c r="BV2547" s="1" t="s">
        <v>2015</v>
      </c>
      <c r="BW2547" s="1" t="s">
        <v>1935</v>
      </c>
      <c r="BX2547" s="1">
        <v>15</v>
      </c>
      <c r="BY2547" s="1">
        <v>15</v>
      </c>
      <c r="BZ2547" s="1">
        <v>87</v>
      </c>
      <c r="CB2547" s="1" t="str">
        <f>"4"</f>
        <v>4</v>
      </c>
      <c r="CC2547" s="1" t="str">
        <f>""</f>
        <v/>
      </c>
      <c r="CD2547" s="1">
        <v>22</v>
      </c>
      <c r="CG2547" s="1" t="s">
        <v>223</v>
      </c>
      <c r="CH2547" s="1" t="s">
        <v>219</v>
      </c>
      <c r="CI2547" s="1" t="s">
        <v>220</v>
      </c>
      <c r="CJ2547" s="1" t="s">
        <v>210</v>
      </c>
      <c r="CK2547" s="1" t="s">
        <v>602</v>
      </c>
      <c r="CL2547" s="1" t="s">
        <v>219</v>
      </c>
      <c r="CM2547" s="1" t="s">
        <v>220</v>
      </c>
      <c r="CN2547" s="1" t="s">
        <v>343</v>
      </c>
      <c r="CO2547" s="1" t="s">
        <v>932</v>
      </c>
      <c r="CP2547" s="1" t="s">
        <v>219</v>
      </c>
      <c r="CQ2547" s="1" t="s">
        <v>220</v>
      </c>
      <c r="CR2547" s="1" t="s">
        <v>343</v>
      </c>
      <c r="CS2547" s="1" t="s">
        <v>465</v>
      </c>
      <c r="CT2547" s="1" t="s">
        <v>219</v>
      </c>
      <c r="CU2547" s="1" t="s">
        <v>220</v>
      </c>
      <c r="CV2547" s="1" t="s">
        <v>343</v>
      </c>
      <c r="CX2547" s="1" t="s">
        <v>224</v>
      </c>
      <c r="DB2547" s="1" t="s">
        <v>224</v>
      </c>
      <c r="DE2547" s="1" t="s">
        <v>317</v>
      </c>
      <c r="DF2547" s="1" t="s">
        <v>219</v>
      </c>
      <c r="DG2547" s="1" t="s">
        <v>226</v>
      </c>
      <c r="DH2547" s="1" t="s">
        <v>439</v>
      </c>
      <c r="DI2547" s="1" t="s">
        <v>4916</v>
      </c>
      <c r="DJ2547" s="1" t="s">
        <v>43</v>
      </c>
      <c r="DK2547" s="1" t="s">
        <v>220</v>
      </c>
      <c r="DL2547" s="1" t="s">
        <v>210</v>
      </c>
      <c r="DM2547" s="1" t="s">
        <v>709</v>
      </c>
      <c r="DN2547" s="1" t="s">
        <v>4083</v>
      </c>
      <c r="DR2547" s="1" t="s">
        <v>2670</v>
      </c>
      <c r="DS2547" s="1" t="s">
        <v>219</v>
      </c>
      <c r="DT2547" s="1" t="s">
        <v>226</v>
      </c>
      <c r="DU2547" s="1" t="s">
        <v>210</v>
      </c>
      <c r="DV2547" s="1" t="s">
        <v>344</v>
      </c>
      <c r="DW2547" s="1" t="s">
        <v>43</v>
      </c>
      <c r="DX2547" s="1" t="s">
        <v>342</v>
      </c>
      <c r="EA2547" s="1" t="s">
        <v>230</v>
      </c>
      <c r="EE2547" s="1" t="s">
        <v>230</v>
      </c>
      <c r="EI2547" s="1" t="s">
        <v>230</v>
      </c>
      <c r="EL2547" s="1" t="s">
        <v>542</v>
      </c>
      <c r="EM2547" s="1" t="s">
        <v>232</v>
      </c>
      <c r="EN2547" s="1" t="s">
        <v>282</v>
      </c>
      <c r="EO2547" s="1" t="s">
        <v>234</v>
      </c>
      <c r="EP2547" s="1" t="s">
        <v>650</v>
      </c>
      <c r="EQ2547" s="1" t="s">
        <v>9668</v>
      </c>
      <c r="ER2547" s="1" t="s">
        <v>351</v>
      </c>
      <c r="ES2547" s="1" t="s">
        <v>322</v>
      </c>
      <c r="ET2547" s="1" t="s">
        <v>323</v>
      </c>
      <c r="EU2547" s="1" t="s">
        <v>15170</v>
      </c>
      <c r="EV2547" s="1" t="s">
        <v>324</v>
      </c>
      <c r="EW2547" s="1" t="s">
        <v>210</v>
      </c>
      <c r="EY2547" s="1" t="s">
        <v>242</v>
      </c>
      <c r="EZ2547" s="1" t="s">
        <v>21844</v>
      </c>
      <c r="FA2547" s="1" t="s">
        <v>21845</v>
      </c>
      <c r="FC2547" s="1" t="s">
        <v>1386</v>
      </c>
      <c r="FD2547" s="1" t="s">
        <v>246</v>
      </c>
      <c r="FE2547" s="1" t="s">
        <v>21846</v>
      </c>
      <c r="FF2547" s="1" t="s">
        <v>248</v>
      </c>
      <c r="FG2547" s="1" t="s">
        <v>912</v>
      </c>
      <c r="FH2547" s="1" t="s">
        <v>442</v>
      </c>
      <c r="FI2547" s="1" t="s">
        <v>473</v>
      </c>
      <c r="FL2547" s="1" t="s">
        <v>414</v>
      </c>
      <c r="FM2547" s="1" t="s">
        <v>252</v>
      </c>
      <c r="FN2547" s="1" t="s">
        <v>213</v>
      </c>
      <c r="FO2547" s="1" t="s">
        <v>213</v>
      </c>
      <c r="FQ2547" s="1" t="s">
        <v>359</v>
      </c>
      <c r="FR2547" s="1" t="s">
        <v>652</v>
      </c>
      <c r="FS2547" s="1" t="s">
        <v>21847</v>
      </c>
      <c r="FT2547" s="1" t="s">
        <v>362</v>
      </c>
      <c r="FU2547" s="1" t="s">
        <v>204</v>
      </c>
      <c r="FW2547" s="1" t="s">
        <v>363</v>
      </c>
      <c r="FX2547" s="1">
        <v>8970</v>
      </c>
      <c r="FY2547" s="1" t="s">
        <v>364</v>
      </c>
      <c r="FZ2547" s="1" t="s">
        <v>21848</v>
      </c>
      <c r="GA2547" s="1">
        <v>240855</v>
      </c>
      <c r="GB2547" s="1" t="s">
        <v>21849</v>
      </c>
      <c r="GD2547" s="1" t="s">
        <v>21850</v>
      </c>
      <c r="GE2547" s="1" t="s">
        <v>480</v>
      </c>
      <c r="GI2547" s="1" t="s">
        <v>213</v>
      </c>
      <c r="GJ2547" s="1" t="s">
        <v>260</v>
      </c>
      <c r="GK2547" s="1" t="s">
        <v>210</v>
      </c>
      <c r="GL2547" s="2">
        <v>42094</v>
      </c>
      <c r="GM2547" s="1" t="s">
        <v>21851</v>
      </c>
    </row>
    <row r="2548" spans="1:195">
      <c r="A2548" s="1">
        <v>319990</v>
      </c>
      <c r="B2548" s="1" t="s">
        <v>195</v>
      </c>
      <c r="C2548" s="1" t="str">
        <f>"08828394"</f>
        <v>08828394</v>
      </c>
      <c r="D2548" s="1" t="s">
        <v>196</v>
      </c>
      <c r="F2548" s="1" t="str">
        <f>"190"</f>
        <v>190</v>
      </c>
      <c r="G2548" s="2">
        <v>42036</v>
      </c>
      <c r="H2548" s="1">
        <v>329990</v>
      </c>
      <c r="I2548" s="1">
        <v>319990</v>
      </c>
      <c r="J2548" s="1">
        <v>319990</v>
      </c>
      <c r="K2548" s="2">
        <v>42035</v>
      </c>
      <c r="L2548" s="1">
        <v>308</v>
      </c>
      <c r="M2548" s="2">
        <v>42078</v>
      </c>
      <c r="N2548" s="1">
        <v>44</v>
      </c>
      <c r="O2548" s="2">
        <v>42078</v>
      </c>
      <c r="P2548" s="1">
        <v>22039</v>
      </c>
      <c r="Q2548" s="1" t="s">
        <v>197</v>
      </c>
      <c r="R2548" s="2">
        <v>42123</v>
      </c>
      <c r="S2548" s="1">
        <v>254001</v>
      </c>
      <c r="U2548" s="1" t="s">
        <v>21852</v>
      </c>
      <c r="V2548" s="1" t="s">
        <v>21853</v>
      </c>
      <c r="W2548" s="1" t="s">
        <v>264</v>
      </c>
      <c r="Y2548" s="1">
        <v>6</v>
      </c>
      <c r="Z2548" s="1" t="s">
        <v>370</v>
      </c>
      <c r="AA2548" s="1" t="s">
        <v>1915</v>
      </c>
      <c r="AB2548" s="1">
        <v>60190</v>
      </c>
      <c r="AD2548" s="1" t="s">
        <v>9868</v>
      </c>
      <c r="AE2548" s="1" t="s">
        <v>21854</v>
      </c>
      <c r="AF2548" s="1">
        <v>2014</v>
      </c>
      <c r="AG2548" s="1" t="s">
        <v>204</v>
      </c>
      <c r="AH2548" s="1" t="s">
        <v>987</v>
      </c>
      <c r="AI2548" s="1" t="s">
        <v>206</v>
      </c>
      <c r="AJ2548" s="1" t="s">
        <v>987</v>
      </c>
      <c r="AK2548" s="1" t="s">
        <v>21855</v>
      </c>
      <c r="AL2548" s="1">
        <v>6</v>
      </c>
      <c r="AM2548" s="1">
        <v>2</v>
      </c>
      <c r="AN2548" s="1">
        <v>3</v>
      </c>
      <c r="AO2548" s="1">
        <v>0</v>
      </c>
      <c r="AP2548" s="1" t="s">
        <v>209</v>
      </c>
      <c r="AQ2548" s="1">
        <v>1</v>
      </c>
      <c r="AR2548" s="1" t="s">
        <v>210</v>
      </c>
      <c r="AS2548" s="1" t="s">
        <v>204</v>
      </c>
      <c r="AT2548" s="1" t="s">
        <v>211</v>
      </c>
      <c r="AU2548" s="1">
        <v>2</v>
      </c>
      <c r="AW2548" s="1" t="s">
        <v>204</v>
      </c>
      <c r="AX2548" s="1" t="s">
        <v>212</v>
      </c>
      <c r="AZ2548" s="1" t="s">
        <v>751</v>
      </c>
      <c r="BA2548" s="1">
        <v>2013</v>
      </c>
      <c r="BE2548" s="1">
        <v>1858</v>
      </c>
      <c r="BF2548" s="1">
        <v>2</v>
      </c>
      <c r="BG2548" s="1">
        <v>0</v>
      </c>
      <c r="BL2548" s="1">
        <v>165</v>
      </c>
      <c r="BM2548" s="1" t="s">
        <v>204</v>
      </c>
      <c r="BN2548" s="1" t="s">
        <v>213</v>
      </c>
      <c r="BO2548" s="1">
        <v>0</v>
      </c>
      <c r="BP2548" s="1" t="s">
        <v>213</v>
      </c>
      <c r="BQ2548" s="2">
        <v>42045</v>
      </c>
      <c r="BR2548" s="1" t="str">
        <f>"0412300055"</f>
        <v>0412300055</v>
      </c>
      <c r="BT2548" s="1" t="s">
        <v>21856</v>
      </c>
      <c r="BU2548" s="1" t="s">
        <v>3162</v>
      </c>
      <c r="BV2548" s="1" t="s">
        <v>3163</v>
      </c>
      <c r="BW2548" s="1" t="s">
        <v>1675</v>
      </c>
      <c r="BX2548" s="1">
        <v>34</v>
      </c>
      <c r="BY2548" s="1">
        <v>34</v>
      </c>
      <c r="BZ2548" s="1">
        <v>94</v>
      </c>
      <c r="CB2548" s="1" t="str">
        <f t="shared" ref="CB2548:CC2548" si="1955">"0"</f>
        <v>0</v>
      </c>
      <c r="CC2548" s="1" t="str">
        <f t="shared" si="1955"/>
        <v>0</v>
      </c>
      <c r="CD2548" s="1">
        <v>27</v>
      </c>
      <c r="CE2548" s="1">
        <v>0</v>
      </c>
      <c r="CH2548" s="1" t="s">
        <v>224</v>
      </c>
      <c r="CK2548" s="1" t="s">
        <v>932</v>
      </c>
      <c r="CL2548" s="1" t="s">
        <v>219</v>
      </c>
      <c r="CM2548" s="1" t="s">
        <v>220</v>
      </c>
      <c r="CP2548" s="1" t="s">
        <v>224</v>
      </c>
      <c r="CS2548" s="1" t="s">
        <v>1046</v>
      </c>
      <c r="CT2548" s="1" t="s">
        <v>219</v>
      </c>
      <c r="CU2548" s="1" t="s">
        <v>220</v>
      </c>
      <c r="CX2548" s="1" t="s">
        <v>224</v>
      </c>
      <c r="DB2548" s="1" t="s">
        <v>224</v>
      </c>
      <c r="DE2548" s="1" t="s">
        <v>3264</v>
      </c>
      <c r="DF2548" s="1" t="s">
        <v>219</v>
      </c>
      <c r="DJ2548" s="1" t="s">
        <v>224</v>
      </c>
      <c r="DM2548" s="1" t="s">
        <v>381</v>
      </c>
      <c r="DN2548" s="1" t="s">
        <v>1676</v>
      </c>
      <c r="DO2548" s="1" t="s">
        <v>1359</v>
      </c>
      <c r="DP2548" s="1" t="s">
        <v>1005</v>
      </c>
      <c r="DR2548" s="1" t="s">
        <v>1297</v>
      </c>
      <c r="DS2548" s="1" t="s">
        <v>219</v>
      </c>
      <c r="DT2548" s="1" t="s">
        <v>438</v>
      </c>
      <c r="DV2548" s="1" t="s">
        <v>1454</v>
      </c>
      <c r="DW2548" s="1" t="s">
        <v>219</v>
      </c>
      <c r="DZ2548" s="1" t="s">
        <v>6407</v>
      </c>
      <c r="EA2548" s="1" t="s">
        <v>219</v>
      </c>
      <c r="ED2548" s="1" t="s">
        <v>379</v>
      </c>
      <c r="EE2548" s="1" t="s">
        <v>822</v>
      </c>
      <c r="EF2548" s="1" t="s">
        <v>220</v>
      </c>
      <c r="EI2548" s="1" t="s">
        <v>230</v>
      </c>
      <c r="EL2548" s="1" t="s">
        <v>1455</v>
      </c>
      <c r="EM2548" s="1" t="s">
        <v>319</v>
      </c>
      <c r="EN2548" s="1" t="s">
        <v>282</v>
      </c>
      <c r="EO2548" s="1" t="s">
        <v>234</v>
      </c>
      <c r="EQ2548" s="1" t="s">
        <v>321</v>
      </c>
      <c r="ER2548" s="1" t="s">
        <v>210</v>
      </c>
      <c r="ES2548" s="1" t="s">
        <v>545</v>
      </c>
      <c r="ET2548" s="1" t="s">
        <v>866</v>
      </c>
      <c r="EW2548" s="1" t="s">
        <v>867</v>
      </c>
      <c r="EY2548" s="1" t="s">
        <v>242</v>
      </c>
      <c r="EZ2548" s="1" t="s">
        <v>21857</v>
      </c>
      <c r="FA2548" s="1" t="s">
        <v>1270</v>
      </c>
      <c r="FD2548" s="1" t="s">
        <v>246</v>
      </c>
      <c r="FE2548" s="1" t="s">
        <v>975</v>
      </c>
      <c r="FF2548" s="1" t="s">
        <v>387</v>
      </c>
      <c r="FG2548" s="1" t="s">
        <v>2060</v>
      </c>
      <c r="FH2548" s="1" t="s">
        <v>550</v>
      </c>
      <c r="FL2548" s="1" t="s">
        <v>358</v>
      </c>
      <c r="FM2548" s="1" t="s">
        <v>252</v>
      </c>
      <c r="FN2548" s="1" t="s">
        <v>213</v>
      </c>
      <c r="FO2548" s="1" t="s">
        <v>213</v>
      </c>
      <c r="FQ2548" s="1" t="s">
        <v>3853</v>
      </c>
      <c r="FR2548" s="1" t="s">
        <v>210</v>
      </c>
      <c r="FS2548" s="1" t="s">
        <v>21858</v>
      </c>
      <c r="FT2548" s="1" t="s">
        <v>3855</v>
      </c>
      <c r="FU2548" s="1" t="s">
        <v>204</v>
      </c>
      <c r="FV2548" s="1" t="s">
        <v>9874</v>
      </c>
      <c r="FW2548" s="1" t="s">
        <v>3857</v>
      </c>
      <c r="FX2548" s="1">
        <v>23223</v>
      </c>
      <c r="FY2548" s="1" t="s">
        <v>3858</v>
      </c>
      <c r="FZ2548" s="1" t="s">
        <v>3859</v>
      </c>
      <c r="GA2548" s="1">
        <v>236300</v>
      </c>
      <c r="GC2548" s="1">
        <v>210778</v>
      </c>
      <c r="GE2548" s="1" t="s">
        <v>1333</v>
      </c>
      <c r="GI2548" s="1" t="s">
        <v>204</v>
      </c>
      <c r="GJ2548" s="1" t="s">
        <v>300</v>
      </c>
      <c r="GK2548" s="1" t="s">
        <v>210</v>
      </c>
      <c r="GL2548" s="2">
        <v>42123</v>
      </c>
      <c r="GM2548" s="1" t="s">
        <v>21859</v>
      </c>
    </row>
    <row r="2549" spans="1:195">
      <c r="A2549" s="1">
        <v>165000</v>
      </c>
      <c r="B2549" s="1" t="s">
        <v>195</v>
      </c>
      <c r="C2549" s="1" t="str">
        <f>"08827677"</f>
        <v>08827677</v>
      </c>
      <c r="D2549" s="1" t="s">
        <v>196</v>
      </c>
      <c r="F2549" s="1" t="str">
        <f>"172"</f>
        <v>172</v>
      </c>
      <c r="G2549" s="2">
        <v>42034</v>
      </c>
      <c r="H2549" s="1">
        <v>164500</v>
      </c>
      <c r="I2549" s="1">
        <v>164500</v>
      </c>
      <c r="J2549" s="1">
        <v>165000</v>
      </c>
      <c r="K2549" s="2">
        <v>42034</v>
      </c>
      <c r="L2549" s="1">
        <v>12</v>
      </c>
      <c r="M2549" s="2">
        <v>42045</v>
      </c>
      <c r="N2549" s="1">
        <v>12</v>
      </c>
      <c r="O2549" s="2">
        <v>42045</v>
      </c>
      <c r="P2549" s="1">
        <v>6267</v>
      </c>
      <c r="Q2549" s="1" t="s">
        <v>197</v>
      </c>
      <c r="R2549" s="2">
        <v>42082</v>
      </c>
      <c r="S2549" s="1">
        <v>37307</v>
      </c>
      <c r="U2549" s="1">
        <v>1642</v>
      </c>
      <c r="V2549" s="1" t="s">
        <v>21860</v>
      </c>
      <c r="W2549" s="1" t="s">
        <v>304</v>
      </c>
      <c r="X2549" s="1">
        <v>1642</v>
      </c>
      <c r="Y2549" s="1">
        <v>4</v>
      </c>
      <c r="Z2549" s="1" t="s">
        <v>370</v>
      </c>
      <c r="AA2549" s="1" t="s">
        <v>266</v>
      </c>
      <c r="AB2549" s="1">
        <v>60172</v>
      </c>
      <c r="AD2549" s="1" t="s">
        <v>21861</v>
      </c>
      <c r="AE2549" s="1" t="s">
        <v>21862</v>
      </c>
      <c r="AF2549" s="1">
        <v>1996</v>
      </c>
      <c r="AG2549" s="1" t="s">
        <v>204</v>
      </c>
      <c r="AH2549" s="1" t="s">
        <v>3952</v>
      </c>
      <c r="AI2549" s="1" t="s">
        <v>206</v>
      </c>
      <c r="AJ2549" s="1" t="s">
        <v>269</v>
      </c>
      <c r="AL2549" s="1">
        <v>5</v>
      </c>
      <c r="AM2549" s="1">
        <v>2</v>
      </c>
      <c r="AN2549" s="1">
        <v>1</v>
      </c>
      <c r="AO2549" s="1">
        <v>1</v>
      </c>
      <c r="AP2549" s="1" t="s">
        <v>667</v>
      </c>
      <c r="AR2549" s="1" t="s">
        <v>210</v>
      </c>
      <c r="AS2549" s="1" t="s">
        <v>204</v>
      </c>
      <c r="AT2549" s="1" t="s">
        <v>211</v>
      </c>
      <c r="AU2549" s="1">
        <v>1</v>
      </c>
      <c r="AW2549" s="1" t="s">
        <v>204</v>
      </c>
      <c r="AX2549" s="1" t="s">
        <v>212</v>
      </c>
      <c r="AZ2549" s="1">
        <v>3534</v>
      </c>
      <c r="BA2549" s="1">
        <v>2013</v>
      </c>
      <c r="BE2549" s="1">
        <v>1182</v>
      </c>
      <c r="BF2549" s="1">
        <v>1</v>
      </c>
      <c r="BG2549" s="1">
        <v>0</v>
      </c>
      <c r="BL2549" s="1">
        <v>201</v>
      </c>
      <c r="BM2549" s="1" t="s">
        <v>204</v>
      </c>
      <c r="BN2549" s="1" t="s">
        <v>213</v>
      </c>
      <c r="BO2549" s="1">
        <v>0</v>
      </c>
      <c r="BP2549" s="1" t="s">
        <v>204</v>
      </c>
      <c r="BR2549" s="1" t="str">
        <f>"0205230077"</f>
        <v>0205230077</v>
      </c>
      <c r="BT2549" s="1" t="s">
        <v>21863</v>
      </c>
      <c r="BX2549" s="1">
        <v>20</v>
      </c>
      <c r="BY2549" s="1">
        <v>20</v>
      </c>
      <c r="BZ2549" s="1">
        <v>108</v>
      </c>
      <c r="CB2549" s="1" t="str">
        <f>"7"</f>
        <v>7</v>
      </c>
      <c r="CC2549" s="1" t="str">
        <f>"0"</f>
        <v>0</v>
      </c>
      <c r="CD2549" s="1">
        <v>25</v>
      </c>
      <c r="CE2549" s="1">
        <v>0</v>
      </c>
      <c r="CG2549" s="1" t="s">
        <v>862</v>
      </c>
      <c r="CH2549" s="1" t="s">
        <v>219</v>
      </c>
      <c r="CI2549" s="1" t="s">
        <v>229</v>
      </c>
      <c r="CK2549" s="1" t="s">
        <v>539</v>
      </c>
      <c r="CL2549" s="1" t="s">
        <v>277</v>
      </c>
      <c r="CM2549" s="1" t="s">
        <v>220</v>
      </c>
      <c r="CO2549" s="1" t="s">
        <v>1046</v>
      </c>
      <c r="CP2549" s="1" t="s">
        <v>219</v>
      </c>
      <c r="CQ2549" s="1" t="s">
        <v>229</v>
      </c>
      <c r="CS2549" s="1" t="s">
        <v>378</v>
      </c>
      <c r="CT2549" s="1" t="s">
        <v>277</v>
      </c>
      <c r="CU2549" s="1" t="s">
        <v>220</v>
      </c>
      <c r="CX2549" s="1" t="s">
        <v>224</v>
      </c>
      <c r="DB2549" s="1" t="s">
        <v>224</v>
      </c>
      <c r="DE2549" s="1" t="s">
        <v>380</v>
      </c>
      <c r="DF2549" s="1" t="s">
        <v>219</v>
      </c>
      <c r="DG2549" s="1" t="s">
        <v>229</v>
      </c>
      <c r="DJ2549" s="1" t="s">
        <v>224</v>
      </c>
      <c r="DS2549" s="1" t="s">
        <v>230</v>
      </c>
      <c r="DW2549" s="1" t="s">
        <v>230</v>
      </c>
      <c r="EA2549" s="1" t="s">
        <v>230</v>
      </c>
      <c r="EE2549" s="1" t="s">
        <v>230</v>
      </c>
      <c r="EI2549" s="1" t="s">
        <v>230</v>
      </c>
      <c r="EL2549" s="1" t="s">
        <v>670</v>
      </c>
      <c r="EM2549" s="1" t="s">
        <v>319</v>
      </c>
      <c r="EN2549" s="1" t="s">
        <v>282</v>
      </c>
      <c r="EO2549" s="1" t="s">
        <v>234</v>
      </c>
      <c r="ER2549" s="1" t="s">
        <v>210</v>
      </c>
      <c r="EW2549" s="1" t="s">
        <v>867</v>
      </c>
      <c r="EZ2549" s="1" t="s">
        <v>287</v>
      </c>
      <c r="FD2549" s="1" t="s">
        <v>246</v>
      </c>
      <c r="FE2549" s="1" t="s">
        <v>1006</v>
      </c>
      <c r="FF2549" s="1" t="s">
        <v>248</v>
      </c>
      <c r="FH2549" s="1" t="s">
        <v>550</v>
      </c>
      <c r="FL2549" s="1" t="s">
        <v>358</v>
      </c>
      <c r="FM2549" s="1" t="s">
        <v>252</v>
      </c>
      <c r="FN2549" s="1" t="s">
        <v>213</v>
      </c>
      <c r="FO2549" s="1" t="s">
        <v>213</v>
      </c>
      <c r="FQ2549" s="1" t="s">
        <v>1518</v>
      </c>
      <c r="FR2549" s="1" t="s">
        <v>210</v>
      </c>
      <c r="FS2549" s="1" t="s">
        <v>21864</v>
      </c>
      <c r="FT2549" s="1" t="s">
        <v>362</v>
      </c>
      <c r="FU2549" s="1" t="s">
        <v>204</v>
      </c>
      <c r="FW2549" s="1" t="s">
        <v>1521</v>
      </c>
      <c r="FX2549" s="1">
        <v>16645</v>
      </c>
      <c r="FY2549" s="1" t="s">
        <v>1522</v>
      </c>
      <c r="FZ2549" s="1" t="s">
        <v>1523</v>
      </c>
      <c r="GA2549" s="1">
        <v>144314</v>
      </c>
      <c r="GB2549" s="1" t="s">
        <v>1522</v>
      </c>
      <c r="GE2549" s="1" t="s">
        <v>210</v>
      </c>
      <c r="GI2549" s="1" t="s">
        <v>204</v>
      </c>
      <c r="GJ2549" s="1" t="s">
        <v>300</v>
      </c>
      <c r="GK2549" s="1" t="s">
        <v>210</v>
      </c>
      <c r="GL2549" s="2">
        <v>42086</v>
      </c>
      <c r="GM2549" s="1" t="s">
        <v>21865</v>
      </c>
    </row>
    <row r="2550" spans="1:195">
      <c r="A2550" s="1">
        <v>269000</v>
      </c>
      <c r="B2550" s="1" t="s">
        <v>195</v>
      </c>
      <c r="C2550" s="1" t="str">
        <f>"08829529"</f>
        <v>08829529</v>
      </c>
      <c r="D2550" s="1" t="s">
        <v>196</v>
      </c>
      <c r="F2550" s="1" t="str">
        <f>"540"</f>
        <v>540</v>
      </c>
      <c r="G2550" s="2">
        <v>42038</v>
      </c>
      <c r="H2550" s="1">
        <v>285000</v>
      </c>
      <c r="I2550" s="1">
        <v>285000</v>
      </c>
      <c r="J2550" s="1">
        <v>269000</v>
      </c>
      <c r="K2550" s="2">
        <v>42038</v>
      </c>
      <c r="L2550" s="1">
        <v>21</v>
      </c>
      <c r="M2550" s="2">
        <v>42058</v>
      </c>
      <c r="N2550" s="1">
        <v>21</v>
      </c>
      <c r="O2550" s="2">
        <v>42058</v>
      </c>
      <c r="P2550" s="1">
        <v>23156</v>
      </c>
      <c r="Q2550" s="1" t="s">
        <v>197</v>
      </c>
      <c r="R2550" s="2">
        <v>42111</v>
      </c>
      <c r="S2550" s="1">
        <v>233258</v>
      </c>
      <c r="U2550" s="1">
        <v>1536</v>
      </c>
      <c r="V2550" s="1" t="s">
        <v>21866</v>
      </c>
      <c r="W2550" s="1" t="s">
        <v>304</v>
      </c>
      <c r="Y2550" s="1">
        <v>5</v>
      </c>
      <c r="Z2550" s="1" t="s">
        <v>249</v>
      </c>
      <c r="AA2550" s="1" t="s">
        <v>921</v>
      </c>
      <c r="AB2550" s="1">
        <v>60565</v>
      </c>
      <c r="AD2550" s="1" t="s">
        <v>12203</v>
      </c>
      <c r="AE2550" s="1" t="s">
        <v>21867</v>
      </c>
      <c r="AF2550" s="1">
        <v>1997</v>
      </c>
      <c r="AG2550" s="1" t="s">
        <v>204</v>
      </c>
      <c r="AH2550" s="1" t="s">
        <v>924</v>
      </c>
      <c r="AI2550" s="1" t="s">
        <v>206</v>
      </c>
      <c r="AJ2550" s="1" t="s">
        <v>924</v>
      </c>
      <c r="AL2550" s="1">
        <v>8</v>
      </c>
      <c r="AM2550" s="1">
        <v>2</v>
      </c>
      <c r="AN2550" s="1">
        <v>3</v>
      </c>
      <c r="AO2550" s="1">
        <v>1</v>
      </c>
      <c r="AP2550" s="1" t="s">
        <v>209</v>
      </c>
      <c r="AQ2550" s="1">
        <v>1</v>
      </c>
      <c r="AR2550" s="1" t="s">
        <v>209</v>
      </c>
      <c r="AS2550" s="1" t="s">
        <v>213</v>
      </c>
      <c r="AT2550" s="1" t="s">
        <v>211</v>
      </c>
      <c r="AU2550" s="1">
        <v>2</v>
      </c>
      <c r="AW2550" s="1" t="s">
        <v>204</v>
      </c>
      <c r="AX2550" s="1" t="s">
        <v>212</v>
      </c>
      <c r="AZ2550" s="1">
        <v>5311.36</v>
      </c>
      <c r="BA2550" s="1">
        <v>2013</v>
      </c>
      <c r="BE2550" s="1">
        <v>1829</v>
      </c>
      <c r="BF2550" s="1">
        <v>1</v>
      </c>
      <c r="BG2550" s="1">
        <v>0</v>
      </c>
      <c r="BL2550" s="1">
        <v>341</v>
      </c>
      <c r="BM2550" s="1" t="s">
        <v>204</v>
      </c>
      <c r="BN2550" s="1" t="s">
        <v>213</v>
      </c>
      <c r="BO2550" s="1">
        <v>0</v>
      </c>
      <c r="BP2550" s="1" t="s">
        <v>204</v>
      </c>
      <c r="BR2550" s="1" t="str">
        <f>"0829312180"</f>
        <v>0829312180</v>
      </c>
      <c r="BT2550" s="1" t="s">
        <v>21868</v>
      </c>
      <c r="BU2550" s="1" t="s">
        <v>21411</v>
      </c>
      <c r="BV2550" s="1" t="s">
        <v>929</v>
      </c>
      <c r="BW2550" s="1" t="s">
        <v>930</v>
      </c>
      <c r="BX2550" s="1">
        <v>203</v>
      </c>
      <c r="BY2550" s="1">
        <v>203</v>
      </c>
      <c r="BZ2550" s="1">
        <v>203</v>
      </c>
      <c r="CB2550" s="1" t="str">
        <f t="shared" ref="CB2550:CC2550" si="1956">"0"</f>
        <v>0</v>
      </c>
      <c r="CC2550" s="1" t="str">
        <f t="shared" si="1956"/>
        <v>0</v>
      </c>
      <c r="CD2550" s="1">
        <v>25</v>
      </c>
      <c r="CE2550" s="1">
        <v>8</v>
      </c>
      <c r="CG2550" s="1" t="s">
        <v>601</v>
      </c>
      <c r="CH2550" s="1" t="s">
        <v>219</v>
      </c>
      <c r="CI2550" s="1" t="s">
        <v>220</v>
      </c>
      <c r="CJ2550" s="1" t="s">
        <v>252</v>
      </c>
      <c r="CK2550" s="1" t="s">
        <v>861</v>
      </c>
      <c r="CL2550" s="1" t="s">
        <v>277</v>
      </c>
      <c r="CM2550" s="1" t="s">
        <v>220</v>
      </c>
      <c r="CN2550" s="1" t="s">
        <v>252</v>
      </c>
      <c r="CO2550" s="1" t="s">
        <v>1297</v>
      </c>
      <c r="CP2550" s="1" t="s">
        <v>219</v>
      </c>
      <c r="CQ2550" s="1" t="s">
        <v>220</v>
      </c>
      <c r="CR2550" s="1" t="s">
        <v>7316</v>
      </c>
      <c r="CS2550" s="1" t="s">
        <v>465</v>
      </c>
      <c r="CT2550" s="1" t="s">
        <v>277</v>
      </c>
      <c r="CU2550" s="1" t="s">
        <v>220</v>
      </c>
      <c r="CV2550" s="1" t="s">
        <v>252</v>
      </c>
      <c r="CX2550" s="1" t="s">
        <v>224</v>
      </c>
      <c r="DB2550" s="1" t="s">
        <v>224</v>
      </c>
      <c r="DE2550" s="1" t="s">
        <v>378</v>
      </c>
      <c r="DF2550" s="1" t="s">
        <v>219</v>
      </c>
      <c r="DG2550" s="1" t="s">
        <v>438</v>
      </c>
      <c r="DI2550" s="1" t="s">
        <v>10786</v>
      </c>
      <c r="DJ2550" s="1" t="s">
        <v>822</v>
      </c>
      <c r="DK2550" s="1" t="s">
        <v>220</v>
      </c>
      <c r="DM2550" s="1" t="s">
        <v>464</v>
      </c>
      <c r="DN2550" s="1" t="s">
        <v>3011</v>
      </c>
      <c r="DO2550" s="1" t="s">
        <v>381</v>
      </c>
      <c r="DR2550" s="1" t="s">
        <v>686</v>
      </c>
      <c r="DS2550" s="1" t="s">
        <v>277</v>
      </c>
      <c r="DT2550" s="1" t="s">
        <v>220</v>
      </c>
      <c r="DV2550" s="1" t="s">
        <v>3126</v>
      </c>
      <c r="DW2550" s="1" t="s">
        <v>219</v>
      </c>
      <c r="DZ2550" s="1" t="s">
        <v>379</v>
      </c>
      <c r="EA2550" s="1" t="s">
        <v>219</v>
      </c>
      <c r="EB2550" s="1" t="s">
        <v>438</v>
      </c>
      <c r="EE2550" s="1" t="s">
        <v>230</v>
      </c>
      <c r="EI2550" s="1" t="s">
        <v>230</v>
      </c>
      <c r="EL2550" s="1" t="s">
        <v>670</v>
      </c>
      <c r="EM2550" s="1" t="s">
        <v>232</v>
      </c>
      <c r="EN2550" s="1" t="s">
        <v>282</v>
      </c>
      <c r="EO2550" s="1" t="s">
        <v>234</v>
      </c>
      <c r="EP2550" s="1" t="s">
        <v>650</v>
      </c>
      <c r="EQ2550" s="1" t="s">
        <v>11636</v>
      </c>
      <c r="ER2550" s="1" t="s">
        <v>544</v>
      </c>
      <c r="ES2550" s="1" t="s">
        <v>322</v>
      </c>
      <c r="ET2550" s="1" t="s">
        <v>1869</v>
      </c>
      <c r="EU2550" s="1" t="s">
        <v>712</v>
      </c>
      <c r="EV2550" s="1" t="s">
        <v>240</v>
      </c>
      <c r="EW2550" s="1" t="s">
        <v>937</v>
      </c>
      <c r="EY2550" s="1" t="s">
        <v>242</v>
      </c>
      <c r="EZ2550" s="1" t="s">
        <v>21869</v>
      </c>
      <c r="FA2550" s="1" t="s">
        <v>12917</v>
      </c>
      <c r="FD2550" s="1" t="s">
        <v>246</v>
      </c>
      <c r="FE2550" s="1" t="s">
        <v>975</v>
      </c>
      <c r="FF2550" s="1" t="s">
        <v>248</v>
      </c>
      <c r="FG2550" s="1" t="s">
        <v>871</v>
      </c>
      <c r="FH2550" s="1" t="s">
        <v>550</v>
      </c>
      <c r="FI2550" s="1" t="s">
        <v>473</v>
      </c>
      <c r="FL2550" s="1" t="s">
        <v>358</v>
      </c>
      <c r="FM2550" s="1" t="s">
        <v>252</v>
      </c>
      <c r="FN2550" s="1" t="s">
        <v>213</v>
      </c>
      <c r="FO2550" s="1" t="s">
        <v>213</v>
      </c>
      <c r="FQ2550" s="1" t="s">
        <v>793</v>
      </c>
      <c r="FR2550" s="1" t="s">
        <v>210</v>
      </c>
      <c r="FS2550" s="1" t="s">
        <v>1709</v>
      </c>
      <c r="FT2550" s="1" t="s">
        <v>21870</v>
      </c>
      <c r="FU2550" s="1" t="s">
        <v>204</v>
      </c>
      <c r="FW2550" s="1" t="s">
        <v>943</v>
      </c>
      <c r="FX2550" s="1">
        <v>23120</v>
      </c>
      <c r="FY2550" s="1" t="s">
        <v>944</v>
      </c>
      <c r="FZ2550" s="1" t="s">
        <v>19393</v>
      </c>
      <c r="GA2550" s="1">
        <v>216797</v>
      </c>
      <c r="GB2550" s="1" t="s">
        <v>19394</v>
      </c>
      <c r="GC2550" s="1">
        <v>232337</v>
      </c>
      <c r="GE2550" s="1" t="s">
        <v>658</v>
      </c>
      <c r="GI2550" s="1" t="s">
        <v>213</v>
      </c>
      <c r="GJ2550" s="1" t="s">
        <v>260</v>
      </c>
      <c r="GK2550" s="1" t="s">
        <v>210</v>
      </c>
      <c r="GL2550" s="2">
        <v>42111</v>
      </c>
      <c r="GM2550" s="1" t="s">
        <v>21871</v>
      </c>
    </row>
    <row r="2551" spans="1:195">
      <c r="A2551" s="1">
        <v>164400</v>
      </c>
      <c r="B2551" s="1" t="s">
        <v>195</v>
      </c>
      <c r="C2551" s="1" t="str">
        <f>"08835328"</f>
        <v>08835328</v>
      </c>
      <c r="D2551" s="1" t="s">
        <v>196</v>
      </c>
      <c r="F2551" s="1" t="str">
        <f>"507"</f>
        <v>507</v>
      </c>
      <c r="G2551" s="2">
        <v>42045</v>
      </c>
      <c r="H2551" s="1">
        <v>164900</v>
      </c>
      <c r="I2551" s="1">
        <v>164900</v>
      </c>
      <c r="J2551" s="1">
        <v>164400</v>
      </c>
      <c r="K2551" s="2">
        <v>42045</v>
      </c>
      <c r="L2551" s="1">
        <v>25</v>
      </c>
      <c r="M2551" s="2">
        <v>42069</v>
      </c>
      <c r="N2551" s="1">
        <v>25</v>
      </c>
      <c r="O2551" s="2">
        <v>42069</v>
      </c>
      <c r="P2551" s="1">
        <v>23120</v>
      </c>
      <c r="Q2551" s="1" t="s">
        <v>197</v>
      </c>
      <c r="R2551" s="2">
        <v>42104</v>
      </c>
      <c r="S2551" s="1">
        <v>241207</v>
      </c>
      <c r="U2551" s="1">
        <v>3907</v>
      </c>
      <c r="V2551" s="1" t="s">
        <v>11689</v>
      </c>
      <c r="W2551" s="1" t="s">
        <v>264</v>
      </c>
      <c r="Y2551" s="1">
        <v>4</v>
      </c>
      <c r="Z2551" s="1" t="s">
        <v>370</v>
      </c>
      <c r="AA2551" s="1" t="s">
        <v>1123</v>
      </c>
      <c r="AB2551" s="1">
        <v>60504</v>
      </c>
      <c r="AE2551" s="1" t="s">
        <v>21872</v>
      </c>
      <c r="AF2551" s="1">
        <v>2001</v>
      </c>
      <c r="AG2551" s="1" t="s">
        <v>204</v>
      </c>
      <c r="AH2551" s="1" t="s">
        <v>924</v>
      </c>
      <c r="AI2551" s="1" t="s">
        <v>206</v>
      </c>
      <c r="AJ2551" s="1" t="s">
        <v>924</v>
      </c>
      <c r="AL2551" s="1">
        <v>6</v>
      </c>
      <c r="AM2551" s="1">
        <v>2</v>
      </c>
      <c r="AN2551" s="1">
        <v>1</v>
      </c>
      <c r="AO2551" s="1">
        <v>1</v>
      </c>
      <c r="AP2551" s="1" t="s">
        <v>667</v>
      </c>
      <c r="AQ2551" s="1">
        <v>1</v>
      </c>
      <c r="AR2551" s="1" t="s">
        <v>210</v>
      </c>
      <c r="AS2551" s="1" t="s">
        <v>204</v>
      </c>
      <c r="AT2551" s="1" t="s">
        <v>211</v>
      </c>
      <c r="AU2551" s="1">
        <v>2</v>
      </c>
      <c r="AW2551" s="1" t="s">
        <v>204</v>
      </c>
      <c r="AX2551" s="1" t="s">
        <v>21873</v>
      </c>
      <c r="AZ2551" s="1">
        <v>4275</v>
      </c>
      <c r="BA2551" s="1">
        <v>2013</v>
      </c>
      <c r="BB2551" s="1" t="s">
        <v>405</v>
      </c>
      <c r="BE2551" s="1">
        <v>1600</v>
      </c>
      <c r="BF2551" s="1">
        <v>1</v>
      </c>
      <c r="BG2551" s="1">
        <v>0</v>
      </c>
      <c r="BL2551" s="1">
        <v>140</v>
      </c>
      <c r="BM2551" s="1" t="s">
        <v>204</v>
      </c>
      <c r="BN2551" s="1" t="s">
        <v>213</v>
      </c>
      <c r="BO2551" s="1">
        <v>999</v>
      </c>
      <c r="BP2551" s="1" t="s">
        <v>204</v>
      </c>
      <c r="BR2551" s="1" t="str">
        <f>"0728305083"</f>
        <v>0728305083</v>
      </c>
      <c r="BT2551" s="1" t="s">
        <v>21874</v>
      </c>
      <c r="BU2551" s="1" t="s">
        <v>11693</v>
      </c>
      <c r="BV2551" s="1" t="s">
        <v>2535</v>
      </c>
      <c r="BW2551" s="1" t="s">
        <v>1131</v>
      </c>
      <c r="BX2551" s="1">
        <v>204</v>
      </c>
      <c r="BY2551" s="1">
        <v>204</v>
      </c>
      <c r="BZ2551" s="1">
        <v>204</v>
      </c>
      <c r="CB2551" s="1" t="str">
        <f t="shared" ref="CB2551:CC2551" si="1957">""</f>
        <v/>
      </c>
      <c r="CC2551" s="1" t="str">
        <f t="shared" si="1957"/>
        <v/>
      </c>
      <c r="CD2551" s="1">
        <v>30</v>
      </c>
      <c r="CE2551" s="1">
        <v>8</v>
      </c>
      <c r="CG2551" s="1" t="s">
        <v>218</v>
      </c>
      <c r="CH2551" s="1" t="s">
        <v>219</v>
      </c>
      <c r="CI2551" s="1" t="s">
        <v>220</v>
      </c>
      <c r="CK2551" s="1" t="s">
        <v>377</v>
      </c>
      <c r="CL2551" s="1" t="s">
        <v>277</v>
      </c>
      <c r="CM2551" s="1" t="s">
        <v>220</v>
      </c>
      <c r="CO2551" s="1" t="s">
        <v>281</v>
      </c>
      <c r="CP2551" s="1" t="s">
        <v>219</v>
      </c>
      <c r="CQ2551" s="1" t="s">
        <v>220</v>
      </c>
      <c r="CS2551" s="1" t="s">
        <v>346</v>
      </c>
      <c r="CT2551" s="1" t="s">
        <v>277</v>
      </c>
      <c r="CU2551" s="1" t="s">
        <v>220</v>
      </c>
      <c r="CX2551" s="1" t="s">
        <v>224</v>
      </c>
      <c r="DB2551" s="1" t="s">
        <v>224</v>
      </c>
      <c r="DE2551" s="1" t="s">
        <v>1046</v>
      </c>
      <c r="DF2551" s="1" t="s">
        <v>219</v>
      </c>
      <c r="DG2551" s="1" t="s">
        <v>438</v>
      </c>
      <c r="DJ2551" s="1" t="s">
        <v>224</v>
      </c>
      <c r="DM2551" s="1" t="s">
        <v>464</v>
      </c>
      <c r="DR2551" s="1" t="s">
        <v>10475</v>
      </c>
      <c r="DS2551" s="1" t="s">
        <v>277</v>
      </c>
      <c r="DT2551" s="1" t="s">
        <v>220</v>
      </c>
      <c r="DW2551" s="1" t="s">
        <v>230</v>
      </c>
      <c r="EA2551" s="1" t="s">
        <v>230</v>
      </c>
      <c r="EE2551" s="1" t="s">
        <v>230</v>
      </c>
      <c r="EI2551" s="1" t="s">
        <v>230</v>
      </c>
      <c r="EL2551" s="1" t="s">
        <v>466</v>
      </c>
      <c r="EM2551" s="1" t="s">
        <v>730</v>
      </c>
      <c r="EN2551" s="1" t="s">
        <v>282</v>
      </c>
      <c r="EO2551" s="1" t="s">
        <v>840</v>
      </c>
      <c r="EP2551" s="1" t="s">
        <v>210</v>
      </c>
      <c r="EQ2551" s="1" t="s">
        <v>236</v>
      </c>
      <c r="ER2551" s="1" t="s">
        <v>210</v>
      </c>
      <c r="ES2551" s="1" t="s">
        <v>608</v>
      </c>
      <c r="EV2551" s="1" t="s">
        <v>324</v>
      </c>
      <c r="EW2551" s="1" t="s">
        <v>353</v>
      </c>
      <c r="EY2551" s="1" t="s">
        <v>242</v>
      </c>
      <c r="EZ2551" s="1" t="s">
        <v>464</v>
      </c>
      <c r="FA2551" s="1" t="s">
        <v>714</v>
      </c>
      <c r="FB2551" s="1" t="s">
        <v>289</v>
      </c>
      <c r="FD2551" s="1" t="s">
        <v>246</v>
      </c>
      <c r="FE2551" s="1" t="s">
        <v>765</v>
      </c>
      <c r="FF2551" s="1" t="s">
        <v>248</v>
      </c>
      <c r="FG2551" s="1" t="s">
        <v>12110</v>
      </c>
      <c r="FH2551" s="1" t="s">
        <v>550</v>
      </c>
      <c r="FI2551" s="1" t="s">
        <v>357</v>
      </c>
      <c r="FL2551" s="1" t="s">
        <v>358</v>
      </c>
      <c r="FM2551" s="1" t="s">
        <v>252</v>
      </c>
      <c r="FN2551" s="1" t="s">
        <v>213</v>
      </c>
      <c r="FO2551" s="1" t="s">
        <v>213</v>
      </c>
      <c r="FQ2551" s="1" t="s">
        <v>1599</v>
      </c>
      <c r="FR2551" s="1" t="s">
        <v>210</v>
      </c>
      <c r="FS2551" s="1" t="s">
        <v>21875</v>
      </c>
      <c r="FT2551" s="1" t="s">
        <v>520</v>
      </c>
      <c r="FU2551" s="1" t="s">
        <v>204</v>
      </c>
      <c r="FW2551" s="1" t="s">
        <v>585</v>
      </c>
      <c r="FX2551" s="1">
        <v>23156</v>
      </c>
      <c r="FY2551" s="1" t="s">
        <v>1253</v>
      </c>
      <c r="FZ2551" s="1" t="s">
        <v>7262</v>
      </c>
      <c r="GA2551" s="1">
        <v>233258</v>
      </c>
      <c r="GB2551" s="1" t="s">
        <v>7263</v>
      </c>
      <c r="GD2551" s="1" t="s">
        <v>7264</v>
      </c>
      <c r="GE2551" s="1" t="s">
        <v>1226</v>
      </c>
      <c r="GI2551" s="1" t="s">
        <v>213</v>
      </c>
      <c r="GJ2551" s="1" t="s">
        <v>260</v>
      </c>
      <c r="GK2551" s="1" t="s">
        <v>210</v>
      </c>
      <c r="GL2551" s="2">
        <v>42104</v>
      </c>
      <c r="GM2551" s="1" t="s">
        <v>12068</v>
      </c>
    </row>
    <row r="2552" spans="1:195">
      <c r="A2552" s="1">
        <v>272500</v>
      </c>
      <c r="B2552" s="1" t="s">
        <v>195</v>
      </c>
      <c r="C2552" s="1" t="str">
        <f>"08836720"</f>
        <v>08836720</v>
      </c>
      <c r="D2552" s="1" t="s">
        <v>196</v>
      </c>
      <c r="F2552" s="1" t="str">
        <f>"126"</f>
        <v>126</v>
      </c>
      <c r="G2552" s="2">
        <v>42046</v>
      </c>
      <c r="H2552" s="1">
        <v>279900</v>
      </c>
      <c r="I2552" s="1">
        <v>279900</v>
      </c>
      <c r="J2552" s="1">
        <v>272500</v>
      </c>
      <c r="K2552" s="2">
        <v>42046</v>
      </c>
      <c r="L2552" s="1">
        <v>1</v>
      </c>
      <c r="M2552" s="2">
        <v>42046</v>
      </c>
      <c r="N2552" s="1">
        <v>1</v>
      </c>
      <c r="O2552" s="2">
        <v>42046</v>
      </c>
      <c r="P2552" s="1">
        <v>24330</v>
      </c>
      <c r="Q2552" s="1" t="s">
        <v>302</v>
      </c>
      <c r="R2552" s="2">
        <v>42100</v>
      </c>
      <c r="S2552" s="1">
        <v>220446</v>
      </c>
      <c r="U2552" s="1">
        <v>152</v>
      </c>
      <c r="V2552" s="1" t="s">
        <v>2690</v>
      </c>
      <c r="W2552" s="1" t="s">
        <v>425</v>
      </c>
      <c r="X2552" s="1">
        <v>207</v>
      </c>
      <c r="Y2552" s="1">
        <v>18</v>
      </c>
      <c r="Z2552" s="1" t="s">
        <v>249</v>
      </c>
      <c r="AA2552" s="1" t="s">
        <v>3169</v>
      </c>
      <c r="AB2552" s="1">
        <v>60126</v>
      </c>
      <c r="AE2552" s="1" t="s">
        <v>21876</v>
      </c>
      <c r="AF2552" s="1">
        <v>1987</v>
      </c>
      <c r="AG2552" s="1" t="s">
        <v>204</v>
      </c>
      <c r="AH2552" s="1" t="s">
        <v>3172</v>
      </c>
      <c r="AI2552" s="1" t="s">
        <v>206</v>
      </c>
      <c r="AJ2552" s="1" t="s">
        <v>1608</v>
      </c>
      <c r="AL2552" s="1">
        <v>6</v>
      </c>
      <c r="AM2552" s="1">
        <v>2</v>
      </c>
      <c r="AN2552" s="1">
        <v>2</v>
      </c>
      <c r="AO2552" s="1">
        <v>0</v>
      </c>
      <c r="AP2552" s="1" t="s">
        <v>209</v>
      </c>
      <c r="AR2552" s="1" t="s">
        <v>210</v>
      </c>
      <c r="AS2552" s="1" t="s">
        <v>204</v>
      </c>
      <c r="AT2552" s="1" t="s">
        <v>375</v>
      </c>
      <c r="AU2552" s="1">
        <v>1</v>
      </c>
      <c r="AV2552" s="1">
        <v>2</v>
      </c>
      <c r="AW2552" s="1" t="s">
        <v>204</v>
      </c>
      <c r="AX2552" s="1" t="s">
        <v>212</v>
      </c>
      <c r="AZ2552" s="1">
        <v>4823</v>
      </c>
      <c r="BA2552" s="1">
        <v>2013</v>
      </c>
      <c r="BB2552" s="1" t="s">
        <v>405</v>
      </c>
      <c r="BE2552" s="1">
        <v>1548</v>
      </c>
      <c r="BF2552" s="1">
        <v>2</v>
      </c>
      <c r="BG2552" s="1">
        <v>0</v>
      </c>
      <c r="BL2552" s="1">
        <v>266</v>
      </c>
      <c r="BM2552" s="1" t="s">
        <v>204</v>
      </c>
      <c r="BN2552" s="1" t="s">
        <v>213</v>
      </c>
      <c r="BO2552" s="1">
        <v>25</v>
      </c>
      <c r="BP2552" s="1" t="s">
        <v>204</v>
      </c>
      <c r="BR2552" s="1" t="str">
        <f>"0601130011"</f>
        <v>0601130011</v>
      </c>
      <c r="BT2552" s="1" t="s">
        <v>14715</v>
      </c>
      <c r="BX2552" s="1">
        <v>205</v>
      </c>
      <c r="BY2552" s="1">
        <v>205</v>
      </c>
      <c r="BZ2552" s="1">
        <v>205</v>
      </c>
      <c r="CB2552" s="1" t="str">
        <f t="shared" ref="CB2552:CC2552" si="1958">""</f>
        <v/>
      </c>
      <c r="CC2552" s="1" t="str">
        <f t="shared" si="1958"/>
        <v/>
      </c>
      <c r="CG2552" s="1" t="s">
        <v>1737</v>
      </c>
      <c r="CH2552" s="1" t="s">
        <v>219</v>
      </c>
      <c r="CI2552" s="1" t="s">
        <v>229</v>
      </c>
      <c r="CJ2552" s="1" t="s">
        <v>343</v>
      </c>
      <c r="CK2552" s="1" t="s">
        <v>278</v>
      </c>
      <c r="CL2552" s="1" t="s">
        <v>219</v>
      </c>
      <c r="CM2552" s="1" t="s">
        <v>220</v>
      </c>
      <c r="CO2552" s="1" t="s">
        <v>539</v>
      </c>
      <c r="CP2552" s="1" t="s">
        <v>219</v>
      </c>
      <c r="CQ2552" s="1" t="s">
        <v>229</v>
      </c>
      <c r="CS2552" s="1" t="s">
        <v>539</v>
      </c>
      <c r="CT2552" s="1" t="s">
        <v>219</v>
      </c>
      <c r="CU2552" s="1" t="s">
        <v>220</v>
      </c>
      <c r="CX2552" s="1" t="s">
        <v>224</v>
      </c>
      <c r="DB2552" s="1" t="s">
        <v>224</v>
      </c>
      <c r="DE2552" s="1" t="s">
        <v>6343</v>
      </c>
      <c r="DF2552" s="1" t="s">
        <v>219</v>
      </c>
      <c r="DG2552" s="1" t="s">
        <v>342</v>
      </c>
      <c r="DI2552" s="1" t="s">
        <v>317</v>
      </c>
      <c r="DJ2552" s="1" t="s">
        <v>219</v>
      </c>
      <c r="DK2552" s="1" t="s">
        <v>229</v>
      </c>
      <c r="DS2552" s="1" t="s">
        <v>230</v>
      </c>
      <c r="DW2552" s="1" t="s">
        <v>230</v>
      </c>
      <c r="EA2552" s="1" t="s">
        <v>230</v>
      </c>
      <c r="EE2552" s="1" t="s">
        <v>230</v>
      </c>
      <c r="EI2552" s="1" t="s">
        <v>230</v>
      </c>
      <c r="EL2552" s="1" t="s">
        <v>542</v>
      </c>
      <c r="EM2552" s="1" t="s">
        <v>232</v>
      </c>
      <c r="EN2552" s="1" t="s">
        <v>282</v>
      </c>
      <c r="EO2552" s="1" t="s">
        <v>234</v>
      </c>
      <c r="ER2552" s="1" t="s">
        <v>210</v>
      </c>
      <c r="EW2552" s="1" t="s">
        <v>887</v>
      </c>
      <c r="EZ2552" s="1" t="s">
        <v>287</v>
      </c>
      <c r="FB2552" s="1" t="s">
        <v>734</v>
      </c>
      <c r="FC2552" s="1" t="s">
        <v>1386</v>
      </c>
      <c r="FD2552" s="1" t="s">
        <v>3287</v>
      </c>
      <c r="FE2552" s="1" t="s">
        <v>247</v>
      </c>
      <c r="FF2552" s="1" t="s">
        <v>248</v>
      </c>
      <c r="FH2552" s="1" t="s">
        <v>249</v>
      </c>
      <c r="FK2552" s="1" t="s">
        <v>891</v>
      </c>
      <c r="FL2552" s="1" t="s">
        <v>358</v>
      </c>
      <c r="FM2552" s="1" t="s">
        <v>252</v>
      </c>
      <c r="FN2552" s="1" t="s">
        <v>213</v>
      </c>
      <c r="FO2552" s="1" t="s">
        <v>213</v>
      </c>
      <c r="FQ2552" s="1" t="s">
        <v>1473</v>
      </c>
      <c r="FR2552" s="1" t="s">
        <v>210</v>
      </c>
      <c r="FS2552" s="1" t="s">
        <v>14705</v>
      </c>
      <c r="FT2552" s="1" t="s">
        <v>21877</v>
      </c>
      <c r="FU2552" s="1" t="s">
        <v>204</v>
      </c>
      <c r="FW2552" s="1" t="s">
        <v>3328</v>
      </c>
      <c r="FX2552" s="1">
        <v>24330</v>
      </c>
      <c r="FY2552" s="1" t="s">
        <v>3329</v>
      </c>
      <c r="FZ2552" s="1" t="s">
        <v>21878</v>
      </c>
      <c r="GA2552" s="1">
        <v>244646</v>
      </c>
      <c r="GB2552" s="1" t="s">
        <v>21879</v>
      </c>
      <c r="GE2552" s="1" t="s">
        <v>210</v>
      </c>
      <c r="GH2552" s="1" t="s">
        <v>800</v>
      </c>
      <c r="GI2552" s="1" t="s">
        <v>213</v>
      </c>
      <c r="GJ2552" s="1" t="s">
        <v>260</v>
      </c>
      <c r="GK2552" s="1" t="s">
        <v>210</v>
      </c>
      <c r="GL2552" s="2">
        <v>42100</v>
      </c>
    </row>
    <row r="2553" spans="1:195">
      <c r="A2553" s="1">
        <v>85000</v>
      </c>
      <c r="B2553" s="1" t="s">
        <v>195</v>
      </c>
      <c r="C2553" s="1" t="str">
        <f>"08833807"</f>
        <v>08833807</v>
      </c>
      <c r="D2553" s="1" t="s">
        <v>196</v>
      </c>
      <c r="F2553" s="1" t="str">
        <f>"515"</f>
        <v>515</v>
      </c>
      <c r="G2553" s="2">
        <v>42043</v>
      </c>
      <c r="H2553" s="1">
        <v>85000</v>
      </c>
      <c r="I2553" s="1">
        <v>85000</v>
      </c>
      <c r="J2553" s="1">
        <v>85000</v>
      </c>
      <c r="K2553" s="2">
        <v>42041</v>
      </c>
      <c r="L2553" s="1">
        <v>11</v>
      </c>
      <c r="M2553" s="2">
        <v>42051</v>
      </c>
      <c r="N2553" s="1">
        <v>11</v>
      </c>
      <c r="O2553" s="2">
        <v>42051</v>
      </c>
      <c r="P2553" s="1">
        <v>20150</v>
      </c>
      <c r="Q2553" s="1" t="s">
        <v>197</v>
      </c>
      <c r="R2553" s="2">
        <v>42104</v>
      </c>
      <c r="S2553" s="1">
        <v>212118</v>
      </c>
      <c r="U2553" s="1">
        <v>3915</v>
      </c>
      <c r="V2553" s="1" t="s">
        <v>14999</v>
      </c>
      <c r="W2553" s="1" t="s">
        <v>425</v>
      </c>
      <c r="X2553" s="1" t="s">
        <v>21880</v>
      </c>
      <c r="Y2553" s="1">
        <v>30</v>
      </c>
      <c r="Z2553" s="1" t="s">
        <v>249</v>
      </c>
      <c r="AA2553" s="1" t="s">
        <v>1294</v>
      </c>
      <c r="AB2553" s="1">
        <v>60515</v>
      </c>
      <c r="AE2553" s="1" t="s">
        <v>21881</v>
      </c>
      <c r="AF2553" s="1">
        <v>1968</v>
      </c>
      <c r="AG2553" s="1" t="s">
        <v>213</v>
      </c>
      <c r="AH2553" s="1" t="s">
        <v>903</v>
      </c>
      <c r="AI2553" s="1" t="s">
        <v>206</v>
      </c>
      <c r="AJ2553" s="1" t="s">
        <v>903</v>
      </c>
      <c r="AL2553" s="1">
        <v>4</v>
      </c>
      <c r="AM2553" s="1">
        <v>2</v>
      </c>
      <c r="AN2553" s="1">
        <v>1</v>
      </c>
      <c r="AO2553" s="1">
        <v>0</v>
      </c>
      <c r="AP2553" s="1" t="s">
        <v>210</v>
      </c>
      <c r="AR2553" s="1" t="s">
        <v>210</v>
      </c>
      <c r="AT2553" s="1" t="s">
        <v>271</v>
      </c>
      <c r="AV2553" s="1">
        <v>2</v>
      </c>
      <c r="AW2553" s="1" t="s">
        <v>204</v>
      </c>
      <c r="AX2553" s="1" t="s">
        <v>212</v>
      </c>
      <c r="AZ2553" s="1">
        <v>977</v>
      </c>
      <c r="BA2553" s="1">
        <v>2013</v>
      </c>
      <c r="BB2553" s="1" t="s">
        <v>405</v>
      </c>
      <c r="BE2553" s="1">
        <v>1150</v>
      </c>
      <c r="BF2553" s="1">
        <v>1</v>
      </c>
      <c r="BG2553" s="1">
        <v>30</v>
      </c>
      <c r="BJ2553" s="1">
        <v>100</v>
      </c>
      <c r="BL2553" s="1">
        <v>318</v>
      </c>
      <c r="BM2553" s="1" t="s">
        <v>204</v>
      </c>
      <c r="BN2553" s="1" t="s">
        <v>213</v>
      </c>
      <c r="BP2553" s="1" t="s">
        <v>204</v>
      </c>
      <c r="BR2553" s="1" t="str">
        <f>"0905123211"</f>
        <v>0905123211</v>
      </c>
      <c r="BT2553" s="1" t="s">
        <v>21882</v>
      </c>
      <c r="BU2553" s="1" t="s">
        <v>5757</v>
      </c>
      <c r="BV2553" s="1" t="s">
        <v>2761</v>
      </c>
      <c r="BW2553" s="1" t="s">
        <v>2762</v>
      </c>
      <c r="BX2553" s="1">
        <v>58</v>
      </c>
      <c r="BY2553" s="1">
        <v>58</v>
      </c>
      <c r="BZ2553" s="1">
        <v>99</v>
      </c>
      <c r="CB2553" s="1" t="str">
        <f t="shared" ref="CB2553:CC2553" si="1959">"0"</f>
        <v>0</v>
      </c>
      <c r="CC2553" s="1" t="str">
        <f t="shared" si="1959"/>
        <v>0</v>
      </c>
      <c r="CD2553" s="1">
        <v>20</v>
      </c>
      <c r="CE2553" s="1">
        <v>4</v>
      </c>
      <c r="CG2553" s="1" t="s">
        <v>1723</v>
      </c>
      <c r="CH2553" s="1" t="s">
        <v>219</v>
      </c>
      <c r="CI2553" s="1" t="s">
        <v>220</v>
      </c>
      <c r="CK2553" s="1" t="s">
        <v>564</v>
      </c>
      <c r="CL2553" s="1" t="s">
        <v>219</v>
      </c>
      <c r="CM2553" s="1" t="s">
        <v>220</v>
      </c>
      <c r="CP2553" s="1" t="s">
        <v>224</v>
      </c>
      <c r="CS2553" s="1" t="s">
        <v>539</v>
      </c>
      <c r="CT2553" s="1" t="s">
        <v>219</v>
      </c>
      <c r="CU2553" s="1" t="s">
        <v>220</v>
      </c>
      <c r="CX2553" s="1" t="s">
        <v>224</v>
      </c>
      <c r="DB2553" s="1" t="s">
        <v>224</v>
      </c>
      <c r="DE2553" s="1" t="s">
        <v>1612</v>
      </c>
      <c r="DF2553" s="1" t="s">
        <v>219</v>
      </c>
      <c r="DG2553" s="1" t="s">
        <v>226</v>
      </c>
      <c r="DJ2553" s="1" t="s">
        <v>224</v>
      </c>
      <c r="DS2553" s="1" t="s">
        <v>230</v>
      </c>
      <c r="DW2553" s="1" t="s">
        <v>230</v>
      </c>
      <c r="EA2553" s="1" t="s">
        <v>230</v>
      </c>
      <c r="EE2553" s="1" t="s">
        <v>230</v>
      </c>
      <c r="EI2553" s="1" t="s">
        <v>230</v>
      </c>
      <c r="EL2553" s="1" t="s">
        <v>605</v>
      </c>
      <c r="EM2553" s="1" t="s">
        <v>232</v>
      </c>
      <c r="EN2553" s="1" t="s">
        <v>731</v>
      </c>
      <c r="EO2553" s="1" t="s">
        <v>234</v>
      </c>
      <c r="EP2553" s="1" t="s">
        <v>21883</v>
      </c>
      <c r="EQ2553" s="1" t="s">
        <v>1109</v>
      </c>
      <c r="ER2553" s="1" t="s">
        <v>210</v>
      </c>
      <c r="ES2553" s="1" t="s">
        <v>322</v>
      </c>
      <c r="EW2553" s="1" t="s">
        <v>21884</v>
      </c>
      <c r="EZ2553" s="1" t="s">
        <v>287</v>
      </c>
      <c r="FB2553" s="1" t="s">
        <v>289</v>
      </c>
      <c r="FC2553" s="1" t="s">
        <v>633</v>
      </c>
      <c r="FD2553" s="1" t="s">
        <v>736</v>
      </c>
      <c r="FE2553" s="1" t="s">
        <v>247</v>
      </c>
      <c r="FF2553" s="1" t="s">
        <v>248</v>
      </c>
      <c r="FH2553" s="1" t="s">
        <v>249</v>
      </c>
      <c r="FJ2553" s="1" t="s">
        <v>197</v>
      </c>
      <c r="FK2553" s="1" t="s">
        <v>891</v>
      </c>
      <c r="FL2553" s="1" t="s">
        <v>21885</v>
      </c>
      <c r="FM2553" s="1" t="s">
        <v>252</v>
      </c>
      <c r="FN2553" s="1" t="s">
        <v>213</v>
      </c>
      <c r="FO2553" s="1" t="s">
        <v>213</v>
      </c>
      <c r="FQ2553" s="1" t="s">
        <v>1180</v>
      </c>
      <c r="FR2553" s="1" t="s">
        <v>210</v>
      </c>
      <c r="FS2553" s="1" t="s">
        <v>21886</v>
      </c>
      <c r="FT2553" s="1" t="s">
        <v>21887</v>
      </c>
      <c r="FU2553" s="1" t="s">
        <v>204</v>
      </c>
      <c r="FW2553" s="1" t="s">
        <v>1961</v>
      </c>
      <c r="FX2553" s="1">
        <v>20150</v>
      </c>
      <c r="FY2553" s="1" t="s">
        <v>1962</v>
      </c>
      <c r="FZ2553" s="1" t="s">
        <v>21888</v>
      </c>
      <c r="GA2553" s="1">
        <v>224462</v>
      </c>
      <c r="GB2553" s="1" t="s">
        <v>21889</v>
      </c>
      <c r="GE2553" s="1" t="s">
        <v>210</v>
      </c>
      <c r="GI2553" s="1" t="s">
        <v>213</v>
      </c>
      <c r="GJ2553" s="1" t="s">
        <v>260</v>
      </c>
      <c r="GK2553" s="1" t="s">
        <v>210</v>
      </c>
      <c r="GL2553" s="2">
        <v>42106</v>
      </c>
      <c r="GM2553" s="1" t="s">
        <v>21890</v>
      </c>
    </row>
    <row r="2554" spans="1:195">
      <c r="A2554" s="1">
        <v>410000</v>
      </c>
      <c r="B2554" s="1" t="s">
        <v>195</v>
      </c>
      <c r="C2554" s="1" t="str">
        <f>"08832700"</f>
        <v>08832700</v>
      </c>
      <c r="D2554" s="1" t="s">
        <v>196</v>
      </c>
      <c r="F2554" s="1" t="str">
        <f>"126"</f>
        <v>126</v>
      </c>
      <c r="G2554" s="2">
        <v>42041</v>
      </c>
      <c r="H2554" s="1">
        <v>419900</v>
      </c>
      <c r="I2554" s="1">
        <v>419900</v>
      </c>
      <c r="J2554" s="1">
        <v>410000</v>
      </c>
      <c r="K2554" s="2">
        <v>42040</v>
      </c>
      <c r="L2554" s="1">
        <v>5</v>
      </c>
      <c r="M2554" s="2">
        <v>42044</v>
      </c>
      <c r="N2554" s="1">
        <v>5</v>
      </c>
      <c r="O2554" s="2">
        <v>42044</v>
      </c>
      <c r="P2554" s="1">
        <v>24039</v>
      </c>
      <c r="Q2554" s="1" t="s">
        <v>197</v>
      </c>
      <c r="R2554" s="2">
        <v>42075</v>
      </c>
      <c r="S2554" s="1">
        <v>238327</v>
      </c>
      <c r="U2554" s="1">
        <v>112</v>
      </c>
      <c r="V2554" s="1" t="s">
        <v>21891</v>
      </c>
      <c r="W2554" s="1" t="s">
        <v>779</v>
      </c>
      <c r="Y2554" s="1">
        <v>56</v>
      </c>
      <c r="Z2554" s="1" t="s">
        <v>200</v>
      </c>
      <c r="AA2554" s="1" t="s">
        <v>3169</v>
      </c>
      <c r="AB2554" s="1">
        <v>60126</v>
      </c>
      <c r="AD2554" s="1" t="s">
        <v>21892</v>
      </c>
      <c r="AE2554" s="1" t="s">
        <v>21893</v>
      </c>
      <c r="AF2554" s="1">
        <v>2002</v>
      </c>
      <c r="AG2554" s="1" t="s">
        <v>204</v>
      </c>
      <c r="AH2554" s="1" t="s">
        <v>3172</v>
      </c>
      <c r="AI2554" s="1" t="s">
        <v>206</v>
      </c>
      <c r="AJ2554" s="1" t="s">
        <v>1608</v>
      </c>
      <c r="AK2554" s="1" t="s">
        <v>21894</v>
      </c>
      <c r="AL2554" s="1">
        <v>6</v>
      </c>
      <c r="AM2554" s="1">
        <v>2</v>
      </c>
      <c r="AN2554" s="1">
        <v>2</v>
      </c>
      <c r="AO2554" s="1">
        <v>1</v>
      </c>
      <c r="AP2554" s="1" t="s">
        <v>209</v>
      </c>
      <c r="AQ2554" s="1">
        <v>1</v>
      </c>
      <c r="AR2554" s="1" t="s">
        <v>210</v>
      </c>
      <c r="AS2554" s="1" t="s">
        <v>204</v>
      </c>
      <c r="AT2554" s="1" t="s">
        <v>211</v>
      </c>
      <c r="AU2554" s="1">
        <v>2</v>
      </c>
      <c r="AW2554" s="1" t="s">
        <v>204</v>
      </c>
      <c r="AX2554" s="1" t="s">
        <v>212</v>
      </c>
      <c r="AZ2554" s="1">
        <v>7170.62</v>
      </c>
      <c r="BA2554" s="1">
        <v>2013</v>
      </c>
      <c r="BB2554" s="1" t="s">
        <v>405</v>
      </c>
      <c r="BE2554" s="1">
        <v>1935</v>
      </c>
      <c r="BF2554" s="1">
        <v>1</v>
      </c>
      <c r="BG2554" s="1">
        <v>30</v>
      </c>
      <c r="BL2554" s="1">
        <v>515</v>
      </c>
      <c r="BM2554" s="1" t="s">
        <v>204</v>
      </c>
      <c r="BN2554" s="1" t="s">
        <v>213</v>
      </c>
      <c r="BO2554" s="1">
        <v>999</v>
      </c>
      <c r="BP2554" s="1" t="s">
        <v>204</v>
      </c>
      <c r="BR2554" s="1" t="str">
        <f>"0602236002"</f>
        <v>0602236002</v>
      </c>
      <c r="BT2554" s="1" t="s">
        <v>21895</v>
      </c>
      <c r="BU2554" s="1" t="s">
        <v>3174</v>
      </c>
      <c r="BV2554" s="1" t="s">
        <v>3175</v>
      </c>
      <c r="BW2554" s="1" t="s">
        <v>3176</v>
      </c>
      <c r="BX2554" s="1">
        <v>205</v>
      </c>
      <c r="BY2554" s="1">
        <v>205</v>
      </c>
      <c r="BZ2554" s="1">
        <v>205</v>
      </c>
      <c r="CB2554" s="1" t="str">
        <f t="shared" ref="CB2554:CC2554" si="1960">""</f>
        <v/>
      </c>
      <c r="CC2554" s="1" t="str">
        <f t="shared" si="1960"/>
        <v/>
      </c>
      <c r="CG2554" s="1" t="s">
        <v>539</v>
      </c>
      <c r="CH2554" s="1" t="s">
        <v>219</v>
      </c>
      <c r="CI2554" s="1" t="s">
        <v>438</v>
      </c>
      <c r="CK2554" s="1" t="s">
        <v>729</v>
      </c>
      <c r="CL2554" s="1" t="s">
        <v>277</v>
      </c>
      <c r="CM2554" s="1" t="s">
        <v>220</v>
      </c>
      <c r="CO2554" s="1" t="s">
        <v>1358</v>
      </c>
      <c r="CP2554" s="1" t="s">
        <v>219</v>
      </c>
      <c r="CQ2554" s="1" t="s">
        <v>438</v>
      </c>
      <c r="CS2554" s="1" t="s">
        <v>539</v>
      </c>
      <c r="CT2554" s="1" t="s">
        <v>277</v>
      </c>
      <c r="CU2554" s="1" t="s">
        <v>220</v>
      </c>
      <c r="CX2554" s="1" t="s">
        <v>224</v>
      </c>
      <c r="DB2554" s="1" t="s">
        <v>224</v>
      </c>
      <c r="DE2554" s="1" t="s">
        <v>602</v>
      </c>
      <c r="DF2554" s="1" t="s">
        <v>219</v>
      </c>
      <c r="DG2554" s="1" t="s">
        <v>438</v>
      </c>
      <c r="DI2554" s="1" t="s">
        <v>2899</v>
      </c>
      <c r="DJ2554" s="1" t="s">
        <v>219</v>
      </c>
      <c r="DK2554" s="1" t="s">
        <v>438</v>
      </c>
      <c r="DS2554" s="1" t="s">
        <v>230</v>
      </c>
      <c r="DW2554" s="1" t="s">
        <v>230</v>
      </c>
      <c r="EA2554" s="1" t="s">
        <v>230</v>
      </c>
      <c r="EE2554" s="1" t="s">
        <v>230</v>
      </c>
      <c r="EI2554" s="1" t="s">
        <v>230</v>
      </c>
      <c r="EL2554" s="1" t="s">
        <v>466</v>
      </c>
      <c r="EM2554" s="1" t="s">
        <v>232</v>
      </c>
      <c r="EN2554" s="1" t="s">
        <v>282</v>
      </c>
      <c r="EO2554" s="1" t="s">
        <v>234</v>
      </c>
      <c r="EP2554" s="1" t="s">
        <v>21896</v>
      </c>
      <c r="ER2554" s="1" t="s">
        <v>210</v>
      </c>
      <c r="EW2554" s="1" t="s">
        <v>6228</v>
      </c>
      <c r="EY2554" s="1" t="s">
        <v>242</v>
      </c>
      <c r="EZ2554" s="1" t="s">
        <v>287</v>
      </c>
      <c r="FB2554" s="1" t="s">
        <v>1505</v>
      </c>
      <c r="FC2554" s="1" t="s">
        <v>1386</v>
      </c>
      <c r="FD2554" s="1" t="s">
        <v>246</v>
      </c>
      <c r="FE2554" s="1" t="s">
        <v>247</v>
      </c>
      <c r="FF2554" s="1" t="s">
        <v>248</v>
      </c>
      <c r="FG2554" s="1" t="s">
        <v>871</v>
      </c>
      <c r="FH2554" s="1" t="s">
        <v>550</v>
      </c>
      <c r="FI2554" s="1" t="s">
        <v>250</v>
      </c>
      <c r="FL2554" s="1" t="s">
        <v>358</v>
      </c>
      <c r="FM2554" s="1" t="s">
        <v>252</v>
      </c>
      <c r="FN2554" s="1" t="s">
        <v>213</v>
      </c>
      <c r="FO2554" s="1" t="s">
        <v>213</v>
      </c>
      <c r="FQ2554" s="1" t="s">
        <v>329</v>
      </c>
      <c r="FR2554" s="1" t="s">
        <v>210</v>
      </c>
      <c r="FS2554" s="1" t="s">
        <v>2971</v>
      </c>
      <c r="FT2554" s="1" t="s">
        <v>255</v>
      </c>
      <c r="FU2554" s="1" t="s">
        <v>204</v>
      </c>
      <c r="FW2554" s="1" t="s">
        <v>3328</v>
      </c>
      <c r="FX2554" s="1">
        <v>24330</v>
      </c>
      <c r="FY2554" s="1" t="s">
        <v>3329</v>
      </c>
      <c r="FZ2554" s="1" t="s">
        <v>8806</v>
      </c>
      <c r="GA2554" s="1">
        <v>243368</v>
      </c>
      <c r="GB2554" s="1" t="s">
        <v>8807</v>
      </c>
      <c r="GE2554" s="1" t="s">
        <v>1333</v>
      </c>
      <c r="GH2554" s="1" t="s">
        <v>421</v>
      </c>
      <c r="GI2554" s="1" t="s">
        <v>213</v>
      </c>
      <c r="GJ2554" s="1" t="s">
        <v>260</v>
      </c>
      <c r="GK2554" s="1" t="s">
        <v>210</v>
      </c>
      <c r="GL2554" s="2">
        <v>42075</v>
      </c>
      <c r="GM2554" s="1" t="s">
        <v>21897</v>
      </c>
    </row>
    <row r="2555" spans="1:195">
      <c r="A2555" s="1">
        <v>143000</v>
      </c>
      <c r="B2555" s="1" t="s">
        <v>195</v>
      </c>
      <c r="C2555" s="1" t="str">
        <f>"08828764"</f>
        <v>08828764</v>
      </c>
      <c r="D2555" s="1" t="s">
        <v>196</v>
      </c>
      <c r="F2555" s="1" t="str">
        <f>"543"</f>
        <v>543</v>
      </c>
      <c r="G2555" s="2">
        <v>42037</v>
      </c>
      <c r="H2555" s="1">
        <v>144900</v>
      </c>
      <c r="I2555" s="1">
        <v>144900</v>
      </c>
      <c r="J2555" s="1">
        <v>143000</v>
      </c>
      <c r="K2555" s="2">
        <v>42037</v>
      </c>
      <c r="L2555" s="1">
        <v>33</v>
      </c>
      <c r="M2555" s="2">
        <v>42069</v>
      </c>
      <c r="N2555" s="1">
        <v>33</v>
      </c>
      <c r="O2555" s="2">
        <v>42069</v>
      </c>
      <c r="P2555" s="1">
        <v>7630</v>
      </c>
      <c r="Q2555" s="1" t="s">
        <v>423</v>
      </c>
      <c r="R2555" s="2">
        <v>42123</v>
      </c>
      <c r="S2555" s="1">
        <v>70245</v>
      </c>
      <c r="T2555" s="1">
        <v>2500</v>
      </c>
      <c r="U2555" s="1">
        <v>495</v>
      </c>
      <c r="V2555" s="1" t="s">
        <v>20352</v>
      </c>
      <c r="W2555" s="1" t="s">
        <v>264</v>
      </c>
      <c r="Y2555" s="1">
        <v>4</v>
      </c>
      <c r="Z2555" s="1" t="s">
        <v>370</v>
      </c>
      <c r="AA2555" s="1" t="s">
        <v>2639</v>
      </c>
      <c r="AB2555" s="1">
        <v>60543</v>
      </c>
      <c r="AD2555" s="1" t="s">
        <v>17660</v>
      </c>
      <c r="AE2555" s="1" t="s">
        <v>21898</v>
      </c>
      <c r="AF2555" s="1">
        <v>2005</v>
      </c>
      <c r="AG2555" s="1" t="s">
        <v>204</v>
      </c>
      <c r="AH2555" s="1" t="s">
        <v>1397</v>
      </c>
      <c r="AI2555" s="1" t="s">
        <v>453</v>
      </c>
      <c r="AJ2555" s="1" t="s">
        <v>1397</v>
      </c>
      <c r="AL2555" s="1">
        <v>6</v>
      </c>
      <c r="AM2555" s="1">
        <v>2</v>
      </c>
      <c r="AN2555" s="1">
        <v>1</v>
      </c>
      <c r="AO2555" s="1">
        <v>1</v>
      </c>
      <c r="AP2555" s="1" t="s">
        <v>210</v>
      </c>
      <c r="AQ2555" s="1">
        <v>1</v>
      </c>
      <c r="AR2555" s="1" t="s">
        <v>210</v>
      </c>
      <c r="AS2555" s="1" t="s">
        <v>204</v>
      </c>
      <c r="AT2555" s="1" t="s">
        <v>211</v>
      </c>
      <c r="AU2555" s="1">
        <v>2</v>
      </c>
      <c r="AW2555" s="1" t="s">
        <v>204</v>
      </c>
      <c r="AX2555" s="1" t="s">
        <v>21899</v>
      </c>
      <c r="AZ2555" s="1">
        <v>3401</v>
      </c>
      <c r="BA2555" s="1">
        <v>2013</v>
      </c>
      <c r="BB2555" s="1" t="s">
        <v>405</v>
      </c>
      <c r="BE2555" s="1">
        <v>1510</v>
      </c>
      <c r="BF2555" s="1">
        <v>1</v>
      </c>
      <c r="BG2555" s="1">
        <v>30</v>
      </c>
      <c r="BL2555" s="1">
        <v>145</v>
      </c>
      <c r="BM2555" s="1" t="s">
        <v>204</v>
      </c>
      <c r="BN2555" s="1" t="s">
        <v>213</v>
      </c>
      <c r="BO2555" s="1">
        <v>0</v>
      </c>
      <c r="BP2555" s="1" t="s">
        <v>204</v>
      </c>
      <c r="BR2555" s="1" t="str">
        <f>"0303452013"</f>
        <v>0303452013</v>
      </c>
      <c r="BT2555" s="1" t="s">
        <v>21900</v>
      </c>
      <c r="BX2555" s="1">
        <v>308</v>
      </c>
      <c r="BY2555" s="1">
        <v>308</v>
      </c>
      <c r="BZ2555" s="1">
        <v>308</v>
      </c>
      <c r="CB2555" s="1" t="str">
        <f t="shared" ref="CB2555:CC2555" si="1961">""</f>
        <v/>
      </c>
      <c r="CC2555" s="1" t="str">
        <f t="shared" si="1961"/>
        <v/>
      </c>
      <c r="CG2555" s="1" t="s">
        <v>1004</v>
      </c>
      <c r="CH2555" s="1" t="s">
        <v>219</v>
      </c>
      <c r="CI2555" s="1" t="s">
        <v>220</v>
      </c>
      <c r="CJ2555" s="1" t="s">
        <v>343</v>
      </c>
      <c r="CK2555" s="1" t="s">
        <v>1533</v>
      </c>
      <c r="CL2555" s="1" t="s">
        <v>277</v>
      </c>
      <c r="CM2555" s="1" t="s">
        <v>220</v>
      </c>
      <c r="CN2555" s="1" t="s">
        <v>343</v>
      </c>
      <c r="CO2555" s="1" t="s">
        <v>837</v>
      </c>
      <c r="CP2555" s="1" t="s">
        <v>219</v>
      </c>
      <c r="CQ2555" s="1" t="s">
        <v>220</v>
      </c>
      <c r="CR2555" s="1" t="s">
        <v>343</v>
      </c>
      <c r="CS2555" s="1" t="s">
        <v>346</v>
      </c>
      <c r="CT2555" s="1" t="s">
        <v>277</v>
      </c>
      <c r="CU2555" s="1" t="s">
        <v>220</v>
      </c>
      <c r="CV2555" s="1" t="s">
        <v>343</v>
      </c>
      <c r="CX2555" s="1" t="s">
        <v>224</v>
      </c>
      <c r="DB2555" s="1" t="s">
        <v>224</v>
      </c>
      <c r="DE2555" s="1" t="s">
        <v>465</v>
      </c>
      <c r="DF2555" s="1" t="s">
        <v>219</v>
      </c>
      <c r="DG2555" s="1" t="s">
        <v>342</v>
      </c>
      <c r="DH2555" s="1" t="s">
        <v>210</v>
      </c>
      <c r="DJ2555" s="1" t="s">
        <v>224</v>
      </c>
      <c r="DM2555" s="1" t="s">
        <v>464</v>
      </c>
      <c r="DR2555" s="1" t="s">
        <v>648</v>
      </c>
      <c r="DS2555" s="1" t="s">
        <v>277</v>
      </c>
      <c r="DT2555" s="1" t="s">
        <v>220</v>
      </c>
      <c r="DU2555" s="1" t="s">
        <v>343</v>
      </c>
      <c r="DW2555" s="1" t="s">
        <v>230</v>
      </c>
      <c r="EA2555" s="1" t="s">
        <v>230</v>
      </c>
      <c r="EE2555" s="1" t="s">
        <v>230</v>
      </c>
      <c r="EI2555" s="1" t="s">
        <v>230</v>
      </c>
      <c r="EL2555" s="1" t="s">
        <v>491</v>
      </c>
      <c r="EM2555" s="1" t="s">
        <v>319</v>
      </c>
      <c r="EN2555" s="1" t="s">
        <v>282</v>
      </c>
      <c r="EO2555" s="1" t="s">
        <v>234</v>
      </c>
      <c r="EP2555" s="1" t="s">
        <v>650</v>
      </c>
      <c r="EQ2555" s="1" t="s">
        <v>236</v>
      </c>
      <c r="ER2555" s="1" t="s">
        <v>383</v>
      </c>
      <c r="EU2555" s="1" t="s">
        <v>610</v>
      </c>
      <c r="EV2555" s="1" t="s">
        <v>324</v>
      </c>
      <c r="EW2555" s="1" t="s">
        <v>353</v>
      </c>
      <c r="EZ2555" s="1" t="s">
        <v>464</v>
      </c>
      <c r="FA2555" s="1" t="s">
        <v>714</v>
      </c>
      <c r="FD2555" s="1" t="s">
        <v>246</v>
      </c>
      <c r="FE2555" s="1" t="s">
        <v>975</v>
      </c>
      <c r="FF2555" s="1" t="s">
        <v>248</v>
      </c>
      <c r="FG2555" s="1" t="s">
        <v>912</v>
      </c>
      <c r="FH2555" s="1" t="s">
        <v>550</v>
      </c>
      <c r="FI2555" s="1" t="s">
        <v>357</v>
      </c>
      <c r="FJ2555" s="1" t="s">
        <v>518</v>
      </c>
      <c r="FL2555" s="1" t="s">
        <v>358</v>
      </c>
      <c r="FM2555" s="1" t="s">
        <v>252</v>
      </c>
      <c r="FN2555" s="1" t="s">
        <v>213</v>
      </c>
      <c r="FO2555" s="1" t="s">
        <v>213</v>
      </c>
      <c r="FQ2555" s="1" t="s">
        <v>1758</v>
      </c>
      <c r="FR2555" s="1" t="s">
        <v>210</v>
      </c>
      <c r="FS2555" s="1" t="s">
        <v>21901</v>
      </c>
      <c r="FT2555" s="1" t="s">
        <v>255</v>
      </c>
      <c r="FU2555" s="1" t="s">
        <v>204</v>
      </c>
      <c r="FW2555" s="1" t="s">
        <v>1475</v>
      </c>
      <c r="FX2555" s="1">
        <v>23265</v>
      </c>
      <c r="FY2555" s="1" t="s">
        <v>1476</v>
      </c>
      <c r="FZ2555" s="1" t="s">
        <v>21902</v>
      </c>
      <c r="GA2555" s="1">
        <v>233070</v>
      </c>
      <c r="GB2555" s="1" t="s">
        <v>21903</v>
      </c>
      <c r="GE2555" s="1" t="s">
        <v>210</v>
      </c>
      <c r="GI2555" s="1" t="s">
        <v>213</v>
      </c>
      <c r="GJ2555" s="1" t="s">
        <v>260</v>
      </c>
      <c r="GK2555" s="1" t="s">
        <v>210</v>
      </c>
      <c r="GL2555" s="2">
        <v>42123</v>
      </c>
      <c r="GM2555" s="1" t="s">
        <v>21904</v>
      </c>
    </row>
    <row r="2556" spans="1:195">
      <c r="A2556" s="1">
        <v>124700</v>
      </c>
      <c r="B2556" s="1" t="s">
        <v>195</v>
      </c>
      <c r="C2556" s="1" t="str">
        <f>"08836377"</f>
        <v>08836377</v>
      </c>
      <c r="D2556" s="1" t="s">
        <v>196</v>
      </c>
      <c r="F2556" s="1" t="str">
        <f>"137"</f>
        <v>137</v>
      </c>
      <c r="G2556" s="2">
        <v>42046</v>
      </c>
      <c r="H2556" s="1">
        <v>127000</v>
      </c>
      <c r="I2556" s="1">
        <v>127000</v>
      </c>
      <c r="J2556" s="1">
        <v>124700</v>
      </c>
      <c r="K2556" s="2">
        <v>42046</v>
      </c>
      <c r="L2556" s="1">
        <v>6</v>
      </c>
      <c r="M2556" s="2">
        <v>42051</v>
      </c>
      <c r="N2556" s="1">
        <v>6</v>
      </c>
      <c r="O2556" s="2">
        <v>42051</v>
      </c>
      <c r="P2556" s="1">
        <v>25088</v>
      </c>
      <c r="Q2556" s="1" t="s">
        <v>197</v>
      </c>
      <c r="R2556" s="2">
        <v>42089</v>
      </c>
      <c r="S2556" s="1">
        <v>241856</v>
      </c>
      <c r="U2556" s="1">
        <v>440</v>
      </c>
      <c r="V2556" s="1" t="s">
        <v>9381</v>
      </c>
      <c r="W2556" s="1" t="s">
        <v>304</v>
      </c>
      <c r="X2556" s="1" t="s">
        <v>369</v>
      </c>
      <c r="Y2556" s="1">
        <v>54</v>
      </c>
      <c r="Z2556" s="1" t="s">
        <v>249</v>
      </c>
      <c r="AA2556" s="1" t="s">
        <v>201</v>
      </c>
      <c r="AB2556" s="1">
        <v>60137</v>
      </c>
      <c r="AD2556" s="1" t="s">
        <v>1101</v>
      </c>
      <c r="AE2556" s="1" t="s">
        <v>21905</v>
      </c>
      <c r="AF2556" s="1">
        <v>1974</v>
      </c>
      <c r="AG2556" s="1" t="s">
        <v>213</v>
      </c>
      <c r="AH2556" s="1" t="s">
        <v>205</v>
      </c>
      <c r="AI2556" s="1" t="s">
        <v>206</v>
      </c>
      <c r="AJ2556" s="1" t="s">
        <v>207</v>
      </c>
      <c r="AL2556" s="1">
        <v>5</v>
      </c>
      <c r="AM2556" s="1">
        <v>2</v>
      </c>
      <c r="AN2556" s="1">
        <v>2</v>
      </c>
      <c r="AO2556" s="1">
        <v>0</v>
      </c>
      <c r="AP2556" s="1" t="s">
        <v>209</v>
      </c>
      <c r="AQ2556" s="1">
        <v>0</v>
      </c>
      <c r="AR2556" s="1" t="s">
        <v>210</v>
      </c>
      <c r="AS2556" s="1" t="s">
        <v>204</v>
      </c>
      <c r="AT2556" s="1" t="s">
        <v>211</v>
      </c>
      <c r="AU2556" s="1">
        <v>1</v>
      </c>
      <c r="AW2556" s="1" t="s">
        <v>204</v>
      </c>
      <c r="AX2556" s="1" t="s">
        <v>212</v>
      </c>
      <c r="AZ2556" s="1">
        <v>2549.56</v>
      </c>
      <c r="BA2556" s="1">
        <v>2013</v>
      </c>
      <c r="BB2556" s="1" t="s">
        <v>2694</v>
      </c>
      <c r="BC2556" s="1">
        <v>0</v>
      </c>
      <c r="BD2556" s="1">
        <v>2014</v>
      </c>
      <c r="BE2556" s="1">
        <v>1277</v>
      </c>
      <c r="BF2556" s="1">
        <v>2</v>
      </c>
      <c r="BG2556" s="1">
        <v>0</v>
      </c>
      <c r="BJ2556" s="1">
        <v>90</v>
      </c>
      <c r="BK2556" s="1">
        <v>0.35</v>
      </c>
      <c r="BL2556" s="1">
        <v>371</v>
      </c>
      <c r="BM2556" s="1" t="s">
        <v>204</v>
      </c>
      <c r="BN2556" s="1" t="s">
        <v>204</v>
      </c>
      <c r="BP2556" s="1" t="s">
        <v>204</v>
      </c>
      <c r="BR2556" s="1" t="str">
        <f>"0523321036"</f>
        <v>0523321036</v>
      </c>
      <c r="BT2556" s="1" t="s">
        <v>21906</v>
      </c>
      <c r="BU2556" s="1" t="s">
        <v>215</v>
      </c>
      <c r="BV2556" s="1" t="s">
        <v>216</v>
      </c>
      <c r="BW2556" s="1" t="s">
        <v>217</v>
      </c>
      <c r="BX2556" s="1">
        <v>89</v>
      </c>
      <c r="BY2556" s="1">
        <v>89</v>
      </c>
      <c r="BZ2556" s="1">
        <v>87</v>
      </c>
      <c r="CB2556" s="1" t="str">
        <f t="shared" ref="CB2556:CC2556" si="1962">"0"</f>
        <v>0</v>
      </c>
      <c r="CC2556" s="1" t="str">
        <f t="shared" si="1962"/>
        <v>0</v>
      </c>
      <c r="CD2556" s="1">
        <v>22</v>
      </c>
      <c r="CE2556" s="1">
        <v>1</v>
      </c>
      <c r="CG2556" s="1" t="s">
        <v>628</v>
      </c>
      <c r="CH2556" s="1" t="s">
        <v>277</v>
      </c>
      <c r="CI2556" s="1" t="s">
        <v>220</v>
      </c>
      <c r="CK2556" s="1" t="s">
        <v>538</v>
      </c>
      <c r="CL2556" s="1" t="s">
        <v>277</v>
      </c>
      <c r="CM2556" s="1" t="s">
        <v>220</v>
      </c>
      <c r="CO2556" s="1" t="s">
        <v>408</v>
      </c>
      <c r="CP2556" s="1" t="s">
        <v>277</v>
      </c>
      <c r="CQ2556" s="1" t="s">
        <v>220</v>
      </c>
      <c r="CS2556" s="1" t="s">
        <v>465</v>
      </c>
      <c r="CT2556" s="1" t="s">
        <v>277</v>
      </c>
      <c r="CU2556" s="1" t="s">
        <v>438</v>
      </c>
      <c r="CX2556" s="1" t="s">
        <v>224</v>
      </c>
      <c r="DB2556" s="1" t="s">
        <v>224</v>
      </c>
      <c r="DE2556" s="1" t="s">
        <v>318</v>
      </c>
      <c r="DF2556" s="1" t="s">
        <v>277</v>
      </c>
      <c r="DG2556" s="1" t="s">
        <v>342</v>
      </c>
      <c r="DJ2556" s="1" t="s">
        <v>224</v>
      </c>
      <c r="DS2556" s="1" t="s">
        <v>230</v>
      </c>
      <c r="DW2556" s="1" t="s">
        <v>230</v>
      </c>
      <c r="EA2556" s="1" t="s">
        <v>230</v>
      </c>
      <c r="EE2556" s="1" t="s">
        <v>230</v>
      </c>
      <c r="EI2556" s="1" t="s">
        <v>230</v>
      </c>
      <c r="EL2556" s="1" t="s">
        <v>605</v>
      </c>
      <c r="EM2556" s="1" t="s">
        <v>232</v>
      </c>
      <c r="EN2556" s="1" t="s">
        <v>282</v>
      </c>
      <c r="EO2556" s="1" t="s">
        <v>234</v>
      </c>
      <c r="EP2556" s="1" t="s">
        <v>21907</v>
      </c>
      <c r="EQ2556" s="1" t="s">
        <v>953</v>
      </c>
      <c r="ER2556" s="1" t="s">
        <v>210</v>
      </c>
      <c r="ES2556" s="1" t="s">
        <v>493</v>
      </c>
      <c r="EU2556" s="1" t="s">
        <v>239</v>
      </c>
      <c r="EV2556" s="1" t="s">
        <v>324</v>
      </c>
      <c r="EW2556" s="1" t="s">
        <v>16725</v>
      </c>
      <c r="EY2556" s="1" t="s">
        <v>242</v>
      </c>
      <c r="EZ2556" s="1" t="s">
        <v>287</v>
      </c>
      <c r="FA2556" s="1" t="s">
        <v>243</v>
      </c>
      <c r="FB2556" s="1" t="s">
        <v>1755</v>
      </c>
      <c r="FC2556" s="1" t="s">
        <v>548</v>
      </c>
      <c r="FD2556" s="1" t="s">
        <v>1112</v>
      </c>
      <c r="FE2556" s="1" t="s">
        <v>247</v>
      </c>
      <c r="FF2556" s="1" t="s">
        <v>248</v>
      </c>
      <c r="FH2556" s="1" t="s">
        <v>249</v>
      </c>
      <c r="FI2556" s="1" t="s">
        <v>250</v>
      </c>
      <c r="FL2556" s="1" t="s">
        <v>1073</v>
      </c>
      <c r="FM2556" s="1" t="s">
        <v>252</v>
      </c>
      <c r="FN2556" s="1" t="s">
        <v>213</v>
      </c>
      <c r="FO2556" s="1" t="s">
        <v>213</v>
      </c>
      <c r="FQ2556" s="1" t="s">
        <v>1473</v>
      </c>
      <c r="FR2556" s="1" t="s">
        <v>210</v>
      </c>
      <c r="FS2556" s="1" t="s">
        <v>812</v>
      </c>
      <c r="FT2556" s="1" t="s">
        <v>362</v>
      </c>
      <c r="FU2556" s="1" t="s">
        <v>204</v>
      </c>
      <c r="FW2556" s="1" t="s">
        <v>2179</v>
      </c>
      <c r="FX2556" s="1">
        <v>22039</v>
      </c>
      <c r="FY2556" s="1" t="s">
        <v>2180</v>
      </c>
      <c r="FZ2556" s="1" t="s">
        <v>21908</v>
      </c>
      <c r="GA2556" s="1">
        <v>255697</v>
      </c>
      <c r="GB2556" s="1" t="s">
        <v>21909</v>
      </c>
      <c r="GE2556" s="1" t="s">
        <v>1576</v>
      </c>
      <c r="GI2556" s="1" t="s">
        <v>213</v>
      </c>
      <c r="GJ2556" s="1" t="s">
        <v>260</v>
      </c>
      <c r="GK2556" s="1" t="s">
        <v>210</v>
      </c>
      <c r="GL2556" s="2">
        <v>42089</v>
      </c>
      <c r="GM2556" s="1" t="s">
        <v>21910</v>
      </c>
    </row>
    <row r="2557" spans="1:195">
      <c r="A2557" s="1">
        <v>150000</v>
      </c>
      <c r="B2557" s="1" t="s">
        <v>195</v>
      </c>
      <c r="C2557" s="1" t="str">
        <f>"08827034"</f>
        <v>08827034</v>
      </c>
      <c r="D2557" s="1" t="s">
        <v>196</v>
      </c>
      <c r="F2557" s="1" t="str">
        <f>"525"</f>
        <v>525</v>
      </c>
      <c r="G2557" s="2">
        <v>42033</v>
      </c>
      <c r="H2557" s="1">
        <v>160000</v>
      </c>
      <c r="I2557" s="1">
        <v>160000</v>
      </c>
      <c r="J2557" s="1">
        <v>150000</v>
      </c>
      <c r="K2557" s="2">
        <v>42033</v>
      </c>
      <c r="L2557" s="1">
        <v>7</v>
      </c>
      <c r="M2557" s="2">
        <v>42039</v>
      </c>
      <c r="N2557" s="1">
        <v>7</v>
      </c>
      <c r="O2557" s="2">
        <v>42039</v>
      </c>
      <c r="P2557" s="1">
        <v>22049</v>
      </c>
      <c r="Q2557" s="1" t="s">
        <v>197</v>
      </c>
      <c r="R2557" s="2">
        <v>42076</v>
      </c>
      <c r="S2557" s="1">
        <v>221428</v>
      </c>
      <c r="U2557" s="1">
        <v>90</v>
      </c>
      <c r="V2557" s="1" t="s">
        <v>1147</v>
      </c>
      <c r="W2557" s="1" t="s">
        <v>425</v>
      </c>
      <c r="X2557" s="1">
        <v>302</v>
      </c>
      <c r="Y2557" s="1">
        <v>29</v>
      </c>
      <c r="Z2557" s="1" t="s">
        <v>249</v>
      </c>
      <c r="AA2557" s="1" t="s">
        <v>1148</v>
      </c>
      <c r="AB2557" s="1">
        <v>60525</v>
      </c>
      <c r="AD2557" s="1" t="s">
        <v>21911</v>
      </c>
      <c r="AE2557" s="1" t="s">
        <v>21912</v>
      </c>
      <c r="AF2557" s="1">
        <v>1963</v>
      </c>
      <c r="AG2557" s="1" t="s">
        <v>213</v>
      </c>
      <c r="AH2557" s="1" t="s">
        <v>1150</v>
      </c>
      <c r="AI2557" s="1" t="s">
        <v>310</v>
      </c>
      <c r="AJ2557" s="1" t="s">
        <v>702</v>
      </c>
      <c r="AL2557" s="1">
        <v>5</v>
      </c>
      <c r="AM2557" s="1">
        <v>2</v>
      </c>
      <c r="AN2557" s="1">
        <v>1</v>
      </c>
      <c r="AO2557" s="1">
        <v>0</v>
      </c>
      <c r="AP2557" s="1" t="s">
        <v>210</v>
      </c>
      <c r="AR2557" s="1" t="s">
        <v>210</v>
      </c>
      <c r="AS2557" s="1" t="s">
        <v>204</v>
      </c>
      <c r="AT2557" s="1" t="s">
        <v>271</v>
      </c>
      <c r="AV2557" s="1">
        <v>1</v>
      </c>
      <c r="AW2557" s="1" t="s">
        <v>204</v>
      </c>
      <c r="AX2557" s="1" t="s">
        <v>212</v>
      </c>
      <c r="AZ2557" s="1">
        <v>3062</v>
      </c>
      <c r="BA2557" s="1">
        <v>2013</v>
      </c>
      <c r="BB2557" s="1" t="s">
        <v>405</v>
      </c>
      <c r="BE2557" s="1">
        <v>1000</v>
      </c>
      <c r="BF2557" s="1">
        <v>3</v>
      </c>
      <c r="BG2557" s="1">
        <v>0</v>
      </c>
      <c r="BL2557" s="1">
        <v>348</v>
      </c>
      <c r="BM2557" s="1" t="s">
        <v>204</v>
      </c>
      <c r="BN2557" s="1" t="s">
        <v>213</v>
      </c>
      <c r="BO2557" s="1">
        <v>9</v>
      </c>
      <c r="BP2557" s="1" t="s">
        <v>204</v>
      </c>
      <c r="BR2557" s="1" t="str">
        <f>"18042300241021"</f>
        <v>18042300241021</v>
      </c>
      <c r="BT2557" s="1" t="s">
        <v>21913</v>
      </c>
      <c r="BU2557" s="1" t="s">
        <v>1153</v>
      </c>
      <c r="BV2557" s="1" t="s">
        <v>1154</v>
      </c>
      <c r="BW2557" s="1" t="s">
        <v>706</v>
      </c>
      <c r="BX2557" s="1">
        <v>102</v>
      </c>
      <c r="BY2557" s="1">
        <v>102</v>
      </c>
      <c r="BZ2557" s="1">
        <v>204</v>
      </c>
      <c r="CB2557" s="1" t="str">
        <f t="shared" ref="CB2557:CC2557" si="1963">""</f>
        <v/>
      </c>
      <c r="CC2557" s="1" t="str">
        <f t="shared" si="1963"/>
        <v/>
      </c>
      <c r="CG2557" s="1" t="s">
        <v>5899</v>
      </c>
      <c r="CH2557" s="1" t="s">
        <v>219</v>
      </c>
      <c r="CI2557" s="1" t="s">
        <v>438</v>
      </c>
      <c r="CK2557" s="1" t="s">
        <v>437</v>
      </c>
      <c r="CL2557" s="1" t="s">
        <v>219</v>
      </c>
      <c r="CM2557" s="1" t="s">
        <v>220</v>
      </c>
      <c r="CO2557" s="1" t="s">
        <v>629</v>
      </c>
      <c r="CP2557" s="1" t="s">
        <v>219</v>
      </c>
      <c r="CQ2557" s="1" t="s">
        <v>438</v>
      </c>
      <c r="CS2557" s="1" t="s">
        <v>379</v>
      </c>
      <c r="CT2557" s="1" t="s">
        <v>219</v>
      </c>
      <c r="CU2557" s="1" t="s">
        <v>220</v>
      </c>
      <c r="CX2557" s="1" t="s">
        <v>224</v>
      </c>
      <c r="DB2557" s="1" t="s">
        <v>224</v>
      </c>
      <c r="DE2557" s="1" t="s">
        <v>2899</v>
      </c>
      <c r="DF2557" s="1" t="s">
        <v>219</v>
      </c>
      <c r="DG2557" s="1" t="s">
        <v>226</v>
      </c>
      <c r="DJ2557" s="1" t="s">
        <v>224</v>
      </c>
      <c r="DS2557" s="1" t="s">
        <v>230</v>
      </c>
      <c r="DW2557" s="1" t="s">
        <v>230</v>
      </c>
      <c r="EA2557" s="1" t="s">
        <v>230</v>
      </c>
      <c r="EE2557" s="1" t="s">
        <v>230</v>
      </c>
      <c r="EI2557" s="1" t="s">
        <v>230</v>
      </c>
      <c r="EL2557" s="1" t="s">
        <v>649</v>
      </c>
      <c r="EM2557" s="1" t="s">
        <v>232</v>
      </c>
      <c r="EN2557" s="1" t="s">
        <v>1158</v>
      </c>
      <c r="EO2557" s="1" t="s">
        <v>234</v>
      </c>
      <c r="EQ2557" s="1" t="s">
        <v>2416</v>
      </c>
      <c r="ER2557" s="1" t="s">
        <v>210</v>
      </c>
      <c r="ES2557" s="1" t="s">
        <v>322</v>
      </c>
      <c r="EU2557" s="1" t="s">
        <v>610</v>
      </c>
      <c r="EV2557" s="1" t="s">
        <v>240</v>
      </c>
      <c r="EW2557" s="1" t="s">
        <v>5284</v>
      </c>
      <c r="EZ2557" s="1" t="s">
        <v>287</v>
      </c>
      <c r="FC2557" s="1" t="s">
        <v>548</v>
      </c>
      <c r="FD2557" s="1" t="s">
        <v>888</v>
      </c>
      <c r="FE2557" s="1" t="s">
        <v>247</v>
      </c>
      <c r="FF2557" s="1" t="s">
        <v>248</v>
      </c>
      <c r="FH2557" s="1" t="s">
        <v>249</v>
      </c>
      <c r="FK2557" s="1" t="s">
        <v>291</v>
      </c>
      <c r="FL2557" s="1" t="s">
        <v>2370</v>
      </c>
      <c r="FM2557" s="1" t="s">
        <v>252</v>
      </c>
      <c r="FN2557" s="1" t="s">
        <v>213</v>
      </c>
      <c r="FO2557" s="1" t="s">
        <v>213</v>
      </c>
      <c r="FQ2557" s="1" t="s">
        <v>1286</v>
      </c>
      <c r="FR2557" s="1" t="s">
        <v>210</v>
      </c>
      <c r="FS2557" s="1" t="s">
        <v>12353</v>
      </c>
      <c r="FT2557" s="1" t="s">
        <v>1408</v>
      </c>
      <c r="FU2557" s="1" t="s">
        <v>204</v>
      </c>
      <c r="FW2557" s="1" t="s">
        <v>3546</v>
      </c>
      <c r="FX2557" s="1">
        <v>24695</v>
      </c>
      <c r="FY2557" s="1" t="s">
        <v>3547</v>
      </c>
      <c r="FZ2557" s="1" t="s">
        <v>6213</v>
      </c>
      <c r="GA2557" s="1">
        <v>20691</v>
      </c>
      <c r="GB2557" s="1" t="s">
        <v>6214</v>
      </c>
      <c r="GD2557" s="1" t="s">
        <v>6215</v>
      </c>
      <c r="GE2557" s="1" t="s">
        <v>2504</v>
      </c>
      <c r="GI2557" s="1" t="s">
        <v>213</v>
      </c>
      <c r="GJ2557" s="1" t="s">
        <v>260</v>
      </c>
      <c r="GK2557" s="1" t="s">
        <v>210</v>
      </c>
      <c r="GL2557" s="2">
        <v>42076</v>
      </c>
      <c r="GM2557" s="1" t="s">
        <v>21914</v>
      </c>
    </row>
    <row r="2558" spans="1:195">
      <c r="A2558" s="1">
        <v>159000</v>
      </c>
      <c r="B2558" s="1" t="s">
        <v>195</v>
      </c>
      <c r="C2558" s="1" t="str">
        <f>"08834660"</f>
        <v>08834660</v>
      </c>
      <c r="D2558" s="1" t="s">
        <v>196</v>
      </c>
      <c r="F2558" s="1" t="str">
        <f>"507"</f>
        <v>507</v>
      </c>
      <c r="G2558" s="2">
        <v>42044</v>
      </c>
      <c r="H2558" s="1">
        <v>162000</v>
      </c>
      <c r="I2558" s="1">
        <v>162000</v>
      </c>
      <c r="J2558" s="1">
        <v>159000</v>
      </c>
      <c r="K2558" s="2">
        <v>42044</v>
      </c>
      <c r="L2558" s="1">
        <v>4</v>
      </c>
      <c r="M2558" s="2">
        <v>42047</v>
      </c>
      <c r="N2558" s="1">
        <v>4</v>
      </c>
      <c r="O2558" s="2">
        <v>42047</v>
      </c>
      <c r="P2558" s="1">
        <v>21962</v>
      </c>
      <c r="Q2558" s="1" t="s">
        <v>197</v>
      </c>
      <c r="R2558" s="2">
        <v>42083</v>
      </c>
      <c r="S2558" s="1">
        <v>220376</v>
      </c>
      <c r="T2558" s="1">
        <v>2000</v>
      </c>
      <c r="U2558" s="1">
        <v>3248</v>
      </c>
      <c r="V2558" s="1" t="s">
        <v>3759</v>
      </c>
      <c r="W2558" s="1" t="s">
        <v>504</v>
      </c>
      <c r="X2558" s="1">
        <v>3248</v>
      </c>
      <c r="Y2558" s="1">
        <v>4</v>
      </c>
      <c r="Z2558" s="1" t="s">
        <v>249</v>
      </c>
      <c r="AA2558" s="1" t="s">
        <v>1123</v>
      </c>
      <c r="AB2558" s="1">
        <v>60502</v>
      </c>
      <c r="AD2558" s="1" t="s">
        <v>3760</v>
      </c>
      <c r="AE2558" s="1" t="s">
        <v>21915</v>
      </c>
      <c r="AF2558" s="1">
        <v>2002</v>
      </c>
      <c r="AG2558" s="1" t="s">
        <v>204</v>
      </c>
      <c r="AH2558" s="1" t="s">
        <v>1126</v>
      </c>
      <c r="AI2558" s="1" t="s">
        <v>206</v>
      </c>
      <c r="AJ2558" s="1" t="s">
        <v>924</v>
      </c>
      <c r="AL2558" s="1">
        <v>5</v>
      </c>
      <c r="AM2558" s="1">
        <v>2</v>
      </c>
      <c r="AN2558" s="1">
        <v>2</v>
      </c>
      <c r="AO2558" s="1">
        <v>1</v>
      </c>
      <c r="AP2558" s="1" t="s">
        <v>209</v>
      </c>
      <c r="AR2558" s="1" t="s">
        <v>210</v>
      </c>
      <c r="AS2558" s="1" t="s">
        <v>204</v>
      </c>
      <c r="AT2558" s="1" t="s">
        <v>211</v>
      </c>
      <c r="AU2558" s="1">
        <v>2</v>
      </c>
      <c r="AW2558" s="1" t="s">
        <v>204</v>
      </c>
      <c r="AX2558" s="1" t="s">
        <v>212</v>
      </c>
      <c r="AZ2558" s="1">
        <v>4402</v>
      </c>
      <c r="BA2558" s="1">
        <v>2013</v>
      </c>
      <c r="BB2558" s="1" t="s">
        <v>405</v>
      </c>
      <c r="BE2558" s="1">
        <v>1438</v>
      </c>
      <c r="BF2558" s="1">
        <v>1</v>
      </c>
      <c r="BG2558" s="1">
        <v>30</v>
      </c>
      <c r="BL2558" s="1">
        <v>135</v>
      </c>
      <c r="BM2558" s="1" t="s">
        <v>204</v>
      </c>
      <c r="BN2558" s="1" t="s">
        <v>213</v>
      </c>
      <c r="BO2558" s="1">
        <v>999</v>
      </c>
      <c r="BP2558" s="1" t="s">
        <v>204</v>
      </c>
      <c r="BR2558" s="1" t="str">
        <f>"0717121080"</f>
        <v>0717121080</v>
      </c>
      <c r="BT2558" s="1" t="s">
        <v>21916</v>
      </c>
      <c r="BU2558" s="1" t="s">
        <v>5816</v>
      </c>
      <c r="BV2558" s="1" t="s">
        <v>1130</v>
      </c>
      <c r="BW2558" s="1" t="s">
        <v>1131</v>
      </c>
      <c r="BX2558" s="1">
        <v>204</v>
      </c>
      <c r="BY2558" s="1">
        <v>204</v>
      </c>
      <c r="BZ2558" s="1">
        <v>204</v>
      </c>
      <c r="CB2558" s="1" t="str">
        <f t="shared" ref="CB2558:CC2558" si="1964">"0"</f>
        <v>0</v>
      </c>
      <c r="CC2558" s="1" t="str">
        <f t="shared" si="1964"/>
        <v>0</v>
      </c>
      <c r="CD2558" s="1">
        <v>31</v>
      </c>
      <c r="CE2558" s="1">
        <v>6</v>
      </c>
      <c r="CG2558" s="1" t="s">
        <v>2042</v>
      </c>
      <c r="CH2558" s="1" t="s">
        <v>219</v>
      </c>
      <c r="CI2558" s="1" t="s">
        <v>220</v>
      </c>
      <c r="CJ2558" s="1" t="s">
        <v>343</v>
      </c>
      <c r="CK2558" s="1" t="s">
        <v>538</v>
      </c>
      <c r="CL2558" s="1" t="s">
        <v>277</v>
      </c>
      <c r="CM2558" s="1" t="s">
        <v>220</v>
      </c>
      <c r="CN2558" s="1" t="s">
        <v>343</v>
      </c>
      <c r="CO2558" s="1" t="s">
        <v>2982</v>
      </c>
      <c r="CP2558" s="1" t="s">
        <v>219</v>
      </c>
      <c r="CQ2558" s="1" t="s">
        <v>342</v>
      </c>
      <c r="CR2558" s="1" t="s">
        <v>343</v>
      </c>
      <c r="CS2558" s="1" t="s">
        <v>1046</v>
      </c>
      <c r="CT2558" s="1" t="s">
        <v>277</v>
      </c>
      <c r="CU2558" s="1" t="s">
        <v>220</v>
      </c>
      <c r="CX2558" s="1" t="s">
        <v>224</v>
      </c>
      <c r="DB2558" s="1" t="s">
        <v>224</v>
      </c>
      <c r="DE2558" s="1" t="s">
        <v>281</v>
      </c>
      <c r="DF2558" s="1" t="s">
        <v>219</v>
      </c>
      <c r="DG2558" s="1" t="s">
        <v>342</v>
      </c>
      <c r="DJ2558" s="1" t="s">
        <v>224</v>
      </c>
      <c r="DS2558" s="1" t="s">
        <v>230</v>
      </c>
      <c r="DW2558" s="1" t="s">
        <v>230</v>
      </c>
      <c r="EA2558" s="1" t="s">
        <v>230</v>
      </c>
      <c r="EE2558" s="1" t="s">
        <v>230</v>
      </c>
      <c r="EI2558" s="1" t="s">
        <v>230</v>
      </c>
      <c r="EL2558" s="1" t="s">
        <v>466</v>
      </c>
      <c r="EM2558" s="1" t="s">
        <v>319</v>
      </c>
      <c r="EN2558" s="1" t="s">
        <v>282</v>
      </c>
      <c r="EO2558" s="1" t="s">
        <v>234</v>
      </c>
      <c r="EP2558" s="1" t="s">
        <v>650</v>
      </c>
      <c r="EQ2558" s="1" t="s">
        <v>1094</v>
      </c>
      <c r="ER2558" s="1" t="s">
        <v>210</v>
      </c>
      <c r="ES2558" s="1" t="s">
        <v>1552</v>
      </c>
      <c r="EU2558" s="1" t="s">
        <v>610</v>
      </c>
      <c r="EW2558" s="1" t="s">
        <v>353</v>
      </c>
      <c r="EZ2558" s="1" t="s">
        <v>287</v>
      </c>
      <c r="FA2558" s="1" t="s">
        <v>471</v>
      </c>
      <c r="FB2558" s="1" t="s">
        <v>289</v>
      </c>
      <c r="FC2558" s="1" t="s">
        <v>548</v>
      </c>
      <c r="FD2558" s="1" t="s">
        <v>246</v>
      </c>
      <c r="FE2558" s="1" t="s">
        <v>566</v>
      </c>
      <c r="FF2558" s="1" t="s">
        <v>387</v>
      </c>
      <c r="FH2558" s="1" t="s">
        <v>940</v>
      </c>
      <c r="FI2558" s="1" t="s">
        <v>473</v>
      </c>
      <c r="FJ2558" s="1" t="s">
        <v>518</v>
      </c>
      <c r="FL2558" s="1" t="s">
        <v>358</v>
      </c>
      <c r="FM2558" s="1" t="s">
        <v>252</v>
      </c>
      <c r="FN2558" s="1" t="s">
        <v>213</v>
      </c>
      <c r="FO2558" s="1" t="s">
        <v>213</v>
      </c>
      <c r="FQ2558" s="1" t="s">
        <v>793</v>
      </c>
      <c r="FR2558" s="1" t="s">
        <v>210</v>
      </c>
      <c r="FS2558" s="1" t="s">
        <v>21917</v>
      </c>
      <c r="FT2558" s="1" t="s">
        <v>19227</v>
      </c>
      <c r="FU2558" s="1" t="s">
        <v>204</v>
      </c>
      <c r="FW2558" s="1" t="s">
        <v>2144</v>
      </c>
      <c r="FX2558" s="1">
        <v>23163</v>
      </c>
      <c r="FY2558" s="1" t="s">
        <v>2145</v>
      </c>
      <c r="FZ2558" s="1" t="s">
        <v>21918</v>
      </c>
      <c r="GA2558" s="1">
        <v>234194</v>
      </c>
      <c r="GE2558" s="1" t="s">
        <v>480</v>
      </c>
      <c r="GI2558" s="1" t="s">
        <v>213</v>
      </c>
      <c r="GJ2558" s="1" t="s">
        <v>260</v>
      </c>
      <c r="GK2558" s="1" t="s">
        <v>210</v>
      </c>
      <c r="GL2558" s="2">
        <v>42083</v>
      </c>
      <c r="GM2558" s="1" t="s">
        <v>21919</v>
      </c>
    </row>
    <row r="2559" spans="1:195">
      <c r="A2559" s="1">
        <v>248000</v>
      </c>
      <c r="B2559" s="1" t="s">
        <v>195</v>
      </c>
      <c r="C2559" s="1" t="str">
        <f>"08834753"</f>
        <v>08834753</v>
      </c>
      <c r="D2559" s="1" t="s">
        <v>196</v>
      </c>
      <c r="F2559" s="1" t="str">
        <f>"187"</f>
        <v>187</v>
      </c>
      <c r="G2559" s="2">
        <v>42044</v>
      </c>
      <c r="H2559" s="1">
        <v>249900</v>
      </c>
      <c r="I2559" s="1">
        <v>249900</v>
      </c>
      <c r="J2559" s="1">
        <v>248000</v>
      </c>
      <c r="K2559" s="2">
        <v>42044</v>
      </c>
      <c r="L2559" s="1">
        <v>4</v>
      </c>
      <c r="M2559" s="2">
        <v>42047</v>
      </c>
      <c r="N2559" s="1">
        <v>4</v>
      </c>
      <c r="O2559" s="2">
        <v>42047</v>
      </c>
      <c r="P2559" s="1">
        <v>25003</v>
      </c>
      <c r="Q2559" s="1" t="s">
        <v>302</v>
      </c>
      <c r="R2559" s="2">
        <v>42100</v>
      </c>
      <c r="S2559" s="1">
        <v>245148</v>
      </c>
      <c r="U2559" s="1">
        <v>1042</v>
      </c>
      <c r="V2559" s="1" t="s">
        <v>21920</v>
      </c>
      <c r="W2559" s="1" t="s">
        <v>264</v>
      </c>
      <c r="Y2559" s="1">
        <v>4</v>
      </c>
      <c r="Z2559" s="1" t="s">
        <v>370</v>
      </c>
      <c r="AA2559" s="1" t="s">
        <v>964</v>
      </c>
      <c r="AB2559" s="1">
        <v>60189</v>
      </c>
      <c r="AD2559" s="1" t="s">
        <v>21921</v>
      </c>
      <c r="AE2559" s="1" t="s">
        <v>21922</v>
      </c>
      <c r="AF2559" s="1">
        <v>1974</v>
      </c>
      <c r="AG2559" s="1" t="s">
        <v>213</v>
      </c>
      <c r="AH2559" s="1" t="s">
        <v>967</v>
      </c>
      <c r="AI2559" s="1" t="s">
        <v>206</v>
      </c>
      <c r="AJ2559" s="1" t="s">
        <v>207</v>
      </c>
      <c r="AL2559" s="1">
        <v>7</v>
      </c>
      <c r="AM2559" s="1">
        <v>2</v>
      </c>
      <c r="AN2559" s="1">
        <v>2</v>
      </c>
      <c r="AO2559" s="1">
        <v>0</v>
      </c>
      <c r="AP2559" s="1" t="s">
        <v>209</v>
      </c>
      <c r="AQ2559" s="1">
        <v>1</v>
      </c>
      <c r="AR2559" s="1" t="s">
        <v>209</v>
      </c>
      <c r="AS2559" s="1" t="s">
        <v>204</v>
      </c>
      <c r="AT2559" s="1" t="s">
        <v>211</v>
      </c>
      <c r="AU2559" s="1">
        <v>2</v>
      </c>
      <c r="AW2559" s="1" t="s">
        <v>204</v>
      </c>
      <c r="AX2559" s="1" t="s">
        <v>212</v>
      </c>
      <c r="AZ2559" s="1">
        <v>5391</v>
      </c>
      <c r="BA2559" s="1">
        <v>2013</v>
      </c>
      <c r="BB2559" s="1" t="s">
        <v>599</v>
      </c>
      <c r="BE2559" s="1">
        <v>1637</v>
      </c>
      <c r="BF2559" s="1">
        <v>1</v>
      </c>
      <c r="BG2559" s="1">
        <v>0</v>
      </c>
      <c r="BL2559" s="1">
        <v>265</v>
      </c>
      <c r="BM2559" s="1" t="s">
        <v>204</v>
      </c>
      <c r="BN2559" s="1" t="s">
        <v>213</v>
      </c>
      <c r="BO2559" s="1" t="s">
        <v>19898</v>
      </c>
      <c r="BP2559" s="1" t="s">
        <v>204</v>
      </c>
      <c r="BR2559" s="1" t="str">
        <f>"0520114017"</f>
        <v>0520114017</v>
      </c>
      <c r="BT2559" s="1" t="s">
        <v>21923</v>
      </c>
      <c r="BU2559" s="1" t="s">
        <v>1327</v>
      </c>
      <c r="BV2559" s="1" t="s">
        <v>970</v>
      </c>
      <c r="BW2559" s="1" t="s">
        <v>971</v>
      </c>
      <c r="BX2559" s="1">
        <v>200</v>
      </c>
      <c r="BY2559" s="1">
        <v>200</v>
      </c>
      <c r="BZ2559" s="1">
        <v>200</v>
      </c>
      <c r="CB2559" s="1" t="str">
        <f t="shared" ref="CB2559:CC2559" si="1965">""</f>
        <v/>
      </c>
      <c r="CC2559" s="1" t="str">
        <f t="shared" si="1965"/>
        <v/>
      </c>
      <c r="CG2559" s="1" t="s">
        <v>10859</v>
      </c>
      <c r="CH2559" s="1" t="s">
        <v>219</v>
      </c>
      <c r="CI2559" s="1" t="s">
        <v>438</v>
      </c>
      <c r="CJ2559" s="1" t="s">
        <v>343</v>
      </c>
      <c r="CK2559" s="1" t="s">
        <v>1045</v>
      </c>
      <c r="CL2559" s="1" t="s">
        <v>219</v>
      </c>
      <c r="CM2559" s="1" t="s">
        <v>438</v>
      </c>
      <c r="CN2559" s="1" t="s">
        <v>463</v>
      </c>
      <c r="CP2559" s="1" t="s">
        <v>224</v>
      </c>
      <c r="CS2559" s="1" t="s">
        <v>317</v>
      </c>
      <c r="CT2559" s="1" t="s">
        <v>219</v>
      </c>
      <c r="CU2559" s="1" t="s">
        <v>438</v>
      </c>
      <c r="CV2559" s="1" t="s">
        <v>343</v>
      </c>
      <c r="CX2559" s="1" t="s">
        <v>224</v>
      </c>
      <c r="DB2559" s="1" t="s">
        <v>224</v>
      </c>
      <c r="DE2559" s="1" t="s">
        <v>461</v>
      </c>
      <c r="DF2559" s="1" t="s">
        <v>219</v>
      </c>
      <c r="DG2559" s="1" t="s">
        <v>342</v>
      </c>
      <c r="DI2559" s="1" t="s">
        <v>1004</v>
      </c>
      <c r="DJ2559" s="1" t="s">
        <v>219</v>
      </c>
      <c r="DK2559" s="1" t="s">
        <v>438</v>
      </c>
      <c r="DM2559" s="1" t="s">
        <v>934</v>
      </c>
      <c r="DN2559" s="1" t="s">
        <v>227</v>
      </c>
      <c r="DR2559" s="1" t="s">
        <v>1788</v>
      </c>
      <c r="DS2559" s="1" t="s">
        <v>43</v>
      </c>
      <c r="DV2559" s="1" t="s">
        <v>315</v>
      </c>
      <c r="DW2559" s="1" t="s">
        <v>43</v>
      </c>
      <c r="EA2559" s="1" t="s">
        <v>230</v>
      </c>
      <c r="EE2559" s="1" t="s">
        <v>230</v>
      </c>
      <c r="EI2559" s="1" t="s">
        <v>230</v>
      </c>
      <c r="EL2559" s="1" t="s">
        <v>605</v>
      </c>
      <c r="EM2559" s="1" t="s">
        <v>232</v>
      </c>
      <c r="EN2559" s="1" t="s">
        <v>282</v>
      </c>
      <c r="EO2559" s="1" t="s">
        <v>234</v>
      </c>
      <c r="EQ2559" s="1" t="s">
        <v>468</v>
      </c>
      <c r="ER2559" s="1" t="s">
        <v>544</v>
      </c>
      <c r="ES2559" s="1" t="s">
        <v>493</v>
      </c>
      <c r="EV2559" s="1" t="s">
        <v>240</v>
      </c>
      <c r="EW2559" s="1" t="s">
        <v>1804</v>
      </c>
      <c r="EZ2559" s="1" t="s">
        <v>6547</v>
      </c>
      <c r="FA2559" s="1" t="s">
        <v>21924</v>
      </c>
      <c r="FD2559" s="1" t="s">
        <v>246</v>
      </c>
      <c r="FE2559" s="1" t="s">
        <v>386</v>
      </c>
      <c r="FF2559" s="1" t="s">
        <v>248</v>
      </c>
      <c r="FG2559" s="1" t="s">
        <v>939</v>
      </c>
      <c r="FH2559" s="1" t="s">
        <v>21925</v>
      </c>
      <c r="FL2559" s="1" t="s">
        <v>358</v>
      </c>
      <c r="FM2559" s="1" t="s">
        <v>252</v>
      </c>
      <c r="FN2559" s="1" t="s">
        <v>213</v>
      </c>
      <c r="FO2559" s="1" t="s">
        <v>213</v>
      </c>
      <c r="FQ2559" s="1" t="s">
        <v>1758</v>
      </c>
      <c r="FR2559" s="1" t="s">
        <v>210</v>
      </c>
      <c r="FS2559" s="1" t="s">
        <v>21926</v>
      </c>
      <c r="FT2559" s="1" t="s">
        <v>362</v>
      </c>
      <c r="FU2559" s="1" t="s">
        <v>204</v>
      </c>
      <c r="FW2559" s="1" t="s">
        <v>915</v>
      </c>
      <c r="FX2559" s="1">
        <v>25088</v>
      </c>
      <c r="FY2559" s="1" t="s">
        <v>1761</v>
      </c>
      <c r="FZ2559" s="1" t="s">
        <v>21927</v>
      </c>
      <c r="GA2559" s="1">
        <v>254889</v>
      </c>
      <c r="GB2559" s="1" t="s">
        <v>21928</v>
      </c>
      <c r="GE2559" s="1" t="s">
        <v>335</v>
      </c>
      <c r="GI2559" s="1" t="s">
        <v>213</v>
      </c>
      <c r="GJ2559" s="1" t="s">
        <v>260</v>
      </c>
      <c r="GK2559" s="1" t="s">
        <v>210</v>
      </c>
      <c r="GL2559" s="2">
        <v>42101</v>
      </c>
    </row>
    <row r="2560" spans="1:195">
      <c r="A2560" s="1">
        <v>185000</v>
      </c>
      <c r="B2560" s="1" t="s">
        <v>195</v>
      </c>
      <c r="C2560" s="1" t="str">
        <f>"08840206"</f>
        <v>08840206</v>
      </c>
      <c r="D2560" s="1" t="s">
        <v>196</v>
      </c>
      <c r="F2560" s="1" t="str">
        <f>"73"</f>
        <v>73</v>
      </c>
      <c r="G2560" s="2">
        <v>42052</v>
      </c>
      <c r="H2560" s="1">
        <v>199900</v>
      </c>
      <c r="I2560" s="1">
        <v>199900</v>
      </c>
      <c r="J2560" s="1">
        <v>185000</v>
      </c>
      <c r="K2560" s="2">
        <v>42052</v>
      </c>
      <c r="L2560" s="1">
        <v>35</v>
      </c>
      <c r="M2560" s="2">
        <v>42086</v>
      </c>
      <c r="N2560" s="1">
        <v>35</v>
      </c>
      <c r="O2560" s="2">
        <v>42086</v>
      </c>
      <c r="P2560" s="1">
        <v>2535</v>
      </c>
      <c r="Q2560" s="1" t="s">
        <v>197</v>
      </c>
      <c r="R2560" s="2">
        <v>42130</v>
      </c>
      <c r="S2560" s="1">
        <v>17149</v>
      </c>
      <c r="U2560" s="1">
        <v>540</v>
      </c>
      <c r="V2560" s="1" t="s">
        <v>6484</v>
      </c>
      <c r="W2560" s="1" t="s">
        <v>504</v>
      </c>
      <c r="Y2560" s="1">
        <v>2</v>
      </c>
      <c r="Z2560" s="1" t="s">
        <v>249</v>
      </c>
      <c r="AA2560" s="1" t="s">
        <v>1259</v>
      </c>
      <c r="AB2560" s="1">
        <v>60073</v>
      </c>
      <c r="AD2560" s="1" t="s">
        <v>21929</v>
      </c>
      <c r="AE2560" s="1" t="s">
        <v>21930</v>
      </c>
      <c r="AF2560" s="1">
        <v>2010</v>
      </c>
      <c r="AG2560" s="1" t="s">
        <v>204</v>
      </c>
      <c r="AH2560" s="1" t="s">
        <v>1262</v>
      </c>
      <c r="AI2560" s="1" t="s">
        <v>509</v>
      </c>
      <c r="AJ2560" s="1" t="s">
        <v>1016</v>
      </c>
      <c r="AK2560" s="1" t="s">
        <v>5452</v>
      </c>
      <c r="AL2560" s="1">
        <v>7</v>
      </c>
      <c r="AM2560" s="1">
        <v>2</v>
      </c>
      <c r="AN2560" s="1">
        <v>2</v>
      </c>
      <c r="AO2560" s="1">
        <v>1</v>
      </c>
      <c r="AP2560" s="1" t="s">
        <v>209</v>
      </c>
      <c r="AR2560" s="1" t="s">
        <v>209</v>
      </c>
      <c r="AS2560" s="1" t="s">
        <v>204</v>
      </c>
      <c r="AT2560" s="1" t="s">
        <v>211</v>
      </c>
      <c r="AU2560" s="1">
        <v>2</v>
      </c>
      <c r="AW2560" s="1" t="s">
        <v>204</v>
      </c>
      <c r="AX2560" s="1" t="s">
        <v>1265</v>
      </c>
      <c r="AZ2560" s="1">
        <v>5960.05</v>
      </c>
      <c r="BA2560" s="1">
        <v>2013</v>
      </c>
      <c r="BB2560" s="1" t="s">
        <v>405</v>
      </c>
      <c r="BE2560" s="1">
        <v>1678</v>
      </c>
      <c r="BF2560" s="1">
        <v>1</v>
      </c>
      <c r="BG2560" s="1">
        <v>0</v>
      </c>
      <c r="BL2560" s="1">
        <v>179</v>
      </c>
      <c r="BM2560" s="1" t="s">
        <v>204</v>
      </c>
      <c r="BN2560" s="1" t="s">
        <v>213</v>
      </c>
      <c r="BO2560" s="1">
        <v>999</v>
      </c>
      <c r="BP2560" s="1" t="s">
        <v>204</v>
      </c>
      <c r="BR2560" s="1" t="str">
        <f>"05362011540000"</f>
        <v>05362011540000</v>
      </c>
      <c r="BT2560" s="1" t="s">
        <v>21931</v>
      </c>
      <c r="BU2560" s="1" t="s">
        <v>6153</v>
      </c>
      <c r="BV2560" s="1" t="s">
        <v>6488</v>
      </c>
      <c r="BW2560" s="1" t="s">
        <v>2264</v>
      </c>
      <c r="BX2560" s="1">
        <v>38</v>
      </c>
      <c r="BY2560" s="1">
        <v>38</v>
      </c>
      <c r="BZ2560" s="1">
        <v>124</v>
      </c>
      <c r="CB2560" s="1" t="str">
        <f t="shared" ref="CB2560:CC2560" si="1966">""</f>
        <v/>
      </c>
      <c r="CC2560" s="1" t="str">
        <f t="shared" si="1966"/>
        <v/>
      </c>
      <c r="CG2560" s="1" t="s">
        <v>461</v>
      </c>
      <c r="CH2560" s="1" t="s">
        <v>219</v>
      </c>
      <c r="CI2560" s="1" t="s">
        <v>220</v>
      </c>
      <c r="CK2560" s="1" t="s">
        <v>315</v>
      </c>
      <c r="CL2560" s="1" t="s">
        <v>277</v>
      </c>
      <c r="CM2560" s="1" t="s">
        <v>220</v>
      </c>
      <c r="CO2560" s="1" t="s">
        <v>1297</v>
      </c>
      <c r="CP2560" s="1" t="s">
        <v>219</v>
      </c>
      <c r="CQ2560" s="1" t="s">
        <v>220</v>
      </c>
      <c r="CS2560" s="1" t="s">
        <v>346</v>
      </c>
      <c r="CT2560" s="1" t="s">
        <v>277</v>
      </c>
      <c r="CU2560" s="1" t="s">
        <v>220</v>
      </c>
      <c r="CX2560" s="1" t="s">
        <v>224</v>
      </c>
      <c r="DB2560" s="1" t="s">
        <v>224</v>
      </c>
      <c r="DE2560" s="1" t="s">
        <v>465</v>
      </c>
      <c r="DF2560" s="1" t="s">
        <v>219</v>
      </c>
      <c r="DG2560" s="1" t="s">
        <v>342</v>
      </c>
      <c r="DI2560" s="1" t="s">
        <v>757</v>
      </c>
      <c r="DJ2560" s="1" t="s">
        <v>219</v>
      </c>
      <c r="DK2560" s="1" t="s">
        <v>220</v>
      </c>
      <c r="DM2560" s="1" t="s">
        <v>464</v>
      </c>
      <c r="DR2560" s="1" t="s">
        <v>1297</v>
      </c>
      <c r="DS2560" s="1" t="s">
        <v>277</v>
      </c>
      <c r="DT2560" s="1" t="s">
        <v>220</v>
      </c>
      <c r="DW2560" s="1" t="s">
        <v>230</v>
      </c>
      <c r="EA2560" s="1" t="s">
        <v>230</v>
      </c>
      <c r="EE2560" s="1" t="s">
        <v>230</v>
      </c>
      <c r="EI2560" s="1" t="s">
        <v>230</v>
      </c>
      <c r="EL2560" s="1" t="s">
        <v>1549</v>
      </c>
      <c r="EM2560" s="1" t="s">
        <v>319</v>
      </c>
      <c r="EN2560" s="1" t="s">
        <v>282</v>
      </c>
      <c r="EO2560" s="1" t="s">
        <v>234</v>
      </c>
      <c r="EP2560" s="1" t="s">
        <v>1268</v>
      </c>
      <c r="EQ2560" s="1" t="s">
        <v>492</v>
      </c>
      <c r="ER2560" s="1" t="s">
        <v>1249</v>
      </c>
      <c r="ES2560" s="1" t="s">
        <v>1791</v>
      </c>
      <c r="ET2560" s="1" t="s">
        <v>1201</v>
      </c>
      <c r="EU2560" s="1" t="s">
        <v>712</v>
      </c>
      <c r="EV2560" s="1" t="s">
        <v>324</v>
      </c>
      <c r="EW2560" s="1" t="s">
        <v>937</v>
      </c>
      <c r="EZ2560" s="1" t="s">
        <v>464</v>
      </c>
      <c r="FB2560" s="1" t="s">
        <v>289</v>
      </c>
      <c r="FC2560" s="1" t="s">
        <v>548</v>
      </c>
      <c r="FD2560" s="1" t="s">
        <v>246</v>
      </c>
      <c r="FE2560" s="1" t="s">
        <v>765</v>
      </c>
      <c r="FF2560" s="1" t="s">
        <v>248</v>
      </c>
      <c r="FH2560" s="1" t="s">
        <v>550</v>
      </c>
      <c r="FI2560" s="1" t="s">
        <v>357</v>
      </c>
      <c r="FL2560" s="1" t="s">
        <v>358</v>
      </c>
      <c r="FM2560" s="1" t="s">
        <v>252</v>
      </c>
      <c r="FN2560" s="1" t="s">
        <v>213</v>
      </c>
      <c r="FO2560" s="1" t="s">
        <v>213</v>
      </c>
      <c r="FQ2560" s="1" t="s">
        <v>3378</v>
      </c>
      <c r="FR2560" s="1" t="s">
        <v>210</v>
      </c>
      <c r="FS2560" s="1" t="s">
        <v>4040</v>
      </c>
      <c r="FT2560" s="1" t="s">
        <v>1778</v>
      </c>
      <c r="FU2560" s="1" t="s">
        <v>204</v>
      </c>
      <c r="FW2560" s="1" t="s">
        <v>1559</v>
      </c>
      <c r="FX2560" s="1">
        <v>2415</v>
      </c>
      <c r="FY2560" s="1" t="s">
        <v>3380</v>
      </c>
      <c r="FZ2560" s="1" t="s">
        <v>21932</v>
      </c>
      <c r="GA2560" s="1">
        <v>11009</v>
      </c>
      <c r="GB2560" s="1" t="s">
        <v>21933</v>
      </c>
      <c r="GC2560" s="1">
        <v>243058</v>
      </c>
      <c r="GE2560" s="1" t="s">
        <v>1256</v>
      </c>
      <c r="GH2560" s="1" t="s">
        <v>421</v>
      </c>
      <c r="GI2560" s="1" t="s">
        <v>213</v>
      </c>
      <c r="GJ2560" s="1" t="s">
        <v>260</v>
      </c>
      <c r="GK2560" s="1" t="s">
        <v>210</v>
      </c>
      <c r="GL2560" s="2">
        <v>42130</v>
      </c>
      <c r="GM2560" s="1" t="s">
        <v>21934</v>
      </c>
    </row>
    <row r="2561" spans="1:195">
      <c r="A2561" s="1">
        <v>245000</v>
      </c>
      <c r="B2561" s="1" t="s">
        <v>195</v>
      </c>
      <c r="C2561" s="1" t="str">
        <f>"08834908"</f>
        <v>08834908</v>
      </c>
      <c r="D2561" s="1" t="s">
        <v>196</v>
      </c>
      <c r="F2561" s="1" t="str">
        <f>"514"</f>
        <v>514</v>
      </c>
      <c r="G2561" s="2">
        <v>42044</v>
      </c>
      <c r="H2561" s="1">
        <v>257900</v>
      </c>
      <c r="I2561" s="1">
        <v>257900</v>
      </c>
      <c r="J2561" s="1">
        <v>245000</v>
      </c>
      <c r="K2561" s="2">
        <v>42044</v>
      </c>
      <c r="L2561" s="1">
        <v>39</v>
      </c>
      <c r="M2561" s="2">
        <v>42082</v>
      </c>
      <c r="N2561" s="1">
        <v>39</v>
      </c>
      <c r="O2561" s="2">
        <v>42082</v>
      </c>
      <c r="P2561" s="1">
        <v>22205</v>
      </c>
      <c r="Q2561" s="1" t="s">
        <v>197</v>
      </c>
      <c r="R2561" s="2">
        <v>42128</v>
      </c>
      <c r="S2561" s="1">
        <v>241108</v>
      </c>
      <c r="U2561" s="1">
        <v>405</v>
      </c>
      <c r="V2561" s="1" t="s">
        <v>12561</v>
      </c>
      <c r="W2561" s="1" t="s">
        <v>304</v>
      </c>
      <c r="Y2561" s="1">
        <v>4</v>
      </c>
      <c r="Z2561" s="1" t="s">
        <v>370</v>
      </c>
      <c r="AA2561" s="1" t="s">
        <v>2691</v>
      </c>
      <c r="AB2561" s="1">
        <v>60514</v>
      </c>
      <c r="AD2561" s="1" t="s">
        <v>12562</v>
      </c>
      <c r="AE2561" s="1" t="s">
        <v>21935</v>
      </c>
      <c r="AF2561" s="1">
        <v>1992</v>
      </c>
      <c r="AG2561" s="1" t="s">
        <v>204</v>
      </c>
      <c r="AH2561" s="1" t="s">
        <v>2693</v>
      </c>
      <c r="AI2561" s="1" t="s">
        <v>206</v>
      </c>
      <c r="AJ2561" s="1" t="s">
        <v>903</v>
      </c>
      <c r="AL2561" s="1">
        <v>5</v>
      </c>
      <c r="AM2561" s="1">
        <v>2</v>
      </c>
      <c r="AN2561" s="1">
        <v>2</v>
      </c>
      <c r="AO2561" s="1">
        <v>1</v>
      </c>
      <c r="AP2561" s="1" t="s">
        <v>210</v>
      </c>
      <c r="AQ2561" s="1">
        <v>1</v>
      </c>
      <c r="AR2561" s="1" t="s">
        <v>209</v>
      </c>
      <c r="AS2561" s="1" t="s">
        <v>213</v>
      </c>
      <c r="AT2561" s="1" t="s">
        <v>211</v>
      </c>
      <c r="AU2561" s="1">
        <v>1</v>
      </c>
      <c r="AW2561" s="1" t="s">
        <v>204</v>
      </c>
      <c r="AX2561" s="1" t="s">
        <v>212</v>
      </c>
      <c r="AZ2561" s="1">
        <v>3951</v>
      </c>
      <c r="BA2561" s="1">
        <v>2013</v>
      </c>
      <c r="BB2561" s="1" t="s">
        <v>405</v>
      </c>
      <c r="BE2561" s="1">
        <v>1250</v>
      </c>
      <c r="BF2561" s="1">
        <v>1</v>
      </c>
      <c r="BG2561" s="1">
        <v>30</v>
      </c>
      <c r="BL2561" s="1">
        <v>255</v>
      </c>
      <c r="BM2561" s="1" t="s">
        <v>204</v>
      </c>
      <c r="BN2561" s="1" t="s">
        <v>213</v>
      </c>
      <c r="BO2561" s="1" t="s">
        <v>6360</v>
      </c>
      <c r="BP2561" s="1" t="s">
        <v>204</v>
      </c>
      <c r="BR2561" s="1" t="str">
        <f>"0914121018"</f>
        <v>0914121018</v>
      </c>
      <c r="BT2561" s="1" t="s">
        <v>21936</v>
      </c>
      <c r="BU2561" s="1" t="s">
        <v>10088</v>
      </c>
      <c r="BV2561" s="1" t="s">
        <v>2981</v>
      </c>
      <c r="BW2561" s="1" t="s">
        <v>1546</v>
      </c>
      <c r="BX2561" s="1">
        <v>60</v>
      </c>
      <c r="BY2561" s="1">
        <v>60</v>
      </c>
      <c r="BZ2561" s="1">
        <v>86</v>
      </c>
      <c r="CB2561" s="1" t="str">
        <f t="shared" ref="CB2561:CC2561" si="1967">"0"</f>
        <v>0</v>
      </c>
      <c r="CC2561" s="1" t="str">
        <f t="shared" si="1967"/>
        <v>0</v>
      </c>
      <c r="CD2561" s="1">
        <v>16</v>
      </c>
      <c r="CE2561" s="1">
        <v>6</v>
      </c>
      <c r="CG2561" s="1" t="s">
        <v>1155</v>
      </c>
      <c r="CH2561" s="1" t="s">
        <v>219</v>
      </c>
      <c r="CI2561" s="1" t="s">
        <v>220</v>
      </c>
      <c r="CJ2561" s="1" t="s">
        <v>909</v>
      </c>
      <c r="CK2561" s="1" t="s">
        <v>2121</v>
      </c>
      <c r="CL2561" s="1" t="s">
        <v>277</v>
      </c>
      <c r="CM2561" s="1" t="s">
        <v>220</v>
      </c>
      <c r="CP2561" s="1" t="s">
        <v>224</v>
      </c>
      <c r="CS2561" s="1" t="s">
        <v>465</v>
      </c>
      <c r="CT2561" s="1" t="s">
        <v>277</v>
      </c>
      <c r="CU2561" s="1" t="s">
        <v>220</v>
      </c>
      <c r="CX2561" s="1" t="s">
        <v>224</v>
      </c>
      <c r="DB2561" s="1" t="s">
        <v>224</v>
      </c>
      <c r="DE2561" s="1" t="s">
        <v>380</v>
      </c>
      <c r="DF2561" s="1" t="s">
        <v>219</v>
      </c>
      <c r="DG2561" s="1" t="s">
        <v>229</v>
      </c>
      <c r="DH2561" s="1" t="s">
        <v>210</v>
      </c>
      <c r="DI2561" s="1" t="s">
        <v>729</v>
      </c>
      <c r="DJ2561" s="1" t="s">
        <v>43</v>
      </c>
      <c r="DK2561" s="1" t="s">
        <v>229</v>
      </c>
      <c r="DS2561" s="1" t="s">
        <v>230</v>
      </c>
      <c r="DW2561" s="1" t="s">
        <v>230</v>
      </c>
      <c r="EA2561" s="1" t="s">
        <v>230</v>
      </c>
      <c r="EE2561" s="1" t="s">
        <v>230</v>
      </c>
      <c r="EI2561" s="1" t="s">
        <v>230</v>
      </c>
      <c r="EL2561" s="1" t="s">
        <v>382</v>
      </c>
      <c r="EM2561" s="1" t="s">
        <v>232</v>
      </c>
      <c r="EN2561" s="1" t="s">
        <v>282</v>
      </c>
      <c r="EO2561" s="1" t="s">
        <v>234</v>
      </c>
      <c r="EP2561" s="1" t="s">
        <v>1489</v>
      </c>
      <c r="EQ2561" s="1" t="s">
        <v>236</v>
      </c>
      <c r="ER2561" s="1" t="s">
        <v>544</v>
      </c>
      <c r="ES2561" s="1" t="s">
        <v>493</v>
      </c>
      <c r="EW2561" s="1" t="s">
        <v>210</v>
      </c>
      <c r="EZ2561" s="1" t="s">
        <v>287</v>
      </c>
      <c r="FA2561" s="1" t="s">
        <v>869</v>
      </c>
      <c r="FB2561" s="1" t="s">
        <v>289</v>
      </c>
      <c r="FD2561" s="1" t="s">
        <v>246</v>
      </c>
      <c r="FE2561" s="1" t="s">
        <v>975</v>
      </c>
      <c r="FF2561" s="1" t="s">
        <v>387</v>
      </c>
      <c r="FG2561" s="1" t="s">
        <v>912</v>
      </c>
      <c r="FH2561" s="1" t="s">
        <v>550</v>
      </c>
      <c r="FI2561" s="1" t="s">
        <v>357</v>
      </c>
      <c r="FJ2561" s="1" t="s">
        <v>518</v>
      </c>
      <c r="FL2561" s="1" t="s">
        <v>358</v>
      </c>
      <c r="FM2561" s="1" t="s">
        <v>252</v>
      </c>
      <c r="FN2561" s="1" t="s">
        <v>213</v>
      </c>
      <c r="FO2561" s="1" t="s">
        <v>213</v>
      </c>
      <c r="FQ2561" s="1" t="s">
        <v>635</v>
      </c>
      <c r="FR2561" s="1" t="s">
        <v>210</v>
      </c>
      <c r="FS2561" s="1" t="s">
        <v>21937</v>
      </c>
      <c r="FT2561" s="1" t="s">
        <v>520</v>
      </c>
      <c r="FU2561" s="1" t="s">
        <v>213</v>
      </c>
      <c r="FW2561" s="1" t="s">
        <v>8542</v>
      </c>
      <c r="FX2561" s="1">
        <v>61075</v>
      </c>
      <c r="FY2561" s="1" t="s">
        <v>8543</v>
      </c>
      <c r="FZ2561" s="1" t="s">
        <v>8544</v>
      </c>
      <c r="GA2561" s="1">
        <v>601905</v>
      </c>
      <c r="GB2561" s="1" t="s">
        <v>8545</v>
      </c>
      <c r="GC2561" s="1">
        <v>238123</v>
      </c>
      <c r="GD2561" s="1" t="s">
        <v>21938</v>
      </c>
      <c r="GE2561" s="1" t="s">
        <v>1764</v>
      </c>
      <c r="GI2561" s="1" t="s">
        <v>213</v>
      </c>
      <c r="GJ2561" s="1" t="s">
        <v>300</v>
      </c>
      <c r="GK2561" s="1" t="s">
        <v>210</v>
      </c>
      <c r="GL2561" s="2">
        <v>42129</v>
      </c>
      <c r="GM2561" s="1" t="s">
        <v>21939</v>
      </c>
    </row>
    <row r="2562" spans="1:195">
      <c r="A2562" s="1">
        <v>130000</v>
      </c>
      <c r="B2562" s="1" t="s">
        <v>195</v>
      </c>
      <c r="C2562" s="1" t="str">
        <f>"08832536"</f>
        <v>08832536</v>
      </c>
      <c r="D2562" s="1" t="s">
        <v>196</v>
      </c>
      <c r="F2562" s="1" t="str">
        <f>"30"</f>
        <v>30</v>
      </c>
      <c r="G2562" s="2">
        <v>42041</v>
      </c>
      <c r="H2562" s="1">
        <v>144900</v>
      </c>
      <c r="I2562" s="1">
        <v>144900</v>
      </c>
      <c r="J2562" s="1">
        <v>130000</v>
      </c>
      <c r="K2562" s="2">
        <v>42041</v>
      </c>
      <c r="L2562" s="1">
        <v>29</v>
      </c>
      <c r="M2562" s="2">
        <v>42069</v>
      </c>
      <c r="N2562" s="1">
        <v>29</v>
      </c>
      <c r="O2562" s="2">
        <v>42069</v>
      </c>
      <c r="P2562" s="1">
        <v>4564</v>
      </c>
      <c r="Q2562" s="1" t="s">
        <v>423</v>
      </c>
      <c r="R2562" s="2">
        <v>42109</v>
      </c>
      <c r="S2562" s="1">
        <v>34158</v>
      </c>
      <c r="T2562" s="1">
        <v>750</v>
      </c>
      <c r="U2562" s="1">
        <v>18603</v>
      </c>
      <c r="V2562" s="1" t="s">
        <v>9328</v>
      </c>
      <c r="W2562" s="1" t="s">
        <v>304</v>
      </c>
      <c r="X2562" s="1">
        <v>18603</v>
      </c>
      <c r="Y2562" s="1">
        <v>4</v>
      </c>
      <c r="Z2562" s="1" t="s">
        <v>370</v>
      </c>
      <c r="AA2562" s="1" t="s">
        <v>1834</v>
      </c>
      <c r="AB2562" s="1">
        <v>60030</v>
      </c>
      <c r="AD2562" s="1" t="s">
        <v>21940</v>
      </c>
      <c r="AE2562" s="1" t="s">
        <v>21941</v>
      </c>
      <c r="AF2562" s="1">
        <v>1995</v>
      </c>
      <c r="AG2562" s="1" t="s">
        <v>204</v>
      </c>
      <c r="AH2562" s="1" t="s">
        <v>882</v>
      </c>
      <c r="AI2562" s="1" t="s">
        <v>509</v>
      </c>
      <c r="AJ2562" s="1" t="s">
        <v>1061</v>
      </c>
      <c r="AL2562" s="1">
        <v>7</v>
      </c>
      <c r="AM2562" s="1">
        <v>2</v>
      </c>
      <c r="AN2562" s="1">
        <v>1</v>
      </c>
      <c r="AO2562" s="1">
        <v>1</v>
      </c>
      <c r="AP2562" s="1" t="s">
        <v>210</v>
      </c>
      <c r="AQ2562" s="1">
        <v>0</v>
      </c>
      <c r="AR2562" s="1" t="s">
        <v>1421</v>
      </c>
      <c r="AS2562" s="1" t="s">
        <v>204</v>
      </c>
      <c r="AT2562" s="1" t="s">
        <v>211</v>
      </c>
      <c r="AU2562" s="1">
        <v>2</v>
      </c>
      <c r="AW2562" s="1" t="s">
        <v>204</v>
      </c>
      <c r="AX2562" s="1" t="s">
        <v>212</v>
      </c>
      <c r="AZ2562" s="1">
        <v>4447.6499999999996</v>
      </c>
      <c r="BA2562" s="1">
        <v>2013</v>
      </c>
      <c r="BE2562" s="1">
        <v>1240</v>
      </c>
      <c r="BF2562" s="1">
        <v>1</v>
      </c>
      <c r="BG2562" s="1">
        <v>30</v>
      </c>
      <c r="BL2562" s="1">
        <v>185</v>
      </c>
      <c r="BM2562" s="1" t="s">
        <v>204</v>
      </c>
      <c r="BN2562" s="1" t="s">
        <v>213</v>
      </c>
      <c r="BO2562" s="1">
        <v>0</v>
      </c>
      <c r="BP2562" s="1" t="s">
        <v>204</v>
      </c>
      <c r="BR2562" s="1" t="str">
        <f>"07193060930000"</f>
        <v>07193060930000</v>
      </c>
      <c r="BT2562" s="1" t="s">
        <v>21942</v>
      </c>
      <c r="BX2562" s="1">
        <v>50</v>
      </c>
      <c r="BY2562" s="1">
        <v>50</v>
      </c>
      <c r="BZ2562" s="1">
        <v>121</v>
      </c>
      <c r="CB2562" s="1" t="str">
        <f t="shared" ref="CB2562:CC2562" si="1968">""</f>
        <v/>
      </c>
      <c r="CC2562" s="1" t="str">
        <f t="shared" si="1968"/>
        <v/>
      </c>
      <c r="CG2562" s="1" t="s">
        <v>2402</v>
      </c>
      <c r="CH2562" s="1" t="s">
        <v>219</v>
      </c>
      <c r="CK2562" s="1" t="s">
        <v>1045</v>
      </c>
      <c r="CL2562" s="1" t="s">
        <v>277</v>
      </c>
      <c r="CO2562" s="1" t="s">
        <v>629</v>
      </c>
      <c r="CP2562" s="1" t="s">
        <v>219</v>
      </c>
      <c r="CS2562" s="1" t="s">
        <v>378</v>
      </c>
      <c r="CT2562" s="1" t="s">
        <v>277</v>
      </c>
      <c r="CX2562" s="1" t="s">
        <v>224</v>
      </c>
      <c r="DB2562" s="1" t="s">
        <v>224</v>
      </c>
      <c r="DE2562" s="1" t="s">
        <v>757</v>
      </c>
      <c r="DF2562" s="1" t="s">
        <v>219</v>
      </c>
      <c r="DI2562" s="1" t="s">
        <v>378</v>
      </c>
      <c r="DJ2562" s="1" t="s">
        <v>822</v>
      </c>
      <c r="DM2562" s="1" t="s">
        <v>464</v>
      </c>
      <c r="DR2562" s="1" t="s">
        <v>346</v>
      </c>
      <c r="DS2562" s="1" t="s">
        <v>277</v>
      </c>
      <c r="DW2562" s="1" t="s">
        <v>230</v>
      </c>
      <c r="EA2562" s="1" t="s">
        <v>230</v>
      </c>
      <c r="EE2562" s="1" t="s">
        <v>230</v>
      </c>
      <c r="EI2562" s="1" t="s">
        <v>230</v>
      </c>
      <c r="EL2562" s="1" t="s">
        <v>670</v>
      </c>
      <c r="EM2562" s="1" t="s">
        <v>232</v>
      </c>
      <c r="EN2562" s="1" t="s">
        <v>282</v>
      </c>
      <c r="EO2562" s="1" t="s">
        <v>234</v>
      </c>
      <c r="ER2562" s="1" t="s">
        <v>544</v>
      </c>
      <c r="ES2562" s="1" t="s">
        <v>1552</v>
      </c>
      <c r="EV2562" s="1" t="s">
        <v>240</v>
      </c>
      <c r="EW2562" s="1" t="s">
        <v>353</v>
      </c>
      <c r="EZ2562" s="1" t="s">
        <v>464</v>
      </c>
      <c r="FD2562" s="1" t="s">
        <v>385</v>
      </c>
      <c r="FE2562" s="1" t="s">
        <v>975</v>
      </c>
      <c r="FF2562" s="1" t="s">
        <v>248</v>
      </c>
      <c r="FH2562" s="1" t="s">
        <v>15712</v>
      </c>
      <c r="FL2562" s="1" t="s">
        <v>358</v>
      </c>
      <c r="FM2562" s="1" t="s">
        <v>252</v>
      </c>
      <c r="FN2562" s="1" t="s">
        <v>213</v>
      </c>
      <c r="FO2562" s="1" t="s">
        <v>213</v>
      </c>
      <c r="FQ2562" s="1" t="s">
        <v>689</v>
      </c>
      <c r="FR2562" s="1" t="s">
        <v>210</v>
      </c>
      <c r="FS2562" s="1" t="s">
        <v>15702</v>
      </c>
      <c r="FT2562" s="1" t="s">
        <v>584</v>
      </c>
      <c r="FU2562" s="1" t="s">
        <v>204</v>
      </c>
      <c r="FW2562" s="1" t="s">
        <v>15703</v>
      </c>
      <c r="FX2562" s="1">
        <v>3319</v>
      </c>
      <c r="FY2562" s="1" t="s">
        <v>15704</v>
      </c>
      <c r="FZ2562" s="1" t="s">
        <v>15705</v>
      </c>
      <c r="GA2562" s="1">
        <v>35055</v>
      </c>
      <c r="GE2562" s="1" t="s">
        <v>210</v>
      </c>
      <c r="GH2562" s="1" t="s">
        <v>589</v>
      </c>
      <c r="GI2562" s="1" t="s">
        <v>213</v>
      </c>
      <c r="GJ2562" s="1" t="s">
        <v>260</v>
      </c>
      <c r="GK2562" s="1" t="s">
        <v>210</v>
      </c>
      <c r="GL2562" s="2">
        <v>42109</v>
      </c>
      <c r="GM2562" s="1" t="s">
        <v>15706</v>
      </c>
    </row>
    <row r="2563" spans="1:195">
      <c r="A2563" s="1">
        <v>278000</v>
      </c>
      <c r="B2563" s="1" t="s">
        <v>195</v>
      </c>
      <c r="C2563" s="1" t="str">
        <f>"08833489"</f>
        <v>08833489</v>
      </c>
      <c r="D2563" s="1" t="s">
        <v>196</v>
      </c>
      <c r="F2563" s="1" t="str">
        <f>"523"</f>
        <v>523</v>
      </c>
      <c r="G2563" s="2">
        <v>42042</v>
      </c>
      <c r="H2563" s="1">
        <v>279900</v>
      </c>
      <c r="I2563" s="1">
        <v>279900</v>
      </c>
      <c r="J2563" s="1">
        <v>278000</v>
      </c>
      <c r="K2563" s="2">
        <v>42042</v>
      </c>
      <c r="L2563" s="1">
        <v>12</v>
      </c>
      <c r="M2563" s="2">
        <v>42053</v>
      </c>
      <c r="N2563" s="1">
        <v>12</v>
      </c>
      <c r="O2563" s="2">
        <v>42053</v>
      </c>
      <c r="P2563" s="1">
        <v>61146</v>
      </c>
      <c r="Q2563" s="1" t="s">
        <v>423</v>
      </c>
      <c r="R2563" s="2">
        <v>42093</v>
      </c>
      <c r="S2563" s="1">
        <v>219027</v>
      </c>
      <c r="T2563" s="1">
        <v>2500</v>
      </c>
      <c r="U2563" s="1" t="s">
        <v>21943</v>
      </c>
      <c r="V2563" s="1" t="s">
        <v>21944</v>
      </c>
      <c r="Y2563" s="1">
        <v>4</v>
      </c>
      <c r="Z2563" s="1" t="s">
        <v>370</v>
      </c>
      <c r="AA2563" s="1" t="s">
        <v>3818</v>
      </c>
      <c r="AB2563" s="1">
        <v>60523</v>
      </c>
      <c r="AD2563" s="1" t="s">
        <v>21945</v>
      </c>
      <c r="AE2563" s="1" t="s">
        <v>21946</v>
      </c>
      <c r="AF2563" s="1">
        <v>1974</v>
      </c>
      <c r="AG2563" s="1" t="s">
        <v>213</v>
      </c>
      <c r="AH2563" s="1" t="s">
        <v>882</v>
      </c>
      <c r="AI2563" s="1" t="s">
        <v>206</v>
      </c>
      <c r="AJ2563" s="1" t="s">
        <v>1608</v>
      </c>
      <c r="AK2563" s="1" t="s">
        <v>1688</v>
      </c>
      <c r="AL2563" s="1">
        <v>6</v>
      </c>
      <c r="AM2563" s="1">
        <v>2</v>
      </c>
      <c r="AN2563" s="1">
        <v>1</v>
      </c>
      <c r="AO2563" s="1">
        <v>1</v>
      </c>
      <c r="AP2563" s="1" t="s">
        <v>667</v>
      </c>
      <c r="AQ2563" s="1">
        <v>1</v>
      </c>
      <c r="AR2563" s="1" t="s">
        <v>209</v>
      </c>
      <c r="AS2563" s="1" t="s">
        <v>204</v>
      </c>
      <c r="AT2563" s="1" t="s">
        <v>211</v>
      </c>
      <c r="AU2563" s="1">
        <v>1</v>
      </c>
      <c r="AW2563" s="1" t="s">
        <v>204</v>
      </c>
      <c r="AX2563" s="1" t="s">
        <v>212</v>
      </c>
      <c r="AZ2563" s="1">
        <v>3806</v>
      </c>
      <c r="BA2563" s="1">
        <v>2013</v>
      </c>
      <c r="BB2563" s="1" t="s">
        <v>2694</v>
      </c>
      <c r="BE2563" s="1">
        <v>1644</v>
      </c>
      <c r="BF2563" s="1">
        <v>1</v>
      </c>
      <c r="BG2563" s="1">
        <v>15</v>
      </c>
      <c r="BL2563" s="1">
        <v>2060</v>
      </c>
      <c r="BM2563" s="1" t="s">
        <v>204</v>
      </c>
      <c r="BN2563" s="1" t="s">
        <v>213</v>
      </c>
      <c r="BO2563" s="1">
        <v>999</v>
      </c>
      <c r="BP2563" s="1" t="s">
        <v>204</v>
      </c>
      <c r="BR2563" s="1" t="str">
        <f>"0629409018"</f>
        <v>0629409018</v>
      </c>
      <c r="BT2563" s="1" t="s">
        <v>21947</v>
      </c>
      <c r="BU2563" s="1" t="s">
        <v>9484</v>
      </c>
      <c r="BV2563" s="1" t="s">
        <v>2761</v>
      </c>
      <c r="BW2563" s="1" t="s">
        <v>2762</v>
      </c>
      <c r="BX2563" s="1">
        <v>58</v>
      </c>
      <c r="BY2563" s="1">
        <v>58</v>
      </c>
      <c r="BZ2563" s="1">
        <v>99</v>
      </c>
      <c r="CB2563" s="1" t="str">
        <f t="shared" ref="CB2563:CC2563" si="1969">"0"</f>
        <v>0</v>
      </c>
      <c r="CC2563" s="1" t="str">
        <f t="shared" si="1969"/>
        <v>0</v>
      </c>
      <c r="CD2563" s="1">
        <v>19</v>
      </c>
      <c r="CE2563" s="1">
        <v>3</v>
      </c>
      <c r="CG2563" s="1" t="s">
        <v>218</v>
      </c>
      <c r="CH2563" s="1" t="s">
        <v>219</v>
      </c>
      <c r="CI2563" s="1" t="s">
        <v>438</v>
      </c>
      <c r="CJ2563" s="1" t="s">
        <v>343</v>
      </c>
      <c r="CK2563" s="1" t="s">
        <v>315</v>
      </c>
      <c r="CL2563" s="1" t="s">
        <v>277</v>
      </c>
      <c r="CM2563" s="1" t="s">
        <v>438</v>
      </c>
      <c r="CN2563" s="1" t="s">
        <v>343</v>
      </c>
      <c r="CO2563" s="1" t="s">
        <v>932</v>
      </c>
      <c r="CP2563" s="1" t="s">
        <v>219</v>
      </c>
      <c r="CQ2563" s="1" t="s">
        <v>438</v>
      </c>
      <c r="CR2563" s="1" t="s">
        <v>343</v>
      </c>
      <c r="CS2563" s="1" t="s">
        <v>315</v>
      </c>
      <c r="CT2563" s="1" t="s">
        <v>277</v>
      </c>
      <c r="CU2563" s="1" t="s">
        <v>438</v>
      </c>
      <c r="CV2563" s="1" t="s">
        <v>343</v>
      </c>
      <c r="CX2563" s="1" t="s">
        <v>224</v>
      </c>
      <c r="DB2563" s="1" t="s">
        <v>224</v>
      </c>
      <c r="DE2563" s="1" t="s">
        <v>516</v>
      </c>
      <c r="DF2563" s="1" t="s">
        <v>219</v>
      </c>
      <c r="DG2563" s="1" t="s">
        <v>438</v>
      </c>
      <c r="DH2563" s="1" t="s">
        <v>343</v>
      </c>
      <c r="DI2563" s="1" t="s">
        <v>223</v>
      </c>
      <c r="DJ2563" s="1" t="s">
        <v>219</v>
      </c>
      <c r="DK2563" s="1" t="s">
        <v>438</v>
      </c>
      <c r="DL2563" s="1" t="s">
        <v>343</v>
      </c>
      <c r="DS2563" s="1" t="s">
        <v>230</v>
      </c>
      <c r="DW2563" s="1" t="s">
        <v>230</v>
      </c>
      <c r="EA2563" s="1" t="s">
        <v>230</v>
      </c>
      <c r="EE2563" s="1" t="s">
        <v>230</v>
      </c>
      <c r="EI2563" s="1" t="s">
        <v>230</v>
      </c>
      <c r="EL2563" s="1" t="s">
        <v>605</v>
      </c>
      <c r="EM2563" s="1" t="s">
        <v>232</v>
      </c>
      <c r="EN2563" s="1" t="s">
        <v>282</v>
      </c>
      <c r="EO2563" s="1" t="s">
        <v>840</v>
      </c>
      <c r="EP2563" s="1" t="s">
        <v>8330</v>
      </c>
      <c r="EQ2563" s="1" t="s">
        <v>21948</v>
      </c>
      <c r="ER2563" s="1" t="s">
        <v>1249</v>
      </c>
      <c r="ES2563" s="1" t="s">
        <v>545</v>
      </c>
      <c r="EU2563" s="1" t="s">
        <v>1820</v>
      </c>
      <c r="EV2563" s="1" t="s">
        <v>324</v>
      </c>
      <c r="EW2563" s="1" t="s">
        <v>4959</v>
      </c>
      <c r="EZ2563" s="1" t="s">
        <v>287</v>
      </c>
      <c r="FA2563" s="1" t="s">
        <v>2001</v>
      </c>
      <c r="FB2563" s="1" t="s">
        <v>289</v>
      </c>
      <c r="FC2563" s="1" t="s">
        <v>326</v>
      </c>
      <c r="FD2563" s="1" t="s">
        <v>495</v>
      </c>
      <c r="FE2563" s="1" t="s">
        <v>549</v>
      </c>
      <c r="FF2563" s="1" t="s">
        <v>248</v>
      </c>
      <c r="FG2563" s="1" t="s">
        <v>3933</v>
      </c>
      <c r="FH2563" s="1" t="s">
        <v>550</v>
      </c>
      <c r="FI2563" s="1" t="s">
        <v>3300</v>
      </c>
      <c r="FL2563" s="1" t="s">
        <v>358</v>
      </c>
      <c r="FM2563" s="1" t="s">
        <v>252</v>
      </c>
      <c r="FN2563" s="1" t="s">
        <v>213</v>
      </c>
      <c r="FO2563" s="1" t="s">
        <v>213</v>
      </c>
      <c r="FQ2563" s="1" t="s">
        <v>956</v>
      </c>
      <c r="FR2563" s="1" t="s">
        <v>210</v>
      </c>
      <c r="FS2563" s="1" t="s">
        <v>21949</v>
      </c>
      <c r="FT2563" s="1" t="s">
        <v>21950</v>
      </c>
      <c r="FU2563" s="1" t="s">
        <v>204</v>
      </c>
      <c r="FW2563" s="1" t="s">
        <v>8712</v>
      </c>
      <c r="FX2563" s="1">
        <v>24213</v>
      </c>
      <c r="FY2563" s="1" t="s">
        <v>8713</v>
      </c>
      <c r="FZ2563" s="1" t="s">
        <v>8899</v>
      </c>
      <c r="GA2563" s="1">
        <v>241584</v>
      </c>
      <c r="GB2563" s="1" t="s">
        <v>8900</v>
      </c>
      <c r="GE2563" s="1" t="s">
        <v>480</v>
      </c>
      <c r="GI2563" s="1" t="s">
        <v>213</v>
      </c>
      <c r="GJ2563" s="1" t="s">
        <v>260</v>
      </c>
      <c r="GK2563" s="1" t="s">
        <v>210</v>
      </c>
      <c r="GL2563" s="2">
        <v>42093</v>
      </c>
      <c r="GM2563" s="1" t="s">
        <v>21951</v>
      </c>
    </row>
    <row r="2564" spans="1:195">
      <c r="A2564" s="1">
        <v>154500</v>
      </c>
      <c r="B2564" s="1" t="s">
        <v>195</v>
      </c>
      <c r="C2564" s="1" t="str">
        <f>"08832918"</f>
        <v>08832918</v>
      </c>
      <c r="D2564" s="1" t="s">
        <v>196</v>
      </c>
      <c r="F2564" s="1" t="str">
        <f>"562"</f>
        <v>562</v>
      </c>
      <c r="G2564" s="2">
        <v>42041</v>
      </c>
      <c r="H2564" s="1">
        <v>155000</v>
      </c>
      <c r="I2564" s="1">
        <v>155000</v>
      </c>
      <c r="J2564" s="1">
        <v>154500</v>
      </c>
      <c r="K2564" s="2">
        <v>42041</v>
      </c>
      <c r="L2564" s="1">
        <v>11</v>
      </c>
      <c r="M2564" s="2">
        <v>42051</v>
      </c>
      <c r="N2564" s="1">
        <v>11</v>
      </c>
      <c r="O2564" s="2">
        <v>42051</v>
      </c>
      <c r="P2564" s="1">
        <v>22049</v>
      </c>
      <c r="Q2564" s="1" t="s">
        <v>197</v>
      </c>
      <c r="R2564" s="2">
        <v>42086</v>
      </c>
      <c r="S2564" s="1">
        <v>239175</v>
      </c>
      <c r="U2564" s="1">
        <v>1527</v>
      </c>
      <c r="V2564" s="1" t="s">
        <v>3092</v>
      </c>
      <c r="W2564" s="1" t="s">
        <v>264</v>
      </c>
      <c r="Y2564" s="1">
        <v>5</v>
      </c>
      <c r="Z2564" s="1" t="s">
        <v>200</v>
      </c>
      <c r="AA2564" s="1" t="s">
        <v>899</v>
      </c>
      <c r="AB2564" s="1">
        <v>60561</v>
      </c>
      <c r="AD2564" s="1" t="s">
        <v>3092</v>
      </c>
      <c r="AE2564" s="1" t="s">
        <v>21952</v>
      </c>
      <c r="AF2564" s="1">
        <v>1987</v>
      </c>
      <c r="AG2564" s="1" t="s">
        <v>204</v>
      </c>
      <c r="AH2564" s="1" t="s">
        <v>902</v>
      </c>
      <c r="AI2564" s="1" t="s">
        <v>206</v>
      </c>
      <c r="AJ2564" s="1" t="s">
        <v>903</v>
      </c>
      <c r="AL2564" s="1">
        <v>4</v>
      </c>
      <c r="AM2564" s="1">
        <v>2</v>
      </c>
      <c r="AN2564" s="1">
        <v>2</v>
      </c>
      <c r="AO2564" s="1">
        <v>1</v>
      </c>
      <c r="AP2564" s="1" t="s">
        <v>209</v>
      </c>
      <c r="AQ2564" s="1">
        <v>1</v>
      </c>
      <c r="AR2564" s="1" t="s">
        <v>210</v>
      </c>
      <c r="AS2564" s="1" t="s">
        <v>204</v>
      </c>
      <c r="AT2564" s="1" t="s">
        <v>211</v>
      </c>
      <c r="AU2564" s="1">
        <v>1</v>
      </c>
      <c r="AW2564" s="1" t="s">
        <v>213</v>
      </c>
      <c r="AX2564" s="1" t="s">
        <v>21953</v>
      </c>
      <c r="AZ2564" s="1">
        <v>3532.18</v>
      </c>
      <c r="BA2564" s="1">
        <v>2013</v>
      </c>
      <c r="BB2564" s="1" t="s">
        <v>210</v>
      </c>
      <c r="BE2564" s="1">
        <v>1086</v>
      </c>
      <c r="BF2564" s="1">
        <v>1</v>
      </c>
      <c r="BG2564" s="1">
        <v>3</v>
      </c>
      <c r="BJ2564" s="1">
        <v>87</v>
      </c>
      <c r="BL2564" s="1">
        <v>168</v>
      </c>
      <c r="BM2564" s="1" t="s">
        <v>204</v>
      </c>
      <c r="BN2564" s="1" t="s">
        <v>213</v>
      </c>
      <c r="BO2564" s="1">
        <v>150</v>
      </c>
      <c r="BP2564" s="1" t="s">
        <v>204</v>
      </c>
      <c r="BR2564" s="1" t="str">
        <f>"0928406067"</f>
        <v>0928406067</v>
      </c>
      <c r="BT2564" s="1" t="s">
        <v>21954</v>
      </c>
      <c r="BU2564" s="1" t="s">
        <v>3097</v>
      </c>
      <c r="BV2564" s="1" t="s">
        <v>3098</v>
      </c>
      <c r="BW2564" s="1" t="s">
        <v>3099</v>
      </c>
      <c r="BX2564" s="1">
        <v>61</v>
      </c>
      <c r="BY2564" s="1">
        <v>61</v>
      </c>
      <c r="BZ2564" s="1">
        <v>99</v>
      </c>
      <c r="CB2564" s="1" t="str">
        <f t="shared" ref="CB2564:CC2564" si="1970">""</f>
        <v/>
      </c>
      <c r="CC2564" s="1" t="str">
        <f t="shared" si="1970"/>
        <v/>
      </c>
      <c r="CG2564" s="1" t="s">
        <v>1200</v>
      </c>
      <c r="CH2564" s="1" t="s">
        <v>219</v>
      </c>
      <c r="CI2564" s="1" t="s">
        <v>220</v>
      </c>
      <c r="CJ2564" s="1" t="s">
        <v>210</v>
      </c>
      <c r="CK2564" s="1" t="s">
        <v>539</v>
      </c>
      <c r="CL2564" s="1" t="s">
        <v>277</v>
      </c>
      <c r="CM2564" s="1" t="s">
        <v>220</v>
      </c>
      <c r="CN2564" s="1" t="s">
        <v>210</v>
      </c>
      <c r="CP2564" s="1" t="s">
        <v>224</v>
      </c>
      <c r="CS2564" s="1" t="s">
        <v>1297</v>
      </c>
      <c r="CT2564" s="1" t="s">
        <v>277</v>
      </c>
      <c r="CU2564" s="1" t="s">
        <v>220</v>
      </c>
      <c r="CX2564" s="1" t="s">
        <v>224</v>
      </c>
      <c r="DB2564" s="1" t="s">
        <v>224</v>
      </c>
      <c r="DE2564" s="1" t="s">
        <v>516</v>
      </c>
      <c r="DF2564" s="1" t="s">
        <v>219</v>
      </c>
      <c r="DG2564" s="1" t="s">
        <v>438</v>
      </c>
      <c r="DH2564" s="1" t="s">
        <v>210</v>
      </c>
      <c r="DJ2564" s="1" t="s">
        <v>224</v>
      </c>
      <c r="DS2564" s="1" t="s">
        <v>230</v>
      </c>
      <c r="DW2564" s="1" t="s">
        <v>230</v>
      </c>
      <c r="EA2564" s="1" t="s">
        <v>230</v>
      </c>
      <c r="EE2564" s="1" t="s">
        <v>230</v>
      </c>
      <c r="EI2564" s="1" t="s">
        <v>230</v>
      </c>
      <c r="EL2564" s="1" t="s">
        <v>542</v>
      </c>
      <c r="EM2564" s="1" t="s">
        <v>232</v>
      </c>
      <c r="EN2564" s="1" t="s">
        <v>282</v>
      </c>
      <c r="EO2564" s="1" t="s">
        <v>234</v>
      </c>
      <c r="EP2564" s="1" t="s">
        <v>10095</v>
      </c>
      <c r="EQ2564" s="1" t="s">
        <v>492</v>
      </c>
      <c r="ER2564" s="1" t="s">
        <v>210</v>
      </c>
      <c r="ES2564" s="1" t="s">
        <v>3719</v>
      </c>
      <c r="ET2564" s="1" t="s">
        <v>8886</v>
      </c>
      <c r="EW2564" s="1" t="s">
        <v>991</v>
      </c>
      <c r="EZ2564" s="1" t="s">
        <v>287</v>
      </c>
      <c r="FB2564" s="1" t="s">
        <v>289</v>
      </c>
      <c r="FC2564" s="1" t="s">
        <v>3976</v>
      </c>
      <c r="FD2564" s="1" t="s">
        <v>385</v>
      </c>
      <c r="FE2564" s="1" t="s">
        <v>1031</v>
      </c>
      <c r="FF2564" s="1" t="s">
        <v>248</v>
      </c>
      <c r="FG2564" s="1" t="s">
        <v>16759</v>
      </c>
      <c r="FH2564" s="1" t="s">
        <v>550</v>
      </c>
      <c r="FI2564" s="1" t="s">
        <v>357</v>
      </c>
      <c r="FJ2564" s="1" t="s">
        <v>197</v>
      </c>
      <c r="FL2564" s="1" t="s">
        <v>358</v>
      </c>
      <c r="FM2564" s="1" t="s">
        <v>252</v>
      </c>
      <c r="FN2564" s="1" t="s">
        <v>213</v>
      </c>
      <c r="FO2564" s="1" t="s">
        <v>213</v>
      </c>
      <c r="FQ2564" s="1" t="s">
        <v>21955</v>
      </c>
      <c r="FR2564" s="1" t="s">
        <v>210</v>
      </c>
      <c r="FS2564" s="1" t="s">
        <v>21956</v>
      </c>
      <c r="FT2564" s="1" t="s">
        <v>255</v>
      </c>
      <c r="FU2564" s="1" t="s">
        <v>204</v>
      </c>
      <c r="FW2564" s="1" t="s">
        <v>11360</v>
      </c>
      <c r="FX2564" s="1">
        <v>25089</v>
      </c>
      <c r="FY2564" s="1" t="s">
        <v>11361</v>
      </c>
      <c r="FZ2564" s="1" t="s">
        <v>21957</v>
      </c>
      <c r="GA2564" s="1">
        <v>225157</v>
      </c>
      <c r="GB2564" s="1" t="s">
        <v>21958</v>
      </c>
      <c r="GE2564" s="1" t="s">
        <v>776</v>
      </c>
      <c r="GI2564" s="1" t="s">
        <v>213</v>
      </c>
      <c r="GJ2564" s="1" t="s">
        <v>260</v>
      </c>
      <c r="GK2564" s="1" t="s">
        <v>210</v>
      </c>
      <c r="GL2564" s="2">
        <v>42087</v>
      </c>
      <c r="GM2564" s="1" t="s">
        <v>21959</v>
      </c>
    </row>
    <row r="2565" spans="1:195">
      <c r="A2565" s="1">
        <v>227500</v>
      </c>
      <c r="B2565" s="1" t="s">
        <v>195</v>
      </c>
      <c r="C2565" s="1" t="str">
        <f>"08838646"</f>
        <v>08838646</v>
      </c>
      <c r="D2565" s="1" t="s">
        <v>196</v>
      </c>
      <c r="F2565" s="1" t="str">
        <f>"634"</f>
        <v>634</v>
      </c>
      <c r="G2565" s="2">
        <v>42048</v>
      </c>
      <c r="H2565" s="1">
        <v>227500</v>
      </c>
      <c r="I2565" s="1">
        <v>227500</v>
      </c>
      <c r="J2565" s="1">
        <v>227500</v>
      </c>
      <c r="K2565" s="2">
        <v>42047</v>
      </c>
      <c r="L2565" s="1">
        <v>9</v>
      </c>
      <c r="M2565" s="2">
        <v>42055</v>
      </c>
      <c r="N2565" s="1">
        <v>9</v>
      </c>
      <c r="O2565" s="2">
        <v>42055</v>
      </c>
      <c r="P2565" s="1">
        <v>8084</v>
      </c>
      <c r="Q2565" s="1" t="s">
        <v>302</v>
      </c>
      <c r="R2565" s="2">
        <v>42088</v>
      </c>
      <c r="S2565" s="1">
        <v>87422</v>
      </c>
      <c r="U2565" s="1">
        <v>4655</v>
      </c>
      <c r="V2565" s="1" t="s">
        <v>3699</v>
      </c>
      <c r="W2565" s="1" t="s">
        <v>425</v>
      </c>
      <c r="X2565" s="1">
        <v>403</v>
      </c>
      <c r="Y2565" s="1">
        <v>80</v>
      </c>
      <c r="Z2565" s="1" t="s">
        <v>249</v>
      </c>
      <c r="AA2565" s="1" t="s">
        <v>3197</v>
      </c>
      <c r="AB2565" s="1">
        <v>60656</v>
      </c>
      <c r="AD2565" s="1" t="s">
        <v>21960</v>
      </c>
      <c r="AE2565" s="1" t="s">
        <v>21961</v>
      </c>
      <c r="AF2565" s="1">
        <v>1999</v>
      </c>
      <c r="AG2565" s="1" t="s">
        <v>204</v>
      </c>
      <c r="AH2565" s="1" t="s">
        <v>3199</v>
      </c>
      <c r="AI2565" s="1" t="s">
        <v>310</v>
      </c>
      <c r="AJ2565" s="1" t="s">
        <v>3200</v>
      </c>
      <c r="AL2565" s="1">
        <v>5</v>
      </c>
      <c r="AM2565" s="1">
        <v>2</v>
      </c>
      <c r="AN2565" s="1">
        <v>2</v>
      </c>
      <c r="AO2565" s="1">
        <v>0</v>
      </c>
      <c r="AP2565" s="1" t="s">
        <v>209</v>
      </c>
      <c r="AQ2565" s="1">
        <v>0</v>
      </c>
      <c r="AR2565" s="1" t="s">
        <v>210</v>
      </c>
      <c r="AS2565" s="1" t="s">
        <v>204</v>
      </c>
      <c r="AT2565" s="1" t="s">
        <v>211</v>
      </c>
      <c r="AU2565" s="1">
        <v>1</v>
      </c>
      <c r="AW2565" s="1" t="s">
        <v>204</v>
      </c>
      <c r="AX2565" s="1" t="s">
        <v>212</v>
      </c>
      <c r="AZ2565" s="5">
        <v>2397.2600000000002</v>
      </c>
      <c r="BA2565" s="1">
        <v>2013</v>
      </c>
      <c r="BB2565" s="1" t="s">
        <v>599</v>
      </c>
      <c r="BE2565" s="1">
        <v>1365</v>
      </c>
      <c r="BF2565" s="1">
        <v>4</v>
      </c>
      <c r="BG2565" s="1">
        <v>30</v>
      </c>
      <c r="BJ2565" s="1">
        <v>100</v>
      </c>
      <c r="BK2565" s="1">
        <v>100</v>
      </c>
      <c r="BL2565" s="1">
        <v>240</v>
      </c>
      <c r="BM2565" s="1" t="s">
        <v>413</v>
      </c>
      <c r="BN2565" s="1" t="s">
        <v>204</v>
      </c>
      <c r="BP2565" s="1" t="s">
        <v>204</v>
      </c>
      <c r="BR2565" s="1" t="str">
        <f>"12142000891043"</f>
        <v>12142000891043</v>
      </c>
      <c r="BT2565" s="1" t="s">
        <v>21962</v>
      </c>
      <c r="BU2565" s="1" t="s">
        <v>21963</v>
      </c>
      <c r="BV2565" s="1" t="s">
        <v>21963</v>
      </c>
      <c r="BW2565" s="1" t="s">
        <v>7002</v>
      </c>
      <c r="BX2565" s="1">
        <v>80</v>
      </c>
      <c r="BY2565" s="1">
        <v>80</v>
      </c>
      <c r="BZ2565" s="1">
        <v>234</v>
      </c>
      <c r="CB2565" s="1" t="str">
        <f>"4655"</f>
        <v>4655</v>
      </c>
      <c r="CC2565" s="1" t="str">
        <f>"0"</f>
        <v>0</v>
      </c>
      <c r="CD2565" s="1">
        <v>8600</v>
      </c>
      <c r="CE2565" s="1">
        <v>0</v>
      </c>
      <c r="CG2565" s="1" t="s">
        <v>228</v>
      </c>
      <c r="CH2565" s="1" t="s">
        <v>219</v>
      </c>
      <c r="CI2565" s="1" t="s">
        <v>220</v>
      </c>
      <c r="CJ2565" s="1" t="s">
        <v>252</v>
      </c>
      <c r="CK2565" s="1" t="s">
        <v>1045</v>
      </c>
      <c r="CL2565" s="1" t="s">
        <v>219</v>
      </c>
      <c r="CM2565" s="1" t="s">
        <v>220</v>
      </c>
      <c r="CN2565" s="1" t="s">
        <v>252</v>
      </c>
      <c r="CO2565" s="1" t="s">
        <v>346</v>
      </c>
      <c r="CP2565" s="1" t="s">
        <v>219</v>
      </c>
      <c r="CQ2565" s="1" t="s">
        <v>220</v>
      </c>
      <c r="CS2565" s="1" t="s">
        <v>1046</v>
      </c>
      <c r="CT2565" s="1" t="s">
        <v>219</v>
      </c>
      <c r="CU2565" s="1" t="s">
        <v>220</v>
      </c>
      <c r="CV2565" s="1" t="s">
        <v>252</v>
      </c>
      <c r="CX2565" s="1" t="s">
        <v>224</v>
      </c>
      <c r="DB2565" s="1" t="s">
        <v>224</v>
      </c>
      <c r="DE2565" s="1" t="s">
        <v>221</v>
      </c>
      <c r="DF2565" s="1" t="s">
        <v>219</v>
      </c>
      <c r="DG2565" s="1" t="s">
        <v>226</v>
      </c>
      <c r="DJ2565" s="1" t="s">
        <v>224</v>
      </c>
      <c r="DM2565" s="1" t="s">
        <v>709</v>
      </c>
      <c r="DR2565" s="1" t="s">
        <v>5717</v>
      </c>
      <c r="DS2565" s="1" t="s">
        <v>219</v>
      </c>
      <c r="DT2565" s="1" t="s">
        <v>226</v>
      </c>
      <c r="DW2565" s="1" t="s">
        <v>230</v>
      </c>
      <c r="EA2565" s="1" t="s">
        <v>230</v>
      </c>
      <c r="EE2565" s="1" t="s">
        <v>230</v>
      </c>
      <c r="EI2565" s="1" t="s">
        <v>230</v>
      </c>
      <c r="EL2565" s="1" t="s">
        <v>670</v>
      </c>
      <c r="EM2565" s="1" t="s">
        <v>232</v>
      </c>
      <c r="EN2565" s="1" t="s">
        <v>282</v>
      </c>
      <c r="EO2565" s="1" t="s">
        <v>234</v>
      </c>
      <c r="EP2565" s="1" t="s">
        <v>13840</v>
      </c>
      <c r="EQ2565" s="1" t="s">
        <v>492</v>
      </c>
      <c r="ER2565" s="1" t="s">
        <v>210</v>
      </c>
      <c r="ES2565" s="1" t="s">
        <v>322</v>
      </c>
      <c r="ET2565" s="1" t="s">
        <v>238</v>
      </c>
      <c r="EU2565" s="1" t="s">
        <v>239</v>
      </c>
      <c r="EV2565" s="1" t="s">
        <v>324</v>
      </c>
      <c r="EW2565" s="1" t="s">
        <v>2765</v>
      </c>
      <c r="EY2565" s="1" t="s">
        <v>790</v>
      </c>
      <c r="EZ2565" s="1" t="s">
        <v>709</v>
      </c>
      <c r="FA2565" s="1" t="s">
        <v>17491</v>
      </c>
      <c r="FB2565" s="1" t="s">
        <v>1505</v>
      </c>
      <c r="FC2565" s="1" t="s">
        <v>326</v>
      </c>
      <c r="FD2565" s="1" t="s">
        <v>1112</v>
      </c>
      <c r="FE2565" s="1" t="s">
        <v>247</v>
      </c>
      <c r="FF2565" s="1" t="s">
        <v>2998</v>
      </c>
      <c r="FH2565" s="1" t="s">
        <v>1942</v>
      </c>
      <c r="FI2565" s="1" t="s">
        <v>250</v>
      </c>
      <c r="FJ2565" s="1" t="s">
        <v>197</v>
      </c>
      <c r="FL2565" s="1" t="s">
        <v>3179</v>
      </c>
      <c r="FM2565" s="1" t="s">
        <v>252</v>
      </c>
      <c r="FN2565" s="1" t="s">
        <v>213</v>
      </c>
      <c r="FO2565" s="1" t="s">
        <v>213</v>
      </c>
      <c r="FQ2565" s="1" t="s">
        <v>21964</v>
      </c>
      <c r="FR2565" s="1" t="s">
        <v>210</v>
      </c>
      <c r="FS2565" s="1" t="s">
        <v>21965</v>
      </c>
      <c r="FT2565" s="1" t="s">
        <v>255</v>
      </c>
      <c r="FU2565" s="1" t="s">
        <v>204</v>
      </c>
      <c r="FW2565" s="1" t="s">
        <v>10180</v>
      </c>
      <c r="FX2565" s="1">
        <v>24185</v>
      </c>
      <c r="FY2565" s="1" t="s">
        <v>10181</v>
      </c>
      <c r="FZ2565" s="1" t="s">
        <v>17505</v>
      </c>
      <c r="GA2565" s="1">
        <v>242081</v>
      </c>
      <c r="GB2565" s="1" t="s">
        <v>17506</v>
      </c>
      <c r="GE2565" s="1" t="s">
        <v>1145</v>
      </c>
      <c r="GH2565" s="1" t="s">
        <v>230</v>
      </c>
      <c r="GI2565" s="1" t="s">
        <v>213</v>
      </c>
      <c r="GJ2565" s="1" t="s">
        <v>260</v>
      </c>
      <c r="GK2565" s="1" t="s">
        <v>210</v>
      </c>
      <c r="GL2565" s="2">
        <v>42089</v>
      </c>
      <c r="GM2565" s="1" t="s">
        <v>21966</v>
      </c>
    </row>
    <row r="2566" spans="1:195">
      <c r="A2566" s="1">
        <v>63100</v>
      </c>
      <c r="B2566" s="1" t="s">
        <v>195</v>
      </c>
      <c r="C2566" s="1" t="str">
        <f>"08832893"</f>
        <v>08832893</v>
      </c>
      <c r="D2566" s="1" t="s">
        <v>196</v>
      </c>
      <c r="F2566" s="1" t="str">
        <f>"507"</f>
        <v>507</v>
      </c>
      <c r="G2566" s="2">
        <v>42041</v>
      </c>
      <c r="H2566" s="1">
        <v>64900</v>
      </c>
      <c r="I2566" s="1">
        <v>60000</v>
      </c>
      <c r="J2566" s="1">
        <v>63100</v>
      </c>
      <c r="K2566" s="2">
        <v>42040</v>
      </c>
      <c r="L2566" s="1">
        <v>47</v>
      </c>
      <c r="M2566" s="2">
        <v>42086</v>
      </c>
      <c r="N2566" s="1">
        <v>47</v>
      </c>
      <c r="O2566" s="2">
        <v>42086</v>
      </c>
      <c r="P2566" s="1">
        <v>23790</v>
      </c>
      <c r="Q2566" s="1" t="s">
        <v>302</v>
      </c>
      <c r="R2566" s="2">
        <v>42101</v>
      </c>
      <c r="S2566" s="1">
        <v>231462</v>
      </c>
      <c r="U2566" s="1">
        <v>835</v>
      </c>
      <c r="V2566" s="1" t="s">
        <v>6346</v>
      </c>
      <c r="W2566" s="1" t="s">
        <v>725</v>
      </c>
      <c r="X2566" s="1" t="s">
        <v>483</v>
      </c>
      <c r="Y2566" s="1">
        <v>6</v>
      </c>
      <c r="Z2566" s="1" t="s">
        <v>370</v>
      </c>
      <c r="AA2566" s="1" t="s">
        <v>1123</v>
      </c>
      <c r="AB2566" s="1">
        <v>60506</v>
      </c>
      <c r="AE2566" s="1" t="s">
        <v>21967</v>
      </c>
      <c r="AF2566" s="1">
        <v>1969</v>
      </c>
      <c r="AG2566" s="1" t="s">
        <v>213</v>
      </c>
      <c r="AH2566" s="1" t="s">
        <v>1126</v>
      </c>
      <c r="AI2566" s="1" t="s">
        <v>665</v>
      </c>
      <c r="AJ2566" s="1" t="s">
        <v>1126</v>
      </c>
      <c r="AL2566" s="1">
        <v>4</v>
      </c>
      <c r="AM2566" s="1">
        <v>2</v>
      </c>
      <c r="AN2566" s="1">
        <v>1</v>
      </c>
      <c r="AO2566" s="1">
        <v>1</v>
      </c>
      <c r="AP2566" s="1" t="s">
        <v>210</v>
      </c>
      <c r="AR2566" s="1" t="s">
        <v>210</v>
      </c>
      <c r="AS2566" s="1" t="s">
        <v>204</v>
      </c>
      <c r="AT2566" s="1" t="s">
        <v>211</v>
      </c>
      <c r="AU2566" s="1">
        <v>1</v>
      </c>
      <c r="AW2566" s="1" t="s">
        <v>204</v>
      </c>
      <c r="AX2566" s="1" t="s">
        <v>212</v>
      </c>
      <c r="AZ2566" s="1">
        <v>1372.96</v>
      </c>
      <c r="BA2566" s="1">
        <v>2013</v>
      </c>
      <c r="BE2566" s="1">
        <v>992</v>
      </c>
      <c r="BF2566" s="1">
        <v>1</v>
      </c>
      <c r="BG2566" s="1">
        <v>30</v>
      </c>
      <c r="BL2566" s="1">
        <v>195</v>
      </c>
      <c r="BM2566" s="1" t="s">
        <v>413</v>
      </c>
      <c r="BN2566" s="1" t="s">
        <v>213</v>
      </c>
      <c r="BO2566" s="1" t="s">
        <v>402</v>
      </c>
      <c r="BP2566" s="1" t="s">
        <v>204</v>
      </c>
      <c r="BR2566" s="1" t="str">
        <f>"1516105097"</f>
        <v>1516105097</v>
      </c>
      <c r="BT2566" s="1" t="s">
        <v>21968</v>
      </c>
      <c r="BX2566" s="1">
        <v>129</v>
      </c>
      <c r="BY2566" s="1">
        <v>129</v>
      </c>
      <c r="BZ2566" s="1">
        <v>129</v>
      </c>
      <c r="CB2566" s="1" t="str">
        <f t="shared" ref="CB2566:CC2566" si="1971">""</f>
        <v/>
      </c>
      <c r="CC2566" s="1" t="str">
        <f t="shared" si="1971"/>
        <v/>
      </c>
      <c r="CG2566" s="1" t="s">
        <v>1267</v>
      </c>
      <c r="CH2566" s="1" t="s">
        <v>219</v>
      </c>
      <c r="CI2566" s="1" t="s">
        <v>220</v>
      </c>
      <c r="CK2566" s="1" t="s">
        <v>465</v>
      </c>
      <c r="CL2566" s="1" t="s">
        <v>277</v>
      </c>
      <c r="CM2566" s="1" t="s">
        <v>220</v>
      </c>
      <c r="CP2566" s="1" t="s">
        <v>224</v>
      </c>
      <c r="CS2566" s="1" t="s">
        <v>379</v>
      </c>
      <c r="CT2566" s="1" t="s">
        <v>277</v>
      </c>
      <c r="CU2566" s="1" t="s">
        <v>220</v>
      </c>
      <c r="CX2566" s="1" t="s">
        <v>224</v>
      </c>
      <c r="DB2566" s="1" t="s">
        <v>224</v>
      </c>
      <c r="DE2566" s="1" t="s">
        <v>1297</v>
      </c>
      <c r="DF2566" s="1" t="s">
        <v>219</v>
      </c>
      <c r="DG2566" s="1" t="s">
        <v>226</v>
      </c>
      <c r="DJ2566" s="1" t="s">
        <v>224</v>
      </c>
      <c r="DS2566" s="1" t="s">
        <v>230</v>
      </c>
      <c r="DW2566" s="1" t="s">
        <v>230</v>
      </c>
      <c r="EA2566" s="1" t="s">
        <v>230</v>
      </c>
      <c r="EE2566" s="1" t="s">
        <v>230</v>
      </c>
      <c r="EI2566" s="1" t="s">
        <v>230</v>
      </c>
      <c r="EL2566" s="1" t="s">
        <v>605</v>
      </c>
      <c r="EM2566" s="1" t="s">
        <v>319</v>
      </c>
      <c r="EN2566" s="1" t="s">
        <v>282</v>
      </c>
      <c r="EO2566" s="1" t="s">
        <v>234</v>
      </c>
      <c r="ER2566" s="1" t="s">
        <v>210</v>
      </c>
      <c r="EW2566" s="1" t="s">
        <v>21969</v>
      </c>
      <c r="EZ2566" s="1" t="s">
        <v>287</v>
      </c>
      <c r="FD2566" s="1" t="s">
        <v>246</v>
      </c>
      <c r="FE2566" s="1" t="s">
        <v>247</v>
      </c>
      <c r="FF2566" s="1" t="s">
        <v>248</v>
      </c>
      <c r="FH2566" s="1" t="s">
        <v>550</v>
      </c>
      <c r="FL2566" s="1" t="s">
        <v>292</v>
      </c>
      <c r="FM2566" s="1" t="s">
        <v>252</v>
      </c>
      <c r="FN2566" s="1" t="s">
        <v>213</v>
      </c>
      <c r="FO2566" s="1" t="s">
        <v>213</v>
      </c>
      <c r="FQ2566" s="1" t="s">
        <v>689</v>
      </c>
      <c r="FR2566" s="1" t="s">
        <v>210</v>
      </c>
      <c r="FS2566" s="1" t="s">
        <v>3448</v>
      </c>
      <c r="FT2566" s="1" t="s">
        <v>1828</v>
      </c>
      <c r="FU2566" s="1" t="s">
        <v>204</v>
      </c>
      <c r="FW2566" s="1" t="s">
        <v>3449</v>
      </c>
      <c r="FX2566" s="1">
        <v>605</v>
      </c>
      <c r="FY2566" s="1" t="s">
        <v>3450</v>
      </c>
      <c r="FZ2566" s="1" t="s">
        <v>3451</v>
      </c>
      <c r="GA2566" s="1">
        <v>170</v>
      </c>
      <c r="GB2566" s="1" t="s">
        <v>3450</v>
      </c>
      <c r="GD2566" s="1" t="s">
        <v>3452</v>
      </c>
      <c r="GE2566" s="1" t="s">
        <v>210</v>
      </c>
      <c r="GI2566" s="1" t="s">
        <v>213</v>
      </c>
      <c r="GJ2566" s="1" t="s">
        <v>260</v>
      </c>
      <c r="GK2566" s="1" t="s">
        <v>210</v>
      </c>
      <c r="GL2566" s="2">
        <v>42101</v>
      </c>
      <c r="GM2566" s="1" t="s">
        <v>21970</v>
      </c>
    </row>
    <row r="2567" spans="1:195">
      <c r="A2567" s="1">
        <v>142500</v>
      </c>
      <c r="B2567" s="1" t="s">
        <v>195</v>
      </c>
      <c r="C2567" s="1" t="str">
        <f>"08837623"</f>
        <v>08837623</v>
      </c>
      <c r="D2567" s="1" t="s">
        <v>196</v>
      </c>
      <c r="F2567" s="1" t="str">
        <f>"540"</f>
        <v>540</v>
      </c>
      <c r="G2567" s="2">
        <v>42047</v>
      </c>
      <c r="H2567" s="1">
        <v>139899</v>
      </c>
      <c r="I2567" s="1">
        <v>139899</v>
      </c>
      <c r="J2567" s="1">
        <v>142500</v>
      </c>
      <c r="K2567" s="2">
        <v>42047</v>
      </c>
      <c r="L2567" s="1">
        <v>9</v>
      </c>
      <c r="M2567" s="2">
        <v>42055</v>
      </c>
      <c r="N2567" s="1">
        <v>9</v>
      </c>
      <c r="O2567" s="2">
        <v>42055</v>
      </c>
      <c r="P2567" s="1">
        <v>23120</v>
      </c>
      <c r="Q2567" s="1" t="s">
        <v>197</v>
      </c>
      <c r="R2567" s="2">
        <v>42111</v>
      </c>
      <c r="S2567" s="1">
        <v>230364</v>
      </c>
      <c r="T2567" s="1">
        <v>5175</v>
      </c>
      <c r="U2567" s="1">
        <v>413</v>
      </c>
      <c r="V2567" s="1" t="s">
        <v>17999</v>
      </c>
      <c r="W2567" s="1" t="s">
        <v>304</v>
      </c>
      <c r="X2567" s="1">
        <v>413</v>
      </c>
      <c r="Y2567" s="1">
        <v>8</v>
      </c>
      <c r="Z2567" s="1" t="s">
        <v>249</v>
      </c>
      <c r="AA2567" s="1" t="s">
        <v>921</v>
      </c>
      <c r="AB2567" s="1">
        <v>60563</v>
      </c>
      <c r="AE2567" s="1" t="s">
        <v>21971</v>
      </c>
      <c r="AF2567" s="1">
        <v>1986</v>
      </c>
      <c r="AG2567" s="1" t="s">
        <v>204</v>
      </c>
      <c r="AH2567" s="1" t="s">
        <v>924</v>
      </c>
      <c r="AI2567" s="1" t="s">
        <v>206</v>
      </c>
      <c r="AJ2567" s="1" t="s">
        <v>924</v>
      </c>
      <c r="AL2567" s="1">
        <v>5</v>
      </c>
      <c r="AM2567" s="1">
        <v>2</v>
      </c>
      <c r="AN2567" s="1">
        <v>1</v>
      </c>
      <c r="AO2567" s="1">
        <v>1</v>
      </c>
      <c r="AP2567" s="1" t="s">
        <v>667</v>
      </c>
      <c r="AQ2567" s="1">
        <v>1</v>
      </c>
      <c r="AR2567" s="1" t="s">
        <v>210</v>
      </c>
      <c r="AS2567" s="1" t="s">
        <v>204</v>
      </c>
      <c r="AT2567" s="1" t="s">
        <v>211</v>
      </c>
      <c r="AU2567" s="1">
        <v>1</v>
      </c>
      <c r="AW2567" s="1" t="s">
        <v>204</v>
      </c>
      <c r="AX2567" s="1" t="s">
        <v>212</v>
      </c>
      <c r="AZ2567" s="1">
        <v>2298</v>
      </c>
      <c r="BA2567" s="1">
        <v>2013</v>
      </c>
      <c r="BB2567" s="1" t="s">
        <v>599</v>
      </c>
      <c r="BE2567" s="1">
        <v>1100</v>
      </c>
      <c r="BF2567" s="1">
        <v>1</v>
      </c>
      <c r="BG2567" s="1">
        <v>0</v>
      </c>
      <c r="BJ2567" s="1">
        <v>100</v>
      </c>
      <c r="BL2567" s="1">
        <v>148</v>
      </c>
      <c r="BM2567" s="1" t="s">
        <v>204</v>
      </c>
      <c r="BN2567" s="1" t="s">
        <v>213</v>
      </c>
      <c r="BO2567" s="1">
        <v>99</v>
      </c>
      <c r="BP2567" s="1" t="s">
        <v>204</v>
      </c>
      <c r="BR2567" s="1" t="str">
        <f>"0712224007"</f>
        <v>0712224007</v>
      </c>
      <c r="BT2567" s="1" t="s">
        <v>21972</v>
      </c>
      <c r="BU2567" s="1" t="s">
        <v>2823</v>
      </c>
      <c r="BV2567" s="1" t="s">
        <v>2824</v>
      </c>
      <c r="BW2567" s="1" t="s">
        <v>2825</v>
      </c>
      <c r="BX2567" s="1">
        <v>203</v>
      </c>
      <c r="BY2567" s="1">
        <v>203</v>
      </c>
      <c r="BZ2567" s="1">
        <v>203</v>
      </c>
      <c r="CB2567" s="1" t="str">
        <f t="shared" ref="CB2567:CC2567" si="1972">""</f>
        <v/>
      </c>
      <c r="CC2567" s="1" t="str">
        <f t="shared" si="1972"/>
        <v/>
      </c>
      <c r="CD2567" s="1">
        <v>27</v>
      </c>
      <c r="CE2567" s="1">
        <v>5</v>
      </c>
      <c r="CG2567" s="1" t="s">
        <v>669</v>
      </c>
      <c r="CH2567" s="1" t="s">
        <v>219</v>
      </c>
      <c r="CI2567" s="1" t="s">
        <v>220</v>
      </c>
      <c r="CJ2567" s="1" t="s">
        <v>343</v>
      </c>
      <c r="CK2567" s="1" t="s">
        <v>1004</v>
      </c>
      <c r="CL2567" s="1" t="s">
        <v>277</v>
      </c>
      <c r="CM2567" s="1" t="s">
        <v>220</v>
      </c>
      <c r="CN2567" s="1" t="s">
        <v>343</v>
      </c>
      <c r="CO2567" s="1" t="s">
        <v>409</v>
      </c>
      <c r="CP2567" s="1" t="s">
        <v>219</v>
      </c>
      <c r="CQ2567" s="1" t="s">
        <v>229</v>
      </c>
      <c r="CR2567" s="1" t="s">
        <v>343</v>
      </c>
      <c r="CS2567" s="1" t="s">
        <v>1297</v>
      </c>
      <c r="CT2567" s="1" t="s">
        <v>277</v>
      </c>
      <c r="CU2567" s="1" t="s">
        <v>220</v>
      </c>
      <c r="CV2567" s="1" t="s">
        <v>343</v>
      </c>
      <c r="CX2567" s="1" t="s">
        <v>224</v>
      </c>
      <c r="DB2567" s="1" t="s">
        <v>224</v>
      </c>
      <c r="DE2567" s="1" t="s">
        <v>281</v>
      </c>
      <c r="DF2567" s="1" t="s">
        <v>219</v>
      </c>
      <c r="DG2567" s="1" t="s">
        <v>229</v>
      </c>
      <c r="DH2567" s="1" t="s">
        <v>343</v>
      </c>
      <c r="DJ2567" s="1" t="s">
        <v>224</v>
      </c>
      <c r="DS2567" s="1" t="s">
        <v>230</v>
      </c>
      <c r="DW2567" s="1" t="s">
        <v>230</v>
      </c>
      <c r="EA2567" s="1" t="s">
        <v>230</v>
      </c>
      <c r="EE2567" s="1" t="s">
        <v>230</v>
      </c>
      <c r="EI2567" s="1" t="s">
        <v>230</v>
      </c>
      <c r="EL2567" s="1" t="s">
        <v>542</v>
      </c>
      <c r="EM2567" s="1" t="s">
        <v>232</v>
      </c>
      <c r="EN2567" s="1" t="s">
        <v>282</v>
      </c>
      <c r="EO2567" s="1" t="s">
        <v>234</v>
      </c>
      <c r="EP2567" s="1" t="s">
        <v>650</v>
      </c>
      <c r="EQ2567" s="1" t="s">
        <v>236</v>
      </c>
      <c r="ER2567" s="1" t="s">
        <v>210</v>
      </c>
      <c r="ES2567" s="1" t="s">
        <v>1160</v>
      </c>
      <c r="EU2567" s="1" t="s">
        <v>1820</v>
      </c>
      <c r="EV2567" s="1" t="s">
        <v>352</v>
      </c>
      <c r="EW2567" s="1" t="s">
        <v>887</v>
      </c>
      <c r="EY2567" s="1" t="s">
        <v>441</v>
      </c>
      <c r="EZ2567" s="1" t="s">
        <v>287</v>
      </c>
      <c r="FB2567" s="1" t="s">
        <v>734</v>
      </c>
      <c r="FC2567" s="1" t="s">
        <v>548</v>
      </c>
      <c r="FD2567" s="1" t="s">
        <v>246</v>
      </c>
      <c r="FE2567" s="1" t="s">
        <v>355</v>
      </c>
      <c r="FF2567" s="1" t="s">
        <v>387</v>
      </c>
      <c r="FG2567" s="1" t="s">
        <v>939</v>
      </c>
      <c r="FH2567" s="1" t="s">
        <v>249</v>
      </c>
      <c r="FI2567" s="1" t="s">
        <v>473</v>
      </c>
      <c r="FJ2567" s="1" t="s">
        <v>197</v>
      </c>
      <c r="FL2567" s="1" t="s">
        <v>358</v>
      </c>
      <c r="FM2567" s="1" t="s">
        <v>252</v>
      </c>
      <c r="FN2567" s="1" t="s">
        <v>213</v>
      </c>
      <c r="FO2567" s="1" t="s">
        <v>213</v>
      </c>
      <c r="FQ2567" s="1" t="s">
        <v>2091</v>
      </c>
      <c r="FR2567" s="1" t="s">
        <v>210</v>
      </c>
      <c r="FS2567" s="1" t="s">
        <v>21973</v>
      </c>
      <c r="FT2567" s="1" t="s">
        <v>21974</v>
      </c>
      <c r="FU2567" s="1" t="s">
        <v>204</v>
      </c>
      <c r="FW2567" s="1" t="s">
        <v>1898</v>
      </c>
      <c r="FX2567" s="1">
        <v>23030</v>
      </c>
      <c r="FY2567" s="1" t="s">
        <v>1899</v>
      </c>
      <c r="FZ2567" s="1" t="s">
        <v>21975</v>
      </c>
      <c r="GA2567" s="1">
        <v>231038</v>
      </c>
      <c r="GB2567" s="1" t="s">
        <v>21976</v>
      </c>
      <c r="GE2567" s="1" t="s">
        <v>1379</v>
      </c>
      <c r="GI2567" s="1" t="s">
        <v>213</v>
      </c>
      <c r="GJ2567" s="1" t="s">
        <v>260</v>
      </c>
      <c r="GK2567" s="1" t="s">
        <v>261</v>
      </c>
      <c r="GL2567" s="2">
        <v>42113</v>
      </c>
      <c r="GM2567" s="1" t="s">
        <v>21977</v>
      </c>
    </row>
    <row r="2568" spans="1:195">
      <c r="A2568" s="1">
        <v>148000</v>
      </c>
      <c r="B2568" s="1" t="s">
        <v>195</v>
      </c>
      <c r="C2568" s="1" t="str">
        <f>"08837822"</f>
        <v>08837822</v>
      </c>
      <c r="D2568" s="1" t="s">
        <v>196</v>
      </c>
      <c r="F2568" s="1" t="str">
        <f>"30"</f>
        <v>30</v>
      </c>
      <c r="G2568" s="2">
        <v>42048</v>
      </c>
      <c r="H2568" s="1">
        <v>149900</v>
      </c>
      <c r="I2568" s="1">
        <v>149900</v>
      </c>
      <c r="J2568" s="1">
        <v>148000</v>
      </c>
      <c r="K2568" s="2">
        <v>42048</v>
      </c>
      <c r="L2568" s="1">
        <v>2</v>
      </c>
      <c r="M2568" s="2">
        <v>42049</v>
      </c>
      <c r="N2568" s="1">
        <v>2</v>
      </c>
      <c r="O2568" s="2">
        <v>42049</v>
      </c>
      <c r="P2568" s="1">
        <v>25752</v>
      </c>
      <c r="Q2568" s="1" t="s">
        <v>197</v>
      </c>
      <c r="R2568" s="2">
        <v>42089</v>
      </c>
      <c r="S2568" s="1">
        <v>242479</v>
      </c>
      <c r="U2568" s="1">
        <v>1627</v>
      </c>
      <c r="V2568" s="1" t="s">
        <v>3735</v>
      </c>
      <c r="W2568" s="1" t="s">
        <v>264</v>
      </c>
      <c r="Y2568" s="1">
        <v>6</v>
      </c>
      <c r="Z2568" s="1" t="s">
        <v>370</v>
      </c>
      <c r="AA2568" s="1" t="s">
        <v>1834</v>
      </c>
      <c r="AB2568" s="1">
        <v>60030</v>
      </c>
      <c r="AD2568" s="1" t="s">
        <v>10289</v>
      </c>
      <c r="AE2568" s="1" t="s">
        <v>21978</v>
      </c>
      <c r="AF2568" s="1">
        <v>2007</v>
      </c>
      <c r="AG2568" s="1" t="s">
        <v>204</v>
      </c>
      <c r="AH2568" s="1" t="s">
        <v>1837</v>
      </c>
      <c r="AI2568" s="1" t="s">
        <v>509</v>
      </c>
      <c r="AJ2568" s="1" t="s">
        <v>1263</v>
      </c>
      <c r="AK2568" s="1" t="s">
        <v>21979</v>
      </c>
      <c r="AL2568" s="1">
        <v>6</v>
      </c>
      <c r="AM2568" s="1">
        <v>2</v>
      </c>
      <c r="AN2568" s="1">
        <v>2</v>
      </c>
      <c r="AO2568" s="1">
        <v>1</v>
      </c>
      <c r="AP2568" s="1" t="s">
        <v>209</v>
      </c>
      <c r="AQ2568" s="1">
        <v>0</v>
      </c>
      <c r="AR2568" s="1" t="s">
        <v>1483</v>
      </c>
      <c r="AS2568" s="1" t="s">
        <v>204</v>
      </c>
      <c r="AT2568" s="1" t="s">
        <v>211</v>
      </c>
      <c r="AU2568" s="1">
        <v>2</v>
      </c>
      <c r="AW2568" s="1" t="s">
        <v>204</v>
      </c>
      <c r="AX2568" s="1" t="s">
        <v>579</v>
      </c>
      <c r="AZ2568" s="1">
        <v>3263.81</v>
      </c>
      <c r="BA2568" s="1">
        <v>2013</v>
      </c>
      <c r="BB2568" s="1" t="s">
        <v>405</v>
      </c>
      <c r="BE2568" s="1">
        <v>1471</v>
      </c>
      <c r="BF2568" s="1">
        <v>1</v>
      </c>
      <c r="BG2568" s="1">
        <v>0</v>
      </c>
      <c r="BL2568" s="1">
        <v>158</v>
      </c>
      <c r="BM2568" s="1" t="s">
        <v>204</v>
      </c>
      <c r="BN2568" s="1" t="s">
        <v>213</v>
      </c>
      <c r="BO2568" s="1">
        <v>999</v>
      </c>
      <c r="BP2568" s="1" t="s">
        <v>204</v>
      </c>
      <c r="BR2568" s="1" t="str">
        <f>"06344040980000"</f>
        <v>06344040980000</v>
      </c>
      <c r="BT2568" s="1" t="s">
        <v>21980</v>
      </c>
      <c r="BU2568" s="1" t="s">
        <v>5332</v>
      </c>
      <c r="BV2568" s="1" t="s">
        <v>1842</v>
      </c>
      <c r="BW2568" s="1" t="s">
        <v>2737</v>
      </c>
      <c r="BX2568" s="1">
        <v>46</v>
      </c>
      <c r="BY2568" s="1">
        <v>46</v>
      </c>
      <c r="BZ2568" s="1">
        <v>127</v>
      </c>
      <c r="CB2568" s="1" t="str">
        <f>"32"</f>
        <v>32</v>
      </c>
      <c r="CC2568" s="1" t="str">
        <f t="shared" ref="CC2568:CC2569" si="1973">"0"</f>
        <v>0</v>
      </c>
      <c r="CD2568" s="1">
        <v>21</v>
      </c>
      <c r="CE2568" s="1">
        <v>0</v>
      </c>
      <c r="CF2568" s="1" t="s">
        <v>1067</v>
      </c>
      <c r="CG2568" s="1" t="s">
        <v>2402</v>
      </c>
      <c r="CH2568" s="1" t="s">
        <v>219</v>
      </c>
      <c r="CI2568" s="1" t="s">
        <v>438</v>
      </c>
      <c r="CJ2568" s="1" t="s">
        <v>343</v>
      </c>
      <c r="CK2568" s="1" t="s">
        <v>932</v>
      </c>
      <c r="CL2568" s="1" t="s">
        <v>277</v>
      </c>
      <c r="CM2568" s="1" t="s">
        <v>220</v>
      </c>
      <c r="CN2568" s="1" t="s">
        <v>343</v>
      </c>
      <c r="CO2568" s="1" t="s">
        <v>318</v>
      </c>
      <c r="CP2568" s="1" t="s">
        <v>219</v>
      </c>
      <c r="CQ2568" s="1" t="s">
        <v>438</v>
      </c>
      <c r="CS2568" s="1" t="s">
        <v>465</v>
      </c>
      <c r="CT2568" s="1" t="s">
        <v>277</v>
      </c>
      <c r="CU2568" s="1" t="s">
        <v>220</v>
      </c>
      <c r="CV2568" s="1" t="s">
        <v>343</v>
      </c>
      <c r="CX2568" s="1" t="s">
        <v>224</v>
      </c>
      <c r="DB2568" s="1" t="s">
        <v>224</v>
      </c>
      <c r="DE2568" s="1" t="s">
        <v>465</v>
      </c>
      <c r="DF2568" s="1" t="s">
        <v>219</v>
      </c>
      <c r="DG2568" s="1" t="s">
        <v>438</v>
      </c>
      <c r="DH2568" s="1" t="s">
        <v>210</v>
      </c>
      <c r="DI2568" s="1" t="s">
        <v>465</v>
      </c>
      <c r="DJ2568" s="1" t="s">
        <v>822</v>
      </c>
      <c r="DK2568" s="1" t="s">
        <v>220</v>
      </c>
      <c r="DL2568" s="1" t="s">
        <v>252</v>
      </c>
      <c r="DS2568" s="1" t="s">
        <v>230</v>
      </c>
      <c r="DW2568" s="1" t="s">
        <v>230</v>
      </c>
      <c r="EA2568" s="1" t="s">
        <v>230</v>
      </c>
      <c r="EE2568" s="1" t="s">
        <v>230</v>
      </c>
      <c r="EI2568" s="1" t="s">
        <v>230</v>
      </c>
      <c r="EL2568" s="1" t="s">
        <v>491</v>
      </c>
      <c r="EM2568" s="1" t="s">
        <v>319</v>
      </c>
      <c r="EN2568" s="1" t="s">
        <v>282</v>
      </c>
      <c r="EO2568" s="1" t="s">
        <v>234</v>
      </c>
      <c r="EP2568" s="1" t="s">
        <v>1268</v>
      </c>
      <c r="EQ2568" s="1" t="s">
        <v>2416</v>
      </c>
      <c r="ER2568" s="1" t="s">
        <v>544</v>
      </c>
      <c r="ES2568" s="1" t="s">
        <v>493</v>
      </c>
      <c r="EU2568" s="1" t="s">
        <v>239</v>
      </c>
      <c r="EV2568" s="1" t="s">
        <v>240</v>
      </c>
      <c r="EW2568" s="1" t="s">
        <v>353</v>
      </c>
      <c r="EY2568" s="1" t="s">
        <v>242</v>
      </c>
      <c r="EZ2568" s="1" t="s">
        <v>287</v>
      </c>
      <c r="FA2568" s="1" t="s">
        <v>1554</v>
      </c>
      <c r="FB2568" s="1" t="s">
        <v>289</v>
      </c>
      <c r="FD2568" s="1" t="s">
        <v>246</v>
      </c>
      <c r="FE2568" s="1" t="s">
        <v>975</v>
      </c>
      <c r="FF2568" s="1" t="s">
        <v>248</v>
      </c>
      <c r="FH2568" s="1" t="s">
        <v>12001</v>
      </c>
      <c r="FI2568" s="1" t="s">
        <v>473</v>
      </c>
      <c r="FJ2568" s="1" t="s">
        <v>518</v>
      </c>
      <c r="FL2568" s="1" t="s">
        <v>358</v>
      </c>
      <c r="FM2568" s="1" t="s">
        <v>252</v>
      </c>
      <c r="FN2568" s="1" t="s">
        <v>213</v>
      </c>
      <c r="FO2568" s="1" t="s">
        <v>213</v>
      </c>
      <c r="FQ2568" s="1" t="s">
        <v>293</v>
      </c>
      <c r="FR2568" s="1" t="s">
        <v>652</v>
      </c>
      <c r="FS2568" s="1" t="s">
        <v>21981</v>
      </c>
      <c r="FT2568" s="1" t="s">
        <v>362</v>
      </c>
      <c r="FU2568" s="1" t="s">
        <v>204</v>
      </c>
      <c r="FV2568" s="1" t="s">
        <v>21982</v>
      </c>
      <c r="FW2568" s="1" t="s">
        <v>5379</v>
      </c>
      <c r="FX2568" s="1">
        <v>2472</v>
      </c>
      <c r="FY2568" s="1" t="s">
        <v>5380</v>
      </c>
      <c r="FZ2568" s="1" t="s">
        <v>21983</v>
      </c>
      <c r="GA2568" s="1">
        <v>20278</v>
      </c>
      <c r="GB2568" s="1" t="s">
        <v>21984</v>
      </c>
      <c r="GC2568" s="1">
        <v>20329</v>
      </c>
      <c r="GD2568" s="1" t="s">
        <v>21985</v>
      </c>
      <c r="GE2568" s="1" t="s">
        <v>1256</v>
      </c>
      <c r="GI2568" s="1" t="s">
        <v>213</v>
      </c>
      <c r="GJ2568" s="1" t="s">
        <v>260</v>
      </c>
      <c r="GK2568" s="1" t="s">
        <v>261</v>
      </c>
      <c r="GL2568" s="2">
        <v>42090</v>
      </c>
      <c r="GM2568" s="1" t="s">
        <v>21986</v>
      </c>
    </row>
    <row r="2569" spans="1:195">
      <c r="A2569" s="1">
        <v>138000</v>
      </c>
      <c r="B2569" s="1" t="s">
        <v>195</v>
      </c>
      <c r="C2569" s="1" t="str">
        <f>"08838229"</f>
        <v>08838229</v>
      </c>
      <c r="D2569" s="1" t="s">
        <v>196</v>
      </c>
      <c r="F2569" s="1" t="str">
        <f>"60"</f>
        <v>60</v>
      </c>
      <c r="G2569" s="2">
        <v>42048</v>
      </c>
      <c r="H2569" s="1">
        <v>142900</v>
      </c>
      <c r="I2569" s="1">
        <v>142900</v>
      </c>
      <c r="J2569" s="1">
        <v>138000</v>
      </c>
      <c r="K2569" s="2">
        <v>42048</v>
      </c>
      <c r="L2569" s="1">
        <v>4</v>
      </c>
      <c r="M2569" s="2">
        <v>42051</v>
      </c>
      <c r="N2569" s="1">
        <v>4</v>
      </c>
      <c r="O2569" s="2">
        <v>42051</v>
      </c>
      <c r="P2569" s="1">
        <v>2700</v>
      </c>
      <c r="Q2569" s="1" t="s">
        <v>197</v>
      </c>
      <c r="R2569" s="2">
        <v>42103</v>
      </c>
      <c r="S2569" s="1">
        <v>86383</v>
      </c>
      <c r="T2569" s="1">
        <v>1000</v>
      </c>
      <c r="U2569" s="1">
        <v>1320</v>
      </c>
      <c r="V2569" s="1" t="s">
        <v>7839</v>
      </c>
      <c r="W2569" s="1" t="s">
        <v>264</v>
      </c>
      <c r="Y2569" s="1">
        <v>4</v>
      </c>
      <c r="Z2569" s="1" t="s">
        <v>249</v>
      </c>
      <c r="AA2569" s="1" t="s">
        <v>1689</v>
      </c>
      <c r="AB2569" s="1">
        <v>60060</v>
      </c>
      <c r="AD2569" s="1" t="s">
        <v>7840</v>
      </c>
      <c r="AE2569" s="1" t="s">
        <v>21987</v>
      </c>
      <c r="AF2569" s="1">
        <v>1995</v>
      </c>
      <c r="AG2569" s="1" t="s">
        <v>204</v>
      </c>
      <c r="AH2569" s="1" t="s">
        <v>1692</v>
      </c>
      <c r="AI2569" s="1" t="s">
        <v>509</v>
      </c>
      <c r="AJ2569" s="1" t="s">
        <v>510</v>
      </c>
      <c r="AK2569" s="1" t="s">
        <v>8283</v>
      </c>
      <c r="AL2569" s="1">
        <v>6</v>
      </c>
      <c r="AM2569" s="1">
        <v>2</v>
      </c>
      <c r="AN2569" s="1">
        <v>2</v>
      </c>
      <c r="AO2569" s="1">
        <v>1</v>
      </c>
      <c r="AP2569" s="1" t="s">
        <v>209</v>
      </c>
      <c r="AR2569" s="1" t="s">
        <v>210</v>
      </c>
      <c r="AS2569" s="1" t="s">
        <v>204</v>
      </c>
      <c r="AT2569" s="1" t="s">
        <v>211</v>
      </c>
      <c r="AU2569" s="1">
        <v>1</v>
      </c>
      <c r="AW2569" s="1" t="s">
        <v>204</v>
      </c>
      <c r="AX2569" s="1" t="s">
        <v>212</v>
      </c>
      <c r="AZ2569" s="1">
        <v>4912.6499999999996</v>
      </c>
      <c r="BA2569" s="1">
        <v>2013</v>
      </c>
      <c r="BB2569" s="1" t="s">
        <v>405</v>
      </c>
      <c r="BE2569" s="1">
        <v>1332</v>
      </c>
      <c r="BF2569" s="1">
        <v>1</v>
      </c>
      <c r="BG2569" s="1">
        <v>0</v>
      </c>
      <c r="BL2569" s="1">
        <v>187</v>
      </c>
      <c r="BM2569" s="1" t="s">
        <v>204</v>
      </c>
      <c r="BN2569" s="1" t="s">
        <v>213</v>
      </c>
      <c r="BO2569" s="1">
        <v>0</v>
      </c>
      <c r="BP2569" s="1" t="s">
        <v>204</v>
      </c>
      <c r="BR2569" s="1" t="str">
        <f>"15051096000000"</f>
        <v>15051096000000</v>
      </c>
      <c r="BT2569" s="1" t="s">
        <v>21988</v>
      </c>
      <c r="BU2569" s="1" t="s">
        <v>1879</v>
      </c>
      <c r="BV2569" s="1" t="s">
        <v>1880</v>
      </c>
      <c r="BW2569" s="1" t="s">
        <v>5840</v>
      </c>
      <c r="BX2569" s="1">
        <v>73</v>
      </c>
      <c r="BY2569" s="1">
        <v>73</v>
      </c>
      <c r="BZ2569" s="1">
        <v>120</v>
      </c>
      <c r="CB2569" s="1" t="str">
        <f>"25"</f>
        <v>25</v>
      </c>
      <c r="CC2569" s="1" t="str">
        <f t="shared" si="1973"/>
        <v>0</v>
      </c>
      <c r="CD2569" s="1">
        <v>17</v>
      </c>
      <c r="CE2569" s="1">
        <v>0</v>
      </c>
      <c r="CG2569" s="1" t="s">
        <v>1936</v>
      </c>
      <c r="CH2569" s="1" t="s">
        <v>219</v>
      </c>
      <c r="CI2569" s="1" t="s">
        <v>229</v>
      </c>
      <c r="CJ2569" s="1" t="s">
        <v>343</v>
      </c>
      <c r="CK2569" s="1" t="s">
        <v>437</v>
      </c>
      <c r="CL2569" s="1" t="s">
        <v>277</v>
      </c>
      <c r="CM2569" s="1" t="s">
        <v>220</v>
      </c>
      <c r="CN2569" s="1" t="s">
        <v>343</v>
      </c>
      <c r="CO2569" s="1" t="s">
        <v>629</v>
      </c>
      <c r="CP2569" s="1" t="s">
        <v>219</v>
      </c>
      <c r="CQ2569" s="1" t="s">
        <v>229</v>
      </c>
      <c r="CR2569" s="1" t="s">
        <v>343</v>
      </c>
      <c r="CS2569" s="1" t="s">
        <v>465</v>
      </c>
      <c r="CT2569" s="1" t="s">
        <v>277</v>
      </c>
      <c r="CU2569" s="1" t="s">
        <v>220</v>
      </c>
      <c r="CV2569" s="1" t="s">
        <v>343</v>
      </c>
      <c r="CX2569" s="1" t="s">
        <v>224</v>
      </c>
      <c r="DB2569" s="1" t="s">
        <v>224</v>
      </c>
      <c r="DE2569" s="1" t="s">
        <v>951</v>
      </c>
      <c r="DF2569" s="1" t="s">
        <v>219</v>
      </c>
      <c r="DG2569" s="1" t="s">
        <v>229</v>
      </c>
      <c r="DH2569" s="1" t="s">
        <v>210</v>
      </c>
      <c r="DJ2569" s="1" t="s">
        <v>224</v>
      </c>
      <c r="DM2569" s="1" t="s">
        <v>381</v>
      </c>
      <c r="DR2569" s="1" t="s">
        <v>516</v>
      </c>
      <c r="DS2569" s="1" t="s">
        <v>219</v>
      </c>
      <c r="DT2569" s="1" t="s">
        <v>229</v>
      </c>
      <c r="DU2569" s="1" t="s">
        <v>252</v>
      </c>
      <c r="DW2569" s="1" t="s">
        <v>230</v>
      </c>
      <c r="EA2569" s="1" t="s">
        <v>230</v>
      </c>
      <c r="EE2569" s="1" t="s">
        <v>230</v>
      </c>
      <c r="EI2569" s="1" t="s">
        <v>230</v>
      </c>
      <c r="EL2569" s="1" t="s">
        <v>670</v>
      </c>
      <c r="EM2569" s="1" t="s">
        <v>232</v>
      </c>
      <c r="EN2569" s="1" t="s">
        <v>282</v>
      </c>
      <c r="EO2569" s="1" t="s">
        <v>234</v>
      </c>
      <c r="EP2569" s="1" t="s">
        <v>543</v>
      </c>
      <c r="EQ2569" s="1" t="s">
        <v>236</v>
      </c>
      <c r="ER2569" s="1" t="s">
        <v>383</v>
      </c>
      <c r="ES2569" s="1" t="s">
        <v>824</v>
      </c>
      <c r="EU2569" s="1" t="s">
        <v>610</v>
      </c>
      <c r="EV2569" s="1" t="s">
        <v>240</v>
      </c>
      <c r="EW2569" s="1" t="s">
        <v>353</v>
      </c>
      <c r="EY2569" s="1" t="s">
        <v>441</v>
      </c>
      <c r="EZ2569" s="1" t="s">
        <v>381</v>
      </c>
      <c r="FA2569" s="1" t="s">
        <v>3624</v>
      </c>
      <c r="FB2569" s="1" t="s">
        <v>289</v>
      </c>
      <c r="FC2569" s="1" t="s">
        <v>548</v>
      </c>
      <c r="FD2569" s="1" t="s">
        <v>246</v>
      </c>
      <c r="FE2569" s="1" t="s">
        <v>472</v>
      </c>
      <c r="FF2569" s="1" t="s">
        <v>248</v>
      </c>
      <c r="FH2569" s="1" t="s">
        <v>550</v>
      </c>
      <c r="FL2569" s="1" t="s">
        <v>358</v>
      </c>
      <c r="FM2569" s="1" t="s">
        <v>252</v>
      </c>
      <c r="FN2569" s="1" t="s">
        <v>213</v>
      </c>
      <c r="FO2569" s="1" t="s">
        <v>213</v>
      </c>
      <c r="FQ2569" s="1" t="s">
        <v>359</v>
      </c>
      <c r="FR2569" s="1" t="s">
        <v>210</v>
      </c>
      <c r="FS2569" s="1" t="s">
        <v>7674</v>
      </c>
      <c r="FT2569" s="1" t="s">
        <v>691</v>
      </c>
      <c r="FU2569" s="1" t="s">
        <v>204</v>
      </c>
      <c r="FW2569" s="1" t="s">
        <v>256</v>
      </c>
      <c r="FX2569" s="1">
        <v>2648</v>
      </c>
      <c r="FY2569" s="1" t="s">
        <v>1022</v>
      </c>
      <c r="FZ2569" s="1" t="s">
        <v>7675</v>
      </c>
      <c r="GA2569" s="1">
        <v>18093</v>
      </c>
      <c r="GB2569" s="1" t="s">
        <v>7676</v>
      </c>
      <c r="GD2569" s="1" t="s">
        <v>21989</v>
      </c>
      <c r="GE2569" s="1" t="s">
        <v>658</v>
      </c>
      <c r="GI2569" s="1" t="s">
        <v>213</v>
      </c>
      <c r="GJ2569" s="1" t="s">
        <v>260</v>
      </c>
      <c r="GK2569" s="1" t="s">
        <v>210</v>
      </c>
      <c r="GL2569" s="2">
        <v>42103</v>
      </c>
    </row>
    <row r="2570" spans="1:195">
      <c r="A2570" s="1">
        <v>165000</v>
      </c>
      <c r="B2570" s="1" t="s">
        <v>195</v>
      </c>
      <c r="C2570" s="1" t="str">
        <f>"08832753"</f>
        <v>08832753</v>
      </c>
      <c r="D2570" s="1" t="s">
        <v>196</v>
      </c>
      <c r="F2570" s="1" t="str">
        <f>"46"</f>
        <v>46</v>
      </c>
      <c r="G2570" s="2">
        <v>42041</v>
      </c>
      <c r="H2570" s="1">
        <v>165900</v>
      </c>
      <c r="I2570" s="1">
        <v>165900</v>
      </c>
      <c r="J2570" s="1">
        <v>165000</v>
      </c>
      <c r="K2570" s="2">
        <v>42041</v>
      </c>
      <c r="L2570" s="1">
        <v>4</v>
      </c>
      <c r="M2570" s="2">
        <v>42044</v>
      </c>
      <c r="N2570" s="1">
        <v>4</v>
      </c>
      <c r="O2570" s="2">
        <v>42044</v>
      </c>
      <c r="P2570" s="1">
        <v>6094</v>
      </c>
      <c r="Q2570" s="1" t="s">
        <v>302</v>
      </c>
      <c r="R2570" s="2">
        <v>42093</v>
      </c>
      <c r="S2570" s="1">
        <v>62247</v>
      </c>
      <c r="U2570" s="1">
        <v>2901</v>
      </c>
      <c r="V2570" s="1" t="s">
        <v>21307</v>
      </c>
      <c r="W2570" s="1" t="s">
        <v>449</v>
      </c>
      <c r="Y2570" s="1">
        <v>6</v>
      </c>
      <c r="Z2570" s="1" t="s">
        <v>249</v>
      </c>
      <c r="AA2570" s="1" t="s">
        <v>2772</v>
      </c>
      <c r="AB2570" s="1">
        <v>60046</v>
      </c>
      <c r="AD2570" s="1" t="s">
        <v>21308</v>
      </c>
      <c r="AE2570" s="1" t="s">
        <v>21990</v>
      </c>
      <c r="AF2570" s="1">
        <v>2007</v>
      </c>
      <c r="AG2570" s="1" t="s">
        <v>204</v>
      </c>
      <c r="AH2570" s="1" t="s">
        <v>2775</v>
      </c>
      <c r="AI2570" s="1" t="s">
        <v>509</v>
      </c>
      <c r="AJ2570" s="1" t="s">
        <v>1437</v>
      </c>
      <c r="AK2570" s="1" t="s">
        <v>21991</v>
      </c>
      <c r="AL2570" s="1">
        <v>7</v>
      </c>
      <c r="AM2570" s="1">
        <v>2</v>
      </c>
      <c r="AN2570" s="1">
        <v>2</v>
      </c>
      <c r="AO2570" s="1">
        <v>1</v>
      </c>
      <c r="AP2570" s="1" t="s">
        <v>209</v>
      </c>
      <c r="AR2570" s="1" t="s">
        <v>209</v>
      </c>
      <c r="AS2570" s="1" t="s">
        <v>213</v>
      </c>
      <c r="AT2570" s="1" t="s">
        <v>211</v>
      </c>
      <c r="AU2570" s="1">
        <v>2</v>
      </c>
      <c r="AW2570" s="1" t="s">
        <v>204</v>
      </c>
      <c r="AX2570" s="1" t="s">
        <v>579</v>
      </c>
      <c r="AZ2570" s="1">
        <v>5586.17</v>
      </c>
      <c r="BA2570" s="1">
        <v>2013</v>
      </c>
      <c r="BB2570" s="1" t="s">
        <v>405</v>
      </c>
      <c r="BE2570" s="1">
        <v>1668</v>
      </c>
      <c r="BF2570" s="1">
        <v>1</v>
      </c>
      <c r="BG2570" s="1">
        <v>0</v>
      </c>
      <c r="BL2570" s="1">
        <v>159</v>
      </c>
      <c r="BM2570" s="1" t="s">
        <v>204</v>
      </c>
      <c r="BN2570" s="1" t="s">
        <v>213</v>
      </c>
      <c r="BO2570" s="1">
        <v>999</v>
      </c>
      <c r="BP2570" s="1" t="s">
        <v>204</v>
      </c>
      <c r="BR2570" s="1" t="str">
        <f>"06012060520000"</f>
        <v>06012060520000</v>
      </c>
      <c r="BT2570" s="1" t="s">
        <v>21992</v>
      </c>
      <c r="BU2570" s="1" t="s">
        <v>9591</v>
      </c>
      <c r="BV2570" s="1" t="s">
        <v>9591</v>
      </c>
      <c r="BW2570" s="1" t="s">
        <v>6893</v>
      </c>
      <c r="BX2570" s="1">
        <v>24</v>
      </c>
      <c r="BY2570" s="1">
        <v>24</v>
      </c>
      <c r="BZ2570" s="1">
        <v>117</v>
      </c>
      <c r="CB2570" s="1" t="str">
        <f>"37"</f>
        <v>37</v>
      </c>
      <c r="CC2570" s="1" t="str">
        <f>""</f>
        <v/>
      </c>
      <c r="CD2570" s="1">
        <v>19</v>
      </c>
      <c r="CG2570" s="1" t="s">
        <v>602</v>
      </c>
      <c r="CH2570" s="1" t="s">
        <v>219</v>
      </c>
      <c r="CI2570" s="1" t="s">
        <v>220</v>
      </c>
      <c r="CJ2570" s="1" t="s">
        <v>252</v>
      </c>
      <c r="CK2570" s="1" t="s">
        <v>932</v>
      </c>
      <c r="CL2570" s="1" t="s">
        <v>219</v>
      </c>
      <c r="CM2570" s="1" t="s">
        <v>220</v>
      </c>
      <c r="CN2570" s="1" t="s">
        <v>252</v>
      </c>
      <c r="CO2570" s="1" t="s">
        <v>1297</v>
      </c>
      <c r="CP2570" s="1" t="s">
        <v>219</v>
      </c>
      <c r="CQ2570" s="1" t="s">
        <v>220</v>
      </c>
      <c r="CR2570" s="1" t="s">
        <v>252</v>
      </c>
      <c r="CS2570" s="1" t="s">
        <v>465</v>
      </c>
      <c r="CT2570" s="1" t="s">
        <v>822</v>
      </c>
      <c r="CU2570" s="1" t="s">
        <v>220</v>
      </c>
      <c r="CV2570" s="1" t="s">
        <v>252</v>
      </c>
      <c r="CX2570" s="1" t="s">
        <v>224</v>
      </c>
      <c r="DB2570" s="1" t="s">
        <v>224</v>
      </c>
      <c r="DE2570" s="1" t="s">
        <v>1454</v>
      </c>
      <c r="DF2570" s="1" t="s">
        <v>219</v>
      </c>
      <c r="DG2570" s="1" t="s">
        <v>438</v>
      </c>
      <c r="DH2570" s="1" t="s">
        <v>252</v>
      </c>
      <c r="DI2570" s="1" t="s">
        <v>539</v>
      </c>
      <c r="DJ2570" s="1" t="s">
        <v>822</v>
      </c>
      <c r="DK2570" s="1" t="s">
        <v>220</v>
      </c>
      <c r="DL2570" s="1" t="s">
        <v>252</v>
      </c>
      <c r="DM2570" s="1" t="s">
        <v>3592</v>
      </c>
      <c r="DR2570" s="1" t="s">
        <v>346</v>
      </c>
      <c r="DS2570" s="1" t="s">
        <v>219</v>
      </c>
      <c r="DT2570" s="1" t="s">
        <v>220</v>
      </c>
      <c r="DU2570" s="1" t="s">
        <v>252</v>
      </c>
      <c r="DW2570" s="1" t="s">
        <v>230</v>
      </c>
      <c r="EA2570" s="1" t="s">
        <v>230</v>
      </c>
      <c r="EE2570" s="1" t="s">
        <v>230</v>
      </c>
      <c r="EI2570" s="1" t="s">
        <v>230</v>
      </c>
      <c r="EL2570" s="1" t="s">
        <v>491</v>
      </c>
      <c r="EM2570" s="1" t="s">
        <v>319</v>
      </c>
      <c r="EN2570" s="1" t="s">
        <v>282</v>
      </c>
      <c r="EO2570" s="1" t="s">
        <v>234</v>
      </c>
      <c r="EP2570" s="1" t="s">
        <v>650</v>
      </c>
      <c r="EQ2570" s="1" t="s">
        <v>2188</v>
      </c>
      <c r="ER2570" s="1" t="s">
        <v>544</v>
      </c>
      <c r="ES2570" s="1" t="s">
        <v>3932</v>
      </c>
      <c r="EU2570" s="1" t="s">
        <v>9848</v>
      </c>
      <c r="EV2570" s="1" t="s">
        <v>240</v>
      </c>
      <c r="EW2570" s="1" t="s">
        <v>353</v>
      </c>
      <c r="EY2570" s="1" t="s">
        <v>790</v>
      </c>
      <c r="EZ2570" s="1" t="s">
        <v>3592</v>
      </c>
      <c r="FC2570" s="1" t="s">
        <v>633</v>
      </c>
      <c r="FD2570" s="1" t="s">
        <v>246</v>
      </c>
      <c r="FE2570" s="1" t="s">
        <v>975</v>
      </c>
      <c r="FF2570" s="1" t="s">
        <v>248</v>
      </c>
      <c r="FH2570" s="1" t="s">
        <v>550</v>
      </c>
      <c r="FI2570" s="1" t="s">
        <v>473</v>
      </c>
      <c r="FL2570" s="1" t="s">
        <v>358</v>
      </c>
      <c r="FM2570" s="1" t="s">
        <v>252</v>
      </c>
      <c r="FN2570" s="1" t="s">
        <v>213</v>
      </c>
      <c r="FO2570" s="1" t="s">
        <v>213</v>
      </c>
      <c r="FQ2570" s="1" t="s">
        <v>359</v>
      </c>
      <c r="FR2570" s="1" t="s">
        <v>210</v>
      </c>
      <c r="FS2570" s="1" t="s">
        <v>5616</v>
      </c>
      <c r="FT2570" s="1" t="s">
        <v>295</v>
      </c>
      <c r="FU2570" s="1" t="s">
        <v>204</v>
      </c>
      <c r="FW2570" s="1" t="s">
        <v>1637</v>
      </c>
      <c r="FX2570" s="1">
        <v>8256</v>
      </c>
      <c r="FY2570" s="1" t="s">
        <v>5617</v>
      </c>
      <c r="FZ2570" s="1" t="s">
        <v>9270</v>
      </c>
      <c r="GA2570" s="1">
        <v>86740</v>
      </c>
      <c r="GD2570" s="1" t="s">
        <v>21993</v>
      </c>
      <c r="GE2570" s="1" t="s">
        <v>480</v>
      </c>
      <c r="GI2570" s="1" t="s">
        <v>213</v>
      </c>
      <c r="GJ2570" s="1" t="s">
        <v>260</v>
      </c>
      <c r="GK2570" s="1" t="s">
        <v>210</v>
      </c>
      <c r="GL2570" s="2">
        <v>42093</v>
      </c>
      <c r="GM2570" s="1" t="s">
        <v>21994</v>
      </c>
    </row>
    <row r="2571" spans="1:195">
      <c r="A2571" s="1">
        <v>125000</v>
      </c>
      <c r="B2571" s="1" t="s">
        <v>195</v>
      </c>
      <c r="C2571" s="1" t="str">
        <f>"08836275"</f>
        <v>08836275</v>
      </c>
      <c r="D2571" s="1" t="s">
        <v>196</v>
      </c>
      <c r="F2571" s="1" t="str">
        <f>"61"</f>
        <v>61</v>
      </c>
      <c r="G2571" s="2">
        <v>42046</v>
      </c>
      <c r="H2571" s="1">
        <v>140000</v>
      </c>
      <c r="I2571" s="1">
        <v>140000</v>
      </c>
      <c r="J2571" s="1">
        <v>125000</v>
      </c>
      <c r="K2571" s="2">
        <v>42045</v>
      </c>
      <c r="L2571" s="1">
        <v>64</v>
      </c>
      <c r="M2571" s="2">
        <v>42108</v>
      </c>
      <c r="N2571" s="1">
        <v>64</v>
      </c>
      <c r="O2571" s="2">
        <v>42108</v>
      </c>
      <c r="P2571" s="1">
        <v>8074</v>
      </c>
      <c r="Q2571" s="1" t="s">
        <v>302</v>
      </c>
      <c r="R2571" s="2">
        <v>42122</v>
      </c>
      <c r="S2571" s="1">
        <v>87610</v>
      </c>
      <c r="U2571" s="1">
        <v>436</v>
      </c>
      <c r="V2571" s="1" t="s">
        <v>13242</v>
      </c>
      <c r="W2571" s="1" t="s">
        <v>304</v>
      </c>
      <c r="Y2571" s="1">
        <v>4</v>
      </c>
      <c r="Z2571" s="1" t="s">
        <v>249</v>
      </c>
      <c r="AA2571" s="1" t="s">
        <v>505</v>
      </c>
      <c r="AB2571" s="1">
        <v>60061</v>
      </c>
      <c r="AD2571" s="1" t="s">
        <v>2353</v>
      </c>
      <c r="AE2571" s="1" t="s">
        <v>21995</v>
      </c>
      <c r="AF2571" s="1">
        <v>1979</v>
      </c>
      <c r="AG2571" s="1" t="s">
        <v>204</v>
      </c>
      <c r="AH2571" s="1" t="s">
        <v>508</v>
      </c>
      <c r="AI2571" s="1" t="s">
        <v>509</v>
      </c>
      <c r="AJ2571" s="1" t="s">
        <v>510</v>
      </c>
      <c r="AL2571" s="1">
        <v>5</v>
      </c>
      <c r="AM2571" s="1">
        <v>2</v>
      </c>
      <c r="AN2571" s="1">
        <v>1</v>
      </c>
      <c r="AO2571" s="1">
        <v>1</v>
      </c>
      <c r="AP2571" s="1" t="s">
        <v>210</v>
      </c>
      <c r="AR2571" s="1" t="s">
        <v>209</v>
      </c>
      <c r="AS2571" s="1" t="s">
        <v>204</v>
      </c>
      <c r="AT2571" s="1" t="s">
        <v>211</v>
      </c>
      <c r="AU2571" s="1">
        <v>1</v>
      </c>
      <c r="AW2571" s="1" t="s">
        <v>204</v>
      </c>
      <c r="AX2571" s="1" t="s">
        <v>579</v>
      </c>
      <c r="AZ2571" s="5">
        <v>3025.58</v>
      </c>
      <c r="BA2571" s="1">
        <v>2013</v>
      </c>
      <c r="BB2571" s="1" t="s">
        <v>210</v>
      </c>
      <c r="BE2571" s="1">
        <v>916</v>
      </c>
      <c r="BF2571" s="1">
        <v>1</v>
      </c>
      <c r="BG2571" s="1">
        <v>0</v>
      </c>
      <c r="BL2571" s="1">
        <v>236</v>
      </c>
      <c r="BM2571" s="1" t="s">
        <v>204</v>
      </c>
      <c r="BN2571" s="1" t="s">
        <v>213</v>
      </c>
      <c r="BP2571" s="1" t="s">
        <v>204</v>
      </c>
      <c r="BR2571" s="1" t="str">
        <f>"15053081000000"</f>
        <v>15053081000000</v>
      </c>
      <c r="BT2571" s="1" t="s">
        <v>21996</v>
      </c>
      <c r="BW2571" s="1" t="s">
        <v>514</v>
      </c>
      <c r="BX2571" s="1">
        <v>73</v>
      </c>
      <c r="BY2571" s="1">
        <v>73</v>
      </c>
      <c r="BZ2571" s="1">
        <v>128</v>
      </c>
      <c r="CB2571" s="1" t="str">
        <f>"25"</f>
        <v>25</v>
      </c>
      <c r="CC2571" s="1" t="str">
        <f>"0"</f>
        <v>0</v>
      </c>
      <c r="CD2571" s="1">
        <v>17</v>
      </c>
      <c r="CE2571" s="1">
        <v>0</v>
      </c>
      <c r="CG2571" s="1" t="s">
        <v>861</v>
      </c>
      <c r="CH2571" s="1" t="s">
        <v>219</v>
      </c>
      <c r="CI2571" s="1" t="s">
        <v>229</v>
      </c>
      <c r="CJ2571" s="1" t="s">
        <v>343</v>
      </c>
      <c r="CK2571" s="1" t="s">
        <v>1358</v>
      </c>
      <c r="CL2571" s="1" t="s">
        <v>277</v>
      </c>
      <c r="CM2571" s="1" t="s">
        <v>220</v>
      </c>
      <c r="CN2571" s="1" t="s">
        <v>343</v>
      </c>
      <c r="CP2571" s="1" t="s">
        <v>224</v>
      </c>
      <c r="CS2571" s="1" t="s">
        <v>821</v>
      </c>
      <c r="CT2571" s="1" t="s">
        <v>277</v>
      </c>
      <c r="CU2571" s="1" t="s">
        <v>220</v>
      </c>
      <c r="CV2571" s="1" t="s">
        <v>343</v>
      </c>
      <c r="CX2571" s="1" t="s">
        <v>224</v>
      </c>
      <c r="DB2571" s="1" t="s">
        <v>224</v>
      </c>
      <c r="DE2571" s="1" t="s">
        <v>604</v>
      </c>
      <c r="DF2571" s="1" t="s">
        <v>219</v>
      </c>
      <c r="DG2571" s="1" t="s">
        <v>229</v>
      </c>
      <c r="DJ2571" s="1" t="s">
        <v>224</v>
      </c>
      <c r="DM2571" s="1" t="s">
        <v>934</v>
      </c>
      <c r="DR2571" s="1" t="s">
        <v>9820</v>
      </c>
      <c r="DS2571" s="1" t="s">
        <v>43</v>
      </c>
      <c r="DT2571" s="1" t="s">
        <v>220</v>
      </c>
      <c r="DW2571" s="1" t="s">
        <v>230</v>
      </c>
      <c r="EA2571" s="1" t="s">
        <v>230</v>
      </c>
      <c r="EE2571" s="1" t="s">
        <v>230</v>
      </c>
      <c r="EI2571" s="1" t="s">
        <v>230</v>
      </c>
      <c r="EL2571" s="1" t="s">
        <v>231</v>
      </c>
      <c r="EM2571" s="1" t="s">
        <v>232</v>
      </c>
      <c r="EN2571" s="1" t="s">
        <v>282</v>
      </c>
      <c r="EO2571" s="1" t="s">
        <v>234</v>
      </c>
      <c r="EP2571" s="1" t="s">
        <v>21997</v>
      </c>
      <c r="EQ2571" s="1" t="s">
        <v>236</v>
      </c>
      <c r="ER2571" s="1" t="s">
        <v>544</v>
      </c>
      <c r="ES2571" s="1" t="s">
        <v>322</v>
      </c>
      <c r="EU2571" s="1" t="s">
        <v>1202</v>
      </c>
      <c r="EW2571" s="1" t="s">
        <v>21998</v>
      </c>
      <c r="EY2571" s="1" t="s">
        <v>242</v>
      </c>
      <c r="EZ2571" s="1" t="s">
        <v>934</v>
      </c>
      <c r="FA2571" s="1" t="s">
        <v>7047</v>
      </c>
      <c r="FB2571" s="1" t="s">
        <v>289</v>
      </c>
      <c r="FD2571" s="1" t="s">
        <v>736</v>
      </c>
      <c r="FE2571" s="1" t="s">
        <v>765</v>
      </c>
      <c r="FF2571" s="1" t="s">
        <v>387</v>
      </c>
      <c r="FH2571" s="1" t="s">
        <v>550</v>
      </c>
      <c r="FI2571" s="1" t="s">
        <v>473</v>
      </c>
      <c r="FJ2571" s="1" t="s">
        <v>197</v>
      </c>
      <c r="FL2571" s="1" t="s">
        <v>358</v>
      </c>
      <c r="FM2571" s="1" t="s">
        <v>252</v>
      </c>
      <c r="FN2571" s="1" t="s">
        <v>213</v>
      </c>
      <c r="FO2571" s="1" t="s">
        <v>213</v>
      </c>
      <c r="FQ2571" s="1" t="s">
        <v>1286</v>
      </c>
      <c r="FR2571" s="1" t="s">
        <v>210</v>
      </c>
      <c r="FS2571" s="1" t="s">
        <v>21999</v>
      </c>
      <c r="FT2571" s="1" t="s">
        <v>1408</v>
      </c>
      <c r="FU2571" s="1" t="s">
        <v>204</v>
      </c>
      <c r="FW2571" s="1" t="s">
        <v>1275</v>
      </c>
      <c r="FX2571" s="1">
        <v>2700</v>
      </c>
      <c r="FY2571" s="1" t="s">
        <v>1276</v>
      </c>
      <c r="FZ2571" s="1" t="s">
        <v>18520</v>
      </c>
      <c r="GA2571" s="1">
        <v>18303</v>
      </c>
      <c r="GB2571" s="1" t="s">
        <v>18521</v>
      </c>
      <c r="GE2571" s="1" t="s">
        <v>1256</v>
      </c>
      <c r="GI2571" s="1" t="s">
        <v>213</v>
      </c>
      <c r="GJ2571" s="1" t="s">
        <v>260</v>
      </c>
      <c r="GK2571" s="1" t="s">
        <v>210</v>
      </c>
      <c r="GL2571" s="2">
        <v>42123</v>
      </c>
    </row>
    <row r="2572" spans="1:195">
      <c r="A2572" s="1">
        <v>154990</v>
      </c>
      <c r="B2572" s="1" t="s">
        <v>195</v>
      </c>
      <c r="C2572" s="1" t="str">
        <f>"08834770"</f>
        <v>08834770</v>
      </c>
      <c r="D2572" s="1" t="s">
        <v>196</v>
      </c>
      <c r="F2572" s="1" t="str">
        <f>"140"</f>
        <v>140</v>
      </c>
      <c r="G2572" s="2">
        <v>42044</v>
      </c>
      <c r="H2572" s="1">
        <v>154990</v>
      </c>
      <c r="I2572" s="1">
        <v>156855</v>
      </c>
      <c r="J2572" s="1">
        <v>154990</v>
      </c>
      <c r="K2572" s="2">
        <v>42043</v>
      </c>
      <c r="L2572" s="1">
        <v>42</v>
      </c>
      <c r="M2572" s="2">
        <v>42084</v>
      </c>
      <c r="N2572" s="1">
        <v>42</v>
      </c>
      <c r="O2572" s="2">
        <v>42084</v>
      </c>
      <c r="P2572" s="1">
        <v>8094</v>
      </c>
      <c r="Q2572" s="1" t="s">
        <v>302</v>
      </c>
      <c r="R2572" s="2">
        <v>42128</v>
      </c>
      <c r="S2572" s="1">
        <v>28343</v>
      </c>
      <c r="U2572" s="1">
        <v>1692</v>
      </c>
      <c r="V2572" s="1" t="s">
        <v>6371</v>
      </c>
      <c r="W2572" s="1" t="s">
        <v>504</v>
      </c>
      <c r="X2572" s="1">
        <v>1061</v>
      </c>
      <c r="Y2572" s="1">
        <v>4</v>
      </c>
      <c r="Z2572" s="1" t="s">
        <v>370</v>
      </c>
      <c r="AA2572" s="1" t="s">
        <v>744</v>
      </c>
      <c r="AB2572" s="1">
        <v>60140</v>
      </c>
      <c r="AD2572" s="1" t="s">
        <v>6372</v>
      </c>
      <c r="AE2572" s="1" t="s">
        <v>6373</v>
      </c>
      <c r="AF2572" s="1">
        <v>2014</v>
      </c>
      <c r="AG2572" s="1" t="s">
        <v>204</v>
      </c>
      <c r="AH2572" s="1" t="s">
        <v>747</v>
      </c>
      <c r="AI2572" s="1" t="s">
        <v>665</v>
      </c>
      <c r="AJ2572" s="1" t="s">
        <v>748</v>
      </c>
      <c r="AK2572" s="1" t="s">
        <v>4058</v>
      </c>
      <c r="AL2572" s="1">
        <v>5</v>
      </c>
      <c r="AM2572" s="1">
        <v>2</v>
      </c>
      <c r="AN2572" s="1">
        <v>2</v>
      </c>
      <c r="AO2572" s="1">
        <v>0</v>
      </c>
      <c r="AP2572" s="1" t="s">
        <v>209</v>
      </c>
      <c r="AR2572" s="1" t="s">
        <v>210</v>
      </c>
      <c r="AS2572" s="1" t="s">
        <v>204</v>
      </c>
      <c r="AT2572" s="1" t="s">
        <v>211</v>
      </c>
      <c r="AU2572" s="1">
        <v>2</v>
      </c>
      <c r="AW2572" s="1" t="s">
        <v>204</v>
      </c>
      <c r="AX2572" s="1" t="s">
        <v>6374</v>
      </c>
      <c r="AZ2572" s="1" t="s">
        <v>751</v>
      </c>
      <c r="BA2572" s="1">
        <v>2013</v>
      </c>
      <c r="BE2572" s="1">
        <v>1290</v>
      </c>
      <c r="BF2572" s="1">
        <v>1</v>
      </c>
      <c r="BG2572" s="1">
        <v>0</v>
      </c>
      <c r="BL2572" s="1">
        <v>186</v>
      </c>
      <c r="BM2572" s="1" t="s">
        <v>204</v>
      </c>
      <c r="BN2572" s="1" t="s">
        <v>213</v>
      </c>
      <c r="BO2572" s="1">
        <v>999</v>
      </c>
      <c r="BP2572" s="1" t="s">
        <v>213</v>
      </c>
      <c r="BQ2572" s="2">
        <v>42044</v>
      </c>
      <c r="BR2572" s="1" t="str">
        <f>"0228175019"</f>
        <v>0228175019</v>
      </c>
      <c r="BT2572" s="1" t="s">
        <v>6375</v>
      </c>
      <c r="BX2572" s="1">
        <v>300</v>
      </c>
      <c r="BY2572" s="1">
        <v>300</v>
      </c>
      <c r="BZ2572" s="1">
        <v>300</v>
      </c>
      <c r="CB2572" s="1" t="str">
        <f t="shared" ref="CB2572:CC2572" si="1974">""</f>
        <v/>
      </c>
      <c r="CC2572" s="1" t="str">
        <f t="shared" si="1974"/>
        <v/>
      </c>
      <c r="CG2572" s="1" t="s">
        <v>278</v>
      </c>
      <c r="CH2572" s="1" t="s">
        <v>219</v>
      </c>
      <c r="CI2572" s="1" t="s">
        <v>438</v>
      </c>
      <c r="CK2572" s="1" t="s">
        <v>861</v>
      </c>
      <c r="CL2572" s="1" t="s">
        <v>219</v>
      </c>
      <c r="CM2572" s="1" t="s">
        <v>220</v>
      </c>
      <c r="CO2572" s="1" t="s">
        <v>2899</v>
      </c>
      <c r="CP2572" s="1" t="s">
        <v>219</v>
      </c>
      <c r="CQ2572" s="1" t="s">
        <v>438</v>
      </c>
      <c r="CS2572" s="1" t="s">
        <v>465</v>
      </c>
      <c r="CT2572" s="1" t="s">
        <v>219</v>
      </c>
      <c r="CU2572" s="1" t="s">
        <v>220</v>
      </c>
      <c r="CX2572" s="1" t="s">
        <v>224</v>
      </c>
      <c r="DB2572" s="1" t="s">
        <v>224</v>
      </c>
      <c r="DE2572" s="1" t="s">
        <v>281</v>
      </c>
      <c r="DF2572" s="1" t="s">
        <v>219</v>
      </c>
      <c r="DG2572" s="1" t="s">
        <v>438</v>
      </c>
      <c r="DJ2572" s="1" t="s">
        <v>224</v>
      </c>
      <c r="DS2572" s="1" t="s">
        <v>230</v>
      </c>
      <c r="DW2572" s="1" t="s">
        <v>230</v>
      </c>
      <c r="EA2572" s="1" t="s">
        <v>230</v>
      </c>
      <c r="EE2572" s="1" t="s">
        <v>230</v>
      </c>
      <c r="EI2572" s="1" t="s">
        <v>230</v>
      </c>
      <c r="EL2572" s="1" t="s">
        <v>1455</v>
      </c>
      <c r="EM2572" s="1" t="s">
        <v>319</v>
      </c>
      <c r="EN2572" s="1" t="s">
        <v>282</v>
      </c>
      <c r="EO2572" s="1" t="s">
        <v>234</v>
      </c>
      <c r="EP2572" s="1" t="s">
        <v>6376</v>
      </c>
      <c r="EQ2572" s="1" t="s">
        <v>953</v>
      </c>
      <c r="ER2572" s="1" t="s">
        <v>383</v>
      </c>
      <c r="ES2572" s="1" t="s">
        <v>608</v>
      </c>
      <c r="ET2572" s="1" t="s">
        <v>842</v>
      </c>
      <c r="EW2572" s="1" t="s">
        <v>6377</v>
      </c>
      <c r="EY2572" s="1" t="s">
        <v>790</v>
      </c>
      <c r="EZ2572" s="1" t="s">
        <v>287</v>
      </c>
      <c r="FD2572" s="1" t="s">
        <v>246</v>
      </c>
      <c r="FE2572" s="1" t="s">
        <v>472</v>
      </c>
      <c r="FF2572" s="1" t="s">
        <v>248</v>
      </c>
      <c r="FH2572" s="1" t="s">
        <v>6378</v>
      </c>
      <c r="FI2572" s="1" t="s">
        <v>473</v>
      </c>
      <c r="FL2572" s="1" t="s">
        <v>358</v>
      </c>
      <c r="FM2572" s="1" t="s">
        <v>252</v>
      </c>
      <c r="FN2572" s="1" t="s">
        <v>213</v>
      </c>
      <c r="FO2572" s="1" t="s">
        <v>213</v>
      </c>
      <c r="FQ2572" s="1" t="s">
        <v>582</v>
      </c>
      <c r="FR2572" s="1" t="s">
        <v>210</v>
      </c>
      <c r="FS2572" s="1" t="s">
        <v>22000</v>
      </c>
      <c r="FT2572" s="1" t="s">
        <v>771</v>
      </c>
      <c r="FU2572" s="1" t="s">
        <v>204</v>
      </c>
      <c r="FW2572" s="1" t="s">
        <v>772</v>
      </c>
      <c r="FX2572" s="1">
        <v>92038</v>
      </c>
      <c r="FY2572" s="1" t="s">
        <v>773</v>
      </c>
      <c r="FZ2572" s="1" t="s">
        <v>774</v>
      </c>
      <c r="GA2572" s="1">
        <v>21137</v>
      </c>
      <c r="GB2572" s="1" t="s">
        <v>775</v>
      </c>
      <c r="GE2572" s="1" t="s">
        <v>623</v>
      </c>
      <c r="GI2572" s="1" t="s">
        <v>204</v>
      </c>
      <c r="GJ2572" s="1" t="s">
        <v>260</v>
      </c>
      <c r="GK2572" s="1" t="s">
        <v>210</v>
      </c>
      <c r="GL2572" s="2">
        <v>42129</v>
      </c>
      <c r="GM2572" s="1" t="s">
        <v>22001</v>
      </c>
    </row>
    <row r="2573" spans="1:195">
      <c r="A2573" s="1">
        <v>220000</v>
      </c>
      <c r="B2573" s="1" t="s">
        <v>195</v>
      </c>
      <c r="C2573" s="1" t="str">
        <f>"08836792"</f>
        <v>08836792</v>
      </c>
      <c r="D2573" s="1" t="s">
        <v>196</v>
      </c>
      <c r="F2573" s="1" t="str">
        <f>"148"</f>
        <v>148</v>
      </c>
      <c r="G2573" s="2">
        <v>42046</v>
      </c>
      <c r="H2573" s="1">
        <v>229900</v>
      </c>
      <c r="I2573" s="1">
        <v>229900</v>
      </c>
      <c r="J2573" s="1">
        <v>220000</v>
      </c>
      <c r="K2573" s="2">
        <v>42046</v>
      </c>
      <c r="L2573" s="1">
        <v>28</v>
      </c>
      <c r="M2573" s="2">
        <v>42073</v>
      </c>
      <c r="N2573" s="1">
        <v>28</v>
      </c>
      <c r="O2573" s="2">
        <v>42073</v>
      </c>
      <c r="P2573" s="1">
        <v>70211</v>
      </c>
      <c r="Q2573" s="1" t="s">
        <v>197</v>
      </c>
      <c r="R2573" s="2">
        <v>42102</v>
      </c>
      <c r="S2573" s="1">
        <v>702935</v>
      </c>
      <c r="U2573" s="1" t="s">
        <v>22002</v>
      </c>
      <c r="V2573" s="1" t="s">
        <v>22003</v>
      </c>
      <c r="W2573" s="1" t="s">
        <v>304</v>
      </c>
      <c r="Y2573" s="1">
        <v>6</v>
      </c>
      <c r="Z2573" s="1" t="s">
        <v>249</v>
      </c>
      <c r="AA2573" s="1" t="s">
        <v>1927</v>
      </c>
      <c r="AB2573" s="1">
        <v>60148</v>
      </c>
      <c r="AD2573" s="1" t="s">
        <v>22004</v>
      </c>
      <c r="AE2573" s="1" t="s">
        <v>22005</v>
      </c>
      <c r="AF2573" s="1">
        <v>2002</v>
      </c>
      <c r="AG2573" s="1" t="s">
        <v>204</v>
      </c>
      <c r="AH2573" s="1" t="s">
        <v>1930</v>
      </c>
      <c r="AI2573" s="1" t="s">
        <v>206</v>
      </c>
      <c r="AJ2573" s="1" t="s">
        <v>207</v>
      </c>
      <c r="AL2573" s="1">
        <v>7</v>
      </c>
      <c r="AM2573" s="1">
        <v>2</v>
      </c>
      <c r="AN2573" s="1">
        <v>2</v>
      </c>
      <c r="AO2573" s="1">
        <v>1</v>
      </c>
      <c r="AP2573" s="1" t="s">
        <v>209</v>
      </c>
      <c r="AR2573" s="1" t="s">
        <v>210</v>
      </c>
      <c r="AS2573" s="1" t="s">
        <v>204</v>
      </c>
      <c r="AT2573" s="1" t="s">
        <v>211</v>
      </c>
      <c r="AU2573" s="1">
        <v>2</v>
      </c>
      <c r="AW2573" s="1" t="s">
        <v>204</v>
      </c>
      <c r="AX2573" s="1" t="s">
        <v>212</v>
      </c>
      <c r="AZ2573" s="1">
        <v>3840</v>
      </c>
      <c r="BA2573" s="1">
        <v>2013</v>
      </c>
      <c r="BB2573" s="1" t="s">
        <v>405</v>
      </c>
      <c r="BE2573" s="1">
        <v>1539</v>
      </c>
      <c r="BF2573" s="1">
        <v>1</v>
      </c>
      <c r="BG2573" s="1">
        <v>0</v>
      </c>
      <c r="BL2573" s="1">
        <v>215</v>
      </c>
      <c r="BM2573" s="1" t="s">
        <v>204</v>
      </c>
      <c r="BN2573" s="1" t="s">
        <v>213</v>
      </c>
      <c r="BO2573" s="1">
        <v>0</v>
      </c>
      <c r="BP2573" s="1" t="s">
        <v>204</v>
      </c>
      <c r="BR2573" s="1" t="str">
        <f>"0501111053"</f>
        <v>0501111053</v>
      </c>
      <c r="BT2573" s="1" t="s">
        <v>22006</v>
      </c>
      <c r="BU2573" s="1" t="s">
        <v>12846</v>
      </c>
      <c r="BV2573" s="1" t="s">
        <v>2168</v>
      </c>
      <c r="BW2573" s="1" t="s">
        <v>2169</v>
      </c>
      <c r="BX2573" s="1">
        <v>41</v>
      </c>
      <c r="BY2573" s="1">
        <v>41</v>
      </c>
      <c r="BZ2573" s="1">
        <v>87</v>
      </c>
      <c r="CB2573" s="1" t="str">
        <f t="shared" ref="CB2573:CC2573" si="1975">""</f>
        <v/>
      </c>
      <c r="CC2573" s="1" t="str">
        <f t="shared" si="1975"/>
        <v/>
      </c>
      <c r="CG2573" s="1" t="s">
        <v>757</v>
      </c>
      <c r="CH2573" s="1" t="s">
        <v>219</v>
      </c>
      <c r="CI2573" s="1" t="s">
        <v>438</v>
      </c>
      <c r="CK2573" s="1" t="s">
        <v>539</v>
      </c>
      <c r="CL2573" s="1" t="s">
        <v>277</v>
      </c>
      <c r="CM2573" s="1" t="s">
        <v>220</v>
      </c>
      <c r="CN2573" s="1" t="s">
        <v>343</v>
      </c>
      <c r="CO2573" s="1" t="s">
        <v>379</v>
      </c>
      <c r="CP2573" s="1" t="s">
        <v>219</v>
      </c>
      <c r="CQ2573" s="1" t="s">
        <v>226</v>
      </c>
      <c r="CR2573" s="1" t="s">
        <v>343</v>
      </c>
      <c r="CS2573" s="1" t="s">
        <v>465</v>
      </c>
      <c r="CT2573" s="1" t="s">
        <v>277</v>
      </c>
      <c r="CU2573" s="1" t="s">
        <v>438</v>
      </c>
      <c r="CV2573" s="1" t="s">
        <v>343</v>
      </c>
      <c r="CX2573" s="1" t="s">
        <v>224</v>
      </c>
      <c r="DB2573" s="1" t="s">
        <v>224</v>
      </c>
      <c r="DE2573" s="1" t="s">
        <v>1297</v>
      </c>
      <c r="DF2573" s="1" t="s">
        <v>219</v>
      </c>
      <c r="DG2573" s="1" t="s">
        <v>226</v>
      </c>
      <c r="DI2573" s="1" t="s">
        <v>757</v>
      </c>
      <c r="DJ2573" s="1" t="s">
        <v>219</v>
      </c>
      <c r="DK2573" s="1" t="s">
        <v>438</v>
      </c>
      <c r="DL2573" s="1" t="s">
        <v>252</v>
      </c>
      <c r="DM2573" s="1" t="s">
        <v>464</v>
      </c>
      <c r="DR2573" s="1" t="s">
        <v>378</v>
      </c>
      <c r="DS2573" s="1" t="s">
        <v>277</v>
      </c>
      <c r="DT2573" s="1" t="s">
        <v>220</v>
      </c>
      <c r="DU2573" s="1" t="s">
        <v>343</v>
      </c>
      <c r="DW2573" s="1" t="s">
        <v>230</v>
      </c>
      <c r="EA2573" s="1" t="s">
        <v>230</v>
      </c>
      <c r="EE2573" s="1" t="s">
        <v>230</v>
      </c>
      <c r="EI2573" s="1" t="s">
        <v>230</v>
      </c>
      <c r="EL2573" s="1" t="s">
        <v>466</v>
      </c>
      <c r="EM2573" s="1" t="s">
        <v>232</v>
      </c>
      <c r="EN2573" s="1" t="s">
        <v>282</v>
      </c>
      <c r="EO2573" s="1" t="s">
        <v>234</v>
      </c>
      <c r="EQ2573" s="1" t="s">
        <v>2188</v>
      </c>
      <c r="ER2573" s="1" t="s">
        <v>210</v>
      </c>
      <c r="ES2573" s="1" t="s">
        <v>1552</v>
      </c>
      <c r="ET2573" s="1" t="s">
        <v>323</v>
      </c>
      <c r="EV2573" s="1" t="s">
        <v>352</v>
      </c>
      <c r="EW2573" s="1" t="s">
        <v>887</v>
      </c>
      <c r="EZ2573" s="1" t="s">
        <v>464</v>
      </c>
      <c r="FA2573" s="1" t="s">
        <v>471</v>
      </c>
      <c r="FB2573" s="1" t="s">
        <v>289</v>
      </c>
      <c r="FD2573" s="1" t="s">
        <v>246</v>
      </c>
      <c r="FE2573" s="1" t="s">
        <v>1006</v>
      </c>
      <c r="FF2573" s="1" t="s">
        <v>248</v>
      </c>
      <c r="FH2573" s="1" t="s">
        <v>940</v>
      </c>
      <c r="FI2573" s="1" t="s">
        <v>473</v>
      </c>
      <c r="FL2573" s="1" t="s">
        <v>358</v>
      </c>
      <c r="FM2573" s="1" t="s">
        <v>252</v>
      </c>
      <c r="FN2573" s="1" t="s">
        <v>213</v>
      </c>
      <c r="FO2573" s="1" t="s">
        <v>213</v>
      </c>
      <c r="FQ2573" s="1" t="s">
        <v>2371</v>
      </c>
      <c r="FR2573" s="1" t="s">
        <v>210</v>
      </c>
      <c r="FS2573" s="1" t="s">
        <v>22007</v>
      </c>
      <c r="FT2573" s="1" t="s">
        <v>255</v>
      </c>
      <c r="FU2573" s="1" t="s">
        <v>204</v>
      </c>
      <c r="FW2573" s="1" t="s">
        <v>1637</v>
      </c>
      <c r="FX2573" s="1">
        <v>8059</v>
      </c>
      <c r="FY2573" s="1" t="s">
        <v>2034</v>
      </c>
      <c r="FZ2573" s="1" t="s">
        <v>22008</v>
      </c>
      <c r="GA2573" s="1">
        <v>221783</v>
      </c>
      <c r="GB2573" s="1" t="s">
        <v>22009</v>
      </c>
      <c r="GD2573" s="1" t="s">
        <v>22010</v>
      </c>
      <c r="GE2573" s="1" t="s">
        <v>210</v>
      </c>
      <c r="GI2573" s="1" t="s">
        <v>213</v>
      </c>
      <c r="GJ2573" s="1" t="s">
        <v>260</v>
      </c>
      <c r="GK2573" s="1" t="s">
        <v>210</v>
      </c>
      <c r="GL2573" s="2">
        <v>42104</v>
      </c>
      <c r="GM2573" s="1" t="s">
        <v>22011</v>
      </c>
    </row>
    <row r="2574" spans="1:195">
      <c r="A2574" s="1">
        <v>71000</v>
      </c>
      <c r="B2574" s="1" t="s">
        <v>195</v>
      </c>
      <c r="C2574" s="1" t="str">
        <f>"08838032"</f>
        <v>08838032</v>
      </c>
      <c r="D2574" s="1" t="s">
        <v>196</v>
      </c>
      <c r="F2574" s="1" t="str">
        <f>"507"</f>
        <v>507</v>
      </c>
      <c r="G2574" s="2">
        <v>42048</v>
      </c>
      <c r="H2574" s="1">
        <v>80880</v>
      </c>
      <c r="I2574" s="1">
        <v>79800</v>
      </c>
      <c r="J2574" s="1">
        <v>71000</v>
      </c>
      <c r="K2574" s="2">
        <v>42048</v>
      </c>
      <c r="L2574" s="1">
        <v>54</v>
      </c>
      <c r="M2574" s="2">
        <v>42101</v>
      </c>
      <c r="N2574" s="1">
        <v>54</v>
      </c>
      <c r="O2574" s="2">
        <v>42101</v>
      </c>
      <c r="P2574" s="1">
        <v>25042</v>
      </c>
      <c r="Q2574" s="1" t="s">
        <v>197</v>
      </c>
      <c r="R2574" s="2">
        <v>42124</v>
      </c>
      <c r="S2574" s="1">
        <v>232460</v>
      </c>
      <c r="U2574" s="1">
        <v>261</v>
      </c>
      <c r="V2574" s="1" t="s">
        <v>5187</v>
      </c>
      <c r="W2574" s="1" t="s">
        <v>725</v>
      </c>
      <c r="X2574" s="1">
        <v>8</v>
      </c>
      <c r="Y2574" s="1">
        <v>16</v>
      </c>
      <c r="Z2574" s="1" t="s">
        <v>249</v>
      </c>
      <c r="AA2574" s="1" t="s">
        <v>1123</v>
      </c>
      <c r="AB2574" s="1">
        <v>60504</v>
      </c>
      <c r="AD2574" s="1" t="s">
        <v>21717</v>
      </c>
      <c r="AE2574" s="1" t="s">
        <v>22012</v>
      </c>
      <c r="AF2574" s="1">
        <v>1978</v>
      </c>
      <c r="AG2574" s="1" t="s">
        <v>204</v>
      </c>
      <c r="AH2574" s="1" t="s">
        <v>1126</v>
      </c>
      <c r="AI2574" s="1" t="s">
        <v>206</v>
      </c>
      <c r="AJ2574" s="1" t="s">
        <v>924</v>
      </c>
      <c r="AL2574" s="1">
        <v>5</v>
      </c>
      <c r="AM2574" s="1">
        <v>2</v>
      </c>
      <c r="AN2574" s="1">
        <v>1</v>
      </c>
      <c r="AO2574" s="1">
        <v>1</v>
      </c>
      <c r="AP2574" s="1" t="s">
        <v>210</v>
      </c>
      <c r="AQ2574" s="1">
        <v>0</v>
      </c>
      <c r="AR2574" s="1" t="s">
        <v>210</v>
      </c>
      <c r="AS2574" s="1" t="s">
        <v>204</v>
      </c>
      <c r="AT2574" s="1" t="s">
        <v>271</v>
      </c>
      <c r="AV2574" s="1">
        <v>2</v>
      </c>
      <c r="AW2574" s="1" t="s">
        <v>204</v>
      </c>
      <c r="AX2574" s="1" t="s">
        <v>212</v>
      </c>
      <c r="AZ2574" s="1">
        <v>1386</v>
      </c>
      <c r="BA2574" s="1">
        <v>2013</v>
      </c>
      <c r="BB2574" s="1" t="s">
        <v>210</v>
      </c>
      <c r="BC2574" s="1">
        <v>0</v>
      </c>
      <c r="BD2574" s="1">
        <v>2014</v>
      </c>
      <c r="BE2574" s="1">
        <v>890</v>
      </c>
      <c r="BF2574" s="1">
        <v>2</v>
      </c>
      <c r="BG2574" s="1">
        <v>0</v>
      </c>
      <c r="BL2574" s="1">
        <v>419</v>
      </c>
      <c r="BM2574" s="1" t="s">
        <v>204</v>
      </c>
      <c r="BN2574" s="1" t="s">
        <v>213</v>
      </c>
      <c r="BP2574" s="1" t="s">
        <v>204</v>
      </c>
      <c r="BR2574" s="1" t="str">
        <f>"0721306038"</f>
        <v>0721306038</v>
      </c>
      <c r="BT2574" s="1" t="s">
        <v>22013</v>
      </c>
      <c r="BU2574" s="1" t="s">
        <v>2087</v>
      </c>
      <c r="BV2574" s="1" t="s">
        <v>1248</v>
      </c>
      <c r="BW2574" s="1" t="s">
        <v>1131</v>
      </c>
      <c r="BX2574" s="1">
        <v>204</v>
      </c>
      <c r="BY2574" s="1">
        <v>204</v>
      </c>
      <c r="BZ2574" s="1">
        <v>204</v>
      </c>
      <c r="CB2574" s="1" t="str">
        <f t="shared" ref="CB2574:CC2574" si="1976">"0"</f>
        <v>0</v>
      </c>
      <c r="CC2574" s="1" t="str">
        <f t="shared" si="1976"/>
        <v>0</v>
      </c>
      <c r="CD2574" s="1">
        <v>30</v>
      </c>
      <c r="CE2574" s="1">
        <v>7</v>
      </c>
      <c r="CG2574" s="1" t="s">
        <v>6197</v>
      </c>
      <c r="CH2574" s="1" t="s">
        <v>277</v>
      </c>
      <c r="CI2574" s="1" t="s">
        <v>229</v>
      </c>
      <c r="CK2574" s="1" t="s">
        <v>344</v>
      </c>
      <c r="CL2574" s="1" t="s">
        <v>277</v>
      </c>
      <c r="CM2574" s="1" t="s">
        <v>229</v>
      </c>
      <c r="CO2574" s="1" t="s">
        <v>629</v>
      </c>
      <c r="CP2574" s="1" t="s">
        <v>277</v>
      </c>
      <c r="CQ2574" s="1" t="s">
        <v>229</v>
      </c>
      <c r="CS2574" s="1" t="s">
        <v>837</v>
      </c>
      <c r="CT2574" s="1" t="s">
        <v>277</v>
      </c>
      <c r="CU2574" s="1" t="s">
        <v>229</v>
      </c>
      <c r="CX2574" s="1" t="s">
        <v>224</v>
      </c>
      <c r="DB2574" s="1" t="s">
        <v>224</v>
      </c>
      <c r="DE2574" s="1" t="s">
        <v>379</v>
      </c>
      <c r="DF2574" s="1" t="s">
        <v>277</v>
      </c>
      <c r="DG2574" s="1" t="s">
        <v>226</v>
      </c>
      <c r="DJ2574" s="1" t="s">
        <v>224</v>
      </c>
      <c r="DM2574" s="1" t="s">
        <v>838</v>
      </c>
      <c r="DR2574" s="1" t="s">
        <v>16615</v>
      </c>
      <c r="DS2574" s="1" t="s">
        <v>277</v>
      </c>
      <c r="DT2574" s="1" t="s">
        <v>347</v>
      </c>
      <c r="DW2574" s="1" t="s">
        <v>230</v>
      </c>
      <c r="EA2574" s="1" t="s">
        <v>230</v>
      </c>
      <c r="EE2574" s="1" t="s">
        <v>230</v>
      </c>
      <c r="EI2574" s="1" t="s">
        <v>230</v>
      </c>
      <c r="EL2574" s="1" t="s">
        <v>231</v>
      </c>
      <c r="EM2574" s="1" t="s">
        <v>232</v>
      </c>
      <c r="EN2574" s="1" t="s">
        <v>1158</v>
      </c>
      <c r="EO2574" s="1" t="s">
        <v>234</v>
      </c>
      <c r="EP2574" s="1" t="s">
        <v>22014</v>
      </c>
      <c r="EQ2574" s="1" t="s">
        <v>1551</v>
      </c>
      <c r="ER2574" s="1" t="s">
        <v>210</v>
      </c>
      <c r="EV2574" s="1" t="s">
        <v>240</v>
      </c>
      <c r="EW2574" s="1" t="s">
        <v>9356</v>
      </c>
      <c r="EZ2574" s="1" t="s">
        <v>838</v>
      </c>
      <c r="FA2574" s="1" t="s">
        <v>2723</v>
      </c>
      <c r="FB2574" s="1" t="s">
        <v>244</v>
      </c>
      <c r="FC2574" s="1" t="s">
        <v>548</v>
      </c>
      <c r="FD2574" s="1" t="s">
        <v>4003</v>
      </c>
      <c r="FE2574" s="1" t="s">
        <v>247</v>
      </c>
      <c r="FF2574" s="1" t="s">
        <v>248</v>
      </c>
      <c r="FH2574" s="1" t="s">
        <v>249</v>
      </c>
      <c r="FL2574" s="1" t="s">
        <v>328</v>
      </c>
      <c r="FM2574" s="1" t="s">
        <v>252</v>
      </c>
      <c r="FN2574" s="1" t="s">
        <v>213</v>
      </c>
      <c r="FO2574" s="1" t="s">
        <v>213</v>
      </c>
      <c r="FQ2574" s="1" t="s">
        <v>569</v>
      </c>
      <c r="FR2574" s="1" t="s">
        <v>210</v>
      </c>
      <c r="FS2574" s="1" t="s">
        <v>22015</v>
      </c>
      <c r="FT2574" s="1" t="s">
        <v>691</v>
      </c>
      <c r="FU2574" s="1" t="s">
        <v>204</v>
      </c>
      <c r="FW2574" s="1" t="s">
        <v>1559</v>
      </c>
      <c r="FX2574" s="1">
        <v>25083</v>
      </c>
      <c r="FY2574" s="1" t="s">
        <v>4110</v>
      </c>
      <c r="FZ2574" s="1" t="s">
        <v>4654</v>
      </c>
      <c r="GA2574" s="1">
        <v>255900</v>
      </c>
      <c r="GB2574" s="1" t="s">
        <v>4655</v>
      </c>
      <c r="GC2574" s="1">
        <v>241318</v>
      </c>
      <c r="GD2574" s="1" t="s">
        <v>22016</v>
      </c>
      <c r="GE2574" s="1" t="s">
        <v>335</v>
      </c>
      <c r="GI2574" s="1" t="s">
        <v>213</v>
      </c>
      <c r="GJ2574" s="1" t="s">
        <v>260</v>
      </c>
      <c r="GK2574" s="1" t="s">
        <v>4920</v>
      </c>
      <c r="GL2574" s="2">
        <v>42124</v>
      </c>
      <c r="GM2574" s="1" t="s">
        <v>22017</v>
      </c>
    </row>
    <row r="2575" spans="1:195">
      <c r="A2575" s="1">
        <v>196900</v>
      </c>
      <c r="B2575" s="1" t="s">
        <v>195</v>
      </c>
      <c r="C2575" s="1" t="str">
        <f>"08838684"</f>
        <v>08838684</v>
      </c>
      <c r="D2575" s="1" t="s">
        <v>196</v>
      </c>
      <c r="F2575" s="1" t="str">
        <f>"515"</f>
        <v>515</v>
      </c>
      <c r="G2575" s="2">
        <v>42049</v>
      </c>
      <c r="H2575" s="1">
        <v>200000</v>
      </c>
      <c r="I2575" s="1">
        <v>200000</v>
      </c>
      <c r="J2575" s="1">
        <v>196900</v>
      </c>
      <c r="K2575" s="2">
        <v>42049</v>
      </c>
      <c r="L2575" s="1">
        <v>4</v>
      </c>
      <c r="M2575" s="2">
        <v>42052</v>
      </c>
      <c r="N2575" s="1">
        <v>4</v>
      </c>
      <c r="O2575" s="2">
        <v>42052</v>
      </c>
      <c r="P2575" s="1">
        <v>20299</v>
      </c>
      <c r="Q2575" s="1" t="s">
        <v>302</v>
      </c>
      <c r="R2575" s="2">
        <v>42123</v>
      </c>
      <c r="S2575" s="1">
        <v>214963</v>
      </c>
      <c r="U2575" s="1">
        <v>965</v>
      </c>
      <c r="V2575" s="1" t="s">
        <v>8788</v>
      </c>
      <c r="W2575" s="1" t="s">
        <v>725</v>
      </c>
      <c r="X2575" s="1">
        <v>302</v>
      </c>
      <c r="Y2575" s="1">
        <v>48</v>
      </c>
      <c r="Z2575" s="1" t="s">
        <v>249</v>
      </c>
      <c r="AA2575" s="1" t="s">
        <v>1294</v>
      </c>
      <c r="AB2575" s="1">
        <v>60515</v>
      </c>
      <c r="AE2575" s="1" t="s">
        <v>22018</v>
      </c>
      <c r="AF2575" s="1">
        <v>2003</v>
      </c>
      <c r="AG2575" s="1" t="s">
        <v>204</v>
      </c>
      <c r="AH2575" s="1" t="s">
        <v>903</v>
      </c>
      <c r="AI2575" s="1" t="s">
        <v>206</v>
      </c>
      <c r="AJ2575" s="1" t="s">
        <v>903</v>
      </c>
      <c r="AL2575" s="1">
        <v>4</v>
      </c>
      <c r="AM2575" s="1">
        <v>2</v>
      </c>
      <c r="AN2575" s="1">
        <v>1</v>
      </c>
      <c r="AO2575" s="1">
        <v>0</v>
      </c>
      <c r="AP2575" s="1" t="s">
        <v>210</v>
      </c>
      <c r="AR2575" s="1" t="s">
        <v>210</v>
      </c>
      <c r="AS2575" s="1" t="s">
        <v>204</v>
      </c>
      <c r="AT2575" s="1" t="s">
        <v>211</v>
      </c>
      <c r="AU2575" s="1">
        <v>1</v>
      </c>
      <c r="AW2575" s="1" t="s">
        <v>204</v>
      </c>
      <c r="AX2575" s="1" t="s">
        <v>212</v>
      </c>
      <c r="AZ2575" s="1">
        <v>5079</v>
      </c>
      <c r="BA2575" s="1">
        <v>2013</v>
      </c>
      <c r="BE2575" s="1">
        <v>1179</v>
      </c>
      <c r="BF2575" s="1">
        <v>3</v>
      </c>
      <c r="BG2575" s="1">
        <v>0</v>
      </c>
      <c r="BL2575" s="1">
        <v>293</v>
      </c>
      <c r="BM2575" s="1" t="s">
        <v>204</v>
      </c>
      <c r="BN2575" s="1" t="s">
        <v>213</v>
      </c>
      <c r="BO2575" s="1">
        <v>25</v>
      </c>
      <c r="BP2575" s="1" t="s">
        <v>204</v>
      </c>
      <c r="BR2575" s="1" t="str">
        <f>"0908134021"</f>
        <v>0908134021</v>
      </c>
      <c r="BT2575" s="1" t="s">
        <v>22019</v>
      </c>
      <c r="BU2575" s="1" t="s">
        <v>7354</v>
      </c>
      <c r="BV2575" s="1" t="s">
        <v>2761</v>
      </c>
      <c r="BW2575" s="1" t="s">
        <v>2762</v>
      </c>
      <c r="BX2575" s="1">
        <v>58</v>
      </c>
      <c r="BY2575" s="1">
        <v>58</v>
      </c>
      <c r="BZ2575" s="1">
        <v>99</v>
      </c>
      <c r="CB2575" s="1" t="str">
        <f t="shared" ref="CB2575:CC2575" si="1977">""</f>
        <v/>
      </c>
      <c r="CC2575" s="1" t="str">
        <f t="shared" si="1977"/>
        <v/>
      </c>
      <c r="CG2575" s="1" t="s">
        <v>515</v>
      </c>
      <c r="CH2575" s="1" t="s">
        <v>784</v>
      </c>
      <c r="CI2575" s="1" t="s">
        <v>220</v>
      </c>
      <c r="CJ2575" s="1" t="s">
        <v>252</v>
      </c>
      <c r="CK2575" s="1" t="s">
        <v>228</v>
      </c>
      <c r="CL2575" s="1" t="s">
        <v>784</v>
      </c>
      <c r="CM2575" s="1" t="s">
        <v>220</v>
      </c>
      <c r="CN2575" s="1" t="s">
        <v>252</v>
      </c>
      <c r="CP2575" s="1" t="s">
        <v>224</v>
      </c>
      <c r="CS2575" s="1" t="s">
        <v>7932</v>
      </c>
      <c r="CT2575" s="1" t="s">
        <v>784</v>
      </c>
      <c r="CU2575" s="1" t="s">
        <v>220</v>
      </c>
      <c r="CV2575" s="1" t="s">
        <v>252</v>
      </c>
      <c r="CX2575" s="1" t="s">
        <v>224</v>
      </c>
      <c r="DB2575" s="1" t="s">
        <v>224</v>
      </c>
      <c r="DE2575" s="1" t="s">
        <v>221</v>
      </c>
      <c r="DF2575" s="1" t="s">
        <v>784</v>
      </c>
      <c r="DG2575" s="1" t="s">
        <v>226</v>
      </c>
      <c r="DJ2575" s="1" t="s">
        <v>224</v>
      </c>
      <c r="DS2575" s="1" t="s">
        <v>230</v>
      </c>
      <c r="DW2575" s="1" t="s">
        <v>230</v>
      </c>
      <c r="EA2575" s="1" t="s">
        <v>230</v>
      </c>
      <c r="EE2575" s="1" t="s">
        <v>230</v>
      </c>
      <c r="EI2575" s="1" t="s">
        <v>230</v>
      </c>
      <c r="EL2575" s="1" t="s">
        <v>466</v>
      </c>
      <c r="EM2575" s="1" t="s">
        <v>232</v>
      </c>
      <c r="EN2575" s="1" t="s">
        <v>282</v>
      </c>
      <c r="EO2575" s="1" t="s">
        <v>234</v>
      </c>
      <c r="ER2575" s="1" t="s">
        <v>210</v>
      </c>
      <c r="EW2575" s="1" t="s">
        <v>937</v>
      </c>
      <c r="EZ2575" s="1" t="s">
        <v>287</v>
      </c>
      <c r="FA2575" s="1" t="s">
        <v>17131</v>
      </c>
      <c r="FD2575" s="1" t="s">
        <v>246</v>
      </c>
      <c r="FE2575" s="1" t="s">
        <v>247</v>
      </c>
      <c r="FF2575" s="1" t="s">
        <v>248</v>
      </c>
      <c r="FH2575" s="1" t="s">
        <v>249</v>
      </c>
      <c r="FL2575" s="1" t="s">
        <v>358</v>
      </c>
      <c r="FM2575" s="1" t="s">
        <v>252</v>
      </c>
      <c r="FN2575" s="1" t="s">
        <v>213</v>
      </c>
      <c r="FO2575" s="1" t="s">
        <v>213</v>
      </c>
      <c r="FQ2575" s="1" t="s">
        <v>3616</v>
      </c>
      <c r="FR2575" s="1" t="s">
        <v>210</v>
      </c>
      <c r="FS2575" s="1" t="s">
        <v>22020</v>
      </c>
      <c r="FT2575" s="1" t="s">
        <v>255</v>
      </c>
      <c r="FU2575" s="1" t="s">
        <v>204</v>
      </c>
      <c r="FW2575" s="1" t="s">
        <v>3116</v>
      </c>
      <c r="FX2575" s="1">
        <v>21823</v>
      </c>
      <c r="FY2575" s="1" t="s">
        <v>3117</v>
      </c>
      <c r="FZ2575" s="1" t="s">
        <v>22021</v>
      </c>
      <c r="GA2575" s="1">
        <v>230818</v>
      </c>
      <c r="GB2575" s="1" t="s">
        <v>22022</v>
      </c>
      <c r="GE2575" s="1" t="s">
        <v>2504</v>
      </c>
      <c r="GI2575" s="1" t="s">
        <v>213</v>
      </c>
      <c r="GJ2575" s="1" t="s">
        <v>260</v>
      </c>
      <c r="GK2575" s="1" t="s">
        <v>210</v>
      </c>
      <c r="GL2575" s="2">
        <v>42123</v>
      </c>
      <c r="GM2575" s="1" t="s">
        <v>22023</v>
      </c>
    </row>
    <row r="2576" spans="1:195">
      <c r="A2576" s="1">
        <v>34900</v>
      </c>
      <c r="B2576" s="1" t="s">
        <v>195</v>
      </c>
      <c r="C2576" s="1" t="str">
        <f>"08836147"</f>
        <v>08836147</v>
      </c>
      <c r="D2576" s="1" t="s">
        <v>196</v>
      </c>
      <c r="F2576" s="1" t="str">
        <f>"8043"</f>
        <v>8043</v>
      </c>
      <c r="G2576" s="2">
        <v>42046</v>
      </c>
      <c r="H2576" s="1">
        <v>34900</v>
      </c>
      <c r="I2576" s="1">
        <v>34900</v>
      </c>
      <c r="J2576" s="1">
        <v>34900</v>
      </c>
      <c r="K2576" s="2">
        <v>42046</v>
      </c>
      <c r="L2576" s="1">
        <v>25</v>
      </c>
      <c r="M2576" s="2">
        <v>42070</v>
      </c>
      <c r="N2576" s="1">
        <v>25</v>
      </c>
      <c r="O2576" s="2">
        <v>42070</v>
      </c>
      <c r="P2576" s="1" t="s">
        <v>1039</v>
      </c>
      <c r="Q2576" s="1" t="s">
        <v>302</v>
      </c>
      <c r="R2576" s="2">
        <v>42082</v>
      </c>
      <c r="S2576" s="1">
        <v>99999</v>
      </c>
      <c r="U2576" s="1">
        <v>7337</v>
      </c>
      <c r="V2576" s="1" t="s">
        <v>9062</v>
      </c>
      <c r="W2576" s="1" t="s">
        <v>264</v>
      </c>
      <c r="X2576" s="1">
        <v>215</v>
      </c>
      <c r="Y2576" s="1">
        <v>360</v>
      </c>
      <c r="Z2576" s="1" t="s">
        <v>249</v>
      </c>
      <c r="AA2576" s="1" t="s">
        <v>400</v>
      </c>
      <c r="AB2576" s="1">
        <v>60649</v>
      </c>
      <c r="AD2576" s="1" t="s">
        <v>22024</v>
      </c>
      <c r="AE2576" s="1" t="s">
        <v>22025</v>
      </c>
      <c r="AF2576" s="1">
        <v>1959</v>
      </c>
      <c r="AG2576" s="1" t="s">
        <v>213</v>
      </c>
      <c r="AH2576" s="1" t="s">
        <v>403</v>
      </c>
      <c r="AI2576" s="1" t="s">
        <v>310</v>
      </c>
      <c r="AJ2576" s="1" t="s">
        <v>562</v>
      </c>
      <c r="AK2576" s="1" t="s">
        <v>12054</v>
      </c>
      <c r="AL2576" s="1">
        <v>5</v>
      </c>
      <c r="AM2576" s="1">
        <v>2</v>
      </c>
      <c r="AN2576" s="1">
        <v>1</v>
      </c>
      <c r="AO2576" s="1">
        <v>0</v>
      </c>
      <c r="AP2576" s="1" t="s">
        <v>210</v>
      </c>
      <c r="AQ2576" s="1">
        <v>0</v>
      </c>
      <c r="AR2576" s="1" t="s">
        <v>210</v>
      </c>
      <c r="AS2576" s="1" t="s">
        <v>204</v>
      </c>
      <c r="AT2576" s="1" t="s">
        <v>271</v>
      </c>
      <c r="AV2576" s="1">
        <v>1</v>
      </c>
      <c r="AW2576" s="1" t="s">
        <v>213</v>
      </c>
      <c r="AX2576" s="1" t="s">
        <v>270</v>
      </c>
      <c r="AZ2576" s="1">
        <v>152.35</v>
      </c>
      <c r="BA2576" s="1">
        <v>2013</v>
      </c>
      <c r="BB2576" s="1" t="s">
        <v>405</v>
      </c>
      <c r="BE2576" s="1">
        <v>1000</v>
      </c>
      <c r="BF2576" s="1">
        <v>2</v>
      </c>
      <c r="BG2576" s="1">
        <v>30</v>
      </c>
      <c r="BL2576" s="1">
        <v>649</v>
      </c>
      <c r="BM2576" s="1" t="s">
        <v>204</v>
      </c>
      <c r="BN2576" s="1" t="s">
        <v>213</v>
      </c>
      <c r="BO2576" s="1">
        <v>999</v>
      </c>
      <c r="BP2576" s="1" t="s">
        <v>204</v>
      </c>
      <c r="BR2576" s="1" t="str">
        <f>"21301140291157"</f>
        <v>21301140291157</v>
      </c>
      <c r="BT2576" s="1" t="s">
        <v>22026</v>
      </c>
      <c r="BX2576" s="1">
        <v>299</v>
      </c>
      <c r="BY2576" s="1">
        <v>299</v>
      </c>
      <c r="BZ2576" s="1">
        <v>299</v>
      </c>
      <c r="CA2576" s="1">
        <v>299</v>
      </c>
      <c r="CB2576" s="1" t="str">
        <f>"0"</f>
        <v>0</v>
      </c>
      <c r="CC2576" s="1" t="str">
        <f>"2500"</f>
        <v>2500</v>
      </c>
      <c r="CD2576" s="1">
        <v>0</v>
      </c>
      <c r="CE2576" s="1">
        <v>7337</v>
      </c>
      <c r="CG2576" s="1" t="s">
        <v>22027</v>
      </c>
      <c r="CH2576" s="1" t="s">
        <v>219</v>
      </c>
      <c r="CI2576" s="1" t="s">
        <v>229</v>
      </c>
      <c r="CJ2576" s="1" t="s">
        <v>343</v>
      </c>
      <c r="CK2576" s="1" t="s">
        <v>344</v>
      </c>
      <c r="CL2576" s="1" t="s">
        <v>219</v>
      </c>
      <c r="CM2576" s="1" t="s">
        <v>229</v>
      </c>
      <c r="CO2576" s="1" t="s">
        <v>629</v>
      </c>
      <c r="CP2576" s="1" t="s">
        <v>219</v>
      </c>
      <c r="CS2576" s="1" t="s">
        <v>1046</v>
      </c>
      <c r="CT2576" s="1" t="s">
        <v>219</v>
      </c>
      <c r="CU2576" s="1" t="s">
        <v>229</v>
      </c>
      <c r="CX2576" s="1" t="s">
        <v>224</v>
      </c>
      <c r="DB2576" s="1" t="s">
        <v>224</v>
      </c>
      <c r="DE2576" s="1" t="s">
        <v>3284</v>
      </c>
      <c r="DF2576" s="1" t="s">
        <v>219</v>
      </c>
      <c r="DG2576" s="1" t="s">
        <v>226</v>
      </c>
      <c r="DJ2576" s="1" t="s">
        <v>224</v>
      </c>
      <c r="DS2576" s="1" t="s">
        <v>230</v>
      </c>
      <c r="DW2576" s="1" t="s">
        <v>230</v>
      </c>
      <c r="EA2576" s="1" t="s">
        <v>230</v>
      </c>
      <c r="EE2576" s="1" t="s">
        <v>230</v>
      </c>
      <c r="EI2576" s="1" t="s">
        <v>230</v>
      </c>
      <c r="EL2576" s="1" t="s">
        <v>649</v>
      </c>
      <c r="EM2576" s="1" t="s">
        <v>232</v>
      </c>
      <c r="EN2576" s="1" t="s">
        <v>233</v>
      </c>
      <c r="EO2576" s="1" t="s">
        <v>234</v>
      </c>
      <c r="EP2576" s="1" t="s">
        <v>22028</v>
      </c>
      <c r="EQ2576" s="1" t="s">
        <v>1109</v>
      </c>
      <c r="ER2576" s="1" t="s">
        <v>210</v>
      </c>
      <c r="ES2576" s="1" t="s">
        <v>545</v>
      </c>
      <c r="EU2576" s="1" t="s">
        <v>22029</v>
      </c>
      <c r="EV2576" s="1" t="s">
        <v>240</v>
      </c>
      <c r="EW2576" s="1" t="s">
        <v>22030</v>
      </c>
      <c r="EY2576" s="1" t="s">
        <v>242</v>
      </c>
      <c r="EZ2576" s="1" t="s">
        <v>287</v>
      </c>
      <c r="FB2576" s="1" t="s">
        <v>244</v>
      </c>
      <c r="FC2576" s="1" t="s">
        <v>1386</v>
      </c>
      <c r="FD2576" s="1" t="s">
        <v>246</v>
      </c>
      <c r="FE2576" s="1" t="s">
        <v>247</v>
      </c>
      <c r="FF2576" s="1" t="s">
        <v>248</v>
      </c>
      <c r="FH2576" s="1" t="s">
        <v>2432</v>
      </c>
      <c r="FL2576" s="1" t="s">
        <v>328</v>
      </c>
      <c r="FM2576" s="1" t="s">
        <v>252</v>
      </c>
      <c r="FN2576" s="1" t="s">
        <v>213</v>
      </c>
      <c r="FO2576" s="1" t="s">
        <v>213</v>
      </c>
      <c r="FQ2576" s="1" t="s">
        <v>2293</v>
      </c>
      <c r="FR2576" s="1" t="s">
        <v>210</v>
      </c>
      <c r="FS2576" s="1" t="s">
        <v>1008</v>
      </c>
      <c r="FT2576" s="1" t="s">
        <v>520</v>
      </c>
      <c r="FU2576" s="1" t="s">
        <v>204</v>
      </c>
      <c r="FW2576" s="1" t="s">
        <v>6737</v>
      </c>
      <c r="FX2576" s="1">
        <v>10646</v>
      </c>
      <c r="FY2576" s="1" t="s">
        <v>6738</v>
      </c>
      <c r="FZ2576" s="1" t="s">
        <v>22031</v>
      </c>
      <c r="GA2576" s="1">
        <v>157396</v>
      </c>
      <c r="GB2576" s="1" t="s">
        <v>22032</v>
      </c>
      <c r="GE2576" s="1" t="s">
        <v>210</v>
      </c>
      <c r="GH2576" s="1" t="s">
        <v>421</v>
      </c>
      <c r="GI2576" s="1" t="s">
        <v>213</v>
      </c>
      <c r="GJ2576" s="1" t="s">
        <v>260</v>
      </c>
      <c r="GK2576" s="1" t="s">
        <v>210</v>
      </c>
      <c r="GL2576" s="2">
        <v>42083</v>
      </c>
      <c r="GM2576" s="1" t="s">
        <v>22033</v>
      </c>
    </row>
    <row r="2577" spans="1:195">
      <c r="A2577" s="1">
        <v>108000</v>
      </c>
      <c r="B2577" s="1" t="s">
        <v>195</v>
      </c>
      <c r="C2577" s="1" t="str">
        <f>"08837343"</f>
        <v>08837343</v>
      </c>
      <c r="D2577" s="1" t="s">
        <v>196</v>
      </c>
      <c r="F2577" s="1" t="str">
        <f>"110"</f>
        <v>110</v>
      </c>
      <c r="G2577" s="2">
        <v>42047</v>
      </c>
      <c r="H2577" s="1">
        <v>115000</v>
      </c>
      <c r="I2577" s="1">
        <v>115000</v>
      </c>
      <c r="J2577" s="1">
        <v>108000</v>
      </c>
      <c r="K2577" s="2">
        <v>42047</v>
      </c>
      <c r="L2577" s="1">
        <v>34</v>
      </c>
      <c r="M2577" s="2">
        <v>42080</v>
      </c>
      <c r="N2577" s="1">
        <v>34</v>
      </c>
      <c r="O2577" s="2">
        <v>42080</v>
      </c>
      <c r="P2577" s="1">
        <v>432</v>
      </c>
      <c r="Q2577" s="1" t="s">
        <v>197</v>
      </c>
      <c r="R2577" s="2">
        <v>42143</v>
      </c>
      <c r="S2577" s="1">
        <v>8925</v>
      </c>
      <c r="U2577" s="1">
        <v>1230</v>
      </c>
      <c r="V2577" s="1" t="s">
        <v>4739</v>
      </c>
      <c r="W2577" s="1" t="s">
        <v>264</v>
      </c>
      <c r="Y2577" s="1">
        <v>4</v>
      </c>
      <c r="Z2577" s="1" t="s">
        <v>249</v>
      </c>
      <c r="AA2577" s="1" t="s">
        <v>803</v>
      </c>
      <c r="AB2577" s="1">
        <v>60110</v>
      </c>
      <c r="AE2577" s="1" t="s">
        <v>22034</v>
      </c>
      <c r="AF2577" s="1">
        <v>2001</v>
      </c>
      <c r="AG2577" s="1" t="s">
        <v>204</v>
      </c>
      <c r="AH2577" s="1" t="s">
        <v>2557</v>
      </c>
      <c r="AI2577" s="1" t="s">
        <v>665</v>
      </c>
      <c r="AJ2577" s="1" t="s">
        <v>805</v>
      </c>
      <c r="AL2577" s="1">
        <v>5</v>
      </c>
      <c r="AM2577" s="1">
        <v>2</v>
      </c>
      <c r="AN2577" s="1">
        <v>1</v>
      </c>
      <c r="AO2577" s="1">
        <v>1</v>
      </c>
      <c r="AP2577" s="1" t="s">
        <v>667</v>
      </c>
      <c r="AR2577" s="1" t="s">
        <v>210</v>
      </c>
      <c r="AS2577" s="1" t="s">
        <v>204</v>
      </c>
      <c r="AT2577" s="1" t="s">
        <v>211</v>
      </c>
      <c r="AU2577" s="1">
        <v>1</v>
      </c>
      <c r="AW2577" s="1" t="s">
        <v>204</v>
      </c>
      <c r="AX2577" s="1" t="s">
        <v>212</v>
      </c>
      <c r="AZ2577" s="5">
        <v>2356.48</v>
      </c>
      <c r="BA2577" s="1">
        <v>2013</v>
      </c>
      <c r="BB2577" s="1" t="s">
        <v>405</v>
      </c>
      <c r="BE2577" s="1">
        <v>1348</v>
      </c>
      <c r="BF2577" s="1">
        <v>1</v>
      </c>
      <c r="BG2577" s="1">
        <v>0</v>
      </c>
      <c r="BL2577" s="1">
        <v>182</v>
      </c>
      <c r="BM2577" s="1" t="s">
        <v>204</v>
      </c>
      <c r="BN2577" s="1" t="s">
        <v>213</v>
      </c>
      <c r="BO2577" s="1">
        <v>999</v>
      </c>
      <c r="BP2577" s="1" t="s">
        <v>204</v>
      </c>
      <c r="BR2577" s="1" t="str">
        <f>"0314176080"</f>
        <v>0314176080</v>
      </c>
      <c r="BT2577" s="1" t="s">
        <v>22035</v>
      </c>
      <c r="BX2577" s="1">
        <v>300</v>
      </c>
      <c r="BY2577" s="1">
        <v>300</v>
      </c>
      <c r="BZ2577" s="1">
        <v>300</v>
      </c>
      <c r="CB2577" s="1" t="str">
        <f t="shared" ref="CB2577:CC2577" si="1978">""</f>
        <v/>
      </c>
      <c r="CC2577" s="1" t="str">
        <f t="shared" si="1978"/>
        <v/>
      </c>
      <c r="CG2577" s="1" t="s">
        <v>972</v>
      </c>
      <c r="CH2577" s="1" t="s">
        <v>219</v>
      </c>
      <c r="CI2577" s="1" t="s">
        <v>220</v>
      </c>
      <c r="CK2577" s="1" t="s">
        <v>757</v>
      </c>
      <c r="CL2577" s="1" t="s">
        <v>277</v>
      </c>
      <c r="CM2577" s="1" t="s">
        <v>220</v>
      </c>
      <c r="CO2577" s="1" t="s">
        <v>409</v>
      </c>
      <c r="CP2577" s="1" t="s">
        <v>219</v>
      </c>
      <c r="CQ2577" s="1" t="s">
        <v>220</v>
      </c>
      <c r="CS2577" s="1" t="s">
        <v>465</v>
      </c>
      <c r="CT2577" s="1" t="s">
        <v>277</v>
      </c>
      <c r="CU2577" s="1" t="s">
        <v>220</v>
      </c>
      <c r="CX2577" s="1" t="s">
        <v>224</v>
      </c>
      <c r="DB2577" s="1" t="s">
        <v>224</v>
      </c>
      <c r="DE2577" s="1" t="s">
        <v>951</v>
      </c>
      <c r="DF2577" s="1" t="s">
        <v>219</v>
      </c>
      <c r="DJ2577" s="1" t="s">
        <v>224</v>
      </c>
      <c r="DS2577" s="1" t="s">
        <v>230</v>
      </c>
      <c r="DW2577" s="1" t="s">
        <v>230</v>
      </c>
      <c r="EA2577" s="1" t="s">
        <v>230</v>
      </c>
      <c r="EE2577" s="1" t="s">
        <v>230</v>
      </c>
      <c r="EI2577" s="1" t="s">
        <v>230</v>
      </c>
      <c r="EL2577" s="1" t="s">
        <v>466</v>
      </c>
      <c r="EM2577" s="1" t="s">
        <v>319</v>
      </c>
      <c r="EN2577" s="1" t="s">
        <v>282</v>
      </c>
      <c r="EO2577" s="1" t="s">
        <v>234</v>
      </c>
      <c r="EP2577" s="1" t="s">
        <v>347</v>
      </c>
      <c r="EQ2577" s="1" t="s">
        <v>492</v>
      </c>
      <c r="ER2577" s="1" t="s">
        <v>210</v>
      </c>
      <c r="ET2577" s="1" t="s">
        <v>842</v>
      </c>
      <c r="EU2577" s="1" t="s">
        <v>1573</v>
      </c>
      <c r="EW2577" s="1" t="s">
        <v>353</v>
      </c>
      <c r="EY2577" s="1" t="s">
        <v>1315</v>
      </c>
      <c r="EZ2577" s="1" t="s">
        <v>287</v>
      </c>
      <c r="FB2577" s="1" t="s">
        <v>4027</v>
      </c>
      <c r="FD2577" s="1" t="s">
        <v>246</v>
      </c>
      <c r="FE2577" s="1" t="s">
        <v>472</v>
      </c>
      <c r="FF2577" s="1" t="s">
        <v>248</v>
      </c>
      <c r="FH2577" s="1" t="s">
        <v>550</v>
      </c>
      <c r="FJ2577" s="1" t="s">
        <v>518</v>
      </c>
      <c r="FL2577" s="1" t="s">
        <v>358</v>
      </c>
      <c r="FM2577" s="1" t="s">
        <v>252</v>
      </c>
      <c r="FN2577" s="1" t="s">
        <v>213</v>
      </c>
      <c r="FO2577" s="1" t="s">
        <v>213</v>
      </c>
      <c r="FQ2577" s="1" t="s">
        <v>22036</v>
      </c>
      <c r="FR2577" s="1" t="s">
        <v>210</v>
      </c>
      <c r="FS2577" s="1" t="s">
        <v>9460</v>
      </c>
      <c r="FT2577" s="1" t="s">
        <v>295</v>
      </c>
      <c r="FU2577" s="1" t="s">
        <v>204</v>
      </c>
      <c r="FW2577" s="1" t="s">
        <v>7048</v>
      </c>
      <c r="FX2577" s="1">
        <v>432</v>
      </c>
      <c r="FY2577" s="1" t="s">
        <v>7049</v>
      </c>
      <c r="FZ2577" s="1" t="s">
        <v>22037</v>
      </c>
      <c r="GA2577" s="1">
        <v>8925</v>
      </c>
      <c r="GB2577" s="1" t="s">
        <v>22038</v>
      </c>
      <c r="GD2577" s="1">
        <v>8152361543</v>
      </c>
      <c r="GE2577" s="1" t="s">
        <v>480</v>
      </c>
      <c r="GI2577" s="1" t="s">
        <v>213</v>
      </c>
      <c r="GJ2577" s="1" t="s">
        <v>260</v>
      </c>
      <c r="GK2577" s="1" t="s">
        <v>210</v>
      </c>
      <c r="GL2577" s="2">
        <v>42143</v>
      </c>
      <c r="GM2577" s="1" t="s">
        <v>22039</v>
      </c>
    </row>
    <row r="2578" spans="1:195">
      <c r="A2578" s="1">
        <v>205000</v>
      </c>
      <c r="B2578" s="1" t="s">
        <v>195</v>
      </c>
      <c r="C2578" s="1" t="str">
        <f>"08836741"</f>
        <v>08836741</v>
      </c>
      <c r="D2578" s="1" t="s">
        <v>196</v>
      </c>
      <c r="F2578" s="1" t="str">
        <f>"8041"</f>
        <v>8041</v>
      </c>
      <c r="G2578" s="2">
        <v>42046</v>
      </c>
      <c r="H2578" s="1">
        <v>219000</v>
      </c>
      <c r="I2578" s="1">
        <v>219000</v>
      </c>
      <c r="J2578" s="1">
        <v>205000</v>
      </c>
      <c r="K2578" s="2">
        <v>42046</v>
      </c>
      <c r="L2578" s="1">
        <v>42</v>
      </c>
      <c r="M2578" s="2">
        <v>42087</v>
      </c>
      <c r="N2578" s="1">
        <v>42</v>
      </c>
      <c r="O2578" s="2">
        <v>42087</v>
      </c>
      <c r="P2578" s="1">
        <v>10115</v>
      </c>
      <c r="Q2578" s="1" t="s">
        <v>302</v>
      </c>
      <c r="R2578" s="2">
        <v>42142</v>
      </c>
      <c r="S2578" s="1">
        <v>153680</v>
      </c>
      <c r="U2578" s="1">
        <v>5335</v>
      </c>
      <c r="V2578" s="1" t="s">
        <v>560</v>
      </c>
      <c r="W2578" s="1" t="s">
        <v>425</v>
      </c>
      <c r="X2578" s="1">
        <v>1</v>
      </c>
      <c r="Y2578" s="1">
        <v>54</v>
      </c>
      <c r="Z2578" s="1" t="s">
        <v>370</v>
      </c>
      <c r="AA2578" s="1" t="s">
        <v>400</v>
      </c>
      <c r="AB2578" s="1">
        <v>60615</v>
      </c>
      <c r="AE2578" s="1" t="s">
        <v>22040</v>
      </c>
      <c r="AF2578" s="1" t="s">
        <v>402</v>
      </c>
      <c r="AG2578" s="1" t="s">
        <v>213</v>
      </c>
      <c r="AH2578" s="1" t="s">
        <v>403</v>
      </c>
      <c r="AI2578" s="1" t="s">
        <v>310</v>
      </c>
      <c r="AJ2578" s="1" t="s">
        <v>562</v>
      </c>
      <c r="AL2578" s="1">
        <v>5</v>
      </c>
      <c r="AM2578" s="1">
        <v>2</v>
      </c>
      <c r="AN2578" s="1">
        <v>2</v>
      </c>
      <c r="AO2578" s="1">
        <v>0</v>
      </c>
      <c r="AP2578" s="1" t="s">
        <v>209</v>
      </c>
      <c r="AQ2578" s="1">
        <v>1</v>
      </c>
      <c r="AR2578" s="1" t="s">
        <v>210</v>
      </c>
      <c r="AT2578" s="1" t="s">
        <v>210</v>
      </c>
      <c r="AW2578" s="1" t="s">
        <v>204</v>
      </c>
      <c r="AX2578" s="1" t="s">
        <v>22041</v>
      </c>
      <c r="AZ2578" s="1">
        <v>2887</v>
      </c>
      <c r="BA2578" s="1">
        <v>2013</v>
      </c>
      <c r="BE2578" s="1">
        <v>1000</v>
      </c>
      <c r="BF2578" s="1">
        <v>1</v>
      </c>
      <c r="BG2578" s="1">
        <v>0</v>
      </c>
      <c r="BL2578" s="1">
        <v>259</v>
      </c>
      <c r="BM2578" s="1" t="s">
        <v>204</v>
      </c>
      <c r="BN2578" s="1" t="s">
        <v>213</v>
      </c>
      <c r="BO2578" s="1">
        <v>999</v>
      </c>
      <c r="BP2578" s="1" t="s">
        <v>204</v>
      </c>
      <c r="BR2578" s="1" t="str">
        <f>"20114180111013"</f>
        <v>20114180111013</v>
      </c>
      <c r="BT2578" s="1" t="s">
        <v>22042</v>
      </c>
      <c r="BX2578" s="1">
        <v>299</v>
      </c>
      <c r="BY2578" s="1">
        <v>299</v>
      </c>
      <c r="BZ2578" s="1">
        <v>299</v>
      </c>
      <c r="CB2578" s="1" t="str">
        <f>"0"</f>
        <v>0</v>
      </c>
      <c r="CC2578" s="1" t="str">
        <f>"53"</f>
        <v>53</v>
      </c>
      <c r="CD2578" s="1">
        <v>0</v>
      </c>
      <c r="CE2578" s="1">
        <v>5300</v>
      </c>
      <c r="CG2578" s="1" t="s">
        <v>22043</v>
      </c>
      <c r="CH2578" s="1" t="s">
        <v>219</v>
      </c>
      <c r="CI2578" s="1" t="s">
        <v>438</v>
      </c>
      <c r="CJ2578" s="1" t="s">
        <v>343</v>
      </c>
      <c r="CK2578" s="1" t="s">
        <v>377</v>
      </c>
      <c r="CL2578" s="1" t="s">
        <v>219</v>
      </c>
      <c r="CM2578" s="1" t="s">
        <v>438</v>
      </c>
      <c r="CO2578" s="1" t="s">
        <v>629</v>
      </c>
      <c r="CP2578" s="1" t="s">
        <v>219</v>
      </c>
      <c r="CQ2578" s="1" t="s">
        <v>438</v>
      </c>
      <c r="CS2578" s="1" t="s">
        <v>378</v>
      </c>
      <c r="CT2578" s="1" t="s">
        <v>219</v>
      </c>
      <c r="CU2578" s="1" t="s">
        <v>438</v>
      </c>
      <c r="CX2578" s="1" t="s">
        <v>224</v>
      </c>
      <c r="DB2578" s="1" t="s">
        <v>224</v>
      </c>
      <c r="DE2578" s="1" t="s">
        <v>378</v>
      </c>
      <c r="DF2578" s="1" t="s">
        <v>219</v>
      </c>
      <c r="DG2578" s="1" t="s">
        <v>438</v>
      </c>
      <c r="DJ2578" s="1" t="s">
        <v>224</v>
      </c>
      <c r="DS2578" s="1" t="s">
        <v>230</v>
      </c>
      <c r="DW2578" s="1" t="s">
        <v>230</v>
      </c>
      <c r="EA2578" s="1" t="s">
        <v>230</v>
      </c>
      <c r="EE2578" s="1" t="s">
        <v>230</v>
      </c>
      <c r="EI2578" s="1" t="s">
        <v>230</v>
      </c>
      <c r="EL2578" s="1" t="s">
        <v>2154</v>
      </c>
      <c r="EM2578" s="1" t="s">
        <v>232</v>
      </c>
      <c r="EN2578" s="1" t="s">
        <v>282</v>
      </c>
      <c r="EO2578" s="1" t="s">
        <v>234</v>
      </c>
      <c r="ER2578" s="1" t="s">
        <v>210</v>
      </c>
      <c r="EW2578" s="1" t="s">
        <v>142</v>
      </c>
      <c r="EZ2578" s="1" t="s">
        <v>287</v>
      </c>
      <c r="FD2578" s="1" t="s">
        <v>246</v>
      </c>
      <c r="FE2578" s="1" t="s">
        <v>247</v>
      </c>
      <c r="FF2578" s="1" t="s">
        <v>387</v>
      </c>
      <c r="FH2578" s="1" t="s">
        <v>249</v>
      </c>
      <c r="FJ2578" s="1" t="s">
        <v>518</v>
      </c>
      <c r="FL2578" s="1" t="s">
        <v>358</v>
      </c>
      <c r="FM2578" s="1" t="s">
        <v>252</v>
      </c>
      <c r="FN2578" s="1" t="s">
        <v>213</v>
      </c>
      <c r="FO2578" s="1" t="s">
        <v>213</v>
      </c>
      <c r="FQ2578" s="1" t="s">
        <v>4359</v>
      </c>
      <c r="FR2578" s="1" t="s">
        <v>210</v>
      </c>
      <c r="FS2578" s="1" t="s">
        <v>5548</v>
      </c>
      <c r="FT2578" s="1" t="s">
        <v>295</v>
      </c>
      <c r="FU2578" s="1" t="s">
        <v>204</v>
      </c>
      <c r="FW2578" s="1" t="s">
        <v>1637</v>
      </c>
      <c r="FX2578" s="1">
        <v>12293</v>
      </c>
      <c r="FY2578" s="1" t="s">
        <v>10402</v>
      </c>
      <c r="FZ2578" s="1" t="s">
        <v>22044</v>
      </c>
      <c r="GA2578" s="1">
        <v>181459</v>
      </c>
      <c r="GE2578" s="1" t="s">
        <v>210</v>
      </c>
      <c r="GH2578" s="1" t="s">
        <v>421</v>
      </c>
      <c r="GI2578" s="1" t="s">
        <v>213</v>
      </c>
      <c r="GJ2578" s="1" t="s">
        <v>260</v>
      </c>
      <c r="GK2578" s="1" t="s">
        <v>210</v>
      </c>
      <c r="GL2578" s="2">
        <v>42143</v>
      </c>
      <c r="GM2578" s="1" t="s">
        <v>22045</v>
      </c>
    </row>
    <row r="2579" spans="1:195">
      <c r="A2579" s="1">
        <v>158000</v>
      </c>
      <c r="B2579" s="1" t="s">
        <v>195</v>
      </c>
      <c r="C2579" s="1" t="str">
        <f>"08838203"</f>
        <v>08838203</v>
      </c>
      <c r="D2579" s="1" t="s">
        <v>196</v>
      </c>
      <c r="F2579" s="1" t="str">
        <f>"103"</f>
        <v>103</v>
      </c>
      <c r="G2579" s="2">
        <v>42048</v>
      </c>
      <c r="H2579" s="1">
        <v>164900</v>
      </c>
      <c r="I2579" s="1">
        <v>164900</v>
      </c>
      <c r="J2579" s="1">
        <v>158000</v>
      </c>
      <c r="K2579" s="2">
        <v>42047</v>
      </c>
      <c r="L2579" s="1">
        <v>22</v>
      </c>
      <c r="M2579" s="2">
        <v>42068</v>
      </c>
      <c r="N2579" s="1">
        <v>22</v>
      </c>
      <c r="O2579" s="2">
        <v>42068</v>
      </c>
      <c r="P2579" s="1">
        <v>25266</v>
      </c>
      <c r="Q2579" s="1" t="s">
        <v>197</v>
      </c>
      <c r="R2579" s="2">
        <v>42111</v>
      </c>
      <c r="S2579" s="1">
        <v>231049</v>
      </c>
      <c r="U2579" s="1">
        <v>2120</v>
      </c>
      <c r="V2579" s="1" t="s">
        <v>22046</v>
      </c>
      <c r="W2579" s="1" t="s">
        <v>304</v>
      </c>
      <c r="Y2579" s="1">
        <v>6</v>
      </c>
      <c r="Z2579" s="1" t="s">
        <v>370</v>
      </c>
      <c r="AA2579" s="1" t="s">
        <v>337</v>
      </c>
      <c r="AB2579" s="1">
        <v>60133</v>
      </c>
      <c r="AD2579" s="1" t="s">
        <v>12645</v>
      </c>
      <c r="AE2579" s="1" t="s">
        <v>22047</v>
      </c>
      <c r="AF2579" s="1">
        <v>1989</v>
      </c>
      <c r="AG2579" s="1" t="s">
        <v>204</v>
      </c>
      <c r="AH2579" s="1" t="s">
        <v>339</v>
      </c>
      <c r="AI2579" s="1" t="s">
        <v>206</v>
      </c>
      <c r="AJ2579" s="1" t="s">
        <v>2654</v>
      </c>
      <c r="AK2579" s="1" t="s">
        <v>2391</v>
      </c>
      <c r="AL2579" s="1">
        <v>6</v>
      </c>
      <c r="AM2579" s="1">
        <v>2</v>
      </c>
      <c r="AN2579" s="1">
        <v>2</v>
      </c>
      <c r="AO2579" s="1">
        <v>1</v>
      </c>
      <c r="AP2579" s="1" t="s">
        <v>209</v>
      </c>
      <c r="AQ2579" s="1">
        <v>0</v>
      </c>
      <c r="AR2579" s="1" t="s">
        <v>210</v>
      </c>
      <c r="AS2579" s="1" t="s">
        <v>204</v>
      </c>
      <c r="AT2579" s="1" t="s">
        <v>211</v>
      </c>
      <c r="AU2579" s="1">
        <v>2</v>
      </c>
      <c r="AW2579" s="1" t="s">
        <v>204</v>
      </c>
      <c r="AX2579" s="1" t="s">
        <v>212</v>
      </c>
      <c r="AZ2579" s="1">
        <v>5539</v>
      </c>
      <c r="BA2579" s="1">
        <v>2013</v>
      </c>
      <c r="BB2579" s="1" t="s">
        <v>405</v>
      </c>
      <c r="BE2579" s="1">
        <v>1412</v>
      </c>
      <c r="BF2579" s="1">
        <v>1</v>
      </c>
      <c r="BG2579" s="1">
        <v>0</v>
      </c>
      <c r="BL2579" s="1">
        <v>189</v>
      </c>
      <c r="BM2579" s="1" t="s">
        <v>204</v>
      </c>
      <c r="BN2579" s="1" t="s">
        <v>213</v>
      </c>
      <c r="BO2579" s="1" t="s">
        <v>432</v>
      </c>
      <c r="BP2579" s="1" t="s">
        <v>204</v>
      </c>
      <c r="BR2579" s="1" t="str">
        <f>"0113104048"</f>
        <v>0113104048</v>
      </c>
      <c r="BT2579" s="1" t="s">
        <v>22048</v>
      </c>
      <c r="BU2579" s="1" t="s">
        <v>4119</v>
      </c>
      <c r="BV2579" s="1" t="s">
        <v>4120</v>
      </c>
      <c r="BW2579" s="1" t="s">
        <v>4121</v>
      </c>
      <c r="BX2579" s="1">
        <v>46</v>
      </c>
      <c r="BY2579" s="1">
        <v>46</v>
      </c>
      <c r="BZ2579" s="1">
        <v>46</v>
      </c>
      <c r="CB2579" s="1" t="str">
        <f>"5"</f>
        <v>5</v>
      </c>
      <c r="CC2579" s="1" t="str">
        <f>"0"</f>
        <v>0</v>
      </c>
      <c r="CD2579" s="1">
        <v>27</v>
      </c>
      <c r="CE2579" s="1">
        <v>0</v>
      </c>
      <c r="CG2579" s="1" t="s">
        <v>2511</v>
      </c>
      <c r="CH2579" s="1" t="s">
        <v>219</v>
      </c>
      <c r="CI2579" s="1" t="s">
        <v>220</v>
      </c>
      <c r="CJ2579" s="1" t="s">
        <v>210</v>
      </c>
      <c r="CK2579" s="1" t="s">
        <v>344</v>
      </c>
      <c r="CL2579" s="1" t="s">
        <v>277</v>
      </c>
      <c r="CM2579" s="1" t="s">
        <v>220</v>
      </c>
      <c r="CN2579" s="1" t="s">
        <v>252</v>
      </c>
      <c r="CO2579" s="1" t="s">
        <v>346</v>
      </c>
      <c r="CP2579" s="1" t="s">
        <v>219</v>
      </c>
      <c r="CQ2579" s="1" t="s">
        <v>220</v>
      </c>
      <c r="CR2579" s="1" t="s">
        <v>252</v>
      </c>
      <c r="CS2579" s="1" t="s">
        <v>346</v>
      </c>
      <c r="CT2579" s="1" t="s">
        <v>277</v>
      </c>
      <c r="CU2579" s="1" t="s">
        <v>220</v>
      </c>
      <c r="CV2579" s="1" t="s">
        <v>252</v>
      </c>
      <c r="CX2579" s="1" t="s">
        <v>224</v>
      </c>
      <c r="DB2579" s="1" t="s">
        <v>224</v>
      </c>
      <c r="DE2579" s="1" t="s">
        <v>1046</v>
      </c>
      <c r="DF2579" s="1" t="s">
        <v>219</v>
      </c>
      <c r="DG2579" s="1" t="s">
        <v>438</v>
      </c>
      <c r="DH2579" s="1" t="s">
        <v>210</v>
      </c>
      <c r="DJ2579" s="1" t="s">
        <v>224</v>
      </c>
      <c r="DM2579" s="1" t="s">
        <v>464</v>
      </c>
      <c r="DR2579" s="1" t="s">
        <v>346</v>
      </c>
      <c r="DS2579" s="1" t="s">
        <v>277</v>
      </c>
      <c r="DT2579" s="1" t="s">
        <v>220</v>
      </c>
      <c r="DU2579" s="1" t="s">
        <v>252</v>
      </c>
      <c r="DW2579" s="1" t="s">
        <v>230</v>
      </c>
      <c r="EA2579" s="1" t="s">
        <v>230</v>
      </c>
      <c r="EE2579" s="1" t="s">
        <v>230</v>
      </c>
      <c r="EI2579" s="1" t="s">
        <v>230</v>
      </c>
      <c r="EL2579" s="1" t="s">
        <v>542</v>
      </c>
      <c r="EM2579" s="1" t="s">
        <v>319</v>
      </c>
      <c r="EN2579" s="1" t="s">
        <v>282</v>
      </c>
      <c r="EO2579" s="1" t="s">
        <v>234</v>
      </c>
      <c r="EQ2579" s="1" t="s">
        <v>236</v>
      </c>
      <c r="ER2579" s="1" t="s">
        <v>383</v>
      </c>
      <c r="ES2579" s="1" t="s">
        <v>824</v>
      </c>
      <c r="ET2579" s="1" t="s">
        <v>842</v>
      </c>
      <c r="EU2579" s="1" t="s">
        <v>1894</v>
      </c>
      <c r="EV2579" s="1" t="s">
        <v>6425</v>
      </c>
      <c r="EW2579" s="1" t="s">
        <v>353</v>
      </c>
      <c r="EY2579" s="1" t="s">
        <v>790</v>
      </c>
      <c r="EZ2579" s="1" t="s">
        <v>464</v>
      </c>
      <c r="FA2579" s="1" t="s">
        <v>471</v>
      </c>
      <c r="FB2579" s="1" t="s">
        <v>1505</v>
      </c>
      <c r="FD2579" s="1" t="s">
        <v>246</v>
      </c>
      <c r="FE2579" s="1" t="s">
        <v>975</v>
      </c>
      <c r="FF2579" s="1" t="s">
        <v>248</v>
      </c>
      <c r="FH2579" s="1" t="s">
        <v>550</v>
      </c>
      <c r="FI2579" s="1" t="s">
        <v>357</v>
      </c>
      <c r="FL2579" s="1" t="s">
        <v>358</v>
      </c>
      <c r="FM2579" s="1" t="s">
        <v>252</v>
      </c>
      <c r="FN2579" s="1" t="s">
        <v>213</v>
      </c>
      <c r="FO2579" s="1" t="s">
        <v>213</v>
      </c>
      <c r="FQ2579" s="1" t="s">
        <v>793</v>
      </c>
      <c r="FR2579" s="1" t="s">
        <v>210</v>
      </c>
      <c r="FS2579" s="1" t="s">
        <v>22049</v>
      </c>
      <c r="FT2579" s="1" t="s">
        <v>295</v>
      </c>
      <c r="FU2579" s="1" t="s">
        <v>204</v>
      </c>
      <c r="FW2579" s="1" t="s">
        <v>873</v>
      </c>
      <c r="FX2579" s="1">
        <v>25309</v>
      </c>
      <c r="FY2579" s="1" t="s">
        <v>874</v>
      </c>
      <c r="FZ2579" s="1" t="s">
        <v>875</v>
      </c>
      <c r="GA2579" s="1">
        <v>256018</v>
      </c>
      <c r="GB2579" s="1" t="s">
        <v>876</v>
      </c>
      <c r="GC2579" s="1">
        <v>226687</v>
      </c>
      <c r="GE2579" s="1" t="s">
        <v>480</v>
      </c>
      <c r="GI2579" s="1" t="s">
        <v>213</v>
      </c>
      <c r="GJ2579" s="1" t="s">
        <v>260</v>
      </c>
      <c r="GK2579" s="1" t="s">
        <v>261</v>
      </c>
      <c r="GL2579" s="2">
        <v>42111</v>
      </c>
      <c r="GM2579" s="1" t="s">
        <v>22050</v>
      </c>
    </row>
    <row r="2580" spans="1:195">
      <c r="A2580" s="1">
        <v>190000</v>
      </c>
      <c r="B2580" s="1" t="s">
        <v>195</v>
      </c>
      <c r="C2580" s="1" t="str">
        <f>"08838421"</f>
        <v>08838421</v>
      </c>
      <c r="D2580" s="1" t="s">
        <v>196</v>
      </c>
      <c r="F2580" s="1" t="str">
        <f>"148"</f>
        <v>148</v>
      </c>
      <c r="G2580" s="2">
        <v>42048</v>
      </c>
      <c r="H2580" s="1">
        <v>190000</v>
      </c>
      <c r="I2580" s="1">
        <v>190000</v>
      </c>
      <c r="J2580" s="1">
        <v>190000</v>
      </c>
      <c r="K2580" s="2">
        <v>42048</v>
      </c>
      <c r="L2580" s="1">
        <v>7</v>
      </c>
      <c r="M2580" s="2">
        <v>42054</v>
      </c>
      <c r="N2580" s="1">
        <v>7</v>
      </c>
      <c r="O2580" s="2">
        <v>42054</v>
      </c>
      <c r="P2580" s="1">
        <v>24071</v>
      </c>
      <c r="Q2580" s="1" t="s">
        <v>197</v>
      </c>
      <c r="R2580" s="2">
        <v>42111</v>
      </c>
      <c r="S2580" s="1">
        <v>223167</v>
      </c>
      <c r="U2580" s="1">
        <v>1139</v>
      </c>
      <c r="V2580" s="1" t="s">
        <v>14706</v>
      </c>
      <c r="W2580" s="1" t="s">
        <v>425</v>
      </c>
      <c r="Y2580" s="1">
        <v>4</v>
      </c>
      <c r="Z2580" s="1" t="s">
        <v>249</v>
      </c>
      <c r="AA2580" s="1" t="s">
        <v>1927</v>
      </c>
      <c r="AB2580" s="1">
        <v>60148</v>
      </c>
      <c r="AD2580" s="1" t="s">
        <v>14125</v>
      </c>
      <c r="AE2580" s="1" t="s">
        <v>22051</v>
      </c>
      <c r="AF2580" s="1">
        <v>1993</v>
      </c>
      <c r="AG2580" s="1" t="s">
        <v>204</v>
      </c>
      <c r="AH2580" s="1" t="s">
        <v>1930</v>
      </c>
      <c r="AI2580" s="1" t="s">
        <v>206</v>
      </c>
      <c r="AJ2580" s="1" t="s">
        <v>1608</v>
      </c>
      <c r="AK2580" s="1" t="s">
        <v>8565</v>
      </c>
      <c r="AL2580" s="1">
        <v>6</v>
      </c>
      <c r="AM2580" s="1">
        <v>2</v>
      </c>
      <c r="AN2580" s="1">
        <v>2</v>
      </c>
      <c r="AO2580" s="1">
        <v>1</v>
      </c>
      <c r="AP2580" s="1" t="s">
        <v>209</v>
      </c>
      <c r="AR2580" s="1" t="s">
        <v>210</v>
      </c>
      <c r="AS2580" s="1" t="s">
        <v>204</v>
      </c>
      <c r="AT2580" s="1" t="s">
        <v>211</v>
      </c>
      <c r="AU2580" s="1">
        <v>1</v>
      </c>
      <c r="AW2580" s="1" t="s">
        <v>204</v>
      </c>
      <c r="AX2580" s="1" t="s">
        <v>212</v>
      </c>
      <c r="AZ2580" s="1">
        <v>3815</v>
      </c>
      <c r="BA2580" s="1">
        <v>2013</v>
      </c>
      <c r="BB2580" s="1" t="s">
        <v>405</v>
      </c>
      <c r="BE2580" s="1">
        <v>1079</v>
      </c>
      <c r="BF2580" s="1">
        <v>1</v>
      </c>
      <c r="BG2580" s="1">
        <v>0</v>
      </c>
      <c r="BL2580" s="1">
        <v>172</v>
      </c>
      <c r="BM2580" s="1" t="s">
        <v>204</v>
      </c>
      <c r="BN2580" s="1" t="s">
        <v>213</v>
      </c>
      <c r="BO2580" s="1" t="s">
        <v>432</v>
      </c>
      <c r="BP2580" s="1" t="s">
        <v>204</v>
      </c>
      <c r="BR2580" s="1" t="str">
        <f>"0616119153"</f>
        <v>0616119153</v>
      </c>
      <c r="BT2580" s="1" t="s">
        <v>22052</v>
      </c>
      <c r="BU2580" s="1" t="s">
        <v>8567</v>
      </c>
      <c r="BV2580" s="1" t="s">
        <v>2200</v>
      </c>
      <c r="BW2580" s="1" t="s">
        <v>2201</v>
      </c>
      <c r="BX2580" s="1">
        <v>45</v>
      </c>
      <c r="BY2580" s="1">
        <v>45</v>
      </c>
      <c r="BZ2580" s="1">
        <v>88</v>
      </c>
      <c r="CB2580" s="1" t="str">
        <f t="shared" ref="CB2580:CC2580" si="1979">""</f>
        <v/>
      </c>
      <c r="CC2580" s="1" t="str">
        <f t="shared" si="1979"/>
        <v/>
      </c>
      <c r="CG2580" s="1" t="s">
        <v>2934</v>
      </c>
      <c r="CH2580" s="1" t="s">
        <v>219</v>
      </c>
      <c r="CI2580" s="1" t="s">
        <v>229</v>
      </c>
      <c r="CK2580" s="1" t="s">
        <v>1995</v>
      </c>
      <c r="CL2580" s="1" t="s">
        <v>277</v>
      </c>
      <c r="CM2580" s="1" t="s">
        <v>220</v>
      </c>
      <c r="CO2580" s="1" t="s">
        <v>348</v>
      </c>
      <c r="CP2580" s="1" t="s">
        <v>219</v>
      </c>
      <c r="CQ2580" s="1" t="s">
        <v>229</v>
      </c>
      <c r="CS2580" s="1" t="s">
        <v>1854</v>
      </c>
      <c r="CT2580" s="1" t="s">
        <v>277</v>
      </c>
      <c r="CU2580" s="1" t="s">
        <v>220</v>
      </c>
      <c r="CX2580" s="1" t="s">
        <v>224</v>
      </c>
      <c r="DB2580" s="1" t="s">
        <v>224</v>
      </c>
      <c r="DE2580" s="1" t="s">
        <v>1470</v>
      </c>
      <c r="DF2580" s="1" t="s">
        <v>219</v>
      </c>
      <c r="DG2580" s="1" t="s">
        <v>229</v>
      </c>
      <c r="DJ2580" s="1" t="s">
        <v>224</v>
      </c>
      <c r="DM2580" s="1" t="s">
        <v>709</v>
      </c>
      <c r="DN2580" s="1" t="s">
        <v>1548</v>
      </c>
      <c r="DR2580" s="1" t="s">
        <v>22053</v>
      </c>
      <c r="DS2580" s="1" t="s">
        <v>219</v>
      </c>
      <c r="DT2580" s="1" t="s">
        <v>229</v>
      </c>
      <c r="DV2580" s="1" t="s">
        <v>5974</v>
      </c>
      <c r="DW2580" s="1" t="s">
        <v>219</v>
      </c>
      <c r="EA2580" s="1" t="s">
        <v>230</v>
      </c>
      <c r="EE2580" s="1" t="s">
        <v>230</v>
      </c>
      <c r="EI2580" s="1" t="s">
        <v>230</v>
      </c>
      <c r="EL2580" s="1" t="s">
        <v>382</v>
      </c>
      <c r="EM2580" s="1" t="s">
        <v>319</v>
      </c>
      <c r="EN2580" s="1" t="s">
        <v>282</v>
      </c>
      <c r="EO2580" s="1" t="s">
        <v>234</v>
      </c>
      <c r="EQ2580" s="1" t="s">
        <v>1094</v>
      </c>
      <c r="ER2580" s="1" t="s">
        <v>210</v>
      </c>
      <c r="ES2580" s="1" t="s">
        <v>545</v>
      </c>
      <c r="EV2580" s="1" t="s">
        <v>324</v>
      </c>
      <c r="EW2580" s="1" t="s">
        <v>887</v>
      </c>
      <c r="EZ2580" s="1" t="s">
        <v>10789</v>
      </c>
      <c r="FA2580" s="1" t="s">
        <v>6559</v>
      </c>
      <c r="FD2580" s="1" t="s">
        <v>246</v>
      </c>
      <c r="FE2580" s="1" t="s">
        <v>386</v>
      </c>
      <c r="FF2580" s="1" t="s">
        <v>248</v>
      </c>
      <c r="FH2580" s="1" t="s">
        <v>550</v>
      </c>
      <c r="FI2580" s="1" t="s">
        <v>473</v>
      </c>
      <c r="FL2580" s="1" t="s">
        <v>358</v>
      </c>
      <c r="FM2580" s="1" t="s">
        <v>252</v>
      </c>
      <c r="FN2580" s="1" t="s">
        <v>213</v>
      </c>
      <c r="FO2580" s="1" t="s">
        <v>213</v>
      </c>
      <c r="FQ2580" s="1" t="s">
        <v>2091</v>
      </c>
      <c r="FR2580" s="1" t="s">
        <v>210</v>
      </c>
      <c r="FS2580" s="1" t="s">
        <v>2984</v>
      </c>
      <c r="FT2580" s="1" t="s">
        <v>295</v>
      </c>
      <c r="FU2580" s="1" t="s">
        <v>204</v>
      </c>
      <c r="FW2580" s="1" t="s">
        <v>2985</v>
      </c>
      <c r="FX2580" s="1">
        <v>23959</v>
      </c>
      <c r="FY2580" s="1" t="s">
        <v>2986</v>
      </c>
      <c r="FZ2580" s="1" t="s">
        <v>22054</v>
      </c>
      <c r="GA2580" s="1">
        <v>242592</v>
      </c>
      <c r="GC2580" s="1">
        <v>220868</v>
      </c>
      <c r="GD2580" s="1">
        <v>7086910244</v>
      </c>
      <c r="GE2580" s="1" t="s">
        <v>480</v>
      </c>
      <c r="GH2580" s="1" t="s">
        <v>800</v>
      </c>
      <c r="GI2580" s="1" t="s">
        <v>213</v>
      </c>
      <c r="GJ2580" s="1" t="s">
        <v>260</v>
      </c>
      <c r="GK2580" s="1" t="s">
        <v>210</v>
      </c>
      <c r="GL2580" s="2">
        <v>42111</v>
      </c>
      <c r="GM2580" s="1" t="s">
        <v>22055</v>
      </c>
    </row>
    <row r="2581" spans="1:195">
      <c r="A2581" s="1">
        <v>65000</v>
      </c>
      <c r="B2581" s="1" t="s">
        <v>195</v>
      </c>
      <c r="C2581" s="1" t="str">
        <f>"08836753"</f>
        <v>08836753</v>
      </c>
      <c r="D2581" s="1" t="s">
        <v>196</v>
      </c>
      <c r="F2581" s="1" t="str">
        <f>"139"</f>
        <v>139</v>
      </c>
      <c r="G2581" s="2">
        <v>42046</v>
      </c>
      <c r="H2581" s="1">
        <v>79000</v>
      </c>
      <c r="I2581" s="1">
        <v>79000</v>
      </c>
      <c r="J2581" s="1">
        <v>65000</v>
      </c>
      <c r="K2581" s="2">
        <v>42046</v>
      </c>
      <c r="L2581" s="1">
        <v>6</v>
      </c>
      <c r="M2581" s="2">
        <v>42051</v>
      </c>
      <c r="N2581" s="1">
        <v>6</v>
      </c>
      <c r="O2581" s="2">
        <v>42051</v>
      </c>
      <c r="P2581" s="1">
        <v>18499</v>
      </c>
      <c r="Q2581" s="1" t="s">
        <v>197</v>
      </c>
      <c r="R2581" s="2">
        <v>42093</v>
      </c>
      <c r="S2581" s="1">
        <v>138517</v>
      </c>
      <c r="U2581" s="1">
        <v>703</v>
      </c>
      <c r="V2581" s="1" t="s">
        <v>12219</v>
      </c>
      <c r="W2581" s="1" t="s">
        <v>425</v>
      </c>
      <c r="X2581" s="1">
        <v>101</v>
      </c>
      <c r="Y2581" s="1">
        <v>20</v>
      </c>
      <c r="Z2581" s="1" t="s">
        <v>249</v>
      </c>
      <c r="AA2581" s="1" t="s">
        <v>1732</v>
      </c>
      <c r="AB2581" s="1">
        <v>60139</v>
      </c>
      <c r="AE2581" s="1" t="s">
        <v>22056</v>
      </c>
      <c r="AF2581" s="1">
        <v>1970</v>
      </c>
      <c r="AG2581" s="1" t="s">
        <v>213</v>
      </c>
      <c r="AH2581" s="1" t="s">
        <v>1735</v>
      </c>
      <c r="AI2581" s="1" t="s">
        <v>206</v>
      </c>
      <c r="AJ2581" s="1" t="s">
        <v>269</v>
      </c>
      <c r="AL2581" s="1">
        <v>5</v>
      </c>
      <c r="AM2581" s="1">
        <v>2</v>
      </c>
      <c r="AN2581" s="1">
        <v>1</v>
      </c>
      <c r="AO2581" s="1">
        <v>0</v>
      </c>
      <c r="AP2581" s="1" t="s">
        <v>210</v>
      </c>
      <c r="AR2581" s="1" t="s">
        <v>210</v>
      </c>
      <c r="AS2581" s="1" t="s">
        <v>204</v>
      </c>
      <c r="AT2581" s="1" t="s">
        <v>271</v>
      </c>
      <c r="AV2581" s="1">
        <v>1</v>
      </c>
      <c r="AW2581" s="1" t="s">
        <v>204</v>
      </c>
      <c r="AX2581" s="1" t="s">
        <v>579</v>
      </c>
      <c r="AZ2581" s="1">
        <v>559</v>
      </c>
      <c r="BA2581" s="1">
        <v>2013</v>
      </c>
      <c r="BB2581" s="1" t="s">
        <v>210</v>
      </c>
      <c r="BE2581" s="1">
        <v>880</v>
      </c>
      <c r="BF2581" s="1">
        <v>1</v>
      </c>
      <c r="BG2581" s="1">
        <v>30</v>
      </c>
      <c r="BL2581" s="1">
        <v>300</v>
      </c>
      <c r="BM2581" s="1" t="s">
        <v>413</v>
      </c>
      <c r="BN2581" s="1" t="s">
        <v>213</v>
      </c>
      <c r="BO2581" s="1">
        <v>25</v>
      </c>
      <c r="BP2581" s="1" t="s">
        <v>204</v>
      </c>
      <c r="BR2581" s="1" t="str">
        <f>"0235224001"</f>
        <v>0235224001</v>
      </c>
      <c r="BT2581" s="1" t="s">
        <v>22057</v>
      </c>
      <c r="BX2581" s="1">
        <v>15</v>
      </c>
      <c r="BY2581" s="1">
        <v>15</v>
      </c>
      <c r="BZ2581" s="1">
        <v>87</v>
      </c>
      <c r="CB2581" s="1" t="str">
        <f>"3"</f>
        <v>3</v>
      </c>
      <c r="CC2581" s="1" t="str">
        <f>"0"</f>
        <v>0</v>
      </c>
      <c r="CD2581" s="1">
        <v>22</v>
      </c>
      <c r="CE2581" s="1">
        <v>0</v>
      </c>
      <c r="CG2581" s="1" t="s">
        <v>931</v>
      </c>
      <c r="CH2581" s="1" t="s">
        <v>219</v>
      </c>
      <c r="CI2581" s="1" t="s">
        <v>226</v>
      </c>
      <c r="CK2581" s="1" t="s">
        <v>1178</v>
      </c>
      <c r="CL2581" s="1" t="s">
        <v>219</v>
      </c>
      <c r="CM2581" s="1" t="s">
        <v>220</v>
      </c>
      <c r="CO2581" s="1" t="s">
        <v>409</v>
      </c>
      <c r="CP2581" s="1" t="s">
        <v>219</v>
      </c>
      <c r="CQ2581" s="1" t="s">
        <v>226</v>
      </c>
      <c r="CS2581" s="1" t="s">
        <v>539</v>
      </c>
      <c r="CT2581" s="1" t="s">
        <v>219</v>
      </c>
      <c r="CU2581" s="1" t="s">
        <v>220</v>
      </c>
      <c r="CX2581" s="1" t="s">
        <v>224</v>
      </c>
      <c r="DB2581" s="1" t="s">
        <v>224</v>
      </c>
      <c r="DE2581" s="1" t="s">
        <v>409</v>
      </c>
      <c r="DF2581" s="1" t="s">
        <v>219</v>
      </c>
      <c r="DG2581" s="1" t="s">
        <v>226</v>
      </c>
      <c r="DJ2581" s="1" t="s">
        <v>224</v>
      </c>
      <c r="DS2581" s="1" t="s">
        <v>230</v>
      </c>
      <c r="DW2581" s="1" t="s">
        <v>230</v>
      </c>
      <c r="EA2581" s="1" t="s">
        <v>230</v>
      </c>
      <c r="EE2581" s="1" t="s">
        <v>230</v>
      </c>
      <c r="EI2581" s="1" t="s">
        <v>230</v>
      </c>
      <c r="EL2581" s="1" t="s">
        <v>605</v>
      </c>
      <c r="EM2581" s="1" t="s">
        <v>319</v>
      </c>
      <c r="EN2581" s="1" t="s">
        <v>731</v>
      </c>
      <c r="EO2581" s="1" t="s">
        <v>234</v>
      </c>
      <c r="EP2581" s="1" t="s">
        <v>17937</v>
      </c>
      <c r="EQ2581" s="1" t="s">
        <v>2994</v>
      </c>
      <c r="ER2581" s="1" t="s">
        <v>210</v>
      </c>
      <c r="ES2581" s="1" t="s">
        <v>322</v>
      </c>
      <c r="EV2581" s="1" t="s">
        <v>240</v>
      </c>
      <c r="EW2581" s="1" t="s">
        <v>2765</v>
      </c>
      <c r="EZ2581" s="1" t="s">
        <v>287</v>
      </c>
      <c r="FD2581" s="1" t="s">
        <v>246</v>
      </c>
      <c r="FE2581" s="1" t="s">
        <v>247</v>
      </c>
      <c r="FF2581" s="1" t="s">
        <v>248</v>
      </c>
      <c r="FH2581" s="1" t="s">
        <v>249</v>
      </c>
      <c r="FJ2581" s="1" t="s">
        <v>22058</v>
      </c>
      <c r="FK2581" s="1" t="s">
        <v>291</v>
      </c>
      <c r="FL2581" s="1" t="s">
        <v>5090</v>
      </c>
      <c r="FM2581" s="1" t="s">
        <v>252</v>
      </c>
      <c r="FN2581" s="1" t="s">
        <v>213</v>
      </c>
      <c r="FO2581" s="1" t="s">
        <v>213</v>
      </c>
      <c r="FQ2581" s="1" t="s">
        <v>22059</v>
      </c>
      <c r="FR2581" s="1" t="s">
        <v>210</v>
      </c>
      <c r="FS2581" s="1" t="s">
        <v>22060</v>
      </c>
      <c r="FT2581" s="1" t="s">
        <v>295</v>
      </c>
      <c r="FU2581" s="1" t="s">
        <v>204</v>
      </c>
      <c r="FW2581" s="1" t="s">
        <v>2435</v>
      </c>
      <c r="FX2581" s="1">
        <v>24417</v>
      </c>
      <c r="FY2581" s="1" t="s">
        <v>2436</v>
      </c>
      <c r="FZ2581" s="1" t="s">
        <v>22061</v>
      </c>
      <c r="GA2581" s="1">
        <v>241116</v>
      </c>
      <c r="GB2581" s="1" t="s">
        <v>22062</v>
      </c>
      <c r="GD2581" s="1">
        <v>7734845665</v>
      </c>
      <c r="GE2581" s="1" t="s">
        <v>210</v>
      </c>
      <c r="GH2581" s="1" t="s">
        <v>800</v>
      </c>
      <c r="GI2581" s="1" t="s">
        <v>213</v>
      </c>
      <c r="GJ2581" s="1" t="s">
        <v>260</v>
      </c>
      <c r="GK2581" s="1" t="s">
        <v>4920</v>
      </c>
      <c r="GL2581" s="2">
        <v>42094</v>
      </c>
      <c r="GM2581" s="1" t="s">
        <v>22063</v>
      </c>
    </row>
    <row r="2582" spans="1:195">
      <c r="A2582" s="1">
        <v>85496</v>
      </c>
      <c r="B2582" s="1" t="s">
        <v>195</v>
      </c>
      <c r="C2582" s="1" t="str">
        <f>"08834719"</f>
        <v>08834719</v>
      </c>
      <c r="D2582" s="1" t="s">
        <v>196</v>
      </c>
      <c r="F2582" s="1" t="str">
        <f>"543"</f>
        <v>543</v>
      </c>
      <c r="G2582" s="2">
        <v>42044</v>
      </c>
      <c r="H2582" s="1">
        <v>97900</v>
      </c>
      <c r="I2582" s="1">
        <v>97900</v>
      </c>
      <c r="J2582" s="1">
        <v>85496</v>
      </c>
      <c r="K2582" s="2">
        <v>42044</v>
      </c>
      <c r="L2582" s="1">
        <v>37</v>
      </c>
      <c r="M2582" s="2">
        <v>42080</v>
      </c>
      <c r="N2582" s="1">
        <v>37</v>
      </c>
      <c r="O2582" s="2">
        <v>42080</v>
      </c>
      <c r="P2582" s="1">
        <v>25888</v>
      </c>
      <c r="Q2582" s="1" t="s">
        <v>302</v>
      </c>
      <c r="R2582" s="2">
        <v>42104</v>
      </c>
      <c r="S2582" s="1">
        <v>226116</v>
      </c>
      <c r="U2582" s="1">
        <v>547</v>
      </c>
      <c r="V2582" s="1" t="s">
        <v>22064</v>
      </c>
      <c r="W2582" s="1" t="s">
        <v>264</v>
      </c>
      <c r="Y2582" s="1">
        <v>2</v>
      </c>
      <c r="Z2582" s="1" t="s">
        <v>200</v>
      </c>
      <c r="AA2582" s="1" t="s">
        <v>2639</v>
      </c>
      <c r="AB2582" s="1">
        <v>60543</v>
      </c>
      <c r="AE2582" s="1" t="s">
        <v>22065</v>
      </c>
      <c r="AF2582" s="1">
        <v>2000</v>
      </c>
      <c r="AG2582" s="1" t="s">
        <v>204</v>
      </c>
      <c r="AH2582" s="1" t="s">
        <v>1397</v>
      </c>
      <c r="AI2582" s="1" t="s">
        <v>453</v>
      </c>
      <c r="AJ2582" s="1" t="s">
        <v>1397</v>
      </c>
      <c r="AL2582" s="1">
        <v>5</v>
      </c>
      <c r="AM2582" s="1">
        <v>2</v>
      </c>
      <c r="AN2582" s="1">
        <v>1</v>
      </c>
      <c r="AO2582" s="1">
        <v>1</v>
      </c>
      <c r="AP2582" s="1" t="s">
        <v>667</v>
      </c>
      <c r="AR2582" s="1" t="s">
        <v>210</v>
      </c>
      <c r="AS2582" s="1" t="s">
        <v>204</v>
      </c>
      <c r="AT2582" s="1" t="s">
        <v>211</v>
      </c>
      <c r="AU2582" s="1">
        <v>1</v>
      </c>
      <c r="AW2582" s="1" t="s">
        <v>204</v>
      </c>
      <c r="AX2582" s="1" t="s">
        <v>22066</v>
      </c>
      <c r="AZ2582" s="1">
        <v>4205</v>
      </c>
      <c r="BA2582" s="1">
        <v>2012</v>
      </c>
      <c r="BE2582" s="1">
        <v>1025</v>
      </c>
      <c r="BF2582" s="1">
        <v>1</v>
      </c>
      <c r="BG2582" s="1">
        <v>0</v>
      </c>
      <c r="BL2582" s="1">
        <v>0</v>
      </c>
      <c r="BM2582" s="1" t="s">
        <v>413</v>
      </c>
      <c r="BN2582" s="1" t="s">
        <v>213</v>
      </c>
      <c r="BO2582" s="1">
        <v>0</v>
      </c>
      <c r="BP2582" s="1" t="s">
        <v>204</v>
      </c>
      <c r="BR2582" s="1" t="str">
        <f>"0310130029"</f>
        <v>0310130029</v>
      </c>
      <c r="BT2582" s="1" t="s">
        <v>22067</v>
      </c>
      <c r="BX2582" s="1">
        <v>308</v>
      </c>
      <c r="BY2582" s="1">
        <v>308</v>
      </c>
      <c r="BZ2582" s="1">
        <v>308</v>
      </c>
      <c r="CB2582" s="1" t="str">
        <f t="shared" ref="CB2582:CC2582" si="1980">""</f>
        <v/>
      </c>
      <c r="CC2582" s="1" t="str">
        <f t="shared" si="1980"/>
        <v/>
      </c>
      <c r="CG2582" s="1" t="s">
        <v>1533</v>
      </c>
      <c r="CH2582" s="1" t="s">
        <v>219</v>
      </c>
      <c r="CK2582" s="1" t="s">
        <v>315</v>
      </c>
      <c r="CL2582" s="1" t="s">
        <v>219</v>
      </c>
      <c r="CO2582" s="1" t="s">
        <v>1571</v>
      </c>
      <c r="CP2582" s="1" t="s">
        <v>219</v>
      </c>
      <c r="CS2582" s="1" t="s">
        <v>836</v>
      </c>
      <c r="CT2582" s="1" t="s">
        <v>219</v>
      </c>
      <c r="CX2582" s="1" t="s">
        <v>224</v>
      </c>
      <c r="DB2582" s="1" t="s">
        <v>224</v>
      </c>
      <c r="DE2582" s="1" t="s">
        <v>516</v>
      </c>
      <c r="DF2582" s="1" t="s">
        <v>219</v>
      </c>
      <c r="DJ2582" s="1" t="s">
        <v>224</v>
      </c>
      <c r="DS2582" s="1" t="s">
        <v>230</v>
      </c>
      <c r="DW2582" s="1" t="s">
        <v>230</v>
      </c>
      <c r="EA2582" s="1" t="s">
        <v>230</v>
      </c>
      <c r="EE2582" s="1" t="s">
        <v>230</v>
      </c>
      <c r="EI2582" s="1" t="s">
        <v>230</v>
      </c>
      <c r="EL2582" s="1" t="s">
        <v>466</v>
      </c>
      <c r="EM2582" s="1" t="s">
        <v>319</v>
      </c>
      <c r="EN2582" s="1" t="s">
        <v>282</v>
      </c>
      <c r="EO2582" s="1" t="s">
        <v>234</v>
      </c>
      <c r="ER2582" s="1" t="s">
        <v>210</v>
      </c>
      <c r="EW2582" s="1" t="s">
        <v>210</v>
      </c>
      <c r="EZ2582" s="1" t="s">
        <v>287</v>
      </c>
      <c r="FD2582" s="1" t="s">
        <v>246</v>
      </c>
      <c r="FE2582" s="1" t="s">
        <v>496</v>
      </c>
      <c r="FF2582" s="1" t="s">
        <v>248</v>
      </c>
      <c r="FH2582" s="1" t="s">
        <v>442</v>
      </c>
      <c r="FL2582" s="1" t="s">
        <v>358</v>
      </c>
      <c r="FM2582" s="1" t="s">
        <v>252</v>
      </c>
      <c r="FN2582" s="1" t="s">
        <v>213</v>
      </c>
      <c r="FO2582" s="1" t="s">
        <v>213</v>
      </c>
      <c r="FQ2582" s="1" t="s">
        <v>689</v>
      </c>
      <c r="FR2582" s="1" t="s">
        <v>210</v>
      </c>
      <c r="FS2582" s="1" t="s">
        <v>2541</v>
      </c>
      <c r="FT2582" s="1" t="s">
        <v>654</v>
      </c>
      <c r="FU2582" s="1" t="s">
        <v>204</v>
      </c>
      <c r="FW2582" s="1" t="s">
        <v>4399</v>
      </c>
      <c r="FX2582" s="1">
        <v>8698</v>
      </c>
      <c r="FY2582" s="1" t="s">
        <v>4400</v>
      </c>
      <c r="FZ2582" s="1" t="s">
        <v>4401</v>
      </c>
      <c r="GA2582" s="1">
        <v>85273</v>
      </c>
      <c r="GB2582" s="1" t="s">
        <v>4400</v>
      </c>
      <c r="GE2582" s="1" t="s">
        <v>210</v>
      </c>
      <c r="GI2582" s="1" t="s">
        <v>204</v>
      </c>
      <c r="GJ2582" s="1" t="s">
        <v>260</v>
      </c>
      <c r="GK2582" s="1" t="s">
        <v>210</v>
      </c>
      <c r="GL2582" s="2">
        <v>42104</v>
      </c>
      <c r="GM2582" s="1" t="s">
        <v>22068</v>
      </c>
    </row>
    <row r="2583" spans="1:195">
      <c r="A2583" s="1">
        <v>103000</v>
      </c>
      <c r="B2583" s="1" t="s">
        <v>195</v>
      </c>
      <c r="C2583" s="1" t="str">
        <f>"08833791"</f>
        <v>08833791</v>
      </c>
      <c r="D2583" s="1" t="s">
        <v>196</v>
      </c>
      <c r="F2583" s="1" t="str">
        <f>"635"</f>
        <v>635</v>
      </c>
      <c r="G2583" s="2">
        <v>42043</v>
      </c>
      <c r="H2583" s="1">
        <v>105000</v>
      </c>
      <c r="I2583" s="1">
        <v>105000</v>
      </c>
      <c r="J2583" s="1">
        <v>103000</v>
      </c>
      <c r="K2583" s="2">
        <v>42043</v>
      </c>
      <c r="L2583" s="1">
        <v>19</v>
      </c>
      <c r="M2583" s="2">
        <v>42061</v>
      </c>
      <c r="N2583" s="1">
        <v>19</v>
      </c>
      <c r="O2583" s="2">
        <v>42061</v>
      </c>
      <c r="P2583" s="1">
        <v>18235</v>
      </c>
      <c r="Q2583" s="1" t="s">
        <v>197</v>
      </c>
      <c r="R2583" s="2">
        <v>42100</v>
      </c>
      <c r="S2583" s="1">
        <v>119384</v>
      </c>
      <c r="T2583" s="1">
        <v>3000</v>
      </c>
      <c r="U2583" s="1">
        <v>7204</v>
      </c>
      <c r="V2583" s="1" t="s">
        <v>18651</v>
      </c>
      <c r="W2583" s="1" t="s">
        <v>425</v>
      </c>
      <c r="X2583" s="1" t="s">
        <v>4849</v>
      </c>
      <c r="Y2583" s="1">
        <v>18</v>
      </c>
      <c r="Z2583" s="1" t="s">
        <v>249</v>
      </c>
      <c r="AA2583" s="1" t="s">
        <v>2377</v>
      </c>
      <c r="AB2583" s="1">
        <v>60707</v>
      </c>
      <c r="AE2583" s="1" t="s">
        <v>22069</v>
      </c>
      <c r="AF2583" s="1">
        <v>1978</v>
      </c>
      <c r="AG2583" s="1" t="s">
        <v>204</v>
      </c>
      <c r="AH2583" s="1" t="s">
        <v>5686</v>
      </c>
      <c r="AI2583" s="1" t="s">
        <v>310</v>
      </c>
      <c r="AJ2583" s="1" t="s">
        <v>311</v>
      </c>
      <c r="AL2583" s="1">
        <v>5</v>
      </c>
      <c r="AM2583" s="1">
        <v>2</v>
      </c>
      <c r="AN2583" s="1">
        <v>1</v>
      </c>
      <c r="AO2583" s="1">
        <v>1</v>
      </c>
      <c r="AP2583" s="1" t="s">
        <v>1234</v>
      </c>
      <c r="AR2583" s="1" t="s">
        <v>210</v>
      </c>
      <c r="AS2583" s="1" t="s">
        <v>204</v>
      </c>
      <c r="AT2583" s="1" t="s">
        <v>271</v>
      </c>
      <c r="AV2583" s="1">
        <v>1</v>
      </c>
      <c r="AW2583" s="1" t="s">
        <v>204</v>
      </c>
      <c r="AX2583" s="1" t="s">
        <v>270</v>
      </c>
      <c r="AZ2583" s="1">
        <v>748</v>
      </c>
      <c r="BA2583" s="1">
        <v>2013</v>
      </c>
      <c r="BB2583" s="1" t="s">
        <v>599</v>
      </c>
      <c r="BE2583" s="1">
        <v>0</v>
      </c>
      <c r="BF2583" s="1">
        <v>2</v>
      </c>
      <c r="BG2583" s="1">
        <v>30</v>
      </c>
      <c r="BL2583" s="1">
        <v>237</v>
      </c>
      <c r="BM2583" s="1" t="s">
        <v>204</v>
      </c>
      <c r="BN2583" s="1" t="s">
        <v>213</v>
      </c>
      <c r="BO2583" s="1">
        <v>999</v>
      </c>
      <c r="BP2583" s="1" t="s">
        <v>204</v>
      </c>
      <c r="BR2583" s="1" t="str">
        <f>"12254150441014"</f>
        <v>12254150441014</v>
      </c>
      <c r="BT2583" s="1" t="s">
        <v>22070</v>
      </c>
      <c r="BX2583" s="1">
        <v>401</v>
      </c>
      <c r="BY2583" s="1">
        <v>401</v>
      </c>
      <c r="BZ2583" s="1">
        <v>401</v>
      </c>
      <c r="CB2583" s="1" t="str">
        <f t="shared" ref="CB2583:CC2583" si="1981">""</f>
        <v/>
      </c>
      <c r="CC2583" s="1" t="str">
        <f t="shared" si="1981"/>
        <v/>
      </c>
      <c r="CG2583" s="1" t="s">
        <v>221</v>
      </c>
      <c r="CH2583" s="1" t="s">
        <v>219</v>
      </c>
      <c r="CI2583" s="1" t="s">
        <v>229</v>
      </c>
      <c r="CJ2583" s="1" t="s">
        <v>343</v>
      </c>
      <c r="CK2583" s="1" t="s">
        <v>757</v>
      </c>
      <c r="CL2583" s="1" t="s">
        <v>219</v>
      </c>
      <c r="CM2583" s="1" t="s">
        <v>229</v>
      </c>
      <c r="CN2583" s="1" t="s">
        <v>343</v>
      </c>
      <c r="CO2583" s="1" t="s">
        <v>629</v>
      </c>
      <c r="CP2583" s="1" t="s">
        <v>219</v>
      </c>
      <c r="CQ2583" s="1" t="s">
        <v>229</v>
      </c>
      <c r="CS2583" s="1" t="s">
        <v>378</v>
      </c>
      <c r="CT2583" s="1" t="s">
        <v>219</v>
      </c>
      <c r="CU2583" s="1" t="s">
        <v>229</v>
      </c>
      <c r="CV2583" s="1" t="s">
        <v>343</v>
      </c>
      <c r="CX2583" s="1" t="s">
        <v>224</v>
      </c>
      <c r="DB2583" s="1" t="s">
        <v>224</v>
      </c>
      <c r="DE2583" s="1" t="s">
        <v>465</v>
      </c>
      <c r="DF2583" s="1" t="s">
        <v>219</v>
      </c>
      <c r="DG2583" s="1" t="s">
        <v>226</v>
      </c>
      <c r="DJ2583" s="1" t="s">
        <v>224</v>
      </c>
      <c r="DS2583" s="1" t="s">
        <v>230</v>
      </c>
      <c r="DW2583" s="1" t="s">
        <v>230</v>
      </c>
      <c r="EA2583" s="1" t="s">
        <v>230</v>
      </c>
      <c r="EE2583" s="1" t="s">
        <v>230</v>
      </c>
      <c r="EI2583" s="1" t="s">
        <v>230</v>
      </c>
      <c r="EL2583" s="1" t="s">
        <v>231</v>
      </c>
      <c r="EM2583" s="1" t="s">
        <v>232</v>
      </c>
      <c r="EN2583" s="1" t="s">
        <v>1158</v>
      </c>
      <c r="EO2583" s="1" t="s">
        <v>234</v>
      </c>
      <c r="EQ2583" s="1" t="s">
        <v>2994</v>
      </c>
      <c r="ER2583" s="1" t="s">
        <v>210</v>
      </c>
      <c r="ES2583" s="1" t="s">
        <v>322</v>
      </c>
      <c r="EV2583" s="1" t="s">
        <v>240</v>
      </c>
      <c r="EW2583" s="1" t="s">
        <v>1237</v>
      </c>
      <c r="EZ2583" s="1" t="s">
        <v>287</v>
      </c>
      <c r="FA2583" s="1" t="s">
        <v>8988</v>
      </c>
      <c r="FB2583" s="1" t="s">
        <v>289</v>
      </c>
      <c r="FD2583" s="1" t="s">
        <v>246</v>
      </c>
      <c r="FE2583" s="1" t="s">
        <v>247</v>
      </c>
      <c r="FF2583" s="1" t="s">
        <v>248</v>
      </c>
      <c r="FH2583" s="1" t="s">
        <v>249</v>
      </c>
      <c r="FK2583" s="1" t="s">
        <v>291</v>
      </c>
      <c r="FL2583" s="1" t="s">
        <v>1285</v>
      </c>
      <c r="FM2583" s="1" t="s">
        <v>252</v>
      </c>
      <c r="FN2583" s="1" t="s">
        <v>213</v>
      </c>
      <c r="FO2583" s="1" t="s">
        <v>213</v>
      </c>
      <c r="FQ2583" s="1" t="s">
        <v>329</v>
      </c>
      <c r="FR2583" s="1" t="s">
        <v>210</v>
      </c>
      <c r="FS2583" s="1" t="s">
        <v>2541</v>
      </c>
      <c r="FT2583" s="1" t="s">
        <v>295</v>
      </c>
      <c r="FU2583" s="1" t="s">
        <v>204</v>
      </c>
      <c r="FW2583" s="1" t="s">
        <v>331</v>
      </c>
      <c r="FX2583" s="1">
        <v>8363</v>
      </c>
      <c r="FY2583" s="1" t="s">
        <v>22071</v>
      </c>
      <c r="FZ2583" s="1" t="s">
        <v>22072</v>
      </c>
      <c r="GA2583" s="1">
        <v>83817</v>
      </c>
      <c r="GB2583" s="1" t="s">
        <v>22073</v>
      </c>
      <c r="GE2583" s="1" t="s">
        <v>210</v>
      </c>
      <c r="GH2583" s="1" t="s">
        <v>589</v>
      </c>
      <c r="GI2583" s="1" t="s">
        <v>213</v>
      </c>
      <c r="GJ2583" s="1" t="s">
        <v>260</v>
      </c>
      <c r="GK2583" s="1" t="s">
        <v>210</v>
      </c>
      <c r="GL2583" s="2">
        <v>42101</v>
      </c>
      <c r="GM2583" s="1" t="s">
        <v>22074</v>
      </c>
    </row>
    <row r="2584" spans="1:195">
      <c r="A2584" s="1">
        <v>165000</v>
      </c>
      <c r="B2584" s="1" t="s">
        <v>195</v>
      </c>
      <c r="C2584" s="1" t="str">
        <f>"08831993"</f>
        <v>08831993</v>
      </c>
      <c r="D2584" s="1" t="s">
        <v>196</v>
      </c>
      <c r="F2584" s="1" t="str">
        <f>"186"</f>
        <v>186</v>
      </c>
      <c r="G2584" s="2">
        <v>42040</v>
      </c>
      <c r="H2584" s="1">
        <v>169900</v>
      </c>
      <c r="I2584" s="1">
        <v>169900</v>
      </c>
      <c r="J2584" s="1">
        <v>165000</v>
      </c>
      <c r="K2584" s="2">
        <v>42040</v>
      </c>
      <c r="L2584" s="1">
        <v>20</v>
      </c>
      <c r="M2584" s="2">
        <v>42059</v>
      </c>
      <c r="N2584" s="1">
        <v>20</v>
      </c>
      <c r="O2584" s="2">
        <v>42059</v>
      </c>
      <c r="P2584" s="1">
        <v>24042</v>
      </c>
      <c r="Q2584" s="1" t="s">
        <v>197</v>
      </c>
      <c r="R2584" s="2">
        <v>42104</v>
      </c>
      <c r="S2584" s="1">
        <v>219753</v>
      </c>
      <c r="U2584" s="1">
        <v>1500</v>
      </c>
      <c r="V2584" s="1" t="s">
        <v>4104</v>
      </c>
      <c r="W2584" s="1" t="s">
        <v>425</v>
      </c>
      <c r="X2584" s="1">
        <v>607</v>
      </c>
      <c r="Y2584" s="1">
        <v>68</v>
      </c>
      <c r="Z2584" s="1" t="s">
        <v>370</v>
      </c>
      <c r="AA2584" s="1" t="s">
        <v>2099</v>
      </c>
      <c r="AB2584" s="1">
        <v>60181</v>
      </c>
      <c r="AE2584" s="1" t="s">
        <v>22075</v>
      </c>
      <c r="AF2584" s="1">
        <v>1998</v>
      </c>
      <c r="AG2584" s="1" t="s">
        <v>204</v>
      </c>
      <c r="AH2584" s="1" t="s">
        <v>2101</v>
      </c>
      <c r="AI2584" s="1" t="s">
        <v>206</v>
      </c>
      <c r="AJ2584" s="1" t="s">
        <v>1608</v>
      </c>
      <c r="AL2584" s="1">
        <v>4</v>
      </c>
      <c r="AM2584" s="1">
        <v>2</v>
      </c>
      <c r="AN2584" s="1">
        <v>1</v>
      </c>
      <c r="AO2584" s="1">
        <v>0</v>
      </c>
      <c r="AP2584" s="1" t="s">
        <v>210</v>
      </c>
      <c r="AR2584" s="1" t="s">
        <v>210</v>
      </c>
      <c r="AS2584" s="1" t="s">
        <v>204</v>
      </c>
      <c r="AT2584" s="1" t="s">
        <v>211</v>
      </c>
      <c r="AU2584" s="1">
        <v>1</v>
      </c>
      <c r="AW2584" s="1" t="s">
        <v>204</v>
      </c>
      <c r="AX2584" s="1" t="s">
        <v>212</v>
      </c>
      <c r="AZ2584" s="1">
        <v>3249</v>
      </c>
      <c r="BA2584" s="1">
        <v>2013</v>
      </c>
      <c r="BE2584" s="1">
        <v>1226</v>
      </c>
      <c r="BF2584" s="1">
        <v>6</v>
      </c>
      <c r="BG2584" s="1">
        <v>0</v>
      </c>
      <c r="BL2584" s="1">
        <v>309</v>
      </c>
      <c r="BM2584" s="1" t="s">
        <v>204</v>
      </c>
      <c r="BN2584" s="1" t="s">
        <v>213</v>
      </c>
      <c r="BO2584" s="1">
        <v>999</v>
      </c>
      <c r="BP2584" s="1" t="s">
        <v>204</v>
      </c>
      <c r="BR2584" s="1" t="str">
        <f>"0616402062"</f>
        <v>0616402062</v>
      </c>
      <c r="BT2584" s="1" t="s">
        <v>22076</v>
      </c>
      <c r="BX2584" s="1">
        <v>45</v>
      </c>
      <c r="BY2584" s="1">
        <v>45</v>
      </c>
      <c r="BZ2584" s="1">
        <v>88</v>
      </c>
      <c r="CB2584" s="1" t="str">
        <f t="shared" ref="CB2584:CC2584" si="1982">""</f>
        <v/>
      </c>
      <c r="CC2584" s="1" t="str">
        <f t="shared" si="1982"/>
        <v/>
      </c>
      <c r="CG2584" s="1" t="s">
        <v>2402</v>
      </c>
      <c r="CH2584" s="1" t="s">
        <v>219</v>
      </c>
      <c r="CI2584" s="1" t="s">
        <v>229</v>
      </c>
      <c r="CJ2584" s="1" t="s">
        <v>343</v>
      </c>
      <c r="CK2584" s="1" t="s">
        <v>437</v>
      </c>
      <c r="CL2584" s="1" t="s">
        <v>219</v>
      </c>
      <c r="CM2584" s="1" t="s">
        <v>229</v>
      </c>
      <c r="CN2584" s="1" t="s">
        <v>343</v>
      </c>
      <c r="CP2584" s="1" t="s">
        <v>224</v>
      </c>
      <c r="CS2584" s="1" t="s">
        <v>378</v>
      </c>
      <c r="CT2584" s="1" t="s">
        <v>219</v>
      </c>
      <c r="CU2584" s="1" t="s">
        <v>229</v>
      </c>
      <c r="CV2584" s="1" t="s">
        <v>343</v>
      </c>
      <c r="CX2584" s="1" t="s">
        <v>224</v>
      </c>
      <c r="DB2584" s="1" t="s">
        <v>224</v>
      </c>
      <c r="DE2584" s="1" t="s">
        <v>757</v>
      </c>
      <c r="DF2584" s="1" t="s">
        <v>219</v>
      </c>
      <c r="DG2584" s="1" t="s">
        <v>229</v>
      </c>
      <c r="DH2584" s="1" t="s">
        <v>210</v>
      </c>
      <c r="DJ2584" s="1" t="s">
        <v>224</v>
      </c>
      <c r="DN2584" s="1" t="s">
        <v>838</v>
      </c>
      <c r="DS2584" s="1" t="s">
        <v>230</v>
      </c>
      <c r="DV2584" s="1" t="s">
        <v>6249</v>
      </c>
      <c r="DW2584" s="1" t="s">
        <v>219</v>
      </c>
      <c r="EA2584" s="1" t="s">
        <v>230</v>
      </c>
      <c r="EE2584" s="1" t="s">
        <v>230</v>
      </c>
      <c r="EI2584" s="1" t="s">
        <v>230</v>
      </c>
      <c r="EL2584" s="1" t="s">
        <v>670</v>
      </c>
      <c r="EM2584" s="1" t="s">
        <v>232</v>
      </c>
      <c r="EN2584" s="1" t="s">
        <v>282</v>
      </c>
      <c r="EO2584" s="1" t="s">
        <v>234</v>
      </c>
      <c r="ER2584" s="1" t="s">
        <v>210</v>
      </c>
      <c r="EW2584" s="1" t="s">
        <v>2947</v>
      </c>
      <c r="EZ2584" s="1" t="s">
        <v>838</v>
      </c>
      <c r="FA2584" s="1" t="s">
        <v>1072</v>
      </c>
      <c r="FD2584" s="1" t="s">
        <v>495</v>
      </c>
      <c r="FE2584" s="1" t="s">
        <v>247</v>
      </c>
      <c r="FF2584" s="1" t="s">
        <v>248</v>
      </c>
      <c r="FH2584" s="1" t="s">
        <v>249</v>
      </c>
      <c r="FL2584" s="1" t="s">
        <v>358</v>
      </c>
      <c r="FM2584" s="1" t="s">
        <v>252</v>
      </c>
      <c r="FN2584" s="1" t="s">
        <v>213</v>
      </c>
      <c r="FO2584" s="1" t="s">
        <v>213</v>
      </c>
      <c r="FQ2584" s="1" t="s">
        <v>2004</v>
      </c>
      <c r="FR2584" s="1" t="s">
        <v>210</v>
      </c>
      <c r="FS2584" s="1" t="s">
        <v>22077</v>
      </c>
      <c r="FT2584" s="1" t="s">
        <v>362</v>
      </c>
      <c r="FU2584" s="1" t="s">
        <v>204</v>
      </c>
      <c r="FW2584" s="1" t="s">
        <v>2006</v>
      </c>
      <c r="FX2584" s="1">
        <v>25792</v>
      </c>
      <c r="FY2584" s="1" t="s">
        <v>3181</v>
      </c>
      <c r="FZ2584" s="1" t="s">
        <v>4609</v>
      </c>
      <c r="GA2584" s="1">
        <v>214645</v>
      </c>
      <c r="GB2584" s="1" t="s">
        <v>4610</v>
      </c>
      <c r="GC2584" s="1">
        <v>214646</v>
      </c>
      <c r="GE2584" s="1" t="s">
        <v>210</v>
      </c>
      <c r="GH2584" s="1" t="s">
        <v>421</v>
      </c>
      <c r="GI2584" s="1" t="s">
        <v>213</v>
      </c>
      <c r="GJ2584" s="1" t="s">
        <v>260</v>
      </c>
      <c r="GK2584" s="1" t="s">
        <v>210</v>
      </c>
      <c r="GL2584" s="2">
        <v>42107</v>
      </c>
      <c r="GM2584" s="1" t="s">
        <v>22078</v>
      </c>
    </row>
    <row r="2585" spans="1:195">
      <c r="A2585" s="1">
        <v>45000</v>
      </c>
      <c r="B2585" s="1" t="s">
        <v>195</v>
      </c>
      <c r="C2585" s="1" t="str">
        <f>"08835354"</f>
        <v>08835354</v>
      </c>
      <c r="D2585" s="1" t="s">
        <v>196</v>
      </c>
      <c r="F2585" s="1" t="str">
        <f>"123"</f>
        <v>123</v>
      </c>
      <c r="G2585" s="2">
        <v>42045</v>
      </c>
      <c r="H2585" s="1">
        <v>53000</v>
      </c>
      <c r="I2585" s="1">
        <v>53000</v>
      </c>
      <c r="J2585" s="1">
        <v>45000</v>
      </c>
      <c r="K2585" s="2">
        <v>42045</v>
      </c>
      <c r="L2585" s="1">
        <v>14</v>
      </c>
      <c r="M2585" s="2">
        <v>42058</v>
      </c>
      <c r="N2585" s="1">
        <v>14</v>
      </c>
      <c r="O2585" s="2">
        <v>42058</v>
      </c>
      <c r="P2585" s="1">
        <v>23462</v>
      </c>
      <c r="Q2585" s="1" t="s">
        <v>302</v>
      </c>
      <c r="R2585" s="2">
        <v>42104</v>
      </c>
      <c r="S2585" s="1">
        <v>240269</v>
      </c>
      <c r="T2585" s="1">
        <v>1350</v>
      </c>
      <c r="U2585" s="1">
        <v>772</v>
      </c>
      <c r="V2585" s="1" t="s">
        <v>6767</v>
      </c>
      <c r="W2585" s="1" t="s">
        <v>304</v>
      </c>
      <c r="X2585" s="1" t="s">
        <v>6276</v>
      </c>
      <c r="Y2585" s="1">
        <v>8</v>
      </c>
      <c r="Z2585" s="1" t="s">
        <v>249</v>
      </c>
      <c r="AA2585" s="1" t="s">
        <v>1173</v>
      </c>
      <c r="AB2585" s="1">
        <v>60120</v>
      </c>
      <c r="AD2585" s="1" t="s">
        <v>22079</v>
      </c>
      <c r="AE2585" s="1" t="s">
        <v>22080</v>
      </c>
      <c r="AF2585" s="1">
        <v>1987</v>
      </c>
      <c r="AG2585" s="1" t="s">
        <v>204</v>
      </c>
      <c r="AH2585" s="1" t="s">
        <v>1175</v>
      </c>
      <c r="AI2585" s="1" t="s">
        <v>310</v>
      </c>
      <c r="AJ2585" s="1" t="s">
        <v>374</v>
      </c>
      <c r="AL2585" s="1">
        <v>5</v>
      </c>
      <c r="AM2585" s="1">
        <v>2</v>
      </c>
      <c r="AN2585" s="1">
        <v>1</v>
      </c>
      <c r="AO2585" s="1">
        <v>0</v>
      </c>
      <c r="AP2585" s="1" t="s">
        <v>210</v>
      </c>
      <c r="AR2585" s="1" t="s">
        <v>210</v>
      </c>
      <c r="AS2585" s="1" t="s">
        <v>204</v>
      </c>
      <c r="AT2585" s="1" t="s">
        <v>271</v>
      </c>
      <c r="AV2585" s="1">
        <v>1</v>
      </c>
      <c r="AW2585" s="1" t="s">
        <v>204</v>
      </c>
      <c r="AX2585" s="1" t="s">
        <v>579</v>
      </c>
      <c r="AZ2585" s="1">
        <v>980</v>
      </c>
      <c r="BA2585" s="1">
        <v>2013</v>
      </c>
      <c r="BB2585" s="1" t="s">
        <v>405</v>
      </c>
      <c r="BE2585" s="1">
        <v>872</v>
      </c>
      <c r="BF2585" s="1">
        <v>1</v>
      </c>
      <c r="BG2585" s="1">
        <v>0</v>
      </c>
      <c r="BL2585" s="1">
        <v>160</v>
      </c>
      <c r="BM2585" s="1" t="s">
        <v>213</v>
      </c>
      <c r="BN2585" s="1" t="s">
        <v>213</v>
      </c>
      <c r="BO2585" s="1">
        <v>999</v>
      </c>
      <c r="BP2585" s="1" t="s">
        <v>204</v>
      </c>
      <c r="BR2585" s="1" t="str">
        <f>"06183000791011"</f>
        <v>06183000791011</v>
      </c>
      <c r="BT2585" s="1" t="s">
        <v>22081</v>
      </c>
      <c r="BX2585" s="1">
        <v>46</v>
      </c>
      <c r="BY2585" s="1">
        <v>46</v>
      </c>
      <c r="BZ2585" s="1">
        <v>46</v>
      </c>
      <c r="CB2585" s="1" t="str">
        <f t="shared" ref="CB2585:CC2585" si="1983">""</f>
        <v/>
      </c>
      <c r="CC2585" s="1" t="str">
        <f t="shared" si="1983"/>
        <v/>
      </c>
      <c r="CG2585" s="1" t="s">
        <v>14269</v>
      </c>
      <c r="CH2585" s="1" t="s">
        <v>219</v>
      </c>
      <c r="CI2585" s="1" t="s">
        <v>220</v>
      </c>
      <c r="CK2585" s="1" t="s">
        <v>3716</v>
      </c>
      <c r="CL2585" s="1" t="s">
        <v>219</v>
      </c>
      <c r="CM2585" s="1" t="s">
        <v>220</v>
      </c>
      <c r="CO2585" s="1" t="s">
        <v>629</v>
      </c>
      <c r="CP2585" s="1" t="s">
        <v>219</v>
      </c>
      <c r="CS2585" s="1" t="s">
        <v>1469</v>
      </c>
      <c r="CT2585" s="1" t="s">
        <v>219</v>
      </c>
      <c r="CU2585" s="1" t="s">
        <v>220</v>
      </c>
      <c r="CX2585" s="1" t="s">
        <v>224</v>
      </c>
      <c r="DB2585" s="1" t="s">
        <v>224</v>
      </c>
      <c r="DE2585" s="1" t="s">
        <v>1938</v>
      </c>
      <c r="DF2585" s="1" t="s">
        <v>219</v>
      </c>
      <c r="DJ2585" s="1" t="s">
        <v>224</v>
      </c>
      <c r="DS2585" s="1" t="s">
        <v>230</v>
      </c>
      <c r="DW2585" s="1" t="s">
        <v>230</v>
      </c>
      <c r="EA2585" s="1" t="s">
        <v>230</v>
      </c>
      <c r="EE2585" s="1" t="s">
        <v>230</v>
      </c>
      <c r="EI2585" s="1" t="s">
        <v>230</v>
      </c>
      <c r="EL2585" s="1" t="s">
        <v>542</v>
      </c>
      <c r="EM2585" s="1" t="s">
        <v>319</v>
      </c>
      <c r="EN2585" s="1" t="s">
        <v>210</v>
      </c>
      <c r="EO2585" s="1" t="s">
        <v>234</v>
      </c>
      <c r="ER2585" s="1" t="s">
        <v>1069</v>
      </c>
      <c r="ES2585" s="1" t="s">
        <v>545</v>
      </c>
      <c r="EU2585" s="1" t="s">
        <v>239</v>
      </c>
      <c r="EV2585" s="1" t="s">
        <v>240</v>
      </c>
      <c r="EW2585" s="1" t="s">
        <v>353</v>
      </c>
      <c r="EZ2585" s="1" t="s">
        <v>287</v>
      </c>
      <c r="FB2585" s="1" t="s">
        <v>289</v>
      </c>
      <c r="FD2585" s="1" t="s">
        <v>246</v>
      </c>
      <c r="FE2585" s="1" t="s">
        <v>472</v>
      </c>
      <c r="FF2585" s="1" t="s">
        <v>248</v>
      </c>
      <c r="FH2585" s="1" t="s">
        <v>249</v>
      </c>
      <c r="FK2585" s="1" t="s">
        <v>891</v>
      </c>
      <c r="FL2585" s="1" t="s">
        <v>358</v>
      </c>
      <c r="FM2585" s="1" t="s">
        <v>252</v>
      </c>
      <c r="FN2585" s="1" t="s">
        <v>213</v>
      </c>
      <c r="FO2585" s="1" t="s">
        <v>213</v>
      </c>
      <c r="FQ2585" s="1" t="s">
        <v>689</v>
      </c>
      <c r="FR2585" s="1" t="s">
        <v>652</v>
      </c>
      <c r="FS2585" s="1" t="s">
        <v>1856</v>
      </c>
      <c r="FT2585" s="1" t="s">
        <v>654</v>
      </c>
      <c r="FU2585" s="1" t="s">
        <v>204</v>
      </c>
      <c r="FW2585" s="1" t="s">
        <v>1857</v>
      </c>
      <c r="FX2585" s="1">
        <v>22993</v>
      </c>
      <c r="FY2585" s="1" t="s">
        <v>1858</v>
      </c>
      <c r="FZ2585" s="1" t="s">
        <v>1859</v>
      </c>
      <c r="GA2585" s="1">
        <v>233401</v>
      </c>
      <c r="GB2585" s="1" t="s">
        <v>1858</v>
      </c>
      <c r="GD2585" s="1" t="s">
        <v>1860</v>
      </c>
      <c r="GE2585" s="1" t="s">
        <v>210</v>
      </c>
      <c r="GI2585" s="1" t="s">
        <v>213</v>
      </c>
      <c r="GJ2585" s="1" t="s">
        <v>260</v>
      </c>
      <c r="GK2585" s="1" t="s">
        <v>210</v>
      </c>
      <c r="GL2585" s="2">
        <v>42104</v>
      </c>
      <c r="GM2585" s="1" t="s">
        <v>22082</v>
      </c>
    </row>
    <row r="2586" spans="1:195">
      <c r="A2586" s="1">
        <v>326000</v>
      </c>
      <c r="B2586" s="1" t="s">
        <v>195</v>
      </c>
      <c r="C2586" s="1" t="str">
        <f>"08833198"</f>
        <v>08833198</v>
      </c>
      <c r="D2586" s="1" t="s">
        <v>196</v>
      </c>
      <c r="F2586" s="1" t="str">
        <f>"187"</f>
        <v>187</v>
      </c>
      <c r="G2586" s="2">
        <v>42041</v>
      </c>
      <c r="H2586" s="1">
        <v>325000</v>
      </c>
      <c r="I2586" s="1">
        <v>325000</v>
      </c>
      <c r="J2586" s="1">
        <v>326000</v>
      </c>
      <c r="K2586" s="2">
        <v>42041</v>
      </c>
      <c r="L2586" s="1">
        <v>33</v>
      </c>
      <c r="M2586" s="2">
        <v>42073</v>
      </c>
      <c r="N2586" s="1">
        <v>33</v>
      </c>
      <c r="O2586" s="2">
        <v>42073</v>
      </c>
      <c r="P2586" s="1">
        <v>10988</v>
      </c>
      <c r="Q2586" s="1" t="s">
        <v>302</v>
      </c>
      <c r="R2586" s="2">
        <v>42128</v>
      </c>
      <c r="S2586" s="1">
        <v>109432</v>
      </c>
      <c r="U2586" s="1">
        <v>111</v>
      </c>
      <c r="V2586" s="1" t="s">
        <v>964</v>
      </c>
      <c r="W2586" s="1" t="s">
        <v>425</v>
      </c>
      <c r="X2586" s="1">
        <v>301</v>
      </c>
      <c r="Y2586" s="1">
        <v>43</v>
      </c>
      <c r="Z2586" s="1" t="s">
        <v>249</v>
      </c>
      <c r="AA2586" s="1" t="s">
        <v>964</v>
      </c>
      <c r="AB2586" s="1">
        <v>60187</v>
      </c>
      <c r="AD2586" s="1" t="s">
        <v>22083</v>
      </c>
      <c r="AE2586" s="1" t="s">
        <v>22084</v>
      </c>
      <c r="AF2586" s="1">
        <v>2000</v>
      </c>
      <c r="AG2586" s="1" t="s">
        <v>204</v>
      </c>
      <c r="AH2586" s="1" t="s">
        <v>967</v>
      </c>
      <c r="AI2586" s="1" t="s">
        <v>206</v>
      </c>
      <c r="AJ2586" s="1" t="s">
        <v>207</v>
      </c>
      <c r="AL2586" s="1">
        <v>5</v>
      </c>
      <c r="AM2586" s="1">
        <v>2</v>
      </c>
      <c r="AN2586" s="1">
        <v>2</v>
      </c>
      <c r="AO2586" s="1">
        <v>0</v>
      </c>
      <c r="AP2586" s="1" t="s">
        <v>209</v>
      </c>
      <c r="AQ2586" s="1">
        <v>1</v>
      </c>
      <c r="AR2586" s="1" t="s">
        <v>210</v>
      </c>
      <c r="AS2586" s="1" t="s">
        <v>204</v>
      </c>
      <c r="AT2586" s="1" t="s">
        <v>211</v>
      </c>
      <c r="AU2586" s="1">
        <v>1</v>
      </c>
      <c r="AW2586" s="1" t="s">
        <v>204</v>
      </c>
      <c r="AX2586" s="1" t="s">
        <v>212</v>
      </c>
      <c r="AZ2586" s="1">
        <v>5813.86</v>
      </c>
      <c r="BA2586" s="1">
        <v>2013</v>
      </c>
      <c r="BB2586" s="1" t="s">
        <v>405</v>
      </c>
      <c r="BE2586" s="1">
        <v>1480</v>
      </c>
      <c r="BF2586" s="1">
        <v>3</v>
      </c>
      <c r="BG2586" s="1">
        <v>10</v>
      </c>
      <c r="BL2586" s="1">
        <v>420</v>
      </c>
      <c r="BM2586" s="1" t="s">
        <v>204</v>
      </c>
      <c r="BN2586" s="1" t="s">
        <v>213</v>
      </c>
      <c r="BO2586" s="1">
        <v>20</v>
      </c>
      <c r="BP2586" s="1" t="s">
        <v>204</v>
      </c>
      <c r="BR2586" s="1" t="str">
        <f>"0516340022"</f>
        <v>0516340022</v>
      </c>
      <c r="BT2586" s="1" t="s">
        <v>22085</v>
      </c>
      <c r="BU2586" s="1" t="s">
        <v>6454</v>
      </c>
      <c r="BV2586" s="1" t="s">
        <v>6455</v>
      </c>
      <c r="BW2586" s="1" t="s">
        <v>6456</v>
      </c>
      <c r="BX2586" s="1">
        <v>200</v>
      </c>
      <c r="BY2586" s="1">
        <v>200</v>
      </c>
      <c r="BZ2586" s="1">
        <v>200</v>
      </c>
      <c r="CB2586" s="1" t="str">
        <f t="shared" ref="CB2586:CC2586" si="1984">""</f>
        <v/>
      </c>
      <c r="CC2586" s="1" t="str">
        <f t="shared" si="1984"/>
        <v/>
      </c>
      <c r="CG2586" s="1" t="s">
        <v>3035</v>
      </c>
      <c r="CH2586" s="1" t="s">
        <v>219</v>
      </c>
      <c r="CI2586" s="1" t="s">
        <v>438</v>
      </c>
      <c r="CK2586" s="1" t="s">
        <v>729</v>
      </c>
      <c r="CL2586" s="1" t="s">
        <v>219</v>
      </c>
      <c r="CM2586" s="1" t="s">
        <v>220</v>
      </c>
      <c r="CO2586" s="1" t="s">
        <v>378</v>
      </c>
      <c r="CP2586" s="1" t="s">
        <v>219</v>
      </c>
      <c r="CQ2586" s="1" t="s">
        <v>438</v>
      </c>
      <c r="CS2586" s="1" t="s">
        <v>315</v>
      </c>
      <c r="CT2586" s="1" t="s">
        <v>219</v>
      </c>
      <c r="CU2586" s="1" t="s">
        <v>438</v>
      </c>
      <c r="CX2586" s="1" t="s">
        <v>224</v>
      </c>
      <c r="DB2586" s="1" t="s">
        <v>224</v>
      </c>
      <c r="DE2586" s="1" t="s">
        <v>281</v>
      </c>
      <c r="DF2586" s="1" t="s">
        <v>219</v>
      </c>
      <c r="DG2586" s="1" t="s">
        <v>438</v>
      </c>
      <c r="DJ2586" s="1" t="s">
        <v>224</v>
      </c>
      <c r="DM2586" s="1" t="s">
        <v>838</v>
      </c>
      <c r="DN2586" s="1" t="s">
        <v>709</v>
      </c>
      <c r="DO2586" s="1" t="s">
        <v>1771</v>
      </c>
      <c r="DR2586" s="1" t="s">
        <v>20906</v>
      </c>
      <c r="DS2586" s="1" t="s">
        <v>219</v>
      </c>
      <c r="DV2586" s="1" t="s">
        <v>22086</v>
      </c>
      <c r="DW2586" s="1" t="s">
        <v>219</v>
      </c>
      <c r="DX2586" s="1" t="s">
        <v>438</v>
      </c>
      <c r="DZ2586" s="1" t="s">
        <v>5954</v>
      </c>
      <c r="EA2586" s="1" t="s">
        <v>219</v>
      </c>
      <c r="EB2586" s="1" t="s">
        <v>438</v>
      </c>
      <c r="EE2586" s="1" t="s">
        <v>230</v>
      </c>
      <c r="EI2586" s="1" t="s">
        <v>230</v>
      </c>
      <c r="EL2586" s="1" t="s">
        <v>466</v>
      </c>
      <c r="EM2586" s="1" t="s">
        <v>730</v>
      </c>
      <c r="EN2586" s="1" t="s">
        <v>282</v>
      </c>
      <c r="EO2586" s="1" t="s">
        <v>234</v>
      </c>
      <c r="EP2586" s="1" t="s">
        <v>22087</v>
      </c>
      <c r="EQ2586" s="1" t="s">
        <v>236</v>
      </c>
      <c r="ER2586" s="1" t="s">
        <v>210</v>
      </c>
      <c r="ES2586" s="1" t="s">
        <v>3914</v>
      </c>
      <c r="ET2586" s="1" t="s">
        <v>842</v>
      </c>
      <c r="EV2586" s="1" t="s">
        <v>324</v>
      </c>
      <c r="EW2586" s="1" t="s">
        <v>10802</v>
      </c>
      <c r="EY2586" s="1" t="s">
        <v>242</v>
      </c>
      <c r="EZ2586" s="1" t="s">
        <v>14034</v>
      </c>
      <c r="FA2586" s="1" t="s">
        <v>3690</v>
      </c>
      <c r="FB2586" s="1" t="s">
        <v>289</v>
      </c>
      <c r="FC2586" s="1" t="s">
        <v>326</v>
      </c>
      <c r="FD2586" s="1" t="s">
        <v>290</v>
      </c>
      <c r="FE2586" s="1" t="s">
        <v>247</v>
      </c>
      <c r="FF2586" s="1" t="s">
        <v>248</v>
      </c>
      <c r="FG2586" s="1" t="s">
        <v>17213</v>
      </c>
      <c r="FH2586" s="1" t="s">
        <v>249</v>
      </c>
      <c r="FI2586" s="1" t="s">
        <v>3300</v>
      </c>
      <c r="FJ2586" s="1" t="s">
        <v>197</v>
      </c>
      <c r="FL2586" s="1" t="s">
        <v>358</v>
      </c>
      <c r="FM2586" s="1" t="s">
        <v>252</v>
      </c>
      <c r="FN2586" s="1" t="s">
        <v>213</v>
      </c>
      <c r="FO2586" s="1" t="s">
        <v>213</v>
      </c>
      <c r="FQ2586" s="1" t="s">
        <v>2004</v>
      </c>
      <c r="FR2586" s="1" t="s">
        <v>210</v>
      </c>
      <c r="FS2586" s="1" t="s">
        <v>22088</v>
      </c>
      <c r="FT2586" s="1" t="s">
        <v>2589</v>
      </c>
      <c r="FU2586" s="1" t="s">
        <v>213</v>
      </c>
      <c r="FW2586" s="1" t="s">
        <v>14037</v>
      </c>
      <c r="FX2586" s="1">
        <v>15899</v>
      </c>
      <c r="FY2586" s="1" t="s">
        <v>14038</v>
      </c>
      <c r="FZ2586" s="1" t="s">
        <v>14039</v>
      </c>
      <c r="GA2586" s="1">
        <v>141587</v>
      </c>
      <c r="GB2586" s="1" t="s">
        <v>14038</v>
      </c>
      <c r="GD2586" s="1" t="s">
        <v>22089</v>
      </c>
      <c r="GE2586" s="1" t="s">
        <v>210</v>
      </c>
      <c r="GH2586" s="1" t="s">
        <v>230</v>
      </c>
      <c r="GI2586" s="1" t="s">
        <v>213</v>
      </c>
      <c r="GJ2586" s="1" t="s">
        <v>260</v>
      </c>
      <c r="GK2586" s="1" t="s">
        <v>210</v>
      </c>
      <c r="GL2586" s="2">
        <v>42128</v>
      </c>
      <c r="GM2586" s="1" t="s">
        <v>22090</v>
      </c>
    </row>
    <row r="2587" spans="1:195">
      <c r="A2587" s="1">
        <v>175000</v>
      </c>
      <c r="B2587" s="1" t="s">
        <v>195</v>
      </c>
      <c r="C2587" s="1" t="str">
        <f>"08835396"</f>
        <v>08835396</v>
      </c>
      <c r="D2587" s="1" t="s">
        <v>196</v>
      </c>
      <c r="F2587" s="1" t="str">
        <f>"540"</f>
        <v>540</v>
      </c>
      <c r="G2587" s="2">
        <v>42045</v>
      </c>
      <c r="H2587" s="1">
        <v>180000</v>
      </c>
      <c r="I2587" s="1">
        <v>180000</v>
      </c>
      <c r="J2587" s="1">
        <v>175000</v>
      </c>
      <c r="K2587" s="2">
        <v>42045</v>
      </c>
      <c r="L2587" s="1">
        <v>5</v>
      </c>
      <c r="M2587" s="2">
        <v>42049</v>
      </c>
      <c r="N2587" s="1">
        <v>5</v>
      </c>
      <c r="O2587" s="2">
        <v>42049</v>
      </c>
      <c r="P2587" s="1">
        <v>25373</v>
      </c>
      <c r="Q2587" s="1" t="s">
        <v>423</v>
      </c>
      <c r="R2587" s="2">
        <v>42087</v>
      </c>
      <c r="S2587" s="1">
        <v>251924</v>
      </c>
      <c r="U2587" s="1">
        <v>1265</v>
      </c>
      <c r="V2587" s="1" t="s">
        <v>11016</v>
      </c>
      <c r="W2587" s="1" t="s">
        <v>504</v>
      </c>
      <c r="Y2587" s="1">
        <v>8</v>
      </c>
      <c r="Z2587" s="1" t="s">
        <v>249</v>
      </c>
      <c r="AA2587" s="1" t="s">
        <v>921</v>
      </c>
      <c r="AB2587" s="1">
        <v>60540</v>
      </c>
      <c r="AD2587" s="1" t="s">
        <v>11017</v>
      </c>
      <c r="AE2587" s="1" t="s">
        <v>22091</v>
      </c>
      <c r="AF2587" s="1">
        <v>1993</v>
      </c>
      <c r="AG2587" s="1" t="s">
        <v>204</v>
      </c>
      <c r="AH2587" s="1" t="s">
        <v>924</v>
      </c>
      <c r="AI2587" s="1" t="s">
        <v>206</v>
      </c>
      <c r="AJ2587" s="1" t="s">
        <v>924</v>
      </c>
      <c r="AL2587" s="1">
        <v>4</v>
      </c>
      <c r="AM2587" s="1">
        <v>2</v>
      </c>
      <c r="AN2587" s="1">
        <v>2</v>
      </c>
      <c r="AO2587" s="1">
        <v>1</v>
      </c>
      <c r="AP2587" s="1" t="s">
        <v>209</v>
      </c>
      <c r="AQ2587" s="1">
        <v>1</v>
      </c>
      <c r="AR2587" s="1" t="s">
        <v>210</v>
      </c>
      <c r="AS2587" s="1" t="s">
        <v>204</v>
      </c>
      <c r="AT2587" s="1" t="s">
        <v>211</v>
      </c>
      <c r="AU2587" s="1">
        <v>1</v>
      </c>
      <c r="AW2587" s="1" t="s">
        <v>204</v>
      </c>
      <c r="AX2587" s="1" t="s">
        <v>212</v>
      </c>
      <c r="AZ2587" s="1">
        <v>3931</v>
      </c>
      <c r="BA2587" s="1">
        <v>2013</v>
      </c>
      <c r="BB2587" s="1" t="s">
        <v>210</v>
      </c>
      <c r="BE2587" s="1">
        <v>1434</v>
      </c>
      <c r="BF2587" s="1">
        <v>1</v>
      </c>
      <c r="BG2587" s="1">
        <v>0</v>
      </c>
      <c r="BL2587" s="1">
        <v>269</v>
      </c>
      <c r="BM2587" s="1" t="s">
        <v>204</v>
      </c>
      <c r="BN2587" s="1" t="s">
        <v>213</v>
      </c>
      <c r="BO2587" s="1">
        <v>999</v>
      </c>
      <c r="BP2587" s="1" t="s">
        <v>204</v>
      </c>
      <c r="BR2587" s="1" t="str">
        <f>"0726213104"</f>
        <v>0726213104</v>
      </c>
      <c r="BT2587" s="1" t="s">
        <v>22092</v>
      </c>
      <c r="BU2587" s="1" t="s">
        <v>3988</v>
      </c>
      <c r="BV2587" s="1" t="s">
        <v>1248</v>
      </c>
      <c r="BW2587" s="1" t="s">
        <v>1131</v>
      </c>
      <c r="BX2587" s="1">
        <v>204</v>
      </c>
      <c r="BY2587" s="1">
        <v>204</v>
      </c>
      <c r="BZ2587" s="1">
        <v>204</v>
      </c>
      <c r="CB2587" s="1" t="str">
        <f t="shared" ref="CB2587:CC2587" si="1985">""</f>
        <v/>
      </c>
      <c r="CC2587" s="1" t="str">
        <f t="shared" si="1985"/>
        <v/>
      </c>
      <c r="CG2587" s="1" t="s">
        <v>1045</v>
      </c>
      <c r="CH2587" s="1" t="s">
        <v>219</v>
      </c>
      <c r="CI2587" s="1" t="s">
        <v>229</v>
      </c>
      <c r="CJ2587" s="1" t="s">
        <v>343</v>
      </c>
      <c r="CK2587" s="1" t="s">
        <v>344</v>
      </c>
      <c r="CL2587" s="1" t="s">
        <v>277</v>
      </c>
      <c r="CM2587" s="1" t="s">
        <v>220</v>
      </c>
      <c r="CN2587" s="1" t="s">
        <v>343</v>
      </c>
      <c r="CP2587" s="1" t="s">
        <v>224</v>
      </c>
      <c r="CS2587" s="1" t="s">
        <v>1045</v>
      </c>
      <c r="CT2587" s="1" t="s">
        <v>277</v>
      </c>
      <c r="CU2587" s="1" t="s">
        <v>220</v>
      </c>
      <c r="CV2587" s="1" t="s">
        <v>343</v>
      </c>
      <c r="CX2587" s="1" t="s">
        <v>224</v>
      </c>
      <c r="DB2587" s="1" t="s">
        <v>224</v>
      </c>
      <c r="DE2587" s="1" t="s">
        <v>22093</v>
      </c>
      <c r="DF2587" s="1" t="s">
        <v>219</v>
      </c>
      <c r="DG2587" s="1" t="s">
        <v>229</v>
      </c>
      <c r="DH2587" s="1" t="s">
        <v>343</v>
      </c>
      <c r="DJ2587" s="1" t="s">
        <v>224</v>
      </c>
      <c r="DS2587" s="1" t="s">
        <v>230</v>
      </c>
      <c r="DW2587" s="1" t="s">
        <v>230</v>
      </c>
      <c r="EA2587" s="1" t="s">
        <v>230</v>
      </c>
      <c r="EE2587" s="1" t="s">
        <v>230</v>
      </c>
      <c r="EI2587" s="1" t="s">
        <v>230</v>
      </c>
      <c r="EL2587" s="1" t="s">
        <v>382</v>
      </c>
      <c r="EM2587" s="1" t="s">
        <v>232</v>
      </c>
      <c r="EN2587" s="1" t="s">
        <v>282</v>
      </c>
      <c r="EO2587" s="1" t="s">
        <v>840</v>
      </c>
      <c r="EP2587" s="1" t="s">
        <v>349</v>
      </c>
      <c r="EQ2587" s="1" t="s">
        <v>236</v>
      </c>
      <c r="ER2587" s="1" t="s">
        <v>210</v>
      </c>
      <c r="ES2587" s="1" t="s">
        <v>322</v>
      </c>
      <c r="ET2587" s="1" t="s">
        <v>238</v>
      </c>
      <c r="EU2587" s="1" t="s">
        <v>239</v>
      </c>
      <c r="EW2587" s="1" t="s">
        <v>6385</v>
      </c>
      <c r="EZ2587" s="1" t="s">
        <v>287</v>
      </c>
      <c r="FA2587" s="1" t="s">
        <v>3624</v>
      </c>
      <c r="FB2587" s="1" t="s">
        <v>289</v>
      </c>
      <c r="FC2587" s="1" t="s">
        <v>1362</v>
      </c>
      <c r="FD2587" s="1" t="s">
        <v>246</v>
      </c>
      <c r="FE2587" s="1" t="s">
        <v>386</v>
      </c>
      <c r="FF2587" s="1" t="s">
        <v>248</v>
      </c>
      <c r="FG2587" s="1" t="s">
        <v>871</v>
      </c>
      <c r="FH2587" s="1" t="s">
        <v>550</v>
      </c>
      <c r="FI2587" s="1" t="s">
        <v>473</v>
      </c>
      <c r="FL2587" s="1" t="s">
        <v>414</v>
      </c>
      <c r="FM2587" s="1" t="s">
        <v>252</v>
      </c>
      <c r="FN2587" s="1" t="s">
        <v>213</v>
      </c>
      <c r="FO2587" s="1" t="s">
        <v>213</v>
      </c>
      <c r="FQ2587" s="1" t="s">
        <v>913</v>
      </c>
      <c r="FR2587" s="1" t="s">
        <v>210</v>
      </c>
      <c r="FS2587" s="1" t="s">
        <v>22094</v>
      </c>
      <c r="FT2587" s="1" t="s">
        <v>295</v>
      </c>
      <c r="FU2587" s="1" t="s">
        <v>204</v>
      </c>
      <c r="FW2587" s="1" t="s">
        <v>915</v>
      </c>
      <c r="FX2587" s="1">
        <v>23076</v>
      </c>
      <c r="FY2587" s="1" t="s">
        <v>1909</v>
      </c>
      <c r="FZ2587" s="1" t="s">
        <v>22095</v>
      </c>
      <c r="GA2587" s="1">
        <v>216120</v>
      </c>
      <c r="GB2587" s="1" t="s">
        <v>22096</v>
      </c>
      <c r="GC2587" s="1">
        <v>222668</v>
      </c>
      <c r="GE2587" s="1" t="s">
        <v>1576</v>
      </c>
      <c r="GI2587" s="1" t="s">
        <v>213</v>
      </c>
      <c r="GJ2587" s="1" t="s">
        <v>260</v>
      </c>
      <c r="GK2587" s="1" t="s">
        <v>210</v>
      </c>
      <c r="GL2587" s="2">
        <v>42087</v>
      </c>
    </row>
    <row r="2588" spans="1:195">
      <c r="A2588" s="1">
        <v>198000</v>
      </c>
      <c r="B2588" s="1" t="s">
        <v>195</v>
      </c>
      <c r="C2588" s="1" t="str">
        <f>"08835411"</f>
        <v>08835411</v>
      </c>
      <c r="D2588" s="1" t="s">
        <v>196</v>
      </c>
      <c r="F2588" s="1" t="str">
        <f>"101"</f>
        <v>101</v>
      </c>
      <c r="G2588" s="2">
        <v>42045</v>
      </c>
      <c r="H2588" s="1">
        <v>200000</v>
      </c>
      <c r="I2588" s="1">
        <v>200000</v>
      </c>
      <c r="J2588" s="1">
        <v>198000</v>
      </c>
      <c r="K2588" s="2">
        <v>42045</v>
      </c>
      <c r="L2588" s="1">
        <v>6</v>
      </c>
      <c r="M2588" s="2">
        <v>42050</v>
      </c>
      <c r="N2588" s="1">
        <v>6</v>
      </c>
      <c r="O2588" s="2">
        <v>42050</v>
      </c>
      <c r="P2588" s="1">
        <v>13691</v>
      </c>
      <c r="Q2588" s="1" t="s">
        <v>423</v>
      </c>
      <c r="R2588" s="2">
        <v>42095</v>
      </c>
      <c r="S2588" s="1">
        <v>875353</v>
      </c>
      <c r="U2588" s="1">
        <v>2185</v>
      </c>
      <c r="V2588" s="1" t="s">
        <v>3639</v>
      </c>
      <c r="W2588" s="1" t="s">
        <v>504</v>
      </c>
      <c r="X2588" s="1">
        <v>2185</v>
      </c>
      <c r="Y2588" s="1">
        <v>5</v>
      </c>
      <c r="Z2588" s="1" t="s">
        <v>370</v>
      </c>
      <c r="AA2588" s="1" t="s">
        <v>2631</v>
      </c>
      <c r="AB2588" s="1">
        <v>60148</v>
      </c>
      <c r="AD2588" s="1" t="s">
        <v>18611</v>
      </c>
      <c r="AE2588" s="1" t="s">
        <v>22097</v>
      </c>
      <c r="AF2588" s="1">
        <v>2002</v>
      </c>
      <c r="AG2588" s="1" t="s">
        <v>204</v>
      </c>
      <c r="AH2588" s="1" t="s">
        <v>1233</v>
      </c>
      <c r="AI2588" s="1" t="s">
        <v>206</v>
      </c>
      <c r="AJ2588" s="1" t="s">
        <v>269</v>
      </c>
      <c r="AL2588" s="1">
        <v>6</v>
      </c>
      <c r="AM2588" s="1">
        <v>2</v>
      </c>
      <c r="AN2588" s="1">
        <v>1</v>
      </c>
      <c r="AO2588" s="1">
        <v>1</v>
      </c>
      <c r="AP2588" s="1" t="s">
        <v>667</v>
      </c>
      <c r="AQ2588" s="1">
        <v>1</v>
      </c>
      <c r="AR2588" s="1" t="s">
        <v>1421</v>
      </c>
      <c r="AS2588" s="1" t="s">
        <v>204</v>
      </c>
      <c r="AT2588" s="1" t="s">
        <v>375</v>
      </c>
      <c r="AU2588" s="1">
        <v>2</v>
      </c>
      <c r="AV2588" s="1">
        <v>2</v>
      </c>
      <c r="AW2588" s="1" t="s">
        <v>204</v>
      </c>
      <c r="AX2588" s="1" t="s">
        <v>212</v>
      </c>
      <c r="AZ2588" s="1">
        <v>6174</v>
      </c>
      <c r="BA2588" s="1">
        <v>2013</v>
      </c>
      <c r="BB2588" s="1" t="s">
        <v>405</v>
      </c>
      <c r="BE2588" s="1">
        <v>1804</v>
      </c>
      <c r="BF2588" s="1">
        <v>1</v>
      </c>
      <c r="BG2588" s="1">
        <v>0</v>
      </c>
      <c r="BL2588" s="1">
        <v>208</v>
      </c>
      <c r="BM2588" s="1" t="s">
        <v>204</v>
      </c>
      <c r="BN2588" s="1" t="s">
        <v>213</v>
      </c>
      <c r="BO2588" s="1">
        <v>999</v>
      </c>
      <c r="BP2588" s="1" t="s">
        <v>204</v>
      </c>
      <c r="BR2588" s="1" t="str">
        <f>"0225309032"</f>
        <v>0225309032</v>
      </c>
      <c r="BT2588" s="1" t="s">
        <v>22098</v>
      </c>
      <c r="BU2588" s="1" t="s">
        <v>3570</v>
      </c>
      <c r="BV2588" s="1" t="s">
        <v>2015</v>
      </c>
      <c r="BW2588" s="1" t="s">
        <v>1935</v>
      </c>
      <c r="BX2588" s="1">
        <v>15</v>
      </c>
      <c r="BY2588" s="1">
        <v>15</v>
      </c>
      <c r="BZ2588" s="1">
        <v>87</v>
      </c>
      <c r="CB2588" s="1" t="str">
        <f>"3"</f>
        <v>3</v>
      </c>
      <c r="CC2588" s="1" t="str">
        <f>"0"</f>
        <v>0</v>
      </c>
      <c r="CD2588" s="1">
        <v>21</v>
      </c>
      <c r="CE2588" s="1">
        <v>0</v>
      </c>
      <c r="CG2588" s="1" t="s">
        <v>602</v>
      </c>
      <c r="CH2588" s="1" t="s">
        <v>219</v>
      </c>
      <c r="CI2588" s="1" t="s">
        <v>220</v>
      </c>
      <c r="CK2588" s="1" t="s">
        <v>377</v>
      </c>
      <c r="CL2588" s="1" t="s">
        <v>277</v>
      </c>
      <c r="CM2588" s="1" t="s">
        <v>220</v>
      </c>
      <c r="CO2588" s="1" t="s">
        <v>837</v>
      </c>
      <c r="CP2588" s="1" t="s">
        <v>219</v>
      </c>
      <c r="CQ2588" s="1" t="s">
        <v>220</v>
      </c>
      <c r="CS2588" s="1" t="s">
        <v>317</v>
      </c>
      <c r="CT2588" s="1" t="s">
        <v>277</v>
      </c>
      <c r="CU2588" s="1" t="s">
        <v>220</v>
      </c>
      <c r="CX2588" s="1" t="s">
        <v>224</v>
      </c>
      <c r="DB2588" s="1" t="s">
        <v>224</v>
      </c>
      <c r="DE2588" s="1" t="s">
        <v>437</v>
      </c>
      <c r="DF2588" s="1" t="s">
        <v>219</v>
      </c>
      <c r="DG2588" s="1" t="s">
        <v>226</v>
      </c>
      <c r="DI2588" s="1" t="s">
        <v>221</v>
      </c>
      <c r="DJ2588" s="1" t="s">
        <v>43</v>
      </c>
      <c r="DK2588" s="1" t="s">
        <v>229</v>
      </c>
      <c r="DS2588" s="1" t="s">
        <v>230</v>
      </c>
      <c r="DW2588" s="1" t="s">
        <v>230</v>
      </c>
      <c r="EA2588" s="1" t="s">
        <v>230</v>
      </c>
      <c r="EE2588" s="1" t="s">
        <v>230</v>
      </c>
      <c r="EI2588" s="1" t="s">
        <v>230</v>
      </c>
      <c r="EL2588" s="1" t="s">
        <v>466</v>
      </c>
      <c r="EM2588" s="1" t="s">
        <v>232</v>
      </c>
      <c r="EN2588" s="1" t="s">
        <v>282</v>
      </c>
      <c r="EO2588" s="1" t="s">
        <v>234</v>
      </c>
      <c r="EP2588" s="1" t="s">
        <v>650</v>
      </c>
      <c r="EQ2588" s="1" t="s">
        <v>2188</v>
      </c>
      <c r="ER2588" s="1" t="s">
        <v>8320</v>
      </c>
      <c r="ES2588" s="1" t="s">
        <v>954</v>
      </c>
      <c r="ET2588" s="1" t="s">
        <v>866</v>
      </c>
      <c r="EU2588" s="1" t="s">
        <v>22099</v>
      </c>
      <c r="EV2588" s="1" t="s">
        <v>240</v>
      </c>
      <c r="EW2588" s="1" t="s">
        <v>867</v>
      </c>
      <c r="EY2588" s="1" t="s">
        <v>242</v>
      </c>
      <c r="EZ2588" s="1" t="s">
        <v>287</v>
      </c>
      <c r="FB2588" s="1" t="s">
        <v>289</v>
      </c>
      <c r="FD2588" s="1" t="s">
        <v>246</v>
      </c>
      <c r="FE2588" s="1" t="s">
        <v>549</v>
      </c>
      <c r="FF2588" s="1" t="s">
        <v>248</v>
      </c>
      <c r="FG2588" s="1" t="s">
        <v>292</v>
      </c>
      <c r="FH2588" s="1" t="s">
        <v>2175</v>
      </c>
      <c r="FK2588" s="1" t="s">
        <v>768</v>
      </c>
      <c r="FL2588" s="1" t="s">
        <v>414</v>
      </c>
      <c r="FM2588" s="1" t="s">
        <v>252</v>
      </c>
      <c r="FN2588" s="1" t="s">
        <v>213</v>
      </c>
      <c r="FO2588" s="1" t="s">
        <v>213</v>
      </c>
      <c r="FQ2588" s="1" t="s">
        <v>2017</v>
      </c>
      <c r="FR2588" s="1" t="s">
        <v>210</v>
      </c>
      <c r="FS2588" s="1" t="s">
        <v>22100</v>
      </c>
      <c r="FT2588" s="1" t="s">
        <v>255</v>
      </c>
      <c r="FU2588" s="1" t="s">
        <v>213</v>
      </c>
      <c r="FW2588" s="1" t="s">
        <v>2019</v>
      </c>
      <c r="FX2588" s="1">
        <v>24007</v>
      </c>
      <c r="FY2588" s="1" t="s">
        <v>2020</v>
      </c>
      <c r="FZ2588" s="1" t="s">
        <v>22101</v>
      </c>
      <c r="GA2588" s="1">
        <v>235870</v>
      </c>
      <c r="GB2588" s="1" t="s">
        <v>22102</v>
      </c>
      <c r="GE2588" s="1" t="s">
        <v>210</v>
      </c>
      <c r="GH2588" s="1" t="s">
        <v>589</v>
      </c>
      <c r="GI2588" s="1" t="s">
        <v>213</v>
      </c>
      <c r="GJ2588" s="1" t="s">
        <v>260</v>
      </c>
      <c r="GK2588" s="1" t="s">
        <v>210</v>
      </c>
      <c r="GL2588" s="2">
        <v>42095</v>
      </c>
      <c r="GM2588" s="1" t="s">
        <v>22103</v>
      </c>
    </row>
    <row r="2589" spans="1:195">
      <c r="A2589" s="1">
        <v>173000</v>
      </c>
      <c r="B2589" s="1" t="s">
        <v>195</v>
      </c>
      <c r="C2589" s="1" t="str">
        <f>"08837818"</f>
        <v>08837818</v>
      </c>
      <c r="D2589" s="1" t="s">
        <v>196</v>
      </c>
      <c r="F2589" s="1" t="str">
        <f>"510"</f>
        <v>510</v>
      </c>
      <c r="G2589" s="2">
        <v>42048</v>
      </c>
      <c r="H2589" s="1">
        <v>187000</v>
      </c>
      <c r="I2589" s="1">
        <v>180000</v>
      </c>
      <c r="J2589" s="1">
        <v>173000</v>
      </c>
      <c r="K2589" s="2">
        <v>42048</v>
      </c>
      <c r="L2589" s="1">
        <v>69</v>
      </c>
      <c r="M2589" s="2">
        <v>42116</v>
      </c>
      <c r="N2589" s="1">
        <v>69</v>
      </c>
      <c r="O2589" s="2">
        <v>42116</v>
      </c>
      <c r="P2589" s="1">
        <v>22029</v>
      </c>
      <c r="Q2589" s="1" t="s">
        <v>197</v>
      </c>
      <c r="R2589" s="2">
        <v>42145</v>
      </c>
      <c r="S2589" s="1">
        <v>237928</v>
      </c>
      <c r="T2589" s="1">
        <v>2000</v>
      </c>
      <c r="U2589" s="1">
        <v>313</v>
      </c>
      <c r="V2589" s="1" t="s">
        <v>22104</v>
      </c>
      <c r="W2589" s="1" t="s">
        <v>504</v>
      </c>
      <c r="Y2589" s="1">
        <v>3</v>
      </c>
      <c r="Z2589" s="1" t="s">
        <v>249</v>
      </c>
      <c r="AA2589" s="1" t="s">
        <v>947</v>
      </c>
      <c r="AB2589" s="1">
        <v>60510</v>
      </c>
      <c r="AD2589" s="1" t="s">
        <v>22105</v>
      </c>
      <c r="AE2589" s="1" t="s">
        <v>22106</v>
      </c>
      <c r="AF2589" s="1">
        <v>2002</v>
      </c>
      <c r="AG2589" s="1" t="s">
        <v>204</v>
      </c>
      <c r="AH2589" s="1" t="s">
        <v>949</v>
      </c>
      <c r="AI2589" s="1" t="s">
        <v>665</v>
      </c>
      <c r="AJ2589" s="1" t="s">
        <v>664</v>
      </c>
      <c r="AL2589" s="1">
        <v>5</v>
      </c>
      <c r="AM2589" s="1">
        <v>2</v>
      </c>
      <c r="AN2589" s="1">
        <v>2</v>
      </c>
      <c r="AO2589" s="1">
        <v>1</v>
      </c>
      <c r="AP2589" s="1" t="s">
        <v>209</v>
      </c>
      <c r="AQ2589" s="1">
        <v>1</v>
      </c>
      <c r="AR2589" s="1" t="s">
        <v>1483</v>
      </c>
      <c r="AS2589" s="1" t="s">
        <v>204</v>
      </c>
      <c r="AT2589" s="1" t="s">
        <v>211</v>
      </c>
      <c r="AU2589" s="1">
        <v>2</v>
      </c>
      <c r="AW2589" s="1" t="s">
        <v>204</v>
      </c>
      <c r="AX2589" s="1" t="s">
        <v>212</v>
      </c>
      <c r="AZ2589" s="1">
        <v>5587.74</v>
      </c>
      <c r="BA2589" s="1">
        <v>2013</v>
      </c>
      <c r="BB2589" s="1" t="s">
        <v>405</v>
      </c>
      <c r="BE2589" s="1">
        <v>1867</v>
      </c>
      <c r="BF2589" s="1">
        <v>1</v>
      </c>
      <c r="BG2589" s="1">
        <v>0</v>
      </c>
      <c r="BL2589" s="1">
        <v>191</v>
      </c>
      <c r="BM2589" s="1" t="s">
        <v>204</v>
      </c>
      <c r="BN2589" s="1" t="s">
        <v>213</v>
      </c>
      <c r="BO2589" s="1">
        <v>0</v>
      </c>
      <c r="BP2589" s="1" t="s">
        <v>204</v>
      </c>
      <c r="BR2589" s="1" t="str">
        <f>"1217474004"</f>
        <v>1217474004</v>
      </c>
      <c r="BT2589" s="1" t="s">
        <v>22107</v>
      </c>
      <c r="BU2589" s="1" t="s">
        <v>19235</v>
      </c>
      <c r="BV2589" s="1" t="s">
        <v>6404</v>
      </c>
      <c r="BW2589" s="1" t="s">
        <v>6405</v>
      </c>
      <c r="BX2589" s="1">
        <v>101</v>
      </c>
      <c r="BY2589" s="1">
        <v>101</v>
      </c>
      <c r="BZ2589" s="1">
        <v>101</v>
      </c>
      <c r="CB2589" s="1" t="str">
        <f t="shared" ref="CB2589:CC2589" si="1986">""</f>
        <v/>
      </c>
      <c r="CC2589" s="1" t="str">
        <f t="shared" si="1986"/>
        <v/>
      </c>
      <c r="CG2589" s="1" t="s">
        <v>1570</v>
      </c>
      <c r="CH2589" s="1" t="s">
        <v>219</v>
      </c>
      <c r="CI2589" s="1" t="s">
        <v>220</v>
      </c>
      <c r="CJ2589" s="1" t="s">
        <v>210</v>
      </c>
      <c r="CK2589" s="1" t="s">
        <v>729</v>
      </c>
      <c r="CL2589" s="1" t="s">
        <v>277</v>
      </c>
      <c r="CM2589" s="1" t="s">
        <v>220</v>
      </c>
      <c r="CN2589" s="1" t="s">
        <v>210</v>
      </c>
      <c r="CO2589" s="1" t="s">
        <v>1297</v>
      </c>
      <c r="CP2589" s="1" t="s">
        <v>219</v>
      </c>
      <c r="CQ2589" s="1" t="s">
        <v>220</v>
      </c>
      <c r="CR2589" s="1" t="s">
        <v>210</v>
      </c>
      <c r="CS2589" s="1" t="s">
        <v>1297</v>
      </c>
      <c r="CT2589" s="1" t="s">
        <v>277</v>
      </c>
      <c r="CU2589" s="1" t="s">
        <v>220</v>
      </c>
      <c r="CV2589" s="1" t="s">
        <v>210</v>
      </c>
      <c r="CX2589" s="1" t="s">
        <v>224</v>
      </c>
      <c r="DB2589" s="1" t="s">
        <v>224</v>
      </c>
      <c r="DE2589" s="1" t="s">
        <v>317</v>
      </c>
      <c r="DF2589" s="1" t="s">
        <v>219</v>
      </c>
      <c r="DG2589" s="1" t="s">
        <v>342</v>
      </c>
      <c r="DJ2589" s="1" t="s">
        <v>224</v>
      </c>
      <c r="DS2589" s="1" t="s">
        <v>230</v>
      </c>
      <c r="DW2589" s="1" t="s">
        <v>230</v>
      </c>
      <c r="EA2589" s="1" t="s">
        <v>230</v>
      </c>
      <c r="EE2589" s="1" t="s">
        <v>230</v>
      </c>
      <c r="EI2589" s="1" t="s">
        <v>230</v>
      </c>
      <c r="EL2589" s="1" t="s">
        <v>466</v>
      </c>
      <c r="EM2589" s="1" t="s">
        <v>319</v>
      </c>
      <c r="EN2589" s="1" t="s">
        <v>282</v>
      </c>
      <c r="EO2589" s="1" t="s">
        <v>234</v>
      </c>
      <c r="EP2589" s="1" t="s">
        <v>4830</v>
      </c>
      <c r="EQ2589" s="1" t="s">
        <v>236</v>
      </c>
      <c r="ER2589" s="1" t="s">
        <v>1249</v>
      </c>
      <c r="ES2589" s="1" t="s">
        <v>1552</v>
      </c>
      <c r="ET2589" s="1" t="s">
        <v>842</v>
      </c>
      <c r="EU2589" s="1" t="s">
        <v>712</v>
      </c>
      <c r="EV2589" s="1" t="s">
        <v>324</v>
      </c>
      <c r="EW2589" s="1" t="s">
        <v>887</v>
      </c>
      <c r="EY2589" s="1" t="s">
        <v>242</v>
      </c>
      <c r="EZ2589" s="1" t="s">
        <v>287</v>
      </c>
      <c r="FA2589" s="1" t="s">
        <v>9249</v>
      </c>
      <c r="FB2589" s="1" t="s">
        <v>289</v>
      </c>
      <c r="FC2589" s="1" t="s">
        <v>326</v>
      </c>
      <c r="FD2589" s="1" t="s">
        <v>246</v>
      </c>
      <c r="FE2589" s="1" t="s">
        <v>975</v>
      </c>
      <c r="FF2589" s="1" t="s">
        <v>248</v>
      </c>
      <c r="FG2589" s="1" t="s">
        <v>912</v>
      </c>
      <c r="FH2589" s="1" t="s">
        <v>550</v>
      </c>
      <c r="FI2589" s="1" t="s">
        <v>357</v>
      </c>
      <c r="FJ2589" s="1" t="s">
        <v>197</v>
      </c>
      <c r="FL2589" s="1" t="s">
        <v>358</v>
      </c>
      <c r="FM2589" s="1" t="s">
        <v>252</v>
      </c>
      <c r="FN2589" s="1" t="s">
        <v>213</v>
      </c>
      <c r="FO2589" s="1" t="s">
        <v>204</v>
      </c>
      <c r="FQ2589" s="1" t="s">
        <v>2417</v>
      </c>
      <c r="FR2589" s="1" t="s">
        <v>210</v>
      </c>
      <c r="FS2589" s="1" t="s">
        <v>22108</v>
      </c>
      <c r="FT2589" s="1" t="s">
        <v>295</v>
      </c>
      <c r="FU2589" s="1" t="s">
        <v>204</v>
      </c>
      <c r="FW2589" s="1" t="s">
        <v>813</v>
      </c>
      <c r="FX2589" s="1">
        <v>771</v>
      </c>
      <c r="FY2589" s="1" t="s">
        <v>5306</v>
      </c>
      <c r="FZ2589" s="1" t="s">
        <v>22109</v>
      </c>
      <c r="GA2589" s="1">
        <v>1506</v>
      </c>
      <c r="GD2589" s="1" t="s">
        <v>22110</v>
      </c>
      <c r="GE2589" s="1" t="s">
        <v>480</v>
      </c>
      <c r="GI2589" s="1" t="s">
        <v>213</v>
      </c>
      <c r="GJ2589" s="1" t="s">
        <v>260</v>
      </c>
      <c r="GK2589" s="1" t="s">
        <v>210</v>
      </c>
      <c r="GL2589" s="2">
        <v>42145</v>
      </c>
      <c r="GM2589" s="1" t="s">
        <v>22111</v>
      </c>
    </row>
    <row r="2590" spans="1:195">
      <c r="A2590" s="1">
        <v>136000</v>
      </c>
      <c r="B2590" s="1" t="s">
        <v>195</v>
      </c>
      <c r="C2590" s="1" t="str">
        <f>"08831647"</f>
        <v>08831647</v>
      </c>
      <c r="D2590" s="1" t="s">
        <v>196</v>
      </c>
      <c r="F2590" s="1" t="str">
        <f>"107"</f>
        <v>107</v>
      </c>
      <c r="G2590" s="2">
        <v>42040</v>
      </c>
      <c r="H2590" s="1">
        <v>139900</v>
      </c>
      <c r="I2590" s="1">
        <v>139900</v>
      </c>
      <c r="J2590" s="1">
        <v>136000</v>
      </c>
      <c r="K2590" s="2">
        <v>42040</v>
      </c>
      <c r="L2590" s="1">
        <v>194</v>
      </c>
      <c r="M2590" s="2">
        <v>42075</v>
      </c>
      <c r="N2590" s="1">
        <v>36</v>
      </c>
      <c r="O2590" s="2">
        <v>42075</v>
      </c>
      <c r="P2590" s="1">
        <v>8079</v>
      </c>
      <c r="Q2590" s="1" t="s">
        <v>423</v>
      </c>
      <c r="R2590" s="2">
        <v>42130</v>
      </c>
      <c r="S2590" s="1">
        <v>81101</v>
      </c>
      <c r="U2590" s="1">
        <v>1926</v>
      </c>
      <c r="V2590" s="1" t="s">
        <v>18527</v>
      </c>
      <c r="W2590" s="1" t="s">
        <v>504</v>
      </c>
      <c r="Y2590" s="1">
        <v>4</v>
      </c>
      <c r="Z2590" s="1" t="s">
        <v>249</v>
      </c>
      <c r="AA2590" s="1" t="s">
        <v>1211</v>
      </c>
      <c r="AB2590" s="1">
        <v>60107</v>
      </c>
      <c r="AC2590" s="1">
        <v>1977</v>
      </c>
      <c r="AD2590" s="1" t="s">
        <v>18528</v>
      </c>
      <c r="AE2590" s="1" t="s">
        <v>22112</v>
      </c>
      <c r="AF2590" s="1">
        <v>1989</v>
      </c>
      <c r="AG2590" s="1" t="s">
        <v>204</v>
      </c>
      <c r="AH2590" s="1" t="s">
        <v>1214</v>
      </c>
      <c r="AI2590" s="1" t="s">
        <v>310</v>
      </c>
      <c r="AJ2590" s="1" t="s">
        <v>1717</v>
      </c>
      <c r="AK2590" s="1" t="s">
        <v>12647</v>
      </c>
      <c r="AL2590" s="1">
        <v>4</v>
      </c>
      <c r="AM2590" s="1">
        <v>2</v>
      </c>
      <c r="AN2590" s="1">
        <v>2</v>
      </c>
      <c r="AO2590" s="1">
        <v>0</v>
      </c>
      <c r="AP2590" s="1" t="s">
        <v>209</v>
      </c>
      <c r="AR2590" s="1" t="s">
        <v>210</v>
      </c>
      <c r="AT2590" s="1" t="s">
        <v>211</v>
      </c>
      <c r="AU2590" s="1">
        <v>1</v>
      </c>
      <c r="AW2590" s="1" t="s">
        <v>204</v>
      </c>
      <c r="AX2590" s="1" t="s">
        <v>212</v>
      </c>
      <c r="AZ2590" s="1">
        <v>1173.68</v>
      </c>
      <c r="BA2590" s="1">
        <v>2013</v>
      </c>
      <c r="BB2590" s="1" t="s">
        <v>599</v>
      </c>
      <c r="BE2590" s="1">
        <v>1192</v>
      </c>
      <c r="BF2590" s="1">
        <v>1</v>
      </c>
      <c r="BG2590" s="1">
        <v>30</v>
      </c>
      <c r="BL2590" s="1">
        <v>245</v>
      </c>
      <c r="BM2590" s="1" t="s">
        <v>204</v>
      </c>
      <c r="BN2590" s="1" t="s">
        <v>213</v>
      </c>
      <c r="BO2590" s="1">
        <v>60</v>
      </c>
      <c r="BP2590" s="1" t="s">
        <v>204</v>
      </c>
      <c r="BR2590" s="1" t="str">
        <f>"07183999181068"</f>
        <v>07183999181068</v>
      </c>
      <c r="BT2590" s="1" t="s">
        <v>22113</v>
      </c>
      <c r="BU2590" s="1" t="s">
        <v>20363</v>
      </c>
      <c r="BV2590" s="1" t="s">
        <v>3098</v>
      </c>
      <c r="BW2590" s="1" t="s">
        <v>2030</v>
      </c>
      <c r="BX2590" s="1">
        <v>54</v>
      </c>
      <c r="BY2590" s="1">
        <v>54</v>
      </c>
      <c r="BZ2590" s="1">
        <v>211</v>
      </c>
      <c r="CB2590" s="1" t="str">
        <f>"11"</f>
        <v>11</v>
      </c>
      <c r="CC2590" s="1" t="str">
        <f>"0"</f>
        <v>0</v>
      </c>
      <c r="CD2590" s="1">
        <v>26</v>
      </c>
      <c r="CE2590" s="1">
        <v>0</v>
      </c>
      <c r="CG2590" s="1" t="s">
        <v>9891</v>
      </c>
      <c r="CH2590" s="1" t="s">
        <v>219</v>
      </c>
      <c r="CI2590" s="1" t="s">
        <v>220</v>
      </c>
      <c r="CJ2590" s="1" t="s">
        <v>343</v>
      </c>
      <c r="CK2590" s="1" t="s">
        <v>539</v>
      </c>
      <c r="CL2590" s="1" t="s">
        <v>219</v>
      </c>
      <c r="CM2590" s="1" t="s">
        <v>220</v>
      </c>
      <c r="CN2590" s="1" t="s">
        <v>439</v>
      </c>
      <c r="CP2590" s="1" t="s">
        <v>224</v>
      </c>
      <c r="CS2590" s="1" t="s">
        <v>318</v>
      </c>
      <c r="CT2590" s="1" t="s">
        <v>219</v>
      </c>
      <c r="CU2590" s="1" t="s">
        <v>220</v>
      </c>
      <c r="CV2590" s="1" t="s">
        <v>343</v>
      </c>
      <c r="CX2590" s="1" t="s">
        <v>224</v>
      </c>
      <c r="DB2590" s="1" t="s">
        <v>224</v>
      </c>
      <c r="DE2590" s="1" t="s">
        <v>437</v>
      </c>
      <c r="DF2590" s="1" t="s">
        <v>219</v>
      </c>
      <c r="DG2590" s="1" t="s">
        <v>342</v>
      </c>
      <c r="DH2590" s="1" t="s">
        <v>343</v>
      </c>
      <c r="DJ2590" s="1" t="s">
        <v>224</v>
      </c>
      <c r="DM2590" s="1" t="s">
        <v>3011</v>
      </c>
      <c r="DR2590" s="1" t="s">
        <v>316</v>
      </c>
      <c r="DS2590" s="1" t="s">
        <v>219</v>
      </c>
      <c r="DT2590" s="1" t="s">
        <v>342</v>
      </c>
      <c r="DW2590" s="1" t="s">
        <v>230</v>
      </c>
      <c r="EA2590" s="1" t="s">
        <v>230</v>
      </c>
      <c r="EE2590" s="1" t="s">
        <v>230</v>
      </c>
      <c r="EI2590" s="1" t="s">
        <v>230</v>
      </c>
      <c r="EL2590" s="1" t="s">
        <v>542</v>
      </c>
      <c r="EM2590" s="1" t="s">
        <v>232</v>
      </c>
      <c r="EN2590" s="1" t="s">
        <v>282</v>
      </c>
      <c r="EO2590" s="1" t="s">
        <v>234</v>
      </c>
      <c r="EP2590" s="1" t="s">
        <v>2983</v>
      </c>
      <c r="EQ2590" s="1" t="s">
        <v>468</v>
      </c>
      <c r="ER2590" s="1" t="s">
        <v>383</v>
      </c>
      <c r="ES2590" s="1" t="s">
        <v>322</v>
      </c>
      <c r="ET2590" s="1" t="s">
        <v>866</v>
      </c>
      <c r="EW2590" s="1" t="s">
        <v>1940</v>
      </c>
      <c r="EY2590" s="1" t="s">
        <v>790</v>
      </c>
      <c r="EZ2590" s="1" t="s">
        <v>3011</v>
      </c>
      <c r="FB2590" s="1" t="s">
        <v>289</v>
      </c>
      <c r="FD2590" s="1" t="s">
        <v>246</v>
      </c>
      <c r="FE2590" s="1" t="s">
        <v>975</v>
      </c>
      <c r="FF2590" s="1" t="s">
        <v>3103</v>
      </c>
      <c r="FH2590" s="1" t="s">
        <v>825</v>
      </c>
      <c r="FI2590" s="1" t="s">
        <v>473</v>
      </c>
      <c r="FJ2590" s="1" t="s">
        <v>518</v>
      </c>
      <c r="FL2590" s="1" t="s">
        <v>358</v>
      </c>
      <c r="FM2590" s="1" t="s">
        <v>252</v>
      </c>
      <c r="FN2590" s="1" t="s">
        <v>213</v>
      </c>
      <c r="FO2590" s="1" t="s">
        <v>213</v>
      </c>
      <c r="FQ2590" s="1" t="s">
        <v>253</v>
      </c>
      <c r="FR2590" s="1" t="s">
        <v>210</v>
      </c>
      <c r="FS2590" s="1" t="s">
        <v>10382</v>
      </c>
      <c r="FT2590" s="1" t="s">
        <v>295</v>
      </c>
      <c r="FU2590" s="1" t="s">
        <v>204</v>
      </c>
      <c r="FW2590" s="1" t="s">
        <v>585</v>
      </c>
      <c r="FX2590" s="1">
        <v>8012</v>
      </c>
      <c r="FY2590" s="1" t="s">
        <v>7225</v>
      </c>
      <c r="FZ2590" s="1" t="s">
        <v>22114</v>
      </c>
      <c r="GA2590" s="1">
        <v>83538</v>
      </c>
      <c r="GB2590" s="1" t="s">
        <v>22115</v>
      </c>
      <c r="GE2590" s="1" t="s">
        <v>480</v>
      </c>
      <c r="GI2590" s="1" t="s">
        <v>213</v>
      </c>
      <c r="GJ2590" s="1" t="s">
        <v>260</v>
      </c>
      <c r="GK2590" s="1" t="s">
        <v>210</v>
      </c>
      <c r="GL2590" s="2">
        <v>42130</v>
      </c>
      <c r="GM2590" s="1" t="s">
        <v>22116</v>
      </c>
    </row>
    <row r="2591" spans="1:195">
      <c r="A2591" s="1">
        <v>184000</v>
      </c>
      <c r="B2591" s="1" t="s">
        <v>195</v>
      </c>
      <c r="C2591" s="1" t="str">
        <f>"08837397"</f>
        <v>08837397</v>
      </c>
      <c r="D2591" s="1" t="s">
        <v>196</v>
      </c>
      <c r="F2591" s="1" t="str">
        <f>"540"</f>
        <v>540</v>
      </c>
      <c r="G2591" s="2">
        <v>42047</v>
      </c>
      <c r="H2591" s="1">
        <v>189000</v>
      </c>
      <c r="I2591" s="1">
        <v>189000</v>
      </c>
      <c r="J2591" s="1">
        <v>184000</v>
      </c>
      <c r="K2591" s="2">
        <v>42047</v>
      </c>
      <c r="L2591" s="1">
        <v>17</v>
      </c>
      <c r="M2591" s="2">
        <v>42063</v>
      </c>
      <c r="N2591" s="1">
        <v>17</v>
      </c>
      <c r="O2591" s="2">
        <v>42063</v>
      </c>
      <c r="P2591" s="1">
        <v>72506</v>
      </c>
      <c r="Q2591" s="1" t="s">
        <v>197</v>
      </c>
      <c r="R2591" s="2">
        <v>42138</v>
      </c>
      <c r="S2591" s="1">
        <v>704029</v>
      </c>
      <c r="U2591" s="1">
        <v>1252</v>
      </c>
      <c r="V2591" s="1" t="s">
        <v>22117</v>
      </c>
      <c r="W2591" s="1" t="s">
        <v>304</v>
      </c>
      <c r="Y2591" s="1">
        <v>4</v>
      </c>
      <c r="Z2591" s="1" t="s">
        <v>370</v>
      </c>
      <c r="AA2591" s="1" t="s">
        <v>921</v>
      </c>
      <c r="AB2591" s="1">
        <v>60540</v>
      </c>
      <c r="AC2591" s="1">
        <v>919</v>
      </c>
      <c r="AD2591" s="1" t="s">
        <v>10518</v>
      </c>
      <c r="AE2591" s="1" t="s">
        <v>22118</v>
      </c>
      <c r="AF2591" s="1">
        <v>1994</v>
      </c>
      <c r="AG2591" s="1" t="s">
        <v>204</v>
      </c>
      <c r="AH2591" s="1" t="s">
        <v>924</v>
      </c>
      <c r="AI2591" s="1" t="s">
        <v>206</v>
      </c>
      <c r="AJ2591" s="1" t="s">
        <v>924</v>
      </c>
      <c r="AL2591" s="1">
        <v>7</v>
      </c>
      <c r="AM2591" s="1">
        <v>2</v>
      </c>
      <c r="AN2591" s="1">
        <v>2</v>
      </c>
      <c r="AO2591" s="1">
        <v>1</v>
      </c>
      <c r="AP2591" s="1" t="s">
        <v>209</v>
      </c>
      <c r="AQ2591" s="1">
        <v>0</v>
      </c>
      <c r="AR2591" s="1" t="s">
        <v>210</v>
      </c>
      <c r="AT2591" s="1" t="s">
        <v>211</v>
      </c>
      <c r="AU2591" s="1">
        <v>1</v>
      </c>
      <c r="AW2591" s="1" t="s">
        <v>204</v>
      </c>
      <c r="AX2591" s="1" t="s">
        <v>22119</v>
      </c>
      <c r="AZ2591" s="1">
        <v>3606</v>
      </c>
      <c r="BA2591" s="1">
        <v>2013</v>
      </c>
      <c r="BB2591" s="1" t="s">
        <v>405</v>
      </c>
      <c r="BE2591" s="1">
        <v>1499</v>
      </c>
      <c r="BF2591" s="1">
        <v>1</v>
      </c>
      <c r="BG2591" s="1">
        <v>5</v>
      </c>
      <c r="BL2591" s="1">
        <v>165</v>
      </c>
      <c r="BM2591" s="1" t="s">
        <v>204</v>
      </c>
      <c r="BN2591" s="1" t="s">
        <v>213</v>
      </c>
      <c r="BO2591" s="1">
        <v>80</v>
      </c>
      <c r="BP2591" s="1" t="s">
        <v>204</v>
      </c>
      <c r="BR2591" s="1" t="str">
        <f>"0726112033"</f>
        <v>0726112033</v>
      </c>
      <c r="BT2591" s="1" t="s">
        <v>22120</v>
      </c>
      <c r="BU2591" s="1" t="s">
        <v>2087</v>
      </c>
      <c r="BV2591" s="1" t="s">
        <v>1248</v>
      </c>
      <c r="BW2591" s="1" t="s">
        <v>1131</v>
      </c>
      <c r="BX2591" s="1">
        <v>204</v>
      </c>
      <c r="BY2591" s="1">
        <v>204</v>
      </c>
      <c r="BZ2591" s="1">
        <v>204</v>
      </c>
      <c r="CA2591" s="1">
        <v>502</v>
      </c>
      <c r="CB2591" s="1" t="str">
        <f t="shared" ref="CB2591:CC2591" si="1987">""</f>
        <v/>
      </c>
      <c r="CC2591" s="1" t="str">
        <f t="shared" si="1987"/>
        <v/>
      </c>
      <c r="CF2591" s="1" t="s">
        <v>18195</v>
      </c>
      <c r="CG2591" s="1" t="s">
        <v>228</v>
      </c>
      <c r="CH2591" s="1" t="s">
        <v>219</v>
      </c>
      <c r="CI2591" s="1" t="s">
        <v>220</v>
      </c>
      <c r="CJ2591" s="1" t="s">
        <v>343</v>
      </c>
      <c r="CK2591" s="1" t="s">
        <v>757</v>
      </c>
      <c r="CL2591" s="1" t="s">
        <v>277</v>
      </c>
      <c r="CM2591" s="1" t="s">
        <v>220</v>
      </c>
      <c r="CN2591" s="1" t="s">
        <v>343</v>
      </c>
      <c r="CO2591" s="1" t="s">
        <v>346</v>
      </c>
      <c r="CP2591" s="1" t="s">
        <v>219</v>
      </c>
      <c r="CQ2591" s="1" t="s">
        <v>438</v>
      </c>
      <c r="CR2591" s="1" t="s">
        <v>463</v>
      </c>
      <c r="CS2591" s="1" t="s">
        <v>346</v>
      </c>
      <c r="CT2591" s="1" t="s">
        <v>277</v>
      </c>
      <c r="CU2591" s="1" t="s">
        <v>220</v>
      </c>
      <c r="CV2591" s="1" t="s">
        <v>343</v>
      </c>
      <c r="CX2591" s="1" t="s">
        <v>224</v>
      </c>
      <c r="DB2591" s="1" t="s">
        <v>224</v>
      </c>
      <c r="DE2591" s="1" t="s">
        <v>821</v>
      </c>
      <c r="DF2591" s="1" t="s">
        <v>219</v>
      </c>
      <c r="DG2591" s="1" t="s">
        <v>226</v>
      </c>
      <c r="DJ2591" s="1" t="s">
        <v>224</v>
      </c>
      <c r="DM2591" s="1" t="s">
        <v>1005</v>
      </c>
      <c r="DN2591" s="1" t="s">
        <v>464</v>
      </c>
      <c r="DR2591" s="1" t="s">
        <v>630</v>
      </c>
      <c r="DS2591" s="1" t="s">
        <v>219</v>
      </c>
      <c r="DT2591" s="1" t="s">
        <v>226</v>
      </c>
      <c r="DU2591" s="1" t="s">
        <v>343</v>
      </c>
      <c r="DV2591" s="1" t="s">
        <v>630</v>
      </c>
      <c r="DW2591" s="1" t="s">
        <v>277</v>
      </c>
      <c r="DX2591" s="1" t="s">
        <v>220</v>
      </c>
      <c r="DY2591" s="1" t="s">
        <v>343</v>
      </c>
      <c r="EA2591" s="1" t="s">
        <v>230</v>
      </c>
      <c r="EE2591" s="1" t="s">
        <v>230</v>
      </c>
      <c r="EI2591" s="1" t="s">
        <v>230</v>
      </c>
      <c r="EL2591" s="1" t="s">
        <v>382</v>
      </c>
      <c r="EM2591" s="1" t="s">
        <v>319</v>
      </c>
      <c r="EN2591" s="1" t="s">
        <v>282</v>
      </c>
      <c r="EO2591" s="1" t="s">
        <v>234</v>
      </c>
      <c r="EP2591" s="1" t="s">
        <v>1489</v>
      </c>
      <c r="EQ2591" s="1" t="s">
        <v>1094</v>
      </c>
      <c r="ER2591" s="1" t="s">
        <v>210</v>
      </c>
      <c r="EU2591" s="1" t="s">
        <v>1110</v>
      </c>
      <c r="EW2591" s="1" t="s">
        <v>353</v>
      </c>
      <c r="EY2591" s="1" t="s">
        <v>242</v>
      </c>
      <c r="EZ2591" s="1" t="s">
        <v>6712</v>
      </c>
      <c r="FA2591" s="1" t="s">
        <v>4742</v>
      </c>
      <c r="FD2591" s="1" t="s">
        <v>495</v>
      </c>
      <c r="FE2591" s="1" t="s">
        <v>472</v>
      </c>
      <c r="FF2591" s="1" t="s">
        <v>248</v>
      </c>
      <c r="FH2591" s="1" t="s">
        <v>550</v>
      </c>
      <c r="FI2591" s="1" t="s">
        <v>473</v>
      </c>
      <c r="FL2591" s="1" t="s">
        <v>358</v>
      </c>
      <c r="FM2591" s="1" t="s">
        <v>252</v>
      </c>
      <c r="FN2591" s="1" t="s">
        <v>213</v>
      </c>
      <c r="FO2591" s="1" t="s">
        <v>213</v>
      </c>
      <c r="FQ2591" s="1" t="s">
        <v>2293</v>
      </c>
      <c r="FR2591" s="1" t="s">
        <v>210</v>
      </c>
      <c r="FS2591" s="1" t="s">
        <v>22121</v>
      </c>
      <c r="FT2591" s="1" t="s">
        <v>295</v>
      </c>
      <c r="FU2591" s="1" t="s">
        <v>204</v>
      </c>
      <c r="FW2591" s="1" t="s">
        <v>1559</v>
      </c>
      <c r="FX2591" s="1">
        <v>25279</v>
      </c>
      <c r="FY2591" s="1" t="s">
        <v>2296</v>
      </c>
      <c r="FZ2591" s="1" t="s">
        <v>22122</v>
      </c>
      <c r="GA2591" s="1">
        <v>253873</v>
      </c>
      <c r="GB2591" s="1" t="s">
        <v>22123</v>
      </c>
      <c r="GE2591" s="1" t="s">
        <v>658</v>
      </c>
      <c r="GI2591" s="1" t="s">
        <v>213</v>
      </c>
      <c r="GJ2591" s="1" t="s">
        <v>260</v>
      </c>
      <c r="GK2591" s="1" t="s">
        <v>210</v>
      </c>
      <c r="GL2591" s="2">
        <v>42138</v>
      </c>
      <c r="GM2591" s="1" t="s">
        <v>22124</v>
      </c>
    </row>
    <row r="2592" spans="1:195">
      <c r="A2592" s="1">
        <v>212000</v>
      </c>
      <c r="B2592" s="1" t="s">
        <v>195</v>
      </c>
      <c r="C2592" s="1" t="str">
        <f>"08832281"</f>
        <v>08832281</v>
      </c>
      <c r="D2592" s="1" t="s">
        <v>196</v>
      </c>
      <c r="F2592" s="1" t="str">
        <f>"562"</f>
        <v>562</v>
      </c>
      <c r="G2592" s="2">
        <v>42040</v>
      </c>
      <c r="H2592" s="1">
        <v>219900</v>
      </c>
      <c r="I2592" s="1">
        <v>219900</v>
      </c>
      <c r="J2592" s="1">
        <v>212000</v>
      </c>
      <c r="K2592" s="2">
        <v>42040</v>
      </c>
      <c r="L2592" s="1">
        <v>12</v>
      </c>
      <c r="M2592" s="2">
        <v>42051</v>
      </c>
      <c r="N2592" s="1">
        <v>12</v>
      </c>
      <c r="O2592" s="2">
        <v>42051</v>
      </c>
      <c r="P2592" s="1">
        <v>23265</v>
      </c>
      <c r="Q2592" s="1" t="s">
        <v>302</v>
      </c>
      <c r="R2592" s="2">
        <v>42104</v>
      </c>
      <c r="S2592" s="1">
        <v>212343</v>
      </c>
      <c r="U2592" s="1">
        <v>8402</v>
      </c>
      <c r="V2592" s="1" t="s">
        <v>22125</v>
      </c>
      <c r="Y2592" s="1">
        <v>4</v>
      </c>
      <c r="Z2592" s="1" t="s">
        <v>370</v>
      </c>
      <c r="AA2592" s="1" t="s">
        <v>899</v>
      </c>
      <c r="AB2592" s="1">
        <v>60561</v>
      </c>
      <c r="AD2592" s="1" t="s">
        <v>900</v>
      </c>
      <c r="AE2592" s="1" t="s">
        <v>22126</v>
      </c>
      <c r="AF2592" s="1">
        <v>1994</v>
      </c>
      <c r="AG2592" s="1" t="s">
        <v>204</v>
      </c>
      <c r="AH2592" s="1" t="s">
        <v>902</v>
      </c>
      <c r="AI2592" s="1" t="s">
        <v>206</v>
      </c>
      <c r="AJ2592" s="1" t="s">
        <v>903</v>
      </c>
      <c r="AK2592" s="1" t="s">
        <v>2813</v>
      </c>
      <c r="AL2592" s="1">
        <v>6</v>
      </c>
      <c r="AM2592" s="1">
        <v>2</v>
      </c>
      <c r="AN2592" s="1">
        <v>2</v>
      </c>
      <c r="AO2592" s="1">
        <v>1</v>
      </c>
      <c r="AP2592" s="1" t="s">
        <v>209</v>
      </c>
      <c r="AR2592" s="1" t="s">
        <v>210</v>
      </c>
      <c r="AS2592" s="1" t="s">
        <v>204</v>
      </c>
      <c r="AT2592" s="1" t="s">
        <v>211</v>
      </c>
      <c r="AU2592" s="1">
        <v>1</v>
      </c>
      <c r="AW2592" s="1" t="s">
        <v>204</v>
      </c>
      <c r="AX2592" s="1" t="s">
        <v>212</v>
      </c>
      <c r="AZ2592" s="1">
        <v>3864</v>
      </c>
      <c r="BA2592" s="1">
        <v>2013</v>
      </c>
      <c r="BB2592" s="1" t="s">
        <v>405</v>
      </c>
      <c r="BE2592" s="1">
        <v>1450</v>
      </c>
      <c r="BF2592" s="1">
        <v>1</v>
      </c>
      <c r="BG2592" s="1">
        <v>0</v>
      </c>
      <c r="BL2592" s="1">
        <v>230</v>
      </c>
      <c r="BM2592" s="1" t="s">
        <v>204</v>
      </c>
      <c r="BN2592" s="1" t="s">
        <v>213</v>
      </c>
      <c r="BP2592" s="1" t="s">
        <v>204</v>
      </c>
      <c r="BR2592" s="1" t="str">
        <f>"0934123109"</f>
        <v>0934123109</v>
      </c>
      <c r="BT2592" s="1" t="s">
        <v>22127</v>
      </c>
      <c r="BU2592" s="1" t="s">
        <v>2882</v>
      </c>
      <c r="BV2592" s="1" t="s">
        <v>2883</v>
      </c>
      <c r="BW2592" s="1" t="s">
        <v>907</v>
      </c>
      <c r="BX2592" s="1">
        <v>63</v>
      </c>
      <c r="BY2592" s="1">
        <v>63</v>
      </c>
      <c r="BZ2592" s="1">
        <v>86</v>
      </c>
      <c r="CB2592" s="1" t="str">
        <f t="shared" ref="CB2592:CC2592" si="1988">""</f>
        <v/>
      </c>
      <c r="CC2592" s="1" t="str">
        <f t="shared" si="1988"/>
        <v/>
      </c>
      <c r="CG2592" s="1" t="s">
        <v>344</v>
      </c>
      <c r="CH2592" s="1" t="s">
        <v>219</v>
      </c>
      <c r="CI2592" s="1" t="s">
        <v>229</v>
      </c>
      <c r="CK2592" s="1" t="s">
        <v>757</v>
      </c>
      <c r="CL2592" s="1" t="s">
        <v>277</v>
      </c>
      <c r="CM2592" s="1" t="s">
        <v>220</v>
      </c>
      <c r="CO2592" s="1" t="s">
        <v>465</v>
      </c>
      <c r="CP2592" s="1" t="s">
        <v>219</v>
      </c>
      <c r="CQ2592" s="1" t="s">
        <v>229</v>
      </c>
      <c r="CS2592" s="1" t="s">
        <v>465</v>
      </c>
      <c r="CT2592" s="1" t="s">
        <v>277</v>
      </c>
      <c r="CU2592" s="1" t="s">
        <v>220</v>
      </c>
      <c r="CX2592" s="1" t="s">
        <v>224</v>
      </c>
      <c r="DB2592" s="1" t="s">
        <v>224</v>
      </c>
      <c r="DE2592" s="1" t="s">
        <v>346</v>
      </c>
      <c r="DF2592" s="1" t="s">
        <v>219</v>
      </c>
      <c r="DG2592" s="1" t="s">
        <v>229</v>
      </c>
      <c r="DJ2592" s="1" t="s">
        <v>224</v>
      </c>
      <c r="DM2592" s="1" t="s">
        <v>381</v>
      </c>
      <c r="DR2592" s="1" t="s">
        <v>630</v>
      </c>
      <c r="DS2592" s="1" t="s">
        <v>219</v>
      </c>
      <c r="DT2592" s="1" t="s">
        <v>229</v>
      </c>
      <c r="DW2592" s="1" t="s">
        <v>230</v>
      </c>
      <c r="EA2592" s="1" t="s">
        <v>230</v>
      </c>
      <c r="EE2592" s="1" t="s">
        <v>230</v>
      </c>
      <c r="EI2592" s="1" t="s">
        <v>230</v>
      </c>
      <c r="EL2592" s="1" t="s">
        <v>382</v>
      </c>
      <c r="EM2592" s="1" t="s">
        <v>232</v>
      </c>
      <c r="EN2592" s="1" t="s">
        <v>282</v>
      </c>
      <c r="EO2592" s="1" t="s">
        <v>234</v>
      </c>
      <c r="EQ2592" s="1" t="s">
        <v>2188</v>
      </c>
      <c r="ER2592" s="1" t="s">
        <v>210</v>
      </c>
      <c r="ES2592" s="1" t="s">
        <v>3932</v>
      </c>
      <c r="EV2592" s="1" t="s">
        <v>324</v>
      </c>
      <c r="EW2592" s="1" t="s">
        <v>353</v>
      </c>
      <c r="EZ2592" s="1" t="s">
        <v>381</v>
      </c>
      <c r="FA2592" s="1" t="s">
        <v>471</v>
      </c>
      <c r="FD2592" s="1" t="s">
        <v>246</v>
      </c>
      <c r="FE2592" s="1" t="s">
        <v>386</v>
      </c>
      <c r="FF2592" s="1" t="s">
        <v>1113</v>
      </c>
      <c r="FH2592" s="1" t="s">
        <v>550</v>
      </c>
      <c r="FL2592" s="1" t="s">
        <v>358</v>
      </c>
      <c r="FM2592" s="1" t="s">
        <v>252</v>
      </c>
      <c r="FN2592" s="1" t="s">
        <v>213</v>
      </c>
      <c r="FO2592" s="1" t="s">
        <v>213</v>
      </c>
      <c r="FQ2592" s="1" t="s">
        <v>5689</v>
      </c>
      <c r="FR2592" s="1" t="s">
        <v>210</v>
      </c>
      <c r="FS2592" s="1" t="s">
        <v>22128</v>
      </c>
      <c r="FT2592" s="1" t="s">
        <v>520</v>
      </c>
      <c r="FU2592" s="1" t="s">
        <v>204</v>
      </c>
      <c r="FW2592" s="1" t="s">
        <v>10180</v>
      </c>
      <c r="FX2592" s="1">
        <v>24185</v>
      </c>
      <c r="FY2592" s="1" t="s">
        <v>10181</v>
      </c>
      <c r="FZ2592" s="1" t="s">
        <v>22129</v>
      </c>
      <c r="GA2592" s="1">
        <v>244800</v>
      </c>
      <c r="GB2592" s="1" t="s">
        <v>22130</v>
      </c>
      <c r="GD2592" s="1" t="s">
        <v>22131</v>
      </c>
      <c r="GE2592" s="1" t="s">
        <v>210</v>
      </c>
      <c r="GI2592" s="1" t="s">
        <v>213</v>
      </c>
      <c r="GJ2592" s="1" t="s">
        <v>260</v>
      </c>
      <c r="GK2592" s="1" t="s">
        <v>210</v>
      </c>
      <c r="GL2592" s="2">
        <v>42104</v>
      </c>
      <c r="GM2592" s="1" t="s">
        <v>22132</v>
      </c>
    </row>
    <row r="2593" spans="1:195">
      <c r="A2593" s="1">
        <v>310000</v>
      </c>
      <c r="B2593" s="1" t="s">
        <v>195</v>
      </c>
      <c r="C2593" s="1" t="str">
        <f>"08832176"</f>
        <v>08832176</v>
      </c>
      <c r="D2593" s="1" t="s">
        <v>196</v>
      </c>
      <c r="F2593" s="1" t="str">
        <f>"656"</f>
        <v>656</v>
      </c>
      <c r="G2593" s="2">
        <v>42040</v>
      </c>
      <c r="H2593" s="1">
        <v>339900</v>
      </c>
      <c r="I2593" s="1">
        <v>339900</v>
      </c>
      <c r="J2593" s="1">
        <v>310000</v>
      </c>
      <c r="K2593" s="2">
        <v>42040</v>
      </c>
      <c r="L2593" s="1">
        <v>43</v>
      </c>
      <c r="M2593" s="2">
        <v>42063</v>
      </c>
      <c r="N2593" s="1">
        <v>24</v>
      </c>
      <c r="O2593" s="2">
        <v>42063</v>
      </c>
      <c r="P2593" s="1">
        <v>8058</v>
      </c>
      <c r="Q2593" s="1" t="s">
        <v>302</v>
      </c>
      <c r="R2593" s="2">
        <v>42088</v>
      </c>
      <c r="S2593" s="1">
        <v>87496</v>
      </c>
      <c r="U2593" s="1">
        <v>4833</v>
      </c>
      <c r="V2593" s="1" t="s">
        <v>6221</v>
      </c>
      <c r="W2593" s="1" t="s">
        <v>425</v>
      </c>
      <c r="X2593" s="1">
        <v>408</v>
      </c>
      <c r="Y2593" s="1">
        <v>90</v>
      </c>
      <c r="Z2593" s="1" t="s">
        <v>200</v>
      </c>
      <c r="AA2593" s="1" t="s">
        <v>6222</v>
      </c>
      <c r="AB2593" s="1">
        <v>60706</v>
      </c>
      <c r="AE2593" s="1" t="s">
        <v>22133</v>
      </c>
      <c r="AF2593" s="1">
        <v>2007</v>
      </c>
      <c r="AG2593" s="1" t="s">
        <v>204</v>
      </c>
      <c r="AH2593" s="1" t="s">
        <v>6224</v>
      </c>
      <c r="AI2593" s="1" t="s">
        <v>310</v>
      </c>
      <c r="AJ2593" s="1" t="s">
        <v>3200</v>
      </c>
      <c r="AL2593" s="1">
        <v>5</v>
      </c>
      <c r="AM2593" s="1">
        <v>2</v>
      </c>
      <c r="AN2593" s="1">
        <v>2</v>
      </c>
      <c r="AO2593" s="1">
        <v>1</v>
      </c>
      <c r="AP2593" s="1" t="s">
        <v>209</v>
      </c>
      <c r="AR2593" s="1" t="s">
        <v>210</v>
      </c>
      <c r="AT2593" s="1" t="s">
        <v>211</v>
      </c>
      <c r="AU2593" s="1">
        <v>1</v>
      </c>
      <c r="AW2593" s="1" t="s">
        <v>204</v>
      </c>
      <c r="AX2593" s="1" t="s">
        <v>212</v>
      </c>
      <c r="AZ2593" s="1">
        <v>7024.21</v>
      </c>
      <c r="BA2593" s="1">
        <v>2013</v>
      </c>
      <c r="BB2593" s="1" t="s">
        <v>210</v>
      </c>
      <c r="BE2593" s="1">
        <v>2100</v>
      </c>
      <c r="BF2593" s="1">
        <v>4</v>
      </c>
      <c r="BG2593" s="1">
        <v>30</v>
      </c>
      <c r="BL2593" s="1">
        <v>521</v>
      </c>
      <c r="BM2593" s="1" t="s">
        <v>204</v>
      </c>
      <c r="BN2593" s="1" t="s">
        <v>213</v>
      </c>
      <c r="BO2593" s="1">
        <v>50</v>
      </c>
      <c r="BP2593" s="1" t="s">
        <v>204</v>
      </c>
      <c r="BR2593" s="1" t="str">
        <f>"12124250091134"</f>
        <v>12124250091134</v>
      </c>
      <c r="BT2593" s="1" t="s">
        <v>22134</v>
      </c>
      <c r="BX2593" s="1">
        <v>79</v>
      </c>
      <c r="BY2593" s="1">
        <v>79</v>
      </c>
      <c r="BZ2593" s="1">
        <v>207</v>
      </c>
      <c r="CB2593" s="1" t="str">
        <f>"4800"</f>
        <v>4800</v>
      </c>
      <c r="CC2593" s="1" t="str">
        <f>"0"</f>
        <v>0</v>
      </c>
      <c r="CD2593" s="1">
        <v>7400</v>
      </c>
      <c r="CE2593" s="1">
        <v>0</v>
      </c>
      <c r="CG2593" s="1" t="s">
        <v>708</v>
      </c>
      <c r="CH2593" s="1" t="s">
        <v>685</v>
      </c>
      <c r="CI2593" s="1" t="s">
        <v>438</v>
      </c>
      <c r="CJ2593" s="1" t="s">
        <v>252</v>
      </c>
      <c r="CK2593" s="1" t="s">
        <v>1723</v>
      </c>
      <c r="CL2593" s="1" t="s">
        <v>685</v>
      </c>
      <c r="CM2593" s="1" t="s">
        <v>438</v>
      </c>
      <c r="CN2593" s="1" t="s">
        <v>252</v>
      </c>
      <c r="CP2593" s="1" t="s">
        <v>224</v>
      </c>
      <c r="CS2593" s="1" t="s">
        <v>344</v>
      </c>
      <c r="CT2593" s="1" t="s">
        <v>685</v>
      </c>
      <c r="CU2593" s="1" t="s">
        <v>438</v>
      </c>
      <c r="CV2593" s="1" t="s">
        <v>252</v>
      </c>
      <c r="CX2593" s="1" t="s">
        <v>224</v>
      </c>
      <c r="DB2593" s="1" t="s">
        <v>224</v>
      </c>
      <c r="DE2593" s="1" t="s">
        <v>786</v>
      </c>
      <c r="DF2593" s="1" t="s">
        <v>685</v>
      </c>
      <c r="DG2593" s="1" t="s">
        <v>438</v>
      </c>
      <c r="DH2593" s="1" t="s">
        <v>210</v>
      </c>
      <c r="DJ2593" s="1" t="s">
        <v>224</v>
      </c>
      <c r="DM2593" s="1" t="s">
        <v>1005</v>
      </c>
      <c r="DR2593" s="1" t="s">
        <v>379</v>
      </c>
      <c r="DS2593" s="1" t="s">
        <v>685</v>
      </c>
      <c r="DT2593" s="1" t="s">
        <v>438</v>
      </c>
      <c r="DU2593" s="1" t="s">
        <v>252</v>
      </c>
      <c r="DW2593" s="1" t="s">
        <v>230</v>
      </c>
      <c r="EA2593" s="1" t="s">
        <v>230</v>
      </c>
      <c r="EE2593" s="1" t="s">
        <v>230</v>
      </c>
      <c r="EI2593" s="1" t="s">
        <v>230</v>
      </c>
      <c r="EL2593" s="1" t="s">
        <v>491</v>
      </c>
      <c r="EM2593" s="1" t="s">
        <v>232</v>
      </c>
      <c r="EN2593" s="1" t="s">
        <v>282</v>
      </c>
      <c r="EO2593" s="1" t="s">
        <v>234</v>
      </c>
      <c r="EP2593" s="1" t="s">
        <v>22135</v>
      </c>
      <c r="EQ2593" s="1" t="s">
        <v>492</v>
      </c>
      <c r="ER2593" s="1" t="s">
        <v>210</v>
      </c>
      <c r="ES2593" s="1" t="s">
        <v>493</v>
      </c>
      <c r="ET2593" s="1" t="s">
        <v>1404</v>
      </c>
      <c r="EU2593" s="1" t="s">
        <v>610</v>
      </c>
      <c r="EV2593" s="1" t="s">
        <v>324</v>
      </c>
      <c r="EW2593" s="1" t="s">
        <v>22136</v>
      </c>
      <c r="EY2593" s="1" t="s">
        <v>242</v>
      </c>
      <c r="EZ2593" s="1" t="s">
        <v>1005</v>
      </c>
      <c r="FD2593" s="1" t="s">
        <v>246</v>
      </c>
      <c r="FE2593" s="1" t="s">
        <v>247</v>
      </c>
      <c r="FF2593" s="1" t="s">
        <v>248</v>
      </c>
      <c r="FH2593" s="1" t="s">
        <v>249</v>
      </c>
      <c r="FI2593" s="1" t="s">
        <v>1114</v>
      </c>
      <c r="FJ2593" s="1" t="s">
        <v>518</v>
      </c>
      <c r="FL2593" s="1" t="s">
        <v>3179</v>
      </c>
      <c r="FM2593" s="1" t="s">
        <v>252</v>
      </c>
      <c r="FN2593" s="1" t="s">
        <v>213</v>
      </c>
      <c r="FO2593" s="1" t="s">
        <v>213</v>
      </c>
      <c r="FQ2593" s="1" t="s">
        <v>22137</v>
      </c>
      <c r="FR2593" s="1" t="s">
        <v>652</v>
      </c>
      <c r="FS2593" s="1" t="s">
        <v>22138</v>
      </c>
      <c r="FT2593" s="1" t="s">
        <v>22139</v>
      </c>
      <c r="FU2593" s="1" t="s">
        <v>204</v>
      </c>
      <c r="FV2593" s="1" t="s">
        <v>22140</v>
      </c>
      <c r="FW2593" s="1" t="s">
        <v>22141</v>
      </c>
      <c r="FX2593" s="1">
        <v>8096</v>
      </c>
      <c r="FY2593" s="1" t="s">
        <v>22142</v>
      </c>
      <c r="FZ2593" s="1" t="s">
        <v>22143</v>
      </c>
      <c r="GA2593" s="1">
        <v>87617</v>
      </c>
      <c r="GB2593" s="1" t="s">
        <v>22144</v>
      </c>
      <c r="GC2593" s="1">
        <v>87480</v>
      </c>
      <c r="GD2593" s="1" t="s">
        <v>22145</v>
      </c>
      <c r="GE2593" s="1" t="s">
        <v>1576</v>
      </c>
      <c r="GH2593" s="1" t="s">
        <v>230</v>
      </c>
      <c r="GI2593" s="1" t="s">
        <v>213</v>
      </c>
      <c r="GJ2593" s="1" t="s">
        <v>260</v>
      </c>
      <c r="GK2593" s="1" t="s">
        <v>210</v>
      </c>
      <c r="GL2593" s="2">
        <v>42089</v>
      </c>
      <c r="GM2593" s="1" t="s">
        <v>22146</v>
      </c>
    </row>
    <row r="2594" spans="1:195">
      <c r="A2594" s="1">
        <v>331000</v>
      </c>
      <c r="B2594" s="1" t="s">
        <v>195</v>
      </c>
      <c r="C2594" s="1" t="str">
        <f>"08836888"</f>
        <v>08836888</v>
      </c>
      <c r="D2594" s="1" t="s">
        <v>196</v>
      </c>
      <c r="F2594" s="1" t="str">
        <f>"531"</f>
        <v>531</v>
      </c>
      <c r="G2594" s="2">
        <v>42047</v>
      </c>
      <c r="H2594" s="1">
        <v>324000</v>
      </c>
      <c r="I2594" s="1">
        <v>324000</v>
      </c>
      <c r="J2594" s="1">
        <v>331000</v>
      </c>
      <c r="K2594" s="2">
        <v>42047</v>
      </c>
      <c r="L2594" s="1">
        <v>3</v>
      </c>
      <c r="M2594" s="2">
        <v>42049</v>
      </c>
      <c r="N2594" s="1">
        <v>3</v>
      </c>
      <c r="O2594" s="2">
        <v>42049</v>
      </c>
      <c r="P2594" s="1">
        <v>22205</v>
      </c>
      <c r="Q2594" s="1" t="s">
        <v>302</v>
      </c>
      <c r="R2594" s="2">
        <v>42079</v>
      </c>
      <c r="S2594" s="1">
        <v>215711</v>
      </c>
      <c r="U2594" s="1">
        <v>6268</v>
      </c>
      <c r="V2594" s="1" t="s">
        <v>11414</v>
      </c>
      <c r="W2594" s="1" t="s">
        <v>504</v>
      </c>
      <c r="Y2594" s="1">
        <v>5</v>
      </c>
      <c r="Z2594" s="1" t="s">
        <v>370</v>
      </c>
      <c r="AA2594" s="1" t="s">
        <v>2326</v>
      </c>
      <c r="AB2594" s="1">
        <v>60525</v>
      </c>
      <c r="AD2594" s="1" t="s">
        <v>11415</v>
      </c>
      <c r="AE2594" s="1" t="s">
        <v>11416</v>
      </c>
      <c r="AF2594" s="1">
        <v>1996</v>
      </c>
      <c r="AG2594" s="1" t="s">
        <v>204</v>
      </c>
      <c r="AH2594" s="1" t="s">
        <v>2329</v>
      </c>
      <c r="AI2594" s="1" t="s">
        <v>310</v>
      </c>
      <c r="AJ2594" s="1" t="s">
        <v>702</v>
      </c>
      <c r="AK2594" s="1" t="s">
        <v>11417</v>
      </c>
      <c r="AL2594" s="1">
        <v>8</v>
      </c>
      <c r="AM2594" s="1">
        <v>2</v>
      </c>
      <c r="AN2594" s="1">
        <v>2</v>
      </c>
      <c r="AO2594" s="1">
        <v>0</v>
      </c>
      <c r="AP2594" s="1" t="s">
        <v>209</v>
      </c>
      <c r="AR2594" s="1" t="s">
        <v>209</v>
      </c>
      <c r="AS2594" s="1" t="s">
        <v>204</v>
      </c>
      <c r="AT2594" s="1" t="s">
        <v>211</v>
      </c>
      <c r="AU2594" s="1">
        <v>2</v>
      </c>
      <c r="AW2594" s="1" t="s">
        <v>204</v>
      </c>
      <c r="AX2594" s="1" t="s">
        <v>212</v>
      </c>
      <c r="AZ2594" s="1">
        <v>3078</v>
      </c>
      <c r="BA2594" s="1">
        <v>2013</v>
      </c>
      <c r="BB2594" s="1" t="s">
        <v>3996</v>
      </c>
      <c r="BE2594" s="1">
        <v>1600</v>
      </c>
      <c r="BF2594" s="1">
        <v>1</v>
      </c>
      <c r="BG2594" s="1">
        <v>0</v>
      </c>
      <c r="BL2594" s="1">
        <v>325</v>
      </c>
      <c r="BM2594" s="1" t="s">
        <v>204</v>
      </c>
      <c r="BN2594" s="1" t="s">
        <v>213</v>
      </c>
      <c r="BO2594" s="1">
        <v>0</v>
      </c>
      <c r="BP2594" s="1" t="s">
        <v>204</v>
      </c>
      <c r="BR2594" s="1" t="str">
        <f>"18173130350000"</f>
        <v>18173130350000</v>
      </c>
      <c r="BT2594" s="1" t="s">
        <v>22147</v>
      </c>
      <c r="BU2594" s="1" t="s">
        <v>2495</v>
      </c>
      <c r="BV2594" s="1" t="s">
        <v>2496</v>
      </c>
      <c r="BW2594" s="1" t="s">
        <v>706</v>
      </c>
      <c r="BX2594" s="1">
        <v>106</v>
      </c>
      <c r="BY2594" s="1">
        <v>106</v>
      </c>
      <c r="BZ2594" s="1">
        <v>204</v>
      </c>
      <c r="CB2594" s="1" t="str">
        <f t="shared" ref="CB2594:CC2594" si="1989">""</f>
        <v/>
      </c>
      <c r="CC2594" s="1" t="str">
        <f t="shared" si="1989"/>
        <v/>
      </c>
      <c r="CG2594" s="1" t="s">
        <v>1615</v>
      </c>
      <c r="CH2594" s="1" t="s">
        <v>219</v>
      </c>
      <c r="CI2594" s="1" t="s">
        <v>220</v>
      </c>
      <c r="CK2594" s="1" t="s">
        <v>3316</v>
      </c>
      <c r="CL2594" s="1" t="s">
        <v>219</v>
      </c>
      <c r="CM2594" s="1" t="s">
        <v>220</v>
      </c>
      <c r="CP2594" s="1" t="s">
        <v>224</v>
      </c>
      <c r="CQ2594" s="1" t="s">
        <v>220</v>
      </c>
      <c r="CS2594" s="1" t="s">
        <v>379</v>
      </c>
      <c r="CT2594" s="1" t="s">
        <v>219</v>
      </c>
      <c r="CU2594" s="1" t="s">
        <v>220</v>
      </c>
      <c r="CX2594" s="1" t="s">
        <v>224</v>
      </c>
      <c r="DB2594" s="1" t="s">
        <v>224</v>
      </c>
      <c r="DE2594" s="1" t="s">
        <v>602</v>
      </c>
      <c r="DF2594" s="1" t="s">
        <v>219</v>
      </c>
      <c r="DJ2594" s="1" t="s">
        <v>224</v>
      </c>
      <c r="DM2594" s="1" t="s">
        <v>1548</v>
      </c>
      <c r="DN2594" s="1" t="s">
        <v>1005</v>
      </c>
      <c r="DO2594" s="1" t="s">
        <v>4083</v>
      </c>
      <c r="DP2594" s="1" t="s">
        <v>934</v>
      </c>
      <c r="DR2594" s="1" t="s">
        <v>516</v>
      </c>
      <c r="DS2594" s="1" t="s">
        <v>219</v>
      </c>
      <c r="DV2594" s="1" t="s">
        <v>346</v>
      </c>
      <c r="DW2594" s="1" t="s">
        <v>219</v>
      </c>
      <c r="DZ2594" s="1" t="s">
        <v>315</v>
      </c>
      <c r="EA2594" s="1" t="s">
        <v>822</v>
      </c>
      <c r="ED2594" s="1" t="s">
        <v>11419</v>
      </c>
      <c r="EE2594" s="1" t="s">
        <v>822</v>
      </c>
      <c r="EI2594" s="1" t="s">
        <v>230</v>
      </c>
      <c r="EL2594" s="1" t="s">
        <v>670</v>
      </c>
      <c r="EM2594" s="1" t="s">
        <v>730</v>
      </c>
      <c r="EN2594" s="1" t="s">
        <v>282</v>
      </c>
      <c r="EO2594" s="1" t="s">
        <v>234</v>
      </c>
      <c r="ER2594" s="1" t="s">
        <v>544</v>
      </c>
      <c r="ET2594" s="1" t="s">
        <v>238</v>
      </c>
      <c r="EW2594" s="1" t="s">
        <v>11420</v>
      </c>
      <c r="EY2594" s="1" t="s">
        <v>242</v>
      </c>
      <c r="EZ2594" s="1" t="s">
        <v>11421</v>
      </c>
      <c r="FB2594" s="1" t="s">
        <v>289</v>
      </c>
      <c r="FD2594" s="1" t="s">
        <v>246</v>
      </c>
      <c r="FE2594" s="1" t="s">
        <v>549</v>
      </c>
      <c r="FF2594" s="1" t="s">
        <v>387</v>
      </c>
      <c r="FH2594" s="1" t="s">
        <v>825</v>
      </c>
      <c r="FI2594" s="1" t="s">
        <v>357</v>
      </c>
      <c r="FJ2594" s="1" t="s">
        <v>197</v>
      </c>
      <c r="FL2594" s="1" t="s">
        <v>358</v>
      </c>
      <c r="FM2594" s="1" t="s">
        <v>252</v>
      </c>
      <c r="FN2594" s="1" t="s">
        <v>213</v>
      </c>
      <c r="FO2594" s="1" t="s">
        <v>204</v>
      </c>
      <c r="FQ2594" s="1" t="s">
        <v>6026</v>
      </c>
      <c r="FR2594" s="1" t="s">
        <v>210</v>
      </c>
      <c r="FS2594" s="1" t="s">
        <v>1709</v>
      </c>
      <c r="FT2594" s="1" t="s">
        <v>22148</v>
      </c>
      <c r="FU2594" s="1" t="s">
        <v>204</v>
      </c>
      <c r="FW2594" s="1" t="s">
        <v>915</v>
      </c>
      <c r="FX2594" s="1">
        <v>22049</v>
      </c>
      <c r="FY2594" s="1" t="s">
        <v>4731</v>
      </c>
      <c r="FZ2594" s="1" t="s">
        <v>22149</v>
      </c>
      <c r="GA2594" s="1">
        <v>225036</v>
      </c>
      <c r="GB2594" s="1" t="s">
        <v>22150</v>
      </c>
      <c r="GE2594" s="1" t="s">
        <v>1764</v>
      </c>
      <c r="GI2594" s="1" t="s">
        <v>213</v>
      </c>
      <c r="GJ2594" s="1" t="s">
        <v>260</v>
      </c>
      <c r="GK2594" s="1" t="s">
        <v>210</v>
      </c>
      <c r="GL2594" s="2">
        <v>42079</v>
      </c>
      <c r="GM2594" s="1" t="s">
        <v>22151</v>
      </c>
    </row>
    <row r="2595" spans="1:195">
      <c r="A2595" s="1">
        <v>107000</v>
      </c>
      <c r="B2595" s="1" t="s">
        <v>195</v>
      </c>
      <c r="C2595" s="1" t="str">
        <f>"08833046"</f>
        <v>08833046</v>
      </c>
      <c r="D2595" s="1" t="s">
        <v>196</v>
      </c>
      <c r="F2595" s="1" t="str">
        <f>"107"</f>
        <v>107</v>
      </c>
      <c r="G2595" s="2">
        <v>42041</v>
      </c>
      <c r="H2595" s="1">
        <v>103000</v>
      </c>
      <c r="I2595" s="1">
        <v>103000</v>
      </c>
      <c r="J2595" s="1">
        <v>107000</v>
      </c>
      <c r="K2595" s="2">
        <v>42041</v>
      </c>
      <c r="L2595" s="1">
        <v>20</v>
      </c>
      <c r="M2595" s="2">
        <v>42060</v>
      </c>
      <c r="N2595" s="1">
        <v>20</v>
      </c>
      <c r="O2595" s="2">
        <v>42060</v>
      </c>
      <c r="P2595" s="1">
        <v>24060</v>
      </c>
      <c r="Q2595" s="1" t="s">
        <v>423</v>
      </c>
      <c r="R2595" s="2">
        <v>42118</v>
      </c>
      <c r="S2595" s="1">
        <v>87011</v>
      </c>
      <c r="T2595" s="1">
        <v>3000</v>
      </c>
      <c r="U2595" s="1">
        <v>21</v>
      </c>
      <c r="V2595" s="1" t="s">
        <v>19082</v>
      </c>
      <c r="W2595" s="1" t="s">
        <v>304</v>
      </c>
      <c r="X2595" s="1" t="s">
        <v>527</v>
      </c>
      <c r="Y2595" s="1">
        <v>4</v>
      </c>
      <c r="Z2595" s="1" t="s">
        <v>249</v>
      </c>
      <c r="AA2595" s="1" t="s">
        <v>1211</v>
      </c>
      <c r="AB2595" s="1">
        <v>60107</v>
      </c>
      <c r="AE2595" s="1" t="s">
        <v>22152</v>
      </c>
      <c r="AF2595" s="1">
        <v>1990</v>
      </c>
      <c r="AG2595" s="1" t="s">
        <v>204</v>
      </c>
      <c r="AH2595" s="1" t="s">
        <v>1214</v>
      </c>
      <c r="AI2595" s="1" t="s">
        <v>310</v>
      </c>
      <c r="AJ2595" s="1" t="s">
        <v>374</v>
      </c>
      <c r="AL2595" s="1">
        <v>5</v>
      </c>
      <c r="AM2595" s="1">
        <v>2</v>
      </c>
      <c r="AN2595" s="1">
        <v>1</v>
      </c>
      <c r="AO2595" s="1">
        <v>0</v>
      </c>
      <c r="AP2595" s="1" t="s">
        <v>667</v>
      </c>
      <c r="AR2595" s="1" t="s">
        <v>210</v>
      </c>
      <c r="AT2595" s="1" t="s">
        <v>211</v>
      </c>
      <c r="AU2595" s="1">
        <v>1</v>
      </c>
      <c r="AW2595" s="1" t="s">
        <v>204</v>
      </c>
      <c r="AX2595" s="1" t="s">
        <v>212</v>
      </c>
      <c r="AZ2595" s="1">
        <v>1828</v>
      </c>
      <c r="BA2595" s="1">
        <v>2012</v>
      </c>
      <c r="BE2595" s="1">
        <v>1008</v>
      </c>
      <c r="BF2595" s="1">
        <v>1</v>
      </c>
      <c r="BG2595" s="1">
        <v>0</v>
      </c>
      <c r="BL2595" s="1">
        <v>219</v>
      </c>
      <c r="BM2595" s="1" t="s">
        <v>413</v>
      </c>
      <c r="BN2595" s="1" t="s">
        <v>213</v>
      </c>
      <c r="BO2595" s="1">
        <v>0</v>
      </c>
      <c r="BP2595" s="1" t="s">
        <v>204</v>
      </c>
      <c r="BR2595" s="1" t="str">
        <f>"06223030361019"</f>
        <v>06223030361019</v>
      </c>
      <c r="BT2595" s="1" t="s">
        <v>22153</v>
      </c>
      <c r="BX2595" s="1">
        <v>46</v>
      </c>
      <c r="BY2595" s="1">
        <v>46</v>
      </c>
      <c r="BZ2595" s="1">
        <v>46</v>
      </c>
      <c r="CB2595" s="1" t="str">
        <f>"1"</f>
        <v>1</v>
      </c>
      <c r="CC2595" s="1" t="str">
        <f>""</f>
        <v/>
      </c>
      <c r="CG2595" s="1" t="s">
        <v>378</v>
      </c>
      <c r="CH2595" s="1" t="s">
        <v>219</v>
      </c>
      <c r="CK2595" s="1" t="s">
        <v>932</v>
      </c>
      <c r="CL2595" s="1" t="s">
        <v>219</v>
      </c>
      <c r="CO2595" s="1" t="s">
        <v>281</v>
      </c>
      <c r="CP2595" s="1" t="s">
        <v>219</v>
      </c>
      <c r="CS2595" s="1" t="s">
        <v>378</v>
      </c>
      <c r="CT2595" s="1" t="s">
        <v>219</v>
      </c>
      <c r="CX2595" s="1" t="s">
        <v>224</v>
      </c>
      <c r="DB2595" s="1" t="s">
        <v>224</v>
      </c>
      <c r="DE2595" s="1" t="s">
        <v>669</v>
      </c>
      <c r="DF2595" s="1" t="s">
        <v>219</v>
      </c>
      <c r="DJ2595" s="1" t="s">
        <v>224</v>
      </c>
      <c r="DS2595" s="1" t="s">
        <v>230</v>
      </c>
      <c r="DW2595" s="1" t="s">
        <v>230</v>
      </c>
      <c r="EA2595" s="1" t="s">
        <v>230</v>
      </c>
      <c r="EE2595" s="1" t="s">
        <v>230</v>
      </c>
      <c r="EI2595" s="1" t="s">
        <v>230</v>
      </c>
      <c r="EL2595" s="1" t="s">
        <v>382</v>
      </c>
      <c r="EM2595" s="1" t="s">
        <v>319</v>
      </c>
      <c r="EN2595" s="1" t="s">
        <v>282</v>
      </c>
      <c r="EO2595" s="1" t="s">
        <v>234</v>
      </c>
      <c r="ER2595" s="1" t="s">
        <v>210</v>
      </c>
      <c r="EW2595" s="1" t="s">
        <v>347</v>
      </c>
      <c r="EZ2595" s="1" t="s">
        <v>287</v>
      </c>
      <c r="FD2595" s="1" t="s">
        <v>1649</v>
      </c>
      <c r="FE2595" s="1" t="s">
        <v>496</v>
      </c>
      <c r="FF2595" s="1" t="s">
        <v>248</v>
      </c>
      <c r="FH2595" s="1" t="s">
        <v>249</v>
      </c>
      <c r="FL2595" s="1" t="s">
        <v>358</v>
      </c>
      <c r="FM2595" s="1" t="s">
        <v>252</v>
      </c>
      <c r="FN2595" s="1" t="s">
        <v>213</v>
      </c>
      <c r="FO2595" s="1" t="s">
        <v>213</v>
      </c>
      <c r="FQ2595" s="1" t="s">
        <v>689</v>
      </c>
      <c r="FR2595" s="1" t="s">
        <v>210</v>
      </c>
      <c r="FS2595" s="1" t="s">
        <v>2541</v>
      </c>
      <c r="FT2595" s="1" t="s">
        <v>654</v>
      </c>
      <c r="FU2595" s="1" t="s">
        <v>204</v>
      </c>
      <c r="FW2595" s="1" t="s">
        <v>4399</v>
      </c>
      <c r="FX2595" s="1">
        <v>8698</v>
      </c>
      <c r="FY2595" s="1" t="s">
        <v>4400</v>
      </c>
      <c r="FZ2595" s="1" t="s">
        <v>4401</v>
      </c>
      <c r="GA2595" s="1">
        <v>85273</v>
      </c>
      <c r="GB2595" s="1" t="s">
        <v>4400</v>
      </c>
      <c r="GE2595" s="1" t="s">
        <v>210</v>
      </c>
      <c r="GI2595" s="1" t="s">
        <v>204</v>
      </c>
      <c r="GJ2595" s="1" t="s">
        <v>260</v>
      </c>
      <c r="GK2595" s="1" t="s">
        <v>210</v>
      </c>
      <c r="GL2595" s="2">
        <v>42118</v>
      </c>
      <c r="GM2595" s="1" t="s">
        <v>22154</v>
      </c>
    </row>
    <row r="2596" spans="1:195">
      <c r="A2596" s="1">
        <v>128000</v>
      </c>
      <c r="B2596" s="1" t="s">
        <v>195</v>
      </c>
      <c r="C2596" s="1" t="str">
        <f>"08833784"</f>
        <v>08833784</v>
      </c>
      <c r="D2596" s="1" t="s">
        <v>196</v>
      </c>
      <c r="F2596" s="1" t="str">
        <f>"110"</f>
        <v>110</v>
      </c>
      <c r="G2596" s="2">
        <v>42043</v>
      </c>
      <c r="H2596" s="1">
        <v>135000</v>
      </c>
      <c r="I2596" s="1">
        <v>135000</v>
      </c>
      <c r="J2596" s="1">
        <v>128000</v>
      </c>
      <c r="K2596" s="2">
        <v>42043</v>
      </c>
      <c r="L2596" s="1">
        <v>53</v>
      </c>
      <c r="M2596" s="2">
        <v>42095</v>
      </c>
      <c r="N2596" s="1">
        <v>53</v>
      </c>
      <c r="O2596" s="2">
        <v>42095</v>
      </c>
      <c r="P2596" s="1">
        <v>24907</v>
      </c>
      <c r="Q2596" s="1" t="s">
        <v>197</v>
      </c>
      <c r="R2596" s="2">
        <v>42116</v>
      </c>
      <c r="S2596" s="1">
        <v>237885</v>
      </c>
      <c r="U2596" s="1">
        <v>2130</v>
      </c>
      <c r="V2596" s="1" t="s">
        <v>15377</v>
      </c>
      <c r="W2596" s="1" t="s">
        <v>504</v>
      </c>
      <c r="X2596" s="1">
        <v>2130</v>
      </c>
      <c r="Y2596" s="1">
        <v>4</v>
      </c>
      <c r="Z2596" s="1" t="s">
        <v>370</v>
      </c>
      <c r="AA2596" s="1" t="s">
        <v>803</v>
      </c>
      <c r="AB2596" s="1">
        <v>60110</v>
      </c>
      <c r="AE2596" s="1" t="s">
        <v>22155</v>
      </c>
      <c r="AF2596" s="1">
        <v>1997</v>
      </c>
      <c r="AG2596" s="1" t="s">
        <v>204</v>
      </c>
      <c r="AH2596" s="1" t="s">
        <v>805</v>
      </c>
      <c r="AI2596" s="1" t="s">
        <v>665</v>
      </c>
      <c r="AJ2596" s="1" t="s">
        <v>805</v>
      </c>
      <c r="AK2596" s="1" t="s">
        <v>9300</v>
      </c>
      <c r="AL2596" s="1">
        <v>6</v>
      </c>
      <c r="AM2596" s="1">
        <v>2</v>
      </c>
      <c r="AN2596" s="1">
        <v>1</v>
      </c>
      <c r="AO2596" s="1">
        <v>1</v>
      </c>
      <c r="AP2596" s="1" t="s">
        <v>210</v>
      </c>
      <c r="AR2596" s="1" t="s">
        <v>210</v>
      </c>
      <c r="AS2596" s="1" t="s">
        <v>204</v>
      </c>
      <c r="AT2596" s="1" t="s">
        <v>211</v>
      </c>
      <c r="AU2596" s="1">
        <v>2</v>
      </c>
      <c r="AW2596" s="1" t="s">
        <v>204</v>
      </c>
      <c r="AX2596" s="1" t="s">
        <v>212</v>
      </c>
      <c r="AZ2596" s="1">
        <v>3455.14</v>
      </c>
      <c r="BA2596" s="1">
        <v>2013</v>
      </c>
      <c r="BE2596" s="1">
        <v>1270</v>
      </c>
      <c r="BF2596" s="1">
        <v>1</v>
      </c>
      <c r="BG2596" s="1">
        <v>0</v>
      </c>
      <c r="BL2596" s="1">
        <v>122</v>
      </c>
      <c r="BM2596" s="1" t="s">
        <v>204</v>
      </c>
      <c r="BN2596" s="1" t="s">
        <v>213</v>
      </c>
      <c r="BO2596" s="1">
        <v>999</v>
      </c>
      <c r="BP2596" s="1" t="s">
        <v>204</v>
      </c>
      <c r="BR2596" s="1" t="str">
        <f>"0318255055"</f>
        <v>0318255055</v>
      </c>
      <c r="BT2596" s="1" t="s">
        <v>22156</v>
      </c>
      <c r="BX2596" s="1">
        <v>300</v>
      </c>
      <c r="BY2596" s="1">
        <v>300</v>
      </c>
      <c r="BZ2596" s="1">
        <v>300</v>
      </c>
      <c r="CB2596" s="1" t="str">
        <f>"17"</f>
        <v>17</v>
      </c>
      <c r="CC2596" s="1" t="str">
        <f>"0"</f>
        <v>0</v>
      </c>
      <c r="CD2596" s="1">
        <v>37</v>
      </c>
      <c r="CE2596" s="1">
        <v>0</v>
      </c>
      <c r="CG2596" s="1" t="s">
        <v>932</v>
      </c>
      <c r="CH2596" s="1" t="s">
        <v>219</v>
      </c>
      <c r="CI2596" s="1" t="s">
        <v>229</v>
      </c>
      <c r="CJ2596" s="1" t="s">
        <v>343</v>
      </c>
      <c r="CK2596" s="1" t="s">
        <v>437</v>
      </c>
      <c r="CL2596" s="1" t="s">
        <v>277</v>
      </c>
      <c r="CM2596" s="1" t="s">
        <v>220</v>
      </c>
      <c r="CN2596" s="1" t="s">
        <v>343</v>
      </c>
      <c r="CO2596" s="1" t="s">
        <v>318</v>
      </c>
      <c r="CP2596" s="1" t="s">
        <v>219</v>
      </c>
      <c r="CQ2596" s="1" t="s">
        <v>229</v>
      </c>
      <c r="CR2596" s="1" t="s">
        <v>343</v>
      </c>
      <c r="CS2596" s="1" t="s">
        <v>346</v>
      </c>
      <c r="CT2596" s="1" t="s">
        <v>277</v>
      </c>
      <c r="CU2596" s="1" t="s">
        <v>220</v>
      </c>
      <c r="CV2596" s="1" t="s">
        <v>343</v>
      </c>
      <c r="CX2596" s="1" t="s">
        <v>224</v>
      </c>
      <c r="DB2596" s="1" t="s">
        <v>224</v>
      </c>
      <c r="DE2596" s="1" t="s">
        <v>1297</v>
      </c>
      <c r="DF2596" s="1" t="s">
        <v>219</v>
      </c>
      <c r="DG2596" s="1" t="s">
        <v>4958</v>
      </c>
      <c r="DJ2596" s="1" t="s">
        <v>224</v>
      </c>
      <c r="DM2596" s="1" t="s">
        <v>1005</v>
      </c>
      <c r="DR2596" s="1" t="s">
        <v>379</v>
      </c>
      <c r="DS2596" s="1" t="s">
        <v>277</v>
      </c>
      <c r="DT2596" s="1" t="s">
        <v>220</v>
      </c>
      <c r="DU2596" s="1" t="s">
        <v>343</v>
      </c>
      <c r="DW2596" s="1" t="s">
        <v>230</v>
      </c>
      <c r="EA2596" s="1" t="s">
        <v>230</v>
      </c>
      <c r="EE2596" s="1" t="s">
        <v>230</v>
      </c>
      <c r="EI2596" s="1" t="s">
        <v>230</v>
      </c>
      <c r="EL2596" s="1" t="s">
        <v>670</v>
      </c>
      <c r="EM2596" s="1" t="s">
        <v>319</v>
      </c>
      <c r="EN2596" s="1" t="s">
        <v>282</v>
      </c>
      <c r="EO2596" s="1" t="s">
        <v>234</v>
      </c>
      <c r="EP2596" s="1" t="s">
        <v>650</v>
      </c>
      <c r="EQ2596" s="1" t="s">
        <v>492</v>
      </c>
      <c r="ER2596" s="1" t="s">
        <v>210</v>
      </c>
      <c r="ES2596" s="1" t="s">
        <v>493</v>
      </c>
      <c r="EV2596" s="1" t="s">
        <v>240</v>
      </c>
      <c r="EW2596" s="1" t="s">
        <v>867</v>
      </c>
      <c r="EY2596" s="1" t="s">
        <v>242</v>
      </c>
      <c r="EZ2596" s="1" t="s">
        <v>1005</v>
      </c>
      <c r="FD2596" s="1" t="s">
        <v>3472</v>
      </c>
      <c r="FE2596" s="1" t="s">
        <v>975</v>
      </c>
      <c r="FF2596" s="1" t="s">
        <v>248</v>
      </c>
      <c r="FH2596" s="1" t="s">
        <v>550</v>
      </c>
      <c r="FL2596" s="1" t="s">
        <v>358</v>
      </c>
      <c r="FM2596" s="1" t="s">
        <v>252</v>
      </c>
      <c r="FN2596" s="1" t="s">
        <v>213</v>
      </c>
      <c r="FO2596" s="1" t="s">
        <v>213</v>
      </c>
      <c r="FQ2596" s="1" t="s">
        <v>689</v>
      </c>
      <c r="FR2596" s="1" t="s">
        <v>210</v>
      </c>
      <c r="FS2596" s="1" t="s">
        <v>11512</v>
      </c>
      <c r="FT2596" s="1" t="s">
        <v>11513</v>
      </c>
      <c r="FU2596" s="1" t="s">
        <v>213</v>
      </c>
      <c r="FV2596" s="1" t="s">
        <v>11514</v>
      </c>
      <c r="FW2596" s="1" t="s">
        <v>11515</v>
      </c>
      <c r="FX2596" s="1">
        <v>84613</v>
      </c>
      <c r="FY2596" s="1" t="s">
        <v>11516</v>
      </c>
      <c r="FZ2596" s="1" t="s">
        <v>11517</v>
      </c>
      <c r="GA2596" s="1">
        <v>840866</v>
      </c>
      <c r="GD2596" s="1" t="s">
        <v>11518</v>
      </c>
      <c r="GE2596" s="1" t="s">
        <v>210</v>
      </c>
      <c r="GI2596" s="1" t="s">
        <v>213</v>
      </c>
      <c r="GJ2596" s="1" t="s">
        <v>260</v>
      </c>
      <c r="GK2596" s="1" t="s">
        <v>210</v>
      </c>
      <c r="GL2596" s="2">
        <v>42116</v>
      </c>
      <c r="GM2596" s="1" t="s">
        <v>22157</v>
      </c>
    </row>
    <row r="2597" spans="1:195">
      <c r="A2597" s="1">
        <v>186000</v>
      </c>
      <c r="B2597" s="1" t="s">
        <v>195</v>
      </c>
      <c r="C2597" s="1" t="str">
        <f>"08834718"</f>
        <v>08834718</v>
      </c>
      <c r="D2597" s="1" t="s">
        <v>196</v>
      </c>
      <c r="F2597" s="1" t="str">
        <f>"174"</f>
        <v>174</v>
      </c>
      <c r="G2597" s="2">
        <v>42044</v>
      </c>
      <c r="H2597" s="1">
        <v>189800</v>
      </c>
      <c r="I2597" s="1">
        <v>189800</v>
      </c>
      <c r="J2597" s="1">
        <v>186000</v>
      </c>
      <c r="K2597" s="2">
        <v>42044</v>
      </c>
      <c r="L2597" s="1">
        <v>15</v>
      </c>
      <c r="M2597" s="2">
        <v>42058</v>
      </c>
      <c r="N2597" s="1">
        <v>15</v>
      </c>
      <c r="O2597" s="2">
        <v>42058</v>
      </c>
      <c r="P2597" s="1">
        <v>49</v>
      </c>
      <c r="Q2597" s="1" t="s">
        <v>197</v>
      </c>
      <c r="R2597" s="2">
        <v>42087</v>
      </c>
      <c r="S2597" s="1">
        <v>8384</v>
      </c>
      <c r="T2597" s="1">
        <v>3000</v>
      </c>
      <c r="U2597" s="1">
        <v>1831</v>
      </c>
      <c r="V2597" s="1" t="s">
        <v>22158</v>
      </c>
      <c r="W2597" s="1" t="s">
        <v>304</v>
      </c>
      <c r="Y2597" s="1">
        <v>3</v>
      </c>
      <c r="Z2597" s="1" t="s">
        <v>249</v>
      </c>
      <c r="AA2597" s="1" t="s">
        <v>879</v>
      </c>
      <c r="AB2597" s="1">
        <v>60174</v>
      </c>
      <c r="AE2597" s="1" t="s">
        <v>22159</v>
      </c>
      <c r="AF2597" s="1">
        <v>1995</v>
      </c>
      <c r="AG2597" s="1" t="s">
        <v>204</v>
      </c>
      <c r="AH2597" s="1" t="s">
        <v>883</v>
      </c>
      <c r="AI2597" s="1" t="s">
        <v>665</v>
      </c>
      <c r="AJ2597" s="1" t="s">
        <v>883</v>
      </c>
      <c r="AL2597" s="1">
        <v>6</v>
      </c>
      <c r="AM2597" s="1">
        <v>2</v>
      </c>
      <c r="AN2597" s="1">
        <v>2</v>
      </c>
      <c r="AO2597" s="1">
        <v>1</v>
      </c>
      <c r="AP2597" s="1" t="s">
        <v>209</v>
      </c>
      <c r="AQ2597" s="1">
        <v>1</v>
      </c>
      <c r="AR2597" s="1" t="s">
        <v>210</v>
      </c>
      <c r="AT2597" s="1" t="s">
        <v>211</v>
      </c>
      <c r="AU2597" s="1">
        <v>2</v>
      </c>
      <c r="AW2597" s="1" t="s">
        <v>204</v>
      </c>
      <c r="AX2597" s="1" t="s">
        <v>212</v>
      </c>
      <c r="AZ2597" s="1">
        <v>4346</v>
      </c>
      <c r="BA2597" s="1">
        <v>2013</v>
      </c>
      <c r="BE2597" s="1">
        <v>1488</v>
      </c>
      <c r="BF2597" s="1">
        <v>1</v>
      </c>
      <c r="BG2597" s="1">
        <v>0</v>
      </c>
      <c r="BL2597" s="1">
        <v>182</v>
      </c>
      <c r="BM2597" s="1" t="s">
        <v>204</v>
      </c>
      <c r="BN2597" s="1" t="s">
        <v>213</v>
      </c>
      <c r="BO2597" s="1">
        <v>999</v>
      </c>
      <c r="BP2597" s="1" t="s">
        <v>204</v>
      </c>
      <c r="BR2597" s="1" t="str">
        <f>"0935455059"</f>
        <v>0935455059</v>
      </c>
      <c r="BT2597" s="1" t="s">
        <v>22160</v>
      </c>
      <c r="BX2597" s="1">
        <v>303</v>
      </c>
      <c r="BY2597" s="1">
        <v>303</v>
      </c>
      <c r="BZ2597" s="1">
        <v>303</v>
      </c>
      <c r="CB2597" s="1" t="str">
        <f t="shared" ref="CB2597:CC2597" si="1990">""</f>
        <v/>
      </c>
      <c r="CC2597" s="1" t="str">
        <f t="shared" si="1990"/>
        <v/>
      </c>
      <c r="CG2597" s="1" t="s">
        <v>280</v>
      </c>
      <c r="CH2597" s="1" t="s">
        <v>219</v>
      </c>
      <c r="CK2597" s="1" t="s">
        <v>3748</v>
      </c>
      <c r="CL2597" s="1" t="s">
        <v>277</v>
      </c>
      <c r="CO2597" s="1" t="s">
        <v>318</v>
      </c>
      <c r="CP2597" s="1" t="s">
        <v>219</v>
      </c>
      <c r="CS2597" s="1" t="s">
        <v>408</v>
      </c>
      <c r="CT2597" s="1" t="s">
        <v>277</v>
      </c>
      <c r="CX2597" s="1" t="s">
        <v>224</v>
      </c>
      <c r="DB2597" s="1" t="s">
        <v>224</v>
      </c>
      <c r="DE2597" s="1" t="s">
        <v>12409</v>
      </c>
      <c r="DF2597" s="1" t="s">
        <v>219</v>
      </c>
      <c r="DJ2597" s="1" t="s">
        <v>224</v>
      </c>
      <c r="DM2597" s="1" t="s">
        <v>464</v>
      </c>
      <c r="DR2597" s="1" t="s">
        <v>2466</v>
      </c>
      <c r="DS2597" s="1" t="s">
        <v>277</v>
      </c>
      <c r="DW2597" s="1" t="s">
        <v>230</v>
      </c>
      <c r="EA2597" s="1" t="s">
        <v>230</v>
      </c>
      <c r="EE2597" s="1" t="s">
        <v>230</v>
      </c>
      <c r="EI2597" s="1" t="s">
        <v>230</v>
      </c>
      <c r="EL2597" s="1" t="s">
        <v>670</v>
      </c>
      <c r="EM2597" s="1" t="s">
        <v>319</v>
      </c>
      <c r="EN2597" s="1" t="s">
        <v>282</v>
      </c>
      <c r="EO2597" s="1" t="s">
        <v>234</v>
      </c>
      <c r="EQ2597" s="1" t="s">
        <v>22161</v>
      </c>
      <c r="ER2597" s="1" t="s">
        <v>210</v>
      </c>
      <c r="ES2597" s="1" t="s">
        <v>322</v>
      </c>
      <c r="EV2597" s="1" t="s">
        <v>352</v>
      </c>
      <c r="EW2597" s="1" t="s">
        <v>353</v>
      </c>
      <c r="EZ2597" s="1" t="s">
        <v>464</v>
      </c>
      <c r="FD2597" s="1" t="s">
        <v>246</v>
      </c>
      <c r="FE2597" s="1" t="s">
        <v>472</v>
      </c>
      <c r="FF2597" s="1" t="s">
        <v>248</v>
      </c>
      <c r="FH2597" s="1" t="s">
        <v>550</v>
      </c>
      <c r="FL2597" s="1" t="s">
        <v>358</v>
      </c>
      <c r="FM2597" s="1" t="s">
        <v>252</v>
      </c>
      <c r="FN2597" s="1" t="s">
        <v>213</v>
      </c>
      <c r="FO2597" s="1" t="s">
        <v>213</v>
      </c>
      <c r="FQ2597" s="1" t="s">
        <v>22162</v>
      </c>
      <c r="FR2597" s="1" t="s">
        <v>210</v>
      </c>
      <c r="FS2597" s="1" t="s">
        <v>22163</v>
      </c>
      <c r="FT2597" s="1" t="s">
        <v>675</v>
      </c>
      <c r="FU2597" s="1" t="s">
        <v>204</v>
      </c>
      <c r="FW2597" s="1" t="s">
        <v>2420</v>
      </c>
      <c r="FX2597" s="1">
        <v>41</v>
      </c>
      <c r="FY2597" s="1" t="s">
        <v>2421</v>
      </c>
      <c r="FZ2597" s="1" t="s">
        <v>22164</v>
      </c>
      <c r="GA2597" s="1">
        <v>901</v>
      </c>
      <c r="GB2597" s="1" t="s">
        <v>22165</v>
      </c>
      <c r="GE2597" s="1" t="s">
        <v>480</v>
      </c>
      <c r="GI2597" s="1" t="s">
        <v>213</v>
      </c>
      <c r="GJ2597" s="1" t="s">
        <v>260</v>
      </c>
      <c r="GK2597" s="1" t="s">
        <v>210</v>
      </c>
      <c r="GL2597" s="2">
        <v>42088</v>
      </c>
    </row>
    <row r="2598" spans="1:195">
      <c r="A2598" s="1">
        <v>93500</v>
      </c>
      <c r="B2598" s="1" t="s">
        <v>195</v>
      </c>
      <c r="C2598" s="1" t="str">
        <f>"08834629"</f>
        <v>08834629</v>
      </c>
      <c r="D2598" s="1" t="s">
        <v>196</v>
      </c>
      <c r="F2598" s="1" t="str">
        <f>"73"</f>
        <v>73</v>
      </c>
      <c r="G2598" s="2">
        <v>42044</v>
      </c>
      <c r="H2598" s="1">
        <v>99900</v>
      </c>
      <c r="I2598" s="1">
        <v>99900</v>
      </c>
      <c r="J2598" s="1">
        <v>93500</v>
      </c>
      <c r="K2598" s="2">
        <v>42044</v>
      </c>
      <c r="L2598" s="1">
        <v>15</v>
      </c>
      <c r="M2598" s="2">
        <v>42058</v>
      </c>
      <c r="N2598" s="1">
        <v>15</v>
      </c>
      <c r="O2598" s="2">
        <v>42058</v>
      </c>
      <c r="P2598" s="1">
        <v>10267</v>
      </c>
      <c r="Q2598" s="1" t="s">
        <v>197</v>
      </c>
      <c r="R2598" s="2">
        <v>42111</v>
      </c>
      <c r="S2598" s="1">
        <v>147124</v>
      </c>
      <c r="U2598" s="1">
        <v>652</v>
      </c>
      <c r="V2598" s="1" t="s">
        <v>9733</v>
      </c>
      <c r="W2598" s="1" t="s">
        <v>264</v>
      </c>
      <c r="Y2598" s="1">
        <v>4</v>
      </c>
      <c r="Z2598" s="1" t="s">
        <v>370</v>
      </c>
      <c r="AA2598" s="1" t="s">
        <v>1259</v>
      </c>
      <c r="AB2598" s="1">
        <v>60073</v>
      </c>
      <c r="AD2598" s="1" t="s">
        <v>9734</v>
      </c>
      <c r="AE2598" s="1" t="s">
        <v>22166</v>
      </c>
      <c r="AF2598" s="1">
        <v>2004</v>
      </c>
      <c r="AG2598" s="1" t="s">
        <v>204</v>
      </c>
      <c r="AH2598" s="1" t="s">
        <v>1262</v>
      </c>
      <c r="AI2598" s="1" t="s">
        <v>509</v>
      </c>
      <c r="AJ2598" s="1" t="s">
        <v>9736</v>
      </c>
      <c r="AK2598" s="1" t="s">
        <v>6151</v>
      </c>
      <c r="AL2598" s="1">
        <v>5</v>
      </c>
      <c r="AM2598" s="1">
        <v>2</v>
      </c>
      <c r="AN2598" s="1">
        <v>1</v>
      </c>
      <c r="AO2598" s="1">
        <v>1</v>
      </c>
      <c r="AP2598" s="1" t="s">
        <v>667</v>
      </c>
      <c r="AR2598" s="1" t="s">
        <v>210</v>
      </c>
      <c r="AS2598" s="1" t="s">
        <v>204</v>
      </c>
      <c r="AT2598" s="1" t="s">
        <v>211</v>
      </c>
      <c r="AU2598" s="1">
        <v>2</v>
      </c>
      <c r="AW2598" s="1" t="s">
        <v>204</v>
      </c>
      <c r="AX2598" s="1" t="s">
        <v>22167</v>
      </c>
      <c r="AZ2598" s="1">
        <v>4654.1000000000004</v>
      </c>
      <c r="BA2598" s="1">
        <v>2013</v>
      </c>
      <c r="BB2598" s="1" t="s">
        <v>405</v>
      </c>
      <c r="BE2598" s="1">
        <v>1415</v>
      </c>
      <c r="BF2598" s="1">
        <v>1</v>
      </c>
      <c r="BG2598" s="1">
        <v>0</v>
      </c>
      <c r="BL2598" s="1">
        <v>209</v>
      </c>
      <c r="BM2598" s="1" t="s">
        <v>204</v>
      </c>
      <c r="BN2598" s="1" t="s">
        <v>213</v>
      </c>
      <c r="BO2598" s="1">
        <v>0</v>
      </c>
      <c r="BP2598" s="1" t="s">
        <v>204</v>
      </c>
      <c r="BR2598" s="1" t="str">
        <f>"10081030320000"</f>
        <v>10081030320000</v>
      </c>
      <c r="BT2598" s="1" t="s">
        <v>22168</v>
      </c>
      <c r="BU2598" s="1" t="s">
        <v>14024</v>
      </c>
      <c r="BV2598" s="1" t="s">
        <v>14025</v>
      </c>
      <c r="BW2598" s="1" t="s">
        <v>5840</v>
      </c>
      <c r="BX2598" s="1">
        <v>79</v>
      </c>
      <c r="BY2598" s="1">
        <v>79</v>
      </c>
      <c r="BZ2598" s="1">
        <v>120</v>
      </c>
      <c r="CB2598" s="1" t="str">
        <f t="shared" ref="CB2598:CC2598" si="1991">""</f>
        <v/>
      </c>
      <c r="CC2598" s="1" t="str">
        <f t="shared" si="1991"/>
        <v/>
      </c>
      <c r="CG2598" s="1" t="s">
        <v>885</v>
      </c>
      <c r="CH2598" s="1" t="s">
        <v>219</v>
      </c>
      <c r="CI2598" s="1" t="s">
        <v>220</v>
      </c>
      <c r="CK2598" s="1" t="s">
        <v>932</v>
      </c>
      <c r="CL2598" s="1" t="s">
        <v>277</v>
      </c>
      <c r="CM2598" s="1" t="s">
        <v>220</v>
      </c>
      <c r="CO2598" s="1" t="s">
        <v>346</v>
      </c>
      <c r="CP2598" s="1" t="s">
        <v>219</v>
      </c>
      <c r="CQ2598" s="1" t="s">
        <v>220</v>
      </c>
      <c r="CS2598" s="1" t="s">
        <v>465</v>
      </c>
      <c r="CT2598" s="1" t="s">
        <v>277</v>
      </c>
      <c r="CU2598" s="1" t="s">
        <v>220</v>
      </c>
      <c r="CX2598" s="1" t="s">
        <v>224</v>
      </c>
      <c r="DB2598" s="1" t="s">
        <v>224</v>
      </c>
      <c r="DE2598" s="1" t="s">
        <v>1358</v>
      </c>
      <c r="DF2598" s="1" t="s">
        <v>219</v>
      </c>
      <c r="DG2598" s="1" t="s">
        <v>342</v>
      </c>
      <c r="DJ2598" s="1" t="s">
        <v>224</v>
      </c>
      <c r="DS2598" s="1" t="s">
        <v>230</v>
      </c>
      <c r="DW2598" s="1" t="s">
        <v>230</v>
      </c>
      <c r="EA2598" s="1" t="s">
        <v>230</v>
      </c>
      <c r="EE2598" s="1" t="s">
        <v>230</v>
      </c>
      <c r="EI2598" s="1" t="s">
        <v>230</v>
      </c>
      <c r="EL2598" s="1" t="s">
        <v>466</v>
      </c>
      <c r="EM2598" s="1" t="s">
        <v>319</v>
      </c>
      <c r="EN2598" s="1" t="s">
        <v>282</v>
      </c>
      <c r="EO2598" s="1" t="s">
        <v>234</v>
      </c>
      <c r="EP2598" s="1" t="s">
        <v>2139</v>
      </c>
      <c r="EQ2598" s="1" t="s">
        <v>350</v>
      </c>
      <c r="ER2598" s="1" t="s">
        <v>210</v>
      </c>
      <c r="ES2598" s="1" t="s">
        <v>322</v>
      </c>
      <c r="ET2598" s="1" t="s">
        <v>842</v>
      </c>
      <c r="EV2598" s="1" t="s">
        <v>240</v>
      </c>
      <c r="EW2598" s="1" t="s">
        <v>470</v>
      </c>
      <c r="EZ2598" s="1" t="s">
        <v>287</v>
      </c>
      <c r="FD2598" s="1" t="s">
        <v>246</v>
      </c>
      <c r="FE2598" s="1" t="s">
        <v>355</v>
      </c>
      <c r="FF2598" s="1" t="s">
        <v>248</v>
      </c>
      <c r="FH2598" s="1" t="s">
        <v>550</v>
      </c>
      <c r="FL2598" s="1" t="s">
        <v>358</v>
      </c>
      <c r="FM2598" s="1" t="s">
        <v>252</v>
      </c>
      <c r="FN2598" s="1" t="s">
        <v>213</v>
      </c>
      <c r="FO2598" s="1" t="s">
        <v>213</v>
      </c>
      <c r="FQ2598" s="1" t="s">
        <v>582</v>
      </c>
      <c r="FR2598" s="1" t="s">
        <v>210</v>
      </c>
      <c r="FS2598" s="1" t="s">
        <v>7674</v>
      </c>
      <c r="FT2598" s="1" t="s">
        <v>584</v>
      </c>
      <c r="FU2598" s="1" t="s">
        <v>204</v>
      </c>
      <c r="FW2598" s="1" t="s">
        <v>256</v>
      </c>
      <c r="FX2598" s="1">
        <v>2648</v>
      </c>
      <c r="FY2598" s="1" t="s">
        <v>1022</v>
      </c>
      <c r="FZ2598" s="1" t="s">
        <v>7675</v>
      </c>
      <c r="GA2598" s="1">
        <v>18093</v>
      </c>
      <c r="GB2598" s="1" t="s">
        <v>7676</v>
      </c>
      <c r="GC2598" s="1">
        <v>18713</v>
      </c>
      <c r="GD2598" s="1" t="s">
        <v>15134</v>
      </c>
      <c r="GE2598" s="1" t="s">
        <v>480</v>
      </c>
      <c r="GH2598" s="1" t="s">
        <v>589</v>
      </c>
      <c r="GI2598" s="1" t="s">
        <v>213</v>
      </c>
      <c r="GJ2598" s="1" t="s">
        <v>260</v>
      </c>
      <c r="GK2598" s="1" t="s">
        <v>210</v>
      </c>
      <c r="GL2598" s="2">
        <v>42114</v>
      </c>
      <c r="GM2598" s="1" t="s">
        <v>22169</v>
      </c>
    </row>
    <row r="2599" spans="1:195">
      <c r="A2599" s="1">
        <v>156000</v>
      </c>
      <c r="B2599" s="1" t="s">
        <v>195</v>
      </c>
      <c r="C2599" s="1" t="str">
        <f>"08834771"</f>
        <v>08834771</v>
      </c>
      <c r="D2599" s="1" t="s">
        <v>196</v>
      </c>
      <c r="F2599" s="1" t="str">
        <f>"139"</f>
        <v>139</v>
      </c>
      <c r="G2599" s="2">
        <v>42044</v>
      </c>
      <c r="H2599" s="1">
        <v>158900</v>
      </c>
      <c r="I2599" s="1">
        <v>158900</v>
      </c>
      <c r="J2599" s="1">
        <v>156000</v>
      </c>
      <c r="K2599" s="2">
        <v>42043</v>
      </c>
      <c r="L2599" s="1">
        <v>16</v>
      </c>
      <c r="M2599" s="2">
        <v>42058</v>
      </c>
      <c r="N2599" s="1">
        <v>16</v>
      </c>
      <c r="O2599" s="2">
        <v>42058</v>
      </c>
      <c r="P2599" s="1">
        <v>25368</v>
      </c>
      <c r="Q2599" s="1" t="s">
        <v>197</v>
      </c>
      <c r="R2599" s="2">
        <v>42102</v>
      </c>
      <c r="S2599" s="1">
        <v>256705</v>
      </c>
      <c r="U2599" s="1">
        <v>1420</v>
      </c>
      <c r="V2599" s="1" t="s">
        <v>22170</v>
      </c>
      <c r="W2599" s="1" t="s">
        <v>264</v>
      </c>
      <c r="X2599" s="1" t="s">
        <v>5590</v>
      </c>
      <c r="Y2599" s="1">
        <v>4</v>
      </c>
      <c r="Z2599" s="1" t="s">
        <v>200</v>
      </c>
      <c r="AA2599" s="1" t="s">
        <v>1732</v>
      </c>
      <c r="AB2599" s="1">
        <v>60139</v>
      </c>
      <c r="AD2599" s="1" t="s">
        <v>8696</v>
      </c>
      <c r="AE2599" s="1" t="s">
        <v>22171</v>
      </c>
      <c r="AF2599" s="1">
        <v>1988</v>
      </c>
      <c r="AG2599" s="1" t="s">
        <v>204</v>
      </c>
      <c r="AH2599" s="1" t="s">
        <v>1735</v>
      </c>
      <c r="AI2599" s="1" t="s">
        <v>206</v>
      </c>
      <c r="AJ2599" s="1" t="s">
        <v>269</v>
      </c>
      <c r="AK2599" s="1" t="s">
        <v>12647</v>
      </c>
      <c r="AL2599" s="1">
        <v>5</v>
      </c>
      <c r="AM2599" s="1">
        <v>2</v>
      </c>
      <c r="AN2599" s="1">
        <v>2</v>
      </c>
      <c r="AO2599" s="1">
        <v>1</v>
      </c>
      <c r="AP2599" s="1" t="s">
        <v>209</v>
      </c>
      <c r="AR2599" s="1" t="s">
        <v>210</v>
      </c>
      <c r="AT2599" s="1" t="s">
        <v>211</v>
      </c>
      <c r="AU2599" s="1">
        <v>1</v>
      </c>
      <c r="AW2599" s="1" t="s">
        <v>204</v>
      </c>
      <c r="AX2599" s="1" t="s">
        <v>212</v>
      </c>
      <c r="AZ2599" s="1">
        <v>4339</v>
      </c>
      <c r="BA2599" s="1">
        <v>2013</v>
      </c>
      <c r="BB2599" s="1" t="s">
        <v>405</v>
      </c>
      <c r="BE2599" s="1">
        <v>1248</v>
      </c>
      <c r="BF2599" s="1">
        <v>1</v>
      </c>
      <c r="BG2599" s="1">
        <v>0</v>
      </c>
      <c r="BL2599" s="1">
        <v>195</v>
      </c>
      <c r="BM2599" s="1" t="s">
        <v>204</v>
      </c>
      <c r="BN2599" s="1" t="s">
        <v>213</v>
      </c>
      <c r="BO2599" s="1">
        <v>30</v>
      </c>
      <c r="BP2599" s="1" t="s">
        <v>204</v>
      </c>
      <c r="BR2599" s="1" t="str">
        <f>"0233205019"</f>
        <v>0233205019</v>
      </c>
      <c r="BT2599" s="1" t="s">
        <v>22172</v>
      </c>
      <c r="BX2599" s="1">
        <v>16</v>
      </c>
      <c r="BY2599" s="1">
        <v>16</v>
      </c>
      <c r="BZ2599" s="1">
        <v>87</v>
      </c>
      <c r="CB2599" s="1" t="str">
        <f>"2"</f>
        <v>2</v>
      </c>
      <c r="CC2599" s="1" t="str">
        <f>"0"</f>
        <v>0</v>
      </c>
      <c r="CD2599" s="1">
        <v>24</v>
      </c>
      <c r="CE2599" s="1">
        <v>0</v>
      </c>
      <c r="CG2599" s="1" t="s">
        <v>2042</v>
      </c>
      <c r="CH2599" s="1" t="s">
        <v>219</v>
      </c>
      <c r="CI2599" s="1" t="s">
        <v>438</v>
      </c>
      <c r="CK2599" s="1" t="s">
        <v>757</v>
      </c>
      <c r="CL2599" s="1" t="s">
        <v>277</v>
      </c>
      <c r="CM2599" s="1" t="s">
        <v>438</v>
      </c>
      <c r="CO2599" s="1" t="s">
        <v>629</v>
      </c>
      <c r="CP2599" s="1" t="s">
        <v>219</v>
      </c>
      <c r="CQ2599" s="1" t="s">
        <v>438</v>
      </c>
      <c r="CS2599" s="1" t="s">
        <v>1854</v>
      </c>
      <c r="CT2599" s="1" t="s">
        <v>277</v>
      </c>
      <c r="CU2599" s="1" t="s">
        <v>438</v>
      </c>
      <c r="CX2599" s="1" t="s">
        <v>224</v>
      </c>
      <c r="DB2599" s="1" t="s">
        <v>224</v>
      </c>
      <c r="DE2599" s="1" t="s">
        <v>2982</v>
      </c>
      <c r="DF2599" s="1" t="s">
        <v>219</v>
      </c>
      <c r="DG2599" s="1" t="s">
        <v>226</v>
      </c>
      <c r="DH2599" s="1" t="s">
        <v>210</v>
      </c>
      <c r="DJ2599" s="1" t="s">
        <v>224</v>
      </c>
      <c r="DS2599" s="1" t="s">
        <v>230</v>
      </c>
      <c r="DW2599" s="1" t="s">
        <v>230</v>
      </c>
      <c r="EA2599" s="1" t="s">
        <v>230</v>
      </c>
      <c r="EE2599" s="1" t="s">
        <v>230</v>
      </c>
      <c r="EI2599" s="1" t="s">
        <v>230</v>
      </c>
      <c r="EL2599" s="1" t="s">
        <v>542</v>
      </c>
      <c r="EM2599" s="1" t="s">
        <v>319</v>
      </c>
      <c r="EN2599" s="1" t="s">
        <v>282</v>
      </c>
      <c r="EO2599" s="1" t="s">
        <v>234</v>
      </c>
      <c r="EP2599" s="1" t="s">
        <v>22173</v>
      </c>
      <c r="EQ2599" s="1" t="s">
        <v>6210</v>
      </c>
      <c r="ER2599" s="1" t="s">
        <v>210</v>
      </c>
      <c r="ES2599" s="1" t="s">
        <v>3932</v>
      </c>
      <c r="EU2599" s="1" t="s">
        <v>3377</v>
      </c>
      <c r="EV2599" s="1" t="s">
        <v>240</v>
      </c>
      <c r="EW2599" s="1" t="s">
        <v>1504</v>
      </c>
      <c r="EY2599" s="1" t="s">
        <v>242</v>
      </c>
      <c r="EZ2599" s="1" t="s">
        <v>287</v>
      </c>
      <c r="FA2599" s="1" t="s">
        <v>22174</v>
      </c>
      <c r="FB2599" s="1" t="s">
        <v>289</v>
      </c>
      <c r="FD2599" s="1" t="s">
        <v>495</v>
      </c>
      <c r="FE2599" s="1" t="s">
        <v>1006</v>
      </c>
      <c r="FF2599" s="1" t="s">
        <v>248</v>
      </c>
      <c r="FH2599" s="1" t="s">
        <v>550</v>
      </c>
      <c r="FI2599" s="1" t="s">
        <v>357</v>
      </c>
      <c r="FL2599" s="1" t="s">
        <v>358</v>
      </c>
      <c r="FM2599" s="1" t="s">
        <v>252</v>
      </c>
      <c r="FN2599" s="1" t="s">
        <v>213</v>
      </c>
      <c r="FO2599" s="1" t="s">
        <v>213</v>
      </c>
      <c r="FQ2599" s="1" t="s">
        <v>22175</v>
      </c>
      <c r="FR2599" s="1" t="s">
        <v>210</v>
      </c>
      <c r="FS2599" s="1" t="s">
        <v>22176</v>
      </c>
      <c r="FT2599" s="1" t="s">
        <v>255</v>
      </c>
      <c r="FU2599" s="1" t="s">
        <v>204</v>
      </c>
      <c r="FW2599" s="1" t="s">
        <v>5979</v>
      </c>
      <c r="FX2599" s="1">
        <v>8340</v>
      </c>
      <c r="FY2599" s="1" t="s">
        <v>5980</v>
      </c>
      <c r="FZ2599" s="1" t="s">
        <v>22177</v>
      </c>
      <c r="GA2599" s="1">
        <v>243135</v>
      </c>
      <c r="GB2599" s="1" t="s">
        <v>22178</v>
      </c>
      <c r="GE2599" s="1" t="s">
        <v>335</v>
      </c>
      <c r="GI2599" s="1" t="s">
        <v>213</v>
      </c>
      <c r="GJ2599" s="1" t="s">
        <v>260</v>
      </c>
      <c r="GK2599" s="1" t="s">
        <v>210</v>
      </c>
      <c r="GL2599" s="2">
        <v>42102</v>
      </c>
      <c r="GM2599" s="1" t="s">
        <v>22179</v>
      </c>
    </row>
    <row r="2600" spans="1:195">
      <c r="A2600" s="1">
        <v>339040</v>
      </c>
      <c r="B2600" s="1" t="s">
        <v>195</v>
      </c>
      <c r="C2600" s="1" t="str">
        <f>"08833456"</f>
        <v>08833456</v>
      </c>
      <c r="D2600" s="1" t="s">
        <v>196</v>
      </c>
      <c r="F2600" s="1" t="str">
        <f>"540"</f>
        <v>540</v>
      </c>
      <c r="G2600" s="2">
        <v>42042</v>
      </c>
      <c r="H2600" s="1">
        <v>339040</v>
      </c>
      <c r="I2600" s="1">
        <v>339040</v>
      </c>
      <c r="J2600" s="1">
        <v>339040</v>
      </c>
      <c r="K2600" s="2">
        <v>42042</v>
      </c>
      <c r="L2600" s="1">
        <v>170</v>
      </c>
      <c r="M2600" s="2">
        <v>42077</v>
      </c>
      <c r="N2600" s="1">
        <v>36</v>
      </c>
      <c r="O2600" s="2">
        <v>42077</v>
      </c>
      <c r="P2600" s="1" t="s">
        <v>1039</v>
      </c>
      <c r="Q2600" s="1" t="s">
        <v>197</v>
      </c>
      <c r="R2600" s="2">
        <v>42139</v>
      </c>
      <c r="S2600" s="1">
        <v>99999</v>
      </c>
      <c r="U2600" s="1">
        <v>2834</v>
      </c>
      <c r="V2600" s="1" t="s">
        <v>22180</v>
      </c>
      <c r="W2600" s="1" t="s">
        <v>504</v>
      </c>
      <c r="Y2600" s="1">
        <v>6</v>
      </c>
      <c r="Z2600" s="1" t="s">
        <v>370</v>
      </c>
      <c r="AA2600" s="1" t="s">
        <v>921</v>
      </c>
      <c r="AB2600" s="1">
        <v>60540</v>
      </c>
      <c r="AD2600" s="1" t="s">
        <v>3844</v>
      </c>
      <c r="AE2600" s="1" t="s">
        <v>22181</v>
      </c>
      <c r="AF2600" s="1">
        <v>2015</v>
      </c>
      <c r="AG2600" s="1" t="s">
        <v>204</v>
      </c>
      <c r="AH2600" s="1" t="s">
        <v>924</v>
      </c>
      <c r="AI2600" s="1" t="s">
        <v>206</v>
      </c>
      <c r="AJ2600" s="1" t="s">
        <v>924</v>
      </c>
      <c r="AK2600" s="1" t="s">
        <v>22182</v>
      </c>
      <c r="AL2600" s="1">
        <v>6</v>
      </c>
      <c r="AM2600" s="1">
        <v>2</v>
      </c>
      <c r="AN2600" s="1">
        <v>2</v>
      </c>
      <c r="AO2600" s="1">
        <v>1</v>
      </c>
      <c r="AP2600" s="1" t="s">
        <v>209</v>
      </c>
      <c r="AR2600" s="1" t="s">
        <v>2275</v>
      </c>
      <c r="AS2600" s="1" t="s">
        <v>204</v>
      </c>
      <c r="AT2600" s="1" t="s">
        <v>211</v>
      </c>
      <c r="AU2600" s="1">
        <v>2</v>
      </c>
      <c r="AW2600" s="1" t="s">
        <v>204</v>
      </c>
      <c r="AX2600" s="1" t="s">
        <v>212</v>
      </c>
      <c r="AZ2600" s="1" t="s">
        <v>751</v>
      </c>
      <c r="BA2600" s="1">
        <v>2013</v>
      </c>
      <c r="BB2600" s="1" t="s">
        <v>210</v>
      </c>
      <c r="BE2600" s="1">
        <v>2315</v>
      </c>
      <c r="BF2600" s="1">
        <v>2</v>
      </c>
      <c r="BG2600" s="1">
        <v>0</v>
      </c>
      <c r="BL2600" s="1">
        <v>210</v>
      </c>
      <c r="BM2600" s="1" t="s">
        <v>204</v>
      </c>
      <c r="BN2600" s="1" t="s">
        <v>213</v>
      </c>
      <c r="BO2600" s="1">
        <v>0</v>
      </c>
      <c r="BP2600" s="1" t="s">
        <v>213</v>
      </c>
      <c r="BQ2600" s="2">
        <v>42109</v>
      </c>
      <c r="BR2600" s="1" t="str">
        <f>"0727104038"</f>
        <v>0727104038</v>
      </c>
      <c r="BT2600" s="1" t="s">
        <v>22183</v>
      </c>
      <c r="BU2600" s="1" t="s">
        <v>2087</v>
      </c>
      <c r="BV2600" s="1" t="s">
        <v>1248</v>
      </c>
      <c r="BW2600" s="1" t="s">
        <v>1131</v>
      </c>
      <c r="BX2600" s="1">
        <v>204</v>
      </c>
      <c r="BY2600" s="1">
        <v>204</v>
      </c>
      <c r="BZ2600" s="1">
        <v>204</v>
      </c>
      <c r="CB2600" s="1" t="str">
        <f t="shared" ref="CB2600:CC2600" si="1992">"0"</f>
        <v>0</v>
      </c>
      <c r="CC2600" s="1" t="str">
        <f t="shared" si="1992"/>
        <v>0</v>
      </c>
      <c r="CD2600" s="1">
        <v>29</v>
      </c>
      <c r="CE2600" s="1">
        <v>8</v>
      </c>
      <c r="CH2600" s="1" t="s">
        <v>224</v>
      </c>
      <c r="CK2600" s="1" t="s">
        <v>932</v>
      </c>
      <c r="CL2600" s="1" t="s">
        <v>277</v>
      </c>
      <c r="CM2600" s="1" t="s">
        <v>220</v>
      </c>
      <c r="CP2600" s="1" t="s">
        <v>224</v>
      </c>
      <c r="CS2600" s="1" t="s">
        <v>465</v>
      </c>
      <c r="CT2600" s="1" t="s">
        <v>277</v>
      </c>
      <c r="CU2600" s="1" t="s">
        <v>220</v>
      </c>
      <c r="CX2600" s="1" t="s">
        <v>224</v>
      </c>
      <c r="DB2600" s="1" t="s">
        <v>224</v>
      </c>
      <c r="DE2600" s="1" t="s">
        <v>3264</v>
      </c>
      <c r="DF2600" s="1" t="s">
        <v>219</v>
      </c>
      <c r="DG2600" s="1" t="s">
        <v>438</v>
      </c>
      <c r="DJ2600" s="1" t="s">
        <v>224</v>
      </c>
      <c r="DM2600" s="1" t="s">
        <v>1676</v>
      </c>
      <c r="DN2600" s="1" t="s">
        <v>1548</v>
      </c>
      <c r="DO2600" s="1" t="s">
        <v>411</v>
      </c>
      <c r="DR2600" s="1" t="s">
        <v>1155</v>
      </c>
      <c r="DS2600" s="1" t="s">
        <v>219</v>
      </c>
      <c r="DV2600" s="1" t="s">
        <v>379</v>
      </c>
      <c r="DW2600" s="1" t="s">
        <v>219</v>
      </c>
      <c r="DX2600" s="1" t="s">
        <v>438</v>
      </c>
      <c r="DZ2600" s="1" t="s">
        <v>379</v>
      </c>
      <c r="EA2600" s="1" t="s">
        <v>277</v>
      </c>
      <c r="EB2600" s="1" t="s">
        <v>220</v>
      </c>
      <c r="EE2600" s="1" t="s">
        <v>230</v>
      </c>
      <c r="EI2600" s="1" t="s">
        <v>230</v>
      </c>
      <c r="EL2600" s="1" t="s">
        <v>760</v>
      </c>
      <c r="EM2600" s="1" t="s">
        <v>319</v>
      </c>
      <c r="EN2600" s="1" t="s">
        <v>282</v>
      </c>
      <c r="EO2600" s="1" t="s">
        <v>234</v>
      </c>
      <c r="EQ2600" s="1" t="s">
        <v>15248</v>
      </c>
      <c r="ER2600" s="1" t="s">
        <v>8396</v>
      </c>
      <c r="ES2600" s="1" t="s">
        <v>322</v>
      </c>
      <c r="ET2600" s="1" t="s">
        <v>866</v>
      </c>
      <c r="EW2600" s="1" t="s">
        <v>3851</v>
      </c>
      <c r="EY2600" s="1" t="s">
        <v>441</v>
      </c>
      <c r="EZ2600" s="1" t="s">
        <v>9910</v>
      </c>
      <c r="FA2600" s="1" t="s">
        <v>6548</v>
      </c>
      <c r="FD2600" s="1" t="s">
        <v>246</v>
      </c>
      <c r="FE2600" s="1" t="s">
        <v>975</v>
      </c>
      <c r="FF2600" s="1" t="s">
        <v>387</v>
      </c>
      <c r="FH2600" s="1" t="s">
        <v>550</v>
      </c>
      <c r="FL2600" s="1" t="s">
        <v>358</v>
      </c>
      <c r="FM2600" s="1" t="s">
        <v>252</v>
      </c>
      <c r="FN2600" s="1" t="s">
        <v>213</v>
      </c>
      <c r="FO2600" s="1" t="s">
        <v>213</v>
      </c>
      <c r="FQ2600" s="1" t="s">
        <v>3853</v>
      </c>
      <c r="FR2600" s="1" t="s">
        <v>210</v>
      </c>
      <c r="FS2600" s="1" t="s">
        <v>22184</v>
      </c>
      <c r="FT2600" s="1" t="s">
        <v>3855</v>
      </c>
      <c r="FU2600" s="1" t="s">
        <v>204</v>
      </c>
      <c r="FV2600" s="1" t="s">
        <v>6996</v>
      </c>
      <c r="FW2600" s="1" t="s">
        <v>3857</v>
      </c>
      <c r="FX2600" s="1">
        <v>23223</v>
      </c>
      <c r="FY2600" s="1" t="s">
        <v>3858</v>
      </c>
      <c r="FZ2600" s="1" t="s">
        <v>10548</v>
      </c>
      <c r="GA2600" s="1">
        <v>210778</v>
      </c>
      <c r="GB2600" s="1" t="s">
        <v>10549</v>
      </c>
      <c r="GC2600" s="1">
        <v>236300</v>
      </c>
      <c r="GE2600" s="1" t="s">
        <v>480</v>
      </c>
      <c r="GI2600" s="1" t="s">
        <v>204</v>
      </c>
      <c r="GJ2600" s="1" t="s">
        <v>300</v>
      </c>
      <c r="GK2600" s="1" t="s">
        <v>210</v>
      </c>
      <c r="GL2600" s="2">
        <v>42139</v>
      </c>
      <c r="GM2600" s="1" t="s">
        <v>22185</v>
      </c>
    </row>
    <row r="2601" spans="1:195">
      <c r="A2601" s="1">
        <v>87900</v>
      </c>
      <c r="B2601" s="1" t="s">
        <v>195</v>
      </c>
      <c r="C2601" s="1" t="str">
        <f>"08836371"</f>
        <v>08836371</v>
      </c>
      <c r="D2601" s="1" t="s">
        <v>196</v>
      </c>
      <c r="F2601" s="1" t="str">
        <f>"107"</f>
        <v>107</v>
      </c>
      <c r="G2601" s="2">
        <v>42046</v>
      </c>
      <c r="H2601" s="1">
        <v>98900</v>
      </c>
      <c r="I2601" s="1">
        <v>92900</v>
      </c>
      <c r="J2601" s="1">
        <v>87900</v>
      </c>
      <c r="K2601" s="2">
        <v>42046</v>
      </c>
      <c r="L2601" s="1">
        <v>52</v>
      </c>
      <c r="M2601" s="2">
        <v>42097</v>
      </c>
      <c r="N2601" s="1">
        <v>52</v>
      </c>
      <c r="O2601" s="2">
        <v>42097</v>
      </c>
      <c r="P2601" s="1">
        <v>5085</v>
      </c>
      <c r="Q2601" s="1" t="s">
        <v>302</v>
      </c>
      <c r="R2601" s="2">
        <v>42122</v>
      </c>
      <c r="S2601" s="1">
        <v>56026</v>
      </c>
      <c r="U2601" s="1">
        <v>282</v>
      </c>
      <c r="V2601" s="1" t="s">
        <v>8400</v>
      </c>
      <c r="W2601" s="1" t="s">
        <v>449</v>
      </c>
      <c r="Y2601" s="1">
        <v>2</v>
      </c>
      <c r="Z2601" s="1" t="s">
        <v>370</v>
      </c>
      <c r="AA2601" s="1" t="s">
        <v>1211</v>
      </c>
      <c r="AB2601" s="1">
        <v>60107</v>
      </c>
      <c r="AD2601" s="1" t="s">
        <v>8401</v>
      </c>
      <c r="AE2601" s="1" t="s">
        <v>22186</v>
      </c>
      <c r="AF2601" s="1">
        <v>1983</v>
      </c>
      <c r="AG2601" s="1" t="s">
        <v>204</v>
      </c>
      <c r="AH2601" s="1" t="s">
        <v>1214</v>
      </c>
      <c r="AI2601" s="1" t="s">
        <v>310</v>
      </c>
      <c r="AJ2601" s="1" t="s">
        <v>374</v>
      </c>
      <c r="AL2601" s="1">
        <v>5</v>
      </c>
      <c r="AM2601" s="1">
        <v>2</v>
      </c>
      <c r="AN2601" s="1">
        <v>2</v>
      </c>
      <c r="AO2601" s="1">
        <v>0</v>
      </c>
      <c r="AP2601" s="1" t="s">
        <v>209</v>
      </c>
      <c r="AR2601" s="1" t="s">
        <v>210</v>
      </c>
      <c r="AS2601" s="1" t="s">
        <v>204</v>
      </c>
      <c r="AT2601" s="1" t="s">
        <v>211</v>
      </c>
      <c r="AU2601" s="1">
        <v>2</v>
      </c>
      <c r="AW2601" s="1" t="s">
        <v>204</v>
      </c>
      <c r="AX2601" s="1" t="s">
        <v>22187</v>
      </c>
      <c r="AZ2601" s="1">
        <v>3191.33</v>
      </c>
      <c r="BA2601" s="1">
        <v>2013</v>
      </c>
      <c r="BE2601" s="1">
        <v>1178</v>
      </c>
      <c r="BF2601" s="1">
        <v>1</v>
      </c>
      <c r="BG2601" s="1">
        <v>0</v>
      </c>
      <c r="BL2601" s="1">
        <v>130</v>
      </c>
      <c r="BM2601" s="1" t="s">
        <v>204</v>
      </c>
      <c r="BN2601" s="1" t="s">
        <v>213</v>
      </c>
      <c r="BO2601" s="1">
        <v>99</v>
      </c>
      <c r="BP2601" s="1" t="s">
        <v>204</v>
      </c>
      <c r="BR2601" s="1" t="str">
        <f>"06241120580000"</f>
        <v>06241120580000</v>
      </c>
      <c r="BT2601" s="1" t="s">
        <v>22188</v>
      </c>
      <c r="BX2601" s="1">
        <v>46</v>
      </c>
      <c r="BY2601" s="1">
        <v>46</v>
      </c>
      <c r="BZ2601" s="1">
        <v>46</v>
      </c>
      <c r="CB2601" s="1" t="str">
        <f>"10"</f>
        <v>10</v>
      </c>
      <c r="CC2601" s="1" t="str">
        <f>"0"</f>
        <v>0</v>
      </c>
      <c r="CD2601" s="1">
        <v>27</v>
      </c>
      <c r="CE2601" s="1">
        <v>0</v>
      </c>
      <c r="CG2601" s="1" t="s">
        <v>228</v>
      </c>
      <c r="CH2601" s="1" t="s">
        <v>219</v>
      </c>
      <c r="CK2601" s="1" t="s">
        <v>344</v>
      </c>
      <c r="CL2601" s="1" t="s">
        <v>219</v>
      </c>
      <c r="CO2601" s="1" t="s">
        <v>1358</v>
      </c>
      <c r="CP2601" s="1" t="s">
        <v>219</v>
      </c>
      <c r="CS2601" s="1" t="s">
        <v>344</v>
      </c>
      <c r="CT2601" s="1" t="s">
        <v>219</v>
      </c>
      <c r="CX2601" s="1" t="s">
        <v>224</v>
      </c>
      <c r="DB2601" s="1" t="s">
        <v>224</v>
      </c>
      <c r="DE2601" s="1" t="s">
        <v>1358</v>
      </c>
      <c r="DF2601" s="1" t="s">
        <v>219</v>
      </c>
      <c r="DJ2601" s="1" t="s">
        <v>224</v>
      </c>
      <c r="DS2601" s="1" t="s">
        <v>230</v>
      </c>
      <c r="DW2601" s="1" t="s">
        <v>230</v>
      </c>
      <c r="EA2601" s="1" t="s">
        <v>230</v>
      </c>
      <c r="EE2601" s="1" t="s">
        <v>230</v>
      </c>
      <c r="EI2601" s="1" t="s">
        <v>230</v>
      </c>
      <c r="EL2601" s="1" t="s">
        <v>231</v>
      </c>
      <c r="EM2601" s="1" t="s">
        <v>730</v>
      </c>
      <c r="EN2601" s="1" t="s">
        <v>282</v>
      </c>
      <c r="EO2601" s="1" t="s">
        <v>234</v>
      </c>
      <c r="ER2601" s="1" t="s">
        <v>383</v>
      </c>
      <c r="EU2601" s="1" t="s">
        <v>239</v>
      </c>
      <c r="EV2601" s="1" t="s">
        <v>240</v>
      </c>
      <c r="EW2601" s="1" t="s">
        <v>1426</v>
      </c>
      <c r="EZ2601" s="1" t="s">
        <v>287</v>
      </c>
      <c r="FD2601" s="1" t="s">
        <v>246</v>
      </c>
      <c r="FE2601" s="1" t="s">
        <v>870</v>
      </c>
      <c r="FF2601" s="1" t="s">
        <v>248</v>
      </c>
      <c r="FH2601" s="1" t="s">
        <v>442</v>
      </c>
      <c r="FJ2601" s="1" t="s">
        <v>3943</v>
      </c>
      <c r="FL2601" s="1" t="s">
        <v>414</v>
      </c>
      <c r="FM2601" s="1" t="s">
        <v>252</v>
      </c>
      <c r="FN2601" s="1" t="s">
        <v>213</v>
      </c>
      <c r="FO2601" s="1" t="s">
        <v>213</v>
      </c>
      <c r="FQ2601" s="1" t="s">
        <v>582</v>
      </c>
      <c r="FR2601" s="1" t="s">
        <v>210</v>
      </c>
      <c r="FS2601" s="1" t="s">
        <v>2844</v>
      </c>
      <c r="FT2601" s="1" t="s">
        <v>295</v>
      </c>
      <c r="FU2601" s="1" t="s">
        <v>204</v>
      </c>
      <c r="FW2601" s="1" t="s">
        <v>2845</v>
      </c>
      <c r="FX2601" s="1">
        <v>5293</v>
      </c>
      <c r="FY2601" s="1" t="s">
        <v>2846</v>
      </c>
      <c r="FZ2601" s="1" t="s">
        <v>2847</v>
      </c>
      <c r="GA2601" s="1">
        <v>53957</v>
      </c>
      <c r="GE2601" s="1" t="s">
        <v>210</v>
      </c>
      <c r="GI2601" s="1" t="s">
        <v>213</v>
      </c>
      <c r="GJ2601" s="1" t="s">
        <v>260</v>
      </c>
      <c r="GK2601" s="1" t="s">
        <v>210</v>
      </c>
      <c r="GL2601" s="2">
        <v>42123</v>
      </c>
      <c r="GM2601" s="1" t="s">
        <v>22189</v>
      </c>
    </row>
    <row r="2602" spans="1:195">
      <c r="A2602" s="1">
        <v>133400</v>
      </c>
      <c r="B2602" s="1" t="s">
        <v>195</v>
      </c>
      <c r="C2602" s="1" t="str">
        <f>"08838165"</f>
        <v>08838165</v>
      </c>
      <c r="D2602" s="1" t="s">
        <v>196</v>
      </c>
      <c r="F2602" s="1" t="str">
        <f>"507"</f>
        <v>507</v>
      </c>
      <c r="G2602" s="2">
        <v>42048</v>
      </c>
      <c r="H2602" s="1">
        <v>129900</v>
      </c>
      <c r="I2602" s="1">
        <v>129900</v>
      </c>
      <c r="J2602" s="1">
        <v>133400</v>
      </c>
      <c r="K2602" s="2">
        <v>42048</v>
      </c>
      <c r="L2602" s="1">
        <v>11</v>
      </c>
      <c r="M2602" s="2">
        <v>42058</v>
      </c>
      <c r="N2602" s="1">
        <v>11</v>
      </c>
      <c r="O2602" s="2">
        <v>42058</v>
      </c>
      <c r="P2602" s="1">
        <v>23030</v>
      </c>
      <c r="Q2602" s="1" t="s">
        <v>423</v>
      </c>
      <c r="R2602" s="2">
        <v>42122</v>
      </c>
      <c r="S2602" s="1">
        <v>234057</v>
      </c>
      <c r="T2602" s="1">
        <v>3500</v>
      </c>
      <c r="U2602" s="1">
        <v>1926</v>
      </c>
      <c r="V2602" s="1" t="s">
        <v>1798</v>
      </c>
      <c r="W2602" s="1" t="s">
        <v>264</v>
      </c>
      <c r="Y2602" s="1">
        <v>4</v>
      </c>
      <c r="Z2602" s="1" t="s">
        <v>370</v>
      </c>
      <c r="AA2602" s="1" t="s">
        <v>1123</v>
      </c>
      <c r="AB2602" s="1">
        <v>60503</v>
      </c>
      <c r="AD2602" s="1" t="s">
        <v>22190</v>
      </c>
      <c r="AE2602" s="1" t="s">
        <v>22191</v>
      </c>
      <c r="AF2602" s="1">
        <v>1999</v>
      </c>
      <c r="AG2602" s="1" t="s">
        <v>204</v>
      </c>
      <c r="AH2602" s="1" t="s">
        <v>1126</v>
      </c>
      <c r="AI2602" s="1" t="s">
        <v>1800</v>
      </c>
      <c r="AJ2602" s="1" t="s">
        <v>1801</v>
      </c>
      <c r="AL2602" s="1">
        <v>6</v>
      </c>
      <c r="AM2602" s="1">
        <v>2</v>
      </c>
      <c r="AN2602" s="1">
        <v>2</v>
      </c>
      <c r="AO2602" s="1">
        <v>1</v>
      </c>
      <c r="AP2602" s="1" t="s">
        <v>209</v>
      </c>
      <c r="AQ2602" s="1">
        <v>1</v>
      </c>
      <c r="AR2602" s="1" t="s">
        <v>210</v>
      </c>
      <c r="AS2602" s="1" t="s">
        <v>204</v>
      </c>
      <c r="AT2602" s="1" t="s">
        <v>211</v>
      </c>
      <c r="AU2602" s="1">
        <v>2</v>
      </c>
      <c r="AW2602" s="1" t="s">
        <v>204</v>
      </c>
      <c r="AX2602" s="1" t="s">
        <v>212</v>
      </c>
      <c r="AZ2602" s="1">
        <v>3828.84</v>
      </c>
      <c r="BA2602" s="1">
        <v>2013</v>
      </c>
      <c r="BB2602" s="1" t="s">
        <v>405</v>
      </c>
      <c r="BE2602" s="1">
        <v>1575</v>
      </c>
      <c r="BF2602" s="1">
        <v>1</v>
      </c>
      <c r="BG2602" s="1">
        <v>0</v>
      </c>
      <c r="BL2602" s="1">
        <v>185</v>
      </c>
      <c r="BM2602" s="1" t="s">
        <v>204</v>
      </c>
      <c r="BN2602" s="1" t="s">
        <v>213</v>
      </c>
      <c r="BO2602" s="1">
        <v>999</v>
      </c>
      <c r="BP2602" s="1" t="s">
        <v>204</v>
      </c>
      <c r="BR2602" s="1" t="str">
        <f>"01051040621003"</f>
        <v>01051040621003</v>
      </c>
      <c r="BT2602" s="1" t="s">
        <v>22192</v>
      </c>
      <c r="BX2602" s="1">
        <v>308</v>
      </c>
      <c r="BY2602" s="1">
        <v>308</v>
      </c>
      <c r="BZ2602" s="1">
        <v>308</v>
      </c>
      <c r="CB2602" s="1" t="str">
        <f t="shared" ref="CB2602:CC2602" si="1993">""</f>
        <v/>
      </c>
      <c r="CC2602" s="1" t="str">
        <f t="shared" si="1993"/>
        <v/>
      </c>
      <c r="CG2602" s="1" t="s">
        <v>315</v>
      </c>
      <c r="CH2602" s="1" t="s">
        <v>219</v>
      </c>
      <c r="CI2602" s="1" t="s">
        <v>220</v>
      </c>
      <c r="CJ2602" s="1" t="s">
        <v>210</v>
      </c>
      <c r="CK2602" s="1" t="s">
        <v>2935</v>
      </c>
      <c r="CL2602" s="1" t="s">
        <v>277</v>
      </c>
      <c r="CM2602" s="1" t="s">
        <v>220</v>
      </c>
      <c r="CN2602" s="1" t="s">
        <v>210</v>
      </c>
      <c r="CO2602" s="1" t="s">
        <v>539</v>
      </c>
      <c r="CP2602" s="1" t="s">
        <v>219</v>
      </c>
      <c r="CQ2602" s="1" t="s">
        <v>220</v>
      </c>
      <c r="CR2602" s="1" t="s">
        <v>210</v>
      </c>
      <c r="CS2602" s="1" t="s">
        <v>378</v>
      </c>
      <c r="CT2602" s="1" t="s">
        <v>277</v>
      </c>
      <c r="CU2602" s="1" t="s">
        <v>220</v>
      </c>
      <c r="CV2602" s="1" t="s">
        <v>210</v>
      </c>
      <c r="CX2602" s="1" t="s">
        <v>224</v>
      </c>
      <c r="DB2602" s="1" t="s">
        <v>224</v>
      </c>
      <c r="DE2602" s="1" t="s">
        <v>279</v>
      </c>
      <c r="DF2602" s="1" t="s">
        <v>219</v>
      </c>
      <c r="DG2602" s="1" t="s">
        <v>226</v>
      </c>
      <c r="DH2602" s="1" t="s">
        <v>210</v>
      </c>
      <c r="DI2602" s="1" t="s">
        <v>437</v>
      </c>
      <c r="DJ2602" s="1" t="s">
        <v>822</v>
      </c>
      <c r="DK2602" s="1" t="s">
        <v>220</v>
      </c>
      <c r="DL2602" s="1" t="s">
        <v>210</v>
      </c>
      <c r="DS2602" s="1" t="s">
        <v>230</v>
      </c>
      <c r="DW2602" s="1" t="s">
        <v>230</v>
      </c>
      <c r="EA2602" s="1" t="s">
        <v>230</v>
      </c>
      <c r="EE2602" s="1" t="s">
        <v>230</v>
      </c>
      <c r="EI2602" s="1" t="s">
        <v>230</v>
      </c>
      <c r="EL2602" s="1" t="s">
        <v>670</v>
      </c>
      <c r="EM2602" s="1" t="s">
        <v>319</v>
      </c>
      <c r="EN2602" s="1" t="s">
        <v>282</v>
      </c>
      <c r="EO2602" s="1" t="s">
        <v>234</v>
      </c>
      <c r="EQ2602" s="1" t="s">
        <v>236</v>
      </c>
      <c r="ER2602" s="1" t="s">
        <v>210</v>
      </c>
      <c r="EW2602" s="1" t="s">
        <v>887</v>
      </c>
      <c r="EY2602" s="1" t="s">
        <v>790</v>
      </c>
      <c r="EZ2602" s="1" t="s">
        <v>287</v>
      </c>
      <c r="FB2602" s="1" t="s">
        <v>289</v>
      </c>
      <c r="FC2602" s="1" t="s">
        <v>1362</v>
      </c>
      <c r="FD2602" s="1" t="s">
        <v>246</v>
      </c>
      <c r="FE2602" s="1" t="s">
        <v>472</v>
      </c>
      <c r="FF2602" s="1" t="s">
        <v>387</v>
      </c>
      <c r="FG2602" s="1" t="s">
        <v>912</v>
      </c>
      <c r="FH2602" s="1" t="s">
        <v>2175</v>
      </c>
      <c r="FJ2602" s="1" t="s">
        <v>518</v>
      </c>
      <c r="FL2602" s="1" t="s">
        <v>358</v>
      </c>
      <c r="FM2602" s="1" t="s">
        <v>252</v>
      </c>
      <c r="FN2602" s="1" t="s">
        <v>213</v>
      </c>
      <c r="FO2602" s="1" t="s">
        <v>213</v>
      </c>
      <c r="FQ2602" s="1" t="s">
        <v>673</v>
      </c>
      <c r="FR2602" s="1" t="s">
        <v>210</v>
      </c>
      <c r="FS2602" s="1" t="s">
        <v>1709</v>
      </c>
      <c r="FT2602" s="1" t="s">
        <v>21786</v>
      </c>
      <c r="FU2602" s="1" t="s">
        <v>204</v>
      </c>
      <c r="FW2602" s="1" t="s">
        <v>21787</v>
      </c>
      <c r="FX2602" s="1">
        <v>71901</v>
      </c>
      <c r="FY2602" s="1" t="s">
        <v>21788</v>
      </c>
      <c r="FZ2602" s="1" t="s">
        <v>21789</v>
      </c>
      <c r="GA2602" s="1">
        <v>700119</v>
      </c>
      <c r="GB2602" s="1" t="s">
        <v>21788</v>
      </c>
      <c r="GE2602" s="1" t="s">
        <v>1226</v>
      </c>
      <c r="GI2602" s="1" t="s">
        <v>213</v>
      </c>
      <c r="GJ2602" s="1" t="s">
        <v>260</v>
      </c>
      <c r="GK2602" s="1" t="s">
        <v>210</v>
      </c>
      <c r="GL2602" s="2">
        <v>42122</v>
      </c>
      <c r="GM2602" s="1" t="s">
        <v>22193</v>
      </c>
    </row>
    <row r="2603" spans="1:195">
      <c r="A2603" s="1">
        <v>95000</v>
      </c>
      <c r="B2603" s="1" t="s">
        <v>195</v>
      </c>
      <c r="C2603" s="1" t="str">
        <f>"08837764"</f>
        <v>08837764</v>
      </c>
      <c r="D2603" s="1" t="s">
        <v>196</v>
      </c>
      <c r="F2603" s="1" t="str">
        <f>"517"</f>
        <v>517</v>
      </c>
      <c r="G2603" s="2">
        <v>42047</v>
      </c>
      <c r="H2603" s="1">
        <v>99900</v>
      </c>
      <c r="I2603" s="1">
        <v>99900</v>
      </c>
      <c r="J2603" s="1">
        <v>95000</v>
      </c>
      <c r="K2603" s="2">
        <v>42047</v>
      </c>
      <c r="L2603" s="1">
        <v>11</v>
      </c>
      <c r="M2603" s="2">
        <v>42057</v>
      </c>
      <c r="N2603" s="1">
        <v>11</v>
      </c>
      <c r="O2603" s="2">
        <v>42057</v>
      </c>
      <c r="P2603" s="1">
        <v>20199</v>
      </c>
      <c r="Q2603" s="1" t="s">
        <v>197</v>
      </c>
      <c r="R2603" s="2">
        <v>42125</v>
      </c>
      <c r="S2603" s="1">
        <v>234727</v>
      </c>
      <c r="U2603" s="1">
        <v>2229</v>
      </c>
      <c r="V2603" s="1" t="s">
        <v>5730</v>
      </c>
      <c r="W2603" s="1" t="s">
        <v>264</v>
      </c>
      <c r="X2603" s="1">
        <v>1106</v>
      </c>
      <c r="Y2603" s="1">
        <v>8</v>
      </c>
      <c r="Z2603" s="1" t="s">
        <v>249</v>
      </c>
      <c r="AA2603" s="1" t="s">
        <v>2850</v>
      </c>
      <c r="AB2603" s="1">
        <v>60517</v>
      </c>
      <c r="AD2603" s="1" t="s">
        <v>5731</v>
      </c>
      <c r="AE2603" s="1" t="s">
        <v>22194</v>
      </c>
      <c r="AF2603" s="1">
        <v>1984</v>
      </c>
      <c r="AG2603" s="1" t="s">
        <v>204</v>
      </c>
      <c r="AH2603" s="1" t="s">
        <v>2853</v>
      </c>
      <c r="AI2603" s="1" t="s">
        <v>206</v>
      </c>
      <c r="AJ2603" s="1" t="s">
        <v>925</v>
      </c>
      <c r="AK2603" s="1" t="s">
        <v>19223</v>
      </c>
      <c r="AL2603" s="1">
        <v>5</v>
      </c>
      <c r="AM2603" s="1">
        <v>2</v>
      </c>
      <c r="AN2603" s="1">
        <v>2</v>
      </c>
      <c r="AO2603" s="1">
        <v>0</v>
      </c>
      <c r="AP2603" s="1" t="s">
        <v>209</v>
      </c>
      <c r="AQ2603" s="1">
        <v>1</v>
      </c>
      <c r="AR2603" s="1" t="s">
        <v>210</v>
      </c>
      <c r="AT2603" s="1" t="s">
        <v>211</v>
      </c>
      <c r="AU2603" s="1">
        <v>1</v>
      </c>
      <c r="AW2603" s="1" t="s">
        <v>204</v>
      </c>
      <c r="AX2603" s="1" t="s">
        <v>1581</v>
      </c>
      <c r="AZ2603" s="1">
        <v>2252</v>
      </c>
      <c r="BA2603" s="1">
        <v>2013</v>
      </c>
      <c r="BB2603" s="1" t="s">
        <v>405</v>
      </c>
      <c r="BE2603" s="1">
        <v>1100</v>
      </c>
      <c r="BF2603" s="1">
        <v>2</v>
      </c>
      <c r="BG2603" s="1">
        <v>30</v>
      </c>
      <c r="BJ2603" s="1">
        <v>100</v>
      </c>
      <c r="BL2603" s="1">
        <v>228</v>
      </c>
      <c r="BM2603" s="1" t="s">
        <v>204</v>
      </c>
      <c r="BN2603" s="1" t="s">
        <v>213</v>
      </c>
      <c r="BO2603" s="1">
        <v>999</v>
      </c>
      <c r="BP2603" s="1" t="s">
        <v>204</v>
      </c>
      <c r="BR2603" s="1" t="str">
        <f>"0836210022"</f>
        <v>0836210022</v>
      </c>
      <c r="BT2603" s="1" t="s">
        <v>22195</v>
      </c>
      <c r="BU2603" s="1" t="s">
        <v>5734</v>
      </c>
      <c r="BV2603" s="1" t="s">
        <v>2856</v>
      </c>
      <c r="BW2603" s="1" t="s">
        <v>3099</v>
      </c>
      <c r="BX2603" s="1">
        <v>68</v>
      </c>
      <c r="BY2603" s="1">
        <v>68</v>
      </c>
      <c r="BZ2603" s="1">
        <v>99</v>
      </c>
      <c r="CB2603" s="1" t="str">
        <f t="shared" ref="CB2603:CC2603" si="1994">"0"</f>
        <v>0</v>
      </c>
      <c r="CC2603" s="1" t="str">
        <f t="shared" si="1994"/>
        <v>0</v>
      </c>
      <c r="CD2603" s="1">
        <v>21</v>
      </c>
      <c r="CE2603" s="1">
        <v>9</v>
      </c>
      <c r="CG2603" s="1" t="s">
        <v>581</v>
      </c>
      <c r="CH2603" s="1" t="s">
        <v>277</v>
      </c>
      <c r="CI2603" s="1" t="s">
        <v>220</v>
      </c>
      <c r="CJ2603" s="1" t="s">
        <v>343</v>
      </c>
      <c r="CK2603" s="1" t="s">
        <v>885</v>
      </c>
      <c r="CL2603" s="1" t="s">
        <v>277</v>
      </c>
      <c r="CM2603" s="1" t="s">
        <v>220</v>
      </c>
      <c r="CO2603" s="1" t="s">
        <v>1297</v>
      </c>
      <c r="CP2603" s="1" t="s">
        <v>277</v>
      </c>
      <c r="CQ2603" s="1" t="s">
        <v>220</v>
      </c>
      <c r="CR2603" s="1" t="s">
        <v>210</v>
      </c>
      <c r="CS2603" s="1" t="s">
        <v>1358</v>
      </c>
      <c r="CT2603" s="1" t="s">
        <v>277</v>
      </c>
      <c r="CU2603" s="1" t="s">
        <v>220</v>
      </c>
      <c r="CX2603" s="1" t="s">
        <v>224</v>
      </c>
      <c r="DB2603" s="1" t="s">
        <v>224</v>
      </c>
      <c r="DE2603" s="1" t="s">
        <v>602</v>
      </c>
      <c r="DF2603" s="1" t="s">
        <v>277</v>
      </c>
      <c r="DG2603" s="1" t="s">
        <v>229</v>
      </c>
      <c r="DH2603" s="1" t="s">
        <v>343</v>
      </c>
      <c r="DJ2603" s="1" t="s">
        <v>224</v>
      </c>
      <c r="DM2603" s="1" t="s">
        <v>709</v>
      </c>
      <c r="DN2603" s="1" t="s">
        <v>3011</v>
      </c>
      <c r="DR2603" s="1" t="s">
        <v>1773</v>
      </c>
      <c r="DS2603" s="1" t="s">
        <v>277</v>
      </c>
      <c r="DT2603" s="1" t="s">
        <v>220</v>
      </c>
      <c r="DV2603" s="1" t="s">
        <v>6174</v>
      </c>
      <c r="DW2603" s="1" t="s">
        <v>277</v>
      </c>
      <c r="DX2603" s="1" t="s">
        <v>342</v>
      </c>
      <c r="DY2603" s="1" t="s">
        <v>210</v>
      </c>
      <c r="EA2603" s="1" t="s">
        <v>230</v>
      </c>
      <c r="EE2603" s="1" t="s">
        <v>230</v>
      </c>
      <c r="EI2603" s="1" t="s">
        <v>230</v>
      </c>
      <c r="EL2603" s="1" t="s">
        <v>231</v>
      </c>
      <c r="EM2603" s="1" t="s">
        <v>730</v>
      </c>
      <c r="EN2603" s="1" t="s">
        <v>282</v>
      </c>
      <c r="EO2603" s="1" t="s">
        <v>234</v>
      </c>
      <c r="EP2603" s="1" t="s">
        <v>3217</v>
      </c>
      <c r="EQ2603" s="1" t="s">
        <v>468</v>
      </c>
      <c r="ER2603" s="1" t="s">
        <v>210</v>
      </c>
      <c r="ES2603" s="1" t="s">
        <v>322</v>
      </c>
      <c r="EV2603" s="1" t="s">
        <v>324</v>
      </c>
      <c r="EW2603" s="1" t="s">
        <v>1504</v>
      </c>
      <c r="EY2603" s="1" t="s">
        <v>790</v>
      </c>
      <c r="EZ2603" s="1" t="s">
        <v>11347</v>
      </c>
      <c r="FA2603" s="1" t="s">
        <v>1072</v>
      </c>
      <c r="FB2603" s="1" t="s">
        <v>289</v>
      </c>
      <c r="FC2603" s="1" t="s">
        <v>548</v>
      </c>
      <c r="FD2603" s="1" t="s">
        <v>246</v>
      </c>
      <c r="FE2603" s="1" t="s">
        <v>247</v>
      </c>
      <c r="FF2603" s="1" t="s">
        <v>248</v>
      </c>
      <c r="FG2603" s="1" t="s">
        <v>1204</v>
      </c>
      <c r="FH2603" s="1" t="s">
        <v>249</v>
      </c>
      <c r="FL2603" s="1" t="s">
        <v>358</v>
      </c>
      <c r="FM2603" s="1" t="s">
        <v>252</v>
      </c>
      <c r="FN2603" s="1" t="s">
        <v>213</v>
      </c>
      <c r="FO2603" s="1" t="s">
        <v>213</v>
      </c>
      <c r="FQ2603" s="1" t="s">
        <v>22196</v>
      </c>
      <c r="FR2603" s="1" t="s">
        <v>210</v>
      </c>
      <c r="FS2603" s="1" t="s">
        <v>22197</v>
      </c>
      <c r="FT2603" s="1" t="s">
        <v>362</v>
      </c>
      <c r="FU2603" s="1" t="s">
        <v>204</v>
      </c>
      <c r="FW2603" s="1" t="s">
        <v>1430</v>
      </c>
      <c r="FX2603" s="1">
        <v>75501</v>
      </c>
      <c r="FY2603" s="1" t="s">
        <v>22198</v>
      </c>
      <c r="FZ2603" s="1" t="s">
        <v>22199</v>
      </c>
      <c r="GA2603" s="1">
        <v>701809</v>
      </c>
      <c r="GB2603" s="1" t="s">
        <v>22200</v>
      </c>
      <c r="GC2603" s="1">
        <v>700728</v>
      </c>
      <c r="GE2603" s="1" t="s">
        <v>1145</v>
      </c>
      <c r="GI2603" s="1" t="s">
        <v>213</v>
      </c>
      <c r="GJ2603" s="1" t="s">
        <v>260</v>
      </c>
      <c r="GK2603" s="1" t="s">
        <v>210</v>
      </c>
      <c r="GL2603" s="2">
        <v>42127</v>
      </c>
      <c r="GM2603" s="1" t="s">
        <v>22201</v>
      </c>
    </row>
    <row r="2604" spans="1:195">
      <c r="A2604" s="1">
        <v>124900</v>
      </c>
      <c r="B2604" s="1" t="s">
        <v>195</v>
      </c>
      <c r="C2604" s="1" t="str">
        <f>"08835865"</f>
        <v>08835865</v>
      </c>
      <c r="D2604" s="1" t="s">
        <v>196</v>
      </c>
      <c r="F2604" s="1" t="str">
        <f>"188"</f>
        <v>188</v>
      </c>
      <c r="G2604" s="2">
        <v>42045</v>
      </c>
      <c r="H2604" s="1">
        <v>124900</v>
      </c>
      <c r="I2604" s="1">
        <v>124900</v>
      </c>
      <c r="J2604" s="1">
        <v>124900</v>
      </c>
      <c r="K2604" s="2">
        <v>42045</v>
      </c>
      <c r="L2604" s="1">
        <v>341</v>
      </c>
      <c r="M2604" s="2">
        <v>42049</v>
      </c>
      <c r="N2604" s="1">
        <v>5</v>
      </c>
      <c r="O2604" s="2">
        <v>42049</v>
      </c>
      <c r="P2604" s="1">
        <v>24007</v>
      </c>
      <c r="Q2604" s="1" t="s">
        <v>197</v>
      </c>
      <c r="R2604" s="2">
        <v>42090</v>
      </c>
      <c r="S2604" s="1">
        <v>222366</v>
      </c>
      <c r="U2604" s="1">
        <v>1374</v>
      </c>
      <c r="V2604" s="1" t="s">
        <v>22202</v>
      </c>
      <c r="W2604" s="1" t="s">
        <v>449</v>
      </c>
      <c r="Y2604" s="1">
        <v>8</v>
      </c>
      <c r="Z2604" s="1" t="s">
        <v>249</v>
      </c>
      <c r="AA2604" s="1" t="s">
        <v>1084</v>
      </c>
      <c r="AB2604" s="1">
        <v>60188</v>
      </c>
      <c r="AD2604" s="1" t="s">
        <v>16118</v>
      </c>
      <c r="AE2604" s="1" t="s">
        <v>22203</v>
      </c>
      <c r="AF2604" s="1">
        <v>1988</v>
      </c>
      <c r="AG2604" s="1" t="s">
        <v>204</v>
      </c>
      <c r="AH2604" s="1" t="s">
        <v>1087</v>
      </c>
      <c r="AI2604" s="1" t="s">
        <v>206</v>
      </c>
      <c r="AJ2604" s="1" t="s">
        <v>2654</v>
      </c>
      <c r="AL2604" s="1">
        <v>5</v>
      </c>
      <c r="AM2604" s="1">
        <v>2</v>
      </c>
      <c r="AN2604" s="1">
        <v>1</v>
      </c>
      <c r="AO2604" s="1">
        <v>1</v>
      </c>
      <c r="AP2604" s="1" t="s">
        <v>667</v>
      </c>
      <c r="AQ2604" s="1">
        <v>0</v>
      </c>
      <c r="AR2604" s="1" t="s">
        <v>210</v>
      </c>
      <c r="AS2604" s="1" t="s">
        <v>204</v>
      </c>
      <c r="AT2604" s="1" t="s">
        <v>211</v>
      </c>
      <c r="AU2604" s="1">
        <v>1</v>
      </c>
      <c r="AW2604" s="1" t="s">
        <v>204</v>
      </c>
      <c r="AX2604" s="1" t="s">
        <v>212</v>
      </c>
      <c r="AZ2604" s="1">
        <v>3820</v>
      </c>
      <c r="BA2604" s="1">
        <v>2013</v>
      </c>
      <c r="BB2604" s="1" t="s">
        <v>405</v>
      </c>
      <c r="BE2604" s="1">
        <v>1228</v>
      </c>
      <c r="BF2604" s="1">
        <v>1</v>
      </c>
      <c r="BG2604" s="1">
        <v>0</v>
      </c>
      <c r="BL2604" s="1">
        <v>235</v>
      </c>
      <c r="BM2604" s="1" t="s">
        <v>204</v>
      </c>
      <c r="BN2604" s="1" t="s">
        <v>213</v>
      </c>
      <c r="BO2604" s="1">
        <v>999</v>
      </c>
      <c r="BP2604" s="1" t="s">
        <v>204</v>
      </c>
      <c r="BR2604" s="1" t="str">
        <f>"0124114035"</f>
        <v>0124114035</v>
      </c>
      <c r="BT2604" s="1" t="s">
        <v>22204</v>
      </c>
      <c r="BU2604" s="1" t="s">
        <v>3438</v>
      </c>
      <c r="BV2604" s="1" t="s">
        <v>1502</v>
      </c>
      <c r="BW2604" s="1" t="s">
        <v>1092</v>
      </c>
      <c r="BX2604" s="1">
        <v>93</v>
      </c>
      <c r="BY2604" s="1">
        <v>93</v>
      </c>
      <c r="BZ2604" s="1">
        <v>87</v>
      </c>
      <c r="CB2604" s="1" t="str">
        <f t="shared" ref="CB2604:CC2604" si="1995">""</f>
        <v/>
      </c>
      <c r="CC2604" s="1" t="str">
        <f t="shared" si="1995"/>
        <v/>
      </c>
      <c r="CG2604" s="1" t="s">
        <v>278</v>
      </c>
      <c r="CH2604" s="1" t="s">
        <v>219</v>
      </c>
      <c r="CI2604" s="1" t="s">
        <v>220</v>
      </c>
      <c r="CK2604" s="1" t="s">
        <v>278</v>
      </c>
      <c r="CL2604" s="1" t="s">
        <v>277</v>
      </c>
      <c r="CM2604" s="1" t="s">
        <v>220</v>
      </c>
      <c r="CO2604" s="1" t="s">
        <v>316</v>
      </c>
      <c r="CP2604" s="1" t="s">
        <v>219</v>
      </c>
      <c r="CQ2604" s="1" t="s">
        <v>220</v>
      </c>
      <c r="CS2604" s="1" t="s">
        <v>1358</v>
      </c>
      <c r="CT2604" s="1" t="s">
        <v>277</v>
      </c>
      <c r="CU2604" s="1" t="s">
        <v>220</v>
      </c>
      <c r="CX2604" s="1" t="s">
        <v>224</v>
      </c>
      <c r="DB2604" s="1" t="s">
        <v>224</v>
      </c>
      <c r="DE2604" s="1" t="s">
        <v>346</v>
      </c>
      <c r="DF2604" s="1" t="s">
        <v>219</v>
      </c>
      <c r="DG2604" s="1" t="s">
        <v>226</v>
      </c>
      <c r="DJ2604" s="1" t="s">
        <v>224</v>
      </c>
      <c r="DM2604" s="1" t="s">
        <v>709</v>
      </c>
      <c r="DR2604" s="1" t="s">
        <v>4260</v>
      </c>
      <c r="DS2604" s="1" t="s">
        <v>219</v>
      </c>
      <c r="DT2604" s="1" t="s">
        <v>226</v>
      </c>
      <c r="DW2604" s="1" t="s">
        <v>230</v>
      </c>
      <c r="EA2604" s="1" t="s">
        <v>230</v>
      </c>
      <c r="EE2604" s="1" t="s">
        <v>230</v>
      </c>
      <c r="EI2604" s="1" t="s">
        <v>230</v>
      </c>
      <c r="EL2604" s="1" t="s">
        <v>542</v>
      </c>
      <c r="EM2604" s="1" t="s">
        <v>232</v>
      </c>
      <c r="EN2604" s="1" t="s">
        <v>282</v>
      </c>
      <c r="EO2604" s="1" t="s">
        <v>234</v>
      </c>
      <c r="EQ2604" s="1" t="s">
        <v>1094</v>
      </c>
      <c r="ER2604" s="1" t="s">
        <v>210</v>
      </c>
      <c r="ES2604" s="1" t="s">
        <v>954</v>
      </c>
      <c r="ET2604" s="1" t="s">
        <v>842</v>
      </c>
      <c r="EU2604" s="1" t="s">
        <v>5043</v>
      </c>
      <c r="EV2604" s="1" t="s">
        <v>240</v>
      </c>
      <c r="EW2604" s="1" t="s">
        <v>887</v>
      </c>
      <c r="EY2604" s="1" t="s">
        <v>242</v>
      </c>
      <c r="EZ2604" s="1" t="s">
        <v>709</v>
      </c>
      <c r="FD2604" s="1" t="s">
        <v>246</v>
      </c>
      <c r="FE2604" s="1" t="s">
        <v>386</v>
      </c>
      <c r="FF2604" s="1" t="s">
        <v>248</v>
      </c>
      <c r="FH2604" s="1" t="s">
        <v>550</v>
      </c>
      <c r="FI2604" s="1" t="s">
        <v>473</v>
      </c>
      <c r="FJ2604" s="1" t="s">
        <v>197</v>
      </c>
      <c r="FL2604" s="1" t="s">
        <v>358</v>
      </c>
      <c r="FM2604" s="1" t="s">
        <v>252</v>
      </c>
      <c r="FN2604" s="1" t="s">
        <v>213</v>
      </c>
      <c r="FO2604" s="1" t="s">
        <v>213</v>
      </c>
      <c r="FQ2604" s="1" t="s">
        <v>569</v>
      </c>
      <c r="FR2604" s="1" t="s">
        <v>210</v>
      </c>
      <c r="FS2604" s="1" t="s">
        <v>22205</v>
      </c>
      <c r="FT2604" s="1" t="s">
        <v>295</v>
      </c>
      <c r="FU2604" s="1" t="s">
        <v>204</v>
      </c>
      <c r="FW2604" s="1" t="s">
        <v>1559</v>
      </c>
      <c r="FX2604" s="1">
        <v>25279</v>
      </c>
      <c r="FY2604" s="1" t="s">
        <v>2296</v>
      </c>
      <c r="FZ2604" s="1" t="s">
        <v>22206</v>
      </c>
      <c r="GA2604" s="1">
        <v>236889</v>
      </c>
      <c r="GB2604" s="1" t="s">
        <v>22207</v>
      </c>
      <c r="GE2604" s="1" t="s">
        <v>480</v>
      </c>
      <c r="GI2604" s="1" t="s">
        <v>213</v>
      </c>
      <c r="GJ2604" s="1" t="s">
        <v>260</v>
      </c>
      <c r="GK2604" s="1" t="s">
        <v>210</v>
      </c>
      <c r="GL2604" s="2">
        <v>42090</v>
      </c>
      <c r="GM2604" s="1" t="s">
        <v>22208</v>
      </c>
    </row>
    <row r="2605" spans="1:195">
      <c r="A2605" s="1">
        <v>260000</v>
      </c>
      <c r="B2605" s="1" t="s">
        <v>195</v>
      </c>
      <c r="C2605" s="1" t="str">
        <f>"08835053"</f>
        <v>08835053</v>
      </c>
      <c r="D2605" s="1" t="s">
        <v>196</v>
      </c>
      <c r="F2605" s="1" t="str">
        <f>"174"</f>
        <v>174</v>
      </c>
      <c r="G2605" s="2">
        <v>42044</v>
      </c>
      <c r="H2605" s="1">
        <v>269000</v>
      </c>
      <c r="I2605" s="1">
        <v>269000</v>
      </c>
      <c r="J2605" s="1">
        <v>260000</v>
      </c>
      <c r="K2605" s="2">
        <v>42044</v>
      </c>
      <c r="L2605" s="1">
        <v>15</v>
      </c>
      <c r="M2605" s="2">
        <v>42058</v>
      </c>
      <c r="N2605" s="1">
        <v>15</v>
      </c>
      <c r="O2605" s="2">
        <v>42058</v>
      </c>
      <c r="P2605" s="1" t="s">
        <v>1039</v>
      </c>
      <c r="Q2605" s="1" t="s">
        <v>197</v>
      </c>
      <c r="R2605" s="2">
        <v>42140</v>
      </c>
      <c r="S2605" s="1">
        <v>99999</v>
      </c>
      <c r="U2605" s="1">
        <v>912</v>
      </c>
      <c r="V2605" s="1" t="s">
        <v>22209</v>
      </c>
      <c r="W2605" s="1" t="s">
        <v>504</v>
      </c>
      <c r="X2605" s="1">
        <v>912</v>
      </c>
      <c r="Y2605" s="1">
        <v>6</v>
      </c>
      <c r="Z2605" s="1" t="s">
        <v>370</v>
      </c>
      <c r="AA2605" s="1" t="s">
        <v>879</v>
      </c>
      <c r="AB2605" s="1">
        <v>60174</v>
      </c>
      <c r="AD2605" s="1" t="s">
        <v>8718</v>
      </c>
      <c r="AE2605" s="1" t="s">
        <v>22210</v>
      </c>
      <c r="AF2605" s="1">
        <v>1999</v>
      </c>
      <c r="AG2605" s="1" t="s">
        <v>204</v>
      </c>
      <c r="AH2605" s="1" t="s">
        <v>883</v>
      </c>
      <c r="AI2605" s="1" t="s">
        <v>665</v>
      </c>
      <c r="AJ2605" s="1" t="s">
        <v>883</v>
      </c>
      <c r="AK2605" s="1" t="s">
        <v>22211</v>
      </c>
      <c r="AL2605" s="1">
        <v>7</v>
      </c>
      <c r="AM2605" s="1">
        <v>2</v>
      </c>
      <c r="AN2605" s="1">
        <v>2</v>
      </c>
      <c r="AO2605" s="1">
        <v>1</v>
      </c>
      <c r="AP2605" s="1" t="s">
        <v>209</v>
      </c>
      <c r="AQ2605" s="1">
        <v>1</v>
      </c>
      <c r="AR2605" s="1" t="s">
        <v>209</v>
      </c>
      <c r="AS2605" s="1" t="s">
        <v>204</v>
      </c>
      <c r="AT2605" s="1" t="s">
        <v>211</v>
      </c>
      <c r="AU2605" s="1">
        <v>2</v>
      </c>
      <c r="AW2605" s="1" t="s">
        <v>204</v>
      </c>
      <c r="AX2605" s="1" t="s">
        <v>212</v>
      </c>
      <c r="AZ2605" s="1">
        <v>7291.04</v>
      </c>
      <c r="BA2605" s="1">
        <v>2013</v>
      </c>
      <c r="BB2605" s="1" t="s">
        <v>405</v>
      </c>
      <c r="BE2605" s="1">
        <v>1800</v>
      </c>
      <c r="BF2605" s="1">
        <v>1</v>
      </c>
      <c r="BG2605" s="1">
        <v>0</v>
      </c>
      <c r="BL2605" s="1">
        <v>189</v>
      </c>
      <c r="BM2605" s="1" t="s">
        <v>204</v>
      </c>
      <c r="BN2605" s="1" t="s">
        <v>213</v>
      </c>
      <c r="BO2605" s="1">
        <v>999</v>
      </c>
      <c r="BP2605" s="1" t="s">
        <v>204</v>
      </c>
      <c r="BR2605" s="1" t="str">
        <f>"0924478129"</f>
        <v>0924478129</v>
      </c>
      <c r="BT2605" s="1" t="s">
        <v>22212</v>
      </c>
      <c r="BX2605" s="1">
        <v>303</v>
      </c>
      <c r="BY2605" s="1">
        <v>303</v>
      </c>
      <c r="BZ2605" s="1">
        <v>303</v>
      </c>
      <c r="CB2605" s="1" t="str">
        <f t="shared" ref="CB2605:CC2605" si="1996">""</f>
        <v/>
      </c>
      <c r="CC2605" s="1" t="str">
        <f t="shared" si="1996"/>
        <v/>
      </c>
      <c r="CG2605" s="1" t="s">
        <v>9164</v>
      </c>
      <c r="CH2605" s="1" t="s">
        <v>219</v>
      </c>
      <c r="CI2605" s="1" t="s">
        <v>220</v>
      </c>
      <c r="CJ2605" s="1" t="s">
        <v>343</v>
      </c>
      <c r="CK2605" s="1" t="s">
        <v>601</v>
      </c>
      <c r="CL2605" s="1" t="s">
        <v>277</v>
      </c>
      <c r="CM2605" s="1" t="s">
        <v>220</v>
      </c>
      <c r="CN2605" s="1" t="s">
        <v>343</v>
      </c>
      <c r="CO2605" s="1" t="s">
        <v>629</v>
      </c>
      <c r="CP2605" s="1" t="s">
        <v>219</v>
      </c>
      <c r="CS2605" s="1" t="s">
        <v>1854</v>
      </c>
      <c r="CT2605" s="1" t="s">
        <v>277</v>
      </c>
      <c r="CU2605" s="1" t="s">
        <v>220</v>
      </c>
      <c r="CV2605" s="1" t="s">
        <v>343</v>
      </c>
      <c r="CX2605" s="1" t="s">
        <v>224</v>
      </c>
      <c r="DB2605" s="1" t="s">
        <v>224</v>
      </c>
      <c r="DE2605" s="1" t="s">
        <v>1046</v>
      </c>
      <c r="DF2605" s="1" t="s">
        <v>219</v>
      </c>
      <c r="DG2605" s="1" t="s">
        <v>438</v>
      </c>
      <c r="DJ2605" s="1" t="s">
        <v>224</v>
      </c>
      <c r="DM2605" s="1" t="s">
        <v>1005</v>
      </c>
      <c r="DN2605" s="1" t="s">
        <v>934</v>
      </c>
      <c r="DO2605" s="1" t="s">
        <v>709</v>
      </c>
      <c r="DR2605" s="1" t="s">
        <v>378</v>
      </c>
      <c r="DS2605" s="1" t="s">
        <v>219</v>
      </c>
      <c r="DT2605" s="1" t="s">
        <v>220</v>
      </c>
      <c r="DU2605" s="1" t="s">
        <v>343</v>
      </c>
      <c r="DV2605" s="1" t="s">
        <v>4062</v>
      </c>
      <c r="DW2605" s="1" t="s">
        <v>43</v>
      </c>
      <c r="DX2605" s="1" t="s">
        <v>220</v>
      </c>
      <c r="DZ2605" s="1" t="s">
        <v>839</v>
      </c>
      <c r="EA2605" s="1" t="s">
        <v>219</v>
      </c>
      <c r="EB2605" s="1" t="s">
        <v>438</v>
      </c>
      <c r="EE2605" s="1" t="s">
        <v>230</v>
      </c>
      <c r="EI2605" s="1" t="s">
        <v>230</v>
      </c>
      <c r="EL2605" s="1" t="s">
        <v>670</v>
      </c>
      <c r="EM2605" s="1" t="s">
        <v>319</v>
      </c>
      <c r="EN2605" s="1" t="s">
        <v>282</v>
      </c>
      <c r="EO2605" s="1" t="s">
        <v>234</v>
      </c>
      <c r="EQ2605" s="1" t="s">
        <v>236</v>
      </c>
      <c r="ER2605" s="1" t="s">
        <v>351</v>
      </c>
      <c r="EU2605" s="1" t="s">
        <v>239</v>
      </c>
      <c r="EV2605" s="1" t="s">
        <v>240</v>
      </c>
      <c r="EW2605" s="1" t="s">
        <v>22213</v>
      </c>
      <c r="EZ2605" s="1" t="s">
        <v>22214</v>
      </c>
      <c r="FD2605" s="1" t="s">
        <v>246</v>
      </c>
      <c r="FE2605" s="1" t="s">
        <v>549</v>
      </c>
      <c r="FF2605" s="1" t="s">
        <v>248</v>
      </c>
      <c r="FG2605" s="1" t="s">
        <v>871</v>
      </c>
      <c r="FH2605" s="1" t="s">
        <v>550</v>
      </c>
      <c r="FI2605" s="1" t="s">
        <v>357</v>
      </c>
      <c r="FL2605" s="1" t="s">
        <v>358</v>
      </c>
      <c r="FM2605" s="1" t="s">
        <v>252</v>
      </c>
      <c r="FN2605" s="1" t="s">
        <v>213</v>
      </c>
      <c r="FO2605" s="1" t="s">
        <v>213</v>
      </c>
      <c r="FQ2605" s="1" t="s">
        <v>22215</v>
      </c>
      <c r="FR2605" s="1" t="s">
        <v>652</v>
      </c>
      <c r="FS2605" s="1" t="s">
        <v>22216</v>
      </c>
      <c r="FT2605" s="1" t="s">
        <v>22217</v>
      </c>
      <c r="FU2605" s="1" t="s">
        <v>204</v>
      </c>
      <c r="FW2605" s="1" t="s">
        <v>3231</v>
      </c>
      <c r="FX2605" s="1">
        <v>24451</v>
      </c>
      <c r="FY2605" s="1" t="s">
        <v>3232</v>
      </c>
      <c r="FZ2605" s="1" t="s">
        <v>3233</v>
      </c>
      <c r="GA2605" s="1">
        <v>234974</v>
      </c>
      <c r="GB2605" s="1" t="s">
        <v>3234</v>
      </c>
      <c r="GD2605" s="1" t="s">
        <v>3235</v>
      </c>
      <c r="GE2605" s="1" t="s">
        <v>210</v>
      </c>
      <c r="GI2605" s="1" t="s">
        <v>204</v>
      </c>
      <c r="GJ2605" s="1" t="s">
        <v>300</v>
      </c>
      <c r="GK2605" s="1" t="s">
        <v>210</v>
      </c>
      <c r="GL2605" s="2">
        <v>42142</v>
      </c>
      <c r="GM2605" s="1" t="s">
        <v>22218</v>
      </c>
    </row>
    <row r="2606" spans="1:195">
      <c r="A2606" s="1">
        <v>225000</v>
      </c>
      <c r="B2606" s="1" t="s">
        <v>195</v>
      </c>
      <c r="C2606" s="1" t="str">
        <f>"08859395"</f>
        <v>08859395</v>
      </c>
      <c r="D2606" s="1" t="s">
        <v>196</v>
      </c>
      <c r="F2606" s="1" t="str">
        <f>"148"</f>
        <v>148</v>
      </c>
      <c r="G2606" s="2">
        <v>42075</v>
      </c>
      <c r="H2606" s="1">
        <v>230000</v>
      </c>
      <c r="I2606" s="1">
        <v>230000</v>
      </c>
      <c r="J2606" s="1">
        <v>225000</v>
      </c>
      <c r="K2606" s="2">
        <v>42075</v>
      </c>
      <c r="L2606" s="1">
        <v>7</v>
      </c>
      <c r="M2606" s="2">
        <v>42081</v>
      </c>
      <c r="N2606" s="1">
        <v>7</v>
      </c>
      <c r="O2606" s="2">
        <v>42081</v>
      </c>
      <c r="P2606" s="1">
        <v>8666</v>
      </c>
      <c r="Q2606" s="1" t="s">
        <v>197</v>
      </c>
      <c r="R2606" s="2">
        <v>42139</v>
      </c>
      <c r="S2606" s="1">
        <v>82869</v>
      </c>
      <c r="U2606" s="1">
        <v>156</v>
      </c>
      <c r="V2606" s="1" t="s">
        <v>424</v>
      </c>
      <c r="W2606" s="1" t="s">
        <v>725</v>
      </c>
      <c r="Y2606" s="1">
        <v>5</v>
      </c>
      <c r="Z2606" s="1" t="s">
        <v>249</v>
      </c>
      <c r="AA2606" s="1" t="s">
        <v>1927</v>
      </c>
      <c r="AB2606" s="1">
        <v>60148</v>
      </c>
      <c r="AD2606" s="1" t="s">
        <v>11471</v>
      </c>
      <c r="AE2606" s="1" t="s">
        <v>22219</v>
      </c>
      <c r="AF2606" s="1">
        <v>1997</v>
      </c>
      <c r="AG2606" s="1" t="s">
        <v>204</v>
      </c>
      <c r="AH2606" s="1" t="s">
        <v>1930</v>
      </c>
      <c r="AI2606" s="1" t="s">
        <v>206</v>
      </c>
      <c r="AJ2606" s="1" t="s">
        <v>1608</v>
      </c>
      <c r="AL2606" s="1">
        <v>9</v>
      </c>
      <c r="AM2606" s="1">
        <v>2</v>
      </c>
      <c r="AN2606" s="1">
        <v>2</v>
      </c>
      <c r="AO2606" s="1">
        <v>1</v>
      </c>
      <c r="AP2606" s="1" t="s">
        <v>209</v>
      </c>
      <c r="AQ2606" s="1">
        <v>0</v>
      </c>
      <c r="AR2606" s="1" t="s">
        <v>2275</v>
      </c>
      <c r="AS2606" s="1" t="s">
        <v>204</v>
      </c>
      <c r="AT2606" s="1" t="s">
        <v>211</v>
      </c>
      <c r="AU2606" s="1">
        <v>1</v>
      </c>
      <c r="AW2606" s="1" t="s">
        <v>204</v>
      </c>
      <c r="AX2606" s="1" t="s">
        <v>270</v>
      </c>
      <c r="AZ2606" s="1">
        <v>5014.22</v>
      </c>
      <c r="BA2606" s="1">
        <v>2013</v>
      </c>
      <c r="BB2606" s="1" t="s">
        <v>405</v>
      </c>
      <c r="BE2606" s="1">
        <v>1560</v>
      </c>
      <c r="BF2606" s="1">
        <v>1</v>
      </c>
      <c r="BG2606" s="1">
        <v>0</v>
      </c>
      <c r="BL2606" s="1">
        <v>201</v>
      </c>
      <c r="BM2606" s="1" t="s">
        <v>204</v>
      </c>
      <c r="BN2606" s="1" t="s">
        <v>213</v>
      </c>
      <c r="BO2606" s="1">
        <v>999</v>
      </c>
      <c r="BP2606" s="1" t="s">
        <v>204</v>
      </c>
      <c r="BR2606" s="1" t="str">
        <f>"0619412069"</f>
        <v>0619412069</v>
      </c>
      <c r="BT2606" s="1" t="s">
        <v>22220</v>
      </c>
      <c r="BU2606" s="1" t="s">
        <v>1933</v>
      </c>
      <c r="BV2606" s="1" t="s">
        <v>1934</v>
      </c>
      <c r="BW2606" s="1" t="s">
        <v>1935</v>
      </c>
      <c r="BX2606" s="1">
        <v>44</v>
      </c>
      <c r="BY2606" s="1">
        <v>44</v>
      </c>
      <c r="BZ2606" s="1">
        <v>87</v>
      </c>
      <c r="CB2606" s="1" t="str">
        <f t="shared" ref="CB2606:CC2606" si="1997">""</f>
        <v/>
      </c>
      <c r="CC2606" s="1" t="str">
        <f t="shared" si="1997"/>
        <v/>
      </c>
      <c r="CG2606" s="1" t="s">
        <v>931</v>
      </c>
      <c r="CH2606" s="1" t="s">
        <v>219</v>
      </c>
      <c r="CI2606" s="1" t="s">
        <v>220</v>
      </c>
      <c r="CJ2606" s="1" t="s">
        <v>463</v>
      </c>
      <c r="CK2606" s="1" t="s">
        <v>932</v>
      </c>
      <c r="CL2606" s="1" t="s">
        <v>277</v>
      </c>
      <c r="CM2606" s="1" t="s">
        <v>220</v>
      </c>
      <c r="CN2606" s="1" t="s">
        <v>909</v>
      </c>
      <c r="CO2606" s="1" t="s">
        <v>629</v>
      </c>
      <c r="CP2606" s="1" t="s">
        <v>219</v>
      </c>
      <c r="CQ2606" s="1" t="s">
        <v>220</v>
      </c>
      <c r="CR2606" s="1" t="s">
        <v>909</v>
      </c>
      <c r="CS2606" s="1" t="s">
        <v>1046</v>
      </c>
      <c r="CT2606" s="1" t="s">
        <v>277</v>
      </c>
      <c r="CU2606" s="1" t="s">
        <v>220</v>
      </c>
      <c r="CV2606" s="1" t="s">
        <v>343</v>
      </c>
      <c r="CX2606" s="1" t="s">
        <v>224</v>
      </c>
      <c r="DB2606" s="1" t="s">
        <v>224</v>
      </c>
      <c r="DE2606" s="1" t="s">
        <v>281</v>
      </c>
      <c r="DF2606" s="1" t="s">
        <v>219</v>
      </c>
      <c r="DG2606" s="1" t="s">
        <v>229</v>
      </c>
      <c r="DI2606" s="1" t="s">
        <v>2925</v>
      </c>
      <c r="DJ2606" s="1" t="s">
        <v>4450</v>
      </c>
      <c r="DK2606" s="1" t="s">
        <v>220</v>
      </c>
      <c r="DL2606" s="1" t="s">
        <v>439</v>
      </c>
      <c r="DM2606" s="1" t="s">
        <v>381</v>
      </c>
      <c r="DN2606" s="1" t="s">
        <v>13075</v>
      </c>
      <c r="DO2606" s="1" t="s">
        <v>464</v>
      </c>
      <c r="DP2606" s="1" t="s">
        <v>1614</v>
      </c>
      <c r="DR2606" s="1" t="s">
        <v>348</v>
      </c>
      <c r="DS2606" s="1" t="s">
        <v>219</v>
      </c>
      <c r="DT2606" s="1" t="s">
        <v>229</v>
      </c>
      <c r="DU2606" s="1" t="s">
        <v>439</v>
      </c>
      <c r="DV2606" s="1" t="s">
        <v>2031</v>
      </c>
      <c r="DW2606" s="1" t="s">
        <v>4450</v>
      </c>
      <c r="DX2606" s="1" t="s">
        <v>229</v>
      </c>
      <c r="DZ2606" s="1" t="s">
        <v>281</v>
      </c>
      <c r="EA2606" s="1" t="s">
        <v>277</v>
      </c>
      <c r="EB2606" s="1" t="s">
        <v>220</v>
      </c>
      <c r="ED2606" s="1" t="s">
        <v>3492</v>
      </c>
      <c r="EE2606" s="1" t="s">
        <v>4450</v>
      </c>
      <c r="EF2606" s="1" t="s">
        <v>342</v>
      </c>
      <c r="EI2606" s="1" t="s">
        <v>230</v>
      </c>
      <c r="EL2606" s="1" t="s">
        <v>670</v>
      </c>
      <c r="EM2606" s="1" t="s">
        <v>232</v>
      </c>
      <c r="EN2606" s="1" t="s">
        <v>282</v>
      </c>
      <c r="EO2606" s="1" t="s">
        <v>234</v>
      </c>
      <c r="EP2606" s="1" t="s">
        <v>650</v>
      </c>
      <c r="EQ2606" s="1" t="s">
        <v>236</v>
      </c>
      <c r="ER2606" s="1" t="s">
        <v>544</v>
      </c>
      <c r="ES2606" s="1" t="s">
        <v>4437</v>
      </c>
      <c r="ET2606" s="1" t="s">
        <v>1869</v>
      </c>
      <c r="EU2606" s="1" t="s">
        <v>610</v>
      </c>
      <c r="EV2606" s="1" t="s">
        <v>240</v>
      </c>
      <c r="EW2606" s="1" t="s">
        <v>353</v>
      </c>
      <c r="EY2606" s="1" t="s">
        <v>242</v>
      </c>
      <c r="EZ2606" s="1" t="s">
        <v>22221</v>
      </c>
      <c r="FA2606" s="1" t="s">
        <v>22222</v>
      </c>
      <c r="FB2606" s="1" t="s">
        <v>1505</v>
      </c>
      <c r="FD2606" s="1" t="s">
        <v>246</v>
      </c>
      <c r="FE2606" s="1" t="s">
        <v>975</v>
      </c>
      <c r="FF2606" s="1" t="s">
        <v>248</v>
      </c>
      <c r="FH2606" s="1" t="s">
        <v>550</v>
      </c>
      <c r="FI2606" s="1" t="s">
        <v>473</v>
      </c>
      <c r="FL2606" s="1" t="s">
        <v>358</v>
      </c>
      <c r="FM2606" s="1" t="s">
        <v>252</v>
      </c>
      <c r="FN2606" s="1" t="s">
        <v>213</v>
      </c>
      <c r="FO2606" s="1" t="s">
        <v>213</v>
      </c>
      <c r="FQ2606" s="1" t="s">
        <v>615</v>
      </c>
      <c r="FR2606" s="1" t="s">
        <v>210</v>
      </c>
      <c r="FS2606" s="1" t="s">
        <v>22223</v>
      </c>
      <c r="FT2606" s="1" t="s">
        <v>295</v>
      </c>
      <c r="FU2606" s="1" t="s">
        <v>204</v>
      </c>
      <c r="FW2606" s="1" t="s">
        <v>915</v>
      </c>
      <c r="FX2606" s="1">
        <v>22076</v>
      </c>
      <c r="FY2606" s="1" t="s">
        <v>916</v>
      </c>
      <c r="FZ2606" s="1" t="s">
        <v>1207</v>
      </c>
      <c r="GA2606" s="1">
        <v>225570</v>
      </c>
      <c r="GB2606" s="1" t="s">
        <v>1208</v>
      </c>
      <c r="GD2606" s="1" t="s">
        <v>22224</v>
      </c>
      <c r="GE2606" s="1" t="s">
        <v>480</v>
      </c>
      <c r="GH2606" s="1" t="s">
        <v>589</v>
      </c>
      <c r="GI2606" s="1" t="s">
        <v>213</v>
      </c>
      <c r="GJ2606" s="1" t="s">
        <v>260</v>
      </c>
      <c r="GK2606" s="1" t="s">
        <v>210</v>
      </c>
      <c r="GL2606" s="2">
        <v>42142</v>
      </c>
      <c r="GM2606" s="1" t="s">
        <v>22225</v>
      </c>
    </row>
    <row r="2607" spans="1:195">
      <c r="A2607" s="1">
        <v>319000</v>
      </c>
      <c r="B2607" s="1" t="s">
        <v>195</v>
      </c>
      <c r="C2607" s="1" t="str">
        <f>"08835773"</f>
        <v>08835773</v>
      </c>
      <c r="D2607" s="1" t="s">
        <v>196</v>
      </c>
      <c r="F2607" s="1" t="str">
        <f>"108"</f>
        <v>108</v>
      </c>
      <c r="G2607" s="2">
        <v>42045</v>
      </c>
      <c r="H2607" s="1">
        <v>327000</v>
      </c>
      <c r="I2607" s="1">
        <v>327000</v>
      </c>
      <c r="J2607" s="1">
        <v>319000</v>
      </c>
      <c r="K2607" s="2">
        <v>42045</v>
      </c>
      <c r="L2607" s="1">
        <v>48</v>
      </c>
      <c r="M2607" s="2">
        <v>42065</v>
      </c>
      <c r="N2607" s="1">
        <v>21</v>
      </c>
      <c r="O2607" s="2">
        <v>42065</v>
      </c>
      <c r="P2607" s="1">
        <v>23591</v>
      </c>
      <c r="Q2607" s="1" t="s">
        <v>302</v>
      </c>
      <c r="R2607" s="2">
        <v>42114</v>
      </c>
      <c r="S2607" s="1">
        <v>228821</v>
      </c>
      <c r="U2607" s="1">
        <v>204</v>
      </c>
      <c r="V2607" s="1" t="s">
        <v>9501</v>
      </c>
      <c r="W2607" s="1" t="s">
        <v>3006</v>
      </c>
      <c r="Y2607" s="1">
        <v>4</v>
      </c>
      <c r="Z2607" s="1" t="s">
        <v>200</v>
      </c>
      <c r="AA2607" s="1" t="s">
        <v>829</v>
      </c>
      <c r="AB2607" s="1">
        <v>60108</v>
      </c>
      <c r="AD2607" s="1" t="s">
        <v>19624</v>
      </c>
      <c r="AE2607" s="1" t="s">
        <v>22226</v>
      </c>
      <c r="AF2607" s="1">
        <v>1994</v>
      </c>
      <c r="AG2607" s="1" t="s">
        <v>204</v>
      </c>
      <c r="AH2607" s="1" t="s">
        <v>269</v>
      </c>
      <c r="AI2607" s="1" t="s">
        <v>206</v>
      </c>
      <c r="AJ2607" s="1" t="s">
        <v>269</v>
      </c>
      <c r="AL2607" s="1">
        <v>7</v>
      </c>
      <c r="AM2607" s="1">
        <v>2</v>
      </c>
      <c r="AN2607" s="1">
        <v>2</v>
      </c>
      <c r="AO2607" s="1">
        <v>1</v>
      </c>
      <c r="AP2607" s="1" t="s">
        <v>209</v>
      </c>
      <c r="AQ2607" s="1">
        <v>1</v>
      </c>
      <c r="AR2607" s="1" t="s">
        <v>209</v>
      </c>
      <c r="AS2607" s="1" t="s">
        <v>204</v>
      </c>
      <c r="AT2607" s="1" t="s">
        <v>211</v>
      </c>
      <c r="AU2607" s="1">
        <v>2</v>
      </c>
      <c r="AW2607" s="1" t="s">
        <v>213</v>
      </c>
      <c r="AX2607" s="1" t="s">
        <v>6340</v>
      </c>
      <c r="AZ2607" s="1">
        <v>6613</v>
      </c>
      <c r="BA2607" s="1">
        <v>2013</v>
      </c>
      <c r="BB2607" s="1" t="s">
        <v>405</v>
      </c>
      <c r="BE2607" s="1">
        <v>2184</v>
      </c>
      <c r="BF2607" s="1">
        <v>1</v>
      </c>
      <c r="BG2607" s="1">
        <v>0</v>
      </c>
      <c r="BL2607" s="1">
        <v>247</v>
      </c>
      <c r="BM2607" s="1" t="s">
        <v>204</v>
      </c>
      <c r="BN2607" s="1" t="s">
        <v>213</v>
      </c>
      <c r="BO2607" s="1">
        <v>999</v>
      </c>
      <c r="BP2607" s="1" t="s">
        <v>204</v>
      </c>
      <c r="BR2607" s="1" t="str">
        <f>"0216215046"</f>
        <v>0216215046</v>
      </c>
      <c r="BT2607" s="1" t="s">
        <v>22227</v>
      </c>
      <c r="BU2607" s="1" t="s">
        <v>1611</v>
      </c>
      <c r="BV2607" s="1" t="s">
        <v>834</v>
      </c>
      <c r="BX2607" s="1">
        <v>13</v>
      </c>
      <c r="BY2607" s="1">
        <v>13</v>
      </c>
      <c r="BZ2607" s="1">
        <v>108</v>
      </c>
      <c r="CB2607" s="1" t="str">
        <f t="shared" ref="CB2607:CC2607" si="1998">""</f>
        <v/>
      </c>
      <c r="CC2607" s="1" t="str">
        <f t="shared" si="1998"/>
        <v/>
      </c>
      <c r="CG2607" s="1" t="s">
        <v>228</v>
      </c>
      <c r="CH2607" s="1" t="s">
        <v>219</v>
      </c>
      <c r="CI2607" s="1" t="s">
        <v>229</v>
      </c>
      <c r="CJ2607" s="1" t="s">
        <v>463</v>
      </c>
      <c r="CK2607" s="1" t="s">
        <v>1045</v>
      </c>
      <c r="CL2607" s="1" t="s">
        <v>219</v>
      </c>
      <c r="CM2607" s="1" t="s">
        <v>220</v>
      </c>
      <c r="CN2607" s="1" t="s">
        <v>463</v>
      </c>
      <c r="CO2607" s="1" t="s">
        <v>757</v>
      </c>
      <c r="CP2607" s="1" t="s">
        <v>822</v>
      </c>
      <c r="CQ2607" s="1" t="s">
        <v>229</v>
      </c>
      <c r="CR2607" s="1" t="s">
        <v>210</v>
      </c>
      <c r="CS2607" s="1" t="s">
        <v>757</v>
      </c>
      <c r="CT2607" s="1" t="s">
        <v>277</v>
      </c>
      <c r="CU2607" s="1" t="s">
        <v>220</v>
      </c>
      <c r="CV2607" s="1" t="s">
        <v>463</v>
      </c>
      <c r="CX2607" s="1" t="s">
        <v>224</v>
      </c>
      <c r="DB2607" s="1" t="s">
        <v>224</v>
      </c>
      <c r="DE2607" s="1" t="s">
        <v>581</v>
      </c>
      <c r="DF2607" s="1" t="s">
        <v>219</v>
      </c>
      <c r="DG2607" s="1" t="s">
        <v>226</v>
      </c>
      <c r="DH2607" s="1" t="s">
        <v>343</v>
      </c>
      <c r="DJ2607" s="1" t="s">
        <v>224</v>
      </c>
      <c r="DM2607" s="1" t="s">
        <v>13023</v>
      </c>
      <c r="DN2607" s="1" t="s">
        <v>464</v>
      </c>
      <c r="DR2607" s="1" t="s">
        <v>22228</v>
      </c>
      <c r="DS2607" s="1" t="s">
        <v>277</v>
      </c>
      <c r="DV2607" s="1" t="s">
        <v>885</v>
      </c>
      <c r="DW2607" s="1" t="s">
        <v>277</v>
      </c>
      <c r="DX2607" s="1" t="s">
        <v>220</v>
      </c>
      <c r="DY2607" s="1" t="s">
        <v>463</v>
      </c>
      <c r="EA2607" s="1" t="s">
        <v>230</v>
      </c>
      <c r="EE2607" s="1" t="s">
        <v>230</v>
      </c>
      <c r="EI2607" s="1" t="s">
        <v>230</v>
      </c>
      <c r="EL2607" s="1" t="s">
        <v>382</v>
      </c>
      <c r="EM2607" s="1" t="s">
        <v>232</v>
      </c>
      <c r="EN2607" s="1" t="s">
        <v>282</v>
      </c>
      <c r="EO2607" s="1" t="s">
        <v>840</v>
      </c>
      <c r="EP2607" s="1" t="s">
        <v>3012</v>
      </c>
      <c r="EQ2607" s="1" t="s">
        <v>468</v>
      </c>
      <c r="ER2607" s="1" t="s">
        <v>1249</v>
      </c>
      <c r="ES2607" s="1" t="s">
        <v>322</v>
      </c>
      <c r="ET2607" s="1" t="s">
        <v>2404</v>
      </c>
      <c r="EW2607" s="1" t="s">
        <v>1426</v>
      </c>
      <c r="EZ2607" s="1" t="s">
        <v>22229</v>
      </c>
      <c r="FC2607" s="1" t="s">
        <v>1386</v>
      </c>
      <c r="FD2607" s="1" t="s">
        <v>246</v>
      </c>
      <c r="FE2607" s="1" t="s">
        <v>247</v>
      </c>
      <c r="FF2607" s="1" t="s">
        <v>248</v>
      </c>
      <c r="FG2607" s="1" t="s">
        <v>4635</v>
      </c>
      <c r="FH2607" s="1" t="s">
        <v>550</v>
      </c>
      <c r="FL2607" s="1" t="s">
        <v>414</v>
      </c>
      <c r="FM2607" s="1" t="s">
        <v>252</v>
      </c>
      <c r="FN2607" s="1" t="s">
        <v>213</v>
      </c>
      <c r="FO2607" s="1" t="s">
        <v>204</v>
      </c>
      <c r="FQ2607" s="1" t="s">
        <v>329</v>
      </c>
      <c r="FR2607" s="1" t="s">
        <v>210</v>
      </c>
      <c r="FS2607" s="1" t="s">
        <v>22230</v>
      </c>
      <c r="FT2607" s="1" t="s">
        <v>295</v>
      </c>
      <c r="FU2607" s="1" t="s">
        <v>204</v>
      </c>
      <c r="FW2607" s="1" t="s">
        <v>873</v>
      </c>
      <c r="FX2607" s="1">
        <v>25309</v>
      </c>
      <c r="FY2607" s="1" t="s">
        <v>874</v>
      </c>
      <c r="FZ2607" s="1" t="s">
        <v>22231</v>
      </c>
      <c r="GA2607" s="1">
        <v>242438</v>
      </c>
      <c r="GB2607" s="1" t="s">
        <v>22232</v>
      </c>
      <c r="GE2607" s="1" t="s">
        <v>480</v>
      </c>
      <c r="GI2607" s="1" t="s">
        <v>213</v>
      </c>
      <c r="GJ2607" s="1" t="s">
        <v>260</v>
      </c>
      <c r="GK2607" s="1" t="s">
        <v>261</v>
      </c>
      <c r="GL2607" s="2">
        <v>42114</v>
      </c>
    </row>
    <row r="2608" spans="1:195">
      <c r="A2608" s="1">
        <v>92000</v>
      </c>
      <c r="B2608" s="1" t="s">
        <v>195</v>
      </c>
      <c r="C2608" s="1" t="str">
        <f>"08853645"</f>
        <v>08853645</v>
      </c>
      <c r="D2608" s="1" t="s">
        <v>196</v>
      </c>
      <c r="F2608" s="1" t="str">
        <f>"106"</f>
        <v>106</v>
      </c>
      <c r="G2608" s="2">
        <v>42068</v>
      </c>
      <c r="H2608" s="1">
        <v>88000</v>
      </c>
      <c r="I2608" s="1">
        <v>88000</v>
      </c>
      <c r="J2608" s="1">
        <v>92000</v>
      </c>
      <c r="K2608" s="2">
        <v>42068</v>
      </c>
      <c r="L2608" s="1">
        <v>6</v>
      </c>
      <c r="M2608" s="2">
        <v>42073</v>
      </c>
      <c r="N2608" s="1">
        <v>6</v>
      </c>
      <c r="O2608" s="2">
        <v>42073</v>
      </c>
      <c r="P2608" s="1">
        <v>24185</v>
      </c>
      <c r="Q2608" s="1" t="s">
        <v>197</v>
      </c>
      <c r="R2608" s="2">
        <v>42132</v>
      </c>
      <c r="S2608" s="1">
        <v>238850</v>
      </c>
      <c r="U2608" s="1">
        <v>238</v>
      </c>
      <c r="V2608" s="1" t="s">
        <v>11608</v>
      </c>
      <c r="W2608" s="1" t="s">
        <v>725</v>
      </c>
      <c r="X2608" s="1" t="s">
        <v>1688</v>
      </c>
      <c r="Y2608" s="1">
        <v>6</v>
      </c>
      <c r="Z2608" s="1" t="s">
        <v>249</v>
      </c>
      <c r="AA2608" s="1" t="s">
        <v>1229</v>
      </c>
      <c r="AB2608" s="1">
        <v>60106</v>
      </c>
      <c r="AD2608" s="1" t="s">
        <v>22233</v>
      </c>
      <c r="AE2608" s="1" t="s">
        <v>22234</v>
      </c>
      <c r="AF2608" s="1">
        <v>1979</v>
      </c>
      <c r="AG2608" s="1" t="s">
        <v>204</v>
      </c>
      <c r="AH2608" s="1" t="s">
        <v>1232</v>
      </c>
      <c r="AI2608" s="1" t="s">
        <v>206</v>
      </c>
      <c r="AJ2608" s="1" t="s">
        <v>1233</v>
      </c>
      <c r="AL2608" s="1">
        <v>5</v>
      </c>
      <c r="AM2608" s="1">
        <v>2</v>
      </c>
      <c r="AN2608" s="1">
        <v>1</v>
      </c>
      <c r="AO2608" s="1">
        <v>0</v>
      </c>
      <c r="AP2608" s="1" t="s">
        <v>210</v>
      </c>
      <c r="AR2608" s="1" t="s">
        <v>210</v>
      </c>
      <c r="AS2608" s="1" t="s">
        <v>204</v>
      </c>
      <c r="AT2608" s="1" t="s">
        <v>271</v>
      </c>
      <c r="AV2608" s="1">
        <v>1</v>
      </c>
      <c r="AW2608" s="1" t="s">
        <v>204</v>
      </c>
      <c r="AX2608" s="1" t="s">
        <v>212</v>
      </c>
      <c r="AZ2608" s="1">
        <v>1510</v>
      </c>
      <c r="BA2608" s="1">
        <v>2013</v>
      </c>
      <c r="BB2608" s="1" t="s">
        <v>405</v>
      </c>
      <c r="BE2608" s="1">
        <v>0</v>
      </c>
      <c r="BF2608" s="1">
        <v>1</v>
      </c>
      <c r="BG2608" s="1">
        <v>30</v>
      </c>
      <c r="BL2608" s="1">
        <v>268</v>
      </c>
      <c r="BM2608" s="1" t="s">
        <v>204</v>
      </c>
      <c r="BN2608" s="1" t="s">
        <v>213</v>
      </c>
      <c r="BO2608" s="1">
        <v>20</v>
      </c>
      <c r="BP2608" s="1" t="s">
        <v>204</v>
      </c>
      <c r="BR2608" s="1" t="str">
        <f>"0324313008"</f>
        <v>0324313008</v>
      </c>
      <c r="BT2608" s="1" t="s">
        <v>22235</v>
      </c>
      <c r="BU2608" s="1" t="s">
        <v>11611</v>
      </c>
      <c r="BV2608" s="1" t="s">
        <v>6840</v>
      </c>
      <c r="BW2608" s="1" t="s">
        <v>1973</v>
      </c>
      <c r="BX2608" s="1">
        <v>2</v>
      </c>
      <c r="BY2608" s="1">
        <v>2</v>
      </c>
      <c r="BZ2608" s="1">
        <v>100</v>
      </c>
      <c r="CB2608" s="1" t="str">
        <f>"4"</f>
        <v>4</v>
      </c>
      <c r="CC2608" s="1" t="str">
        <f>""</f>
        <v/>
      </c>
      <c r="CD2608" s="1">
        <v>15</v>
      </c>
      <c r="CG2608" s="1" t="s">
        <v>378</v>
      </c>
      <c r="CH2608" s="1" t="s">
        <v>219</v>
      </c>
      <c r="CI2608" s="1" t="s">
        <v>342</v>
      </c>
      <c r="CJ2608" s="1" t="s">
        <v>343</v>
      </c>
      <c r="CK2608" s="1" t="s">
        <v>280</v>
      </c>
      <c r="CL2608" s="1" t="s">
        <v>219</v>
      </c>
      <c r="CM2608" s="1" t="s">
        <v>342</v>
      </c>
      <c r="CN2608" s="1" t="s">
        <v>343</v>
      </c>
      <c r="CO2608" s="1" t="s">
        <v>1470</v>
      </c>
      <c r="CP2608" s="1" t="s">
        <v>219</v>
      </c>
      <c r="CQ2608" s="1" t="s">
        <v>342</v>
      </c>
      <c r="CR2608" s="1" t="s">
        <v>210</v>
      </c>
      <c r="CS2608" s="1" t="s">
        <v>379</v>
      </c>
      <c r="CT2608" s="1" t="s">
        <v>219</v>
      </c>
      <c r="CU2608" s="1" t="s">
        <v>342</v>
      </c>
      <c r="CV2608" s="1" t="s">
        <v>343</v>
      </c>
      <c r="CX2608" s="1" t="s">
        <v>224</v>
      </c>
      <c r="DB2608" s="1" t="s">
        <v>224</v>
      </c>
      <c r="DE2608" s="1" t="s">
        <v>16207</v>
      </c>
      <c r="DF2608" s="1" t="s">
        <v>219</v>
      </c>
      <c r="DG2608" s="1" t="s">
        <v>342</v>
      </c>
      <c r="DH2608" s="1" t="s">
        <v>210</v>
      </c>
      <c r="DJ2608" s="1" t="s">
        <v>224</v>
      </c>
      <c r="DM2608" s="1" t="s">
        <v>1771</v>
      </c>
      <c r="DR2608" s="1" t="s">
        <v>2308</v>
      </c>
      <c r="DS2608" s="1" t="s">
        <v>219</v>
      </c>
      <c r="DT2608" s="1" t="s">
        <v>342</v>
      </c>
      <c r="DU2608" s="1" t="s">
        <v>210</v>
      </c>
      <c r="DW2608" s="1" t="s">
        <v>230</v>
      </c>
      <c r="EA2608" s="1" t="s">
        <v>230</v>
      </c>
      <c r="EE2608" s="1" t="s">
        <v>230</v>
      </c>
      <c r="EI2608" s="1" t="s">
        <v>230</v>
      </c>
      <c r="EL2608" s="1" t="s">
        <v>231</v>
      </c>
      <c r="EM2608" s="1" t="s">
        <v>232</v>
      </c>
      <c r="EN2608" s="1" t="s">
        <v>1158</v>
      </c>
      <c r="EO2608" s="1" t="s">
        <v>234</v>
      </c>
      <c r="EP2608" s="1" t="s">
        <v>18284</v>
      </c>
      <c r="EQ2608" s="1" t="s">
        <v>671</v>
      </c>
      <c r="ER2608" s="1" t="s">
        <v>210</v>
      </c>
      <c r="ES2608" s="1" t="s">
        <v>545</v>
      </c>
      <c r="EU2608" s="1" t="s">
        <v>712</v>
      </c>
      <c r="EV2608" s="1" t="s">
        <v>240</v>
      </c>
      <c r="EW2608" s="1" t="s">
        <v>286</v>
      </c>
      <c r="EY2608" s="1" t="s">
        <v>242</v>
      </c>
      <c r="EZ2608" s="1" t="s">
        <v>1771</v>
      </c>
      <c r="FA2608" s="1" t="s">
        <v>4424</v>
      </c>
      <c r="FB2608" s="1" t="s">
        <v>289</v>
      </c>
      <c r="FC2608" s="1" t="s">
        <v>633</v>
      </c>
      <c r="FD2608" s="1" t="s">
        <v>290</v>
      </c>
      <c r="FE2608" s="1" t="s">
        <v>651</v>
      </c>
      <c r="FF2608" s="1" t="s">
        <v>248</v>
      </c>
      <c r="FH2608" s="1" t="s">
        <v>716</v>
      </c>
      <c r="FK2608" s="1" t="s">
        <v>891</v>
      </c>
      <c r="FL2608" s="1" t="s">
        <v>614</v>
      </c>
      <c r="FM2608" s="1" t="s">
        <v>252</v>
      </c>
      <c r="FN2608" s="1" t="s">
        <v>213</v>
      </c>
      <c r="FO2608" s="1" t="s">
        <v>204</v>
      </c>
      <c r="FQ2608" s="1" t="s">
        <v>913</v>
      </c>
      <c r="FR2608" s="1" t="s">
        <v>210</v>
      </c>
      <c r="FS2608" s="1" t="s">
        <v>22236</v>
      </c>
      <c r="FT2608" s="1" t="s">
        <v>295</v>
      </c>
      <c r="FU2608" s="1" t="s">
        <v>204</v>
      </c>
      <c r="FW2608" s="1" t="s">
        <v>12411</v>
      </c>
      <c r="FX2608" s="1">
        <v>21962</v>
      </c>
      <c r="FY2608" s="1" t="s">
        <v>12412</v>
      </c>
      <c r="FZ2608" s="1" t="s">
        <v>12413</v>
      </c>
      <c r="GA2608" s="1">
        <v>220376</v>
      </c>
      <c r="GB2608" s="1" t="s">
        <v>12412</v>
      </c>
      <c r="GC2608" s="1">
        <v>236498</v>
      </c>
      <c r="GD2608" s="1" t="s">
        <v>22237</v>
      </c>
      <c r="GE2608" s="1" t="s">
        <v>4021</v>
      </c>
      <c r="GI2608" s="1" t="s">
        <v>213</v>
      </c>
      <c r="GJ2608" s="1" t="s">
        <v>260</v>
      </c>
      <c r="GK2608" s="1" t="s">
        <v>210</v>
      </c>
      <c r="GL2608" s="2">
        <v>42135</v>
      </c>
      <c r="GM2608" s="1" t="s">
        <v>22238</v>
      </c>
    </row>
    <row r="2609" spans="1:195">
      <c r="A2609" s="1">
        <v>43101</v>
      </c>
      <c r="B2609" s="1" t="s">
        <v>195</v>
      </c>
      <c r="C2609" s="1" t="str">
        <f>"08838716"</f>
        <v>08838716</v>
      </c>
      <c r="D2609" s="1" t="s">
        <v>196</v>
      </c>
      <c r="F2609" s="1" t="str">
        <f>"543"</f>
        <v>543</v>
      </c>
      <c r="G2609" s="2">
        <v>42049</v>
      </c>
      <c r="H2609" s="1">
        <v>47900</v>
      </c>
      <c r="I2609" s="1">
        <v>37500</v>
      </c>
      <c r="J2609" s="1">
        <v>43101</v>
      </c>
      <c r="K2609" s="2">
        <v>42046</v>
      </c>
      <c r="L2609" s="1">
        <v>62</v>
      </c>
      <c r="M2609" s="2">
        <v>42107</v>
      </c>
      <c r="N2609" s="1">
        <v>62</v>
      </c>
      <c r="O2609" s="2">
        <v>42107</v>
      </c>
      <c r="P2609" s="1">
        <v>31360</v>
      </c>
      <c r="Q2609" s="1" t="s">
        <v>302</v>
      </c>
      <c r="R2609" s="2">
        <v>42118</v>
      </c>
      <c r="S2609" s="1">
        <v>313668</v>
      </c>
      <c r="U2609" s="1">
        <v>2200</v>
      </c>
      <c r="V2609" s="1" t="s">
        <v>22239</v>
      </c>
      <c r="W2609" s="1" t="s">
        <v>1056</v>
      </c>
      <c r="X2609" s="1">
        <v>101</v>
      </c>
      <c r="Y2609" s="1">
        <v>24</v>
      </c>
      <c r="Z2609" s="1" t="s">
        <v>370</v>
      </c>
      <c r="AA2609" s="1" t="s">
        <v>2639</v>
      </c>
      <c r="AB2609" s="1">
        <v>60543</v>
      </c>
      <c r="AD2609" s="1" t="s">
        <v>15185</v>
      </c>
      <c r="AE2609" s="1" t="s">
        <v>22240</v>
      </c>
      <c r="AF2609" s="1">
        <v>1978</v>
      </c>
      <c r="AG2609" s="1" t="s">
        <v>204</v>
      </c>
      <c r="AH2609" s="1" t="s">
        <v>1397</v>
      </c>
      <c r="AI2609" s="1" t="s">
        <v>453</v>
      </c>
      <c r="AJ2609" s="1" t="s">
        <v>1397</v>
      </c>
      <c r="AK2609" s="1" t="s">
        <v>15187</v>
      </c>
      <c r="AL2609" s="1">
        <v>5</v>
      </c>
      <c r="AM2609" s="1">
        <v>2</v>
      </c>
      <c r="AN2609" s="1">
        <v>1</v>
      </c>
      <c r="AO2609" s="1">
        <v>0</v>
      </c>
      <c r="AP2609" s="1" t="s">
        <v>210</v>
      </c>
      <c r="AR2609" s="1" t="s">
        <v>210</v>
      </c>
      <c r="AS2609" s="1" t="s">
        <v>204</v>
      </c>
      <c r="AT2609" s="1" t="s">
        <v>271</v>
      </c>
      <c r="AV2609" s="1">
        <v>2</v>
      </c>
      <c r="AW2609" s="1" t="s">
        <v>204</v>
      </c>
      <c r="AX2609" s="1">
        <v>0</v>
      </c>
      <c r="AZ2609" s="1">
        <v>678.82</v>
      </c>
      <c r="BA2609" s="1">
        <v>2013</v>
      </c>
      <c r="BE2609" s="1">
        <v>724</v>
      </c>
      <c r="BF2609" s="1">
        <v>1</v>
      </c>
      <c r="BG2609" s="1">
        <v>0</v>
      </c>
      <c r="BL2609" s="1">
        <v>268</v>
      </c>
      <c r="BM2609" s="1" t="s">
        <v>204</v>
      </c>
      <c r="BN2609" s="1" t="s">
        <v>213</v>
      </c>
      <c r="BO2609" s="1">
        <v>30</v>
      </c>
      <c r="BP2609" s="1" t="s">
        <v>204</v>
      </c>
      <c r="BR2609" s="1" t="str">
        <f>"0308301012"</f>
        <v>0308301012</v>
      </c>
      <c r="BT2609" s="1" t="s">
        <v>22241</v>
      </c>
      <c r="BX2609" s="1">
        <v>308</v>
      </c>
      <c r="BY2609" s="1">
        <v>308</v>
      </c>
      <c r="BZ2609" s="1">
        <v>308</v>
      </c>
      <c r="CB2609" s="1" t="str">
        <f t="shared" ref="CB2609:CC2609" si="1999">""</f>
        <v/>
      </c>
      <c r="CC2609" s="1" t="str">
        <f t="shared" si="1999"/>
        <v/>
      </c>
      <c r="CG2609" s="1" t="s">
        <v>581</v>
      </c>
      <c r="CH2609" s="1" t="s">
        <v>219</v>
      </c>
      <c r="CK2609" s="1" t="s">
        <v>757</v>
      </c>
      <c r="CL2609" s="1" t="s">
        <v>219</v>
      </c>
      <c r="CO2609" s="1" t="s">
        <v>629</v>
      </c>
      <c r="CP2609" s="1" t="s">
        <v>219</v>
      </c>
      <c r="CS2609" s="1" t="s">
        <v>346</v>
      </c>
      <c r="CT2609" s="1" t="s">
        <v>219</v>
      </c>
      <c r="CX2609" s="1" t="s">
        <v>224</v>
      </c>
      <c r="DB2609" s="1" t="s">
        <v>224</v>
      </c>
      <c r="DE2609" s="1" t="s">
        <v>540</v>
      </c>
      <c r="DF2609" s="1" t="s">
        <v>219</v>
      </c>
      <c r="DJ2609" s="1" t="s">
        <v>224</v>
      </c>
      <c r="DM2609" s="1" t="s">
        <v>709</v>
      </c>
      <c r="DR2609" s="1" t="s">
        <v>1313</v>
      </c>
      <c r="DS2609" s="1" t="s">
        <v>219</v>
      </c>
      <c r="DW2609" s="1" t="s">
        <v>230</v>
      </c>
      <c r="EA2609" s="1" t="s">
        <v>230</v>
      </c>
      <c r="EE2609" s="1" t="s">
        <v>230</v>
      </c>
      <c r="EI2609" s="1" t="s">
        <v>230</v>
      </c>
      <c r="EL2609" s="1" t="s">
        <v>231</v>
      </c>
      <c r="EM2609" s="1" t="s">
        <v>319</v>
      </c>
      <c r="EN2609" s="1" t="s">
        <v>1158</v>
      </c>
      <c r="EO2609" s="1" t="s">
        <v>234</v>
      </c>
      <c r="ER2609" s="1" t="s">
        <v>210</v>
      </c>
      <c r="EV2609" s="1" t="s">
        <v>240</v>
      </c>
      <c r="EW2609" s="1" t="s">
        <v>22242</v>
      </c>
      <c r="EZ2609" s="1" t="s">
        <v>709</v>
      </c>
      <c r="FD2609" s="1" t="s">
        <v>246</v>
      </c>
      <c r="FE2609" s="1" t="s">
        <v>22243</v>
      </c>
      <c r="FF2609" s="1" t="s">
        <v>248</v>
      </c>
      <c r="FH2609" s="1" t="s">
        <v>249</v>
      </c>
      <c r="FL2609" s="1" t="s">
        <v>328</v>
      </c>
      <c r="FM2609" s="1" t="s">
        <v>252</v>
      </c>
      <c r="FN2609" s="1" t="s">
        <v>213</v>
      </c>
      <c r="FO2609" s="1" t="s">
        <v>213</v>
      </c>
      <c r="FQ2609" s="1" t="s">
        <v>689</v>
      </c>
      <c r="FR2609" s="1" t="s">
        <v>210</v>
      </c>
      <c r="FS2609" s="1" t="s">
        <v>4314</v>
      </c>
      <c r="FT2609" s="1" t="s">
        <v>1828</v>
      </c>
      <c r="FU2609" s="1" t="s">
        <v>204</v>
      </c>
      <c r="FW2609" s="1" t="s">
        <v>813</v>
      </c>
      <c r="FX2609" s="1">
        <v>23286</v>
      </c>
      <c r="FY2609" s="1" t="s">
        <v>4315</v>
      </c>
      <c r="FZ2609" s="1" t="s">
        <v>4316</v>
      </c>
      <c r="GA2609" s="1">
        <v>223647</v>
      </c>
      <c r="GB2609" s="1" t="s">
        <v>4317</v>
      </c>
      <c r="GC2609" s="1">
        <v>230243</v>
      </c>
      <c r="GE2609" s="1" t="s">
        <v>210</v>
      </c>
      <c r="GI2609" s="1" t="s">
        <v>213</v>
      </c>
      <c r="GJ2609" s="1" t="s">
        <v>260</v>
      </c>
      <c r="GK2609" s="1" t="s">
        <v>210</v>
      </c>
      <c r="GL2609" s="2">
        <v>42118</v>
      </c>
      <c r="GM2609" s="1" t="s">
        <v>4847</v>
      </c>
    </row>
    <row r="2610" spans="1:195">
      <c r="A2610" s="1">
        <v>228000</v>
      </c>
      <c r="B2610" s="1" t="s">
        <v>195</v>
      </c>
      <c r="C2610" s="1" t="str">
        <f>"08836846"</f>
        <v>08836846</v>
      </c>
      <c r="D2610" s="1" t="s">
        <v>196</v>
      </c>
      <c r="F2610" s="1" t="str">
        <f>"517"</f>
        <v>517</v>
      </c>
      <c r="G2610" s="2">
        <v>42046</v>
      </c>
      <c r="H2610" s="1">
        <v>230000</v>
      </c>
      <c r="I2610" s="1">
        <v>230000</v>
      </c>
      <c r="J2610" s="1">
        <v>228000</v>
      </c>
      <c r="K2610" s="2">
        <v>42046</v>
      </c>
      <c r="L2610" s="1">
        <v>9</v>
      </c>
      <c r="M2610" s="2">
        <v>42054</v>
      </c>
      <c r="N2610" s="1">
        <v>9</v>
      </c>
      <c r="O2610" s="2">
        <v>42054</v>
      </c>
      <c r="P2610" s="1">
        <v>23156</v>
      </c>
      <c r="Q2610" s="1" t="s">
        <v>197</v>
      </c>
      <c r="R2610" s="2">
        <v>42081</v>
      </c>
      <c r="S2610" s="1">
        <v>220294</v>
      </c>
      <c r="U2610" s="1">
        <v>3203</v>
      </c>
      <c r="V2610" s="1" t="s">
        <v>11189</v>
      </c>
      <c r="W2610" s="1" t="s">
        <v>304</v>
      </c>
      <c r="Y2610" s="1">
        <v>6</v>
      </c>
      <c r="Z2610" s="1" t="s">
        <v>370</v>
      </c>
      <c r="AA2610" s="1" t="s">
        <v>2850</v>
      </c>
      <c r="AB2610" s="1">
        <v>60517</v>
      </c>
      <c r="AD2610" s="1" t="s">
        <v>11190</v>
      </c>
      <c r="AE2610" s="1" t="s">
        <v>11191</v>
      </c>
      <c r="AF2610" s="1">
        <v>1999</v>
      </c>
      <c r="AG2610" s="1" t="s">
        <v>204</v>
      </c>
      <c r="AH2610" s="1" t="s">
        <v>2853</v>
      </c>
      <c r="AI2610" s="1" t="s">
        <v>206</v>
      </c>
      <c r="AJ2610" s="1" t="s">
        <v>925</v>
      </c>
      <c r="AL2610" s="1">
        <v>6</v>
      </c>
      <c r="AM2610" s="1">
        <v>2</v>
      </c>
      <c r="AN2610" s="1">
        <v>2</v>
      </c>
      <c r="AO2610" s="1">
        <v>1</v>
      </c>
      <c r="AP2610" s="1" t="s">
        <v>209</v>
      </c>
      <c r="AQ2610" s="1">
        <v>1</v>
      </c>
      <c r="AR2610" s="1" t="s">
        <v>209</v>
      </c>
      <c r="AS2610" s="1" t="s">
        <v>204</v>
      </c>
      <c r="AT2610" s="1" t="s">
        <v>211</v>
      </c>
      <c r="AU2610" s="1">
        <v>2</v>
      </c>
      <c r="AW2610" s="1" t="s">
        <v>204</v>
      </c>
      <c r="AX2610" s="1" t="s">
        <v>212</v>
      </c>
      <c r="AZ2610" s="1">
        <v>6261</v>
      </c>
      <c r="BA2610" s="1">
        <v>2013</v>
      </c>
      <c r="BB2610" s="1" t="s">
        <v>405</v>
      </c>
      <c r="BE2610" s="1">
        <v>1630</v>
      </c>
      <c r="BF2610" s="1">
        <v>2</v>
      </c>
      <c r="BG2610" s="1">
        <v>20</v>
      </c>
      <c r="BL2610" s="1">
        <v>275</v>
      </c>
      <c r="BM2610" s="1" t="s">
        <v>204</v>
      </c>
      <c r="BN2610" s="1" t="s">
        <v>213</v>
      </c>
      <c r="BO2610" s="1">
        <v>60</v>
      </c>
      <c r="BP2610" s="1" t="s">
        <v>204</v>
      </c>
      <c r="BR2610" s="1" t="str">
        <f>"0826302055"</f>
        <v>0826302055</v>
      </c>
      <c r="BT2610" s="1" t="s">
        <v>22244</v>
      </c>
      <c r="BU2610" s="1" t="s">
        <v>11193</v>
      </c>
      <c r="BV2610" s="1" t="s">
        <v>2856</v>
      </c>
      <c r="BW2610" s="1" t="s">
        <v>3099</v>
      </c>
      <c r="BX2610" s="1">
        <v>68</v>
      </c>
      <c r="BY2610" s="1">
        <v>68</v>
      </c>
      <c r="BZ2610" s="1">
        <v>99</v>
      </c>
      <c r="CB2610" s="1" t="str">
        <f t="shared" ref="CB2610:CC2610" si="2000">""</f>
        <v/>
      </c>
      <c r="CC2610" s="1" t="str">
        <f t="shared" si="2000"/>
        <v/>
      </c>
      <c r="CG2610" s="1" t="s">
        <v>861</v>
      </c>
      <c r="CH2610" s="1" t="s">
        <v>219</v>
      </c>
      <c r="CI2610" s="1" t="s">
        <v>220</v>
      </c>
      <c r="CJ2610" s="1" t="s">
        <v>252</v>
      </c>
      <c r="CK2610" s="1" t="s">
        <v>581</v>
      </c>
      <c r="CL2610" s="1" t="s">
        <v>277</v>
      </c>
      <c r="CM2610" s="1" t="s">
        <v>220</v>
      </c>
      <c r="CN2610" s="1" t="s">
        <v>252</v>
      </c>
      <c r="CO2610" s="1" t="s">
        <v>465</v>
      </c>
      <c r="CP2610" s="1" t="s">
        <v>219</v>
      </c>
      <c r="CQ2610" s="1" t="s">
        <v>220</v>
      </c>
      <c r="CR2610" s="1" t="s">
        <v>252</v>
      </c>
      <c r="CS2610" s="1" t="s">
        <v>317</v>
      </c>
      <c r="CT2610" s="1" t="s">
        <v>277</v>
      </c>
      <c r="CU2610" s="1" t="s">
        <v>220</v>
      </c>
      <c r="CV2610" s="1" t="s">
        <v>252</v>
      </c>
      <c r="CX2610" s="1" t="s">
        <v>224</v>
      </c>
      <c r="DB2610" s="1" t="s">
        <v>224</v>
      </c>
      <c r="DE2610" s="1" t="s">
        <v>1045</v>
      </c>
      <c r="DF2610" s="1" t="s">
        <v>219</v>
      </c>
      <c r="DG2610" s="1" t="s">
        <v>438</v>
      </c>
      <c r="DH2610" s="1" t="s">
        <v>210</v>
      </c>
      <c r="DJ2610" s="1" t="s">
        <v>224</v>
      </c>
      <c r="DM2610" s="1" t="s">
        <v>464</v>
      </c>
      <c r="DN2610" s="1" t="s">
        <v>709</v>
      </c>
      <c r="DR2610" s="1" t="s">
        <v>1133</v>
      </c>
      <c r="DS2610" s="1" t="s">
        <v>277</v>
      </c>
      <c r="DT2610" s="1" t="s">
        <v>220</v>
      </c>
      <c r="DU2610" s="1" t="s">
        <v>210</v>
      </c>
      <c r="DV2610" s="1" t="s">
        <v>380</v>
      </c>
      <c r="DW2610" s="1" t="s">
        <v>219</v>
      </c>
      <c r="DX2610" s="1" t="s">
        <v>438</v>
      </c>
      <c r="DY2610" s="1" t="s">
        <v>210</v>
      </c>
      <c r="EA2610" s="1" t="s">
        <v>230</v>
      </c>
      <c r="EE2610" s="1" t="s">
        <v>230</v>
      </c>
      <c r="EI2610" s="1" t="s">
        <v>230</v>
      </c>
      <c r="EL2610" s="1" t="s">
        <v>670</v>
      </c>
      <c r="EM2610" s="1" t="s">
        <v>232</v>
      </c>
      <c r="EN2610" s="1" t="s">
        <v>282</v>
      </c>
      <c r="EO2610" s="1" t="s">
        <v>234</v>
      </c>
      <c r="EQ2610" s="1" t="s">
        <v>492</v>
      </c>
      <c r="ER2610" s="1" t="s">
        <v>1249</v>
      </c>
      <c r="ES2610" s="1" t="s">
        <v>824</v>
      </c>
      <c r="ET2610" s="1" t="s">
        <v>323</v>
      </c>
      <c r="EU2610" s="1" t="s">
        <v>610</v>
      </c>
      <c r="EV2610" s="1" t="s">
        <v>6425</v>
      </c>
      <c r="EW2610" s="1" t="s">
        <v>353</v>
      </c>
      <c r="EY2610" s="1" t="s">
        <v>242</v>
      </c>
      <c r="EZ2610" s="1" t="s">
        <v>2549</v>
      </c>
      <c r="FA2610" s="1" t="s">
        <v>471</v>
      </c>
      <c r="FB2610" s="1" t="s">
        <v>289</v>
      </c>
      <c r="FD2610" s="1" t="s">
        <v>290</v>
      </c>
      <c r="FE2610" s="1" t="s">
        <v>549</v>
      </c>
      <c r="FF2610" s="1" t="s">
        <v>248</v>
      </c>
      <c r="FG2610" s="1" t="s">
        <v>871</v>
      </c>
      <c r="FH2610" s="1" t="s">
        <v>550</v>
      </c>
      <c r="FI2610" s="1" t="s">
        <v>473</v>
      </c>
      <c r="FL2610" s="1" t="s">
        <v>358</v>
      </c>
      <c r="FM2610" s="1" t="s">
        <v>252</v>
      </c>
      <c r="FN2610" s="1" t="s">
        <v>213</v>
      </c>
      <c r="FO2610" s="1" t="s">
        <v>213</v>
      </c>
      <c r="FQ2610" s="1" t="s">
        <v>22245</v>
      </c>
      <c r="FR2610" s="1" t="s">
        <v>210</v>
      </c>
      <c r="FS2610" s="1" t="s">
        <v>22246</v>
      </c>
      <c r="FT2610" s="1" t="s">
        <v>22247</v>
      </c>
      <c r="FU2610" s="1" t="s">
        <v>204</v>
      </c>
      <c r="FW2610" s="1" t="s">
        <v>585</v>
      </c>
      <c r="FX2610" s="1">
        <v>20001</v>
      </c>
      <c r="FY2610" s="1" t="s">
        <v>5002</v>
      </c>
      <c r="FZ2610" s="1" t="s">
        <v>10090</v>
      </c>
      <c r="GA2610" s="1">
        <v>221151</v>
      </c>
      <c r="GB2610" s="1" t="s">
        <v>10091</v>
      </c>
      <c r="GE2610" s="1" t="s">
        <v>210</v>
      </c>
      <c r="GI2610" s="1" t="s">
        <v>213</v>
      </c>
      <c r="GJ2610" s="1" t="s">
        <v>260</v>
      </c>
      <c r="GK2610" s="1" t="s">
        <v>210</v>
      </c>
      <c r="GL2610" s="2">
        <v>42081</v>
      </c>
      <c r="GM2610" s="1" t="s">
        <v>22248</v>
      </c>
    </row>
    <row r="2611" spans="1:195">
      <c r="A2611" s="1">
        <v>110000</v>
      </c>
      <c r="B2611" s="1" t="s">
        <v>195</v>
      </c>
      <c r="C2611" s="1" t="str">
        <f>"08836181"</f>
        <v>08836181</v>
      </c>
      <c r="D2611" s="1" t="s">
        <v>196</v>
      </c>
      <c r="F2611" s="1" t="str">
        <f>"123"</f>
        <v>123</v>
      </c>
      <c r="G2611" s="2">
        <v>42046</v>
      </c>
      <c r="H2611" s="1">
        <v>110500</v>
      </c>
      <c r="I2611" s="1">
        <v>110500</v>
      </c>
      <c r="J2611" s="1">
        <v>110000</v>
      </c>
      <c r="K2611" s="2">
        <v>42046</v>
      </c>
      <c r="L2611" s="1">
        <v>20</v>
      </c>
      <c r="M2611" s="2">
        <v>42065</v>
      </c>
      <c r="N2611" s="1">
        <v>20</v>
      </c>
      <c r="O2611" s="2">
        <v>42065</v>
      </c>
      <c r="P2611" s="1">
        <v>23591</v>
      </c>
      <c r="Q2611" s="1" t="s">
        <v>197</v>
      </c>
      <c r="R2611" s="2">
        <v>42118</v>
      </c>
      <c r="S2611" s="1">
        <v>245649</v>
      </c>
      <c r="U2611" s="1">
        <v>1450</v>
      </c>
      <c r="V2611" s="1" t="s">
        <v>4395</v>
      </c>
      <c r="W2611" s="1" t="s">
        <v>504</v>
      </c>
      <c r="X2611" s="1">
        <v>607</v>
      </c>
      <c r="Y2611" s="1">
        <v>72</v>
      </c>
      <c r="Z2611" s="1" t="s">
        <v>249</v>
      </c>
      <c r="AA2611" s="1" t="s">
        <v>1173</v>
      </c>
      <c r="AB2611" s="1">
        <v>60123</v>
      </c>
      <c r="AD2611" s="1" t="s">
        <v>22249</v>
      </c>
      <c r="AE2611" s="1" t="s">
        <v>22250</v>
      </c>
      <c r="AF2611" s="1">
        <v>1979</v>
      </c>
      <c r="AG2611" s="1" t="s">
        <v>204</v>
      </c>
      <c r="AH2611" s="1" t="s">
        <v>1175</v>
      </c>
      <c r="AI2611" s="1" t="s">
        <v>665</v>
      </c>
      <c r="AJ2611" s="1" t="s">
        <v>1175</v>
      </c>
      <c r="AK2611" s="1" t="s">
        <v>9373</v>
      </c>
      <c r="AL2611" s="1">
        <v>6</v>
      </c>
      <c r="AM2611" s="1">
        <v>2</v>
      </c>
      <c r="AN2611" s="1">
        <v>2</v>
      </c>
      <c r="AO2611" s="1">
        <v>0</v>
      </c>
      <c r="AP2611" s="1" t="s">
        <v>209</v>
      </c>
      <c r="AQ2611" s="1">
        <v>0</v>
      </c>
      <c r="AR2611" s="1" t="s">
        <v>210</v>
      </c>
      <c r="AS2611" s="1" t="s">
        <v>204</v>
      </c>
      <c r="AT2611" s="1" t="s">
        <v>211</v>
      </c>
      <c r="AU2611" s="1">
        <v>2</v>
      </c>
      <c r="AW2611" s="1" t="s">
        <v>204</v>
      </c>
      <c r="AX2611" s="1" t="s">
        <v>212</v>
      </c>
      <c r="AZ2611" s="1">
        <v>2814.18</v>
      </c>
      <c r="BA2611" s="1">
        <v>2013</v>
      </c>
      <c r="BB2611" s="1" t="s">
        <v>2694</v>
      </c>
      <c r="BE2611" s="1">
        <v>2254</v>
      </c>
      <c r="BF2611" s="1">
        <v>6</v>
      </c>
      <c r="BG2611" s="1">
        <v>0</v>
      </c>
      <c r="BL2611" s="1">
        <v>372</v>
      </c>
      <c r="BM2611" s="1" t="s">
        <v>204</v>
      </c>
      <c r="BN2611" s="1" t="s">
        <v>213</v>
      </c>
      <c r="BP2611" s="1" t="s">
        <v>204</v>
      </c>
      <c r="BR2611" s="1" t="str">
        <f>"0610378149"</f>
        <v>0610378149</v>
      </c>
      <c r="BT2611" s="1" t="s">
        <v>22251</v>
      </c>
      <c r="BU2611" s="1" t="s">
        <v>5757</v>
      </c>
      <c r="BV2611" s="1" t="s">
        <v>1487</v>
      </c>
      <c r="BW2611" s="1" t="s">
        <v>1488</v>
      </c>
      <c r="BX2611" s="1">
        <v>46</v>
      </c>
      <c r="BY2611" s="1">
        <v>46</v>
      </c>
      <c r="BZ2611" s="1">
        <v>46</v>
      </c>
      <c r="CB2611" s="1" t="str">
        <f>"12"</f>
        <v>12</v>
      </c>
      <c r="CC2611" s="1" t="str">
        <f>"0"</f>
        <v>0</v>
      </c>
      <c r="CD2611" s="1">
        <v>35</v>
      </c>
      <c r="CE2611" s="1">
        <v>0</v>
      </c>
      <c r="CG2611" s="1" t="s">
        <v>3363</v>
      </c>
      <c r="CH2611" s="1" t="s">
        <v>219</v>
      </c>
      <c r="CI2611" s="1" t="s">
        <v>220</v>
      </c>
      <c r="CK2611" s="1" t="s">
        <v>437</v>
      </c>
      <c r="CL2611" s="1" t="s">
        <v>219</v>
      </c>
      <c r="CM2611" s="1" t="s">
        <v>220</v>
      </c>
      <c r="CO2611" s="1" t="s">
        <v>489</v>
      </c>
      <c r="CP2611" s="1" t="s">
        <v>219</v>
      </c>
      <c r="CQ2611" s="1" t="s">
        <v>220</v>
      </c>
      <c r="CR2611" s="1" t="s">
        <v>210</v>
      </c>
      <c r="CS2611" s="1" t="s">
        <v>378</v>
      </c>
      <c r="CT2611" s="1" t="s">
        <v>219</v>
      </c>
      <c r="CU2611" s="1" t="s">
        <v>220</v>
      </c>
      <c r="CX2611" s="1" t="s">
        <v>224</v>
      </c>
      <c r="DB2611" s="1" t="s">
        <v>224</v>
      </c>
      <c r="DE2611" s="1" t="s">
        <v>5519</v>
      </c>
      <c r="DF2611" s="1" t="s">
        <v>219</v>
      </c>
      <c r="DG2611" s="1" t="s">
        <v>342</v>
      </c>
      <c r="DJ2611" s="1" t="s">
        <v>224</v>
      </c>
      <c r="DM2611" s="1" t="s">
        <v>464</v>
      </c>
      <c r="DR2611" s="1" t="s">
        <v>5191</v>
      </c>
      <c r="DS2611" s="1" t="s">
        <v>277</v>
      </c>
      <c r="DT2611" s="1" t="s">
        <v>220</v>
      </c>
      <c r="DW2611" s="1" t="s">
        <v>230</v>
      </c>
      <c r="EA2611" s="1" t="s">
        <v>230</v>
      </c>
      <c r="EE2611" s="1" t="s">
        <v>230</v>
      </c>
      <c r="EI2611" s="1" t="s">
        <v>230</v>
      </c>
      <c r="EL2611" s="1" t="s">
        <v>231</v>
      </c>
      <c r="EM2611" s="1" t="s">
        <v>319</v>
      </c>
      <c r="EN2611" s="1" t="s">
        <v>282</v>
      </c>
      <c r="EO2611" s="1" t="s">
        <v>234</v>
      </c>
      <c r="EP2611" s="1" t="s">
        <v>22252</v>
      </c>
      <c r="ER2611" s="1" t="s">
        <v>210</v>
      </c>
      <c r="ES2611" s="1" t="s">
        <v>545</v>
      </c>
      <c r="EV2611" s="1" t="s">
        <v>240</v>
      </c>
      <c r="EW2611" s="1" t="s">
        <v>22253</v>
      </c>
      <c r="EZ2611" s="1" t="s">
        <v>464</v>
      </c>
      <c r="FB2611" s="1" t="s">
        <v>289</v>
      </c>
      <c r="FD2611" s="1" t="s">
        <v>736</v>
      </c>
      <c r="FE2611" s="1" t="s">
        <v>247</v>
      </c>
      <c r="FF2611" s="1" t="s">
        <v>248</v>
      </c>
      <c r="FH2611" s="1" t="s">
        <v>249</v>
      </c>
      <c r="FI2611" s="1" t="s">
        <v>473</v>
      </c>
      <c r="FL2611" s="1" t="s">
        <v>292</v>
      </c>
      <c r="FM2611" s="1" t="s">
        <v>252</v>
      </c>
      <c r="FN2611" s="1" t="s">
        <v>213</v>
      </c>
      <c r="FO2611" s="1" t="s">
        <v>213</v>
      </c>
      <c r="FQ2611" s="1" t="s">
        <v>582</v>
      </c>
      <c r="FR2611" s="1" t="s">
        <v>210</v>
      </c>
      <c r="FS2611" s="1" t="s">
        <v>15022</v>
      </c>
      <c r="FT2611" s="1" t="s">
        <v>584</v>
      </c>
      <c r="FU2611" s="1" t="s">
        <v>204</v>
      </c>
      <c r="FW2611" s="1" t="s">
        <v>585</v>
      </c>
      <c r="FX2611" s="1">
        <v>6026</v>
      </c>
      <c r="FY2611" s="1" t="s">
        <v>1223</v>
      </c>
      <c r="FZ2611" s="1" t="s">
        <v>15023</v>
      </c>
      <c r="GA2611" s="1">
        <v>62750</v>
      </c>
      <c r="GB2611" s="1" t="s">
        <v>15024</v>
      </c>
      <c r="GE2611" s="1" t="s">
        <v>210</v>
      </c>
      <c r="GI2611" s="1" t="s">
        <v>213</v>
      </c>
      <c r="GJ2611" s="1" t="s">
        <v>260</v>
      </c>
      <c r="GK2611" s="1" t="s">
        <v>210</v>
      </c>
      <c r="GL2611" s="2">
        <v>42119</v>
      </c>
      <c r="GM2611" s="1" t="s">
        <v>22254</v>
      </c>
    </row>
    <row r="2612" spans="1:195">
      <c r="A2612" s="1">
        <v>147000</v>
      </c>
      <c r="B2612" s="1" t="s">
        <v>195</v>
      </c>
      <c r="C2612" s="1" t="str">
        <f>"08839649"</f>
        <v>08839649</v>
      </c>
      <c r="D2612" s="1" t="s">
        <v>196</v>
      </c>
      <c r="F2612" s="1" t="str">
        <f>"540"</f>
        <v>540</v>
      </c>
      <c r="G2612" s="2">
        <v>42051</v>
      </c>
      <c r="H2612" s="1">
        <v>149500</v>
      </c>
      <c r="I2612" s="1">
        <v>149500</v>
      </c>
      <c r="J2612" s="1">
        <v>147000</v>
      </c>
      <c r="K2612" s="2">
        <v>42051</v>
      </c>
      <c r="L2612" s="1">
        <v>3</v>
      </c>
      <c r="M2612" s="2">
        <v>42053</v>
      </c>
      <c r="N2612" s="1">
        <v>3</v>
      </c>
      <c r="O2612" s="2">
        <v>42053</v>
      </c>
      <c r="P2612" s="1">
        <v>23156</v>
      </c>
      <c r="Q2612" s="1" t="s">
        <v>423</v>
      </c>
      <c r="R2612" s="2">
        <v>42087</v>
      </c>
      <c r="S2612" s="1">
        <v>243604</v>
      </c>
      <c r="T2612" s="1">
        <v>1100</v>
      </c>
      <c r="U2612" s="1">
        <v>469</v>
      </c>
      <c r="V2612" s="1" t="s">
        <v>20303</v>
      </c>
      <c r="W2612" s="1" t="s">
        <v>264</v>
      </c>
      <c r="X2612" s="1">
        <v>1</v>
      </c>
      <c r="Y2612" s="1">
        <v>6</v>
      </c>
      <c r="Z2612" s="1" t="s">
        <v>200</v>
      </c>
      <c r="AA2612" s="1" t="s">
        <v>921</v>
      </c>
      <c r="AB2612" s="1">
        <v>60563</v>
      </c>
      <c r="AE2612" s="1" t="s">
        <v>22255</v>
      </c>
      <c r="AF2612" s="1">
        <v>1989</v>
      </c>
      <c r="AG2612" s="1" t="s">
        <v>204</v>
      </c>
      <c r="AH2612" s="1" t="s">
        <v>924</v>
      </c>
      <c r="AI2612" s="1" t="s">
        <v>206</v>
      </c>
      <c r="AJ2612" s="1" t="s">
        <v>924</v>
      </c>
      <c r="AL2612" s="1">
        <v>5</v>
      </c>
      <c r="AM2612" s="1">
        <v>2</v>
      </c>
      <c r="AN2612" s="1">
        <v>1</v>
      </c>
      <c r="AO2612" s="1">
        <v>1</v>
      </c>
      <c r="AP2612" s="1" t="s">
        <v>210</v>
      </c>
      <c r="AQ2612" s="1">
        <v>0</v>
      </c>
      <c r="AR2612" s="1" t="s">
        <v>210</v>
      </c>
      <c r="AT2612" s="1" t="s">
        <v>211</v>
      </c>
      <c r="AU2612" s="1">
        <v>1</v>
      </c>
      <c r="AW2612" s="1" t="s">
        <v>204</v>
      </c>
      <c r="AX2612" s="1" t="s">
        <v>22256</v>
      </c>
      <c r="AZ2612" s="1">
        <v>2969</v>
      </c>
      <c r="BA2612" s="1">
        <v>2013</v>
      </c>
      <c r="BE2612" s="1">
        <v>1121</v>
      </c>
      <c r="BF2612" s="1">
        <v>1</v>
      </c>
      <c r="BG2612" s="1">
        <v>10</v>
      </c>
      <c r="BJ2612" s="1">
        <v>100</v>
      </c>
      <c r="BL2612" s="1">
        <v>200</v>
      </c>
      <c r="BM2612" s="1" t="s">
        <v>204</v>
      </c>
      <c r="BN2612" s="1" t="s">
        <v>213</v>
      </c>
      <c r="BO2612" s="1">
        <v>30</v>
      </c>
      <c r="BP2612" s="1" t="s">
        <v>204</v>
      </c>
      <c r="BR2612" s="1" t="str">
        <f>"0714212016"</f>
        <v>0714212016</v>
      </c>
      <c r="BT2612" s="1" t="s">
        <v>22257</v>
      </c>
      <c r="BU2612" s="1" t="s">
        <v>2823</v>
      </c>
      <c r="BV2612" s="1" t="s">
        <v>2824</v>
      </c>
      <c r="BW2612" s="1" t="s">
        <v>2825</v>
      </c>
      <c r="BX2612" s="1">
        <v>203</v>
      </c>
      <c r="BY2612" s="1">
        <v>203</v>
      </c>
      <c r="BZ2612" s="1">
        <v>203</v>
      </c>
      <c r="CB2612" s="1" t="str">
        <f t="shared" ref="CB2612:CC2612" si="2001">""</f>
        <v/>
      </c>
      <c r="CC2612" s="1" t="str">
        <f t="shared" si="2001"/>
        <v/>
      </c>
      <c r="CG2612" s="1" t="s">
        <v>2511</v>
      </c>
      <c r="CH2612" s="1" t="s">
        <v>219</v>
      </c>
      <c r="CI2612" s="1" t="s">
        <v>229</v>
      </c>
      <c r="CJ2612" s="1" t="s">
        <v>343</v>
      </c>
      <c r="CK2612" s="1" t="s">
        <v>461</v>
      </c>
      <c r="CL2612" s="1" t="s">
        <v>277</v>
      </c>
      <c r="CM2612" s="1" t="s">
        <v>220</v>
      </c>
      <c r="CO2612" s="1" t="s">
        <v>629</v>
      </c>
      <c r="CP2612" s="1" t="s">
        <v>219</v>
      </c>
      <c r="CS2612" s="1" t="s">
        <v>465</v>
      </c>
      <c r="CT2612" s="1" t="s">
        <v>277</v>
      </c>
      <c r="CU2612" s="1" t="s">
        <v>220</v>
      </c>
      <c r="CX2612" s="1" t="s">
        <v>224</v>
      </c>
      <c r="DB2612" s="1" t="s">
        <v>224</v>
      </c>
      <c r="DE2612" s="1" t="s">
        <v>1046</v>
      </c>
      <c r="DF2612" s="1" t="s">
        <v>219</v>
      </c>
      <c r="DG2612" s="1" t="s">
        <v>226</v>
      </c>
      <c r="DJ2612" s="1" t="s">
        <v>224</v>
      </c>
      <c r="DS2612" s="1" t="s">
        <v>230</v>
      </c>
      <c r="DW2612" s="1" t="s">
        <v>230</v>
      </c>
      <c r="EA2612" s="1" t="s">
        <v>230</v>
      </c>
      <c r="EE2612" s="1" t="s">
        <v>230</v>
      </c>
      <c r="EI2612" s="1" t="s">
        <v>230</v>
      </c>
      <c r="EL2612" s="1" t="s">
        <v>542</v>
      </c>
      <c r="EM2612" s="1" t="s">
        <v>232</v>
      </c>
      <c r="EN2612" s="1" t="s">
        <v>282</v>
      </c>
      <c r="EO2612" s="1" t="s">
        <v>234</v>
      </c>
      <c r="ER2612" s="1" t="s">
        <v>210</v>
      </c>
      <c r="ES2612" s="1" t="s">
        <v>322</v>
      </c>
      <c r="EU2612" s="1" t="s">
        <v>239</v>
      </c>
      <c r="EV2612" s="1" t="s">
        <v>240</v>
      </c>
      <c r="EW2612" s="1" t="s">
        <v>937</v>
      </c>
      <c r="EY2612" s="1" t="s">
        <v>441</v>
      </c>
      <c r="EZ2612" s="1" t="s">
        <v>287</v>
      </c>
      <c r="FD2612" s="1" t="s">
        <v>246</v>
      </c>
      <c r="FE2612" s="1" t="s">
        <v>651</v>
      </c>
      <c r="FF2612" s="1" t="s">
        <v>248</v>
      </c>
      <c r="FH2612" s="1" t="s">
        <v>550</v>
      </c>
      <c r="FL2612" s="1" t="s">
        <v>358</v>
      </c>
      <c r="FM2612" s="1" t="s">
        <v>252</v>
      </c>
      <c r="FN2612" s="1" t="s">
        <v>213</v>
      </c>
      <c r="FO2612" s="1" t="s">
        <v>213</v>
      </c>
      <c r="FQ2612" s="1" t="s">
        <v>569</v>
      </c>
      <c r="FR2612" s="1" t="s">
        <v>210</v>
      </c>
      <c r="FS2612" s="1" t="s">
        <v>22258</v>
      </c>
      <c r="FT2612" s="1" t="s">
        <v>362</v>
      </c>
      <c r="FU2612" s="1" t="s">
        <v>213</v>
      </c>
      <c r="FW2612" s="1" t="s">
        <v>9027</v>
      </c>
      <c r="FX2612" s="1">
        <v>25666</v>
      </c>
      <c r="FY2612" s="1" t="s">
        <v>6738</v>
      </c>
      <c r="FZ2612" s="1" t="s">
        <v>22259</v>
      </c>
      <c r="GA2612" s="1">
        <v>259416</v>
      </c>
      <c r="GB2612" s="1" t="s">
        <v>22260</v>
      </c>
      <c r="GC2612" s="1">
        <v>242043</v>
      </c>
      <c r="GE2612" s="1" t="s">
        <v>210</v>
      </c>
      <c r="GI2612" s="1" t="s">
        <v>213</v>
      </c>
      <c r="GJ2612" s="1" t="s">
        <v>260</v>
      </c>
      <c r="GK2612" s="1" t="s">
        <v>210</v>
      </c>
      <c r="GL2612" s="2">
        <v>42087</v>
      </c>
      <c r="GM2612" s="1" t="s">
        <v>22261</v>
      </c>
    </row>
    <row r="2613" spans="1:195">
      <c r="A2613" s="1">
        <v>210000</v>
      </c>
      <c r="B2613" s="1" t="s">
        <v>195</v>
      </c>
      <c r="C2613" s="1" t="str">
        <f>"08841915"</f>
        <v>08841915</v>
      </c>
      <c r="D2613" s="1" t="s">
        <v>196</v>
      </c>
      <c r="F2613" s="1" t="str">
        <f>"562"</f>
        <v>562</v>
      </c>
      <c r="G2613" s="2">
        <v>42054</v>
      </c>
      <c r="H2613" s="1">
        <v>224900</v>
      </c>
      <c r="I2613" s="1">
        <v>224900</v>
      </c>
      <c r="J2613" s="1">
        <v>210000</v>
      </c>
      <c r="K2613" s="2">
        <v>42054</v>
      </c>
      <c r="L2613" s="1">
        <v>7</v>
      </c>
      <c r="M2613" s="2">
        <v>42060</v>
      </c>
      <c r="N2613" s="1">
        <v>7</v>
      </c>
      <c r="O2613" s="2">
        <v>42060</v>
      </c>
      <c r="P2613" s="1">
        <v>24093</v>
      </c>
      <c r="Q2613" s="1" t="s">
        <v>197</v>
      </c>
      <c r="R2613" s="2">
        <v>42122</v>
      </c>
      <c r="S2613" s="1">
        <v>232702</v>
      </c>
      <c r="U2613" s="1">
        <v>8027</v>
      </c>
      <c r="V2613" s="1" t="s">
        <v>5552</v>
      </c>
      <c r="W2613" s="1" t="s">
        <v>264</v>
      </c>
      <c r="Y2613" s="1">
        <v>4</v>
      </c>
      <c r="Z2613" s="1" t="s">
        <v>249</v>
      </c>
      <c r="AA2613" s="1" t="s">
        <v>899</v>
      </c>
      <c r="AB2613" s="1">
        <v>60561</v>
      </c>
      <c r="AD2613" s="1" t="s">
        <v>6553</v>
      </c>
      <c r="AE2613" s="1" t="s">
        <v>22262</v>
      </c>
      <c r="AF2613" s="1">
        <v>1997</v>
      </c>
      <c r="AG2613" s="1" t="s">
        <v>204</v>
      </c>
      <c r="AH2613" s="1" t="s">
        <v>902</v>
      </c>
      <c r="AI2613" s="1" t="s">
        <v>206</v>
      </c>
      <c r="AJ2613" s="1" t="s">
        <v>903</v>
      </c>
      <c r="AK2613" s="1" t="s">
        <v>22263</v>
      </c>
      <c r="AL2613" s="1">
        <v>7</v>
      </c>
      <c r="AM2613" s="1">
        <v>2</v>
      </c>
      <c r="AN2613" s="1">
        <v>2</v>
      </c>
      <c r="AO2613" s="1">
        <v>1</v>
      </c>
      <c r="AP2613" s="1" t="s">
        <v>209</v>
      </c>
      <c r="AQ2613" s="1">
        <v>0</v>
      </c>
      <c r="AR2613" s="1" t="s">
        <v>1421</v>
      </c>
      <c r="AS2613" s="1" t="s">
        <v>204</v>
      </c>
      <c r="AT2613" s="1" t="s">
        <v>211</v>
      </c>
      <c r="AU2613" s="1">
        <v>2</v>
      </c>
      <c r="AW2613" s="1" t="s">
        <v>204</v>
      </c>
      <c r="AX2613" s="1" t="s">
        <v>212</v>
      </c>
      <c r="AZ2613" s="1">
        <v>4024</v>
      </c>
      <c r="BA2613" s="1">
        <v>2013</v>
      </c>
      <c r="BB2613" s="1" t="s">
        <v>405</v>
      </c>
      <c r="BE2613" s="1">
        <v>1615</v>
      </c>
      <c r="BF2613" s="1">
        <v>1</v>
      </c>
      <c r="BG2613" s="1">
        <v>30</v>
      </c>
      <c r="BL2613" s="1">
        <v>245</v>
      </c>
      <c r="BM2613" s="1" t="s">
        <v>204</v>
      </c>
      <c r="BN2613" s="1" t="s">
        <v>213</v>
      </c>
      <c r="BO2613" s="1">
        <v>0</v>
      </c>
      <c r="BP2613" s="1" t="s">
        <v>204</v>
      </c>
      <c r="BR2613" s="1" t="str">
        <f>"0932114099"</f>
        <v>0932114099</v>
      </c>
      <c r="BT2613" s="1" t="s">
        <v>22264</v>
      </c>
      <c r="BU2613" s="1" t="s">
        <v>3998</v>
      </c>
      <c r="BV2613" s="1" t="s">
        <v>3999</v>
      </c>
      <c r="BW2613" s="1" t="s">
        <v>3099</v>
      </c>
      <c r="BX2613" s="1">
        <v>66</v>
      </c>
      <c r="BY2613" s="1">
        <v>66</v>
      </c>
      <c r="BZ2613" s="1">
        <v>99</v>
      </c>
      <c r="CB2613" s="1" t="str">
        <f t="shared" ref="CB2613:CC2613" si="2002">""</f>
        <v/>
      </c>
      <c r="CC2613" s="1" t="str">
        <f t="shared" si="2002"/>
        <v/>
      </c>
      <c r="CG2613" s="1" t="s">
        <v>1803</v>
      </c>
      <c r="CH2613" s="1" t="s">
        <v>219</v>
      </c>
      <c r="CI2613" s="1" t="s">
        <v>220</v>
      </c>
      <c r="CJ2613" s="1" t="s">
        <v>343</v>
      </c>
      <c r="CK2613" s="1" t="s">
        <v>1045</v>
      </c>
      <c r="CL2613" s="1" t="s">
        <v>277</v>
      </c>
      <c r="CM2613" s="1" t="s">
        <v>220</v>
      </c>
      <c r="CN2613" s="1" t="s">
        <v>343</v>
      </c>
      <c r="CO2613" s="1" t="s">
        <v>629</v>
      </c>
      <c r="CP2613" s="1" t="s">
        <v>219</v>
      </c>
      <c r="CQ2613" s="1" t="s">
        <v>220</v>
      </c>
      <c r="CR2613" s="1" t="s">
        <v>343</v>
      </c>
      <c r="CS2613" s="1" t="s">
        <v>821</v>
      </c>
      <c r="CT2613" s="1" t="s">
        <v>277</v>
      </c>
      <c r="CU2613" s="1" t="s">
        <v>220</v>
      </c>
      <c r="CV2613" s="1" t="s">
        <v>343</v>
      </c>
      <c r="CX2613" s="1" t="s">
        <v>224</v>
      </c>
      <c r="DB2613" s="1" t="s">
        <v>224</v>
      </c>
      <c r="DE2613" s="1" t="s">
        <v>538</v>
      </c>
      <c r="DF2613" s="1" t="s">
        <v>219</v>
      </c>
      <c r="DG2613" s="1" t="s">
        <v>342</v>
      </c>
      <c r="DH2613" s="1" t="s">
        <v>343</v>
      </c>
      <c r="DI2613" s="1" t="s">
        <v>378</v>
      </c>
      <c r="DJ2613" s="1" t="s">
        <v>822</v>
      </c>
      <c r="DK2613" s="1" t="s">
        <v>220</v>
      </c>
      <c r="DL2613" s="1" t="s">
        <v>343</v>
      </c>
      <c r="DM2613" s="1" t="s">
        <v>464</v>
      </c>
      <c r="DR2613" s="1" t="s">
        <v>9821</v>
      </c>
      <c r="DS2613" s="1" t="s">
        <v>277</v>
      </c>
      <c r="DT2613" s="1" t="s">
        <v>220</v>
      </c>
      <c r="DU2613" s="1" t="s">
        <v>343</v>
      </c>
      <c r="DW2613" s="1" t="s">
        <v>230</v>
      </c>
      <c r="EA2613" s="1" t="s">
        <v>230</v>
      </c>
      <c r="EE2613" s="1" t="s">
        <v>230</v>
      </c>
      <c r="EI2613" s="1" t="s">
        <v>230</v>
      </c>
      <c r="EL2613" s="1" t="s">
        <v>670</v>
      </c>
      <c r="EM2613" s="1" t="s">
        <v>232</v>
      </c>
      <c r="EN2613" s="1" t="s">
        <v>282</v>
      </c>
      <c r="EO2613" s="1" t="s">
        <v>234</v>
      </c>
      <c r="EP2613" s="1" t="s">
        <v>543</v>
      </c>
      <c r="EQ2613" s="1" t="s">
        <v>492</v>
      </c>
      <c r="ER2613" s="1" t="s">
        <v>544</v>
      </c>
      <c r="ES2613" s="1" t="s">
        <v>4621</v>
      </c>
      <c r="ET2613" s="1" t="s">
        <v>1404</v>
      </c>
      <c r="EV2613" s="1" t="s">
        <v>240</v>
      </c>
      <c r="EW2613" s="1" t="s">
        <v>353</v>
      </c>
      <c r="EY2613" s="1" t="s">
        <v>242</v>
      </c>
      <c r="EZ2613" s="1" t="s">
        <v>464</v>
      </c>
      <c r="FB2613" s="1" t="s">
        <v>289</v>
      </c>
      <c r="FD2613" s="1" t="s">
        <v>495</v>
      </c>
      <c r="FE2613" s="1" t="s">
        <v>247</v>
      </c>
      <c r="FF2613" s="1" t="s">
        <v>248</v>
      </c>
      <c r="FH2613" s="1" t="s">
        <v>550</v>
      </c>
      <c r="FI2613" s="1" t="s">
        <v>473</v>
      </c>
      <c r="FL2613" s="1" t="s">
        <v>358</v>
      </c>
      <c r="FM2613" s="1" t="s">
        <v>252</v>
      </c>
      <c r="FN2613" s="1" t="s">
        <v>213</v>
      </c>
      <c r="FO2613" s="1" t="s">
        <v>213</v>
      </c>
      <c r="FQ2613" s="1" t="s">
        <v>329</v>
      </c>
      <c r="FR2613" s="1" t="s">
        <v>210</v>
      </c>
      <c r="FS2613" s="1" t="s">
        <v>22265</v>
      </c>
      <c r="FT2613" s="1" t="s">
        <v>22266</v>
      </c>
      <c r="FU2613" s="1" t="s">
        <v>204</v>
      </c>
      <c r="FW2613" s="1" t="s">
        <v>915</v>
      </c>
      <c r="FX2613" s="1">
        <v>22205</v>
      </c>
      <c r="FY2613" s="1" t="s">
        <v>2484</v>
      </c>
      <c r="FZ2613" s="1" t="s">
        <v>6562</v>
      </c>
      <c r="GA2613" s="1">
        <v>216705</v>
      </c>
      <c r="GB2613" s="1" t="s">
        <v>6563</v>
      </c>
      <c r="GC2613" s="1">
        <v>224965</v>
      </c>
      <c r="GE2613" s="1" t="s">
        <v>480</v>
      </c>
      <c r="GI2613" s="1" t="s">
        <v>213</v>
      </c>
      <c r="GJ2613" s="1" t="s">
        <v>260</v>
      </c>
      <c r="GK2613" s="1" t="s">
        <v>210</v>
      </c>
      <c r="GL2613" s="2">
        <v>42123</v>
      </c>
      <c r="GM2613" s="1" t="s">
        <v>22267</v>
      </c>
    </row>
    <row r="2614" spans="1:195">
      <c r="A2614" s="1">
        <v>102000</v>
      </c>
      <c r="B2614" s="1" t="s">
        <v>195</v>
      </c>
      <c r="C2614" s="1" t="str">
        <f>"08840250"</f>
        <v>08840250</v>
      </c>
      <c r="D2614" s="1" t="s">
        <v>196</v>
      </c>
      <c r="F2614" s="1" t="str">
        <f>"31"</f>
        <v>31</v>
      </c>
      <c r="G2614" s="2">
        <v>42052</v>
      </c>
      <c r="H2614" s="1">
        <v>117500</v>
      </c>
      <c r="I2614" s="1">
        <v>117500</v>
      </c>
      <c r="J2614" s="1">
        <v>102000</v>
      </c>
      <c r="K2614" s="2">
        <v>42052</v>
      </c>
      <c r="L2614" s="1">
        <v>15</v>
      </c>
      <c r="M2614" s="2">
        <v>42066</v>
      </c>
      <c r="N2614" s="1">
        <v>15</v>
      </c>
      <c r="O2614" s="2">
        <v>42066</v>
      </c>
      <c r="P2614" s="1">
        <v>2644</v>
      </c>
      <c r="Q2614" s="1" t="s">
        <v>197</v>
      </c>
      <c r="R2614" s="2">
        <v>42089</v>
      </c>
      <c r="S2614" s="1">
        <v>16586</v>
      </c>
      <c r="U2614" s="1">
        <v>930</v>
      </c>
      <c r="V2614" s="1" t="s">
        <v>3080</v>
      </c>
      <c r="W2614" s="1" t="s">
        <v>264</v>
      </c>
      <c r="X2614" s="1">
        <v>301</v>
      </c>
      <c r="Y2614" s="1">
        <v>48</v>
      </c>
      <c r="Z2614" s="1" t="s">
        <v>370</v>
      </c>
      <c r="AA2614" s="1" t="s">
        <v>1057</v>
      </c>
      <c r="AB2614" s="1">
        <v>60031</v>
      </c>
      <c r="AE2614" s="1" t="s">
        <v>22268</v>
      </c>
      <c r="AF2614" s="1">
        <v>1978</v>
      </c>
      <c r="AG2614" s="1" t="s">
        <v>204</v>
      </c>
      <c r="AH2614" s="1" t="s">
        <v>1060</v>
      </c>
      <c r="AI2614" s="1" t="s">
        <v>509</v>
      </c>
      <c r="AJ2614" s="1" t="s">
        <v>1061</v>
      </c>
      <c r="AL2614" s="1">
        <v>5</v>
      </c>
      <c r="AM2614" s="1">
        <v>2</v>
      </c>
      <c r="AN2614" s="1">
        <v>2</v>
      </c>
      <c r="AO2614" s="1">
        <v>0</v>
      </c>
      <c r="AP2614" s="1" t="s">
        <v>209</v>
      </c>
      <c r="AR2614" s="1" t="s">
        <v>210</v>
      </c>
      <c r="AT2614" s="1" t="s">
        <v>211</v>
      </c>
      <c r="AU2614" s="1">
        <v>1</v>
      </c>
      <c r="AW2614" s="1" t="s">
        <v>204</v>
      </c>
      <c r="AX2614" s="1" t="s">
        <v>579</v>
      </c>
      <c r="AZ2614" s="1">
        <v>2418.02</v>
      </c>
      <c r="BA2614" s="1">
        <v>2013</v>
      </c>
      <c r="BE2614" s="1">
        <v>1530</v>
      </c>
      <c r="BF2614" s="1">
        <v>3</v>
      </c>
      <c r="BG2614" s="1">
        <v>0</v>
      </c>
      <c r="BL2614" s="1">
        <v>429</v>
      </c>
      <c r="BM2614" s="1" t="s">
        <v>204</v>
      </c>
      <c r="BN2614" s="1" t="s">
        <v>213</v>
      </c>
      <c r="BO2614" s="1">
        <v>999</v>
      </c>
      <c r="BP2614" s="1" t="s">
        <v>204</v>
      </c>
      <c r="BR2614" s="1" t="str">
        <f>"07284060250000"</f>
        <v>07284060250000</v>
      </c>
      <c r="BT2614" s="1" t="s">
        <v>22269</v>
      </c>
      <c r="BU2614" s="1" t="s">
        <v>1064</v>
      </c>
      <c r="BV2614" s="1" t="s">
        <v>1065</v>
      </c>
      <c r="BW2614" s="1" t="s">
        <v>1066</v>
      </c>
      <c r="BX2614" s="1">
        <v>50</v>
      </c>
      <c r="BY2614" s="1">
        <v>50</v>
      </c>
      <c r="BZ2614" s="1">
        <v>121</v>
      </c>
      <c r="CB2614" s="1" t="str">
        <f t="shared" ref="CB2614:CC2614" si="2003">""</f>
        <v/>
      </c>
      <c r="CC2614" s="1" t="str">
        <f t="shared" si="2003"/>
        <v/>
      </c>
      <c r="CG2614" s="1" t="s">
        <v>22270</v>
      </c>
      <c r="CH2614" s="1" t="s">
        <v>219</v>
      </c>
      <c r="CI2614" s="1" t="s">
        <v>220</v>
      </c>
      <c r="CK2614" s="1" t="s">
        <v>1004</v>
      </c>
      <c r="CL2614" s="1" t="s">
        <v>219</v>
      </c>
      <c r="CM2614" s="1" t="s">
        <v>220</v>
      </c>
      <c r="CO2614" s="1" t="s">
        <v>461</v>
      </c>
      <c r="CP2614" s="1" t="s">
        <v>219</v>
      </c>
      <c r="CQ2614" s="1" t="s">
        <v>220</v>
      </c>
      <c r="CS2614" s="1" t="s">
        <v>539</v>
      </c>
      <c r="CT2614" s="1" t="s">
        <v>219</v>
      </c>
      <c r="CU2614" s="1" t="s">
        <v>220</v>
      </c>
      <c r="CX2614" s="1" t="s">
        <v>224</v>
      </c>
      <c r="DB2614" s="1" t="s">
        <v>224</v>
      </c>
      <c r="DE2614" s="1" t="s">
        <v>379</v>
      </c>
      <c r="DF2614" s="1" t="s">
        <v>219</v>
      </c>
      <c r="DG2614" s="1" t="s">
        <v>342</v>
      </c>
      <c r="DJ2614" s="1" t="s">
        <v>224</v>
      </c>
      <c r="DS2614" s="1" t="s">
        <v>230</v>
      </c>
      <c r="DW2614" s="1" t="s">
        <v>230</v>
      </c>
      <c r="EA2614" s="1" t="s">
        <v>230</v>
      </c>
      <c r="EE2614" s="1" t="s">
        <v>230</v>
      </c>
      <c r="EI2614" s="1" t="s">
        <v>230</v>
      </c>
      <c r="EL2614" s="1" t="s">
        <v>231</v>
      </c>
      <c r="EM2614" s="1" t="s">
        <v>319</v>
      </c>
      <c r="EN2614" s="1" t="s">
        <v>282</v>
      </c>
      <c r="EO2614" s="1" t="s">
        <v>234</v>
      </c>
      <c r="EP2614" s="1" t="s">
        <v>22271</v>
      </c>
      <c r="ER2614" s="1" t="s">
        <v>210</v>
      </c>
      <c r="ES2614" s="1" t="s">
        <v>493</v>
      </c>
      <c r="EV2614" s="1" t="s">
        <v>352</v>
      </c>
      <c r="EW2614" s="1" t="s">
        <v>20030</v>
      </c>
      <c r="EZ2614" s="1" t="s">
        <v>287</v>
      </c>
      <c r="FA2614" s="1" t="s">
        <v>1048</v>
      </c>
      <c r="FB2614" s="1" t="s">
        <v>244</v>
      </c>
      <c r="FD2614" s="1" t="s">
        <v>246</v>
      </c>
      <c r="FE2614" s="1" t="s">
        <v>247</v>
      </c>
      <c r="FF2614" s="1" t="s">
        <v>248</v>
      </c>
      <c r="FH2614" s="1" t="s">
        <v>249</v>
      </c>
      <c r="FI2614" s="1" t="s">
        <v>250</v>
      </c>
      <c r="FL2614" s="1" t="s">
        <v>292</v>
      </c>
      <c r="FM2614" s="1" t="s">
        <v>252</v>
      </c>
      <c r="FN2614" s="1" t="s">
        <v>213</v>
      </c>
      <c r="FO2614" s="1" t="s">
        <v>213</v>
      </c>
      <c r="FQ2614" s="1" t="s">
        <v>18977</v>
      </c>
      <c r="FR2614" s="1" t="s">
        <v>210</v>
      </c>
      <c r="FS2614" s="1" t="s">
        <v>22272</v>
      </c>
      <c r="FT2614" s="1" t="s">
        <v>362</v>
      </c>
      <c r="FU2614" s="1" t="s">
        <v>204</v>
      </c>
      <c r="FW2614" s="1" t="s">
        <v>2006</v>
      </c>
      <c r="FX2614" s="1">
        <v>25752</v>
      </c>
      <c r="FY2614" s="1" t="s">
        <v>4745</v>
      </c>
      <c r="FZ2614" s="1" t="s">
        <v>21158</v>
      </c>
      <c r="GA2614" s="1">
        <v>17010</v>
      </c>
      <c r="GB2614" s="1" t="s">
        <v>21159</v>
      </c>
      <c r="GE2614" s="1" t="s">
        <v>480</v>
      </c>
      <c r="GI2614" s="1" t="s">
        <v>213</v>
      </c>
      <c r="GJ2614" s="1" t="s">
        <v>260</v>
      </c>
      <c r="GK2614" s="1" t="s">
        <v>4920</v>
      </c>
      <c r="GL2614" s="2">
        <v>42091</v>
      </c>
      <c r="GM2614" s="1" t="s">
        <v>22273</v>
      </c>
    </row>
    <row r="2615" spans="1:195">
      <c r="A2615" s="1">
        <v>321500</v>
      </c>
      <c r="B2615" s="1" t="s">
        <v>195</v>
      </c>
      <c r="C2615" s="1" t="str">
        <f>"08842913"</f>
        <v>08842913</v>
      </c>
      <c r="D2615" s="1" t="s">
        <v>196</v>
      </c>
      <c r="F2615" s="1" t="str">
        <f>"187"</f>
        <v>187</v>
      </c>
      <c r="G2615" s="2">
        <v>42055</v>
      </c>
      <c r="H2615" s="1">
        <v>335000</v>
      </c>
      <c r="I2615" s="1">
        <v>335000</v>
      </c>
      <c r="J2615" s="1">
        <v>321500</v>
      </c>
      <c r="K2615" s="2">
        <v>42055</v>
      </c>
      <c r="L2615" s="1">
        <v>41</v>
      </c>
      <c r="M2615" s="2">
        <v>42095</v>
      </c>
      <c r="N2615" s="1">
        <v>41</v>
      </c>
      <c r="O2615" s="2">
        <v>42095</v>
      </c>
      <c r="P2615" s="1">
        <v>25279</v>
      </c>
      <c r="Q2615" s="1" t="s">
        <v>302</v>
      </c>
      <c r="R2615" s="2">
        <v>42132</v>
      </c>
      <c r="S2615" s="1">
        <v>253689</v>
      </c>
      <c r="U2615" s="1">
        <v>1949</v>
      </c>
      <c r="V2615" s="1" t="s">
        <v>6117</v>
      </c>
      <c r="W2615" s="1" t="s">
        <v>449</v>
      </c>
      <c r="X2615" s="1">
        <v>1949</v>
      </c>
      <c r="Y2615" s="1">
        <v>4</v>
      </c>
      <c r="Z2615" s="1" t="s">
        <v>249</v>
      </c>
      <c r="AA2615" s="1" t="s">
        <v>964</v>
      </c>
      <c r="AB2615" s="1">
        <v>60189</v>
      </c>
      <c r="AD2615" s="1" t="s">
        <v>1354</v>
      </c>
      <c r="AE2615" s="1" t="s">
        <v>22274</v>
      </c>
      <c r="AF2615" s="1">
        <v>1982</v>
      </c>
      <c r="AG2615" s="1" t="s">
        <v>204</v>
      </c>
      <c r="AH2615" s="1" t="s">
        <v>967</v>
      </c>
      <c r="AI2615" s="1" t="s">
        <v>206</v>
      </c>
      <c r="AJ2615" s="1" t="s">
        <v>207</v>
      </c>
      <c r="AK2615" s="1" t="s">
        <v>1088</v>
      </c>
      <c r="AL2615" s="1">
        <v>9</v>
      </c>
      <c r="AM2615" s="1">
        <v>2</v>
      </c>
      <c r="AN2615" s="1">
        <v>2</v>
      </c>
      <c r="AO2615" s="1">
        <v>0</v>
      </c>
      <c r="AP2615" s="1" t="s">
        <v>209</v>
      </c>
      <c r="AQ2615" s="1">
        <v>1</v>
      </c>
      <c r="AR2615" s="1" t="s">
        <v>209</v>
      </c>
      <c r="AS2615" s="1" t="s">
        <v>204</v>
      </c>
      <c r="AT2615" s="1" t="s">
        <v>211</v>
      </c>
      <c r="AU2615" s="1">
        <v>2</v>
      </c>
      <c r="AW2615" s="1" t="s">
        <v>204</v>
      </c>
      <c r="AX2615" s="1" t="s">
        <v>212</v>
      </c>
      <c r="AZ2615" s="1">
        <v>5980</v>
      </c>
      <c r="BA2615" s="1">
        <v>2013</v>
      </c>
      <c r="BB2615" s="1" t="s">
        <v>405</v>
      </c>
      <c r="BE2615" s="1">
        <v>1580</v>
      </c>
      <c r="BF2615" s="1">
        <v>1</v>
      </c>
      <c r="BG2615" s="1">
        <v>30</v>
      </c>
      <c r="BK2615" s="1">
        <v>100</v>
      </c>
      <c r="BL2615" s="1">
        <v>283</v>
      </c>
      <c r="BM2615" s="1" t="s">
        <v>204</v>
      </c>
      <c r="BN2615" s="1" t="s">
        <v>213</v>
      </c>
      <c r="BO2615" s="1">
        <v>999</v>
      </c>
      <c r="BP2615" s="1" t="s">
        <v>204</v>
      </c>
      <c r="BR2615" s="1" t="str">
        <f>"0519207009"</f>
        <v>0519207009</v>
      </c>
      <c r="BT2615" s="1" t="s">
        <v>22275</v>
      </c>
      <c r="BU2615" s="1" t="s">
        <v>1327</v>
      </c>
      <c r="BV2615" s="1" t="s">
        <v>970</v>
      </c>
      <c r="BW2615" s="1" t="s">
        <v>971</v>
      </c>
      <c r="BX2615" s="1">
        <v>200</v>
      </c>
      <c r="BY2615" s="1">
        <v>200</v>
      </c>
      <c r="BZ2615" s="1">
        <v>200</v>
      </c>
      <c r="CB2615" s="1" t="str">
        <f t="shared" ref="CB2615:CC2615" si="2004">""</f>
        <v/>
      </c>
      <c r="CC2615" s="1" t="str">
        <f t="shared" si="2004"/>
        <v/>
      </c>
      <c r="CF2615" s="1" t="s">
        <v>22276</v>
      </c>
      <c r="CG2615" s="1" t="s">
        <v>515</v>
      </c>
      <c r="CH2615" s="1" t="s">
        <v>219</v>
      </c>
      <c r="CI2615" s="1" t="s">
        <v>438</v>
      </c>
      <c r="CJ2615" s="1" t="s">
        <v>2449</v>
      </c>
      <c r="CK2615" s="1" t="s">
        <v>669</v>
      </c>
      <c r="CL2615" s="1" t="s">
        <v>219</v>
      </c>
      <c r="CM2615" s="1" t="s">
        <v>438</v>
      </c>
      <c r="CN2615" s="1" t="s">
        <v>2449</v>
      </c>
      <c r="CO2615" s="1" t="s">
        <v>379</v>
      </c>
      <c r="CP2615" s="1" t="s">
        <v>219</v>
      </c>
      <c r="CQ2615" s="1" t="s">
        <v>438</v>
      </c>
      <c r="CR2615" s="1" t="s">
        <v>2449</v>
      </c>
      <c r="CS2615" s="1" t="s">
        <v>378</v>
      </c>
      <c r="CT2615" s="1" t="s">
        <v>219</v>
      </c>
      <c r="CU2615" s="1" t="s">
        <v>438</v>
      </c>
      <c r="CV2615" s="1" t="s">
        <v>2449</v>
      </c>
      <c r="CW2615" s="1" t="s">
        <v>437</v>
      </c>
      <c r="CX2615" s="1" t="s">
        <v>43</v>
      </c>
      <c r="CY2615" s="1" t="s">
        <v>342</v>
      </c>
      <c r="DB2615" s="1" t="s">
        <v>224</v>
      </c>
      <c r="DE2615" s="1" t="s">
        <v>757</v>
      </c>
      <c r="DF2615" s="1" t="s">
        <v>219</v>
      </c>
      <c r="DG2615" s="1" t="s">
        <v>226</v>
      </c>
      <c r="DH2615" s="1" t="s">
        <v>2449</v>
      </c>
      <c r="DI2615" s="1" t="s">
        <v>437</v>
      </c>
      <c r="DJ2615" s="1" t="s">
        <v>219</v>
      </c>
      <c r="DK2615" s="1" t="s">
        <v>438</v>
      </c>
      <c r="DL2615" s="1" t="s">
        <v>439</v>
      </c>
      <c r="DM2615" s="1" t="s">
        <v>934</v>
      </c>
      <c r="DN2615" s="1" t="s">
        <v>20921</v>
      </c>
      <c r="DR2615" s="1" t="s">
        <v>933</v>
      </c>
      <c r="DS2615" s="1" t="s">
        <v>43</v>
      </c>
      <c r="DT2615" s="1" t="s">
        <v>342</v>
      </c>
      <c r="DV2615" s="1" t="s">
        <v>228</v>
      </c>
      <c r="DW2615" s="1" t="s">
        <v>43</v>
      </c>
      <c r="DX2615" s="1" t="s">
        <v>220</v>
      </c>
      <c r="EA2615" s="1" t="s">
        <v>230</v>
      </c>
      <c r="EE2615" s="1" t="s">
        <v>230</v>
      </c>
      <c r="EI2615" s="1" t="s">
        <v>230</v>
      </c>
      <c r="EL2615" s="1" t="s">
        <v>231</v>
      </c>
      <c r="EM2615" s="1" t="s">
        <v>232</v>
      </c>
      <c r="EN2615" s="1" t="s">
        <v>282</v>
      </c>
      <c r="EO2615" s="1" t="s">
        <v>234</v>
      </c>
      <c r="EP2615" s="1" t="s">
        <v>650</v>
      </c>
      <c r="EQ2615" s="1" t="s">
        <v>1109</v>
      </c>
      <c r="ER2615" s="1" t="s">
        <v>351</v>
      </c>
      <c r="ES2615" s="1" t="s">
        <v>322</v>
      </c>
      <c r="EU2615" s="1" t="s">
        <v>22277</v>
      </c>
      <c r="EW2615" s="1" t="s">
        <v>353</v>
      </c>
      <c r="EZ2615" s="1" t="s">
        <v>22278</v>
      </c>
      <c r="FA2615" s="1" t="s">
        <v>6548</v>
      </c>
      <c r="FB2615" s="1" t="s">
        <v>289</v>
      </c>
      <c r="FD2615" s="1" t="s">
        <v>246</v>
      </c>
      <c r="FE2615" s="1" t="s">
        <v>765</v>
      </c>
      <c r="FF2615" s="1" t="s">
        <v>248</v>
      </c>
      <c r="FG2615" s="1" t="s">
        <v>715</v>
      </c>
      <c r="FH2615" s="1" t="s">
        <v>825</v>
      </c>
      <c r="FI2615" s="1" t="s">
        <v>473</v>
      </c>
      <c r="FJ2615" s="1" t="s">
        <v>197</v>
      </c>
      <c r="FL2615" s="1" t="s">
        <v>358</v>
      </c>
      <c r="FM2615" s="1" t="s">
        <v>252</v>
      </c>
      <c r="FN2615" s="1" t="s">
        <v>213</v>
      </c>
      <c r="FO2615" s="1" t="s">
        <v>213</v>
      </c>
      <c r="FQ2615" s="1" t="s">
        <v>615</v>
      </c>
      <c r="FR2615" s="1" t="s">
        <v>652</v>
      </c>
      <c r="FS2615" s="1" t="s">
        <v>22279</v>
      </c>
      <c r="FT2615" s="1" t="s">
        <v>22280</v>
      </c>
      <c r="FU2615" s="1" t="s">
        <v>204</v>
      </c>
      <c r="FW2615" s="1" t="s">
        <v>256</v>
      </c>
      <c r="FX2615" s="1">
        <v>25163</v>
      </c>
      <c r="FY2615" s="1" t="s">
        <v>257</v>
      </c>
      <c r="FZ2615" s="1" t="s">
        <v>22281</v>
      </c>
      <c r="GA2615" s="1">
        <v>252911</v>
      </c>
      <c r="GB2615" s="1" t="s">
        <v>22282</v>
      </c>
      <c r="GE2615" s="1" t="s">
        <v>1256</v>
      </c>
      <c r="GI2615" s="1" t="s">
        <v>213</v>
      </c>
      <c r="GJ2615" s="1" t="s">
        <v>260</v>
      </c>
      <c r="GK2615" s="1" t="s">
        <v>261</v>
      </c>
      <c r="GL2615" s="2">
        <v>42133</v>
      </c>
      <c r="GM2615" s="1" t="s">
        <v>22283</v>
      </c>
    </row>
    <row r="2616" spans="1:195">
      <c r="A2616" s="1">
        <v>87000</v>
      </c>
      <c r="B2616" s="1" t="s">
        <v>195</v>
      </c>
      <c r="C2616" s="1" t="str">
        <f>"08841009"</f>
        <v>08841009</v>
      </c>
      <c r="D2616" s="1" t="s">
        <v>196</v>
      </c>
      <c r="F2616" s="1" t="str">
        <f>"110"</f>
        <v>110</v>
      </c>
      <c r="G2616" s="2">
        <v>42053</v>
      </c>
      <c r="H2616" s="1">
        <v>92700</v>
      </c>
      <c r="I2616" s="1">
        <v>92700</v>
      </c>
      <c r="J2616" s="1">
        <v>87000</v>
      </c>
      <c r="K2616" s="2">
        <v>42052</v>
      </c>
      <c r="L2616" s="1">
        <v>17</v>
      </c>
      <c r="M2616" s="2">
        <v>42068</v>
      </c>
      <c r="N2616" s="1">
        <v>17</v>
      </c>
      <c r="O2616" s="2">
        <v>42068</v>
      </c>
      <c r="P2616" s="1">
        <v>7032</v>
      </c>
      <c r="Q2616" s="1" t="s">
        <v>302</v>
      </c>
      <c r="R2616" s="2">
        <v>42121</v>
      </c>
      <c r="S2616" s="1">
        <v>70226</v>
      </c>
      <c r="U2616" s="1">
        <v>1308</v>
      </c>
      <c r="V2616" s="1" t="s">
        <v>5858</v>
      </c>
      <c r="W2616" s="1" t="s">
        <v>264</v>
      </c>
      <c r="Y2616" s="1">
        <v>1</v>
      </c>
      <c r="Z2616" s="1" t="s">
        <v>200</v>
      </c>
      <c r="AA2616" s="1" t="s">
        <v>803</v>
      </c>
      <c r="AB2616" s="1">
        <v>60110</v>
      </c>
      <c r="AE2616" s="1" t="s">
        <v>22284</v>
      </c>
      <c r="AF2616" s="1">
        <v>2000</v>
      </c>
      <c r="AG2616" s="1" t="s">
        <v>204</v>
      </c>
      <c r="AH2616" s="1" t="s">
        <v>2557</v>
      </c>
      <c r="AI2616" s="1" t="s">
        <v>665</v>
      </c>
      <c r="AJ2616" s="1" t="s">
        <v>805</v>
      </c>
      <c r="AL2616" s="1">
        <v>5</v>
      </c>
      <c r="AM2616" s="1">
        <v>2</v>
      </c>
      <c r="AN2616" s="1">
        <v>2</v>
      </c>
      <c r="AO2616" s="1">
        <v>1</v>
      </c>
      <c r="AP2616" s="1" t="s">
        <v>209</v>
      </c>
      <c r="AR2616" s="1" t="s">
        <v>210</v>
      </c>
      <c r="AS2616" s="1" t="s">
        <v>204</v>
      </c>
      <c r="AT2616" s="1" t="s">
        <v>211</v>
      </c>
      <c r="AU2616" s="1">
        <v>1</v>
      </c>
      <c r="AW2616" s="1" t="s">
        <v>204</v>
      </c>
      <c r="AX2616" s="1" t="s">
        <v>212</v>
      </c>
      <c r="AZ2616" s="1">
        <v>3135</v>
      </c>
      <c r="BA2616" s="1">
        <v>2013</v>
      </c>
      <c r="BE2616" s="1">
        <v>0</v>
      </c>
      <c r="BF2616" s="1">
        <v>2</v>
      </c>
      <c r="BG2616" s="1">
        <v>0</v>
      </c>
      <c r="BL2616" s="1">
        <v>152</v>
      </c>
      <c r="BM2616" s="1" t="s">
        <v>204</v>
      </c>
      <c r="BN2616" s="1" t="s">
        <v>213</v>
      </c>
      <c r="BO2616" s="1" t="s">
        <v>402</v>
      </c>
      <c r="BP2616" s="1" t="s">
        <v>204</v>
      </c>
      <c r="BR2616" s="1" t="str">
        <f>"0314176036"</f>
        <v>0314176036</v>
      </c>
      <c r="BT2616" s="1" t="s">
        <v>22285</v>
      </c>
      <c r="BX2616" s="1">
        <v>300</v>
      </c>
      <c r="BY2616" s="1">
        <v>300</v>
      </c>
      <c r="BZ2616" s="1">
        <v>300</v>
      </c>
      <c r="CB2616" s="1" t="str">
        <f t="shared" ref="CB2616:CC2616" si="2005">""</f>
        <v/>
      </c>
      <c r="CC2616" s="1" t="str">
        <f t="shared" si="2005"/>
        <v/>
      </c>
      <c r="CG2616" s="1" t="s">
        <v>972</v>
      </c>
      <c r="CH2616" s="1" t="s">
        <v>219</v>
      </c>
      <c r="CK2616" s="1" t="s">
        <v>461</v>
      </c>
      <c r="CL2616" s="1" t="s">
        <v>277</v>
      </c>
      <c r="CO2616" s="1" t="s">
        <v>489</v>
      </c>
      <c r="CP2616" s="1" t="s">
        <v>219</v>
      </c>
      <c r="CS2616" s="1" t="s">
        <v>346</v>
      </c>
      <c r="CT2616" s="1" t="s">
        <v>277</v>
      </c>
      <c r="CX2616" s="1" t="s">
        <v>224</v>
      </c>
      <c r="DB2616" s="1" t="s">
        <v>224</v>
      </c>
      <c r="DE2616" s="1" t="s">
        <v>3034</v>
      </c>
      <c r="DF2616" s="1" t="s">
        <v>219</v>
      </c>
      <c r="DJ2616" s="1" t="s">
        <v>224</v>
      </c>
      <c r="DM2616" s="1" t="s">
        <v>709</v>
      </c>
      <c r="DR2616" s="1" t="s">
        <v>6407</v>
      </c>
      <c r="DS2616" s="1" t="s">
        <v>219</v>
      </c>
      <c r="DW2616" s="1" t="s">
        <v>230</v>
      </c>
      <c r="EA2616" s="1" t="s">
        <v>230</v>
      </c>
      <c r="EE2616" s="1" t="s">
        <v>230</v>
      </c>
      <c r="EI2616" s="1" t="s">
        <v>230</v>
      </c>
      <c r="EL2616" s="1" t="s">
        <v>466</v>
      </c>
      <c r="EM2616" s="1" t="s">
        <v>319</v>
      </c>
      <c r="EN2616" s="1" t="s">
        <v>282</v>
      </c>
      <c r="EO2616" s="1" t="s">
        <v>234</v>
      </c>
      <c r="ER2616" s="1" t="s">
        <v>210</v>
      </c>
      <c r="EW2616" s="1" t="s">
        <v>3471</v>
      </c>
      <c r="EZ2616" s="1" t="s">
        <v>709</v>
      </c>
      <c r="FD2616" s="1" t="s">
        <v>246</v>
      </c>
      <c r="FE2616" s="1" t="s">
        <v>1031</v>
      </c>
      <c r="FF2616" s="1" t="s">
        <v>248</v>
      </c>
      <c r="FH2616" s="1" t="s">
        <v>550</v>
      </c>
      <c r="FL2616" s="1" t="s">
        <v>358</v>
      </c>
      <c r="FM2616" s="1" t="s">
        <v>252</v>
      </c>
      <c r="FN2616" s="1" t="s">
        <v>213</v>
      </c>
      <c r="FO2616" s="1" t="s">
        <v>213</v>
      </c>
      <c r="FQ2616" s="1" t="s">
        <v>2562</v>
      </c>
      <c r="FR2616" s="1" t="s">
        <v>210</v>
      </c>
      <c r="FS2616" s="1" t="s">
        <v>4314</v>
      </c>
      <c r="FT2616" s="1" t="s">
        <v>295</v>
      </c>
      <c r="FU2616" s="1" t="s">
        <v>204</v>
      </c>
      <c r="FW2616" s="1" t="s">
        <v>2563</v>
      </c>
      <c r="FX2616" s="1">
        <v>24093</v>
      </c>
      <c r="FY2616" s="1" t="s">
        <v>2564</v>
      </c>
      <c r="FZ2616" s="1" t="s">
        <v>22286</v>
      </c>
      <c r="GA2616" s="1">
        <v>922096</v>
      </c>
      <c r="GB2616" s="1" t="s">
        <v>22287</v>
      </c>
      <c r="GE2616" s="1" t="s">
        <v>210</v>
      </c>
      <c r="GI2616" s="1" t="s">
        <v>213</v>
      </c>
      <c r="GJ2616" s="1" t="s">
        <v>260</v>
      </c>
      <c r="GK2616" s="1" t="s">
        <v>261</v>
      </c>
      <c r="GL2616" s="2">
        <v>42139</v>
      </c>
      <c r="GM2616" s="1" t="s">
        <v>22288</v>
      </c>
    </row>
    <row r="2617" spans="1:195">
      <c r="A2617" s="1">
        <v>92500</v>
      </c>
      <c r="B2617" s="1" t="s">
        <v>195</v>
      </c>
      <c r="C2617" s="1" t="str">
        <f>"08841962"</f>
        <v>08841962</v>
      </c>
      <c r="D2617" s="1" t="s">
        <v>196</v>
      </c>
      <c r="F2617" s="1" t="str">
        <f>"148"</f>
        <v>148</v>
      </c>
      <c r="G2617" s="2">
        <v>42054</v>
      </c>
      <c r="H2617" s="1">
        <v>99900</v>
      </c>
      <c r="I2617" s="1">
        <v>99900</v>
      </c>
      <c r="J2617" s="1">
        <v>92500</v>
      </c>
      <c r="K2617" s="2">
        <v>42054</v>
      </c>
      <c r="L2617" s="1">
        <v>6</v>
      </c>
      <c r="M2617" s="2">
        <v>42059</v>
      </c>
      <c r="N2617" s="1">
        <v>6</v>
      </c>
      <c r="O2617" s="2">
        <v>42059</v>
      </c>
      <c r="P2617" s="1">
        <v>25792</v>
      </c>
      <c r="Q2617" s="1" t="s">
        <v>197</v>
      </c>
      <c r="R2617" s="2">
        <v>42096</v>
      </c>
      <c r="S2617" s="1">
        <v>228432</v>
      </c>
      <c r="U2617" s="1">
        <v>2005</v>
      </c>
      <c r="V2617" s="1" t="s">
        <v>2226</v>
      </c>
      <c r="W2617" s="1" t="s">
        <v>1056</v>
      </c>
      <c r="X2617" s="1">
        <v>304</v>
      </c>
      <c r="Y2617" s="1">
        <v>141</v>
      </c>
      <c r="Z2617" s="1" t="s">
        <v>249</v>
      </c>
      <c r="AA2617" s="1" t="s">
        <v>1927</v>
      </c>
      <c r="AB2617" s="1">
        <v>60148</v>
      </c>
      <c r="AD2617" s="1" t="s">
        <v>16280</v>
      </c>
      <c r="AE2617" s="1" t="s">
        <v>22289</v>
      </c>
      <c r="AF2617" s="1">
        <v>1975</v>
      </c>
      <c r="AG2617" s="1" t="s">
        <v>213</v>
      </c>
      <c r="AH2617" s="1" t="s">
        <v>1930</v>
      </c>
      <c r="AI2617" s="1" t="s">
        <v>206</v>
      </c>
      <c r="AJ2617" s="1" t="s">
        <v>1608</v>
      </c>
      <c r="AL2617" s="1">
        <v>5</v>
      </c>
      <c r="AM2617" s="1">
        <v>2</v>
      </c>
      <c r="AN2617" s="1">
        <v>2</v>
      </c>
      <c r="AO2617" s="1">
        <v>0</v>
      </c>
      <c r="AP2617" s="1" t="s">
        <v>209</v>
      </c>
      <c r="AR2617" s="1" t="s">
        <v>210</v>
      </c>
      <c r="AS2617" s="1" t="s">
        <v>204</v>
      </c>
      <c r="AT2617" s="1" t="s">
        <v>271</v>
      </c>
      <c r="AV2617" s="1">
        <v>2</v>
      </c>
      <c r="AW2617" s="1" t="s">
        <v>204</v>
      </c>
      <c r="AX2617" s="1" t="s">
        <v>212</v>
      </c>
      <c r="AZ2617" s="1">
        <v>2243</v>
      </c>
      <c r="BA2617" s="1">
        <v>2013</v>
      </c>
      <c r="BE2617" s="1">
        <v>1080</v>
      </c>
      <c r="BF2617" s="1">
        <v>3</v>
      </c>
      <c r="BG2617" s="1">
        <v>30</v>
      </c>
      <c r="BL2617" s="1">
        <v>395</v>
      </c>
      <c r="BM2617" s="1" t="s">
        <v>204</v>
      </c>
      <c r="BN2617" s="1" t="s">
        <v>213</v>
      </c>
      <c r="BP2617" s="1" t="s">
        <v>204</v>
      </c>
      <c r="BR2617" s="1" t="str">
        <f>"0619404028"</f>
        <v>0619404028</v>
      </c>
      <c r="BT2617" s="1" t="s">
        <v>22290</v>
      </c>
      <c r="BX2617" s="1">
        <v>44</v>
      </c>
      <c r="BY2617" s="1">
        <v>44</v>
      </c>
      <c r="BZ2617" s="1">
        <v>87</v>
      </c>
      <c r="CB2617" s="1" t="str">
        <f t="shared" ref="CB2617:CC2617" si="2006">"0"</f>
        <v>0</v>
      </c>
      <c r="CC2617" s="1" t="str">
        <f t="shared" si="2006"/>
        <v>0</v>
      </c>
      <c r="CD2617" s="1">
        <v>20</v>
      </c>
      <c r="CE2617" s="1">
        <v>1</v>
      </c>
      <c r="CG2617" s="1" t="s">
        <v>862</v>
      </c>
      <c r="CH2617" s="1" t="s">
        <v>219</v>
      </c>
      <c r="CI2617" s="1" t="s">
        <v>220</v>
      </c>
      <c r="CK2617" s="1" t="s">
        <v>581</v>
      </c>
      <c r="CL2617" s="1" t="s">
        <v>219</v>
      </c>
      <c r="CM2617" s="1" t="s">
        <v>220</v>
      </c>
      <c r="CO2617" s="1" t="s">
        <v>281</v>
      </c>
      <c r="CP2617" s="1" t="s">
        <v>219</v>
      </c>
      <c r="CQ2617" s="1" t="s">
        <v>220</v>
      </c>
      <c r="CS2617" s="1" t="s">
        <v>379</v>
      </c>
      <c r="CT2617" s="1" t="s">
        <v>219</v>
      </c>
      <c r="CU2617" s="1" t="s">
        <v>220</v>
      </c>
      <c r="CX2617" s="1" t="s">
        <v>224</v>
      </c>
      <c r="DB2617" s="1" t="s">
        <v>224</v>
      </c>
      <c r="DE2617" s="1" t="s">
        <v>516</v>
      </c>
      <c r="DF2617" s="1" t="s">
        <v>219</v>
      </c>
      <c r="DG2617" s="1" t="s">
        <v>226</v>
      </c>
      <c r="DJ2617" s="1" t="s">
        <v>224</v>
      </c>
      <c r="DS2617" s="1" t="s">
        <v>230</v>
      </c>
      <c r="DW2617" s="1" t="s">
        <v>230</v>
      </c>
      <c r="EA2617" s="1" t="s">
        <v>230</v>
      </c>
      <c r="EE2617" s="1" t="s">
        <v>230</v>
      </c>
      <c r="EI2617" s="1" t="s">
        <v>230</v>
      </c>
      <c r="EL2617" s="1" t="s">
        <v>231</v>
      </c>
      <c r="EM2617" s="1" t="s">
        <v>232</v>
      </c>
      <c r="EN2617" s="1" t="s">
        <v>282</v>
      </c>
      <c r="EO2617" s="1" t="s">
        <v>234</v>
      </c>
      <c r="EP2617" s="1" t="s">
        <v>22291</v>
      </c>
      <c r="EQ2617" s="1" t="s">
        <v>4356</v>
      </c>
      <c r="ER2617" s="1" t="s">
        <v>210</v>
      </c>
      <c r="EV2617" s="1" t="s">
        <v>324</v>
      </c>
      <c r="EW2617" s="1" t="s">
        <v>22292</v>
      </c>
      <c r="EZ2617" s="1" t="s">
        <v>287</v>
      </c>
      <c r="FB2617" s="1" t="s">
        <v>11624</v>
      </c>
      <c r="FD2617" s="1" t="s">
        <v>736</v>
      </c>
      <c r="FE2617" s="1" t="s">
        <v>6104</v>
      </c>
      <c r="FF2617" s="1" t="s">
        <v>248</v>
      </c>
      <c r="FH2617" s="1" t="s">
        <v>249</v>
      </c>
      <c r="FL2617" s="1" t="s">
        <v>292</v>
      </c>
      <c r="FM2617" s="1" t="s">
        <v>252</v>
      </c>
      <c r="FN2617" s="1" t="s">
        <v>213</v>
      </c>
      <c r="FO2617" s="1" t="s">
        <v>213</v>
      </c>
      <c r="FQ2617" s="1" t="s">
        <v>329</v>
      </c>
      <c r="FR2617" s="1" t="s">
        <v>210</v>
      </c>
      <c r="FS2617" s="1" t="s">
        <v>22293</v>
      </c>
      <c r="FT2617" s="1" t="s">
        <v>295</v>
      </c>
      <c r="FU2617" s="1" t="s">
        <v>204</v>
      </c>
      <c r="FW2617" s="1" t="s">
        <v>12021</v>
      </c>
      <c r="FX2617" s="1">
        <v>16548</v>
      </c>
      <c r="FY2617" s="1" t="s">
        <v>12022</v>
      </c>
      <c r="FZ2617" s="1" t="s">
        <v>12023</v>
      </c>
      <c r="GA2617" s="1">
        <v>166968</v>
      </c>
      <c r="GB2617" s="1" t="s">
        <v>12024</v>
      </c>
      <c r="GE2617" s="1" t="s">
        <v>210</v>
      </c>
      <c r="GH2617" s="1" t="s">
        <v>421</v>
      </c>
      <c r="GI2617" s="1" t="s">
        <v>204</v>
      </c>
      <c r="GJ2617" s="1" t="s">
        <v>260</v>
      </c>
      <c r="GK2617" s="1" t="s">
        <v>210</v>
      </c>
      <c r="GL2617" s="2">
        <v>42096</v>
      </c>
      <c r="GM2617" s="1" t="s">
        <v>22294</v>
      </c>
    </row>
    <row r="2618" spans="1:195">
      <c r="A2618" s="1">
        <v>129000</v>
      </c>
      <c r="B2618" s="1" t="s">
        <v>195</v>
      </c>
      <c r="C2618" s="1" t="str">
        <f>"08838241"</f>
        <v>08838241</v>
      </c>
      <c r="D2618" s="1" t="s">
        <v>196</v>
      </c>
      <c r="F2618" s="1" t="str">
        <f>"73"</f>
        <v>73</v>
      </c>
      <c r="G2618" s="2">
        <v>42048</v>
      </c>
      <c r="H2618" s="1">
        <v>149000</v>
      </c>
      <c r="I2618" s="1">
        <v>149000</v>
      </c>
      <c r="J2618" s="1">
        <v>129000</v>
      </c>
      <c r="K2618" s="2">
        <v>42046</v>
      </c>
      <c r="L2618" s="1">
        <v>42</v>
      </c>
      <c r="M2618" s="2">
        <v>42087</v>
      </c>
      <c r="N2618" s="1">
        <v>42</v>
      </c>
      <c r="O2618" s="2">
        <v>42087</v>
      </c>
      <c r="P2618" s="1">
        <v>2700</v>
      </c>
      <c r="Q2618" s="1" t="s">
        <v>197</v>
      </c>
      <c r="R2618" s="2">
        <v>42132</v>
      </c>
      <c r="S2618" s="1">
        <v>19248</v>
      </c>
      <c r="U2618" s="1">
        <v>689</v>
      </c>
      <c r="V2618" s="1" t="s">
        <v>9173</v>
      </c>
      <c r="W2618" s="1" t="s">
        <v>504</v>
      </c>
      <c r="Y2618" s="1">
        <v>6</v>
      </c>
      <c r="Z2618" s="1" t="s">
        <v>200</v>
      </c>
      <c r="AA2618" s="1" t="s">
        <v>1259</v>
      </c>
      <c r="AB2618" s="1">
        <v>60073</v>
      </c>
      <c r="AD2618" s="1" t="s">
        <v>10048</v>
      </c>
      <c r="AE2618" s="1" t="s">
        <v>22295</v>
      </c>
      <c r="AF2618" s="1">
        <v>2002</v>
      </c>
      <c r="AG2618" s="1" t="s">
        <v>204</v>
      </c>
      <c r="AH2618" s="1" t="s">
        <v>1262</v>
      </c>
      <c r="AI2618" s="1" t="s">
        <v>509</v>
      </c>
      <c r="AJ2618" s="1" t="s">
        <v>1263</v>
      </c>
      <c r="AL2618" s="1">
        <v>6</v>
      </c>
      <c r="AM2618" s="1">
        <v>2</v>
      </c>
      <c r="AN2618" s="1">
        <v>2</v>
      </c>
      <c r="AO2618" s="1">
        <v>1</v>
      </c>
      <c r="AP2618" s="1" t="s">
        <v>209</v>
      </c>
      <c r="AR2618" s="1" t="s">
        <v>1631</v>
      </c>
      <c r="AS2618" s="1" t="s">
        <v>204</v>
      </c>
      <c r="AT2618" s="1" t="s">
        <v>211</v>
      </c>
      <c r="AU2618" s="1">
        <v>2</v>
      </c>
      <c r="AW2618" s="1" t="s">
        <v>204</v>
      </c>
      <c r="AX2618" s="1" t="s">
        <v>212</v>
      </c>
      <c r="AZ2618" s="1">
        <v>5417</v>
      </c>
      <c r="BA2618" s="1">
        <v>2013</v>
      </c>
      <c r="BE2618" s="1">
        <v>1500</v>
      </c>
      <c r="BF2618" s="1">
        <v>1</v>
      </c>
      <c r="BG2618" s="1">
        <v>0</v>
      </c>
      <c r="BL2618" s="1">
        <v>201</v>
      </c>
      <c r="BM2618" s="1" t="s">
        <v>204</v>
      </c>
      <c r="BN2618" s="1" t="s">
        <v>213</v>
      </c>
      <c r="BO2618" s="1">
        <v>0</v>
      </c>
      <c r="BP2618" s="1" t="s">
        <v>204</v>
      </c>
      <c r="BR2618" s="1" t="str">
        <f>"06322010540000"</f>
        <v>06322010540000</v>
      </c>
      <c r="BT2618" s="1" t="s">
        <v>22296</v>
      </c>
      <c r="BU2618" s="1" t="s">
        <v>2736</v>
      </c>
      <c r="BV2618" s="1" t="s">
        <v>9075</v>
      </c>
      <c r="BW2618" s="1" t="s">
        <v>2737</v>
      </c>
      <c r="BX2618" s="1">
        <v>46</v>
      </c>
      <c r="BY2618" s="1">
        <v>46</v>
      </c>
      <c r="BZ2618" s="1">
        <v>127</v>
      </c>
      <c r="CB2618" s="1" t="str">
        <f t="shared" ref="CB2618:CC2618" si="2007">""</f>
        <v/>
      </c>
      <c r="CC2618" s="1" t="str">
        <f t="shared" si="2007"/>
        <v/>
      </c>
      <c r="CG2618" s="1" t="s">
        <v>602</v>
      </c>
      <c r="CH2618" s="1" t="s">
        <v>219</v>
      </c>
      <c r="CI2618" s="1" t="s">
        <v>220</v>
      </c>
      <c r="CJ2618" s="1" t="s">
        <v>343</v>
      </c>
      <c r="CK2618" s="1" t="s">
        <v>377</v>
      </c>
      <c r="CL2618" s="1" t="s">
        <v>277</v>
      </c>
      <c r="CM2618" s="1" t="s">
        <v>220</v>
      </c>
      <c r="CN2618" s="1" t="s">
        <v>343</v>
      </c>
      <c r="CO2618" s="1" t="s">
        <v>318</v>
      </c>
      <c r="CP2618" s="1" t="s">
        <v>219</v>
      </c>
      <c r="CQ2618" s="1" t="s">
        <v>220</v>
      </c>
      <c r="CR2618" s="1" t="s">
        <v>210</v>
      </c>
      <c r="CS2618" s="1" t="s">
        <v>602</v>
      </c>
      <c r="CT2618" s="1" t="s">
        <v>277</v>
      </c>
      <c r="CU2618" s="1" t="s">
        <v>220</v>
      </c>
      <c r="CV2618" s="1" t="s">
        <v>343</v>
      </c>
      <c r="CX2618" s="1" t="s">
        <v>224</v>
      </c>
      <c r="DB2618" s="1" t="s">
        <v>224</v>
      </c>
      <c r="DE2618" s="1" t="s">
        <v>344</v>
      </c>
      <c r="DF2618" s="1" t="s">
        <v>219</v>
      </c>
      <c r="DG2618" s="1" t="s">
        <v>229</v>
      </c>
      <c r="DH2618" s="1" t="s">
        <v>343</v>
      </c>
      <c r="DI2618" s="1" t="s">
        <v>346</v>
      </c>
      <c r="DJ2618" s="1" t="s">
        <v>43</v>
      </c>
      <c r="DK2618" s="1" t="s">
        <v>220</v>
      </c>
      <c r="DS2618" s="1" t="s">
        <v>230</v>
      </c>
      <c r="DW2618" s="1" t="s">
        <v>230</v>
      </c>
      <c r="EA2618" s="1" t="s">
        <v>230</v>
      </c>
      <c r="EE2618" s="1" t="s">
        <v>230</v>
      </c>
      <c r="EI2618" s="1" t="s">
        <v>230</v>
      </c>
      <c r="EL2618" s="1" t="s">
        <v>466</v>
      </c>
      <c r="EM2618" s="1" t="s">
        <v>319</v>
      </c>
      <c r="EN2618" s="1" t="s">
        <v>282</v>
      </c>
      <c r="EO2618" s="1" t="s">
        <v>234</v>
      </c>
      <c r="EQ2618" s="1" t="s">
        <v>236</v>
      </c>
      <c r="ER2618" s="1" t="s">
        <v>544</v>
      </c>
      <c r="ES2618" s="1" t="s">
        <v>322</v>
      </c>
      <c r="EV2618" s="1" t="s">
        <v>240</v>
      </c>
      <c r="EW2618" s="1" t="s">
        <v>353</v>
      </c>
      <c r="EZ2618" s="1" t="s">
        <v>287</v>
      </c>
      <c r="FD2618" s="1" t="s">
        <v>246</v>
      </c>
      <c r="FE2618" s="1" t="s">
        <v>472</v>
      </c>
      <c r="FF2618" s="1" t="s">
        <v>248</v>
      </c>
      <c r="FH2618" s="1" t="s">
        <v>1428</v>
      </c>
      <c r="FI2618" s="1" t="s">
        <v>357</v>
      </c>
      <c r="FJ2618" s="1" t="s">
        <v>1251</v>
      </c>
      <c r="FL2618" s="1" t="s">
        <v>414</v>
      </c>
      <c r="FM2618" s="1" t="s">
        <v>252</v>
      </c>
      <c r="FN2618" s="1" t="s">
        <v>213</v>
      </c>
      <c r="FO2618" s="1" t="s">
        <v>213</v>
      </c>
      <c r="FQ2618" s="1" t="s">
        <v>22297</v>
      </c>
      <c r="FR2618" s="1" t="s">
        <v>210</v>
      </c>
      <c r="FS2618" s="1" t="s">
        <v>22298</v>
      </c>
      <c r="FT2618" s="1" t="s">
        <v>295</v>
      </c>
      <c r="FU2618" s="1" t="s">
        <v>204</v>
      </c>
      <c r="FV2618" s="1" t="s">
        <v>22299</v>
      </c>
      <c r="FW2618" s="1" t="s">
        <v>585</v>
      </c>
      <c r="FX2618" s="1">
        <v>8002</v>
      </c>
      <c r="FY2618" s="1" t="s">
        <v>586</v>
      </c>
      <c r="FZ2618" s="1" t="s">
        <v>22300</v>
      </c>
      <c r="GA2618" s="1">
        <v>83502</v>
      </c>
      <c r="GB2618" s="1" t="s">
        <v>22301</v>
      </c>
      <c r="GE2618" s="1" t="s">
        <v>210</v>
      </c>
      <c r="GH2618" s="1" t="s">
        <v>421</v>
      </c>
      <c r="GI2618" s="1" t="s">
        <v>213</v>
      </c>
      <c r="GJ2618" s="1" t="s">
        <v>300</v>
      </c>
      <c r="GK2618" s="1" t="s">
        <v>210</v>
      </c>
      <c r="GL2618" s="2">
        <v>42132</v>
      </c>
      <c r="GM2618" s="1" t="s">
        <v>22302</v>
      </c>
    </row>
    <row r="2619" spans="1:195">
      <c r="A2619" s="1">
        <v>117500</v>
      </c>
      <c r="B2619" s="1" t="s">
        <v>195</v>
      </c>
      <c r="C2619" s="1" t="str">
        <f>"08839671"</f>
        <v>08839671</v>
      </c>
      <c r="D2619" s="1" t="s">
        <v>196</v>
      </c>
      <c r="F2619" s="1" t="str">
        <f>"555"</f>
        <v>555</v>
      </c>
      <c r="G2619" s="2">
        <v>42051</v>
      </c>
      <c r="H2619" s="1">
        <v>119000</v>
      </c>
      <c r="I2619" s="1">
        <v>119000</v>
      </c>
      <c r="J2619" s="1">
        <v>117500</v>
      </c>
      <c r="K2619" s="2">
        <v>42048</v>
      </c>
      <c r="L2619" s="1">
        <v>30</v>
      </c>
      <c r="M2619" s="2">
        <v>42077</v>
      </c>
      <c r="N2619" s="1">
        <v>30</v>
      </c>
      <c r="O2619" s="2">
        <v>42077</v>
      </c>
      <c r="P2619" s="1">
        <v>21324</v>
      </c>
      <c r="Q2619" s="1" t="s">
        <v>197</v>
      </c>
      <c r="R2619" s="2">
        <v>42109</v>
      </c>
      <c r="S2619" s="1">
        <v>231225</v>
      </c>
      <c r="T2619" s="1">
        <v>3250</v>
      </c>
      <c r="U2619" s="1" t="s">
        <v>22303</v>
      </c>
      <c r="V2619" s="1" t="s">
        <v>4628</v>
      </c>
      <c r="W2619" s="1" t="s">
        <v>264</v>
      </c>
      <c r="X2619" s="1" t="s">
        <v>483</v>
      </c>
      <c r="Y2619" s="1">
        <v>4</v>
      </c>
      <c r="Z2619" s="1" t="s">
        <v>249</v>
      </c>
      <c r="AA2619" s="1" t="s">
        <v>984</v>
      </c>
      <c r="AB2619" s="1">
        <v>60555</v>
      </c>
      <c r="AD2619" s="1" t="s">
        <v>4628</v>
      </c>
      <c r="AE2619" s="1" t="s">
        <v>22304</v>
      </c>
      <c r="AF2619" s="1">
        <v>1978</v>
      </c>
      <c r="AG2619" s="1" t="s">
        <v>204</v>
      </c>
      <c r="AH2619" s="1" t="s">
        <v>986</v>
      </c>
      <c r="AI2619" s="1" t="s">
        <v>206</v>
      </c>
      <c r="AJ2619" s="1" t="s">
        <v>987</v>
      </c>
      <c r="AK2619" s="1" t="s">
        <v>5115</v>
      </c>
      <c r="AL2619" s="1">
        <v>5</v>
      </c>
      <c r="AM2619" s="1">
        <v>2</v>
      </c>
      <c r="AN2619" s="1">
        <v>2</v>
      </c>
      <c r="AO2619" s="1">
        <v>0</v>
      </c>
      <c r="AP2619" s="1" t="s">
        <v>209</v>
      </c>
      <c r="AQ2619" s="1">
        <v>1</v>
      </c>
      <c r="AR2619" s="1" t="s">
        <v>210</v>
      </c>
      <c r="AS2619" s="1" t="s">
        <v>204</v>
      </c>
      <c r="AT2619" s="1" t="s">
        <v>211</v>
      </c>
      <c r="AU2619" s="1">
        <v>2</v>
      </c>
      <c r="AW2619" s="1" t="s">
        <v>204</v>
      </c>
      <c r="AX2619" s="1" t="s">
        <v>212</v>
      </c>
      <c r="AZ2619" s="1">
        <v>2801</v>
      </c>
      <c r="BA2619" s="1">
        <v>2013</v>
      </c>
      <c r="BB2619" s="1" t="s">
        <v>405</v>
      </c>
      <c r="BE2619" s="1">
        <v>1100</v>
      </c>
      <c r="BF2619" s="1">
        <v>1</v>
      </c>
      <c r="BG2619" s="1">
        <v>14</v>
      </c>
      <c r="BL2619" s="1">
        <v>252</v>
      </c>
      <c r="BM2619" s="1" t="s">
        <v>204</v>
      </c>
      <c r="BN2619" s="1" t="s">
        <v>213</v>
      </c>
      <c r="BO2619" s="1" t="s">
        <v>432</v>
      </c>
      <c r="BP2619" s="1" t="s">
        <v>204</v>
      </c>
      <c r="BR2619" s="1" t="str">
        <f>"0427414202"</f>
        <v>0427414202</v>
      </c>
      <c r="BT2619" s="1" t="s">
        <v>22305</v>
      </c>
      <c r="BU2619" s="1" t="s">
        <v>989</v>
      </c>
      <c r="BV2619" s="1" t="s">
        <v>990</v>
      </c>
      <c r="BW2619" s="1" t="s">
        <v>971</v>
      </c>
      <c r="BX2619" s="1">
        <v>200</v>
      </c>
      <c r="BY2619" s="1">
        <v>200</v>
      </c>
      <c r="BZ2619" s="1">
        <v>200</v>
      </c>
      <c r="CB2619" s="1" t="str">
        <f t="shared" ref="CB2619:CC2619" si="2008">"0"</f>
        <v>0</v>
      </c>
      <c r="CC2619" s="1" t="str">
        <f t="shared" si="2008"/>
        <v>0</v>
      </c>
      <c r="CD2619" s="1">
        <v>29</v>
      </c>
      <c r="CE2619" s="1">
        <v>2</v>
      </c>
      <c r="CG2619" s="1" t="s">
        <v>2747</v>
      </c>
      <c r="CH2619" s="1" t="s">
        <v>219</v>
      </c>
      <c r="CI2619" s="1" t="s">
        <v>438</v>
      </c>
      <c r="CJ2619" s="1" t="s">
        <v>252</v>
      </c>
      <c r="CK2619" s="1" t="s">
        <v>1533</v>
      </c>
      <c r="CL2619" s="1" t="s">
        <v>219</v>
      </c>
      <c r="CM2619" s="1" t="s">
        <v>220</v>
      </c>
      <c r="CN2619" s="1" t="s">
        <v>252</v>
      </c>
      <c r="CO2619" s="1" t="s">
        <v>951</v>
      </c>
      <c r="CP2619" s="1" t="s">
        <v>219</v>
      </c>
      <c r="CQ2619" s="1" t="s">
        <v>438</v>
      </c>
      <c r="CR2619" s="1" t="s">
        <v>210</v>
      </c>
      <c r="CS2619" s="1" t="s">
        <v>346</v>
      </c>
      <c r="CT2619" s="1" t="s">
        <v>219</v>
      </c>
      <c r="CU2619" s="1" t="s">
        <v>220</v>
      </c>
      <c r="CV2619" s="1" t="s">
        <v>252</v>
      </c>
      <c r="CX2619" s="1" t="s">
        <v>224</v>
      </c>
      <c r="DB2619" s="1" t="s">
        <v>224</v>
      </c>
      <c r="DE2619" s="1" t="s">
        <v>604</v>
      </c>
      <c r="DF2619" s="1" t="s">
        <v>219</v>
      </c>
      <c r="DG2619" s="1" t="s">
        <v>226</v>
      </c>
      <c r="DH2619" s="1" t="s">
        <v>252</v>
      </c>
      <c r="DJ2619" s="1" t="s">
        <v>224</v>
      </c>
      <c r="DS2619" s="1" t="s">
        <v>230</v>
      </c>
      <c r="DW2619" s="1" t="s">
        <v>230</v>
      </c>
      <c r="EA2619" s="1" t="s">
        <v>230</v>
      </c>
      <c r="EE2619" s="1" t="s">
        <v>230</v>
      </c>
      <c r="EI2619" s="1" t="s">
        <v>230</v>
      </c>
      <c r="EL2619" s="1" t="s">
        <v>231</v>
      </c>
      <c r="EM2619" s="1" t="s">
        <v>319</v>
      </c>
      <c r="EN2619" s="1" t="s">
        <v>282</v>
      </c>
      <c r="EO2619" s="1" t="s">
        <v>1020</v>
      </c>
      <c r="EP2619" s="1" t="s">
        <v>22306</v>
      </c>
      <c r="EQ2619" s="1" t="s">
        <v>236</v>
      </c>
      <c r="ER2619" s="1" t="s">
        <v>210</v>
      </c>
      <c r="ES2619" s="1" t="s">
        <v>322</v>
      </c>
      <c r="ET2619" s="1" t="s">
        <v>323</v>
      </c>
      <c r="EU2619" s="1" t="s">
        <v>712</v>
      </c>
      <c r="EV2619" s="1" t="s">
        <v>240</v>
      </c>
      <c r="EW2619" s="1" t="s">
        <v>1617</v>
      </c>
      <c r="EY2619" s="1" t="s">
        <v>242</v>
      </c>
      <c r="EZ2619" s="1" t="s">
        <v>287</v>
      </c>
      <c r="FA2619" s="1" t="s">
        <v>22307</v>
      </c>
      <c r="FB2619" s="1" t="s">
        <v>289</v>
      </c>
      <c r="FD2619" s="1" t="s">
        <v>246</v>
      </c>
      <c r="FE2619" s="1" t="s">
        <v>889</v>
      </c>
      <c r="FF2619" s="1" t="s">
        <v>248</v>
      </c>
      <c r="FG2619" s="1" t="s">
        <v>939</v>
      </c>
      <c r="FH2619" s="1" t="s">
        <v>249</v>
      </c>
      <c r="FI2619" s="1" t="s">
        <v>473</v>
      </c>
      <c r="FL2619" s="1" t="s">
        <v>358</v>
      </c>
      <c r="FM2619" s="1" t="s">
        <v>252</v>
      </c>
      <c r="FN2619" s="1" t="s">
        <v>213</v>
      </c>
      <c r="FO2619" s="1" t="s">
        <v>213</v>
      </c>
      <c r="FQ2619" s="1" t="s">
        <v>793</v>
      </c>
      <c r="FR2619" s="1" t="s">
        <v>210</v>
      </c>
      <c r="FS2619" s="1" t="s">
        <v>1429</v>
      </c>
      <c r="FT2619" s="1" t="s">
        <v>295</v>
      </c>
      <c r="FU2619" s="1" t="s">
        <v>204</v>
      </c>
      <c r="FW2619" s="1" t="s">
        <v>873</v>
      </c>
      <c r="FX2619" s="1">
        <v>25309</v>
      </c>
      <c r="FY2619" s="1" t="s">
        <v>874</v>
      </c>
      <c r="FZ2619" s="1" t="s">
        <v>875</v>
      </c>
      <c r="GA2619" s="1">
        <v>256018</v>
      </c>
      <c r="GB2619" s="1" t="s">
        <v>876</v>
      </c>
      <c r="GC2619" s="1">
        <v>226687</v>
      </c>
      <c r="GE2619" s="1" t="s">
        <v>210</v>
      </c>
      <c r="GI2619" s="1" t="s">
        <v>213</v>
      </c>
      <c r="GJ2619" s="1" t="s">
        <v>260</v>
      </c>
      <c r="GK2619" s="1" t="s">
        <v>261</v>
      </c>
      <c r="GL2619" s="2">
        <v>42110</v>
      </c>
      <c r="GM2619" s="1" t="s">
        <v>22308</v>
      </c>
    </row>
    <row r="2620" spans="1:195">
      <c r="A2620" s="1">
        <v>265000</v>
      </c>
      <c r="B2620" s="1" t="s">
        <v>195</v>
      </c>
      <c r="C2620" s="1" t="str">
        <f>"08838829"</f>
        <v>08838829</v>
      </c>
      <c r="D2620" s="1" t="s">
        <v>196</v>
      </c>
      <c r="F2620" s="1" t="str">
        <f>"174"</f>
        <v>174</v>
      </c>
      <c r="G2620" s="2">
        <v>42049</v>
      </c>
      <c r="H2620" s="1">
        <v>265000</v>
      </c>
      <c r="I2620" s="1">
        <v>265000</v>
      </c>
      <c r="J2620" s="1">
        <v>265000</v>
      </c>
      <c r="K2620" s="2">
        <v>42048</v>
      </c>
      <c r="L2620" s="1">
        <v>69</v>
      </c>
      <c r="M2620" s="2">
        <v>42116</v>
      </c>
      <c r="N2620" s="1">
        <v>69</v>
      </c>
      <c r="O2620" s="2">
        <v>42116</v>
      </c>
      <c r="P2620" s="1">
        <v>23025</v>
      </c>
      <c r="Q2620" s="1" t="s">
        <v>197</v>
      </c>
      <c r="R2620" s="2">
        <v>42145</v>
      </c>
      <c r="S2620" s="1">
        <v>243574</v>
      </c>
      <c r="T2620" s="1">
        <v>2575</v>
      </c>
      <c r="U2620" s="1">
        <v>3701</v>
      </c>
      <c r="V2620" s="1" t="s">
        <v>22309</v>
      </c>
      <c r="W2620" s="1" t="s">
        <v>504</v>
      </c>
      <c r="Y2620" s="1">
        <v>6</v>
      </c>
      <c r="Z2620" s="1" t="s">
        <v>370</v>
      </c>
      <c r="AA2620" s="1" t="s">
        <v>879</v>
      </c>
      <c r="AB2620" s="1">
        <v>60174</v>
      </c>
      <c r="AD2620" s="1" t="s">
        <v>8718</v>
      </c>
      <c r="AE2620" s="1" t="s">
        <v>22310</v>
      </c>
      <c r="AF2620" s="1">
        <v>1997</v>
      </c>
      <c r="AG2620" s="1" t="s">
        <v>204</v>
      </c>
      <c r="AH2620" s="1" t="s">
        <v>883</v>
      </c>
      <c r="AI2620" s="1" t="s">
        <v>665</v>
      </c>
      <c r="AJ2620" s="1" t="s">
        <v>883</v>
      </c>
      <c r="AL2620" s="1">
        <v>7</v>
      </c>
      <c r="AM2620" s="1">
        <v>2</v>
      </c>
      <c r="AN2620" s="1">
        <v>2</v>
      </c>
      <c r="AO2620" s="1">
        <v>1</v>
      </c>
      <c r="AP2620" s="1" t="s">
        <v>209</v>
      </c>
      <c r="AQ2620" s="1">
        <v>1</v>
      </c>
      <c r="AR2620" s="1" t="s">
        <v>209</v>
      </c>
      <c r="AS2620" s="1" t="s">
        <v>204</v>
      </c>
      <c r="AT2620" s="1" t="s">
        <v>211</v>
      </c>
      <c r="AU2620" s="1">
        <v>2</v>
      </c>
      <c r="AW2620" s="1" t="s">
        <v>204</v>
      </c>
      <c r="AX2620" s="1" t="s">
        <v>22311</v>
      </c>
      <c r="AZ2620" s="1">
        <v>6846</v>
      </c>
      <c r="BA2620" s="1">
        <v>2013</v>
      </c>
      <c r="BE2620" s="1">
        <v>1800</v>
      </c>
      <c r="BF2620" s="1">
        <v>1</v>
      </c>
      <c r="BG2620" s="1">
        <v>0</v>
      </c>
      <c r="BL2620" s="1">
        <v>189</v>
      </c>
      <c r="BM2620" s="1" t="s">
        <v>204</v>
      </c>
      <c r="BN2620" s="1" t="s">
        <v>213</v>
      </c>
      <c r="BO2620" s="1">
        <v>99</v>
      </c>
      <c r="BP2620" s="1" t="s">
        <v>204</v>
      </c>
      <c r="BR2620" s="1" t="str">
        <f>"0924478074"</f>
        <v>0924478074</v>
      </c>
      <c r="BT2620" s="1" t="s">
        <v>22312</v>
      </c>
      <c r="BU2620" s="1" t="s">
        <v>8722</v>
      </c>
      <c r="BV2620" s="1" t="s">
        <v>2118</v>
      </c>
      <c r="BW2620" s="1" t="s">
        <v>2119</v>
      </c>
      <c r="BX2620" s="1">
        <v>303</v>
      </c>
      <c r="BY2620" s="1">
        <v>303</v>
      </c>
      <c r="BZ2620" s="1">
        <v>303</v>
      </c>
      <c r="CB2620" s="1" t="str">
        <f t="shared" ref="CB2620:CC2620" si="2009">""</f>
        <v/>
      </c>
      <c r="CC2620" s="1" t="str">
        <f t="shared" si="2009"/>
        <v/>
      </c>
      <c r="CG2620" s="1" t="s">
        <v>862</v>
      </c>
      <c r="CH2620" s="1" t="s">
        <v>219</v>
      </c>
      <c r="CI2620" s="1" t="s">
        <v>438</v>
      </c>
      <c r="CJ2620" s="1" t="s">
        <v>252</v>
      </c>
      <c r="CK2620" s="1" t="s">
        <v>221</v>
      </c>
      <c r="CL2620" s="1" t="s">
        <v>219</v>
      </c>
      <c r="CM2620" s="1" t="s">
        <v>438</v>
      </c>
      <c r="CN2620" s="1" t="s">
        <v>252</v>
      </c>
      <c r="CO2620" s="1" t="s">
        <v>316</v>
      </c>
      <c r="CP2620" s="1" t="s">
        <v>219</v>
      </c>
      <c r="CQ2620" s="1" t="s">
        <v>438</v>
      </c>
      <c r="CR2620" s="1" t="s">
        <v>252</v>
      </c>
      <c r="CS2620" s="1" t="s">
        <v>1267</v>
      </c>
      <c r="CT2620" s="1" t="s">
        <v>277</v>
      </c>
      <c r="CU2620" s="1" t="s">
        <v>220</v>
      </c>
      <c r="CV2620" s="1" t="s">
        <v>252</v>
      </c>
      <c r="CX2620" s="1" t="s">
        <v>224</v>
      </c>
      <c r="DB2620" s="1" t="s">
        <v>224</v>
      </c>
      <c r="DE2620" s="1" t="s">
        <v>408</v>
      </c>
      <c r="DF2620" s="1" t="s">
        <v>219</v>
      </c>
      <c r="DG2620" s="1" t="s">
        <v>438</v>
      </c>
      <c r="DJ2620" s="1" t="s">
        <v>224</v>
      </c>
      <c r="DM2620" s="1" t="s">
        <v>227</v>
      </c>
      <c r="DN2620" s="1" t="s">
        <v>464</v>
      </c>
      <c r="DR2620" s="1" t="s">
        <v>409</v>
      </c>
      <c r="DS2620" s="1" t="s">
        <v>277</v>
      </c>
      <c r="DT2620" s="1" t="s">
        <v>220</v>
      </c>
      <c r="DV2620" s="1" t="s">
        <v>1612</v>
      </c>
      <c r="DW2620" s="1" t="s">
        <v>277</v>
      </c>
      <c r="DX2620" s="1" t="s">
        <v>220</v>
      </c>
      <c r="EA2620" s="1" t="s">
        <v>230</v>
      </c>
      <c r="EE2620" s="1" t="s">
        <v>230</v>
      </c>
      <c r="EI2620" s="1" t="s">
        <v>230</v>
      </c>
      <c r="EL2620" s="1" t="s">
        <v>670</v>
      </c>
      <c r="EM2620" s="1" t="s">
        <v>319</v>
      </c>
      <c r="EN2620" s="1" t="s">
        <v>282</v>
      </c>
      <c r="EO2620" s="1" t="s">
        <v>234</v>
      </c>
      <c r="EP2620" s="1" t="s">
        <v>650</v>
      </c>
      <c r="EQ2620" s="1" t="s">
        <v>1094</v>
      </c>
      <c r="ER2620" s="1" t="s">
        <v>1249</v>
      </c>
      <c r="ES2620" s="1" t="s">
        <v>3719</v>
      </c>
      <c r="ET2620" s="1" t="s">
        <v>842</v>
      </c>
      <c r="EU2620" s="1" t="s">
        <v>6227</v>
      </c>
      <c r="EV2620" s="1" t="s">
        <v>352</v>
      </c>
      <c r="EW2620" s="1" t="s">
        <v>353</v>
      </c>
      <c r="EY2620" s="1" t="s">
        <v>242</v>
      </c>
      <c r="EZ2620" s="1" t="s">
        <v>22313</v>
      </c>
      <c r="FA2620" s="1" t="s">
        <v>869</v>
      </c>
      <c r="FB2620" s="1" t="s">
        <v>289</v>
      </c>
      <c r="FD2620" s="1" t="s">
        <v>246</v>
      </c>
      <c r="FE2620" s="1" t="s">
        <v>549</v>
      </c>
      <c r="FF2620" s="1" t="s">
        <v>248</v>
      </c>
      <c r="FG2620" s="1" t="s">
        <v>871</v>
      </c>
      <c r="FH2620" s="1" t="s">
        <v>550</v>
      </c>
      <c r="FI2620" s="1" t="s">
        <v>473</v>
      </c>
      <c r="FJ2620" s="1" t="s">
        <v>1179</v>
      </c>
      <c r="FL2620" s="1" t="s">
        <v>358</v>
      </c>
      <c r="FM2620" s="1" t="s">
        <v>252</v>
      </c>
      <c r="FN2620" s="1" t="s">
        <v>213</v>
      </c>
      <c r="FO2620" s="1" t="s">
        <v>213</v>
      </c>
      <c r="FQ2620" s="1" t="s">
        <v>329</v>
      </c>
      <c r="FR2620" s="1" t="s">
        <v>210</v>
      </c>
      <c r="FS2620" s="1" t="s">
        <v>22314</v>
      </c>
      <c r="FT2620" s="1" t="s">
        <v>2589</v>
      </c>
      <c r="FU2620" s="1" t="s">
        <v>204</v>
      </c>
      <c r="FW2620" s="1" t="s">
        <v>1475</v>
      </c>
      <c r="FX2620" s="1">
        <v>23265</v>
      </c>
      <c r="FY2620" s="1" t="s">
        <v>1476</v>
      </c>
      <c r="FZ2620" s="1" t="s">
        <v>7360</v>
      </c>
      <c r="GA2620" s="1">
        <v>232075</v>
      </c>
      <c r="GB2620" s="1" t="s">
        <v>7361</v>
      </c>
      <c r="GC2620" s="1">
        <v>225730</v>
      </c>
      <c r="GD2620" s="1" t="s">
        <v>7362</v>
      </c>
      <c r="GE2620" s="1" t="s">
        <v>1226</v>
      </c>
      <c r="GI2620" s="1" t="s">
        <v>213</v>
      </c>
      <c r="GJ2620" s="1" t="s">
        <v>260</v>
      </c>
      <c r="GK2620" s="1" t="s">
        <v>261</v>
      </c>
      <c r="GL2620" s="2">
        <v>42146</v>
      </c>
      <c r="GM2620" s="1" t="s">
        <v>22315</v>
      </c>
    </row>
    <row r="2621" spans="1:195">
      <c r="A2621" s="1">
        <v>37500</v>
      </c>
      <c r="B2621" s="1" t="s">
        <v>195</v>
      </c>
      <c r="C2621" s="1" t="str">
        <f>"08842554"</f>
        <v>08842554</v>
      </c>
      <c r="D2621" s="1" t="s">
        <v>196</v>
      </c>
      <c r="F2621" s="1" t="str">
        <f>"8040"</f>
        <v>8040</v>
      </c>
      <c r="G2621" s="2">
        <v>42054</v>
      </c>
      <c r="H2621" s="1">
        <v>39900</v>
      </c>
      <c r="I2621" s="1">
        <v>39900</v>
      </c>
      <c r="J2621" s="1">
        <v>37500</v>
      </c>
      <c r="K2621" s="2">
        <v>42054</v>
      </c>
      <c r="L2621" s="1">
        <v>19</v>
      </c>
      <c r="M2621" s="2">
        <v>42072</v>
      </c>
      <c r="N2621" s="1">
        <v>19</v>
      </c>
      <c r="O2621" s="2">
        <v>42072</v>
      </c>
      <c r="P2621" s="1">
        <v>85418</v>
      </c>
      <c r="Q2621" s="1" t="s">
        <v>302</v>
      </c>
      <c r="R2621" s="2">
        <v>42097</v>
      </c>
      <c r="S2621" s="1">
        <v>173689</v>
      </c>
      <c r="U2621" s="1">
        <v>5938</v>
      </c>
      <c r="V2621" s="1" t="s">
        <v>4078</v>
      </c>
      <c r="W2621" s="1" t="s">
        <v>264</v>
      </c>
      <c r="X2621" s="1">
        <v>2</v>
      </c>
      <c r="Y2621" s="1">
        <v>38</v>
      </c>
      <c r="Z2621" s="1" t="s">
        <v>249</v>
      </c>
      <c r="AA2621" s="1" t="s">
        <v>400</v>
      </c>
      <c r="AB2621" s="1">
        <v>60637</v>
      </c>
      <c r="AE2621" s="1" t="s">
        <v>22316</v>
      </c>
      <c r="AF2621" s="1">
        <v>1914</v>
      </c>
      <c r="AG2621" s="1" t="s">
        <v>213</v>
      </c>
      <c r="AH2621" s="1" t="s">
        <v>403</v>
      </c>
      <c r="AI2621" s="1" t="s">
        <v>310</v>
      </c>
      <c r="AJ2621" s="1" t="s">
        <v>562</v>
      </c>
      <c r="AL2621" s="1">
        <v>5</v>
      </c>
      <c r="AM2621" s="1">
        <v>2</v>
      </c>
      <c r="AN2621" s="1">
        <v>2</v>
      </c>
      <c r="AO2621" s="1">
        <v>0</v>
      </c>
      <c r="AP2621" s="1" t="s">
        <v>209</v>
      </c>
      <c r="AR2621" s="1" t="s">
        <v>210</v>
      </c>
      <c r="AS2621" s="1" t="s">
        <v>204</v>
      </c>
      <c r="AT2621" s="1" t="s">
        <v>271</v>
      </c>
      <c r="AV2621" s="1">
        <v>1</v>
      </c>
      <c r="AW2621" s="1" t="s">
        <v>204</v>
      </c>
      <c r="AX2621" s="1" t="s">
        <v>212</v>
      </c>
      <c r="AZ2621" s="1">
        <v>1551</v>
      </c>
      <c r="BA2621" s="1">
        <v>2013</v>
      </c>
      <c r="BE2621" s="1">
        <v>1300</v>
      </c>
      <c r="BF2621" s="1">
        <v>2</v>
      </c>
      <c r="BG2621" s="1">
        <v>0</v>
      </c>
      <c r="BL2621" s="1">
        <v>256</v>
      </c>
      <c r="BM2621" s="1" t="s">
        <v>413</v>
      </c>
      <c r="BN2621" s="1" t="s">
        <v>213</v>
      </c>
      <c r="BO2621" s="1">
        <v>35</v>
      </c>
      <c r="BP2621" s="1" t="s">
        <v>204</v>
      </c>
      <c r="BR2621" s="1" t="str">
        <f>"20153050351012"</f>
        <v>20153050351012</v>
      </c>
      <c r="BT2621" s="1" t="s">
        <v>22317</v>
      </c>
      <c r="BX2621" s="1">
        <v>299</v>
      </c>
      <c r="BY2621" s="1">
        <v>299</v>
      </c>
      <c r="BZ2621" s="1">
        <v>299</v>
      </c>
      <c r="CB2621" s="1" t="str">
        <f>"0"</f>
        <v>0</v>
      </c>
      <c r="CC2621" s="1" t="str">
        <f>"380"</f>
        <v>380</v>
      </c>
      <c r="CD2621" s="1">
        <v>0</v>
      </c>
      <c r="CE2621" s="1">
        <v>5938</v>
      </c>
      <c r="CG2621" s="1" t="s">
        <v>5572</v>
      </c>
      <c r="CH2621" s="1" t="s">
        <v>219</v>
      </c>
      <c r="CK2621" s="1" t="s">
        <v>317</v>
      </c>
      <c r="CL2621" s="1" t="s">
        <v>219</v>
      </c>
      <c r="CO2621" s="1" t="s">
        <v>629</v>
      </c>
      <c r="CP2621" s="1" t="s">
        <v>219</v>
      </c>
      <c r="CS2621" s="1" t="s">
        <v>318</v>
      </c>
      <c r="CT2621" s="1" t="s">
        <v>219</v>
      </c>
      <c r="CX2621" s="1" t="s">
        <v>224</v>
      </c>
      <c r="DB2621" s="1" t="s">
        <v>224</v>
      </c>
      <c r="DE2621" s="1" t="s">
        <v>1469</v>
      </c>
      <c r="DF2621" s="1" t="s">
        <v>219</v>
      </c>
      <c r="DJ2621" s="1" t="s">
        <v>224</v>
      </c>
      <c r="DS2621" s="1" t="s">
        <v>230</v>
      </c>
      <c r="DW2621" s="1" t="s">
        <v>230</v>
      </c>
      <c r="EA2621" s="1" t="s">
        <v>230</v>
      </c>
      <c r="EE2621" s="1" t="s">
        <v>230</v>
      </c>
      <c r="EI2621" s="1" t="s">
        <v>230</v>
      </c>
      <c r="EL2621" s="1" t="s">
        <v>787</v>
      </c>
      <c r="EM2621" s="1" t="s">
        <v>319</v>
      </c>
      <c r="EN2621" s="1" t="s">
        <v>282</v>
      </c>
      <c r="EO2621" s="1" t="s">
        <v>234</v>
      </c>
      <c r="ER2621" s="1" t="s">
        <v>210</v>
      </c>
      <c r="EW2621" s="1" t="s">
        <v>7888</v>
      </c>
      <c r="EZ2621" s="1" t="s">
        <v>287</v>
      </c>
      <c r="FD2621" s="1" t="s">
        <v>3472</v>
      </c>
      <c r="FE2621" s="1" t="s">
        <v>247</v>
      </c>
      <c r="FF2621" s="1" t="s">
        <v>248</v>
      </c>
      <c r="FH2621" s="1" t="s">
        <v>249</v>
      </c>
      <c r="FL2621" s="1" t="s">
        <v>358</v>
      </c>
      <c r="FM2621" s="1" t="s">
        <v>252</v>
      </c>
      <c r="FN2621" s="1" t="s">
        <v>213</v>
      </c>
      <c r="FO2621" s="1" t="s">
        <v>204</v>
      </c>
      <c r="FQ2621" s="1" t="s">
        <v>22318</v>
      </c>
      <c r="FR2621" s="1" t="s">
        <v>210</v>
      </c>
      <c r="FS2621" s="1" t="s">
        <v>3061</v>
      </c>
      <c r="FT2621" s="1" t="s">
        <v>295</v>
      </c>
      <c r="FU2621" s="1" t="s">
        <v>204</v>
      </c>
      <c r="FW2621" s="1" t="s">
        <v>13590</v>
      </c>
      <c r="FX2621" s="1">
        <v>18016</v>
      </c>
      <c r="FY2621" s="1" t="s">
        <v>13591</v>
      </c>
      <c r="FZ2621" s="1" t="s">
        <v>13592</v>
      </c>
      <c r="GA2621" s="1">
        <v>158141</v>
      </c>
      <c r="GB2621" s="1" t="s">
        <v>13591</v>
      </c>
      <c r="GE2621" s="1" t="s">
        <v>1576</v>
      </c>
      <c r="GH2621" s="1" t="s">
        <v>421</v>
      </c>
      <c r="GI2621" s="1" t="s">
        <v>213</v>
      </c>
      <c r="GJ2621" s="1" t="s">
        <v>260</v>
      </c>
      <c r="GK2621" s="1" t="s">
        <v>210</v>
      </c>
      <c r="GL2621" s="2">
        <v>42118</v>
      </c>
      <c r="GM2621" s="1" t="s">
        <v>22319</v>
      </c>
    </row>
    <row r="2622" spans="1:195">
      <c r="A2622" s="1">
        <v>190000</v>
      </c>
      <c r="B2622" s="1" t="s">
        <v>195</v>
      </c>
      <c r="C2622" s="1" t="str">
        <f>"08837648"</f>
        <v>08837648</v>
      </c>
      <c r="D2622" s="1" t="s">
        <v>196</v>
      </c>
      <c r="F2622" s="1" t="str">
        <f>"104"</f>
        <v>104</v>
      </c>
      <c r="G2622" s="2">
        <v>42047</v>
      </c>
      <c r="H2622" s="1">
        <v>209900</v>
      </c>
      <c r="I2622" s="1">
        <v>199900</v>
      </c>
      <c r="J2622" s="1">
        <v>190000</v>
      </c>
      <c r="K2622" s="2">
        <v>42046</v>
      </c>
      <c r="L2622" s="1">
        <v>22</v>
      </c>
      <c r="M2622" s="2">
        <v>42067</v>
      </c>
      <c r="N2622" s="1">
        <v>22</v>
      </c>
      <c r="O2622" s="2">
        <v>42067</v>
      </c>
      <c r="P2622" s="1">
        <v>25215</v>
      </c>
      <c r="Q2622" s="1" t="s">
        <v>302</v>
      </c>
      <c r="R2622" s="2">
        <v>42116</v>
      </c>
      <c r="S2622" s="1">
        <v>252268</v>
      </c>
      <c r="U2622" s="1">
        <v>271</v>
      </c>
      <c r="V2622" s="1" t="s">
        <v>13084</v>
      </c>
      <c r="W2622" s="1" t="s">
        <v>425</v>
      </c>
      <c r="X2622" s="1">
        <v>305</v>
      </c>
      <c r="Y2622" s="1">
        <v>24</v>
      </c>
      <c r="Z2622" s="1" t="s">
        <v>200</v>
      </c>
      <c r="AA2622" s="1" t="s">
        <v>371</v>
      </c>
      <c r="AB2622" s="1">
        <v>60103</v>
      </c>
      <c r="AD2622" s="1" t="s">
        <v>1811</v>
      </c>
      <c r="AE2622" s="1" t="s">
        <v>22320</v>
      </c>
      <c r="AF2622" s="1">
        <v>2006</v>
      </c>
      <c r="AG2622" s="1" t="s">
        <v>204</v>
      </c>
      <c r="AH2622" s="1" t="s">
        <v>373</v>
      </c>
      <c r="AI2622" s="1" t="s">
        <v>310</v>
      </c>
      <c r="AJ2622" s="1" t="s">
        <v>374</v>
      </c>
      <c r="AL2622" s="1">
        <v>5</v>
      </c>
      <c r="AM2622" s="1">
        <v>2</v>
      </c>
      <c r="AN2622" s="1">
        <v>2</v>
      </c>
      <c r="AO2622" s="1">
        <v>0</v>
      </c>
      <c r="AP2622" s="1" t="s">
        <v>209</v>
      </c>
      <c r="AQ2622" s="1">
        <v>0</v>
      </c>
      <c r="AR2622" s="1" t="s">
        <v>210</v>
      </c>
      <c r="AS2622" s="1" t="s">
        <v>204</v>
      </c>
      <c r="AT2622" s="1" t="s">
        <v>211</v>
      </c>
      <c r="AU2622" s="1">
        <v>2</v>
      </c>
      <c r="AW2622" s="1" t="s">
        <v>204</v>
      </c>
      <c r="AX2622" s="1" t="s">
        <v>212</v>
      </c>
      <c r="AZ2622" s="1">
        <v>3118</v>
      </c>
      <c r="BA2622" s="1">
        <v>2013</v>
      </c>
      <c r="BB2622" s="1" t="s">
        <v>210</v>
      </c>
      <c r="BE2622" s="1">
        <v>1512</v>
      </c>
      <c r="BF2622" s="1">
        <v>3</v>
      </c>
      <c r="BG2622" s="1">
        <v>0</v>
      </c>
      <c r="BL2622" s="1">
        <v>322</v>
      </c>
      <c r="BM2622" s="1" t="s">
        <v>204</v>
      </c>
      <c r="BN2622" s="1" t="s">
        <v>213</v>
      </c>
      <c r="BO2622" s="1">
        <v>999</v>
      </c>
      <c r="BP2622" s="1" t="s">
        <v>204</v>
      </c>
      <c r="BR2622" s="1" t="str">
        <f>"06353150701021"</f>
        <v>06353150701021</v>
      </c>
      <c r="BT2622" s="1" t="s">
        <v>22321</v>
      </c>
      <c r="BX2622" s="1">
        <v>46</v>
      </c>
      <c r="BY2622" s="1">
        <v>46</v>
      </c>
      <c r="BZ2622" s="1">
        <v>46</v>
      </c>
      <c r="CB2622" s="1" t="str">
        <f>"8"</f>
        <v>8</v>
      </c>
      <c r="CC2622" s="1" t="str">
        <f>"0"</f>
        <v>0</v>
      </c>
      <c r="CD2622" s="1">
        <v>29</v>
      </c>
      <c r="CE2622" s="1">
        <v>0</v>
      </c>
      <c r="CG2622" s="1" t="s">
        <v>862</v>
      </c>
      <c r="CH2622" s="1" t="s">
        <v>219</v>
      </c>
      <c r="CK2622" s="1" t="s">
        <v>729</v>
      </c>
      <c r="CL2622" s="1" t="s">
        <v>219</v>
      </c>
      <c r="CO2622" s="1" t="s">
        <v>1358</v>
      </c>
      <c r="CP2622" s="1" t="s">
        <v>219</v>
      </c>
      <c r="CS2622" s="1" t="s">
        <v>461</v>
      </c>
      <c r="CT2622" s="1" t="s">
        <v>219</v>
      </c>
      <c r="CX2622" s="1" t="s">
        <v>224</v>
      </c>
      <c r="DB2622" s="1" t="s">
        <v>224</v>
      </c>
      <c r="DE2622" s="1" t="s">
        <v>539</v>
      </c>
      <c r="DF2622" s="1" t="s">
        <v>219</v>
      </c>
      <c r="DJ2622" s="1" t="s">
        <v>224</v>
      </c>
      <c r="DS2622" s="1" t="s">
        <v>230</v>
      </c>
      <c r="DW2622" s="1" t="s">
        <v>230</v>
      </c>
      <c r="EA2622" s="1" t="s">
        <v>230</v>
      </c>
      <c r="EE2622" s="1" t="s">
        <v>230</v>
      </c>
      <c r="EI2622" s="1" t="s">
        <v>230</v>
      </c>
      <c r="EL2622" s="1" t="s">
        <v>491</v>
      </c>
      <c r="EM2622" s="1" t="s">
        <v>319</v>
      </c>
      <c r="EN2622" s="1" t="s">
        <v>282</v>
      </c>
      <c r="EO2622" s="1" t="s">
        <v>234</v>
      </c>
      <c r="EP2622" s="1" t="s">
        <v>11544</v>
      </c>
      <c r="EQ2622" s="1" t="s">
        <v>236</v>
      </c>
      <c r="ER2622" s="1" t="s">
        <v>210</v>
      </c>
      <c r="ES2622" s="1" t="s">
        <v>1868</v>
      </c>
      <c r="ET2622" s="1" t="s">
        <v>238</v>
      </c>
      <c r="EU2622" s="1" t="s">
        <v>239</v>
      </c>
      <c r="EV2622" s="1" t="s">
        <v>240</v>
      </c>
      <c r="EW2622" s="1" t="s">
        <v>10986</v>
      </c>
      <c r="EY2622" s="1" t="s">
        <v>242</v>
      </c>
      <c r="EZ2622" s="1" t="s">
        <v>287</v>
      </c>
      <c r="FA2622" s="1" t="s">
        <v>471</v>
      </c>
      <c r="FC2622" s="1" t="s">
        <v>548</v>
      </c>
      <c r="FD2622" s="1" t="s">
        <v>246</v>
      </c>
      <c r="FE2622" s="1" t="s">
        <v>847</v>
      </c>
      <c r="FF2622" s="1" t="s">
        <v>248</v>
      </c>
      <c r="FH2622" s="1" t="s">
        <v>249</v>
      </c>
      <c r="FI2622" s="1" t="s">
        <v>1114</v>
      </c>
      <c r="FL2622" s="1" t="s">
        <v>414</v>
      </c>
      <c r="FM2622" s="1" t="s">
        <v>252</v>
      </c>
      <c r="FN2622" s="1" t="s">
        <v>213</v>
      </c>
      <c r="FO2622" s="1" t="s">
        <v>213</v>
      </c>
      <c r="FQ2622" s="1" t="s">
        <v>18977</v>
      </c>
      <c r="FR2622" s="1" t="s">
        <v>210</v>
      </c>
      <c r="FS2622" s="1" t="s">
        <v>2608</v>
      </c>
      <c r="FT2622" s="1" t="s">
        <v>362</v>
      </c>
      <c r="FU2622" s="1" t="s">
        <v>204</v>
      </c>
      <c r="FW2622" s="1" t="s">
        <v>12618</v>
      </c>
      <c r="FX2622" s="1">
        <v>4475</v>
      </c>
      <c r="FY2622" s="1" t="s">
        <v>12619</v>
      </c>
      <c r="FZ2622" s="1" t="s">
        <v>12620</v>
      </c>
      <c r="GA2622" s="1">
        <v>38351</v>
      </c>
      <c r="GB2622" s="1" t="s">
        <v>12621</v>
      </c>
      <c r="GC2622" s="1">
        <v>240478</v>
      </c>
      <c r="GD2622" s="1" t="s">
        <v>12622</v>
      </c>
      <c r="GE2622" s="1" t="s">
        <v>1256</v>
      </c>
      <c r="GH2622" s="1" t="s">
        <v>800</v>
      </c>
      <c r="GI2622" s="1" t="s">
        <v>204</v>
      </c>
      <c r="GJ2622" s="1" t="s">
        <v>260</v>
      </c>
      <c r="GK2622" s="1" t="s">
        <v>210</v>
      </c>
      <c r="GL2622" s="2">
        <v>42116</v>
      </c>
      <c r="GM2622" s="1" t="s">
        <v>22322</v>
      </c>
    </row>
    <row r="2623" spans="1:195">
      <c r="A2623" s="1">
        <v>75000</v>
      </c>
      <c r="B2623" s="1" t="s">
        <v>195</v>
      </c>
      <c r="C2623" s="1" t="str">
        <f>"08842424"</f>
        <v>08842424</v>
      </c>
      <c r="D2623" s="1" t="s">
        <v>196</v>
      </c>
      <c r="F2623" s="1" t="str">
        <f>"517"</f>
        <v>517</v>
      </c>
      <c r="G2623" s="2">
        <v>42054</v>
      </c>
      <c r="H2623" s="1">
        <v>85000</v>
      </c>
      <c r="I2623" s="1">
        <v>85000</v>
      </c>
      <c r="J2623" s="1">
        <v>75000</v>
      </c>
      <c r="K2623" s="2">
        <v>42053</v>
      </c>
      <c r="L2623" s="1">
        <v>36</v>
      </c>
      <c r="M2623" s="2">
        <v>42088</v>
      </c>
      <c r="N2623" s="1">
        <v>36</v>
      </c>
      <c r="O2623" s="2">
        <v>42088</v>
      </c>
      <c r="P2623" s="1">
        <v>37438</v>
      </c>
      <c r="Q2623" s="1" t="s">
        <v>197</v>
      </c>
      <c r="R2623" s="2">
        <v>42136</v>
      </c>
      <c r="S2623" s="1">
        <v>371081</v>
      </c>
      <c r="U2623" s="1">
        <v>2537</v>
      </c>
      <c r="V2623" s="1" t="s">
        <v>3308</v>
      </c>
      <c r="W2623" s="1" t="s">
        <v>725</v>
      </c>
      <c r="X2623" s="1">
        <v>2505</v>
      </c>
      <c r="Y2623" s="1">
        <v>18</v>
      </c>
      <c r="Z2623" s="1" t="s">
        <v>249</v>
      </c>
      <c r="AA2623" s="1" t="s">
        <v>2850</v>
      </c>
      <c r="AB2623" s="1">
        <v>60517</v>
      </c>
      <c r="AD2623" s="1" t="s">
        <v>267</v>
      </c>
      <c r="AE2623" s="1" t="s">
        <v>22323</v>
      </c>
      <c r="AF2623" s="1">
        <v>1980</v>
      </c>
      <c r="AG2623" s="1" t="s">
        <v>204</v>
      </c>
      <c r="AH2623" s="1" t="s">
        <v>2853</v>
      </c>
      <c r="AI2623" s="1" t="s">
        <v>206</v>
      </c>
      <c r="AJ2623" s="1" t="s">
        <v>925</v>
      </c>
      <c r="AL2623" s="1">
        <v>5</v>
      </c>
      <c r="AM2623" s="1">
        <v>2</v>
      </c>
      <c r="AN2623" s="1">
        <v>1</v>
      </c>
      <c r="AO2623" s="1">
        <v>0</v>
      </c>
      <c r="AP2623" s="1" t="s">
        <v>210</v>
      </c>
      <c r="AR2623" s="1" t="s">
        <v>210</v>
      </c>
      <c r="AS2623" s="1" t="s">
        <v>204</v>
      </c>
      <c r="AT2623" s="1" t="s">
        <v>271</v>
      </c>
      <c r="AV2623" s="1">
        <v>2</v>
      </c>
      <c r="AW2623" s="1" t="s">
        <v>204</v>
      </c>
      <c r="AX2623" s="1" t="s">
        <v>212</v>
      </c>
      <c r="AZ2623" s="1">
        <v>1794</v>
      </c>
      <c r="BA2623" s="1">
        <v>2013</v>
      </c>
      <c r="BB2623" s="1" t="s">
        <v>210</v>
      </c>
      <c r="BE2623" s="1">
        <v>877</v>
      </c>
      <c r="BF2623" s="1">
        <v>3</v>
      </c>
      <c r="BG2623" s="1">
        <v>30</v>
      </c>
      <c r="BL2623" s="1">
        <v>297</v>
      </c>
      <c r="BM2623" s="1" t="s">
        <v>204</v>
      </c>
      <c r="BN2623" s="1" t="s">
        <v>213</v>
      </c>
      <c r="BP2623" s="1" t="s">
        <v>204</v>
      </c>
      <c r="BR2623" s="1" t="str">
        <f>"0836109011"</f>
        <v>0836109011</v>
      </c>
      <c r="BT2623" s="1" t="s">
        <v>22324</v>
      </c>
      <c r="BX2623" s="1">
        <v>68</v>
      </c>
      <c r="BY2623" s="1">
        <v>68</v>
      </c>
      <c r="BZ2623" s="1">
        <v>99</v>
      </c>
      <c r="CB2623" s="1" t="str">
        <f t="shared" ref="CB2623:CC2623" si="2010">"0"</f>
        <v>0</v>
      </c>
      <c r="CC2623" s="1" t="str">
        <f t="shared" si="2010"/>
        <v>0</v>
      </c>
      <c r="CD2623" s="1">
        <v>21</v>
      </c>
      <c r="CE2623" s="1">
        <v>9</v>
      </c>
      <c r="CG2623" s="1" t="s">
        <v>2511</v>
      </c>
      <c r="CH2623" s="1" t="s">
        <v>219</v>
      </c>
      <c r="CI2623" s="1" t="s">
        <v>220</v>
      </c>
      <c r="CK2623" s="1" t="s">
        <v>465</v>
      </c>
      <c r="CL2623" s="1" t="s">
        <v>219</v>
      </c>
      <c r="CM2623" s="1" t="s">
        <v>220</v>
      </c>
      <c r="CO2623" s="1" t="s">
        <v>629</v>
      </c>
      <c r="CP2623" s="1" t="s">
        <v>219</v>
      </c>
      <c r="CQ2623" s="1" t="s">
        <v>220</v>
      </c>
      <c r="CS2623" s="1" t="s">
        <v>465</v>
      </c>
      <c r="CT2623" s="1" t="s">
        <v>219</v>
      </c>
      <c r="CU2623" s="1" t="s">
        <v>220</v>
      </c>
      <c r="CX2623" s="1" t="s">
        <v>224</v>
      </c>
      <c r="DB2623" s="1" t="s">
        <v>224</v>
      </c>
      <c r="DE2623" s="1" t="s">
        <v>346</v>
      </c>
      <c r="DF2623" s="1" t="s">
        <v>219</v>
      </c>
      <c r="DG2623" s="1" t="s">
        <v>342</v>
      </c>
      <c r="DJ2623" s="1" t="s">
        <v>224</v>
      </c>
      <c r="DS2623" s="1" t="s">
        <v>230</v>
      </c>
      <c r="DW2623" s="1" t="s">
        <v>230</v>
      </c>
      <c r="EA2623" s="1" t="s">
        <v>230</v>
      </c>
      <c r="EE2623" s="1" t="s">
        <v>230</v>
      </c>
      <c r="EI2623" s="1" t="s">
        <v>230</v>
      </c>
      <c r="EL2623" s="1" t="s">
        <v>231</v>
      </c>
      <c r="EM2623" s="1" t="s">
        <v>232</v>
      </c>
      <c r="EN2623" s="1" t="s">
        <v>1158</v>
      </c>
      <c r="EO2623" s="1" t="s">
        <v>234</v>
      </c>
      <c r="EP2623" s="1" t="s">
        <v>6649</v>
      </c>
      <c r="ER2623" s="1" t="s">
        <v>210</v>
      </c>
      <c r="EW2623" s="1" t="s">
        <v>7092</v>
      </c>
      <c r="EZ2623" s="1" t="s">
        <v>287</v>
      </c>
      <c r="FD2623" s="1" t="s">
        <v>736</v>
      </c>
      <c r="FE2623" s="1" t="s">
        <v>247</v>
      </c>
      <c r="FF2623" s="1" t="s">
        <v>248</v>
      </c>
      <c r="FH2623" s="1" t="s">
        <v>249</v>
      </c>
      <c r="FL2623" s="1" t="s">
        <v>614</v>
      </c>
      <c r="FM2623" s="1" t="s">
        <v>252</v>
      </c>
      <c r="FN2623" s="1" t="s">
        <v>213</v>
      </c>
      <c r="FO2623" s="1" t="s">
        <v>213</v>
      </c>
      <c r="FQ2623" s="1" t="s">
        <v>22325</v>
      </c>
      <c r="FR2623" s="1" t="s">
        <v>210</v>
      </c>
      <c r="FS2623" s="1" t="s">
        <v>22326</v>
      </c>
      <c r="FT2623" s="1" t="s">
        <v>295</v>
      </c>
      <c r="FU2623" s="1" t="s">
        <v>204</v>
      </c>
      <c r="FW2623" s="1" t="s">
        <v>5202</v>
      </c>
      <c r="FX2623" s="1">
        <v>22067</v>
      </c>
      <c r="FY2623" s="1" t="s">
        <v>5203</v>
      </c>
      <c r="FZ2623" s="1" t="s">
        <v>22327</v>
      </c>
      <c r="GA2623" s="1">
        <v>222498</v>
      </c>
      <c r="GB2623" s="1" t="s">
        <v>5203</v>
      </c>
      <c r="GE2623" s="1" t="s">
        <v>210</v>
      </c>
      <c r="GI2623" s="1" t="s">
        <v>213</v>
      </c>
      <c r="GJ2623" s="1" t="s">
        <v>260</v>
      </c>
      <c r="GK2623" s="1" t="s">
        <v>210</v>
      </c>
      <c r="GL2623" s="2">
        <v>42138</v>
      </c>
      <c r="GM2623" s="1" t="s">
        <v>7060</v>
      </c>
    </row>
    <row r="2624" spans="1:195">
      <c r="A2624" s="1">
        <v>61250</v>
      </c>
      <c r="B2624" s="1" t="s">
        <v>195</v>
      </c>
      <c r="C2624" s="1" t="str">
        <f>"08842902"</f>
        <v>08842902</v>
      </c>
      <c r="D2624" s="1" t="s">
        <v>196</v>
      </c>
      <c r="F2624" s="1" t="str">
        <f>"507"</f>
        <v>507</v>
      </c>
      <c r="G2624" s="2">
        <v>42055</v>
      </c>
      <c r="H2624" s="1">
        <v>65000</v>
      </c>
      <c r="I2624" s="1">
        <v>65000</v>
      </c>
      <c r="J2624" s="1">
        <v>61250</v>
      </c>
      <c r="K2624" s="2">
        <v>42055</v>
      </c>
      <c r="L2624" s="1">
        <v>5</v>
      </c>
      <c r="M2624" s="2">
        <v>42059</v>
      </c>
      <c r="N2624" s="1">
        <v>5</v>
      </c>
      <c r="O2624" s="2">
        <v>42059</v>
      </c>
      <c r="P2624" s="1">
        <v>23076</v>
      </c>
      <c r="Q2624" s="1" t="s">
        <v>302</v>
      </c>
      <c r="R2624" s="2">
        <v>42079</v>
      </c>
      <c r="S2624" s="1">
        <v>225492</v>
      </c>
      <c r="U2624" s="1">
        <v>157</v>
      </c>
      <c r="V2624" s="1" t="s">
        <v>5187</v>
      </c>
      <c r="W2624" s="1" t="s">
        <v>725</v>
      </c>
      <c r="X2624" s="1">
        <v>8</v>
      </c>
      <c r="Y2624" s="1">
        <v>18</v>
      </c>
      <c r="Z2624" s="1" t="s">
        <v>249</v>
      </c>
      <c r="AA2624" s="1" t="s">
        <v>1123</v>
      </c>
      <c r="AB2624" s="1">
        <v>60504</v>
      </c>
      <c r="AD2624" s="1" t="s">
        <v>22328</v>
      </c>
      <c r="AE2624" s="1" t="s">
        <v>22329</v>
      </c>
      <c r="AF2624" s="1">
        <v>1982</v>
      </c>
      <c r="AG2624" s="1" t="s">
        <v>204</v>
      </c>
      <c r="AH2624" s="1" t="s">
        <v>1126</v>
      </c>
      <c r="AI2624" s="1" t="s">
        <v>206</v>
      </c>
      <c r="AJ2624" s="1" t="s">
        <v>924</v>
      </c>
      <c r="AL2624" s="1">
        <v>5</v>
      </c>
      <c r="AM2624" s="1">
        <v>2</v>
      </c>
      <c r="AN2624" s="1">
        <v>1</v>
      </c>
      <c r="AO2624" s="1">
        <v>1</v>
      </c>
      <c r="AP2624" s="1" t="s">
        <v>210</v>
      </c>
      <c r="AR2624" s="1" t="s">
        <v>210</v>
      </c>
      <c r="AS2624" s="1" t="s">
        <v>204</v>
      </c>
      <c r="AT2624" s="1" t="s">
        <v>271</v>
      </c>
      <c r="AV2624" s="1">
        <v>2</v>
      </c>
      <c r="AW2624" s="1" t="s">
        <v>204</v>
      </c>
      <c r="AX2624" s="1" t="s">
        <v>212</v>
      </c>
      <c r="AZ2624" s="1">
        <v>810</v>
      </c>
      <c r="BA2624" s="1">
        <v>2013</v>
      </c>
      <c r="BB2624" s="1" t="s">
        <v>405</v>
      </c>
      <c r="BE2624" s="1">
        <v>890</v>
      </c>
      <c r="BF2624" s="1">
        <v>2</v>
      </c>
      <c r="BG2624" s="1">
        <v>10</v>
      </c>
      <c r="BL2624" s="1">
        <v>428</v>
      </c>
      <c r="BM2624" s="1" t="s">
        <v>204</v>
      </c>
      <c r="BN2624" s="1" t="s">
        <v>213</v>
      </c>
      <c r="BP2624" s="1" t="s">
        <v>204</v>
      </c>
      <c r="BR2624" s="1" t="str">
        <f>"0721306140"</f>
        <v>0721306140</v>
      </c>
      <c r="BT2624" s="1" t="s">
        <v>22330</v>
      </c>
      <c r="BU2624" s="1" t="s">
        <v>2087</v>
      </c>
      <c r="BV2624" s="1" t="s">
        <v>1248</v>
      </c>
      <c r="BW2624" s="1" t="s">
        <v>1131</v>
      </c>
      <c r="BX2624" s="1">
        <v>204</v>
      </c>
      <c r="BY2624" s="1">
        <v>204</v>
      </c>
      <c r="BZ2624" s="1">
        <v>204</v>
      </c>
      <c r="CB2624" s="1" t="str">
        <f t="shared" ref="CB2624:CC2624" si="2011">"0"</f>
        <v>0</v>
      </c>
      <c r="CC2624" s="1" t="str">
        <f t="shared" si="2011"/>
        <v>0</v>
      </c>
      <c r="CD2624" s="1">
        <v>0</v>
      </c>
      <c r="CE2624" s="1">
        <v>0</v>
      </c>
      <c r="CG2624" s="1" t="s">
        <v>1615</v>
      </c>
      <c r="CH2624" s="1" t="s">
        <v>219</v>
      </c>
      <c r="CI2624" s="1" t="s">
        <v>220</v>
      </c>
      <c r="CJ2624" s="1" t="s">
        <v>343</v>
      </c>
      <c r="CK2624" s="1" t="s">
        <v>344</v>
      </c>
      <c r="CL2624" s="1" t="s">
        <v>219</v>
      </c>
      <c r="CM2624" s="1" t="s">
        <v>220</v>
      </c>
      <c r="CN2624" s="1" t="s">
        <v>343</v>
      </c>
      <c r="CO2624" s="1" t="s">
        <v>629</v>
      </c>
      <c r="CP2624" s="1" t="s">
        <v>219</v>
      </c>
      <c r="CQ2624" s="1" t="s">
        <v>220</v>
      </c>
      <c r="CS2624" s="1" t="s">
        <v>346</v>
      </c>
      <c r="CT2624" s="1" t="s">
        <v>219</v>
      </c>
      <c r="CU2624" s="1" t="s">
        <v>220</v>
      </c>
      <c r="CV2624" s="1" t="s">
        <v>343</v>
      </c>
      <c r="CX2624" s="1" t="s">
        <v>224</v>
      </c>
      <c r="DB2624" s="1" t="s">
        <v>224</v>
      </c>
      <c r="DE2624" s="1" t="s">
        <v>379</v>
      </c>
      <c r="DF2624" s="1" t="s">
        <v>219</v>
      </c>
      <c r="DG2624" s="1" t="s">
        <v>229</v>
      </c>
      <c r="DH2624" s="1" t="s">
        <v>210</v>
      </c>
      <c r="DJ2624" s="1" t="s">
        <v>224</v>
      </c>
      <c r="DM2624" s="1" t="s">
        <v>1614</v>
      </c>
      <c r="DR2624" s="1" t="s">
        <v>1313</v>
      </c>
      <c r="DS2624" s="1" t="s">
        <v>43</v>
      </c>
      <c r="DW2624" s="1" t="s">
        <v>230</v>
      </c>
      <c r="EA2624" s="1" t="s">
        <v>230</v>
      </c>
      <c r="EE2624" s="1" t="s">
        <v>230</v>
      </c>
      <c r="EI2624" s="1" t="s">
        <v>230</v>
      </c>
      <c r="EL2624" s="1" t="s">
        <v>231</v>
      </c>
      <c r="EM2624" s="1" t="s">
        <v>319</v>
      </c>
      <c r="EN2624" s="1" t="s">
        <v>1158</v>
      </c>
      <c r="EO2624" s="1" t="s">
        <v>234</v>
      </c>
      <c r="EP2624" s="1" t="s">
        <v>5624</v>
      </c>
      <c r="EQ2624" s="1" t="s">
        <v>468</v>
      </c>
      <c r="ER2624" s="1" t="s">
        <v>210</v>
      </c>
      <c r="EU2624" s="1" t="s">
        <v>712</v>
      </c>
      <c r="EV2624" s="1" t="s">
        <v>240</v>
      </c>
      <c r="EW2624" s="1" t="s">
        <v>22331</v>
      </c>
      <c r="EZ2624" s="1" t="s">
        <v>1614</v>
      </c>
      <c r="FA2624" s="1" t="s">
        <v>1270</v>
      </c>
      <c r="FD2624" s="1" t="s">
        <v>4003</v>
      </c>
      <c r="FE2624" s="1" t="s">
        <v>247</v>
      </c>
      <c r="FF2624" s="1" t="s">
        <v>248</v>
      </c>
      <c r="FH2624" s="1" t="s">
        <v>249</v>
      </c>
      <c r="FJ2624" s="1" t="s">
        <v>518</v>
      </c>
      <c r="FK2624" s="1" t="s">
        <v>6240</v>
      </c>
      <c r="FL2624" s="1" t="s">
        <v>328</v>
      </c>
      <c r="FM2624" s="1" t="s">
        <v>252</v>
      </c>
      <c r="FN2624" s="1" t="s">
        <v>213</v>
      </c>
      <c r="FO2624" s="1" t="s">
        <v>213</v>
      </c>
      <c r="FQ2624" s="1" t="s">
        <v>913</v>
      </c>
      <c r="FR2624" s="1" t="s">
        <v>210</v>
      </c>
      <c r="FS2624" s="1" t="s">
        <v>1008</v>
      </c>
      <c r="FT2624" s="1" t="s">
        <v>295</v>
      </c>
      <c r="FU2624" s="1" t="s">
        <v>204</v>
      </c>
      <c r="FW2624" s="1" t="s">
        <v>915</v>
      </c>
      <c r="FX2624" s="1">
        <v>25088</v>
      </c>
      <c r="FY2624" s="1" t="s">
        <v>1761</v>
      </c>
      <c r="FZ2624" s="1" t="s">
        <v>22332</v>
      </c>
      <c r="GA2624" s="1">
        <v>243864</v>
      </c>
      <c r="GB2624" s="1" t="s">
        <v>22333</v>
      </c>
      <c r="GC2624" s="1">
        <v>219533</v>
      </c>
      <c r="GE2624" s="1" t="s">
        <v>335</v>
      </c>
      <c r="GI2624" s="1" t="s">
        <v>213</v>
      </c>
      <c r="GJ2624" s="1" t="s">
        <v>260</v>
      </c>
      <c r="GK2624" s="1" t="s">
        <v>210</v>
      </c>
      <c r="GL2624" s="2">
        <v>42079</v>
      </c>
      <c r="GM2624" s="1" t="s">
        <v>22334</v>
      </c>
    </row>
    <row r="2625" spans="1:195">
      <c r="A2625" s="1">
        <v>175250</v>
      </c>
      <c r="B2625" s="1" t="s">
        <v>195</v>
      </c>
      <c r="C2625" s="1" t="str">
        <f>"08839937"</f>
        <v>08839937</v>
      </c>
      <c r="D2625" s="1" t="s">
        <v>196</v>
      </c>
      <c r="F2625" s="1" t="str">
        <f>"188"</f>
        <v>188</v>
      </c>
      <c r="G2625" s="2">
        <v>42051</v>
      </c>
      <c r="H2625" s="1">
        <v>179900</v>
      </c>
      <c r="I2625" s="1">
        <v>174000</v>
      </c>
      <c r="J2625" s="1">
        <v>175250</v>
      </c>
      <c r="K2625" s="2">
        <v>42051</v>
      </c>
      <c r="L2625" s="1">
        <v>185</v>
      </c>
      <c r="M2625" s="2">
        <v>42089</v>
      </c>
      <c r="N2625" s="1">
        <v>39</v>
      </c>
      <c r="O2625" s="2">
        <v>42089</v>
      </c>
      <c r="P2625" s="1">
        <v>8073</v>
      </c>
      <c r="Q2625" s="1" t="s">
        <v>197</v>
      </c>
      <c r="R2625" s="2">
        <v>42123</v>
      </c>
      <c r="S2625" s="1">
        <v>253331</v>
      </c>
      <c r="U2625" s="1">
        <v>719</v>
      </c>
      <c r="V2625" s="1" t="s">
        <v>2921</v>
      </c>
      <c r="W2625" s="1" t="s">
        <v>264</v>
      </c>
      <c r="X2625" s="1">
        <v>719</v>
      </c>
      <c r="Y2625" s="1">
        <v>4</v>
      </c>
      <c r="Z2625" s="1" t="s">
        <v>370</v>
      </c>
      <c r="AA2625" s="1" t="s">
        <v>1084</v>
      </c>
      <c r="AB2625" s="1">
        <v>60188</v>
      </c>
      <c r="AD2625" s="1" t="s">
        <v>12450</v>
      </c>
      <c r="AE2625" s="1" t="s">
        <v>22335</v>
      </c>
      <c r="AF2625" s="1">
        <v>1992</v>
      </c>
      <c r="AG2625" s="1" t="s">
        <v>204</v>
      </c>
      <c r="AH2625" s="1" t="s">
        <v>1087</v>
      </c>
      <c r="AI2625" s="1" t="s">
        <v>206</v>
      </c>
      <c r="AJ2625" s="1" t="s">
        <v>269</v>
      </c>
      <c r="AL2625" s="1">
        <v>5</v>
      </c>
      <c r="AM2625" s="1">
        <v>2</v>
      </c>
      <c r="AN2625" s="1">
        <v>1</v>
      </c>
      <c r="AO2625" s="1">
        <v>1</v>
      </c>
      <c r="AP2625" s="1" t="s">
        <v>209</v>
      </c>
      <c r="AQ2625" s="1">
        <v>1</v>
      </c>
      <c r="AR2625" s="1" t="s">
        <v>210</v>
      </c>
      <c r="AT2625" s="1" t="s">
        <v>211</v>
      </c>
      <c r="AU2625" s="1">
        <v>1</v>
      </c>
      <c r="AW2625" s="1" t="s">
        <v>204</v>
      </c>
      <c r="AX2625" s="1" t="s">
        <v>22336</v>
      </c>
      <c r="AZ2625" s="3">
        <v>4708</v>
      </c>
      <c r="BA2625" s="1">
        <v>2013</v>
      </c>
      <c r="BB2625" s="1" t="s">
        <v>210</v>
      </c>
      <c r="BE2625" s="1">
        <v>0</v>
      </c>
      <c r="BF2625" s="1">
        <v>1</v>
      </c>
      <c r="BG2625" s="1">
        <v>30</v>
      </c>
      <c r="BL2625" s="1">
        <v>209</v>
      </c>
      <c r="BM2625" s="1" t="s">
        <v>204</v>
      </c>
      <c r="BN2625" s="1" t="s">
        <v>213</v>
      </c>
      <c r="BO2625" s="1">
        <v>99</v>
      </c>
      <c r="BP2625" s="1" t="s">
        <v>204</v>
      </c>
      <c r="BR2625" s="1" t="str">
        <f>"0219306012"</f>
        <v>0219306012</v>
      </c>
      <c r="BT2625" s="1" t="s">
        <v>22337</v>
      </c>
      <c r="BU2625" s="1" t="s">
        <v>1090</v>
      </c>
      <c r="BV2625" s="1" t="s">
        <v>1091</v>
      </c>
      <c r="BW2625" s="1" t="s">
        <v>1092</v>
      </c>
      <c r="BX2625" s="1">
        <v>93</v>
      </c>
      <c r="BY2625" s="1">
        <v>93</v>
      </c>
      <c r="BZ2625" s="1">
        <v>87</v>
      </c>
      <c r="CB2625" s="1" t="str">
        <f>"4"</f>
        <v>4</v>
      </c>
      <c r="CC2625" s="1" t="str">
        <f>"0"</f>
        <v>0</v>
      </c>
      <c r="CD2625" s="1">
        <v>26</v>
      </c>
      <c r="CE2625" s="1">
        <v>0</v>
      </c>
      <c r="CG2625" s="1" t="s">
        <v>1267</v>
      </c>
      <c r="CH2625" s="1" t="s">
        <v>219</v>
      </c>
      <c r="CI2625" s="1" t="s">
        <v>229</v>
      </c>
      <c r="CK2625" s="1" t="s">
        <v>278</v>
      </c>
      <c r="CL2625" s="1" t="s">
        <v>277</v>
      </c>
      <c r="CM2625" s="1" t="s">
        <v>220</v>
      </c>
      <c r="CO2625" s="1" t="s">
        <v>3034</v>
      </c>
      <c r="CP2625" s="1" t="s">
        <v>219</v>
      </c>
      <c r="CQ2625" s="1" t="s">
        <v>229</v>
      </c>
      <c r="CS2625" s="1" t="s">
        <v>318</v>
      </c>
      <c r="CT2625" s="1" t="s">
        <v>277</v>
      </c>
      <c r="CU2625" s="1" t="s">
        <v>220</v>
      </c>
      <c r="CV2625" s="1" t="s">
        <v>210</v>
      </c>
      <c r="CX2625" s="1" t="s">
        <v>224</v>
      </c>
      <c r="DB2625" s="1" t="s">
        <v>224</v>
      </c>
      <c r="DE2625" s="1" t="s">
        <v>3034</v>
      </c>
      <c r="DF2625" s="1" t="s">
        <v>219</v>
      </c>
      <c r="DG2625" s="1" t="s">
        <v>229</v>
      </c>
      <c r="DJ2625" s="1" t="s">
        <v>224</v>
      </c>
      <c r="DS2625" s="1" t="s">
        <v>230</v>
      </c>
      <c r="DW2625" s="1" t="s">
        <v>230</v>
      </c>
      <c r="EA2625" s="1" t="s">
        <v>230</v>
      </c>
      <c r="EE2625" s="1" t="s">
        <v>230</v>
      </c>
      <c r="EI2625" s="1" t="s">
        <v>230</v>
      </c>
      <c r="EL2625" s="1" t="s">
        <v>382</v>
      </c>
      <c r="EM2625" s="1" t="s">
        <v>232</v>
      </c>
      <c r="EN2625" s="1" t="s">
        <v>282</v>
      </c>
      <c r="EO2625" s="1" t="s">
        <v>234</v>
      </c>
      <c r="EP2625" s="1" t="s">
        <v>1489</v>
      </c>
      <c r="EQ2625" s="1" t="s">
        <v>1551</v>
      </c>
      <c r="ER2625" s="1" t="s">
        <v>210</v>
      </c>
      <c r="ES2625" s="1" t="s">
        <v>322</v>
      </c>
      <c r="ET2625" s="1" t="s">
        <v>1201</v>
      </c>
      <c r="EU2625" s="1" t="s">
        <v>239</v>
      </c>
      <c r="EV2625" s="1" t="s">
        <v>324</v>
      </c>
      <c r="EW2625" s="1" t="s">
        <v>887</v>
      </c>
      <c r="EY2625" s="1" t="s">
        <v>242</v>
      </c>
      <c r="EZ2625" s="1" t="s">
        <v>287</v>
      </c>
      <c r="FA2625" s="1" t="s">
        <v>672</v>
      </c>
      <c r="FB2625" s="1" t="s">
        <v>1505</v>
      </c>
      <c r="FD2625" s="1" t="s">
        <v>495</v>
      </c>
      <c r="FE2625" s="1" t="s">
        <v>1031</v>
      </c>
      <c r="FF2625" s="1" t="s">
        <v>248</v>
      </c>
      <c r="FG2625" s="1" t="s">
        <v>871</v>
      </c>
      <c r="FH2625" s="1" t="s">
        <v>550</v>
      </c>
      <c r="FI2625" s="1" t="s">
        <v>357</v>
      </c>
      <c r="FL2625" s="1" t="s">
        <v>358</v>
      </c>
      <c r="FM2625" s="1" t="s">
        <v>252</v>
      </c>
      <c r="FN2625" s="1" t="s">
        <v>213</v>
      </c>
      <c r="FO2625" s="1" t="s">
        <v>213</v>
      </c>
      <c r="FQ2625" s="1" t="s">
        <v>22338</v>
      </c>
      <c r="FR2625" s="1" t="s">
        <v>210</v>
      </c>
      <c r="FS2625" s="1" t="s">
        <v>22339</v>
      </c>
      <c r="FT2625" s="1" t="s">
        <v>295</v>
      </c>
      <c r="FU2625" s="1" t="s">
        <v>204</v>
      </c>
      <c r="FW2625" s="1" t="s">
        <v>22340</v>
      </c>
      <c r="FX2625" s="1">
        <v>85413</v>
      </c>
      <c r="FY2625" s="1" t="s">
        <v>22341</v>
      </c>
      <c r="FZ2625" s="1" t="s">
        <v>22342</v>
      </c>
      <c r="GA2625" s="1">
        <v>151828</v>
      </c>
      <c r="GB2625" s="1" t="s">
        <v>22343</v>
      </c>
      <c r="GE2625" s="1" t="s">
        <v>210</v>
      </c>
      <c r="GI2625" s="1" t="s">
        <v>204</v>
      </c>
      <c r="GJ2625" s="1" t="s">
        <v>260</v>
      </c>
      <c r="GK2625" s="1" t="s">
        <v>210</v>
      </c>
      <c r="GL2625" s="2">
        <v>42129</v>
      </c>
    </row>
    <row r="2626" spans="1:195">
      <c r="A2626" s="1">
        <v>104900</v>
      </c>
      <c r="B2626" s="1" t="s">
        <v>195</v>
      </c>
      <c r="C2626" s="1" t="str">
        <f>"08842235"</f>
        <v>08842235</v>
      </c>
      <c r="D2626" s="1" t="s">
        <v>196</v>
      </c>
      <c r="F2626" s="1" t="str">
        <f>"560"</f>
        <v>560</v>
      </c>
      <c r="G2626" s="2">
        <v>42054</v>
      </c>
      <c r="H2626" s="1">
        <v>119900</v>
      </c>
      <c r="I2626" s="1">
        <v>109900</v>
      </c>
      <c r="J2626" s="1">
        <v>104900</v>
      </c>
      <c r="K2626" s="2">
        <v>42054</v>
      </c>
      <c r="L2626" s="1">
        <v>40</v>
      </c>
      <c r="M2626" s="2">
        <v>42093</v>
      </c>
      <c r="N2626" s="1">
        <v>40</v>
      </c>
      <c r="O2626" s="2">
        <v>42093</v>
      </c>
      <c r="P2626" s="1">
        <v>22588</v>
      </c>
      <c r="Q2626" s="1" t="s">
        <v>197</v>
      </c>
      <c r="R2626" s="2">
        <v>42137</v>
      </c>
      <c r="S2626" s="1">
        <v>233740</v>
      </c>
      <c r="T2626" s="1">
        <v>465</v>
      </c>
      <c r="U2626" s="1">
        <v>1163</v>
      </c>
      <c r="V2626" s="1" t="s">
        <v>22344</v>
      </c>
      <c r="W2626" s="1" t="s">
        <v>425</v>
      </c>
      <c r="Y2626" s="1">
        <v>4</v>
      </c>
      <c r="Z2626" s="1" t="s">
        <v>370</v>
      </c>
      <c r="AA2626" s="1" t="s">
        <v>484</v>
      </c>
      <c r="AB2626" s="1">
        <v>60560</v>
      </c>
      <c r="AD2626" s="1" t="s">
        <v>22345</v>
      </c>
      <c r="AE2626" s="1" t="s">
        <v>22346</v>
      </c>
      <c r="AF2626" s="1">
        <v>2007</v>
      </c>
      <c r="AG2626" s="1" t="s">
        <v>204</v>
      </c>
      <c r="AH2626" s="1" t="s">
        <v>487</v>
      </c>
      <c r="AI2626" s="1" t="s">
        <v>453</v>
      </c>
      <c r="AJ2626" s="1" t="s">
        <v>9630</v>
      </c>
      <c r="AK2626" s="1" t="s">
        <v>22347</v>
      </c>
      <c r="AL2626" s="1">
        <v>5</v>
      </c>
      <c r="AM2626" s="1">
        <v>2</v>
      </c>
      <c r="AN2626" s="1">
        <v>2</v>
      </c>
      <c r="AO2626" s="1">
        <v>1</v>
      </c>
      <c r="AP2626" s="1" t="s">
        <v>209</v>
      </c>
      <c r="AR2626" s="1" t="s">
        <v>210</v>
      </c>
      <c r="AS2626" s="1" t="s">
        <v>204</v>
      </c>
      <c r="AT2626" s="1" t="s">
        <v>211</v>
      </c>
      <c r="AU2626" s="1">
        <v>2</v>
      </c>
      <c r="AW2626" s="1" t="s">
        <v>204</v>
      </c>
      <c r="AX2626" s="1" t="s">
        <v>22348</v>
      </c>
      <c r="AZ2626" s="1">
        <v>4978.9799999999996</v>
      </c>
      <c r="BA2626" s="1">
        <v>2013</v>
      </c>
      <c r="BE2626" s="1">
        <v>1600</v>
      </c>
      <c r="BF2626" s="1">
        <v>2</v>
      </c>
      <c r="BG2626" s="1">
        <v>0</v>
      </c>
      <c r="BL2626" s="1">
        <v>155</v>
      </c>
      <c r="BM2626" s="1" t="s">
        <v>204</v>
      </c>
      <c r="BN2626" s="1" t="s">
        <v>213</v>
      </c>
      <c r="BO2626" s="1" t="s">
        <v>4354</v>
      </c>
      <c r="BP2626" s="1" t="s">
        <v>204</v>
      </c>
      <c r="BR2626" s="1" t="str">
        <f>"0503379023"</f>
        <v>0503379023</v>
      </c>
      <c r="BT2626" s="1" t="s">
        <v>22349</v>
      </c>
      <c r="BX2626" s="1">
        <v>115</v>
      </c>
      <c r="BY2626" s="1">
        <v>115</v>
      </c>
      <c r="BZ2626" s="1">
        <v>115</v>
      </c>
      <c r="CB2626" s="1" t="str">
        <f t="shared" ref="CB2626:CC2626" si="2012">"0"</f>
        <v>0</v>
      </c>
      <c r="CC2626" s="1" t="str">
        <f t="shared" si="2012"/>
        <v>0</v>
      </c>
      <c r="CD2626" s="1">
        <v>0</v>
      </c>
      <c r="CE2626" s="1">
        <v>0</v>
      </c>
      <c r="CG2626" s="1" t="s">
        <v>862</v>
      </c>
      <c r="CH2626" s="1" t="s">
        <v>219</v>
      </c>
      <c r="CI2626" s="1" t="s">
        <v>220</v>
      </c>
      <c r="CK2626" s="1" t="s">
        <v>437</v>
      </c>
      <c r="CL2626" s="1" t="s">
        <v>277</v>
      </c>
      <c r="CM2626" s="1" t="s">
        <v>220</v>
      </c>
      <c r="CO2626" s="1" t="s">
        <v>346</v>
      </c>
      <c r="CP2626" s="1" t="s">
        <v>219</v>
      </c>
      <c r="CQ2626" s="1" t="s">
        <v>342</v>
      </c>
      <c r="CS2626" s="1" t="s">
        <v>379</v>
      </c>
      <c r="CT2626" s="1" t="s">
        <v>277</v>
      </c>
      <c r="CU2626" s="1" t="s">
        <v>220</v>
      </c>
      <c r="CX2626" s="1" t="s">
        <v>224</v>
      </c>
      <c r="DB2626" s="1" t="s">
        <v>224</v>
      </c>
      <c r="DE2626" s="1" t="s">
        <v>932</v>
      </c>
      <c r="DF2626" s="1" t="s">
        <v>219</v>
      </c>
      <c r="DG2626" s="1" t="s">
        <v>342</v>
      </c>
      <c r="DJ2626" s="1" t="s">
        <v>224</v>
      </c>
      <c r="DS2626" s="1" t="s">
        <v>230</v>
      </c>
      <c r="DW2626" s="1" t="s">
        <v>230</v>
      </c>
      <c r="EA2626" s="1" t="s">
        <v>230</v>
      </c>
      <c r="EE2626" s="1" t="s">
        <v>230</v>
      </c>
      <c r="EI2626" s="1" t="s">
        <v>230</v>
      </c>
      <c r="EL2626" s="1" t="s">
        <v>491</v>
      </c>
      <c r="EM2626" s="1" t="s">
        <v>319</v>
      </c>
      <c r="EN2626" s="1" t="s">
        <v>282</v>
      </c>
      <c r="EO2626" s="1" t="s">
        <v>234</v>
      </c>
      <c r="EP2626" s="1" t="s">
        <v>6076</v>
      </c>
      <c r="ER2626" s="1" t="s">
        <v>210</v>
      </c>
      <c r="ES2626" s="1" t="s">
        <v>1552</v>
      </c>
      <c r="ET2626" s="1" t="s">
        <v>842</v>
      </c>
      <c r="EV2626" s="1" t="s">
        <v>324</v>
      </c>
      <c r="EW2626" s="1" t="s">
        <v>7975</v>
      </c>
      <c r="EY2626" s="1" t="s">
        <v>242</v>
      </c>
      <c r="EZ2626" s="1" t="s">
        <v>287</v>
      </c>
      <c r="FA2626" s="1" t="s">
        <v>5402</v>
      </c>
      <c r="FB2626" s="1" t="s">
        <v>289</v>
      </c>
      <c r="FD2626" s="1" t="s">
        <v>246</v>
      </c>
      <c r="FE2626" s="1" t="s">
        <v>975</v>
      </c>
      <c r="FF2626" s="1" t="s">
        <v>248</v>
      </c>
      <c r="FH2626" s="1" t="s">
        <v>550</v>
      </c>
      <c r="FJ2626" s="1" t="s">
        <v>518</v>
      </c>
      <c r="FL2626" s="1" t="s">
        <v>358</v>
      </c>
      <c r="FM2626" s="1" t="s">
        <v>252</v>
      </c>
      <c r="FN2626" s="1" t="s">
        <v>213</v>
      </c>
      <c r="FO2626" s="1" t="s">
        <v>213</v>
      </c>
      <c r="FQ2626" s="1" t="s">
        <v>689</v>
      </c>
      <c r="FR2626" s="1" t="s">
        <v>210</v>
      </c>
      <c r="FS2626" s="1" t="s">
        <v>14654</v>
      </c>
      <c r="FT2626" s="1" t="s">
        <v>584</v>
      </c>
      <c r="FU2626" s="1" t="s">
        <v>204</v>
      </c>
      <c r="FW2626" s="1" t="s">
        <v>813</v>
      </c>
      <c r="FX2626" s="1">
        <v>22588</v>
      </c>
      <c r="FY2626" s="1" t="s">
        <v>2685</v>
      </c>
      <c r="FZ2626" s="1" t="s">
        <v>6282</v>
      </c>
      <c r="GA2626" s="1">
        <v>222152</v>
      </c>
      <c r="GB2626" s="1" t="s">
        <v>6283</v>
      </c>
      <c r="GD2626" s="1" t="s">
        <v>6284</v>
      </c>
      <c r="GE2626" s="1" t="s">
        <v>480</v>
      </c>
      <c r="GI2626" s="1" t="s">
        <v>213</v>
      </c>
      <c r="GJ2626" s="1" t="s">
        <v>260</v>
      </c>
      <c r="GK2626" s="1" t="s">
        <v>210</v>
      </c>
      <c r="GL2626" s="2">
        <v>42137</v>
      </c>
      <c r="GM2626" s="1" t="s">
        <v>22350</v>
      </c>
    </row>
    <row r="2627" spans="1:195">
      <c r="A2627" s="1">
        <v>140000</v>
      </c>
      <c r="B2627" s="1" t="s">
        <v>195</v>
      </c>
      <c r="C2627" s="1" t="str">
        <f>"08857293"</f>
        <v>08857293</v>
      </c>
      <c r="D2627" s="1" t="s">
        <v>196</v>
      </c>
      <c r="F2627" s="1" t="str">
        <f>"555"</f>
        <v>555</v>
      </c>
      <c r="G2627" s="2">
        <v>42073</v>
      </c>
      <c r="H2627" s="1">
        <v>144500</v>
      </c>
      <c r="I2627" s="1">
        <v>144500</v>
      </c>
      <c r="J2627" s="1">
        <v>140000</v>
      </c>
      <c r="K2627" s="2">
        <v>42073</v>
      </c>
      <c r="L2627" s="1">
        <v>4</v>
      </c>
      <c r="M2627" s="2">
        <v>42076</v>
      </c>
      <c r="N2627" s="1">
        <v>4</v>
      </c>
      <c r="O2627" s="2">
        <v>42076</v>
      </c>
      <c r="P2627" s="1">
        <v>23156</v>
      </c>
      <c r="Q2627" s="1" t="s">
        <v>197</v>
      </c>
      <c r="R2627" s="2">
        <v>42139</v>
      </c>
      <c r="S2627" s="1">
        <v>270983</v>
      </c>
      <c r="U2627" s="1" t="s">
        <v>22351</v>
      </c>
      <c r="V2627" s="1" t="s">
        <v>4986</v>
      </c>
      <c r="W2627" s="1" t="s">
        <v>264</v>
      </c>
      <c r="Y2627" s="1">
        <v>4</v>
      </c>
      <c r="Z2627" s="1" t="s">
        <v>249</v>
      </c>
      <c r="AA2627" s="1" t="s">
        <v>984</v>
      </c>
      <c r="AB2627" s="1">
        <v>60555</v>
      </c>
      <c r="AC2627" s="1">
        <v>2484</v>
      </c>
      <c r="AD2627" s="1" t="s">
        <v>11829</v>
      </c>
      <c r="AE2627" s="1" t="s">
        <v>22352</v>
      </c>
      <c r="AF2627" s="1">
        <v>1991</v>
      </c>
      <c r="AG2627" s="1" t="s">
        <v>204</v>
      </c>
      <c r="AH2627" s="1" t="s">
        <v>986</v>
      </c>
      <c r="AI2627" s="1" t="s">
        <v>206</v>
      </c>
      <c r="AJ2627" s="1" t="s">
        <v>987</v>
      </c>
      <c r="AK2627" s="1" t="s">
        <v>5115</v>
      </c>
      <c r="AL2627" s="1">
        <v>6</v>
      </c>
      <c r="AM2627" s="1">
        <v>2</v>
      </c>
      <c r="AN2627" s="1">
        <v>1</v>
      </c>
      <c r="AO2627" s="1">
        <v>1</v>
      </c>
      <c r="AP2627" s="1" t="s">
        <v>667</v>
      </c>
      <c r="AQ2627" s="1">
        <v>0</v>
      </c>
      <c r="AR2627" s="1" t="s">
        <v>210</v>
      </c>
      <c r="AT2627" s="1" t="s">
        <v>375</v>
      </c>
      <c r="AU2627" s="1">
        <v>2</v>
      </c>
      <c r="AV2627" s="1">
        <v>2</v>
      </c>
      <c r="AW2627" s="1" t="s">
        <v>204</v>
      </c>
      <c r="AX2627" s="1" t="s">
        <v>212</v>
      </c>
      <c r="AZ2627" s="1">
        <v>3922</v>
      </c>
      <c r="BA2627" s="1">
        <v>2013</v>
      </c>
      <c r="BB2627" s="1" t="s">
        <v>405</v>
      </c>
      <c r="BE2627" s="1">
        <v>1448</v>
      </c>
      <c r="BF2627" s="1">
        <v>1</v>
      </c>
      <c r="BG2627" s="1">
        <v>15</v>
      </c>
      <c r="BL2627" s="1">
        <v>215</v>
      </c>
      <c r="BM2627" s="1" t="s">
        <v>204</v>
      </c>
      <c r="BN2627" s="1" t="s">
        <v>213</v>
      </c>
      <c r="BO2627" s="1">
        <v>999</v>
      </c>
      <c r="BP2627" s="1" t="s">
        <v>204</v>
      </c>
      <c r="BR2627" s="1" t="str">
        <f>"0434124074"</f>
        <v>0434124074</v>
      </c>
      <c r="BT2627" s="1" t="s">
        <v>22353</v>
      </c>
      <c r="BU2627" s="1" t="s">
        <v>989</v>
      </c>
      <c r="BV2627" s="1" t="s">
        <v>990</v>
      </c>
      <c r="BW2627" s="1" t="s">
        <v>971</v>
      </c>
      <c r="BX2627" s="1">
        <v>200</v>
      </c>
      <c r="BY2627" s="1">
        <v>200</v>
      </c>
      <c r="BZ2627" s="1">
        <v>200</v>
      </c>
      <c r="CB2627" s="1" t="str">
        <f t="shared" ref="CB2627:CC2627" si="2013">""</f>
        <v/>
      </c>
      <c r="CC2627" s="1" t="str">
        <f t="shared" si="2013"/>
        <v/>
      </c>
      <c r="CD2627" s="1">
        <v>29</v>
      </c>
      <c r="CE2627" s="1">
        <v>3</v>
      </c>
      <c r="CG2627" s="1" t="s">
        <v>1004</v>
      </c>
      <c r="CH2627" s="1" t="s">
        <v>219</v>
      </c>
      <c r="CI2627" s="1" t="s">
        <v>220</v>
      </c>
      <c r="CK2627" s="1" t="s">
        <v>218</v>
      </c>
      <c r="CL2627" s="1" t="s">
        <v>277</v>
      </c>
      <c r="CM2627" s="1" t="s">
        <v>220</v>
      </c>
      <c r="CO2627" s="1" t="s">
        <v>318</v>
      </c>
      <c r="CP2627" s="1" t="s">
        <v>219</v>
      </c>
      <c r="CQ2627" s="1" t="s">
        <v>226</v>
      </c>
      <c r="CS2627" s="1" t="s">
        <v>317</v>
      </c>
      <c r="CT2627" s="1" t="s">
        <v>277</v>
      </c>
      <c r="CU2627" s="1" t="s">
        <v>220</v>
      </c>
      <c r="CX2627" s="1" t="s">
        <v>224</v>
      </c>
      <c r="DB2627" s="1" t="s">
        <v>224</v>
      </c>
      <c r="DE2627" s="1" t="s">
        <v>409</v>
      </c>
      <c r="DF2627" s="1" t="s">
        <v>219</v>
      </c>
      <c r="DG2627" s="1" t="s">
        <v>226</v>
      </c>
      <c r="DI2627" s="1" t="s">
        <v>8108</v>
      </c>
      <c r="DJ2627" s="1" t="s">
        <v>277</v>
      </c>
      <c r="DK2627" s="1" t="s">
        <v>220</v>
      </c>
      <c r="DM2627" s="1" t="s">
        <v>709</v>
      </c>
      <c r="DR2627" s="1" t="s">
        <v>5222</v>
      </c>
      <c r="DS2627" s="1" t="s">
        <v>219</v>
      </c>
      <c r="DT2627" s="1" t="s">
        <v>226</v>
      </c>
      <c r="DW2627" s="1" t="s">
        <v>230</v>
      </c>
      <c r="EA2627" s="1" t="s">
        <v>230</v>
      </c>
      <c r="EE2627" s="1" t="s">
        <v>230</v>
      </c>
      <c r="EI2627" s="1" t="s">
        <v>230</v>
      </c>
      <c r="EL2627" s="1" t="s">
        <v>382</v>
      </c>
      <c r="EM2627" s="1" t="s">
        <v>319</v>
      </c>
      <c r="EN2627" s="1" t="s">
        <v>282</v>
      </c>
      <c r="EO2627" s="1" t="s">
        <v>234</v>
      </c>
      <c r="EP2627" s="1" t="s">
        <v>2738</v>
      </c>
      <c r="EQ2627" s="1" t="s">
        <v>236</v>
      </c>
      <c r="ER2627" s="1" t="s">
        <v>210</v>
      </c>
      <c r="ES2627" s="1" t="s">
        <v>322</v>
      </c>
      <c r="ET2627" s="1" t="s">
        <v>1201</v>
      </c>
      <c r="EU2627" s="1" t="s">
        <v>5503</v>
      </c>
      <c r="EV2627" s="1" t="s">
        <v>324</v>
      </c>
      <c r="EW2627" s="1" t="s">
        <v>887</v>
      </c>
      <c r="EY2627" s="1" t="s">
        <v>790</v>
      </c>
      <c r="EZ2627" s="1" t="s">
        <v>709</v>
      </c>
      <c r="FA2627" s="1" t="s">
        <v>4439</v>
      </c>
      <c r="FC2627" s="1" t="s">
        <v>1739</v>
      </c>
      <c r="FD2627" s="1" t="s">
        <v>246</v>
      </c>
      <c r="FE2627" s="1" t="s">
        <v>1031</v>
      </c>
      <c r="FF2627" s="1" t="s">
        <v>248</v>
      </c>
      <c r="FH2627" s="1" t="s">
        <v>16255</v>
      </c>
      <c r="FI2627" s="1" t="s">
        <v>2827</v>
      </c>
      <c r="FK2627" s="1" t="s">
        <v>768</v>
      </c>
      <c r="FL2627" s="1" t="s">
        <v>358</v>
      </c>
      <c r="FM2627" s="1" t="s">
        <v>252</v>
      </c>
      <c r="FN2627" s="1" t="s">
        <v>213</v>
      </c>
      <c r="FO2627" s="1" t="s">
        <v>213</v>
      </c>
      <c r="FQ2627" s="1" t="s">
        <v>1758</v>
      </c>
      <c r="FR2627" s="1" t="s">
        <v>210</v>
      </c>
      <c r="FS2627" s="1" t="s">
        <v>22354</v>
      </c>
      <c r="FT2627" s="1" t="s">
        <v>1139</v>
      </c>
      <c r="FU2627" s="1" t="s">
        <v>213</v>
      </c>
      <c r="FW2627" s="1" t="s">
        <v>3546</v>
      </c>
      <c r="FX2627" s="1">
        <v>24695</v>
      </c>
      <c r="FY2627" s="1" t="s">
        <v>3547</v>
      </c>
      <c r="FZ2627" s="1" t="s">
        <v>8508</v>
      </c>
      <c r="GA2627" s="1">
        <v>234453</v>
      </c>
      <c r="GB2627" s="1" t="s">
        <v>3547</v>
      </c>
      <c r="GE2627" s="1" t="s">
        <v>480</v>
      </c>
      <c r="GI2627" s="1" t="s">
        <v>213</v>
      </c>
      <c r="GJ2627" s="1" t="s">
        <v>260</v>
      </c>
      <c r="GK2627" s="1" t="s">
        <v>210</v>
      </c>
      <c r="GL2627" s="2">
        <v>42142</v>
      </c>
      <c r="GM2627" s="1" t="s">
        <v>22355</v>
      </c>
    </row>
    <row r="2628" spans="1:195">
      <c r="A2628" s="1">
        <v>190000</v>
      </c>
      <c r="B2628" s="1" t="s">
        <v>195</v>
      </c>
      <c r="C2628" s="1" t="str">
        <f>"08841789"</f>
        <v>08841789</v>
      </c>
      <c r="D2628" s="1" t="s">
        <v>196</v>
      </c>
      <c r="F2628" s="1" t="str">
        <f>"148"</f>
        <v>148</v>
      </c>
      <c r="G2628" s="2">
        <v>42053</v>
      </c>
      <c r="H2628" s="1">
        <v>192041</v>
      </c>
      <c r="I2628" s="1">
        <v>192041</v>
      </c>
      <c r="J2628" s="1">
        <v>190000</v>
      </c>
      <c r="K2628" s="2">
        <v>42053</v>
      </c>
      <c r="L2628" s="1">
        <v>6</v>
      </c>
      <c r="M2628" s="2">
        <v>42058</v>
      </c>
      <c r="N2628" s="1">
        <v>6</v>
      </c>
      <c r="O2628" s="2">
        <v>42058</v>
      </c>
      <c r="P2628" s="1">
        <v>20099</v>
      </c>
      <c r="Q2628" s="1" t="s">
        <v>197</v>
      </c>
      <c r="R2628" s="2">
        <v>42094</v>
      </c>
      <c r="S2628" s="1">
        <v>212624</v>
      </c>
      <c r="T2628" s="1">
        <v>2000</v>
      </c>
      <c r="U2628" s="1">
        <v>1114</v>
      </c>
      <c r="V2628" s="1" t="s">
        <v>14706</v>
      </c>
      <c r="W2628" s="1" t="s">
        <v>425</v>
      </c>
      <c r="Y2628" s="1">
        <v>8</v>
      </c>
      <c r="Z2628" s="1" t="s">
        <v>370</v>
      </c>
      <c r="AA2628" s="1" t="s">
        <v>1927</v>
      </c>
      <c r="AB2628" s="1">
        <v>60148</v>
      </c>
      <c r="AD2628" s="1" t="s">
        <v>14125</v>
      </c>
      <c r="AE2628" s="1" t="s">
        <v>22356</v>
      </c>
      <c r="AF2628" s="1">
        <v>1993</v>
      </c>
      <c r="AG2628" s="1" t="s">
        <v>204</v>
      </c>
      <c r="AH2628" s="1" t="s">
        <v>1930</v>
      </c>
      <c r="AI2628" s="1" t="s">
        <v>206</v>
      </c>
      <c r="AJ2628" s="1" t="s">
        <v>1608</v>
      </c>
      <c r="AK2628" s="1" t="s">
        <v>18341</v>
      </c>
      <c r="AL2628" s="1">
        <v>6</v>
      </c>
      <c r="AM2628" s="1">
        <v>2</v>
      </c>
      <c r="AN2628" s="1">
        <v>2</v>
      </c>
      <c r="AO2628" s="1">
        <v>1</v>
      </c>
      <c r="AP2628" s="1" t="s">
        <v>209</v>
      </c>
      <c r="AQ2628" s="1">
        <v>0</v>
      </c>
      <c r="AR2628" s="1" t="s">
        <v>210</v>
      </c>
      <c r="AS2628" s="1" t="s">
        <v>204</v>
      </c>
      <c r="AT2628" s="1" t="s">
        <v>211</v>
      </c>
      <c r="AU2628" s="1">
        <v>1</v>
      </c>
      <c r="AW2628" s="1" t="s">
        <v>204</v>
      </c>
      <c r="AX2628" s="1" t="s">
        <v>212</v>
      </c>
      <c r="AZ2628" s="1">
        <v>4080</v>
      </c>
      <c r="BA2628" s="1">
        <v>2013</v>
      </c>
      <c r="BB2628" s="1" t="s">
        <v>405</v>
      </c>
      <c r="BE2628" s="1">
        <v>1584</v>
      </c>
      <c r="BF2628" s="1">
        <v>2</v>
      </c>
      <c r="BG2628" s="1">
        <v>0</v>
      </c>
      <c r="BL2628" s="1">
        <v>189</v>
      </c>
      <c r="BM2628" s="1" t="s">
        <v>204</v>
      </c>
      <c r="BN2628" s="1" t="s">
        <v>213</v>
      </c>
      <c r="BO2628" s="1">
        <v>50</v>
      </c>
      <c r="BP2628" s="1" t="s">
        <v>204</v>
      </c>
      <c r="BR2628" s="1" t="str">
        <f>"0616119192"</f>
        <v>0616119192</v>
      </c>
      <c r="BT2628" s="1" t="s">
        <v>22357</v>
      </c>
      <c r="BU2628" s="1" t="s">
        <v>8567</v>
      </c>
      <c r="BV2628" s="1" t="s">
        <v>2200</v>
      </c>
      <c r="BW2628" s="1" t="s">
        <v>2201</v>
      </c>
      <c r="BX2628" s="1">
        <v>45</v>
      </c>
      <c r="BY2628" s="1">
        <v>45</v>
      </c>
      <c r="BZ2628" s="1">
        <v>88</v>
      </c>
      <c r="CB2628" s="1" t="str">
        <f t="shared" ref="CB2628:CC2628" si="2014">""</f>
        <v/>
      </c>
      <c r="CC2628" s="1" t="str">
        <f t="shared" si="2014"/>
        <v/>
      </c>
      <c r="CD2628" s="1">
        <v>18</v>
      </c>
      <c r="CF2628" s="1" t="s">
        <v>22358</v>
      </c>
      <c r="CG2628" s="1" t="s">
        <v>437</v>
      </c>
      <c r="CH2628" s="1" t="s">
        <v>277</v>
      </c>
      <c r="CI2628" s="1" t="s">
        <v>220</v>
      </c>
      <c r="CJ2628" s="1" t="s">
        <v>2449</v>
      </c>
      <c r="CK2628" s="1" t="s">
        <v>317</v>
      </c>
      <c r="CL2628" s="1" t="s">
        <v>277</v>
      </c>
      <c r="CM2628" s="1" t="s">
        <v>220</v>
      </c>
      <c r="CN2628" s="1" t="s">
        <v>909</v>
      </c>
      <c r="CO2628" s="1" t="s">
        <v>465</v>
      </c>
      <c r="CP2628" s="1" t="s">
        <v>277</v>
      </c>
      <c r="CQ2628" s="1" t="s">
        <v>220</v>
      </c>
      <c r="CR2628" s="1" t="s">
        <v>909</v>
      </c>
      <c r="CS2628" s="1" t="s">
        <v>318</v>
      </c>
      <c r="CT2628" s="1" t="s">
        <v>277</v>
      </c>
      <c r="CU2628" s="1" t="s">
        <v>220</v>
      </c>
      <c r="CV2628" s="1" t="s">
        <v>909</v>
      </c>
      <c r="DB2628" s="1" t="s">
        <v>224</v>
      </c>
      <c r="DE2628" s="1" t="s">
        <v>564</v>
      </c>
      <c r="DF2628" s="1" t="s">
        <v>277</v>
      </c>
      <c r="DG2628" s="1" t="s">
        <v>342</v>
      </c>
      <c r="DJ2628" s="1" t="s">
        <v>224</v>
      </c>
      <c r="DM2628" s="1" t="s">
        <v>464</v>
      </c>
      <c r="DR2628" s="1" t="s">
        <v>1358</v>
      </c>
      <c r="DS2628" s="1" t="s">
        <v>277</v>
      </c>
      <c r="DT2628" s="1" t="s">
        <v>220</v>
      </c>
      <c r="DU2628" s="1" t="s">
        <v>343</v>
      </c>
      <c r="DW2628" s="1" t="s">
        <v>230</v>
      </c>
      <c r="EA2628" s="1" t="s">
        <v>230</v>
      </c>
      <c r="EE2628" s="1" t="s">
        <v>230</v>
      </c>
      <c r="EI2628" s="1" t="s">
        <v>230</v>
      </c>
      <c r="EL2628" s="1" t="s">
        <v>382</v>
      </c>
      <c r="EM2628" s="1" t="s">
        <v>232</v>
      </c>
      <c r="EN2628" s="1" t="s">
        <v>282</v>
      </c>
      <c r="EO2628" s="1" t="s">
        <v>234</v>
      </c>
      <c r="EP2628" s="1" t="s">
        <v>650</v>
      </c>
      <c r="EQ2628" s="1" t="s">
        <v>22359</v>
      </c>
      <c r="ER2628" s="1" t="s">
        <v>210</v>
      </c>
      <c r="ES2628" s="1" t="s">
        <v>1160</v>
      </c>
      <c r="ET2628" s="1" t="s">
        <v>2404</v>
      </c>
      <c r="EU2628" s="1" t="s">
        <v>239</v>
      </c>
      <c r="EV2628" s="1" t="s">
        <v>324</v>
      </c>
      <c r="EW2628" s="1" t="s">
        <v>887</v>
      </c>
      <c r="EY2628" s="1" t="s">
        <v>790</v>
      </c>
      <c r="EZ2628" s="1" t="s">
        <v>464</v>
      </c>
      <c r="FA2628" s="1" t="s">
        <v>672</v>
      </c>
      <c r="FD2628" s="1" t="s">
        <v>246</v>
      </c>
      <c r="FE2628" s="1" t="s">
        <v>975</v>
      </c>
      <c r="FF2628" s="1" t="s">
        <v>248</v>
      </c>
      <c r="FH2628" s="1" t="s">
        <v>550</v>
      </c>
      <c r="FI2628" s="1" t="s">
        <v>473</v>
      </c>
      <c r="FJ2628" s="1" t="s">
        <v>197</v>
      </c>
      <c r="FL2628" s="1" t="s">
        <v>358</v>
      </c>
      <c r="FM2628" s="1" t="s">
        <v>252</v>
      </c>
      <c r="FN2628" s="1" t="s">
        <v>204</v>
      </c>
      <c r="FO2628" s="1" t="s">
        <v>213</v>
      </c>
      <c r="FQ2628" s="1" t="s">
        <v>22360</v>
      </c>
      <c r="FR2628" s="1" t="s">
        <v>652</v>
      </c>
      <c r="FS2628" s="1" t="s">
        <v>1709</v>
      </c>
      <c r="FT2628" s="1" t="s">
        <v>22361</v>
      </c>
      <c r="FU2628" s="1" t="s">
        <v>204</v>
      </c>
      <c r="FV2628" s="1" t="s">
        <v>15235</v>
      </c>
      <c r="FW2628" s="1" t="s">
        <v>2563</v>
      </c>
      <c r="FX2628" s="1">
        <v>70255</v>
      </c>
      <c r="FY2628" s="1" t="s">
        <v>4051</v>
      </c>
      <c r="FZ2628" s="1" t="s">
        <v>22362</v>
      </c>
      <c r="GA2628" s="1">
        <v>702312</v>
      </c>
      <c r="GB2628" s="1" t="s">
        <v>22363</v>
      </c>
      <c r="GE2628" s="1" t="s">
        <v>335</v>
      </c>
      <c r="GH2628" s="1" t="s">
        <v>800</v>
      </c>
      <c r="GI2628" s="1" t="s">
        <v>204</v>
      </c>
      <c r="GJ2628" s="1" t="s">
        <v>260</v>
      </c>
      <c r="GK2628" s="1" t="s">
        <v>210</v>
      </c>
      <c r="GL2628" s="2">
        <v>42094</v>
      </c>
      <c r="GM2628" s="1" t="s">
        <v>22364</v>
      </c>
    </row>
    <row r="2629" spans="1:195">
      <c r="A2629" s="1">
        <v>530000</v>
      </c>
      <c r="B2629" s="1" t="s">
        <v>195</v>
      </c>
      <c r="C2629" s="1" t="str">
        <f>"08849143"</f>
        <v>08849143</v>
      </c>
      <c r="D2629" s="1" t="s">
        <v>196</v>
      </c>
      <c r="F2629" s="1" t="str">
        <f>"174"</f>
        <v>174</v>
      </c>
      <c r="G2629" s="2">
        <v>42064</v>
      </c>
      <c r="H2629" s="1">
        <v>599900</v>
      </c>
      <c r="I2629" s="1">
        <v>569900</v>
      </c>
      <c r="J2629" s="1">
        <v>530000</v>
      </c>
      <c r="K2629" s="2">
        <v>42064</v>
      </c>
      <c r="L2629" s="1">
        <v>24</v>
      </c>
      <c r="M2629" s="2">
        <v>42087</v>
      </c>
      <c r="N2629" s="1">
        <v>24</v>
      </c>
      <c r="O2629" s="2">
        <v>42087</v>
      </c>
      <c r="P2629" s="1">
        <v>604</v>
      </c>
      <c r="Q2629" s="1" t="s">
        <v>302</v>
      </c>
      <c r="R2629" s="2">
        <v>42118</v>
      </c>
      <c r="S2629" s="1">
        <v>681</v>
      </c>
      <c r="U2629" s="1">
        <v>1232</v>
      </c>
      <c r="V2629" s="1" t="s">
        <v>22365</v>
      </c>
      <c r="W2629" s="1" t="s">
        <v>504</v>
      </c>
      <c r="Y2629" s="1">
        <v>2</v>
      </c>
      <c r="Z2629" s="1" t="s">
        <v>370</v>
      </c>
      <c r="AA2629" s="1" t="s">
        <v>879</v>
      </c>
      <c r="AB2629" s="1">
        <v>60174</v>
      </c>
      <c r="AD2629" s="1" t="s">
        <v>22365</v>
      </c>
      <c r="AE2629" s="1" t="s">
        <v>22366</v>
      </c>
      <c r="AF2629" s="1">
        <v>1996</v>
      </c>
      <c r="AG2629" s="1" t="s">
        <v>204</v>
      </c>
      <c r="AH2629" s="1" t="s">
        <v>883</v>
      </c>
      <c r="AI2629" s="1" t="s">
        <v>665</v>
      </c>
      <c r="AJ2629" s="1" t="s">
        <v>883</v>
      </c>
      <c r="AL2629" s="1">
        <v>10</v>
      </c>
      <c r="AM2629" s="1">
        <v>2</v>
      </c>
      <c r="AN2629" s="1">
        <v>2</v>
      </c>
      <c r="AO2629" s="1">
        <v>1</v>
      </c>
      <c r="AP2629" s="1" t="s">
        <v>209</v>
      </c>
      <c r="AQ2629" s="1">
        <v>2</v>
      </c>
      <c r="AR2629" s="1" t="s">
        <v>4448</v>
      </c>
      <c r="AS2629" s="1" t="s">
        <v>213</v>
      </c>
      <c r="AT2629" s="1" t="s">
        <v>211</v>
      </c>
      <c r="AU2629" s="1">
        <v>2</v>
      </c>
      <c r="AW2629" s="1" t="s">
        <v>213</v>
      </c>
      <c r="AX2629" s="1" t="s">
        <v>22367</v>
      </c>
      <c r="AZ2629" s="1">
        <v>14741.32</v>
      </c>
      <c r="BA2629" s="1">
        <v>2013</v>
      </c>
      <c r="BE2629" s="1">
        <v>3914</v>
      </c>
      <c r="BF2629" s="1">
        <v>1</v>
      </c>
      <c r="BG2629" s="1">
        <v>0</v>
      </c>
      <c r="BL2629" s="1">
        <v>430</v>
      </c>
      <c r="BM2629" s="1" t="s">
        <v>204</v>
      </c>
      <c r="BN2629" s="1" t="s">
        <v>213</v>
      </c>
      <c r="BO2629" s="1">
        <v>999</v>
      </c>
      <c r="BP2629" s="1" t="s">
        <v>204</v>
      </c>
      <c r="BR2629" s="1" t="str">
        <f>"0934482072"</f>
        <v>0934482072</v>
      </c>
      <c r="BT2629" s="1" t="s">
        <v>22368</v>
      </c>
      <c r="BX2629" s="1">
        <v>303</v>
      </c>
      <c r="BY2629" s="1">
        <v>303</v>
      </c>
      <c r="BZ2629" s="1">
        <v>303</v>
      </c>
      <c r="CB2629" s="1" t="str">
        <f t="shared" ref="CB2629:CC2629" si="2015">""</f>
        <v/>
      </c>
      <c r="CC2629" s="1" t="str">
        <f t="shared" si="2015"/>
        <v/>
      </c>
      <c r="CG2629" s="1" t="s">
        <v>22369</v>
      </c>
      <c r="CH2629" s="1" t="s">
        <v>219</v>
      </c>
      <c r="CI2629" s="1" t="s">
        <v>438</v>
      </c>
      <c r="CK2629" s="1" t="s">
        <v>22370</v>
      </c>
      <c r="CL2629" s="1" t="s">
        <v>277</v>
      </c>
      <c r="CM2629" s="1" t="s">
        <v>220</v>
      </c>
      <c r="CN2629" s="1" t="s">
        <v>909</v>
      </c>
      <c r="CO2629" s="1" t="s">
        <v>515</v>
      </c>
      <c r="CP2629" s="1" t="s">
        <v>219</v>
      </c>
      <c r="CQ2629" s="1" t="s">
        <v>438</v>
      </c>
      <c r="CR2629" s="1" t="s">
        <v>1199</v>
      </c>
      <c r="CS2629" s="1" t="s">
        <v>8089</v>
      </c>
      <c r="CT2629" s="1" t="s">
        <v>4450</v>
      </c>
      <c r="CU2629" s="1" t="s">
        <v>220</v>
      </c>
      <c r="CV2629" s="1" t="s">
        <v>343</v>
      </c>
      <c r="CX2629" s="1" t="s">
        <v>224</v>
      </c>
      <c r="DB2629" s="1" t="s">
        <v>224</v>
      </c>
      <c r="DE2629" s="1" t="s">
        <v>22371</v>
      </c>
      <c r="DF2629" s="1" t="s">
        <v>219</v>
      </c>
      <c r="DI2629" s="1" t="s">
        <v>1371</v>
      </c>
      <c r="DJ2629" s="1" t="s">
        <v>4450</v>
      </c>
      <c r="DK2629" s="1" t="s">
        <v>220</v>
      </c>
      <c r="DM2629" s="1" t="s">
        <v>464</v>
      </c>
      <c r="DN2629" s="1" t="s">
        <v>22372</v>
      </c>
      <c r="DO2629" s="1" t="s">
        <v>1789</v>
      </c>
      <c r="DP2629" s="1" t="s">
        <v>1548</v>
      </c>
      <c r="DQ2629" s="1" t="s">
        <v>347</v>
      </c>
      <c r="DR2629" s="1" t="s">
        <v>3657</v>
      </c>
      <c r="DS2629" s="1" t="s">
        <v>277</v>
      </c>
      <c r="DT2629" s="1" t="s">
        <v>220</v>
      </c>
      <c r="DV2629" s="1" t="s">
        <v>1328</v>
      </c>
      <c r="DW2629" s="1" t="s">
        <v>277</v>
      </c>
      <c r="DX2629" s="1" t="s">
        <v>220</v>
      </c>
      <c r="DY2629" s="1" t="s">
        <v>343</v>
      </c>
      <c r="DZ2629" s="1" t="s">
        <v>3059</v>
      </c>
      <c r="EA2629" s="1" t="s">
        <v>4450</v>
      </c>
      <c r="EB2629" s="1" t="s">
        <v>220</v>
      </c>
      <c r="ED2629" s="1" t="s">
        <v>437</v>
      </c>
      <c r="EE2629" s="1" t="s">
        <v>219</v>
      </c>
      <c r="EF2629" s="1" t="s">
        <v>438</v>
      </c>
      <c r="EG2629" s="1" t="s">
        <v>439</v>
      </c>
      <c r="EH2629" s="1" t="s">
        <v>1774</v>
      </c>
      <c r="EI2629" s="1" t="s">
        <v>219</v>
      </c>
      <c r="EJ2629" s="1" t="s">
        <v>438</v>
      </c>
      <c r="EL2629" s="1" t="s">
        <v>670</v>
      </c>
      <c r="EM2629" s="1" t="s">
        <v>319</v>
      </c>
      <c r="EN2629" s="1" t="s">
        <v>18614</v>
      </c>
      <c r="EO2629" s="1" t="s">
        <v>234</v>
      </c>
      <c r="EQ2629" s="1" t="s">
        <v>22373</v>
      </c>
      <c r="ER2629" s="1" t="s">
        <v>544</v>
      </c>
      <c r="ES2629" s="1" t="s">
        <v>493</v>
      </c>
      <c r="ET2629" s="1" t="s">
        <v>1201</v>
      </c>
      <c r="EU2629" s="1" t="s">
        <v>22374</v>
      </c>
      <c r="EV2629" s="1" t="s">
        <v>324</v>
      </c>
      <c r="EW2629" s="1" t="s">
        <v>867</v>
      </c>
      <c r="EY2629" s="1" t="s">
        <v>2455</v>
      </c>
      <c r="EZ2629" s="1" t="s">
        <v>22375</v>
      </c>
      <c r="FA2629" s="1" t="s">
        <v>22376</v>
      </c>
      <c r="FD2629" s="1" t="s">
        <v>495</v>
      </c>
      <c r="FE2629" s="1" t="s">
        <v>549</v>
      </c>
      <c r="FF2629" s="1" t="s">
        <v>248</v>
      </c>
      <c r="FG2629" s="1" t="s">
        <v>2406</v>
      </c>
      <c r="FH2629" s="1" t="s">
        <v>2458</v>
      </c>
      <c r="FI2629" s="1" t="s">
        <v>473</v>
      </c>
      <c r="FL2629" s="1" t="s">
        <v>22377</v>
      </c>
      <c r="FM2629" s="1" t="s">
        <v>252</v>
      </c>
      <c r="FN2629" s="1" t="s">
        <v>213</v>
      </c>
      <c r="FO2629" s="1" t="s">
        <v>213</v>
      </c>
      <c r="FQ2629" s="1" t="s">
        <v>849</v>
      </c>
      <c r="FR2629" s="1" t="s">
        <v>210</v>
      </c>
      <c r="FS2629" s="1" t="s">
        <v>2092</v>
      </c>
      <c r="FT2629" s="1" t="s">
        <v>295</v>
      </c>
      <c r="FU2629" s="1" t="s">
        <v>204</v>
      </c>
      <c r="FW2629" s="1" t="s">
        <v>2420</v>
      </c>
      <c r="FX2629" s="1">
        <v>41</v>
      </c>
      <c r="FY2629" s="1" t="s">
        <v>2421</v>
      </c>
      <c r="FZ2629" s="1" t="s">
        <v>6079</v>
      </c>
      <c r="GA2629" s="1">
        <v>7842</v>
      </c>
      <c r="GB2629" s="1" t="s">
        <v>6080</v>
      </c>
      <c r="GC2629" s="1">
        <v>8645</v>
      </c>
      <c r="GE2629" s="1" t="s">
        <v>210</v>
      </c>
      <c r="GI2629" s="1" t="s">
        <v>213</v>
      </c>
      <c r="GJ2629" s="1" t="s">
        <v>260</v>
      </c>
      <c r="GK2629" s="1" t="s">
        <v>210</v>
      </c>
      <c r="GL2629" s="2">
        <v>42119</v>
      </c>
      <c r="GM2629" s="1" t="s">
        <v>22378</v>
      </c>
    </row>
    <row r="2630" spans="1:195">
      <c r="A2630" s="1">
        <v>205000</v>
      </c>
      <c r="B2630" s="1" t="s">
        <v>195</v>
      </c>
      <c r="C2630" s="1" t="str">
        <f>"08840870"</f>
        <v>08840870</v>
      </c>
      <c r="D2630" s="1" t="s">
        <v>196</v>
      </c>
      <c r="F2630" s="1" t="str">
        <f>"101"</f>
        <v>101</v>
      </c>
      <c r="G2630" s="2">
        <v>42052</v>
      </c>
      <c r="H2630" s="1">
        <v>219000</v>
      </c>
      <c r="I2630" s="1">
        <v>219000</v>
      </c>
      <c r="J2630" s="1">
        <v>205000</v>
      </c>
      <c r="K2630" s="2">
        <v>42052</v>
      </c>
      <c r="L2630" s="1">
        <v>24</v>
      </c>
      <c r="M2630" s="2">
        <v>42075</v>
      </c>
      <c r="N2630" s="1">
        <v>24</v>
      </c>
      <c r="O2630" s="2">
        <v>42075</v>
      </c>
      <c r="P2630" s="1">
        <v>14470</v>
      </c>
      <c r="Q2630" s="1" t="s">
        <v>197</v>
      </c>
      <c r="R2630" s="2">
        <v>42121</v>
      </c>
      <c r="S2630" s="1">
        <v>151942</v>
      </c>
      <c r="U2630" s="1">
        <v>64</v>
      </c>
      <c r="V2630" s="1" t="s">
        <v>22379</v>
      </c>
      <c r="W2630" s="1" t="s">
        <v>264</v>
      </c>
      <c r="Y2630" s="1">
        <v>4</v>
      </c>
      <c r="Z2630" s="1" t="s">
        <v>200</v>
      </c>
      <c r="AA2630" s="1" t="s">
        <v>2631</v>
      </c>
      <c r="AB2630" s="1">
        <v>60101</v>
      </c>
      <c r="AD2630" s="1" t="s">
        <v>15166</v>
      </c>
      <c r="AE2630" s="1" t="s">
        <v>22380</v>
      </c>
      <c r="AF2630" s="1">
        <v>1997</v>
      </c>
      <c r="AG2630" s="1" t="s">
        <v>204</v>
      </c>
      <c r="AH2630" s="1" t="s">
        <v>1233</v>
      </c>
      <c r="AI2630" s="1" t="s">
        <v>206</v>
      </c>
      <c r="AJ2630" s="1" t="s">
        <v>1233</v>
      </c>
      <c r="AL2630" s="1">
        <v>10</v>
      </c>
      <c r="AM2630" s="1">
        <v>2</v>
      </c>
      <c r="AN2630" s="1">
        <v>2</v>
      </c>
      <c r="AO2630" s="1">
        <v>1</v>
      </c>
      <c r="AP2630" s="1" t="s">
        <v>209</v>
      </c>
      <c r="AQ2630" s="1">
        <v>1</v>
      </c>
      <c r="AR2630" s="1" t="s">
        <v>209</v>
      </c>
      <c r="AS2630" s="1" t="s">
        <v>204</v>
      </c>
      <c r="AT2630" s="1" t="s">
        <v>211</v>
      </c>
      <c r="AU2630" s="1">
        <v>2</v>
      </c>
      <c r="AW2630" s="1" t="s">
        <v>204</v>
      </c>
      <c r="AX2630" s="1" t="s">
        <v>212</v>
      </c>
      <c r="AZ2630" s="1">
        <v>3686</v>
      </c>
      <c r="BA2630" s="1">
        <v>2013</v>
      </c>
      <c r="BB2630" s="1" t="s">
        <v>210</v>
      </c>
      <c r="BE2630" s="1">
        <v>1471</v>
      </c>
      <c r="BF2630" s="1">
        <v>1</v>
      </c>
      <c r="BG2630" s="1">
        <v>0</v>
      </c>
      <c r="BL2630" s="1">
        <v>275</v>
      </c>
      <c r="BM2630" s="1" t="s">
        <v>204</v>
      </c>
      <c r="BN2630" s="1" t="s">
        <v>213</v>
      </c>
      <c r="BO2630" s="1">
        <v>30</v>
      </c>
      <c r="BP2630" s="1" t="s">
        <v>204</v>
      </c>
      <c r="BR2630" s="1" t="str">
        <f>"0329216072"</f>
        <v>0329216072</v>
      </c>
      <c r="BT2630" s="1" t="s">
        <v>22381</v>
      </c>
      <c r="BU2630" s="1" t="s">
        <v>22382</v>
      </c>
      <c r="BV2630" s="1" t="s">
        <v>2720</v>
      </c>
      <c r="BW2630" s="1" t="s">
        <v>2721</v>
      </c>
      <c r="BX2630" s="1">
        <v>4</v>
      </c>
      <c r="BY2630" s="1">
        <v>4</v>
      </c>
      <c r="BZ2630" s="1">
        <v>88</v>
      </c>
      <c r="CB2630" s="1" t="str">
        <f>"3"</f>
        <v>3</v>
      </c>
      <c r="CC2630" s="1" t="str">
        <f>"0"</f>
        <v>0</v>
      </c>
      <c r="CD2630" s="1">
        <v>19</v>
      </c>
      <c r="CE2630" s="1">
        <v>0</v>
      </c>
      <c r="CG2630" s="1" t="s">
        <v>539</v>
      </c>
      <c r="CH2630" s="1" t="s">
        <v>219</v>
      </c>
      <c r="CI2630" s="1" t="s">
        <v>220</v>
      </c>
      <c r="CK2630" s="1" t="s">
        <v>437</v>
      </c>
      <c r="CL2630" s="1" t="s">
        <v>277</v>
      </c>
      <c r="CM2630" s="1" t="s">
        <v>220</v>
      </c>
      <c r="CO2630" s="1" t="s">
        <v>465</v>
      </c>
      <c r="CP2630" s="1" t="s">
        <v>219</v>
      </c>
      <c r="CQ2630" s="1" t="s">
        <v>220</v>
      </c>
      <c r="CS2630" s="1" t="s">
        <v>465</v>
      </c>
      <c r="CT2630" s="1" t="s">
        <v>277</v>
      </c>
      <c r="CU2630" s="1" t="s">
        <v>220</v>
      </c>
      <c r="CX2630" s="1" t="s">
        <v>224</v>
      </c>
      <c r="DB2630" s="1" t="s">
        <v>224</v>
      </c>
      <c r="DE2630" s="1" t="s">
        <v>757</v>
      </c>
      <c r="DF2630" s="1" t="s">
        <v>219</v>
      </c>
      <c r="DG2630" s="1" t="s">
        <v>438</v>
      </c>
      <c r="DI2630" s="1" t="s">
        <v>908</v>
      </c>
      <c r="DJ2630" s="1" t="s">
        <v>822</v>
      </c>
      <c r="DK2630" s="1" t="s">
        <v>220</v>
      </c>
      <c r="DM2630" s="1" t="s">
        <v>1005</v>
      </c>
      <c r="DN2630" s="1" t="s">
        <v>934</v>
      </c>
      <c r="DO2630" s="1" t="s">
        <v>4083</v>
      </c>
      <c r="DP2630" s="1" t="s">
        <v>381</v>
      </c>
      <c r="DR2630" s="1" t="s">
        <v>318</v>
      </c>
      <c r="DS2630" s="1" t="s">
        <v>43</v>
      </c>
      <c r="DT2630" s="1" t="s">
        <v>220</v>
      </c>
      <c r="DV2630" s="1" t="s">
        <v>757</v>
      </c>
      <c r="DW2630" s="1" t="s">
        <v>43</v>
      </c>
      <c r="DX2630" s="1" t="s">
        <v>220</v>
      </c>
      <c r="DZ2630" s="1" t="s">
        <v>837</v>
      </c>
      <c r="EA2630" s="1" t="s">
        <v>43</v>
      </c>
      <c r="ED2630" s="1" t="s">
        <v>951</v>
      </c>
      <c r="EE2630" s="1" t="s">
        <v>219</v>
      </c>
      <c r="EI2630" s="1" t="s">
        <v>230</v>
      </c>
      <c r="EL2630" s="1" t="s">
        <v>670</v>
      </c>
      <c r="EM2630" s="1" t="s">
        <v>232</v>
      </c>
      <c r="EN2630" s="1" t="s">
        <v>282</v>
      </c>
      <c r="EO2630" s="1" t="s">
        <v>234</v>
      </c>
      <c r="EP2630" s="1" t="s">
        <v>650</v>
      </c>
      <c r="EQ2630" s="1" t="s">
        <v>236</v>
      </c>
      <c r="ER2630" s="1" t="s">
        <v>544</v>
      </c>
      <c r="EU2630" s="1" t="s">
        <v>239</v>
      </c>
      <c r="EV2630" s="1" t="s">
        <v>324</v>
      </c>
      <c r="EW2630" s="1" t="s">
        <v>887</v>
      </c>
      <c r="EY2630" s="1" t="s">
        <v>242</v>
      </c>
      <c r="EZ2630" s="1" t="s">
        <v>22383</v>
      </c>
      <c r="FA2630" s="1" t="s">
        <v>9237</v>
      </c>
      <c r="FB2630" s="1" t="s">
        <v>289</v>
      </c>
      <c r="FC2630" s="1" t="s">
        <v>548</v>
      </c>
      <c r="FD2630" s="1" t="s">
        <v>246</v>
      </c>
      <c r="FE2630" s="1" t="s">
        <v>1006</v>
      </c>
      <c r="FF2630" s="1" t="s">
        <v>248</v>
      </c>
      <c r="FG2630" s="1" t="s">
        <v>5121</v>
      </c>
      <c r="FH2630" s="1" t="s">
        <v>550</v>
      </c>
      <c r="FI2630" s="1" t="s">
        <v>473</v>
      </c>
      <c r="FJ2630" s="1" t="s">
        <v>197</v>
      </c>
      <c r="FL2630" s="1" t="s">
        <v>358</v>
      </c>
      <c r="FM2630" s="1" t="s">
        <v>252</v>
      </c>
      <c r="FN2630" s="1" t="s">
        <v>213</v>
      </c>
      <c r="FO2630" s="1" t="s">
        <v>213</v>
      </c>
      <c r="FQ2630" s="1" t="s">
        <v>1032</v>
      </c>
      <c r="FR2630" s="1" t="s">
        <v>210</v>
      </c>
      <c r="FS2630" s="1" t="s">
        <v>4124</v>
      </c>
      <c r="FT2630" s="1" t="s">
        <v>295</v>
      </c>
      <c r="FU2630" s="1" t="s">
        <v>204</v>
      </c>
      <c r="FW2630" s="1" t="s">
        <v>4125</v>
      </c>
      <c r="FX2630" s="1">
        <v>8073</v>
      </c>
      <c r="FY2630" s="1" t="s">
        <v>4126</v>
      </c>
      <c r="FZ2630" s="1" t="s">
        <v>22384</v>
      </c>
      <c r="GA2630" s="1">
        <v>253586</v>
      </c>
      <c r="GB2630" s="1" t="s">
        <v>22385</v>
      </c>
      <c r="GE2630" s="1" t="s">
        <v>1256</v>
      </c>
      <c r="GH2630" s="1" t="s">
        <v>230</v>
      </c>
      <c r="GI2630" s="1" t="s">
        <v>213</v>
      </c>
      <c r="GJ2630" s="1" t="s">
        <v>260</v>
      </c>
      <c r="GK2630" s="1" t="s">
        <v>210</v>
      </c>
      <c r="GL2630" s="2">
        <v>42129</v>
      </c>
      <c r="GM2630" s="1" t="s">
        <v>22386</v>
      </c>
    </row>
    <row r="2631" spans="1:195">
      <c r="A2631" s="1">
        <v>155000</v>
      </c>
      <c r="B2631" s="1" t="s">
        <v>195</v>
      </c>
      <c r="C2631" s="1" t="str">
        <f>"08845305"</f>
        <v>08845305</v>
      </c>
      <c r="D2631" s="1" t="s">
        <v>196</v>
      </c>
      <c r="F2631" s="1" t="str">
        <f>"540"</f>
        <v>540</v>
      </c>
      <c r="G2631" s="2">
        <v>42059</v>
      </c>
      <c r="H2631" s="1">
        <v>159900</v>
      </c>
      <c r="I2631" s="1">
        <v>159900</v>
      </c>
      <c r="J2631" s="1">
        <v>155000</v>
      </c>
      <c r="K2631" s="2">
        <v>42059</v>
      </c>
      <c r="L2631" s="1">
        <v>8</v>
      </c>
      <c r="M2631" s="2">
        <v>42066</v>
      </c>
      <c r="N2631" s="1">
        <v>8</v>
      </c>
      <c r="O2631" s="2">
        <v>42066</v>
      </c>
      <c r="P2631" s="1">
        <v>23156</v>
      </c>
      <c r="Q2631" s="1" t="s">
        <v>197</v>
      </c>
      <c r="R2631" s="2">
        <v>42114</v>
      </c>
      <c r="S2631" s="1">
        <v>243850</v>
      </c>
      <c r="U2631" s="1">
        <v>1265</v>
      </c>
      <c r="V2631" s="1" t="s">
        <v>11167</v>
      </c>
      <c r="W2631" s="1" t="s">
        <v>504</v>
      </c>
      <c r="X2631" s="1">
        <v>1265</v>
      </c>
      <c r="Y2631" s="1">
        <v>6</v>
      </c>
      <c r="Z2631" s="1" t="s">
        <v>249</v>
      </c>
      <c r="AA2631" s="1" t="s">
        <v>921</v>
      </c>
      <c r="AB2631" s="1">
        <v>60540</v>
      </c>
      <c r="AD2631" s="1" t="s">
        <v>3984</v>
      </c>
      <c r="AE2631" s="1" t="s">
        <v>22387</v>
      </c>
      <c r="AF2631" s="1">
        <v>1991</v>
      </c>
      <c r="AG2631" s="1" t="s">
        <v>204</v>
      </c>
      <c r="AH2631" s="1" t="s">
        <v>924</v>
      </c>
      <c r="AI2631" s="1" t="s">
        <v>206</v>
      </c>
      <c r="AJ2631" s="1" t="s">
        <v>924</v>
      </c>
      <c r="AK2631" s="1" t="s">
        <v>16704</v>
      </c>
      <c r="AL2631" s="1">
        <v>5</v>
      </c>
      <c r="AM2631" s="1">
        <v>2</v>
      </c>
      <c r="AN2631" s="1">
        <v>2</v>
      </c>
      <c r="AO2631" s="1">
        <v>0</v>
      </c>
      <c r="AP2631" s="1" t="s">
        <v>209</v>
      </c>
      <c r="AQ2631" s="1">
        <v>1</v>
      </c>
      <c r="AR2631" s="1" t="s">
        <v>210</v>
      </c>
      <c r="AS2631" s="1" t="s">
        <v>204</v>
      </c>
      <c r="AT2631" s="1" t="s">
        <v>211</v>
      </c>
      <c r="AU2631" s="1">
        <v>1</v>
      </c>
      <c r="AW2631" s="1" t="s">
        <v>204</v>
      </c>
      <c r="AX2631" s="1" t="s">
        <v>212</v>
      </c>
      <c r="AZ2631" s="1">
        <v>3802</v>
      </c>
      <c r="BA2631" s="1">
        <v>2013</v>
      </c>
      <c r="BB2631" s="1" t="s">
        <v>405</v>
      </c>
      <c r="BE2631" s="1">
        <v>1150</v>
      </c>
      <c r="BF2631" s="1">
        <v>1</v>
      </c>
      <c r="BG2631" s="1">
        <v>30</v>
      </c>
      <c r="BL2631" s="1">
        <v>219</v>
      </c>
      <c r="BM2631" s="1" t="s">
        <v>204</v>
      </c>
      <c r="BN2631" s="1" t="s">
        <v>213</v>
      </c>
      <c r="BO2631" s="1">
        <v>999</v>
      </c>
      <c r="BP2631" s="1" t="s">
        <v>204</v>
      </c>
      <c r="BR2631" s="1" t="str">
        <f>"0726206129"</f>
        <v>0726206129</v>
      </c>
      <c r="BT2631" s="1" t="s">
        <v>22388</v>
      </c>
      <c r="BU2631" s="1" t="s">
        <v>3988</v>
      </c>
      <c r="BV2631" s="1" t="s">
        <v>1248</v>
      </c>
      <c r="BW2631" s="1" t="s">
        <v>1131</v>
      </c>
      <c r="BX2631" s="1">
        <v>204</v>
      </c>
      <c r="BY2631" s="1">
        <v>204</v>
      </c>
      <c r="BZ2631" s="1">
        <v>204</v>
      </c>
      <c r="CB2631" s="1" t="str">
        <f t="shared" ref="CB2631:CC2631" si="2016">"0"</f>
        <v>0</v>
      </c>
      <c r="CC2631" s="1" t="str">
        <f t="shared" si="2016"/>
        <v>0</v>
      </c>
      <c r="CD2631" s="1">
        <v>28</v>
      </c>
      <c r="CE2631" s="1">
        <v>8</v>
      </c>
      <c r="CG2631" s="1" t="s">
        <v>7317</v>
      </c>
      <c r="CH2631" s="1" t="s">
        <v>219</v>
      </c>
      <c r="CI2631" s="1" t="s">
        <v>438</v>
      </c>
      <c r="CJ2631" s="1" t="s">
        <v>343</v>
      </c>
      <c r="CK2631" s="1" t="s">
        <v>564</v>
      </c>
      <c r="CL2631" s="1" t="s">
        <v>219</v>
      </c>
      <c r="CM2631" s="1" t="s">
        <v>220</v>
      </c>
      <c r="CN2631" s="1" t="s">
        <v>343</v>
      </c>
      <c r="CO2631" s="1" t="s">
        <v>629</v>
      </c>
      <c r="CP2631" s="1" t="s">
        <v>219</v>
      </c>
      <c r="CQ2631" s="1" t="s">
        <v>438</v>
      </c>
      <c r="CR2631" s="1" t="s">
        <v>210</v>
      </c>
      <c r="CS2631" s="1" t="s">
        <v>461</v>
      </c>
      <c r="CT2631" s="1" t="s">
        <v>219</v>
      </c>
      <c r="CU2631" s="1" t="s">
        <v>220</v>
      </c>
      <c r="CV2631" s="1" t="s">
        <v>343</v>
      </c>
      <c r="CX2631" s="1" t="s">
        <v>224</v>
      </c>
      <c r="DB2631" s="1" t="s">
        <v>224</v>
      </c>
      <c r="DE2631" s="1" t="s">
        <v>379</v>
      </c>
      <c r="DF2631" s="1" t="s">
        <v>219</v>
      </c>
      <c r="DG2631" s="1" t="s">
        <v>438</v>
      </c>
      <c r="DJ2631" s="1" t="s">
        <v>224</v>
      </c>
      <c r="DS2631" s="1" t="s">
        <v>230</v>
      </c>
      <c r="DW2631" s="1" t="s">
        <v>230</v>
      </c>
      <c r="EA2631" s="1" t="s">
        <v>230</v>
      </c>
      <c r="EE2631" s="1" t="s">
        <v>230</v>
      </c>
      <c r="EI2631" s="1" t="s">
        <v>230</v>
      </c>
      <c r="EL2631" s="1" t="s">
        <v>382</v>
      </c>
      <c r="EM2631" s="1" t="s">
        <v>232</v>
      </c>
      <c r="EN2631" s="1" t="s">
        <v>282</v>
      </c>
      <c r="EO2631" s="1" t="s">
        <v>840</v>
      </c>
      <c r="EP2631" s="1" t="s">
        <v>650</v>
      </c>
      <c r="EQ2631" s="1" t="s">
        <v>1094</v>
      </c>
      <c r="ER2631" s="1" t="s">
        <v>210</v>
      </c>
      <c r="ES2631" s="1" t="s">
        <v>493</v>
      </c>
      <c r="EU2631" s="1" t="s">
        <v>712</v>
      </c>
      <c r="EV2631" s="1" t="s">
        <v>240</v>
      </c>
      <c r="EW2631" s="1" t="s">
        <v>353</v>
      </c>
      <c r="EY2631" s="1" t="s">
        <v>1315</v>
      </c>
      <c r="EZ2631" s="1" t="s">
        <v>287</v>
      </c>
      <c r="FA2631" s="1" t="s">
        <v>714</v>
      </c>
      <c r="FB2631" s="1" t="s">
        <v>289</v>
      </c>
      <c r="FD2631" s="1" t="s">
        <v>246</v>
      </c>
      <c r="FE2631" s="1" t="s">
        <v>355</v>
      </c>
      <c r="FF2631" s="1" t="s">
        <v>248</v>
      </c>
      <c r="FG2631" s="1" t="s">
        <v>871</v>
      </c>
      <c r="FH2631" s="1" t="s">
        <v>3013</v>
      </c>
      <c r="FI2631" s="1" t="s">
        <v>357</v>
      </c>
      <c r="FL2631" s="1" t="s">
        <v>358</v>
      </c>
      <c r="FM2631" s="1" t="s">
        <v>252</v>
      </c>
      <c r="FN2631" s="1" t="s">
        <v>213</v>
      </c>
      <c r="FO2631" s="1" t="s">
        <v>213</v>
      </c>
      <c r="FQ2631" s="1" t="s">
        <v>2004</v>
      </c>
      <c r="FR2631" s="1" t="s">
        <v>210</v>
      </c>
      <c r="FS2631" s="1" t="s">
        <v>22389</v>
      </c>
      <c r="FT2631" s="1" t="s">
        <v>255</v>
      </c>
      <c r="FU2631" s="1" t="s">
        <v>204</v>
      </c>
      <c r="FW2631" s="1" t="s">
        <v>585</v>
      </c>
      <c r="FX2631" s="1">
        <v>23156</v>
      </c>
      <c r="FY2631" s="1" t="s">
        <v>1253</v>
      </c>
      <c r="FZ2631" s="1" t="s">
        <v>7262</v>
      </c>
      <c r="GA2631" s="1">
        <v>233258</v>
      </c>
      <c r="GB2631" s="1" t="s">
        <v>7263</v>
      </c>
      <c r="GC2631" s="1">
        <v>227656</v>
      </c>
      <c r="GD2631" s="1" t="s">
        <v>7264</v>
      </c>
      <c r="GE2631" s="1" t="s">
        <v>210</v>
      </c>
      <c r="GI2631" s="1" t="s">
        <v>213</v>
      </c>
      <c r="GJ2631" s="1" t="s">
        <v>260</v>
      </c>
      <c r="GK2631" s="1" t="s">
        <v>210</v>
      </c>
      <c r="GL2631" s="2">
        <v>42114</v>
      </c>
      <c r="GM2631" s="1" t="s">
        <v>22390</v>
      </c>
    </row>
    <row r="2632" spans="1:195">
      <c r="A2632" s="1">
        <v>66500</v>
      </c>
      <c r="B2632" s="1" t="s">
        <v>195</v>
      </c>
      <c r="C2632" s="1" t="str">
        <f>"08843835"</f>
        <v>08843835</v>
      </c>
      <c r="D2632" s="1" t="s">
        <v>196</v>
      </c>
      <c r="F2632" s="1" t="str">
        <f>"185"</f>
        <v>185</v>
      </c>
      <c r="G2632" s="2">
        <v>42056</v>
      </c>
      <c r="H2632" s="1">
        <v>69900</v>
      </c>
      <c r="I2632" s="1">
        <v>69900</v>
      </c>
      <c r="J2632" s="1">
        <v>66500</v>
      </c>
      <c r="K2632" s="2">
        <v>42056</v>
      </c>
      <c r="L2632" s="1">
        <v>28</v>
      </c>
      <c r="M2632" s="2">
        <v>42083</v>
      </c>
      <c r="N2632" s="1">
        <v>28</v>
      </c>
      <c r="O2632" s="2">
        <v>42083</v>
      </c>
      <c r="P2632" s="1">
        <v>22039</v>
      </c>
      <c r="Q2632" s="1" t="s">
        <v>197</v>
      </c>
      <c r="R2632" s="2">
        <v>42121</v>
      </c>
      <c r="S2632" s="1">
        <v>245565</v>
      </c>
      <c r="U2632" s="1">
        <v>247</v>
      </c>
      <c r="V2632" s="1" t="s">
        <v>22391</v>
      </c>
      <c r="W2632" s="1" t="s">
        <v>199</v>
      </c>
      <c r="X2632" s="1" t="s">
        <v>22392</v>
      </c>
      <c r="Y2632" s="1">
        <v>152</v>
      </c>
      <c r="Z2632" s="1" t="s">
        <v>14083</v>
      </c>
      <c r="AA2632" s="1" t="s">
        <v>10833</v>
      </c>
      <c r="AB2632" s="1">
        <v>60185</v>
      </c>
      <c r="AD2632" s="1" t="s">
        <v>22393</v>
      </c>
      <c r="AE2632" s="1" t="s">
        <v>22394</v>
      </c>
      <c r="AF2632" s="1">
        <v>1971</v>
      </c>
      <c r="AG2632" s="1" t="s">
        <v>213</v>
      </c>
      <c r="AH2632" s="1" t="s">
        <v>10835</v>
      </c>
      <c r="AI2632" s="1" t="s">
        <v>206</v>
      </c>
      <c r="AJ2632" s="1" t="s">
        <v>987</v>
      </c>
      <c r="AL2632" s="1">
        <v>5</v>
      </c>
      <c r="AM2632" s="1">
        <v>2</v>
      </c>
      <c r="AN2632" s="1">
        <v>2</v>
      </c>
      <c r="AO2632" s="1">
        <v>0</v>
      </c>
      <c r="AP2632" s="1" t="s">
        <v>209</v>
      </c>
      <c r="AR2632" s="1" t="s">
        <v>210</v>
      </c>
      <c r="AS2632" s="1" t="s">
        <v>204</v>
      </c>
      <c r="AT2632" s="1" t="s">
        <v>271</v>
      </c>
      <c r="AV2632" s="1">
        <v>2</v>
      </c>
      <c r="AW2632" s="1" t="s">
        <v>204</v>
      </c>
      <c r="AX2632" s="1" t="s">
        <v>212</v>
      </c>
      <c r="AZ2632" s="1">
        <v>1851</v>
      </c>
      <c r="BA2632" s="1">
        <v>2013</v>
      </c>
      <c r="BB2632" s="1" t="s">
        <v>405</v>
      </c>
      <c r="BE2632" s="1">
        <v>900</v>
      </c>
      <c r="BF2632" s="1">
        <v>2</v>
      </c>
      <c r="BG2632" s="1">
        <v>0</v>
      </c>
      <c r="BL2632" s="1">
        <v>321</v>
      </c>
      <c r="BM2632" s="1" t="s">
        <v>204</v>
      </c>
      <c r="BN2632" s="1" t="s">
        <v>213</v>
      </c>
      <c r="BO2632" s="1">
        <v>999</v>
      </c>
      <c r="BP2632" s="1" t="s">
        <v>204</v>
      </c>
      <c r="BR2632" s="1" t="str">
        <f>"0403410037"</f>
        <v>0403410037</v>
      </c>
      <c r="BT2632" s="1" t="s">
        <v>22395</v>
      </c>
      <c r="BU2632" s="1" t="s">
        <v>22396</v>
      </c>
      <c r="BV2632" s="1" t="s">
        <v>22396</v>
      </c>
      <c r="BW2632" s="1" t="s">
        <v>1675</v>
      </c>
      <c r="BX2632" s="1">
        <v>33</v>
      </c>
      <c r="BY2632" s="1">
        <v>33</v>
      </c>
      <c r="BZ2632" s="1">
        <v>94</v>
      </c>
      <c r="CB2632" s="1" t="str">
        <f>"1"</f>
        <v>1</v>
      </c>
      <c r="CC2632" s="1" t="str">
        <f>""</f>
        <v/>
      </c>
      <c r="CD2632" s="1">
        <v>29</v>
      </c>
      <c r="CG2632" s="1" t="s">
        <v>3316</v>
      </c>
      <c r="CH2632" s="1" t="s">
        <v>219</v>
      </c>
      <c r="CI2632" s="1" t="s">
        <v>220</v>
      </c>
      <c r="CJ2632" s="1" t="s">
        <v>210</v>
      </c>
      <c r="CK2632" s="1" t="s">
        <v>539</v>
      </c>
      <c r="CL2632" s="1" t="s">
        <v>219</v>
      </c>
      <c r="CM2632" s="1" t="s">
        <v>220</v>
      </c>
      <c r="CN2632" s="1" t="s">
        <v>210</v>
      </c>
      <c r="CO2632" s="1" t="s">
        <v>348</v>
      </c>
      <c r="CP2632" s="1" t="s">
        <v>219</v>
      </c>
      <c r="CQ2632" s="1" t="s">
        <v>226</v>
      </c>
      <c r="CR2632" s="1" t="s">
        <v>210</v>
      </c>
      <c r="CS2632" s="1" t="s">
        <v>1358</v>
      </c>
      <c r="CT2632" s="1" t="s">
        <v>219</v>
      </c>
      <c r="CU2632" s="1" t="s">
        <v>220</v>
      </c>
      <c r="CV2632" s="1" t="s">
        <v>210</v>
      </c>
      <c r="CX2632" s="1" t="s">
        <v>224</v>
      </c>
      <c r="DB2632" s="1" t="s">
        <v>224</v>
      </c>
      <c r="DE2632" s="1" t="s">
        <v>345</v>
      </c>
      <c r="DF2632" s="1" t="s">
        <v>219</v>
      </c>
      <c r="DG2632" s="1" t="s">
        <v>226</v>
      </c>
      <c r="DH2632" s="1" t="s">
        <v>210</v>
      </c>
      <c r="DJ2632" s="1" t="s">
        <v>224</v>
      </c>
      <c r="DS2632" s="1" t="s">
        <v>230</v>
      </c>
      <c r="DW2632" s="1" t="s">
        <v>230</v>
      </c>
      <c r="EA2632" s="1" t="s">
        <v>230</v>
      </c>
      <c r="EE2632" s="1" t="s">
        <v>230</v>
      </c>
      <c r="EI2632" s="1" t="s">
        <v>230</v>
      </c>
      <c r="EL2632" s="1" t="s">
        <v>605</v>
      </c>
      <c r="EM2632" s="1" t="s">
        <v>319</v>
      </c>
      <c r="EN2632" s="1" t="s">
        <v>731</v>
      </c>
      <c r="EO2632" s="1" t="s">
        <v>234</v>
      </c>
      <c r="EP2632" s="1" t="s">
        <v>22397</v>
      </c>
      <c r="ER2632" s="1" t="s">
        <v>210</v>
      </c>
      <c r="EW2632" s="1" t="s">
        <v>2344</v>
      </c>
      <c r="EZ2632" s="1" t="s">
        <v>287</v>
      </c>
      <c r="FB2632" s="1" t="s">
        <v>289</v>
      </c>
      <c r="FD2632" s="1" t="s">
        <v>246</v>
      </c>
      <c r="FE2632" s="1" t="s">
        <v>247</v>
      </c>
      <c r="FF2632" s="1" t="s">
        <v>248</v>
      </c>
      <c r="FH2632" s="1" t="s">
        <v>249</v>
      </c>
      <c r="FJ2632" s="1" t="s">
        <v>197</v>
      </c>
      <c r="FL2632" s="1" t="s">
        <v>2370</v>
      </c>
      <c r="FM2632" s="1" t="s">
        <v>252</v>
      </c>
      <c r="FN2632" s="1" t="s">
        <v>213</v>
      </c>
      <c r="FO2632" s="1" t="s">
        <v>204</v>
      </c>
      <c r="FQ2632" s="1" t="s">
        <v>22398</v>
      </c>
      <c r="FR2632" s="1" t="s">
        <v>210</v>
      </c>
      <c r="FS2632" s="1" t="s">
        <v>22399</v>
      </c>
      <c r="FT2632" s="1" t="s">
        <v>295</v>
      </c>
      <c r="FU2632" s="1" t="s">
        <v>204</v>
      </c>
      <c r="FW2632" s="1" t="s">
        <v>256</v>
      </c>
      <c r="FX2632" s="1">
        <v>25163</v>
      </c>
      <c r="FY2632" s="1" t="s">
        <v>257</v>
      </c>
      <c r="FZ2632" s="1" t="s">
        <v>22400</v>
      </c>
      <c r="GA2632" s="1">
        <v>217807</v>
      </c>
      <c r="GB2632" s="1" t="s">
        <v>22401</v>
      </c>
      <c r="GE2632" s="1" t="s">
        <v>480</v>
      </c>
      <c r="GH2632" s="1" t="s">
        <v>230</v>
      </c>
      <c r="GI2632" s="1" t="s">
        <v>213</v>
      </c>
      <c r="GJ2632" s="1" t="s">
        <v>260</v>
      </c>
      <c r="GK2632" s="1" t="s">
        <v>261</v>
      </c>
      <c r="GL2632" s="2">
        <v>42122</v>
      </c>
      <c r="GM2632" s="1" t="s">
        <v>22402</v>
      </c>
    </row>
    <row r="2633" spans="1:195">
      <c r="A2633" s="1">
        <v>105000</v>
      </c>
      <c r="B2633" s="1" t="s">
        <v>195</v>
      </c>
      <c r="C2633" s="1" t="str">
        <f>"08838403"</f>
        <v>08838403</v>
      </c>
      <c r="D2633" s="1" t="s">
        <v>196</v>
      </c>
      <c r="F2633" s="1" t="str">
        <f>"123"</f>
        <v>123</v>
      </c>
      <c r="G2633" s="2">
        <v>42048</v>
      </c>
      <c r="H2633" s="1">
        <v>110000</v>
      </c>
      <c r="I2633" s="1">
        <v>110000</v>
      </c>
      <c r="J2633" s="1">
        <v>105000</v>
      </c>
      <c r="K2633" s="2">
        <v>42048</v>
      </c>
      <c r="L2633" s="1">
        <v>33</v>
      </c>
      <c r="M2633" s="2">
        <v>42050</v>
      </c>
      <c r="N2633" s="1">
        <v>3</v>
      </c>
      <c r="O2633" s="2">
        <v>42050</v>
      </c>
      <c r="P2633" s="1">
        <v>8965</v>
      </c>
      <c r="Q2633" s="1" t="s">
        <v>197</v>
      </c>
      <c r="R2633" s="2">
        <v>42090</v>
      </c>
      <c r="S2633" s="1">
        <v>88699</v>
      </c>
      <c r="U2633" s="1">
        <v>1011</v>
      </c>
      <c r="V2633" s="1" t="s">
        <v>22403</v>
      </c>
      <c r="W2633" s="1" t="s">
        <v>304</v>
      </c>
      <c r="X2633" s="1" t="s">
        <v>527</v>
      </c>
      <c r="Y2633" s="1">
        <v>4</v>
      </c>
      <c r="Z2633" s="1" t="s">
        <v>249</v>
      </c>
      <c r="AA2633" s="1" t="s">
        <v>1173</v>
      </c>
      <c r="AB2633" s="1">
        <v>60120</v>
      </c>
      <c r="AD2633" s="1" t="s">
        <v>4419</v>
      </c>
      <c r="AE2633" s="1" t="s">
        <v>22404</v>
      </c>
      <c r="AF2633" s="1">
        <v>1997</v>
      </c>
      <c r="AG2633" s="1" t="s">
        <v>204</v>
      </c>
      <c r="AH2633" s="1" t="s">
        <v>1175</v>
      </c>
      <c r="AI2633" s="1" t="s">
        <v>310</v>
      </c>
      <c r="AJ2633" s="1" t="s">
        <v>374</v>
      </c>
      <c r="AL2633" s="1">
        <v>5</v>
      </c>
      <c r="AM2633" s="1">
        <v>2</v>
      </c>
      <c r="AN2633" s="1">
        <v>2</v>
      </c>
      <c r="AO2633" s="1">
        <v>0</v>
      </c>
      <c r="AP2633" s="1" t="s">
        <v>209</v>
      </c>
      <c r="AR2633" s="1" t="s">
        <v>210</v>
      </c>
      <c r="AS2633" s="1" t="s">
        <v>204</v>
      </c>
      <c r="AT2633" s="1" t="s">
        <v>211</v>
      </c>
      <c r="AU2633" s="1">
        <v>1</v>
      </c>
      <c r="AW2633" s="1" t="s">
        <v>204</v>
      </c>
      <c r="AX2633" s="1" t="s">
        <v>212</v>
      </c>
      <c r="AZ2633" s="1">
        <v>1539.44</v>
      </c>
      <c r="BA2633" s="1">
        <v>2013</v>
      </c>
      <c r="BB2633" s="1" t="s">
        <v>405</v>
      </c>
      <c r="BE2633" s="1">
        <v>1100</v>
      </c>
      <c r="BF2633" s="1">
        <v>1</v>
      </c>
      <c r="BG2633" s="1">
        <v>0</v>
      </c>
      <c r="BL2633" s="1">
        <v>176</v>
      </c>
      <c r="BM2633" s="1" t="s">
        <v>204</v>
      </c>
      <c r="BN2633" s="1" t="s">
        <v>213</v>
      </c>
      <c r="BO2633" s="1">
        <v>999</v>
      </c>
      <c r="BP2633" s="1" t="s">
        <v>204</v>
      </c>
      <c r="BR2633" s="1" t="str">
        <f>"06192100201265"</f>
        <v>06192100201265</v>
      </c>
      <c r="BT2633" s="1" t="s">
        <v>22405</v>
      </c>
      <c r="BU2633" s="1" t="s">
        <v>4423</v>
      </c>
      <c r="BV2633" s="1" t="s">
        <v>2057</v>
      </c>
      <c r="BW2633" s="1" t="s">
        <v>2058</v>
      </c>
      <c r="BX2633" s="1">
        <v>46</v>
      </c>
      <c r="BY2633" s="1">
        <v>46</v>
      </c>
      <c r="BZ2633" s="1">
        <v>46</v>
      </c>
      <c r="CB2633" s="1" t="str">
        <f>"11"</f>
        <v>11</v>
      </c>
      <c r="CC2633" s="1" t="str">
        <f>"0"</f>
        <v>0</v>
      </c>
      <c r="CD2633" s="1">
        <v>23</v>
      </c>
      <c r="CE2633" s="1">
        <v>0</v>
      </c>
      <c r="CG2633" s="1" t="s">
        <v>221</v>
      </c>
      <c r="CH2633" s="1" t="s">
        <v>219</v>
      </c>
      <c r="CI2633" s="1" t="s">
        <v>229</v>
      </c>
      <c r="CJ2633" s="1" t="s">
        <v>210</v>
      </c>
      <c r="CK2633" s="1" t="s">
        <v>729</v>
      </c>
      <c r="CL2633" s="1" t="s">
        <v>219</v>
      </c>
      <c r="CM2633" s="1" t="s">
        <v>229</v>
      </c>
      <c r="CN2633" s="1" t="s">
        <v>210</v>
      </c>
      <c r="CO2633" s="1" t="s">
        <v>409</v>
      </c>
      <c r="CP2633" s="1" t="s">
        <v>219</v>
      </c>
      <c r="CQ2633" s="1" t="s">
        <v>226</v>
      </c>
      <c r="CR2633" s="1" t="s">
        <v>343</v>
      </c>
      <c r="CS2633" s="1" t="s">
        <v>346</v>
      </c>
      <c r="CT2633" s="1" t="s">
        <v>219</v>
      </c>
      <c r="CU2633" s="1" t="s">
        <v>229</v>
      </c>
      <c r="CV2633" s="1" t="s">
        <v>210</v>
      </c>
      <c r="CX2633" s="1" t="s">
        <v>224</v>
      </c>
      <c r="DB2633" s="1" t="s">
        <v>224</v>
      </c>
      <c r="DE2633" s="1" t="s">
        <v>348</v>
      </c>
      <c r="DF2633" s="1" t="s">
        <v>219</v>
      </c>
      <c r="DG2633" s="1" t="s">
        <v>226</v>
      </c>
      <c r="DH2633" s="1" t="s">
        <v>210</v>
      </c>
      <c r="DJ2633" s="1" t="s">
        <v>224</v>
      </c>
      <c r="DS2633" s="1" t="s">
        <v>230</v>
      </c>
      <c r="DW2633" s="1" t="s">
        <v>230</v>
      </c>
      <c r="EA2633" s="1" t="s">
        <v>230</v>
      </c>
      <c r="EE2633" s="1" t="s">
        <v>230</v>
      </c>
      <c r="EI2633" s="1" t="s">
        <v>230</v>
      </c>
      <c r="EL2633" s="1" t="s">
        <v>670</v>
      </c>
      <c r="EM2633" s="1" t="s">
        <v>319</v>
      </c>
      <c r="EN2633" s="1" t="s">
        <v>282</v>
      </c>
      <c r="EO2633" s="1" t="s">
        <v>234</v>
      </c>
      <c r="ER2633" s="1" t="s">
        <v>210</v>
      </c>
      <c r="EU2633" s="1" t="s">
        <v>1202</v>
      </c>
      <c r="EW2633" s="1" t="s">
        <v>1219</v>
      </c>
      <c r="EY2633" s="1" t="s">
        <v>242</v>
      </c>
      <c r="EZ2633" s="1" t="s">
        <v>287</v>
      </c>
      <c r="FC2633" s="1" t="s">
        <v>633</v>
      </c>
      <c r="FD2633" s="1" t="s">
        <v>246</v>
      </c>
      <c r="FE2633" s="1" t="s">
        <v>355</v>
      </c>
      <c r="FF2633" s="1" t="s">
        <v>248</v>
      </c>
      <c r="FH2633" s="1" t="s">
        <v>1316</v>
      </c>
      <c r="FL2633" s="1" t="s">
        <v>358</v>
      </c>
      <c r="FM2633" s="1" t="s">
        <v>252</v>
      </c>
      <c r="FN2633" s="1" t="s">
        <v>213</v>
      </c>
      <c r="FO2633" s="1" t="s">
        <v>213</v>
      </c>
      <c r="FQ2633" s="1" t="s">
        <v>569</v>
      </c>
      <c r="FR2633" s="1" t="s">
        <v>210</v>
      </c>
      <c r="FS2633" s="1" t="s">
        <v>443</v>
      </c>
      <c r="FT2633" s="1" t="s">
        <v>362</v>
      </c>
      <c r="FU2633" s="1" t="s">
        <v>204</v>
      </c>
      <c r="FW2633" s="1" t="s">
        <v>1559</v>
      </c>
      <c r="FX2633" s="1">
        <v>3750</v>
      </c>
      <c r="FY2633" s="1" t="s">
        <v>12569</v>
      </c>
      <c r="FZ2633" s="1" t="s">
        <v>22406</v>
      </c>
      <c r="GA2633" s="1">
        <v>30008</v>
      </c>
      <c r="GB2633" s="1" t="s">
        <v>22407</v>
      </c>
      <c r="GE2633" s="1" t="s">
        <v>480</v>
      </c>
      <c r="GI2633" s="1" t="s">
        <v>213</v>
      </c>
      <c r="GJ2633" s="1" t="s">
        <v>260</v>
      </c>
      <c r="GK2633" s="1" t="s">
        <v>210</v>
      </c>
      <c r="GL2633" s="2">
        <v>42094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ConnectMLS_export (27).XLS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L096026</cp:lastModifiedBy>
  <dcterms:modified xsi:type="dcterms:W3CDTF">2015-08-19T15:45:51Z</dcterms:modified>
</cp:coreProperties>
</file>